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arkabayev_m\Desktop\Столовая\"/>
    </mc:Choice>
  </mc:AlternateContent>
  <xr:revisionPtr revIDLastSave="0" documentId="13_ncr:1_{0810A2E1-A781-40B1-B633-CC64A3156031}" xr6:coauthVersionLast="47" xr6:coauthVersionMax="47" xr10:uidLastSave="{00000000-0000-0000-0000-000000000000}"/>
  <bookViews>
    <workbookView xWindow="-120" yWindow="-120" windowWidth="29040" windowHeight="15840" tabRatio="817" firstSheet="17" activeTab="17" xr2:uid="{00000000-000D-0000-FFFF-FFFF00000000}"/>
  </bookViews>
  <sheets>
    <sheet name="текущ ремонт (2)" sheetId="237" state="hidden" r:id="rId1"/>
    <sheet name="свод 4 (МБ+ШК+ИНТЕР)" sheetId="224" state="hidden" r:id="rId2"/>
    <sheet name="свод 3(МБ+ШК+ИНТЕР)" sheetId="225" state="hidden" r:id="rId3"/>
    <sheet name="свод 2 (МБ+ШК+ИНТЕР)" sheetId="226" state="hidden" r:id="rId4"/>
    <sheet name="тариф на 22 кл школа " sheetId="266" state="hidden" r:id="rId5"/>
    <sheet name="Кальк МШ Ор" sheetId="460" state="hidden" r:id="rId6"/>
    <sheet name="Кальк МШ Ор 2017-2018" sheetId="463" state="hidden" r:id="rId7"/>
    <sheet name="Кальк Турк с фмн" sheetId="459" state="hidden" r:id="rId8"/>
    <sheet name="Кальк Турк без фмн" sheetId="461" state="hidden" r:id="rId9"/>
    <sheet name="Кальк31 ул (Адм Корп)" sheetId="458" state="hidden" r:id="rId10"/>
    <sheet name="Кальк31 ул (31)" sheetId="456" state="hidden" r:id="rId11"/>
    <sheet name="Кальк АУП" sheetId="457" state="hidden" r:id="rId12"/>
    <sheet name="площ для обсл объек" sheetId="451" state="hidden" r:id="rId13"/>
    <sheet name="штатка комплекс  (2)" sheetId="443" state="hidden" r:id="rId14"/>
    <sheet name="Лист2" sheetId="438" state="hidden" r:id="rId15"/>
    <sheet name="штатка комплекс  (3)" sheetId="445" state="hidden" r:id="rId16"/>
    <sheet name="свод сверн" sheetId="509" state="hidden" r:id="rId17"/>
    <sheet name="Расчет арендной ставки столовая" sheetId="475" r:id="rId18"/>
    <sheet name="сверка" sheetId="513" state="hidden" r:id="rId19"/>
    <sheet name="Площадь помещений" sheetId="512" r:id="rId20"/>
    <sheet name="ОС на 14,09,26" sheetId="521" r:id="rId21"/>
    <sheet name="массажн" sheetId="507" state="hidden" r:id="rId22"/>
    <sheet name="кофебар" sheetId="508" state="hidden" r:id="rId23"/>
    <sheet name="штатка АУП" sheetId="381" state="hidden" r:id="rId24"/>
    <sheet name="штатка МБ 2.01." sheetId="380" state="hidden" r:id="rId25"/>
    <sheet name="штатка ФМН 2.01." sheetId="379" state="hidden" r:id="rId26"/>
    <sheet name="штатка школа МШ" sheetId="377" state="hidden" r:id="rId27"/>
    <sheet name="штатка школа Орынб" sheetId="437" state="hidden" r:id="rId28"/>
    <sheet name="штатка школа Орынб 2017-2018" sheetId="464" state="hidden" r:id="rId29"/>
    <sheet name="штатка спальн блок 2.01." sheetId="376" state="hidden" r:id="rId30"/>
    <sheet name="2.03.01.0приобретение комп к ОС" sheetId="344" state="hidden" r:id="rId31"/>
    <sheet name="гсм школа" sheetId="124" state="hidden" r:id="rId32"/>
    <sheet name="приобрет канц " sheetId="384" state="hidden" r:id="rId33"/>
    <sheet name="приобрет канц 3 цены" sheetId="409" state="hidden" r:id="rId34"/>
    <sheet name="приобретение моющих и хоз." sheetId="346" state="hidden" r:id="rId35"/>
    <sheet name="гсм3цены" sheetId="431" state="hidden" r:id="rId36"/>
    <sheet name="хоз 3 цены" sheetId="412" state="hidden" r:id="rId37"/>
    <sheet name="моющ 3 цены" sheetId="410" state="hidden" r:id="rId38"/>
    <sheet name="ТМЦ 3 цены" sheetId="411" state="hidden" r:id="rId39"/>
    <sheet name="расчет ДЕО" sheetId="414" state="hidden" r:id="rId40"/>
    <sheet name="запасы шк" sheetId="408" state="hidden" r:id="rId41"/>
    <sheet name="моющ МБ 2.03.05" sheetId="416" state="hidden" r:id="rId42"/>
    <sheet name="моющФМН 2.03.05" sheetId="453" state="hidden" r:id="rId43"/>
    <sheet name="хоз свод" sheetId="417" state="hidden" r:id="rId44"/>
    <sheet name="02.03.06.Хоз.Товары" sheetId="502" state="hidden" r:id="rId45"/>
    <sheet name="моющИНТ 2.03.05." sheetId="428" state="hidden" r:id="rId46"/>
    <sheet name="хоз 2.03.06." sheetId="496" state="hidden" r:id="rId47"/>
    <sheet name="хозМБ)" sheetId="497" state="hidden" r:id="rId48"/>
    <sheet name="О2.32.11.ОС" sheetId="503" state="hidden" r:id="rId49"/>
    <sheet name="хозАДМ" sheetId="426" state="hidden" r:id="rId50"/>
    <sheet name="пр запасы фмн 2.03.09." sheetId="418" state="hidden" r:id="rId51"/>
    <sheet name="запасыМШ" sheetId="407" state="hidden" r:id="rId52"/>
    <sheet name="пр запасы мб 2.03.09." sheetId="441" state="hidden" r:id="rId53"/>
    <sheet name="моющМШ" sheetId="419" state="hidden" r:id="rId54"/>
    <sheet name="хозМШ" sheetId="420" state="hidden" r:id="rId55"/>
    <sheet name="ТМЦ МШ" sheetId="421" state="hidden" r:id="rId56"/>
    <sheet name="запасыОрын" sheetId="413" state="hidden" r:id="rId57"/>
    <sheet name="моющОрынб" sheetId="424" state="hidden" r:id="rId58"/>
    <sheet name="ТМЦОрынб" sheetId="422" state="hidden" r:id="rId59"/>
    <sheet name="запасыАДМ" sheetId="406" state="hidden" r:id="rId60"/>
    <sheet name="моющ АДМ" sheetId="425" state="hidden" r:id="rId61"/>
    <sheet name="запасыИНТ" sheetId="405" state="hidden" r:id="rId62"/>
    <sheet name="Диз топливо общ" sheetId="403" state="hidden" r:id="rId63"/>
    <sheet name="расчет тепло" sheetId="293" state="hidden" r:id="rId64"/>
    <sheet name="Диз топливоАДМ" sheetId="345" state="hidden" r:id="rId65"/>
    <sheet name="ДИЗТОПЛ" sheetId="400" state="hidden" r:id="rId66"/>
    <sheet name="энергия МШ" sheetId="284" state="hidden" r:id="rId67"/>
    <sheet name="энергия МБ, ФМН по факту" sheetId="396" state="hidden" r:id="rId68"/>
    <sheet name="энергия МБ, ФМН по записке" sheetId="392" state="hidden" r:id="rId69"/>
    <sheet name="энергия адм корп по записке" sheetId="394" state="hidden" r:id="rId70"/>
    <sheet name="энергия адм по факту" sheetId="401" state="hidden" r:id="rId71"/>
    <sheet name="вода инт по запис" sheetId="399" state="hidden" r:id="rId72"/>
    <sheet name="энергия инт" sheetId="393" state="hidden" r:id="rId73"/>
    <sheet name="вода школаМБ по запис" sheetId="285" state="hidden" r:id="rId74"/>
    <sheet name="вода школа ФМН по запис" sheetId="404" state="hidden" r:id="rId75"/>
    <sheet name="ТБО АДМ" sheetId="369" state="hidden" r:id="rId76"/>
    <sheet name="услуги связи школа" sheetId="199" state="hidden" r:id="rId77"/>
    <sheet name="Командировки" sheetId="325" state="hidden" r:id="rId78"/>
    <sheet name="ремонт авто" sheetId="352" state="hidden" r:id="rId79"/>
    <sheet name="обс.и рем ОС  " sheetId="123" state="hidden" r:id="rId80"/>
    <sheet name="вода адм" sheetId="402" state="hidden" r:id="rId81"/>
    <sheet name="вода школа ФМН по МШ" sheetId="397" state="hidden" r:id="rId82"/>
    <sheet name="вода школаМШ" sheetId="398" state="hidden" r:id="rId83"/>
    <sheet name="Лист1" sheetId="391" state="hidden" r:id="rId84"/>
    <sheet name="приобретение моющих и хоз. (2)" sheetId="388" state="hidden" r:id="rId85"/>
    <sheet name="тмцИНТ" sheetId="430" state="hidden" r:id="rId86"/>
    <sheet name="хозИНТ" sheetId="429" state="hidden" r:id="rId87"/>
    <sheet name="хоз кот и ул освещ" sheetId="442" state="hidden" r:id="rId88"/>
    <sheet name="заправка картр" sheetId="370" state="hidden" r:id="rId89"/>
    <sheet name="текущ ремонт  зданий" sheetId="152" state="hidden" r:id="rId90"/>
    <sheet name="питание школа" sheetId="254" state="hidden" r:id="rId91"/>
    <sheet name="прочие услуги" sheetId="367" state="hidden" r:id="rId92"/>
    <sheet name="услуги почты" sheetId="364" state="hidden" r:id="rId93"/>
    <sheet name="охрана" sheetId="349" state="hidden" r:id="rId94"/>
    <sheet name="Инф" sheetId="354" state="hidden" r:id="rId95"/>
    <sheet name="налог на транс 2.22.03" sheetId="447" state="hidden" r:id="rId96"/>
    <sheet name="транспортные усл" sheetId="351" state="hidden" r:id="rId97"/>
    <sheet name="периодика" sheetId="353" state="hidden" r:id="rId98"/>
    <sheet name="аренда" sheetId="350" state="hidden" r:id="rId99"/>
    <sheet name="обслуж.противопожар" sheetId="365" state="hidden" r:id="rId100"/>
    <sheet name="расч.курса,семин,конф.(статья)" sheetId="335" state="hidden" r:id="rId101"/>
    <sheet name="учащиеся(статья)" sheetId="356" state="hidden" r:id="rId102"/>
    <sheet name="прочие внешк школа" sheetId="255" state="hidden" r:id="rId103"/>
    <sheet name="водоснаб " sheetId="144" state="hidden" r:id="rId104"/>
    <sheet name="ТБО" sheetId="143" state="hidden" r:id="rId105"/>
    <sheet name="повыш квалиф" sheetId="191" state="hidden" r:id="rId106"/>
    <sheet name="оформ.празд" sheetId="204" state="hidden" r:id="rId107"/>
    <sheet name="Семин" sheetId="373" state="hidden" r:id="rId108"/>
    <sheet name="дератизация школа" sheetId="247" state="hidden" r:id="rId109"/>
    <sheet name="СМИ" sheetId="368" state="hidden" r:id="rId110"/>
    <sheet name="нот услуги " sheetId="139" state="hidden" r:id="rId111"/>
    <sheet name="Утил" sheetId="363" state="hidden" r:id="rId112"/>
    <sheet name="пошив шк.формы" sheetId="366" state="hidden" r:id="rId113"/>
    <sheet name="пит вода школа" sheetId="130" state="hidden" r:id="rId114"/>
    <sheet name="взносы в МО" sheetId="326" state="hidden" r:id="rId115"/>
    <sheet name="привл эксперт" sheetId="332" state="hidden" r:id="rId116"/>
    <sheet name="Свободная форма нов.под" sheetId="383" state="hidden" r:id="rId117"/>
    <sheet name="Кап ремонт" sheetId="372" state="hidden" r:id="rId118"/>
    <sheet name="НДС ЗОПЛ" sheetId="490" state="hidden" r:id="rId119"/>
    <sheet name="эмиссия" sheetId="448" state="hidden" r:id="rId120"/>
    <sheet name="Амортизация " sheetId="471" state="hidden" r:id="rId121"/>
    <sheet name="Свод банк" sheetId="472" state="hidden" r:id="rId122"/>
    <sheet name="Расчет арендной ставки пересчит" sheetId="494" state="hidden" r:id="rId123"/>
    <sheet name="мес амортиз" sheetId="493" state="hidden" r:id="rId124"/>
    <sheet name="оборуд столов" sheetId="492" state="hidden" r:id="rId125"/>
    <sheet name="Площадь столовой новая" sheetId="476" state="hidden" r:id="rId126"/>
    <sheet name="расч по правилам " sheetId="477" state="hidden" r:id="rId127"/>
    <sheet name="мебель изм.амортиз" sheetId="478" state="hidden" r:id="rId128"/>
    <sheet name="оргтех столовой" sheetId="479" state="hidden" r:id="rId129"/>
    <sheet name="тмц столов" sheetId="487" state="hidden" r:id="rId130"/>
    <sheet name="расч по  моющ 2016год" sheetId="449" state="hidden" r:id="rId131"/>
    <sheet name="расч по  моющ 2017-18гг" sheetId="462" state="hidden" r:id="rId132"/>
    <sheet name="дез.средство" sheetId="450" state="hidden" r:id="rId133"/>
    <sheet name="обслуж" sheetId="374" state="hidden" r:id="rId134"/>
    <sheet name="цветы" sheetId="387" state="hidden" r:id="rId135"/>
    <sheet name="возмещение коммун" sheetId="489" state="hidden" r:id="rId136"/>
    <sheet name="Кальк31 ул (Адм Корп) 2017-2018" sheetId="465" state="hidden" r:id="rId137"/>
    <sheet name="прайс 2017-2018" sheetId="467" state="hidden" r:id="rId138"/>
    <sheet name="Кальк31 2017-2018" sheetId="466" state="hidden" r:id="rId139"/>
    <sheet name="хоз 2.03.06. (3)" sheetId="511" state="hidden" r:id="rId140"/>
    <sheet name="Лист3" sheetId="504" state="hidden" r:id="rId141"/>
  </sheets>
  <externalReferences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</externalReferences>
  <definedNames>
    <definedName name="\a" localSheetId="127">#REF!</definedName>
    <definedName name="\a" localSheetId="118">#REF!</definedName>
    <definedName name="\a" localSheetId="125">#REF!</definedName>
    <definedName name="\a" localSheetId="122">#REF!</definedName>
    <definedName name="\a" localSheetId="16">#REF!</definedName>
    <definedName name="\a" localSheetId="46">#REF!</definedName>
    <definedName name="\a" localSheetId="139">#REF!</definedName>
    <definedName name="\a" localSheetId="47">#REF!</definedName>
    <definedName name="\a">#REF!</definedName>
    <definedName name="\m" localSheetId="127">#REF!</definedName>
    <definedName name="\m" localSheetId="118">#REF!</definedName>
    <definedName name="\m" localSheetId="125">#REF!</definedName>
    <definedName name="\m" localSheetId="122">#REF!</definedName>
    <definedName name="\m" localSheetId="16">#REF!</definedName>
    <definedName name="\m" localSheetId="46">#REF!</definedName>
    <definedName name="\m" localSheetId="139">#REF!</definedName>
    <definedName name="\m" localSheetId="47">#REF!</definedName>
    <definedName name="\m">#REF!</definedName>
    <definedName name="\n" localSheetId="127">#REF!</definedName>
    <definedName name="\n" localSheetId="118">#REF!</definedName>
    <definedName name="\n" localSheetId="125">#REF!</definedName>
    <definedName name="\n" localSheetId="122">#REF!</definedName>
    <definedName name="\n" localSheetId="16">#REF!</definedName>
    <definedName name="\n" localSheetId="46">#REF!</definedName>
    <definedName name="\n" localSheetId="139">#REF!</definedName>
    <definedName name="\n" localSheetId="47">#REF!</definedName>
    <definedName name="\n">#REF!</definedName>
    <definedName name="\o" localSheetId="127">#REF!</definedName>
    <definedName name="\o" localSheetId="118">#REF!</definedName>
    <definedName name="\o" localSheetId="125">#REF!</definedName>
    <definedName name="\o" localSheetId="122">#REF!</definedName>
    <definedName name="\o" localSheetId="16">#REF!</definedName>
    <definedName name="\o" localSheetId="46">#REF!</definedName>
    <definedName name="\o" localSheetId="139">#REF!</definedName>
    <definedName name="\o" localSheetId="47">#REF!</definedName>
    <definedName name="\o">#REF!</definedName>
    <definedName name="__5450_01" localSheetId="127">#REF!</definedName>
    <definedName name="__5450_01" localSheetId="118">#REF!</definedName>
    <definedName name="__5450_01" localSheetId="125">#REF!</definedName>
    <definedName name="__5450_01" localSheetId="122">#REF!</definedName>
    <definedName name="__5450_01" localSheetId="16">#REF!</definedName>
    <definedName name="__5450_01" localSheetId="46">#REF!</definedName>
    <definedName name="__5450_01" localSheetId="139">#REF!</definedName>
    <definedName name="__5450_01" localSheetId="47">#REF!</definedName>
    <definedName name="__5450_01">#REF!</definedName>
    <definedName name="__5456_n" localSheetId="127">#REF!</definedName>
    <definedName name="__5456_n" localSheetId="118">#REF!</definedName>
    <definedName name="__5456_n" localSheetId="125">#REF!</definedName>
    <definedName name="__5456_n" localSheetId="122">#REF!</definedName>
    <definedName name="__5456_n" localSheetId="16">#REF!</definedName>
    <definedName name="__5456_n" localSheetId="46">#REF!</definedName>
    <definedName name="__5456_n" localSheetId="139">#REF!</definedName>
    <definedName name="__5456_n" localSheetId="47">#REF!</definedName>
    <definedName name="__5456_n">#REF!</definedName>
    <definedName name="__SP1" localSheetId="127">[1]FES!#REF!</definedName>
    <definedName name="__SP1" localSheetId="118">[1]FES!#REF!</definedName>
    <definedName name="__SP1" localSheetId="125">[1]FES!#REF!</definedName>
    <definedName name="__SP1" localSheetId="122">[1]FES!#REF!</definedName>
    <definedName name="__SP1" localSheetId="16">[1]FES!#REF!</definedName>
    <definedName name="__SP1" localSheetId="46">[1]FES!#REF!</definedName>
    <definedName name="__SP1" localSheetId="139">[1]FES!#REF!</definedName>
    <definedName name="__SP1" localSheetId="47">[1]FES!#REF!</definedName>
    <definedName name="__SP1">[1]FES!#REF!</definedName>
    <definedName name="__SP10" localSheetId="127">[1]FES!#REF!</definedName>
    <definedName name="__SP10" localSheetId="118">[1]FES!#REF!</definedName>
    <definedName name="__SP10" localSheetId="125">[1]FES!#REF!</definedName>
    <definedName name="__SP10" localSheetId="122">[1]FES!#REF!</definedName>
    <definedName name="__SP10" localSheetId="16">[1]FES!#REF!</definedName>
    <definedName name="__SP10" localSheetId="46">[1]FES!#REF!</definedName>
    <definedName name="__SP10" localSheetId="139">[1]FES!#REF!</definedName>
    <definedName name="__SP10" localSheetId="47">[1]FES!#REF!</definedName>
    <definedName name="__SP10">[1]FES!#REF!</definedName>
    <definedName name="__SP11" localSheetId="127">[1]FES!#REF!</definedName>
    <definedName name="__SP11" localSheetId="118">[1]FES!#REF!</definedName>
    <definedName name="__SP11" localSheetId="125">[1]FES!#REF!</definedName>
    <definedName name="__SP11" localSheetId="122">[1]FES!#REF!</definedName>
    <definedName name="__SP11" localSheetId="16">[1]FES!#REF!</definedName>
    <definedName name="__SP11" localSheetId="46">[1]FES!#REF!</definedName>
    <definedName name="__SP11" localSheetId="139">[1]FES!#REF!</definedName>
    <definedName name="__SP11" localSheetId="47">[1]FES!#REF!</definedName>
    <definedName name="__SP11">[1]FES!#REF!</definedName>
    <definedName name="__SP12" localSheetId="127">[1]FES!#REF!</definedName>
    <definedName name="__SP12" localSheetId="118">[1]FES!#REF!</definedName>
    <definedName name="__SP12" localSheetId="125">[1]FES!#REF!</definedName>
    <definedName name="__SP12" localSheetId="122">[1]FES!#REF!</definedName>
    <definedName name="__SP12" localSheetId="16">[1]FES!#REF!</definedName>
    <definedName name="__SP12" localSheetId="46">[1]FES!#REF!</definedName>
    <definedName name="__SP12" localSheetId="139">[1]FES!#REF!</definedName>
    <definedName name="__SP12" localSheetId="47">[1]FES!#REF!</definedName>
    <definedName name="__SP12">[1]FES!#REF!</definedName>
    <definedName name="__SP13" localSheetId="127">[1]FES!#REF!</definedName>
    <definedName name="__SP13" localSheetId="118">[1]FES!#REF!</definedName>
    <definedName name="__SP13" localSheetId="125">[1]FES!#REF!</definedName>
    <definedName name="__SP13" localSheetId="122">[1]FES!#REF!</definedName>
    <definedName name="__SP13" localSheetId="16">[1]FES!#REF!</definedName>
    <definedName name="__SP13" localSheetId="46">[1]FES!#REF!</definedName>
    <definedName name="__SP13" localSheetId="139">[1]FES!#REF!</definedName>
    <definedName name="__SP13" localSheetId="47">[1]FES!#REF!</definedName>
    <definedName name="__SP13">[1]FES!#REF!</definedName>
    <definedName name="__SP14" localSheetId="127">[1]FES!#REF!</definedName>
    <definedName name="__SP14" localSheetId="118">[1]FES!#REF!</definedName>
    <definedName name="__SP14" localSheetId="125">[1]FES!#REF!</definedName>
    <definedName name="__SP14" localSheetId="122">[1]FES!#REF!</definedName>
    <definedName name="__SP14" localSheetId="16">[1]FES!#REF!</definedName>
    <definedName name="__SP14" localSheetId="46">[1]FES!#REF!</definedName>
    <definedName name="__SP14" localSheetId="139">[1]FES!#REF!</definedName>
    <definedName name="__SP14" localSheetId="47">[1]FES!#REF!</definedName>
    <definedName name="__SP14">[1]FES!#REF!</definedName>
    <definedName name="__SP15" localSheetId="127">[1]FES!#REF!</definedName>
    <definedName name="__SP15" localSheetId="118">[1]FES!#REF!</definedName>
    <definedName name="__SP15" localSheetId="125">[1]FES!#REF!</definedName>
    <definedName name="__SP15" localSheetId="122">[1]FES!#REF!</definedName>
    <definedName name="__SP15" localSheetId="16">[1]FES!#REF!</definedName>
    <definedName name="__SP15" localSheetId="46">[1]FES!#REF!</definedName>
    <definedName name="__SP15" localSheetId="139">[1]FES!#REF!</definedName>
    <definedName name="__SP15" localSheetId="47">[1]FES!#REF!</definedName>
    <definedName name="__SP15">[1]FES!#REF!</definedName>
    <definedName name="__SP16" localSheetId="127">[1]FES!#REF!</definedName>
    <definedName name="__SP16" localSheetId="118">[1]FES!#REF!</definedName>
    <definedName name="__SP16" localSheetId="125">[1]FES!#REF!</definedName>
    <definedName name="__SP16" localSheetId="122">[1]FES!#REF!</definedName>
    <definedName name="__SP16" localSheetId="16">[1]FES!#REF!</definedName>
    <definedName name="__SP16" localSheetId="46">[1]FES!#REF!</definedName>
    <definedName name="__SP16" localSheetId="139">[1]FES!#REF!</definedName>
    <definedName name="__SP16" localSheetId="47">[1]FES!#REF!</definedName>
    <definedName name="__SP16">[1]FES!#REF!</definedName>
    <definedName name="__SP17" localSheetId="127">[1]FES!#REF!</definedName>
    <definedName name="__SP17" localSheetId="118">[1]FES!#REF!</definedName>
    <definedName name="__SP17" localSheetId="125">[1]FES!#REF!</definedName>
    <definedName name="__SP17" localSheetId="122">[1]FES!#REF!</definedName>
    <definedName name="__SP17" localSheetId="16">[1]FES!#REF!</definedName>
    <definedName name="__SP17" localSheetId="46">[1]FES!#REF!</definedName>
    <definedName name="__SP17" localSheetId="139">[1]FES!#REF!</definedName>
    <definedName name="__SP17" localSheetId="47">[1]FES!#REF!</definedName>
    <definedName name="__SP17">[1]FES!#REF!</definedName>
    <definedName name="__SP18" localSheetId="127">[1]FES!#REF!</definedName>
    <definedName name="__SP18" localSheetId="118">[1]FES!#REF!</definedName>
    <definedName name="__SP18" localSheetId="125">[1]FES!#REF!</definedName>
    <definedName name="__SP18" localSheetId="122">[1]FES!#REF!</definedName>
    <definedName name="__SP18" localSheetId="16">[1]FES!#REF!</definedName>
    <definedName name="__SP18" localSheetId="46">[1]FES!#REF!</definedName>
    <definedName name="__SP18" localSheetId="139">[1]FES!#REF!</definedName>
    <definedName name="__SP18" localSheetId="47">[1]FES!#REF!</definedName>
    <definedName name="__SP18">[1]FES!#REF!</definedName>
    <definedName name="__SP19" localSheetId="127">[1]FES!#REF!</definedName>
    <definedName name="__SP19" localSheetId="118">[1]FES!#REF!</definedName>
    <definedName name="__SP19" localSheetId="125">[1]FES!#REF!</definedName>
    <definedName name="__SP19" localSheetId="122">[1]FES!#REF!</definedName>
    <definedName name="__SP19" localSheetId="16">[1]FES!#REF!</definedName>
    <definedName name="__SP19" localSheetId="46">[1]FES!#REF!</definedName>
    <definedName name="__SP19" localSheetId="139">[1]FES!#REF!</definedName>
    <definedName name="__SP19" localSheetId="47">[1]FES!#REF!</definedName>
    <definedName name="__SP19">[1]FES!#REF!</definedName>
    <definedName name="__SP2" localSheetId="127">[1]FES!#REF!</definedName>
    <definedName name="__SP2" localSheetId="118">[1]FES!#REF!</definedName>
    <definedName name="__SP2" localSheetId="125">[1]FES!#REF!</definedName>
    <definedName name="__SP2" localSheetId="122">[1]FES!#REF!</definedName>
    <definedName name="__SP2" localSheetId="16">[1]FES!#REF!</definedName>
    <definedName name="__SP2" localSheetId="46">[1]FES!#REF!</definedName>
    <definedName name="__SP2" localSheetId="139">[1]FES!#REF!</definedName>
    <definedName name="__SP2" localSheetId="47">[1]FES!#REF!</definedName>
    <definedName name="__SP2">[1]FES!#REF!</definedName>
    <definedName name="__SP20" localSheetId="127">[1]FES!#REF!</definedName>
    <definedName name="__SP20" localSheetId="118">[1]FES!#REF!</definedName>
    <definedName name="__SP20" localSheetId="125">[1]FES!#REF!</definedName>
    <definedName name="__SP20" localSheetId="122">[1]FES!#REF!</definedName>
    <definedName name="__SP20" localSheetId="16">[1]FES!#REF!</definedName>
    <definedName name="__SP20" localSheetId="46">[1]FES!#REF!</definedName>
    <definedName name="__SP20" localSheetId="139">[1]FES!#REF!</definedName>
    <definedName name="__SP20" localSheetId="47">[1]FES!#REF!</definedName>
    <definedName name="__SP20">[1]FES!#REF!</definedName>
    <definedName name="__SP3" localSheetId="127">[1]FES!#REF!</definedName>
    <definedName name="__SP3" localSheetId="118">[1]FES!#REF!</definedName>
    <definedName name="__SP3" localSheetId="125">[1]FES!#REF!</definedName>
    <definedName name="__SP3" localSheetId="122">[1]FES!#REF!</definedName>
    <definedName name="__SP3" localSheetId="16">[1]FES!#REF!</definedName>
    <definedName name="__SP3" localSheetId="46">[1]FES!#REF!</definedName>
    <definedName name="__SP3" localSheetId="139">[1]FES!#REF!</definedName>
    <definedName name="__SP3" localSheetId="47">[1]FES!#REF!</definedName>
    <definedName name="__SP3">[1]FES!#REF!</definedName>
    <definedName name="__SP4" localSheetId="127">[1]FES!#REF!</definedName>
    <definedName name="__SP4" localSheetId="118">[1]FES!#REF!</definedName>
    <definedName name="__SP4" localSheetId="125">[1]FES!#REF!</definedName>
    <definedName name="__SP4" localSheetId="122">[1]FES!#REF!</definedName>
    <definedName name="__SP4" localSheetId="16">[1]FES!#REF!</definedName>
    <definedName name="__SP4" localSheetId="46">[1]FES!#REF!</definedName>
    <definedName name="__SP4" localSheetId="139">[1]FES!#REF!</definedName>
    <definedName name="__SP4" localSheetId="47">[1]FES!#REF!</definedName>
    <definedName name="__SP4">[1]FES!#REF!</definedName>
    <definedName name="__SP5" localSheetId="127">[1]FES!#REF!</definedName>
    <definedName name="__SP5" localSheetId="118">[1]FES!#REF!</definedName>
    <definedName name="__SP5" localSheetId="125">[1]FES!#REF!</definedName>
    <definedName name="__SP5" localSheetId="122">[1]FES!#REF!</definedName>
    <definedName name="__SP5" localSheetId="16">[1]FES!#REF!</definedName>
    <definedName name="__SP5" localSheetId="46">[1]FES!#REF!</definedName>
    <definedName name="__SP5" localSheetId="139">[1]FES!#REF!</definedName>
    <definedName name="__SP5" localSheetId="47">[1]FES!#REF!</definedName>
    <definedName name="__SP5">[1]FES!#REF!</definedName>
    <definedName name="__SP7" localSheetId="127">[1]FES!#REF!</definedName>
    <definedName name="__SP7" localSheetId="118">[1]FES!#REF!</definedName>
    <definedName name="__SP7" localSheetId="125">[1]FES!#REF!</definedName>
    <definedName name="__SP7" localSheetId="122">[1]FES!#REF!</definedName>
    <definedName name="__SP7" localSheetId="16">[1]FES!#REF!</definedName>
    <definedName name="__SP7" localSheetId="46">[1]FES!#REF!</definedName>
    <definedName name="__SP7" localSheetId="139">[1]FES!#REF!</definedName>
    <definedName name="__SP7" localSheetId="47">[1]FES!#REF!</definedName>
    <definedName name="__SP7">[1]FES!#REF!</definedName>
    <definedName name="__SP8" localSheetId="127">[1]FES!#REF!</definedName>
    <definedName name="__SP8" localSheetId="118">[1]FES!#REF!</definedName>
    <definedName name="__SP8" localSheetId="125">[1]FES!#REF!</definedName>
    <definedName name="__SP8" localSheetId="122">[1]FES!#REF!</definedName>
    <definedName name="__SP8" localSheetId="16">[1]FES!#REF!</definedName>
    <definedName name="__SP8" localSheetId="46">[1]FES!#REF!</definedName>
    <definedName name="__SP8" localSheetId="139">[1]FES!#REF!</definedName>
    <definedName name="__SP8" localSheetId="47">[1]FES!#REF!</definedName>
    <definedName name="__SP8">[1]FES!#REF!</definedName>
    <definedName name="__SP9" localSheetId="127">[1]FES!#REF!</definedName>
    <definedName name="__SP9" localSheetId="118">[1]FES!#REF!</definedName>
    <definedName name="__SP9" localSheetId="125">[1]FES!#REF!</definedName>
    <definedName name="__SP9" localSheetId="122">[1]FES!#REF!</definedName>
    <definedName name="__SP9" localSheetId="16">[1]FES!#REF!</definedName>
    <definedName name="__SP9" localSheetId="46">[1]FES!#REF!</definedName>
    <definedName name="__SP9" localSheetId="139">[1]FES!#REF!</definedName>
    <definedName name="__SP9" localSheetId="47">[1]FES!#REF!</definedName>
    <definedName name="__SP9">[1]FES!#REF!</definedName>
    <definedName name="_4050_00" localSheetId="127">#REF!</definedName>
    <definedName name="_4050_00" localSheetId="118">#REF!</definedName>
    <definedName name="_4050_00" localSheetId="125">#REF!</definedName>
    <definedName name="_4050_00" localSheetId="126">#REF!</definedName>
    <definedName name="_4050_00" localSheetId="122">#REF!</definedName>
    <definedName name="_4050_00" localSheetId="16">#REF!</definedName>
    <definedName name="_4050_00" localSheetId="46">#REF!</definedName>
    <definedName name="_4050_00" localSheetId="139">#REF!</definedName>
    <definedName name="_4050_00" localSheetId="47">#REF!</definedName>
    <definedName name="_4050_00">#REF!</definedName>
    <definedName name="_4050_01" localSheetId="127">#REF!</definedName>
    <definedName name="_4050_01" localSheetId="118">#REF!</definedName>
    <definedName name="_4050_01" localSheetId="125">#REF!</definedName>
    <definedName name="_4050_01" localSheetId="126">#REF!</definedName>
    <definedName name="_4050_01" localSheetId="122">#REF!</definedName>
    <definedName name="_4050_01" localSheetId="16">#REF!</definedName>
    <definedName name="_4050_01" localSheetId="46">#REF!</definedName>
    <definedName name="_4050_01" localSheetId="139">#REF!</definedName>
    <definedName name="_4050_01" localSheetId="47">#REF!</definedName>
    <definedName name="_4050_01">#REF!</definedName>
    <definedName name="_4050_n" localSheetId="127">#REF!</definedName>
    <definedName name="_4050_n" localSheetId="118">#REF!</definedName>
    <definedName name="_4050_n" localSheetId="125">#REF!</definedName>
    <definedName name="_4050_n" localSheetId="126">#REF!</definedName>
    <definedName name="_4050_n" localSheetId="122">#REF!</definedName>
    <definedName name="_4050_n" localSheetId="16">#REF!</definedName>
    <definedName name="_4050_n" localSheetId="46">#REF!</definedName>
    <definedName name="_4050_n" localSheetId="139">#REF!</definedName>
    <definedName name="_4050_n" localSheetId="47">#REF!</definedName>
    <definedName name="_4050_n">#REF!</definedName>
    <definedName name="_4052_00" localSheetId="127">#REF!</definedName>
    <definedName name="_4052_00" localSheetId="118">#REF!</definedName>
    <definedName name="_4052_00" localSheetId="125">#REF!</definedName>
    <definedName name="_4052_00" localSheetId="122">#REF!</definedName>
    <definedName name="_4052_00" localSheetId="16">#REF!</definedName>
    <definedName name="_4052_00" localSheetId="46">#REF!</definedName>
    <definedName name="_4052_00" localSheetId="139">#REF!</definedName>
    <definedName name="_4052_00" localSheetId="47">#REF!</definedName>
    <definedName name="_4052_00">#REF!</definedName>
    <definedName name="_4052_01" localSheetId="127">#REF!</definedName>
    <definedName name="_4052_01" localSheetId="118">#REF!</definedName>
    <definedName name="_4052_01" localSheetId="125">#REF!</definedName>
    <definedName name="_4052_01" localSheetId="122">#REF!</definedName>
    <definedName name="_4052_01" localSheetId="16">#REF!</definedName>
    <definedName name="_4052_01" localSheetId="46">#REF!</definedName>
    <definedName name="_4052_01" localSheetId="139">#REF!</definedName>
    <definedName name="_4052_01" localSheetId="47">#REF!</definedName>
    <definedName name="_4052_01">#REF!</definedName>
    <definedName name="_4052_n" localSheetId="127">#REF!</definedName>
    <definedName name="_4052_n" localSheetId="118">#REF!</definedName>
    <definedName name="_4052_n" localSheetId="125">#REF!</definedName>
    <definedName name="_4052_n" localSheetId="122">#REF!</definedName>
    <definedName name="_4052_n" localSheetId="16">#REF!</definedName>
    <definedName name="_4052_n" localSheetId="46">#REF!</definedName>
    <definedName name="_4052_n" localSheetId="139">#REF!</definedName>
    <definedName name="_4052_n" localSheetId="47">#REF!</definedName>
    <definedName name="_4052_n">#REF!</definedName>
    <definedName name="_4100_00" localSheetId="127">#REF!</definedName>
    <definedName name="_4100_00" localSheetId="118">#REF!</definedName>
    <definedName name="_4100_00" localSheetId="125">#REF!</definedName>
    <definedName name="_4100_00" localSheetId="122">#REF!</definedName>
    <definedName name="_4100_00" localSheetId="16">#REF!</definedName>
    <definedName name="_4100_00" localSheetId="46">#REF!</definedName>
    <definedName name="_4100_00" localSheetId="139">#REF!</definedName>
    <definedName name="_4100_00" localSheetId="47">#REF!</definedName>
    <definedName name="_4100_00">#REF!</definedName>
    <definedName name="_4100_01" localSheetId="127">#REF!</definedName>
    <definedName name="_4100_01" localSheetId="118">#REF!</definedName>
    <definedName name="_4100_01" localSheetId="125">#REF!</definedName>
    <definedName name="_4100_01" localSheetId="122">#REF!</definedName>
    <definedName name="_4100_01" localSheetId="16">#REF!</definedName>
    <definedName name="_4100_01" localSheetId="46">#REF!</definedName>
    <definedName name="_4100_01" localSheetId="139">#REF!</definedName>
    <definedName name="_4100_01" localSheetId="47">#REF!</definedName>
    <definedName name="_4100_01">#REF!</definedName>
    <definedName name="_4100_n" localSheetId="127">#REF!</definedName>
    <definedName name="_4100_n" localSheetId="118">#REF!</definedName>
    <definedName name="_4100_n" localSheetId="125">#REF!</definedName>
    <definedName name="_4100_n" localSheetId="122">#REF!</definedName>
    <definedName name="_4100_n" localSheetId="16">#REF!</definedName>
    <definedName name="_4100_n" localSheetId="46">#REF!</definedName>
    <definedName name="_4100_n" localSheetId="139">#REF!</definedName>
    <definedName name="_4100_n" localSheetId="47">#REF!</definedName>
    <definedName name="_4100_n">#REF!</definedName>
    <definedName name="_4101_00" localSheetId="127">#REF!</definedName>
    <definedName name="_4101_00" localSheetId="118">#REF!</definedName>
    <definedName name="_4101_00" localSheetId="125">#REF!</definedName>
    <definedName name="_4101_00" localSheetId="122">#REF!</definedName>
    <definedName name="_4101_00" localSheetId="16">#REF!</definedName>
    <definedName name="_4101_00" localSheetId="46">#REF!</definedName>
    <definedName name="_4101_00" localSheetId="139">#REF!</definedName>
    <definedName name="_4101_00" localSheetId="47">#REF!</definedName>
    <definedName name="_4101_00">#REF!</definedName>
    <definedName name="_4101_01" localSheetId="127">#REF!</definedName>
    <definedName name="_4101_01" localSheetId="118">#REF!</definedName>
    <definedName name="_4101_01" localSheetId="125">#REF!</definedName>
    <definedName name="_4101_01" localSheetId="122">#REF!</definedName>
    <definedName name="_4101_01" localSheetId="16">#REF!</definedName>
    <definedName name="_4101_01" localSheetId="46">#REF!</definedName>
    <definedName name="_4101_01" localSheetId="139">#REF!</definedName>
    <definedName name="_4101_01" localSheetId="47">#REF!</definedName>
    <definedName name="_4101_01">#REF!</definedName>
    <definedName name="_4101_n" localSheetId="127">#REF!</definedName>
    <definedName name="_4101_n" localSheetId="118">#REF!</definedName>
    <definedName name="_4101_n" localSheetId="125">#REF!</definedName>
    <definedName name="_4101_n" localSheetId="122">#REF!</definedName>
    <definedName name="_4101_n" localSheetId="16">#REF!</definedName>
    <definedName name="_4101_n" localSheetId="46">#REF!</definedName>
    <definedName name="_4101_n" localSheetId="139">#REF!</definedName>
    <definedName name="_4101_n" localSheetId="47">#REF!</definedName>
    <definedName name="_4101_n">#REF!</definedName>
    <definedName name="_4150_00" localSheetId="127">#REF!</definedName>
    <definedName name="_4150_00" localSheetId="118">#REF!</definedName>
    <definedName name="_4150_00" localSheetId="125">#REF!</definedName>
    <definedName name="_4150_00" localSheetId="122">#REF!</definedName>
    <definedName name="_4150_00" localSheetId="16">#REF!</definedName>
    <definedName name="_4150_00" localSheetId="46">#REF!</definedName>
    <definedName name="_4150_00" localSheetId="139">#REF!</definedName>
    <definedName name="_4150_00" localSheetId="47">#REF!</definedName>
    <definedName name="_4150_00">#REF!</definedName>
    <definedName name="_4150_01" localSheetId="127">#REF!</definedName>
    <definedName name="_4150_01" localSheetId="118">#REF!</definedName>
    <definedName name="_4150_01" localSheetId="125">#REF!</definedName>
    <definedName name="_4150_01" localSheetId="122">#REF!</definedName>
    <definedName name="_4150_01" localSheetId="16">#REF!</definedName>
    <definedName name="_4150_01" localSheetId="46">#REF!</definedName>
    <definedName name="_4150_01" localSheetId="139">#REF!</definedName>
    <definedName name="_4150_01" localSheetId="47">#REF!</definedName>
    <definedName name="_4150_01">#REF!</definedName>
    <definedName name="_4150_n" localSheetId="127">#REF!</definedName>
    <definedName name="_4150_n" localSheetId="118">#REF!</definedName>
    <definedName name="_4150_n" localSheetId="125">#REF!</definedName>
    <definedName name="_4150_n" localSheetId="122">#REF!</definedName>
    <definedName name="_4150_n" localSheetId="16">#REF!</definedName>
    <definedName name="_4150_n" localSheetId="46">#REF!</definedName>
    <definedName name="_4150_n" localSheetId="139">#REF!</definedName>
    <definedName name="_4150_n" localSheetId="47">#REF!</definedName>
    <definedName name="_4150_n">#REF!</definedName>
    <definedName name="_4151_00" localSheetId="127">#REF!</definedName>
    <definedName name="_4151_00" localSheetId="118">#REF!</definedName>
    <definedName name="_4151_00" localSheetId="125">#REF!</definedName>
    <definedName name="_4151_00" localSheetId="122">#REF!</definedName>
    <definedName name="_4151_00" localSheetId="16">#REF!</definedName>
    <definedName name="_4151_00" localSheetId="46">#REF!</definedName>
    <definedName name="_4151_00" localSheetId="139">#REF!</definedName>
    <definedName name="_4151_00" localSheetId="47">#REF!</definedName>
    <definedName name="_4151_00">#REF!</definedName>
    <definedName name="_4151_01" localSheetId="127">#REF!</definedName>
    <definedName name="_4151_01" localSheetId="118">#REF!</definedName>
    <definedName name="_4151_01" localSheetId="125">#REF!</definedName>
    <definedName name="_4151_01" localSheetId="122">#REF!</definedName>
    <definedName name="_4151_01" localSheetId="16">#REF!</definedName>
    <definedName name="_4151_01" localSheetId="46">#REF!</definedName>
    <definedName name="_4151_01" localSheetId="139">#REF!</definedName>
    <definedName name="_4151_01" localSheetId="47">#REF!</definedName>
    <definedName name="_4151_01">#REF!</definedName>
    <definedName name="_4151_n" localSheetId="127">#REF!</definedName>
    <definedName name="_4151_n" localSheetId="118">#REF!</definedName>
    <definedName name="_4151_n" localSheetId="125">#REF!</definedName>
    <definedName name="_4151_n" localSheetId="122">#REF!</definedName>
    <definedName name="_4151_n" localSheetId="16">#REF!</definedName>
    <definedName name="_4151_n" localSheetId="46">#REF!</definedName>
    <definedName name="_4151_n" localSheetId="139">#REF!</definedName>
    <definedName name="_4151_n" localSheetId="47">#REF!</definedName>
    <definedName name="_4151_n">#REF!</definedName>
    <definedName name="_4152_00" localSheetId="127">#REF!</definedName>
    <definedName name="_4152_00" localSheetId="118">#REF!</definedName>
    <definedName name="_4152_00" localSheetId="125">#REF!</definedName>
    <definedName name="_4152_00" localSheetId="122">#REF!</definedName>
    <definedName name="_4152_00" localSheetId="16">#REF!</definedName>
    <definedName name="_4152_00" localSheetId="46">#REF!</definedName>
    <definedName name="_4152_00" localSheetId="139">#REF!</definedName>
    <definedName name="_4152_00" localSheetId="47">#REF!</definedName>
    <definedName name="_4152_00">#REF!</definedName>
    <definedName name="_4152_01" localSheetId="127">#REF!</definedName>
    <definedName name="_4152_01" localSheetId="118">#REF!</definedName>
    <definedName name="_4152_01" localSheetId="125">#REF!</definedName>
    <definedName name="_4152_01" localSheetId="122">#REF!</definedName>
    <definedName name="_4152_01" localSheetId="16">#REF!</definedName>
    <definedName name="_4152_01" localSheetId="46">#REF!</definedName>
    <definedName name="_4152_01" localSheetId="139">#REF!</definedName>
    <definedName name="_4152_01" localSheetId="47">#REF!</definedName>
    <definedName name="_4152_01">#REF!</definedName>
    <definedName name="_4152_n" localSheetId="127">#REF!</definedName>
    <definedName name="_4152_n" localSheetId="118">#REF!</definedName>
    <definedName name="_4152_n" localSheetId="125">#REF!</definedName>
    <definedName name="_4152_n" localSheetId="122">#REF!</definedName>
    <definedName name="_4152_n" localSheetId="16">#REF!</definedName>
    <definedName name="_4152_n" localSheetId="46">#REF!</definedName>
    <definedName name="_4152_n" localSheetId="139">#REF!</definedName>
    <definedName name="_4152_n" localSheetId="47">#REF!</definedName>
    <definedName name="_4152_n">#REF!</definedName>
    <definedName name="_4155_00" localSheetId="127">#REF!</definedName>
    <definedName name="_4155_00" localSheetId="118">#REF!</definedName>
    <definedName name="_4155_00" localSheetId="125">#REF!</definedName>
    <definedName name="_4155_00" localSheetId="122">#REF!</definedName>
    <definedName name="_4155_00" localSheetId="16">#REF!</definedName>
    <definedName name="_4155_00" localSheetId="46">#REF!</definedName>
    <definedName name="_4155_00" localSheetId="139">#REF!</definedName>
    <definedName name="_4155_00" localSheetId="47">#REF!</definedName>
    <definedName name="_4155_00">#REF!</definedName>
    <definedName name="_4155_01" localSheetId="127">#REF!</definedName>
    <definedName name="_4155_01" localSheetId="118">#REF!</definedName>
    <definedName name="_4155_01" localSheetId="125">#REF!</definedName>
    <definedName name="_4155_01" localSheetId="122">#REF!</definedName>
    <definedName name="_4155_01" localSheetId="16">#REF!</definedName>
    <definedName name="_4155_01" localSheetId="46">#REF!</definedName>
    <definedName name="_4155_01" localSheetId="139">#REF!</definedName>
    <definedName name="_4155_01" localSheetId="47">#REF!</definedName>
    <definedName name="_4155_01">#REF!</definedName>
    <definedName name="_4155_n" localSheetId="127">#REF!</definedName>
    <definedName name="_4155_n" localSheetId="118">#REF!</definedName>
    <definedName name="_4155_n" localSheetId="125">#REF!</definedName>
    <definedName name="_4155_n" localSheetId="122">#REF!</definedName>
    <definedName name="_4155_n" localSheetId="16">#REF!</definedName>
    <definedName name="_4155_n" localSheetId="46">#REF!</definedName>
    <definedName name="_4155_n" localSheetId="139">#REF!</definedName>
    <definedName name="_4155_n" localSheetId="47">#REF!</definedName>
    <definedName name="_4155_n">#REF!</definedName>
    <definedName name="_4250_00" localSheetId="127">#REF!</definedName>
    <definedName name="_4250_00" localSheetId="118">#REF!</definedName>
    <definedName name="_4250_00" localSheetId="125">#REF!</definedName>
    <definedName name="_4250_00" localSheetId="122">#REF!</definedName>
    <definedName name="_4250_00" localSheetId="16">#REF!</definedName>
    <definedName name="_4250_00" localSheetId="46">#REF!</definedName>
    <definedName name="_4250_00" localSheetId="139">#REF!</definedName>
    <definedName name="_4250_00" localSheetId="47">#REF!</definedName>
    <definedName name="_4250_00">#REF!</definedName>
    <definedName name="_4250_01" localSheetId="127">#REF!</definedName>
    <definedName name="_4250_01" localSheetId="118">#REF!</definedName>
    <definedName name="_4250_01" localSheetId="125">#REF!</definedName>
    <definedName name="_4250_01" localSheetId="122">#REF!</definedName>
    <definedName name="_4250_01" localSheetId="16">#REF!</definedName>
    <definedName name="_4250_01" localSheetId="46">#REF!</definedName>
    <definedName name="_4250_01" localSheetId="139">#REF!</definedName>
    <definedName name="_4250_01" localSheetId="47">#REF!</definedName>
    <definedName name="_4250_01">#REF!</definedName>
    <definedName name="_4250_n" localSheetId="127">#REF!</definedName>
    <definedName name="_4250_n" localSheetId="118">#REF!</definedName>
    <definedName name="_4250_n" localSheetId="125">#REF!</definedName>
    <definedName name="_4250_n" localSheetId="122">#REF!</definedName>
    <definedName name="_4250_n" localSheetId="16">#REF!</definedName>
    <definedName name="_4250_n" localSheetId="46">#REF!</definedName>
    <definedName name="_4250_n" localSheetId="139">#REF!</definedName>
    <definedName name="_4250_n" localSheetId="47">#REF!</definedName>
    <definedName name="_4250_n">#REF!</definedName>
    <definedName name="_4252_00" localSheetId="127">#REF!</definedName>
    <definedName name="_4252_00" localSheetId="118">#REF!</definedName>
    <definedName name="_4252_00" localSheetId="125">#REF!</definedName>
    <definedName name="_4252_00" localSheetId="122">#REF!</definedName>
    <definedName name="_4252_00" localSheetId="16">#REF!</definedName>
    <definedName name="_4252_00" localSheetId="46">#REF!</definedName>
    <definedName name="_4252_00" localSheetId="139">#REF!</definedName>
    <definedName name="_4252_00" localSheetId="47">#REF!</definedName>
    <definedName name="_4252_00">#REF!</definedName>
    <definedName name="_4252_01" localSheetId="127">#REF!</definedName>
    <definedName name="_4252_01" localSheetId="118">#REF!</definedName>
    <definedName name="_4252_01" localSheetId="125">#REF!</definedName>
    <definedName name="_4252_01" localSheetId="122">#REF!</definedName>
    <definedName name="_4252_01" localSheetId="16">#REF!</definedName>
    <definedName name="_4252_01" localSheetId="46">#REF!</definedName>
    <definedName name="_4252_01" localSheetId="139">#REF!</definedName>
    <definedName name="_4252_01" localSheetId="47">#REF!</definedName>
    <definedName name="_4252_01">#REF!</definedName>
    <definedName name="_4252_n" localSheetId="127">#REF!</definedName>
    <definedName name="_4252_n" localSheetId="118">#REF!</definedName>
    <definedName name="_4252_n" localSheetId="125">#REF!</definedName>
    <definedName name="_4252_n" localSheetId="122">#REF!</definedName>
    <definedName name="_4252_n" localSheetId="16">#REF!</definedName>
    <definedName name="_4252_n" localSheetId="46">#REF!</definedName>
    <definedName name="_4252_n" localSheetId="139">#REF!</definedName>
    <definedName name="_4252_n" localSheetId="47">#REF!</definedName>
    <definedName name="_4252_n">#REF!</definedName>
    <definedName name="_4253_00" localSheetId="127">#REF!</definedName>
    <definedName name="_4253_00" localSheetId="118">#REF!</definedName>
    <definedName name="_4253_00" localSheetId="125">#REF!</definedName>
    <definedName name="_4253_00" localSheetId="122">#REF!</definedName>
    <definedName name="_4253_00" localSheetId="16">#REF!</definedName>
    <definedName name="_4253_00" localSheetId="46">#REF!</definedName>
    <definedName name="_4253_00" localSheetId="139">#REF!</definedName>
    <definedName name="_4253_00" localSheetId="47">#REF!</definedName>
    <definedName name="_4253_00">#REF!</definedName>
    <definedName name="_4253_01" localSheetId="127">#REF!</definedName>
    <definedName name="_4253_01" localSheetId="118">#REF!</definedName>
    <definedName name="_4253_01" localSheetId="125">#REF!</definedName>
    <definedName name="_4253_01" localSheetId="122">#REF!</definedName>
    <definedName name="_4253_01" localSheetId="16">#REF!</definedName>
    <definedName name="_4253_01" localSheetId="46">#REF!</definedName>
    <definedName name="_4253_01" localSheetId="139">#REF!</definedName>
    <definedName name="_4253_01" localSheetId="47">#REF!</definedName>
    <definedName name="_4253_01">#REF!</definedName>
    <definedName name="_4253_n" localSheetId="127">#REF!</definedName>
    <definedName name="_4253_n" localSheetId="118">#REF!</definedName>
    <definedName name="_4253_n" localSheetId="125">#REF!</definedName>
    <definedName name="_4253_n" localSheetId="122">#REF!</definedName>
    <definedName name="_4253_n" localSheetId="16">#REF!</definedName>
    <definedName name="_4253_n" localSheetId="46">#REF!</definedName>
    <definedName name="_4253_n" localSheetId="139">#REF!</definedName>
    <definedName name="_4253_n" localSheetId="47">#REF!</definedName>
    <definedName name="_4253_n">#REF!</definedName>
    <definedName name="_4300_n" localSheetId="127">#REF!</definedName>
    <definedName name="_4300_n" localSheetId="118">#REF!</definedName>
    <definedName name="_4300_n" localSheetId="125">#REF!</definedName>
    <definedName name="_4300_n" localSheetId="122">#REF!</definedName>
    <definedName name="_4300_n" localSheetId="16">#REF!</definedName>
    <definedName name="_4300_n" localSheetId="46">#REF!</definedName>
    <definedName name="_4300_n" localSheetId="139">#REF!</definedName>
    <definedName name="_4300_n" localSheetId="47">#REF!</definedName>
    <definedName name="_4300_n">#REF!</definedName>
    <definedName name="_4302_00" localSheetId="127">#REF!</definedName>
    <definedName name="_4302_00" localSheetId="118">#REF!</definedName>
    <definedName name="_4302_00" localSheetId="125">#REF!</definedName>
    <definedName name="_4302_00" localSheetId="122">#REF!</definedName>
    <definedName name="_4302_00" localSheetId="16">#REF!</definedName>
    <definedName name="_4302_00" localSheetId="46">#REF!</definedName>
    <definedName name="_4302_00" localSheetId="139">#REF!</definedName>
    <definedName name="_4302_00" localSheetId="47">#REF!</definedName>
    <definedName name="_4302_00">#REF!</definedName>
    <definedName name="_4302_01" localSheetId="127">#REF!</definedName>
    <definedName name="_4302_01" localSheetId="118">#REF!</definedName>
    <definedName name="_4302_01" localSheetId="125">#REF!</definedName>
    <definedName name="_4302_01" localSheetId="122">#REF!</definedName>
    <definedName name="_4302_01" localSheetId="16">#REF!</definedName>
    <definedName name="_4302_01" localSheetId="46">#REF!</definedName>
    <definedName name="_4302_01" localSheetId="139">#REF!</definedName>
    <definedName name="_4302_01" localSheetId="47">#REF!</definedName>
    <definedName name="_4302_01">#REF!</definedName>
    <definedName name="_4302_n" localSheetId="127">#REF!</definedName>
    <definedName name="_4302_n" localSheetId="118">#REF!</definedName>
    <definedName name="_4302_n" localSheetId="125">#REF!</definedName>
    <definedName name="_4302_n" localSheetId="122">#REF!</definedName>
    <definedName name="_4302_n" localSheetId="16">#REF!</definedName>
    <definedName name="_4302_n" localSheetId="46">#REF!</definedName>
    <definedName name="_4302_n" localSheetId="139">#REF!</definedName>
    <definedName name="_4302_n" localSheetId="47">#REF!</definedName>
    <definedName name="_4302_n">#REF!</definedName>
    <definedName name="_4400_n" localSheetId="127">#REF!</definedName>
    <definedName name="_4400_n" localSheetId="118">#REF!</definedName>
    <definedName name="_4400_n" localSheetId="125">#REF!</definedName>
    <definedName name="_4400_n" localSheetId="122">#REF!</definedName>
    <definedName name="_4400_n" localSheetId="16">#REF!</definedName>
    <definedName name="_4400_n" localSheetId="46">#REF!</definedName>
    <definedName name="_4400_n" localSheetId="139">#REF!</definedName>
    <definedName name="_4400_n" localSheetId="47">#REF!</definedName>
    <definedName name="_4400_n">#REF!</definedName>
    <definedName name="_4405_00" localSheetId="127">#REF!</definedName>
    <definedName name="_4405_00" localSheetId="118">#REF!</definedName>
    <definedName name="_4405_00" localSheetId="125">#REF!</definedName>
    <definedName name="_4405_00" localSheetId="122">#REF!</definedName>
    <definedName name="_4405_00" localSheetId="16">#REF!</definedName>
    <definedName name="_4405_00" localSheetId="46">#REF!</definedName>
    <definedName name="_4405_00" localSheetId="139">#REF!</definedName>
    <definedName name="_4405_00" localSheetId="47">#REF!</definedName>
    <definedName name="_4405_00">#REF!</definedName>
    <definedName name="_4405_01" localSheetId="127">#REF!</definedName>
    <definedName name="_4405_01" localSheetId="118">#REF!</definedName>
    <definedName name="_4405_01" localSheetId="125">#REF!</definedName>
    <definedName name="_4405_01" localSheetId="122">#REF!</definedName>
    <definedName name="_4405_01" localSheetId="16">#REF!</definedName>
    <definedName name="_4405_01" localSheetId="46">#REF!</definedName>
    <definedName name="_4405_01" localSheetId="139">#REF!</definedName>
    <definedName name="_4405_01" localSheetId="47">#REF!</definedName>
    <definedName name="_4405_01">#REF!</definedName>
    <definedName name="_4405_n" localSheetId="127">#REF!</definedName>
    <definedName name="_4405_n" localSheetId="118">#REF!</definedName>
    <definedName name="_4405_n" localSheetId="125">#REF!</definedName>
    <definedName name="_4405_n" localSheetId="122">#REF!</definedName>
    <definedName name="_4405_n" localSheetId="16">#REF!</definedName>
    <definedName name="_4405_n" localSheetId="46">#REF!</definedName>
    <definedName name="_4405_n" localSheetId="139">#REF!</definedName>
    <definedName name="_4405_n" localSheetId="47">#REF!</definedName>
    <definedName name="_4405_n">#REF!</definedName>
    <definedName name="_4411_00" localSheetId="127">#REF!</definedName>
    <definedName name="_4411_00" localSheetId="118">#REF!</definedName>
    <definedName name="_4411_00" localSheetId="125">#REF!</definedName>
    <definedName name="_4411_00" localSheetId="122">#REF!</definedName>
    <definedName name="_4411_00" localSheetId="16">#REF!</definedName>
    <definedName name="_4411_00" localSheetId="46">#REF!</definedName>
    <definedName name="_4411_00" localSheetId="139">#REF!</definedName>
    <definedName name="_4411_00" localSheetId="47">#REF!</definedName>
    <definedName name="_4411_00">#REF!</definedName>
    <definedName name="_4411_01" localSheetId="127">#REF!</definedName>
    <definedName name="_4411_01" localSheetId="118">#REF!</definedName>
    <definedName name="_4411_01" localSheetId="125">#REF!</definedName>
    <definedName name="_4411_01" localSheetId="122">#REF!</definedName>
    <definedName name="_4411_01" localSheetId="16">#REF!</definedName>
    <definedName name="_4411_01" localSheetId="46">#REF!</definedName>
    <definedName name="_4411_01" localSheetId="139">#REF!</definedName>
    <definedName name="_4411_01" localSheetId="47">#REF!</definedName>
    <definedName name="_4411_01">#REF!</definedName>
    <definedName name="_4411_n" localSheetId="127">#REF!</definedName>
    <definedName name="_4411_n" localSheetId="118">#REF!</definedName>
    <definedName name="_4411_n" localSheetId="125">#REF!</definedName>
    <definedName name="_4411_n" localSheetId="122">#REF!</definedName>
    <definedName name="_4411_n" localSheetId="16">#REF!</definedName>
    <definedName name="_4411_n" localSheetId="46">#REF!</definedName>
    <definedName name="_4411_n" localSheetId="139">#REF!</definedName>
    <definedName name="_4411_n" localSheetId="47">#REF!</definedName>
    <definedName name="_4411_n">#REF!</definedName>
    <definedName name="_4414_00" localSheetId="127">#REF!</definedName>
    <definedName name="_4414_00" localSheetId="118">#REF!</definedName>
    <definedName name="_4414_00" localSheetId="125">#REF!</definedName>
    <definedName name="_4414_00" localSheetId="122">#REF!</definedName>
    <definedName name="_4414_00" localSheetId="16">#REF!</definedName>
    <definedName name="_4414_00" localSheetId="46">#REF!</definedName>
    <definedName name="_4414_00" localSheetId="139">#REF!</definedName>
    <definedName name="_4414_00" localSheetId="47">#REF!</definedName>
    <definedName name="_4414_00">#REF!</definedName>
    <definedName name="_4414_01" localSheetId="127">#REF!</definedName>
    <definedName name="_4414_01" localSheetId="118">#REF!</definedName>
    <definedName name="_4414_01" localSheetId="125">#REF!</definedName>
    <definedName name="_4414_01" localSheetId="122">#REF!</definedName>
    <definedName name="_4414_01" localSheetId="16">#REF!</definedName>
    <definedName name="_4414_01" localSheetId="46">#REF!</definedName>
    <definedName name="_4414_01" localSheetId="139">#REF!</definedName>
    <definedName name="_4414_01" localSheetId="47">#REF!</definedName>
    <definedName name="_4414_01">#REF!</definedName>
    <definedName name="_4414_n" localSheetId="127">#REF!</definedName>
    <definedName name="_4414_n" localSheetId="118">#REF!</definedName>
    <definedName name="_4414_n" localSheetId="125">#REF!</definedName>
    <definedName name="_4414_n" localSheetId="122">#REF!</definedName>
    <definedName name="_4414_n" localSheetId="16">#REF!</definedName>
    <definedName name="_4414_n" localSheetId="46">#REF!</definedName>
    <definedName name="_4414_n" localSheetId="139">#REF!</definedName>
    <definedName name="_4414_n" localSheetId="47">#REF!</definedName>
    <definedName name="_4414_n">#REF!</definedName>
    <definedName name="_4417_00" localSheetId="127">#REF!</definedName>
    <definedName name="_4417_00" localSheetId="118">#REF!</definedName>
    <definedName name="_4417_00" localSheetId="125">#REF!</definedName>
    <definedName name="_4417_00" localSheetId="122">#REF!</definedName>
    <definedName name="_4417_00" localSheetId="16">#REF!</definedName>
    <definedName name="_4417_00" localSheetId="46">#REF!</definedName>
    <definedName name="_4417_00" localSheetId="139">#REF!</definedName>
    <definedName name="_4417_00" localSheetId="47">#REF!</definedName>
    <definedName name="_4417_00">#REF!</definedName>
    <definedName name="_4417_01" localSheetId="127">#REF!</definedName>
    <definedName name="_4417_01" localSheetId="118">#REF!</definedName>
    <definedName name="_4417_01" localSheetId="125">#REF!</definedName>
    <definedName name="_4417_01" localSheetId="122">#REF!</definedName>
    <definedName name="_4417_01" localSheetId="16">#REF!</definedName>
    <definedName name="_4417_01" localSheetId="46">#REF!</definedName>
    <definedName name="_4417_01" localSheetId="139">#REF!</definedName>
    <definedName name="_4417_01" localSheetId="47">#REF!</definedName>
    <definedName name="_4417_01">#REF!</definedName>
    <definedName name="_4417_n" localSheetId="127">#REF!</definedName>
    <definedName name="_4417_n" localSheetId="118">#REF!</definedName>
    <definedName name="_4417_n" localSheetId="125">#REF!</definedName>
    <definedName name="_4417_n" localSheetId="122">#REF!</definedName>
    <definedName name="_4417_n" localSheetId="16">#REF!</definedName>
    <definedName name="_4417_n" localSheetId="46">#REF!</definedName>
    <definedName name="_4417_n" localSheetId="139">#REF!</definedName>
    <definedName name="_4417_n" localSheetId="47">#REF!</definedName>
    <definedName name="_4417_n">#REF!</definedName>
    <definedName name="_4420_00" localSheetId="127">#REF!</definedName>
    <definedName name="_4420_00" localSheetId="118">#REF!</definedName>
    <definedName name="_4420_00" localSheetId="125">#REF!</definedName>
    <definedName name="_4420_00" localSheetId="122">#REF!</definedName>
    <definedName name="_4420_00" localSheetId="16">#REF!</definedName>
    <definedName name="_4420_00" localSheetId="46">#REF!</definedName>
    <definedName name="_4420_00" localSheetId="139">#REF!</definedName>
    <definedName name="_4420_00" localSheetId="47">#REF!</definedName>
    <definedName name="_4420_00">#REF!</definedName>
    <definedName name="_4420_01" localSheetId="127">#REF!</definedName>
    <definedName name="_4420_01" localSheetId="118">#REF!</definedName>
    <definedName name="_4420_01" localSheetId="125">#REF!</definedName>
    <definedName name="_4420_01" localSheetId="122">#REF!</definedName>
    <definedName name="_4420_01" localSheetId="16">#REF!</definedName>
    <definedName name="_4420_01" localSheetId="46">#REF!</definedName>
    <definedName name="_4420_01" localSheetId="139">#REF!</definedName>
    <definedName name="_4420_01" localSheetId="47">#REF!</definedName>
    <definedName name="_4420_01">#REF!</definedName>
    <definedName name="_4420_n" localSheetId="127">#REF!</definedName>
    <definedName name="_4420_n" localSheetId="118">#REF!</definedName>
    <definedName name="_4420_n" localSheetId="125">#REF!</definedName>
    <definedName name="_4420_n" localSheetId="122">#REF!</definedName>
    <definedName name="_4420_n" localSheetId="16">#REF!</definedName>
    <definedName name="_4420_n" localSheetId="46">#REF!</definedName>
    <definedName name="_4420_n" localSheetId="139">#REF!</definedName>
    <definedName name="_4420_n" localSheetId="47">#REF!</definedName>
    <definedName name="_4420_n">#REF!</definedName>
    <definedName name="_4424_00" localSheetId="127">#REF!</definedName>
    <definedName name="_4424_00" localSheetId="118">#REF!</definedName>
    <definedName name="_4424_00" localSheetId="125">#REF!</definedName>
    <definedName name="_4424_00" localSheetId="122">#REF!</definedName>
    <definedName name="_4424_00" localSheetId="16">#REF!</definedName>
    <definedName name="_4424_00" localSheetId="46">#REF!</definedName>
    <definedName name="_4424_00" localSheetId="139">#REF!</definedName>
    <definedName name="_4424_00" localSheetId="47">#REF!</definedName>
    <definedName name="_4424_00">#REF!</definedName>
    <definedName name="_4424_01" localSheetId="127">#REF!</definedName>
    <definedName name="_4424_01" localSheetId="118">#REF!</definedName>
    <definedName name="_4424_01" localSheetId="125">#REF!</definedName>
    <definedName name="_4424_01" localSheetId="122">#REF!</definedName>
    <definedName name="_4424_01" localSheetId="16">#REF!</definedName>
    <definedName name="_4424_01" localSheetId="46">#REF!</definedName>
    <definedName name="_4424_01" localSheetId="139">#REF!</definedName>
    <definedName name="_4424_01" localSheetId="47">#REF!</definedName>
    <definedName name="_4424_01">#REF!</definedName>
    <definedName name="_4424_n" localSheetId="127">#REF!</definedName>
    <definedName name="_4424_n" localSheetId="118">#REF!</definedName>
    <definedName name="_4424_n" localSheetId="125">#REF!</definedName>
    <definedName name="_4424_n" localSheetId="122">#REF!</definedName>
    <definedName name="_4424_n" localSheetId="16">#REF!</definedName>
    <definedName name="_4424_n" localSheetId="46">#REF!</definedName>
    <definedName name="_4424_n" localSheetId="139">#REF!</definedName>
    <definedName name="_4424_n" localSheetId="47">#REF!</definedName>
    <definedName name="_4424_n">#REF!</definedName>
    <definedName name="_4449_00" localSheetId="127">#REF!</definedName>
    <definedName name="_4449_00" localSheetId="118">#REF!</definedName>
    <definedName name="_4449_00" localSheetId="125">#REF!</definedName>
    <definedName name="_4449_00" localSheetId="122">#REF!</definedName>
    <definedName name="_4449_00" localSheetId="16">#REF!</definedName>
    <definedName name="_4449_00" localSheetId="46">#REF!</definedName>
    <definedName name="_4449_00" localSheetId="139">#REF!</definedName>
    <definedName name="_4449_00" localSheetId="47">#REF!</definedName>
    <definedName name="_4449_00">#REF!</definedName>
    <definedName name="_4449_01" localSheetId="127">#REF!</definedName>
    <definedName name="_4449_01" localSheetId="118">#REF!</definedName>
    <definedName name="_4449_01" localSheetId="125">#REF!</definedName>
    <definedName name="_4449_01" localSheetId="122">#REF!</definedName>
    <definedName name="_4449_01" localSheetId="16">#REF!</definedName>
    <definedName name="_4449_01" localSheetId="46">#REF!</definedName>
    <definedName name="_4449_01" localSheetId="139">#REF!</definedName>
    <definedName name="_4449_01" localSheetId="47">#REF!</definedName>
    <definedName name="_4449_01">#REF!</definedName>
    <definedName name="_4449_n" localSheetId="127">#REF!</definedName>
    <definedName name="_4449_n" localSheetId="118">#REF!</definedName>
    <definedName name="_4449_n" localSheetId="125">#REF!</definedName>
    <definedName name="_4449_n" localSheetId="122">#REF!</definedName>
    <definedName name="_4449_n" localSheetId="16">#REF!</definedName>
    <definedName name="_4449_n" localSheetId="46">#REF!</definedName>
    <definedName name="_4449_n" localSheetId="139">#REF!</definedName>
    <definedName name="_4449_n" localSheetId="47">#REF!</definedName>
    <definedName name="_4449_n">#REF!</definedName>
    <definedName name="_4450_00" localSheetId="127">#REF!</definedName>
    <definedName name="_4450_00" localSheetId="118">#REF!</definedName>
    <definedName name="_4450_00" localSheetId="125">#REF!</definedName>
    <definedName name="_4450_00" localSheetId="122">#REF!</definedName>
    <definedName name="_4450_00" localSheetId="16">#REF!</definedName>
    <definedName name="_4450_00" localSheetId="46">#REF!</definedName>
    <definedName name="_4450_00" localSheetId="139">#REF!</definedName>
    <definedName name="_4450_00" localSheetId="47">#REF!</definedName>
    <definedName name="_4450_00">#REF!</definedName>
    <definedName name="_4450_01" localSheetId="127">#REF!</definedName>
    <definedName name="_4450_01" localSheetId="118">#REF!</definedName>
    <definedName name="_4450_01" localSheetId="125">#REF!</definedName>
    <definedName name="_4450_01" localSheetId="122">#REF!</definedName>
    <definedName name="_4450_01" localSheetId="16">#REF!</definedName>
    <definedName name="_4450_01" localSheetId="46">#REF!</definedName>
    <definedName name="_4450_01" localSheetId="139">#REF!</definedName>
    <definedName name="_4450_01" localSheetId="47">#REF!</definedName>
    <definedName name="_4450_01">#REF!</definedName>
    <definedName name="_4450_n" localSheetId="127">#REF!</definedName>
    <definedName name="_4450_n" localSheetId="118">#REF!</definedName>
    <definedName name="_4450_n" localSheetId="125">#REF!</definedName>
    <definedName name="_4450_n" localSheetId="122">#REF!</definedName>
    <definedName name="_4450_n" localSheetId="16">#REF!</definedName>
    <definedName name="_4450_n" localSheetId="46">#REF!</definedName>
    <definedName name="_4450_n" localSheetId="139">#REF!</definedName>
    <definedName name="_4450_n" localSheetId="47">#REF!</definedName>
    <definedName name="_4450_n">#REF!</definedName>
    <definedName name="_4490_n" localSheetId="127">#REF!</definedName>
    <definedName name="_4490_n" localSheetId="118">#REF!</definedName>
    <definedName name="_4490_n" localSheetId="125">#REF!</definedName>
    <definedName name="_4490_n" localSheetId="122">#REF!</definedName>
    <definedName name="_4490_n" localSheetId="16">#REF!</definedName>
    <definedName name="_4490_n" localSheetId="46">#REF!</definedName>
    <definedName name="_4490_n" localSheetId="139">#REF!</definedName>
    <definedName name="_4490_n" localSheetId="47">#REF!</definedName>
    <definedName name="_4490_n">#REF!</definedName>
    <definedName name="_4491_00" localSheetId="127">#REF!</definedName>
    <definedName name="_4491_00" localSheetId="118">#REF!</definedName>
    <definedName name="_4491_00" localSheetId="125">#REF!</definedName>
    <definedName name="_4491_00" localSheetId="122">#REF!</definedName>
    <definedName name="_4491_00" localSheetId="16">#REF!</definedName>
    <definedName name="_4491_00" localSheetId="46">#REF!</definedName>
    <definedName name="_4491_00" localSheetId="139">#REF!</definedName>
    <definedName name="_4491_00" localSheetId="47">#REF!</definedName>
    <definedName name="_4491_00">#REF!</definedName>
    <definedName name="_4491_01" localSheetId="127">#REF!</definedName>
    <definedName name="_4491_01" localSheetId="118">#REF!</definedName>
    <definedName name="_4491_01" localSheetId="125">#REF!</definedName>
    <definedName name="_4491_01" localSheetId="122">#REF!</definedName>
    <definedName name="_4491_01" localSheetId="16">#REF!</definedName>
    <definedName name="_4491_01" localSheetId="46">#REF!</definedName>
    <definedName name="_4491_01" localSheetId="139">#REF!</definedName>
    <definedName name="_4491_01" localSheetId="47">#REF!</definedName>
    <definedName name="_4491_01">#REF!</definedName>
    <definedName name="_4491_n" localSheetId="127">#REF!</definedName>
    <definedName name="_4491_n" localSheetId="118">#REF!</definedName>
    <definedName name="_4491_n" localSheetId="125">#REF!</definedName>
    <definedName name="_4491_n" localSheetId="122">#REF!</definedName>
    <definedName name="_4491_n" localSheetId="16">#REF!</definedName>
    <definedName name="_4491_n" localSheetId="46">#REF!</definedName>
    <definedName name="_4491_n" localSheetId="139">#REF!</definedName>
    <definedName name="_4491_n" localSheetId="47">#REF!</definedName>
    <definedName name="_4491_n">#REF!</definedName>
    <definedName name="_4500_n" localSheetId="127">#REF!</definedName>
    <definedName name="_4500_n" localSheetId="118">#REF!</definedName>
    <definedName name="_4500_n" localSheetId="125">#REF!</definedName>
    <definedName name="_4500_n" localSheetId="122">#REF!</definedName>
    <definedName name="_4500_n" localSheetId="16">#REF!</definedName>
    <definedName name="_4500_n" localSheetId="46">#REF!</definedName>
    <definedName name="_4500_n" localSheetId="139">#REF!</definedName>
    <definedName name="_4500_n" localSheetId="47">#REF!</definedName>
    <definedName name="_4500_n">#REF!</definedName>
    <definedName name="_4510_00" localSheetId="127">#REF!</definedName>
    <definedName name="_4510_00" localSheetId="118">#REF!</definedName>
    <definedName name="_4510_00" localSheetId="125">#REF!</definedName>
    <definedName name="_4510_00" localSheetId="122">#REF!</definedName>
    <definedName name="_4510_00" localSheetId="16">#REF!</definedName>
    <definedName name="_4510_00" localSheetId="46">#REF!</definedName>
    <definedName name="_4510_00" localSheetId="139">#REF!</definedName>
    <definedName name="_4510_00" localSheetId="47">#REF!</definedName>
    <definedName name="_4510_00">#REF!</definedName>
    <definedName name="_4510_01" localSheetId="127">#REF!</definedName>
    <definedName name="_4510_01" localSheetId="118">#REF!</definedName>
    <definedName name="_4510_01" localSheetId="125">#REF!</definedName>
    <definedName name="_4510_01" localSheetId="122">#REF!</definedName>
    <definedName name="_4510_01" localSheetId="16">#REF!</definedName>
    <definedName name="_4510_01" localSheetId="46">#REF!</definedName>
    <definedName name="_4510_01" localSheetId="139">#REF!</definedName>
    <definedName name="_4510_01" localSheetId="47">#REF!</definedName>
    <definedName name="_4510_01">#REF!</definedName>
    <definedName name="_4510_n" localSheetId="127">#REF!</definedName>
    <definedName name="_4510_n" localSheetId="118">#REF!</definedName>
    <definedName name="_4510_n" localSheetId="125">#REF!</definedName>
    <definedName name="_4510_n" localSheetId="122">#REF!</definedName>
    <definedName name="_4510_n" localSheetId="16">#REF!</definedName>
    <definedName name="_4510_n" localSheetId="46">#REF!</definedName>
    <definedName name="_4510_n" localSheetId="139">#REF!</definedName>
    <definedName name="_4510_n" localSheetId="47">#REF!</definedName>
    <definedName name="_4510_n">#REF!</definedName>
    <definedName name="_4530_00" localSheetId="127">#REF!</definedName>
    <definedName name="_4530_00" localSheetId="118">#REF!</definedName>
    <definedName name="_4530_00" localSheetId="125">#REF!</definedName>
    <definedName name="_4530_00" localSheetId="122">#REF!</definedName>
    <definedName name="_4530_00" localSheetId="16">#REF!</definedName>
    <definedName name="_4530_00" localSheetId="46">#REF!</definedName>
    <definedName name="_4530_00" localSheetId="139">#REF!</definedName>
    <definedName name="_4530_00" localSheetId="47">#REF!</definedName>
    <definedName name="_4530_00">#REF!</definedName>
    <definedName name="_4530_01" localSheetId="127">#REF!</definedName>
    <definedName name="_4530_01" localSheetId="118">#REF!</definedName>
    <definedName name="_4530_01" localSheetId="125">#REF!</definedName>
    <definedName name="_4530_01" localSheetId="122">#REF!</definedName>
    <definedName name="_4530_01" localSheetId="16">#REF!</definedName>
    <definedName name="_4530_01" localSheetId="46">#REF!</definedName>
    <definedName name="_4530_01" localSheetId="139">#REF!</definedName>
    <definedName name="_4530_01" localSheetId="47">#REF!</definedName>
    <definedName name="_4530_01">#REF!</definedName>
    <definedName name="_4530_n" localSheetId="127">#REF!</definedName>
    <definedName name="_4530_n" localSheetId="118">#REF!</definedName>
    <definedName name="_4530_n" localSheetId="125">#REF!</definedName>
    <definedName name="_4530_n" localSheetId="122">#REF!</definedName>
    <definedName name="_4530_n" localSheetId="16">#REF!</definedName>
    <definedName name="_4530_n" localSheetId="46">#REF!</definedName>
    <definedName name="_4530_n" localSheetId="139">#REF!</definedName>
    <definedName name="_4530_n" localSheetId="47">#REF!</definedName>
    <definedName name="_4530_n">#REF!</definedName>
    <definedName name="_4600_n" localSheetId="127">#REF!</definedName>
    <definedName name="_4600_n" localSheetId="118">#REF!</definedName>
    <definedName name="_4600_n" localSheetId="125">#REF!</definedName>
    <definedName name="_4600_n" localSheetId="122">#REF!</definedName>
    <definedName name="_4600_n" localSheetId="16">#REF!</definedName>
    <definedName name="_4600_n" localSheetId="46">#REF!</definedName>
    <definedName name="_4600_n" localSheetId="139">#REF!</definedName>
    <definedName name="_4600_n" localSheetId="47">#REF!</definedName>
    <definedName name="_4600_n">#REF!</definedName>
    <definedName name="_4601_00" localSheetId="127">#REF!</definedName>
    <definedName name="_4601_00" localSheetId="118">#REF!</definedName>
    <definedName name="_4601_00" localSheetId="125">#REF!</definedName>
    <definedName name="_4601_00" localSheetId="122">#REF!</definedName>
    <definedName name="_4601_00" localSheetId="16">#REF!</definedName>
    <definedName name="_4601_00" localSheetId="46">#REF!</definedName>
    <definedName name="_4601_00" localSheetId="139">#REF!</definedName>
    <definedName name="_4601_00" localSheetId="47">#REF!</definedName>
    <definedName name="_4601_00">#REF!</definedName>
    <definedName name="_4601_01" localSheetId="127">#REF!</definedName>
    <definedName name="_4601_01" localSheetId="118">#REF!</definedName>
    <definedName name="_4601_01" localSheetId="125">#REF!</definedName>
    <definedName name="_4601_01" localSheetId="122">#REF!</definedName>
    <definedName name="_4601_01" localSheetId="16">#REF!</definedName>
    <definedName name="_4601_01" localSheetId="46">#REF!</definedName>
    <definedName name="_4601_01" localSheetId="139">#REF!</definedName>
    <definedName name="_4601_01" localSheetId="47">#REF!</definedName>
    <definedName name="_4601_01">#REF!</definedName>
    <definedName name="_4601_n" localSheetId="127">#REF!</definedName>
    <definedName name="_4601_n" localSheetId="118">#REF!</definedName>
    <definedName name="_4601_n" localSheetId="125">#REF!</definedName>
    <definedName name="_4601_n" localSheetId="122">#REF!</definedName>
    <definedName name="_4601_n" localSheetId="16">#REF!</definedName>
    <definedName name="_4601_n" localSheetId="46">#REF!</definedName>
    <definedName name="_4601_n" localSheetId="139">#REF!</definedName>
    <definedName name="_4601_n" localSheetId="47">#REF!</definedName>
    <definedName name="_4601_n">#REF!</definedName>
    <definedName name="_4603_00" localSheetId="127">#REF!</definedName>
    <definedName name="_4603_00" localSheetId="118">#REF!</definedName>
    <definedName name="_4603_00" localSheetId="125">#REF!</definedName>
    <definedName name="_4603_00" localSheetId="122">#REF!</definedName>
    <definedName name="_4603_00" localSheetId="16">#REF!</definedName>
    <definedName name="_4603_00" localSheetId="46">#REF!</definedName>
    <definedName name="_4603_00" localSheetId="139">#REF!</definedName>
    <definedName name="_4603_00" localSheetId="47">#REF!</definedName>
    <definedName name="_4603_00">#REF!</definedName>
    <definedName name="_4603_01" localSheetId="127">#REF!</definedName>
    <definedName name="_4603_01" localSheetId="118">#REF!</definedName>
    <definedName name="_4603_01" localSheetId="125">#REF!</definedName>
    <definedName name="_4603_01" localSheetId="122">#REF!</definedName>
    <definedName name="_4603_01" localSheetId="16">#REF!</definedName>
    <definedName name="_4603_01" localSheetId="46">#REF!</definedName>
    <definedName name="_4603_01" localSheetId="139">#REF!</definedName>
    <definedName name="_4603_01" localSheetId="47">#REF!</definedName>
    <definedName name="_4603_01">#REF!</definedName>
    <definedName name="_4603_n" localSheetId="127">#REF!</definedName>
    <definedName name="_4603_n" localSheetId="118">#REF!</definedName>
    <definedName name="_4603_n" localSheetId="125">#REF!</definedName>
    <definedName name="_4603_n" localSheetId="122">#REF!</definedName>
    <definedName name="_4603_n" localSheetId="16">#REF!</definedName>
    <definedName name="_4603_n" localSheetId="46">#REF!</definedName>
    <definedName name="_4603_n" localSheetId="139">#REF!</definedName>
    <definedName name="_4603_n" localSheetId="47">#REF!</definedName>
    <definedName name="_4603_n">#REF!</definedName>
    <definedName name="_4604_00" localSheetId="127">#REF!</definedName>
    <definedName name="_4604_00" localSheetId="118">#REF!</definedName>
    <definedName name="_4604_00" localSheetId="125">#REF!</definedName>
    <definedName name="_4604_00" localSheetId="122">#REF!</definedName>
    <definedName name="_4604_00" localSheetId="16">#REF!</definedName>
    <definedName name="_4604_00" localSheetId="46">#REF!</definedName>
    <definedName name="_4604_00" localSheetId="139">#REF!</definedName>
    <definedName name="_4604_00" localSheetId="47">#REF!</definedName>
    <definedName name="_4604_00">#REF!</definedName>
    <definedName name="_4604_01" localSheetId="127">#REF!</definedName>
    <definedName name="_4604_01" localSheetId="118">#REF!</definedName>
    <definedName name="_4604_01" localSheetId="125">#REF!</definedName>
    <definedName name="_4604_01" localSheetId="122">#REF!</definedName>
    <definedName name="_4604_01" localSheetId="16">#REF!</definedName>
    <definedName name="_4604_01" localSheetId="46">#REF!</definedName>
    <definedName name="_4604_01" localSheetId="139">#REF!</definedName>
    <definedName name="_4604_01" localSheetId="47">#REF!</definedName>
    <definedName name="_4604_01">#REF!</definedName>
    <definedName name="_4604_n" localSheetId="127">#REF!</definedName>
    <definedName name="_4604_n" localSheetId="118">#REF!</definedName>
    <definedName name="_4604_n" localSheetId="125">#REF!</definedName>
    <definedName name="_4604_n" localSheetId="122">#REF!</definedName>
    <definedName name="_4604_n" localSheetId="16">#REF!</definedName>
    <definedName name="_4604_n" localSheetId="46">#REF!</definedName>
    <definedName name="_4604_n" localSheetId="139">#REF!</definedName>
    <definedName name="_4604_n" localSheetId="47">#REF!</definedName>
    <definedName name="_4604_n">#REF!</definedName>
    <definedName name="_4606_00" localSheetId="127">#REF!</definedName>
    <definedName name="_4606_00" localSheetId="118">#REF!</definedName>
    <definedName name="_4606_00" localSheetId="125">#REF!</definedName>
    <definedName name="_4606_00" localSheetId="122">#REF!</definedName>
    <definedName name="_4606_00" localSheetId="16">#REF!</definedName>
    <definedName name="_4606_00" localSheetId="46">#REF!</definedName>
    <definedName name="_4606_00" localSheetId="139">#REF!</definedName>
    <definedName name="_4606_00" localSheetId="47">#REF!</definedName>
    <definedName name="_4606_00">#REF!</definedName>
    <definedName name="_4606_01" localSheetId="127">#REF!</definedName>
    <definedName name="_4606_01" localSheetId="118">#REF!</definedName>
    <definedName name="_4606_01" localSheetId="125">#REF!</definedName>
    <definedName name="_4606_01" localSheetId="122">#REF!</definedName>
    <definedName name="_4606_01" localSheetId="16">#REF!</definedName>
    <definedName name="_4606_01" localSheetId="46">#REF!</definedName>
    <definedName name="_4606_01" localSheetId="139">#REF!</definedName>
    <definedName name="_4606_01" localSheetId="47">#REF!</definedName>
    <definedName name="_4606_01">#REF!</definedName>
    <definedName name="_4606_n" localSheetId="127">#REF!</definedName>
    <definedName name="_4606_n" localSheetId="118">#REF!</definedName>
    <definedName name="_4606_n" localSheetId="125">#REF!</definedName>
    <definedName name="_4606_n" localSheetId="122">#REF!</definedName>
    <definedName name="_4606_n" localSheetId="16">#REF!</definedName>
    <definedName name="_4606_n" localSheetId="46">#REF!</definedName>
    <definedName name="_4606_n" localSheetId="139">#REF!</definedName>
    <definedName name="_4606_n" localSheetId="47">#REF!</definedName>
    <definedName name="_4606_n">#REF!</definedName>
    <definedName name="_4607_00" localSheetId="127">#REF!</definedName>
    <definedName name="_4607_00" localSheetId="118">#REF!</definedName>
    <definedName name="_4607_00" localSheetId="125">#REF!</definedName>
    <definedName name="_4607_00" localSheetId="122">#REF!</definedName>
    <definedName name="_4607_00" localSheetId="16">#REF!</definedName>
    <definedName name="_4607_00" localSheetId="46">#REF!</definedName>
    <definedName name="_4607_00" localSheetId="139">#REF!</definedName>
    <definedName name="_4607_00" localSheetId="47">#REF!</definedName>
    <definedName name="_4607_00">#REF!</definedName>
    <definedName name="_4607_01" localSheetId="127">#REF!</definedName>
    <definedName name="_4607_01" localSheetId="118">#REF!</definedName>
    <definedName name="_4607_01" localSheetId="125">#REF!</definedName>
    <definedName name="_4607_01" localSheetId="122">#REF!</definedName>
    <definedName name="_4607_01" localSheetId="16">#REF!</definedName>
    <definedName name="_4607_01" localSheetId="46">#REF!</definedName>
    <definedName name="_4607_01" localSheetId="139">#REF!</definedName>
    <definedName name="_4607_01" localSheetId="47">#REF!</definedName>
    <definedName name="_4607_01">#REF!</definedName>
    <definedName name="_4607_n" localSheetId="127">#REF!</definedName>
    <definedName name="_4607_n" localSheetId="118">#REF!</definedName>
    <definedName name="_4607_n" localSheetId="125">#REF!</definedName>
    <definedName name="_4607_n" localSheetId="122">#REF!</definedName>
    <definedName name="_4607_n" localSheetId="16">#REF!</definedName>
    <definedName name="_4607_n" localSheetId="46">#REF!</definedName>
    <definedName name="_4607_n" localSheetId="139">#REF!</definedName>
    <definedName name="_4607_n" localSheetId="47">#REF!</definedName>
    <definedName name="_4607_n">#REF!</definedName>
    <definedName name="_4608_00" localSheetId="127">#REF!</definedName>
    <definedName name="_4608_00" localSheetId="118">#REF!</definedName>
    <definedName name="_4608_00" localSheetId="125">#REF!</definedName>
    <definedName name="_4608_00" localSheetId="122">#REF!</definedName>
    <definedName name="_4608_00" localSheetId="16">#REF!</definedName>
    <definedName name="_4608_00" localSheetId="46">#REF!</definedName>
    <definedName name="_4608_00" localSheetId="139">#REF!</definedName>
    <definedName name="_4608_00" localSheetId="47">#REF!</definedName>
    <definedName name="_4608_00">#REF!</definedName>
    <definedName name="_4608_01" localSheetId="127">#REF!</definedName>
    <definedName name="_4608_01" localSheetId="118">#REF!</definedName>
    <definedName name="_4608_01" localSheetId="125">#REF!</definedName>
    <definedName name="_4608_01" localSheetId="122">#REF!</definedName>
    <definedName name="_4608_01" localSheetId="16">#REF!</definedName>
    <definedName name="_4608_01" localSheetId="46">#REF!</definedName>
    <definedName name="_4608_01" localSheetId="139">#REF!</definedName>
    <definedName name="_4608_01" localSheetId="47">#REF!</definedName>
    <definedName name="_4608_01">#REF!</definedName>
    <definedName name="_4608_n" localSheetId="127">#REF!</definedName>
    <definedName name="_4608_n" localSheetId="118">#REF!</definedName>
    <definedName name="_4608_n" localSheetId="125">#REF!</definedName>
    <definedName name="_4608_n" localSheetId="122">#REF!</definedName>
    <definedName name="_4608_n" localSheetId="16">#REF!</definedName>
    <definedName name="_4608_n" localSheetId="46">#REF!</definedName>
    <definedName name="_4608_n" localSheetId="139">#REF!</definedName>
    <definedName name="_4608_n" localSheetId="47">#REF!</definedName>
    <definedName name="_4608_n">#REF!</definedName>
    <definedName name="_4700_n" localSheetId="127">#REF!</definedName>
    <definedName name="_4700_n" localSheetId="118">#REF!</definedName>
    <definedName name="_4700_n" localSheetId="125">#REF!</definedName>
    <definedName name="_4700_n" localSheetId="122">#REF!</definedName>
    <definedName name="_4700_n" localSheetId="16">#REF!</definedName>
    <definedName name="_4700_n" localSheetId="46">#REF!</definedName>
    <definedName name="_4700_n" localSheetId="139">#REF!</definedName>
    <definedName name="_4700_n" localSheetId="47">#REF!</definedName>
    <definedName name="_4700_n">#REF!</definedName>
    <definedName name="_4703_00" localSheetId="127">#REF!</definedName>
    <definedName name="_4703_00" localSheetId="118">#REF!</definedName>
    <definedName name="_4703_00" localSheetId="125">#REF!</definedName>
    <definedName name="_4703_00" localSheetId="122">#REF!</definedName>
    <definedName name="_4703_00" localSheetId="16">#REF!</definedName>
    <definedName name="_4703_00" localSheetId="46">#REF!</definedName>
    <definedName name="_4703_00" localSheetId="139">#REF!</definedName>
    <definedName name="_4703_00" localSheetId="47">#REF!</definedName>
    <definedName name="_4703_00">#REF!</definedName>
    <definedName name="_4703_01" localSheetId="127">#REF!</definedName>
    <definedName name="_4703_01" localSheetId="118">#REF!</definedName>
    <definedName name="_4703_01" localSheetId="125">#REF!</definedName>
    <definedName name="_4703_01" localSheetId="122">#REF!</definedName>
    <definedName name="_4703_01" localSheetId="16">#REF!</definedName>
    <definedName name="_4703_01" localSheetId="46">#REF!</definedName>
    <definedName name="_4703_01" localSheetId="139">#REF!</definedName>
    <definedName name="_4703_01" localSheetId="47">#REF!</definedName>
    <definedName name="_4703_01">#REF!</definedName>
    <definedName name="_4703_n" localSheetId="127">#REF!</definedName>
    <definedName name="_4703_n" localSheetId="118">#REF!</definedName>
    <definedName name="_4703_n" localSheetId="125">#REF!</definedName>
    <definedName name="_4703_n" localSheetId="122">#REF!</definedName>
    <definedName name="_4703_n" localSheetId="16">#REF!</definedName>
    <definedName name="_4703_n" localSheetId="46">#REF!</definedName>
    <definedName name="_4703_n" localSheetId="139">#REF!</definedName>
    <definedName name="_4703_n" localSheetId="47">#REF!</definedName>
    <definedName name="_4703_n">#REF!</definedName>
    <definedName name="_4706_00" localSheetId="127">#REF!</definedName>
    <definedName name="_4706_00" localSheetId="118">#REF!</definedName>
    <definedName name="_4706_00" localSheetId="125">#REF!</definedName>
    <definedName name="_4706_00" localSheetId="122">#REF!</definedName>
    <definedName name="_4706_00" localSheetId="16">#REF!</definedName>
    <definedName name="_4706_00" localSheetId="46">#REF!</definedName>
    <definedName name="_4706_00" localSheetId="139">#REF!</definedName>
    <definedName name="_4706_00" localSheetId="47">#REF!</definedName>
    <definedName name="_4706_00">#REF!</definedName>
    <definedName name="_4706_01" localSheetId="127">#REF!</definedName>
    <definedName name="_4706_01" localSheetId="118">#REF!</definedName>
    <definedName name="_4706_01" localSheetId="125">#REF!</definedName>
    <definedName name="_4706_01" localSheetId="122">#REF!</definedName>
    <definedName name="_4706_01" localSheetId="16">#REF!</definedName>
    <definedName name="_4706_01" localSheetId="46">#REF!</definedName>
    <definedName name="_4706_01" localSheetId="139">#REF!</definedName>
    <definedName name="_4706_01" localSheetId="47">#REF!</definedName>
    <definedName name="_4706_01">#REF!</definedName>
    <definedName name="_4706_n" localSheetId="127">#REF!</definedName>
    <definedName name="_4706_n" localSheetId="118">#REF!</definedName>
    <definedName name="_4706_n" localSheetId="125">#REF!</definedName>
    <definedName name="_4706_n" localSheetId="122">#REF!</definedName>
    <definedName name="_4706_n" localSheetId="16">#REF!</definedName>
    <definedName name="_4706_n" localSheetId="46">#REF!</definedName>
    <definedName name="_4706_n" localSheetId="139">#REF!</definedName>
    <definedName name="_4706_n" localSheetId="47">#REF!</definedName>
    <definedName name="_4706_n">#REF!</definedName>
    <definedName name="_4800_n" localSheetId="127">#REF!</definedName>
    <definedName name="_4800_n" localSheetId="118">#REF!</definedName>
    <definedName name="_4800_n" localSheetId="125">#REF!</definedName>
    <definedName name="_4800_n" localSheetId="122">#REF!</definedName>
    <definedName name="_4800_n" localSheetId="16">#REF!</definedName>
    <definedName name="_4800_n" localSheetId="46">#REF!</definedName>
    <definedName name="_4800_n" localSheetId="139">#REF!</definedName>
    <definedName name="_4800_n" localSheetId="47">#REF!</definedName>
    <definedName name="_4800_n">#REF!</definedName>
    <definedName name="_4801_00" localSheetId="127">#REF!</definedName>
    <definedName name="_4801_00" localSheetId="118">#REF!</definedName>
    <definedName name="_4801_00" localSheetId="125">#REF!</definedName>
    <definedName name="_4801_00" localSheetId="122">#REF!</definedName>
    <definedName name="_4801_00" localSheetId="16">#REF!</definedName>
    <definedName name="_4801_00" localSheetId="46">#REF!</definedName>
    <definedName name="_4801_00" localSheetId="139">#REF!</definedName>
    <definedName name="_4801_00" localSheetId="47">#REF!</definedName>
    <definedName name="_4801_00">#REF!</definedName>
    <definedName name="_4801_01" localSheetId="127">#REF!</definedName>
    <definedName name="_4801_01" localSheetId="118">#REF!</definedName>
    <definedName name="_4801_01" localSheetId="125">#REF!</definedName>
    <definedName name="_4801_01" localSheetId="122">#REF!</definedName>
    <definedName name="_4801_01" localSheetId="16">#REF!</definedName>
    <definedName name="_4801_01" localSheetId="46">#REF!</definedName>
    <definedName name="_4801_01" localSheetId="139">#REF!</definedName>
    <definedName name="_4801_01" localSheetId="47">#REF!</definedName>
    <definedName name="_4801_01">#REF!</definedName>
    <definedName name="_4801_n" localSheetId="127">#REF!</definedName>
    <definedName name="_4801_n" localSheetId="118">#REF!</definedName>
    <definedName name="_4801_n" localSheetId="125">#REF!</definedName>
    <definedName name="_4801_n" localSheetId="122">#REF!</definedName>
    <definedName name="_4801_n" localSheetId="16">#REF!</definedName>
    <definedName name="_4801_n" localSheetId="46">#REF!</definedName>
    <definedName name="_4801_n" localSheetId="139">#REF!</definedName>
    <definedName name="_4801_n" localSheetId="47">#REF!</definedName>
    <definedName name="_4801_n">#REF!</definedName>
    <definedName name="_4802_00" localSheetId="127">#REF!</definedName>
    <definedName name="_4802_00" localSheetId="118">#REF!</definedName>
    <definedName name="_4802_00" localSheetId="125">#REF!</definedName>
    <definedName name="_4802_00" localSheetId="122">#REF!</definedName>
    <definedName name="_4802_00" localSheetId="16">#REF!</definedName>
    <definedName name="_4802_00" localSheetId="46">#REF!</definedName>
    <definedName name="_4802_00" localSheetId="139">#REF!</definedName>
    <definedName name="_4802_00" localSheetId="47">#REF!</definedName>
    <definedName name="_4802_00">#REF!</definedName>
    <definedName name="_4802_01" localSheetId="127">#REF!</definedName>
    <definedName name="_4802_01" localSheetId="118">#REF!</definedName>
    <definedName name="_4802_01" localSheetId="125">#REF!</definedName>
    <definedName name="_4802_01" localSheetId="122">#REF!</definedName>
    <definedName name="_4802_01" localSheetId="16">#REF!</definedName>
    <definedName name="_4802_01" localSheetId="46">#REF!</definedName>
    <definedName name="_4802_01" localSheetId="139">#REF!</definedName>
    <definedName name="_4802_01" localSheetId="47">#REF!</definedName>
    <definedName name="_4802_01">#REF!</definedName>
    <definedName name="_4802_n" localSheetId="127">#REF!</definedName>
    <definedName name="_4802_n" localSheetId="118">#REF!</definedName>
    <definedName name="_4802_n" localSheetId="125">#REF!</definedName>
    <definedName name="_4802_n" localSheetId="122">#REF!</definedName>
    <definedName name="_4802_n" localSheetId="16">#REF!</definedName>
    <definedName name="_4802_n" localSheetId="46">#REF!</definedName>
    <definedName name="_4802_n" localSheetId="139">#REF!</definedName>
    <definedName name="_4802_n" localSheetId="47">#REF!</definedName>
    <definedName name="_4802_n">#REF!</definedName>
    <definedName name="_4850_00" localSheetId="127">#REF!</definedName>
    <definedName name="_4850_00" localSheetId="118">#REF!</definedName>
    <definedName name="_4850_00" localSheetId="125">#REF!</definedName>
    <definedName name="_4850_00" localSheetId="122">#REF!</definedName>
    <definedName name="_4850_00" localSheetId="16">#REF!</definedName>
    <definedName name="_4850_00" localSheetId="46">#REF!</definedName>
    <definedName name="_4850_00" localSheetId="139">#REF!</definedName>
    <definedName name="_4850_00" localSheetId="47">#REF!</definedName>
    <definedName name="_4850_00">#REF!</definedName>
    <definedName name="_4850_01" localSheetId="127">#REF!</definedName>
    <definedName name="_4850_01" localSheetId="118">#REF!</definedName>
    <definedName name="_4850_01" localSheetId="125">#REF!</definedName>
    <definedName name="_4850_01" localSheetId="122">#REF!</definedName>
    <definedName name="_4850_01" localSheetId="16">#REF!</definedName>
    <definedName name="_4850_01" localSheetId="46">#REF!</definedName>
    <definedName name="_4850_01" localSheetId="139">#REF!</definedName>
    <definedName name="_4850_01" localSheetId="47">#REF!</definedName>
    <definedName name="_4850_01">#REF!</definedName>
    <definedName name="_4850_n" localSheetId="127">#REF!</definedName>
    <definedName name="_4850_n" localSheetId="118">#REF!</definedName>
    <definedName name="_4850_n" localSheetId="125">#REF!</definedName>
    <definedName name="_4850_n" localSheetId="122">#REF!</definedName>
    <definedName name="_4850_n" localSheetId="16">#REF!</definedName>
    <definedName name="_4850_n" localSheetId="46">#REF!</definedName>
    <definedName name="_4850_n" localSheetId="139">#REF!</definedName>
    <definedName name="_4850_n" localSheetId="47">#REF!</definedName>
    <definedName name="_4850_n">#REF!</definedName>
    <definedName name="_4852_00" localSheetId="127">#REF!</definedName>
    <definedName name="_4852_00" localSheetId="118">#REF!</definedName>
    <definedName name="_4852_00" localSheetId="125">#REF!</definedName>
    <definedName name="_4852_00" localSheetId="122">#REF!</definedName>
    <definedName name="_4852_00" localSheetId="16">#REF!</definedName>
    <definedName name="_4852_00" localSheetId="46">#REF!</definedName>
    <definedName name="_4852_00" localSheetId="139">#REF!</definedName>
    <definedName name="_4852_00" localSheetId="47">#REF!</definedName>
    <definedName name="_4852_00">#REF!</definedName>
    <definedName name="_4852_01" localSheetId="127">#REF!</definedName>
    <definedName name="_4852_01" localSheetId="118">#REF!</definedName>
    <definedName name="_4852_01" localSheetId="125">#REF!</definedName>
    <definedName name="_4852_01" localSheetId="122">#REF!</definedName>
    <definedName name="_4852_01" localSheetId="16">#REF!</definedName>
    <definedName name="_4852_01" localSheetId="46">#REF!</definedName>
    <definedName name="_4852_01" localSheetId="139">#REF!</definedName>
    <definedName name="_4852_01" localSheetId="47">#REF!</definedName>
    <definedName name="_4852_01">#REF!</definedName>
    <definedName name="_4852_n" localSheetId="127">#REF!</definedName>
    <definedName name="_4852_n" localSheetId="118">#REF!</definedName>
    <definedName name="_4852_n" localSheetId="125">#REF!</definedName>
    <definedName name="_4852_n" localSheetId="122">#REF!</definedName>
    <definedName name="_4852_n" localSheetId="16">#REF!</definedName>
    <definedName name="_4852_n" localSheetId="46">#REF!</definedName>
    <definedName name="_4852_n" localSheetId="139">#REF!</definedName>
    <definedName name="_4852_n" localSheetId="47">#REF!</definedName>
    <definedName name="_4852_n">#REF!</definedName>
    <definedName name="_4900_00" localSheetId="127">#REF!</definedName>
    <definedName name="_4900_00" localSheetId="118">#REF!</definedName>
    <definedName name="_4900_00" localSheetId="125">#REF!</definedName>
    <definedName name="_4900_00" localSheetId="122">#REF!</definedName>
    <definedName name="_4900_00" localSheetId="16">#REF!</definedName>
    <definedName name="_4900_00" localSheetId="46">#REF!</definedName>
    <definedName name="_4900_00" localSheetId="139">#REF!</definedName>
    <definedName name="_4900_00" localSheetId="47">#REF!</definedName>
    <definedName name="_4900_00">#REF!</definedName>
    <definedName name="_4900_01" localSheetId="127">#REF!</definedName>
    <definedName name="_4900_01" localSheetId="118">#REF!</definedName>
    <definedName name="_4900_01" localSheetId="125">#REF!</definedName>
    <definedName name="_4900_01" localSheetId="122">#REF!</definedName>
    <definedName name="_4900_01" localSheetId="16">#REF!</definedName>
    <definedName name="_4900_01" localSheetId="46">#REF!</definedName>
    <definedName name="_4900_01" localSheetId="139">#REF!</definedName>
    <definedName name="_4900_01" localSheetId="47">#REF!</definedName>
    <definedName name="_4900_01">#REF!</definedName>
    <definedName name="_4900_n" localSheetId="127">#REF!</definedName>
    <definedName name="_4900_n" localSheetId="118">#REF!</definedName>
    <definedName name="_4900_n" localSheetId="125">#REF!</definedName>
    <definedName name="_4900_n" localSheetId="122">#REF!</definedName>
    <definedName name="_4900_n" localSheetId="16">#REF!</definedName>
    <definedName name="_4900_n" localSheetId="46">#REF!</definedName>
    <definedName name="_4900_n" localSheetId="139">#REF!</definedName>
    <definedName name="_4900_n" localSheetId="47">#REF!</definedName>
    <definedName name="_4900_n">#REF!</definedName>
    <definedName name="_4920_00" localSheetId="127">#REF!</definedName>
    <definedName name="_4920_00" localSheetId="118">#REF!</definedName>
    <definedName name="_4920_00" localSheetId="125">#REF!</definedName>
    <definedName name="_4920_00" localSheetId="122">#REF!</definedName>
    <definedName name="_4920_00" localSheetId="16">#REF!</definedName>
    <definedName name="_4920_00" localSheetId="46">#REF!</definedName>
    <definedName name="_4920_00" localSheetId="139">#REF!</definedName>
    <definedName name="_4920_00" localSheetId="47">#REF!</definedName>
    <definedName name="_4920_00">#REF!</definedName>
    <definedName name="_4920_01" localSheetId="127">#REF!</definedName>
    <definedName name="_4920_01" localSheetId="118">#REF!</definedName>
    <definedName name="_4920_01" localSheetId="125">#REF!</definedName>
    <definedName name="_4920_01" localSheetId="122">#REF!</definedName>
    <definedName name="_4920_01" localSheetId="16">#REF!</definedName>
    <definedName name="_4920_01" localSheetId="46">#REF!</definedName>
    <definedName name="_4920_01" localSheetId="139">#REF!</definedName>
    <definedName name="_4920_01" localSheetId="47">#REF!</definedName>
    <definedName name="_4920_01">#REF!</definedName>
    <definedName name="_4920_n" localSheetId="127">#REF!</definedName>
    <definedName name="_4920_n" localSheetId="118">#REF!</definedName>
    <definedName name="_4920_n" localSheetId="125">#REF!</definedName>
    <definedName name="_4920_n" localSheetId="122">#REF!</definedName>
    <definedName name="_4920_n" localSheetId="16">#REF!</definedName>
    <definedName name="_4920_n" localSheetId="46">#REF!</definedName>
    <definedName name="_4920_n" localSheetId="139">#REF!</definedName>
    <definedName name="_4920_n" localSheetId="47">#REF!</definedName>
    <definedName name="_4920_n">#REF!</definedName>
    <definedName name="_4921_00" localSheetId="127">#REF!</definedName>
    <definedName name="_4921_00" localSheetId="118">#REF!</definedName>
    <definedName name="_4921_00" localSheetId="125">#REF!</definedName>
    <definedName name="_4921_00" localSheetId="122">#REF!</definedName>
    <definedName name="_4921_00" localSheetId="16">#REF!</definedName>
    <definedName name="_4921_00" localSheetId="46">#REF!</definedName>
    <definedName name="_4921_00" localSheetId="139">#REF!</definedName>
    <definedName name="_4921_00" localSheetId="47">#REF!</definedName>
    <definedName name="_4921_00">#REF!</definedName>
    <definedName name="_4921_01" localSheetId="127">#REF!</definedName>
    <definedName name="_4921_01" localSheetId="118">#REF!</definedName>
    <definedName name="_4921_01" localSheetId="125">#REF!</definedName>
    <definedName name="_4921_01" localSheetId="122">#REF!</definedName>
    <definedName name="_4921_01" localSheetId="16">#REF!</definedName>
    <definedName name="_4921_01" localSheetId="46">#REF!</definedName>
    <definedName name="_4921_01" localSheetId="139">#REF!</definedName>
    <definedName name="_4921_01" localSheetId="47">#REF!</definedName>
    <definedName name="_4921_01">#REF!</definedName>
    <definedName name="_4921_n" localSheetId="127">#REF!</definedName>
    <definedName name="_4921_n" localSheetId="118">#REF!</definedName>
    <definedName name="_4921_n" localSheetId="125">#REF!</definedName>
    <definedName name="_4921_n" localSheetId="122">#REF!</definedName>
    <definedName name="_4921_n" localSheetId="16">#REF!</definedName>
    <definedName name="_4921_n" localSheetId="46">#REF!</definedName>
    <definedName name="_4921_n" localSheetId="139">#REF!</definedName>
    <definedName name="_4921_n" localSheetId="47">#REF!</definedName>
    <definedName name="_4921_n">#REF!</definedName>
    <definedName name="_4922_00" localSheetId="127">#REF!</definedName>
    <definedName name="_4922_00" localSheetId="118">#REF!</definedName>
    <definedName name="_4922_00" localSheetId="125">#REF!</definedName>
    <definedName name="_4922_00" localSheetId="122">#REF!</definedName>
    <definedName name="_4922_00" localSheetId="16">#REF!</definedName>
    <definedName name="_4922_00" localSheetId="46">#REF!</definedName>
    <definedName name="_4922_00" localSheetId="139">#REF!</definedName>
    <definedName name="_4922_00" localSheetId="47">#REF!</definedName>
    <definedName name="_4922_00">#REF!</definedName>
    <definedName name="_4922_01" localSheetId="127">#REF!</definedName>
    <definedName name="_4922_01" localSheetId="118">#REF!</definedName>
    <definedName name="_4922_01" localSheetId="125">#REF!</definedName>
    <definedName name="_4922_01" localSheetId="122">#REF!</definedName>
    <definedName name="_4922_01" localSheetId="16">#REF!</definedName>
    <definedName name="_4922_01" localSheetId="46">#REF!</definedName>
    <definedName name="_4922_01" localSheetId="139">#REF!</definedName>
    <definedName name="_4922_01" localSheetId="47">#REF!</definedName>
    <definedName name="_4922_01">#REF!</definedName>
    <definedName name="_4922_n" localSheetId="127">#REF!</definedName>
    <definedName name="_4922_n" localSheetId="118">#REF!</definedName>
    <definedName name="_4922_n" localSheetId="125">#REF!</definedName>
    <definedName name="_4922_n" localSheetId="122">#REF!</definedName>
    <definedName name="_4922_n" localSheetId="16">#REF!</definedName>
    <definedName name="_4922_n" localSheetId="46">#REF!</definedName>
    <definedName name="_4922_n" localSheetId="139">#REF!</definedName>
    <definedName name="_4922_n" localSheetId="47">#REF!</definedName>
    <definedName name="_4922_n">#REF!</definedName>
    <definedName name="_4940_00" localSheetId="127">#REF!</definedName>
    <definedName name="_4940_00" localSheetId="118">#REF!</definedName>
    <definedName name="_4940_00" localSheetId="125">#REF!</definedName>
    <definedName name="_4940_00" localSheetId="122">#REF!</definedName>
    <definedName name="_4940_00" localSheetId="16">#REF!</definedName>
    <definedName name="_4940_00" localSheetId="46">#REF!</definedName>
    <definedName name="_4940_00" localSheetId="139">#REF!</definedName>
    <definedName name="_4940_00" localSheetId="47">#REF!</definedName>
    <definedName name="_4940_00">#REF!</definedName>
    <definedName name="_4940_01" localSheetId="127">#REF!</definedName>
    <definedName name="_4940_01" localSheetId="118">#REF!</definedName>
    <definedName name="_4940_01" localSheetId="125">#REF!</definedName>
    <definedName name="_4940_01" localSheetId="122">#REF!</definedName>
    <definedName name="_4940_01" localSheetId="16">#REF!</definedName>
    <definedName name="_4940_01" localSheetId="46">#REF!</definedName>
    <definedName name="_4940_01" localSheetId="139">#REF!</definedName>
    <definedName name="_4940_01" localSheetId="47">#REF!</definedName>
    <definedName name="_4940_01">#REF!</definedName>
    <definedName name="_4940_n" localSheetId="127">#REF!</definedName>
    <definedName name="_4940_n" localSheetId="118">#REF!</definedName>
    <definedName name="_4940_n" localSheetId="125">#REF!</definedName>
    <definedName name="_4940_n" localSheetId="122">#REF!</definedName>
    <definedName name="_4940_n" localSheetId="16">#REF!</definedName>
    <definedName name="_4940_n" localSheetId="46">#REF!</definedName>
    <definedName name="_4940_n" localSheetId="139">#REF!</definedName>
    <definedName name="_4940_n" localSheetId="47">#REF!</definedName>
    <definedName name="_4940_n">#REF!</definedName>
    <definedName name="_4942_00" localSheetId="127">#REF!</definedName>
    <definedName name="_4942_00" localSheetId="118">#REF!</definedName>
    <definedName name="_4942_00" localSheetId="125">#REF!</definedName>
    <definedName name="_4942_00" localSheetId="122">#REF!</definedName>
    <definedName name="_4942_00" localSheetId="16">#REF!</definedName>
    <definedName name="_4942_00" localSheetId="46">#REF!</definedName>
    <definedName name="_4942_00" localSheetId="139">#REF!</definedName>
    <definedName name="_4942_00" localSheetId="47">#REF!</definedName>
    <definedName name="_4942_00">#REF!</definedName>
    <definedName name="_4942_01" localSheetId="127">#REF!</definedName>
    <definedName name="_4942_01" localSheetId="118">#REF!</definedName>
    <definedName name="_4942_01" localSheetId="125">#REF!</definedName>
    <definedName name="_4942_01" localSheetId="122">#REF!</definedName>
    <definedName name="_4942_01" localSheetId="16">#REF!</definedName>
    <definedName name="_4942_01" localSheetId="46">#REF!</definedName>
    <definedName name="_4942_01" localSheetId="139">#REF!</definedName>
    <definedName name="_4942_01" localSheetId="47">#REF!</definedName>
    <definedName name="_4942_01">#REF!</definedName>
    <definedName name="_4942_n" localSheetId="127">#REF!</definedName>
    <definedName name="_4942_n" localSheetId="118">#REF!</definedName>
    <definedName name="_4942_n" localSheetId="125">#REF!</definedName>
    <definedName name="_4942_n" localSheetId="122">#REF!</definedName>
    <definedName name="_4942_n" localSheetId="16">#REF!</definedName>
    <definedName name="_4942_n" localSheetId="46">#REF!</definedName>
    <definedName name="_4942_n" localSheetId="139">#REF!</definedName>
    <definedName name="_4942_n" localSheetId="47">#REF!</definedName>
    <definedName name="_4942_n">#REF!</definedName>
    <definedName name="_5000" localSheetId="127">#REF!</definedName>
    <definedName name="_5000" localSheetId="118">#REF!</definedName>
    <definedName name="_5000" localSheetId="125">#REF!</definedName>
    <definedName name="_5000" localSheetId="122">#REF!</definedName>
    <definedName name="_5000" localSheetId="16">#REF!</definedName>
    <definedName name="_5000" localSheetId="46">#REF!</definedName>
    <definedName name="_5000" localSheetId="139">#REF!</definedName>
    <definedName name="_5000" localSheetId="47">#REF!</definedName>
    <definedName name="_5000">#REF!</definedName>
    <definedName name="_5000_00" localSheetId="127">#REF!</definedName>
    <definedName name="_5000_00" localSheetId="118">#REF!</definedName>
    <definedName name="_5000_00" localSheetId="125">#REF!</definedName>
    <definedName name="_5000_00" localSheetId="122">#REF!</definedName>
    <definedName name="_5000_00" localSheetId="16">#REF!</definedName>
    <definedName name="_5000_00" localSheetId="46">#REF!</definedName>
    <definedName name="_5000_00" localSheetId="139">#REF!</definedName>
    <definedName name="_5000_00" localSheetId="47">#REF!</definedName>
    <definedName name="_5000_00">#REF!</definedName>
    <definedName name="_5000_01" localSheetId="127">#REF!</definedName>
    <definedName name="_5000_01" localSheetId="118">#REF!</definedName>
    <definedName name="_5000_01" localSheetId="125">#REF!</definedName>
    <definedName name="_5000_01" localSheetId="122">#REF!</definedName>
    <definedName name="_5000_01" localSheetId="16">#REF!</definedName>
    <definedName name="_5000_01" localSheetId="46">#REF!</definedName>
    <definedName name="_5000_01" localSheetId="139">#REF!</definedName>
    <definedName name="_5000_01" localSheetId="47">#REF!</definedName>
    <definedName name="_5000_01">#REF!</definedName>
    <definedName name="_5000_n" localSheetId="127">#REF!</definedName>
    <definedName name="_5000_n" localSheetId="118">#REF!</definedName>
    <definedName name="_5000_n" localSheetId="125">#REF!</definedName>
    <definedName name="_5000_n" localSheetId="122">#REF!</definedName>
    <definedName name="_5000_n" localSheetId="16">#REF!</definedName>
    <definedName name="_5000_n" localSheetId="46">#REF!</definedName>
    <definedName name="_5000_n" localSheetId="139">#REF!</definedName>
    <definedName name="_5000_n" localSheetId="47">#REF!</definedName>
    <definedName name="_5000_n">#REF!</definedName>
    <definedName name="_5023_00" localSheetId="127">#REF!</definedName>
    <definedName name="_5023_00" localSheetId="118">#REF!</definedName>
    <definedName name="_5023_00" localSheetId="125">#REF!</definedName>
    <definedName name="_5023_00" localSheetId="122">#REF!</definedName>
    <definedName name="_5023_00" localSheetId="16">#REF!</definedName>
    <definedName name="_5023_00" localSheetId="46">#REF!</definedName>
    <definedName name="_5023_00" localSheetId="139">#REF!</definedName>
    <definedName name="_5023_00" localSheetId="47">#REF!</definedName>
    <definedName name="_5023_00">#REF!</definedName>
    <definedName name="_5023_01" localSheetId="127">#REF!</definedName>
    <definedName name="_5023_01" localSheetId="118">#REF!</definedName>
    <definedName name="_5023_01" localSheetId="125">#REF!</definedName>
    <definedName name="_5023_01" localSheetId="122">#REF!</definedName>
    <definedName name="_5023_01" localSheetId="16">#REF!</definedName>
    <definedName name="_5023_01" localSheetId="46">#REF!</definedName>
    <definedName name="_5023_01" localSheetId="139">#REF!</definedName>
    <definedName name="_5023_01" localSheetId="47">#REF!</definedName>
    <definedName name="_5023_01">#REF!</definedName>
    <definedName name="_5023_n" localSheetId="127">#REF!</definedName>
    <definedName name="_5023_n" localSheetId="118">#REF!</definedName>
    <definedName name="_5023_n" localSheetId="125">#REF!</definedName>
    <definedName name="_5023_n" localSheetId="122">#REF!</definedName>
    <definedName name="_5023_n" localSheetId="16">#REF!</definedName>
    <definedName name="_5023_n" localSheetId="46">#REF!</definedName>
    <definedName name="_5023_n" localSheetId="139">#REF!</definedName>
    <definedName name="_5023_n" localSheetId="47">#REF!</definedName>
    <definedName name="_5023_n">#REF!</definedName>
    <definedName name="_5054_00" localSheetId="127">#REF!</definedName>
    <definedName name="_5054_00" localSheetId="118">#REF!</definedName>
    <definedName name="_5054_00" localSheetId="125">#REF!</definedName>
    <definedName name="_5054_00" localSheetId="122">#REF!</definedName>
    <definedName name="_5054_00" localSheetId="16">#REF!</definedName>
    <definedName name="_5054_00" localSheetId="46">#REF!</definedName>
    <definedName name="_5054_00" localSheetId="139">#REF!</definedName>
    <definedName name="_5054_00" localSheetId="47">#REF!</definedName>
    <definedName name="_5054_00">#REF!</definedName>
    <definedName name="_5054_01" localSheetId="127">#REF!</definedName>
    <definedName name="_5054_01" localSheetId="118">#REF!</definedName>
    <definedName name="_5054_01" localSheetId="125">#REF!</definedName>
    <definedName name="_5054_01" localSheetId="122">#REF!</definedName>
    <definedName name="_5054_01" localSheetId="16">#REF!</definedName>
    <definedName name="_5054_01" localSheetId="46">#REF!</definedName>
    <definedName name="_5054_01" localSheetId="139">#REF!</definedName>
    <definedName name="_5054_01" localSheetId="47">#REF!</definedName>
    <definedName name="_5054_01">#REF!</definedName>
    <definedName name="_5054_n" localSheetId="127">#REF!</definedName>
    <definedName name="_5054_n" localSheetId="118">#REF!</definedName>
    <definedName name="_5054_n" localSheetId="125">#REF!</definedName>
    <definedName name="_5054_n" localSheetId="122">#REF!</definedName>
    <definedName name="_5054_n" localSheetId="16">#REF!</definedName>
    <definedName name="_5054_n" localSheetId="46">#REF!</definedName>
    <definedName name="_5054_n" localSheetId="139">#REF!</definedName>
    <definedName name="_5054_n" localSheetId="47">#REF!</definedName>
    <definedName name="_5054_n">#REF!</definedName>
    <definedName name="_5113_00" localSheetId="127">#REF!</definedName>
    <definedName name="_5113_00" localSheetId="118">#REF!</definedName>
    <definedName name="_5113_00" localSheetId="125">#REF!</definedName>
    <definedName name="_5113_00" localSheetId="122">#REF!</definedName>
    <definedName name="_5113_00" localSheetId="16">#REF!</definedName>
    <definedName name="_5113_00" localSheetId="46">#REF!</definedName>
    <definedName name="_5113_00" localSheetId="139">#REF!</definedName>
    <definedName name="_5113_00" localSheetId="47">#REF!</definedName>
    <definedName name="_5113_00">#REF!</definedName>
    <definedName name="_5113_01" localSheetId="127">#REF!</definedName>
    <definedName name="_5113_01" localSheetId="118">#REF!</definedName>
    <definedName name="_5113_01" localSheetId="125">#REF!</definedName>
    <definedName name="_5113_01" localSheetId="122">#REF!</definedName>
    <definedName name="_5113_01" localSheetId="16">#REF!</definedName>
    <definedName name="_5113_01" localSheetId="46">#REF!</definedName>
    <definedName name="_5113_01" localSheetId="139">#REF!</definedName>
    <definedName name="_5113_01" localSheetId="47">#REF!</definedName>
    <definedName name="_5113_01">#REF!</definedName>
    <definedName name="_5113_n" localSheetId="127">#REF!</definedName>
    <definedName name="_5113_n" localSheetId="118">#REF!</definedName>
    <definedName name="_5113_n" localSheetId="125">#REF!</definedName>
    <definedName name="_5113_n" localSheetId="122">#REF!</definedName>
    <definedName name="_5113_n" localSheetId="16">#REF!</definedName>
    <definedName name="_5113_n" localSheetId="46">#REF!</definedName>
    <definedName name="_5113_n" localSheetId="139">#REF!</definedName>
    <definedName name="_5113_n" localSheetId="47">#REF!</definedName>
    <definedName name="_5113_n">#REF!</definedName>
    <definedName name="_5120_00" localSheetId="127">#REF!</definedName>
    <definedName name="_5120_00" localSheetId="118">#REF!</definedName>
    <definedName name="_5120_00" localSheetId="125">#REF!</definedName>
    <definedName name="_5120_00" localSheetId="122">#REF!</definedName>
    <definedName name="_5120_00" localSheetId="16">#REF!</definedName>
    <definedName name="_5120_00" localSheetId="46">#REF!</definedName>
    <definedName name="_5120_00" localSheetId="139">#REF!</definedName>
    <definedName name="_5120_00" localSheetId="47">#REF!</definedName>
    <definedName name="_5120_00">#REF!</definedName>
    <definedName name="_5120_01" localSheetId="127">#REF!</definedName>
    <definedName name="_5120_01" localSheetId="118">#REF!</definedName>
    <definedName name="_5120_01" localSheetId="125">#REF!</definedName>
    <definedName name="_5120_01" localSheetId="122">#REF!</definedName>
    <definedName name="_5120_01" localSheetId="16">#REF!</definedName>
    <definedName name="_5120_01" localSheetId="46">#REF!</definedName>
    <definedName name="_5120_01" localSheetId="139">#REF!</definedName>
    <definedName name="_5120_01" localSheetId="47">#REF!</definedName>
    <definedName name="_5120_01">#REF!</definedName>
    <definedName name="_5120_n" localSheetId="127">#REF!</definedName>
    <definedName name="_5120_n" localSheetId="118">#REF!</definedName>
    <definedName name="_5120_n" localSheetId="125">#REF!</definedName>
    <definedName name="_5120_n" localSheetId="122">#REF!</definedName>
    <definedName name="_5120_n" localSheetId="16">#REF!</definedName>
    <definedName name="_5120_n" localSheetId="46">#REF!</definedName>
    <definedName name="_5120_n" localSheetId="139">#REF!</definedName>
    <definedName name="_5120_n" localSheetId="47">#REF!</definedName>
    <definedName name="_5120_n">#REF!</definedName>
    <definedName name="_5120n" localSheetId="127">#REF!</definedName>
    <definedName name="_5120n" localSheetId="118">#REF!</definedName>
    <definedName name="_5120n" localSheetId="125">#REF!</definedName>
    <definedName name="_5120n" localSheetId="122">#REF!</definedName>
    <definedName name="_5120n" localSheetId="16">#REF!</definedName>
    <definedName name="_5120n" localSheetId="46">#REF!</definedName>
    <definedName name="_5120n" localSheetId="139">#REF!</definedName>
    <definedName name="_5120n" localSheetId="47">#REF!</definedName>
    <definedName name="_5120n">#REF!</definedName>
    <definedName name="_5123_00" localSheetId="127">#REF!</definedName>
    <definedName name="_5123_00" localSheetId="118">#REF!</definedName>
    <definedName name="_5123_00" localSheetId="125">#REF!</definedName>
    <definedName name="_5123_00" localSheetId="122">#REF!</definedName>
    <definedName name="_5123_00" localSheetId="16">#REF!</definedName>
    <definedName name="_5123_00" localSheetId="46">#REF!</definedName>
    <definedName name="_5123_00" localSheetId="139">#REF!</definedName>
    <definedName name="_5123_00" localSheetId="47">#REF!</definedName>
    <definedName name="_5123_00">#REF!</definedName>
    <definedName name="_5123_01" localSheetId="127">#REF!</definedName>
    <definedName name="_5123_01" localSheetId="118">#REF!</definedName>
    <definedName name="_5123_01" localSheetId="125">#REF!</definedName>
    <definedName name="_5123_01" localSheetId="122">#REF!</definedName>
    <definedName name="_5123_01" localSheetId="16">#REF!</definedName>
    <definedName name="_5123_01" localSheetId="46">#REF!</definedName>
    <definedName name="_5123_01" localSheetId="139">#REF!</definedName>
    <definedName name="_5123_01" localSheetId="47">#REF!</definedName>
    <definedName name="_5123_01">#REF!</definedName>
    <definedName name="_5123_n" localSheetId="127">#REF!</definedName>
    <definedName name="_5123_n" localSheetId="118">#REF!</definedName>
    <definedName name="_5123_n" localSheetId="125">#REF!</definedName>
    <definedName name="_5123_n" localSheetId="122">#REF!</definedName>
    <definedName name="_5123_n" localSheetId="16">#REF!</definedName>
    <definedName name="_5123_n" localSheetId="46">#REF!</definedName>
    <definedName name="_5123_n" localSheetId="139">#REF!</definedName>
    <definedName name="_5123_n" localSheetId="47">#REF!</definedName>
    <definedName name="_5123_n">#REF!</definedName>
    <definedName name="_5124_00" localSheetId="127">#REF!</definedName>
    <definedName name="_5124_00" localSheetId="118">#REF!</definedName>
    <definedName name="_5124_00" localSheetId="125">#REF!</definedName>
    <definedName name="_5124_00" localSheetId="122">#REF!</definedName>
    <definedName name="_5124_00" localSheetId="16">#REF!</definedName>
    <definedName name="_5124_00" localSheetId="46">#REF!</definedName>
    <definedName name="_5124_00" localSheetId="139">#REF!</definedName>
    <definedName name="_5124_00" localSheetId="47">#REF!</definedName>
    <definedName name="_5124_00">#REF!</definedName>
    <definedName name="_5124_01" localSheetId="127">#REF!</definedName>
    <definedName name="_5124_01" localSheetId="118">#REF!</definedName>
    <definedName name="_5124_01" localSheetId="125">#REF!</definedName>
    <definedName name="_5124_01" localSheetId="122">#REF!</definedName>
    <definedName name="_5124_01" localSheetId="16">#REF!</definedName>
    <definedName name="_5124_01" localSheetId="46">#REF!</definedName>
    <definedName name="_5124_01" localSheetId="139">#REF!</definedName>
    <definedName name="_5124_01" localSheetId="47">#REF!</definedName>
    <definedName name="_5124_01">#REF!</definedName>
    <definedName name="_5124_02" localSheetId="127">#REF!</definedName>
    <definedName name="_5124_02" localSheetId="118">#REF!</definedName>
    <definedName name="_5124_02" localSheetId="125">#REF!</definedName>
    <definedName name="_5124_02" localSheetId="122">#REF!</definedName>
    <definedName name="_5124_02" localSheetId="16">#REF!</definedName>
    <definedName name="_5124_02" localSheetId="46">#REF!</definedName>
    <definedName name="_5124_02" localSheetId="139">#REF!</definedName>
    <definedName name="_5124_02" localSheetId="47">#REF!</definedName>
    <definedName name="_5124_02">#REF!</definedName>
    <definedName name="_5124_n" localSheetId="127">#REF!</definedName>
    <definedName name="_5124_n" localSheetId="118">#REF!</definedName>
    <definedName name="_5124_n" localSheetId="125">#REF!</definedName>
    <definedName name="_5124_n" localSheetId="122">#REF!</definedName>
    <definedName name="_5124_n" localSheetId="16">#REF!</definedName>
    <definedName name="_5124_n" localSheetId="46">#REF!</definedName>
    <definedName name="_5124_n" localSheetId="139">#REF!</definedName>
    <definedName name="_5124_n" localSheetId="47">#REF!</definedName>
    <definedName name="_5124_n">#REF!</definedName>
    <definedName name="_5200_00" localSheetId="127">#REF!</definedName>
    <definedName name="_5200_00" localSheetId="118">#REF!</definedName>
    <definedName name="_5200_00" localSheetId="125">#REF!</definedName>
    <definedName name="_5200_00" localSheetId="122">#REF!</definedName>
    <definedName name="_5200_00" localSheetId="16">#REF!</definedName>
    <definedName name="_5200_00" localSheetId="46">#REF!</definedName>
    <definedName name="_5200_00" localSheetId="139">#REF!</definedName>
    <definedName name="_5200_00" localSheetId="47">#REF!</definedName>
    <definedName name="_5200_00">#REF!</definedName>
    <definedName name="_5200_01" localSheetId="127">#REF!</definedName>
    <definedName name="_5200_01" localSheetId="118">#REF!</definedName>
    <definedName name="_5200_01" localSheetId="125">#REF!</definedName>
    <definedName name="_5200_01" localSheetId="122">#REF!</definedName>
    <definedName name="_5200_01" localSheetId="16">#REF!</definedName>
    <definedName name="_5200_01" localSheetId="46">#REF!</definedName>
    <definedName name="_5200_01" localSheetId="139">#REF!</definedName>
    <definedName name="_5200_01" localSheetId="47">#REF!</definedName>
    <definedName name="_5200_01">#REF!</definedName>
    <definedName name="_5200_n" localSheetId="127">#REF!</definedName>
    <definedName name="_5200_n" localSheetId="118">#REF!</definedName>
    <definedName name="_5200_n" localSheetId="125">#REF!</definedName>
    <definedName name="_5200_n" localSheetId="122">#REF!</definedName>
    <definedName name="_5200_n" localSheetId="16">#REF!</definedName>
    <definedName name="_5200_n" localSheetId="46">#REF!</definedName>
    <definedName name="_5200_n" localSheetId="139">#REF!</definedName>
    <definedName name="_5200_n" localSheetId="47">#REF!</definedName>
    <definedName name="_5200_n">#REF!</definedName>
    <definedName name="_5203_00" localSheetId="127">#REF!</definedName>
    <definedName name="_5203_00" localSheetId="118">#REF!</definedName>
    <definedName name="_5203_00" localSheetId="125">#REF!</definedName>
    <definedName name="_5203_00" localSheetId="122">#REF!</definedName>
    <definedName name="_5203_00" localSheetId="16">#REF!</definedName>
    <definedName name="_5203_00" localSheetId="46">#REF!</definedName>
    <definedName name="_5203_00" localSheetId="139">#REF!</definedName>
    <definedName name="_5203_00" localSheetId="47">#REF!</definedName>
    <definedName name="_5203_00">#REF!</definedName>
    <definedName name="_5203_01" localSheetId="127">#REF!</definedName>
    <definedName name="_5203_01" localSheetId="118">#REF!</definedName>
    <definedName name="_5203_01" localSheetId="125">#REF!</definedName>
    <definedName name="_5203_01" localSheetId="122">#REF!</definedName>
    <definedName name="_5203_01" localSheetId="16">#REF!</definedName>
    <definedName name="_5203_01" localSheetId="46">#REF!</definedName>
    <definedName name="_5203_01" localSheetId="139">#REF!</definedName>
    <definedName name="_5203_01" localSheetId="47">#REF!</definedName>
    <definedName name="_5203_01">#REF!</definedName>
    <definedName name="_5203_n" localSheetId="127">#REF!</definedName>
    <definedName name="_5203_n" localSheetId="118">#REF!</definedName>
    <definedName name="_5203_n" localSheetId="125">#REF!</definedName>
    <definedName name="_5203_n" localSheetId="122">#REF!</definedName>
    <definedName name="_5203_n" localSheetId="16">#REF!</definedName>
    <definedName name="_5203_n" localSheetId="46">#REF!</definedName>
    <definedName name="_5203_n" localSheetId="139">#REF!</definedName>
    <definedName name="_5203_n" localSheetId="47">#REF!</definedName>
    <definedName name="_5203_n">#REF!</definedName>
    <definedName name="_5211_00" localSheetId="127">#REF!</definedName>
    <definedName name="_5211_00" localSheetId="118">#REF!</definedName>
    <definedName name="_5211_00" localSheetId="125">#REF!</definedName>
    <definedName name="_5211_00" localSheetId="122">#REF!</definedName>
    <definedName name="_5211_00" localSheetId="16">#REF!</definedName>
    <definedName name="_5211_00" localSheetId="46">#REF!</definedName>
    <definedName name="_5211_00" localSheetId="139">#REF!</definedName>
    <definedName name="_5211_00" localSheetId="47">#REF!</definedName>
    <definedName name="_5211_00">#REF!</definedName>
    <definedName name="_5211_01" localSheetId="127">#REF!</definedName>
    <definedName name="_5211_01" localSheetId="118">#REF!</definedName>
    <definedName name="_5211_01" localSheetId="125">#REF!</definedName>
    <definedName name="_5211_01" localSheetId="122">#REF!</definedName>
    <definedName name="_5211_01" localSheetId="16">#REF!</definedName>
    <definedName name="_5211_01" localSheetId="46">#REF!</definedName>
    <definedName name="_5211_01" localSheetId="139">#REF!</definedName>
    <definedName name="_5211_01" localSheetId="47">#REF!</definedName>
    <definedName name="_5211_01">#REF!</definedName>
    <definedName name="_5211_n" localSheetId="127">#REF!</definedName>
    <definedName name="_5211_n" localSheetId="118">#REF!</definedName>
    <definedName name="_5211_n" localSheetId="125">#REF!</definedName>
    <definedName name="_5211_n" localSheetId="122">#REF!</definedName>
    <definedName name="_5211_n" localSheetId="16">#REF!</definedName>
    <definedName name="_5211_n" localSheetId="46">#REF!</definedName>
    <definedName name="_5211_n" localSheetId="139">#REF!</definedName>
    <definedName name="_5211_n" localSheetId="47">#REF!</definedName>
    <definedName name="_5211_n">#REF!</definedName>
    <definedName name="_5215_00" localSheetId="127">#REF!</definedName>
    <definedName name="_5215_00" localSheetId="118">#REF!</definedName>
    <definedName name="_5215_00" localSheetId="125">#REF!</definedName>
    <definedName name="_5215_00" localSheetId="122">#REF!</definedName>
    <definedName name="_5215_00" localSheetId="16">#REF!</definedName>
    <definedName name="_5215_00" localSheetId="46">#REF!</definedName>
    <definedName name="_5215_00" localSheetId="139">#REF!</definedName>
    <definedName name="_5215_00" localSheetId="47">#REF!</definedName>
    <definedName name="_5215_00">#REF!</definedName>
    <definedName name="_5215_01" localSheetId="127">#REF!</definedName>
    <definedName name="_5215_01" localSheetId="118">#REF!</definedName>
    <definedName name="_5215_01" localSheetId="125">#REF!</definedName>
    <definedName name="_5215_01" localSheetId="122">#REF!</definedName>
    <definedName name="_5215_01" localSheetId="16">#REF!</definedName>
    <definedName name="_5215_01" localSheetId="46">#REF!</definedName>
    <definedName name="_5215_01" localSheetId="139">#REF!</definedName>
    <definedName name="_5215_01" localSheetId="47">#REF!</definedName>
    <definedName name="_5215_01">#REF!</definedName>
    <definedName name="_5215_n" localSheetId="127">#REF!</definedName>
    <definedName name="_5215_n" localSheetId="118">#REF!</definedName>
    <definedName name="_5215_n" localSheetId="125">#REF!</definedName>
    <definedName name="_5215_n" localSheetId="122">#REF!</definedName>
    <definedName name="_5215_n" localSheetId="16">#REF!</definedName>
    <definedName name="_5215_n" localSheetId="46">#REF!</definedName>
    <definedName name="_5215_n" localSheetId="139">#REF!</definedName>
    <definedName name="_5215_n" localSheetId="47">#REF!</definedName>
    <definedName name="_5215_n">#REF!</definedName>
    <definedName name="_5217_00" localSheetId="127">#REF!</definedName>
    <definedName name="_5217_00" localSheetId="118">#REF!</definedName>
    <definedName name="_5217_00" localSheetId="125">#REF!</definedName>
    <definedName name="_5217_00" localSheetId="122">#REF!</definedName>
    <definedName name="_5217_00" localSheetId="16">#REF!</definedName>
    <definedName name="_5217_00" localSheetId="46">#REF!</definedName>
    <definedName name="_5217_00" localSheetId="139">#REF!</definedName>
    <definedName name="_5217_00" localSheetId="47">#REF!</definedName>
    <definedName name="_5217_00">#REF!</definedName>
    <definedName name="_5217_01" localSheetId="127">#REF!</definedName>
    <definedName name="_5217_01" localSheetId="118">#REF!</definedName>
    <definedName name="_5217_01" localSheetId="125">#REF!</definedName>
    <definedName name="_5217_01" localSheetId="122">#REF!</definedName>
    <definedName name="_5217_01" localSheetId="16">#REF!</definedName>
    <definedName name="_5217_01" localSheetId="46">#REF!</definedName>
    <definedName name="_5217_01" localSheetId="139">#REF!</definedName>
    <definedName name="_5217_01" localSheetId="47">#REF!</definedName>
    <definedName name="_5217_01">#REF!</definedName>
    <definedName name="_5217_n" localSheetId="127">#REF!</definedName>
    <definedName name="_5217_n" localSheetId="118">#REF!</definedName>
    <definedName name="_5217_n" localSheetId="125">#REF!</definedName>
    <definedName name="_5217_n" localSheetId="122">#REF!</definedName>
    <definedName name="_5217_n" localSheetId="16">#REF!</definedName>
    <definedName name="_5217_n" localSheetId="46">#REF!</definedName>
    <definedName name="_5217_n" localSheetId="139">#REF!</definedName>
    <definedName name="_5217_n" localSheetId="47">#REF!</definedName>
    <definedName name="_5217_n">#REF!</definedName>
    <definedName name="_5223_00" localSheetId="127">#REF!</definedName>
    <definedName name="_5223_00" localSheetId="118">#REF!</definedName>
    <definedName name="_5223_00" localSheetId="125">#REF!</definedName>
    <definedName name="_5223_00" localSheetId="122">#REF!</definedName>
    <definedName name="_5223_00" localSheetId="16">#REF!</definedName>
    <definedName name="_5223_00" localSheetId="46">#REF!</definedName>
    <definedName name="_5223_00" localSheetId="139">#REF!</definedName>
    <definedName name="_5223_00" localSheetId="47">#REF!</definedName>
    <definedName name="_5223_00">#REF!</definedName>
    <definedName name="_5223_01" localSheetId="127">#REF!</definedName>
    <definedName name="_5223_01" localSheetId="118">#REF!</definedName>
    <definedName name="_5223_01" localSheetId="125">#REF!</definedName>
    <definedName name="_5223_01" localSheetId="122">#REF!</definedName>
    <definedName name="_5223_01" localSheetId="16">#REF!</definedName>
    <definedName name="_5223_01" localSheetId="46">#REF!</definedName>
    <definedName name="_5223_01" localSheetId="139">#REF!</definedName>
    <definedName name="_5223_01" localSheetId="47">#REF!</definedName>
    <definedName name="_5223_01">#REF!</definedName>
    <definedName name="_5223_n" localSheetId="127">#REF!</definedName>
    <definedName name="_5223_n" localSheetId="118">#REF!</definedName>
    <definedName name="_5223_n" localSheetId="125">#REF!</definedName>
    <definedName name="_5223_n" localSheetId="122">#REF!</definedName>
    <definedName name="_5223_n" localSheetId="16">#REF!</definedName>
    <definedName name="_5223_n" localSheetId="46">#REF!</definedName>
    <definedName name="_5223_n" localSheetId="139">#REF!</definedName>
    <definedName name="_5223_n" localSheetId="47">#REF!</definedName>
    <definedName name="_5223_n">#REF!</definedName>
    <definedName name="_5229_00" localSheetId="127">#REF!</definedName>
    <definedName name="_5229_00" localSheetId="118">#REF!</definedName>
    <definedName name="_5229_00" localSheetId="125">#REF!</definedName>
    <definedName name="_5229_00" localSheetId="122">#REF!</definedName>
    <definedName name="_5229_00" localSheetId="16">#REF!</definedName>
    <definedName name="_5229_00" localSheetId="46">#REF!</definedName>
    <definedName name="_5229_00" localSheetId="139">#REF!</definedName>
    <definedName name="_5229_00" localSheetId="47">#REF!</definedName>
    <definedName name="_5229_00">#REF!</definedName>
    <definedName name="_5229_01" localSheetId="127">#REF!</definedName>
    <definedName name="_5229_01" localSheetId="118">#REF!</definedName>
    <definedName name="_5229_01" localSheetId="125">#REF!</definedName>
    <definedName name="_5229_01" localSheetId="122">#REF!</definedName>
    <definedName name="_5229_01" localSheetId="16">#REF!</definedName>
    <definedName name="_5229_01" localSheetId="46">#REF!</definedName>
    <definedName name="_5229_01" localSheetId="139">#REF!</definedName>
    <definedName name="_5229_01" localSheetId="47">#REF!</definedName>
    <definedName name="_5229_01">#REF!</definedName>
    <definedName name="_5229_n" localSheetId="127">#REF!</definedName>
    <definedName name="_5229_n" localSheetId="118">#REF!</definedName>
    <definedName name="_5229_n" localSheetId="125">#REF!</definedName>
    <definedName name="_5229_n" localSheetId="122">#REF!</definedName>
    <definedName name="_5229_n" localSheetId="16">#REF!</definedName>
    <definedName name="_5229_n" localSheetId="46">#REF!</definedName>
    <definedName name="_5229_n" localSheetId="139">#REF!</definedName>
    <definedName name="_5229_n" localSheetId="47">#REF!</definedName>
    <definedName name="_5229_n">#REF!</definedName>
    <definedName name="_5302_00" localSheetId="127">#REF!</definedName>
    <definedName name="_5302_00" localSheetId="118">#REF!</definedName>
    <definedName name="_5302_00" localSheetId="125">#REF!</definedName>
    <definedName name="_5302_00" localSheetId="122">#REF!</definedName>
    <definedName name="_5302_00" localSheetId="16">#REF!</definedName>
    <definedName name="_5302_00" localSheetId="46">#REF!</definedName>
    <definedName name="_5302_00" localSheetId="139">#REF!</definedName>
    <definedName name="_5302_00" localSheetId="47">#REF!</definedName>
    <definedName name="_5302_00">#REF!</definedName>
    <definedName name="_5302_01" localSheetId="127">#REF!</definedName>
    <definedName name="_5302_01" localSheetId="118">#REF!</definedName>
    <definedName name="_5302_01" localSheetId="125">#REF!</definedName>
    <definedName name="_5302_01" localSheetId="122">#REF!</definedName>
    <definedName name="_5302_01" localSheetId="16">#REF!</definedName>
    <definedName name="_5302_01" localSheetId="46">#REF!</definedName>
    <definedName name="_5302_01" localSheetId="139">#REF!</definedName>
    <definedName name="_5302_01" localSheetId="47">#REF!</definedName>
    <definedName name="_5302_01">#REF!</definedName>
    <definedName name="_5302_n" localSheetId="127">#REF!</definedName>
    <definedName name="_5302_n" localSheetId="118">#REF!</definedName>
    <definedName name="_5302_n" localSheetId="125">#REF!</definedName>
    <definedName name="_5302_n" localSheetId="122">#REF!</definedName>
    <definedName name="_5302_n" localSheetId="16">#REF!</definedName>
    <definedName name="_5302_n" localSheetId="46">#REF!</definedName>
    <definedName name="_5302_n" localSheetId="139">#REF!</definedName>
    <definedName name="_5302_n" localSheetId="47">#REF!</definedName>
    <definedName name="_5302_n">#REF!</definedName>
    <definedName name="_5400_00" localSheetId="127">#REF!</definedName>
    <definedName name="_5400_00" localSheetId="118">#REF!</definedName>
    <definedName name="_5400_00" localSheetId="125">#REF!</definedName>
    <definedName name="_5400_00" localSheetId="122">#REF!</definedName>
    <definedName name="_5400_00" localSheetId="16">#REF!</definedName>
    <definedName name="_5400_00" localSheetId="46">#REF!</definedName>
    <definedName name="_5400_00" localSheetId="139">#REF!</definedName>
    <definedName name="_5400_00" localSheetId="47">#REF!</definedName>
    <definedName name="_5400_00">#REF!</definedName>
    <definedName name="_5400_01" localSheetId="127">#REF!</definedName>
    <definedName name="_5400_01" localSheetId="118">#REF!</definedName>
    <definedName name="_5400_01" localSheetId="125">#REF!</definedName>
    <definedName name="_5400_01" localSheetId="122">#REF!</definedName>
    <definedName name="_5400_01" localSheetId="16">#REF!</definedName>
    <definedName name="_5400_01" localSheetId="46">#REF!</definedName>
    <definedName name="_5400_01" localSheetId="139">#REF!</definedName>
    <definedName name="_5400_01" localSheetId="47">#REF!</definedName>
    <definedName name="_5400_01">#REF!</definedName>
    <definedName name="_5400_n" localSheetId="127">#REF!</definedName>
    <definedName name="_5400_n" localSheetId="118">#REF!</definedName>
    <definedName name="_5400_n" localSheetId="125">#REF!</definedName>
    <definedName name="_5400_n" localSheetId="122">#REF!</definedName>
    <definedName name="_5400_n" localSheetId="16">#REF!</definedName>
    <definedName name="_5400_n" localSheetId="46">#REF!</definedName>
    <definedName name="_5400_n" localSheetId="139">#REF!</definedName>
    <definedName name="_5400_n" localSheetId="47">#REF!</definedName>
    <definedName name="_5400_n">#REF!</definedName>
    <definedName name="_5450_00" localSheetId="127">#REF!</definedName>
    <definedName name="_5450_00" localSheetId="118">#REF!</definedName>
    <definedName name="_5450_00" localSheetId="125">#REF!</definedName>
    <definedName name="_5450_00" localSheetId="122">#REF!</definedName>
    <definedName name="_5450_00" localSheetId="16">#REF!</definedName>
    <definedName name="_5450_00" localSheetId="46">#REF!</definedName>
    <definedName name="_5450_00" localSheetId="139">#REF!</definedName>
    <definedName name="_5450_00" localSheetId="47">#REF!</definedName>
    <definedName name="_5450_00">#REF!</definedName>
    <definedName name="_5450_01" localSheetId="127">#REF!</definedName>
    <definedName name="_5450_01" localSheetId="118">#REF!</definedName>
    <definedName name="_5450_01" localSheetId="125">#REF!</definedName>
    <definedName name="_5450_01" localSheetId="122">#REF!</definedName>
    <definedName name="_5450_01" localSheetId="16">#REF!</definedName>
    <definedName name="_5450_01" localSheetId="46">#REF!</definedName>
    <definedName name="_5450_01" localSheetId="139">#REF!</definedName>
    <definedName name="_5450_01" localSheetId="47">#REF!</definedName>
    <definedName name="_5450_01">#REF!</definedName>
    <definedName name="_5450_n" localSheetId="127">#REF!</definedName>
    <definedName name="_5450_n" localSheetId="118">#REF!</definedName>
    <definedName name="_5450_n" localSheetId="125">#REF!</definedName>
    <definedName name="_5450_n" localSheetId="122">#REF!</definedName>
    <definedName name="_5450_n" localSheetId="16">#REF!</definedName>
    <definedName name="_5450_n" localSheetId="46">#REF!</definedName>
    <definedName name="_5450_n" localSheetId="139">#REF!</definedName>
    <definedName name="_5450_n" localSheetId="47">#REF!</definedName>
    <definedName name="_5450_n">#REF!</definedName>
    <definedName name="_5451_00" localSheetId="127">#REF!</definedName>
    <definedName name="_5451_00" localSheetId="118">#REF!</definedName>
    <definedName name="_5451_00" localSheetId="125">#REF!</definedName>
    <definedName name="_5451_00" localSheetId="122">#REF!</definedName>
    <definedName name="_5451_00" localSheetId="16">#REF!</definedName>
    <definedName name="_5451_00" localSheetId="46">#REF!</definedName>
    <definedName name="_5451_00" localSheetId="139">#REF!</definedName>
    <definedName name="_5451_00" localSheetId="47">#REF!</definedName>
    <definedName name="_5451_00">#REF!</definedName>
    <definedName name="_5451_01" localSheetId="127">#REF!</definedName>
    <definedName name="_5451_01" localSheetId="118">#REF!</definedName>
    <definedName name="_5451_01" localSheetId="125">#REF!</definedName>
    <definedName name="_5451_01" localSheetId="122">#REF!</definedName>
    <definedName name="_5451_01" localSheetId="16">#REF!</definedName>
    <definedName name="_5451_01" localSheetId="46">#REF!</definedName>
    <definedName name="_5451_01" localSheetId="139">#REF!</definedName>
    <definedName name="_5451_01" localSheetId="47">#REF!</definedName>
    <definedName name="_5451_01">#REF!</definedName>
    <definedName name="_5451_n" localSheetId="127">#REF!</definedName>
    <definedName name="_5451_n" localSheetId="118">#REF!</definedName>
    <definedName name="_5451_n" localSheetId="125">#REF!</definedName>
    <definedName name="_5451_n" localSheetId="122">#REF!</definedName>
    <definedName name="_5451_n" localSheetId="16">#REF!</definedName>
    <definedName name="_5451_n" localSheetId="46">#REF!</definedName>
    <definedName name="_5451_n" localSheetId="139">#REF!</definedName>
    <definedName name="_5451_n" localSheetId="47">#REF!</definedName>
    <definedName name="_5451_n">#REF!</definedName>
    <definedName name="_5452_00" localSheetId="127">#REF!</definedName>
    <definedName name="_5452_00" localSheetId="118">#REF!</definedName>
    <definedName name="_5452_00" localSheetId="125">#REF!</definedName>
    <definedName name="_5452_00" localSheetId="122">#REF!</definedName>
    <definedName name="_5452_00" localSheetId="16">#REF!</definedName>
    <definedName name="_5452_00" localSheetId="46">#REF!</definedName>
    <definedName name="_5452_00" localSheetId="139">#REF!</definedName>
    <definedName name="_5452_00" localSheetId="47">#REF!</definedName>
    <definedName name="_5452_00">#REF!</definedName>
    <definedName name="_5452_01" localSheetId="127">#REF!</definedName>
    <definedName name="_5452_01" localSheetId="118">#REF!</definedName>
    <definedName name="_5452_01" localSheetId="125">#REF!</definedName>
    <definedName name="_5452_01" localSheetId="122">#REF!</definedName>
    <definedName name="_5452_01" localSheetId="16">#REF!</definedName>
    <definedName name="_5452_01" localSheetId="46">#REF!</definedName>
    <definedName name="_5452_01" localSheetId="139">#REF!</definedName>
    <definedName name="_5452_01" localSheetId="47">#REF!</definedName>
    <definedName name="_5452_01">#REF!</definedName>
    <definedName name="_5452_n" localSheetId="127">#REF!</definedName>
    <definedName name="_5452_n" localSheetId="118">#REF!</definedName>
    <definedName name="_5452_n" localSheetId="125">#REF!</definedName>
    <definedName name="_5452_n" localSheetId="122">#REF!</definedName>
    <definedName name="_5452_n" localSheetId="16">#REF!</definedName>
    <definedName name="_5452_n" localSheetId="46">#REF!</definedName>
    <definedName name="_5452_n" localSheetId="139">#REF!</definedName>
    <definedName name="_5452_n" localSheetId="47">#REF!</definedName>
    <definedName name="_5452_n">#REF!</definedName>
    <definedName name="_5455_00" localSheetId="127">#REF!</definedName>
    <definedName name="_5455_00" localSheetId="118">#REF!</definedName>
    <definedName name="_5455_00" localSheetId="125">#REF!</definedName>
    <definedName name="_5455_00" localSheetId="122">#REF!</definedName>
    <definedName name="_5455_00" localSheetId="16">#REF!</definedName>
    <definedName name="_5455_00" localSheetId="46">#REF!</definedName>
    <definedName name="_5455_00" localSheetId="139">#REF!</definedName>
    <definedName name="_5455_00" localSheetId="47">#REF!</definedName>
    <definedName name="_5455_00">#REF!</definedName>
    <definedName name="_5455_01" localSheetId="127">#REF!</definedName>
    <definedName name="_5455_01" localSheetId="118">#REF!</definedName>
    <definedName name="_5455_01" localSheetId="125">#REF!</definedName>
    <definedName name="_5455_01" localSheetId="122">#REF!</definedName>
    <definedName name="_5455_01" localSheetId="16">#REF!</definedName>
    <definedName name="_5455_01" localSheetId="46">#REF!</definedName>
    <definedName name="_5455_01" localSheetId="139">#REF!</definedName>
    <definedName name="_5455_01" localSheetId="47">#REF!</definedName>
    <definedName name="_5455_01">#REF!</definedName>
    <definedName name="_5455_n" localSheetId="127">#REF!</definedName>
    <definedName name="_5455_n" localSheetId="118">#REF!</definedName>
    <definedName name="_5455_n" localSheetId="125">#REF!</definedName>
    <definedName name="_5455_n" localSheetId="122">#REF!</definedName>
    <definedName name="_5455_n" localSheetId="16">#REF!</definedName>
    <definedName name="_5455_n" localSheetId="46">#REF!</definedName>
    <definedName name="_5455_n" localSheetId="139">#REF!</definedName>
    <definedName name="_5455_n" localSheetId="47">#REF!</definedName>
    <definedName name="_5455_n">#REF!</definedName>
    <definedName name="_5456_00" localSheetId="127">#REF!</definedName>
    <definedName name="_5456_00" localSheetId="118">#REF!</definedName>
    <definedName name="_5456_00" localSheetId="125">#REF!</definedName>
    <definedName name="_5456_00" localSheetId="122">#REF!</definedName>
    <definedName name="_5456_00" localSheetId="16">#REF!</definedName>
    <definedName name="_5456_00" localSheetId="46">#REF!</definedName>
    <definedName name="_5456_00" localSheetId="139">#REF!</definedName>
    <definedName name="_5456_00" localSheetId="47">#REF!</definedName>
    <definedName name="_5456_00">#REF!</definedName>
    <definedName name="_5456_01" localSheetId="127">#REF!</definedName>
    <definedName name="_5456_01" localSheetId="118">#REF!</definedName>
    <definedName name="_5456_01" localSheetId="125">#REF!</definedName>
    <definedName name="_5456_01" localSheetId="122">#REF!</definedName>
    <definedName name="_5456_01" localSheetId="16">#REF!</definedName>
    <definedName name="_5456_01" localSheetId="46">#REF!</definedName>
    <definedName name="_5456_01" localSheetId="139">#REF!</definedName>
    <definedName name="_5456_01" localSheetId="47">#REF!</definedName>
    <definedName name="_5456_01">#REF!</definedName>
    <definedName name="_5456_n" localSheetId="127">#REF!</definedName>
    <definedName name="_5456_n" localSheetId="118">#REF!</definedName>
    <definedName name="_5456_n" localSheetId="125">#REF!</definedName>
    <definedName name="_5456_n" localSheetId="122">#REF!</definedName>
    <definedName name="_5456_n" localSheetId="16">#REF!</definedName>
    <definedName name="_5456_n" localSheetId="46">#REF!</definedName>
    <definedName name="_5456_n" localSheetId="139">#REF!</definedName>
    <definedName name="_5456_n" localSheetId="47">#REF!</definedName>
    <definedName name="_5456_n">#REF!</definedName>
    <definedName name="_5458_00" localSheetId="127">#REF!</definedName>
    <definedName name="_5458_00" localSheetId="118">#REF!</definedName>
    <definedName name="_5458_00" localSheetId="125">#REF!</definedName>
    <definedName name="_5458_00" localSheetId="122">#REF!</definedName>
    <definedName name="_5458_00" localSheetId="16">#REF!</definedName>
    <definedName name="_5458_00" localSheetId="46">#REF!</definedName>
    <definedName name="_5458_00" localSheetId="139">#REF!</definedName>
    <definedName name="_5458_00" localSheetId="47">#REF!</definedName>
    <definedName name="_5458_00">#REF!</definedName>
    <definedName name="_5458_01" localSheetId="127">#REF!</definedName>
    <definedName name="_5458_01" localSheetId="118">#REF!</definedName>
    <definedName name="_5458_01" localSheetId="125">#REF!</definedName>
    <definedName name="_5458_01" localSheetId="122">#REF!</definedName>
    <definedName name="_5458_01" localSheetId="16">#REF!</definedName>
    <definedName name="_5458_01" localSheetId="46">#REF!</definedName>
    <definedName name="_5458_01" localSheetId="139">#REF!</definedName>
    <definedName name="_5458_01" localSheetId="47">#REF!</definedName>
    <definedName name="_5458_01">#REF!</definedName>
    <definedName name="_5458_n" localSheetId="127">#REF!</definedName>
    <definedName name="_5458_n" localSheetId="118">#REF!</definedName>
    <definedName name="_5458_n" localSheetId="125">#REF!</definedName>
    <definedName name="_5458_n" localSheetId="122">#REF!</definedName>
    <definedName name="_5458_n" localSheetId="16">#REF!</definedName>
    <definedName name="_5458_n" localSheetId="46">#REF!</definedName>
    <definedName name="_5458_n" localSheetId="139">#REF!</definedName>
    <definedName name="_5458_n" localSheetId="47">#REF!</definedName>
    <definedName name="_5458_n">#REF!</definedName>
    <definedName name="_5459_00" localSheetId="127">#REF!</definedName>
    <definedName name="_5459_00" localSheetId="118">#REF!</definedName>
    <definedName name="_5459_00" localSheetId="125">#REF!</definedName>
    <definedName name="_5459_00" localSheetId="122">#REF!</definedName>
    <definedName name="_5459_00" localSheetId="16">#REF!</definedName>
    <definedName name="_5459_00" localSheetId="46">#REF!</definedName>
    <definedName name="_5459_00" localSheetId="139">#REF!</definedName>
    <definedName name="_5459_00" localSheetId="47">#REF!</definedName>
    <definedName name="_5459_00">#REF!</definedName>
    <definedName name="_5459_01" localSheetId="127">#REF!</definedName>
    <definedName name="_5459_01" localSheetId="118">#REF!</definedName>
    <definedName name="_5459_01" localSheetId="125">#REF!</definedName>
    <definedName name="_5459_01" localSheetId="122">#REF!</definedName>
    <definedName name="_5459_01" localSheetId="16">#REF!</definedName>
    <definedName name="_5459_01" localSheetId="46">#REF!</definedName>
    <definedName name="_5459_01" localSheetId="139">#REF!</definedName>
    <definedName name="_5459_01" localSheetId="47">#REF!</definedName>
    <definedName name="_5459_01">#REF!</definedName>
    <definedName name="_5459_n" localSheetId="127">#REF!</definedName>
    <definedName name="_5459_n" localSheetId="118">#REF!</definedName>
    <definedName name="_5459_n" localSheetId="125">#REF!</definedName>
    <definedName name="_5459_n" localSheetId="122">#REF!</definedName>
    <definedName name="_5459_n" localSheetId="16">#REF!</definedName>
    <definedName name="_5459_n" localSheetId="46">#REF!</definedName>
    <definedName name="_5459_n" localSheetId="139">#REF!</definedName>
    <definedName name="_5459_n" localSheetId="47">#REF!</definedName>
    <definedName name="_5459_n">#REF!</definedName>
    <definedName name="_5500" localSheetId="127">#REF!</definedName>
    <definedName name="_5500" localSheetId="118">#REF!</definedName>
    <definedName name="_5500" localSheetId="125">#REF!</definedName>
    <definedName name="_5500" localSheetId="122">#REF!</definedName>
    <definedName name="_5500" localSheetId="16">#REF!</definedName>
    <definedName name="_5500" localSheetId="46">#REF!</definedName>
    <definedName name="_5500" localSheetId="139">#REF!</definedName>
    <definedName name="_5500" localSheetId="47">#REF!</definedName>
    <definedName name="_5500">#REF!</definedName>
    <definedName name="_5500_00" localSheetId="127">#REF!</definedName>
    <definedName name="_5500_00" localSheetId="118">#REF!</definedName>
    <definedName name="_5500_00" localSheetId="125">#REF!</definedName>
    <definedName name="_5500_00" localSheetId="122">#REF!</definedName>
    <definedName name="_5500_00" localSheetId="16">#REF!</definedName>
    <definedName name="_5500_00" localSheetId="46">#REF!</definedName>
    <definedName name="_5500_00" localSheetId="139">#REF!</definedName>
    <definedName name="_5500_00" localSheetId="47">#REF!</definedName>
    <definedName name="_5500_00">#REF!</definedName>
    <definedName name="_5500_01" localSheetId="127">#REF!</definedName>
    <definedName name="_5500_01" localSheetId="118">#REF!</definedName>
    <definedName name="_5500_01" localSheetId="125">#REF!</definedName>
    <definedName name="_5500_01" localSheetId="122">#REF!</definedName>
    <definedName name="_5500_01" localSheetId="16">#REF!</definedName>
    <definedName name="_5500_01" localSheetId="46">#REF!</definedName>
    <definedName name="_5500_01" localSheetId="139">#REF!</definedName>
    <definedName name="_5500_01" localSheetId="47">#REF!</definedName>
    <definedName name="_5500_01">#REF!</definedName>
    <definedName name="_5510_00" localSheetId="127">#REF!</definedName>
    <definedName name="_5510_00" localSheetId="118">#REF!</definedName>
    <definedName name="_5510_00" localSheetId="125">#REF!</definedName>
    <definedName name="_5510_00" localSheetId="122">#REF!</definedName>
    <definedName name="_5510_00" localSheetId="16">#REF!</definedName>
    <definedName name="_5510_00" localSheetId="46">#REF!</definedName>
    <definedName name="_5510_00" localSheetId="139">#REF!</definedName>
    <definedName name="_5510_00" localSheetId="47">#REF!</definedName>
    <definedName name="_5510_00">#REF!</definedName>
    <definedName name="_5510_01" localSheetId="127">#REF!</definedName>
    <definedName name="_5510_01" localSheetId="118">#REF!</definedName>
    <definedName name="_5510_01" localSheetId="125">#REF!</definedName>
    <definedName name="_5510_01" localSheetId="122">#REF!</definedName>
    <definedName name="_5510_01" localSheetId="16">#REF!</definedName>
    <definedName name="_5510_01" localSheetId="46">#REF!</definedName>
    <definedName name="_5510_01" localSheetId="139">#REF!</definedName>
    <definedName name="_5510_01" localSheetId="47">#REF!</definedName>
    <definedName name="_5510_01">#REF!</definedName>
    <definedName name="_5510_n" localSheetId="127">#REF!</definedName>
    <definedName name="_5510_n" localSheetId="118">#REF!</definedName>
    <definedName name="_5510_n" localSheetId="125">#REF!</definedName>
    <definedName name="_5510_n" localSheetId="122">#REF!</definedName>
    <definedName name="_5510_n" localSheetId="16">#REF!</definedName>
    <definedName name="_5510_n" localSheetId="46">#REF!</definedName>
    <definedName name="_5510_n" localSheetId="139">#REF!</definedName>
    <definedName name="_5510_n" localSheetId="47">#REF!</definedName>
    <definedName name="_5510_n">#REF!</definedName>
    <definedName name="_5530_00" localSheetId="127">#REF!</definedName>
    <definedName name="_5530_00" localSheetId="118">#REF!</definedName>
    <definedName name="_5530_00" localSheetId="125">#REF!</definedName>
    <definedName name="_5530_00" localSheetId="122">#REF!</definedName>
    <definedName name="_5530_00" localSheetId="16">#REF!</definedName>
    <definedName name="_5530_00" localSheetId="46">#REF!</definedName>
    <definedName name="_5530_00" localSheetId="139">#REF!</definedName>
    <definedName name="_5530_00" localSheetId="47">#REF!</definedName>
    <definedName name="_5530_00">#REF!</definedName>
    <definedName name="_5530_01" localSheetId="127">#REF!</definedName>
    <definedName name="_5530_01" localSheetId="118">#REF!</definedName>
    <definedName name="_5530_01" localSheetId="125">#REF!</definedName>
    <definedName name="_5530_01" localSheetId="122">#REF!</definedName>
    <definedName name="_5530_01" localSheetId="16">#REF!</definedName>
    <definedName name="_5530_01" localSheetId="46">#REF!</definedName>
    <definedName name="_5530_01" localSheetId="139">#REF!</definedName>
    <definedName name="_5530_01" localSheetId="47">#REF!</definedName>
    <definedName name="_5530_01">#REF!</definedName>
    <definedName name="_5530_n" localSheetId="127">#REF!</definedName>
    <definedName name="_5530_n" localSheetId="118">#REF!</definedName>
    <definedName name="_5530_n" localSheetId="125">#REF!</definedName>
    <definedName name="_5530_n" localSheetId="122">#REF!</definedName>
    <definedName name="_5530_n" localSheetId="16">#REF!</definedName>
    <definedName name="_5530_n" localSheetId="46">#REF!</definedName>
    <definedName name="_5530_n" localSheetId="139">#REF!</definedName>
    <definedName name="_5530_n" localSheetId="47">#REF!</definedName>
    <definedName name="_5530_n">#REF!</definedName>
    <definedName name="_5600" localSheetId="127">#REF!</definedName>
    <definedName name="_5600" localSheetId="118">#REF!</definedName>
    <definedName name="_5600" localSheetId="125">#REF!</definedName>
    <definedName name="_5600" localSheetId="122">#REF!</definedName>
    <definedName name="_5600" localSheetId="16">#REF!</definedName>
    <definedName name="_5600" localSheetId="46">#REF!</definedName>
    <definedName name="_5600" localSheetId="139">#REF!</definedName>
    <definedName name="_5600" localSheetId="47">#REF!</definedName>
    <definedName name="_5600">#REF!</definedName>
    <definedName name="_5600_00" localSheetId="127">#REF!</definedName>
    <definedName name="_5600_00" localSheetId="118">#REF!</definedName>
    <definedName name="_5600_00" localSheetId="125">#REF!</definedName>
    <definedName name="_5600_00" localSheetId="122">#REF!</definedName>
    <definedName name="_5600_00" localSheetId="16">#REF!</definedName>
    <definedName name="_5600_00" localSheetId="46">#REF!</definedName>
    <definedName name="_5600_00" localSheetId="139">#REF!</definedName>
    <definedName name="_5600_00" localSheetId="47">#REF!</definedName>
    <definedName name="_5600_00">#REF!</definedName>
    <definedName name="_5600_01" localSheetId="127">#REF!</definedName>
    <definedName name="_5600_01" localSheetId="118">#REF!</definedName>
    <definedName name="_5600_01" localSheetId="125">#REF!</definedName>
    <definedName name="_5600_01" localSheetId="122">#REF!</definedName>
    <definedName name="_5600_01" localSheetId="16">#REF!</definedName>
    <definedName name="_5600_01" localSheetId="46">#REF!</definedName>
    <definedName name="_5600_01" localSheetId="139">#REF!</definedName>
    <definedName name="_5600_01" localSheetId="47">#REF!</definedName>
    <definedName name="_5600_01">#REF!</definedName>
    <definedName name="_5600_n" localSheetId="127">#REF!</definedName>
    <definedName name="_5600_n" localSheetId="118">#REF!</definedName>
    <definedName name="_5600_n" localSheetId="125">#REF!</definedName>
    <definedName name="_5600_n" localSheetId="122">#REF!</definedName>
    <definedName name="_5600_n" localSheetId="16">#REF!</definedName>
    <definedName name="_5600_n" localSheetId="46">#REF!</definedName>
    <definedName name="_5600_n" localSheetId="139">#REF!</definedName>
    <definedName name="_5600_n" localSheetId="47">#REF!</definedName>
    <definedName name="_5600_n">#REF!</definedName>
    <definedName name="_5601_00" localSheetId="127">#REF!</definedName>
    <definedName name="_5601_00" localSheetId="118">#REF!</definedName>
    <definedName name="_5601_00" localSheetId="125">#REF!</definedName>
    <definedName name="_5601_00" localSheetId="122">#REF!</definedName>
    <definedName name="_5601_00" localSheetId="16">#REF!</definedName>
    <definedName name="_5601_00" localSheetId="46">#REF!</definedName>
    <definedName name="_5601_00" localSheetId="139">#REF!</definedName>
    <definedName name="_5601_00" localSheetId="47">#REF!</definedName>
    <definedName name="_5601_00">#REF!</definedName>
    <definedName name="_5601_01" localSheetId="127">#REF!</definedName>
    <definedName name="_5601_01" localSheetId="118">#REF!</definedName>
    <definedName name="_5601_01" localSheetId="125">#REF!</definedName>
    <definedName name="_5601_01" localSheetId="122">#REF!</definedName>
    <definedName name="_5601_01" localSheetId="16">#REF!</definedName>
    <definedName name="_5601_01" localSheetId="46">#REF!</definedName>
    <definedName name="_5601_01" localSheetId="139">#REF!</definedName>
    <definedName name="_5601_01" localSheetId="47">#REF!</definedName>
    <definedName name="_5601_01">#REF!</definedName>
    <definedName name="_5601_n" localSheetId="127">#REF!</definedName>
    <definedName name="_5601_n" localSheetId="118">#REF!</definedName>
    <definedName name="_5601_n" localSheetId="125">#REF!</definedName>
    <definedName name="_5601_n" localSheetId="122">#REF!</definedName>
    <definedName name="_5601_n" localSheetId="16">#REF!</definedName>
    <definedName name="_5601_n" localSheetId="46">#REF!</definedName>
    <definedName name="_5601_n" localSheetId="139">#REF!</definedName>
    <definedName name="_5601_n" localSheetId="47">#REF!</definedName>
    <definedName name="_5601_n">#REF!</definedName>
    <definedName name="_5602_00" localSheetId="127">#REF!</definedName>
    <definedName name="_5602_00" localSheetId="118">#REF!</definedName>
    <definedName name="_5602_00" localSheetId="125">#REF!</definedName>
    <definedName name="_5602_00" localSheetId="122">#REF!</definedName>
    <definedName name="_5602_00" localSheetId="16">#REF!</definedName>
    <definedName name="_5602_00" localSheetId="46">#REF!</definedName>
    <definedName name="_5602_00" localSheetId="139">#REF!</definedName>
    <definedName name="_5602_00" localSheetId="47">#REF!</definedName>
    <definedName name="_5602_00">#REF!</definedName>
    <definedName name="_5602_01" localSheetId="127">#REF!</definedName>
    <definedName name="_5602_01" localSheetId="118">#REF!</definedName>
    <definedName name="_5602_01" localSheetId="125">#REF!</definedName>
    <definedName name="_5602_01" localSheetId="122">#REF!</definedName>
    <definedName name="_5602_01" localSheetId="16">#REF!</definedName>
    <definedName name="_5602_01" localSheetId="46">#REF!</definedName>
    <definedName name="_5602_01" localSheetId="139">#REF!</definedName>
    <definedName name="_5602_01" localSheetId="47">#REF!</definedName>
    <definedName name="_5602_01">#REF!</definedName>
    <definedName name="_5602_n" localSheetId="127">#REF!</definedName>
    <definedName name="_5602_n" localSheetId="118">#REF!</definedName>
    <definedName name="_5602_n" localSheetId="125">#REF!</definedName>
    <definedName name="_5602_n" localSheetId="122">#REF!</definedName>
    <definedName name="_5602_n" localSheetId="16">#REF!</definedName>
    <definedName name="_5602_n" localSheetId="46">#REF!</definedName>
    <definedName name="_5602_n" localSheetId="139">#REF!</definedName>
    <definedName name="_5602_n" localSheetId="47">#REF!</definedName>
    <definedName name="_5602_n">#REF!</definedName>
    <definedName name="_5603_00" localSheetId="127">#REF!</definedName>
    <definedName name="_5603_00" localSheetId="118">#REF!</definedName>
    <definedName name="_5603_00" localSheetId="125">#REF!</definedName>
    <definedName name="_5603_00" localSheetId="122">#REF!</definedName>
    <definedName name="_5603_00" localSheetId="16">#REF!</definedName>
    <definedName name="_5603_00" localSheetId="46">#REF!</definedName>
    <definedName name="_5603_00" localSheetId="139">#REF!</definedName>
    <definedName name="_5603_00" localSheetId="47">#REF!</definedName>
    <definedName name="_5603_00">#REF!</definedName>
    <definedName name="_5603_01" localSheetId="127">#REF!</definedName>
    <definedName name="_5603_01" localSheetId="118">#REF!</definedName>
    <definedName name="_5603_01" localSheetId="125">#REF!</definedName>
    <definedName name="_5603_01" localSheetId="122">#REF!</definedName>
    <definedName name="_5603_01" localSheetId="16">#REF!</definedName>
    <definedName name="_5603_01" localSheetId="46">#REF!</definedName>
    <definedName name="_5603_01" localSheetId="139">#REF!</definedName>
    <definedName name="_5603_01" localSheetId="47">#REF!</definedName>
    <definedName name="_5603_01">#REF!</definedName>
    <definedName name="_5603_n" localSheetId="127">#REF!</definedName>
    <definedName name="_5603_n" localSheetId="118">#REF!</definedName>
    <definedName name="_5603_n" localSheetId="125">#REF!</definedName>
    <definedName name="_5603_n" localSheetId="122">#REF!</definedName>
    <definedName name="_5603_n" localSheetId="16">#REF!</definedName>
    <definedName name="_5603_n" localSheetId="46">#REF!</definedName>
    <definedName name="_5603_n" localSheetId="139">#REF!</definedName>
    <definedName name="_5603_n" localSheetId="47">#REF!</definedName>
    <definedName name="_5603_n">#REF!</definedName>
    <definedName name="_5604_00" localSheetId="127">#REF!</definedName>
    <definedName name="_5604_00" localSheetId="118">#REF!</definedName>
    <definedName name="_5604_00" localSheetId="125">#REF!</definedName>
    <definedName name="_5604_00" localSheetId="122">#REF!</definedName>
    <definedName name="_5604_00" localSheetId="16">#REF!</definedName>
    <definedName name="_5604_00" localSheetId="46">#REF!</definedName>
    <definedName name="_5604_00" localSheetId="139">#REF!</definedName>
    <definedName name="_5604_00" localSheetId="47">#REF!</definedName>
    <definedName name="_5604_00">#REF!</definedName>
    <definedName name="_5604_01" localSheetId="127">#REF!</definedName>
    <definedName name="_5604_01" localSheetId="118">#REF!</definedName>
    <definedName name="_5604_01" localSheetId="125">#REF!</definedName>
    <definedName name="_5604_01" localSheetId="122">#REF!</definedName>
    <definedName name="_5604_01" localSheetId="16">#REF!</definedName>
    <definedName name="_5604_01" localSheetId="46">#REF!</definedName>
    <definedName name="_5604_01" localSheetId="139">#REF!</definedName>
    <definedName name="_5604_01" localSheetId="47">#REF!</definedName>
    <definedName name="_5604_01">#REF!</definedName>
    <definedName name="_5604_n" localSheetId="127">#REF!</definedName>
    <definedName name="_5604_n" localSheetId="118">#REF!</definedName>
    <definedName name="_5604_n" localSheetId="125">#REF!</definedName>
    <definedName name="_5604_n" localSheetId="122">#REF!</definedName>
    <definedName name="_5604_n" localSheetId="16">#REF!</definedName>
    <definedName name="_5604_n" localSheetId="46">#REF!</definedName>
    <definedName name="_5604_n" localSheetId="139">#REF!</definedName>
    <definedName name="_5604_n" localSheetId="47">#REF!</definedName>
    <definedName name="_5604_n">#REF!</definedName>
    <definedName name="_5607_00" localSheetId="127">#REF!</definedName>
    <definedName name="_5607_00" localSheetId="118">#REF!</definedName>
    <definedName name="_5607_00" localSheetId="125">#REF!</definedName>
    <definedName name="_5607_00" localSheetId="122">#REF!</definedName>
    <definedName name="_5607_00" localSheetId="16">#REF!</definedName>
    <definedName name="_5607_00" localSheetId="46">#REF!</definedName>
    <definedName name="_5607_00" localSheetId="139">#REF!</definedName>
    <definedName name="_5607_00" localSheetId="47">#REF!</definedName>
    <definedName name="_5607_00">#REF!</definedName>
    <definedName name="_5607_01" localSheetId="127">#REF!</definedName>
    <definedName name="_5607_01" localSheetId="118">#REF!</definedName>
    <definedName name="_5607_01" localSheetId="125">#REF!</definedName>
    <definedName name="_5607_01" localSheetId="122">#REF!</definedName>
    <definedName name="_5607_01" localSheetId="16">#REF!</definedName>
    <definedName name="_5607_01" localSheetId="46">#REF!</definedName>
    <definedName name="_5607_01" localSheetId="139">#REF!</definedName>
    <definedName name="_5607_01" localSheetId="47">#REF!</definedName>
    <definedName name="_5607_01">#REF!</definedName>
    <definedName name="_5607_n" localSheetId="127">#REF!</definedName>
    <definedName name="_5607_n" localSheetId="118">#REF!</definedName>
    <definedName name="_5607_n" localSheetId="125">#REF!</definedName>
    <definedName name="_5607_n" localSheetId="122">#REF!</definedName>
    <definedName name="_5607_n" localSheetId="16">#REF!</definedName>
    <definedName name="_5607_n" localSheetId="46">#REF!</definedName>
    <definedName name="_5607_n" localSheetId="139">#REF!</definedName>
    <definedName name="_5607_n" localSheetId="47">#REF!</definedName>
    <definedName name="_5607_n">#REF!</definedName>
    <definedName name="_5608_00" localSheetId="127">#REF!</definedName>
    <definedName name="_5608_00" localSheetId="118">#REF!</definedName>
    <definedName name="_5608_00" localSheetId="125">#REF!</definedName>
    <definedName name="_5608_00" localSheetId="122">#REF!</definedName>
    <definedName name="_5608_00" localSheetId="16">#REF!</definedName>
    <definedName name="_5608_00" localSheetId="46">#REF!</definedName>
    <definedName name="_5608_00" localSheetId="139">#REF!</definedName>
    <definedName name="_5608_00" localSheetId="47">#REF!</definedName>
    <definedName name="_5608_00">#REF!</definedName>
    <definedName name="_5608_01" localSheetId="127">#REF!</definedName>
    <definedName name="_5608_01" localSheetId="118">#REF!</definedName>
    <definedName name="_5608_01" localSheetId="125">#REF!</definedName>
    <definedName name="_5608_01" localSheetId="122">#REF!</definedName>
    <definedName name="_5608_01" localSheetId="16">#REF!</definedName>
    <definedName name="_5608_01" localSheetId="46">#REF!</definedName>
    <definedName name="_5608_01" localSheetId="139">#REF!</definedName>
    <definedName name="_5608_01" localSheetId="47">#REF!</definedName>
    <definedName name="_5608_01">#REF!</definedName>
    <definedName name="_5608_n" localSheetId="127">#REF!</definedName>
    <definedName name="_5608_n" localSheetId="118">#REF!</definedName>
    <definedName name="_5608_n" localSheetId="125">#REF!</definedName>
    <definedName name="_5608_n" localSheetId="122">#REF!</definedName>
    <definedName name="_5608_n" localSheetId="16">#REF!</definedName>
    <definedName name="_5608_n" localSheetId="46">#REF!</definedName>
    <definedName name="_5608_n" localSheetId="139">#REF!</definedName>
    <definedName name="_5608_n" localSheetId="47">#REF!</definedName>
    <definedName name="_5608_n">#REF!</definedName>
    <definedName name="_5700_00" localSheetId="127">#REF!</definedName>
    <definedName name="_5700_00" localSheetId="118">#REF!</definedName>
    <definedName name="_5700_00" localSheetId="125">#REF!</definedName>
    <definedName name="_5700_00" localSheetId="122">#REF!</definedName>
    <definedName name="_5700_00" localSheetId="16">#REF!</definedName>
    <definedName name="_5700_00" localSheetId="46">#REF!</definedName>
    <definedName name="_5700_00" localSheetId="139">#REF!</definedName>
    <definedName name="_5700_00" localSheetId="47">#REF!</definedName>
    <definedName name="_5700_00">#REF!</definedName>
    <definedName name="_5700_01" localSheetId="127">#REF!</definedName>
    <definedName name="_5700_01" localSheetId="118">#REF!</definedName>
    <definedName name="_5700_01" localSheetId="125">#REF!</definedName>
    <definedName name="_5700_01" localSheetId="122">#REF!</definedName>
    <definedName name="_5700_01" localSheetId="16">#REF!</definedName>
    <definedName name="_5700_01" localSheetId="46">#REF!</definedName>
    <definedName name="_5700_01" localSheetId="139">#REF!</definedName>
    <definedName name="_5700_01" localSheetId="47">#REF!</definedName>
    <definedName name="_5700_01">#REF!</definedName>
    <definedName name="_5700_n" localSheetId="127">#REF!</definedName>
    <definedName name="_5700_n" localSheetId="118">#REF!</definedName>
    <definedName name="_5700_n" localSheetId="125">#REF!</definedName>
    <definedName name="_5700_n" localSheetId="122">#REF!</definedName>
    <definedName name="_5700_n" localSheetId="16">#REF!</definedName>
    <definedName name="_5700_n" localSheetId="46">#REF!</definedName>
    <definedName name="_5700_n" localSheetId="139">#REF!</definedName>
    <definedName name="_5700_n" localSheetId="47">#REF!</definedName>
    <definedName name="_5700_n">#REF!</definedName>
    <definedName name="_5703_00" localSheetId="127">#REF!</definedName>
    <definedName name="_5703_00" localSheetId="118">#REF!</definedName>
    <definedName name="_5703_00" localSheetId="125">#REF!</definedName>
    <definedName name="_5703_00" localSheetId="122">#REF!</definedName>
    <definedName name="_5703_00" localSheetId="16">#REF!</definedName>
    <definedName name="_5703_00" localSheetId="46">#REF!</definedName>
    <definedName name="_5703_00" localSheetId="139">#REF!</definedName>
    <definedName name="_5703_00" localSheetId="47">#REF!</definedName>
    <definedName name="_5703_00">#REF!</definedName>
    <definedName name="_5703_01" localSheetId="127">#REF!</definedName>
    <definedName name="_5703_01" localSheetId="118">#REF!</definedName>
    <definedName name="_5703_01" localSheetId="125">#REF!</definedName>
    <definedName name="_5703_01" localSheetId="122">#REF!</definedName>
    <definedName name="_5703_01" localSheetId="16">#REF!</definedName>
    <definedName name="_5703_01" localSheetId="46">#REF!</definedName>
    <definedName name="_5703_01" localSheetId="139">#REF!</definedName>
    <definedName name="_5703_01" localSheetId="47">#REF!</definedName>
    <definedName name="_5703_01">#REF!</definedName>
    <definedName name="_5703_n" localSheetId="127">#REF!</definedName>
    <definedName name="_5703_n" localSheetId="118">#REF!</definedName>
    <definedName name="_5703_n" localSheetId="125">#REF!</definedName>
    <definedName name="_5703_n" localSheetId="122">#REF!</definedName>
    <definedName name="_5703_n" localSheetId="16">#REF!</definedName>
    <definedName name="_5703_n" localSheetId="46">#REF!</definedName>
    <definedName name="_5703_n" localSheetId="139">#REF!</definedName>
    <definedName name="_5703_n" localSheetId="47">#REF!</definedName>
    <definedName name="_5703_n">#REF!</definedName>
    <definedName name="_5720_00" localSheetId="127">#REF!</definedName>
    <definedName name="_5720_00" localSheetId="118">#REF!</definedName>
    <definedName name="_5720_00" localSheetId="125">#REF!</definedName>
    <definedName name="_5720_00" localSheetId="122">#REF!</definedName>
    <definedName name="_5720_00" localSheetId="16">#REF!</definedName>
    <definedName name="_5720_00" localSheetId="46">#REF!</definedName>
    <definedName name="_5720_00" localSheetId="139">#REF!</definedName>
    <definedName name="_5720_00" localSheetId="47">#REF!</definedName>
    <definedName name="_5720_00">#REF!</definedName>
    <definedName name="_5720_01" localSheetId="127">#REF!</definedName>
    <definedName name="_5720_01" localSheetId="118">#REF!</definedName>
    <definedName name="_5720_01" localSheetId="125">#REF!</definedName>
    <definedName name="_5720_01" localSheetId="122">#REF!</definedName>
    <definedName name="_5720_01" localSheetId="16">#REF!</definedName>
    <definedName name="_5720_01" localSheetId="46">#REF!</definedName>
    <definedName name="_5720_01" localSheetId="139">#REF!</definedName>
    <definedName name="_5720_01" localSheetId="47">#REF!</definedName>
    <definedName name="_5720_01">#REF!</definedName>
    <definedName name="_5720_n" localSheetId="127">#REF!</definedName>
    <definedName name="_5720_n" localSheetId="118">#REF!</definedName>
    <definedName name="_5720_n" localSheetId="125">#REF!</definedName>
    <definedName name="_5720_n" localSheetId="122">#REF!</definedName>
    <definedName name="_5720_n" localSheetId="16">#REF!</definedName>
    <definedName name="_5720_n" localSheetId="46">#REF!</definedName>
    <definedName name="_5720_n" localSheetId="139">#REF!</definedName>
    <definedName name="_5720_n" localSheetId="47">#REF!</definedName>
    <definedName name="_5720_n">#REF!</definedName>
    <definedName name="_5721_00" localSheetId="127">#REF!</definedName>
    <definedName name="_5721_00" localSheetId="118">#REF!</definedName>
    <definedName name="_5721_00" localSheetId="125">#REF!</definedName>
    <definedName name="_5721_00" localSheetId="122">#REF!</definedName>
    <definedName name="_5721_00" localSheetId="16">#REF!</definedName>
    <definedName name="_5721_00" localSheetId="46">#REF!</definedName>
    <definedName name="_5721_00" localSheetId="139">#REF!</definedName>
    <definedName name="_5721_00" localSheetId="47">#REF!</definedName>
    <definedName name="_5721_00">#REF!</definedName>
    <definedName name="_5721_01" localSheetId="127">#REF!</definedName>
    <definedName name="_5721_01" localSheetId="118">#REF!</definedName>
    <definedName name="_5721_01" localSheetId="125">#REF!</definedName>
    <definedName name="_5721_01" localSheetId="122">#REF!</definedName>
    <definedName name="_5721_01" localSheetId="16">#REF!</definedName>
    <definedName name="_5721_01" localSheetId="46">#REF!</definedName>
    <definedName name="_5721_01" localSheetId="139">#REF!</definedName>
    <definedName name="_5721_01" localSheetId="47">#REF!</definedName>
    <definedName name="_5721_01">#REF!</definedName>
    <definedName name="_5721_n" localSheetId="127">#REF!</definedName>
    <definedName name="_5721_n" localSheetId="118">#REF!</definedName>
    <definedName name="_5721_n" localSheetId="125">#REF!</definedName>
    <definedName name="_5721_n" localSheetId="122">#REF!</definedName>
    <definedName name="_5721_n" localSheetId="16">#REF!</definedName>
    <definedName name="_5721_n" localSheetId="46">#REF!</definedName>
    <definedName name="_5721_n" localSheetId="139">#REF!</definedName>
    <definedName name="_5721_n" localSheetId="47">#REF!</definedName>
    <definedName name="_5721_n">#REF!</definedName>
    <definedName name="_5722_00" localSheetId="127">#REF!</definedName>
    <definedName name="_5722_00" localSheetId="118">#REF!</definedName>
    <definedName name="_5722_00" localSheetId="125">#REF!</definedName>
    <definedName name="_5722_00" localSheetId="122">#REF!</definedName>
    <definedName name="_5722_00" localSheetId="16">#REF!</definedName>
    <definedName name="_5722_00" localSheetId="46">#REF!</definedName>
    <definedName name="_5722_00" localSheetId="139">#REF!</definedName>
    <definedName name="_5722_00" localSheetId="47">#REF!</definedName>
    <definedName name="_5722_00">#REF!</definedName>
    <definedName name="_5722_01" localSheetId="127">#REF!</definedName>
    <definedName name="_5722_01" localSheetId="118">#REF!</definedName>
    <definedName name="_5722_01" localSheetId="125">#REF!</definedName>
    <definedName name="_5722_01" localSheetId="122">#REF!</definedName>
    <definedName name="_5722_01" localSheetId="16">#REF!</definedName>
    <definedName name="_5722_01" localSheetId="46">#REF!</definedName>
    <definedName name="_5722_01" localSheetId="139">#REF!</definedName>
    <definedName name="_5722_01" localSheetId="47">#REF!</definedName>
    <definedName name="_5722_01">#REF!</definedName>
    <definedName name="_5722_n" localSheetId="127">#REF!</definedName>
    <definedName name="_5722_n" localSheetId="118">#REF!</definedName>
    <definedName name="_5722_n" localSheetId="125">#REF!</definedName>
    <definedName name="_5722_n" localSheetId="122">#REF!</definedName>
    <definedName name="_5722_n" localSheetId="16">#REF!</definedName>
    <definedName name="_5722_n" localSheetId="46">#REF!</definedName>
    <definedName name="_5722_n" localSheetId="139">#REF!</definedName>
    <definedName name="_5722_n" localSheetId="47">#REF!</definedName>
    <definedName name="_5722_n">#REF!</definedName>
    <definedName name="_5723_00" localSheetId="127">#REF!</definedName>
    <definedName name="_5723_00" localSheetId="118">#REF!</definedName>
    <definedName name="_5723_00" localSheetId="125">#REF!</definedName>
    <definedName name="_5723_00" localSheetId="122">#REF!</definedName>
    <definedName name="_5723_00" localSheetId="16">#REF!</definedName>
    <definedName name="_5723_00" localSheetId="46">#REF!</definedName>
    <definedName name="_5723_00" localSheetId="139">#REF!</definedName>
    <definedName name="_5723_00" localSheetId="47">#REF!</definedName>
    <definedName name="_5723_00">#REF!</definedName>
    <definedName name="_5723_01" localSheetId="127">#REF!</definedName>
    <definedName name="_5723_01" localSheetId="118">#REF!</definedName>
    <definedName name="_5723_01" localSheetId="125">#REF!</definedName>
    <definedName name="_5723_01" localSheetId="122">#REF!</definedName>
    <definedName name="_5723_01" localSheetId="16">#REF!</definedName>
    <definedName name="_5723_01" localSheetId="46">#REF!</definedName>
    <definedName name="_5723_01" localSheetId="139">#REF!</definedName>
    <definedName name="_5723_01" localSheetId="47">#REF!</definedName>
    <definedName name="_5723_01">#REF!</definedName>
    <definedName name="_5723_n" localSheetId="127">#REF!</definedName>
    <definedName name="_5723_n" localSheetId="118">#REF!</definedName>
    <definedName name="_5723_n" localSheetId="125">#REF!</definedName>
    <definedName name="_5723_n" localSheetId="122">#REF!</definedName>
    <definedName name="_5723_n" localSheetId="16">#REF!</definedName>
    <definedName name="_5723_n" localSheetId="46">#REF!</definedName>
    <definedName name="_5723_n" localSheetId="139">#REF!</definedName>
    <definedName name="_5723_n" localSheetId="47">#REF!</definedName>
    <definedName name="_5723_n">#REF!</definedName>
    <definedName name="_5724_00" localSheetId="127">#REF!</definedName>
    <definedName name="_5724_00" localSheetId="118">#REF!</definedName>
    <definedName name="_5724_00" localSheetId="125">#REF!</definedName>
    <definedName name="_5724_00" localSheetId="122">#REF!</definedName>
    <definedName name="_5724_00" localSheetId="16">#REF!</definedName>
    <definedName name="_5724_00" localSheetId="46">#REF!</definedName>
    <definedName name="_5724_00" localSheetId="139">#REF!</definedName>
    <definedName name="_5724_00" localSheetId="47">#REF!</definedName>
    <definedName name="_5724_00">#REF!</definedName>
    <definedName name="_5724_01" localSheetId="127">#REF!</definedName>
    <definedName name="_5724_01" localSheetId="118">#REF!</definedName>
    <definedName name="_5724_01" localSheetId="125">#REF!</definedName>
    <definedName name="_5724_01" localSheetId="122">#REF!</definedName>
    <definedName name="_5724_01" localSheetId="16">#REF!</definedName>
    <definedName name="_5724_01" localSheetId="46">#REF!</definedName>
    <definedName name="_5724_01" localSheetId="139">#REF!</definedName>
    <definedName name="_5724_01" localSheetId="47">#REF!</definedName>
    <definedName name="_5724_01">#REF!</definedName>
    <definedName name="_5724_n" localSheetId="127">#REF!</definedName>
    <definedName name="_5724_n" localSheetId="118">#REF!</definedName>
    <definedName name="_5724_n" localSheetId="125">#REF!</definedName>
    <definedName name="_5724_n" localSheetId="122">#REF!</definedName>
    <definedName name="_5724_n" localSheetId="16">#REF!</definedName>
    <definedName name="_5724_n" localSheetId="46">#REF!</definedName>
    <definedName name="_5724_n" localSheetId="139">#REF!</definedName>
    <definedName name="_5724_n" localSheetId="47">#REF!</definedName>
    <definedName name="_5724_n">#REF!</definedName>
    <definedName name="_5725_00" localSheetId="127">#REF!</definedName>
    <definedName name="_5725_00" localSheetId="118">#REF!</definedName>
    <definedName name="_5725_00" localSheetId="125">#REF!</definedName>
    <definedName name="_5725_00" localSheetId="122">#REF!</definedName>
    <definedName name="_5725_00" localSheetId="16">#REF!</definedName>
    <definedName name="_5725_00" localSheetId="46">#REF!</definedName>
    <definedName name="_5725_00" localSheetId="139">#REF!</definedName>
    <definedName name="_5725_00" localSheetId="47">#REF!</definedName>
    <definedName name="_5725_00">#REF!</definedName>
    <definedName name="_5725_01" localSheetId="127">#REF!</definedName>
    <definedName name="_5725_01" localSheetId="118">#REF!</definedName>
    <definedName name="_5725_01" localSheetId="125">#REF!</definedName>
    <definedName name="_5725_01" localSheetId="122">#REF!</definedName>
    <definedName name="_5725_01" localSheetId="16">#REF!</definedName>
    <definedName name="_5725_01" localSheetId="46">#REF!</definedName>
    <definedName name="_5725_01" localSheetId="139">#REF!</definedName>
    <definedName name="_5725_01" localSheetId="47">#REF!</definedName>
    <definedName name="_5725_01">#REF!</definedName>
    <definedName name="_5725_n" localSheetId="127">#REF!</definedName>
    <definedName name="_5725_n" localSheetId="118">#REF!</definedName>
    <definedName name="_5725_n" localSheetId="125">#REF!</definedName>
    <definedName name="_5725_n" localSheetId="122">#REF!</definedName>
    <definedName name="_5725_n" localSheetId="16">#REF!</definedName>
    <definedName name="_5725_n" localSheetId="46">#REF!</definedName>
    <definedName name="_5725_n" localSheetId="139">#REF!</definedName>
    <definedName name="_5725_n" localSheetId="47">#REF!</definedName>
    <definedName name="_5725_n">#REF!</definedName>
    <definedName name="_5726_00" localSheetId="127">#REF!</definedName>
    <definedName name="_5726_00" localSheetId="118">#REF!</definedName>
    <definedName name="_5726_00" localSheetId="125">#REF!</definedName>
    <definedName name="_5726_00" localSheetId="122">#REF!</definedName>
    <definedName name="_5726_00" localSheetId="16">#REF!</definedName>
    <definedName name="_5726_00" localSheetId="46">#REF!</definedName>
    <definedName name="_5726_00" localSheetId="139">#REF!</definedName>
    <definedName name="_5726_00" localSheetId="47">#REF!</definedName>
    <definedName name="_5726_00">#REF!</definedName>
    <definedName name="_5726_01" localSheetId="127">#REF!</definedName>
    <definedName name="_5726_01" localSheetId="118">#REF!</definedName>
    <definedName name="_5726_01" localSheetId="125">#REF!</definedName>
    <definedName name="_5726_01" localSheetId="122">#REF!</definedName>
    <definedName name="_5726_01" localSheetId="16">#REF!</definedName>
    <definedName name="_5726_01" localSheetId="46">#REF!</definedName>
    <definedName name="_5726_01" localSheetId="139">#REF!</definedName>
    <definedName name="_5726_01" localSheetId="47">#REF!</definedName>
    <definedName name="_5726_01">#REF!</definedName>
    <definedName name="_5726_n" localSheetId="127">#REF!</definedName>
    <definedName name="_5726_n" localSheetId="118">#REF!</definedName>
    <definedName name="_5726_n" localSheetId="125">#REF!</definedName>
    <definedName name="_5726_n" localSheetId="122">#REF!</definedName>
    <definedName name="_5726_n" localSheetId="16">#REF!</definedName>
    <definedName name="_5726_n" localSheetId="46">#REF!</definedName>
    <definedName name="_5726_n" localSheetId="139">#REF!</definedName>
    <definedName name="_5726_n" localSheetId="47">#REF!</definedName>
    <definedName name="_5726_n">#REF!</definedName>
    <definedName name="_5727_00" localSheetId="127">#REF!</definedName>
    <definedName name="_5727_00" localSheetId="118">#REF!</definedName>
    <definedName name="_5727_00" localSheetId="125">#REF!</definedName>
    <definedName name="_5727_00" localSheetId="122">#REF!</definedName>
    <definedName name="_5727_00" localSheetId="16">#REF!</definedName>
    <definedName name="_5727_00" localSheetId="46">#REF!</definedName>
    <definedName name="_5727_00" localSheetId="139">#REF!</definedName>
    <definedName name="_5727_00" localSheetId="47">#REF!</definedName>
    <definedName name="_5727_00">#REF!</definedName>
    <definedName name="_5727_01" localSheetId="127">#REF!</definedName>
    <definedName name="_5727_01" localSheetId="118">#REF!</definedName>
    <definedName name="_5727_01" localSheetId="125">#REF!</definedName>
    <definedName name="_5727_01" localSheetId="122">#REF!</definedName>
    <definedName name="_5727_01" localSheetId="16">#REF!</definedName>
    <definedName name="_5727_01" localSheetId="46">#REF!</definedName>
    <definedName name="_5727_01" localSheetId="139">#REF!</definedName>
    <definedName name="_5727_01" localSheetId="47">#REF!</definedName>
    <definedName name="_5727_01">#REF!</definedName>
    <definedName name="_5727_n" localSheetId="127">#REF!</definedName>
    <definedName name="_5727_n" localSheetId="118">#REF!</definedName>
    <definedName name="_5727_n" localSheetId="125">#REF!</definedName>
    <definedName name="_5727_n" localSheetId="122">#REF!</definedName>
    <definedName name="_5727_n" localSheetId="16">#REF!</definedName>
    <definedName name="_5727_n" localSheetId="46">#REF!</definedName>
    <definedName name="_5727_n" localSheetId="139">#REF!</definedName>
    <definedName name="_5727_n" localSheetId="47">#REF!</definedName>
    <definedName name="_5727_n">#REF!</definedName>
    <definedName name="_5728_00" localSheetId="127">#REF!</definedName>
    <definedName name="_5728_00" localSheetId="118">#REF!</definedName>
    <definedName name="_5728_00" localSheetId="125">#REF!</definedName>
    <definedName name="_5728_00" localSheetId="122">#REF!</definedName>
    <definedName name="_5728_00" localSheetId="16">#REF!</definedName>
    <definedName name="_5728_00" localSheetId="46">#REF!</definedName>
    <definedName name="_5728_00" localSheetId="139">#REF!</definedName>
    <definedName name="_5728_00" localSheetId="47">#REF!</definedName>
    <definedName name="_5728_00">#REF!</definedName>
    <definedName name="_5728_01" localSheetId="127">#REF!</definedName>
    <definedName name="_5728_01" localSheetId="118">#REF!</definedName>
    <definedName name="_5728_01" localSheetId="125">#REF!</definedName>
    <definedName name="_5728_01" localSheetId="122">#REF!</definedName>
    <definedName name="_5728_01" localSheetId="16">#REF!</definedName>
    <definedName name="_5728_01" localSheetId="46">#REF!</definedName>
    <definedName name="_5728_01" localSheetId="139">#REF!</definedName>
    <definedName name="_5728_01" localSheetId="47">#REF!</definedName>
    <definedName name="_5728_01">#REF!</definedName>
    <definedName name="_5728_n" localSheetId="127">#REF!</definedName>
    <definedName name="_5728_n" localSheetId="118">#REF!</definedName>
    <definedName name="_5728_n" localSheetId="125">#REF!</definedName>
    <definedName name="_5728_n" localSheetId="122">#REF!</definedName>
    <definedName name="_5728_n" localSheetId="16">#REF!</definedName>
    <definedName name="_5728_n" localSheetId="46">#REF!</definedName>
    <definedName name="_5728_n" localSheetId="139">#REF!</definedName>
    <definedName name="_5728_n" localSheetId="47">#REF!</definedName>
    <definedName name="_5728_n">#REF!</definedName>
    <definedName name="_5729_00" localSheetId="127">#REF!</definedName>
    <definedName name="_5729_00" localSheetId="118">#REF!</definedName>
    <definedName name="_5729_00" localSheetId="125">#REF!</definedName>
    <definedName name="_5729_00" localSheetId="122">#REF!</definedName>
    <definedName name="_5729_00" localSheetId="16">#REF!</definedName>
    <definedName name="_5729_00" localSheetId="46">#REF!</definedName>
    <definedName name="_5729_00" localSheetId="139">#REF!</definedName>
    <definedName name="_5729_00" localSheetId="47">#REF!</definedName>
    <definedName name="_5729_00">#REF!</definedName>
    <definedName name="_5729_01" localSheetId="127">#REF!</definedName>
    <definedName name="_5729_01" localSheetId="118">#REF!</definedName>
    <definedName name="_5729_01" localSheetId="125">#REF!</definedName>
    <definedName name="_5729_01" localSheetId="122">#REF!</definedName>
    <definedName name="_5729_01" localSheetId="16">#REF!</definedName>
    <definedName name="_5729_01" localSheetId="46">#REF!</definedName>
    <definedName name="_5729_01" localSheetId="139">#REF!</definedName>
    <definedName name="_5729_01" localSheetId="47">#REF!</definedName>
    <definedName name="_5729_01">#REF!</definedName>
    <definedName name="_5729_n" localSheetId="127">#REF!</definedName>
    <definedName name="_5729_n" localSheetId="118">#REF!</definedName>
    <definedName name="_5729_n" localSheetId="125">#REF!</definedName>
    <definedName name="_5729_n" localSheetId="122">#REF!</definedName>
    <definedName name="_5729_n" localSheetId="16">#REF!</definedName>
    <definedName name="_5729_n" localSheetId="46">#REF!</definedName>
    <definedName name="_5729_n" localSheetId="139">#REF!</definedName>
    <definedName name="_5729_n" localSheetId="47">#REF!</definedName>
    <definedName name="_5729_n">#REF!</definedName>
    <definedName name="_5740_00" localSheetId="127">#REF!</definedName>
    <definedName name="_5740_00" localSheetId="118">#REF!</definedName>
    <definedName name="_5740_00" localSheetId="125">#REF!</definedName>
    <definedName name="_5740_00" localSheetId="122">#REF!</definedName>
    <definedName name="_5740_00" localSheetId="16">#REF!</definedName>
    <definedName name="_5740_00" localSheetId="46">#REF!</definedName>
    <definedName name="_5740_00" localSheetId="139">#REF!</definedName>
    <definedName name="_5740_00" localSheetId="47">#REF!</definedName>
    <definedName name="_5740_00">#REF!</definedName>
    <definedName name="_5740_01" localSheetId="127">#REF!</definedName>
    <definedName name="_5740_01" localSheetId="118">#REF!</definedName>
    <definedName name="_5740_01" localSheetId="125">#REF!</definedName>
    <definedName name="_5740_01" localSheetId="122">#REF!</definedName>
    <definedName name="_5740_01" localSheetId="16">#REF!</definedName>
    <definedName name="_5740_01" localSheetId="46">#REF!</definedName>
    <definedName name="_5740_01" localSheetId="139">#REF!</definedName>
    <definedName name="_5740_01" localSheetId="47">#REF!</definedName>
    <definedName name="_5740_01">#REF!</definedName>
    <definedName name="_5740_n" localSheetId="127">#REF!</definedName>
    <definedName name="_5740_n" localSheetId="118">#REF!</definedName>
    <definedName name="_5740_n" localSheetId="125">#REF!</definedName>
    <definedName name="_5740_n" localSheetId="122">#REF!</definedName>
    <definedName name="_5740_n" localSheetId="16">#REF!</definedName>
    <definedName name="_5740_n" localSheetId="46">#REF!</definedName>
    <definedName name="_5740_n" localSheetId="139">#REF!</definedName>
    <definedName name="_5740_n" localSheetId="47">#REF!</definedName>
    <definedName name="_5740_n">#REF!</definedName>
    <definedName name="_5741_00" localSheetId="127">#REF!</definedName>
    <definedName name="_5741_00" localSheetId="118">#REF!</definedName>
    <definedName name="_5741_00" localSheetId="125">#REF!</definedName>
    <definedName name="_5741_00" localSheetId="122">#REF!</definedName>
    <definedName name="_5741_00" localSheetId="16">#REF!</definedName>
    <definedName name="_5741_00" localSheetId="46">#REF!</definedName>
    <definedName name="_5741_00" localSheetId="139">#REF!</definedName>
    <definedName name="_5741_00" localSheetId="47">#REF!</definedName>
    <definedName name="_5741_00">#REF!</definedName>
    <definedName name="_5741_01" localSheetId="127">#REF!</definedName>
    <definedName name="_5741_01" localSheetId="118">#REF!</definedName>
    <definedName name="_5741_01" localSheetId="125">#REF!</definedName>
    <definedName name="_5741_01" localSheetId="122">#REF!</definedName>
    <definedName name="_5741_01" localSheetId="16">#REF!</definedName>
    <definedName name="_5741_01" localSheetId="46">#REF!</definedName>
    <definedName name="_5741_01" localSheetId="139">#REF!</definedName>
    <definedName name="_5741_01" localSheetId="47">#REF!</definedName>
    <definedName name="_5741_01">#REF!</definedName>
    <definedName name="_5741_n" localSheetId="127">#REF!</definedName>
    <definedName name="_5741_n" localSheetId="118">#REF!</definedName>
    <definedName name="_5741_n" localSheetId="125">#REF!</definedName>
    <definedName name="_5741_n" localSheetId="122">#REF!</definedName>
    <definedName name="_5741_n" localSheetId="16">#REF!</definedName>
    <definedName name="_5741_n" localSheetId="46">#REF!</definedName>
    <definedName name="_5741_n" localSheetId="139">#REF!</definedName>
    <definedName name="_5741_n" localSheetId="47">#REF!</definedName>
    <definedName name="_5741_n">#REF!</definedName>
    <definedName name="_5742_00" localSheetId="127">#REF!</definedName>
    <definedName name="_5742_00" localSheetId="118">#REF!</definedName>
    <definedName name="_5742_00" localSheetId="125">#REF!</definedName>
    <definedName name="_5742_00" localSheetId="122">#REF!</definedName>
    <definedName name="_5742_00" localSheetId="16">#REF!</definedName>
    <definedName name="_5742_00" localSheetId="46">#REF!</definedName>
    <definedName name="_5742_00" localSheetId="139">#REF!</definedName>
    <definedName name="_5742_00" localSheetId="47">#REF!</definedName>
    <definedName name="_5742_00">#REF!</definedName>
    <definedName name="_5742_01" localSheetId="127">#REF!</definedName>
    <definedName name="_5742_01" localSheetId="118">#REF!</definedName>
    <definedName name="_5742_01" localSheetId="125">#REF!</definedName>
    <definedName name="_5742_01" localSheetId="122">#REF!</definedName>
    <definedName name="_5742_01" localSheetId="16">#REF!</definedName>
    <definedName name="_5742_01" localSheetId="46">#REF!</definedName>
    <definedName name="_5742_01" localSheetId="139">#REF!</definedName>
    <definedName name="_5742_01" localSheetId="47">#REF!</definedName>
    <definedName name="_5742_01">#REF!</definedName>
    <definedName name="_5742_n" localSheetId="127">#REF!</definedName>
    <definedName name="_5742_n" localSheetId="118">#REF!</definedName>
    <definedName name="_5742_n" localSheetId="125">#REF!</definedName>
    <definedName name="_5742_n" localSheetId="122">#REF!</definedName>
    <definedName name="_5742_n" localSheetId="16">#REF!</definedName>
    <definedName name="_5742_n" localSheetId="46">#REF!</definedName>
    <definedName name="_5742_n" localSheetId="139">#REF!</definedName>
    <definedName name="_5742_n" localSheetId="47">#REF!</definedName>
    <definedName name="_5742_n">#REF!</definedName>
    <definedName name="_5743_00" localSheetId="127">#REF!</definedName>
    <definedName name="_5743_00" localSheetId="118">#REF!</definedName>
    <definedName name="_5743_00" localSheetId="125">#REF!</definedName>
    <definedName name="_5743_00" localSheetId="122">#REF!</definedName>
    <definedName name="_5743_00" localSheetId="16">#REF!</definedName>
    <definedName name="_5743_00" localSheetId="46">#REF!</definedName>
    <definedName name="_5743_00" localSheetId="139">#REF!</definedName>
    <definedName name="_5743_00" localSheetId="47">#REF!</definedName>
    <definedName name="_5743_00">#REF!</definedName>
    <definedName name="_5743_01" localSheetId="127">#REF!</definedName>
    <definedName name="_5743_01" localSheetId="118">#REF!</definedName>
    <definedName name="_5743_01" localSheetId="125">#REF!</definedName>
    <definedName name="_5743_01" localSheetId="122">#REF!</definedName>
    <definedName name="_5743_01" localSheetId="16">#REF!</definedName>
    <definedName name="_5743_01" localSheetId="46">#REF!</definedName>
    <definedName name="_5743_01" localSheetId="139">#REF!</definedName>
    <definedName name="_5743_01" localSheetId="47">#REF!</definedName>
    <definedName name="_5743_01">#REF!</definedName>
    <definedName name="_5743_02" localSheetId="127">#REF!</definedName>
    <definedName name="_5743_02" localSheetId="118">#REF!</definedName>
    <definedName name="_5743_02" localSheetId="125">#REF!</definedName>
    <definedName name="_5743_02" localSheetId="122">#REF!</definedName>
    <definedName name="_5743_02" localSheetId="16">#REF!</definedName>
    <definedName name="_5743_02" localSheetId="46">#REF!</definedName>
    <definedName name="_5743_02" localSheetId="139">#REF!</definedName>
    <definedName name="_5743_02" localSheetId="47">#REF!</definedName>
    <definedName name="_5743_02">#REF!</definedName>
    <definedName name="_5743_n" localSheetId="127">#REF!</definedName>
    <definedName name="_5743_n" localSheetId="118">#REF!</definedName>
    <definedName name="_5743_n" localSheetId="125">#REF!</definedName>
    <definedName name="_5743_n" localSheetId="122">#REF!</definedName>
    <definedName name="_5743_n" localSheetId="16">#REF!</definedName>
    <definedName name="_5743_n" localSheetId="46">#REF!</definedName>
    <definedName name="_5743_n" localSheetId="139">#REF!</definedName>
    <definedName name="_5743_n" localSheetId="47">#REF!</definedName>
    <definedName name="_5743_n">#REF!</definedName>
    <definedName name="_5744_00" localSheetId="127">#REF!</definedName>
    <definedName name="_5744_00" localSheetId="118">#REF!</definedName>
    <definedName name="_5744_00" localSheetId="125">#REF!</definedName>
    <definedName name="_5744_00" localSheetId="122">#REF!</definedName>
    <definedName name="_5744_00" localSheetId="16">#REF!</definedName>
    <definedName name="_5744_00" localSheetId="46">#REF!</definedName>
    <definedName name="_5744_00" localSheetId="139">#REF!</definedName>
    <definedName name="_5744_00" localSheetId="47">#REF!</definedName>
    <definedName name="_5744_00">#REF!</definedName>
    <definedName name="_5744_01" localSheetId="127">#REF!</definedName>
    <definedName name="_5744_01" localSheetId="118">#REF!</definedName>
    <definedName name="_5744_01" localSheetId="125">#REF!</definedName>
    <definedName name="_5744_01" localSheetId="122">#REF!</definedName>
    <definedName name="_5744_01" localSheetId="16">#REF!</definedName>
    <definedName name="_5744_01" localSheetId="46">#REF!</definedName>
    <definedName name="_5744_01" localSheetId="139">#REF!</definedName>
    <definedName name="_5744_01" localSheetId="47">#REF!</definedName>
    <definedName name="_5744_01">#REF!</definedName>
    <definedName name="_5744_n" localSheetId="127">#REF!</definedName>
    <definedName name="_5744_n" localSheetId="118">#REF!</definedName>
    <definedName name="_5744_n" localSheetId="125">#REF!</definedName>
    <definedName name="_5744_n" localSheetId="122">#REF!</definedName>
    <definedName name="_5744_n" localSheetId="16">#REF!</definedName>
    <definedName name="_5744_n" localSheetId="46">#REF!</definedName>
    <definedName name="_5744_n" localSheetId="139">#REF!</definedName>
    <definedName name="_5744_n" localSheetId="47">#REF!</definedName>
    <definedName name="_5744_n">#REF!</definedName>
    <definedName name="_5745_00" localSheetId="127">#REF!</definedName>
    <definedName name="_5745_00" localSheetId="118">#REF!</definedName>
    <definedName name="_5745_00" localSheetId="125">#REF!</definedName>
    <definedName name="_5745_00" localSheetId="122">#REF!</definedName>
    <definedName name="_5745_00" localSheetId="16">#REF!</definedName>
    <definedName name="_5745_00" localSheetId="46">#REF!</definedName>
    <definedName name="_5745_00" localSheetId="139">#REF!</definedName>
    <definedName name="_5745_00" localSheetId="47">#REF!</definedName>
    <definedName name="_5745_00">#REF!</definedName>
    <definedName name="_5745_01" localSheetId="127">#REF!</definedName>
    <definedName name="_5745_01" localSheetId="118">#REF!</definedName>
    <definedName name="_5745_01" localSheetId="125">#REF!</definedName>
    <definedName name="_5745_01" localSheetId="122">#REF!</definedName>
    <definedName name="_5745_01" localSheetId="16">#REF!</definedName>
    <definedName name="_5745_01" localSheetId="46">#REF!</definedName>
    <definedName name="_5745_01" localSheetId="139">#REF!</definedName>
    <definedName name="_5745_01" localSheetId="47">#REF!</definedName>
    <definedName name="_5745_01">#REF!</definedName>
    <definedName name="_5745_n" localSheetId="127">#REF!</definedName>
    <definedName name="_5745_n" localSheetId="118">#REF!</definedName>
    <definedName name="_5745_n" localSheetId="125">#REF!</definedName>
    <definedName name="_5745_n" localSheetId="122">#REF!</definedName>
    <definedName name="_5745_n" localSheetId="16">#REF!</definedName>
    <definedName name="_5745_n" localSheetId="46">#REF!</definedName>
    <definedName name="_5745_n" localSheetId="139">#REF!</definedName>
    <definedName name="_5745_n" localSheetId="47">#REF!</definedName>
    <definedName name="_5745_n">#REF!</definedName>
    <definedName name="_5746_00" localSheetId="127">#REF!</definedName>
    <definedName name="_5746_00" localSheetId="118">#REF!</definedName>
    <definedName name="_5746_00" localSheetId="125">#REF!</definedName>
    <definedName name="_5746_00" localSheetId="122">#REF!</definedName>
    <definedName name="_5746_00" localSheetId="16">#REF!</definedName>
    <definedName name="_5746_00" localSheetId="46">#REF!</definedName>
    <definedName name="_5746_00" localSheetId="139">#REF!</definedName>
    <definedName name="_5746_00" localSheetId="47">#REF!</definedName>
    <definedName name="_5746_00">#REF!</definedName>
    <definedName name="_5746_01" localSheetId="127">#REF!</definedName>
    <definedName name="_5746_01" localSheetId="118">#REF!</definedName>
    <definedName name="_5746_01" localSheetId="125">#REF!</definedName>
    <definedName name="_5746_01" localSheetId="122">#REF!</definedName>
    <definedName name="_5746_01" localSheetId="16">#REF!</definedName>
    <definedName name="_5746_01" localSheetId="46">#REF!</definedName>
    <definedName name="_5746_01" localSheetId="139">#REF!</definedName>
    <definedName name="_5746_01" localSheetId="47">#REF!</definedName>
    <definedName name="_5746_01">#REF!</definedName>
    <definedName name="_5746_n" localSheetId="127">#REF!</definedName>
    <definedName name="_5746_n" localSheetId="118">#REF!</definedName>
    <definedName name="_5746_n" localSheetId="125">#REF!</definedName>
    <definedName name="_5746_n" localSheetId="122">#REF!</definedName>
    <definedName name="_5746_n" localSheetId="16">#REF!</definedName>
    <definedName name="_5746_n" localSheetId="46">#REF!</definedName>
    <definedName name="_5746_n" localSheetId="139">#REF!</definedName>
    <definedName name="_5746_n" localSheetId="47">#REF!</definedName>
    <definedName name="_5746_n">#REF!</definedName>
    <definedName name="_5747_00" localSheetId="127">#REF!</definedName>
    <definedName name="_5747_00" localSheetId="118">#REF!</definedName>
    <definedName name="_5747_00" localSheetId="125">#REF!</definedName>
    <definedName name="_5747_00" localSheetId="122">#REF!</definedName>
    <definedName name="_5747_00" localSheetId="16">#REF!</definedName>
    <definedName name="_5747_00" localSheetId="46">#REF!</definedName>
    <definedName name="_5747_00" localSheetId="139">#REF!</definedName>
    <definedName name="_5747_00" localSheetId="47">#REF!</definedName>
    <definedName name="_5747_00">#REF!</definedName>
    <definedName name="_5747_01" localSheetId="127">#REF!</definedName>
    <definedName name="_5747_01" localSheetId="118">#REF!</definedName>
    <definedName name="_5747_01" localSheetId="125">#REF!</definedName>
    <definedName name="_5747_01" localSheetId="122">#REF!</definedName>
    <definedName name="_5747_01" localSheetId="16">#REF!</definedName>
    <definedName name="_5747_01" localSheetId="46">#REF!</definedName>
    <definedName name="_5747_01" localSheetId="139">#REF!</definedName>
    <definedName name="_5747_01" localSheetId="47">#REF!</definedName>
    <definedName name="_5747_01">#REF!</definedName>
    <definedName name="_5747_n" localSheetId="127">#REF!</definedName>
    <definedName name="_5747_n" localSheetId="118">#REF!</definedName>
    <definedName name="_5747_n" localSheetId="125">#REF!</definedName>
    <definedName name="_5747_n" localSheetId="122">#REF!</definedName>
    <definedName name="_5747_n" localSheetId="16">#REF!</definedName>
    <definedName name="_5747_n" localSheetId="46">#REF!</definedName>
    <definedName name="_5747_n" localSheetId="139">#REF!</definedName>
    <definedName name="_5747_n" localSheetId="47">#REF!</definedName>
    <definedName name="_5747_n">#REF!</definedName>
    <definedName name="_5748_00" localSheetId="127">#REF!</definedName>
    <definedName name="_5748_00" localSheetId="118">#REF!</definedName>
    <definedName name="_5748_00" localSheetId="125">#REF!</definedName>
    <definedName name="_5748_00" localSheetId="122">#REF!</definedName>
    <definedName name="_5748_00" localSheetId="16">#REF!</definedName>
    <definedName name="_5748_00" localSheetId="46">#REF!</definedName>
    <definedName name="_5748_00" localSheetId="139">#REF!</definedName>
    <definedName name="_5748_00" localSheetId="47">#REF!</definedName>
    <definedName name="_5748_00">#REF!</definedName>
    <definedName name="_5748_01" localSheetId="127">#REF!</definedName>
    <definedName name="_5748_01" localSheetId="118">#REF!</definedName>
    <definedName name="_5748_01" localSheetId="125">#REF!</definedName>
    <definedName name="_5748_01" localSheetId="122">#REF!</definedName>
    <definedName name="_5748_01" localSheetId="16">#REF!</definedName>
    <definedName name="_5748_01" localSheetId="46">#REF!</definedName>
    <definedName name="_5748_01" localSheetId="139">#REF!</definedName>
    <definedName name="_5748_01" localSheetId="47">#REF!</definedName>
    <definedName name="_5748_01">#REF!</definedName>
    <definedName name="_5748_n" localSheetId="127">#REF!</definedName>
    <definedName name="_5748_n" localSheetId="118">#REF!</definedName>
    <definedName name="_5748_n" localSheetId="125">#REF!</definedName>
    <definedName name="_5748_n" localSheetId="122">#REF!</definedName>
    <definedName name="_5748_n" localSheetId="16">#REF!</definedName>
    <definedName name="_5748_n" localSheetId="46">#REF!</definedName>
    <definedName name="_5748_n" localSheetId="139">#REF!</definedName>
    <definedName name="_5748_n" localSheetId="47">#REF!</definedName>
    <definedName name="_5748_n">#REF!</definedName>
    <definedName name="_5760_00" localSheetId="127">#REF!</definedName>
    <definedName name="_5760_00" localSheetId="118">#REF!</definedName>
    <definedName name="_5760_00" localSheetId="125">#REF!</definedName>
    <definedName name="_5760_00" localSheetId="122">#REF!</definedName>
    <definedName name="_5760_00" localSheetId="16">#REF!</definedName>
    <definedName name="_5760_00" localSheetId="46">#REF!</definedName>
    <definedName name="_5760_00" localSheetId="139">#REF!</definedName>
    <definedName name="_5760_00" localSheetId="47">#REF!</definedName>
    <definedName name="_5760_00">#REF!</definedName>
    <definedName name="_5760_01" localSheetId="127">#REF!</definedName>
    <definedName name="_5760_01" localSheetId="118">#REF!</definedName>
    <definedName name="_5760_01" localSheetId="125">#REF!</definedName>
    <definedName name="_5760_01" localSheetId="122">#REF!</definedName>
    <definedName name="_5760_01" localSheetId="16">#REF!</definedName>
    <definedName name="_5760_01" localSheetId="46">#REF!</definedName>
    <definedName name="_5760_01" localSheetId="139">#REF!</definedName>
    <definedName name="_5760_01" localSheetId="47">#REF!</definedName>
    <definedName name="_5760_01">#REF!</definedName>
    <definedName name="_5760_n" localSheetId="127">#REF!</definedName>
    <definedName name="_5760_n" localSheetId="118">#REF!</definedName>
    <definedName name="_5760_n" localSheetId="125">#REF!</definedName>
    <definedName name="_5760_n" localSheetId="122">#REF!</definedName>
    <definedName name="_5760_n" localSheetId="16">#REF!</definedName>
    <definedName name="_5760_n" localSheetId="46">#REF!</definedName>
    <definedName name="_5760_n" localSheetId="139">#REF!</definedName>
    <definedName name="_5760_n" localSheetId="47">#REF!</definedName>
    <definedName name="_5760_n">#REF!</definedName>
    <definedName name="_5761_00" localSheetId="127">#REF!</definedName>
    <definedName name="_5761_00" localSheetId="118">#REF!</definedName>
    <definedName name="_5761_00" localSheetId="125">#REF!</definedName>
    <definedName name="_5761_00" localSheetId="122">#REF!</definedName>
    <definedName name="_5761_00" localSheetId="16">#REF!</definedName>
    <definedName name="_5761_00" localSheetId="46">#REF!</definedName>
    <definedName name="_5761_00" localSheetId="139">#REF!</definedName>
    <definedName name="_5761_00" localSheetId="47">#REF!</definedName>
    <definedName name="_5761_00">#REF!</definedName>
    <definedName name="_5761_01" localSheetId="127">#REF!</definedName>
    <definedName name="_5761_01" localSheetId="118">#REF!</definedName>
    <definedName name="_5761_01" localSheetId="125">#REF!</definedName>
    <definedName name="_5761_01" localSheetId="122">#REF!</definedName>
    <definedName name="_5761_01" localSheetId="16">#REF!</definedName>
    <definedName name="_5761_01" localSheetId="46">#REF!</definedName>
    <definedName name="_5761_01" localSheetId="139">#REF!</definedName>
    <definedName name="_5761_01" localSheetId="47">#REF!</definedName>
    <definedName name="_5761_01">#REF!</definedName>
    <definedName name="_5761_n" localSheetId="127">#REF!</definedName>
    <definedName name="_5761_n" localSheetId="118">#REF!</definedName>
    <definedName name="_5761_n" localSheetId="125">#REF!</definedName>
    <definedName name="_5761_n" localSheetId="122">#REF!</definedName>
    <definedName name="_5761_n" localSheetId="16">#REF!</definedName>
    <definedName name="_5761_n" localSheetId="46">#REF!</definedName>
    <definedName name="_5761_n" localSheetId="139">#REF!</definedName>
    <definedName name="_5761_n" localSheetId="47">#REF!</definedName>
    <definedName name="_5761_n">#REF!</definedName>
    <definedName name="_5762_00" localSheetId="127">#REF!</definedName>
    <definedName name="_5762_00" localSheetId="118">#REF!</definedName>
    <definedName name="_5762_00" localSheetId="125">#REF!</definedName>
    <definedName name="_5762_00" localSheetId="122">#REF!</definedName>
    <definedName name="_5762_00" localSheetId="16">#REF!</definedName>
    <definedName name="_5762_00" localSheetId="46">#REF!</definedName>
    <definedName name="_5762_00" localSheetId="139">#REF!</definedName>
    <definedName name="_5762_00" localSheetId="47">#REF!</definedName>
    <definedName name="_5762_00">#REF!</definedName>
    <definedName name="_5762_01" localSheetId="127">#REF!</definedName>
    <definedName name="_5762_01" localSheetId="118">#REF!</definedName>
    <definedName name="_5762_01" localSheetId="125">#REF!</definedName>
    <definedName name="_5762_01" localSheetId="122">#REF!</definedName>
    <definedName name="_5762_01" localSheetId="16">#REF!</definedName>
    <definedName name="_5762_01" localSheetId="46">#REF!</definedName>
    <definedName name="_5762_01" localSheetId="139">#REF!</definedName>
    <definedName name="_5762_01" localSheetId="47">#REF!</definedName>
    <definedName name="_5762_01">#REF!</definedName>
    <definedName name="_5762_n" localSheetId="127">#REF!</definedName>
    <definedName name="_5762_n" localSheetId="118">#REF!</definedName>
    <definedName name="_5762_n" localSheetId="125">#REF!</definedName>
    <definedName name="_5762_n" localSheetId="122">#REF!</definedName>
    <definedName name="_5762_n" localSheetId="16">#REF!</definedName>
    <definedName name="_5762_n" localSheetId="46">#REF!</definedName>
    <definedName name="_5762_n" localSheetId="139">#REF!</definedName>
    <definedName name="_5762_n" localSheetId="47">#REF!</definedName>
    <definedName name="_5762_n">#REF!</definedName>
    <definedName name="_5763_00" localSheetId="127">#REF!</definedName>
    <definedName name="_5763_00" localSheetId="118">#REF!</definedName>
    <definedName name="_5763_00" localSheetId="125">#REF!</definedName>
    <definedName name="_5763_00" localSheetId="122">#REF!</definedName>
    <definedName name="_5763_00" localSheetId="16">#REF!</definedName>
    <definedName name="_5763_00" localSheetId="46">#REF!</definedName>
    <definedName name="_5763_00" localSheetId="139">#REF!</definedName>
    <definedName name="_5763_00" localSheetId="47">#REF!</definedName>
    <definedName name="_5763_00">#REF!</definedName>
    <definedName name="_5763_01" localSheetId="127">#REF!</definedName>
    <definedName name="_5763_01" localSheetId="118">#REF!</definedName>
    <definedName name="_5763_01" localSheetId="125">#REF!</definedName>
    <definedName name="_5763_01" localSheetId="122">#REF!</definedName>
    <definedName name="_5763_01" localSheetId="16">#REF!</definedName>
    <definedName name="_5763_01" localSheetId="46">#REF!</definedName>
    <definedName name="_5763_01" localSheetId="139">#REF!</definedName>
    <definedName name="_5763_01" localSheetId="47">#REF!</definedName>
    <definedName name="_5763_01">#REF!</definedName>
    <definedName name="_5763_n" localSheetId="127">#REF!</definedName>
    <definedName name="_5763_n" localSheetId="118">#REF!</definedName>
    <definedName name="_5763_n" localSheetId="125">#REF!</definedName>
    <definedName name="_5763_n" localSheetId="122">#REF!</definedName>
    <definedName name="_5763_n" localSheetId="16">#REF!</definedName>
    <definedName name="_5763_n" localSheetId="46">#REF!</definedName>
    <definedName name="_5763_n" localSheetId="139">#REF!</definedName>
    <definedName name="_5763_n" localSheetId="47">#REF!</definedName>
    <definedName name="_5763_n">#REF!</definedName>
    <definedName name="_5764_00" localSheetId="127">#REF!</definedName>
    <definedName name="_5764_00" localSheetId="118">#REF!</definedName>
    <definedName name="_5764_00" localSheetId="125">#REF!</definedName>
    <definedName name="_5764_00" localSheetId="122">#REF!</definedName>
    <definedName name="_5764_00" localSheetId="16">#REF!</definedName>
    <definedName name="_5764_00" localSheetId="46">#REF!</definedName>
    <definedName name="_5764_00" localSheetId="139">#REF!</definedName>
    <definedName name="_5764_00" localSheetId="47">#REF!</definedName>
    <definedName name="_5764_00">#REF!</definedName>
    <definedName name="_5764_01" localSheetId="127">#REF!</definedName>
    <definedName name="_5764_01" localSheetId="118">#REF!</definedName>
    <definedName name="_5764_01" localSheetId="125">#REF!</definedName>
    <definedName name="_5764_01" localSheetId="122">#REF!</definedName>
    <definedName name="_5764_01" localSheetId="16">#REF!</definedName>
    <definedName name="_5764_01" localSheetId="46">#REF!</definedName>
    <definedName name="_5764_01" localSheetId="139">#REF!</definedName>
    <definedName name="_5764_01" localSheetId="47">#REF!</definedName>
    <definedName name="_5764_01">#REF!</definedName>
    <definedName name="_5764_n" localSheetId="127">#REF!</definedName>
    <definedName name="_5764_n" localSheetId="118">#REF!</definedName>
    <definedName name="_5764_n" localSheetId="125">#REF!</definedName>
    <definedName name="_5764_n" localSheetId="122">#REF!</definedName>
    <definedName name="_5764_n" localSheetId="16">#REF!</definedName>
    <definedName name="_5764_n" localSheetId="46">#REF!</definedName>
    <definedName name="_5764_n" localSheetId="139">#REF!</definedName>
    <definedName name="_5764_n" localSheetId="47">#REF!</definedName>
    <definedName name="_5764_n">#REF!</definedName>
    <definedName name="_5765_00" localSheetId="127">#REF!</definedName>
    <definedName name="_5765_00" localSheetId="118">#REF!</definedName>
    <definedName name="_5765_00" localSheetId="125">#REF!</definedName>
    <definedName name="_5765_00" localSheetId="122">#REF!</definedName>
    <definedName name="_5765_00" localSheetId="16">#REF!</definedName>
    <definedName name="_5765_00" localSheetId="46">#REF!</definedName>
    <definedName name="_5765_00" localSheetId="139">#REF!</definedName>
    <definedName name="_5765_00" localSheetId="47">#REF!</definedName>
    <definedName name="_5765_00">#REF!</definedName>
    <definedName name="_5765_01" localSheetId="127">#REF!</definedName>
    <definedName name="_5765_01" localSheetId="118">#REF!</definedName>
    <definedName name="_5765_01" localSheetId="125">#REF!</definedName>
    <definedName name="_5765_01" localSheetId="122">#REF!</definedName>
    <definedName name="_5765_01" localSheetId="16">#REF!</definedName>
    <definedName name="_5765_01" localSheetId="46">#REF!</definedName>
    <definedName name="_5765_01" localSheetId="139">#REF!</definedName>
    <definedName name="_5765_01" localSheetId="47">#REF!</definedName>
    <definedName name="_5765_01">#REF!</definedName>
    <definedName name="_5765_n" localSheetId="127">#REF!</definedName>
    <definedName name="_5765_n" localSheetId="118">#REF!</definedName>
    <definedName name="_5765_n" localSheetId="125">#REF!</definedName>
    <definedName name="_5765_n" localSheetId="122">#REF!</definedName>
    <definedName name="_5765_n" localSheetId="16">#REF!</definedName>
    <definedName name="_5765_n" localSheetId="46">#REF!</definedName>
    <definedName name="_5765_n" localSheetId="139">#REF!</definedName>
    <definedName name="_5765_n" localSheetId="47">#REF!</definedName>
    <definedName name="_5765_n">#REF!</definedName>
    <definedName name="_5766_00" localSheetId="127">#REF!</definedName>
    <definedName name="_5766_00" localSheetId="118">#REF!</definedName>
    <definedName name="_5766_00" localSheetId="125">#REF!</definedName>
    <definedName name="_5766_00" localSheetId="122">#REF!</definedName>
    <definedName name="_5766_00" localSheetId="16">#REF!</definedName>
    <definedName name="_5766_00" localSheetId="46">#REF!</definedName>
    <definedName name="_5766_00" localSheetId="139">#REF!</definedName>
    <definedName name="_5766_00" localSheetId="47">#REF!</definedName>
    <definedName name="_5766_00">#REF!</definedName>
    <definedName name="_5766_01" localSheetId="127">#REF!</definedName>
    <definedName name="_5766_01" localSheetId="118">#REF!</definedName>
    <definedName name="_5766_01" localSheetId="125">#REF!</definedName>
    <definedName name="_5766_01" localSheetId="122">#REF!</definedName>
    <definedName name="_5766_01" localSheetId="16">#REF!</definedName>
    <definedName name="_5766_01" localSheetId="46">#REF!</definedName>
    <definedName name="_5766_01" localSheetId="139">#REF!</definedName>
    <definedName name="_5766_01" localSheetId="47">#REF!</definedName>
    <definedName name="_5766_01">#REF!</definedName>
    <definedName name="_5766_n" localSheetId="127">#REF!</definedName>
    <definedName name="_5766_n" localSheetId="118">#REF!</definedName>
    <definedName name="_5766_n" localSheetId="125">#REF!</definedName>
    <definedName name="_5766_n" localSheetId="122">#REF!</definedName>
    <definedName name="_5766_n" localSheetId="16">#REF!</definedName>
    <definedName name="_5766_n" localSheetId="46">#REF!</definedName>
    <definedName name="_5766_n" localSheetId="139">#REF!</definedName>
    <definedName name="_5766_n" localSheetId="47">#REF!</definedName>
    <definedName name="_5766_n">#REF!</definedName>
    <definedName name="_5768_00" localSheetId="127">#REF!</definedName>
    <definedName name="_5768_00" localSheetId="118">#REF!</definedName>
    <definedName name="_5768_00" localSheetId="125">#REF!</definedName>
    <definedName name="_5768_00" localSheetId="122">#REF!</definedName>
    <definedName name="_5768_00" localSheetId="16">#REF!</definedName>
    <definedName name="_5768_00" localSheetId="46">#REF!</definedName>
    <definedName name="_5768_00" localSheetId="139">#REF!</definedName>
    <definedName name="_5768_00" localSheetId="47">#REF!</definedName>
    <definedName name="_5768_00">#REF!</definedName>
    <definedName name="_5768_01" localSheetId="127">#REF!</definedName>
    <definedName name="_5768_01" localSheetId="118">#REF!</definedName>
    <definedName name="_5768_01" localSheetId="125">#REF!</definedName>
    <definedName name="_5768_01" localSheetId="122">#REF!</definedName>
    <definedName name="_5768_01" localSheetId="16">#REF!</definedName>
    <definedName name="_5768_01" localSheetId="46">#REF!</definedName>
    <definedName name="_5768_01" localSheetId="139">#REF!</definedName>
    <definedName name="_5768_01" localSheetId="47">#REF!</definedName>
    <definedName name="_5768_01">#REF!</definedName>
    <definedName name="_5768_n" localSheetId="127">#REF!</definedName>
    <definedName name="_5768_n" localSheetId="118">#REF!</definedName>
    <definedName name="_5768_n" localSheetId="125">#REF!</definedName>
    <definedName name="_5768_n" localSheetId="122">#REF!</definedName>
    <definedName name="_5768_n" localSheetId="16">#REF!</definedName>
    <definedName name="_5768_n" localSheetId="46">#REF!</definedName>
    <definedName name="_5768_n" localSheetId="139">#REF!</definedName>
    <definedName name="_5768_n" localSheetId="47">#REF!</definedName>
    <definedName name="_5768_n">#REF!</definedName>
    <definedName name="_5769_00" localSheetId="127">#REF!</definedName>
    <definedName name="_5769_00" localSheetId="118">#REF!</definedName>
    <definedName name="_5769_00" localSheetId="125">#REF!</definedName>
    <definedName name="_5769_00" localSheetId="122">#REF!</definedName>
    <definedName name="_5769_00" localSheetId="16">#REF!</definedName>
    <definedName name="_5769_00" localSheetId="46">#REF!</definedName>
    <definedName name="_5769_00" localSheetId="139">#REF!</definedName>
    <definedName name="_5769_00" localSheetId="47">#REF!</definedName>
    <definedName name="_5769_00">#REF!</definedName>
    <definedName name="_5769_01" localSheetId="127">#REF!</definedName>
    <definedName name="_5769_01" localSheetId="118">#REF!</definedName>
    <definedName name="_5769_01" localSheetId="125">#REF!</definedName>
    <definedName name="_5769_01" localSheetId="122">#REF!</definedName>
    <definedName name="_5769_01" localSheetId="16">#REF!</definedName>
    <definedName name="_5769_01" localSheetId="46">#REF!</definedName>
    <definedName name="_5769_01" localSheetId="139">#REF!</definedName>
    <definedName name="_5769_01" localSheetId="47">#REF!</definedName>
    <definedName name="_5769_01">#REF!</definedName>
    <definedName name="_5769_n" localSheetId="127">#REF!</definedName>
    <definedName name="_5769_n" localSheetId="118">#REF!</definedName>
    <definedName name="_5769_n" localSheetId="125">#REF!</definedName>
    <definedName name="_5769_n" localSheetId="122">#REF!</definedName>
    <definedName name="_5769_n" localSheetId="16">#REF!</definedName>
    <definedName name="_5769_n" localSheetId="46">#REF!</definedName>
    <definedName name="_5769_n" localSheetId="139">#REF!</definedName>
    <definedName name="_5769_n" localSheetId="47">#REF!</definedName>
    <definedName name="_5769_n">#REF!</definedName>
    <definedName name="_5780_00" localSheetId="127">#REF!</definedName>
    <definedName name="_5780_00" localSheetId="118">#REF!</definedName>
    <definedName name="_5780_00" localSheetId="125">#REF!</definedName>
    <definedName name="_5780_00" localSheetId="122">#REF!</definedName>
    <definedName name="_5780_00" localSheetId="16">#REF!</definedName>
    <definedName name="_5780_00" localSheetId="46">#REF!</definedName>
    <definedName name="_5780_00" localSheetId="139">#REF!</definedName>
    <definedName name="_5780_00" localSheetId="47">#REF!</definedName>
    <definedName name="_5780_00">#REF!</definedName>
    <definedName name="_5780_01" localSheetId="127">#REF!</definedName>
    <definedName name="_5780_01" localSheetId="118">#REF!</definedName>
    <definedName name="_5780_01" localSheetId="125">#REF!</definedName>
    <definedName name="_5780_01" localSheetId="122">#REF!</definedName>
    <definedName name="_5780_01" localSheetId="16">#REF!</definedName>
    <definedName name="_5780_01" localSheetId="46">#REF!</definedName>
    <definedName name="_5780_01" localSheetId="139">#REF!</definedName>
    <definedName name="_5780_01" localSheetId="47">#REF!</definedName>
    <definedName name="_5780_01">#REF!</definedName>
    <definedName name="_5780_n" localSheetId="127">#REF!</definedName>
    <definedName name="_5780_n" localSheetId="118">#REF!</definedName>
    <definedName name="_5780_n" localSheetId="125">#REF!</definedName>
    <definedName name="_5780_n" localSheetId="122">#REF!</definedName>
    <definedName name="_5780_n" localSheetId="16">#REF!</definedName>
    <definedName name="_5780_n" localSheetId="46">#REF!</definedName>
    <definedName name="_5780_n" localSheetId="139">#REF!</definedName>
    <definedName name="_5780_n" localSheetId="47">#REF!</definedName>
    <definedName name="_5780_n">#REF!</definedName>
    <definedName name="_5781_00" localSheetId="127">#REF!</definedName>
    <definedName name="_5781_00" localSheetId="118">#REF!</definedName>
    <definedName name="_5781_00" localSheetId="125">#REF!</definedName>
    <definedName name="_5781_00" localSheetId="122">#REF!</definedName>
    <definedName name="_5781_00" localSheetId="16">#REF!</definedName>
    <definedName name="_5781_00" localSheetId="46">#REF!</definedName>
    <definedName name="_5781_00" localSheetId="139">#REF!</definedName>
    <definedName name="_5781_00" localSheetId="47">#REF!</definedName>
    <definedName name="_5781_00">#REF!</definedName>
    <definedName name="_5781_01" localSheetId="127">#REF!</definedName>
    <definedName name="_5781_01" localSheetId="118">#REF!</definedName>
    <definedName name="_5781_01" localSheetId="125">#REF!</definedName>
    <definedName name="_5781_01" localSheetId="122">#REF!</definedName>
    <definedName name="_5781_01" localSheetId="16">#REF!</definedName>
    <definedName name="_5781_01" localSheetId="46">#REF!</definedName>
    <definedName name="_5781_01" localSheetId="139">#REF!</definedName>
    <definedName name="_5781_01" localSheetId="47">#REF!</definedName>
    <definedName name="_5781_01">#REF!</definedName>
    <definedName name="_5781_n" localSheetId="127">#REF!</definedName>
    <definedName name="_5781_n" localSheetId="118">#REF!</definedName>
    <definedName name="_5781_n" localSheetId="125">#REF!</definedName>
    <definedName name="_5781_n" localSheetId="122">#REF!</definedName>
    <definedName name="_5781_n" localSheetId="16">#REF!</definedName>
    <definedName name="_5781_n" localSheetId="46">#REF!</definedName>
    <definedName name="_5781_n" localSheetId="139">#REF!</definedName>
    <definedName name="_5781_n" localSheetId="47">#REF!</definedName>
    <definedName name="_5781_n">#REF!</definedName>
    <definedName name="_5782_00" localSheetId="127">#REF!</definedName>
    <definedName name="_5782_00" localSheetId="118">#REF!</definedName>
    <definedName name="_5782_00" localSheetId="125">#REF!</definedName>
    <definedName name="_5782_00" localSheetId="122">#REF!</definedName>
    <definedName name="_5782_00" localSheetId="16">#REF!</definedName>
    <definedName name="_5782_00" localSheetId="46">#REF!</definedName>
    <definedName name="_5782_00" localSheetId="139">#REF!</definedName>
    <definedName name="_5782_00" localSheetId="47">#REF!</definedName>
    <definedName name="_5782_00">#REF!</definedName>
    <definedName name="_5782_01" localSheetId="127">#REF!</definedName>
    <definedName name="_5782_01" localSheetId="118">#REF!</definedName>
    <definedName name="_5782_01" localSheetId="125">#REF!</definedName>
    <definedName name="_5782_01" localSheetId="122">#REF!</definedName>
    <definedName name="_5782_01" localSheetId="16">#REF!</definedName>
    <definedName name="_5782_01" localSheetId="46">#REF!</definedName>
    <definedName name="_5782_01" localSheetId="139">#REF!</definedName>
    <definedName name="_5782_01" localSheetId="47">#REF!</definedName>
    <definedName name="_5782_01">#REF!</definedName>
    <definedName name="_5782_n" localSheetId="127">#REF!</definedName>
    <definedName name="_5782_n" localSheetId="118">#REF!</definedName>
    <definedName name="_5782_n" localSheetId="125">#REF!</definedName>
    <definedName name="_5782_n" localSheetId="122">#REF!</definedName>
    <definedName name="_5782_n" localSheetId="16">#REF!</definedName>
    <definedName name="_5782_n" localSheetId="46">#REF!</definedName>
    <definedName name="_5782_n" localSheetId="139">#REF!</definedName>
    <definedName name="_5782_n" localSheetId="47">#REF!</definedName>
    <definedName name="_5782_n">#REF!</definedName>
    <definedName name="_5783_00" localSheetId="127">#REF!</definedName>
    <definedName name="_5783_00" localSheetId="118">#REF!</definedName>
    <definedName name="_5783_00" localSheetId="125">#REF!</definedName>
    <definedName name="_5783_00" localSheetId="122">#REF!</definedName>
    <definedName name="_5783_00" localSheetId="16">#REF!</definedName>
    <definedName name="_5783_00" localSheetId="46">#REF!</definedName>
    <definedName name="_5783_00" localSheetId="139">#REF!</definedName>
    <definedName name="_5783_00" localSheetId="47">#REF!</definedName>
    <definedName name="_5783_00">#REF!</definedName>
    <definedName name="_5783_01" localSheetId="127">#REF!</definedName>
    <definedName name="_5783_01" localSheetId="118">#REF!</definedName>
    <definedName name="_5783_01" localSheetId="125">#REF!</definedName>
    <definedName name="_5783_01" localSheetId="122">#REF!</definedName>
    <definedName name="_5783_01" localSheetId="16">#REF!</definedName>
    <definedName name="_5783_01" localSheetId="46">#REF!</definedName>
    <definedName name="_5783_01" localSheetId="139">#REF!</definedName>
    <definedName name="_5783_01" localSheetId="47">#REF!</definedName>
    <definedName name="_5783_01">#REF!</definedName>
    <definedName name="_5783_n" localSheetId="127">#REF!</definedName>
    <definedName name="_5783_n" localSheetId="118">#REF!</definedName>
    <definedName name="_5783_n" localSheetId="125">#REF!</definedName>
    <definedName name="_5783_n" localSheetId="122">#REF!</definedName>
    <definedName name="_5783_n" localSheetId="16">#REF!</definedName>
    <definedName name="_5783_n" localSheetId="46">#REF!</definedName>
    <definedName name="_5783_n" localSheetId="139">#REF!</definedName>
    <definedName name="_5783_n" localSheetId="47">#REF!</definedName>
    <definedName name="_5783_n">#REF!</definedName>
    <definedName name="_5787_00" localSheetId="127">#REF!</definedName>
    <definedName name="_5787_00" localSheetId="118">#REF!</definedName>
    <definedName name="_5787_00" localSheetId="125">#REF!</definedName>
    <definedName name="_5787_00" localSheetId="122">#REF!</definedName>
    <definedName name="_5787_00" localSheetId="16">#REF!</definedName>
    <definedName name="_5787_00" localSheetId="46">#REF!</definedName>
    <definedName name="_5787_00" localSheetId="139">#REF!</definedName>
    <definedName name="_5787_00" localSheetId="47">#REF!</definedName>
    <definedName name="_5787_00">#REF!</definedName>
    <definedName name="_5787_01" localSheetId="127">#REF!</definedName>
    <definedName name="_5787_01" localSheetId="118">#REF!</definedName>
    <definedName name="_5787_01" localSheetId="125">#REF!</definedName>
    <definedName name="_5787_01" localSheetId="122">#REF!</definedName>
    <definedName name="_5787_01" localSheetId="16">#REF!</definedName>
    <definedName name="_5787_01" localSheetId="46">#REF!</definedName>
    <definedName name="_5787_01" localSheetId="139">#REF!</definedName>
    <definedName name="_5787_01" localSheetId="47">#REF!</definedName>
    <definedName name="_5787_01">#REF!</definedName>
    <definedName name="_5787_n" localSheetId="127">#REF!</definedName>
    <definedName name="_5787_n" localSheetId="118">#REF!</definedName>
    <definedName name="_5787_n" localSheetId="125">#REF!</definedName>
    <definedName name="_5787_n" localSheetId="122">#REF!</definedName>
    <definedName name="_5787_n" localSheetId="16">#REF!</definedName>
    <definedName name="_5787_n" localSheetId="46">#REF!</definedName>
    <definedName name="_5787_n" localSheetId="139">#REF!</definedName>
    <definedName name="_5787_n" localSheetId="47">#REF!</definedName>
    <definedName name="_5787_n">#REF!</definedName>
    <definedName name="_5788_00" localSheetId="127">#REF!</definedName>
    <definedName name="_5788_00" localSheetId="118">#REF!</definedName>
    <definedName name="_5788_00" localSheetId="125">#REF!</definedName>
    <definedName name="_5788_00" localSheetId="122">#REF!</definedName>
    <definedName name="_5788_00" localSheetId="16">#REF!</definedName>
    <definedName name="_5788_00" localSheetId="46">#REF!</definedName>
    <definedName name="_5788_00" localSheetId="139">#REF!</definedName>
    <definedName name="_5788_00" localSheetId="47">#REF!</definedName>
    <definedName name="_5788_00">#REF!</definedName>
    <definedName name="_5788_01" localSheetId="127">#REF!</definedName>
    <definedName name="_5788_01" localSheetId="118">#REF!</definedName>
    <definedName name="_5788_01" localSheetId="125">#REF!</definedName>
    <definedName name="_5788_01" localSheetId="122">#REF!</definedName>
    <definedName name="_5788_01" localSheetId="16">#REF!</definedName>
    <definedName name="_5788_01" localSheetId="46">#REF!</definedName>
    <definedName name="_5788_01" localSheetId="139">#REF!</definedName>
    <definedName name="_5788_01" localSheetId="47">#REF!</definedName>
    <definedName name="_5788_01">#REF!</definedName>
    <definedName name="_5788_n" localSheetId="127">#REF!</definedName>
    <definedName name="_5788_n" localSheetId="118">#REF!</definedName>
    <definedName name="_5788_n" localSheetId="125">#REF!</definedName>
    <definedName name="_5788_n" localSheetId="122">#REF!</definedName>
    <definedName name="_5788_n" localSheetId="16">#REF!</definedName>
    <definedName name="_5788_n" localSheetId="46">#REF!</definedName>
    <definedName name="_5788_n" localSheetId="139">#REF!</definedName>
    <definedName name="_5788_n" localSheetId="47">#REF!</definedName>
    <definedName name="_5788_n">#REF!</definedName>
    <definedName name="_5800_00" localSheetId="127">#REF!</definedName>
    <definedName name="_5800_00" localSheetId="118">#REF!</definedName>
    <definedName name="_5800_00" localSheetId="125">#REF!</definedName>
    <definedName name="_5800_00" localSheetId="122">#REF!</definedName>
    <definedName name="_5800_00" localSheetId="16">#REF!</definedName>
    <definedName name="_5800_00" localSheetId="46">#REF!</definedName>
    <definedName name="_5800_00" localSheetId="139">#REF!</definedName>
    <definedName name="_5800_00" localSheetId="47">#REF!</definedName>
    <definedName name="_5800_00">#REF!</definedName>
    <definedName name="_5800_01" localSheetId="127">#REF!</definedName>
    <definedName name="_5800_01" localSheetId="118">#REF!</definedName>
    <definedName name="_5800_01" localSheetId="125">#REF!</definedName>
    <definedName name="_5800_01" localSheetId="122">#REF!</definedName>
    <definedName name="_5800_01" localSheetId="16">#REF!</definedName>
    <definedName name="_5800_01" localSheetId="46">#REF!</definedName>
    <definedName name="_5800_01" localSheetId="139">#REF!</definedName>
    <definedName name="_5800_01" localSheetId="47">#REF!</definedName>
    <definedName name="_5800_01">#REF!</definedName>
    <definedName name="_5800_n" localSheetId="127">#REF!</definedName>
    <definedName name="_5800_n" localSheetId="118">#REF!</definedName>
    <definedName name="_5800_n" localSheetId="125">#REF!</definedName>
    <definedName name="_5800_n" localSheetId="122">#REF!</definedName>
    <definedName name="_5800_n" localSheetId="16">#REF!</definedName>
    <definedName name="_5800_n" localSheetId="46">#REF!</definedName>
    <definedName name="_5800_n" localSheetId="139">#REF!</definedName>
    <definedName name="_5800_n" localSheetId="47">#REF!</definedName>
    <definedName name="_5800_n">#REF!</definedName>
    <definedName name="_5801_00" localSheetId="127">#REF!</definedName>
    <definedName name="_5801_00" localSheetId="118">#REF!</definedName>
    <definedName name="_5801_00" localSheetId="125">#REF!</definedName>
    <definedName name="_5801_00" localSheetId="122">#REF!</definedName>
    <definedName name="_5801_00" localSheetId="16">#REF!</definedName>
    <definedName name="_5801_00" localSheetId="46">#REF!</definedName>
    <definedName name="_5801_00" localSheetId="139">#REF!</definedName>
    <definedName name="_5801_00" localSheetId="47">#REF!</definedName>
    <definedName name="_5801_00">#REF!</definedName>
    <definedName name="_5801_01" localSheetId="127">#REF!</definedName>
    <definedName name="_5801_01" localSheetId="118">#REF!</definedName>
    <definedName name="_5801_01" localSheetId="125">#REF!</definedName>
    <definedName name="_5801_01" localSheetId="122">#REF!</definedName>
    <definedName name="_5801_01" localSheetId="16">#REF!</definedName>
    <definedName name="_5801_01" localSheetId="46">#REF!</definedName>
    <definedName name="_5801_01" localSheetId="139">#REF!</definedName>
    <definedName name="_5801_01" localSheetId="47">#REF!</definedName>
    <definedName name="_5801_01">#REF!</definedName>
    <definedName name="_5801_n" localSheetId="127">#REF!</definedName>
    <definedName name="_5801_n" localSheetId="118">#REF!</definedName>
    <definedName name="_5801_n" localSheetId="125">#REF!</definedName>
    <definedName name="_5801_n" localSheetId="122">#REF!</definedName>
    <definedName name="_5801_n" localSheetId="16">#REF!</definedName>
    <definedName name="_5801_n" localSheetId="46">#REF!</definedName>
    <definedName name="_5801_n" localSheetId="139">#REF!</definedName>
    <definedName name="_5801_n" localSheetId="47">#REF!</definedName>
    <definedName name="_5801_n">#REF!</definedName>
    <definedName name="_5802_00" localSheetId="127">#REF!</definedName>
    <definedName name="_5802_00" localSheetId="118">#REF!</definedName>
    <definedName name="_5802_00" localSheetId="125">#REF!</definedName>
    <definedName name="_5802_00" localSheetId="122">#REF!</definedName>
    <definedName name="_5802_00" localSheetId="16">#REF!</definedName>
    <definedName name="_5802_00" localSheetId="46">#REF!</definedName>
    <definedName name="_5802_00" localSheetId="139">#REF!</definedName>
    <definedName name="_5802_00" localSheetId="47">#REF!</definedName>
    <definedName name="_5802_00">#REF!</definedName>
    <definedName name="_5802_01" localSheetId="127">#REF!</definedName>
    <definedName name="_5802_01" localSheetId="118">#REF!</definedName>
    <definedName name="_5802_01" localSheetId="125">#REF!</definedName>
    <definedName name="_5802_01" localSheetId="122">#REF!</definedName>
    <definedName name="_5802_01" localSheetId="16">#REF!</definedName>
    <definedName name="_5802_01" localSheetId="46">#REF!</definedName>
    <definedName name="_5802_01" localSheetId="139">#REF!</definedName>
    <definedName name="_5802_01" localSheetId="47">#REF!</definedName>
    <definedName name="_5802_01">#REF!</definedName>
    <definedName name="_5802_n" localSheetId="127">#REF!</definedName>
    <definedName name="_5802_n" localSheetId="118">#REF!</definedName>
    <definedName name="_5802_n" localSheetId="125">#REF!</definedName>
    <definedName name="_5802_n" localSheetId="122">#REF!</definedName>
    <definedName name="_5802_n" localSheetId="16">#REF!</definedName>
    <definedName name="_5802_n" localSheetId="46">#REF!</definedName>
    <definedName name="_5802_n" localSheetId="139">#REF!</definedName>
    <definedName name="_5802_n" localSheetId="47">#REF!</definedName>
    <definedName name="_5802_n">#REF!</definedName>
    <definedName name="_5850_00" localSheetId="127">#REF!</definedName>
    <definedName name="_5850_00" localSheetId="118">#REF!</definedName>
    <definedName name="_5850_00" localSheetId="125">#REF!</definedName>
    <definedName name="_5850_00" localSheetId="122">#REF!</definedName>
    <definedName name="_5850_00" localSheetId="16">#REF!</definedName>
    <definedName name="_5850_00" localSheetId="46">#REF!</definedName>
    <definedName name="_5850_00" localSheetId="139">#REF!</definedName>
    <definedName name="_5850_00" localSheetId="47">#REF!</definedName>
    <definedName name="_5850_00">#REF!</definedName>
    <definedName name="_5850_01" localSheetId="127">#REF!</definedName>
    <definedName name="_5850_01" localSheetId="118">#REF!</definedName>
    <definedName name="_5850_01" localSheetId="125">#REF!</definedName>
    <definedName name="_5850_01" localSheetId="122">#REF!</definedName>
    <definedName name="_5850_01" localSheetId="16">#REF!</definedName>
    <definedName name="_5850_01" localSheetId="46">#REF!</definedName>
    <definedName name="_5850_01" localSheetId="139">#REF!</definedName>
    <definedName name="_5850_01" localSheetId="47">#REF!</definedName>
    <definedName name="_5850_01">#REF!</definedName>
    <definedName name="_5850_n" localSheetId="127">#REF!</definedName>
    <definedName name="_5850_n" localSheetId="118">#REF!</definedName>
    <definedName name="_5850_n" localSheetId="125">#REF!</definedName>
    <definedName name="_5850_n" localSheetId="122">#REF!</definedName>
    <definedName name="_5850_n" localSheetId="16">#REF!</definedName>
    <definedName name="_5850_n" localSheetId="46">#REF!</definedName>
    <definedName name="_5850_n" localSheetId="139">#REF!</definedName>
    <definedName name="_5850_n" localSheetId="47">#REF!</definedName>
    <definedName name="_5850_n">#REF!</definedName>
    <definedName name="_5852_00" localSheetId="127">#REF!</definedName>
    <definedName name="_5852_00" localSheetId="118">#REF!</definedName>
    <definedName name="_5852_00" localSheetId="125">#REF!</definedName>
    <definedName name="_5852_00" localSheetId="122">#REF!</definedName>
    <definedName name="_5852_00" localSheetId="16">#REF!</definedName>
    <definedName name="_5852_00" localSheetId="46">#REF!</definedName>
    <definedName name="_5852_00" localSheetId="139">#REF!</definedName>
    <definedName name="_5852_00" localSheetId="47">#REF!</definedName>
    <definedName name="_5852_00">#REF!</definedName>
    <definedName name="_5852_01" localSheetId="127">#REF!</definedName>
    <definedName name="_5852_01" localSheetId="118">#REF!</definedName>
    <definedName name="_5852_01" localSheetId="125">#REF!</definedName>
    <definedName name="_5852_01" localSheetId="122">#REF!</definedName>
    <definedName name="_5852_01" localSheetId="16">#REF!</definedName>
    <definedName name="_5852_01" localSheetId="46">#REF!</definedName>
    <definedName name="_5852_01" localSheetId="139">#REF!</definedName>
    <definedName name="_5852_01" localSheetId="47">#REF!</definedName>
    <definedName name="_5852_01">#REF!</definedName>
    <definedName name="_5852_n" localSheetId="127">#REF!</definedName>
    <definedName name="_5852_n" localSheetId="118">#REF!</definedName>
    <definedName name="_5852_n" localSheetId="125">#REF!</definedName>
    <definedName name="_5852_n" localSheetId="122">#REF!</definedName>
    <definedName name="_5852_n" localSheetId="16">#REF!</definedName>
    <definedName name="_5852_n" localSheetId="46">#REF!</definedName>
    <definedName name="_5852_n" localSheetId="139">#REF!</definedName>
    <definedName name="_5852_n" localSheetId="47">#REF!</definedName>
    <definedName name="_5852_n">#REF!</definedName>
    <definedName name="_5900_00" localSheetId="127">#REF!</definedName>
    <definedName name="_5900_00" localSheetId="118">#REF!</definedName>
    <definedName name="_5900_00" localSheetId="125">#REF!</definedName>
    <definedName name="_5900_00" localSheetId="122">#REF!</definedName>
    <definedName name="_5900_00" localSheetId="16">#REF!</definedName>
    <definedName name="_5900_00" localSheetId="46">#REF!</definedName>
    <definedName name="_5900_00" localSheetId="139">#REF!</definedName>
    <definedName name="_5900_00" localSheetId="47">#REF!</definedName>
    <definedName name="_5900_00">#REF!</definedName>
    <definedName name="_5900_01" localSheetId="127">#REF!</definedName>
    <definedName name="_5900_01" localSheetId="118">#REF!</definedName>
    <definedName name="_5900_01" localSheetId="125">#REF!</definedName>
    <definedName name="_5900_01" localSheetId="122">#REF!</definedName>
    <definedName name="_5900_01" localSheetId="16">#REF!</definedName>
    <definedName name="_5900_01" localSheetId="46">#REF!</definedName>
    <definedName name="_5900_01" localSheetId="139">#REF!</definedName>
    <definedName name="_5900_01" localSheetId="47">#REF!</definedName>
    <definedName name="_5900_01">#REF!</definedName>
    <definedName name="_5900_n" localSheetId="127">#REF!</definedName>
    <definedName name="_5900_n" localSheetId="118">#REF!</definedName>
    <definedName name="_5900_n" localSheetId="125">#REF!</definedName>
    <definedName name="_5900_n" localSheetId="122">#REF!</definedName>
    <definedName name="_5900_n" localSheetId="16">#REF!</definedName>
    <definedName name="_5900_n" localSheetId="46">#REF!</definedName>
    <definedName name="_5900_n" localSheetId="139">#REF!</definedName>
    <definedName name="_5900_n" localSheetId="47">#REF!</definedName>
    <definedName name="_5900_n">#REF!</definedName>
    <definedName name="_5920_00" localSheetId="127">#REF!</definedName>
    <definedName name="_5920_00" localSheetId="118">#REF!</definedName>
    <definedName name="_5920_00" localSheetId="125">#REF!</definedName>
    <definedName name="_5920_00" localSheetId="122">#REF!</definedName>
    <definedName name="_5920_00" localSheetId="16">#REF!</definedName>
    <definedName name="_5920_00" localSheetId="46">#REF!</definedName>
    <definedName name="_5920_00" localSheetId="139">#REF!</definedName>
    <definedName name="_5920_00" localSheetId="47">#REF!</definedName>
    <definedName name="_5920_00">#REF!</definedName>
    <definedName name="_5920_01" localSheetId="127">#REF!</definedName>
    <definedName name="_5920_01" localSheetId="118">#REF!</definedName>
    <definedName name="_5920_01" localSheetId="125">#REF!</definedName>
    <definedName name="_5920_01" localSheetId="122">#REF!</definedName>
    <definedName name="_5920_01" localSheetId="16">#REF!</definedName>
    <definedName name="_5920_01" localSheetId="46">#REF!</definedName>
    <definedName name="_5920_01" localSheetId="139">#REF!</definedName>
    <definedName name="_5920_01" localSheetId="47">#REF!</definedName>
    <definedName name="_5920_01">#REF!</definedName>
    <definedName name="_5920_n" localSheetId="127">#REF!</definedName>
    <definedName name="_5920_n" localSheetId="118">#REF!</definedName>
    <definedName name="_5920_n" localSheetId="125">#REF!</definedName>
    <definedName name="_5920_n" localSheetId="122">#REF!</definedName>
    <definedName name="_5920_n" localSheetId="16">#REF!</definedName>
    <definedName name="_5920_n" localSheetId="46">#REF!</definedName>
    <definedName name="_5920_n" localSheetId="139">#REF!</definedName>
    <definedName name="_5920_n" localSheetId="47">#REF!</definedName>
    <definedName name="_5920_n">#REF!</definedName>
    <definedName name="_5921_00" localSheetId="127">#REF!</definedName>
    <definedName name="_5921_00" localSheetId="118">#REF!</definedName>
    <definedName name="_5921_00" localSheetId="125">#REF!</definedName>
    <definedName name="_5921_00" localSheetId="122">#REF!</definedName>
    <definedName name="_5921_00" localSheetId="16">#REF!</definedName>
    <definedName name="_5921_00" localSheetId="46">#REF!</definedName>
    <definedName name="_5921_00" localSheetId="139">#REF!</definedName>
    <definedName name="_5921_00" localSheetId="47">#REF!</definedName>
    <definedName name="_5921_00">#REF!</definedName>
    <definedName name="_5921_01" localSheetId="127">#REF!</definedName>
    <definedName name="_5921_01" localSheetId="118">#REF!</definedName>
    <definedName name="_5921_01" localSheetId="125">#REF!</definedName>
    <definedName name="_5921_01" localSheetId="122">#REF!</definedName>
    <definedName name="_5921_01" localSheetId="16">#REF!</definedName>
    <definedName name="_5921_01" localSheetId="46">#REF!</definedName>
    <definedName name="_5921_01" localSheetId="139">#REF!</definedName>
    <definedName name="_5921_01" localSheetId="47">#REF!</definedName>
    <definedName name="_5921_01">#REF!</definedName>
    <definedName name="_5921_n" localSheetId="127">#REF!</definedName>
    <definedName name="_5921_n" localSheetId="118">#REF!</definedName>
    <definedName name="_5921_n" localSheetId="125">#REF!</definedName>
    <definedName name="_5921_n" localSheetId="122">#REF!</definedName>
    <definedName name="_5921_n" localSheetId="16">#REF!</definedName>
    <definedName name="_5921_n" localSheetId="46">#REF!</definedName>
    <definedName name="_5921_n" localSheetId="139">#REF!</definedName>
    <definedName name="_5921_n" localSheetId="47">#REF!</definedName>
    <definedName name="_5921_n">#REF!</definedName>
    <definedName name="_5922_00" localSheetId="127">#REF!</definedName>
    <definedName name="_5922_00" localSheetId="118">#REF!</definedName>
    <definedName name="_5922_00" localSheetId="125">#REF!</definedName>
    <definedName name="_5922_00" localSheetId="122">#REF!</definedName>
    <definedName name="_5922_00" localSheetId="16">#REF!</definedName>
    <definedName name="_5922_00" localSheetId="46">#REF!</definedName>
    <definedName name="_5922_00" localSheetId="139">#REF!</definedName>
    <definedName name="_5922_00" localSheetId="47">#REF!</definedName>
    <definedName name="_5922_00">#REF!</definedName>
    <definedName name="_5922_01" localSheetId="127">#REF!</definedName>
    <definedName name="_5922_01" localSheetId="118">#REF!</definedName>
    <definedName name="_5922_01" localSheetId="125">#REF!</definedName>
    <definedName name="_5922_01" localSheetId="122">#REF!</definedName>
    <definedName name="_5922_01" localSheetId="16">#REF!</definedName>
    <definedName name="_5922_01" localSheetId="46">#REF!</definedName>
    <definedName name="_5922_01" localSheetId="139">#REF!</definedName>
    <definedName name="_5922_01" localSheetId="47">#REF!</definedName>
    <definedName name="_5922_01">#REF!</definedName>
    <definedName name="_5922_n" localSheetId="127">#REF!</definedName>
    <definedName name="_5922_n" localSheetId="118">#REF!</definedName>
    <definedName name="_5922_n" localSheetId="125">#REF!</definedName>
    <definedName name="_5922_n" localSheetId="122">#REF!</definedName>
    <definedName name="_5922_n" localSheetId="16">#REF!</definedName>
    <definedName name="_5922_n" localSheetId="46">#REF!</definedName>
    <definedName name="_5922_n" localSheetId="139">#REF!</definedName>
    <definedName name="_5922_n" localSheetId="47">#REF!</definedName>
    <definedName name="_5922_n">#REF!</definedName>
    <definedName name="_5940_00" localSheetId="127">#REF!</definedName>
    <definedName name="_5940_00" localSheetId="118">#REF!</definedName>
    <definedName name="_5940_00" localSheetId="125">#REF!</definedName>
    <definedName name="_5940_00" localSheetId="122">#REF!</definedName>
    <definedName name="_5940_00" localSheetId="16">#REF!</definedName>
    <definedName name="_5940_00" localSheetId="46">#REF!</definedName>
    <definedName name="_5940_00" localSheetId="139">#REF!</definedName>
    <definedName name="_5940_00" localSheetId="47">#REF!</definedName>
    <definedName name="_5940_00">#REF!</definedName>
    <definedName name="_5940_01" localSheetId="127">#REF!</definedName>
    <definedName name="_5940_01" localSheetId="118">#REF!</definedName>
    <definedName name="_5940_01" localSheetId="125">#REF!</definedName>
    <definedName name="_5940_01" localSheetId="122">#REF!</definedName>
    <definedName name="_5940_01" localSheetId="16">#REF!</definedName>
    <definedName name="_5940_01" localSheetId="46">#REF!</definedName>
    <definedName name="_5940_01" localSheetId="139">#REF!</definedName>
    <definedName name="_5940_01" localSheetId="47">#REF!</definedName>
    <definedName name="_5940_01">#REF!</definedName>
    <definedName name="_5940_n" localSheetId="127">#REF!</definedName>
    <definedName name="_5940_n" localSheetId="118">#REF!</definedName>
    <definedName name="_5940_n" localSheetId="125">#REF!</definedName>
    <definedName name="_5940_n" localSheetId="122">#REF!</definedName>
    <definedName name="_5940_n" localSheetId="16">#REF!</definedName>
    <definedName name="_5940_n" localSheetId="46">#REF!</definedName>
    <definedName name="_5940_n" localSheetId="139">#REF!</definedName>
    <definedName name="_5940_n" localSheetId="47">#REF!</definedName>
    <definedName name="_5940_n">#REF!</definedName>
    <definedName name="_5942_00" localSheetId="127">#REF!</definedName>
    <definedName name="_5942_00" localSheetId="118">#REF!</definedName>
    <definedName name="_5942_00" localSheetId="125">#REF!</definedName>
    <definedName name="_5942_00" localSheetId="122">#REF!</definedName>
    <definedName name="_5942_00" localSheetId="16">#REF!</definedName>
    <definedName name="_5942_00" localSheetId="46">#REF!</definedName>
    <definedName name="_5942_00" localSheetId="139">#REF!</definedName>
    <definedName name="_5942_00" localSheetId="47">#REF!</definedName>
    <definedName name="_5942_00">#REF!</definedName>
    <definedName name="_5942_01" localSheetId="127">#REF!</definedName>
    <definedName name="_5942_01" localSheetId="118">#REF!</definedName>
    <definedName name="_5942_01" localSheetId="125">#REF!</definedName>
    <definedName name="_5942_01" localSheetId="122">#REF!</definedName>
    <definedName name="_5942_01" localSheetId="16">#REF!</definedName>
    <definedName name="_5942_01" localSheetId="46">#REF!</definedName>
    <definedName name="_5942_01" localSheetId="139">#REF!</definedName>
    <definedName name="_5942_01" localSheetId="47">#REF!</definedName>
    <definedName name="_5942_01">#REF!</definedName>
    <definedName name="_5942_n" localSheetId="127">#REF!</definedName>
    <definedName name="_5942_n" localSheetId="118">#REF!</definedName>
    <definedName name="_5942_n" localSheetId="125">#REF!</definedName>
    <definedName name="_5942_n" localSheetId="122">#REF!</definedName>
    <definedName name="_5942_n" localSheetId="16">#REF!</definedName>
    <definedName name="_5942_n" localSheetId="46">#REF!</definedName>
    <definedName name="_5942_n" localSheetId="139">#REF!</definedName>
    <definedName name="_5942_n" localSheetId="47">#REF!</definedName>
    <definedName name="_5942_n">#REF!</definedName>
    <definedName name="_5999_00" localSheetId="127">#REF!</definedName>
    <definedName name="_5999_00" localSheetId="118">#REF!</definedName>
    <definedName name="_5999_00" localSheetId="125">#REF!</definedName>
    <definedName name="_5999_00" localSheetId="122">#REF!</definedName>
    <definedName name="_5999_00" localSheetId="16">#REF!</definedName>
    <definedName name="_5999_00" localSheetId="46">#REF!</definedName>
    <definedName name="_5999_00" localSheetId="139">#REF!</definedName>
    <definedName name="_5999_00" localSheetId="47">#REF!</definedName>
    <definedName name="_5999_00">#REF!</definedName>
    <definedName name="_5999_01" localSheetId="127">#REF!</definedName>
    <definedName name="_5999_01" localSheetId="118">#REF!</definedName>
    <definedName name="_5999_01" localSheetId="125">#REF!</definedName>
    <definedName name="_5999_01" localSheetId="122">#REF!</definedName>
    <definedName name="_5999_01" localSheetId="16">#REF!</definedName>
    <definedName name="_5999_01" localSheetId="46">#REF!</definedName>
    <definedName name="_5999_01" localSheetId="139">#REF!</definedName>
    <definedName name="_5999_01" localSheetId="47">#REF!</definedName>
    <definedName name="_5999_01">#REF!</definedName>
    <definedName name="_5999_n" localSheetId="127">#REF!</definedName>
    <definedName name="_5999_n" localSheetId="118">#REF!</definedName>
    <definedName name="_5999_n" localSheetId="125">#REF!</definedName>
    <definedName name="_5999_n" localSheetId="122">#REF!</definedName>
    <definedName name="_5999_n" localSheetId="16">#REF!</definedName>
    <definedName name="_5999_n" localSheetId="46">#REF!</definedName>
    <definedName name="_5999_n" localSheetId="139">#REF!</definedName>
    <definedName name="_5999_n" localSheetId="47">#REF!</definedName>
    <definedName name="_5999_n">#REF!</definedName>
    <definedName name="_№" localSheetId="11">#REF!</definedName>
    <definedName name="_№" localSheetId="5">#REF!</definedName>
    <definedName name="_№" localSheetId="6">#REF!</definedName>
    <definedName name="_№" localSheetId="8">#REF!</definedName>
    <definedName name="_№" localSheetId="7">#REF!</definedName>
    <definedName name="_№" localSheetId="138">#REF!</definedName>
    <definedName name="_№" localSheetId="10">#REF!</definedName>
    <definedName name="_№" localSheetId="9">#REF!</definedName>
    <definedName name="_№" localSheetId="136">#REF!</definedName>
    <definedName name="_№" localSheetId="127">#REF!</definedName>
    <definedName name="_№" localSheetId="42">#REF!</definedName>
    <definedName name="_№" localSheetId="118">#REF!</definedName>
    <definedName name="_№" localSheetId="128">#REF!</definedName>
    <definedName name="_№" localSheetId="125">#REF!</definedName>
    <definedName name="_№" localSheetId="137">#REF!</definedName>
    <definedName name="_№" localSheetId="130">#REF!</definedName>
    <definedName name="_№" localSheetId="131">#REF!</definedName>
    <definedName name="_№" localSheetId="122">#REF!</definedName>
    <definedName name="_№" localSheetId="16">#REF!</definedName>
    <definedName name="_№" localSheetId="46">#REF!</definedName>
    <definedName name="_№" localSheetId="139">#REF!</definedName>
    <definedName name="_№" localSheetId="47">#REF!</definedName>
    <definedName name="_№" localSheetId="28">#REF!</definedName>
    <definedName name="_№">#REF!</definedName>
    <definedName name="_SP1" localSheetId="127">[2]FES!#REF!</definedName>
    <definedName name="_SP1" localSheetId="118">[2]FES!#REF!</definedName>
    <definedName name="_SP1" localSheetId="125">[2]FES!#REF!</definedName>
    <definedName name="_SP1" localSheetId="122">[2]FES!#REF!</definedName>
    <definedName name="_SP1" localSheetId="16">[2]FES!#REF!</definedName>
    <definedName name="_SP1" localSheetId="46">[2]FES!#REF!</definedName>
    <definedName name="_SP1" localSheetId="139">[2]FES!#REF!</definedName>
    <definedName name="_SP1" localSheetId="47">[2]FES!#REF!</definedName>
    <definedName name="_SP1">[2]FES!#REF!</definedName>
    <definedName name="_SP10" localSheetId="127">[2]FES!#REF!</definedName>
    <definedName name="_SP10" localSheetId="118">[2]FES!#REF!</definedName>
    <definedName name="_SP10" localSheetId="125">[2]FES!#REF!</definedName>
    <definedName name="_SP10" localSheetId="122">[2]FES!#REF!</definedName>
    <definedName name="_SP10" localSheetId="16">[2]FES!#REF!</definedName>
    <definedName name="_SP10" localSheetId="46">[2]FES!#REF!</definedName>
    <definedName name="_SP10" localSheetId="139">[2]FES!#REF!</definedName>
    <definedName name="_SP10" localSheetId="47">[2]FES!#REF!</definedName>
    <definedName name="_SP10">[2]FES!#REF!</definedName>
    <definedName name="_SP11" localSheetId="127">[2]FES!#REF!</definedName>
    <definedName name="_SP11" localSheetId="118">[2]FES!#REF!</definedName>
    <definedName name="_SP11" localSheetId="125">[2]FES!#REF!</definedName>
    <definedName name="_SP11" localSheetId="122">[2]FES!#REF!</definedName>
    <definedName name="_SP11" localSheetId="16">[2]FES!#REF!</definedName>
    <definedName name="_SP11" localSheetId="46">[2]FES!#REF!</definedName>
    <definedName name="_SP11" localSheetId="139">[2]FES!#REF!</definedName>
    <definedName name="_SP11" localSheetId="47">[2]FES!#REF!</definedName>
    <definedName name="_SP11">[2]FES!#REF!</definedName>
    <definedName name="_SP12" localSheetId="127">[2]FES!#REF!</definedName>
    <definedName name="_SP12" localSheetId="118">[2]FES!#REF!</definedName>
    <definedName name="_SP12" localSheetId="125">[2]FES!#REF!</definedName>
    <definedName name="_SP12" localSheetId="122">[2]FES!#REF!</definedName>
    <definedName name="_SP12" localSheetId="16">[2]FES!#REF!</definedName>
    <definedName name="_SP12" localSheetId="46">[2]FES!#REF!</definedName>
    <definedName name="_SP12" localSheetId="139">[2]FES!#REF!</definedName>
    <definedName name="_SP12" localSheetId="47">[2]FES!#REF!</definedName>
    <definedName name="_SP12">[2]FES!#REF!</definedName>
    <definedName name="_SP13" localSheetId="127">[2]FES!#REF!</definedName>
    <definedName name="_SP13" localSheetId="118">[2]FES!#REF!</definedName>
    <definedName name="_SP13" localSheetId="125">[2]FES!#REF!</definedName>
    <definedName name="_SP13" localSheetId="122">[2]FES!#REF!</definedName>
    <definedName name="_SP13" localSheetId="16">[2]FES!#REF!</definedName>
    <definedName name="_SP13" localSheetId="46">[2]FES!#REF!</definedName>
    <definedName name="_SP13" localSheetId="139">[2]FES!#REF!</definedName>
    <definedName name="_SP13" localSheetId="47">[2]FES!#REF!</definedName>
    <definedName name="_SP13">[2]FES!#REF!</definedName>
    <definedName name="_SP14" localSheetId="127">[2]FES!#REF!</definedName>
    <definedName name="_SP14" localSheetId="118">[2]FES!#REF!</definedName>
    <definedName name="_SP14" localSheetId="125">[2]FES!#REF!</definedName>
    <definedName name="_SP14" localSheetId="122">[2]FES!#REF!</definedName>
    <definedName name="_SP14" localSheetId="16">[2]FES!#REF!</definedName>
    <definedName name="_SP14" localSheetId="46">[2]FES!#REF!</definedName>
    <definedName name="_SP14" localSheetId="139">[2]FES!#REF!</definedName>
    <definedName name="_SP14" localSheetId="47">[2]FES!#REF!</definedName>
    <definedName name="_SP14">[2]FES!#REF!</definedName>
    <definedName name="_SP15" localSheetId="127">[2]FES!#REF!</definedName>
    <definedName name="_SP15" localSheetId="118">[2]FES!#REF!</definedName>
    <definedName name="_SP15" localSheetId="125">[2]FES!#REF!</definedName>
    <definedName name="_SP15" localSheetId="122">[2]FES!#REF!</definedName>
    <definedName name="_SP15" localSheetId="16">[2]FES!#REF!</definedName>
    <definedName name="_SP15" localSheetId="46">[2]FES!#REF!</definedName>
    <definedName name="_SP15" localSheetId="139">[2]FES!#REF!</definedName>
    <definedName name="_SP15" localSheetId="47">[2]FES!#REF!</definedName>
    <definedName name="_SP15">[2]FES!#REF!</definedName>
    <definedName name="_SP16" localSheetId="127">[2]FES!#REF!</definedName>
    <definedName name="_SP16" localSheetId="118">[2]FES!#REF!</definedName>
    <definedName name="_SP16" localSheetId="125">[2]FES!#REF!</definedName>
    <definedName name="_SP16" localSheetId="122">[2]FES!#REF!</definedName>
    <definedName name="_SP16" localSheetId="16">[2]FES!#REF!</definedName>
    <definedName name="_SP16" localSheetId="46">[2]FES!#REF!</definedName>
    <definedName name="_SP16" localSheetId="139">[2]FES!#REF!</definedName>
    <definedName name="_SP16" localSheetId="47">[2]FES!#REF!</definedName>
    <definedName name="_SP16">[2]FES!#REF!</definedName>
    <definedName name="_SP17" localSheetId="127">[2]FES!#REF!</definedName>
    <definedName name="_SP17" localSheetId="118">[2]FES!#REF!</definedName>
    <definedName name="_SP17" localSheetId="125">[2]FES!#REF!</definedName>
    <definedName name="_SP17" localSheetId="122">[2]FES!#REF!</definedName>
    <definedName name="_SP17" localSheetId="16">[2]FES!#REF!</definedName>
    <definedName name="_SP17" localSheetId="46">[2]FES!#REF!</definedName>
    <definedName name="_SP17" localSheetId="139">[2]FES!#REF!</definedName>
    <definedName name="_SP17" localSheetId="47">[2]FES!#REF!</definedName>
    <definedName name="_SP17">[2]FES!#REF!</definedName>
    <definedName name="_SP18" localSheetId="127">[2]FES!#REF!</definedName>
    <definedName name="_SP18" localSheetId="118">[2]FES!#REF!</definedName>
    <definedName name="_SP18" localSheetId="125">[2]FES!#REF!</definedName>
    <definedName name="_SP18" localSheetId="122">[2]FES!#REF!</definedName>
    <definedName name="_SP18" localSheetId="16">[2]FES!#REF!</definedName>
    <definedName name="_SP18" localSheetId="46">[2]FES!#REF!</definedName>
    <definedName name="_SP18" localSheetId="139">[2]FES!#REF!</definedName>
    <definedName name="_SP18" localSheetId="47">[2]FES!#REF!</definedName>
    <definedName name="_SP18">[2]FES!#REF!</definedName>
    <definedName name="_SP19" localSheetId="127">[2]FES!#REF!</definedName>
    <definedName name="_SP19" localSheetId="118">[2]FES!#REF!</definedName>
    <definedName name="_SP19" localSheetId="125">[2]FES!#REF!</definedName>
    <definedName name="_SP19" localSheetId="122">[2]FES!#REF!</definedName>
    <definedName name="_SP19" localSheetId="16">[2]FES!#REF!</definedName>
    <definedName name="_SP19" localSheetId="46">[2]FES!#REF!</definedName>
    <definedName name="_SP19" localSheetId="139">[2]FES!#REF!</definedName>
    <definedName name="_SP19" localSheetId="47">[2]FES!#REF!</definedName>
    <definedName name="_SP19">[2]FES!#REF!</definedName>
    <definedName name="_SP2" localSheetId="127">[2]FES!#REF!</definedName>
    <definedName name="_SP2" localSheetId="118">[2]FES!#REF!</definedName>
    <definedName name="_SP2" localSheetId="125">[2]FES!#REF!</definedName>
    <definedName name="_SP2" localSheetId="122">[2]FES!#REF!</definedName>
    <definedName name="_SP2" localSheetId="16">[2]FES!#REF!</definedName>
    <definedName name="_SP2" localSheetId="46">[2]FES!#REF!</definedName>
    <definedName name="_SP2" localSheetId="139">[2]FES!#REF!</definedName>
    <definedName name="_SP2" localSheetId="47">[2]FES!#REF!</definedName>
    <definedName name="_SP2">[2]FES!#REF!</definedName>
    <definedName name="_SP20" localSheetId="127">[2]FES!#REF!</definedName>
    <definedName name="_SP20" localSheetId="118">[2]FES!#REF!</definedName>
    <definedName name="_SP20" localSheetId="125">[2]FES!#REF!</definedName>
    <definedName name="_SP20" localSheetId="122">[2]FES!#REF!</definedName>
    <definedName name="_SP20" localSheetId="16">[2]FES!#REF!</definedName>
    <definedName name="_SP20" localSheetId="46">[2]FES!#REF!</definedName>
    <definedName name="_SP20" localSheetId="139">[2]FES!#REF!</definedName>
    <definedName name="_SP20" localSheetId="47">[2]FES!#REF!</definedName>
    <definedName name="_SP20">[2]FES!#REF!</definedName>
    <definedName name="_SP3" localSheetId="127">[2]FES!#REF!</definedName>
    <definedName name="_SP3" localSheetId="118">[2]FES!#REF!</definedName>
    <definedName name="_SP3" localSheetId="125">[2]FES!#REF!</definedName>
    <definedName name="_SP3" localSheetId="122">[2]FES!#REF!</definedName>
    <definedName name="_SP3" localSheetId="16">[2]FES!#REF!</definedName>
    <definedName name="_SP3" localSheetId="46">[2]FES!#REF!</definedName>
    <definedName name="_SP3" localSheetId="139">[2]FES!#REF!</definedName>
    <definedName name="_SP3" localSheetId="47">[2]FES!#REF!</definedName>
    <definedName name="_SP3">[2]FES!#REF!</definedName>
    <definedName name="_SP4" localSheetId="127">[2]FES!#REF!</definedName>
    <definedName name="_SP4" localSheetId="118">[2]FES!#REF!</definedName>
    <definedName name="_SP4" localSheetId="125">[2]FES!#REF!</definedName>
    <definedName name="_SP4" localSheetId="122">[2]FES!#REF!</definedName>
    <definedName name="_SP4" localSheetId="16">[2]FES!#REF!</definedName>
    <definedName name="_SP4" localSheetId="46">[2]FES!#REF!</definedName>
    <definedName name="_SP4" localSheetId="139">[2]FES!#REF!</definedName>
    <definedName name="_SP4" localSheetId="47">[2]FES!#REF!</definedName>
    <definedName name="_SP4">[2]FES!#REF!</definedName>
    <definedName name="_SP5" localSheetId="127">[2]FES!#REF!</definedName>
    <definedName name="_SP5" localSheetId="118">[2]FES!#REF!</definedName>
    <definedName name="_SP5" localSheetId="125">[2]FES!#REF!</definedName>
    <definedName name="_SP5" localSheetId="122">[2]FES!#REF!</definedName>
    <definedName name="_SP5" localSheetId="16">[2]FES!#REF!</definedName>
    <definedName name="_SP5" localSheetId="46">[2]FES!#REF!</definedName>
    <definedName name="_SP5" localSheetId="139">[2]FES!#REF!</definedName>
    <definedName name="_SP5" localSheetId="47">[2]FES!#REF!</definedName>
    <definedName name="_SP5">[2]FES!#REF!</definedName>
    <definedName name="_SP7" localSheetId="127">[2]FES!#REF!</definedName>
    <definedName name="_SP7" localSheetId="118">[2]FES!#REF!</definedName>
    <definedName name="_SP7" localSheetId="125">[2]FES!#REF!</definedName>
    <definedName name="_SP7" localSheetId="122">[2]FES!#REF!</definedName>
    <definedName name="_SP7" localSheetId="16">[2]FES!#REF!</definedName>
    <definedName name="_SP7" localSheetId="46">[2]FES!#REF!</definedName>
    <definedName name="_SP7" localSheetId="139">[2]FES!#REF!</definedName>
    <definedName name="_SP7" localSheetId="47">[2]FES!#REF!</definedName>
    <definedName name="_SP7">[2]FES!#REF!</definedName>
    <definedName name="_SP8" localSheetId="127">[2]FES!#REF!</definedName>
    <definedName name="_SP8" localSheetId="118">[2]FES!#REF!</definedName>
    <definedName name="_SP8" localSheetId="125">[2]FES!#REF!</definedName>
    <definedName name="_SP8" localSheetId="122">[2]FES!#REF!</definedName>
    <definedName name="_SP8" localSheetId="16">[2]FES!#REF!</definedName>
    <definedName name="_SP8" localSheetId="46">[2]FES!#REF!</definedName>
    <definedName name="_SP8" localSheetId="139">[2]FES!#REF!</definedName>
    <definedName name="_SP8" localSheetId="47">[2]FES!#REF!</definedName>
    <definedName name="_SP8">[2]FES!#REF!</definedName>
    <definedName name="_SP9" localSheetId="127">[2]FES!#REF!</definedName>
    <definedName name="_SP9" localSheetId="118">[2]FES!#REF!</definedName>
    <definedName name="_SP9" localSheetId="125">[2]FES!#REF!</definedName>
    <definedName name="_SP9" localSheetId="122">[2]FES!#REF!</definedName>
    <definedName name="_SP9" localSheetId="16">[2]FES!#REF!</definedName>
    <definedName name="_SP9" localSheetId="46">[2]FES!#REF!</definedName>
    <definedName name="_SP9" localSheetId="139">[2]FES!#REF!</definedName>
    <definedName name="_SP9" localSheetId="47">[2]FES!#REF!</definedName>
    <definedName name="_SP9">[2]FES!#REF!</definedName>
    <definedName name="_Toc226895311_10">"$#ССЫЛ!.$#ССЫЛ!$#ССЫЛ!"</definedName>
    <definedName name="_xlnm._FilterDatabase" localSheetId="40" hidden="1">'запасы шк'!$A$10:$X$10</definedName>
    <definedName name="_xlnm._FilterDatabase" localSheetId="59" hidden="1">запасыАДМ!$A$10:$X$10</definedName>
    <definedName name="_xlnm._FilterDatabase" localSheetId="61" hidden="1">запасыИНТ!$A$10:$X$10</definedName>
    <definedName name="_xlnm._FilterDatabase" localSheetId="51" hidden="1">запасыМШ!$A$10:$Y$10</definedName>
    <definedName name="_xlnm._FilterDatabase" localSheetId="56" hidden="1">запасыОрын!$A$10:$Y$10</definedName>
    <definedName name="_xlnm._FilterDatabase" localSheetId="37" hidden="1">'моющ 3 цены'!$A$10:$G$10</definedName>
    <definedName name="_xlnm._FilterDatabase" localSheetId="60" hidden="1">'моющ АДМ'!$A$9:$X$9</definedName>
    <definedName name="_xlnm._FilterDatabase" localSheetId="41" hidden="1">'моющ МБ 2.03.05'!#REF!</definedName>
    <definedName name="_xlnm._FilterDatabase" localSheetId="45" hidden="1">'моющИНТ 2.03.05.'!#REF!</definedName>
    <definedName name="_xlnm._FilterDatabase" localSheetId="53" hidden="1">моющМШ!#REF!</definedName>
    <definedName name="_xlnm._FilterDatabase" localSheetId="57" hidden="1">моющОрынб!#REF!</definedName>
    <definedName name="_xlnm._FilterDatabase" localSheetId="42" hidden="1">'моющФМН 2.03.05'!#REF!</definedName>
    <definedName name="_xlnm._FilterDatabase" localSheetId="124" hidden="1">'оборуд столов'!$A$4:$T$230</definedName>
    <definedName name="_xlnm._FilterDatabase" localSheetId="52" hidden="1">'пр запасы мб 2.03.09.'!#REF!</definedName>
    <definedName name="_xlnm._FilterDatabase" localSheetId="50" hidden="1">'пр запасы фмн 2.03.09.'!#REF!</definedName>
    <definedName name="_xlnm._FilterDatabase" localSheetId="34" hidden="1">'приобретение моющих и хоз.'!$A$10:$X$10</definedName>
    <definedName name="_xlnm._FilterDatabase" localSheetId="84" hidden="1">'приобретение моющих и хоз. (2)'!$A$10:$X$10</definedName>
    <definedName name="_xlnm._FilterDatabase" localSheetId="18" hidden="1">сверка!$A$2:$C$555</definedName>
    <definedName name="_xlnm._FilterDatabase" localSheetId="38" hidden="1">'ТМЦ 3 цены'!#REF!</definedName>
    <definedName name="_xlnm._FilterDatabase" localSheetId="55" hidden="1">'ТМЦ МШ'!#REF!</definedName>
    <definedName name="_xlnm._FilterDatabase" localSheetId="85" hidden="1">тмцИНТ!#REF!</definedName>
    <definedName name="_xlnm._FilterDatabase" localSheetId="58" hidden="1">ТМЦОрынб!#REF!</definedName>
    <definedName name="_xlnm._FilterDatabase" localSheetId="46" hidden="1">'хоз 2.03.06.'!#REF!</definedName>
    <definedName name="_xlnm._FilterDatabase" localSheetId="139" hidden="1">'хоз 2.03.06. (3)'!#REF!</definedName>
    <definedName name="_xlnm._FilterDatabase" localSheetId="87" hidden="1">'хоз кот и ул освещ'!#REF!</definedName>
    <definedName name="_xlnm._FilterDatabase" localSheetId="43" hidden="1">'хоз свод'!#REF!</definedName>
    <definedName name="_xlnm._FilterDatabase" localSheetId="49" hidden="1">хозАДМ!#REF!</definedName>
    <definedName name="_xlnm._FilterDatabase" localSheetId="86" hidden="1">хозИНТ!#REF!</definedName>
    <definedName name="_xlnm._FilterDatabase" localSheetId="47" hidden="1">'хозМБ)'!$A$9:$AM$9</definedName>
    <definedName name="_xlnm._FilterDatabase" localSheetId="54" hidden="1">хозМШ!#REF!</definedName>
    <definedName name="AS2DocOpenMode" hidden="1">"AS2DocumentEdit"</definedName>
    <definedName name="assel" localSheetId="127">#REF!</definedName>
    <definedName name="assel" localSheetId="118">#REF!</definedName>
    <definedName name="assel" localSheetId="125">#REF!</definedName>
    <definedName name="assel" localSheetId="126">#REF!</definedName>
    <definedName name="assel" localSheetId="122">#REF!</definedName>
    <definedName name="assel" localSheetId="16">#REF!</definedName>
    <definedName name="assel" localSheetId="46">#REF!</definedName>
    <definedName name="assel" localSheetId="139">#REF!</definedName>
    <definedName name="assel" localSheetId="47">#REF!</definedName>
    <definedName name="assel">#REF!</definedName>
    <definedName name="B" localSheetId="127">'[3]7.1'!#REF!</definedName>
    <definedName name="B" localSheetId="118">'[3]7.1'!#REF!</definedName>
    <definedName name="B" localSheetId="125">'[3]7.1'!#REF!</definedName>
    <definedName name="B" localSheetId="126">'[3]7.1'!#REF!</definedName>
    <definedName name="B" localSheetId="122">'[3]7.1'!#REF!</definedName>
    <definedName name="B" localSheetId="16">'[3]7.1'!#REF!</definedName>
    <definedName name="B" localSheetId="46">'[3]7.1'!#REF!</definedName>
    <definedName name="B" localSheetId="139">'[3]7.1'!#REF!</definedName>
    <definedName name="B" localSheetId="47">'[3]7.1'!#REF!</definedName>
    <definedName name="B">'[3]7.1'!#REF!</definedName>
    <definedName name="Beg_Bal" localSheetId="127">#REF!</definedName>
    <definedName name="Beg_Bal" localSheetId="118">#REF!</definedName>
    <definedName name="Beg_Bal" localSheetId="125">#REF!</definedName>
    <definedName name="Beg_Bal" localSheetId="126">#REF!</definedName>
    <definedName name="Beg_Bal" localSheetId="122">#REF!</definedName>
    <definedName name="Beg_Bal" localSheetId="16">#REF!</definedName>
    <definedName name="Beg_Bal" localSheetId="46">#REF!</definedName>
    <definedName name="Beg_Bal" localSheetId="139">#REF!</definedName>
    <definedName name="Beg_Bal" localSheetId="47">#REF!</definedName>
    <definedName name="Beg_Bal">#REF!</definedName>
    <definedName name="ClDate">[4]Info!$G$6</definedName>
    <definedName name="CompOt" localSheetId="125">'Площадь столовой новая'!CompOt</definedName>
    <definedName name="CompOt" localSheetId="126">'расч по правилам '!CompOt</definedName>
    <definedName name="CompOt" localSheetId="122">#N/A</definedName>
    <definedName name="CompOt" localSheetId="16">#N/A</definedName>
    <definedName name="CompOt" localSheetId="46">#N/A</definedName>
    <definedName name="CompOt" localSheetId="139">#N/A</definedName>
    <definedName name="CompOt" localSheetId="47">#N/A</definedName>
    <definedName name="CompOt">'Площадь столовой новая'!CompOt</definedName>
    <definedName name="CompRas" localSheetId="125">'Площадь столовой новая'!CompRas</definedName>
    <definedName name="CompRas" localSheetId="126">'расч по правилам '!CompRas</definedName>
    <definedName name="CompRas" localSheetId="122">#N/A</definedName>
    <definedName name="CompRas" localSheetId="16">#N/A</definedName>
    <definedName name="CompRas" localSheetId="46">#N/A</definedName>
    <definedName name="CompRas" localSheetId="139">#N/A</definedName>
    <definedName name="CompRas" localSheetId="47">#N/A</definedName>
    <definedName name="CompRas">'Площадь столовой новая'!CompRas</definedName>
    <definedName name="Data" localSheetId="127">#REF!</definedName>
    <definedName name="Data" localSheetId="118">#REF!</definedName>
    <definedName name="Data" localSheetId="125">#REF!</definedName>
    <definedName name="Data" localSheetId="126">#REF!</definedName>
    <definedName name="Data" localSheetId="122">#REF!</definedName>
    <definedName name="Data" localSheetId="16">#REF!</definedName>
    <definedName name="Data" localSheetId="46">#REF!</definedName>
    <definedName name="Data" localSheetId="139">#REF!</definedName>
    <definedName name="Data" localSheetId="47">#REF!</definedName>
    <definedName name="Data">#REF!</definedName>
    <definedName name="dfx">[5]Форма2!$C$51:$C$58,[5]Форма2!$E$51:$F$58,[5]Форма2!$C$60:$C$63,[5]Форма2!$E$60:$F$63,[5]Форма2!$C$65:$C$67,[5]Форма2!$E$65:$F$67,[5]Форма2!$C$51</definedName>
    <definedName name="End_Bal" localSheetId="127">#REF!</definedName>
    <definedName name="End_Bal" localSheetId="118">#REF!</definedName>
    <definedName name="End_Bal" localSheetId="125">#REF!</definedName>
    <definedName name="End_Bal" localSheetId="126">#REF!</definedName>
    <definedName name="End_Bal" localSheetId="122">#REF!</definedName>
    <definedName name="End_Bal" localSheetId="16">#REF!</definedName>
    <definedName name="End_Bal" localSheetId="46">#REF!</definedName>
    <definedName name="End_Bal" localSheetId="139">#REF!</definedName>
    <definedName name="End_Bal" localSheetId="47">#REF!</definedName>
    <definedName name="End_Bal">#REF!</definedName>
    <definedName name="ew" localSheetId="125">'Площадь столовой новая'!ew</definedName>
    <definedName name="ew" localSheetId="126">'расч по правилам '!ew</definedName>
    <definedName name="ew" localSheetId="122">#N/A</definedName>
    <definedName name="ew" localSheetId="16">#N/A</definedName>
    <definedName name="ew" localSheetId="46">#N/A</definedName>
    <definedName name="ew" localSheetId="139">#N/A</definedName>
    <definedName name="ew" localSheetId="47">#N/A</definedName>
    <definedName name="ew">'Площадь столовой новая'!ew</definedName>
    <definedName name="Excel_BuiltIn_Print_Area_4" localSheetId="127">#REF!</definedName>
    <definedName name="Excel_BuiltIn_Print_Area_4" localSheetId="118">#REF!</definedName>
    <definedName name="Excel_BuiltIn_Print_Area_4" localSheetId="125">#REF!</definedName>
    <definedName name="Excel_BuiltIn_Print_Area_4" localSheetId="126">#REF!</definedName>
    <definedName name="Excel_BuiltIn_Print_Area_4" localSheetId="122">#REF!</definedName>
    <definedName name="Excel_BuiltIn_Print_Area_4" localSheetId="16">#REF!</definedName>
    <definedName name="Excel_BuiltIn_Print_Area_4" localSheetId="46">#REF!</definedName>
    <definedName name="Excel_BuiltIn_Print_Area_4" localSheetId="139">#REF!</definedName>
    <definedName name="Excel_BuiltIn_Print_Area_4" localSheetId="47">#REF!</definedName>
    <definedName name="Excel_BuiltIn_Print_Area_4">#REF!</definedName>
    <definedName name="Excel_BuiltIn_Print_Area_6" localSheetId="127">#REF!</definedName>
    <definedName name="Excel_BuiltIn_Print_Area_6" localSheetId="118">#REF!</definedName>
    <definedName name="Excel_BuiltIn_Print_Area_6" localSheetId="125">#REF!</definedName>
    <definedName name="Excel_BuiltIn_Print_Area_6" localSheetId="126">#REF!</definedName>
    <definedName name="Excel_BuiltIn_Print_Area_6" localSheetId="122">#REF!</definedName>
    <definedName name="Excel_BuiltIn_Print_Area_6" localSheetId="16">#REF!</definedName>
    <definedName name="Excel_BuiltIn_Print_Area_6" localSheetId="46">#REF!</definedName>
    <definedName name="Excel_BuiltIn_Print_Area_6" localSheetId="139">#REF!</definedName>
    <definedName name="Excel_BuiltIn_Print_Area_6" localSheetId="47">#REF!</definedName>
    <definedName name="Excel_BuiltIn_Print_Area_6">#REF!</definedName>
    <definedName name="Excel_BuiltIn_Print_Area_7" localSheetId="127">#REF!</definedName>
    <definedName name="Excel_BuiltIn_Print_Area_7" localSheetId="118">#REF!</definedName>
    <definedName name="Excel_BuiltIn_Print_Area_7" localSheetId="125">#REF!</definedName>
    <definedName name="Excel_BuiltIn_Print_Area_7" localSheetId="126">#REF!</definedName>
    <definedName name="Excel_BuiltIn_Print_Area_7" localSheetId="122">#REF!</definedName>
    <definedName name="Excel_BuiltIn_Print_Area_7" localSheetId="16">#REF!</definedName>
    <definedName name="Excel_BuiltIn_Print_Area_7" localSheetId="46">#REF!</definedName>
    <definedName name="Excel_BuiltIn_Print_Area_7" localSheetId="139">#REF!</definedName>
    <definedName name="Excel_BuiltIn_Print_Area_7" localSheetId="47">#REF!</definedName>
    <definedName name="Excel_BuiltIn_Print_Area_7">#REF!</definedName>
    <definedName name="Excel_BuiltIn_Print_Titles_1" localSheetId="11">#REF!</definedName>
    <definedName name="Excel_BuiltIn_Print_Titles_1" localSheetId="5">#REF!</definedName>
    <definedName name="Excel_BuiltIn_Print_Titles_1" localSheetId="6">#REF!</definedName>
    <definedName name="Excel_BuiltIn_Print_Titles_1" localSheetId="8">#REF!</definedName>
    <definedName name="Excel_BuiltIn_Print_Titles_1" localSheetId="7">#REF!</definedName>
    <definedName name="Excel_BuiltIn_Print_Titles_1" localSheetId="138">#REF!</definedName>
    <definedName name="Excel_BuiltIn_Print_Titles_1" localSheetId="10">#REF!</definedName>
    <definedName name="Excel_BuiltIn_Print_Titles_1" localSheetId="9">#REF!</definedName>
    <definedName name="Excel_BuiltIn_Print_Titles_1" localSheetId="136">#REF!</definedName>
    <definedName name="Excel_BuiltIn_Print_Titles_1" localSheetId="127">#REF!</definedName>
    <definedName name="Excel_BuiltIn_Print_Titles_1" localSheetId="118">#REF!</definedName>
    <definedName name="Excel_BuiltIn_Print_Titles_1" localSheetId="128">#REF!</definedName>
    <definedName name="Excel_BuiltIn_Print_Titles_1" localSheetId="125">#REF!</definedName>
    <definedName name="Excel_BuiltIn_Print_Titles_1" localSheetId="137">#REF!</definedName>
    <definedName name="Excel_BuiltIn_Print_Titles_1" localSheetId="131">#REF!</definedName>
    <definedName name="Excel_BuiltIn_Print_Titles_1" localSheetId="122">#REF!</definedName>
    <definedName name="Excel_BuiltIn_Print_Titles_1" localSheetId="16">#REF!</definedName>
    <definedName name="Excel_BuiltIn_Print_Titles_1" localSheetId="46">#REF!</definedName>
    <definedName name="Excel_BuiltIn_Print_Titles_1" localSheetId="139">#REF!</definedName>
    <definedName name="Excel_BuiltIn_Print_Titles_1" localSheetId="47">#REF!</definedName>
    <definedName name="Excel_BuiltIn_Print_Titles_1" localSheetId="28">#REF!</definedName>
    <definedName name="Excel_BuiltIn_Print_Titles_1">#REF!</definedName>
    <definedName name="Excel_BuiltIn_Print_Titles_29" localSheetId="80">#REF!,#REF!</definedName>
    <definedName name="Excel_BuiltIn_Print_Titles_29" localSheetId="71">#REF!,#REF!</definedName>
    <definedName name="Excel_BuiltIn_Print_Titles_29" localSheetId="74">#REF!,#REF!</definedName>
    <definedName name="Excel_BuiltIn_Print_Titles_29" localSheetId="81">#REF!,#REF!</definedName>
    <definedName name="Excel_BuiltIn_Print_Titles_29" localSheetId="73">#REF!,#REF!</definedName>
    <definedName name="Excel_BuiltIn_Print_Titles_29" localSheetId="82">#REF!,#REF!</definedName>
    <definedName name="Excel_BuiltIn_Print_Titles_29" localSheetId="31">#REF!,#REF!</definedName>
    <definedName name="Excel_BuiltIn_Print_Titles_29" localSheetId="108">#REF!,#REF!</definedName>
    <definedName name="Excel_BuiltIn_Print_Titles_29" localSheetId="62">#REF!,#REF!</definedName>
    <definedName name="Excel_BuiltIn_Print_Titles_29" localSheetId="40">#REF!,#REF!</definedName>
    <definedName name="Excel_BuiltIn_Print_Titles_29" localSheetId="59">#REF!,#REF!</definedName>
    <definedName name="Excel_BuiltIn_Print_Titles_29" localSheetId="61">#REF!,#REF!</definedName>
    <definedName name="Excel_BuiltIn_Print_Titles_29" localSheetId="51">#REF!,#REF!</definedName>
    <definedName name="Excel_BuiltIn_Print_Titles_29" localSheetId="56">#REF!,#REF!</definedName>
    <definedName name="Excel_BuiltIn_Print_Titles_29" localSheetId="88">#REF!,#REF!</definedName>
    <definedName name="Excel_BuiltIn_Print_Titles_29" localSheetId="94">#REF!,#REF!</definedName>
    <definedName name="Excel_BuiltIn_Print_Titles_29" localSheetId="11">#REF!,#REF!</definedName>
    <definedName name="Excel_BuiltIn_Print_Titles_29" localSheetId="5">#REF!,#REF!</definedName>
    <definedName name="Excel_BuiltIn_Print_Titles_29" localSheetId="6">#REF!,#REF!</definedName>
    <definedName name="Excel_BuiltIn_Print_Titles_29" localSheetId="8">#REF!,#REF!</definedName>
    <definedName name="Excel_BuiltIn_Print_Titles_29" localSheetId="7">#REF!,#REF!</definedName>
    <definedName name="Excel_BuiltIn_Print_Titles_29" localSheetId="138">#REF!,#REF!</definedName>
    <definedName name="Excel_BuiltIn_Print_Titles_29" localSheetId="10">#REF!,#REF!</definedName>
    <definedName name="Excel_BuiltIn_Print_Titles_29" localSheetId="9">#REF!,#REF!</definedName>
    <definedName name="Excel_BuiltIn_Print_Titles_29" localSheetId="136">#REF!,#REF!</definedName>
    <definedName name="Excel_BuiltIn_Print_Titles_29" localSheetId="127">#REF!,#REF!</definedName>
    <definedName name="Excel_BuiltIn_Print_Titles_29" localSheetId="37">#REF!,#REF!</definedName>
    <definedName name="Excel_BuiltIn_Print_Titles_29" localSheetId="60">#REF!,#REF!</definedName>
    <definedName name="Excel_BuiltIn_Print_Titles_29" localSheetId="41">#REF!,#REF!</definedName>
    <definedName name="Excel_BuiltIn_Print_Titles_29" localSheetId="45">#REF!,#REF!</definedName>
    <definedName name="Excel_BuiltIn_Print_Titles_29" localSheetId="53">#REF!,#REF!</definedName>
    <definedName name="Excel_BuiltIn_Print_Titles_29" localSheetId="57">#REF!,#REF!</definedName>
    <definedName name="Excel_BuiltIn_Print_Titles_29" localSheetId="42">#REF!,#REF!</definedName>
    <definedName name="Excel_BuiltIn_Print_Titles_29" localSheetId="95">#REF!,#REF!</definedName>
    <definedName name="Excel_BuiltIn_Print_Titles_29" localSheetId="118">#REF!,#REF!</definedName>
    <definedName name="Excel_BuiltIn_Print_Titles_29" localSheetId="48">#REF!,#REF!</definedName>
    <definedName name="Excel_BuiltIn_Print_Titles_29" localSheetId="79">#REF!,#REF!</definedName>
    <definedName name="Excel_BuiltIn_Print_Titles_29" localSheetId="133">#REF!,#REF!</definedName>
    <definedName name="Excel_BuiltIn_Print_Titles_29" localSheetId="128">#REF!,#REF!</definedName>
    <definedName name="Excel_BuiltIn_Print_Titles_29" localSheetId="93">#REF!,#REF!</definedName>
    <definedName name="Excel_BuiltIn_Print_Titles_29" localSheetId="97">#REF!,#REF!</definedName>
    <definedName name="Excel_BuiltIn_Print_Titles_29" localSheetId="113">#REF!,#REF!</definedName>
    <definedName name="Excel_BuiltIn_Print_Titles_29" localSheetId="90">#REF!,#REF!</definedName>
    <definedName name="Excel_BuiltIn_Print_Titles_29" localSheetId="12">#REF!,#REF!</definedName>
    <definedName name="Excel_BuiltIn_Print_Titles_29" localSheetId="125">#REF!,#REF!</definedName>
    <definedName name="Excel_BuiltIn_Print_Titles_29" localSheetId="105">#REF!,#REF!</definedName>
    <definedName name="Excel_BuiltIn_Print_Titles_29" localSheetId="52">#REF!,#REF!</definedName>
    <definedName name="Excel_BuiltIn_Print_Titles_29" localSheetId="50">#REF!,#REF!</definedName>
    <definedName name="Excel_BuiltIn_Print_Titles_29" localSheetId="137">#REF!,#REF!</definedName>
    <definedName name="Excel_BuiltIn_Print_Titles_29" localSheetId="33">#REF!,#REF!</definedName>
    <definedName name="Excel_BuiltIn_Print_Titles_29" localSheetId="34">#REF!,#REF!</definedName>
    <definedName name="Excel_BuiltIn_Print_Titles_29" localSheetId="84">#REF!,#REF!</definedName>
    <definedName name="Excel_BuiltIn_Print_Titles_29" localSheetId="102">#REF!,#REF!</definedName>
    <definedName name="Excel_BuiltIn_Print_Titles_29" localSheetId="130">#REF!,#REF!</definedName>
    <definedName name="Excel_BuiltIn_Print_Titles_29" localSheetId="131">#REF!,#REF!</definedName>
    <definedName name="Excel_BuiltIn_Print_Titles_29" localSheetId="126">#REF!,#REF!</definedName>
    <definedName name="Excel_BuiltIn_Print_Titles_29" localSheetId="122">#REF!,#REF!</definedName>
    <definedName name="Excel_BuiltIn_Print_Titles_29" localSheetId="78">#REF!,#REF!</definedName>
    <definedName name="Excel_BuiltIn_Print_Titles_29" localSheetId="116">#REF!,#REF!</definedName>
    <definedName name="Excel_BuiltIn_Print_Titles_29" localSheetId="16">#REF!,#REF!</definedName>
    <definedName name="Excel_BuiltIn_Print_Titles_29" localSheetId="4">#REF!,#REF!</definedName>
    <definedName name="Excel_BuiltIn_Print_Titles_29" localSheetId="75">#REF!,#REF!</definedName>
    <definedName name="Excel_BuiltIn_Print_Titles_29" localSheetId="89">#REF!,#REF!</definedName>
    <definedName name="Excel_BuiltIn_Print_Titles_29" localSheetId="0">#REF!,#REF!</definedName>
    <definedName name="Excel_BuiltIn_Print_Titles_29" localSheetId="38">#REF!,#REF!</definedName>
    <definedName name="Excel_BuiltIn_Print_Titles_29" localSheetId="55">#REF!,#REF!</definedName>
    <definedName name="Excel_BuiltIn_Print_Titles_29" localSheetId="85">#REF!,#REF!</definedName>
    <definedName name="Excel_BuiltIn_Print_Titles_29" localSheetId="58">#REF!,#REF!</definedName>
    <definedName name="Excel_BuiltIn_Print_Titles_29" localSheetId="96">#REF!,#REF!</definedName>
    <definedName name="Excel_BuiltIn_Print_Titles_29" localSheetId="46">#REF!,#REF!</definedName>
    <definedName name="Excel_BuiltIn_Print_Titles_29" localSheetId="139">#REF!,#REF!</definedName>
    <definedName name="Excel_BuiltIn_Print_Titles_29" localSheetId="36">#REF!,#REF!</definedName>
    <definedName name="Excel_BuiltIn_Print_Titles_29" localSheetId="87">#REF!,#REF!</definedName>
    <definedName name="Excel_BuiltIn_Print_Titles_29" localSheetId="43">#REF!,#REF!</definedName>
    <definedName name="Excel_BuiltIn_Print_Titles_29" localSheetId="49">#REF!,#REF!</definedName>
    <definedName name="Excel_BuiltIn_Print_Titles_29" localSheetId="86">#REF!,#REF!</definedName>
    <definedName name="Excel_BuiltIn_Print_Titles_29" localSheetId="47">#REF!,#REF!</definedName>
    <definedName name="Excel_BuiltIn_Print_Titles_29" localSheetId="54">#REF!,#REF!</definedName>
    <definedName name="Excel_BuiltIn_Print_Titles_29" localSheetId="23">#REF!,#REF!</definedName>
    <definedName name="Excel_BuiltIn_Print_Titles_29" localSheetId="13">#REF!,#REF!</definedName>
    <definedName name="Excel_BuiltIn_Print_Titles_29" localSheetId="24">#REF!,#REF!</definedName>
    <definedName name="Excel_BuiltIn_Print_Titles_29" localSheetId="29">#REF!,#REF!</definedName>
    <definedName name="Excel_BuiltIn_Print_Titles_29" localSheetId="25">#REF!,#REF!</definedName>
    <definedName name="Excel_BuiltIn_Print_Titles_29" localSheetId="26">#REF!,#REF!</definedName>
    <definedName name="Excel_BuiltIn_Print_Titles_29" localSheetId="27">#REF!,#REF!</definedName>
    <definedName name="Excel_BuiltIn_Print_Titles_29" localSheetId="28">#REF!,#REF!</definedName>
    <definedName name="Excel_BuiltIn_Print_Titles_29" localSheetId="119">#REF!,#REF!</definedName>
    <definedName name="Excel_BuiltIn_Print_Titles_29" localSheetId="69">#REF!,#REF!</definedName>
    <definedName name="Excel_BuiltIn_Print_Titles_29" localSheetId="70">#REF!,#REF!</definedName>
    <definedName name="Excel_BuiltIn_Print_Titles_29" localSheetId="72">#REF!,#REF!</definedName>
    <definedName name="Excel_BuiltIn_Print_Titles_29" localSheetId="68">#REF!,#REF!</definedName>
    <definedName name="Excel_BuiltIn_Print_Titles_29" localSheetId="67">#REF!,#REF!</definedName>
    <definedName name="Excel_BuiltIn_Print_Titles_29" localSheetId="66">#REF!,#REF!</definedName>
    <definedName name="Excel_BuiltIn_Print_Titles_29">#REF!,#REF!</definedName>
    <definedName name="Excel_BuiltIn_Print_Titles_4" localSheetId="127">#REF!</definedName>
    <definedName name="Excel_BuiltIn_Print_Titles_4" localSheetId="118">#REF!</definedName>
    <definedName name="Excel_BuiltIn_Print_Titles_4" localSheetId="125">#REF!</definedName>
    <definedName name="Excel_BuiltIn_Print_Titles_4" localSheetId="126">#REF!</definedName>
    <definedName name="Excel_BuiltIn_Print_Titles_4" localSheetId="122">#REF!</definedName>
    <definedName name="Excel_BuiltIn_Print_Titles_4" localSheetId="16">#REF!</definedName>
    <definedName name="Excel_BuiltIn_Print_Titles_4" localSheetId="46">#REF!</definedName>
    <definedName name="Excel_BuiltIn_Print_Titles_4" localSheetId="139">#REF!</definedName>
    <definedName name="Excel_BuiltIn_Print_Titles_4" localSheetId="47">#REF!</definedName>
    <definedName name="Excel_BuiltIn_Print_Titles_4">#REF!</definedName>
    <definedName name="Extra_Pay" localSheetId="127">#REF!</definedName>
    <definedName name="Extra_Pay" localSheetId="118">#REF!</definedName>
    <definedName name="Extra_Pay" localSheetId="125">#REF!</definedName>
    <definedName name="Extra_Pay" localSheetId="126">#REF!</definedName>
    <definedName name="Extra_Pay" localSheetId="122">#REF!</definedName>
    <definedName name="Extra_Pay" localSheetId="16">#REF!</definedName>
    <definedName name="Extra_Pay" localSheetId="46">#REF!</definedName>
    <definedName name="Extra_Pay" localSheetId="139">#REF!</definedName>
    <definedName name="Extra_Pay" localSheetId="47">#REF!</definedName>
    <definedName name="Extra_Pay">#REF!</definedName>
    <definedName name="fff">[6]Форма2!$D$129:$F$132,[6]Форма2!$D$134:$F$135,[6]Форма2!$D$137:$F$140,[6]Форма2!$D$142:$F$144,[6]Форма2!$D$146:$F$150,[6]Форма2!$D$152:$F$154,[6]Форма2!$D$156:$F$162,[6]Форма2!$D$129</definedName>
    <definedName name="fg" localSheetId="125">'Площадь столовой новая'!fg</definedName>
    <definedName name="fg" localSheetId="126">'расч по правилам '!fg</definedName>
    <definedName name="fg" localSheetId="122">#N/A</definedName>
    <definedName name="fg" localSheetId="16">#N/A</definedName>
    <definedName name="fg" localSheetId="46">#N/A</definedName>
    <definedName name="fg" localSheetId="139">#N/A</definedName>
    <definedName name="fg" localSheetId="47">#N/A</definedName>
    <definedName name="fg">'Площадь столовой новая'!fg</definedName>
    <definedName name="Forma2" localSheetId="127">#REF!</definedName>
    <definedName name="Forma2" localSheetId="118">#REF!</definedName>
    <definedName name="Forma2" localSheetId="125">#REF!</definedName>
    <definedName name="Forma2" localSheetId="126">#REF!</definedName>
    <definedName name="Forma2" localSheetId="122">#REF!</definedName>
    <definedName name="Forma2" localSheetId="16">#REF!</definedName>
    <definedName name="Forma2" localSheetId="46">#REF!</definedName>
    <definedName name="Forma2" localSheetId="139">#REF!</definedName>
    <definedName name="Forma2" localSheetId="47">#REF!</definedName>
    <definedName name="Forma2">#REF!</definedName>
    <definedName name="fotpp" localSheetId="127">#REF!</definedName>
    <definedName name="fotpp" localSheetId="118">#REF!</definedName>
    <definedName name="fotpp" localSheetId="125">#REF!</definedName>
    <definedName name="fotpp" localSheetId="126">#REF!</definedName>
    <definedName name="fotpp" localSheetId="122">#REF!</definedName>
    <definedName name="fotpp" localSheetId="16">#REF!</definedName>
    <definedName name="fotpp" localSheetId="46">#REF!</definedName>
    <definedName name="fotpp" localSheetId="139">#REF!</definedName>
    <definedName name="fotpp" localSheetId="47">#REF!</definedName>
    <definedName name="fotpp">#REF!</definedName>
    <definedName name="fotsv" localSheetId="127">#REF!</definedName>
    <definedName name="fotsv" localSheetId="118">#REF!</definedName>
    <definedName name="fotsv" localSheetId="125">#REF!</definedName>
    <definedName name="fotsv" localSheetId="126">#REF!</definedName>
    <definedName name="fotsv" localSheetId="122">#REF!</definedName>
    <definedName name="fotsv" localSheetId="16">#REF!</definedName>
    <definedName name="fotsv" localSheetId="46">#REF!</definedName>
    <definedName name="fotsv" localSheetId="139">#REF!</definedName>
    <definedName name="fotsv" localSheetId="47">#REF!</definedName>
    <definedName name="fotsv">#REF!</definedName>
    <definedName name="fsa" localSheetId="127">#REF!</definedName>
    <definedName name="fsa" localSheetId="118">#REF!</definedName>
    <definedName name="fsa" localSheetId="125">#REF!</definedName>
    <definedName name="fsa" localSheetId="122">#REF!</definedName>
    <definedName name="fsa" localSheetId="16">#REF!</definedName>
    <definedName name="fsa" localSheetId="46">#REF!</definedName>
    <definedName name="fsa" localSheetId="139">#REF!</definedName>
    <definedName name="fsa" localSheetId="47">#REF!</definedName>
    <definedName name="fsa">#REF!</definedName>
    <definedName name="Full_Print" localSheetId="127">#REF!</definedName>
    <definedName name="Full_Print" localSheetId="118">#REF!</definedName>
    <definedName name="Full_Print" localSheetId="125">#REF!</definedName>
    <definedName name="Full_Print" localSheetId="122">#REF!</definedName>
    <definedName name="Full_Print" localSheetId="16">#REF!</definedName>
    <definedName name="Full_Print" localSheetId="46">#REF!</definedName>
    <definedName name="Full_Print" localSheetId="139">#REF!</definedName>
    <definedName name="Full_Print" localSheetId="47">#REF!</definedName>
    <definedName name="Full_Print">#REF!</definedName>
    <definedName name="Header_Row" localSheetId="127">ROW(#REF!)</definedName>
    <definedName name="Header_Row" localSheetId="118">ROW(#REF!)</definedName>
    <definedName name="Header_Row" localSheetId="125">ROW(#REF!)</definedName>
    <definedName name="Header_Row" localSheetId="122">ROW(#REF!)</definedName>
    <definedName name="Header_Row" localSheetId="16">ROW(#REF!)</definedName>
    <definedName name="Header_Row" localSheetId="46">ROW(#REF!)</definedName>
    <definedName name="Header_Row" localSheetId="139">ROW(#REF!)</definedName>
    <definedName name="Header_Row" localSheetId="47">ROW(#REF!)</definedName>
    <definedName name="Header_Row">ROW(#REF!)</definedName>
    <definedName name="Int" localSheetId="127">#REF!</definedName>
    <definedName name="Int" localSheetId="118">#REF!</definedName>
    <definedName name="Int" localSheetId="125">#REF!</definedName>
    <definedName name="Int" localSheetId="122">#REF!</definedName>
    <definedName name="Int" localSheetId="16">#REF!</definedName>
    <definedName name="Int" localSheetId="46">#REF!</definedName>
    <definedName name="Int" localSheetId="139">#REF!</definedName>
    <definedName name="Int" localSheetId="47">#REF!</definedName>
    <definedName name="Int">#REF!</definedName>
    <definedName name="Interest_Rate" localSheetId="127">#REF!</definedName>
    <definedName name="Interest_Rate" localSheetId="118">#REF!</definedName>
    <definedName name="Interest_Rate" localSheetId="125">#REF!</definedName>
    <definedName name="Interest_Rate" localSheetId="122">#REF!</definedName>
    <definedName name="Interest_Rate" localSheetId="16">#REF!</definedName>
    <definedName name="Interest_Rate" localSheetId="46">#REF!</definedName>
    <definedName name="Interest_Rate" localSheetId="139">#REF!</definedName>
    <definedName name="Interest_Rate" localSheetId="47">#REF!</definedName>
    <definedName name="Interest_Rate">#REF!</definedName>
    <definedName name="k">#N/A</definedName>
    <definedName name="kto">[7]Форма2!$C$19:$C$24,[7]Форма2!$E$19:$F$24,[7]Форма2!$D$26:$F$31,[7]Форма2!$C$33:$C$38,[7]Форма2!$E$33:$F$38,[7]Форма2!$D$40:$F$43,[7]Форма2!$C$45:$C$48,[7]Форма2!$E$45:$F$48,[7]Форма2!$C$19</definedName>
    <definedName name="Last_Row" localSheetId="127">#N/A</definedName>
    <definedName name="Last_Row" localSheetId="118">IF('НДС ЗОПЛ'!Values_Entered,'НДС ЗОПЛ'!Header_Row+'НДС ЗОПЛ'!Number_of_Payments,'НДС ЗОПЛ'!Header_Row)</definedName>
    <definedName name="Last_Row" localSheetId="125">IF('Площадь столовой новая'!Values_Entered,'Площадь столовой новая'!Header_Row+'Площадь столовой новая'!Number_of_Payments,'Площадь столовой новая'!Header_Row)</definedName>
    <definedName name="Last_Row" localSheetId="126">IF('расч по правилам '!Values_Entered,Header_Row+'расч по правилам '!Number_of_Payments,Header_Row)</definedName>
    <definedName name="Last_Row" localSheetId="122">#N/A</definedName>
    <definedName name="Last_Row" localSheetId="16">#N/A</definedName>
    <definedName name="Last_Row" localSheetId="46">#N/A</definedName>
    <definedName name="Last_Row" localSheetId="139">#N/A</definedName>
    <definedName name="Last_Row" localSheetId="47">#N/A</definedName>
    <definedName name="Last_Row">IF([0]!Values_Entered,Header_Row+[0]!Number_of_Payments,Header_Row)</definedName>
    <definedName name="Loan_Amount" localSheetId="127">#REF!</definedName>
    <definedName name="Loan_Amount" localSheetId="118">#REF!</definedName>
    <definedName name="Loan_Amount" localSheetId="125">#REF!</definedName>
    <definedName name="Loan_Amount" localSheetId="126">#REF!</definedName>
    <definedName name="Loan_Amount" localSheetId="122">#REF!</definedName>
    <definedName name="Loan_Amount" localSheetId="16">#REF!</definedName>
    <definedName name="Loan_Amount" localSheetId="46">#REF!</definedName>
    <definedName name="Loan_Amount" localSheetId="139">#REF!</definedName>
    <definedName name="Loan_Amount" localSheetId="47">#REF!</definedName>
    <definedName name="Loan_Amount">#REF!</definedName>
    <definedName name="Loan_Start" localSheetId="127">#REF!</definedName>
    <definedName name="Loan_Start" localSheetId="118">#REF!</definedName>
    <definedName name="Loan_Start" localSheetId="125">#REF!</definedName>
    <definedName name="Loan_Start" localSheetId="126">#REF!</definedName>
    <definedName name="Loan_Start" localSheetId="122">#REF!</definedName>
    <definedName name="Loan_Start" localSheetId="16">#REF!</definedName>
    <definedName name="Loan_Start" localSheetId="46">#REF!</definedName>
    <definedName name="Loan_Start" localSheetId="139">#REF!</definedName>
    <definedName name="Loan_Start" localSheetId="47">#REF!</definedName>
    <definedName name="Loan_Start">#REF!</definedName>
    <definedName name="Loan_Years" localSheetId="127">#REF!</definedName>
    <definedName name="Loan_Years" localSheetId="118">#REF!</definedName>
    <definedName name="Loan_Years" localSheetId="125">#REF!</definedName>
    <definedName name="Loan_Years" localSheetId="126">#REF!</definedName>
    <definedName name="Loan_Years" localSheetId="122">#REF!</definedName>
    <definedName name="Loan_Years" localSheetId="16">#REF!</definedName>
    <definedName name="Loan_Years" localSheetId="46">#REF!</definedName>
    <definedName name="Loan_Years" localSheetId="139">#REF!</definedName>
    <definedName name="Loan_Years" localSheetId="47">#REF!</definedName>
    <definedName name="Loan_Years">#REF!</definedName>
    <definedName name="m">#N/A</definedName>
    <definedName name="m_111" localSheetId="127">#REF!</definedName>
    <definedName name="m_111" localSheetId="118">#REF!</definedName>
    <definedName name="m_111" localSheetId="125">#REF!</definedName>
    <definedName name="m_111" localSheetId="126">#REF!</definedName>
    <definedName name="m_111" localSheetId="122">#REF!</definedName>
    <definedName name="m_111" localSheetId="16">#REF!</definedName>
    <definedName name="m_111" localSheetId="46">#REF!</definedName>
    <definedName name="m_111" localSheetId="139">#REF!</definedName>
    <definedName name="m_111" localSheetId="47">#REF!</definedName>
    <definedName name="m_111">#REF!</definedName>
    <definedName name="m_2005">'[8]1NK'!$R$10:$R$1877</definedName>
    <definedName name="m_2006">'[8]1NK'!$S$10:$S$1838</definedName>
    <definedName name="m_2007">'[8]1NK'!$T$10:$T$1838</definedName>
    <definedName name="m_dep_I" localSheetId="127">#REF!</definedName>
    <definedName name="m_dep_I" localSheetId="118">#REF!</definedName>
    <definedName name="m_dep_I" localSheetId="125">#REF!</definedName>
    <definedName name="m_dep_I" localSheetId="126">#REF!</definedName>
    <definedName name="m_dep_I" localSheetId="122">#REF!</definedName>
    <definedName name="m_dep_I" localSheetId="16">#REF!</definedName>
    <definedName name="m_dep_I" localSheetId="46">#REF!</definedName>
    <definedName name="m_dep_I" localSheetId="139">#REF!</definedName>
    <definedName name="m_dep_I" localSheetId="47">#REF!</definedName>
    <definedName name="m_dep_I">#REF!</definedName>
    <definedName name="m_dep_I1" localSheetId="127">#REF!</definedName>
    <definedName name="m_dep_I1" localSheetId="118">#REF!</definedName>
    <definedName name="m_dep_I1" localSheetId="125">#REF!</definedName>
    <definedName name="m_dep_I1" localSheetId="126">#REF!</definedName>
    <definedName name="m_dep_I1" localSheetId="122">#REF!</definedName>
    <definedName name="m_dep_I1" localSheetId="16">#REF!</definedName>
    <definedName name="m_dep_I1" localSheetId="46">#REF!</definedName>
    <definedName name="m_dep_I1" localSheetId="139">#REF!</definedName>
    <definedName name="m_dep_I1" localSheetId="47">#REF!</definedName>
    <definedName name="m_dep_I1">#REF!</definedName>
    <definedName name="m_dep_N" localSheetId="127">#REF!</definedName>
    <definedName name="m_dep_N" localSheetId="118">#REF!</definedName>
    <definedName name="m_dep_N" localSheetId="125">#REF!</definedName>
    <definedName name="m_dep_N" localSheetId="126">#REF!</definedName>
    <definedName name="m_dep_N" localSheetId="122">#REF!</definedName>
    <definedName name="m_dep_N" localSheetId="16">#REF!</definedName>
    <definedName name="m_dep_N" localSheetId="46">#REF!</definedName>
    <definedName name="m_dep_N" localSheetId="139">#REF!</definedName>
    <definedName name="m_dep_N" localSheetId="47">#REF!</definedName>
    <definedName name="m_dep_N">#REF!</definedName>
    <definedName name="m_f2002" localSheetId="127">#REF!</definedName>
    <definedName name="m_f2002" localSheetId="118">#REF!</definedName>
    <definedName name="m_f2002" localSheetId="125">#REF!</definedName>
    <definedName name="m_f2002" localSheetId="122">#REF!</definedName>
    <definedName name="m_f2002" localSheetId="16">#REF!</definedName>
    <definedName name="m_f2002" localSheetId="46">#REF!</definedName>
    <definedName name="m_f2002" localSheetId="139">#REF!</definedName>
    <definedName name="m_f2002" localSheetId="47">#REF!</definedName>
    <definedName name="m_f2002">#REF!</definedName>
    <definedName name="m_Key2" localSheetId="127">#REF!</definedName>
    <definedName name="m_Key2" localSheetId="118">#REF!</definedName>
    <definedName name="m_Key2" localSheetId="125">#REF!</definedName>
    <definedName name="m_Key2" localSheetId="122">#REF!</definedName>
    <definedName name="m_Key2" localSheetId="16">#REF!</definedName>
    <definedName name="m_Key2" localSheetId="46">#REF!</definedName>
    <definedName name="m_Key2" localSheetId="139">#REF!</definedName>
    <definedName name="m_Key2" localSheetId="47">#REF!</definedName>
    <definedName name="m_Key2">#REF!</definedName>
    <definedName name="m_o2003" localSheetId="127">#REF!</definedName>
    <definedName name="m_o2003" localSheetId="118">#REF!</definedName>
    <definedName name="m_o2003" localSheetId="125">#REF!</definedName>
    <definedName name="m_o2003" localSheetId="122">#REF!</definedName>
    <definedName name="m_o2003" localSheetId="16">#REF!</definedName>
    <definedName name="m_o2003" localSheetId="46">#REF!</definedName>
    <definedName name="m_o2003" localSheetId="139">#REF!</definedName>
    <definedName name="m_o2003" localSheetId="47">#REF!</definedName>
    <definedName name="m_o2003">#REF!</definedName>
    <definedName name="m_OTM2005" localSheetId="127">#REF!</definedName>
    <definedName name="m_OTM2005" localSheetId="118">#REF!</definedName>
    <definedName name="m_OTM2005" localSheetId="125">#REF!</definedName>
    <definedName name="m_OTM2005" localSheetId="122">#REF!</definedName>
    <definedName name="m_OTM2005" localSheetId="16">#REF!</definedName>
    <definedName name="m_OTM2005" localSheetId="46">#REF!</definedName>
    <definedName name="m_OTM2005" localSheetId="139">#REF!</definedName>
    <definedName name="m_OTM2005" localSheetId="47">#REF!</definedName>
    <definedName name="m_OTM2005">#REF!</definedName>
    <definedName name="m_OTM2006" localSheetId="127">#REF!</definedName>
    <definedName name="m_OTM2006" localSheetId="118">#REF!</definedName>
    <definedName name="m_OTM2006" localSheetId="125">#REF!</definedName>
    <definedName name="m_OTM2006" localSheetId="122">#REF!</definedName>
    <definedName name="m_OTM2006" localSheetId="16">#REF!</definedName>
    <definedName name="m_OTM2006" localSheetId="46">#REF!</definedName>
    <definedName name="m_OTM2006" localSheetId="139">#REF!</definedName>
    <definedName name="m_OTM2006" localSheetId="47">#REF!</definedName>
    <definedName name="m_OTM2006">#REF!</definedName>
    <definedName name="m_OTM2007" localSheetId="127">#REF!</definedName>
    <definedName name="m_OTM2007" localSheetId="118">#REF!</definedName>
    <definedName name="m_OTM2007" localSheetId="125">#REF!</definedName>
    <definedName name="m_OTM2007" localSheetId="122">#REF!</definedName>
    <definedName name="m_OTM2007" localSheetId="16">#REF!</definedName>
    <definedName name="m_OTM2007" localSheetId="46">#REF!</definedName>
    <definedName name="m_OTM2007" localSheetId="139">#REF!</definedName>
    <definedName name="m_OTM2007" localSheetId="47">#REF!</definedName>
    <definedName name="m_OTM2007">#REF!</definedName>
    <definedName name="m_OTM2008" localSheetId="127">#REF!</definedName>
    <definedName name="m_OTM2008" localSheetId="118">#REF!</definedName>
    <definedName name="m_OTM2008" localSheetId="125">#REF!</definedName>
    <definedName name="m_OTM2008" localSheetId="122">#REF!</definedName>
    <definedName name="m_OTM2008" localSheetId="16">#REF!</definedName>
    <definedName name="m_OTM2008" localSheetId="46">#REF!</definedName>
    <definedName name="m_OTM2008" localSheetId="139">#REF!</definedName>
    <definedName name="m_OTM2008" localSheetId="47">#REF!</definedName>
    <definedName name="m_OTM2008">#REF!</definedName>
    <definedName name="m_OTM2009" localSheetId="127">#REF!</definedName>
    <definedName name="m_OTM2009" localSheetId="118">#REF!</definedName>
    <definedName name="m_OTM2009" localSheetId="125">#REF!</definedName>
    <definedName name="m_OTM2009" localSheetId="122">#REF!</definedName>
    <definedName name="m_OTM2009" localSheetId="16">#REF!</definedName>
    <definedName name="m_OTM2009" localSheetId="46">#REF!</definedName>
    <definedName name="m_OTM2009" localSheetId="139">#REF!</definedName>
    <definedName name="m_OTM2009" localSheetId="47">#REF!</definedName>
    <definedName name="m_OTM2009">#REF!</definedName>
    <definedName name="m_OTM2010" localSheetId="127">#REF!</definedName>
    <definedName name="m_OTM2010" localSheetId="118">#REF!</definedName>
    <definedName name="m_OTM2010" localSheetId="125">#REF!</definedName>
    <definedName name="m_OTM2010" localSheetId="122">#REF!</definedName>
    <definedName name="m_OTM2010" localSheetId="16">#REF!</definedName>
    <definedName name="m_OTM2010" localSheetId="46">#REF!</definedName>
    <definedName name="m_OTM2010" localSheetId="139">#REF!</definedName>
    <definedName name="m_OTM2010" localSheetId="47">#REF!</definedName>
    <definedName name="m_OTM2010">#REF!</definedName>
    <definedName name="m_OTMizm" localSheetId="127">#REF!</definedName>
    <definedName name="m_OTMizm" localSheetId="118">#REF!</definedName>
    <definedName name="m_OTMizm" localSheetId="125">#REF!</definedName>
    <definedName name="m_OTMizm" localSheetId="122">#REF!</definedName>
    <definedName name="m_OTMizm" localSheetId="16">#REF!</definedName>
    <definedName name="m_OTMizm" localSheetId="46">#REF!</definedName>
    <definedName name="m_OTMizm" localSheetId="139">#REF!</definedName>
    <definedName name="m_OTMizm" localSheetId="47">#REF!</definedName>
    <definedName name="m_OTMizm">#REF!</definedName>
    <definedName name="m_OTMkod" localSheetId="127">#REF!</definedName>
    <definedName name="m_OTMkod" localSheetId="118">#REF!</definedName>
    <definedName name="m_OTMkod" localSheetId="125">#REF!</definedName>
    <definedName name="m_OTMkod" localSheetId="122">#REF!</definedName>
    <definedName name="m_OTMkod" localSheetId="16">#REF!</definedName>
    <definedName name="m_OTMkod" localSheetId="46">#REF!</definedName>
    <definedName name="m_OTMkod" localSheetId="139">#REF!</definedName>
    <definedName name="m_OTMkod" localSheetId="47">#REF!</definedName>
    <definedName name="m_OTMkod">#REF!</definedName>
    <definedName name="m_OTMnomer" localSheetId="127">#REF!</definedName>
    <definedName name="m_OTMnomer" localSheetId="118">#REF!</definedName>
    <definedName name="m_OTMnomer" localSheetId="125">#REF!</definedName>
    <definedName name="m_OTMnomer" localSheetId="122">#REF!</definedName>
    <definedName name="m_OTMnomer" localSheetId="16">#REF!</definedName>
    <definedName name="m_OTMnomer" localSheetId="46">#REF!</definedName>
    <definedName name="m_OTMnomer" localSheetId="139">#REF!</definedName>
    <definedName name="m_OTMnomer" localSheetId="47">#REF!</definedName>
    <definedName name="m_OTMnomer">#REF!</definedName>
    <definedName name="m_OTMpokaz" localSheetId="127">#REF!</definedName>
    <definedName name="m_OTMpokaz" localSheetId="118">#REF!</definedName>
    <definedName name="m_OTMpokaz" localSheetId="125">#REF!</definedName>
    <definedName name="m_OTMpokaz" localSheetId="122">#REF!</definedName>
    <definedName name="m_OTMpokaz" localSheetId="16">#REF!</definedName>
    <definedName name="m_OTMpokaz" localSheetId="46">#REF!</definedName>
    <definedName name="m_OTMpokaz" localSheetId="139">#REF!</definedName>
    <definedName name="m_OTMpokaz" localSheetId="47">#REF!</definedName>
    <definedName name="m_OTMpokaz">#REF!</definedName>
    <definedName name="m_p2003" localSheetId="127">#REF!</definedName>
    <definedName name="m_p2003" localSheetId="118">#REF!</definedName>
    <definedName name="m_p2003" localSheetId="125">#REF!</definedName>
    <definedName name="m_p2003" localSheetId="122">#REF!</definedName>
    <definedName name="m_p2003" localSheetId="16">#REF!</definedName>
    <definedName name="m_p2003" localSheetId="46">#REF!</definedName>
    <definedName name="m_p2003" localSheetId="139">#REF!</definedName>
    <definedName name="m_p2003" localSheetId="47">#REF!</definedName>
    <definedName name="m_p2003">#REF!</definedName>
    <definedName name="m_Pr_I">[9]Comp06!$B$2:$B$29</definedName>
    <definedName name="m_Pr_N">[9]Comp06!$C$2:$C$29</definedName>
    <definedName name="m_Predpr_I" localSheetId="127">#REF!</definedName>
    <definedName name="m_Predpr_I" localSheetId="118">#REF!</definedName>
    <definedName name="m_Predpr_I" localSheetId="125">#REF!</definedName>
    <definedName name="m_Predpr_I" localSheetId="126">#REF!</definedName>
    <definedName name="m_Predpr_I" localSheetId="122">#REF!</definedName>
    <definedName name="m_Predpr_I" localSheetId="16">#REF!</definedName>
    <definedName name="m_Predpr_I" localSheetId="46">#REF!</definedName>
    <definedName name="m_Predpr_I" localSheetId="139">#REF!</definedName>
    <definedName name="m_Predpr_I" localSheetId="47">#REF!</definedName>
    <definedName name="m_Predpr_I">#REF!</definedName>
    <definedName name="m_Predpr_M" localSheetId="127">#REF!</definedName>
    <definedName name="m_Predpr_M" localSheetId="118">#REF!</definedName>
    <definedName name="m_Predpr_M" localSheetId="125">#REF!</definedName>
    <definedName name="m_Predpr_M" localSheetId="126">#REF!</definedName>
    <definedName name="m_Predpr_M" localSheetId="122">#REF!</definedName>
    <definedName name="m_Predpr_M" localSheetId="16">#REF!</definedName>
    <definedName name="m_Predpr_M" localSheetId="46">#REF!</definedName>
    <definedName name="m_Predpr_M" localSheetId="139">#REF!</definedName>
    <definedName name="m_Predpr_M" localSheetId="47">#REF!</definedName>
    <definedName name="m_Predpr_M">#REF!</definedName>
    <definedName name="m_Predpr_N" localSheetId="127">#REF!</definedName>
    <definedName name="m_Predpr_N" localSheetId="118">#REF!</definedName>
    <definedName name="m_Predpr_N" localSheetId="125">#REF!</definedName>
    <definedName name="m_Predpr_N" localSheetId="126">#REF!</definedName>
    <definedName name="m_Predpr_N" localSheetId="122">#REF!</definedName>
    <definedName name="m_Predpr_N" localSheetId="16">#REF!</definedName>
    <definedName name="m_Predpr_N" localSheetId="46">#REF!</definedName>
    <definedName name="m_Predpr_N" localSheetId="139">#REF!</definedName>
    <definedName name="m_Predpr_N" localSheetId="47">#REF!</definedName>
    <definedName name="m_Predpr_N">#REF!</definedName>
    <definedName name="m_Zatrat" localSheetId="127">#REF!</definedName>
    <definedName name="m_Zatrat" localSheetId="118">#REF!</definedName>
    <definedName name="m_Zatrat" localSheetId="125">#REF!</definedName>
    <definedName name="m_Zatrat" localSheetId="122">#REF!</definedName>
    <definedName name="m_Zatrat" localSheetId="16">#REF!</definedName>
    <definedName name="m_Zatrat" localSheetId="46">#REF!</definedName>
    <definedName name="m_Zatrat" localSheetId="139">#REF!</definedName>
    <definedName name="m_Zatrat" localSheetId="47">#REF!</definedName>
    <definedName name="m_Zatrat">#REF!</definedName>
    <definedName name="m_Zatrat_Ed" localSheetId="127">#REF!</definedName>
    <definedName name="m_Zatrat_Ed" localSheetId="118">#REF!</definedName>
    <definedName name="m_Zatrat_Ed" localSheetId="125">#REF!</definedName>
    <definedName name="m_Zatrat_Ed" localSheetId="122">#REF!</definedName>
    <definedName name="m_Zatrat_Ed" localSheetId="16">#REF!</definedName>
    <definedName name="m_Zatrat_Ed" localSheetId="46">#REF!</definedName>
    <definedName name="m_Zatrat_Ed" localSheetId="139">#REF!</definedName>
    <definedName name="m_Zatrat_Ed" localSheetId="47">#REF!</definedName>
    <definedName name="m_Zatrat_Ed">#REF!</definedName>
    <definedName name="m_Zatrat_K" localSheetId="127">#REF!</definedName>
    <definedName name="m_Zatrat_K" localSheetId="118">#REF!</definedName>
    <definedName name="m_Zatrat_K" localSheetId="125">#REF!</definedName>
    <definedName name="m_Zatrat_K" localSheetId="122">#REF!</definedName>
    <definedName name="m_Zatrat_K" localSheetId="16">#REF!</definedName>
    <definedName name="m_Zatrat_K" localSheetId="46">#REF!</definedName>
    <definedName name="m_Zatrat_K" localSheetId="139">#REF!</definedName>
    <definedName name="m_Zatrat_K" localSheetId="47">#REF!</definedName>
    <definedName name="m_Zatrat_K">#REF!</definedName>
    <definedName name="m_Zatrat_N" localSheetId="127">#REF!</definedName>
    <definedName name="m_Zatrat_N" localSheetId="118">#REF!</definedName>
    <definedName name="m_Zatrat_N" localSheetId="125">#REF!</definedName>
    <definedName name="m_Zatrat_N" localSheetId="122">#REF!</definedName>
    <definedName name="m_Zatrat_N" localSheetId="16">#REF!</definedName>
    <definedName name="m_Zatrat_N" localSheetId="46">#REF!</definedName>
    <definedName name="m_Zatrat_N" localSheetId="139">#REF!</definedName>
    <definedName name="m_Zatrat_N" localSheetId="47">#REF!</definedName>
    <definedName name="m_Zatrat_N">#REF!</definedName>
    <definedName name="mas_1" localSheetId="127">#REF!</definedName>
    <definedName name="mas_1" localSheetId="118">#REF!</definedName>
    <definedName name="mas_1" localSheetId="125">#REF!</definedName>
    <definedName name="mas_1" localSheetId="122">#REF!</definedName>
    <definedName name="mas_1" localSheetId="16">#REF!</definedName>
    <definedName name="mas_1" localSheetId="46">#REF!</definedName>
    <definedName name="mas_1" localSheetId="139">#REF!</definedName>
    <definedName name="mas_1" localSheetId="47">#REF!</definedName>
    <definedName name="mas_1">#REF!</definedName>
    <definedName name="mas_1___0" localSheetId="127">#REF!</definedName>
    <definedName name="mas_1___0" localSheetId="118">#REF!</definedName>
    <definedName name="mas_1___0" localSheetId="125">#REF!</definedName>
    <definedName name="mas_1___0" localSheetId="122">#REF!</definedName>
    <definedName name="mas_1___0" localSheetId="16">#REF!</definedName>
    <definedName name="mas_1___0" localSheetId="46">#REF!</definedName>
    <definedName name="mas_1___0" localSheetId="139">#REF!</definedName>
    <definedName name="mas_1___0" localSheetId="47">#REF!</definedName>
    <definedName name="mas_1___0">#REF!</definedName>
    <definedName name="mas_1___6" localSheetId="127">#REF!</definedName>
    <definedName name="mas_1___6" localSheetId="118">#REF!</definedName>
    <definedName name="mas_1___6" localSheetId="125">#REF!</definedName>
    <definedName name="mas_1___6" localSheetId="122">#REF!</definedName>
    <definedName name="mas_1___6" localSheetId="16">#REF!</definedName>
    <definedName name="mas_1___6" localSheetId="46">#REF!</definedName>
    <definedName name="mas_1___6" localSheetId="139">#REF!</definedName>
    <definedName name="mas_1___6" localSheetId="47">#REF!</definedName>
    <definedName name="mas_1___6">#REF!</definedName>
    <definedName name="mas_2" localSheetId="127">#REF!</definedName>
    <definedName name="mas_2" localSheetId="118">#REF!</definedName>
    <definedName name="mas_2" localSheetId="125">#REF!</definedName>
    <definedName name="mas_2" localSheetId="122">#REF!</definedName>
    <definedName name="mas_2" localSheetId="16">#REF!</definedName>
    <definedName name="mas_2" localSheetId="46">#REF!</definedName>
    <definedName name="mas_2" localSheetId="139">#REF!</definedName>
    <definedName name="mas_2" localSheetId="47">#REF!</definedName>
    <definedName name="mas_2">#REF!</definedName>
    <definedName name="mas_2___0" localSheetId="127">#REF!</definedName>
    <definedName name="mas_2___0" localSheetId="118">#REF!</definedName>
    <definedName name="mas_2___0" localSheetId="125">#REF!</definedName>
    <definedName name="mas_2___0" localSheetId="122">#REF!</definedName>
    <definedName name="mas_2___0" localSheetId="16">#REF!</definedName>
    <definedName name="mas_2___0" localSheetId="46">#REF!</definedName>
    <definedName name="mas_2___0" localSheetId="139">#REF!</definedName>
    <definedName name="mas_2___0" localSheetId="47">#REF!</definedName>
    <definedName name="mas_2___0">#REF!</definedName>
    <definedName name="mas_2___6" localSheetId="127">#REF!</definedName>
    <definedName name="mas_2___6" localSheetId="118">#REF!</definedName>
    <definedName name="mas_2___6" localSheetId="125">#REF!</definedName>
    <definedName name="mas_2___6" localSheetId="122">#REF!</definedName>
    <definedName name="mas_2___6" localSheetId="16">#REF!</definedName>
    <definedName name="mas_2___6" localSheetId="46">#REF!</definedName>
    <definedName name="mas_2___6" localSheetId="139">#REF!</definedName>
    <definedName name="mas_2___6" localSheetId="47">#REF!</definedName>
    <definedName name="mas_2___6">#REF!</definedName>
    <definedName name="mas_2_new" localSheetId="127">#REF!</definedName>
    <definedName name="mas_2_new" localSheetId="118">#REF!</definedName>
    <definedName name="mas_2_new" localSheetId="125">#REF!</definedName>
    <definedName name="mas_2_new" localSheetId="122">#REF!</definedName>
    <definedName name="mas_2_new" localSheetId="16">#REF!</definedName>
    <definedName name="mas_2_new" localSheetId="46">#REF!</definedName>
    <definedName name="mas_2_new" localSheetId="139">#REF!</definedName>
    <definedName name="mas_2_new" localSheetId="47">#REF!</definedName>
    <definedName name="mas_2_new">#REF!</definedName>
    <definedName name="mas_3" localSheetId="127">#REF!</definedName>
    <definedName name="mas_3" localSheetId="118">#REF!</definedName>
    <definedName name="mas_3" localSheetId="125">#REF!</definedName>
    <definedName name="mas_3" localSheetId="122">#REF!</definedName>
    <definedName name="mas_3" localSheetId="16">#REF!</definedName>
    <definedName name="mas_3" localSheetId="46">#REF!</definedName>
    <definedName name="mas_3" localSheetId="139">#REF!</definedName>
    <definedName name="mas_3" localSheetId="47">#REF!</definedName>
    <definedName name="mas_3">#REF!</definedName>
    <definedName name="mas_3___0" localSheetId="127">#REF!</definedName>
    <definedName name="mas_3___0" localSheetId="118">#REF!</definedName>
    <definedName name="mas_3___0" localSheetId="125">#REF!</definedName>
    <definedName name="mas_3___0" localSheetId="122">#REF!</definedName>
    <definedName name="mas_3___0" localSheetId="16">#REF!</definedName>
    <definedName name="mas_3___0" localSheetId="46">#REF!</definedName>
    <definedName name="mas_3___0" localSheetId="139">#REF!</definedName>
    <definedName name="mas_3___0" localSheetId="47">#REF!</definedName>
    <definedName name="mas_3___0">#REF!</definedName>
    <definedName name="mas_3___6" localSheetId="127">#REF!</definedName>
    <definedName name="mas_3___6" localSheetId="118">#REF!</definedName>
    <definedName name="mas_3___6" localSheetId="125">#REF!</definedName>
    <definedName name="mas_3___6" localSheetId="122">#REF!</definedName>
    <definedName name="mas_3___6" localSheetId="16">#REF!</definedName>
    <definedName name="mas_3___6" localSheetId="46">#REF!</definedName>
    <definedName name="mas_3___6" localSheetId="139">#REF!</definedName>
    <definedName name="mas_3___6" localSheetId="47">#REF!</definedName>
    <definedName name="mas_3___6">#REF!</definedName>
    <definedName name="mas_4" localSheetId="127">#REF!</definedName>
    <definedName name="mas_4" localSheetId="118">#REF!</definedName>
    <definedName name="mas_4" localSheetId="125">#REF!</definedName>
    <definedName name="mas_4" localSheetId="122">#REF!</definedName>
    <definedName name="mas_4" localSheetId="16">#REF!</definedName>
    <definedName name="mas_4" localSheetId="46">#REF!</definedName>
    <definedName name="mas_4" localSheetId="139">#REF!</definedName>
    <definedName name="mas_4" localSheetId="47">#REF!</definedName>
    <definedName name="mas_4">#REF!</definedName>
    <definedName name="mas_4___0" localSheetId="127">#REF!</definedName>
    <definedName name="mas_4___0" localSheetId="118">#REF!</definedName>
    <definedName name="mas_4___0" localSheetId="125">#REF!</definedName>
    <definedName name="mas_4___0" localSheetId="122">#REF!</definedName>
    <definedName name="mas_4___0" localSheetId="16">#REF!</definedName>
    <definedName name="mas_4___0" localSheetId="46">#REF!</definedName>
    <definedName name="mas_4___0" localSheetId="139">#REF!</definedName>
    <definedName name="mas_4___0" localSheetId="47">#REF!</definedName>
    <definedName name="mas_4___0">#REF!</definedName>
    <definedName name="mas_4___6" localSheetId="127">#REF!</definedName>
    <definedName name="mas_4___6" localSheetId="118">#REF!</definedName>
    <definedName name="mas_4___6" localSheetId="125">#REF!</definedName>
    <definedName name="mas_4___6" localSheetId="122">#REF!</definedName>
    <definedName name="mas_4___6" localSheetId="16">#REF!</definedName>
    <definedName name="mas_4___6" localSheetId="46">#REF!</definedName>
    <definedName name="mas_4___6" localSheetId="139">#REF!</definedName>
    <definedName name="mas_4___6" localSheetId="47">#REF!</definedName>
    <definedName name="mas_4___6">#REF!</definedName>
    <definedName name="mas_new" localSheetId="127">#REF!</definedName>
    <definedName name="mas_new" localSheetId="118">#REF!</definedName>
    <definedName name="mas_new" localSheetId="125">#REF!</definedName>
    <definedName name="mas_new" localSheetId="122">#REF!</definedName>
    <definedName name="mas_new" localSheetId="16">#REF!</definedName>
    <definedName name="mas_new" localSheetId="46">#REF!</definedName>
    <definedName name="mas_new" localSheetId="139">#REF!</definedName>
    <definedName name="mas_new" localSheetId="47">#REF!</definedName>
    <definedName name="mas_new">#REF!</definedName>
    <definedName name="mas_old" localSheetId="127">#REF!</definedName>
    <definedName name="mas_old" localSheetId="118">#REF!</definedName>
    <definedName name="mas_old" localSheetId="125">#REF!</definedName>
    <definedName name="mas_old" localSheetId="122">#REF!</definedName>
    <definedName name="mas_old" localSheetId="16">#REF!</definedName>
    <definedName name="mas_old" localSheetId="46">#REF!</definedName>
    <definedName name="mas_old" localSheetId="139">#REF!</definedName>
    <definedName name="mas_old" localSheetId="47">#REF!</definedName>
    <definedName name="mas_old">#REF!</definedName>
    <definedName name="mas_spisok" localSheetId="127">#REF!</definedName>
    <definedName name="mas_spisok" localSheetId="118">#REF!</definedName>
    <definedName name="mas_spisok" localSheetId="125">#REF!</definedName>
    <definedName name="mas_spisok" localSheetId="122">#REF!</definedName>
    <definedName name="mas_spisok" localSheetId="16">#REF!</definedName>
    <definedName name="mas_spisok" localSheetId="46">#REF!</definedName>
    <definedName name="mas_spisok" localSheetId="139">#REF!</definedName>
    <definedName name="mas_spisok" localSheetId="47">#REF!</definedName>
    <definedName name="mas_spisok">#REF!</definedName>
    <definedName name="n">#N/A</definedName>
    <definedName name="net" localSheetId="127">#REF!</definedName>
    <definedName name="net" localSheetId="118">#REF!</definedName>
    <definedName name="net" localSheetId="125">#REF!</definedName>
    <definedName name="net" localSheetId="126">#REF!</definedName>
    <definedName name="net" localSheetId="122">#REF!</definedName>
    <definedName name="net" localSheetId="16">#REF!</definedName>
    <definedName name="net" localSheetId="46">#REF!</definedName>
    <definedName name="net" localSheetId="139">#REF!</definedName>
    <definedName name="net" localSheetId="47">#REF!</definedName>
    <definedName name="net">#REF!</definedName>
    <definedName name="Num_Pmt_Per_Year" localSheetId="127">#REF!</definedName>
    <definedName name="Num_Pmt_Per_Year" localSheetId="118">#REF!</definedName>
    <definedName name="Num_Pmt_Per_Year" localSheetId="125">#REF!</definedName>
    <definedName name="Num_Pmt_Per_Year" localSheetId="126">#REF!</definedName>
    <definedName name="Num_Pmt_Per_Year" localSheetId="122">#REF!</definedName>
    <definedName name="Num_Pmt_Per_Year" localSheetId="16">#REF!</definedName>
    <definedName name="Num_Pmt_Per_Year" localSheetId="46">#REF!</definedName>
    <definedName name="Num_Pmt_Per_Year" localSheetId="139">#REF!</definedName>
    <definedName name="Num_Pmt_Per_Year" localSheetId="47">#REF!</definedName>
    <definedName name="Num_Pmt_Per_Year">#REF!</definedName>
    <definedName name="Number_of_Payments" localSheetId="127">MATCH(0.01,'мебель изм.амортиз'!End_Bal,-1)+1</definedName>
    <definedName name="Number_of_Payments" localSheetId="118">MATCH(0.01,'НДС ЗОПЛ'!End_Bal,-1)+1</definedName>
    <definedName name="Number_of_Payments" localSheetId="125">MATCH(0.01,'Площадь столовой новая'!End_Bal,-1)+1</definedName>
    <definedName name="Number_of_Payments" localSheetId="126">MATCH(0.01,'расч по правилам '!End_Bal,-1)+1</definedName>
    <definedName name="Number_of_Payments" localSheetId="122">MATCH(0.01,'Расчет арендной ставки пересчит'!End_Bal,-1)+1</definedName>
    <definedName name="Number_of_Payments" localSheetId="16">MATCH(0.01,'свод сверн'!End_Bal,-1)+1</definedName>
    <definedName name="Number_of_Payments" localSheetId="46">MATCH(0.01,'хоз 2.03.06.'!End_Bal,-1)+1</definedName>
    <definedName name="Number_of_Payments" localSheetId="139">MATCH(0.01,'хоз 2.03.06. (3)'!End_Bal,-1)+1</definedName>
    <definedName name="Number_of_Payments" localSheetId="47">MATCH(0.01,'хозМБ)'!End_Bal,-1)+1</definedName>
    <definedName name="Number_of_Payments">MATCH(0.01,End_Bal,-1)+1</definedName>
    <definedName name="OpDate">[4]Info!$G$5</definedName>
    <definedName name="Pay_Date" localSheetId="127">#REF!</definedName>
    <definedName name="Pay_Date" localSheetId="118">#REF!</definedName>
    <definedName name="Pay_Date" localSheetId="125">#REF!</definedName>
    <definedName name="Pay_Date" localSheetId="126">#REF!</definedName>
    <definedName name="Pay_Date" localSheetId="122">#REF!</definedName>
    <definedName name="Pay_Date" localSheetId="16">#REF!</definedName>
    <definedName name="Pay_Date" localSheetId="46">#REF!</definedName>
    <definedName name="Pay_Date" localSheetId="139">#REF!</definedName>
    <definedName name="Pay_Date" localSheetId="47">#REF!</definedName>
    <definedName name="Pay_Date">#REF!</definedName>
    <definedName name="Pay_Num" localSheetId="127">#REF!</definedName>
    <definedName name="Pay_Num" localSheetId="118">#REF!</definedName>
    <definedName name="Pay_Num" localSheetId="125">#REF!</definedName>
    <definedName name="Pay_Num" localSheetId="126">#REF!</definedName>
    <definedName name="Pay_Num" localSheetId="122">#REF!</definedName>
    <definedName name="Pay_Num" localSheetId="16">#REF!</definedName>
    <definedName name="Pay_Num" localSheetId="46">#REF!</definedName>
    <definedName name="Pay_Num" localSheetId="139">#REF!</definedName>
    <definedName name="Pay_Num" localSheetId="47">#REF!</definedName>
    <definedName name="Pay_Num">#REF!</definedName>
    <definedName name="Payment_Date" localSheetId="127">DATE(YEAR('мебель изм.амортиз'!Loan_Start),MONTH('мебель изм.амортиз'!Loan_Start)+Payment_Number,DAY('мебель изм.амортиз'!Loan_Start))</definedName>
    <definedName name="Payment_Date" localSheetId="118">DATE(YEAR('НДС ЗОПЛ'!Loan_Start),MONTH('НДС ЗОПЛ'!Loan_Start)+Payment_Number,DAY('НДС ЗОПЛ'!Loan_Start))</definedName>
    <definedName name="Payment_Date" localSheetId="125">DATE(YEAR('Площадь столовой новая'!Loan_Start),MONTH('Площадь столовой новая'!Loan_Start)+Payment_Number,DAY('Площадь столовой новая'!Loan_Start))</definedName>
    <definedName name="Payment_Date" localSheetId="126">DATE(YEAR('расч по правилам '!Loan_Start),MONTH('расч по правилам '!Loan_Start)+Payment_Number,DAY('расч по правилам '!Loan_Start))</definedName>
    <definedName name="Payment_Date" localSheetId="122">DATE(YEAR('Расчет арендной ставки пересчит'!Loan_Start),MONTH('Расчет арендной ставки пересчит'!Loan_Start)+Payment_Number,DAY('Расчет арендной ставки пересчит'!Loan_Start))</definedName>
    <definedName name="Payment_Date" localSheetId="16">DATE(YEAR('свод сверн'!Loan_Start),MONTH('свод сверн'!Loan_Start)+Payment_Number,DAY('свод сверн'!Loan_Start))</definedName>
    <definedName name="Payment_Date" localSheetId="46">DATE(YEAR('хоз 2.03.06.'!Loan_Start),MONTH('хоз 2.03.06.'!Loan_Start)+Payment_Number,DAY('хоз 2.03.06.'!Loan_Start))</definedName>
    <definedName name="Payment_Date" localSheetId="139">DATE(YEAR('хоз 2.03.06. (3)'!Loan_Start),MONTH('хоз 2.03.06. (3)'!Loan_Start)+Payment_Number,DAY('хоз 2.03.06. (3)'!Loan_Start))</definedName>
    <definedName name="Payment_Date" localSheetId="47">DATE(YEAR('хозМБ)'!Loan_Start),MONTH('хозМБ)'!Loan_Start)+Payment_Number,DAY('хозМБ)'!Loan_Start))</definedName>
    <definedName name="Payment_Date">DATE(YEAR(Loan_Start),MONTH(Loan_Start)+Payment_Number,DAY(Loan_Start))</definedName>
    <definedName name="po" localSheetId="127">#REF!</definedName>
    <definedName name="po" localSheetId="118">#REF!</definedName>
    <definedName name="po" localSheetId="125">#REF!</definedName>
    <definedName name="po" localSheetId="126">#REF!</definedName>
    <definedName name="po" localSheetId="122">#REF!</definedName>
    <definedName name="po" localSheetId="16">#REF!</definedName>
    <definedName name="po" localSheetId="46">#REF!</definedName>
    <definedName name="po" localSheetId="139">#REF!</definedName>
    <definedName name="po" localSheetId="47">#REF!</definedName>
    <definedName name="po">#REF!</definedName>
    <definedName name="pole7">"Поле ввода 7"</definedName>
    <definedName name="pri" localSheetId="6">#REF!</definedName>
    <definedName name="pri" localSheetId="8">#REF!</definedName>
    <definedName name="pri" localSheetId="7">#REF!</definedName>
    <definedName name="pri" localSheetId="138">#REF!</definedName>
    <definedName name="pri" localSheetId="136">#REF!</definedName>
    <definedName name="pri" localSheetId="118">#REF!</definedName>
    <definedName name="pri" localSheetId="137">#REF!</definedName>
    <definedName name="pri" localSheetId="131">#REF!</definedName>
    <definedName name="pri" localSheetId="122">#REF!</definedName>
    <definedName name="pri" localSheetId="16">#REF!</definedName>
    <definedName name="pri" localSheetId="46">#REF!</definedName>
    <definedName name="pri" localSheetId="139">#REF!</definedName>
    <definedName name="pri" localSheetId="47">#REF!</definedName>
    <definedName name="pri" localSheetId="28">#REF!</definedName>
    <definedName name="pri">#REF!</definedName>
    <definedName name="Princ" localSheetId="127">#REF!</definedName>
    <definedName name="Princ" localSheetId="118">#REF!</definedName>
    <definedName name="Princ" localSheetId="125">#REF!</definedName>
    <definedName name="Princ" localSheetId="126">#REF!</definedName>
    <definedName name="Princ" localSheetId="122">#REF!</definedName>
    <definedName name="Princ" localSheetId="16">#REF!</definedName>
    <definedName name="Princ" localSheetId="46">#REF!</definedName>
    <definedName name="Princ" localSheetId="139">#REF!</definedName>
    <definedName name="Princ" localSheetId="47">#REF!</definedName>
    <definedName name="Princ">#REF!</definedName>
    <definedName name="Print_Area_1" localSheetId="6">#REF!</definedName>
    <definedName name="Print_Area_1" localSheetId="8">#REF!</definedName>
    <definedName name="Print_Area_1" localSheetId="7">#REF!</definedName>
    <definedName name="Print_Area_1" localSheetId="138">#REF!</definedName>
    <definedName name="Print_Area_1" localSheetId="136">#REF!</definedName>
    <definedName name="Print_Area_1" localSheetId="118">#REF!</definedName>
    <definedName name="Print_Area_1" localSheetId="137">#REF!</definedName>
    <definedName name="Print_Area_1" localSheetId="131">#REF!</definedName>
    <definedName name="Print_Area_1" localSheetId="122">#REF!</definedName>
    <definedName name="Print_Area_1" localSheetId="16">#REF!</definedName>
    <definedName name="Print_Area_1" localSheetId="46">#REF!</definedName>
    <definedName name="Print_Area_1" localSheetId="139">#REF!</definedName>
    <definedName name="Print_Area_1" localSheetId="47">#REF!</definedName>
    <definedName name="Print_Area_1" localSheetId="28">#REF!</definedName>
    <definedName name="Print_Area_1">#REF!</definedName>
    <definedName name="Print_Area_2" localSheetId="6">#REF!</definedName>
    <definedName name="Print_Area_2" localSheetId="8">#REF!</definedName>
    <definedName name="Print_Area_2" localSheetId="7">#REF!</definedName>
    <definedName name="Print_Area_2" localSheetId="138">#REF!</definedName>
    <definedName name="Print_Area_2" localSheetId="136">#REF!</definedName>
    <definedName name="Print_Area_2" localSheetId="118">#REF!</definedName>
    <definedName name="Print_Area_2" localSheetId="137">#REF!</definedName>
    <definedName name="Print_Area_2" localSheetId="131">#REF!</definedName>
    <definedName name="Print_Area_2" localSheetId="122">#REF!</definedName>
    <definedName name="Print_Area_2" localSheetId="16">#REF!</definedName>
    <definedName name="Print_Area_2" localSheetId="46">#REF!</definedName>
    <definedName name="Print_Area_2" localSheetId="139">#REF!</definedName>
    <definedName name="Print_Area_2" localSheetId="47">#REF!</definedName>
    <definedName name="Print_Area_2" localSheetId="28">#REF!</definedName>
    <definedName name="Print_Area_2">#REF!</definedName>
    <definedName name="Print_Area_3" localSheetId="6">#REF!</definedName>
    <definedName name="Print_Area_3" localSheetId="8">#REF!</definedName>
    <definedName name="Print_Area_3" localSheetId="7">#REF!</definedName>
    <definedName name="Print_Area_3" localSheetId="138">#REF!</definedName>
    <definedName name="Print_Area_3" localSheetId="136">#REF!</definedName>
    <definedName name="Print_Area_3" localSheetId="118">#REF!</definedName>
    <definedName name="Print_Area_3" localSheetId="137">#REF!</definedName>
    <definedName name="Print_Area_3" localSheetId="131">#REF!</definedName>
    <definedName name="Print_Area_3" localSheetId="122">#REF!</definedName>
    <definedName name="Print_Area_3" localSheetId="16">#REF!</definedName>
    <definedName name="Print_Area_3" localSheetId="46">#REF!</definedName>
    <definedName name="Print_Area_3" localSheetId="139">#REF!</definedName>
    <definedName name="Print_Area_3" localSheetId="47">#REF!</definedName>
    <definedName name="Print_Area_3" localSheetId="28">#REF!</definedName>
    <definedName name="Print_Area_3">#REF!</definedName>
    <definedName name="Print_Area_4" localSheetId="6">#REF!</definedName>
    <definedName name="Print_Area_4" localSheetId="8">#REF!</definedName>
    <definedName name="Print_Area_4" localSheetId="7">#REF!</definedName>
    <definedName name="Print_Area_4" localSheetId="138">#REF!</definedName>
    <definedName name="Print_Area_4" localSheetId="136">#REF!</definedName>
    <definedName name="Print_Area_4" localSheetId="118">#REF!</definedName>
    <definedName name="Print_Area_4" localSheetId="137">#REF!</definedName>
    <definedName name="Print_Area_4" localSheetId="131">#REF!</definedName>
    <definedName name="Print_Area_4" localSheetId="122">#REF!</definedName>
    <definedName name="Print_Area_4" localSheetId="16">#REF!</definedName>
    <definedName name="Print_Area_4" localSheetId="46">#REF!</definedName>
    <definedName name="Print_Area_4" localSheetId="139">#REF!</definedName>
    <definedName name="Print_Area_4" localSheetId="47">#REF!</definedName>
    <definedName name="Print_Area_4" localSheetId="28">#REF!</definedName>
    <definedName name="Print_Area_4">#REF!</definedName>
    <definedName name="Print_Area_5" localSheetId="6">#REF!</definedName>
    <definedName name="Print_Area_5" localSheetId="8">#REF!</definedName>
    <definedName name="Print_Area_5" localSheetId="7">#REF!</definedName>
    <definedName name="Print_Area_5" localSheetId="138">#REF!</definedName>
    <definedName name="Print_Area_5" localSheetId="136">#REF!</definedName>
    <definedName name="Print_Area_5" localSheetId="118">#REF!</definedName>
    <definedName name="Print_Area_5" localSheetId="137">#REF!</definedName>
    <definedName name="Print_Area_5" localSheetId="131">#REF!</definedName>
    <definedName name="Print_Area_5" localSheetId="122">#REF!</definedName>
    <definedName name="Print_Area_5" localSheetId="16">#REF!</definedName>
    <definedName name="Print_Area_5" localSheetId="46">#REF!</definedName>
    <definedName name="Print_Area_5" localSheetId="139">#REF!</definedName>
    <definedName name="Print_Area_5" localSheetId="47">#REF!</definedName>
    <definedName name="Print_Area_5" localSheetId="28">#REF!</definedName>
    <definedName name="Print_Area_5">#REF!</definedName>
    <definedName name="Print_Area_Reset" localSheetId="127">OFFSET('мебель изм.амортиз'!Full_Print,0,0,'мебель изм.амортиз'!Last_Row)</definedName>
    <definedName name="Print_Area_Reset" localSheetId="118">OFFSET('НДС ЗОПЛ'!Full_Print,0,0,'НДС ЗОПЛ'!Last_Row)</definedName>
    <definedName name="Print_Area_Reset" localSheetId="125">OFFSET('Площадь столовой новая'!Full_Print,0,0,'Площадь столовой новая'!Last_Row)</definedName>
    <definedName name="Print_Area_Reset" localSheetId="126">OFFSET(Full_Print,0,0,'расч по правилам '!Last_Row)</definedName>
    <definedName name="Print_Area_Reset" localSheetId="122">OFFSET('Расчет арендной ставки пересчит'!Full_Print,0,0,'Расчет арендной ставки пересчит'!Last_Row)</definedName>
    <definedName name="Print_Area_Reset" localSheetId="16">OFFSET('свод сверн'!Full_Print,0,0,'свод сверн'!Last_Row)</definedName>
    <definedName name="Print_Area_Reset" localSheetId="46">OFFSET('хоз 2.03.06.'!Full_Print,0,0,'хоз 2.03.06.'!Last_Row)</definedName>
    <definedName name="Print_Area_Reset" localSheetId="139">OFFSET('хоз 2.03.06. (3)'!Full_Print,0,0,'хоз 2.03.06. (3)'!Last_Row)</definedName>
    <definedName name="Print_Area_Reset" localSheetId="47">OFFSET('хозМБ)'!Full_Print,0,0,'хозМБ)'!Last_Row)</definedName>
    <definedName name="Print_Area_Reset">OFFSET(Full_Print,0,0,Last_Row)</definedName>
    <definedName name="qwe">[10]Форма2!$C$19:$C$24,[10]Форма2!$E$19:$F$24,[10]Форма2!$D$26:$F$31,[10]Форма2!$C$33:$C$38,[10]Форма2!$E$33:$F$38,[10]Форма2!$D$40:$F$43,[10]Форма2!$C$45:$C$48,[10]Форма2!$E$45:$F$48,[10]Форма2!$C$19</definedName>
    <definedName name="rng" localSheetId="127">#REF!</definedName>
    <definedName name="rng" localSheetId="118">#REF!</definedName>
    <definedName name="rng" localSheetId="125">#REF!</definedName>
    <definedName name="rng" localSheetId="126">#REF!</definedName>
    <definedName name="rng" localSheetId="122">#REF!</definedName>
    <definedName name="rng" localSheetId="16">#REF!</definedName>
    <definedName name="rng" localSheetId="46">#REF!</definedName>
    <definedName name="rng" localSheetId="139">#REF!</definedName>
    <definedName name="rng" localSheetId="47">#REF!</definedName>
    <definedName name="rng">#REF!</definedName>
    <definedName name="rngChartRange" localSheetId="127">#REF!</definedName>
    <definedName name="rngChartRange" localSheetId="118">#REF!</definedName>
    <definedName name="rngChartRange" localSheetId="125">#REF!</definedName>
    <definedName name="rngChartRange" localSheetId="126">#REF!</definedName>
    <definedName name="rngChartRange" localSheetId="122">#REF!</definedName>
    <definedName name="rngChartRange" localSheetId="16">#REF!</definedName>
    <definedName name="rngChartRange" localSheetId="46">#REF!</definedName>
    <definedName name="rngChartRange" localSheetId="139">#REF!</definedName>
    <definedName name="rngChartRange" localSheetId="47">#REF!</definedName>
    <definedName name="rngChartRange">#REF!</definedName>
    <definedName name="rngDataAll" localSheetId="127">#REF!</definedName>
    <definedName name="rngDataAll" localSheetId="118">#REF!</definedName>
    <definedName name="rngDataAll" localSheetId="125">#REF!</definedName>
    <definedName name="rngDataAll" localSheetId="126">#REF!</definedName>
    <definedName name="rngDataAll" localSheetId="122">#REF!</definedName>
    <definedName name="rngDataAll" localSheetId="16">#REF!</definedName>
    <definedName name="rngDataAll" localSheetId="46">#REF!</definedName>
    <definedName name="rngDataAll" localSheetId="139">#REF!</definedName>
    <definedName name="rngDataAll" localSheetId="47">#REF!</definedName>
    <definedName name="rngDataAll">#REF!</definedName>
    <definedName name="rngEnd" localSheetId="127">#REF!</definedName>
    <definedName name="rngEnd" localSheetId="118">#REF!</definedName>
    <definedName name="rngEnd" localSheetId="125">#REF!</definedName>
    <definedName name="rngEnd" localSheetId="122">#REF!</definedName>
    <definedName name="rngEnd" localSheetId="16">#REF!</definedName>
    <definedName name="rngEnd" localSheetId="46">#REF!</definedName>
    <definedName name="rngEnd" localSheetId="139">#REF!</definedName>
    <definedName name="rngEnd" localSheetId="47">#REF!</definedName>
    <definedName name="rngEnd">#REF!</definedName>
    <definedName name="rngIATACode" localSheetId="127">#REF!</definedName>
    <definedName name="rngIATACode" localSheetId="118">#REF!</definedName>
    <definedName name="rngIATACode" localSheetId="125">#REF!</definedName>
    <definedName name="rngIATACode" localSheetId="122">#REF!</definedName>
    <definedName name="rngIATACode" localSheetId="16">#REF!</definedName>
    <definedName name="rngIATACode" localSheetId="46">#REF!</definedName>
    <definedName name="rngIATACode" localSheetId="139">#REF!</definedName>
    <definedName name="rngIATACode" localSheetId="47">#REF!</definedName>
    <definedName name="rngIATACode">#REF!</definedName>
    <definedName name="rngResStart" localSheetId="127">#REF!</definedName>
    <definedName name="rngResStart" localSheetId="118">#REF!</definedName>
    <definedName name="rngResStart" localSheetId="125">#REF!</definedName>
    <definedName name="rngResStart" localSheetId="122">#REF!</definedName>
    <definedName name="rngResStart" localSheetId="16">#REF!</definedName>
    <definedName name="rngResStart" localSheetId="46">#REF!</definedName>
    <definedName name="rngResStart" localSheetId="139">#REF!</definedName>
    <definedName name="rngResStart" localSheetId="47">#REF!</definedName>
    <definedName name="rngResStart">#REF!</definedName>
    <definedName name="rngStart" localSheetId="127">#REF!</definedName>
    <definedName name="rngStart" localSheetId="118">#REF!</definedName>
    <definedName name="rngStart" localSheetId="125">#REF!</definedName>
    <definedName name="rngStart" localSheetId="122">#REF!</definedName>
    <definedName name="rngStart" localSheetId="16">#REF!</definedName>
    <definedName name="rngStart" localSheetId="46">#REF!</definedName>
    <definedName name="rngStart" localSheetId="139">#REF!</definedName>
    <definedName name="rngStart" localSheetId="47">#REF!</definedName>
    <definedName name="rngStart">#REF!</definedName>
    <definedName name="rngUpdate" localSheetId="127">#REF!</definedName>
    <definedName name="rngUpdate" localSheetId="118">#REF!</definedName>
    <definedName name="rngUpdate" localSheetId="125">#REF!</definedName>
    <definedName name="rngUpdate" localSheetId="122">#REF!</definedName>
    <definedName name="rngUpdate" localSheetId="16">#REF!</definedName>
    <definedName name="rngUpdate" localSheetId="46">#REF!</definedName>
    <definedName name="rngUpdate" localSheetId="139">#REF!</definedName>
    <definedName name="rngUpdate" localSheetId="47">#REF!</definedName>
    <definedName name="rngUpdate">#REF!</definedName>
    <definedName name="Role" localSheetId="44">'[11]Служебные справочники'!$E$2:$E$5</definedName>
    <definedName name="Role" localSheetId="5">'[12]Служебные справочники'!$E$2:$E$5</definedName>
    <definedName name="Role" localSheetId="6">'[12]Служебные справочники'!$E$2:$E$5</definedName>
    <definedName name="Role" localSheetId="8">'[12]Служебные справочники'!$E$2:$E$5</definedName>
    <definedName name="Role" localSheetId="7">'[12]Служебные справочники'!$E$2:$E$5</definedName>
    <definedName name="Role" localSheetId="9">'[12]Служебные справочники'!$E$2:$E$5</definedName>
    <definedName name="Role" localSheetId="136">'[12]Служебные справочники'!$E$2:$E$5</definedName>
    <definedName name="Role" localSheetId="48">'[11]Служебные справочники'!$E$2:$E$5</definedName>
    <definedName name="Role" localSheetId="12">'[12]Служебные справочники'!$E$2:$E$5</definedName>
    <definedName name="Role">'[13]Служебные справочники'!$E$2:$E$5</definedName>
    <definedName name="S1_" localSheetId="127">#REF!</definedName>
    <definedName name="S1_" localSheetId="118">#REF!</definedName>
    <definedName name="S1_" localSheetId="125">#REF!</definedName>
    <definedName name="S1_" localSheetId="126">#REF!</definedName>
    <definedName name="S1_" localSheetId="122">#REF!</definedName>
    <definedName name="S1_" localSheetId="16">#REF!</definedName>
    <definedName name="S1_" localSheetId="46">#REF!</definedName>
    <definedName name="S1_" localSheetId="139">#REF!</definedName>
    <definedName name="S1_" localSheetId="47">#REF!</definedName>
    <definedName name="S1_">#REF!</definedName>
    <definedName name="s1_0" localSheetId="127">#REF!</definedName>
    <definedName name="s1_0" localSheetId="118">#REF!</definedName>
    <definedName name="s1_0" localSheetId="125">#REF!</definedName>
    <definedName name="s1_0" localSheetId="126">#REF!</definedName>
    <definedName name="s1_0" localSheetId="122">#REF!</definedName>
    <definedName name="s1_0" localSheetId="16">#REF!</definedName>
    <definedName name="s1_0" localSheetId="46">#REF!</definedName>
    <definedName name="s1_0" localSheetId="139">#REF!</definedName>
    <definedName name="s1_0" localSheetId="47">#REF!</definedName>
    <definedName name="s1_0">#REF!</definedName>
    <definedName name="s1_1" localSheetId="127">#REF!</definedName>
    <definedName name="s1_1" localSheetId="118">#REF!</definedName>
    <definedName name="s1_1" localSheetId="125">#REF!</definedName>
    <definedName name="s1_1" localSheetId="126">#REF!</definedName>
    <definedName name="s1_1" localSheetId="122">#REF!</definedName>
    <definedName name="s1_1" localSheetId="16">#REF!</definedName>
    <definedName name="s1_1" localSheetId="46">#REF!</definedName>
    <definedName name="s1_1" localSheetId="139">#REF!</definedName>
    <definedName name="s1_1" localSheetId="47">#REF!</definedName>
    <definedName name="s1_1">#REF!</definedName>
    <definedName name="S10_" localSheetId="127">#REF!</definedName>
    <definedName name="S10_" localSheetId="118">#REF!</definedName>
    <definedName name="S10_" localSheetId="125">#REF!</definedName>
    <definedName name="S10_" localSheetId="122">#REF!</definedName>
    <definedName name="S10_" localSheetId="16">#REF!</definedName>
    <definedName name="S10_" localSheetId="46">#REF!</definedName>
    <definedName name="S10_" localSheetId="139">#REF!</definedName>
    <definedName name="S10_" localSheetId="47">#REF!</definedName>
    <definedName name="S10_">#REF!</definedName>
    <definedName name="S11_" localSheetId="127">#REF!</definedName>
    <definedName name="S11_" localSheetId="118">#REF!</definedName>
    <definedName name="S11_" localSheetId="125">#REF!</definedName>
    <definedName name="S11_" localSheetId="122">#REF!</definedName>
    <definedName name="S11_" localSheetId="16">#REF!</definedName>
    <definedName name="S11_" localSheetId="46">#REF!</definedName>
    <definedName name="S11_" localSheetId="139">#REF!</definedName>
    <definedName name="S11_" localSheetId="47">#REF!</definedName>
    <definedName name="S11_">#REF!</definedName>
    <definedName name="S12_" localSheetId="127">#REF!</definedName>
    <definedName name="S12_" localSheetId="118">#REF!</definedName>
    <definedName name="S12_" localSheetId="125">#REF!</definedName>
    <definedName name="S12_" localSheetId="122">#REF!</definedName>
    <definedName name="S12_" localSheetId="16">#REF!</definedName>
    <definedName name="S12_" localSheetId="46">#REF!</definedName>
    <definedName name="S12_" localSheetId="139">#REF!</definedName>
    <definedName name="S12_" localSheetId="47">#REF!</definedName>
    <definedName name="S12_">#REF!</definedName>
    <definedName name="S13_" localSheetId="127">#REF!</definedName>
    <definedName name="S13_" localSheetId="118">#REF!</definedName>
    <definedName name="S13_" localSheetId="125">#REF!</definedName>
    <definedName name="S13_" localSheetId="122">#REF!</definedName>
    <definedName name="S13_" localSheetId="16">#REF!</definedName>
    <definedName name="S13_" localSheetId="46">#REF!</definedName>
    <definedName name="S13_" localSheetId="139">#REF!</definedName>
    <definedName name="S13_" localSheetId="47">#REF!</definedName>
    <definedName name="S13_">#REF!</definedName>
    <definedName name="S14_" localSheetId="127">#REF!</definedName>
    <definedName name="S14_" localSheetId="118">#REF!</definedName>
    <definedName name="S14_" localSheetId="125">#REF!</definedName>
    <definedName name="S14_" localSheetId="122">#REF!</definedName>
    <definedName name="S14_" localSheetId="16">#REF!</definedName>
    <definedName name="S14_" localSheetId="46">#REF!</definedName>
    <definedName name="S14_" localSheetId="139">#REF!</definedName>
    <definedName name="S14_" localSheetId="47">#REF!</definedName>
    <definedName name="S14_">#REF!</definedName>
    <definedName name="S15_" localSheetId="127">#REF!</definedName>
    <definedName name="S15_" localSheetId="118">#REF!</definedName>
    <definedName name="S15_" localSheetId="125">#REF!</definedName>
    <definedName name="S15_" localSheetId="122">#REF!</definedName>
    <definedName name="S15_" localSheetId="16">#REF!</definedName>
    <definedName name="S15_" localSheetId="46">#REF!</definedName>
    <definedName name="S15_" localSheetId="139">#REF!</definedName>
    <definedName name="S15_" localSheetId="47">#REF!</definedName>
    <definedName name="S15_">#REF!</definedName>
    <definedName name="S16_" localSheetId="127">#REF!</definedName>
    <definedName name="S16_" localSheetId="118">#REF!</definedName>
    <definedName name="S16_" localSheetId="125">#REF!</definedName>
    <definedName name="S16_" localSheetId="122">#REF!</definedName>
    <definedName name="S16_" localSheetId="16">#REF!</definedName>
    <definedName name="S16_" localSheetId="46">#REF!</definedName>
    <definedName name="S16_" localSheetId="139">#REF!</definedName>
    <definedName name="S16_" localSheetId="47">#REF!</definedName>
    <definedName name="S16_">#REF!</definedName>
    <definedName name="S17_" localSheetId="127">#REF!</definedName>
    <definedName name="S17_" localSheetId="118">#REF!</definedName>
    <definedName name="S17_" localSheetId="125">#REF!</definedName>
    <definedName name="S17_" localSheetId="122">#REF!</definedName>
    <definedName name="S17_" localSheetId="16">#REF!</definedName>
    <definedName name="S17_" localSheetId="46">#REF!</definedName>
    <definedName name="S17_" localSheetId="139">#REF!</definedName>
    <definedName name="S17_" localSheetId="47">#REF!</definedName>
    <definedName name="S17_">#REF!</definedName>
    <definedName name="S18_" localSheetId="127">#REF!</definedName>
    <definedName name="S18_" localSheetId="118">#REF!</definedName>
    <definedName name="S18_" localSheetId="125">#REF!</definedName>
    <definedName name="S18_" localSheetId="122">#REF!</definedName>
    <definedName name="S18_" localSheetId="16">#REF!</definedName>
    <definedName name="S18_" localSheetId="46">#REF!</definedName>
    <definedName name="S18_" localSheetId="139">#REF!</definedName>
    <definedName name="S18_" localSheetId="47">#REF!</definedName>
    <definedName name="S18_">#REF!</definedName>
    <definedName name="S19_" localSheetId="127">#REF!</definedName>
    <definedName name="S19_" localSheetId="118">#REF!</definedName>
    <definedName name="S19_" localSheetId="125">#REF!</definedName>
    <definedName name="S19_" localSheetId="122">#REF!</definedName>
    <definedName name="S19_" localSheetId="16">#REF!</definedName>
    <definedName name="S19_" localSheetId="46">#REF!</definedName>
    <definedName name="S19_" localSheetId="139">#REF!</definedName>
    <definedName name="S19_" localSheetId="47">#REF!</definedName>
    <definedName name="S19_">#REF!</definedName>
    <definedName name="S2_" localSheetId="127">#REF!</definedName>
    <definedName name="S2_" localSheetId="118">#REF!</definedName>
    <definedName name="S2_" localSheetId="125">#REF!</definedName>
    <definedName name="S2_" localSheetId="122">#REF!</definedName>
    <definedName name="S2_" localSheetId="16">#REF!</definedName>
    <definedName name="S2_" localSheetId="46">#REF!</definedName>
    <definedName name="S2_" localSheetId="139">#REF!</definedName>
    <definedName name="S2_" localSheetId="47">#REF!</definedName>
    <definedName name="S2_">#REF!</definedName>
    <definedName name="S20_" localSheetId="127">#REF!</definedName>
    <definedName name="S20_" localSheetId="118">#REF!</definedName>
    <definedName name="S20_" localSheetId="125">#REF!</definedName>
    <definedName name="S20_" localSheetId="122">#REF!</definedName>
    <definedName name="S20_" localSheetId="16">#REF!</definedName>
    <definedName name="S20_" localSheetId="46">#REF!</definedName>
    <definedName name="S20_" localSheetId="139">#REF!</definedName>
    <definedName name="S20_" localSheetId="47">#REF!</definedName>
    <definedName name="S20_">#REF!</definedName>
    <definedName name="S3_" localSheetId="127">#REF!</definedName>
    <definedName name="S3_" localSheetId="118">#REF!</definedName>
    <definedName name="S3_" localSheetId="125">#REF!</definedName>
    <definedName name="S3_" localSheetId="122">#REF!</definedName>
    <definedName name="S3_" localSheetId="16">#REF!</definedName>
    <definedName name="S3_" localSheetId="46">#REF!</definedName>
    <definedName name="S3_" localSheetId="139">#REF!</definedName>
    <definedName name="S3_" localSheetId="47">#REF!</definedName>
    <definedName name="S3_">#REF!</definedName>
    <definedName name="S4_" localSheetId="127">#REF!</definedName>
    <definedName name="S4_" localSheetId="118">#REF!</definedName>
    <definedName name="S4_" localSheetId="125">#REF!</definedName>
    <definedName name="S4_" localSheetId="122">#REF!</definedName>
    <definedName name="S4_" localSheetId="16">#REF!</definedName>
    <definedName name="S4_" localSheetId="46">#REF!</definedName>
    <definedName name="S4_" localSheetId="139">#REF!</definedName>
    <definedName name="S4_" localSheetId="47">#REF!</definedName>
    <definedName name="S4_">#REF!</definedName>
    <definedName name="S5_" localSheetId="127">#REF!</definedName>
    <definedName name="S5_" localSheetId="118">#REF!</definedName>
    <definedName name="S5_" localSheetId="125">#REF!</definedName>
    <definedName name="S5_" localSheetId="122">#REF!</definedName>
    <definedName name="S5_" localSheetId="16">#REF!</definedName>
    <definedName name="S5_" localSheetId="46">#REF!</definedName>
    <definedName name="S5_" localSheetId="139">#REF!</definedName>
    <definedName name="S5_" localSheetId="47">#REF!</definedName>
    <definedName name="S5_">#REF!</definedName>
    <definedName name="S6_" localSheetId="127">#REF!</definedName>
    <definedName name="S6_" localSheetId="118">#REF!</definedName>
    <definedName name="S6_" localSheetId="125">#REF!</definedName>
    <definedName name="S6_" localSheetId="122">#REF!</definedName>
    <definedName name="S6_" localSheetId="16">#REF!</definedName>
    <definedName name="S6_" localSheetId="46">#REF!</definedName>
    <definedName name="S6_" localSheetId="139">#REF!</definedName>
    <definedName name="S6_" localSheetId="47">#REF!</definedName>
    <definedName name="S6_">#REF!</definedName>
    <definedName name="S7_" localSheetId="127">#REF!</definedName>
    <definedName name="S7_" localSheetId="118">#REF!</definedName>
    <definedName name="S7_" localSheetId="125">#REF!</definedName>
    <definedName name="S7_" localSheetId="122">#REF!</definedName>
    <definedName name="S7_" localSheetId="16">#REF!</definedName>
    <definedName name="S7_" localSheetId="46">#REF!</definedName>
    <definedName name="S7_" localSheetId="139">#REF!</definedName>
    <definedName name="S7_" localSheetId="47">#REF!</definedName>
    <definedName name="S7_">#REF!</definedName>
    <definedName name="S8_" localSheetId="127">#REF!</definedName>
    <definedName name="S8_" localSheetId="118">#REF!</definedName>
    <definedName name="S8_" localSheetId="125">#REF!</definedName>
    <definedName name="S8_" localSheetId="122">#REF!</definedName>
    <definedName name="S8_" localSheetId="16">#REF!</definedName>
    <definedName name="S8_" localSheetId="46">#REF!</definedName>
    <definedName name="S8_" localSheetId="139">#REF!</definedName>
    <definedName name="S8_" localSheetId="47">#REF!</definedName>
    <definedName name="S8_">#REF!</definedName>
    <definedName name="S9_" localSheetId="127">#REF!</definedName>
    <definedName name="S9_" localSheetId="118">#REF!</definedName>
    <definedName name="S9_" localSheetId="125">#REF!</definedName>
    <definedName name="S9_" localSheetId="122">#REF!</definedName>
    <definedName name="S9_" localSheetId="16">#REF!</definedName>
    <definedName name="S9_" localSheetId="46">#REF!</definedName>
    <definedName name="S9_" localSheetId="139">#REF!</definedName>
    <definedName name="S9_" localSheetId="47">#REF!</definedName>
    <definedName name="S9_">#REF!</definedName>
    <definedName name="Sched_Pay" localSheetId="127">#REF!</definedName>
    <definedName name="Sched_Pay" localSheetId="118">#REF!</definedName>
    <definedName name="Sched_Pay" localSheetId="125">#REF!</definedName>
    <definedName name="Sched_Pay" localSheetId="122">#REF!</definedName>
    <definedName name="Sched_Pay" localSheetId="16">#REF!</definedName>
    <definedName name="Sched_Pay" localSheetId="46">#REF!</definedName>
    <definedName name="Sched_Pay" localSheetId="139">#REF!</definedName>
    <definedName name="Sched_Pay" localSheetId="47">#REF!</definedName>
    <definedName name="Sched_Pay">#REF!</definedName>
    <definedName name="Scheduled_Extra_Payments" localSheetId="127">#REF!</definedName>
    <definedName name="Scheduled_Extra_Payments" localSheetId="118">#REF!</definedName>
    <definedName name="Scheduled_Extra_Payments" localSheetId="125">#REF!</definedName>
    <definedName name="Scheduled_Extra_Payments" localSheetId="122">#REF!</definedName>
    <definedName name="Scheduled_Extra_Payments" localSheetId="16">#REF!</definedName>
    <definedName name="Scheduled_Extra_Payments" localSheetId="46">#REF!</definedName>
    <definedName name="Scheduled_Extra_Payments" localSheetId="139">#REF!</definedName>
    <definedName name="Scheduled_Extra_Payments" localSheetId="47">#REF!</definedName>
    <definedName name="Scheduled_Extra_Payments">#REF!</definedName>
    <definedName name="Scheduled_Interest_Rate" localSheetId="127">#REF!</definedName>
    <definedName name="Scheduled_Interest_Rate" localSheetId="118">#REF!</definedName>
    <definedName name="Scheduled_Interest_Rate" localSheetId="125">#REF!</definedName>
    <definedName name="Scheduled_Interest_Rate" localSheetId="122">#REF!</definedName>
    <definedName name="Scheduled_Interest_Rate" localSheetId="16">#REF!</definedName>
    <definedName name="Scheduled_Interest_Rate" localSheetId="46">#REF!</definedName>
    <definedName name="Scheduled_Interest_Rate" localSheetId="139">#REF!</definedName>
    <definedName name="Scheduled_Interest_Rate" localSheetId="47">#REF!</definedName>
    <definedName name="Scheduled_Interest_Rate">#REF!</definedName>
    <definedName name="Scheduled_Monthly_Payment" localSheetId="127">#REF!</definedName>
    <definedName name="Scheduled_Monthly_Payment" localSheetId="118">#REF!</definedName>
    <definedName name="Scheduled_Monthly_Payment" localSheetId="125">#REF!</definedName>
    <definedName name="Scheduled_Monthly_Payment" localSheetId="122">#REF!</definedName>
    <definedName name="Scheduled_Monthly_Payment" localSheetId="16">#REF!</definedName>
    <definedName name="Scheduled_Monthly_Payment" localSheetId="46">#REF!</definedName>
    <definedName name="Scheduled_Monthly_Payment" localSheetId="139">#REF!</definedName>
    <definedName name="Scheduled_Monthly_Payment" localSheetId="47">#REF!</definedName>
    <definedName name="Scheduled_Monthly_Payment">#REF!</definedName>
    <definedName name="t_4_b" localSheetId="127">'[14]B 1'!#REF!</definedName>
    <definedName name="t_4_b" localSheetId="118">'[14]B 1'!#REF!</definedName>
    <definedName name="t_4_b" localSheetId="125">'[14]B 1'!#REF!</definedName>
    <definedName name="t_4_b" localSheetId="122">'[14]B 1'!#REF!</definedName>
    <definedName name="t_4_b" localSheetId="16">'[14]B 1'!#REF!</definedName>
    <definedName name="t_4_b" localSheetId="46">'[14]B 1'!#REF!</definedName>
    <definedName name="t_4_b" localSheetId="139">'[14]B 1'!#REF!</definedName>
    <definedName name="t_4_b" localSheetId="47">'[14]B 1'!#REF!</definedName>
    <definedName name="t_4_b">'[14]B 1'!#REF!</definedName>
    <definedName name="t1c00" localSheetId="127">'[15]C 25'!#REF!</definedName>
    <definedName name="t1c00" localSheetId="118">'[15]C 25'!#REF!</definedName>
    <definedName name="t1c00" localSheetId="125">'[15]C 25'!#REF!</definedName>
    <definedName name="t1c00" localSheetId="122">'[15]C 25'!#REF!</definedName>
    <definedName name="t1c00" localSheetId="16">'[15]C 25'!#REF!</definedName>
    <definedName name="t1c00" localSheetId="46">'[15]C 25'!#REF!</definedName>
    <definedName name="t1c00" localSheetId="139">'[15]C 25'!#REF!</definedName>
    <definedName name="t1c00" localSheetId="47">'[15]C 25'!#REF!</definedName>
    <definedName name="t1c00">'[15]C 25'!#REF!</definedName>
    <definedName name="t1c01" localSheetId="127">'[15]C 25'!#REF!</definedName>
    <definedName name="t1c01" localSheetId="118">'[15]C 25'!#REF!</definedName>
    <definedName name="t1c01" localSheetId="125">'[15]C 25'!#REF!</definedName>
    <definedName name="t1c01" localSheetId="122">'[15]C 25'!#REF!</definedName>
    <definedName name="t1c01" localSheetId="16">'[15]C 25'!#REF!</definedName>
    <definedName name="t1c01" localSheetId="46">'[15]C 25'!#REF!</definedName>
    <definedName name="t1c01" localSheetId="139">'[15]C 25'!#REF!</definedName>
    <definedName name="t1c01" localSheetId="47">'[15]C 25'!#REF!</definedName>
    <definedName name="t1c01">'[15]C 25'!#REF!</definedName>
    <definedName name="t1d00" localSheetId="127">#REF!</definedName>
    <definedName name="t1d00" localSheetId="118">#REF!</definedName>
    <definedName name="t1d00" localSheetId="125">#REF!</definedName>
    <definedName name="t1d00" localSheetId="126">#REF!</definedName>
    <definedName name="t1d00" localSheetId="122">#REF!</definedName>
    <definedName name="t1d00" localSheetId="16">#REF!</definedName>
    <definedName name="t1d00" localSheetId="46">#REF!</definedName>
    <definedName name="t1d00" localSheetId="139">#REF!</definedName>
    <definedName name="t1d00" localSheetId="47">#REF!</definedName>
    <definedName name="t1d00">#REF!</definedName>
    <definedName name="t1d01" localSheetId="127">#REF!</definedName>
    <definedName name="t1d01" localSheetId="118">#REF!</definedName>
    <definedName name="t1d01" localSheetId="125">#REF!</definedName>
    <definedName name="t1d01" localSheetId="126">#REF!</definedName>
    <definedName name="t1d01" localSheetId="122">#REF!</definedName>
    <definedName name="t1d01" localSheetId="16">#REF!</definedName>
    <definedName name="t1d01" localSheetId="46">#REF!</definedName>
    <definedName name="t1d01" localSheetId="139">#REF!</definedName>
    <definedName name="t1d01" localSheetId="47">#REF!</definedName>
    <definedName name="t1d01">#REF!</definedName>
    <definedName name="t1e01" localSheetId="127">'[14]B 1'!#REF!</definedName>
    <definedName name="t1e01" localSheetId="118">'[14]B 1'!#REF!</definedName>
    <definedName name="t1e01" localSheetId="125">'[14]B 1'!#REF!</definedName>
    <definedName name="t1e01" localSheetId="126">'[14]B 1'!#REF!</definedName>
    <definedName name="t1e01" localSheetId="122">'[14]B 1'!#REF!</definedName>
    <definedName name="t1e01" localSheetId="16">'[14]B 1'!#REF!</definedName>
    <definedName name="t1e01" localSheetId="46">'[14]B 1'!#REF!</definedName>
    <definedName name="t1e01" localSheetId="139">'[14]B 1'!#REF!</definedName>
    <definedName name="t1e01" localSheetId="47">'[14]B 1'!#REF!</definedName>
    <definedName name="t1e01">'[14]B 1'!#REF!</definedName>
    <definedName name="t2c00" localSheetId="127">'[15]C 25'!#REF!</definedName>
    <definedName name="t2c00" localSheetId="118">'[15]C 25'!#REF!</definedName>
    <definedName name="t2c00" localSheetId="125">'[15]C 25'!#REF!</definedName>
    <definedName name="t2c00" localSheetId="126">'[15]C 25'!#REF!</definedName>
    <definedName name="t2c00" localSheetId="122">'[15]C 25'!#REF!</definedName>
    <definedName name="t2c00" localSheetId="16">'[15]C 25'!#REF!</definedName>
    <definedName name="t2c00" localSheetId="46">'[15]C 25'!#REF!</definedName>
    <definedName name="t2c00" localSheetId="139">'[15]C 25'!#REF!</definedName>
    <definedName name="t2c00" localSheetId="47">'[15]C 25'!#REF!</definedName>
    <definedName name="t2c00">'[15]C 25'!#REF!</definedName>
    <definedName name="t2c01" localSheetId="127">'[15]C 25'!#REF!</definedName>
    <definedName name="t2c01" localSheetId="118">'[15]C 25'!#REF!</definedName>
    <definedName name="t2c01" localSheetId="125">'[15]C 25'!#REF!</definedName>
    <definedName name="t2c01" localSheetId="122">'[15]C 25'!#REF!</definedName>
    <definedName name="t2c01" localSheetId="16">'[15]C 25'!#REF!</definedName>
    <definedName name="t2c01" localSheetId="46">'[15]C 25'!#REF!</definedName>
    <definedName name="t2c01" localSheetId="139">'[15]C 25'!#REF!</definedName>
    <definedName name="t2c01" localSheetId="47">'[15]C 25'!#REF!</definedName>
    <definedName name="t2c01">'[15]C 25'!#REF!</definedName>
    <definedName name="t2d00" localSheetId="127">#REF!</definedName>
    <definedName name="t2d00" localSheetId="118">#REF!</definedName>
    <definedName name="t2d00" localSheetId="125">#REF!</definedName>
    <definedName name="t2d00" localSheetId="126">#REF!</definedName>
    <definedName name="t2d00" localSheetId="122">#REF!</definedName>
    <definedName name="t2d00" localSheetId="16">#REF!</definedName>
    <definedName name="t2d00" localSheetId="46">#REF!</definedName>
    <definedName name="t2d00" localSheetId="139">#REF!</definedName>
    <definedName name="t2d00" localSheetId="47">#REF!</definedName>
    <definedName name="t2d00">#REF!</definedName>
    <definedName name="t2d01" localSheetId="127">#REF!</definedName>
    <definedName name="t2d01" localSheetId="118">#REF!</definedName>
    <definedName name="t2d01" localSheetId="125">#REF!</definedName>
    <definedName name="t2d01" localSheetId="126">#REF!</definedName>
    <definedName name="t2d01" localSheetId="122">#REF!</definedName>
    <definedName name="t2d01" localSheetId="16">#REF!</definedName>
    <definedName name="t2d01" localSheetId="46">#REF!</definedName>
    <definedName name="t2d01" localSheetId="139">#REF!</definedName>
    <definedName name="t2d01" localSheetId="47">#REF!</definedName>
    <definedName name="t2d01">#REF!</definedName>
    <definedName name="t4b" localSheetId="127">'[14]B 1'!#REF!</definedName>
    <definedName name="t4b" localSheetId="118">'[14]B 1'!#REF!</definedName>
    <definedName name="t4b" localSheetId="125">'[14]B 1'!#REF!</definedName>
    <definedName name="t4b" localSheetId="126">'[14]B 1'!#REF!</definedName>
    <definedName name="t4b" localSheetId="122">'[14]B 1'!#REF!</definedName>
    <definedName name="t4b" localSheetId="16">'[14]B 1'!#REF!</definedName>
    <definedName name="t4b" localSheetId="46">'[14]B 1'!#REF!</definedName>
    <definedName name="t4b" localSheetId="139">'[14]B 1'!#REF!</definedName>
    <definedName name="t4b" localSheetId="47">'[14]B 1'!#REF!</definedName>
    <definedName name="t4b">'[14]B 1'!#REF!</definedName>
    <definedName name="t4c00" localSheetId="127">'[15]C 25'!#REF!</definedName>
    <definedName name="t4c00" localSheetId="118">'[15]C 25'!#REF!</definedName>
    <definedName name="t4c00" localSheetId="125">'[15]C 25'!#REF!</definedName>
    <definedName name="t4c00" localSheetId="126">'[15]C 25'!#REF!</definedName>
    <definedName name="t4c00" localSheetId="122">'[15]C 25'!#REF!</definedName>
    <definedName name="t4c00" localSheetId="16">'[15]C 25'!#REF!</definedName>
    <definedName name="t4c00" localSheetId="46">'[15]C 25'!#REF!</definedName>
    <definedName name="t4c00" localSheetId="139">'[15]C 25'!#REF!</definedName>
    <definedName name="t4c00" localSheetId="47">'[15]C 25'!#REF!</definedName>
    <definedName name="t4c00">'[15]C 25'!#REF!</definedName>
    <definedName name="t4c01" localSheetId="127">'[15]C 25'!#REF!</definedName>
    <definedName name="t4c01" localSheetId="118">'[15]C 25'!#REF!</definedName>
    <definedName name="t4c01" localSheetId="125">'[15]C 25'!#REF!</definedName>
    <definedName name="t4c01" localSheetId="122">'[15]C 25'!#REF!</definedName>
    <definedName name="t4c01" localSheetId="16">'[15]C 25'!#REF!</definedName>
    <definedName name="t4c01" localSheetId="46">'[15]C 25'!#REF!</definedName>
    <definedName name="t4c01" localSheetId="139">'[15]C 25'!#REF!</definedName>
    <definedName name="t4c01" localSheetId="47">'[15]C 25'!#REF!</definedName>
    <definedName name="t4c01">'[15]C 25'!#REF!</definedName>
    <definedName name="t4d00" localSheetId="127">#REF!</definedName>
    <definedName name="t4d00" localSheetId="118">#REF!</definedName>
    <definedName name="t4d00" localSheetId="125">#REF!</definedName>
    <definedName name="t4d00" localSheetId="126">#REF!</definedName>
    <definedName name="t4d00" localSheetId="122">#REF!</definedName>
    <definedName name="t4d00" localSheetId="16">#REF!</definedName>
    <definedName name="t4d00" localSheetId="46">#REF!</definedName>
    <definedName name="t4d00" localSheetId="139">#REF!</definedName>
    <definedName name="t4d00" localSheetId="47">#REF!</definedName>
    <definedName name="t4d00">#REF!</definedName>
    <definedName name="t4d01" localSheetId="127">#REF!</definedName>
    <definedName name="t4d01" localSheetId="118">#REF!</definedName>
    <definedName name="t4d01" localSheetId="125">#REF!</definedName>
    <definedName name="t4d01" localSheetId="126">#REF!</definedName>
    <definedName name="t4d01" localSheetId="122">#REF!</definedName>
    <definedName name="t4d01" localSheetId="16">#REF!</definedName>
    <definedName name="t4d01" localSheetId="46">#REF!</definedName>
    <definedName name="t4d01" localSheetId="139">#REF!</definedName>
    <definedName name="t4d01" localSheetId="47">#REF!</definedName>
    <definedName name="t4d01">#REF!</definedName>
    <definedName name="t5b" localSheetId="127">'[14]B 1'!#REF!</definedName>
    <definedName name="t5b" localSheetId="118">'[14]B 1'!#REF!</definedName>
    <definedName name="t5b" localSheetId="125">'[14]B 1'!#REF!</definedName>
    <definedName name="t5b" localSheetId="126">'[14]B 1'!#REF!</definedName>
    <definedName name="t5b" localSheetId="122">'[14]B 1'!#REF!</definedName>
    <definedName name="t5b" localSheetId="16">'[14]B 1'!#REF!</definedName>
    <definedName name="t5b" localSheetId="46">'[14]B 1'!#REF!</definedName>
    <definedName name="t5b" localSheetId="139">'[14]B 1'!#REF!</definedName>
    <definedName name="t5b" localSheetId="47">'[14]B 1'!#REF!</definedName>
    <definedName name="t5b">'[14]B 1'!#REF!</definedName>
    <definedName name="t5c00" localSheetId="127">'[15]C 25'!#REF!</definedName>
    <definedName name="t5c00" localSheetId="118">'[15]C 25'!#REF!</definedName>
    <definedName name="t5c00" localSheetId="125">'[15]C 25'!#REF!</definedName>
    <definedName name="t5c00" localSheetId="126">'[15]C 25'!#REF!</definedName>
    <definedName name="t5c00" localSheetId="122">'[15]C 25'!#REF!</definedName>
    <definedName name="t5c00" localSheetId="16">'[15]C 25'!#REF!</definedName>
    <definedName name="t5c00" localSheetId="46">'[15]C 25'!#REF!</definedName>
    <definedName name="t5c00" localSheetId="139">'[15]C 25'!#REF!</definedName>
    <definedName name="t5c00" localSheetId="47">'[15]C 25'!#REF!</definedName>
    <definedName name="t5c00">'[15]C 25'!#REF!</definedName>
    <definedName name="t5c01" localSheetId="127">'[15]C 25'!#REF!</definedName>
    <definedName name="t5c01" localSheetId="118">'[15]C 25'!#REF!</definedName>
    <definedName name="t5c01" localSheetId="125">'[15]C 25'!#REF!</definedName>
    <definedName name="t5c01" localSheetId="122">'[15]C 25'!#REF!</definedName>
    <definedName name="t5c01" localSheetId="16">'[15]C 25'!#REF!</definedName>
    <definedName name="t5c01" localSheetId="46">'[15]C 25'!#REF!</definedName>
    <definedName name="t5c01" localSheetId="139">'[15]C 25'!#REF!</definedName>
    <definedName name="t5c01" localSheetId="47">'[15]C 25'!#REF!</definedName>
    <definedName name="t5c01">'[15]C 25'!#REF!</definedName>
    <definedName name="t5d00" localSheetId="127">#REF!</definedName>
    <definedName name="t5d00" localSheetId="118">#REF!</definedName>
    <definedName name="t5d00" localSheetId="125">#REF!</definedName>
    <definedName name="t5d00" localSheetId="126">#REF!</definedName>
    <definedName name="t5d00" localSheetId="122">#REF!</definedName>
    <definedName name="t5d00" localSheetId="16">#REF!</definedName>
    <definedName name="t5d00" localSheetId="46">#REF!</definedName>
    <definedName name="t5d00" localSheetId="139">#REF!</definedName>
    <definedName name="t5d00" localSheetId="47">#REF!</definedName>
    <definedName name="t5d00">#REF!</definedName>
    <definedName name="t5d01" localSheetId="127">#REF!</definedName>
    <definedName name="t5d01" localSheetId="118">#REF!</definedName>
    <definedName name="t5d01" localSheetId="125">#REF!</definedName>
    <definedName name="t5d01" localSheetId="126">#REF!</definedName>
    <definedName name="t5d01" localSheetId="122">#REF!</definedName>
    <definedName name="t5d01" localSheetId="16">#REF!</definedName>
    <definedName name="t5d01" localSheetId="46">#REF!</definedName>
    <definedName name="t5d01" localSheetId="139">#REF!</definedName>
    <definedName name="t5d01" localSheetId="47">#REF!</definedName>
    <definedName name="t5d01">#REF!</definedName>
    <definedName name="tariff" localSheetId="125">'Площадь столовой новая'!tariff</definedName>
    <definedName name="tariff" localSheetId="126">'расч по правилам '!tariff</definedName>
    <definedName name="tariff" localSheetId="122">#N/A</definedName>
    <definedName name="tariff" localSheetId="16">#N/A</definedName>
    <definedName name="tariff" localSheetId="46">#N/A</definedName>
    <definedName name="tariff" localSheetId="139">#N/A</definedName>
    <definedName name="tariff" localSheetId="47">#N/A</definedName>
    <definedName name="tariff">'Площадь столовой новая'!tariff</definedName>
    <definedName name="TextRefCopy63">'[16]PP&amp;E mvt for 2003'!$R$18</definedName>
    <definedName name="TextRefCopy88">'[16]PP&amp;E mvt for 2003'!$P$19</definedName>
    <definedName name="TextRefCopy89">'[16]PP&amp;E mvt for 2003'!$P$46</definedName>
    <definedName name="TextRefCopy90">'[16]PP&amp;E mvt for 2003'!$P$25</definedName>
    <definedName name="TextRefCopy92">'[16]PP&amp;E mvt for 2003'!$P$26</definedName>
    <definedName name="TextRefCopy94">'[16]PP&amp;E mvt for 2003'!$P$52</definedName>
    <definedName name="TextRefCopy95">'[16]PP&amp;E mvt for 2003'!$P$53</definedName>
    <definedName name="TextRefCopyRangeCount" hidden="1">3</definedName>
    <definedName name="total_1" localSheetId="127">'[14]A 100'!#REF!</definedName>
    <definedName name="total_1" localSheetId="118">'[14]A 100'!#REF!</definedName>
    <definedName name="total_1" localSheetId="125">'[14]A 100'!#REF!</definedName>
    <definedName name="total_1" localSheetId="126">'[14]A 100'!#REF!</definedName>
    <definedName name="total_1" localSheetId="122">'[14]A 100'!#REF!</definedName>
    <definedName name="total_1" localSheetId="16">'[14]A 100'!#REF!</definedName>
    <definedName name="total_1" localSheetId="46">'[14]A 100'!#REF!</definedName>
    <definedName name="total_1" localSheetId="139">'[14]A 100'!#REF!</definedName>
    <definedName name="total_1" localSheetId="47">'[14]A 100'!#REF!</definedName>
    <definedName name="total_1">'[14]A 100'!#REF!</definedName>
    <definedName name="Total_Interest" localSheetId="127">#REF!</definedName>
    <definedName name="Total_Interest" localSheetId="118">#REF!</definedName>
    <definedName name="Total_Interest" localSheetId="125">#REF!</definedName>
    <definedName name="Total_Interest" localSheetId="126">#REF!</definedName>
    <definedName name="Total_Interest" localSheetId="122">#REF!</definedName>
    <definedName name="Total_Interest" localSheetId="16">#REF!</definedName>
    <definedName name="Total_Interest" localSheetId="46">#REF!</definedName>
    <definedName name="Total_Interest" localSheetId="139">#REF!</definedName>
    <definedName name="Total_Interest" localSheetId="47">#REF!</definedName>
    <definedName name="Total_Interest">#REF!</definedName>
    <definedName name="Total_Pay" localSheetId="127">#REF!</definedName>
    <definedName name="Total_Pay" localSheetId="118">#REF!</definedName>
    <definedName name="Total_Pay" localSheetId="125">#REF!</definedName>
    <definedName name="Total_Pay" localSheetId="126">#REF!</definedName>
    <definedName name="Total_Pay" localSheetId="122">#REF!</definedName>
    <definedName name="Total_Pay" localSheetId="16">#REF!</definedName>
    <definedName name="Total_Pay" localSheetId="46">#REF!</definedName>
    <definedName name="Total_Pay" localSheetId="139">#REF!</definedName>
    <definedName name="Total_Pay" localSheetId="47">#REF!</definedName>
    <definedName name="Total_Pay">#REF!</definedName>
    <definedName name="Total_Payment" localSheetId="127">Scheduled_Payment+Extra_Payment</definedName>
    <definedName name="Total_Payment" localSheetId="118">Scheduled_Payment+Extra_Payment</definedName>
    <definedName name="Total_Payment" localSheetId="125">Scheduled_Payment+Extra_Payment</definedName>
    <definedName name="Total_Payment" localSheetId="126">Scheduled_Payment+Extra_Payment</definedName>
    <definedName name="Total_Payment" localSheetId="122">Scheduled_Payment+Extra_Payment</definedName>
    <definedName name="Total_Payment" localSheetId="16">Scheduled_Payment+Extra_Payment</definedName>
    <definedName name="Total_Payment" localSheetId="46">Scheduled_Payment+Extra_Payment</definedName>
    <definedName name="Total_Payment" localSheetId="139">Scheduled_Payment+Extra_Payment</definedName>
    <definedName name="Total_Payment" localSheetId="47">Scheduled_Payment+Extra_Payment</definedName>
    <definedName name="Total_Payment">Scheduled_Payment+Extra_Payment</definedName>
    <definedName name="total1_00" localSheetId="127">'[14]A 100'!#REF!</definedName>
    <definedName name="total1_00" localSheetId="118">'[14]A 100'!#REF!</definedName>
    <definedName name="total1_00" localSheetId="125">'[14]A 100'!#REF!</definedName>
    <definedName name="total1_00" localSheetId="126">'[14]A 100'!#REF!</definedName>
    <definedName name="total1_00" localSheetId="122">'[14]A 100'!#REF!</definedName>
    <definedName name="total1_00" localSheetId="16">'[14]A 100'!#REF!</definedName>
    <definedName name="total1_00" localSheetId="46">'[14]A 100'!#REF!</definedName>
    <definedName name="total1_00" localSheetId="139">'[14]A 100'!#REF!</definedName>
    <definedName name="total1_00" localSheetId="47">'[14]A 100'!#REF!</definedName>
    <definedName name="total1_00">'[14]A 100'!#REF!</definedName>
    <definedName name="total2_00" localSheetId="127">'[14]A 100'!#REF!</definedName>
    <definedName name="total2_00" localSheetId="118">'[14]A 100'!#REF!</definedName>
    <definedName name="total2_00" localSheetId="125">'[14]A 100'!#REF!</definedName>
    <definedName name="total2_00" localSheetId="126">'[14]A 100'!#REF!</definedName>
    <definedName name="total2_00" localSheetId="122">'[14]A 100'!#REF!</definedName>
    <definedName name="total2_00" localSheetId="16">'[14]A 100'!#REF!</definedName>
    <definedName name="total2_00" localSheetId="46">'[14]A 100'!#REF!</definedName>
    <definedName name="total2_00" localSheetId="139">'[14]A 100'!#REF!</definedName>
    <definedName name="total2_00" localSheetId="47">'[14]A 100'!#REF!</definedName>
    <definedName name="total2_00">'[14]A 100'!#REF!</definedName>
    <definedName name="total3_00" localSheetId="127">'[14]A 100'!#REF!</definedName>
    <definedName name="total3_00" localSheetId="118">'[14]A 100'!#REF!</definedName>
    <definedName name="total3_00" localSheetId="125">'[14]A 100'!#REF!</definedName>
    <definedName name="total3_00" localSheetId="126">'[14]A 100'!#REF!</definedName>
    <definedName name="total3_00" localSheetId="122">'[14]A 100'!#REF!</definedName>
    <definedName name="total3_00" localSheetId="16">'[14]A 100'!#REF!</definedName>
    <definedName name="total3_00" localSheetId="46">'[14]A 100'!#REF!</definedName>
    <definedName name="total3_00" localSheetId="139">'[14]A 100'!#REF!</definedName>
    <definedName name="total3_00" localSheetId="47">'[14]A 100'!#REF!</definedName>
    <definedName name="total3_00">'[14]A 100'!#REF!</definedName>
    <definedName name="total4_00" localSheetId="127">#REF!</definedName>
    <definedName name="total4_00" localSheetId="118">#REF!</definedName>
    <definedName name="total4_00" localSheetId="125">#REF!</definedName>
    <definedName name="total4_00" localSheetId="126">#REF!</definedName>
    <definedName name="total4_00" localSheetId="122">#REF!</definedName>
    <definedName name="total4_00" localSheetId="16">#REF!</definedName>
    <definedName name="total4_00" localSheetId="46">#REF!</definedName>
    <definedName name="total4_00" localSheetId="139">#REF!</definedName>
    <definedName name="total4_00" localSheetId="47">#REF!</definedName>
    <definedName name="total4_00">#REF!</definedName>
    <definedName name="total4_01" localSheetId="127">#REF!</definedName>
    <definedName name="total4_01" localSheetId="118">#REF!</definedName>
    <definedName name="total4_01" localSheetId="125">#REF!</definedName>
    <definedName name="total4_01" localSheetId="126">#REF!</definedName>
    <definedName name="total4_01" localSheetId="122">#REF!</definedName>
    <definedName name="total4_01" localSheetId="16">#REF!</definedName>
    <definedName name="total4_01" localSheetId="46">#REF!</definedName>
    <definedName name="total4_01" localSheetId="139">#REF!</definedName>
    <definedName name="total4_01" localSheetId="47">#REF!</definedName>
    <definedName name="total4_01">#REF!</definedName>
    <definedName name="total5_00" localSheetId="127">#REF!</definedName>
    <definedName name="total5_00" localSheetId="118">#REF!</definedName>
    <definedName name="total5_00" localSheetId="125">#REF!</definedName>
    <definedName name="total5_00" localSheetId="126">#REF!</definedName>
    <definedName name="total5_00" localSheetId="122">#REF!</definedName>
    <definedName name="total5_00" localSheetId="16">#REF!</definedName>
    <definedName name="total5_00" localSheetId="46">#REF!</definedName>
    <definedName name="total5_00" localSheetId="139">#REF!</definedName>
    <definedName name="total5_00" localSheetId="47">#REF!</definedName>
    <definedName name="total5_00">#REF!</definedName>
    <definedName name="total5_01" localSheetId="127">#REF!</definedName>
    <definedName name="total5_01" localSheetId="118">#REF!</definedName>
    <definedName name="total5_01" localSheetId="125">#REF!</definedName>
    <definedName name="total5_01" localSheetId="122">#REF!</definedName>
    <definedName name="total5_01" localSheetId="16">#REF!</definedName>
    <definedName name="total5_01" localSheetId="46">#REF!</definedName>
    <definedName name="total5_01" localSheetId="139">#REF!</definedName>
    <definedName name="total5_01" localSheetId="47">#REF!</definedName>
    <definedName name="total5_01">#REF!</definedName>
    <definedName name="TrForma2" localSheetId="127">#REF!</definedName>
    <definedName name="TrForma2" localSheetId="118">#REF!</definedName>
    <definedName name="TrForma2" localSheetId="125">#REF!</definedName>
    <definedName name="TrForma2" localSheetId="122">#REF!</definedName>
    <definedName name="TrForma2" localSheetId="16">#REF!</definedName>
    <definedName name="TrForma2" localSheetId="46">#REF!</definedName>
    <definedName name="TrForma2" localSheetId="139">#REF!</definedName>
    <definedName name="TrForma2" localSheetId="47">#REF!</definedName>
    <definedName name="TrForma2">#REF!</definedName>
    <definedName name="UHG" localSheetId="127">#REF!</definedName>
    <definedName name="UHG" localSheetId="118">#REF!</definedName>
    <definedName name="UHG" localSheetId="125">#REF!</definedName>
    <definedName name="UHG" localSheetId="122">#REF!</definedName>
    <definedName name="UHG" localSheetId="16">#REF!</definedName>
    <definedName name="UHG" localSheetId="46">#REF!</definedName>
    <definedName name="UHG" localSheetId="139">#REF!</definedName>
    <definedName name="UHG" localSheetId="47">#REF!</definedName>
    <definedName name="UHG">#REF!</definedName>
    <definedName name="UГазАмн">'[17]Добыча нефти4'!$F$11:$Q$12</definedName>
    <definedName name="Values_Entered" localSheetId="127">IF('мебель изм.амортиз'!Loan_Amount*'мебель изм.амортиз'!Interest_Rate*'мебель изм.амортиз'!Loan_Years*'мебель изм.амортиз'!Loan_Start&gt;0,1,0)</definedName>
    <definedName name="Values_Entered" localSheetId="118">IF('НДС ЗОПЛ'!Loan_Amount*'НДС ЗОПЛ'!Interest_Rate*'НДС ЗОПЛ'!Loan_Years*'НДС ЗОПЛ'!Loan_Start&gt;0,1,0)</definedName>
    <definedName name="Values_Entered" localSheetId="125">IF('Площадь столовой новая'!Loan_Amount*'Площадь столовой новая'!Interest_Rate*'Площадь столовой новая'!Loan_Years*'Площадь столовой новая'!Loan_Start&gt;0,1,0)</definedName>
    <definedName name="Values_Entered" localSheetId="126">IF('расч по правилам '!Loan_Amount*Interest_Rate*'расч по правилам '!Loan_Years*'расч по правилам '!Loan_Start&gt;0,1,0)</definedName>
    <definedName name="Values_Entered" localSheetId="122">IF('Расчет арендной ставки пересчит'!Loan_Amount*'Расчет арендной ставки пересчит'!Interest_Rate*'Расчет арендной ставки пересчит'!Loan_Years*'Расчет арендной ставки пересчит'!Loan_Start&gt;0,1,0)</definedName>
    <definedName name="Values_Entered" localSheetId="16">IF('свод сверн'!Loan_Amount*'свод сверн'!Interest_Rate*'свод сверн'!Loan_Years*'свод сверн'!Loan_Start&gt;0,1,0)</definedName>
    <definedName name="Values_Entered" localSheetId="46">IF('хоз 2.03.06.'!Loan_Amount*'хоз 2.03.06.'!Interest_Rate*'хоз 2.03.06.'!Loan_Years*'хоз 2.03.06.'!Loan_Start&gt;0,1,0)</definedName>
    <definedName name="Values_Entered" localSheetId="139">IF('хоз 2.03.06. (3)'!Loan_Amount*'хоз 2.03.06. (3)'!Interest_Rate*'хоз 2.03.06. (3)'!Loan_Years*'хоз 2.03.06. (3)'!Loan_Start&gt;0,1,0)</definedName>
    <definedName name="Values_Entered" localSheetId="47">IF('хозМБ)'!Loan_Amount*'хозМБ)'!Interest_Rate*'хозМБ)'!Loan_Years*'хозМБ)'!Loan_Start&gt;0,1,0)</definedName>
    <definedName name="Values_Entered">IF(Loan_Amount*Interest_Rate*Loan_Years*Loan_Start&gt;0,1,0)</definedName>
    <definedName name="WIDTH" localSheetId="127">#REF!</definedName>
    <definedName name="WIDTH" localSheetId="118">#REF!</definedName>
    <definedName name="WIDTH" localSheetId="125">#REF!</definedName>
    <definedName name="WIDTH" localSheetId="126">#REF!</definedName>
    <definedName name="WIDTH" localSheetId="122">#REF!</definedName>
    <definedName name="WIDTH" localSheetId="16">#REF!</definedName>
    <definedName name="WIDTH" localSheetId="46">#REF!</definedName>
    <definedName name="WIDTH" localSheetId="139">#REF!</definedName>
    <definedName name="WIDTH" localSheetId="47">#REF!</definedName>
    <definedName name="WIDTH">#REF!</definedName>
    <definedName name="wrn.Сравнение._.с._.отраслями." localSheetId="125" hidden="1">{#N/A,#N/A,TRUE,"Лист1";#N/A,#N/A,TRUE,"Лист2";#N/A,#N/A,TRUE,"Лист3"}</definedName>
    <definedName name="wrn.Сравнение._.с._.отраслями." localSheetId="126" hidden="1">{#N/A,#N/A,TRUE,"Лист1";#N/A,#N/A,TRUE,"Лист2";#N/A,#N/A,TRUE,"Лист3"}</definedName>
    <definedName name="wrn.Сравнение._.с._.отраслями." localSheetId="46" hidden="1">{#N/A,#N/A,TRUE,"Лист1";#N/A,#N/A,TRUE,"Лист2";#N/A,#N/A,TRUE,"Лист3"}</definedName>
    <definedName name="wrn.Сравнение._.с._.отраслями." localSheetId="139" hidden="1">{#N/A,#N/A,TRUE,"Лист1";#N/A,#N/A,TRUE,"Лист2";#N/A,#N/A,TRUE,"Лист3"}</definedName>
    <definedName name="wrn.Сравнение._.с._.отраслями." localSheetId="47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Z_C37E65A7_9893_435E_9759_72E0D8A5DD87_.wvu.PrintTitles" localSheetId="127" hidden="1">#REF!</definedName>
    <definedName name="Z_C37E65A7_9893_435E_9759_72E0D8A5DD87_.wvu.PrintTitles" localSheetId="118" hidden="1">#REF!</definedName>
    <definedName name="Z_C37E65A7_9893_435E_9759_72E0D8A5DD87_.wvu.PrintTitles" localSheetId="125" hidden="1">#REF!</definedName>
    <definedName name="Z_C37E65A7_9893_435E_9759_72E0D8A5DD87_.wvu.PrintTitles" localSheetId="126" hidden="1">#REF!</definedName>
    <definedName name="Z_C37E65A7_9893_435E_9759_72E0D8A5DD87_.wvu.PrintTitles" localSheetId="122" hidden="1">#REF!</definedName>
    <definedName name="Z_C37E65A7_9893_435E_9759_72E0D8A5DD87_.wvu.PrintTitles" localSheetId="16" hidden="1">#REF!</definedName>
    <definedName name="Z_C37E65A7_9893_435E_9759_72E0D8A5DD87_.wvu.PrintTitles" localSheetId="46" hidden="1">#REF!</definedName>
    <definedName name="Z_C37E65A7_9893_435E_9759_72E0D8A5DD87_.wvu.PrintTitles" localSheetId="139" hidden="1">#REF!</definedName>
    <definedName name="Z_C37E65A7_9893_435E_9759_72E0D8A5DD87_.wvu.PrintTitles" localSheetId="47" hidden="1">#REF!</definedName>
    <definedName name="Z_C37E65A7_9893_435E_9759_72E0D8A5DD87_.wvu.PrintTitles" hidden="1">#REF!</definedName>
    <definedName name="а" localSheetId="80">#REF!</definedName>
    <definedName name="а" localSheetId="71">#REF!</definedName>
    <definedName name="а" localSheetId="74">#REF!</definedName>
    <definedName name="а" localSheetId="81">#REF!</definedName>
    <definedName name="а" localSheetId="73">#REF!</definedName>
    <definedName name="а" localSheetId="82">#REF!</definedName>
    <definedName name="а" localSheetId="31">#REF!</definedName>
    <definedName name="а" localSheetId="108">#REF!</definedName>
    <definedName name="а" localSheetId="62">#REF!</definedName>
    <definedName name="а" localSheetId="40">#REF!</definedName>
    <definedName name="а" localSheetId="59">#REF!</definedName>
    <definedName name="а" localSheetId="61">#REF!</definedName>
    <definedName name="а" localSheetId="51">#REF!</definedName>
    <definedName name="а" localSheetId="56">#REF!</definedName>
    <definedName name="а" localSheetId="88">#REF!</definedName>
    <definedName name="а" localSheetId="94">#REF!</definedName>
    <definedName name="а" localSheetId="11">#REF!</definedName>
    <definedName name="а" localSheetId="5">#REF!</definedName>
    <definedName name="а" localSheetId="6">#REF!</definedName>
    <definedName name="а" localSheetId="8">#REF!</definedName>
    <definedName name="а" localSheetId="7">#REF!</definedName>
    <definedName name="а" localSheetId="138">#REF!</definedName>
    <definedName name="а" localSheetId="10">#REF!</definedName>
    <definedName name="а" localSheetId="9">#REF!</definedName>
    <definedName name="а" localSheetId="136">#REF!</definedName>
    <definedName name="а" localSheetId="127">#REF!</definedName>
    <definedName name="а" localSheetId="37">#REF!</definedName>
    <definedName name="а" localSheetId="60">#REF!</definedName>
    <definedName name="а" localSheetId="41">#REF!</definedName>
    <definedName name="а" localSheetId="45">#REF!</definedName>
    <definedName name="а" localSheetId="53">#REF!</definedName>
    <definedName name="а" localSheetId="57">#REF!</definedName>
    <definedName name="а" localSheetId="42">#REF!</definedName>
    <definedName name="а" localSheetId="95">#REF!</definedName>
    <definedName name="а" localSheetId="118">#REF!</definedName>
    <definedName name="а" localSheetId="48">#REF!</definedName>
    <definedName name="а" localSheetId="79">#REF!</definedName>
    <definedName name="а" localSheetId="133">#REF!</definedName>
    <definedName name="а" localSheetId="128">#REF!</definedName>
    <definedName name="а" localSheetId="93">#REF!</definedName>
    <definedName name="а" localSheetId="97">#REF!</definedName>
    <definedName name="а" localSheetId="113">#REF!</definedName>
    <definedName name="а" localSheetId="12">#REF!</definedName>
    <definedName name="а" localSheetId="125">#REF!</definedName>
    <definedName name="а" localSheetId="105">#REF!</definedName>
    <definedName name="а" localSheetId="52">#REF!</definedName>
    <definedName name="а" localSheetId="50">#REF!</definedName>
    <definedName name="а" localSheetId="137">#REF!</definedName>
    <definedName name="а" localSheetId="33">#REF!</definedName>
    <definedName name="а" localSheetId="34">#REF!</definedName>
    <definedName name="а" localSheetId="84">#REF!</definedName>
    <definedName name="а" localSheetId="130">#REF!</definedName>
    <definedName name="а" localSheetId="131">#REF!</definedName>
    <definedName name="а" localSheetId="126">#REF!</definedName>
    <definedName name="а" localSheetId="122">#REF!</definedName>
    <definedName name="а" localSheetId="78">#REF!</definedName>
    <definedName name="а" localSheetId="116">#REF!</definedName>
    <definedName name="а" localSheetId="16">#REF!</definedName>
    <definedName name="а" localSheetId="4">#REF!</definedName>
    <definedName name="а" localSheetId="75">#REF!</definedName>
    <definedName name="а" localSheetId="89">#REF!</definedName>
    <definedName name="а" localSheetId="0">#REF!</definedName>
    <definedName name="а" localSheetId="38">#REF!</definedName>
    <definedName name="а" localSheetId="55">#REF!</definedName>
    <definedName name="а" localSheetId="85">#REF!</definedName>
    <definedName name="а" localSheetId="58">#REF!</definedName>
    <definedName name="а" localSheetId="96">#REF!</definedName>
    <definedName name="а" localSheetId="46">#REF!</definedName>
    <definedName name="а" localSheetId="139">#REF!</definedName>
    <definedName name="а" localSheetId="36">#REF!</definedName>
    <definedName name="а" localSheetId="87">#REF!</definedName>
    <definedName name="а" localSheetId="43">#REF!</definedName>
    <definedName name="а" localSheetId="49">#REF!</definedName>
    <definedName name="а" localSheetId="86">#REF!</definedName>
    <definedName name="а" localSheetId="47">#REF!</definedName>
    <definedName name="а" localSheetId="54">#REF!</definedName>
    <definedName name="а" localSheetId="23">#REF!</definedName>
    <definedName name="а" localSheetId="13">#REF!</definedName>
    <definedName name="а" localSheetId="24">#REF!</definedName>
    <definedName name="а" localSheetId="29">#REF!</definedName>
    <definedName name="а" localSheetId="25">#REF!</definedName>
    <definedName name="а" localSheetId="26">#REF!</definedName>
    <definedName name="а" localSheetId="27">#REF!</definedName>
    <definedName name="а" localSheetId="28">#REF!</definedName>
    <definedName name="а" localSheetId="119">#REF!</definedName>
    <definedName name="а" localSheetId="69">#REF!</definedName>
    <definedName name="а" localSheetId="70">#REF!</definedName>
    <definedName name="а" localSheetId="72">#REF!</definedName>
    <definedName name="а" localSheetId="68">#REF!</definedName>
    <definedName name="а" localSheetId="67">#REF!</definedName>
    <definedName name="а" localSheetId="66">#REF!</definedName>
    <definedName name="а">#REF!</definedName>
    <definedName name="а1" localSheetId="127">[18]Sheet1!#REF!</definedName>
    <definedName name="а1" localSheetId="118">[18]Sheet1!#REF!</definedName>
    <definedName name="а1" localSheetId="125">[18]Sheet1!#REF!</definedName>
    <definedName name="а1" localSheetId="126">[18]Sheet1!#REF!</definedName>
    <definedName name="а1" localSheetId="122">[18]Sheet1!#REF!</definedName>
    <definedName name="а1" localSheetId="16">[18]Sheet1!#REF!</definedName>
    <definedName name="а1" localSheetId="46">[18]Sheet1!#REF!</definedName>
    <definedName name="а1" localSheetId="139">[18]Sheet1!#REF!</definedName>
    <definedName name="а1" localSheetId="47">[18]Sheet1!#REF!</definedName>
    <definedName name="а1">[18]Sheet1!#REF!</definedName>
    <definedName name="А2" localSheetId="127">#REF!</definedName>
    <definedName name="А2" localSheetId="118">#REF!</definedName>
    <definedName name="А2" localSheetId="125">#REF!</definedName>
    <definedName name="А2" localSheetId="126">#REF!</definedName>
    <definedName name="А2" localSheetId="122">#REF!</definedName>
    <definedName name="А2" localSheetId="16">#REF!</definedName>
    <definedName name="А2" localSheetId="46">#REF!</definedName>
    <definedName name="А2" localSheetId="139">#REF!</definedName>
    <definedName name="А2" localSheetId="47">#REF!</definedName>
    <definedName name="А2">#REF!</definedName>
    <definedName name="А2___0" localSheetId="127">#REF!</definedName>
    <definedName name="А2___0" localSheetId="118">#REF!</definedName>
    <definedName name="А2___0" localSheetId="125">#REF!</definedName>
    <definedName name="А2___0" localSheetId="126">#REF!</definedName>
    <definedName name="А2___0" localSheetId="122">#REF!</definedName>
    <definedName name="А2___0" localSheetId="16">#REF!</definedName>
    <definedName name="А2___0" localSheetId="46">#REF!</definedName>
    <definedName name="А2___0" localSheetId="139">#REF!</definedName>
    <definedName name="А2___0" localSheetId="47">#REF!</definedName>
    <definedName name="А2___0">#REF!</definedName>
    <definedName name="А2___10" localSheetId="127">#REF!</definedName>
    <definedName name="А2___10" localSheetId="118">#REF!</definedName>
    <definedName name="А2___10" localSheetId="125">#REF!</definedName>
    <definedName name="А2___10" localSheetId="126">#REF!</definedName>
    <definedName name="А2___10" localSheetId="122">#REF!</definedName>
    <definedName name="А2___10" localSheetId="16">#REF!</definedName>
    <definedName name="А2___10" localSheetId="46">#REF!</definedName>
    <definedName name="А2___10" localSheetId="139">#REF!</definedName>
    <definedName name="А2___10" localSheetId="47">#REF!</definedName>
    <definedName name="А2___10">#REF!</definedName>
    <definedName name="а3" localSheetId="127">[18]Sheet1!#REF!</definedName>
    <definedName name="а3" localSheetId="118">[18]Sheet1!#REF!</definedName>
    <definedName name="а3" localSheetId="125">[18]Sheet1!#REF!</definedName>
    <definedName name="а3" localSheetId="126">[18]Sheet1!#REF!</definedName>
    <definedName name="а3" localSheetId="122">[18]Sheet1!#REF!</definedName>
    <definedName name="а3" localSheetId="16">[18]Sheet1!#REF!</definedName>
    <definedName name="а3" localSheetId="46">[18]Sheet1!#REF!</definedName>
    <definedName name="а3" localSheetId="139">[18]Sheet1!#REF!</definedName>
    <definedName name="а3" localSheetId="47">[18]Sheet1!#REF!</definedName>
    <definedName name="а3">[18]Sheet1!#REF!</definedName>
    <definedName name="аа" localSheetId="80">#REF!</definedName>
    <definedName name="аа" localSheetId="71">#REF!</definedName>
    <definedName name="аа" localSheetId="74">#REF!</definedName>
    <definedName name="аа" localSheetId="81">#REF!</definedName>
    <definedName name="аа" localSheetId="73">#REF!</definedName>
    <definedName name="аа" localSheetId="82">#REF!</definedName>
    <definedName name="аа" localSheetId="62">#REF!</definedName>
    <definedName name="аа" localSheetId="40">#REF!</definedName>
    <definedName name="аа" localSheetId="59">#REF!</definedName>
    <definedName name="аа" localSheetId="61">#REF!</definedName>
    <definedName name="аа" localSheetId="51">#REF!</definedName>
    <definedName name="аа" localSheetId="56">#REF!</definedName>
    <definedName name="аа" localSheetId="88">#REF!</definedName>
    <definedName name="аа" localSheetId="94">#REF!</definedName>
    <definedName name="аа" localSheetId="11">#REF!</definedName>
    <definedName name="аа" localSheetId="5">#REF!</definedName>
    <definedName name="аа" localSheetId="6">#REF!</definedName>
    <definedName name="аа" localSheetId="8">#REF!</definedName>
    <definedName name="аа" localSheetId="7">#REF!</definedName>
    <definedName name="аа" localSheetId="138">#REF!</definedName>
    <definedName name="аа" localSheetId="10">#REF!</definedName>
    <definedName name="аа" localSheetId="9">#REF!</definedName>
    <definedName name="аа" localSheetId="136">#REF!</definedName>
    <definedName name="аа" localSheetId="127">#REF!</definedName>
    <definedName name="аа" localSheetId="37">#REF!</definedName>
    <definedName name="аа" localSheetId="60">#REF!</definedName>
    <definedName name="аа" localSheetId="41">#REF!</definedName>
    <definedName name="аа" localSheetId="45">#REF!</definedName>
    <definedName name="аа" localSheetId="53">#REF!</definedName>
    <definedName name="аа" localSheetId="57">#REF!</definedName>
    <definedName name="аа" localSheetId="42">#REF!</definedName>
    <definedName name="аа" localSheetId="95">#REF!</definedName>
    <definedName name="аа" localSheetId="118">#REF!</definedName>
    <definedName name="аа" localSheetId="48">#REF!</definedName>
    <definedName name="аа" localSheetId="133">#REF!</definedName>
    <definedName name="аа" localSheetId="128">#REF!</definedName>
    <definedName name="аа" localSheetId="93">#REF!</definedName>
    <definedName name="аа" localSheetId="97">#REF!</definedName>
    <definedName name="аа" localSheetId="90">#REF!</definedName>
    <definedName name="аа" localSheetId="12">#REF!</definedName>
    <definedName name="аа" localSheetId="125">#REF!</definedName>
    <definedName name="аа" localSheetId="52">#REF!</definedName>
    <definedName name="аа" localSheetId="50">#REF!</definedName>
    <definedName name="аа" localSheetId="137">#REF!</definedName>
    <definedName name="аа" localSheetId="33">#REF!</definedName>
    <definedName name="аа" localSheetId="34">#REF!</definedName>
    <definedName name="аа" localSheetId="84">#REF!</definedName>
    <definedName name="аа" localSheetId="102">#REF!</definedName>
    <definedName name="аа" localSheetId="130">#REF!</definedName>
    <definedName name="аа" localSheetId="131">#REF!</definedName>
    <definedName name="аа" localSheetId="126">#REF!</definedName>
    <definedName name="аа" localSheetId="122">#REF!</definedName>
    <definedName name="аа" localSheetId="78">#REF!</definedName>
    <definedName name="аа" localSheetId="116">#REF!</definedName>
    <definedName name="аа" localSheetId="16">#REF!</definedName>
    <definedName name="аа" localSheetId="4">#REF!</definedName>
    <definedName name="аа" localSheetId="75">#REF!</definedName>
    <definedName name="аа" localSheetId="38">#REF!</definedName>
    <definedName name="аа" localSheetId="55">#REF!</definedName>
    <definedName name="аа" localSheetId="85">#REF!</definedName>
    <definedName name="аа" localSheetId="58">#REF!</definedName>
    <definedName name="аа" localSheetId="96">#REF!</definedName>
    <definedName name="аа" localSheetId="46">#REF!</definedName>
    <definedName name="аа" localSheetId="139">#REF!</definedName>
    <definedName name="аа" localSheetId="36">#REF!</definedName>
    <definedName name="аа" localSheetId="87">#REF!</definedName>
    <definedName name="аа" localSheetId="43">#REF!</definedName>
    <definedName name="аа" localSheetId="49">#REF!</definedName>
    <definedName name="аа" localSheetId="86">#REF!</definedName>
    <definedName name="аа" localSheetId="47">#REF!</definedName>
    <definedName name="аа" localSheetId="54">#REF!</definedName>
    <definedName name="аа" localSheetId="23">#REF!</definedName>
    <definedName name="аа" localSheetId="13">#REF!</definedName>
    <definedName name="аа" localSheetId="24">#REF!</definedName>
    <definedName name="аа" localSheetId="29">#REF!</definedName>
    <definedName name="аа" localSheetId="25">#REF!</definedName>
    <definedName name="аа" localSheetId="26">#REF!</definedName>
    <definedName name="аа" localSheetId="27">#REF!</definedName>
    <definedName name="аа" localSheetId="28">#REF!</definedName>
    <definedName name="аа" localSheetId="119">#REF!</definedName>
    <definedName name="аа" localSheetId="69">#REF!</definedName>
    <definedName name="аа" localSheetId="70">#REF!</definedName>
    <definedName name="аа" localSheetId="72">#REF!</definedName>
    <definedName name="аа" localSheetId="68">#REF!</definedName>
    <definedName name="аа" localSheetId="67">#REF!</definedName>
    <definedName name="аа" localSheetId="66">#REF!</definedName>
    <definedName name="аа">#REF!</definedName>
    <definedName name="ааа" localSheetId="127">#REF!</definedName>
    <definedName name="ааа" localSheetId="118">#REF!</definedName>
    <definedName name="ааа" localSheetId="125">#REF!</definedName>
    <definedName name="ааа" localSheetId="126">#REF!</definedName>
    <definedName name="ааа" localSheetId="122">#REF!</definedName>
    <definedName name="ааа" localSheetId="16">#REF!</definedName>
    <definedName name="ааа" localSheetId="46">#REF!</definedName>
    <definedName name="ааа" localSheetId="139">#REF!</definedName>
    <definedName name="ааа" localSheetId="47">#REF!</definedName>
    <definedName name="ааа">#REF!</definedName>
    <definedName name="АААААААА" localSheetId="125">'Площадь столовой новая'!АААААААА</definedName>
    <definedName name="АААААААА" localSheetId="126">'расч по правилам '!АААААААА</definedName>
    <definedName name="АААААААА" localSheetId="122">#N/A</definedName>
    <definedName name="АААААААА" localSheetId="16">#N/A</definedName>
    <definedName name="АААААААА" localSheetId="46">#N/A</definedName>
    <definedName name="АААААААА" localSheetId="139">#N/A</definedName>
    <definedName name="АААААААА" localSheetId="47">#N/A</definedName>
    <definedName name="АААААААА">'Площадь столовой новая'!АААААААА</definedName>
    <definedName name="ав">'[19]Добыча нефти4'!$F$11:$Q$12</definedName>
    <definedName name="аватомойка" localSheetId="127">#REF!</definedName>
    <definedName name="аватомойка" localSheetId="118">#REF!</definedName>
    <definedName name="аватомойка" localSheetId="125">#REF!</definedName>
    <definedName name="аватомойка" localSheetId="126">#REF!</definedName>
    <definedName name="аватомойка" localSheetId="122">#REF!</definedName>
    <definedName name="аватомойка" localSheetId="16">#REF!</definedName>
    <definedName name="аватомойка" localSheetId="46">#REF!</definedName>
    <definedName name="аватомойка" localSheetId="139">#REF!</definedName>
    <definedName name="аватомойка" localSheetId="47">#REF!</definedName>
    <definedName name="аватомойка">#REF!</definedName>
    <definedName name="авпвапы">[20]Форма2!$C$70:$C$72,[20]Форма2!$D$73:$F$73,[20]Форма2!$E$70:$F$72,[20]Форма2!$C$75:$C$77,[20]Форма2!$E$75:$F$77,[20]Форма2!$C$79:$C$82,[20]Форма2!$E$79:$F$82,[20]Форма2!$C$84:$C$86,[20]Форма2!$E$84:$F$86,[20]Форма2!$C$88:$C$89,[20]Форма2!$E$88:$F$89,[20]Форма2!$C$70</definedName>
    <definedName name="автыптвадтрпдд">[20]Форма2!$C$19:$C$24,[20]Форма2!$E$19:$F$24,[20]Форма2!$D$26:$F$31,[20]Форма2!$C$33:$C$38,[20]Форма2!$E$33:$F$38,[20]Форма2!$D$40:$F$43,[20]Форма2!$C$45:$C$48,[20]Форма2!$E$45:$F$48,[20]Форма2!$C$19</definedName>
    <definedName name="алия" localSheetId="127">[21]Sheet1!#REF!</definedName>
    <definedName name="алия" localSheetId="118">[21]Sheet1!#REF!</definedName>
    <definedName name="алия" localSheetId="125">[21]Sheet1!#REF!</definedName>
    <definedName name="алия" localSheetId="126">[21]Sheet1!#REF!</definedName>
    <definedName name="алия" localSheetId="122">[21]Sheet1!#REF!</definedName>
    <definedName name="алия" localSheetId="16">[21]Sheet1!#REF!</definedName>
    <definedName name="алия" localSheetId="46">[21]Sheet1!#REF!</definedName>
    <definedName name="алия" localSheetId="139">[21]Sheet1!#REF!</definedName>
    <definedName name="алия" localSheetId="47">[21]Sheet1!#REF!</definedName>
    <definedName name="алия">[21]Sheet1!#REF!</definedName>
    <definedName name="аля" localSheetId="125" hidden="1">{#N/A,#N/A,TRUE,"Лист1";#N/A,#N/A,TRUE,"Лист2";#N/A,#N/A,TRUE,"Лист3"}</definedName>
    <definedName name="аля" localSheetId="126" hidden="1">{#N/A,#N/A,TRUE,"Лист1";#N/A,#N/A,TRUE,"Лист2";#N/A,#N/A,TRUE,"Лист3"}</definedName>
    <definedName name="аля" localSheetId="46" hidden="1">{#N/A,#N/A,TRUE,"Лист1";#N/A,#N/A,TRUE,"Лист2";#N/A,#N/A,TRUE,"Лист3"}</definedName>
    <definedName name="аля" localSheetId="139" hidden="1">{#N/A,#N/A,TRUE,"Лист1";#N/A,#N/A,TRUE,"Лист2";#N/A,#N/A,TRUE,"Лист3"}</definedName>
    <definedName name="аля" localSheetId="47" hidden="1">{#N/A,#N/A,TRUE,"Лист1";#N/A,#N/A,TRUE,"Лист2";#N/A,#N/A,TRUE,"Лист3"}</definedName>
    <definedName name="аля" hidden="1">{#N/A,#N/A,TRUE,"Лист1";#N/A,#N/A,TRUE,"Лист2";#N/A,#N/A,TRUE,"Лист3"}</definedName>
    <definedName name="ап" localSheetId="125">'Площадь столовой новая'!ап</definedName>
    <definedName name="ап" localSheetId="126">'расч по правилам '!ап</definedName>
    <definedName name="ап" localSheetId="122">#N/A</definedName>
    <definedName name="ап" localSheetId="16">#N/A</definedName>
    <definedName name="ап" localSheetId="46">#N/A</definedName>
    <definedName name="ап" localSheetId="139">#N/A</definedName>
    <definedName name="ап" localSheetId="47">#N/A</definedName>
    <definedName name="ап">'Площадь столовой новая'!ап</definedName>
    <definedName name="апвп">[22]Форма2!$C$19:$C$24,[22]Форма2!$E$19:$F$24,[22]Форма2!$D$26:$F$31,[22]Форма2!$C$33:$C$38,[22]Форма2!$E$33:$F$38,[22]Форма2!$D$40:$F$43,[22]Форма2!$C$45:$C$48,[22]Форма2!$E$45:$F$48,[22]Форма2!$C$19</definedName>
    <definedName name="апвы">[20]Форма1!$C$22:$D$33,[20]Форма1!$C$36:$D$48,[20]Форма1!$C$22</definedName>
    <definedName name="апвыолдпрывдлпж">[20]Форма2!$E$106:$F$107,[20]Форма2!$C$106:$C$107,[20]Форма2!$E$102:$F$104,[20]Форма2!$C$102:$C$104,[20]Форма2!$C$97:$C$100,[20]Форма2!$E$97:$F$100,[20]Форма2!$E$92:$F$95,[20]Форма2!$C$92:$C$95,[20]Форма2!$C$92</definedName>
    <definedName name="апмвпм" localSheetId="127">#REF!</definedName>
    <definedName name="апмвпм" localSheetId="118">#REF!</definedName>
    <definedName name="апмвпм" localSheetId="125">#REF!</definedName>
    <definedName name="апмвпм" localSheetId="126">#REF!</definedName>
    <definedName name="апмвпм" localSheetId="122">#REF!</definedName>
    <definedName name="апмвпм" localSheetId="16">#REF!</definedName>
    <definedName name="апмвпм" localSheetId="46">#REF!</definedName>
    <definedName name="апмвпм" localSheetId="139">#REF!</definedName>
    <definedName name="апмвпм" localSheetId="47">#REF!</definedName>
    <definedName name="апмвпм">#REF!</definedName>
    <definedName name="апр" localSheetId="11">#REF!,#REF!</definedName>
    <definedName name="апр" localSheetId="5">#REF!,#REF!</definedName>
    <definedName name="апр" localSheetId="6">#REF!,#REF!</definedName>
    <definedName name="апр" localSheetId="8">#REF!,#REF!</definedName>
    <definedName name="апр" localSheetId="7">#REF!,#REF!</definedName>
    <definedName name="апр" localSheetId="138">#REF!,#REF!</definedName>
    <definedName name="апр" localSheetId="10">#REF!,#REF!</definedName>
    <definedName name="апр" localSheetId="9">#REF!,#REF!</definedName>
    <definedName name="апр" localSheetId="136">#REF!,#REF!</definedName>
    <definedName name="апр" localSheetId="127">#REF!,#REF!</definedName>
    <definedName name="апр" localSheetId="42">#REF!,#REF!</definedName>
    <definedName name="апр" localSheetId="118">#REF!,#REF!</definedName>
    <definedName name="апр" localSheetId="128">#REF!,#REF!</definedName>
    <definedName name="апр" localSheetId="125">#REF!,#REF!</definedName>
    <definedName name="апр" localSheetId="137">#REF!,#REF!</definedName>
    <definedName name="апр" localSheetId="130">#REF!,#REF!</definedName>
    <definedName name="апр" localSheetId="131">#REF!,#REF!</definedName>
    <definedName name="апр" localSheetId="126">#REF!,#REF!</definedName>
    <definedName name="апр" localSheetId="122">#REF!,#REF!</definedName>
    <definedName name="апр" localSheetId="16">#REF!,#REF!</definedName>
    <definedName name="апр" localSheetId="46">#REF!,#REF!</definedName>
    <definedName name="апр" localSheetId="139">#REF!,#REF!</definedName>
    <definedName name="апр" localSheetId="47">#REF!,#REF!</definedName>
    <definedName name="апр" localSheetId="28">#REF!,#REF!</definedName>
    <definedName name="апр">#REF!,#REF!</definedName>
    <definedName name="апрлоыварплоываплрфоыы">[20]Форма2!$D$129:$F$132,[20]Форма2!$D$134:$F$135,[20]Форма2!$D$137:$F$140,[20]Форма2!$D$142:$F$144,[20]Форма2!$D$146:$F$150,[20]Форма2!$D$152:$F$154,[20]Форма2!$D$156:$F$162,[20]Форма2!$D$129</definedName>
    <definedName name="апро" localSheetId="11">#REF!</definedName>
    <definedName name="апро" localSheetId="5">#REF!</definedName>
    <definedName name="апро" localSheetId="6">#REF!</definedName>
    <definedName name="апро" localSheetId="8">#REF!</definedName>
    <definedName name="апро" localSheetId="7">#REF!</definedName>
    <definedName name="апро" localSheetId="138">#REF!</definedName>
    <definedName name="апро" localSheetId="10">#REF!</definedName>
    <definedName name="апро" localSheetId="9">#REF!</definedName>
    <definedName name="апро" localSheetId="136">#REF!</definedName>
    <definedName name="апро" localSheetId="127">#REF!</definedName>
    <definedName name="апро" localSheetId="118">#REF!</definedName>
    <definedName name="апро" localSheetId="128">#REF!</definedName>
    <definedName name="апро" localSheetId="125">#REF!</definedName>
    <definedName name="апро" localSheetId="137">#REF!</definedName>
    <definedName name="апро" localSheetId="131">#REF!</definedName>
    <definedName name="апро" localSheetId="126">#REF!</definedName>
    <definedName name="апро" localSheetId="122">#REF!</definedName>
    <definedName name="апро" localSheetId="16">#REF!</definedName>
    <definedName name="апро" localSheetId="46">#REF!</definedName>
    <definedName name="апро" localSheetId="139">#REF!</definedName>
    <definedName name="апро" localSheetId="47">#REF!</definedName>
    <definedName name="апро" localSheetId="28">#REF!</definedName>
    <definedName name="апро">#REF!</definedName>
    <definedName name="апрыврпдлвыарр">[20]Форма2!$E$200:$F$207,[20]Форма2!$C$200:$C$207,[20]Форма2!$E$189:$F$198,[20]Форма2!$C$189:$C$198,[20]Форма2!$E$188:$F$188,[20]Форма2!$C$188</definedName>
    <definedName name="апфвы">[20]Форма2!$D$129:$F$132,[20]Форма2!$D$134:$F$135,[20]Форма2!$D$137:$F$140,[20]Форма2!$D$142:$F$144,[20]Форма2!$D$146:$F$150,[20]Форма2!$D$152:$F$154,[20]Форма2!$D$156:$F$162,[20]Форма2!$D$129</definedName>
    <definedName name="апывып">[20]Форма2!$E$234:$F$237,[20]Форма2!$C$234:$C$237,[20]Форма2!$E$224:$F$232,[20]Форма2!$C$224:$C$232,[20]Форма2!$E$223:$F$223,[20]Форма2!$C$223,[20]Форма2!$E$217:$F$221,[20]Форма2!$C$217:$C$221,[20]Форма2!$E$210:$F$215,[20]Форма2!$C$210:$C$215,[20]Форма2!$C$210</definedName>
    <definedName name="апыпрарлп">[20]Форма2!$C$70:$C$72,[20]Форма2!$D$73:$F$73,[20]Форма2!$E$70:$F$72,[20]Форма2!$C$75:$C$77,[20]Форма2!$E$75:$F$77,[20]Форма2!$C$79:$C$82,[20]Форма2!$E$79:$F$82,[20]Форма2!$C$84:$C$86,[20]Форма2!$E$84:$F$86,[20]Форма2!$C$88:$C$89,[20]Форма2!$E$88:$F$89,[20]Форма2!$C$70</definedName>
    <definedName name="арро" localSheetId="6">#REF!</definedName>
    <definedName name="арро" localSheetId="8">#REF!</definedName>
    <definedName name="арро" localSheetId="138">#REF!</definedName>
    <definedName name="арро" localSheetId="136">#REF!</definedName>
    <definedName name="арро" localSheetId="42">#REF!</definedName>
    <definedName name="арро" localSheetId="118">#REF!</definedName>
    <definedName name="арро" localSheetId="137">#REF!</definedName>
    <definedName name="арро" localSheetId="130">#REF!</definedName>
    <definedName name="арро" localSheetId="131">#REF!</definedName>
    <definedName name="арро" localSheetId="122">#REF!</definedName>
    <definedName name="арро" localSheetId="16">#REF!</definedName>
    <definedName name="арро" localSheetId="46">#REF!</definedName>
    <definedName name="арро" localSheetId="139">#REF!</definedName>
    <definedName name="арро" localSheetId="47">#REF!</definedName>
    <definedName name="арро" localSheetId="28">#REF!</definedName>
    <definedName name="арро">#REF!</definedName>
    <definedName name="Аудит." localSheetId="127">Scheduled_Payment+Extra_Payment</definedName>
    <definedName name="Аудит." localSheetId="118">Scheduled_Payment+Extra_Payment</definedName>
    <definedName name="Аудит." localSheetId="125">Scheduled_Payment+Extra_Payment</definedName>
    <definedName name="Аудит." localSheetId="126">Scheduled_Payment+Extra_Payment</definedName>
    <definedName name="Аудит." localSheetId="122">Scheduled_Payment+Extra_Payment</definedName>
    <definedName name="Аудит." localSheetId="16">Scheduled_Payment+Extra_Payment</definedName>
    <definedName name="Аудит." localSheetId="46">Scheduled_Payment+Extra_Payment</definedName>
    <definedName name="Аудит." localSheetId="139">Scheduled_Payment+Extra_Payment</definedName>
    <definedName name="Аудит." localSheetId="47">Scheduled_Payment+Extra_Payment</definedName>
    <definedName name="Аудит.">Scheduled_Payment+Extra_Payment</definedName>
    <definedName name="ббб" localSheetId="127">#REF!,#REF!</definedName>
    <definedName name="ббб" localSheetId="118">#REF!,#REF!</definedName>
    <definedName name="ббб" localSheetId="125">#REF!,#REF!</definedName>
    <definedName name="ббб" localSheetId="126">#REF!,#REF!</definedName>
    <definedName name="ббб" localSheetId="122">#REF!,#REF!</definedName>
    <definedName name="ббб" localSheetId="16">#REF!,#REF!</definedName>
    <definedName name="ббб" localSheetId="46">#REF!,#REF!</definedName>
    <definedName name="ббб" localSheetId="139">#REF!,#REF!</definedName>
    <definedName name="ббб" localSheetId="47">#REF!,#REF!</definedName>
    <definedName name="ббб">#REF!,#REF!</definedName>
    <definedName name="Бери">[23]Форма2!$D$129:$F$132,[23]Форма2!$D$134:$F$135,[23]Форма2!$D$137:$F$140,[23]Форма2!$D$142:$F$144,[23]Форма2!$D$146:$F$150,[23]Форма2!$D$152:$F$154,[23]Форма2!$D$156:$F$162,[23]Форма2!$D$129</definedName>
    <definedName name="Берик">[23]Форма2!$C$70:$C$72,[23]Форма2!$D$73:$F$73,[23]Форма2!$E$70:$F$72,[23]Форма2!$C$75:$C$77,[23]Форма2!$E$75:$F$77,[23]Форма2!$C$79:$C$82,[23]Форма2!$E$79:$F$82,[23]Форма2!$C$84:$C$86,[23]Форма2!$E$84:$F$86,[23]Форма2!$C$88:$C$89,[23]Форма2!$E$88:$F$89,[23]Форма2!$C$70</definedName>
    <definedName name="БЛРаздел1">[24]Форма2!$C$19:$C$24,[24]Форма2!$E$19:$F$24,[24]Форма2!$D$26:$F$31,[24]Форма2!$C$33:$C$38,[24]Форма2!$E$33:$F$38,[24]Форма2!$D$40:$F$43,[24]Форма2!$C$45:$C$48,[24]Форма2!$E$45:$F$48,[24]Форма2!$C$19</definedName>
    <definedName name="БЛРаздел1___0">#N/A</definedName>
    <definedName name="БЛРаздел1___10">#N/A</definedName>
    <definedName name="БЛРаздел1_1">[25]Форма2!$C$19:$C$24,[25]Форма2!$E$19:$F$24,[25]Форма2!$D$26:$F$31,[25]Форма2!$C$33:$C$38,[25]Форма2!$E$33:$F$38,[25]Форма2!$D$40:$F$43,[25]Форма2!$C$45:$C$48,[25]Форма2!$E$45:$F$48,[25]Форма2!$C$19</definedName>
    <definedName name="БЛРаздел1_4">[26]Форма2!$C$19:$C$24,[26]Форма2!$E$19:$F$24,[26]Форма2!$D$26:$F$31,[26]Форма2!$C$33:$C$38,[26]Форма2!$E$33:$F$38,[26]Форма2!$D$40:$F$43,[26]Форма2!$C$45:$C$48,[26]Форма2!$E$45:$F$48,[26]Форма2!$C$19</definedName>
    <definedName name="БЛРаздел2">[24]Форма2!$C$51:$C$58,[24]Форма2!$E$51:$F$58,[24]Форма2!$C$60:$C$63,[24]Форма2!$E$60:$F$63,[24]Форма2!$C$65:$C$67,[24]Форма2!$E$65:$F$67,[24]Форма2!$C$51</definedName>
    <definedName name="БЛРаздел2___0">#N/A</definedName>
    <definedName name="БЛРаздел2___10">#N/A</definedName>
    <definedName name="БЛРаздел2_1">[25]Форма2!$C$51:$C$58,[25]Форма2!$E$51:$F$58,[25]Форма2!$C$60:$C$63,[25]Форма2!$E$60:$F$63,[25]Форма2!$C$65:$C$67,[25]Форма2!$E$65:$F$67,[25]Форма2!$C$51</definedName>
    <definedName name="БЛРаздел2_4">[26]Форма2!$C$51:$C$58,[26]Форма2!$E$51:$F$58,[26]Форма2!$C$60:$C$63,[26]Форма2!$E$60:$F$63,[26]Форма2!$C$65:$C$67,[26]Форма2!$E$65:$F$67,[26]Форма2!$C$51</definedName>
    <definedName name="БЛРаздел3">[24]Форма2!$C$70:$C$72,[24]Форма2!$D$73:$F$73,[24]Форма2!$E$70:$F$72,[24]Форма2!$C$75:$C$77,[24]Форма2!$E$75:$F$77,[24]Форма2!$C$79:$C$82,[24]Форма2!$E$79:$F$82,[24]Форма2!$C$84:$C$86,[24]Форма2!$E$84:$F$86,[24]Форма2!$C$88:$C$89,[24]Форма2!$E$88:$F$89,[24]Форма2!$C$70</definedName>
    <definedName name="БЛРаздел3___0">#N/A</definedName>
    <definedName name="БЛРаздел3___10">#N/A</definedName>
    <definedName name="БЛРаздел3_1">[25]Форма2!$C$70:$C$72,[25]Форма2!$D$73:$F$73,[25]Форма2!$E$70:$F$72,[25]Форма2!$C$75:$C$77,[25]Форма2!$E$75:$F$77,[25]Форма2!$C$79:$C$82,[25]Форма2!$E$79:$F$82,[25]Форма2!$C$84:$C$86,[25]Форма2!$E$84:$F$86,[25]Форма2!$C$88:$C$89,[25]Форма2!$E$88:$F$89,[25]Форма2!$C$70</definedName>
    <definedName name="БЛРаздел3_4">[26]Форма2!$C$70:$C$72,[26]Форма2!$D$73:$F$73,[26]Форма2!$E$70:$F$72,[26]Форма2!$C$75:$C$77,[26]Форма2!$E$75:$F$77,[26]Форма2!$C$79:$C$82,[26]Форма2!$E$79:$F$82,[26]Форма2!$C$84:$C$86,[26]Форма2!$E$84:$F$86,[26]Форма2!$C$88:$C$89,[26]Форма2!$E$88:$F$89,[26]Форма2!$C$70</definedName>
    <definedName name="БЛРаздел4">[24]Форма2!$E$106:$F$107,[24]Форма2!$C$106:$C$107,[24]Форма2!$E$102:$F$104,[24]Форма2!$C$102:$C$104,[24]Форма2!$C$97:$C$100,[24]Форма2!$E$97:$F$100,[24]Форма2!$E$92:$F$95,[24]Форма2!$C$92:$C$95,[24]Форма2!$C$92</definedName>
    <definedName name="БЛРаздел4___0">#N/A</definedName>
    <definedName name="БЛРаздел4___10">#N/A</definedName>
    <definedName name="БЛРаздел4_1">[25]Форма2!$E$106:$F$107,[25]Форма2!$C$106:$C$107,[25]Форма2!$E$102:$F$104,[25]Форма2!$C$102:$C$104,[25]Форма2!$C$97:$C$100,[25]Форма2!$E$97:$F$100,[25]Форма2!$E$92:$F$95,[25]Форма2!$C$92:$C$95,[25]Форма2!$C$92</definedName>
    <definedName name="БЛРаздел4_4">[26]Форма2!$E$106:$F$107,[26]Форма2!$C$106:$C$107,[26]Форма2!$E$102:$F$104,[26]Форма2!$C$102:$C$104,[26]Форма2!$C$97:$C$100,[26]Форма2!$E$97:$F$100,[26]Форма2!$E$92:$F$95,[26]Форма2!$C$92:$C$95,[26]Форма2!$C$92</definedName>
    <definedName name="БЛРаздел5">[24]Форма2!$C$113:$C$114,[24]Форма2!$D$110:$F$112,[24]Форма2!$E$113:$F$114,[24]Форма2!$D$115:$F$115,[24]Форма2!$D$117:$F$119,[24]Форма2!$D$121:$F$122,[24]Форма2!$D$124:$F$126,[24]Форма2!$D$110</definedName>
    <definedName name="БЛРаздел5___0">#N/A</definedName>
    <definedName name="БЛРаздел5___10">#N/A</definedName>
    <definedName name="БЛРаздел5_1">[25]Форма2!$C$113:$C$114,[25]Форма2!$D$110:$F$112,[25]Форма2!$E$113:$F$114,[25]Форма2!$D$115:$F$115,[25]Форма2!$D$117:$F$119,[25]Форма2!$D$121:$F$122,[25]Форма2!$D$124:$F$126,[25]Форма2!$D$110</definedName>
    <definedName name="БЛРаздел5_4">[26]Форма2!$C$113:$C$114,[26]Форма2!$D$110:$F$112,[26]Форма2!$E$113:$F$114,[26]Форма2!$D$115:$F$115,[26]Форма2!$D$117:$F$119,[26]Форма2!$D$121:$F$122,[26]Форма2!$D$124:$F$126,[26]Форма2!$D$110</definedName>
    <definedName name="БЛРаздел6">[24]Форма2!$D$129:$F$132,[24]Форма2!$D$134:$F$135,[24]Форма2!$D$137:$F$140,[24]Форма2!$D$142:$F$144,[24]Форма2!$D$146:$F$150,[24]Форма2!$D$152:$F$154,[24]Форма2!$D$156:$F$162,[24]Форма2!$D$129</definedName>
    <definedName name="БЛРаздел6___0">#N/A</definedName>
    <definedName name="БЛРаздел6___10">#N/A</definedName>
    <definedName name="БЛРаздел6_1">[25]Форма2!$D$129:$F$132,[25]Форма2!$D$134:$F$135,[25]Форма2!$D$137:$F$140,[25]Форма2!$D$142:$F$144,[25]Форма2!$D$146:$F$150,[25]Форма2!$D$152:$F$154,[25]Форма2!$D$156:$F$162,[25]Форма2!$D$129</definedName>
    <definedName name="БЛРаздел6_4">[26]Форма2!$D$129:$F$132,[26]Форма2!$D$134:$F$135,[26]Форма2!$D$137:$F$140,[26]Форма2!$D$142:$F$144,[26]Форма2!$D$146:$F$150,[26]Форма2!$D$152:$F$154,[26]Форма2!$D$156:$F$162,[26]Форма2!$D$129</definedName>
    <definedName name="БЛРаздел7">[24]Форма2!$D$179:$F$185,[24]Форма2!$D$175:$F$177,[24]Форма2!$D$165:$F$173,[24]Форма2!$D$165</definedName>
    <definedName name="БЛРаздел7___0">#N/A</definedName>
    <definedName name="БЛРаздел7___10">#N/A</definedName>
    <definedName name="БЛРаздел7_1">[25]Форма2!$D$179:$F$185,[25]Форма2!$D$175:$F$177,[25]Форма2!$D$165:$F$173,[25]Форма2!$D$165</definedName>
    <definedName name="БЛРаздел7_4">[26]Форма2!$D$179:$F$185,[26]Форма2!$D$175:$F$177,[26]Форма2!$D$165:$F$173,[26]Форма2!$D$165</definedName>
    <definedName name="БЛРаздел8">[24]Форма2!$E$200:$F$207,[24]Форма2!$C$200:$C$207,[24]Форма2!$E$189:$F$198,[24]Форма2!$C$189:$C$198,[24]Форма2!$E$188:$F$188,[24]Форма2!$C$188</definedName>
    <definedName name="БЛРаздел8___0">#N/A</definedName>
    <definedName name="БЛРаздел8___10">#N/A</definedName>
    <definedName name="БЛРаздел8_1">[25]Форма2!$E$200:$F$207,[25]Форма2!$C$200:$C$207,[25]Форма2!$E$189:$F$198,[25]Форма2!$C$189:$C$198,[25]Форма2!$E$188:$F$188,[25]Форма2!$C$188</definedName>
    <definedName name="БЛРаздел8_4">[26]Форма2!$E$200:$F$207,[26]Форма2!$C$200:$C$207,[26]Форма2!$E$189:$F$198,[26]Форма2!$C$189:$C$198,[26]Форма2!$E$188:$F$188,[26]Форма2!$C$188</definedName>
    <definedName name="БЛРаздел9">[24]Форма2!$E$234:$F$237,[24]Форма2!$C$234:$C$237,[24]Форма2!$E$224:$F$232,[24]Форма2!$C$224:$C$232,[24]Форма2!$E$223:$F$223,[24]Форма2!$C$223,[24]Форма2!$E$217:$F$221,[24]Форма2!$C$217:$C$221,[24]Форма2!$E$210:$F$215,[24]Форма2!$C$210:$C$215,[24]Форма2!$C$210</definedName>
    <definedName name="БЛРаздел9___0">#N/A</definedName>
    <definedName name="БЛРаздел9___10">#N/A</definedName>
    <definedName name="БЛРаздел9_1">[25]Форма2!$E$234:$F$237,[25]Форма2!$C$234:$C$237,[25]Форма2!$E$224:$F$232,[25]Форма2!$C$224:$C$232,[25]Форма2!$E$223:$F$223,[25]Форма2!$C$223,[25]Форма2!$E$217:$F$221,[25]Форма2!$C$217:$C$221,[25]Форма2!$E$210:$F$215,[25]Форма2!$C$210:$C$215,[25]Форма2!$C$210</definedName>
    <definedName name="БЛРаздел9_4">[26]Форма2!$E$234:$F$237,[26]Форма2!$C$234:$C$237,[26]Форма2!$E$224:$F$232,[26]Форма2!$C$224:$C$232,[26]Форма2!$E$223:$F$223,[26]Форма2!$C$223,[26]Форма2!$E$217:$F$221,[26]Форма2!$C$217:$C$221,[26]Форма2!$E$210:$F$215,[26]Форма2!$C$210:$C$215,[26]Форма2!$C$210</definedName>
    <definedName name="БПДанные">[24]Форма1!$C$22:$D$33,[24]Форма1!$C$36:$D$48,[24]Форма1!$C$22</definedName>
    <definedName name="БПДанные___0">#N/A</definedName>
    <definedName name="БПДанные___10">#N/A</definedName>
    <definedName name="БПДанные_1">[25]Форма1!$C$22:$D$33,[25]Форма1!$C$36:$D$48,[25]Форма1!$C$22</definedName>
    <definedName name="БПДанные_4">[26]Форма1!$C$22:$D$33,[26]Форма1!$C$36:$D$48,[26]Форма1!$C$22</definedName>
    <definedName name="БУфет" localSheetId="16">[27]Лист3!#REF!</definedName>
    <definedName name="БУфет" localSheetId="139">[27]Лист3!#REF!</definedName>
    <definedName name="БУфет">[27]Лист3!#REF!</definedName>
    <definedName name="БЮДЖЕТ">[28]Служебный!$C$2:$C$4</definedName>
    <definedName name="Бюджет__по__подразд__2003__года_Лист1_Таблица" localSheetId="127">[29]ОТиТБ!#REF!</definedName>
    <definedName name="Бюджет__по__подразд__2003__года_Лист1_Таблица" localSheetId="118">[29]ОТиТБ!#REF!</definedName>
    <definedName name="Бюджет__по__подразд__2003__года_Лист1_Таблица" localSheetId="125">[29]ОТиТБ!#REF!</definedName>
    <definedName name="Бюджет__по__подразд__2003__года_Лист1_Таблица" localSheetId="126">[29]ОТиТБ!#REF!</definedName>
    <definedName name="Бюджет__по__подразд__2003__года_Лист1_Таблица" localSheetId="122">[29]ОТиТБ!#REF!</definedName>
    <definedName name="Бюджет__по__подразд__2003__года_Лист1_Таблица" localSheetId="16">[29]ОТиТБ!#REF!</definedName>
    <definedName name="Бюджет__по__подразд__2003__года_Лист1_Таблица" localSheetId="46">[29]ОТиТБ!#REF!</definedName>
    <definedName name="Бюджет__по__подразд__2003__года_Лист1_Таблица" localSheetId="139">[29]ОТиТБ!#REF!</definedName>
    <definedName name="Бюджет__по__подразд__2003__года_Лист1_Таблица" localSheetId="47">[29]ОТиТБ!#REF!</definedName>
    <definedName name="Бюджет__по__подразд__2003__года_Лист1_Таблица">[29]ОТиТБ!#REF!</definedName>
    <definedName name="в23ё" localSheetId="125">'Площадь столовой новая'!в23ё</definedName>
    <definedName name="в23ё" localSheetId="126">'расч по правилам '!в23ё</definedName>
    <definedName name="в23ё" localSheetId="122">#N/A</definedName>
    <definedName name="в23ё" localSheetId="16">#N/A</definedName>
    <definedName name="в23ё" localSheetId="46">#N/A</definedName>
    <definedName name="в23ё" localSheetId="139">#N/A</definedName>
    <definedName name="в23ё" localSheetId="47">#N/A</definedName>
    <definedName name="в23ё">'Площадь столовой новая'!в23ё</definedName>
    <definedName name="В32" localSheetId="127">#REF!</definedName>
    <definedName name="В32" localSheetId="118">#REF!</definedName>
    <definedName name="В32" localSheetId="125">#REF!</definedName>
    <definedName name="В32" localSheetId="126">#REF!</definedName>
    <definedName name="В32" localSheetId="122">#REF!</definedName>
    <definedName name="В32" localSheetId="16">#REF!</definedName>
    <definedName name="В32" localSheetId="46">#REF!</definedName>
    <definedName name="В32" localSheetId="139">#REF!</definedName>
    <definedName name="В32" localSheetId="47">#REF!</definedName>
    <definedName name="В32">#REF!</definedName>
    <definedName name="вапрв">[30]Форма2!$C$51:$C$58,[30]Форма2!$E$51:$F$58,[30]Форма2!$C$60:$C$63,[30]Форма2!$E$60:$F$63,[30]Форма2!$C$65:$C$67,[30]Форма2!$E$65:$F$67,[30]Форма2!$C$51</definedName>
    <definedName name="ваыооэп">[20]Форма2!$C$113:$C$114,[20]Форма2!$D$110:$F$112,[20]Форма2!$E$113:$F$114,[20]Форма2!$D$115:$F$115,[20]Форма2!$D$117:$F$119,[20]Форма2!$D$121:$F$122,[20]Форма2!$D$124:$F$126,[20]Форма2!$D$110</definedName>
    <definedName name="ваырплшвраылопварылвдоарплвы">[20]Форма2!$C$51:$C$58,[20]Форма2!$E$51:$F$58,[20]Форма2!$C$60:$C$63,[20]Форма2!$E$60:$F$63,[20]Форма2!$C$65:$C$67,[20]Форма2!$E$65:$F$67,[20]Форма2!$C$51</definedName>
    <definedName name="вб" localSheetId="127">[31]Пр2!#REF!</definedName>
    <definedName name="вб" localSheetId="118">[31]Пр2!#REF!</definedName>
    <definedName name="вб" localSheetId="125">[31]Пр2!#REF!</definedName>
    <definedName name="вб" localSheetId="126">[31]Пр2!#REF!</definedName>
    <definedName name="вб" localSheetId="122">[31]Пр2!#REF!</definedName>
    <definedName name="вб" localSheetId="16">[31]Пр2!#REF!</definedName>
    <definedName name="вб" localSheetId="46">[31]Пр2!#REF!</definedName>
    <definedName name="вб" localSheetId="139">[31]Пр2!#REF!</definedName>
    <definedName name="вб" localSheetId="47">[31]Пр2!#REF!</definedName>
    <definedName name="вб">[31]Пр2!#REF!</definedName>
    <definedName name="вв" localSheetId="125">'Площадь столовой новая'!вв</definedName>
    <definedName name="вв" localSheetId="126">'расч по правилам '!вв</definedName>
    <definedName name="вв" localSheetId="122">#N/A</definedName>
    <definedName name="вв" localSheetId="16">#N/A</definedName>
    <definedName name="вв" localSheetId="46">#N/A</definedName>
    <definedName name="вв" localSheetId="139">#N/A</definedName>
    <definedName name="вв" localSheetId="47">#N/A</definedName>
    <definedName name="вв">'Площадь столовой новая'!вв</definedName>
    <definedName name="ведомость">'[32]Добыча нефти4'!$F$11:$Q$12</definedName>
    <definedName name="ВидПредмета">'[28]Вид предмета'!$A$1:$A$3</definedName>
    <definedName name="вкуц" localSheetId="11">#REF!,#REF!</definedName>
    <definedName name="вкуц" localSheetId="5">#REF!,#REF!</definedName>
    <definedName name="вкуц" localSheetId="6">#REF!,#REF!</definedName>
    <definedName name="вкуц" localSheetId="8">#REF!,#REF!</definedName>
    <definedName name="вкуц" localSheetId="7">#REF!,#REF!</definedName>
    <definedName name="вкуц" localSheetId="138">#REF!,#REF!</definedName>
    <definedName name="вкуц" localSheetId="10">#REF!,#REF!</definedName>
    <definedName name="вкуц" localSheetId="9">#REF!,#REF!</definedName>
    <definedName name="вкуц" localSheetId="136">#REF!,#REF!</definedName>
    <definedName name="вкуц" localSheetId="127">#REF!,#REF!</definedName>
    <definedName name="вкуц" localSheetId="42">#REF!,#REF!</definedName>
    <definedName name="вкуц" localSheetId="118">#REF!,#REF!</definedName>
    <definedName name="вкуц" localSheetId="128">#REF!,#REF!</definedName>
    <definedName name="вкуц" localSheetId="125">#REF!,#REF!</definedName>
    <definedName name="вкуц" localSheetId="137">#REF!,#REF!</definedName>
    <definedName name="вкуц" localSheetId="130">#REF!,#REF!</definedName>
    <definedName name="вкуц" localSheetId="131">#REF!,#REF!</definedName>
    <definedName name="вкуц" localSheetId="126">#REF!,#REF!</definedName>
    <definedName name="вкуц" localSheetId="122">#REF!,#REF!</definedName>
    <definedName name="вкуц" localSheetId="16">#REF!,#REF!</definedName>
    <definedName name="вкуц" localSheetId="46">#REF!,#REF!</definedName>
    <definedName name="вкуц" localSheetId="139">#REF!,#REF!</definedName>
    <definedName name="вкуц" localSheetId="47">#REF!,#REF!</definedName>
    <definedName name="вкуц" localSheetId="28">#REF!,#REF!</definedName>
    <definedName name="вкуц">#REF!,#REF!</definedName>
    <definedName name="Вложения">[33]Форма2!$C$19:$C$24,[33]Форма2!$E$19:$F$24,[33]Форма2!$D$26:$F$31,[33]Форма2!$C$33:$C$38,[33]Форма2!$E$33:$F$38,[33]Форма2!$D$40:$F$43,[33]Форма2!$C$45:$C$48,[33]Форма2!$E$45:$F$48,[33]Форма2!$C$19</definedName>
    <definedName name="вода" localSheetId="80">#REF!,#REF!</definedName>
    <definedName name="вода" localSheetId="71">#REF!,#REF!</definedName>
    <definedName name="вода" localSheetId="74">#REF!,#REF!</definedName>
    <definedName name="вода" localSheetId="81">#REF!,#REF!</definedName>
    <definedName name="вода" localSheetId="82">#REF!,#REF!</definedName>
    <definedName name="вода" localSheetId="62">#REF!,#REF!</definedName>
    <definedName name="вода" localSheetId="40">#REF!,#REF!</definedName>
    <definedName name="вода" localSheetId="59">#REF!,#REF!</definedName>
    <definedName name="вода" localSheetId="61">#REF!,#REF!</definedName>
    <definedName name="вода" localSheetId="51">#REF!,#REF!</definedName>
    <definedName name="вода" localSheetId="56">#REF!,#REF!</definedName>
    <definedName name="вода" localSheetId="88">#REF!,#REF!</definedName>
    <definedName name="вода" localSheetId="94">#REF!,#REF!</definedName>
    <definedName name="вода" localSheetId="11">#REF!,#REF!</definedName>
    <definedName name="вода" localSheetId="5">#REF!,#REF!</definedName>
    <definedName name="вода" localSheetId="6">#REF!,#REF!</definedName>
    <definedName name="вода" localSheetId="8">#REF!,#REF!</definedName>
    <definedName name="вода" localSheetId="7">#REF!,#REF!</definedName>
    <definedName name="вода" localSheetId="138">#REF!,#REF!</definedName>
    <definedName name="вода" localSheetId="10">#REF!,#REF!</definedName>
    <definedName name="вода" localSheetId="9">#REF!,#REF!</definedName>
    <definedName name="вода" localSheetId="136">#REF!,#REF!</definedName>
    <definedName name="вода" localSheetId="127">#REF!,#REF!</definedName>
    <definedName name="вода" localSheetId="37">#REF!,#REF!</definedName>
    <definedName name="вода" localSheetId="60">#REF!,#REF!</definedName>
    <definedName name="вода" localSheetId="41">#REF!,#REF!</definedName>
    <definedName name="вода" localSheetId="45">#REF!,#REF!</definedName>
    <definedName name="вода" localSheetId="53">#REF!,#REF!</definedName>
    <definedName name="вода" localSheetId="57">#REF!,#REF!</definedName>
    <definedName name="вода" localSheetId="42">#REF!,#REF!</definedName>
    <definedName name="вода" localSheetId="95">#REF!,#REF!</definedName>
    <definedName name="вода" localSheetId="118">#REF!,#REF!</definedName>
    <definedName name="вода" localSheetId="48">#REF!,#REF!</definedName>
    <definedName name="вода" localSheetId="133">#REF!,#REF!</definedName>
    <definedName name="вода" localSheetId="128">#REF!,#REF!</definedName>
    <definedName name="вода" localSheetId="93">#REF!,#REF!</definedName>
    <definedName name="вода" localSheetId="97">#REF!,#REF!</definedName>
    <definedName name="вода" localSheetId="12">#REF!,#REF!</definedName>
    <definedName name="вода" localSheetId="125">#REF!,#REF!</definedName>
    <definedName name="вода" localSheetId="52">#REF!,#REF!</definedName>
    <definedName name="вода" localSheetId="50">#REF!,#REF!</definedName>
    <definedName name="вода" localSheetId="137">#REF!,#REF!</definedName>
    <definedName name="вода" localSheetId="33">#REF!,#REF!</definedName>
    <definedName name="вода" localSheetId="34">#REF!,#REF!</definedName>
    <definedName name="вода" localSheetId="84">#REF!,#REF!</definedName>
    <definedName name="вода" localSheetId="130">#REF!,#REF!</definedName>
    <definedName name="вода" localSheetId="131">#REF!,#REF!</definedName>
    <definedName name="вода" localSheetId="126">#REF!,#REF!</definedName>
    <definedName name="вода" localSheetId="122">#REF!,#REF!</definedName>
    <definedName name="вода" localSheetId="78">#REF!,#REF!</definedName>
    <definedName name="вода" localSheetId="116">#REF!,#REF!</definedName>
    <definedName name="вода" localSheetId="16">#REF!,#REF!</definedName>
    <definedName name="вода" localSheetId="75">#REF!,#REF!</definedName>
    <definedName name="вода" localSheetId="38">#REF!,#REF!</definedName>
    <definedName name="вода" localSheetId="55">#REF!,#REF!</definedName>
    <definedName name="вода" localSheetId="85">#REF!,#REF!</definedName>
    <definedName name="вода" localSheetId="58">#REF!,#REF!</definedName>
    <definedName name="вода" localSheetId="96">#REF!,#REF!</definedName>
    <definedName name="вода" localSheetId="46">#REF!,#REF!</definedName>
    <definedName name="вода" localSheetId="139">#REF!,#REF!</definedName>
    <definedName name="вода" localSheetId="36">#REF!,#REF!</definedName>
    <definedName name="вода" localSheetId="87">#REF!,#REF!</definedName>
    <definedName name="вода" localSheetId="43">#REF!,#REF!</definedName>
    <definedName name="вода" localSheetId="49">#REF!,#REF!</definedName>
    <definedName name="вода" localSheetId="86">#REF!,#REF!</definedName>
    <definedName name="вода" localSheetId="47">#REF!,#REF!</definedName>
    <definedName name="вода" localSheetId="54">#REF!,#REF!</definedName>
    <definedName name="вода" localSheetId="23">#REF!,#REF!</definedName>
    <definedName name="вода" localSheetId="13">#REF!,#REF!</definedName>
    <definedName name="вода" localSheetId="24">#REF!,#REF!</definedName>
    <definedName name="вода" localSheetId="29">#REF!,#REF!</definedName>
    <definedName name="вода" localSheetId="25">#REF!,#REF!</definedName>
    <definedName name="вода" localSheetId="26">#REF!,#REF!</definedName>
    <definedName name="вода" localSheetId="27">#REF!,#REF!</definedName>
    <definedName name="вода" localSheetId="28">#REF!,#REF!</definedName>
    <definedName name="вода" localSheetId="119">#REF!,#REF!</definedName>
    <definedName name="вода" localSheetId="69">#REF!,#REF!</definedName>
    <definedName name="вода" localSheetId="70">#REF!,#REF!</definedName>
    <definedName name="вода" localSheetId="72">#REF!,#REF!</definedName>
    <definedName name="вода" localSheetId="68">#REF!,#REF!</definedName>
    <definedName name="вода" localSheetId="67">#REF!,#REF!</definedName>
    <definedName name="вода">#REF!,#REF!</definedName>
    <definedName name="ВП">[20]Форма2!$D$179:$F$185,[20]Форма2!$D$175:$F$177,[20]Форма2!$D$165:$F$173,[20]Форма2!$D$165</definedName>
    <definedName name="впе">[34]Форма2!$C$70:$C$72,[34]Форма2!$D$73:$F$73,[34]Форма2!$E$70:$F$72,[34]Форма2!$C$75:$C$77,[34]Форма2!$E$75:$F$77,[34]Форма2!$C$79:$C$82,[34]Форма2!$E$79:$F$82,[34]Форма2!$C$84:$C$86,[34]Форма2!$E$84:$F$86,[34]Форма2!$C$88:$C$89,[34]Форма2!$E$88:$F$89,[34]Форма2!$C$70</definedName>
    <definedName name="впцвпцп">[20]Форма2!$E$200:$F$207,[20]Форма2!$C$200:$C$207,[20]Форма2!$E$189:$F$198,[20]Форма2!$C$189:$C$198,[20]Форма2!$E$188:$F$188,[20]Форма2!$C$188</definedName>
    <definedName name="Всего" localSheetId="127">#REF!</definedName>
    <definedName name="Всего" localSheetId="118">#REF!</definedName>
    <definedName name="Всего" localSheetId="125">#REF!</definedName>
    <definedName name="Всего" localSheetId="126">#REF!</definedName>
    <definedName name="Всего" localSheetId="122">#REF!</definedName>
    <definedName name="Всего" localSheetId="16">#REF!</definedName>
    <definedName name="Всего" localSheetId="46">#REF!</definedName>
    <definedName name="Всего" localSheetId="139">#REF!</definedName>
    <definedName name="Всего" localSheetId="47">#REF!</definedName>
    <definedName name="Всего">#REF!</definedName>
    <definedName name="второй" localSheetId="127">#REF!</definedName>
    <definedName name="второй" localSheetId="118">#REF!</definedName>
    <definedName name="второй" localSheetId="125">#REF!</definedName>
    <definedName name="второй" localSheetId="126">#REF!</definedName>
    <definedName name="второй" localSheetId="122">#REF!</definedName>
    <definedName name="второй" localSheetId="16">#REF!</definedName>
    <definedName name="второй" localSheetId="46">#REF!</definedName>
    <definedName name="второй" localSheetId="139">#REF!</definedName>
    <definedName name="второй" localSheetId="47">#REF!</definedName>
    <definedName name="второй">#REF!</definedName>
    <definedName name="вуув" localSheetId="125" hidden="1">{#N/A,#N/A,TRUE,"Лист1";#N/A,#N/A,TRUE,"Лист2";#N/A,#N/A,TRUE,"Лист3"}</definedName>
    <definedName name="вуув" localSheetId="126" hidden="1">{#N/A,#N/A,TRUE,"Лист1";#N/A,#N/A,TRUE,"Лист2";#N/A,#N/A,TRUE,"Лист3"}</definedName>
    <definedName name="вуув" localSheetId="46" hidden="1">{#N/A,#N/A,TRUE,"Лист1";#N/A,#N/A,TRUE,"Лист2";#N/A,#N/A,TRUE,"Лист3"}</definedName>
    <definedName name="вуув" localSheetId="139" hidden="1">{#N/A,#N/A,TRUE,"Лист1";#N/A,#N/A,TRUE,"Лист2";#N/A,#N/A,TRUE,"Лист3"}</definedName>
    <definedName name="вуув" localSheetId="47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тдврпдловртадпырвжлптды">[20]Форма2!$E$106:$F$107,[20]Форма2!$C$106:$C$107,[20]Форма2!$E$102:$F$104,[20]Форма2!$C$102:$C$104,[20]Форма2!$C$97:$C$100,[20]Форма2!$E$97:$F$100,[20]Форма2!$E$92:$F$95,[20]Форма2!$C$92:$C$95,[20]Форма2!$C$92</definedName>
    <definedName name="г" localSheetId="80">#REF!,#REF!</definedName>
    <definedName name="г" localSheetId="71">#REF!,#REF!</definedName>
    <definedName name="г" localSheetId="74">#REF!,#REF!</definedName>
    <definedName name="г" localSheetId="81">#REF!,#REF!</definedName>
    <definedName name="г" localSheetId="73">#REF!,#REF!</definedName>
    <definedName name="г" localSheetId="82">#REF!,#REF!</definedName>
    <definedName name="г" localSheetId="62">#REF!,#REF!</definedName>
    <definedName name="г" localSheetId="40">#REF!,#REF!</definedName>
    <definedName name="г" localSheetId="59">#REF!,#REF!</definedName>
    <definedName name="г" localSheetId="61">#REF!,#REF!</definedName>
    <definedName name="г" localSheetId="51">#REF!,#REF!</definedName>
    <definedName name="г" localSheetId="56">#REF!,#REF!</definedName>
    <definedName name="г" localSheetId="88">#REF!,#REF!</definedName>
    <definedName name="г" localSheetId="94">#REF!,#REF!</definedName>
    <definedName name="г" localSheetId="11">#REF!,#REF!</definedName>
    <definedName name="г" localSheetId="5">#REF!,#REF!</definedName>
    <definedName name="г" localSheetId="6">#REF!,#REF!</definedName>
    <definedName name="г" localSheetId="8">#REF!,#REF!</definedName>
    <definedName name="г" localSheetId="7">#REF!,#REF!</definedName>
    <definedName name="г" localSheetId="138">#REF!,#REF!</definedName>
    <definedName name="г" localSheetId="10">#REF!,#REF!</definedName>
    <definedName name="г" localSheetId="9">#REF!,#REF!</definedName>
    <definedName name="г" localSheetId="136">#REF!,#REF!</definedName>
    <definedName name="г" localSheetId="127">#REF!,#REF!</definedName>
    <definedName name="г" localSheetId="37">#REF!,#REF!</definedName>
    <definedName name="г" localSheetId="60">#REF!,#REF!</definedName>
    <definedName name="г" localSheetId="41">#REF!,#REF!</definedName>
    <definedName name="г" localSheetId="45">#REF!,#REF!</definedName>
    <definedName name="г" localSheetId="53">#REF!,#REF!</definedName>
    <definedName name="г" localSheetId="57">#REF!,#REF!</definedName>
    <definedName name="г" localSheetId="42">#REF!,#REF!</definedName>
    <definedName name="г" localSheetId="95">#REF!,#REF!</definedName>
    <definedName name="г" localSheetId="118">#REF!,#REF!</definedName>
    <definedName name="г" localSheetId="48">#REF!,#REF!</definedName>
    <definedName name="г" localSheetId="133">#REF!,#REF!</definedName>
    <definedName name="г" localSheetId="128">#REF!,#REF!</definedName>
    <definedName name="г" localSheetId="93">#REF!,#REF!</definedName>
    <definedName name="г" localSheetId="97">#REF!,#REF!</definedName>
    <definedName name="г" localSheetId="90">#REF!,#REF!</definedName>
    <definedName name="г" localSheetId="12">#REF!,#REF!</definedName>
    <definedName name="г" localSheetId="125">#REF!,#REF!</definedName>
    <definedName name="г" localSheetId="52">#REF!,#REF!</definedName>
    <definedName name="г" localSheetId="50">#REF!,#REF!</definedName>
    <definedName name="г" localSheetId="137">#REF!,#REF!</definedName>
    <definedName name="г" localSheetId="33">#REF!,#REF!</definedName>
    <definedName name="г" localSheetId="34">#REF!,#REF!</definedName>
    <definedName name="г" localSheetId="84">#REF!,#REF!</definedName>
    <definedName name="г" localSheetId="102">#REF!,#REF!</definedName>
    <definedName name="г" localSheetId="130">#REF!,#REF!</definedName>
    <definedName name="г" localSheetId="131">#REF!,#REF!</definedName>
    <definedName name="г" localSheetId="126">#REF!,#REF!</definedName>
    <definedName name="г" localSheetId="122">#REF!,#REF!</definedName>
    <definedName name="г" localSheetId="78">#REF!,#REF!</definedName>
    <definedName name="г" localSheetId="116">#REF!,#REF!</definedName>
    <definedName name="г" localSheetId="16">#REF!,#REF!</definedName>
    <definedName name="г" localSheetId="4">#REF!,#REF!</definedName>
    <definedName name="г" localSheetId="75">#REF!,#REF!</definedName>
    <definedName name="г" localSheetId="38">#REF!,#REF!</definedName>
    <definedName name="г" localSheetId="55">#REF!,#REF!</definedName>
    <definedName name="г" localSheetId="85">#REF!,#REF!</definedName>
    <definedName name="г" localSheetId="58">#REF!,#REF!</definedName>
    <definedName name="г" localSheetId="96">#REF!,#REF!</definedName>
    <definedName name="г" localSheetId="46">#REF!,#REF!</definedName>
    <definedName name="г" localSheetId="139">#REF!,#REF!</definedName>
    <definedName name="г" localSheetId="36">#REF!,#REF!</definedName>
    <definedName name="г" localSheetId="87">#REF!,#REF!</definedName>
    <definedName name="г" localSheetId="43">#REF!,#REF!</definedName>
    <definedName name="г" localSheetId="49">#REF!,#REF!</definedName>
    <definedName name="г" localSheetId="86">#REF!,#REF!</definedName>
    <definedName name="г" localSheetId="47">#REF!,#REF!</definedName>
    <definedName name="г" localSheetId="54">#REF!,#REF!</definedName>
    <definedName name="г" localSheetId="23">#REF!,#REF!</definedName>
    <definedName name="г" localSheetId="13">#REF!,#REF!</definedName>
    <definedName name="г" localSheetId="24">#REF!,#REF!</definedName>
    <definedName name="г" localSheetId="29">#REF!,#REF!</definedName>
    <definedName name="г" localSheetId="25">#REF!,#REF!</definedName>
    <definedName name="г" localSheetId="26">#REF!,#REF!</definedName>
    <definedName name="г" localSheetId="27">#REF!,#REF!</definedName>
    <definedName name="г" localSheetId="28">#REF!,#REF!</definedName>
    <definedName name="г" localSheetId="119">#REF!,#REF!</definedName>
    <definedName name="г" localSheetId="69">#REF!,#REF!</definedName>
    <definedName name="г" localSheetId="70">#REF!,#REF!</definedName>
    <definedName name="г" localSheetId="72">#REF!,#REF!</definedName>
    <definedName name="г" localSheetId="68">#REF!,#REF!</definedName>
    <definedName name="г" localSheetId="67">#REF!,#REF!</definedName>
    <definedName name="г" localSheetId="66">#REF!,#REF!</definedName>
    <definedName name="г">#REF!,#REF!</definedName>
    <definedName name="ггг">[20]Форма2!$E$234:$F$237,[20]Форма2!$C$234:$C$237,[20]Форма2!$E$224:$F$232,[20]Форма2!$C$224:$C$232,[20]Форма2!$E$223:$F$223,[20]Форма2!$C$223,[20]Форма2!$E$217:$F$221,[20]Форма2!$C$217:$C$221,[20]Форма2!$E$210:$F$215,[20]Форма2!$C$210:$C$215,[20]Форма2!$C$210</definedName>
    <definedName name="Год">[28]Год!$A$1:$A$5</definedName>
    <definedName name="ГР" localSheetId="127">#REF!</definedName>
    <definedName name="ГР" localSheetId="118">#REF!</definedName>
    <definedName name="ГР" localSheetId="125">#REF!</definedName>
    <definedName name="ГР" localSheetId="126">#REF!</definedName>
    <definedName name="ГР" localSheetId="122">#REF!</definedName>
    <definedName name="ГР" localSheetId="16">#REF!</definedName>
    <definedName name="ГР" localSheetId="46">#REF!</definedName>
    <definedName name="ГР" localSheetId="139">#REF!</definedName>
    <definedName name="ГР" localSheetId="47">#REF!</definedName>
    <definedName name="ГР">#REF!</definedName>
    <definedName name="грприрцфв00ав98" localSheetId="125" hidden="1">{#N/A,#N/A,TRUE,"Лист1";#N/A,#N/A,TRUE,"Лист2";#N/A,#N/A,TRUE,"Лист3"}</definedName>
    <definedName name="грприрцфв00ав98" localSheetId="126" hidden="1">{#N/A,#N/A,TRUE,"Лист1";#N/A,#N/A,TRUE,"Лист2";#N/A,#N/A,TRUE,"Лист3"}</definedName>
    <definedName name="грприрцфв00ав98" localSheetId="46" hidden="1">{#N/A,#N/A,TRUE,"Лист1";#N/A,#N/A,TRUE,"Лист2";#N/A,#N/A,TRUE,"Лист3"}</definedName>
    <definedName name="грприрцфв00ав98" localSheetId="139" hidden="1">{#N/A,#N/A,TRUE,"Лист1";#N/A,#N/A,TRUE,"Лист2";#N/A,#N/A,TRUE,"Лист3"}</definedName>
    <definedName name="грприрцфв00ав98" localSheetId="47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125" hidden="1">{#N/A,#N/A,TRUE,"Лист1";#N/A,#N/A,TRUE,"Лист2";#N/A,#N/A,TRUE,"Лист3"}</definedName>
    <definedName name="грфинцкавг98Х" localSheetId="126" hidden="1">{#N/A,#N/A,TRUE,"Лист1";#N/A,#N/A,TRUE,"Лист2";#N/A,#N/A,TRUE,"Лист3"}</definedName>
    <definedName name="грфинцкавг98Х" localSheetId="46" hidden="1">{#N/A,#N/A,TRUE,"Лист1";#N/A,#N/A,TRUE,"Лист2";#N/A,#N/A,TRUE,"Лист3"}</definedName>
    <definedName name="грфинцкавг98Х" localSheetId="139" hidden="1">{#N/A,#N/A,TRUE,"Лист1";#N/A,#N/A,TRUE,"Лист2";#N/A,#N/A,TRUE,"Лист3"}</definedName>
    <definedName name="грфинцкавг98Х" localSheetId="47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см">[35]Форма2!$C$19:$C$24,[35]Форма2!$E$19:$F$24,[35]Форма2!$D$26:$F$31,[35]Форма2!$C$33:$C$38,[35]Форма2!$E$33:$F$38,[35]Форма2!$D$40:$F$43,[35]Форма2!$C$45:$C$48,[35]Форма2!$E$45:$F$48,[35]Форма2!$C$19</definedName>
    <definedName name="д1" localSheetId="127">#REF!</definedName>
    <definedName name="д1" localSheetId="118">#REF!</definedName>
    <definedName name="д1" localSheetId="125">#REF!</definedName>
    <definedName name="д1" localSheetId="126">#REF!</definedName>
    <definedName name="д1" localSheetId="122">#REF!</definedName>
    <definedName name="д1" localSheetId="16">#REF!</definedName>
    <definedName name="д1" localSheetId="46">#REF!</definedName>
    <definedName name="д1" localSheetId="139">#REF!</definedName>
    <definedName name="д1" localSheetId="47">#REF!</definedName>
    <definedName name="д1">#REF!</definedName>
    <definedName name="д2" localSheetId="127">#REF!</definedName>
    <definedName name="д2" localSheetId="118">#REF!</definedName>
    <definedName name="д2" localSheetId="125">#REF!</definedName>
    <definedName name="д2" localSheetId="126">#REF!</definedName>
    <definedName name="д2" localSheetId="122">#REF!</definedName>
    <definedName name="д2" localSheetId="16">#REF!</definedName>
    <definedName name="д2" localSheetId="46">#REF!</definedName>
    <definedName name="д2" localSheetId="139">#REF!</definedName>
    <definedName name="д2" localSheetId="47">#REF!</definedName>
    <definedName name="д2">#REF!</definedName>
    <definedName name="д3" localSheetId="127">#REF!</definedName>
    <definedName name="д3" localSheetId="118">#REF!</definedName>
    <definedName name="д3" localSheetId="125">#REF!</definedName>
    <definedName name="д3" localSheetId="126">#REF!</definedName>
    <definedName name="д3" localSheetId="122">#REF!</definedName>
    <definedName name="д3" localSheetId="16">#REF!</definedName>
    <definedName name="д3" localSheetId="46">#REF!</definedName>
    <definedName name="д3" localSheetId="139">#REF!</definedName>
    <definedName name="д3" localSheetId="47">#REF!</definedName>
    <definedName name="д3">#REF!</definedName>
    <definedName name="д4" localSheetId="127">#REF!</definedName>
    <definedName name="д4" localSheetId="118">#REF!</definedName>
    <definedName name="д4" localSheetId="125">#REF!</definedName>
    <definedName name="д4" localSheetId="122">#REF!</definedName>
    <definedName name="д4" localSheetId="16">#REF!</definedName>
    <definedName name="д4" localSheetId="46">#REF!</definedName>
    <definedName name="д4" localSheetId="139">#REF!</definedName>
    <definedName name="д4" localSheetId="47">#REF!</definedName>
    <definedName name="д4">#REF!</definedName>
    <definedName name="ддд" localSheetId="127">#REF!</definedName>
    <definedName name="ддд" localSheetId="118">#REF!</definedName>
    <definedName name="ддд" localSheetId="125">#REF!</definedName>
    <definedName name="ддд" localSheetId="122">#REF!</definedName>
    <definedName name="ддд" localSheetId="16">#REF!</definedName>
    <definedName name="ддд" localSheetId="46">#REF!</definedName>
    <definedName name="ддд" localSheetId="139">#REF!</definedName>
    <definedName name="ддд" localSheetId="47">#REF!</definedName>
    <definedName name="ддд">#REF!</definedName>
    <definedName name="детсад" localSheetId="127">#REF!,#REF!</definedName>
    <definedName name="детсад" localSheetId="118">#REF!,#REF!</definedName>
    <definedName name="детсад" localSheetId="125">#REF!,#REF!</definedName>
    <definedName name="детсад" localSheetId="126">#REF!,#REF!</definedName>
    <definedName name="детсад" localSheetId="122">#REF!,#REF!</definedName>
    <definedName name="детсад" localSheetId="16">#REF!,#REF!</definedName>
    <definedName name="детсад" localSheetId="46">#REF!,#REF!</definedName>
    <definedName name="детсад" localSheetId="139">#REF!,#REF!</definedName>
    <definedName name="детсад" localSheetId="47">#REF!,#REF!</definedName>
    <definedName name="детсад">#REF!,#REF!</definedName>
    <definedName name="Добыча">'[36]Добыча нефти4'!$F$11:$Q$12</definedName>
    <definedName name="Добыча___0">[36]Добычанефти4!$F$11:$Q$12</definedName>
    <definedName name="Добыча___10">[37]Добычанефти4!$F$11:$Q$12</definedName>
    <definedName name="Доз5" localSheetId="127">#REF!</definedName>
    <definedName name="Доз5" localSheetId="118">#REF!</definedName>
    <definedName name="Доз5" localSheetId="125">#REF!</definedName>
    <definedName name="Доз5" localSheetId="126">#REF!</definedName>
    <definedName name="Доз5" localSheetId="122">#REF!</definedName>
    <definedName name="Доз5" localSheetId="16">#REF!</definedName>
    <definedName name="Доз5" localSheetId="46">#REF!</definedName>
    <definedName name="Доз5" localSheetId="139">#REF!</definedName>
    <definedName name="Доз5" localSheetId="47">#REF!</definedName>
    <definedName name="Доз5">#REF!</definedName>
    <definedName name="Доз5___0" localSheetId="127">#REF!</definedName>
    <definedName name="Доз5___0" localSheetId="118">#REF!</definedName>
    <definedName name="Доз5___0" localSheetId="125">#REF!</definedName>
    <definedName name="Доз5___0" localSheetId="126">#REF!</definedName>
    <definedName name="Доз5___0" localSheetId="122">#REF!</definedName>
    <definedName name="Доз5___0" localSheetId="16">#REF!</definedName>
    <definedName name="Доз5___0" localSheetId="46">#REF!</definedName>
    <definedName name="Доз5___0" localSheetId="139">#REF!</definedName>
    <definedName name="Доз5___0" localSheetId="47">#REF!</definedName>
    <definedName name="Доз5___0">#REF!</definedName>
    <definedName name="Доз5___10" localSheetId="127">#REF!</definedName>
    <definedName name="Доз5___10" localSheetId="118">#REF!</definedName>
    <definedName name="Доз5___10" localSheetId="125">#REF!</definedName>
    <definedName name="Доз5___10" localSheetId="126">#REF!</definedName>
    <definedName name="Доз5___10" localSheetId="122">#REF!</definedName>
    <definedName name="Доз5___10" localSheetId="16">#REF!</definedName>
    <definedName name="Доз5___10" localSheetId="46">#REF!</definedName>
    <definedName name="Доз5___10" localSheetId="139">#REF!</definedName>
    <definedName name="Доз5___10" localSheetId="47">#REF!</definedName>
    <definedName name="Доз5___10">#REF!</definedName>
    <definedName name="доз6" localSheetId="127">#REF!</definedName>
    <definedName name="доз6" localSheetId="118">#REF!</definedName>
    <definedName name="доз6" localSheetId="125">#REF!</definedName>
    <definedName name="доз6" localSheetId="122">#REF!</definedName>
    <definedName name="доз6" localSheetId="16">#REF!</definedName>
    <definedName name="доз6" localSheetId="46">#REF!</definedName>
    <definedName name="доз6" localSheetId="139">#REF!</definedName>
    <definedName name="доз6" localSheetId="47">#REF!</definedName>
    <definedName name="доз6">#REF!</definedName>
    <definedName name="дурак">[34]Форма2!$E$234:$F$237,[34]Форма2!$C$234:$C$237,[34]Форма2!$E$224:$F$232,[34]Форма2!$C$224:$C$232,[34]Форма2!$E$223:$F$223,[34]Форма2!$C$223,[34]Форма2!$E$217:$F$221,[34]Форма2!$C$217:$C$221,[34]Форма2!$E$210:$F$215,[34]Форма2!$C$210:$C$215,[34]Форма2!$C$210</definedName>
    <definedName name="ЕдИзм" localSheetId="127">#REF!</definedName>
    <definedName name="ЕдИзм" localSheetId="118">#REF!</definedName>
    <definedName name="ЕдИзм" localSheetId="125">#REF!</definedName>
    <definedName name="ЕдИзм" localSheetId="126">#REF!</definedName>
    <definedName name="ЕдИзм" localSheetId="122">#REF!</definedName>
    <definedName name="ЕдИзм" localSheetId="16">#REF!</definedName>
    <definedName name="ЕдИзм" localSheetId="46">#REF!</definedName>
    <definedName name="ЕдИзм" localSheetId="139">#REF!</definedName>
    <definedName name="ЕдИзм" localSheetId="47">#REF!</definedName>
    <definedName name="ЕдИзм">#REF!</definedName>
    <definedName name="ен" localSheetId="11">#REF!</definedName>
    <definedName name="ен" localSheetId="5">#REF!</definedName>
    <definedName name="ен" localSheetId="6">#REF!</definedName>
    <definedName name="ен" localSheetId="8">#REF!</definedName>
    <definedName name="ен" localSheetId="7">#REF!</definedName>
    <definedName name="ен" localSheetId="138">#REF!</definedName>
    <definedName name="ен" localSheetId="10">#REF!</definedName>
    <definedName name="ен" localSheetId="9">#REF!</definedName>
    <definedName name="ен" localSheetId="136">#REF!</definedName>
    <definedName name="ен" localSheetId="127">#REF!</definedName>
    <definedName name="ен" localSheetId="118">#REF!</definedName>
    <definedName name="ен" localSheetId="128">#REF!</definedName>
    <definedName name="ен" localSheetId="125">#REF!</definedName>
    <definedName name="ен" localSheetId="137">#REF!</definedName>
    <definedName name="ен" localSheetId="131">#REF!</definedName>
    <definedName name="ен" localSheetId="126">#REF!</definedName>
    <definedName name="ен" localSheetId="122">#REF!</definedName>
    <definedName name="ен" localSheetId="16">#REF!</definedName>
    <definedName name="ен" localSheetId="46">#REF!</definedName>
    <definedName name="ен" localSheetId="139">#REF!</definedName>
    <definedName name="ен" localSheetId="47">#REF!</definedName>
    <definedName name="ен" localSheetId="28">#REF!</definedName>
    <definedName name="ен">#REF!</definedName>
    <definedName name="жанара">[38]Форма2!$D$129:$F$132,[38]Форма2!$D$134:$F$135,[38]Форма2!$D$137:$F$140,[38]Форма2!$D$142:$F$144,[38]Форма2!$D$146:$F$150,[38]Форма2!$D$152:$F$154,[38]Форма2!$D$156:$F$162,[38]Форма2!$D$129</definedName>
    <definedName name="_xlnm.Print_Titles" localSheetId="105">'повыш квалиф'!$A:$A,'повыш квалиф'!$5:$6</definedName>
    <definedName name="_xlnm.Print_Titles" localSheetId="4">'тариф на 22 кл школа '!$5:$8</definedName>
    <definedName name="_xlnm.Print_Titles" localSheetId="23">'штатка АУП'!$7:$8</definedName>
    <definedName name="_xlnm.Print_Titles" localSheetId="13">'штатка комплекс  (2)'!#REF!</definedName>
    <definedName name="_xlnm.Print_Titles" localSheetId="15">'штатка комплекс  (3)'!#REF!</definedName>
    <definedName name="_xlnm.Print_Titles" localSheetId="24">'штатка МБ 2.01.'!$7:$8</definedName>
    <definedName name="_xlnm.Print_Titles" localSheetId="29">'штатка спальн блок 2.01.'!$7:$8</definedName>
    <definedName name="_xlnm.Print_Titles" localSheetId="25">'штатка ФМН 2.01.'!$7:$8</definedName>
    <definedName name="_xlnm.Print_Titles" localSheetId="26">'штатка школа МШ'!$7:$8</definedName>
    <definedName name="_xlnm.Print_Titles" localSheetId="27">'штатка школа Орынб'!$7:$8</definedName>
    <definedName name="_xlnm.Print_Titles" localSheetId="28">'штатка школа Орынб 2017-2018'!$7:$8</definedName>
    <definedName name="зпетр" localSheetId="127">'[39]14.1.2.2.(Услуги связи)'!#REF!</definedName>
    <definedName name="зпетр" localSheetId="118">'[39]14.1.2.2.(Услуги связи)'!#REF!</definedName>
    <definedName name="зпетр" localSheetId="125">'[39]14.1.2.2.(Услуги связи)'!#REF!</definedName>
    <definedName name="зпетр" localSheetId="126">'[39]14.1.2.2.(Услуги связи)'!#REF!</definedName>
    <definedName name="зпетр" localSheetId="122">'[39]14.1.2.2.(Услуги связи)'!#REF!</definedName>
    <definedName name="зпетр" localSheetId="16">'[39]14.1.2.2.(Услуги связи)'!#REF!</definedName>
    <definedName name="зпетр" localSheetId="46">'[39]14.1.2.2.(Услуги связи)'!#REF!</definedName>
    <definedName name="зпетр" localSheetId="139">'[39]14.1.2.2.(Услуги связи)'!#REF!</definedName>
    <definedName name="зпетр" localSheetId="47">'[39]14.1.2.2.(Услуги связи)'!#REF!</definedName>
    <definedName name="зпетр">'[39]14.1.2.2.(Услуги связи)'!#REF!</definedName>
    <definedName name="и" localSheetId="11">#REF!</definedName>
    <definedName name="и" localSheetId="5">#REF!</definedName>
    <definedName name="и" localSheetId="6">#REF!</definedName>
    <definedName name="и" localSheetId="8">#REF!</definedName>
    <definedName name="и" localSheetId="7">#REF!</definedName>
    <definedName name="и" localSheetId="138">#REF!</definedName>
    <definedName name="и" localSheetId="10">#REF!</definedName>
    <definedName name="и" localSheetId="9">#REF!</definedName>
    <definedName name="и" localSheetId="136">#REF!</definedName>
    <definedName name="и" localSheetId="127">#REF!</definedName>
    <definedName name="и" localSheetId="118">#REF!</definedName>
    <definedName name="и" localSheetId="128">#REF!</definedName>
    <definedName name="и" localSheetId="125">#REF!</definedName>
    <definedName name="и" localSheetId="137">#REF!</definedName>
    <definedName name="и" localSheetId="131">#REF!</definedName>
    <definedName name="и" localSheetId="126">#REF!</definedName>
    <definedName name="и" localSheetId="122">#REF!</definedName>
    <definedName name="и" localSheetId="16">#REF!</definedName>
    <definedName name="и" localSheetId="46">#REF!</definedName>
    <definedName name="и" localSheetId="139">#REF!</definedName>
    <definedName name="и" localSheetId="47">#REF!</definedName>
    <definedName name="и" localSheetId="28">#REF!</definedName>
    <definedName name="и">#REF!</definedName>
    <definedName name="ибз" localSheetId="127">'[39]14.1.2.2.(Услуги связи)'!#REF!</definedName>
    <definedName name="ибз" localSheetId="118">'[39]14.1.2.2.(Услуги связи)'!#REF!</definedName>
    <definedName name="ибз" localSheetId="125">'[39]14.1.2.2.(Услуги связи)'!#REF!</definedName>
    <definedName name="ибз" localSheetId="126">'[39]14.1.2.2.(Услуги связи)'!#REF!</definedName>
    <definedName name="ибз" localSheetId="122">'[39]14.1.2.2.(Услуги связи)'!#REF!</definedName>
    <definedName name="ибз" localSheetId="16">'[39]14.1.2.2.(Услуги связи)'!#REF!</definedName>
    <definedName name="ибз" localSheetId="46">'[39]14.1.2.2.(Услуги связи)'!#REF!</definedName>
    <definedName name="ибз" localSheetId="139">'[39]14.1.2.2.(Услуги связи)'!#REF!</definedName>
    <definedName name="ибз" localSheetId="47">'[39]14.1.2.2.(Услуги связи)'!#REF!</definedName>
    <definedName name="ибз">'[39]14.1.2.2.(Услуги связи)'!#REF!</definedName>
    <definedName name="ИМИ">[40]Форма2!$C$19:$C$24,[40]Форма2!$E$19:$F$24,[40]Форма2!$D$26:$F$31,[40]Форма2!$C$33:$C$38,[40]Форма2!$E$33:$F$38,[40]Форма2!$D$40:$F$43,[40]Форма2!$C$45:$C$48,[40]Форма2!$E$45:$F$48,[40]Форма2!$C$19</definedName>
    <definedName name="имидж2" localSheetId="127">#REF!</definedName>
    <definedName name="имидж2" localSheetId="118">#REF!</definedName>
    <definedName name="имидж2" localSheetId="125">#REF!</definedName>
    <definedName name="имидж2" localSheetId="126">#REF!</definedName>
    <definedName name="имидж2" localSheetId="122">#REF!</definedName>
    <definedName name="имидж2" localSheetId="16">#REF!</definedName>
    <definedName name="имидж2" localSheetId="46">#REF!</definedName>
    <definedName name="имидж2" localSheetId="139">#REF!</definedName>
    <definedName name="имидж2" localSheetId="47">#REF!</definedName>
    <definedName name="имидж2">#REF!</definedName>
    <definedName name="Имидж3">[34]Форма2!$C$113:$C$114,[34]Форма2!$D$110:$F$112,[34]Форма2!$E$113:$F$114,[34]Форма2!$D$115:$F$115,[34]Форма2!$D$117:$F$119,[34]Форма2!$D$121:$F$122,[34]Форма2!$D$124:$F$126,[34]Форма2!$D$110</definedName>
    <definedName name="имиджавая">[40]Форма2!$E$200:$F$207,[40]Форма2!$C$200:$C$207,[40]Форма2!$E$189:$F$198,[40]Форма2!$C$189:$C$198,[40]Форма2!$E$188:$F$188,[40]Форма2!$C$188</definedName>
    <definedName name="имиджи" localSheetId="127">#REF!</definedName>
    <definedName name="имиджи" localSheetId="118">#REF!</definedName>
    <definedName name="имиджи" localSheetId="125">#REF!</definedName>
    <definedName name="имиджи" localSheetId="126">#REF!</definedName>
    <definedName name="имиджи" localSheetId="122">#REF!</definedName>
    <definedName name="имиджи" localSheetId="16">#REF!</definedName>
    <definedName name="имиджи" localSheetId="46">#REF!</definedName>
    <definedName name="имиджи" localSheetId="139">#REF!</definedName>
    <definedName name="имиджи" localSheetId="47">#REF!</definedName>
    <definedName name="имиджи">#REF!</definedName>
    <definedName name="импашыфпыфвлоапвы">[20]Форма2!$C$113:$C$114,[20]Форма2!$D$110:$F$112,[20]Форма2!$E$113:$F$114,[20]Форма2!$D$115:$F$115,[20]Форма2!$D$117:$F$119,[20]Форма2!$D$121:$F$122,[20]Форма2!$D$124:$F$126,[20]Форма2!$D$110</definedName>
    <definedName name="импорт" localSheetId="127">#REF!</definedName>
    <definedName name="импорт" localSheetId="118">#REF!</definedName>
    <definedName name="импорт" localSheetId="125">#REF!</definedName>
    <definedName name="импорт" localSheetId="126">#REF!</definedName>
    <definedName name="импорт" localSheetId="122">#REF!</definedName>
    <definedName name="импорт" localSheetId="16">#REF!</definedName>
    <definedName name="импорт" localSheetId="46">#REF!</definedName>
    <definedName name="импорт" localSheetId="139">#REF!</definedName>
    <definedName name="импорт" localSheetId="47">#REF!</definedName>
    <definedName name="импорт">#REF!</definedName>
    <definedName name="ИнвРГС" localSheetId="127">[41]NPV!#REF!</definedName>
    <definedName name="ИнвРГС" localSheetId="118">[41]NPV!#REF!</definedName>
    <definedName name="ИнвРГС" localSheetId="125">[41]NPV!#REF!</definedName>
    <definedName name="ИнвРГС" localSheetId="126">[41]NPV!#REF!</definedName>
    <definedName name="ИнвРГС" localSheetId="122">[41]NPV!#REF!</definedName>
    <definedName name="ИнвРГС" localSheetId="16">[41]NPV!#REF!</definedName>
    <definedName name="ИнвРГС" localSheetId="46">[41]NPV!#REF!</definedName>
    <definedName name="ИнвРГС" localSheetId="139">[41]NPV!#REF!</definedName>
    <definedName name="ИнвРГС" localSheetId="47">[41]NPV!#REF!</definedName>
    <definedName name="ИнвРГС">[41]NPV!#REF!</definedName>
    <definedName name="индплан" localSheetId="127">#REF!</definedName>
    <definedName name="индплан" localSheetId="118">#REF!</definedName>
    <definedName name="индплан" localSheetId="125">#REF!</definedName>
    <definedName name="индплан" localSheetId="126">#REF!</definedName>
    <definedName name="индплан" localSheetId="122">#REF!</definedName>
    <definedName name="индплан" localSheetId="16">#REF!</definedName>
    <definedName name="индплан" localSheetId="46">#REF!</definedName>
    <definedName name="индплан" localSheetId="139">#REF!</definedName>
    <definedName name="индплан" localSheetId="47">#REF!</definedName>
    <definedName name="индплан">#REF!</definedName>
    <definedName name="индцкавг98" localSheetId="125" hidden="1">{#N/A,#N/A,TRUE,"Лист1";#N/A,#N/A,TRUE,"Лист2";#N/A,#N/A,TRUE,"Лист3"}</definedName>
    <definedName name="индцкавг98" localSheetId="126" hidden="1">{#N/A,#N/A,TRUE,"Лист1";#N/A,#N/A,TRUE,"Лист2";#N/A,#N/A,TRUE,"Лист3"}</definedName>
    <definedName name="индцкавг98" localSheetId="46" hidden="1">{#N/A,#N/A,TRUE,"Лист1";#N/A,#N/A,TRUE,"Лист2";#N/A,#N/A,TRUE,"Лист3"}</definedName>
    <definedName name="индцкавг98" localSheetId="139" hidden="1">{#N/A,#N/A,TRUE,"Лист1";#N/A,#N/A,TRUE,"Лист2";#N/A,#N/A,TRUE,"Лист3"}</definedName>
    <definedName name="индцкавг98" localSheetId="47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нтеллектуальная_школа_Первого_Президента_физико_математического_направления_в_городе_Астана" localSheetId="80">#REF!</definedName>
    <definedName name="Интеллектуальная_школа_Первого_Президента_физико_математического_направления_в_городе_Астана" localSheetId="71">#REF!</definedName>
    <definedName name="Интеллектуальная_школа_Первого_Президента_физико_математического_направления_в_городе_Астана" localSheetId="74">#REF!</definedName>
    <definedName name="Интеллектуальная_школа_Первого_Президента_физико_математического_направления_в_городе_Астана" localSheetId="81">#REF!</definedName>
    <definedName name="Интеллектуальная_школа_Первого_Президента_физико_математического_направления_в_городе_Астана" localSheetId="73">#REF!</definedName>
    <definedName name="Интеллектуальная_школа_Первого_Президента_физико_математического_направления_в_городе_Астана" localSheetId="82">#REF!</definedName>
    <definedName name="Интеллектуальная_школа_Первого_Президента_физико_математического_направления_в_городе_Астана" localSheetId="31">#REF!</definedName>
    <definedName name="Интеллектуальная_школа_Первого_Президента_физико_математического_направления_в_городе_Астана" localSheetId="108">#REF!</definedName>
    <definedName name="Интеллектуальная_школа_Первого_Президента_физико_математического_направления_в_городе_Астана" localSheetId="62">#REF!</definedName>
    <definedName name="Интеллектуальная_школа_Первого_Президента_физико_математического_направления_в_городе_Астана" localSheetId="40">#REF!</definedName>
    <definedName name="Интеллектуальная_школа_Первого_Президента_физико_математического_направления_в_городе_Астана" localSheetId="59">#REF!</definedName>
    <definedName name="Интеллектуальная_школа_Первого_Президента_физико_математического_направления_в_городе_Астана" localSheetId="61">#REF!</definedName>
    <definedName name="Интеллектуальная_школа_Первого_Президента_физико_математического_направления_в_городе_Астана" localSheetId="51">#REF!</definedName>
    <definedName name="Интеллектуальная_школа_Первого_Президента_физико_математического_направления_в_городе_Астана" localSheetId="56">#REF!</definedName>
    <definedName name="Интеллектуальная_школа_Первого_Президента_физико_математического_направления_в_городе_Астана" localSheetId="88">#REF!</definedName>
    <definedName name="Интеллектуальная_школа_Первого_Президента_физико_математического_направления_в_городе_Астана" localSheetId="94">#REF!</definedName>
    <definedName name="Интеллектуальная_школа_Первого_Президента_физико_математического_направления_в_городе_Астана" localSheetId="11">#REF!</definedName>
    <definedName name="Интеллектуальная_школа_Первого_Президента_физико_математического_направления_в_городе_Астана" localSheetId="5">#REF!</definedName>
    <definedName name="Интеллектуальная_школа_Первого_Президента_физико_математического_направления_в_городе_Астана" localSheetId="6">#REF!</definedName>
    <definedName name="Интеллектуальная_школа_Первого_Президента_физико_математического_направления_в_городе_Астана" localSheetId="8">#REF!</definedName>
    <definedName name="Интеллектуальная_школа_Первого_Президента_физико_математического_направления_в_городе_Астана" localSheetId="7">#REF!</definedName>
    <definedName name="Интеллектуальная_школа_Первого_Президента_физико_математического_направления_в_городе_Астана" localSheetId="138">#REF!</definedName>
    <definedName name="Интеллектуальная_школа_Первого_Президента_физико_математического_направления_в_городе_Астана" localSheetId="10">#REF!</definedName>
    <definedName name="Интеллектуальная_школа_Первого_Президента_физико_математического_направления_в_городе_Астана" localSheetId="9">#REF!</definedName>
    <definedName name="Интеллектуальная_школа_Первого_Президента_физико_математического_направления_в_городе_Астана" localSheetId="136">#REF!</definedName>
    <definedName name="Интеллектуальная_школа_Первого_Президента_физико_математического_направления_в_городе_Астана" localSheetId="127">#REF!</definedName>
    <definedName name="Интеллектуальная_школа_Первого_Президента_физико_математического_направления_в_городе_Астана" localSheetId="37">#REF!</definedName>
    <definedName name="Интеллектуальная_школа_Первого_Президента_физико_математического_направления_в_городе_Астана" localSheetId="60">#REF!</definedName>
    <definedName name="Интеллектуальная_школа_Первого_Президента_физико_математического_направления_в_городе_Астана" localSheetId="41">#REF!</definedName>
    <definedName name="Интеллектуальная_школа_Первого_Президента_физико_математического_направления_в_городе_Астана" localSheetId="45">#REF!</definedName>
    <definedName name="Интеллектуальная_школа_Первого_Президента_физико_математического_направления_в_городе_Астана" localSheetId="53">#REF!</definedName>
    <definedName name="Интеллектуальная_школа_Первого_Президента_физико_математического_направления_в_городе_Астана" localSheetId="57">#REF!</definedName>
    <definedName name="Интеллектуальная_школа_Первого_Президента_физико_математического_направления_в_городе_Астана" localSheetId="42">#REF!</definedName>
    <definedName name="Интеллектуальная_школа_Первого_Президента_физико_математического_направления_в_городе_Астана" localSheetId="95">#REF!</definedName>
    <definedName name="Интеллектуальная_школа_Первого_Президента_физико_математического_направления_в_городе_Астана" localSheetId="118">#REF!</definedName>
    <definedName name="Интеллектуальная_школа_Первого_Президента_физико_математического_направления_в_городе_Астана" localSheetId="48">#REF!</definedName>
    <definedName name="Интеллектуальная_школа_Первого_Президента_физико_математического_направления_в_городе_Астана" localSheetId="79">#REF!</definedName>
    <definedName name="Интеллектуальная_школа_Первого_Президента_физико_математического_направления_в_городе_Астана" localSheetId="133">#REF!</definedName>
    <definedName name="Интеллектуальная_школа_Первого_Президента_физико_математического_направления_в_городе_Астана" localSheetId="128">#REF!</definedName>
    <definedName name="Интеллектуальная_школа_Первого_Президента_физико_математического_направления_в_городе_Астана" localSheetId="93">#REF!</definedName>
    <definedName name="Интеллектуальная_школа_Первого_Президента_физико_математического_направления_в_городе_Астана" localSheetId="97">#REF!</definedName>
    <definedName name="Интеллектуальная_школа_Первого_Президента_физико_математического_направления_в_городе_Астана" localSheetId="113">#REF!</definedName>
    <definedName name="Интеллектуальная_школа_Первого_Президента_физико_математического_направления_в_городе_Астана" localSheetId="90">#REF!</definedName>
    <definedName name="Интеллектуальная_школа_Первого_Президента_физико_математического_направления_в_городе_Астана" localSheetId="12">#REF!</definedName>
    <definedName name="Интеллектуальная_школа_Первого_Президента_физико_математического_направления_в_городе_Астана" localSheetId="125">#REF!</definedName>
    <definedName name="Интеллектуальная_школа_Первого_Президента_физико_математического_направления_в_городе_Астана" localSheetId="105">#REF!</definedName>
    <definedName name="Интеллектуальная_школа_Первого_Президента_физико_математического_направления_в_городе_Астана" localSheetId="52">#REF!</definedName>
    <definedName name="Интеллектуальная_школа_Первого_Президента_физико_математического_направления_в_городе_Астана" localSheetId="50">#REF!</definedName>
    <definedName name="Интеллектуальная_школа_Первого_Президента_физико_математического_направления_в_городе_Астана" localSheetId="137">#REF!</definedName>
    <definedName name="Интеллектуальная_школа_Первого_Президента_физико_математического_направления_в_городе_Астана" localSheetId="33">#REF!</definedName>
    <definedName name="Интеллектуальная_школа_Первого_Президента_физико_математического_направления_в_городе_Астана" localSheetId="34">#REF!</definedName>
    <definedName name="Интеллектуальная_школа_Первого_Президента_физико_математического_направления_в_городе_Астана" localSheetId="84">#REF!</definedName>
    <definedName name="Интеллектуальная_школа_Первого_Президента_физико_математического_направления_в_городе_Астана" localSheetId="102">#REF!</definedName>
    <definedName name="Интеллектуальная_школа_Первого_Президента_физико_математического_направления_в_городе_Астана" localSheetId="130">#REF!</definedName>
    <definedName name="Интеллектуальная_школа_Первого_Президента_физико_математического_направления_в_городе_Астана" localSheetId="131">#REF!</definedName>
    <definedName name="Интеллектуальная_школа_Первого_Президента_физико_математического_направления_в_городе_Астана" localSheetId="126">#REF!</definedName>
    <definedName name="Интеллектуальная_школа_Первого_Президента_физико_математического_направления_в_городе_Астана" localSheetId="122">#REF!</definedName>
    <definedName name="Интеллектуальная_школа_Первого_Президента_физико_математического_направления_в_городе_Астана" localSheetId="78">#REF!</definedName>
    <definedName name="Интеллектуальная_школа_Первого_Президента_физико_математического_направления_в_городе_Астана" localSheetId="116">#REF!</definedName>
    <definedName name="Интеллектуальная_школа_Первого_Президента_физико_математического_направления_в_городе_Астана" localSheetId="16">#REF!</definedName>
    <definedName name="Интеллектуальная_школа_Первого_Президента_физико_математического_направления_в_городе_Астана" localSheetId="4">#REF!</definedName>
    <definedName name="Интеллектуальная_школа_Первого_Президента_физико_математического_направления_в_городе_Астана" localSheetId="75">#REF!</definedName>
    <definedName name="Интеллектуальная_школа_Первого_Президента_физико_математического_направления_в_городе_Астана" localSheetId="89">#REF!</definedName>
    <definedName name="Интеллектуальная_школа_Первого_Президента_физико_математического_направления_в_городе_Астана" localSheetId="0">#REF!</definedName>
    <definedName name="Интеллектуальная_школа_Первого_Президента_физико_математического_направления_в_городе_Астана" localSheetId="38">#REF!</definedName>
    <definedName name="Интеллектуальная_школа_Первого_Президента_физико_математического_направления_в_городе_Астана" localSheetId="55">#REF!</definedName>
    <definedName name="Интеллектуальная_школа_Первого_Президента_физико_математического_направления_в_городе_Астана" localSheetId="85">#REF!</definedName>
    <definedName name="Интеллектуальная_школа_Первого_Президента_физико_математического_направления_в_городе_Астана" localSheetId="58">#REF!</definedName>
    <definedName name="Интеллектуальная_школа_Первого_Президента_физико_математического_направления_в_городе_Астана" localSheetId="96">#REF!</definedName>
    <definedName name="Интеллектуальная_школа_Первого_Президента_физико_математического_направления_в_городе_Астана" localSheetId="46">#REF!</definedName>
    <definedName name="Интеллектуальная_школа_Первого_Президента_физико_математического_направления_в_городе_Астана" localSheetId="139">#REF!</definedName>
    <definedName name="Интеллектуальная_школа_Первого_Президента_физико_математического_направления_в_городе_Астана" localSheetId="36">#REF!</definedName>
    <definedName name="Интеллектуальная_школа_Первого_Президента_физико_математического_направления_в_городе_Астана" localSheetId="87">#REF!</definedName>
    <definedName name="Интеллектуальная_школа_Первого_Президента_физико_математического_направления_в_городе_Астана" localSheetId="43">#REF!</definedName>
    <definedName name="Интеллектуальная_школа_Первого_Президента_физико_математического_направления_в_городе_Астана" localSheetId="49">#REF!</definedName>
    <definedName name="Интеллектуальная_школа_Первого_Президента_физико_математического_направления_в_городе_Астана" localSheetId="86">#REF!</definedName>
    <definedName name="Интеллектуальная_школа_Первого_Президента_физико_математического_направления_в_городе_Астана" localSheetId="47">#REF!</definedName>
    <definedName name="Интеллектуальная_школа_Первого_Президента_физико_математического_направления_в_городе_Астана" localSheetId="54">#REF!</definedName>
    <definedName name="Интеллектуальная_школа_Первого_Президента_физико_математического_направления_в_городе_Астана" localSheetId="23">#REF!</definedName>
    <definedName name="Интеллектуальная_школа_Первого_Президента_физико_математического_направления_в_городе_Астана" localSheetId="13">#REF!</definedName>
    <definedName name="Интеллектуальная_школа_Первого_Президента_физико_математического_направления_в_городе_Астана" localSheetId="24">#REF!</definedName>
    <definedName name="Интеллектуальная_школа_Первого_Президента_физико_математического_направления_в_городе_Астана" localSheetId="29">#REF!</definedName>
    <definedName name="Интеллектуальная_школа_Первого_Президента_физико_математического_направления_в_городе_Астана" localSheetId="25">#REF!</definedName>
    <definedName name="Интеллектуальная_школа_Первого_Президента_физико_математического_направления_в_городе_Астана" localSheetId="26">#REF!</definedName>
    <definedName name="Интеллектуальная_школа_Первого_Президента_физико_математического_направления_в_городе_Астана" localSheetId="27">#REF!</definedName>
    <definedName name="Интеллектуальная_школа_Первого_Президента_физико_математического_направления_в_городе_Астана" localSheetId="28">#REF!</definedName>
    <definedName name="Интеллектуальная_школа_Первого_Президента_физико_математического_направления_в_городе_Астана" localSheetId="119">#REF!</definedName>
    <definedName name="Интеллектуальная_школа_Первого_Президента_физико_математического_направления_в_городе_Астана" localSheetId="69">#REF!</definedName>
    <definedName name="Интеллектуальная_школа_Первого_Президента_физико_математического_направления_в_городе_Астана" localSheetId="70">#REF!</definedName>
    <definedName name="Интеллектуальная_школа_Первого_Президента_физико_математического_направления_в_городе_Астана" localSheetId="72">#REF!</definedName>
    <definedName name="Интеллектуальная_школа_Первого_Президента_физико_математического_направления_в_городе_Астана" localSheetId="68">#REF!</definedName>
    <definedName name="Интеллектуальная_школа_Первого_Президента_физико_математического_направления_в_городе_Астана" localSheetId="67">#REF!</definedName>
    <definedName name="Интеллектуальная_школа_Первого_Президента_физико_математического_направления_в_городе_Астана" localSheetId="66">#REF!</definedName>
    <definedName name="Интеллектуальная_школа_Первого_Президента_физико_математического_направления_в_городе_Астана">#REF!</definedName>
    <definedName name="интерн" localSheetId="127">'[39]14.1.2.2.(Услуги связи)'!#REF!</definedName>
    <definedName name="интерн" localSheetId="118">'[39]14.1.2.2.(Услуги связи)'!#REF!</definedName>
    <definedName name="интерн" localSheetId="125">'[39]14.1.2.2.(Услуги связи)'!#REF!</definedName>
    <definedName name="интерн" localSheetId="126">'[39]14.1.2.2.(Услуги связи)'!#REF!</definedName>
    <definedName name="интерн" localSheetId="122">'[39]14.1.2.2.(Услуги связи)'!#REF!</definedName>
    <definedName name="интерн" localSheetId="16">'[39]14.1.2.2.(Услуги связи)'!#REF!</definedName>
    <definedName name="интерн" localSheetId="46">'[39]14.1.2.2.(Услуги связи)'!#REF!</definedName>
    <definedName name="интерн" localSheetId="139">'[39]14.1.2.2.(Услуги связи)'!#REF!</definedName>
    <definedName name="интерн" localSheetId="47">'[39]14.1.2.2.(Услуги связи)'!#REF!</definedName>
    <definedName name="интерн">'[39]14.1.2.2.(Услуги связи)'!#REF!</definedName>
    <definedName name="й" localSheetId="125">'Площадь столовой новая'!й</definedName>
    <definedName name="й" localSheetId="126">'расч по правилам '!й</definedName>
    <definedName name="й" localSheetId="122">#N/A</definedName>
    <definedName name="й" localSheetId="16">#N/A</definedName>
    <definedName name="й" localSheetId="46">#N/A</definedName>
    <definedName name="й" localSheetId="139">#N/A</definedName>
    <definedName name="й" localSheetId="47">#N/A</definedName>
    <definedName name="й">'Площадь столовой новая'!й</definedName>
    <definedName name="й1ц2" localSheetId="127">[21]Sheet1!#REF!</definedName>
    <definedName name="й1ц2" localSheetId="118">[21]Sheet1!#REF!</definedName>
    <definedName name="й1ц2" localSheetId="125">[21]Sheet1!#REF!</definedName>
    <definedName name="й1ц2" localSheetId="126">[21]Sheet1!#REF!</definedName>
    <definedName name="й1ц2" localSheetId="122">[21]Sheet1!#REF!</definedName>
    <definedName name="й1ц2" localSheetId="16">[21]Sheet1!#REF!</definedName>
    <definedName name="й1ц2" localSheetId="46">[21]Sheet1!#REF!</definedName>
    <definedName name="й1ц2" localSheetId="139">[21]Sheet1!#REF!</definedName>
    <definedName name="й1ц2" localSheetId="47">[21]Sheet1!#REF!</definedName>
    <definedName name="й1ц2">[21]Sheet1!#REF!</definedName>
    <definedName name="йй" localSheetId="125">'Площадь столовой новая'!йй</definedName>
    <definedName name="йй" localSheetId="126">'расч по правилам '!йй</definedName>
    <definedName name="йй" localSheetId="122">#N/A</definedName>
    <definedName name="йй" localSheetId="16">#N/A</definedName>
    <definedName name="йй" localSheetId="46">#N/A</definedName>
    <definedName name="йй" localSheetId="139">#N/A</definedName>
    <definedName name="йй" localSheetId="47">#N/A</definedName>
    <definedName name="йй">'Площадь столовой новая'!йй</definedName>
    <definedName name="ййй">[42]Форма2!$C$70:$C$72,[42]Форма2!$D$73:$F$73,[42]Форма2!$E$70:$F$72,[42]Форма2!$C$75:$C$77,[42]Форма2!$E$75:$F$77,[42]Форма2!$C$79:$C$82,[42]Форма2!$E$79:$F$82,[42]Форма2!$C$84:$C$86,[42]Форма2!$E$84:$F$86,[42]Форма2!$C$88:$C$89,[42]Форма2!$E$88:$F$89,[42]Форма2!$C$70</definedName>
    <definedName name="йййййййййййййййй">[42]Форма2!$D$129:$F$132,[42]Форма2!$D$134:$F$135,[42]Форма2!$D$137:$F$140,[42]Форма2!$D$142:$F$144,[42]Форма2!$D$146:$F$150,[42]Форма2!$D$152:$F$154,[42]Форма2!$D$156:$F$162,[42]Форма2!$D$129</definedName>
    <definedName name="к" localSheetId="127">#REF!</definedName>
    <definedName name="к" localSheetId="118">#REF!</definedName>
    <definedName name="к" localSheetId="125">#REF!</definedName>
    <definedName name="к" localSheetId="126">#REF!</definedName>
    <definedName name="к" localSheetId="122">#REF!</definedName>
    <definedName name="к" localSheetId="16">#REF!</definedName>
    <definedName name="к" localSheetId="46">#REF!</definedName>
    <definedName name="к" localSheetId="139">#REF!</definedName>
    <definedName name="к" localSheetId="47">#REF!</definedName>
    <definedName name="к">#REF!</definedName>
    <definedName name="к2" localSheetId="127">[43]NPV!#REF!</definedName>
    <definedName name="к2" localSheetId="118">[43]NPV!#REF!</definedName>
    <definedName name="к2" localSheetId="125">[43]NPV!#REF!</definedName>
    <definedName name="к2" localSheetId="126">[43]NPV!#REF!</definedName>
    <definedName name="к2" localSheetId="122">[43]NPV!#REF!</definedName>
    <definedName name="к2" localSheetId="16">[43]NPV!#REF!</definedName>
    <definedName name="к2" localSheetId="46">[43]NPV!#REF!</definedName>
    <definedName name="к2" localSheetId="139">[43]NPV!#REF!</definedName>
    <definedName name="к2" localSheetId="47">[43]NPV!#REF!</definedName>
    <definedName name="к2">[43]NPV!#REF!</definedName>
    <definedName name="Кайдаш">[38]Форма2!$C$19:$C$24,[38]Форма2!$E$19:$F$24,[38]Форма2!$D$26:$F$31,[38]Форма2!$C$33:$C$38,[38]Форма2!$E$33:$F$38,[38]Форма2!$D$40:$F$43,[38]Форма2!$C$45:$C$48,[38]Форма2!$E$45:$F$48,[38]Форма2!$C$19</definedName>
    <definedName name="канцтовары" localSheetId="6">#REF!</definedName>
    <definedName name="канцтовары" localSheetId="8">#REF!</definedName>
    <definedName name="канцтовары" localSheetId="7">#REF!</definedName>
    <definedName name="канцтовары" localSheetId="138">#REF!</definedName>
    <definedName name="канцтовары" localSheetId="136">#REF!</definedName>
    <definedName name="канцтовары" localSheetId="118">#REF!</definedName>
    <definedName name="канцтовары" localSheetId="137">#REF!</definedName>
    <definedName name="канцтовары" localSheetId="131">#REF!</definedName>
    <definedName name="канцтовары" localSheetId="122">#REF!</definedName>
    <definedName name="канцтовары" localSheetId="16">#REF!</definedName>
    <definedName name="канцтовары" localSheetId="46">#REF!</definedName>
    <definedName name="канцтовары" localSheetId="139">#REF!</definedName>
    <definedName name="канцтовары" localSheetId="47">#REF!</definedName>
    <definedName name="канцтовары" localSheetId="28">#REF!</definedName>
    <definedName name="канцтовары">#REF!</definedName>
    <definedName name="карт" localSheetId="127">'[39]14.1.2.2.(Услуги связи)'!#REF!</definedName>
    <definedName name="карт" localSheetId="118">'[39]14.1.2.2.(Услуги связи)'!#REF!</definedName>
    <definedName name="карт" localSheetId="125">'[39]14.1.2.2.(Услуги связи)'!#REF!</definedName>
    <definedName name="карт" localSheetId="126">'[39]14.1.2.2.(Услуги связи)'!#REF!</definedName>
    <definedName name="карт" localSheetId="122">'[39]14.1.2.2.(Услуги связи)'!#REF!</definedName>
    <definedName name="карт" localSheetId="16">'[39]14.1.2.2.(Услуги связи)'!#REF!</definedName>
    <definedName name="карт" localSheetId="46">'[39]14.1.2.2.(Услуги связи)'!#REF!</definedName>
    <definedName name="карт" localSheetId="139">'[39]14.1.2.2.(Услуги связи)'!#REF!</definedName>
    <definedName name="карт" localSheetId="47">'[39]14.1.2.2.(Услуги связи)'!#REF!</definedName>
    <definedName name="карт">'[39]14.1.2.2.(Услуги связи)'!#REF!</definedName>
    <definedName name="КАТО" localSheetId="11">#REF!</definedName>
    <definedName name="КАТО" localSheetId="5">#REF!</definedName>
    <definedName name="КАТО" localSheetId="6">#REF!</definedName>
    <definedName name="КАТО" localSheetId="8">#REF!</definedName>
    <definedName name="КАТО" localSheetId="7">#REF!</definedName>
    <definedName name="КАТО" localSheetId="138">#REF!</definedName>
    <definedName name="КАТО" localSheetId="10">#REF!</definedName>
    <definedName name="КАТО" localSheetId="9">#REF!</definedName>
    <definedName name="КАТО" localSheetId="136">#REF!</definedName>
    <definedName name="КАТО" localSheetId="127">#REF!</definedName>
    <definedName name="КАТО" localSheetId="42">#REF!</definedName>
    <definedName name="КАТО" localSheetId="118">#REF!</definedName>
    <definedName name="КАТО" localSheetId="128">#REF!</definedName>
    <definedName name="КАТО" localSheetId="125">#REF!</definedName>
    <definedName name="КАТО" localSheetId="137">#REF!</definedName>
    <definedName name="КАТО" localSheetId="130">#REF!</definedName>
    <definedName name="КАТО" localSheetId="131">#REF!</definedName>
    <definedName name="КАТО" localSheetId="126">#REF!</definedName>
    <definedName name="КАТО" localSheetId="122">#REF!</definedName>
    <definedName name="КАТО" localSheetId="16">#REF!</definedName>
    <definedName name="КАТО" localSheetId="46">#REF!</definedName>
    <definedName name="КАТО" localSheetId="139">#REF!</definedName>
    <definedName name="КАТО" localSheetId="47">#REF!</definedName>
    <definedName name="КАТО" localSheetId="28">#REF!</definedName>
    <definedName name="КАТО">#REF!</definedName>
    <definedName name="ке" localSheetId="125">'Площадь столовой новая'!ке</definedName>
    <definedName name="ке" localSheetId="126">'расч по правилам '!ке</definedName>
    <definedName name="ке" localSheetId="122">#N/A</definedName>
    <definedName name="ке" localSheetId="16">#N/A</definedName>
    <definedName name="ке" localSheetId="46">#N/A</definedName>
    <definedName name="ке" localSheetId="139">#N/A</definedName>
    <definedName name="ке" localSheetId="47">#N/A</definedName>
    <definedName name="ке">'Площадь столовой новая'!ке</definedName>
    <definedName name="кеппппппппппп" localSheetId="125" hidden="1">{#N/A,#N/A,TRUE,"Лист1";#N/A,#N/A,TRUE,"Лист2";#N/A,#N/A,TRUE,"Лист3"}</definedName>
    <definedName name="кеппппппппппп" localSheetId="126" hidden="1">{#N/A,#N/A,TRUE,"Лист1";#N/A,#N/A,TRUE,"Лист2";#N/A,#N/A,TRUE,"Лист3"}</definedName>
    <definedName name="кеппппппппппп" localSheetId="46" hidden="1">{#N/A,#N/A,TRUE,"Лист1";#N/A,#N/A,TRUE,"Лист2";#N/A,#N/A,TRUE,"Лист3"}</definedName>
    <definedName name="кеппппппппппп" localSheetId="139" hidden="1">{#N/A,#N/A,TRUE,"Лист1";#N/A,#N/A,TRUE,"Лист2";#N/A,#N/A,TRUE,"Лист3"}</definedName>
    <definedName name="кеппппппппппп" localSheetId="47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80">#REF!,#REF!</definedName>
    <definedName name="кк" localSheetId="71">#REF!,#REF!</definedName>
    <definedName name="кк" localSheetId="74">#REF!,#REF!</definedName>
    <definedName name="кк" localSheetId="81">#REF!,#REF!</definedName>
    <definedName name="кк" localSheetId="73">#REF!,#REF!</definedName>
    <definedName name="кк" localSheetId="82">#REF!,#REF!</definedName>
    <definedName name="кк" localSheetId="62">#REF!,#REF!</definedName>
    <definedName name="кк" localSheetId="40">#REF!,#REF!</definedName>
    <definedName name="кк" localSheetId="59">#REF!,#REF!</definedName>
    <definedName name="кк" localSheetId="61">#REF!,#REF!</definedName>
    <definedName name="кк" localSheetId="51">#REF!,#REF!</definedName>
    <definedName name="кк" localSheetId="56">#REF!,#REF!</definedName>
    <definedName name="кк" localSheetId="88">#REF!,#REF!</definedName>
    <definedName name="кк" localSheetId="94">#REF!,#REF!</definedName>
    <definedName name="кк" localSheetId="11">#REF!,#REF!</definedName>
    <definedName name="кк" localSheetId="5">#REF!,#REF!</definedName>
    <definedName name="кк" localSheetId="6">#REF!,#REF!</definedName>
    <definedName name="кк" localSheetId="8">#REF!,#REF!</definedName>
    <definedName name="кк" localSheetId="7">#REF!,#REF!</definedName>
    <definedName name="кк" localSheetId="138">#REF!,#REF!</definedName>
    <definedName name="кк" localSheetId="10">#REF!,#REF!</definedName>
    <definedName name="кк" localSheetId="9">#REF!,#REF!</definedName>
    <definedName name="кк" localSheetId="136">#REF!,#REF!</definedName>
    <definedName name="кк" localSheetId="127">#REF!,#REF!</definedName>
    <definedName name="кк" localSheetId="37">#REF!,#REF!</definedName>
    <definedName name="кк" localSheetId="60">#REF!,#REF!</definedName>
    <definedName name="кк" localSheetId="41">#REF!,#REF!</definedName>
    <definedName name="кк" localSheetId="45">#REF!,#REF!</definedName>
    <definedName name="кк" localSheetId="53">#REF!,#REF!</definedName>
    <definedName name="кк" localSheetId="57">#REF!,#REF!</definedName>
    <definedName name="кк" localSheetId="42">#REF!,#REF!</definedName>
    <definedName name="кк" localSheetId="95">#REF!,#REF!</definedName>
    <definedName name="кк" localSheetId="118">#REF!,#REF!</definedName>
    <definedName name="кк" localSheetId="48">#REF!,#REF!</definedName>
    <definedName name="кк" localSheetId="133">#REF!,#REF!</definedName>
    <definedName name="кк" localSheetId="128">#REF!,#REF!</definedName>
    <definedName name="кк" localSheetId="93">#REF!,#REF!</definedName>
    <definedName name="кк" localSheetId="97">#REF!,#REF!</definedName>
    <definedName name="кк" localSheetId="90">#REF!,#REF!</definedName>
    <definedName name="кк" localSheetId="12">#REF!,#REF!</definedName>
    <definedName name="кк" localSheetId="125">#REF!,#REF!</definedName>
    <definedName name="кк" localSheetId="52">#REF!,#REF!</definedName>
    <definedName name="кк" localSheetId="50">#REF!,#REF!</definedName>
    <definedName name="кк" localSheetId="137">#REF!,#REF!</definedName>
    <definedName name="кк" localSheetId="33">#REF!,#REF!</definedName>
    <definedName name="кк" localSheetId="34">#REF!,#REF!</definedName>
    <definedName name="кк" localSheetId="84">#REF!,#REF!</definedName>
    <definedName name="кк" localSheetId="102">#REF!,#REF!</definedName>
    <definedName name="кк" localSheetId="130">#REF!,#REF!</definedName>
    <definedName name="кк" localSheetId="131">#REF!,#REF!</definedName>
    <definedName name="кк" localSheetId="126">#REF!,#REF!</definedName>
    <definedName name="кк" localSheetId="122">#REF!,#REF!</definedName>
    <definedName name="кк" localSheetId="78">#REF!,#REF!</definedName>
    <definedName name="кк" localSheetId="116">#REF!,#REF!</definedName>
    <definedName name="кк" localSheetId="16">#REF!,#REF!</definedName>
    <definedName name="кк" localSheetId="4">#REF!,#REF!</definedName>
    <definedName name="кк" localSheetId="75">#REF!,#REF!</definedName>
    <definedName name="кк" localSheetId="38">#REF!,#REF!</definedName>
    <definedName name="кк" localSheetId="55">#REF!,#REF!</definedName>
    <definedName name="кк" localSheetId="85">#REF!,#REF!</definedName>
    <definedName name="кк" localSheetId="58">#REF!,#REF!</definedName>
    <definedName name="кк" localSheetId="96">#REF!,#REF!</definedName>
    <definedName name="кк" localSheetId="46">#REF!,#REF!</definedName>
    <definedName name="кк" localSheetId="139">#REF!,#REF!</definedName>
    <definedName name="кк" localSheetId="36">#REF!,#REF!</definedName>
    <definedName name="кк" localSheetId="87">#REF!,#REF!</definedName>
    <definedName name="кк" localSheetId="43">#REF!,#REF!</definedName>
    <definedName name="кк" localSheetId="49">#REF!,#REF!</definedName>
    <definedName name="кк" localSheetId="86">#REF!,#REF!</definedName>
    <definedName name="кк" localSheetId="47">#REF!,#REF!</definedName>
    <definedName name="кк" localSheetId="54">#REF!,#REF!</definedName>
    <definedName name="кк" localSheetId="23">#REF!,#REF!</definedName>
    <definedName name="кк" localSheetId="13">#REF!,#REF!</definedName>
    <definedName name="кк" localSheetId="24">#REF!,#REF!</definedName>
    <definedName name="кк" localSheetId="29">#REF!,#REF!</definedName>
    <definedName name="кк" localSheetId="25">#REF!,#REF!</definedName>
    <definedName name="кк" localSheetId="26">#REF!,#REF!</definedName>
    <definedName name="кк" localSheetId="27">#REF!,#REF!</definedName>
    <definedName name="кк" localSheetId="28">#REF!,#REF!</definedName>
    <definedName name="кк" localSheetId="119">#REF!,#REF!</definedName>
    <definedName name="кк" localSheetId="69">#REF!,#REF!</definedName>
    <definedName name="кк" localSheetId="70">#REF!,#REF!</definedName>
    <definedName name="кк" localSheetId="72">#REF!,#REF!</definedName>
    <definedName name="кк" localSheetId="68">#REF!,#REF!</definedName>
    <definedName name="кк" localSheetId="67">#REF!,#REF!</definedName>
    <definedName name="кк" localSheetId="66">#REF!,#REF!</definedName>
    <definedName name="кк">#REF!,#REF!</definedName>
    <definedName name="ккк" localSheetId="11">#REF!,#REF!</definedName>
    <definedName name="ккк" localSheetId="5">#REF!,#REF!</definedName>
    <definedName name="ккк" localSheetId="6">#REF!,#REF!</definedName>
    <definedName name="ккк" localSheetId="8">#REF!,#REF!</definedName>
    <definedName name="ккк" localSheetId="7">#REF!,#REF!</definedName>
    <definedName name="ккк" localSheetId="138">#REF!,#REF!</definedName>
    <definedName name="ккк" localSheetId="10">#REF!,#REF!</definedName>
    <definedName name="ккк" localSheetId="9">#REF!,#REF!</definedName>
    <definedName name="ккк" localSheetId="136">#REF!,#REF!</definedName>
    <definedName name="ккк" localSheetId="127">#REF!,#REF!</definedName>
    <definedName name="ккк" localSheetId="42">#REF!,#REF!</definedName>
    <definedName name="ккк" localSheetId="118">#REF!,#REF!</definedName>
    <definedName name="ккк" localSheetId="128">#REF!,#REF!</definedName>
    <definedName name="ккк" localSheetId="125">#REF!,#REF!</definedName>
    <definedName name="ккк" localSheetId="137">#REF!,#REF!</definedName>
    <definedName name="ккк" localSheetId="130">#REF!,#REF!</definedName>
    <definedName name="ккк" localSheetId="131">#REF!,#REF!</definedName>
    <definedName name="ккк" localSheetId="126">#REF!,#REF!</definedName>
    <definedName name="ккк" localSheetId="122">#REF!,#REF!</definedName>
    <definedName name="ккк" localSheetId="16">#REF!,#REF!</definedName>
    <definedName name="ккк" localSheetId="46">#REF!,#REF!</definedName>
    <definedName name="ккк" localSheetId="139">#REF!,#REF!</definedName>
    <definedName name="ккк" localSheetId="47">#REF!,#REF!</definedName>
    <definedName name="ккк" localSheetId="28">#REF!,#REF!</definedName>
    <definedName name="ккк">#REF!,#REF!</definedName>
    <definedName name="Код" localSheetId="11">#REF!</definedName>
    <definedName name="Код" localSheetId="5">#REF!</definedName>
    <definedName name="Код" localSheetId="6">#REF!</definedName>
    <definedName name="Код" localSheetId="8">#REF!</definedName>
    <definedName name="Код" localSheetId="7">#REF!</definedName>
    <definedName name="Код" localSheetId="138">#REF!</definedName>
    <definedName name="Код" localSheetId="10">#REF!</definedName>
    <definedName name="Код" localSheetId="9">#REF!</definedName>
    <definedName name="Код" localSheetId="136">#REF!</definedName>
    <definedName name="Код" localSheetId="127">#REF!</definedName>
    <definedName name="Код" localSheetId="42">#REF!</definedName>
    <definedName name="Код" localSheetId="118">#REF!</definedName>
    <definedName name="Код" localSheetId="128">#REF!</definedName>
    <definedName name="Код" localSheetId="125">#REF!</definedName>
    <definedName name="Код" localSheetId="137">#REF!</definedName>
    <definedName name="Код" localSheetId="130">#REF!</definedName>
    <definedName name="Код" localSheetId="131">#REF!</definedName>
    <definedName name="Код" localSheetId="126">#REF!</definedName>
    <definedName name="Код" localSheetId="122">#REF!</definedName>
    <definedName name="Код" localSheetId="16">#REF!</definedName>
    <definedName name="Код" localSheetId="46">#REF!</definedName>
    <definedName name="Код" localSheetId="139">#REF!</definedName>
    <definedName name="Код" localSheetId="47">#REF!</definedName>
    <definedName name="Код" localSheetId="28">#REF!</definedName>
    <definedName name="Код">#REF!</definedName>
    <definedName name="комп1" localSheetId="127">'[39]14.1.2.2.(Услуги связи)'!#REF!</definedName>
    <definedName name="комп1" localSheetId="118">'[39]14.1.2.2.(Услуги связи)'!#REF!</definedName>
    <definedName name="комп1" localSheetId="125">'[39]14.1.2.2.(Услуги связи)'!#REF!</definedName>
    <definedName name="комп1" localSheetId="126">'[39]14.1.2.2.(Услуги связи)'!#REF!</definedName>
    <definedName name="комп1" localSheetId="122">'[39]14.1.2.2.(Услуги связи)'!#REF!</definedName>
    <definedName name="комп1" localSheetId="16">'[39]14.1.2.2.(Услуги связи)'!#REF!</definedName>
    <definedName name="комп1" localSheetId="46">'[39]14.1.2.2.(Услуги связи)'!#REF!</definedName>
    <definedName name="комп1" localSheetId="139">'[39]14.1.2.2.(Услуги связи)'!#REF!</definedName>
    <definedName name="комп1" localSheetId="47">'[39]14.1.2.2.(Услуги связи)'!#REF!</definedName>
    <definedName name="комп1">'[39]14.1.2.2.(Услуги связи)'!#REF!</definedName>
    <definedName name="конт" localSheetId="6">#REF!,#REF!</definedName>
    <definedName name="конт" localSheetId="8">#REF!,#REF!</definedName>
    <definedName name="конт" localSheetId="138">#REF!,#REF!</definedName>
    <definedName name="конт" localSheetId="136">#REF!,#REF!</definedName>
    <definedName name="конт" localSheetId="42">#REF!,#REF!</definedName>
    <definedName name="конт" localSheetId="118">#REF!,#REF!</definedName>
    <definedName name="конт" localSheetId="137">#REF!,#REF!</definedName>
    <definedName name="конт" localSheetId="130">#REF!,#REF!</definedName>
    <definedName name="конт" localSheetId="131">#REF!,#REF!</definedName>
    <definedName name="конт" localSheetId="122">#REF!,#REF!</definedName>
    <definedName name="конт" localSheetId="16">#REF!,#REF!</definedName>
    <definedName name="конт" localSheetId="46">#REF!,#REF!</definedName>
    <definedName name="конт" localSheetId="139">#REF!,#REF!</definedName>
    <definedName name="конт" localSheetId="47">#REF!,#REF!</definedName>
    <definedName name="конт" localSheetId="28">#REF!,#REF!</definedName>
    <definedName name="конт">#REF!,#REF!</definedName>
    <definedName name="контигент" localSheetId="6">#REF!</definedName>
    <definedName name="контигент" localSheetId="8">#REF!</definedName>
    <definedName name="контигент" localSheetId="138">#REF!</definedName>
    <definedName name="контигент" localSheetId="136">#REF!</definedName>
    <definedName name="контигент" localSheetId="42">#REF!</definedName>
    <definedName name="контигент" localSheetId="118">#REF!</definedName>
    <definedName name="контигент" localSheetId="137">#REF!</definedName>
    <definedName name="контигент" localSheetId="130">#REF!</definedName>
    <definedName name="контигент" localSheetId="131">#REF!</definedName>
    <definedName name="контигент" localSheetId="122">#REF!</definedName>
    <definedName name="контигент" localSheetId="16">#REF!</definedName>
    <definedName name="контигент" localSheetId="46">#REF!</definedName>
    <definedName name="контигент" localSheetId="139">#REF!</definedName>
    <definedName name="контигент" localSheetId="47">#REF!</definedName>
    <definedName name="контигент" localSheetId="28">#REF!</definedName>
    <definedName name="контигент">#REF!</definedName>
    <definedName name="КСБ">[28]Служебный!$E$2:$E$204</definedName>
    <definedName name="курс_2005" localSheetId="127">#REF!</definedName>
    <definedName name="курс_2005" localSheetId="118">#REF!</definedName>
    <definedName name="курс_2005" localSheetId="125">#REF!</definedName>
    <definedName name="курс_2005" localSheetId="126">#REF!</definedName>
    <definedName name="курс_2005" localSheetId="122">#REF!</definedName>
    <definedName name="курс_2005" localSheetId="16">#REF!</definedName>
    <definedName name="курс_2005" localSheetId="46">#REF!</definedName>
    <definedName name="курс_2005" localSheetId="139">#REF!</definedName>
    <definedName name="курс_2005" localSheetId="47">#REF!</definedName>
    <definedName name="курс_2005">#REF!</definedName>
    <definedName name="курс_2006" localSheetId="127">#REF!</definedName>
    <definedName name="курс_2006" localSheetId="118">#REF!</definedName>
    <definedName name="курс_2006" localSheetId="125">#REF!</definedName>
    <definedName name="курс_2006" localSheetId="126">#REF!</definedName>
    <definedName name="курс_2006" localSheetId="122">#REF!</definedName>
    <definedName name="курс_2006" localSheetId="16">#REF!</definedName>
    <definedName name="курс_2006" localSheetId="46">#REF!</definedName>
    <definedName name="курс_2006" localSheetId="139">#REF!</definedName>
    <definedName name="курс_2006" localSheetId="47">#REF!</definedName>
    <definedName name="курс_2006">#REF!</definedName>
    <definedName name="курс_2007" localSheetId="127">#REF!</definedName>
    <definedName name="курс_2007" localSheetId="118">#REF!</definedName>
    <definedName name="курс_2007" localSheetId="125">#REF!</definedName>
    <definedName name="курс_2007" localSheetId="126">#REF!</definedName>
    <definedName name="курс_2007" localSheetId="122">#REF!</definedName>
    <definedName name="курс_2007" localSheetId="16">#REF!</definedName>
    <definedName name="курс_2007" localSheetId="46">#REF!</definedName>
    <definedName name="курс_2007" localSheetId="139">#REF!</definedName>
    <definedName name="курс_2007" localSheetId="47">#REF!</definedName>
    <definedName name="курс_2007">#REF!</definedName>
    <definedName name="курс_2008" localSheetId="127">#REF!</definedName>
    <definedName name="курс_2008" localSheetId="118">#REF!</definedName>
    <definedName name="курс_2008" localSheetId="125">#REF!</definedName>
    <definedName name="курс_2008" localSheetId="122">#REF!</definedName>
    <definedName name="курс_2008" localSheetId="16">#REF!</definedName>
    <definedName name="курс_2008" localSheetId="46">#REF!</definedName>
    <definedName name="курс_2008" localSheetId="139">#REF!</definedName>
    <definedName name="курс_2008" localSheetId="47">#REF!</definedName>
    <definedName name="курс_2008">#REF!</definedName>
    <definedName name="курс_2009" localSheetId="127">#REF!</definedName>
    <definedName name="курс_2009" localSheetId="118">#REF!</definedName>
    <definedName name="курс_2009" localSheetId="125">#REF!</definedName>
    <definedName name="курс_2009" localSheetId="122">#REF!</definedName>
    <definedName name="курс_2009" localSheetId="16">#REF!</definedName>
    <definedName name="курс_2009" localSheetId="46">#REF!</definedName>
    <definedName name="курс_2009" localSheetId="139">#REF!</definedName>
    <definedName name="курс_2009" localSheetId="47">#REF!</definedName>
    <definedName name="курс_2009">#REF!</definedName>
    <definedName name="курс_2010" localSheetId="127">#REF!</definedName>
    <definedName name="курс_2010" localSheetId="118">#REF!</definedName>
    <definedName name="курс_2010" localSheetId="125">#REF!</definedName>
    <definedName name="курс_2010" localSheetId="122">#REF!</definedName>
    <definedName name="курс_2010" localSheetId="16">#REF!</definedName>
    <definedName name="курс_2010" localSheetId="46">#REF!</definedName>
    <definedName name="курс_2010" localSheetId="139">#REF!</definedName>
    <definedName name="курс_2010" localSheetId="47">#REF!</definedName>
    <definedName name="курс_2010">#REF!</definedName>
    <definedName name="курсБ" localSheetId="127">'[44]  2.3.2'!#REF!</definedName>
    <definedName name="курсБ" localSheetId="118">'[44]  2.3.2'!#REF!</definedName>
    <definedName name="курсБ" localSheetId="125">'[44]  2.3.2'!#REF!</definedName>
    <definedName name="курсБ" localSheetId="122">'[44]  2.3.2'!#REF!</definedName>
    <definedName name="курсБ" localSheetId="16">'[44]  2.3.2'!#REF!</definedName>
    <definedName name="курсБ" localSheetId="46">'[44]  2.3.2'!#REF!</definedName>
    <definedName name="курсБ" localSheetId="139">'[44]  2.3.2'!#REF!</definedName>
    <definedName name="курсБ" localSheetId="47">'[44]  2.3.2'!#REF!</definedName>
    <definedName name="курсБ">'[44]  2.3.2'!#REF!</definedName>
    <definedName name="кус">'[45]Способ закупки'!$A$1:$A$14</definedName>
    <definedName name="л" localSheetId="80">#REF!,#REF!</definedName>
    <definedName name="л" localSheetId="71">#REF!,#REF!</definedName>
    <definedName name="л" localSheetId="74">#REF!,#REF!</definedName>
    <definedName name="л" localSheetId="81">#REF!,#REF!</definedName>
    <definedName name="л" localSheetId="73">#REF!,#REF!</definedName>
    <definedName name="л" localSheetId="82">#REF!,#REF!</definedName>
    <definedName name="л" localSheetId="62">#REF!,#REF!</definedName>
    <definedName name="л" localSheetId="40">#REF!,#REF!</definedName>
    <definedName name="л" localSheetId="59">#REF!,#REF!</definedName>
    <definedName name="л" localSheetId="61">#REF!,#REF!</definedName>
    <definedName name="л" localSheetId="51">#REF!,#REF!</definedName>
    <definedName name="л" localSheetId="56">#REF!,#REF!</definedName>
    <definedName name="л" localSheetId="88">#REF!,#REF!</definedName>
    <definedName name="л" localSheetId="94">#REF!,#REF!</definedName>
    <definedName name="л" localSheetId="11">#REF!,#REF!</definedName>
    <definedName name="л" localSheetId="5">#REF!,#REF!</definedName>
    <definedName name="л" localSheetId="6">#REF!,#REF!</definedName>
    <definedName name="л" localSheetId="8">#REF!,#REF!</definedName>
    <definedName name="л" localSheetId="7">#REF!,#REF!</definedName>
    <definedName name="л" localSheetId="138">#REF!,#REF!</definedName>
    <definedName name="л" localSheetId="10">#REF!,#REF!</definedName>
    <definedName name="л" localSheetId="9">#REF!,#REF!</definedName>
    <definedName name="л" localSheetId="136">#REF!,#REF!</definedName>
    <definedName name="л" localSheetId="127">#REF!,#REF!</definedName>
    <definedName name="л" localSheetId="37">#REF!,#REF!</definedName>
    <definedName name="л" localSheetId="60">#REF!,#REF!</definedName>
    <definedName name="л" localSheetId="41">#REF!,#REF!</definedName>
    <definedName name="л" localSheetId="45">#REF!,#REF!</definedName>
    <definedName name="л" localSheetId="53">#REF!,#REF!</definedName>
    <definedName name="л" localSheetId="57">#REF!,#REF!</definedName>
    <definedName name="л" localSheetId="42">#REF!,#REF!</definedName>
    <definedName name="л" localSheetId="95">#REF!,#REF!</definedName>
    <definedName name="л" localSheetId="118">#REF!,#REF!</definedName>
    <definedName name="л" localSheetId="48">#REF!,#REF!</definedName>
    <definedName name="л" localSheetId="133">#REF!,#REF!</definedName>
    <definedName name="л" localSheetId="128">#REF!,#REF!</definedName>
    <definedName name="л" localSheetId="93">#REF!,#REF!</definedName>
    <definedName name="л" localSheetId="97">#REF!,#REF!</definedName>
    <definedName name="л" localSheetId="12">#REF!,#REF!</definedName>
    <definedName name="л" localSheetId="125">#REF!,#REF!</definedName>
    <definedName name="л" localSheetId="52">#REF!,#REF!</definedName>
    <definedName name="л" localSheetId="50">#REF!,#REF!</definedName>
    <definedName name="л" localSheetId="137">#REF!,#REF!</definedName>
    <definedName name="л" localSheetId="33">#REF!,#REF!</definedName>
    <definedName name="л" localSheetId="34">#REF!,#REF!</definedName>
    <definedName name="л" localSheetId="84">#REF!,#REF!</definedName>
    <definedName name="л" localSheetId="130">#REF!,#REF!</definedName>
    <definedName name="л" localSheetId="131">#REF!,#REF!</definedName>
    <definedName name="л" localSheetId="126">#REF!,#REF!</definedName>
    <definedName name="л" localSheetId="122">#REF!,#REF!</definedName>
    <definedName name="л" localSheetId="78">#REF!,#REF!</definedName>
    <definedName name="л" localSheetId="116">#REF!,#REF!</definedName>
    <definedName name="л" localSheetId="16">#REF!,#REF!</definedName>
    <definedName name="л" localSheetId="4">#REF!,#REF!</definedName>
    <definedName name="л" localSheetId="75">#REF!,#REF!</definedName>
    <definedName name="л" localSheetId="38">#REF!,#REF!</definedName>
    <definedName name="л" localSheetId="55">#REF!,#REF!</definedName>
    <definedName name="л" localSheetId="85">#REF!,#REF!</definedName>
    <definedName name="л" localSheetId="58">#REF!,#REF!</definedName>
    <definedName name="л" localSheetId="96">#REF!,#REF!</definedName>
    <definedName name="л" localSheetId="46">#REF!,#REF!</definedName>
    <definedName name="л" localSheetId="139">#REF!,#REF!</definedName>
    <definedName name="л" localSheetId="36">#REF!,#REF!</definedName>
    <definedName name="л" localSheetId="87">#REF!,#REF!</definedName>
    <definedName name="л" localSheetId="43">#REF!,#REF!</definedName>
    <definedName name="л" localSheetId="49">#REF!,#REF!</definedName>
    <definedName name="л" localSheetId="86">#REF!,#REF!</definedName>
    <definedName name="л" localSheetId="47">#REF!,#REF!</definedName>
    <definedName name="л" localSheetId="54">#REF!,#REF!</definedName>
    <definedName name="л" localSheetId="23">#REF!,#REF!</definedName>
    <definedName name="л" localSheetId="13">#REF!,#REF!</definedName>
    <definedName name="л" localSheetId="24">#REF!,#REF!</definedName>
    <definedName name="л" localSheetId="29">#REF!,#REF!</definedName>
    <definedName name="л" localSheetId="25">#REF!,#REF!</definedName>
    <definedName name="л" localSheetId="26">#REF!,#REF!</definedName>
    <definedName name="л" localSheetId="27">#REF!,#REF!</definedName>
    <definedName name="л" localSheetId="28">#REF!,#REF!</definedName>
    <definedName name="л" localSheetId="119">#REF!,#REF!</definedName>
    <definedName name="л" localSheetId="69">#REF!,#REF!</definedName>
    <definedName name="л" localSheetId="70">#REF!,#REF!</definedName>
    <definedName name="л" localSheetId="72">#REF!,#REF!</definedName>
    <definedName name="л" localSheetId="68">#REF!,#REF!</definedName>
    <definedName name="л" localSheetId="67">#REF!,#REF!</definedName>
    <definedName name="л" localSheetId="66">#REF!,#REF!</definedName>
    <definedName name="л">#REF!,#REF!</definedName>
    <definedName name="лв" localSheetId="127">#REF!</definedName>
    <definedName name="лв" localSheetId="118">#REF!</definedName>
    <definedName name="лв" localSheetId="125">#REF!</definedName>
    <definedName name="лв" localSheetId="126">#REF!</definedName>
    <definedName name="лв" localSheetId="122">#REF!</definedName>
    <definedName name="лв" localSheetId="16">#REF!</definedName>
    <definedName name="лв" localSheetId="46">#REF!</definedName>
    <definedName name="лв" localSheetId="139">#REF!</definedName>
    <definedName name="лв" localSheetId="47">#REF!</definedName>
    <definedName name="лв">#REF!</definedName>
    <definedName name="лист1" localSheetId="127">#REF!</definedName>
    <definedName name="лист1" localSheetId="118">#REF!</definedName>
    <definedName name="лист1" localSheetId="125">#REF!</definedName>
    <definedName name="лист1" localSheetId="126">#REF!</definedName>
    <definedName name="лист1" localSheetId="122">#REF!</definedName>
    <definedName name="лист1" localSheetId="16">#REF!</definedName>
    <definedName name="лист1" localSheetId="46">#REF!</definedName>
    <definedName name="лист1" localSheetId="139">#REF!</definedName>
    <definedName name="лист1" localSheetId="47">#REF!</definedName>
    <definedName name="лист1">#REF!</definedName>
    <definedName name="ллл" localSheetId="6">#REF!,#REF!</definedName>
    <definedName name="ллл" localSheetId="8">#REF!,#REF!</definedName>
    <definedName name="ллл" localSheetId="7">#REF!,#REF!</definedName>
    <definedName name="ллл" localSheetId="138">#REF!,#REF!</definedName>
    <definedName name="ллл" localSheetId="136">#REF!,#REF!</definedName>
    <definedName name="ллл" localSheetId="127">#REF!</definedName>
    <definedName name="ллл" localSheetId="118">#REF!,#REF!</definedName>
    <definedName name="ллл" localSheetId="125">#REF!</definedName>
    <definedName name="ллл" localSheetId="137">#REF!,#REF!</definedName>
    <definedName name="ллл" localSheetId="131">#REF!,#REF!</definedName>
    <definedName name="ллл" localSheetId="126">#REF!</definedName>
    <definedName name="ллл" localSheetId="122">#REF!,#REF!</definedName>
    <definedName name="ллл" localSheetId="16">#REF!,#REF!</definedName>
    <definedName name="ллл" localSheetId="46">#REF!,#REF!</definedName>
    <definedName name="ллл" localSheetId="139">#REF!,#REF!</definedName>
    <definedName name="ллл" localSheetId="47">#REF!,#REF!</definedName>
    <definedName name="ллл" localSheetId="28">#REF!,#REF!</definedName>
    <definedName name="ллл">#REF!,#REF!</definedName>
    <definedName name="Лтература" localSheetId="127">#REF!</definedName>
    <definedName name="Лтература" localSheetId="118">#REF!</definedName>
    <definedName name="Лтература" localSheetId="125">#REF!</definedName>
    <definedName name="Лтература" localSheetId="122">#REF!</definedName>
    <definedName name="Лтература" localSheetId="16">#REF!</definedName>
    <definedName name="Лтература" localSheetId="46">#REF!</definedName>
    <definedName name="Лтература" localSheetId="139">#REF!</definedName>
    <definedName name="Лтература" localSheetId="47">#REF!</definedName>
    <definedName name="Лтература">#REF!</definedName>
    <definedName name="М">[46]Расчет2000Прямой!$M$11</definedName>
    <definedName name="маворпф">[20]Форма2!$C$70:$C$72,[20]Форма2!$D$73:$F$73,[20]Форма2!$E$70:$F$72,[20]Форма2!$C$75:$C$77,[20]Форма2!$E$75:$F$77,[20]Форма2!$C$79:$C$82,[20]Форма2!$E$79:$F$82,[20]Форма2!$C$84:$C$86,[20]Форма2!$E$84:$F$86,[20]Форма2!$C$88:$C$89,[20]Форма2!$E$88:$F$89,[20]Форма2!$C$70</definedName>
    <definedName name="Макрос1" localSheetId="125">'Площадь столовой новая'!Макрос1</definedName>
    <definedName name="Макрос1" localSheetId="126">'расч по правилам '!Макрос1</definedName>
    <definedName name="Макрос1" localSheetId="122">#N/A</definedName>
    <definedName name="Макрос1" localSheetId="16">#N/A</definedName>
    <definedName name="Макрос1" localSheetId="46">#N/A</definedName>
    <definedName name="Макрос1" localSheetId="139">#N/A</definedName>
    <definedName name="Макрос1" localSheetId="47">#N/A</definedName>
    <definedName name="Макрос1">'Площадь столовой новая'!Макрос1</definedName>
    <definedName name="мбр" localSheetId="127">[31]Пр2!#REF!</definedName>
    <definedName name="мбр" localSheetId="118">[31]Пр2!#REF!</definedName>
    <definedName name="мбр" localSheetId="125">[31]Пр2!#REF!</definedName>
    <definedName name="мбр" localSheetId="126">[31]Пр2!#REF!</definedName>
    <definedName name="мбр" localSheetId="122">[31]Пр2!#REF!</definedName>
    <definedName name="мбр" localSheetId="16">[31]Пр2!#REF!</definedName>
    <definedName name="мбр" localSheetId="46">[31]Пр2!#REF!</definedName>
    <definedName name="мбр" localSheetId="139">[31]Пр2!#REF!</definedName>
    <definedName name="мбр" localSheetId="47">[31]Пр2!#REF!</definedName>
    <definedName name="мбр">[31]Пр2!#REF!</definedName>
    <definedName name="Месяц">[47]Месяцы!$A$1:$A$12</definedName>
    <definedName name="ммм" localSheetId="127">#REF!</definedName>
    <definedName name="ммм" localSheetId="118">#REF!</definedName>
    <definedName name="ммм" localSheetId="125">#REF!</definedName>
    <definedName name="ммм" localSheetId="126">#REF!</definedName>
    <definedName name="ммм" localSheetId="122">#REF!</definedName>
    <definedName name="ммм" localSheetId="16">#REF!</definedName>
    <definedName name="ммм" localSheetId="46">#REF!</definedName>
    <definedName name="ммм" localSheetId="139">#REF!</definedName>
    <definedName name="ммм" localSheetId="47">#REF!</definedName>
    <definedName name="ммм">#REF!</definedName>
    <definedName name="моющие" localSheetId="6">#REF!,#REF!</definedName>
    <definedName name="моющие" localSheetId="8">#REF!,#REF!</definedName>
    <definedName name="моющие" localSheetId="7">#REF!,#REF!</definedName>
    <definedName name="моющие" localSheetId="138">#REF!,#REF!</definedName>
    <definedName name="моющие" localSheetId="136">#REF!,#REF!</definedName>
    <definedName name="моющие" localSheetId="118">#REF!,#REF!</definedName>
    <definedName name="моющие" localSheetId="137">#REF!,#REF!</definedName>
    <definedName name="моющие" localSheetId="131">#REF!,#REF!</definedName>
    <definedName name="моющие" localSheetId="122">#REF!,#REF!</definedName>
    <definedName name="моющие" localSheetId="16">#REF!,#REF!</definedName>
    <definedName name="моющие" localSheetId="46">#REF!,#REF!</definedName>
    <definedName name="моющие" localSheetId="139">#REF!,#REF!</definedName>
    <definedName name="моющие" localSheetId="47">#REF!,#REF!</definedName>
    <definedName name="моющие" localSheetId="28">#REF!,#REF!</definedName>
    <definedName name="моющие">#REF!,#REF!</definedName>
    <definedName name="МРП" localSheetId="127">#REF!</definedName>
    <definedName name="МРП" localSheetId="118">#REF!</definedName>
    <definedName name="МРП" localSheetId="125">#REF!</definedName>
    <definedName name="МРП" localSheetId="126">#REF!</definedName>
    <definedName name="МРП" localSheetId="122">#REF!</definedName>
    <definedName name="МРП" localSheetId="16">#REF!</definedName>
    <definedName name="МРП" localSheetId="46">#REF!</definedName>
    <definedName name="МРП" localSheetId="139">#REF!</definedName>
    <definedName name="МРП" localSheetId="47">#REF!</definedName>
    <definedName name="МРП">#REF!</definedName>
    <definedName name="мым" localSheetId="125">'Площадь столовой новая'!мым</definedName>
    <definedName name="мым" localSheetId="126">'расч по правилам '!мым</definedName>
    <definedName name="мым" localSheetId="122">#N/A</definedName>
    <definedName name="мым" localSheetId="16">#N/A</definedName>
    <definedName name="мым" localSheetId="46">#N/A</definedName>
    <definedName name="мым" localSheetId="139">#N/A</definedName>
    <definedName name="мым" localSheetId="47">#N/A</definedName>
    <definedName name="мым">'Площадь столовой новая'!мым</definedName>
    <definedName name="Найля">[38]Форма2!$C$51:$C$58,[38]Форма2!$E$51:$F$58,[38]Форма2!$C$60:$C$63,[38]Форма2!$E$60:$F$63,[38]Форма2!$C$65:$C$67,[38]Форма2!$E$65:$F$67,[38]Форма2!$C$51</definedName>
    <definedName name="налог" localSheetId="127">#REF!</definedName>
    <definedName name="налог" localSheetId="118">#REF!</definedName>
    <definedName name="налог" localSheetId="125">#REF!</definedName>
    <definedName name="налог" localSheetId="126">#REF!</definedName>
    <definedName name="налог" localSheetId="122">#REF!</definedName>
    <definedName name="налог" localSheetId="16">#REF!</definedName>
    <definedName name="налог" localSheetId="46">#REF!</definedName>
    <definedName name="налог" localSheetId="139">#REF!</definedName>
    <definedName name="налог" localSheetId="47">#REF!</definedName>
    <definedName name="налог">#REF!</definedName>
    <definedName name="не" localSheetId="127">#REF!,#REF!</definedName>
    <definedName name="не" localSheetId="118">#REF!,#REF!</definedName>
    <definedName name="не" localSheetId="125">#REF!,#REF!</definedName>
    <definedName name="не" localSheetId="126">#REF!,#REF!</definedName>
    <definedName name="не" localSheetId="122">#REF!,#REF!</definedName>
    <definedName name="не" localSheetId="16">#REF!,#REF!</definedName>
    <definedName name="не" localSheetId="46">#REF!,#REF!</definedName>
    <definedName name="не" localSheetId="139">#REF!,#REF!</definedName>
    <definedName name="не" localSheetId="47">#REF!,#REF!</definedName>
    <definedName name="не">#REF!,#REF!</definedName>
    <definedName name="новый" localSheetId="11">#REF!,#REF!</definedName>
    <definedName name="новый" localSheetId="5">#REF!,#REF!</definedName>
    <definedName name="новый" localSheetId="6">#REF!,#REF!</definedName>
    <definedName name="новый" localSheetId="8">#REF!,#REF!</definedName>
    <definedName name="новый" localSheetId="7">#REF!,#REF!</definedName>
    <definedName name="новый" localSheetId="138">#REF!,#REF!</definedName>
    <definedName name="новый" localSheetId="10">#REF!,#REF!</definedName>
    <definedName name="новый" localSheetId="9">#REF!,#REF!</definedName>
    <definedName name="новый" localSheetId="136">#REF!,#REF!</definedName>
    <definedName name="новый" localSheetId="127">#REF!,#REF!</definedName>
    <definedName name="новый" localSheetId="42">#REF!,#REF!</definedName>
    <definedName name="новый" localSheetId="118">#REF!,#REF!</definedName>
    <definedName name="новый" localSheetId="128">#REF!,#REF!</definedName>
    <definedName name="новый" localSheetId="125">#REF!,#REF!</definedName>
    <definedName name="новый" localSheetId="137">#REF!,#REF!</definedName>
    <definedName name="новый" localSheetId="130">#REF!,#REF!</definedName>
    <definedName name="новый" localSheetId="131">#REF!,#REF!</definedName>
    <definedName name="новый" localSheetId="126">#REF!,#REF!</definedName>
    <definedName name="новый" localSheetId="122">#REF!,#REF!</definedName>
    <definedName name="новый" localSheetId="16">#REF!,#REF!</definedName>
    <definedName name="новый" localSheetId="46">#REF!,#REF!</definedName>
    <definedName name="новый" localSheetId="139">#REF!,#REF!</definedName>
    <definedName name="новый" localSheetId="47">#REF!,#REF!</definedName>
    <definedName name="новый" localSheetId="28">#REF!,#REF!</definedName>
    <definedName name="новый">#REF!,#REF!</definedName>
    <definedName name="НСП">[28]админ!$D$4:$D$42</definedName>
    <definedName name="_xlnm.Print_Area" localSheetId="120">'Амортизация '!$A$1:$G$47</definedName>
    <definedName name="_xlnm.Print_Area" localSheetId="40">'запасы шк'!$A$1:$T$369</definedName>
    <definedName name="_xlnm.Print_Area" localSheetId="59">запасыАДМ!$A$1:$T$244</definedName>
    <definedName name="_xlnm.Print_Area" localSheetId="61">запасыИНТ!$A$1:$T$349</definedName>
    <definedName name="_xlnm.Print_Area" localSheetId="51">запасыМШ!$A$1:$T$114</definedName>
    <definedName name="_xlnm.Print_Area" localSheetId="56">запасыОрын!$A$1:$T$114</definedName>
    <definedName name="_xlnm.Print_Area" localSheetId="11">'Кальк АУП'!$A$1:$BE$46</definedName>
    <definedName name="_xlnm.Print_Area" localSheetId="5">'Кальк МШ Ор'!$A$1:$BE$42</definedName>
    <definedName name="_xlnm.Print_Area" localSheetId="6">'Кальк МШ Ор 2017-2018'!$A$1:$BF$42</definedName>
    <definedName name="_xlnm.Print_Area" localSheetId="8">'Кальк Турк без фмн'!$A$1:$D$46</definedName>
    <definedName name="_xlnm.Print_Area" localSheetId="7">'Кальк Турк с фмн'!$A$1:$D$46</definedName>
    <definedName name="_xlnm.Print_Area" localSheetId="138">'Кальк31 2017-2018'!$A$1:$BX$44</definedName>
    <definedName name="_xlnm.Print_Area" localSheetId="10">'Кальк31 ул (31)'!$A$4:$CX$37</definedName>
    <definedName name="_xlnm.Print_Area" localSheetId="9">'Кальк31 ул (Адм Корп)'!$A$1:$E$41</definedName>
    <definedName name="_xlnm.Print_Area" localSheetId="136">'Кальк31 ул (Адм Корп) 2017-2018'!$A$1:$BZ$41</definedName>
    <definedName name="_xlnm.Print_Area" localSheetId="127">'мебель изм.амортиз'!$A$1:$AW$73</definedName>
    <definedName name="_xlnm.Print_Area" localSheetId="37">'моющ 3 цены'!$A$1:$D$37</definedName>
    <definedName name="_xlnm.Print_Area" localSheetId="60">'моющ АДМ'!$A$1:$T$23</definedName>
    <definedName name="_xlnm.Print_Area" localSheetId="41">'моющ МБ 2.03.05'!$A$7:$Y$19</definedName>
    <definedName name="_xlnm.Print_Area" localSheetId="45">'моющИНТ 2.03.05.'!$A$1:$Y$22</definedName>
    <definedName name="_xlnm.Print_Area" localSheetId="53">моющМШ!$A$1:$T$26</definedName>
    <definedName name="_xlnm.Print_Area" localSheetId="57">моющОрынб!$A$1:$T$29</definedName>
    <definedName name="_xlnm.Print_Area" localSheetId="42">'моющФМН 2.03.05'!$A$7:$X$23</definedName>
    <definedName name="_xlnm.Print_Area" localSheetId="118">[27]Лист3!#REF!</definedName>
    <definedName name="_xlnm.Print_Area" localSheetId="128">'оргтех столовой'!$A$1:$T$86</definedName>
    <definedName name="_xlnm.Print_Area" localSheetId="19">'Площадь помещений'!$A$1:$C$44</definedName>
    <definedName name="_xlnm.Print_Area" localSheetId="125">[27]Лист3!#REF!</definedName>
    <definedName name="_xlnm.Print_Area" localSheetId="52">'пр запасы мб 2.03.09.'!$A$1:$AE$22</definedName>
    <definedName name="_xlnm.Print_Area" localSheetId="50">'пр запасы фмн 2.03.09.'!$A$1:$AE$26</definedName>
    <definedName name="_xlnm.Print_Area" localSheetId="137">'прайс 2017-2018'!$A$1:$E$20</definedName>
    <definedName name="_xlnm.Print_Area" localSheetId="34">'приобретение моющих и хоз.'!$A$1:$T$389</definedName>
    <definedName name="_xlnm.Print_Area" localSheetId="84">'приобретение моющих и хоз. (2)'!$A$1:$T$391</definedName>
    <definedName name="_xlnm.Print_Area" localSheetId="126">'расч по правилам '!$A$1:$P$69</definedName>
    <definedName name="_xlnm.Print_Area" localSheetId="122">'Расчет арендной ставки пересчит'!$A$1:$C$35</definedName>
    <definedName name="_xlnm.Print_Area" localSheetId="17">'Расчет арендной ставки столовая'!$A$1:$C$33</definedName>
    <definedName name="_xlnm.Print_Area" localSheetId="3">'свод 2 (МБ+ШК+ИНТЕР)'!$A$1:$M$65</definedName>
    <definedName name="_xlnm.Print_Area" localSheetId="121">'Свод банк'!$A$1:$C$19</definedName>
    <definedName name="_xlnm.Print_Area" localSheetId="16">'свод сверн'!$A$5:$E$111</definedName>
    <definedName name="_xlnm.Print_Area" localSheetId="4">'тариф на 22 кл школа '!$A$2:$BI$110</definedName>
    <definedName name="_xlnm.Print_Area" localSheetId="38">'ТМЦ 3 цены'!$A$1:$D$53</definedName>
    <definedName name="_xlnm.Print_Area" localSheetId="55">'ТМЦ МШ'!$A$1:$T$19</definedName>
    <definedName name="_xlnm.Print_Area" localSheetId="129">'тмц столов'!$A$1:$R$64</definedName>
    <definedName name="_xlnm.Print_Area" localSheetId="85">тмцИНТ!$A$1:$AC$41</definedName>
    <definedName name="_xlnm.Print_Area" localSheetId="58">ТМЦОрынб!$A$1:$T$20</definedName>
    <definedName name="_xlnm.Print_Area" localSheetId="92">'услуги почты'!$A$2:$J$26</definedName>
    <definedName name="_xlnm.Print_Area" localSheetId="139">[27]Лист3!#REF!</definedName>
    <definedName name="_xlnm.Print_Area" localSheetId="36">'хоз 3 цены'!$A$1:$E$308</definedName>
    <definedName name="_xlnm.Print_Area" localSheetId="87">'хоз кот и ул освещ'!$A$1:$V$50</definedName>
    <definedName name="_xlnm.Print_Area" localSheetId="43">'хоз свод'!$A$1:$T$194</definedName>
    <definedName name="_xlnm.Print_Area" localSheetId="49">хозАДМ!$A$1:$AE$131</definedName>
    <definedName name="_xlnm.Print_Area" localSheetId="86">хозИНТ!$A$1:$V$112</definedName>
    <definedName name="_xlnm.Print_Area" localSheetId="47">'хозМБ)'!$A$2:$AE$163</definedName>
    <definedName name="_xlnm.Print_Area" localSheetId="54">хозМШ!$A$1:$V$66</definedName>
    <definedName name="_xlnm.Print_Area" localSheetId="23">'штатка АУП'!$A$2:$U$30</definedName>
    <definedName name="_xlnm.Print_Area" localSheetId="13">'штатка комплекс  (2)'!#REF!</definedName>
    <definedName name="_xlnm.Print_Area" localSheetId="15">'штатка комплекс  (3)'!#REF!</definedName>
    <definedName name="_xlnm.Print_Area" localSheetId="24">'штатка МБ 2.01.'!$A$2:$U$139</definedName>
    <definedName name="_xlnm.Print_Area" localSheetId="29">'штатка спальн блок 2.01.'!$A$2:$U$29</definedName>
    <definedName name="_xlnm.Print_Area" localSheetId="25">'штатка ФМН 2.01.'!$A$2:$U$137</definedName>
    <definedName name="_xlnm.Print_Area" localSheetId="26">'штатка школа МШ'!$A$2:$U$138</definedName>
    <definedName name="_xlnm.Print_Area" localSheetId="27">'штатка школа Орынб'!$A$2:$U$138</definedName>
    <definedName name="_xlnm.Print_Area" localSheetId="28">'штатка школа Орынб 2017-2018'!$A$2:$U$138</definedName>
    <definedName name="_xlnm.Print_Area" localSheetId="69">'энергия адм корп по записке'!$A$2:$M$33</definedName>
    <definedName name="_xlnm.Print_Area" localSheetId="70">'энергия адм по факту'!$A$2:$M$33</definedName>
    <definedName name="_xlnm.Print_Area" localSheetId="72">'энергия инт'!$A$2:$M$33</definedName>
    <definedName name="_xlnm.Print_Area" localSheetId="68">'энергия МБ, ФМН по записке'!$A$2:$M$33</definedName>
    <definedName name="_xlnm.Print_Area" localSheetId="67">'энергия МБ, ФМН по факту'!$A$2:$M$33</definedName>
    <definedName name="_xlnm.Print_Area" localSheetId="66">'энергия МШ'!$A$2:$M$33</definedName>
    <definedName name="_xlnm.Print_Area">[27]Лист3!#REF!</definedName>
    <definedName name="огнт" localSheetId="127">[18]Sheet1!#REF!</definedName>
    <definedName name="огнт" localSheetId="118">[18]Sheet1!#REF!</definedName>
    <definedName name="огнт" localSheetId="125">[18]Sheet1!#REF!</definedName>
    <definedName name="огнт" localSheetId="126">[18]Sheet1!#REF!</definedName>
    <definedName name="огнт" localSheetId="122">[18]Sheet1!#REF!</definedName>
    <definedName name="огнт" localSheetId="16">[18]Sheet1!#REF!</definedName>
    <definedName name="огнт" localSheetId="46">[18]Sheet1!#REF!</definedName>
    <definedName name="огнт" localSheetId="139">[18]Sheet1!#REF!</definedName>
    <definedName name="огнт" localSheetId="47">[18]Sheet1!#REF!</definedName>
    <definedName name="огнт">[18]Sheet1!#REF!</definedName>
    <definedName name="олд" localSheetId="125" hidden="1">{#N/A,#N/A,TRUE,"Лист1";#N/A,#N/A,TRUE,"Лист2";#N/A,#N/A,TRUE,"Лист3"}</definedName>
    <definedName name="олд" localSheetId="126" hidden="1">{#N/A,#N/A,TRUE,"Лист1";#N/A,#N/A,TRUE,"Лист2";#N/A,#N/A,TRUE,"Лист3"}</definedName>
    <definedName name="олд" localSheetId="46" hidden="1">{#N/A,#N/A,TRUE,"Лист1";#N/A,#N/A,TRUE,"Лист2";#N/A,#N/A,TRUE,"Лист3"}</definedName>
    <definedName name="олд" localSheetId="139" hidden="1">{#N/A,#N/A,TRUE,"Лист1";#N/A,#N/A,TRUE,"Лист2";#N/A,#N/A,TRUE,"Лист3"}</definedName>
    <definedName name="олд" localSheetId="47" hidden="1">{#N/A,#N/A,TRUE,"Лист1";#N/A,#N/A,TRUE,"Лист2";#N/A,#N/A,TRUE,"Лист3"}</definedName>
    <definedName name="олд" hidden="1">{#N/A,#N/A,TRUE,"Лист1";#N/A,#N/A,TRUE,"Лист2";#N/A,#N/A,TRUE,"Лист3"}</definedName>
    <definedName name="Ора">'[48]поставка сравн13'!$A$1:$Q$30</definedName>
    <definedName name="Ораз">[23]Форма2!$D$179:$F$185,[23]Форма2!$D$175:$F$177,[23]Форма2!$D$165:$F$173,[23]Форма2!$D$165</definedName>
    <definedName name="ос">[42]Форма2!$E$106:$F$107,[42]Форма2!$C$106:$C$107,[42]Форма2!$E$102:$F$104,[42]Форма2!$C$102:$C$104,[42]Форма2!$C$97:$C$100,[42]Форма2!$E$97:$F$100,[42]Форма2!$E$92:$F$95,[42]Форма2!$C$92:$C$95,[42]Форма2!$C$92</definedName>
    <definedName name="осв">[42]Форма2!$C$19:$C$24,[42]Форма2!$E$19:$F$24,[42]Форма2!$D$26:$F$31,[42]Форма2!$C$33:$C$38,[42]Форма2!$E$33:$F$38,[42]Форма2!$D$40:$F$43,[42]Форма2!$C$45:$C$48,[42]Форма2!$E$45:$F$48,[42]Форма2!$C$19</definedName>
    <definedName name="освд." localSheetId="127">Scheduled_Payment+Extra_Payment</definedName>
    <definedName name="освд." localSheetId="118">Scheduled_Payment+Extra_Payment</definedName>
    <definedName name="освд." localSheetId="125">Scheduled_Payment+Extra_Payment</definedName>
    <definedName name="освд." localSheetId="126">Scheduled_Payment+Extra_Payment</definedName>
    <definedName name="освд." localSheetId="122">Scheduled_Payment+Extra_Payment</definedName>
    <definedName name="освд." localSheetId="16">Scheduled_Payment+Extra_Payment</definedName>
    <definedName name="освд." localSheetId="46">Scheduled_Payment+Extra_Payment</definedName>
    <definedName name="освд." localSheetId="139">Scheduled_Payment+Extra_Payment</definedName>
    <definedName name="освд." localSheetId="47">Scheduled_Payment+Extra_Payment</definedName>
    <definedName name="освд.">Scheduled_Payment+Extra_Payment</definedName>
    <definedName name="от" localSheetId="125">'Площадь столовой новая'!от</definedName>
    <definedName name="от" localSheetId="126">'расч по правилам '!от</definedName>
    <definedName name="от" localSheetId="122">#N/A</definedName>
    <definedName name="от" localSheetId="16">#N/A</definedName>
    <definedName name="от" localSheetId="46">#N/A</definedName>
    <definedName name="от" localSheetId="139">#N/A</definedName>
    <definedName name="от" localSheetId="47">#N/A</definedName>
    <definedName name="от">'Площадь столовой новая'!от</definedName>
    <definedName name="п" localSheetId="11">#REF!,#REF!</definedName>
    <definedName name="п" localSheetId="5">#REF!,#REF!</definedName>
    <definedName name="п" localSheetId="6">#REF!,#REF!</definedName>
    <definedName name="п" localSheetId="8">#REF!,#REF!</definedName>
    <definedName name="п" localSheetId="7">#REF!,#REF!</definedName>
    <definedName name="п" localSheetId="138">#REF!,#REF!</definedName>
    <definedName name="п" localSheetId="10">#REF!,#REF!</definedName>
    <definedName name="п" localSheetId="9">#REF!,#REF!</definedName>
    <definedName name="п" localSheetId="136">#REF!,#REF!</definedName>
    <definedName name="п" localSheetId="127">#REF!,#REF!</definedName>
    <definedName name="п" localSheetId="42">#REF!,#REF!</definedName>
    <definedName name="п" localSheetId="118">#REF!,#REF!</definedName>
    <definedName name="п" localSheetId="128">#REF!,#REF!</definedName>
    <definedName name="п" localSheetId="125">#REF!,#REF!</definedName>
    <definedName name="п" localSheetId="137">#REF!,#REF!</definedName>
    <definedName name="п" localSheetId="130">#REF!,#REF!</definedName>
    <definedName name="п" localSheetId="131">#REF!,#REF!</definedName>
    <definedName name="п" localSheetId="126">#REF!,#REF!</definedName>
    <definedName name="п" localSheetId="122">#REF!,#REF!</definedName>
    <definedName name="п" localSheetId="16">#REF!,#REF!</definedName>
    <definedName name="п" localSheetId="46">#REF!,#REF!</definedName>
    <definedName name="п" localSheetId="139">#REF!,#REF!</definedName>
    <definedName name="п" localSheetId="47">#REF!,#REF!</definedName>
    <definedName name="п" localSheetId="28">#REF!,#REF!</definedName>
    <definedName name="п">#REF!,#REF!</definedName>
    <definedName name="павы">[20]Форма2!$E$200:$F$207,[20]Форма2!$C$200:$C$207,[20]Форма2!$E$189:$F$198,[20]Форма2!$C$189:$C$198,[20]Форма2!$E$188:$F$188,[20]Форма2!$C$188</definedName>
    <definedName name="павып">[20]Форма2!$D$129:$F$132,[20]Форма2!$D$134:$F$135,[20]Форма2!$D$137:$F$140,[20]Форма2!$D$142:$F$144,[20]Форма2!$D$146:$F$150,[20]Форма2!$D$152:$F$154,[20]Форма2!$D$156:$F$162,[20]Форма2!$D$129</definedName>
    <definedName name="пакав">[30]Форма2!$D$129:$F$132,[30]Форма2!$D$134:$F$135,[30]Форма2!$D$137:$F$140,[30]Форма2!$D$142:$F$144,[30]Форма2!$D$146:$F$150,[30]Форма2!$D$152:$F$154,[30]Форма2!$D$156:$F$162,[30]Форма2!$D$129</definedName>
    <definedName name="памаывщпршарпщлоыварпщлыы">[20]Форма1!$C$22:$D$33,[20]Форма1!$C$36:$D$48,[20]Форма1!$C$22</definedName>
    <definedName name="пашщравыпрывжадрпп">[20]Форма2!$E$234:$F$237,[20]Форма2!$C$234:$C$237,[20]Форма2!$E$224:$F$232,[20]Форма2!$C$224:$C$232,[20]Форма2!$E$223:$F$223,[20]Форма2!$C$223,[20]Форма2!$E$217:$F$221,[20]Форма2!$C$217:$C$221,[20]Форма2!$E$210:$F$215,[20]Форма2!$C$210:$C$215,[20]Форма2!$C$210</definedName>
    <definedName name="пвапвыпывп54342э">[20]Форма2!$D$179:$F$185,[20]Форма2!$D$175:$F$177,[20]Форма2!$D$165:$F$173,[20]Форма2!$D$165</definedName>
    <definedName name="пвапк" localSheetId="6">#REF!</definedName>
    <definedName name="пвапк" localSheetId="8">#REF!</definedName>
    <definedName name="пвапк" localSheetId="138">#REF!</definedName>
    <definedName name="пвапк" localSheetId="136">#REF!</definedName>
    <definedName name="пвапк" localSheetId="42">#REF!</definedName>
    <definedName name="пвапк" localSheetId="118">#REF!</definedName>
    <definedName name="пвапк" localSheetId="137">#REF!</definedName>
    <definedName name="пвапк" localSheetId="130">#REF!</definedName>
    <definedName name="пвапк" localSheetId="131">#REF!</definedName>
    <definedName name="пвапк" localSheetId="122">#REF!</definedName>
    <definedName name="пвапк" localSheetId="16">#REF!</definedName>
    <definedName name="пвапк" localSheetId="46">#REF!</definedName>
    <definedName name="пвапк" localSheetId="139">#REF!</definedName>
    <definedName name="пвапк" localSheetId="47">#REF!</definedName>
    <definedName name="пвапк" localSheetId="28">#REF!</definedName>
    <definedName name="пвапк">#REF!</definedName>
    <definedName name="пер">[49]Форма2!$E$234:$F$237,[49]Форма2!$C$234:$C$237,[49]Форма2!$E$224:$F$232,[49]Форма2!$C$224:$C$232,[49]Форма2!$E$223:$F$223,[49]Форма2!$C$223,[49]Форма2!$E$217:$F$221,[49]Форма2!$C$217:$C$221,[49]Форма2!$E$210:$F$215,[49]Форма2!$C$210:$C$215,[49]Форма2!$C$210</definedName>
    <definedName name="первый" localSheetId="127">#REF!</definedName>
    <definedName name="первый" localSheetId="118">#REF!</definedName>
    <definedName name="первый" localSheetId="125">#REF!</definedName>
    <definedName name="первый" localSheetId="126">#REF!</definedName>
    <definedName name="первый" localSheetId="122">#REF!</definedName>
    <definedName name="первый" localSheetId="16">#REF!</definedName>
    <definedName name="первый" localSheetId="46">#REF!</definedName>
    <definedName name="первый" localSheetId="139">#REF!</definedName>
    <definedName name="первый" localSheetId="47">#REF!</definedName>
    <definedName name="первый">#REF!</definedName>
    <definedName name="перезарядка" localSheetId="127">[18]Sheet1!#REF!</definedName>
    <definedName name="перезарядка" localSheetId="118">[18]Sheet1!#REF!</definedName>
    <definedName name="перезарядка" localSheetId="125">[18]Sheet1!#REF!</definedName>
    <definedName name="перезарядка" localSheetId="126">[18]Sheet1!#REF!</definedName>
    <definedName name="перезарядка" localSheetId="122">[18]Sheet1!#REF!</definedName>
    <definedName name="перезарядка" localSheetId="16">[18]Sheet1!#REF!</definedName>
    <definedName name="перезарядка" localSheetId="46">[18]Sheet1!#REF!</definedName>
    <definedName name="перезарядка" localSheetId="139">[18]Sheet1!#REF!</definedName>
    <definedName name="перезарядка" localSheetId="47">[18]Sheet1!#REF!</definedName>
    <definedName name="перезарядка">[18]Sheet1!#REF!</definedName>
    <definedName name="план">[50]Форма2!$C$19:$C$24,[50]Форма2!$E$19:$F$24,[50]Форма2!$D$26:$F$31,[50]Форма2!$C$33:$C$38,[50]Форма2!$E$33:$F$38,[50]Форма2!$D$40:$F$43,[50]Форма2!$C$45:$C$48,[50]Форма2!$E$45:$F$48,[50]Форма2!$C$19</definedName>
    <definedName name="пнпп" localSheetId="80">#REF!</definedName>
    <definedName name="пнпп" localSheetId="71">#REF!</definedName>
    <definedName name="пнпп" localSheetId="74">#REF!</definedName>
    <definedName name="пнпп" localSheetId="81">#REF!</definedName>
    <definedName name="пнпп" localSheetId="73">#REF!</definedName>
    <definedName name="пнпп" localSheetId="82">#REF!</definedName>
    <definedName name="пнпп" localSheetId="62">#REF!</definedName>
    <definedName name="пнпп" localSheetId="40">#REF!</definedName>
    <definedName name="пнпп" localSheetId="59">#REF!</definedName>
    <definedName name="пнпп" localSheetId="61">#REF!</definedName>
    <definedName name="пнпп" localSheetId="51">#REF!</definedName>
    <definedName name="пнпп" localSheetId="56">#REF!</definedName>
    <definedName name="пнпп" localSheetId="88">#REF!</definedName>
    <definedName name="пнпп" localSheetId="94">#REF!</definedName>
    <definedName name="пнпп" localSheetId="11">#REF!</definedName>
    <definedName name="пнпп" localSheetId="5">#REF!</definedName>
    <definedName name="пнпп" localSheetId="6">#REF!</definedName>
    <definedName name="пнпп" localSheetId="8">#REF!</definedName>
    <definedName name="пнпп" localSheetId="7">#REF!</definedName>
    <definedName name="пнпп" localSheetId="138">#REF!</definedName>
    <definedName name="пнпп" localSheetId="10">#REF!</definedName>
    <definedName name="пнпп" localSheetId="9">#REF!</definedName>
    <definedName name="пнпп" localSheetId="136">#REF!</definedName>
    <definedName name="пнпп" localSheetId="127">#REF!</definedName>
    <definedName name="пнпп" localSheetId="37">#REF!</definedName>
    <definedName name="пнпп" localSheetId="60">#REF!</definedName>
    <definedName name="пнпп" localSheetId="41">#REF!</definedName>
    <definedName name="пнпп" localSheetId="45">#REF!</definedName>
    <definedName name="пнпп" localSheetId="53">#REF!</definedName>
    <definedName name="пнпп" localSheetId="57">#REF!</definedName>
    <definedName name="пнпп" localSheetId="42">#REF!</definedName>
    <definedName name="пнпп" localSheetId="95">#REF!</definedName>
    <definedName name="пнпп" localSheetId="118">#REF!</definedName>
    <definedName name="пнпп" localSheetId="48">#REF!</definedName>
    <definedName name="пнпп" localSheetId="133">#REF!</definedName>
    <definedName name="пнпп" localSheetId="128">#REF!</definedName>
    <definedName name="пнпп" localSheetId="93">#REF!</definedName>
    <definedName name="пнпп" localSheetId="97">#REF!</definedName>
    <definedName name="пнпп" localSheetId="90">#REF!</definedName>
    <definedName name="пнпп" localSheetId="12">#REF!</definedName>
    <definedName name="пнпп" localSheetId="125">#REF!</definedName>
    <definedName name="пнпп" localSheetId="52">#REF!</definedName>
    <definedName name="пнпп" localSheetId="50">#REF!</definedName>
    <definedName name="пнпп" localSheetId="137">#REF!</definedName>
    <definedName name="пнпп" localSheetId="33">#REF!</definedName>
    <definedName name="пнпп" localSheetId="34">#REF!</definedName>
    <definedName name="пнпп" localSheetId="84">#REF!</definedName>
    <definedName name="пнпп" localSheetId="102">#REF!</definedName>
    <definedName name="пнпп" localSheetId="130">#REF!</definedName>
    <definedName name="пнпп" localSheetId="131">#REF!</definedName>
    <definedName name="пнпп" localSheetId="126">#REF!</definedName>
    <definedName name="пнпп" localSheetId="122">#REF!</definedName>
    <definedName name="пнпп" localSheetId="78">#REF!</definedName>
    <definedName name="пнпп" localSheetId="116">#REF!</definedName>
    <definedName name="пнпп" localSheetId="16">#REF!</definedName>
    <definedName name="пнпп" localSheetId="4">#REF!</definedName>
    <definedName name="пнпп" localSheetId="75">#REF!</definedName>
    <definedName name="пнпп" localSheetId="38">#REF!</definedName>
    <definedName name="пнпп" localSheetId="55">#REF!</definedName>
    <definedName name="пнпп" localSheetId="85">#REF!</definedName>
    <definedName name="пнпп" localSheetId="58">#REF!</definedName>
    <definedName name="пнпп" localSheetId="96">#REF!</definedName>
    <definedName name="пнпп" localSheetId="46">#REF!</definedName>
    <definedName name="пнпп" localSheetId="139">#REF!</definedName>
    <definedName name="пнпп" localSheetId="36">#REF!</definedName>
    <definedName name="пнпп" localSheetId="87">#REF!</definedName>
    <definedName name="пнпп" localSheetId="43">#REF!</definedName>
    <definedName name="пнпп" localSheetId="49">#REF!</definedName>
    <definedName name="пнпп" localSheetId="86">#REF!</definedName>
    <definedName name="пнпп" localSheetId="47">#REF!</definedName>
    <definedName name="пнпп" localSheetId="54">#REF!</definedName>
    <definedName name="пнпп" localSheetId="23">#REF!</definedName>
    <definedName name="пнпп" localSheetId="13">#REF!</definedName>
    <definedName name="пнпп" localSheetId="24">#REF!</definedName>
    <definedName name="пнпп" localSheetId="29">#REF!</definedName>
    <definedName name="пнпп" localSheetId="25">#REF!</definedName>
    <definedName name="пнпп" localSheetId="26">#REF!</definedName>
    <definedName name="пнпп" localSheetId="27">#REF!</definedName>
    <definedName name="пнпп" localSheetId="28">#REF!</definedName>
    <definedName name="пнпп" localSheetId="119">#REF!</definedName>
    <definedName name="пнпп" localSheetId="69">#REF!</definedName>
    <definedName name="пнпп" localSheetId="70">#REF!</definedName>
    <definedName name="пнпп" localSheetId="72">#REF!</definedName>
    <definedName name="пнпп" localSheetId="68">#REF!</definedName>
    <definedName name="пнпп" localSheetId="67">#REF!</definedName>
    <definedName name="пнпп" localSheetId="66">#REF!</definedName>
    <definedName name="пнпп">#REF!</definedName>
    <definedName name="по" localSheetId="127">#REF!</definedName>
    <definedName name="по" localSheetId="118">#REF!</definedName>
    <definedName name="по" localSheetId="125">#REF!</definedName>
    <definedName name="по" localSheetId="126">#REF!</definedName>
    <definedName name="по" localSheetId="122">#REF!</definedName>
    <definedName name="по" localSheetId="16">#REF!</definedName>
    <definedName name="по" localSheetId="46">#REF!</definedName>
    <definedName name="по" localSheetId="139">#REF!</definedName>
    <definedName name="по" localSheetId="47">#REF!</definedName>
    <definedName name="по">#REF!</definedName>
    <definedName name="пойнт" localSheetId="127">'[39]14.1.2.2.(Услуги связи)'!#REF!</definedName>
    <definedName name="пойнт" localSheetId="118">'[39]14.1.2.2.(Услуги связи)'!#REF!</definedName>
    <definedName name="пойнт" localSheetId="125">'[39]14.1.2.2.(Услуги связи)'!#REF!</definedName>
    <definedName name="пойнт" localSheetId="126">'[39]14.1.2.2.(Услуги связи)'!#REF!</definedName>
    <definedName name="пойнт" localSheetId="122">'[39]14.1.2.2.(Услуги связи)'!#REF!</definedName>
    <definedName name="пойнт" localSheetId="16">'[39]14.1.2.2.(Услуги связи)'!#REF!</definedName>
    <definedName name="пойнт" localSheetId="46">'[39]14.1.2.2.(Услуги связи)'!#REF!</definedName>
    <definedName name="пойнт" localSheetId="139">'[39]14.1.2.2.(Услуги связи)'!#REF!</definedName>
    <definedName name="пойнт" localSheetId="47">'[39]14.1.2.2.(Услуги связи)'!#REF!</definedName>
    <definedName name="пойнт">'[39]14.1.2.2.(Услуги связи)'!#REF!</definedName>
    <definedName name="Почта">[40]Форма2!$C$51:$C$58,[40]Форма2!$E$51:$F$58,[40]Форма2!$C$60:$C$63,[40]Форма2!$E$60:$F$63,[40]Форма2!$C$65:$C$67,[40]Форма2!$E$65:$F$67,[40]Форма2!$C$51</definedName>
    <definedName name="Почта22" localSheetId="127">#REF!</definedName>
    <definedName name="Почта22" localSheetId="118">#REF!</definedName>
    <definedName name="Почта22" localSheetId="125">#REF!</definedName>
    <definedName name="Почта22" localSheetId="126">#REF!</definedName>
    <definedName name="Почта22" localSheetId="122">#REF!</definedName>
    <definedName name="Почта22" localSheetId="16">#REF!</definedName>
    <definedName name="Почта22" localSheetId="46">#REF!</definedName>
    <definedName name="Почта22" localSheetId="139">#REF!</definedName>
    <definedName name="Почта22" localSheetId="47">#REF!</definedName>
    <definedName name="Почта22">#REF!</definedName>
    <definedName name="Почта3">[40]Форма1!$C$22:$D$33,[40]Форма1!$C$36:$D$48,[40]Форма1!$C$22</definedName>
    <definedName name="пп" localSheetId="6">#REF!</definedName>
    <definedName name="пп" localSheetId="8">#REF!</definedName>
    <definedName name="пп" localSheetId="7">#REF!</definedName>
    <definedName name="пп" localSheetId="138">#REF!</definedName>
    <definedName name="пп" localSheetId="136">#REF!</definedName>
    <definedName name="пп" localSheetId="118">#REF!</definedName>
    <definedName name="пп" localSheetId="137">#REF!</definedName>
    <definedName name="пп" localSheetId="131">#REF!</definedName>
    <definedName name="пп" localSheetId="122">#REF!</definedName>
    <definedName name="пп" localSheetId="16">#REF!</definedName>
    <definedName name="пп" localSheetId="46">#REF!</definedName>
    <definedName name="пп" localSheetId="139">#REF!</definedName>
    <definedName name="пп" localSheetId="47">#REF!</definedName>
    <definedName name="пп" localSheetId="28">#REF!</definedName>
    <definedName name="пп">#REF!</definedName>
    <definedName name="ппре" localSheetId="80">#REF!,#REF!</definedName>
    <definedName name="ппре" localSheetId="71">#REF!,#REF!</definedName>
    <definedName name="ппре" localSheetId="74">#REF!,#REF!</definedName>
    <definedName name="ппре" localSheetId="81">#REF!,#REF!</definedName>
    <definedName name="ппре" localSheetId="73">#REF!,#REF!</definedName>
    <definedName name="ппре" localSheetId="82">#REF!,#REF!</definedName>
    <definedName name="ппре" localSheetId="31">#REF!,#REF!</definedName>
    <definedName name="ппре" localSheetId="108">#REF!,#REF!</definedName>
    <definedName name="ппре" localSheetId="62">#REF!,#REF!</definedName>
    <definedName name="ппре" localSheetId="40">#REF!,#REF!</definedName>
    <definedName name="ппре" localSheetId="59">#REF!,#REF!</definedName>
    <definedName name="ппре" localSheetId="61">#REF!,#REF!</definedName>
    <definedName name="ппре" localSheetId="51">#REF!,#REF!</definedName>
    <definedName name="ппре" localSheetId="56">#REF!,#REF!</definedName>
    <definedName name="ппре" localSheetId="88">#REF!,#REF!</definedName>
    <definedName name="ппре" localSheetId="94">#REF!,#REF!</definedName>
    <definedName name="ппре" localSheetId="11">#REF!,#REF!</definedName>
    <definedName name="ппре" localSheetId="5">#REF!,#REF!</definedName>
    <definedName name="ппре" localSheetId="6">#REF!,#REF!</definedName>
    <definedName name="ппре" localSheetId="8">#REF!,#REF!</definedName>
    <definedName name="ппре" localSheetId="7">#REF!,#REF!</definedName>
    <definedName name="ппре" localSheetId="138">#REF!,#REF!</definedName>
    <definedName name="ппре" localSheetId="10">#REF!,#REF!</definedName>
    <definedName name="ппре" localSheetId="9">#REF!,#REF!</definedName>
    <definedName name="ппре" localSheetId="136">#REF!,#REF!</definedName>
    <definedName name="ппре" localSheetId="127">#REF!,#REF!</definedName>
    <definedName name="ппре" localSheetId="37">#REF!,#REF!</definedName>
    <definedName name="ппре" localSheetId="60">#REF!,#REF!</definedName>
    <definedName name="ппре" localSheetId="41">#REF!,#REF!</definedName>
    <definedName name="ппре" localSheetId="45">#REF!,#REF!</definedName>
    <definedName name="ппре" localSheetId="53">#REF!,#REF!</definedName>
    <definedName name="ппре" localSheetId="57">#REF!,#REF!</definedName>
    <definedName name="ппре" localSheetId="42">#REF!,#REF!</definedName>
    <definedName name="ппре" localSheetId="95">#REF!,#REF!</definedName>
    <definedName name="ппре" localSheetId="118">#REF!,#REF!</definedName>
    <definedName name="ппре" localSheetId="48">#REF!,#REF!</definedName>
    <definedName name="ппре" localSheetId="79">#REF!,#REF!</definedName>
    <definedName name="ппре" localSheetId="133">#REF!,#REF!</definedName>
    <definedName name="ппре" localSheetId="128">#REF!,#REF!</definedName>
    <definedName name="ппре" localSheetId="93">#REF!,#REF!</definedName>
    <definedName name="ппре" localSheetId="97">#REF!,#REF!</definedName>
    <definedName name="ппре" localSheetId="113">#REF!,#REF!</definedName>
    <definedName name="ппре" localSheetId="90">#REF!,#REF!</definedName>
    <definedName name="ппре" localSheetId="12">#REF!,#REF!</definedName>
    <definedName name="ппре" localSheetId="125">#REF!,#REF!</definedName>
    <definedName name="ппре" localSheetId="105">#REF!,#REF!</definedName>
    <definedName name="ппре" localSheetId="52">#REF!,#REF!</definedName>
    <definedName name="ппре" localSheetId="50">#REF!,#REF!</definedName>
    <definedName name="ппре" localSheetId="137">#REF!,#REF!</definedName>
    <definedName name="ппре" localSheetId="33">#REF!,#REF!</definedName>
    <definedName name="ппре" localSheetId="34">#REF!,#REF!</definedName>
    <definedName name="ппре" localSheetId="84">#REF!,#REF!</definedName>
    <definedName name="ппре" localSheetId="102">#REF!,#REF!</definedName>
    <definedName name="ппре" localSheetId="130">#REF!,#REF!</definedName>
    <definedName name="ппре" localSheetId="131">#REF!,#REF!</definedName>
    <definedName name="ппре" localSheetId="126">#REF!,#REF!</definedName>
    <definedName name="ппре" localSheetId="122">#REF!,#REF!</definedName>
    <definedName name="ппре" localSheetId="78">#REF!,#REF!</definedName>
    <definedName name="ппре" localSheetId="116">#REF!,#REF!</definedName>
    <definedName name="ппре" localSheetId="16">#REF!,#REF!</definedName>
    <definedName name="ппре" localSheetId="4">#REF!,#REF!</definedName>
    <definedName name="ппре" localSheetId="75">#REF!,#REF!</definedName>
    <definedName name="ппре" localSheetId="89">#REF!,#REF!</definedName>
    <definedName name="ппре" localSheetId="0">#REF!,#REF!</definedName>
    <definedName name="ппре" localSheetId="38">#REF!,#REF!</definedName>
    <definedName name="ппре" localSheetId="55">#REF!,#REF!</definedName>
    <definedName name="ппре" localSheetId="85">#REF!,#REF!</definedName>
    <definedName name="ппре" localSheetId="58">#REF!,#REF!</definedName>
    <definedName name="ппре" localSheetId="96">#REF!,#REF!</definedName>
    <definedName name="ппре" localSheetId="46">#REF!,#REF!</definedName>
    <definedName name="ппре" localSheetId="139">#REF!,#REF!</definedName>
    <definedName name="ппре" localSheetId="36">#REF!,#REF!</definedName>
    <definedName name="ппре" localSheetId="87">#REF!,#REF!</definedName>
    <definedName name="ппре" localSheetId="43">#REF!,#REF!</definedName>
    <definedName name="ппре" localSheetId="49">#REF!,#REF!</definedName>
    <definedName name="ппре" localSheetId="86">#REF!,#REF!</definedName>
    <definedName name="ппре" localSheetId="47">#REF!,#REF!</definedName>
    <definedName name="ппре" localSheetId="54">#REF!,#REF!</definedName>
    <definedName name="ппре" localSheetId="23">#REF!,#REF!</definedName>
    <definedName name="ппре" localSheetId="13">#REF!,#REF!</definedName>
    <definedName name="ппре" localSheetId="24">#REF!,#REF!</definedName>
    <definedName name="ппре" localSheetId="29">#REF!,#REF!</definedName>
    <definedName name="ппре" localSheetId="25">#REF!,#REF!</definedName>
    <definedName name="ппре" localSheetId="26">#REF!,#REF!</definedName>
    <definedName name="ппре" localSheetId="27">#REF!,#REF!</definedName>
    <definedName name="ппре" localSheetId="28">#REF!,#REF!</definedName>
    <definedName name="ппре" localSheetId="119">#REF!,#REF!</definedName>
    <definedName name="ппре" localSheetId="69">#REF!,#REF!</definedName>
    <definedName name="ппре" localSheetId="70">#REF!,#REF!</definedName>
    <definedName name="ппре" localSheetId="72">#REF!,#REF!</definedName>
    <definedName name="ппре" localSheetId="68">#REF!,#REF!</definedName>
    <definedName name="ппре" localSheetId="67">#REF!,#REF!</definedName>
    <definedName name="ппре" localSheetId="66">#REF!,#REF!</definedName>
    <definedName name="ппре">#REF!,#REF!</definedName>
    <definedName name="пр" localSheetId="11">#REF!,#REF!</definedName>
    <definedName name="пр" localSheetId="5">#REF!,#REF!</definedName>
    <definedName name="пр" localSheetId="6">#REF!,#REF!</definedName>
    <definedName name="пр" localSheetId="8">#REF!,#REF!</definedName>
    <definedName name="пр" localSheetId="7">#REF!,#REF!</definedName>
    <definedName name="пр" localSheetId="138">#REF!,#REF!</definedName>
    <definedName name="пр" localSheetId="10">#REF!,#REF!</definedName>
    <definedName name="пр" localSheetId="9">#REF!,#REF!</definedName>
    <definedName name="пр" localSheetId="136">#REF!,#REF!</definedName>
    <definedName name="пр" localSheetId="127">#REF!,#REF!</definedName>
    <definedName name="пр" localSheetId="118">#REF!,#REF!</definedName>
    <definedName name="пр" localSheetId="128">#REF!,#REF!</definedName>
    <definedName name="пр" localSheetId="125">#REF!,#REF!</definedName>
    <definedName name="пр" localSheetId="137">#REF!,#REF!</definedName>
    <definedName name="пр" localSheetId="131">#REF!,#REF!</definedName>
    <definedName name="пр" localSheetId="126">#REF!,#REF!</definedName>
    <definedName name="пр" localSheetId="122">#REF!,#REF!</definedName>
    <definedName name="пр" localSheetId="16">#REF!,#REF!</definedName>
    <definedName name="пр" localSheetId="46">#REF!,#REF!</definedName>
    <definedName name="пр" localSheetId="139">#REF!,#REF!</definedName>
    <definedName name="пр" localSheetId="47">#REF!,#REF!</definedName>
    <definedName name="пр" localSheetId="28">#REF!,#REF!</definedName>
    <definedName name="пр">#REF!,#REF!</definedName>
    <definedName name="прарырывпырп">[20]Форма2!$C$19:$C$24,[20]Форма2!$E$19:$F$24,[20]Форма2!$D$26:$F$31,[20]Форма2!$C$33:$C$38,[20]Форма2!$E$33:$F$38,[20]Форма2!$D$40:$F$43,[20]Форма2!$C$45:$C$48,[20]Форма2!$E$45:$F$48,[20]Форма2!$C$19</definedName>
    <definedName name="Предприятия">'[51]#ССЫЛКА'!$A$1:$D$64</definedName>
    <definedName name="прибыль3" localSheetId="125" hidden="1">{#N/A,#N/A,TRUE,"Лист1";#N/A,#N/A,TRUE,"Лист2";#N/A,#N/A,TRUE,"Лист3"}</definedName>
    <definedName name="прибыль3" localSheetId="126" hidden="1">{#N/A,#N/A,TRUE,"Лист1";#N/A,#N/A,TRUE,"Лист2";#N/A,#N/A,TRUE,"Лист3"}</definedName>
    <definedName name="прибыль3" localSheetId="46" hidden="1">{#N/A,#N/A,TRUE,"Лист1";#N/A,#N/A,TRUE,"Лист2";#N/A,#N/A,TRUE,"Лист3"}</definedName>
    <definedName name="прибыль3" localSheetId="139" hidden="1">{#N/A,#N/A,TRUE,"Лист1";#N/A,#N/A,TRUE,"Лист2";#N/A,#N/A,TRUE,"Лист3"}</definedName>
    <definedName name="прибыль3" localSheetId="47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лыаовпрыдвлорпдвыавртдлл">[20]Форма2!$C$70:$C$72,[20]Форма2!$D$73:$F$73,[20]Форма2!$E$70:$F$72,[20]Форма2!$C$75:$C$77,[20]Форма2!$E$75:$F$77,[20]Форма2!$C$79:$C$82,[20]Форма2!$E$79:$F$82,[20]Форма2!$C$84:$C$86,[20]Форма2!$E$84:$F$86,[20]Форма2!$C$88:$C$89,[20]Форма2!$E$88:$F$89,[20]Форма2!$C$70</definedName>
    <definedName name="Прог" localSheetId="127">#REF!</definedName>
    <definedName name="Прог" localSheetId="118">#REF!</definedName>
    <definedName name="Прог" localSheetId="125">#REF!</definedName>
    <definedName name="Прог" localSheetId="126">#REF!</definedName>
    <definedName name="Прог" localSheetId="122">#REF!</definedName>
    <definedName name="Прог" localSheetId="16">#REF!</definedName>
    <definedName name="Прог" localSheetId="46">#REF!</definedName>
    <definedName name="Прог" localSheetId="139">#REF!</definedName>
    <definedName name="Прог" localSheetId="47">#REF!</definedName>
    <definedName name="Прог">#REF!</definedName>
    <definedName name="прогноз" localSheetId="11">#REF!,#REF!</definedName>
    <definedName name="прогноз" localSheetId="5">#REF!,#REF!</definedName>
    <definedName name="прогноз" localSheetId="6">#REF!,#REF!</definedName>
    <definedName name="прогноз" localSheetId="8">#REF!,#REF!</definedName>
    <definedName name="прогноз" localSheetId="7">#REF!,#REF!</definedName>
    <definedName name="прогноз" localSheetId="138">#REF!,#REF!</definedName>
    <definedName name="прогноз" localSheetId="10">#REF!,#REF!</definedName>
    <definedName name="прогноз" localSheetId="9">#REF!,#REF!</definedName>
    <definedName name="прогноз" localSheetId="136">#REF!,#REF!</definedName>
    <definedName name="прогноз" localSheetId="127">#REF!,#REF!</definedName>
    <definedName name="прогноз" localSheetId="42">#REF!,#REF!</definedName>
    <definedName name="прогноз" localSheetId="118">#REF!,#REF!</definedName>
    <definedName name="прогноз" localSheetId="128">#REF!,#REF!</definedName>
    <definedName name="прогноз" localSheetId="125">#REF!,#REF!</definedName>
    <definedName name="прогноз" localSheetId="137">#REF!,#REF!</definedName>
    <definedName name="прогноз" localSheetId="130">#REF!,#REF!</definedName>
    <definedName name="прогноз" localSheetId="131">#REF!,#REF!</definedName>
    <definedName name="прогноз" localSheetId="126">#REF!,#REF!</definedName>
    <definedName name="прогноз" localSheetId="122">#REF!,#REF!</definedName>
    <definedName name="прогноз" localSheetId="16">#REF!,#REF!</definedName>
    <definedName name="прогноз" localSheetId="46">#REF!,#REF!</definedName>
    <definedName name="прогноз" localSheetId="139">#REF!,#REF!</definedName>
    <definedName name="прогноз" localSheetId="47">#REF!,#REF!</definedName>
    <definedName name="прогноз" localSheetId="28">#REF!,#REF!</definedName>
    <definedName name="прогноз">#REF!,#REF!</definedName>
    <definedName name="ПРОЕКТ">[28]Служебный!$D$2:$D$20</definedName>
    <definedName name="пророо" localSheetId="6">#REF!,#REF!</definedName>
    <definedName name="пророо" localSheetId="8">#REF!,#REF!</definedName>
    <definedName name="пророо" localSheetId="138">#REF!,#REF!</definedName>
    <definedName name="пророо" localSheetId="136">#REF!,#REF!</definedName>
    <definedName name="пророо" localSheetId="42">#REF!,#REF!</definedName>
    <definedName name="пророо" localSheetId="118">#REF!,#REF!</definedName>
    <definedName name="пророо" localSheetId="137">#REF!,#REF!</definedName>
    <definedName name="пророо" localSheetId="130">#REF!,#REF!</definedName>
    <definedName name="пророо" localSheetId="131">#REF!,#REF!</definedName>
    <definedName name="пророо" localSheetId="122">#REF!,#REF!</definedName>
    <definedName name="пророо" localSheetId="16">#REF!,#REF!</definedName>
    <definedName name="пророо" localSheetId="46">#REF!,#REF!</definedName>
    <definedName name="пророо" localSheetId="139">#REF!,#REF!</definedName>
    <definedName name="пророо" localSheetId="47">#REF!,#REF!</definedName>
    <definedName name="пророо" localSheetId="28">#REF!,#REF!</definedName>
    <definedName name="пророо">#REF!,#REF!</definedName>
    <definedName name="прпам" localSheetId="80">#REF!,#REF!</definedName>
    <definedName name="прпам" localSheetId="71">#REF!,#REF!</definedName>
    <definedName name="прпам" localSheetId="74">#REF!,#REF!</definedName>
    <definedName name="прпам" localSheetId="81">#REF!,#REF!</definedName>
    <definedName name="прпам" localSheetId="73">#REF!,#REF!</definedName>
    <definedName name="прпам" localSheetId="82">#REF!,#REF!</definedName>
    <definedName name="прпам" localSheetId="31">#REF!,#REF!</definedName>
    <definedName name="прпам" localSheetId="108">#REF!,#REF!</definedName>
    <definedName name="прпам" localSheetId="62">#REF!,#REF!</definedName>
    <definedName name="прпам" localSheetId="40">#REF!,#REF!</definedName>
    <definedName name="прпам" localSheetId="59">#REF!,#REF!</definedName>
    <definedName name="прпам" localSheetId="61">#REF!,#REF!</definedName>
    <definedName name="прпам" localSheetId="51">#REF!,#REF!</definedName>
    <definedName name="прпам" localSheetId="56">#REF!,#REF!</definedName>
    <definedName name="прпам" localSheetId="88">#REF!,#REF!</definedName>
    <definedName name="прпам" localSheetId="94">#REF!,#REF!</definedName>
    <definedName name="прпам" localSheetId="11">#REF!,#REF!</definedName>
    <definedName name="прпам" localSheetId="5">#REF!,#REF!</definedName>
    <definedName name="прпам" localSheetId="6">#REF!,#REF!</definedName>
    <definedName name="прпам" localSheetId="8">#REF!,#REF!</definedName>
    <definedName name="прпам" localSheetId="7">#REF!,#REF!</definedName>
    <definedName name="прпам" localSheetId="138">#REF!,#REF!</definedName>
    <definedName name="прпам" localSheetId="10">#REF!,#REF!</definedName>
    <definedName name="прпам" localSheetId="9">#REF!,#REF!</definedName>
    <definedName name="прпам" localSheetId="136">#REF!,#REF!</definedName>
    <definedName name="прпам" localSheetId="127">#REF!,#REF!</definedName>
    <definedName name="прпам" localSheetId="37">#REF!,#REF!</definedName>
    <definedName name="прпам" localSheetId="60">#REF!,#REF!</definedName>
    <definedName name="прпам" localSheetId="41">#REF!,#REF!</definedName>
    <definedName name="прпам" localSheetId="45">#REF!,#REF!</definedName>
    <definedName name="прпам" localSheetId="53">#REF!,#REF!</definedName>
    <definedName name="прпам" localSheetId="57">#REF!,#REF!</definedName>
    <definedName name="прпам" localSheetId="42">#REF!,#REF!</definedName>
    <definedName name="прпам" localSheetId="95">#REF!,#REF!</definedName>
    <definedName name="прпам" localSheetId="118">#REF!,#REF!</definedName>
    <definedName name="прпам" localSheetId="48">#REF!,#REF!</definedName>
    <definedName name="прпам" localSheetId="79">#REF!,#REF!</definedName>
    <definedName name="прпам" localSheetId="133">#REF!,#REF!</definedName>
    <definedName name="прпам" localSheetId="128">#REF!,#REF!</definedName>
    <definedName name="прпам" localSheetId="93">#REF!,#REF!</definedName>
    <definedName name="прпам" localSheetId="97">#REF!,#REF!</definedName>
    <definedName name="прпам" localSheetId="113">#REF!,#REF!</definedName>
    <definedName name="прпам" localSheetId="90">#REF!,#REF!</definedName>
    <definedName name="прпам" localSheetId="12">#REF!,#REF!</definedName>
    <definedName name="прпам" localSheetId="125">#REF!,#REF!</definedName>
    <definedName name="прпам" localSheetId="105">#REF!,#REF!</definedName>
    <definedName name="прпам" localSheetId="52">#REF!,#REF!</definedName>
    <definedName name="прпам" localSheetId="50">#REF!,#REF!</definedName>
    <definedName name="прпам" localSheetId="137">#REF!,#REF!</definedName>
    <definedName name="прпам" localSheetId="33">#REF!,#REF!</definedName>
    <definedName name="прпам" localSheetId="34">#REF!,#REF!</definedName>
    <definedName name="прпам" localSheetId="84">#REF!,#REF!</definedName>
    <definedName name="прпам" localSheetId="102">#REF!,#REF!</definedName>
    <definedName name="прпам" localSheetId="130">#REF!,#REF!</definedName>
    <definedName name="прпам" localSheetId="131">#REF!,#REF!</definedName>
    <definedName name="прпам" localSheetId="126">#REF!,#REF!</definedName>
    <definedName name="прпам" localSheetId="122">#REF!,#REF!</definedName>
    <definedName name="прпам" localSheetId="78">#REF!,#REF!</definedName>
    <definedName name="прпам" localSheetId="116">#REF!,#REF!</definedName>
    <definedName name="прпам" localSheetId="16">#REF!,#REF!</definedName>
    <definedName name="прпам" localSheetId="4">#REF!,#REF!</definedName>
    <definedName name="прпам" localSheetId="75">#REF!,#REF!</definedName>
    <definedName name="прпам" localSheetId="89">#REF!,#REF!</definedName>
    <definedName name="прпам" localSheetId="0">#REF!,#REF!</definedName>
    <definedName name="прпам" localSheetId="38">#REF!,#REF!</definedName>
    <definedName name="прпам" localSheetId="55">#REF!,#REF!</definedName>
    <definedName name="прпам" localSheetId="85">#REF!,#REF!</definedName>
    <definedName name="прпам" localSheetId="58">#REF!,#REF!</definedName>
    <definedName name="прпам" localSheetId="96">#REF!,#REF!</definedName>
    <definedName name="прпам" localSheetId="46">#REF!,#REF!</definedName>
    <definedName name="прпам" localSheetId="139">#REF!,#REF!</definedName>
    <definedName name="прпам" localSheetId="36">#REF!,#REF!</definedName>
    <definedName name="прпам" localSheetId="87">#REF!,#REF!</definedName>
    <definedName name="прпам" localSheetId="43">#REF!,#REF!</definedName>
    <definedName name="прпам" localSheetId="49">#REF!,#REF!</definedName>
    <definedName name="прпам" localSheetId="86">#REF!,#REF!</definedName>
    <definedName name="прпам" localSheetId="47">#REF!,#REF!</definedName>
    <definedName name="прпам" localSheetId="54">#REF!,#REF!</definedName>
    <definedName name="прпам" localSheetId="23">#REF!,#REF!</definedName>
    <definedName name="прпам" localSheetId="13">#REF!,#REF!</definedName>
    <definedName name="прпам" localSheetId="24">#REF!,#REF!</definedName>
    <definedName name="прпам" localSheetId="29">#REF!,#REF!</definedName>
    <definedName name="прпам" localSheetId="25">#REF!,#REF!</definedName>
    <definedName name="прпам" localSheetId="26">#REF!,#REF!</definedName>
    <definedName name="прпам" localSheetId="27">#REF!,#REF!</definedName>
    <definedName name="прпам" localSheetId="28">#REF!,#REF!</definedName>
    <definedName name="прпам" localSheetId="119">#REF!,#REF!</definedName>
    <definedName name="прпам" localSheetId="69">#REF!,#REF!</definedName>
    <definedName name="прпам" localSheetId="70">#REF!,#REF!</definedName>
    <definedName name="прпам" localSheetId="72">#REF!,#REF!</definedName>
    <definedName name="прпам" localSheetId="68">#REF!,#REF!</definedName>
    <definedName name="прпам" localSheetId="67">#REF!,#REF!</definedName>
    <definedName name="прпам" localSheetId="66">#REF!,#REF!</definedName>
    <definedName name="прпам">#REF!,#REF!</definedName>
    <definedName name="прпар" localSheetId="127">#REF!</definedName>
    <definedName name="прпар" localSheetId="118">#REF!</definedName>
    <definedName name="прпар" localSheetId="125">#REF!</definedName>
    <definedName name="прпар" localSheetId="126">#REF!</definedName>
    <definedName name="прпар" localSheetId="122">#REF!</definedName>
    <definedName name="прпар" localSheetId="16">#REF!</definedName>
    <definedName name="прпар" localSheetId="46">#REF!</definedName>
    <definedName name="прпар" localSheetId="139">#REF!</definedName>
    <definedName name="прпар" localSheetId="47">#REF!</definedName>
    <definedName name="прпар">#REF!</definedName>
    <definedName name="пррара" localSheetId="6">#REF!</definedName>
    <definedName name="пррара" localSheetId="8">#REF!</definedName>
    <definedName name="пррара" localSheetId="7">#REF!</definedName>
    <definedName name="пррара" localSheetId="138">#REF!</definedName>
    <definedName name="пррара" localSheetId="136">#REF!</definedName>
    <definedName name="пррара" localSheetId="118">#REF!</definedName>
    <definedName name="пррара" localSheetId="137">#REF!</definedName>
    <definedName name="пррара" localSheetId="131">#REF!</definedName>
    <definedName name="пррара" localSheetId="122">#REF!</definedName>
    <definedName name="пррара" localSheetId="16">#REF!</definedName>
    <definedName name="пррара" localSheetId="46">#REF!</definedName>
    <definedName name="пррара" localSheetId="139">#REF!</definedName>
    <definedName name="пррара" localSheetId="47">#REF!</definedName>
    <definedName name="пррара" localSheetId="28">#REF!</definedName>
    <definedName name="пррара">#REF!</definedName>
    <definedName name="пррррр" localSheetId="127">#REF!</definedName>
    <definedName name="пррррр" localSheetId="118">#REF!</definedName>
    <definedName name="пррррр" localSheetId="125">#REF!</definedName>
    <definedName name="пррррр" localSheetId="126">#REF!</definedName>
    <definedName name="пррррр" localSheetId="122">#REF!</definedName>
    <definedName name="пррррр" localSheetId="16">#REF!</definedName>
    <definedName name="пррррр" localSheetId="46">#REF!</definedName>
    <definedName name="пррррр" localSheetId="139">#REF!</definedName>
    <definedName name="пррррр" localSheetId="47">#REF!</definedName>
    <definedName name="пррррр">#REF!</definedName>
    <definedName name="прррррр" localSheetId="127">#REF!</definedName>
    <definedName name="прррррр" localSheetId="118">#REF!</definedName>
    <definedName name="прррррр" localSheetId="125">#REF!</definedName>
    <definedName name="прррррр" localSheetId="126">#REF!</definedName>
    <definedName name="прррррр" localSheetId="122">#REF!</definedName>
    <definedName name="прррррр" localSheetId="16">#REF!</definedName>
    <definedName name="прррррр" localSheetId="46">#REF!</definedName>
    <definedName name="прррррр" localSheetId="139">#REF!</definedName>
    <definedName name="прррррр" localSheetId="47">#REF!</definedName>
    <definedName name="прррррр">#REF!</definedName>
    <definedName name="прыапрловафырполваа">[20]Форма2!$E$106:$F$107,[20]Форма2!$C$106:$C$107,[20]Форма2!$E$102:$F$104,[20]Форма2!$C$102:$C$104,[20]Форма2!$C$97:$C$100,[20]Форма2!$E$97:$F$100,[20]Форма2!$E$92:$F$95,[20]Форма2!$C$92:$C$95,[20]Форма2!$C$92</definedName>
    <definedName name="пс">[20]Форма2!$C$19:$C$24,[20]Форма2!$E$19:$F$24,[20]Форма2!$D$26:$F$31,[20]Форма2!$C$33:$C$38,[20]Форма2!$E$33:$F$38,[20]Форма2!$D$40:$F$43,[20]Форма2!$C$45:$C$48,[20]Форма2!$E$45:$F$48,[20]Форма2!$C$19</definedName>
    <definedName name="пшгзпшщрйщшрпзщшрйхрупхрйцхп">[20]Форма2!$E$200:$F$207,[20]Форма2!$C$200:$C$207,[20]Форма2!$E$189:$F$198,[20]Форма2!$C$189:$C$198,[20]Форма2!$E$188:$F$188,[20]Форма2!$C$188</definedName>
    <definedName name="р">[20]Форма2!$C$19:$C$24,[20]Форма2!$E$19:$F$24,[20]Форма2!$D$26:$F$31,[20]Форма2!$C$33:$C$38,[20]Форма2!$E$33:$F$38,[20]Форма2!$D$40:$F$43,[20]Форма2!$C$45:$C$48,[20]Форма2!$E$45:$F$48,[20]Форма2!$C$19</definedName>
    <definedName name="Работа" localSheetId="11">#REF!</definedName>
    <definedName name="Работа" localSheetId="5">#REF!</definedName>
    <definedName name="Работа" localSheetId="6">#REF!</definedName>
    <definedName name="Работа" localSheetId="8">#REF!</definedName>
    <definedName name="Работа" localSheetId="7">#REF!</definedName>
    <definedName name="Работа" localSheetId="138">#REF!</definedName>
    <definedName name="Работа" localSheetId="10">#REF!</definedName>
    <definedName name="Работа" localSheetId="9">#REF!</definedName>
    <definedName name="Работа" localSheetId="136">#REF!</definedName>
    <definedName name="Работа" localSheetId="127">#REF!</definedName>
    <definedName name="Работа" localSheetId="42">#REF!</definedName>
    <definedName name="Работа" localSheetId="118">#REF!</definedName>
    <definedName name="Работа" localSheetId="128">#REF!</definedName>
    <definedName name="Работа" localSheetId="125">#REF!</definedName>
    <definedName name="Работа" localSheetId="137">#REF!</definedName>
    <definedName name="Работа" localSheetId="130">#REF!</definedName>
    <definedName name="Работа" localSheetId="131">#REF!</definedName>
    <definedName name="Работа" localSheetId="126">#REF!</definedName>
    <definedName name="Работа" localSheetId="122">#REF!</definedName>
    <definedName name="Работа" localSheetId="16">#REF!</definedName>
    <definedName name="Работа" localSheetId="46">#REF!</definedName>
    <definedName name="Работа" localSheetId="139">#REF!</definedName>
    <definedName name="Работа" localSheetId="47">#REF!</definedName>
    <definedName name="Работа" localSheetId="28">#REF!</definedName>
    <definedName name="Работа">#REF!</definedName>
    <definedName name="равиль" localSheetId="11">#REF!</definedName>
    <definedName name="равиль" localSheetId="5">#REF!</definedName>
    <definedName name="равиль" localSheetId="6">#REF!</definedName>
    <definedName name="равиль" localSheetId="8">#REF!</definedName>
    <definedName name="равиль" localSheetId="7">#REF!</definedName>
    <definedName name="равиль" localSheetId="138">#REF!</definedName>
    <definedName name="равиль" localSheetId="10">#REF!</definedName>
    <definedName name="равиль" localSheetId="9">#REF!</definedName>
    <definedName name="равиль" localSheetId="136">#REF!</definedName>
    <definedName name="равиль" localSheetId="127">#REF!</definedName>
    <definedName name="равиль" localSheetId="42">#REF!</definedName>
    <definedName name="равиль" localSheetId="118">#REF!</definedName>
    <definedName name="равиль" localSheetId="128">#REF!</definedName>
    <definedName name="равиль" localSheetId="125">#REF!</definedName>
    <definedName name="равиль" localSheetId="137">#REF!</definedName>
    <definedName name="равиль" localSheetId="130">#REF!</definedName>
    <definedName name="равиль" localSheetId="131">#REF!</definedName>
    <definedName name="равиль" localSheetId="126">#REF!</definedName>
    <definedName name="равиль" localSheetId="122">#REF!</definedName>
    <definedName name="равиль" localSheetId="16">#REF!</definedName>
    <definedName name="равиль" localSheetId="46">#REF!</definedName>
    <definedName name="равиль" localSheetId="139">#REF!</definedName>
    <definedName name="равиль" localSheetId="47">#REF!</definedName>
    <definedName name="равиль" localSheetId="28">#REF!</definedName>
    <definedName name="равиль">#REF!</definedName>
    <definedName name="расходы">[52]Форма2!$C$51:$C$58,[52]Форма2!$E$51:$F$58,[52]Форма2!$C$60:$C$63,[52]Форма2!$E$60:$F$63,[52]Форма2!$C$65:$C$67,[52]Форма2!$E$65:$F$67,[52]Форма2!$C$51</definedName>
    <definedName name="Рая" localSheetId="127">#REF!</definedName>
    <definedName name="Рая" localSheetId="118">#REF!</definedName>
    <definedName name="Рая" localSheetId="125">#REF!</definedName>
    <definedName name="Рая" localSheetId="126">#REF!</definedName>
    <definedName name="Рая" localSheetId="122">#REF!</definedName>
    <definedName name="Рая" localSheetId="16">#REF!</definedName>
    <definedName name="Рая" localSheetId="46">#REF!</definedName>
    <definedName name="Рая" localSheetId="139">#REF!</definedName>
    <definedName name="Рая" localSheetId="47">#REF!</definedName>
    <definedName name="Рая">#REF!</definedName>
    <definedName name="рврварправправ">[20]Форма2!$D$129:$F$132,[20]Форма2!$D$134:$F$135,[20]Форма2!$D$137:$F$140,[20]Форма2!$D$142:$F$144,[20]Форма2!$D$146:$F$150,[20]Форма2!$D$152:$F$154,[20]Форма2!$D$156:$F$162,[20]Форма2!$D$129</definedName>
    <definedName name="Ремонт">#N/A</definedName>
    <definedName name="реп" localSheetId="127">#REF!</definedName>
    <definedName name="реп" localSheetId="118">#REF!</definedName>
    <definedName name="реп" localSheetId="125">#REF!</definedName>
    <definedName name="реп" localSheetId="126">#REF!</definedName>
    <definedName name="реп" localSheetId="122">#REF!</definedName>
    <definedName name="реп" localSheetId="16">#REF!</definedName>
    <definedName name="реп" localSheetId="46">#REF!</definedName>
    <definedName name="реп" localSheetId="139">#REF!</definedName>
    <definedName name="реп" localSheetId="47">#REF!</definedName>
    <definedName name="реп">#REF!</definedName>
    <definedName name="рис1" localSheetId="125" hidden="1">{#N/A,#N/A,TRUE,"Лист1";#N/A,#N/A,TRUE,"Лист2";#N/A,#N/A,TRUE,"Лист3"}</definedName>
    <definedName name="рис1" localSheetId="126" hidden="1">{#N/A,#N/A,TRUE,"Лист1";#N/A,#N/A,TRUE,"Лист2";#N/A,#N/A,TRUE,"Лист3"}</definedName>
    <definedName name="рис1" localSheetId="46" hidden="1">{#N/A,#N/A,TRUE,"Лист1";#N/A,#N/A,TRUE,"Лист2";#N/A,#N/A,TRUE,"Лист3"}</definedName>
    <definedName name="рис1" localSheetId="139" hidden="1">{#N/A,#N/A,TRUE,"Лист1";#N/A,#N/A,TRUE,"Лист2";#N/A,#N/A,TRUE,"Лист3"}</definedName>
    <definedName name="рис1" localSheetId="47" hidden="1">{#N/A,#N/A,TRUE,"Лист1";#N/A,#N/A,TRUE,"Лист2";#N/A,#N/A,TRUE,"Лист3"}</definedName>
    <definedName name="рис1" hidden="1">{#N/A,#N/A,TRUE,"Лист1";#N/A,#N/A,TRUE,"Лист2";#N/A,#N/A,TRUE,"Лист3"}</definedName>
    <definedName name="рлорюл" localSheetId="6">#REF!</definedName>
    <definedName name="рлорюл" localSheetId="8">#REF!</definedName>
    <definedName name="рлорюл" localSheetId="7">#REF!</definedName>
    <definedName name="рлорюл" localSheetId="138">#REF!</definedName>
    <definedName name="рлорюл" localSheetId="136">#REF!</definedName>
    <definedName name="рлорюл" localSheetId="118">#REF!</definedName>
    <definedName name="рлорюл" localSheetId="137">#REF!</definedName>
    <definedName name="рлорюл" localSheetId="131">#REF!</definedName>
    <definedName name="рлорюл" localSheetId="122">#REF!</definedName>
    <definedName name="рлорюл" localSheetId="16">#REF!</definedName>
    <definedName name="рлорюл" localSheetId="46">#REF!</definedName>
    <definedName name="рлорюл" localSheetId="139">#REF!</definedName>
    <definedName name="рлорюл" localSheetId="47">#REF!</definedName>
    <definedName name="рлорюл" localSheetId="28">#REF!</definedName>
    <definedName name="рлорюл">#REF!</definedName>
    <definedName name="ролл">[35]Форма2!$C$19:$C$24,[35]Форма2!$E$19:$F$24,[35]Форма2!$D$26:$F$31,[35]Форма2!$C$33:$C$38,[35]Форма2!$E$33:$F$38,[35]Форма2!$D$40:$F$43,[35]Форма2!$C$45:$C$48,[35]Форма2!$E$45:$F$48,[35]Форма2!$C$19</definedName>
    <definedName name="рор">[53]Форма2!$C$19:$C$24,[53]Форма2!$E$19:$F$24,[53]Форма2!$D$26:$F$31,[53]Форма2!$C$33:$C$38,[53]Форма2!$E$33:$F$38,[53]Форма2!$D$40:$F$43,[53]Форма2!$C$45:$C$48,[53]Форма2!$E$45:$F$48,[53]Форма2!$C$19</definedName>
    <definedName name="рплодлжд" localSheetId="6">#REF!,#REF!</definedName>
    <definedName name="рплодлжд" localSheetId="8">#REF!,#REF!</definedName>
    <definedName name="рплодлжд" localSheetId="7">#REF!,#REF!</definedName>
    <definedName name="рплодлжд" localSheetId="138">#REF!,#REF!</definedName>
    <definedName name="рплодлжд" localSheetId="136">#REF!,#REF!</definedName>
    <definedName name="рплодлжд" localSheetId="118">#REF!,#REF!</definedName>
    <definedName name="рплодлжд" localSheetId="137">#REF!,#REF!</definedName>
    <definedName name="рплодлжд" localSheetId="131">#REF!,#REF!</definedName>
    <definedName name="рплодлжд" localSheetId="122">#REF!,#REF!</definedName>
    <definedName name="рплодлжд" localSheetId="16">#REF!,#REF!</definedName>
    <definedName name="рплодлжд" localSheetId="46">#REF!,#REF!</definedName>
    <definedName name="рплодлжд" localSheetId="139">#REF!,#REF!</definedName>
    <definedName name="рплодлжд" localSheetId="47">#REF!,#REF!</definedName>
    <definedName name="рплодлжд" localSheetId="28">#REF!,#REF!</definedName>
    <definedName name="рплодлжд">#REF!,#REF!</definedName>
    <definedName name="ррр" localSheetId="11">#REF!</definedName>
    <definedName name="ррр" localSheetId="5">#REF!</definedName>
    <definedName name="ррр" localSheetId="6">#REF!</definedName>
    <definedName name="ррр" localSheetId="8">#REF!</definedName>
    <definedName name="ррр" localSheetId="7">#REF!</definedName>
    <definedName name="ррр" localSheetId="138">#REF!</definedName>
    <definedName name="ррр" localSheetId="10">#REF!</definedName>
    <definedName name="ррр" localSheetId="9">#REF!</definedName>
    <definedName name="ррр" localSheetId="136">#REF!</definedName>
    <definedName name="ррр" localSheetId="127">#REF!</definedName>
    <definedName name="ррр" localSheetId="42">#REF!</definedName>
    <definedName name="ррр" localSheetId="118">#REF!</definedName>
    <definedName name="ррр" localSheetId="128">#REF!</definedName>
    <definedName name="ррр" localSheetId="125">#REF!</definedName>
    <definedName name="ррр" localSheetId="137">#REF!</definedName>
    <definedName name="ррр" localSheetId="130">#REF!</definedName>
    <definedName name="ррр" localSheetId="131">#REF!</definedName>
    <definedName name="ррр" localSheetId="126">#REF!</definedName>
    <definedName name="ррр" localSheetId="122">#REF!</definedName>
    <definedName name="ррр" localSheetId="16">#REF!</definedName>
    <definedName name="ррр" localSheetId="46">#REF!</definedName>
    <definedName name="ррр" localSheetId="139">#REF!</definedName>
    <definedName name="ррр" localSheetId="47">#REF!</definedName>
    <definedName name="ррр" localSheetId="28">#REF!</definedName>
    <definedName name="ррр">#REF!</definedName>
    <definedName name="ррррор" localSheetId="11">#REF!,#REF!</definedName>
    <definedName name="ррррор" localSheetId="5">#REF!,#REF!</definedName>
    <definedName name="ррррор" localSheetId="6">#REF!,#REF!</definedName>
    <definedName name="ррррор" localSheetId="8">#REF!,#REF!</definedName>
    <definedName name="ррррор" localSheetId="7">#REF!,#REF!</definedName>
    <definedName name="ррррор" localSheetId="138">#REF!,#REF!</definedName>
    <definedName name="ррррор" localSheetId="10">#REF!,#REF!</definedName>
    <definedName name="ррррор" localSheetId="9">#REF!,#REF!</definedName>
    <definedName name="ррррор" localSheetId="136">#REF!,#REF!</definedName>
    <definedName name="ррррор" localSheetId="127">#REF!,#REF!</definedName>
    <definedName name="ррррор" localSheetId="42">#REF!,#REF!</definedName>
    <definedName name="ррррор" localSheetId="118">#REF!,#REF!</definedName>
    <definedName name="ррррор" localSheetId="128">#REF!,#REF!</definedName>
    <definedName name="ррррор" localSheetId="125">#REF!,#REF!</definedName>
    <definedName name="ррррор" localSheetId="137">#REF!,#REF!</definedName>
    <definedName name="ррррор" localSheetId="130">#REF!,#REF!</definedName>
    <definedName name="ррррор" localSheetId="131">#REF!,#REF!</definedName>
    <definedName name="ррррор" localSheetId="126">#REF!,#REF!</definedName>
    <definedName name="ррррор" localSheetId="122">#REF!,#REF!</definedName>
    <definedName name="ррррор" localSheetId="16">#REF!,#REF!</definedName>
    <definedName name="ррррор" localSheetId="46">#REF!,#REF!</definedName>
    <definedName name="ррррор" localSheetId="139">#REF!,#REF!</definedName>
    <definedName name="ррррор" localSheetId="47">#REF!,#REF!</definedName>
    <definedName name="ррррор" localSheetId="28">#REF!,#REF!</definedName>
    <definedName name="ррррор">#REF!,#REF!</definedName>
    <definedName name="рщпарылфоп">[20]Форма2!$D$179:$F$185,[20]Форма2!$D$175:$F$177,[20]Форма2!$D$165:$F$173,[20]Форма2!$D$165</definedName>
    <definedName name="с" localSheetId="125">'Площадь столовой новая'!с</definedName>
    <definedName name="с" localSheetId="126">'расч по правилам '!с</definedName>
    <definedName name="с" localSheetId="122">#N/A</definedName>
    <definedName name="с" localSheetId="16">#N/A</definedName>
    <definedName name="с" localSheetId="46">#N/A</definedName>
    <definedName name="с" localSheetId="139">#N/A</definedName>
    <definedName name="с" localSheetId="47">#N/A</definedName>
    <definedName name="с">'Площадь столовой новая'!с</definedName>
    <definedName name="сауле" localSheetId="127">Scheduled_Payment+Extra_Payment</definedName>
    <definedName name="сауле" localSheetId="118">Scheduled_Payment+Extra_Payment</definedName>
    <definedName name="сауле" localSheetId="125">Scheduled_Payment+Extra_Payment</definedName>
    <definedName name="сауле" localSheetId="126">Scheduled_Payment+Extra_Payment</definedName>
    <definedName name="сауле" localSheetId="122">Scheduled_Payment+Extra_Payment</definedName>
    <definedName name="сауле" localSheetId="16">Scheduled_Payment+Extra_Payment</definedName>
    <definedName name="сауле" localSheetId="46">Scheduled_Payment+Extra_Payment</definedName>
    <definedName name="сауле" localSheetId="139">Scheduled_Payment+Extra_Payment</definedName>
    <definedName name="сауле" localSheetId="47">Scheduled_Payment+Extra_Payment</definedName>
    <definedName name="сауле">Scheduled_Payment+Extra_Payment</definedName>
    <definedName name="сектор" localSheetId="127">#REF!</definedName>
    <definedName name="сектор" localSheetId="118">#REF!</definedName>
    <definedName name="сектор" localSheetId="125">#REF!</definedName>
    <definedName name="сектор" localSheetId="126">#REF!</definedName>
    <definedName name="сектор" localSheetId="122">#REF!</definedName>
    <definedName name="сектор" localSheetId="16">#REF!</definedName>
    <definedName name="сектор" localSheetId="46">#REF!</definedName>
    <definedName name="сектор" localSheetId="139">#REF!</definedName>
    <definedName name="сектор" localSheetId="47">#REF!</definedName>
    <definedName name="сектор">#REF!</definedName>
    <definedName name="Сигн" localSheetId="127">Scheduled_Payment+Extra_Payment</definedName>
    <definedName name="Сигн" localSheetId="118">Scheduled_Payment+Extra_Payment</definedName>
    <definedName name="Сигн" localSheetId="125">Scheduled_Payment+Extra_Payment</definedName>
    <definedName name="Сигн" localSheetId="126">Scheduled_Payment+Extra_Payment</definedName>
    <definedName name="Сигн" localSheetId="122">Scheduled_Payment+Extra_Payment</definedName>
    <definedName name="Сигн" localSheetId="16">Scheduled_Payment+Extra_Payment</definedName>
    <definedName name="Сигн" localSheetId="46">Scheduled_Payment+Extra_Payment</definedName>
    <definedName name="Сигн" localSheetId="139">Scheduled_Payment+Extra_Payment</definedName>
    <definedName name="Сигн" localSheetId="47">Scheduled_Payment+Extra_Payment</definedName>
    <definedName name="Сигн">Scheduled_Payment+Extra_Payment</definedName>
    <definedName name="скор">[38]Форма2!$E$106:$F$107,[38]Форма2!$C$106:$C$107,[38]Форма2!$E$102:$F$104,[38]Форма2!$C$102:$C$104,[38]Форма2!$C$97:$C$100,[38]Форма2!$E$97:$F$100,[38]Форма2!$E$92:$F$95,[38]Форма2!$C$92:$C$95,[38]Форма2!$C$92</definedName>
    <definedName name="Служебный">[28]Служебный!$B$2:$B$28</definedName>
    <definedName name="Специфика" localSheetId="11">#REF!</definedName>
    <definedName name="Специфика" localSheetId="5">#REF!</definedName>
    <definedName name="Специфика" localSheetId="6">#REF!</definedName>
    <definedName name="Специфика" localSheetId="8">#REF!</definedName>
    <definedName name="Специфика" localSheetId="7">#REF!</definedName>
    <definedName name="Специфика" localSheetId="138">#REF!</definedName>
    <definedName name="Специфика" localSheetId="10">#REF!</definedName>
    <definedName name="Специфика" localSheetId="9">#REF!</definedName>
    <definedName name="Специфика" localSheetId="136">#REF!</definedName>
    <definedName name="Специфика" localSheetId="127">#REF!</definedName>
    <definedName name="Специфика" localSheetId="42">#REF!</definedName>
    <definedName name="Специфика" localSheetId="118">#REF!</definedName>
    <definedName name="Специфика" localSheetId="128">#REF!</definedName>
    <definedName name="Специфика" localSheetId="125">#REF!</definedName>
    <definedName name="Специфика" localSheetId="137">#REF!</definedName>
    <definedName name="Специфика" localSheetId="130">#REF!</definedName>
    <definedName name="Специфика" localSheetId="131">#REF!</definedName>
    <definedName name="Специфика" localSheetId="126">#REF!</definedName>
    <definedName name="Специфика" localSheetId="122">#REF!</definedName>
    <definedName name="Специфика" localSheetId="16">#REF!</definedName>
    <definedName name="Специфика" localSheetId="46">#REF!</definedName>
    <definedName name="Специфика" localSheetId="139">#REF!</definedName>
    <definedName name="Специфика" localSheetId="47">#REF!</definedName>
    <definedName name="Специфика" localSheetId="28">#REF!</definedName>
    <definedName name="Специфика">#REF!</definedName>
    <definedName name="СписокТЭП">[54]СписокТЭП!$A$1:$C$40</definedName>
    <definedName name="Способ">'[47]Способ закупки'!$A$1:$A$14</definedName>
    <definedName name="СрокПоставки">[28]Месяцы!$A$1:$A$13</definedName>
    <definedName name="сс" localSheetId="125">'Площадь столовой новая'!сс</definedName>
    <definedName name="сс" localSheetId="126">'расч по правилам '!сс</definedName>
    <definedName name="сс" localSheetId="122">#N/A</definedName>
    <definedName name="сс" localSheetId="16">#N/A</definedName>
    <definedName name="сс" localSheetId="46">#N/A</definedName>
    <definedName name="сс" localSheetId="139">#N/A</definedName>
    <definedName name="сс" localSheetId="47">#N/A</definedName>
    <definedName name="сс">'Площадь столовой новая'!сс</definedName>
    <definedName name="сссс" localSheetId="125">'Площадь столовой новая'!сссс</definedName>
    <definedName name="сссс" localSheetId="126">'расч по правилам '!сссс</definedName>
    <definedName name="сссс" localSheetId="122">#N/A</definedName>
    <definedName name="сссс" localSheetId="16">#N/A</definedName>
    <definedName name="сссс" localSheetId="46">#N/A</definedName>
    <definedName name="сссс" localSheetId="139">#N/A</definedName>
    <definedName name="сссс" localSheetId="47">#N/A</definedName>
    <definedName name="сссс">'Площадь столовой новая'!сссс</definedName>
    <definedName name="ссы" localSheetId="125">'Площадь столовой новая'!ссы</definedName>
    <definedName name="ссы" localSheetId="126">'расч по правилам '!ссы</definedName>
    <definedName name="ссы" localSheetId="122">#N/A</definedName>
    <definedName name="ссы" localSheetId="16">#N/A</definedName>
    <definedName name="ссы" localSheetId="46">#N/A</definedName>
    <definedName name="ссы" localSheetId="139">#N/A</definedName>
    <definedName name="ссы" localSheetId="47">#N/A</definedName>
    <definedName name="ссы">'Площадь столовой новая'!ссы</definedName>
    <definedName name="СТРОИТЕЛЬСТВО" localSheetId="127">#REF!</definedName>
    <definedName name="СТРОИТЕЛЬСТВО" localSheetId="118">#REF!</definedName>
    <definedName name="СТРОИТЕЛЬСТВО" localSheetId="125">#REF!</definedName>
    <definedName name="СТРОИТЕЛЬСТВО" localSheetId="126">#REF!</definedName>
    <definedName name="СТРОИТЕЛЬСТВО" localSheetId="122">#REF!</definedName>
    <definedName name="СТРОИТЕЛЬСТВО" localSheetId="16">#REF!</definedName>
    <definedName name="СТРОИТЕЛЬСТВО" localSheetId="46">#REF!</definedName>
    <definedName name="СТРОИТЕЛЬСТВО" localSheetId="139">#REF!</definedName>
    <definedName name="СТРОИТЕЛЬСТВО" localSheetId="47">#REF!</definedName>
    <definedName name="СТРОИТЕЛЬСТВО">#REF!</definedName>
    <definedName name="такой" localSheetId="11">#REF!,#REF!</definedName>
    <definedName name="такой" localSheetId="5">#REF!,#REF!</definedName>
    <definedName name="такой" localSheetId="6">#REF!,#REF!</definedName>
    <definedName name="такой" localSheetId="8">#REF!,#REF!</definedName>
    <definedName name="такой" localSheetId="7">#REF!,#REF!</definedName>
    <definedName name="такой" localSheetId="138">#REF!,#REF!</definedName>
    <definedName name="такой" localSheetId="10">#REF!,#REF!</definedName>
    <definedName name="такой" localSheetId="9">#REF!,#REF!</definedName>
    <definedName name="такой" localSheetId="136">#REF!,#REF!</definedName>
    <definedName name="такой" localSheetId="127">#REF!,#REF!</definedName>
    <definedName name="такой" localSheetId="42">#REF!,#REF!</definedName>
    <definedName name="такой" localSheetId="118">#REF!,#REF!</definedName>
    <definedName name="такой" localSheetId="128">#REF!,#REF!</definedName>
    <definedName name="такой" localSheetId="125">#REF!,#REF!</definedName>
    <definedName name="такой" localSheetId="137">#REF!,#REF!</definedName>
    <definedName name="такой" localSheetId="130">#REF!,#REF!</definedName>
    <definedName name="такой" localSheetId="131">#REF!,#REF!</definedName>
    <definedName name="такой" localSheetId="126">#REF!,#REF!</definedName>
    <definedName name="такой" localSheetId="122">#REF!,#REF!</definedName>
    <definedName name="такой" localSheetId="16">#REF!,#REF!</definedName>
    <definedName name="такой" localSheetId="46">#REF!,#REF!</definedName>
    <definedName name="такой" localSheetId="139">#REF!,#REF!</definedName>
    <definedName name="такой" localSheetId="47">#REF!,#REF!</definedName>
    <definedName name="такой" localSheetId="28">#REF!,#REF!</definedName>
    <definedName name="такой">#REF!,#REF!</definedName>
    <definedName name="Тарификация" localSheetId="80">#REF!,#REF!</definedName>
    <definedName name="Тарификация" localSheetId="71">#REF!,#REF!</definedName>
    <definedName name="Тарификация" localSheetId="74">#REF!,#REF!</definedName>
    <definedName name="Тарификация" localSheetId="81">#REF!,#REF!</definedName>
    <definedName name="Тарификация" localSheetId="73">#REF!,#REF!</definedName>
    <definedName name="Тарификация" localSheetId="82">#REF!,#REF!</definedName>
    <definedName name="Тарификация" localSheetId="31">#REF!,#REF!</definedName>
    <definedName name="Тарификация" localSheetId="108">#REF!,#REF!</definedName>
    <definedName name="Тарификация" localSheetId="62">#REF!,#REF!</definedName>
    <definedName name="Тарификация" localSheetId="40">#REF!,#REF!</definedName>
    <definedName name="Тарификация" localSheetId="59">#REF!,#REF!</definedName>
    <definedName name="Тарификация" localSheetId="61">#REF!,#REF!</definedName>
    <definedName name="Тарификация" localSheetId="51">#REF!,#REF!</definedName>
    <definedName name="Тарификация" localSheetId="56">#REF!,#REF!</definedName>
    <definedName name="Тарификация" localSheetId="88">#REF!,#REF!</definedName>
    <definedName name="Тарификация" localSheetId="94">#REF!,#REF!</definedName>
    <definedName name="Тарификация" localSheetId="11">#REF!,#REF!</definedName>
    <definedName name="Тарификация" localSheetId="5">#REF!,#REF!</definedName>
    <definedName name="Тарификация" localSheetId="6">#REF!,#REF!</definedName>
    <definedName name="Тарификация" localSheetId="8">#REF!,#REF!</definedName>
    <definedName name="Тарификация" localSheetId="7">#REF!,#REF!</definedName>
    <definedName name="Тарификация" localSheetId="138">#REF!,#REF!</definedName>
    <definedName name="Тарификация" localSheetId="10">#REF!,#REF!</definedName>
    <definedName name="Тарификация" localSheetId="9">#REF!,#REF!</definedName>
    <definedName name="Тарификация" localSheetId="136">#REF!,#REF!</definedName>
    <definedName name="Тарификация" localSheetId="127">#REF!,#REF!</definedName>
    <definedName name="Тарификация" localSheetId="37">#REF!,#REF!</definedName>
    <definedName name="Тарификация" localSheetId="60">#REF!,#REF!</definedName>
    <definedName name="Тарификация" localSheetId="41">#REF!,#REF!</definedName>
    <definedName name="Тарификация" localSheetId="45">#REF!,#REF!</definedName>
    <definedName name="Тарификация" localSheetId="53">#REF!,#REF!</definedName>
    <definedName name="Тарификация" localSheetId="57">#REF!,#REF!</definedName>
    <definedName name="Тарификация" localSheetId="42">#REF!,#REF!</definedName>
    <definedName name="Тарификация" localSheetId="95">#REF!,#REF!</definedName>
    <definedName name="Тарификация" localSheetId="118">#REF!,#REF!</definedName>
    <definedName name="Тарификация" localSheetId="48">#REF!,#REF!</definedName>
    <definedName name="Тарификация" localSheetId="79">#REF!,#REF!</definedName>
    <definedName name="Тарификация" localSheetId="133">#REF!,#REF!</definedName>
    <definedName name="Тарификация" localSheetId="128">#REF!,#REF!</definedName>
    <definedName name="Тарификация" localSheetId="93">#REF!,#REF!</definedName>
    <definedName name="Тарификация" localSheetId="97">#REF!,#REF!</definedName>
    <definedName name="Тарификация" localSheetId="113">#REF!,#REF!</definedName>
    <definedName name="Тарификация" localSheetId="90">#REF!,#REF!</definedName>
    <definedName name="Тарификация" localSheetId="12">#REF!,#REF!</definedName>
    <definedName name="Тарификация" localSheetId="125">#REF!,#REF!</definedName>
    <definedName name="Тарификация" localSheetId="105">#REF!,#REF!</definedName>
    <definedName name="Тарификация" localSheetId="52">#REF!,#REF!</definedName>
    <definedName name="Тарификация" localSheetId="50">#REF!,#REF!</definedName>
    <definedName name="Тарификация" localSheetId="137">#REF!,#REF!</definedName>
    <definedName name="Тарификация" localSheetId="33">#REF!,#REF!</definedName>
    <definedName name="Тарификация" localSheetId="34">#REF!,#REF!</definedName>
    <definedName name="Тарификация" localSheetId="84">#REF!,#REF!</definedName>
    <definedName name="Тарификация" localSheetId="102">#REF!,#REF!</definedName>
    <definedName name="Тарификация" localSheetId="130">#REF!,#REF!</definedName>
    <definedName name="Тарификация" localSheetId="131">#REF!,#REF!</definedName>
    <definedName name="Тарификация" localSheetId="126">#REF!,#REF!</definedName>
    <definedName name="Тарификация" localSheetId="122">#REF!,#REF!</definedName>
    <definedName name="Тарификация" localSheetId="78">#REF!,#REF!</definedName>
    <definedName name="Тарификация" localSheetId="116">#REF!,#REF!</definedName>
    <definedName name="Тарификация" localSheetId="16">#REF!,#REF!</definedName>
    <definedName name="Тарификация" localSheetId="4">#REF!,#REF!</definedName>
    <definedName name="Тарификация" localSheetId="75">#REF!,#REF!</definedName>
    <definedName name="Тарификация" localSheetId="89">#REF!,#REF!</definedName>
    <definedName name="Тарификация" localSheetId="0">#REF!,#REF!</definedName>
    <definedName name="Тарификация" localSheetId="38">#REF!,#REF!</definedName>
    <definedName name="Тарификация" localSheetId="55">#REF!,#REF!</definedName>
    <definedName name="Тарификация" localSheetId="85">#REF!,#REF!</definedName>
    <definedName name="Тарификация" localSheetId="58">#REF!,#REF!</definedName>
    <definedName name="Тарификация" localSheetId="96">#REF!,#REF!</definedName>
    <definedName name="Тарификация" localSheetId="46">#REF!,#REF!</definedName>
    <definedName name="Тарификация" localSheetId="139">#REF!,#REF!</definedName>
    <definedName name="Тарификация" localSheetId="36">#REF!,#REF!</definedName>
    <definedName name="Тарификация" localSheetId="87">#REF!,#REF!</definedName>
    <definedName name="Тарификация" localSheetId="43">#REF!,#REF!</definedName>
    <definedName name="Тарификация" localSheetId="49">#REF!,#REF!</definedName>
    <definedName name="Тарификация" localSheetId="86">#REF!,#REF!</definedName>
    <definedName name="Тарификация" localSheetId="47">#REF!,#REF!</definedName>
    <definedName name="Тарификация" localSheetId="54">#REF!,#REF!</definedName>
    <definedName name="Тарификация" localSheetId="23">#REF!,#REF!</definedName>
    <definedName name="Тарификация" localSheetId="13">#REF!,#REF!</definedName>
    <definedName name="Тарификация" localSheetId="24">#REF!,#REF!</definedName>
    <definedName name="Тарификация" localSheetId="29">#REF!,#REF!</definedName>
    <definedName name="Тарификация" localSheetId="25">#REF!,#REF!</definedName>
    <definedName name="Тарификация" localSheetId="26">#REF!,#REF!</definedName>
    <definedName name="Тарификация" localSheetId="27">#REF!,#REF!</definedName>
    <definedName name="Тарификация" localSheetId="28">#REF!,#REF!</definedName>
    <definedName name="Тарификация" localSheetId="119">#REF!,#REF!</definedName>
    <definedName name="Тарификация" localSheetId="69">#REF!,#REF!</definedName>
    <definedName name="Тарификация" localSheetId="70">#REF!,#REF!</definedName>
    <definedName name="Тарификация" localSheetId="72">#REF!,#REF!</definedName>
    <definedName name="Тарификация" localSheetId="68">#REF!,#REF!</definedName>
    <definedName name="Тарификация" localSheetId="67">#REF!,#REF!</definedName>
    <definedName name="Тарификация" localSheetId="66">#REF!,#REF!</definedName>
    <definedName name="Тарификация">#REF!,#REF!</definedName>
    <definedName name="Тип_пункта_плана">'[28]Тип пункта плана'!$A$1:$A$3</definedName>
    <definedName name="типограф">[40]Форма2!$E$234:$F$237,[40]Форма2!$C$234:$C$237,[40]Форма2!$E$224:$F$232,[40]Форма2!$C$224:$C$232,[40]Форма2!$E$223:$F$223,[40]Форма2!$C$223,[40]Форма2!$E$217:$F$221,[40]Форма2!$C$217:$C$221,[40]Форма2!$E$210:$F$215,[40]Форма2!$C$210:$C$215,[40]Форма2!$C$210</definedName>
    <definedName name="типограф.">[40]Форма1!$C$22:$D$33,[40]Форма1!$C$36:$D$48,[40]Форма1!$C$22</definedName>
    <definedName name="типограф.2">'[55]Добыча нефти4'!$F$11:$Q$12</definedName>
    <definedName name="типограф.расходы">[40]Форма2!$E$106:$F$107,[40]Форма2!$C$106:$C$107,[40]Форма2!$E$102:$F$104,[40]Форма2!$C$102:$C$104,[40]Форма2!$C$97:$C$100,[40]Форма2!$E$97:$F$100,[40]Форма2!$E$92:$F$95,[40]Форма2!$C$92:$C$95,[40]Форма2!$C$92</definedName>
    <definedName name="титэк" localSheetId="127">#REF!</definedName>
    <definedName name="титэк" localSheetId="118">#REF!</definedName>
    <definedName name="титэк" localSheetId="125">#REF!</definedName>
    <definedName name="титэк" localSheetId="126">#REF!</definedName>
    <definedName name="титэк" localSheetId="122">#REF!</definedName>
    <definedName name="титэк" localSheetId="16">#REF!</definedName>
    <definedName name="титэк" localSheetId="46">#REF!</definedName>
    <definedName name="титэк" localSheetId="139">#REF!</definedName>
    <definedName name="титэк" localSheetId="47">#REF!</definedName>
    <definedName name="титэк">#REF!</definedName>
    <definedName name="титэк1" localSheetId="127">#REF!</definedName>
    <definedName name="титэк1" localSheetId="118">#REF!</definedName>
    <definedName name="титэк1" localSheetId="125">#REF!</definedName>
    <definedName name="титэк1" localSheetId="126">#REF!</definedName>
    <definedName name="титэк1" localSheetId="122">#REF!</definedName>
    <definedName name="титэк1" localSheetId="16">#REF!</definedName>
    <definedName name="титэк1" localSheetId="46">#REF!</definedName>
    <definedName name="титэк1" localSheetId="139">#REF!</definedName>
    <definedName name="титэк1" localSheetId="47">#REF!</definedName>
    <definedName name="титэк1">#REF!</definedName>
    <definedName name="титэмба" localSheetId="127">#REF!</definedName>
    <definedName name="титэмба" localSheetId="118">#REF!</definedName>
    <definedName name="титэмба" localSheetId="125">#REF!</definedName>
    <definedName name="титэмба" localSheetId="126">#REF!</definedName>
    <definedName name="титэмба" localSheetId="122">#REF!</definedName>
    <definedName name="титэмба" localSheetId="16">#REF!</definedName>
    <definedName name="титэмба" localSheetId="46">#REF!</definedName>
    <definedName name="титэмба" localSheetId="139">#REF!</definedName>
    <definedName name="титэмба" localSheetId="47">#REF!</definedName>
    <definedName name="титэмба">#REF!</definedName>
    <definedName name="тмиывывр">[20]Форма1!$C$22:$D$33,[20]Форма1!$C$36:$D$48,[20]Форма1!$C$22</definedName>
    <definedName name="ТМЦ" localSheetId="6">#REF!</definedName>
    <definedName name="ТМЦ" localSheetId="8">#REF!</definedName>
    <definedName name="ТМЦ" localSheetId="7">#REF!</definedName>
    <definedName name="ТМЦ" localSheetId="138">#REF!</definedName>
    <definedName name="ТМЦ" localSheetId="136">#REF!</definedName>
    <definedName name="ТМЦ" localSheetId="118">#REF!</definedName>
    <definedName name="ТМЦ" localSheetId="137">#REF!</definedName>
    <definedName name="ТМЦ" localSheetId="131">#REF!</definedName>
    <definedName name="ТМЦ" localSheetId="122">#REF!</definedName>
    <definedName name="ТМЦ" localSheetId="16">#REF!</definedName>
    <definedName name="ТМЦ" localSheetId="46">#REF!</definedName>
    <definedName name="ТМЦ" localSheetId="139">#REF!</definedName>
    <definedName name="ТМЦ" localSheetId="47">#REF!</definedName>
    <definedName name="ТМЦ" localSheetId="28">#REF!</definedName>
    <definedName name="ТМЦ">#REF!</definedName>
    <definedName name="то" localSheetId="127">MATCH(0.01,'мебель изм.амортиз'!End_Bal,-1)+1</definedName>
    <definedName name="то" localSheetId="118">MATCH(0.01,'НДС ЗОПЛ'!End_Bal,-1)+1</definedName>
    <definedName name="то" localSheetId="125">MATCH(0.01,'Площадь столовой новая'!End_Bal,-1)+1</definedName>
    <definedName name="то" localSheetId="126">MATCH(0.01,'расч по правилам '!End_Bal,-1)+1</definedName>
    <definedName name="то" localSheetId="122">MATCH(0.01,'Расчет арендной ставки пересчит'!End_Bal,-1)+1</definedName>
    <definedName name="то" localSheetId="16">MATCH(0.01,'свод сверн'!End_Bal,-1)+1</definedName>
    <definedName name="то" localSheetId="46">MATCH(0.01,'хоз 2.03.06.'!End_Bal,-1)+1</definedName>
    <definedName name="то" localSheetId="139">MATCH(0.01,'хоз 2.03.06. (3)'!End_Bal,-1)+1</definedName>
    <definedName name="то" localSheetId="47">MATCH(0.01,'хозМБ)'!End_Bal,-1)+1</definedName>
    <definedName name="то">MATCH(0.01,End_Bal,-1)+1</definedName>
    <definedName name="то1" localSheetId="127">DATE(YEAR('мебель изм.амортиз'!Loan_Start),MONTH('мебель изм.амортиз'!Loan_Start)+Payment_Number,DAY('мебель изм.амортиз'!Loan_Start))</definedName>
    <definedName name="то1" localSheetId="118">DATE(YEAR('НДС ЗОПЛ'!Loan_Start),MONTH('НДС ЗОПЛ'!Loan_Start)+Payment_Number,DAY('НДС ЗОПЛ'!Loan_Start))</definedName>
    <definedName name="то1" localSheetId="125">DATE(YEAR('Площадь столовой новая'!Loan_Start),MONTH('Площадь столовой новая'!Loan_Start)+Payment_Number,DAY('Площадь столовой новая'!Loan_Start))</definedName>
    <definedName name="то1" localSheetId="126">DATE(YEAR('расч по правилам '!Loan_Start),MONTH('расч по правилам '!Loan_Start)+Payment_Number,DAY('расч по правилам '!Loan_Start))</definedName>
    <definedName name="то1" localSheetId="122">DATE(YEAR('Расчет арендной ставки пересчит'!Loan_Start),MONTH('Расчет арендной ставки пересчит'!Loan_Start)+Payment_Number,DAY('Расчет арендной ставки пересчит'!Loan_Start))</definedName>
    <definedName name="то1" localSheetId="16">DATE(YEAR('свод сверн'!Loan_Start),MONTH('свод сверн'!Loan_Start)+Payment_Number,DAY('свод сверн'!Loan_Start))</definedName>
    <definedName name="то1" localSheetId="46">DATE(YEAR('хоз 2.03.06.'!Loan_Start),MONTH('хоз 2.03.06.'!Loan_Start)+Payment_Number,DAY('хоз 2.03.06.'!Loan_Start))</definedName>
    <definedName name="то1" localSheetId="139">DATE(YEAR('хоз 2.03.06. (3)'!Loan_Start),MONTH('хоз 2.03.06. (3)'!Loan_Start)+Payment_Number,DAY('хоз 2.03.06. (3)'!Loan_Start))</definedName>
    <definedName name="то1" localSheetId="47">DATE(YEAR('хозМБ)'!Loan_Start),MONTH('хозМБ)'!Loan_Start)+Payment_Number,DAY('хозМБ)'!Loan_Start))</definedName>
    <definedName name="то1">DATE(YEAR(Loan_Start),MONTH(Loan_Start)+Payment_Number,DAY(Loan_Start))</definedName>
    <definedName name="то2" localSheetId="127">IF('мебель изм.амортиз'!Values_Entered,'мебель изм.амортиз'!Header_Row+'мебель изм.амортиз'!Number_of_Payments,'мебель изм.амортиз'!Header_Row)</definedName>
    <definedName name="то2" localSheetId="118">IF('НДС ЗОПЛ'!Values_Entered,'НДС ЗОПЛ'!Header_Row+'НДС ЗОПЛ'!Number_of_Payments,'НДС ЗОПЛ'!Header_Row)</definedName>
    <definedName name="то2" localSheetId="125">IF('Площадь столовой новая'!Values_Entered,'Площадь столовой новая'!Header_Row+'Площадь столовой новая'!Number_of_Payments,'Площадь столовой новая'!Header_Row)</definedName>
    <definedName name="то2" localSheetId="126">IF('расч по правилам '!Values_Entered,Header_Row+'расч по правилам '!Number_of_Payments,Header_Row)</definedName>
    <definedName name="то2" localSheetId="122">IF('Расчет арендной ставки пересчит'!Values_Entered,'Расчет арендной ставки пересчит'!Header_Row+'Расчет арендной ставки пересчит'!Number_of_Payments,'Расчет арендной ставки пересчит'!Header_Row)</definedName>
    <definedName name="то2" localSheetId="16">IF('свод сверн'!Values_Entered,'свод сверн'!Header_Row+'свод сверн'!Number_of_Payments,'свод сверн'!Header_Row)</definedName>
    <definedName name="то2" localSheetId="46">IF('хоз 2.03.06.'!Values_Entered,'хоз 2.03.06.'!Header_Row+'хоз 2.03.06.'!Number_of_Payments,'хоз 2.03.06.'!Header_Row)</definedName>
    <definedName name="то2" localSheetId="139">IF('хоз 2.03.06. (3)'!Values_Entered,'хоз 2.03.06. (3)'!Header_Row+'хоз 2.03.06. (3)'!Number_of_Payments,'хоз 2.03.06. (3)'!Header_Row)</definedName>
    <definedName name="то2" localSheetId="47">IF('хозМБ)'!Values_Entered,'хозМБ)'!Header_Row+'хозМБ)'!Number_of_Payments,'хозМБ)'!Header_Row)</definedName>
    <definedName name="то2">IF(Values_Entered,Header_Row+Number_of_Payments,Header_Row)</definedName>
    <definedName name="ТО3" localSheetId="127">DATE(YEAR('мебель изм.амортиз'!Loan_Start),MONTH('мебель изм.амортиз'!Loan_Start)+Payment_Number,DAY('мебель изм.амортиз'!Loan_Start))</definedName>
    <definedName name="ТО3" localSheetId="118">DATE(YEAR('НДС ЗОПЛ'!Loan_Start),MONTH('НДС ЗОПЛ'!Loan_Start)+Payment_Number,DAY('НДС ЗОПЛ'!Loan_Start))</definedName>
    <definedName name="ТО3" localSheetId="125">DATE(YEAR('Площадь столовой новая'!Loan_Start),MONTH('Площадь столовой новая'!Loan_Start)+Payment_Number,DAY('Площадь столовой новая'!Loan_Start))</definedName>
    <definedName name="ТО3" localSheetId="126">DATE(YEAR('расч по правилам '!Loan_Start),MONTH('расч по правилам '!Loan_Start)+Payment_Number,DAY('расч по правилам '!Loan_Start))</definedName>
    <definedName name="ТО3" localSheetId="122">DATE(YEAR('Расчет арендной ставки пересчит'!Loan_Start),MONTH('Расчет арендной ставки пересчит'!Loan_Start)+Payment_Number,DAY('Расчет арендной ставки пересчит'!Loan_Start))</definedName>
    <definedName name="ТО3" localSheetId="16">DATE(YEAR('свод сверн'!Loan_Start),MONTH('свод сверн'!Loan_Start)+Payment_Number,DAY('свод сверн'!Loan_Start))</definedName>
    <definedName name="ТО3" localSheetId="46">DATE(YEAR('хоз 2.03.06.'!Loan_Start),MONTH('хоз 2.03.06.'!Loan_Start)+Payment_Number,DAY('хоз 2.03.06.'!Loan_Start))</definedName>
    <definedName name="ТО3" localSheetId="139">DATE(YEAR('хоз 2.03.06. (3)'!Loan_Start),MONTH('хоз 2.03.06. (3)'!Loan_Start)+Payment_Number,DAY('хоз 2.03.06. (3)'!Loan_Start))</definedName>
    <definedName name="ТО3" localSheetId="47">DATE(YEAR('хозМБ)'!Loan_Start),MONTH('хозМБ)'!Loan_Start)+Payment_Number,DAY('хозМБ)'!Loan_Start))</definedName>
    <definedName name="ТО3">DATE(YEAR(Loan_Start),MONTH(Loan_Start)+Payment_Number,DAY(Loan_Start))</definedName>
    <definedName name="ТО4" localSheetId="127">IF('мебель изм.амортиз'!Values_Entered,'мебель изм.амортиз'!Header_Row+'мебель изм.амортиз'!Number_of_Payments,'мебель изм.амортиз'!Header_Row)</definedName>
    <definedName name="ТО4" localSheetId="118">IF('НДС ЗОПЛ'!Values_Entered,'НДС ЗОПЛ'!Header_Row+'НДС ЗОПЛ'!Number_of_Payments,'НДС ЗОПЛ'!Header_Row)</definedName>
    <definedName name="ТО4" localSheetId="125">IF('Площадь столовой новая'!Values_Entered,'Площадь столовой новая'!Header_Row+'Площадь столовой новая'!Number_of_Payments,'Площадь столовой новая'!Header_Row)</definedName>
    <definedName name="ТО4" localSheetId="126">IF('расч по правилам '!Values_Entered,Header_Row+'расч по правилам '!Number_of_Payments,Header_Row)</definedName>
    <definedName name="ТО4" localSheetId="122">IF('Расчет арендной ставки пересчит'!Values_Entered,'Расчет арендной ставки пересчит'!Header_Row+'Расчет арендной ставки пересчит'!Number_of_Payments,'Расчет арендной ставки пересчит'!Header_Row)</definedName>
    <definedName name="ТО4" localSheetId="16">IF('свод сверн'!Values_Entered,'свод сверн'!Header_Row+'свод сверн'!Number_of_Payments,'свод сверн'!Header_Row)</definedName>
    <definedName name="ТО4" localSheetId="46">IF('хоз 2.03.06.'!Values_Entered,'хоз 2.03.06.'!Header_Row+'хоз 2.03.06.'!Number_of_Payments,'хоз 2.03.06.'!Header_Row)</definedName>
    <definedName name="ТО4" localSheetId="139">IF('хоз 2.03.06. (3)'!Values_Entered,'хоз 2.03.06. (3)'!Header_Row+'хоз 2.03.06. (3)'!Number_of_Payments,'хоз 2.03.06. (3)'!Header_Row)</definedName>
    <definedName name="ТО4" localSheetId="47">IF('хозМБ)'!Values_Entered,'хозМБ)'!Header_Row+'хозМБ)'!Number_of_Payments,'хозМБ)'!Header_Row)</definedName>
    <definedName name="ТО4">IF(Values_Entered,Header_Row+Number_of_Payments,Header_Row)</definedName>
    <definedName name="то5" localSheetId="127">MATCH(0.01,'мебель изм.амортиз'!End_Bal,-1)+1</definedName>
    <definedName name="то5" localSheetId="118">MATCH(0.01,'НДС ЗОПЛ'!End_Bal,-1)+1</definedName>
    <definedName name="то5" localSheetId="125">MATCH(0.01,'Площадь столовой новая'!End_Bal,-1)+1</definedName>
    <definedName name="то5" localSheetId="126">MATCH(0.01,'расч по правилам '!End_Bal,-1)+1</definedName>
    <definedName name="то5" localSheetId="122">MATCH(0.01,'Расчет арендной ставки пересчит'!End_Bal,-1)+1</definedName>
    <definedName name="то5" localSheetId="16">MATCH(0.01,'свод сверн'!End_Bal,-1)+1</definedName>
    <definedName name="то5" localSheetId="46">MATCH(0.01,'хоз 2.03.06.'!End_Bal,-1)+1</definedName>
    <definedName name="то5" localSheetId="139">MATCH(0.01,'хоз 2.03.06. (3)'!End_Bal,-1)+1</definedName>
    <definedName name="то5" localSheetId="47">MATCH(0.01,'хозМБ)'!End_Bal,-1)+1</definedName>
    <definedName name="то5">MATCH(0.01,End_Bal,-1)+1</definedName>
    <definedName name="то6" localSheetId="127">IF('мебель изм.амортиз'!Values_Entered,'мебель изм.амортиз'!Header_Row+'мебель изм.амортиз'!Number_of_Payments,'мебель изм.амортиз'!Header_Row)</definedName>
    <definedName name="то6" localSheetId="118">IF('НДС ЗОПЛ'!Values_Entered,'НДС ЗОПЛ'!Header_Row+'НДС ЗОПЛ'!Number_of_Payments,'НДС ЗОПЛ'!Header_Row)</definedName>
    <definedName name="то6" localSheetId="125">IF('Площадь столовой новая'!Values_Entered,'Площадь столовой новая'!Header_Row+'Площадь столовой новая'!Number_of_Payments,'Площадь столовой новая'!Header_Row)</definedName>
    <definedName name="то6" localSheetId="126">IF('расч по правилам '!Values_Entered,Header_Row+'расч по правилам '!Number_of_Payments,Header_Row)</definedName>
    <definedName name="то6" localSheetId="122">IF('Расчет арендной ставки пересчит'!Values_Entered,'Расчет арендной ставки пересчит'!Header_Row+'Расчет арендной ставки пересчит'!Number_of_Payments,'Расчет арендной ставки пересчит'!Header_Row)</definedName>
    <definedName name="то6" localSheetId="16">IF('свод сверн'!Values_Entered,'свод сверн'!Header_Row+'свод сверн'!Number_of_Payments,'свод сверн'!Header_Row)</definedName>
    <definedName name="то6" localSheetId="46">IF('хоз 2.03.06.'!Values_Entered,'хоз 2.03.06.'!Header_Row+'хоз 2.03.06.'!Number_of_Payments,'хоз 2.03.06.'!Header_Row)</definedName>
    <definedName name="то6" localSheetId="139">IF('хоз 2.03.06. (3)'!Values_Entered,'хоз 2.03.06. (3)'!Header_Row+'хоз 2.03.06. (3)'!Number_of_Payments,'хоз 2.03.06. (3)'!Header_Row)</definedName>
    <definedName name="то6" localSheetId="47">IF('хозМБ)'!Values_Entered,'хозМБ)'!Header_Row+'хозМБ)'!Number_of_Payments,'хозМБ)'!Header_Row)</definedName>
    <definedName name="то6">IF(Values_Entered,Header_Row+Number_of_Payments,Header_Row)</definedName>
    <definedName name="то7" localSheetId="127">IF('мебель изм.амортиз'!Values_Entered,'мебель изм.амортиз'!Header_Row+'мебель изм.амортиз'!Number_of_Payments,'мебель изм.амортиз'!Header_Row)</definedName>
    <definedName name="то7" localSheetId="118">IF('НДС ЗОПЛ'!Values_Entered,'НДС ЗОПЛ'!Header_Row+'НДС ЗОПЛ'!Number_of_Payments,'НДС ЗОПЛ'!Header_Row)</definedName>
    <definedName name="то7" localSheetId="125">IF('Площадь столовой новая'!Values_Entered,'Площадь столовой новая'!Header_Row+'Площадь столовой новая'!Number_of_Payments,'Площадь столовой новая'!Header_Row)</definedName>
    <definedName name="то7" localSheetId="126">IF('расч по правилам '!Values_Entered,Header_Row+'расч по правилам '!Number_of_Payments,Header_Row)</definedName>
    <definedName name="то7" localSheetId="122">IF('Расчет арендной ставки пересчит'!Values_Entered,'Расчет арендной ставки пересчит'!Header_Row+'Расчет арендной ставки пересчит'!Number_of_Payments,'Расчет арендной ставки пересчит'!Header_Row)</definedName>
    <definedName name="то7" localSheetId="16">IF('свод сверн'!Values_Entered,'свод сверн'!Header_Row+'свод сверн'!Number_of_Payments,'свод сверн'!Header_Row)</definedName>
    <definedName name="то7" localSheetId="46">IF('хоз 2.03.06.'!Values_Entered,'хоз 2.03.06.'!Header_Row+'хоз 2.03.06.'!Number_of_Payments,'хоз 2.03.06.'!Header_Row)</definedName>
    <definedName name="то7" localSheetId="139">IF('хоз 2.03.06. (3)'!Values_Entered,'хоз 2.03.06. (3)'!Header_Row+'хоз 2.03.06. (3)'!Number_of_Payments,'хоз 2.03.06. (3)'!Header_Row)</definedName>
    <definedName name="то7" localSheetId="47">IF('хозМБ)'!Values_Entered,'хозМБ)'!Header_Row+'хозМБ)'!Number_of_Payments,'хозМБ)'!Header_Row)</definedName>
    <definedName name="то7">IF(Values_Entered,Header_Row+Number_of_Payments,Header_Row)</definedName>
    <definedName name="то8" localSheetId="127">IF('мебель изм.амортиз'!Values_Entered,'мебель изм.амортиз'!Header_Row+'мебель изм.амортиз'!Number_of_Payments,'мебель изм.амортиз'!Header_Row)</definedName>
    <definedName name="то8" localSheetId="118">IF('НДС ЗОПЛ'!Values_Entered,'НДС ЗОПЛ'!Header_Row+'НДС ЗОПЛ'!Number_of_Payments,'НДС ЗОПЛ'!Header_Row)</definedName>
    <definedName name="то8" localSheetId="125">IF('Площадь столовой новая'!Values_Entered,'Площадь столовой новая'!Header_Row+'Площадь столовой новая'!Number_of_Payments,'Площадь столовой новая'!Header_Row)</definedName>
    <definedName name="то8" localSheetId="126">IF('расч по правилам '!Values_Entered,Header_Row+'расч по правилам '!Number_of_Payments,Header_Row)</definedName>
    <definedName name="то8" localSheetId="122">IF('Расчет арендной ставки пересчит'!Values_Entered,'Расчет арендной ставки пересчит'!Header_Row+'Расчет арендной ставки пересчит'!Number_of_Payments,'Расчет арендной ставки пересчит'!Header_Row)</definedName>
    <definedName name="то8" localSheetId="16">IF('свод сверн'!Values_Entered,'свод сверн'!Header_Row+'свод сверн'!Number_of_Payments,'свод сверн'!Header_Row)</definedName>
    <definedName name="то8" localSheetId="46">IF('хоз 2.03.06.'!Values_Entered,'хоз 2.03.06.'!Header_Row+'хоз 2.03.06.'!Number_of_Payments,'хоз 2.03.06.'!Header_Row)</definedName>
    <definedName name="то8" localSheetId="139">IF('хоз 2.03.06. (3)'!Values_Entered,'хоз 2.03.06. (3)'!Header_Row+'хоз 2.03.06. (3)'!Number_of_Payments,'хоз 2.03.06. (3)'!Header_Row)</definedName>
    <definedName name="то8" localSheetId="47">IF('хозМБ)'!Values_Entered,'хозМБ)'!Header_Row+'хозМБ)'!Number_of_Payments,'хозМБ)'!Header_Row)</definedName>
    <definedName name="то8">IF(Values_Entered,Header_Row+Number_of_Payments,Header_Row)</definedName>
    <definedName name="Товар" localSheetId="11">#REF!</definedName>
    <definedName name="Товар" localSheetId="5">#REF!</definedName>
    <definedName name="Товар" localSheetId="6">#REF!</definedName>
    <definedName name="Товар" localSheetId="8">#REF!</definedName>
    <definedName name="Товар" localSheetId="7">#REF!</definedName>
    <definedName name="Товар" localSheetId="138">#REF!</definedName>
    <definedName name="Товар" localSheetId="10">#REF!</definedName>
    <definedName name="Товар" localSheetId="9">#REF!</definedName>
    <definedName name="Товар" localSheetId="136">#REF!</definedName>
    <definedName name="Товар" localSheetId="127">#REF!</definedName>
    <definedName name="Товар" localSheetId="42">#REF!</definedName>
    <definedName name="Товар" localSheetId="118">#REF!</definedName>
    <definedName name="Товар" localSheetId="128">#REF!</definedName>
    <definedName name="Товар" localSheetId="125">#REF!</definedName>
    <definedName name="Товар" localSheetId="137">#REF!</definedName>
    <definedName name="Товар" localSheetId="130">#REF!</definedName>
    <definedName name="Товар" localSheetId="131">#REF!</definedName>
    <definedName name="Товар" localSheetId="126">#REF!</definedName>
    <definedName name="Товар" localSheetId="122">#REF!</definedName>
    <definedName name="Товар" localSheetId="16">#REF!</definedName>
    <definedName name="Товар" localSheetId="46">#REF!</definedName>
    <definedName name="Товар" localSheetId="139">#REF!</definedName>
    <definedName name="Товар" localSheetId="47">#REF!</definedName>
    <definedName name="Товар" localSheetId="28">#REF!</definedName>
    <definedName name="Товар">#REF!</definedName>
    <definedName name="тп" localSheetId="125" hidden="1">{#N/A,#N/A,TRUE,"Лист1";#N/A,#N/A,TRUE,"Лист2";#N/A,#N/A,TRUE,"Лист3"}</definedName>
    <definedName name="тп" localSheetId="126" hidden="1">{#N/A,#N/A,TRUE,"Лист1";#N/A,#N/A,TRUE,"Лист2";#N/A,#N/A,TRUE,"Лист3"}</definedName>
    <definedName name="тп" localSheetId="46" hidden="1">{#N/A,#N/A,TRUE,"Лист1";#N/A,#N/A,TRUE,"Лист2";#N/A,#N/A,TRUE,"Лист3"}</definedName>
    <definedName name="тп" localSheetId="139" hidden="1">{#N/A,#N/A,TRUE,"Лист1";#N/A,#N/A,TRUE,"Лист2";#N/A,#N/A,TRUE,"Лист3"}</definedName>
    <definedName name="тп" localSheetId="47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127">#REF!</definedName>
    <definedName name="третий" localSheetId="118">#REF!</definedName>
    <definedName name="третий" localSheetId="125">#REF!</definedName>
    <definedName name="третий" localSheetId="126">#REF!</definedName>
    <definedName name="третий" localSheetId="122">#REF!</definedName>
    <definedName name="третий" localSheetId="16">#REF!</definedName>
    <definedName name="третий" localSheetId="46">#REF!</definedName>
    <definedName name="третий" localSheetId="139">#REF!</definedName>
    <definedName name="третий" localSheetId="47">#REF!</definedName>
    <definedName name="третий">#REF!</definedName>
    <definedName name="тттт" localSheetId="127">'[39]14.1.2.2.(Услуги связи)'!#REF!</definedName>
    <definedName name="тттт" localSheetId="118">'[39]14.1.2.2.(Услуги связи)'!#REF!</definedName>
    <definedName name="тттт" localSheetId="125">'[39]14.1.2.2.(Услуги связи)'!#REF!</definedName>
    <definedName name="тттт" localSheetId="126">'[39]14.1.2.2.(Услуги связи)'!#REF!</definedName>
    <definedName name="тттт" localSheetId="122">'[39]14.1.2.2.(Услуги связи)'!#REF!</definedName>
    <definedName name="тттт" localSheetId="16">'[39]14.1.2.2.(Услуги связи)'!#REF!</definedName>
    <definedName name="тттт" localSheetId="46">'[39]14.1.2.2.(Услуги связи)'!#REF!</definedName>
    <definedName name="тттт" localSheetId="139">'[39]14.1.2.2.(Услуги связи)'!#REF!</definedName>
    <definedName name="тттт" localSheetId="47">'[39]14.1.2.2.(Услуги связи)'!#REF!</definedName>
    <definedName name="тттт">'[39]14.1.2.2.(Услуги связи)'!#REF!</definedName>
    <definedName name="тывасовиаолиыфоатыфф">[20]Форма1!$C$22:$D$33,[20]Форма1!$C$36:$D$48,[20]Форма1!$C$22</definedName>
    <definedName name="у" localSheetId="125">'Площадь столовой новая'!у</definedName>
    <definedName name="у" localSheetId="126">'расч по правилам '!у</definedName>
    <definedName name="у" localSheetId="122">#N/A</definedName>
    <definedName name="у" localSheetId="16">#N/A</definedName>
    <definedName name="у" localSheetId="46">#N/A</definedName>
    <definedName name="у" localSheetId="139">#N/A</definedName>
    <definedName name="у" localSheetId="47">#N/A</definedName>
    <definedName name="у">'Площадь столовой новая'!у</definedName>
    <definedName name="ук" localSheetId="125">'Площадь столовой новая'!ук</definedName>
    <definedName name="ук" localSheetId="126">'расч по правилам '!ук</definedName>
    <definedName name="ук" localSheetId="122">#N/A</definedName>
    <definedName name="ук" localSheetId="16">#N/A</definedName>
    <definedName name="ук" localSheetId="46">#N/A</definedName>
    <definedName name="ук" localSheetId="139">#N/A</definedName>
    <definedName name="ук" localSheetId="47">#N/A</definedName>
    <definedName name="ук">'Площадь столовой новая'!ук</definedName>
    <definedName name="укеееукеееееееееееееее" localSheetId="125" hidden="1">{#N/A,#N/A,TRUE,"Лист1";#N/A,#N/A,TRUE,"Лист2";#N/A,#N/A,TRUE,"Лист3"}</definedName>
    <definedName name="укеееукеееееееееееееее" localSheetId="126" hidden="1">{#N/A,#N/A,TRUE,"Лист1";#N/A,#N/A,TRUE,"Лист2";#N/A,#N/A,TRUE,"Лист3"}</definedName>
    <definedName name="укеееукеееееееееееееее" localSheetId="46" hidden="1">{#N/A,#N/A,TRUE,"Лист1";#N/A,#N/A,TRUE,"Лист2";#N/A,#N/A,TRUE,"Лист3"}</definedName>
    <definedName name="укеееукеееееееееееееее" localSheetId="139" hidden="1">{#N/A,#N/A,TRUE,"Лист1";#N/A,#N/A,TRUE,"Лист2";#N/A,#N/A,TRUE,"Лист3"}</definedName>
    <definedName name="укеееукеееееееееееееее" localSheetId="47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125" hidden="1">{#N/A,#N/A,TRUE,"Лист1";#N/A,#N/A,TRUE,"Лист2";#N/A,#N/A,TRUE,"Лист3"}</definedName>
    <definedName name="укеукеуеуе" localSheetId="126" hidden="1">{#N/A,#N/A,TRUE,"Лист1";#N/A,#N/A,TRUE,"Лист2";#N/A,#N/A,TRUE,"Лист3"}</definedName>
    <definedName name="укеукеуеуе" localSheetId="46" hidden="1">{#N/A,#N/A,TRUE,"Лист1";#N/A,#N/A,TRUE,"Лист2";#N/A,#N/A,TRUE,"Лист3"}</definedName>
    <definedName name="укеукеуеуе" localSheetId="139" hidden="1">{#N/A,#N/A,TRUE,"Лист1";#N/A,#N/A,TRUE,"Лист2";#N/A,#N/A,TRUE,"Лист3"}</definedName>
    <definedName name="укеукеуеуе" localSheetId="47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слуга" localSheetId="11">#REF!</definedName>
    <definedName name="Услуга" localSheetId="5">#REF!</definedName>
    <definedName name="Услуга" localSheetId="6">#REF!</definedName>
    <definedName name="Услуга" localSheetId="8">#REF!</definedName>
    <definedName name="Услуга" localSheetId="7">#REF!</definedName>
    <definedName name="Услуга" localSheetId="138">#REF!</definedName>
    <definedName name="Услуга" localSheetId="10">#REF!</definedName>
    <definedName name="Услуга" localSheetId="9">#REF!</definedName>
    <definedName name="Услуга" localSheetId="136">#REF!</definedName>
    <definedName name="Услуга" localSheetId="127">#REF!</definedName>
    <definedName name="Услуга" localSheetId="42">#REF!</definedName>
    <definedName name="Услуга" localSheetId="118">#REF!</definedName>
    <definedName name="Услуга" localSheetId="128">#REF!</definedName>
    <definedName name="Услуга" localSheetId="125">#REF!</definedName>
    <definedName name="Услуга" localSheetId="137">#REF!</definedName>
    <definedName name="Услуга" localSheetId="130">#REF!</definedName>
    <definedName name="Услуга" localSheetId="131">#REF!</definedName>
    <definedName name="Услуга" localSheetId="126">#REF!</definedName>
    <definedName name="Услуга" localSheetId="122">#REF!</definedName>
    <definedName name="Услуга" localSheetId="16">#REF!</definedName>
    <definedName name="Услуга" localSheetId="46">#REF!</definedName>
    <definedName name="Услуга" localSheetId="139">#REF!</definedName>
    <definedName name="Услуга" localSheetId="47">#REF!</definedName>
    <definedName name="Услуга" localSheetId="28">#REF!</definedName>
    <definedName name="Услуга">#REF!</definedName>
    <definedName name="уц" localSheetId="125">'Площадь столовой новая'!уц</definedName>
    <definedName name="уц" localSheetId="126">'расч по правилам '!уц</definedName>
    <definedName name="уц" localSheetId="122">#N/A</definedName>
    <definedName name="уц" localSheetId="16">#N/A</definedName>
    <definedName name="уц" localSheetId="46">#N/A</definedName>
    <definedName name="уц" localSheetId="139">#N/A</definedName>
    <definedName name="уц" localSheetId="47">#N/A</definedName>
    <definedName name="уц">'Площадь столовой новая'!уц</definedName>
    <definedName name="Ф4">[38]Форма2!$C$113:$C$114,[38]Форма2!$D$110:$F$112,[38]Форма2!$E$113:$F$114,[38]Форма2!$D$115:$F$115,[38]Форма2!$D$117:$F$119,[38]Форма2!$D$121:$F$122,[38]Форма2!$D$124:$F$126,[38]Форма2!$D$110</definedName>
    <definedName name="Форма">[34]Форма2!$C$19:$C$24,[34]Форма2!$E$19:$F$24,[34]Форма2!$D$26:$F$31,[34]Форма2!$C$33:$C$38,[34]Форма2!$E$33:$F$38,[34]Форма2!$D$40:$F$43,[34]Форма2!$C$45:$C$48,[34]Форма2!$E$45:$F$48,[34]Форма2!$C$19</definedName>
    <definedName name="форма1">[34]Форма2!$E$106:$F$107,[34]Форма2!$C$106:$C$107,[34]Форма2!$E$102:$F$104,[34]Форма2!$C$102:$C$104,[34]Форма2!$C$97:$C$100,[34]Форма2!$E$97:$F$100,[34]Форма2!$E$92:$F$95,[34]Форма2!$C$92:$C$95,[34]Форма2!$C$92</definedName>
    <definedName name="Форма2">[42]Форма2!$C$51:$C$58,[42]Форма2!$E$51:$F$58,[42]Форма2!$C$60:$C$63,[42]Форма2!$E$60:$F$63,[42]Форма2!$C$65:$C$67,[42]Форма2!$E$65:$F$67,[42]Форма2!$C$51</definedName>
    <definedName name="форма6" localSheetId="127">#REF!</definedName>
    <definedName name="форма6" localSheetId="118">#REF!</definedName>
    <definedName name="форма6" localSheetId="125">#REF!</definedName>
    <definedName name="форма6" localSheetId="126">#REF!</definedName>
    <definedName name="форма6" localSheetId="122">#REF!</definedName>
    <definedName name="форма6" localSheetId="16">#REF!</definedName>
    <definedName name="форма6" localSheetId="46">#REF!</definedName>
    <definedName name="форма6" localSheetId="139">#REF!</definedName>
    <definedName name="форма6" localSheetId="47">#REF!</definedName>
    <definedName name="форма6">#REF!</definedName>
    <definedName name="ФОТ" localSheetId="11">#REF!,#REF!</definedName>
    <definedName name="ФОТ" localSheetId="5">#REF!,#REF!</definedName>
    <definedName name="ФОТ" localSheetId="6">#REF!,#REF!</definedName>
    <definedName name="ФОТ" localSheetId="8">#REF!,#REF!</definedName>
    <definedName name="ФОТ" localSheetId="7">#REF!,#REF!</definedName>
    <definedName name="ФОТ" localSheetId="138">#REF!,#REF!</definedName>
    <definedName name="ФОТ" localSheetId="10">#REF!,#REF!</definedName>
    <definedName name="ФОТ" localSheetId="9">#REF!,#REF!</definedName>
    <definedName name="ФОТ" localSheetId="136">#REF!,#REF!</definedName>
    <definedName name="ФОТ" localSheetId="127">#REF!,#REF!</definedName>
    <definedName name="ФОТ" localSheetId="118">#REF!,#REF!</definedName>
    <definedName name="ФОТ" localSheetId="128">#REF!,#REF!</definedName>
    <definedName name="ФОТ" localSheetId="125">#REF!,#REF!</definedName>
    <definedName name="ФОТ" localSheetId="137">#REF!,#REF!</definedName>
    <definedName name="ФОТ" localSheetId="131">#REF!,#REF!</definedName>
    <definedName name="ФОТ" localSheetId="126">#REF!,#REF!</definedName>
    <definedName name="ФОТ" localSheetId="122">#REF!,#REF!</definedName>
    <definedName name="ФОТ" localSheetId="16">#REF!,#REF!</definedName>
    <definedName name="ФОТ" localSheetId="46">#REF!,#REF!</definedName>
    <definedName name="ФОТ" localSheetId="139">#REF!,#REF!</definedName>
    <definedName name="ФОТ" localSheetId="47">#REF!,#REF!</definedName>
    <definedName name="ФОТ" localSheetId="28">#REF!,#REF!</definedName>
    <definedName name="ФОТ">#REF!,#REF!</definedName>
    <definedName name="ффф">[40]Форма2!$C$51:$C$58,[40]Форма2!$E$51:$F$58,[40]Форма2!$C$60:$C$63,[40]Форма2!$E$60:$F$63,[40]Форма2!$C$65:$C$67,[40]Форма2!$E$65:$F$67,[40]Форма2!$C$51</definedName>
    <definedName name="фыв">'[56]Служебный ФКРБ'!$B$2:$B$123</definedName>
    <definedName name="Хозяйство" localSheetId="127">Scheduled_Payment+Extra_Payment</definedName>
    <definedName name="Хозяйство" localSheetId="118">Scheduled_Payment+Extra_Payment</definedName>
    <definedName name="Хозяйство" localSheetId="125">Scheduled_Payment+Extra_Payment</definedName>
    <definedName name="Хозяйство" localSheetId="126">Scheduled_Payment+Extra_Payment</definedName>
    <definedName name="Хозяйство" localSheetId="122">Scheduled_Payment+Extra_Payment</definedName>
    <definedName name="Хозяйство" localSheetId="16">Scheduled_Payment+Extra_Payment</definedName>
    <definedName name="Хозяйство" localSheetId="46">Scheduled_Payment+Extra_Payment</definedName>
    <definedName name="Хозяйство" localSheetId="139">Scheduled_Payment+Extra_Payment</definedName>
    <definedName name="Хозяйство" localSheetId="47">Scheduled_Payment+Extra_Payment</definedName>
    <definedName name="Хозяйство">Scheduled_Payment+Extra_Payment</definedName>
    <definedName name="ц" localSheetId="125">'Площадь столовой новая'!ц</definedName>
    <definedName name="ц" localSheetId="126">'расч по правилам '!ц</definedName>
    <definedName name="ц" localSheetId="122">#N/A</definedName>
    <definedName name="ц" localSheetId="16">#N/A</definedName>
    <definedName name="ц" localSheetId="46">#N/A</definedName>
    <definedName name="ц" localSheetId="139">#N/A</definedName>
    <definedName name="ц" localSheetId="47">#N/A</definedName>
    <definedName name="ц">'Площадь столовой новая'!ц</definedName>
    <definedName name="ц49" localSheetId="127">[57]Баланс!#REF!</definedName>
    <definedName name="ц49" localSheetId="118">[57]Баланс!#REF!</definedName>
    <definedName name="ц49" localSheetId="125">[57]Баланс!#REF!</definedName>
    <definedName name="ц49" localSheetId="126">[57]Баланс!#REF!</definedName>
    <definedName name="ц49" localSheetId="122">[57]Баланс!#REF!</definedName>
    <definedName name="ц49" localSheetId="16">[57]Баланс!#REF!</definedName>
    <definedName name="ц49" localSheetId="46">[57]Баланс!#REF!</definedName>
    <definedName name="ц49" localSheetId="139">[57]Баланс!#REF!</definedName>
    <definedName name="ц49" localSheetId="47">[57]Баланс!#REF!</definedName>
    <definedName name="ц49">[57]Баланс!#REF!</definedName>
    <definedName name="цу" localSheetId="125">'Площадь столовой новая'!цу</definedName>
    <definedName name="цу" localSheetId="126">'расч по правилам '!цу</definedName>
    <definedName name="цу" localSheetId="122">#N/A</definedName>
    <definedName name="цу" localSheetId="16">#N/A</definedName>
    <definedName name="цу" localSheetId="46">#N/A</definedName>
    <definedName name="цу" localSheetId="139">#N/A</definedName>
    <definedName name="цу" localSheetId="47">#N/A</definedName>
    <definedName name="цу">'Площадь столовой новая'!цу</definedName>
    <definedName name="цц" localSheetId="125">'Площадь столовой новая'!цц</definedName>
    <definedName name="цц" localSheetId="126">'расч по правилам '!цц</definedName>
    <definedName name="цц" localSheetId="122">#N/A</definedName>
    <definedName name="цц" localSheetId="16">#N/A</definedName>
    <definedName name="цц" localSheetId="46">#N/A</definedName>
    <definedName name="цц" localSheetId="139">#N/A</definedName>
    <definedName name="цц" localSheetId="47">#N/A</definedName>
    <definedName name="цц">'Площадь столовой новая'!цц</definedName>
    <definedName name="четвертый" localSheetId="127">#REF!</definedName>
    <definedName name="четвертый" localSheetId="118">#REF!</definedName>
    <definedName name="четвертый" localSheetId="125">#REF!</definedName>
    <definedName name="четвертый" localSheetId="126">#REF!</definedName>
    <definedName name="четвертый" localSheetId="122">#REF!</definedName>
    <definedName name="четвертый" localSheetId="16">#REF!</definedName>
    <definedName name="четвертый" localSheetId="46">#REF!</definedName>
    <definedName name="четвертый" localSheetId="139">#REF!</definedName>
    <definedName name="четвертый" localSheetId="47">#REF!</definedName>
    <definedName name="четвертый">#REF!</definedName>
    <definedName name="шт" localSheetId="80">#REF!,#REF!</definedName>
    <definedName name="шт" localSheetId="71">#REF!,#REF!</definedName>
    <definedName name="шт" localSheetId="74">#REF!,#REF!</definedName>
    <definedName name="шт" localSheetId="81">#REF!,#REF!</definedName>
    <definedName name="шт" localSheetId="82">#REF!,#REF!</definedName>
    <definedName name="шт" localSheetId="62">#REF!,#REF!</definedName>
    <definedName name="шт" localSheetId="40">#REF!,#REF!</definedName>
    <definedName name="шт" localSheetId="59">#REF!,#REF!</definedName>
    <definedName name="шт" localSheetId="61">#REF!,#REF!</definedName>
    <definedName name="шт" localSheetId="51">#REF!,#REF!</definedName>
    <definedName name="шт" localSheetId="56">#REF!,#REF!</definedName>
    <definedName name="шт" localSheetId="11">#REF!,#REF!</definedName>
    <definedName name="шт" localSheetId="6">#REF!,#REF!</definedName>
    <definedName name="шт" localSheetId="8">#REF!,#REF!</definedName>
    <definedName name="шт" localSheetId="7">#REF!,#REF!</definedName>
    <definedName name="шт" localSheetId="138">#REF!,#REF!</definedName>
    <definedName name="шт" localSheetId="10">#REF!,#REF!</definedName>
    <definedName name="шт" localSheetId="9">#REF!,#REF!</definedName>
    <definedName name="шт" localSheetId="136">#REF!,#REF!</definedName>
    <definedName name="шт" localSheetId="127">#REF!,#REF!</definedName>
    <definedName name="шт" localSheetId="37">#REF!,#REF!</definedName>
    <definedName name="шт" localSheetId="60">#REF!,#REF!</definedName>
    <definedName name="шт" localSheetId="41">#REF!,#REF!</definedName>
    <definedName name="шт" localSheetId="45">#REF!,#REF!</definedName>
    <definedName name="шт" localSheetId="53">#REF!,#REF!</definedName>
    <definedName name="шт" localSheetId="57">#REF!,#REF!</definedName>
    <definedName name="шт" localSheetId="42">#REF!,#REF!</definedName>
    <definedName name="шт" localSheetId="95">#REF!,#REF!</definedName>
    <definedName name="шт" localSheetId="118">#REF!,#REF!</definedName>
    <definedName name="шт" localSheetId="48">#REF!,#REF!</definedName>
    <definedName name="шт" localSheetId="128">#REF!,#REF!</definedName>
    <definedName name="шт" localSheetId="12">#REF!,#REF!</definedName>
    <definedName name="шт" localSheetId="125">#REF!,#REF!</definedName>
    <definedName name="шт" localSheetId="52">#REF!,#REF!</definedName>
    <definedName name="шт" localSheetId="50">#REF!,#REF!</definedName>
    <definedName name="шт" localSheetId="137">#REF!,#REF!</definedName>
    <definedName name="шт" localSheetId="33">#REF!,#REF!</definedName>
    <definedName name="шт" localSheetId="84">#REF!,#REF!</definedName>
    <definedName name="шт" localSheetId="131">#REF!,#REF!</definedName>
    <definedName name="шт" localSheetId="126">#REF!,#REF!</definedName>
    <definedName name="шт" localSheetId="122">#REF!,#REF!</definedName>
    <definedName name="шт" localSheetId="116">#REF!,#REF!</definedName>
    <definedName name="шт" localSheetId="16">#REF!,#REF!</definedName>
    <definedName name="шт" localSheetId="38">#REF!,#REF!</definedName>
    <definedName name="шт" localSheetId="55">#REF!,#REF!</definedName>
    <definedName name="шт" localSheetId="85">#REF!,#REF!</definedName>
    <definedName name="шт" localSheetId="58">#REF!,#REF!</definedName>
    <definedName name="шт" localSheetId="46">#REF!,#REF!</definedName>
    <definedName name="шт" localSheetId="139">#REF!,#REF!</definedName>
    <definedName name="шт" localSheetId="36">#REF!,#REF!</definedName>
    <definedName name="шт" localSheetId="87">#REF!,#REF!</definedName>
    <definedName name="шт" localSheetId="43">#REF!,#REF!</definedName>
    <definedName name="шт" localSheetId="49">#REF!,#REF!</definedName>
    <definedName name="шт" localSheetId="86">#REF!,#REF!</definedName>
    <definedName name="шт" localSheetId="47">#REF!,#REF!</definedName>
    <definedName name="шт" localSheetId="54">#REF!,#REF!</definedName>
    <definedName name="шт" localSheetId="23">#REF!,#REF!</definedName>
    <definedName name="шт" localSheetId="13">#REF!,#REF!</definedName>
    <definedName name="шт" localSheetId="24">#REF!,#REF!</definedName>
    <definedName name="шт" localSheetId="25">#REF!,#REF!</definedName>
    <definedName name="шт" localSheetId="27">#REF!,#REF!</definedName>
    <definedName name="шт" localSheetId="28">#REF!,#REF!</definedName>
    <definedName name="шт" localSheetId="119">#REF!,#REF!</definedName>
    <definedName name="шт" localSheetId="69">#REF!,#REF!</definedName>
    <definedName name="шт" localSheetId="70">#REF!,#REF!</definedName>
    <definedName name="шт" localSheetId="72">#REF!,#REF!</definedName>
    <definedName name="шт" localSheetId="68">#REF!,#REF!</definedName>
    <definedName name="шт" localSheetId="67">#REF!,#REF!</definedName>
    <definedName name="шт">#REF!,#REF!</definedName>
    <definedName name="шщз23" localSheetId="127">#REF!,#REF!</definedName>
    <definedName name="шщз23" localSheetId="118">#REF!,#REF!</definedName>
    <definedName name="шщз23" localSheetId="125">#REF!,#REF!</definedName>
    <definedName name="шщз23" localSheetId="126">#REF!,#REF!</definedName>
    <definedName name="шщз23" localSheetId="122">#REF!,#REF!</definedName>
    <definedName name="шщз23" localSheetId="16">#REF!,#REF!</definedName>
    <definedName name="шщз23" localSheetId="46">#REF!,#REF!</definedName>
    <definedName name="шщз23" localSheetId="139">#REF!,#REF!</definedName>
    <definedName name="шщз23" localSheetId="47">#REF!,#REF!</definedName>
    <definedName name="шщз23">#REF!,#REF!</definedName>
    <definedName name="щ" localSheetId="125">'Площадь столовой новая'!щ</definedName>
    <definedName name="щ" localSheetId="126">'расч по правилам '!щ</definedName>
    <definedName name="щ" localSheetId="122">#N/A</definedName>
    <definedName name="щ" localSheetId="16">#N/A</definedName>
    <definedName name="щ" localSheetId="46">#N/A</definedName>
    <definedName name="щ" localSheetId="139">#N/A</definedName>
    <definedName name="щ" localSheetId="47">#N/A</definedName>
    <definedName name="щ">'Площадь столовой новая'!щ</definedName>
    <definedName name="щз" localSheetId="11">#REF!,#REF!</definedName>
    <definedName name="щз" localSheetId="5">#REF!,#REF!</definedName>
    <definedName name="щз" localSheetId="6">#REF!,#REF!</definedName>
    <definedName name="щз" localSheetId="8">#REF!,#REF!</definedName>
    <definedName name="щз" localSheetId="7">#REF!,#REF!</definedName>
    <definedName name="щз" localSheetId="138">#REF!,#REF!</definedName>
    <definedName name="щз" localSheetId="10">#REF!,#REF!</definedName>
    <definedName name="щз" localSheetId="9">#REF!,#REF!</definedName>
    <definedName name="щз" localSheetId="136">#REF!,#REF!</definedName>
    <definedName name="щз" localSheetId="127">#REF!,#REF!</definedName>
    <definedName name="щз" localSheetId="118">#REF!,#REF!</definedName>
    <definedName name="щз" localSheetId="128">#REF!,#REF!</definedName>
    <definedName name="щз" localSheetId="125">#REF!,#REF!</definedName>
    <definedName name="щз" localSheetId="137">#REF!,#REF!</definedName>
    <definedName name="щз" localSheetId="131">#REF!,#REF!</definedName>
    <definedName name="щз" localSheetId="126">#REF!,#REF!</definedName>
    <definedName name="щз" localSheetId="122">#REF!,#REF!</definedName>
    <definedName name="щз" localSheetId="16">#REF!,#REF!</definedName>
    <definedName name="щз" localSheetId="46">#REF!,#REF!</definedName>
    <definedName name="щз" localSheetId="139">#REF!,#REF!</definedName>
    <definedName name="щз" localSheetId="47">#REF!,#REF!</definedName>
    <definedName name="щз" localSheetId="28">#REF!,#REF!</definedName>
    <definedName name="щз">#REF!,#REF!</definedName>
    <definedName name="ыв" localSheetId="125">'Площадь столовой новая'!ыв</definedName>
    <definedName name="ыв" localSheetId="126">'расч по правилам '!ыв</definedName>
    <definedName name="ыв" localSheetId="122">#N/A</definedName>
    <definedName name="ыв" localSheetId="16">#N/A</definedName>
    <definedName name="ыв" localSheetId="46">#N/A</definedName>
    <definedName name="ыв" localSheetId="139">#N/A</definedName>
    <definedName name="ыв" localSheetId="47">#N/A</definedName>
    <definedName name="ыв">'Площадь столовой новая'!ыв</definedName>
    <definedName name="ыправгшпргыварпп">[20]Форма2!$C$19:$C$24,[20]Форма2!$E$19:$F$24,[20]Форма2!$D$26:$F$31,[20]Форма2!$C$33:$C$38,[20]Форма2!$E$33:$F$38,[20]Форма2!$D$40:$F$43,[20]Форма2!$C$45:$C$48,[20]Форма2!$E$45:$F$48,[20]Форма2!$C$19</definedName>
    <definedName name="ыуаы" localSheetId="125" hidden="1">{#N/A,#N/A,TRUE,"Лист1";#N/A,#N/A,TRUE,"Лист2";#N/A,#N/A,TRUE,"Лист3"}</definedName>
    <definedName name="ыуаы" localSheetId="126" hidden="1">{#N/A,#N/A,TRUE,"Лист1";#N/A,#N/A,TRUE,"Лист2";#N/A,#N/A,TRUE,"Лист3"}</definedName>
    <definedName name="ыуаы" localSheetId="46" hidden="1">{#N/A,#N/A,TRUE,"Лист1";#N/A,#N/A,TRUE,"Лист2";#N/A,#N/A,TRUE,"Лист3"}</definedName>
    <definedName name="ыуаы" localSheetId="139" hidden="1">{#N/A,#N/A,TRUE,"Лист1";#N/A,#N/A,TRUE,"Лист2";#N/A,#N/A,TRUE,"Лист3"}</definedName>
    <definedName name="ыуаы" localSheetId="47" hidden="1">{#N/A,#N/A,TRUE,"Лист1";#N/A,#N/A,TRUE,"Лист2";#N/A,#N/A,TRUE,"Лист3"}</definedName>
    <definedName name="ыуаы" hidden="1">{#N/A,#N/A,TRUE,"Лист1";#N/A,#N/A,TRUE,"Лист2";#N/A,#N/A,TRUE,"Лист3"}</definedName>
    <definedName name="ыфв" localSheetId="127">#REF!</definedName>
    <definedName name="ыфв" localSheetId="118">#REF!</definedName>
    <definedName name="ыфв" localSheetId="125">#REF!</definedName>
    <definedName name="ыфв" localSheetId="126">#REF!</definedName>
    <definedName name="ыфв" localSheetId="122">#REF!</definedName>
    <definedName name="ыфв" localSheetId="16">#REF!</definedName>
    <definedName name="ыфв" localSheetId="46">#REF!</definedName>
    <definedName name="ыфв" localSheetId="139">#REF!</definedName>
    <definedName name="ыфв" localSheetId="47">#REF!</definedName>
    <definedName name="ыфв">#REF!</definedName>
    <definedName name="ыыыы" localSheetId="125">'Площадь столовой новая'!ыыыы</definedName>
    <definedName name="ыыыы" localSheetId="126">'расч по правилам '!ыыыы</definedName>
    <definedName name="ыыыы" localSheetId="122">#N/A</definedName>
    <definedName name="ыыыы" localSheetId="16">#N/A</definedName>
    <definedName name="ыыыы" localSheetId="46">#N/A</definedName>
    <definedName name="ыыыы" localSheetId="139">#N/A</definedName>
    <definedName name="ыыыы" localSheetId="47">#N/A</definedName>
    <definedName name="ыыыы">'Площадь столовой новая'!ыыыы</definedName>
    <definedName name="ЬМЗСЛЧЯЩЬММ">[20]Форма2!$E$234:$F$237,[20]Форма2!$C$234:$C$237,[20]Форма2!$E$224:$F$232,[20]Форма2!$C$224:$C$232,[20]Форма2!$E$223:$F$223,[20]Форма2!$C$223,[20]Форма2!$E$217:$F$221,[20]Форма2!$C$217:$C$221,[20]Форма2!$E$210:$F$215,[20]Форма2!$C$210:$C$215,[20]Форма2!$C$210</definedName>
    <definedName name="Экспорт_Объемы_добычи">[58]Нефть!$A$1:$R$7</definedName>
    <definedName name="Экспорт_Объемы_добычи___0" localSheetId="127">#REF!</definedName>
    <definedName name="Экспорт_Объемы_добычи___0" localSheetId="118">#REF!</definedName>
    <definedName name="Экспорт_Объемы_добычи___0" localSheetId="125">#REF!</definedName>
    <definedName name="Экспорт_Объемы_добычи___0" localSheetId="126">#REF!</definedName>
    <definedName name="Экспорт_Объемы_добычи___0" localSheetId="122">#REF!</definedName>
    <definedName name="Экспорт_Объемы_добычи___0" localSheetId="16">#REF!</definedName>
    <definedName name="Экспорт_Объемы_добычи___0" localSheetId="46">#REF!</definedName>
    <definedName name="Экспорт_Объемы_добычи___0" localSheetId="139">#REF!</definedName>
    <definedName name="Экспорт_Объемы_добычи___0" localSheetId="47">#REF!</definedName>
    <definedName name="Экспорт_Объемы_добычи___0">#REF!</definedName>
    <definedName name="Экспорт_Объемы_добычи___10" localSheetId="127">#REF!</definedName>
    <definedName name="Экспорт_Объемы_добычи___10" localSheetId="118">#REF!</definedName>
    <definedName name="Экспорт_Объемы_добычи___10" localSheetId="125">#REF!</definedName>
    <definedName name="Экспорт_Объемы_добычи___10" localSheetId="126">#REF!</definedName>
    <definedName name="Экспорт_Объемы_добычи___10" localSheetId="122">#REF!</definedName>
    <definedName name="Экспорт_Объемы_добычи___10" localSheetId="16">#REF!</definedName>
    <definedName name="Экспорт_Объемы_добычи___10" localSheetId="46">#REF!</definedName>
    <definedName name="Экспорт_Объемы_добычи___10" localSheetId="139">#REF!</definedName>
    <definedName name="Экспорт_Объемы_добычи___10" localSheetId="47">#REF!</definedName>
    <definedName name="Экспорт_Объемы_добычи___10">#REF!</definedName>
    <definedName name="Экспорт_Объемы_добычи_1" localSheetId="127">#REF!</definedName>
    <definedName name="Экспорт_Объемы_добычи_1" localSheetId="118">#REF!</definedName>
    <definedName name="Экспорт_Объемы_добычи_1" localSheetId="125">#REF!</definedName>
    <definedName name="Экспорт_Объемы_добычи_1" localSheetId="126">#REF!</definedName>
    <definedName name="Экспорт_Объемы_добычи_1" localSheetId="122">#REF!</definedName>
    <definedName name="Экспорт_Объемы_добычи_1" localSheetId="16">#REF!</definedName>
    <definedName name="Экспорт_Объемы_добычи_1" localSheetId="46">#REF!</definedName>
    <definedName name="Экспорт_Объемы_добычи_1" localSheetId="139">#REF!</definedName>
    <definedName name="Экспорт_Объемы_добычи_1" localSheetId="47">#REF!</definedName>
    <definedName name="Экспорт_Объемы_добычи_1">#REF!</definedName>
    <definedName name="Экспорт_Объемы_добычи_4" localSheetId="127">#REF!</definedName>
    <definedName name="Экспорт_Объемы_добычи_4" localSheetId="118">#REF!</definedName>
    <definedName name="Экспорт_Объемы_добычи_4" localSheetId="125">#REF!</definedName>
    <definedName name="Экспорт_Объемы_добычи_4" localSheetId="122">#REF!</definedName>
    <definedName name="Экспорт_Объемы_добычи_4" localSheetId="16">#REF!</definedName>
    <definedName name="Экспорт_Объемы_добычи_4" localSheetId="46">#REF!</definedName>
    <definedName name="Экспорт_Объемы_добычи_4" localSheetId="139">#REF!</definedName>
    <definedName name="Экспорт_Объемы_добычи_4" localSheetId="47">#REF!</definedName>
    <definedName name="Экспорт_Объемы_добычи_4">#REF!</definedName>
    <definedName name="Экспорт_Поставки_нефти">'[36]поставка сравн13'!$A$1:$Q$30</definedName>
    <definedName name="Экспорт_Поставки_нефти___0">[36]поставкасравн13!$A$1:$Q$30</definedName>
    <definedName name="Экспорт_Поставки_нефти___10">[37]поставкасравн13!$A$1:$Q$30</definedName>
    <definedName name="ээ" localSheetId="127">#REF!</definedName>
    <definedName name="ээ" localSheetId="118">#REF!</definedName>
    <definedName name="ээ" localSheetId="125">#REF!</definedName>
    <definedName name="ээ" localSheetId="126">#REF!</definedName>
    <definedName name="ээ" localSheetId="122">#REF!</definedName>
    <definedName name="ээ" localSheetId="16">#REF!</definedName>
    <definedName name="ээ" localSheetId="46">#REF!</definedName>
    <definedName name="ээ" localSheetId="139">#REF!</definedName>
    <definedName name="ээ" localSheetId="47">#REF!</definedName>
    <definedName name="ээ">#REF!</definedName>
    <definedName name="юю" localSheetId="127">#REF!</definedName>
    <definedName name="юю" localSheetId="118">#REF!</definedName>
    <definedName name="юю" localSheetId="125">#REF!</definedName>
    <definedName name="юю" localSheetId="126">#REF!</definedName>
    <definedName name="юю" localSheetId="122">#REF!</definedName>
    <definedName name="юю" localSheetId="16">#REF!</definedName>
    <definedName name="юю" localSheetId="46">#REF!</definedName>
    <definedName name="юю" localSheetId="139">#REF!</definedName>
    <definedName name="юю" localSheetId="47">#REF!</definedName>
    <definedName name="юю">#REF!</definedName>
    <definedName name="явп" localSheetId="127">#REF!</definedName>
    <definedName name="явп" localSheetId="118">#REF!</definedName>
    <definedName name="явп" localSheetId="125">#REF!</definedName>
    <definedName name="явп" localSheetId="126">#REF!</definedName>
    <definedName name="явп" localSheetId="122">#REF!</definedName>
    <definedName name="явп" localSheetId="16">#REF!</definedName>
    <definedName name="явп" localSheetId="46">#REF!</definedName>
    <definedName name="явп" localSheetId="139">#REF!</definedName>
    <definedName name="явп" localSheetId="47">#REF!</definedName>
    <definedName name="явп">#REF!</definedName>
    <definedName name="ячсс" localSheetId="127">[21]Sheet1!#REF!</definedName>
    <definedName name="ячсс" localSheetId="118">[21]Sheet1!#REF!</definedName>
    <definedName name="ячсс" localSheetId="125">[21]Sheet1!#REF!</definedName>
    <definedName name="ячсс" localSheetId="126">[21]Sheet1!#REF!</definedName>
    <definedName name="ячсс" localSheetId="122">[21]Sheet1!#REF!</definedName>
    <definedName name="ячсс" localSheetId="16">[21]Sheet1!#REF!</definedName>
    <definedName name="ячсс" localSheetId="46">[21]Sheet1!#REF!</definedName>
    <definedName name="ячсс" localSheetId="139">[21]Sheet1!#REF!</definedName>
    <definedName name="ячсс" localSheetId="47">[21]Sheet1!#REF!</definedName>
    <definedName name="ячсс">[21]Sheet1!#REF!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521" l="1"/>
  <c r="G8" i="521"/>
  <c r="G9" i="521"/>
  <c r="G10" i="521"/>
  <c r="G11" i="521"/>
  <c r="G12" i="521"/>
  <c r="G13" i="521"/>
  <c r="G14" i="521"/>
  <c r="G15" i="521"/>
  <c r="G16" i="521"/>
  <c r="G17" i="521"/>
  <c r="G18" i="521"/>
  <c r="G19" i="521"/>
  <c r="G20" i="521"/>
  <c r="G21" i="521"/>
  <c r="G22" i="521"/>
  <c r="G23" i="521"/>
  <c r="G24" i="521"/>
  <c r="G25" i="521"/>
  <c r="G26" i="521"/>
  <c r="G27" i="521"/>
  <c r="G28" i="521"/>
  <c r="G29" i="521"/>
  <c r="G30" i="521"/>
  <c r="G31" i="521"/>
  <c r="G32" i="521"/>
  <c r="G33" i="521"/>
  <c r="G34" i="521"/>
  <c r="G35" i="521"/>
  <c r="G36" i="521"/>
  <c r="G37" i="521"/>
  <c r="G38" i="521"/>
  <c r="G39" i="521"/>
  <c r="G40" i="521"/>
  <c r="G41" i="521"/>
  <c r="G42" i="521"/>
  <c r="G43" i="521"/>
  <c r="G44" i="521"/>
  <c r="G45" i="521"/>
  <c r="G46" i="521"/>
  <c r="G47" i="521"/>
  <c r="G48" i="521"/>
  <c r="G49" i="521"/>
  <c r="G50" i="521"/>
  <c r="G51" i="521"/>
  <c r="G52" i="521"/>
  <c r="G53" i="521"/>
  <c r="G54" i="521"/>
  <c r="G55" i="521"/>
  <c r="G56" i="521"/>
  <c r="G57" i="521"/>
  <c r="G58" i="521"/>
  <c r="G59" i="521"/>
  <c r="G60" i="521"/>
  <c r="G61" i="521"/>
  <c r="G62" i="521"/>
  <c r="G63" i="521"/>
  <c r="G64" i="521"/>
  <c r="G65" i="521"/>
  <c r="G66" i="521"/>
  <c r="G67" i="521"/>
  <c r="G68" i="521"/>
  <c r="G69" i="521"/>
  <c r="G70" i="521"/>
  <c r="G71" i="521"/>
  <c r="G72" i="521"/>
  <c r="G73" i="521"/>
  <c r="G74" i="521"/>
  <c r="G75" i="521"/>
  <c r="G76" i="521"/>
  <c r="G77" i="521"/>
  <c r="G78" i="521"/>
  <c r="G79" i="521"/>
  <c r="G80" i="521"/>
  <c r="G81" i="521"/>
  <c r="G82" i="521"/>
  <c r="G83" i="521"/>
  <c r="G84" i="521"/>
  <c r="G85" i="521"/>
  <c r="G86" i="521"/>
  <c r="G87" i="521"/>
  <c r="G88" i="521"/>
  <c r="G89" i="521"/>
  <c r="G90" i="521"/>
  <c r="G91" i="521"/>
  <c r="G92" i="521"/>
  <c r="G93" i="521"/>
  <c r="G94" i="521"/>
  <c r="G95" i="521"/>
  <c r="G96" i="521"/>
  <c r="G97" i="521"/>
  <c r="G98" i="521"/>
  <c r="G99" i="521"/>
  <c r="G100" i="521"/>
  <c r="G101" i="521"/>
  <c r="G102" i="521"/>
  <c r="G103" i="521"/>
  <c r="G104" i="521"/>
  <c r="G105" i="521"/>
  <c r="G106" i="521"/>
  <c r="G107" i="521"/>
  <c r="G108" i="521"/>
  <c r="G109" i="521"/>
  <c r="G110" i="521"/>
  <c r="G111" i="521"/>
  <c r="G112" i="521"/>
  <c r="G113" i="521"/>
  <c r="G114" i="521"/>
  <c r="G115" i="521"/>
  <c r="G116" i="521"/>
  <c r="G117" i="521"/>
  <c r="G118" i="521"/>
  <c r="G119" i="521"/>
  <c r="G120" i="521"/>
  <c r="G121" i="521"/>
  <c r="G122" i="521"/>
  <c r="G123" i="521"/>
  <c r="G124" i="521"/>
  <c r="G125" i="521"/>
  <c r="G126" i="521"/>
  <c r="G127" i="521"/>
  <c r="G128" i="521"/>
  <c r="G129" i="521"/>
  <c r="G130" i="521"/>
  <c r="G131" i="521"/>
  <c r="G132" i="521"/>
  <c r="G133" i="521"/>
  <c r="G134" i="521"/>
  <c r="G135" i="521"/>
  <c r="G136" i="521"/>
  <c r="G137" i="521"/>
  <c r="G138" i="521"/>
  <c r="G139" i="521"/>
  <c r="G140" i="521"/>
  <c r="G141" i="521"/>
  <c r="G142" i="521"/>
  <c r="G143" i="521"/>
  <c r="G144" i="521"/>
  <c r="G145" i="521"/>
  <c r="G146" i="521"/>
  <c r="G147" i="521"/>
  <c r="G148" i="521"/>
  <c r="G149" i="521"/>
  <c r="G150" i="521"/>
  <c r="G151" i="521"/>
  <c r="G152" i="521"/>
  <c r="G153" i="521"/>
  <c r="G154" i="521"/>
  <c r="G155" i="521"/>
  <c r="G156" i="521"/>
  <c r="G157" i="521"/>
  <c r="G158" i="521"/>
  <c r="G159" i="521"/>
  <c r="G160" i="521"/>
  <c r="G161" i="521"/>
  <c r="G162" i="521"/>
  <c r="G163" i="521"/>
  <c r="G164" i="521"/>
  <c r="G165" i="521"/>
  <c r="G166" i="521"/>
  <c r="G167" i="521"/>
  <c r="G168" i="521"/>
  <c r="G169" i="521"/>
  <c r="G170" i="521"/>
  <c r="G171" i="521"/>
  <c r="G172" i="521"/>
  <c r="G173" i="521"/>
  <c r="G174" i="521"/>
  <c r="G175" i="521"/>
  <c r="G176" i="521"/>
  <c r="G177" i="521"/>
  <c r="G178" i="521"/>
  <c r="G179" i="521"/>
  <c r="G180" i="521"/>
  <c r="G181" i="521"/>
  <c r="G182" i="521"/>
  <c r="G183" i="521"/>
  <c r="G184" i="521"/>
  <c r="G185" i="521"/>
  <c r="G186" i="521"/>
  <c r="G187" i="521"/>
  <c r="G188" i="521"/>
  <c r="G189" i="521"/>
  <c r="G190" i="521"/>
  <c r="G191" i="521"/>
  <c r="G192" i="521"/>
  <c r="G193" i="521"/>
  <c r="G194" i="521"/>
  <c r="G195" i="521"/>
  <c r="G196" i="521"/>
  <c r="G197" i="521"/>
  <c r="G198" i="521"/>
  <c r="G199" i="521"/>
  <c r="G200" i="521"/>
  <c r="G201" i="521"/>
  <c r="G202" i="521"/>
  <c r="G203" i="521"/>
  <c r="G204" i="521"/>
  <c r="G205" i="521"/>
  <c r="G206" i="521"/>
  <c r="G207" i="521"/>
  <c r="G208" i="521"/>
  <c r="G209" i="521"/>
  <c r="G210" i="521"/>
  <c r="G211" i="521"/>
  <c r="G212" i="521"/>
  <c r="G213" i="521"/>
  <c r="G214" i="521"/>
  <c r="G215" i="521"/>
  <c r="G216" i="521"/>
  <c r="G217" i="521"/>
  <c r="G218" i="521"/>
  <c r="G219" i="521"/>
  <c r="G220" i="521"/>
  <c r="G221" i="521"/>
  <c r="G222" i="521"/>
  <c r="G223" i="521"/>
  <c r="G224" i="521"/>
  <c r="G225" i="521"/>
  <c r="G226" i="521"/>
  <c r="G227" i="521"/>
  <c r="G228" i="521"/>
  <c r="G229" i="521"/>
  <c r="G230" i="521"/>
  <c r="G231" i="521"/>
  <c r="G232" i="521"/>
  <c r="G233" i="521"/>
  <c r="G234" i="521"/>
  <c r="G235" i="521"/>
  <c r="G236" i="521"/>
  <c r="G237" i="521"/>
  <c r="G238" i="521"/>
  <c r="G239" i="521"/>
  <c r="G240" i="521"/>
  <c r="G241" i="521"/>
  <c r="G242" i="521"/>
  <c r="G243" i="521"/>
  <c r="G244" i="521"/>
  <c r="G245" i="521"/>
  <c r="G246" i="521"/>
  <c r="G247" i="521"/>
  <c r="G248" i="521"/>
  <c r="G249" i="521"/>
  <c r="G250" i="521"/>
  <c r="G251" i="521"/>
  <c r="G252" i="521"/>
  <c r="G6" i="521"/>
  <c r="B3" i="475"/>
  <c r="G253" i="521" l="1"/>
  <c r="B18" i="475" s="1"/>
  <c r="B16" i="475" s="1"/>
  <c r="B21" i="475" l="1"/>
  <c r="C16" i="475"/>
  <c r="C31" i="512"/>
  <c r="B7" i="475" s="1"/>
  <c r="C3" i="475" s="1"/>
  <c r="C21" i="475" l="1"/>
  <c r="S102" i="511"/>
  <c r="T102" i="511" s="1"/>
  <c r="U102" i="511" s="1"/>
  <c r="P102" i="511"/>
  <c r="S101" i="511"/>
  <c r="T101" i="511" s="1"/>
  <c r="U101" i="511" s="1"/>
  <c r="P101" i="511"/>
  <c r="S100" i="511"/>
  <c r="T100" i="511" s="1"/>
  <c r="U100" i="511" s="1"/>
  <c r="P100" i="511"/>
  <c r="T99" i="511"/>
  <c r="U99" i="511" s="1"/>
  <c r="S99" i="511"/>
  <c r="P99" i="511"/>
  <c r="S98" i="511"/>
  <c r="T98" i="511" s="1"/>
  <c r="P98" i="511"/>
  <c r="S97" i="511"/>
  <c r="T97" i="511" s="1"/>
  <c r="P97" i="511"/>
  <c r="S96" i="511"/>
  <c r="T96" i="511" s="1"/>
  <c r="P96" i="511"/>
  <c r="S95" i="511"/>
  <c r="T95" i="511" s="1"/>
  <c r="U95" i="511" s="1"/>
  <c r="P95" i="511"/>
  <c r="S94" i="511"/>
  <c r="T94" i="511" s="1"/>
  <c r="U94" i="511" s="1"/>
  <c r="P94" i="511"/>
  <c r="S93" i="511"/>
  <c r="T93" i="511" s="1"/>
  <c r="U93" i="511" s="1"/>
  <c r="P93" i="511"/>
  <c r="S92" i="511"/>
  <c r="T92" i="511" s="1"/>
  <c r="U92" i="511" s="1"/>
  <c r="P92" i="511"/>
  <c r="T91" i="511"/>
  <c r="S91" i="511"/>
  <c r="P91" i="511"/>
  <c r="S90" i="511"/>
  <c r="T90" i="511" s="1"/>
  <c r="P90" i="511"/>
  <c r="S89" i="511"/>
  <c r="T89" i="511" s="1"/>
  <c r="P89" i="511"/>
  <c r="S88" i="511"/>
  <c r="T88" i="511" s="1"/>
  <c r="P88" i="511"/>
  <c r="S87" i="511"/>
  <c r="T87" i="511" s="1"/>
  <c r="U87" i="511" s="1"/>
  <c r="P87" i="511"/>
  <c r="S86" i="511"/>
  <c r="T86" i="511" s="1"/>
  <c r="U86" i="511" s="1"/>
  <c r="P86" i="511"/>
  <c r="S85" i="511"/>
  <c r="T85" i="511" s="1"/>
  <c r="U85" i="511" s="1"/>
  <c r="P85" i="511"/>
  <c r="S84" i="511"/>
  <c r="T84" i="511" s="1"/>
  <c r="U84" i="511" s="1"/>
  <c r="P84" i="511"/>
  <c r="T83" i="511"/>
  <c r="U83" i="511" s="1"/>
  <c r="S83" i="511"/>
  <c r="P83" i="511"/>
  <c r="S82" i="511"/>
  <c r="T82" i="511" s="1"/>
  <c r="P82" i="511"/>
  <c r="S81" i="511"/>
  <c r="T81" i="511" s="1"/>
  <c r="P81" i="511"/>
  <c r="S80" i="511"/>
  <c r="T80" i="511" s="1"/>
  <c r="P80" i="511"/>
  <c r="S79" i="511"/>
  <c r="T79" i="511" s="1"/>
  <c r="U79" i="511" s="1"/>
  <c r="P79" i="511"/>
  <c r="S78" i="511"/>
  <c r="T78" i="511" s="1"/>
  <c r="U78" i="511" s="1"/>
  <c r="P78" i="511"/>
  <c r="S77" i="511"/>
  <c r="T77" i="511" s="1"/>
  <c r="U77" i="511" s="1"/>
  <c r="P77" i="511"/>
  <c r="S76" i="511"/>
  <c r="T76" i="511" s="1"/>
  <c r="U76" i="511" s="1"/>
  <c r="P76" i="511"/>
  <c r="S75" i="511"/>
  <c r="T75" i="511" s="1"/>
  <c r="U75" i="511" s="1"/>
  <c r="P75" i="511"/>
  <c r="S74" i="511"/>
  <c r="T74" i="511" s="1"/>
  <c r="P74" i="511"/>
  <c r="S73" i="511"/>
  <c r="T73" i="511" s="1"/>
  <c r="P73" i="511"/>
  <c r="S72" i="511"/>
  <c r="T72" i="511" s="1"/>
  <c r="U72" i="511" s="1"/>
  <c r="P72" i="511"/>
  <c r="AO71" i="511"/>
  <c r="AM71" i="511"/>
  <c r="AK71" i="511"/>
  <c r="AG71" i="511"/>
  <c r="AF71" i="511"/>
  <c r="AE71" i="511"/>
  <c r="AD71" i="511"/>
  <c r="AC71" i="511"/>
  <c r="AB71" i="511"/>
  <c r="AA71" i="511"/>
  <c r="Z71" i="511"/>
  <c r="Y71" i="511"/>
  <c r="X71" i="511"/>
  <c r="W71" i="511"/>
  <c r="V71" i="511"/>
  <c r="Q71" i="511"/>
  <c r="S71" i="511" s="1"/>
  <c r="T71" i="511" s="1"/>
  <c r="P71" i="511"/>
  <c r="N71" i="511"/>
  <c r="M71" i="511"/>
  <c r="AQ70" i="511"/>
  <c r="AO70" i="511"/>
  <c r="AM70" i="511"/>
  <c r="AK70" i="511"/>
  <c r="AL70" i="511" s="1"/>
  <c r="S70" i="511"/>
  <c r="T70" i="511" s="1"/>
  <c r="AW70" i="511" s="1"/>
  <c r="BA70" i="511" s="1"/>
  <c r="Q70" i="511"/>
  <c r="P70" i="511"/>
  <c r="G70" i="511"/>
  <c r="Q69" i="511"/>
  <c r="S69" i="511" s="1"/>
  <c r="T69" i="511" s="1"/>
  <c r="L69" i="511"/>
  <c r="P69" i="511" s="1"/>
  <c r="AV69" i="511" s="1"/>
  <c r="G69" i="511"/>
  <c r="AQ68" i="511"/>
  <c r="Q68" i="511"/>
  <c r="L68" i="511"/>
  <c r="P68" i="511" s="1"/>
  <c r="AV68" i="511" s="1"/>
  <c r="G68" i="511"/>
  <c r="AQ67" i="511"/>
  <c r="Q67" i="511"/>
  <c r="L67" i="511"/>
  <c r="P67" i="511" s="1"/>
  <c r="G67" i="511"/>
  <c r="Q66" i="511"/>
  <c r="Z66" i="511" s="1"/>
  <c r="AD66" i="511" s="1"/>
  <c r="P66" i="511"/>
  <c r="G66" i="511"/>
  <c r="Q65" i="511"/>
  <c r="Z65" i="511" s="1"/>
  <c r="AD65" i="511" s="1"/>
  <c r="L65" i="511"/>
  <c r="P65" i="511" s="1"/>
  <c r="G65" i="511"/>
  <c r="Q64" i="511"/>
  <c r="L64" i="511"/>
  <c r="P64" i="511" s="1"/>
  <c r="G64" i="511"/>
  <c r="Q63" i="511"/>
  <c r="S63" i="511" s="1"/>
  <c r="T63" i="511" s="1"/>
  <c r="AL63" i="511" s="1"/>
  <c r="L63" i="511"/>
  <c r="P63" i="511" s="1"/>
  <c r="G63" i="511"/>
  <c r="Q62" i="511"/>
  <c r="L62" i="511"/>
  <c r="P62" i="511" s="1"/>
  <c r="G62" i="511"/>
  <c r="AV61" i="511"/>
  <c r="Q61" i="511"/>
  <c r="Z61" i="511" s="1"/>
  <c r="AD61" i="511" s="1"/>
  <c r="L61" i="511"/>
  <c r="G61" i="511"/>
  <c r="Q60" i="511"/>
  <c r="L60" i="511"/>
  <c r="P60" i="511" s="1"/>
  <c r="G60" i="511"/>
  <c r="Z59" i="511"/>
  <c r="AD59" i="511" s="1"/>
  <c r="Q59" i="511"/>
  <c r="S59" i="511" s="1"/>
  <c r="T59" i="511" s="1"/>
  <c r="L59" i="511"/>
  <c r="P59" i="511" s="1"/>
  <c r="AV59" i="511" s="1"/>
  <c r="G59" i="511"/>
  <c r="Q58" i="511"/>
  <c r="Z58" i="511" s="1"/>
  <c r="L58" i="511"/>
  <c r="P58" i="511" s="1"/>
  <c r="G58" i="511"/>
  <c r="Q57" i="511"/>
  <c r="S57" i="511" s="1"/>
  <c r="T57" i="511" s="1"/>
  <c r="P57" i="511"/>
  <c r="AV57" i="511" s="1"/>
  <c r="L57" i="511"/>
  <c r="G57" i="511"/>
  <c r="Q56" i="511"/>
  <c r="L56" i="511"/>
  <c r="P56" i="511" s="1"/>
  <c r="G56" i="511"/>
  <c r="Q55" i="511"/>
  <c r="Z55" i="511" s="1"/>
  <c r="AD55" i="511" s="1"/>
  <c r="L55" i="511"/>
  <c r="P55" i="511" s="1"/>
  <c r="G55" i="511"/>
  <c r="Q54" i="511"/>
  <c r="L54" i="511"/>
  <c r="P54" i="511" s="1"/>
  <c r="G54" i="511"/>
  <c r="Q53" i="511"/>
  <c r="S53" i="511" s="1"/>
  <c r="T53" i="511" s="1"/>
  <c r="L53" i="511"/>
  <c r="P53" i="511" s="1"/>
  <c r="G53" i="511"/>
  <c r="Q52" i="511"/>
  <c r="L52" i="511"/>
  <c r="P52" i="511" s="1"/>
  <c r="G52" i="511"/>
  <c r="S51" i="511"/>
  <c r="T51" i="511" s="1"/>
  <c r="AL51" i="511" s="1"/>
  <c r="Q51" i="511"/>
  <c r="Z51" i="511" s="1"/>
  <c r="AD51" i="511" s="1"/>
  <c r="L51" i="511"/>
  <c r="P51" i="511" s="1"/>
  <c r="G51" i="511"/>
  <c r="Q50" i="511"/>
  <c r="P50" i="511"/>
  <c r="AV50" i="511" s="1"/>
  <c r="G50" i="511"/>
  <c r="Q49" i="511"/>
  <c r="P49" i="511"/>
  <c r="AV49" i="511" s="1"/>
  <c r="G49" i="511"/>
  <c r="Q48" i="511"/>
  <c r="Z48" i="511" s="1"/>
  <c r="AD48" i="511" s="1"/>
  <c r="P48" i="511"/>
  <c r="G48" i="511"/>
  <c r="Q47" i="511"/>
  <c r="P47" i="511"/>
  <c r="AV47" i="511" s="1"/>
  <c r="G47" i="511"/>
  <c r="Q46" i="511"/>
  <c r="L46" i="511"/>
  <c r="P46" i="511" s="1"/>
  <c r="G46" i="511"/>
  <c r="Q45" i="511"/>
  <c r="Z45" i="511" s="1"/>
  <c r="AD45" i="511" s="1"/>
  <c r="L45" i="511"/>
  <c r="P45" i="511" s="1"/>
  <c r="G45" i="511"/>
  <c r="Q44" i="511"/>
  <c r="P44" i="511"/>
  <c r="AV44" i="511" s="1"/>
  <c r="G44" i="511"/>
  <c r="Q43" i="511"/>
  <c r="Q2" i="511" s="1"/>
  <c r="L43" i="511"/>
  <c r="P43" i="511" s="1"/>
  <c r="G43" i="511"/>
  <c r="Q42" i="511"/>
  <c r="Z42" i="511" s="1"/>
  <c r="AD42" i="511" s="1"/>
  <c r="P42" i="511"/>
  <c r="G42" i="511"/>
  <c r="Q41" i="511"/>
  <c r="Z41" i="511" s="1"/>
  <c r="AD41" i="511" s="1"/>
  <c r="P41" i="511"/>
  <c r="L41" i="511"/>
  <c r="G41" i="511"/>
  <c r="Q40" i="511"/>
  <c r="L40" i="511"/>
  <c r="P40" i="511" s="1"/>
  <c r="G40" i="511"/>
  <c r="Q39" i="511"/>
  <c r="Z39" i="511" s="1"/>
  <c r="AD39" i="511" s="1"/>
  <c r="P39" i="511"/>
  <c r="G39" i="511"/>
  <c r="Q38" i="511"/>
  <c r="S38" i="511" s="1"/>
  <c r="T38" i="511" s="1"/>
  <c r="P38" i="511"/>
  <c r="L38" i="511"/>
  <c r="G38" i="511"/>
  <c r="Q37" i="511"/>
  <c r="Z37" i="511" s="1"/>
  <c r="P37" i="511"/>
  <c r="G37" i="511"/>
  <c r="Q36" i="511"/>
  <c r="Z36" i="511" s="1"/>
  <c r="AD36" i="511" s="1"/>
  <c r="L36" i="511"/>
  <c r="P36" i="511" s="1"/>
  <c r="G36" i="511"/>
  <c r="Q35" i="511"/>
  <c r="S35" i="511" s="1"/>
  <c r="T35" i="511" s="1"/>
  <c r="P35" i="511"/>
  <c r="L35" i="511"/>
  <c r="G35" i="511"/>
  <c r="Q34" i="511"/>
  <c r="Z34" i="511" s="1"/>
  <c r="AD34" i="511" s="1"/>
  <c r="L34" i="511"/>
  <c r="P34" i="511" s="1"/>
  <c r="G34" i="511"/>
  <c r="Q33" i="511"/>
  <c r="Z33" i="511" s="1"/>
  <c r="AD33" i="511" s="1"/>
  <c r="AE33" i="511" s="1"/>
  <c r="AG33" i="511" s="1"/>
  <c r="L33" i="511"/>
  <c r="P33" i="511" s="1"/>
  <c r="AV33" i="511" s="1"/>
  <c r="G33" i="511"/>
  <c r="Q32" i="511"/>
  <c r="Z32" i="511" s="1"/>
  <c r="AD32" i="511" s="1"/>
  <c r="L32" i="511"/>
  <c r="P32" i="511" s="1"/>
  <c r="G32" i="511"/>
  <c r="S31" i="511"/>
  <c r="T31" i="511" s="1"/>
  <c r="Q31" i="511"/>
  <c r="Z31" i="511" s="1"/>
  <c r="AD31" i="511" s="1"/>
  <c r="L31" i="511"/>
  <c r="P31" i="511" s="1"/>
  <c r="AA31" i="511" s="1"/>
  <c r="AC31" i="511" s="1"/>
  <c r="G31" i="511"/>
  <c r="Q30" i="511"/>
  <c r="Z30" i="511" s="1"/>
  <c r="P30" i="511"/>
  <c r="G30" i="511"/>
  <c r="Q29" i="511"/>
  <c r="P29" i="511"/>
  <c r="AV29" i="511" s="1"/>
  <c r="G29" i="511"/>
  <c r="Q28" i="511"/>
  <c r="Z28" i="511" s="1"/>
  <c r="AD28" i="511" s="1"/>
  <c r="P28" i="511"/>
  <c r="G28" i="511"/>
  <c r="Q27" i="511"/>
  <c r="L27" i="511"/>
  <c r="P27" i="511" s="1"/>
  <c r="G27" i="511"/>
  <c r="Q26" i="511"/>
  <c r="S26" i="511" s="1"/>
  <c r="T26" i="511" s="1"/>
  <c r="AL26" i="511" s="1"/>
  <c r="L26" i="511"/>
  <c r="P26" i="511" s="1"/>
  <c r="AV26" i="511" s="1"/>
  <c r="G26" i="511"/>
  <c r="Q25" i="511"/>
  <c r="L25" i="511"/>
  <c r="P25" i="511" s="1"/>
  <c r="G25" i="511"/>
  <c r="Q24" i="511"/>
  <c r="S24" i="511" s="1"/>
  <c r="T24" i="511" s="1"/>
  <c r="L24" i="511"/>
  <c r="P24" i="511" s="1"/>
  <c r="AV24" i="511" s="1"/>
  <c r="G24" i="511"/>
  <c r="Q23" i="511"/>
  <c r="Z23" i="511" s="1"/>
  <c r="AD23" i="511" s="1"/>
  <c r="P23" i="511"/>
  <c r="G23" i="511"/>
  <c r="Q22" i="511"/>
  <c r="L22" i="511"/>
  <c r="P22" i="511" s="1"/>
  <c r="G22" i="511"/>
  <c r="S21" i="511"/>
  <c r="T21" i="511" s="1"/>
  <c r="AL21" i="511" s="1"/>
  <c r="Q21" i="511"/>
  <c r="L21" i="511"/>
  <c r="P21" i="511" s="1"/>
  <c r="AV21" i="511" s="1"/>
  <c r="G21" i="511"/>
  <c r="Q20" i="511"/>
  <c r="S20" i="511" s="1"/>
  <c r="T20" i="511" s="1"/>
  <c r="L20" i="511"/>
  <c r="P20" i="511" s="1"/>
  <c r="G20" i="511"/>
  <c r="S19" i="511"/>
  <c r="T19" i="511" s="1"/>
  <c r="AP19" i="511" s="1"/>
  <c r="Q19" i="511"/>
  <c r="Z19" i="511" s="1"/>
  <c r="AD19" i="511" s="1"/>
  <c r="P19" i="511"/>
  <c r="AV19" i="511" s="1"/>
  <c r="L19" i="511"/>
  <c r="G19" i="511"/>
  <c r="Q18" i="511"/>
  <c r="L18" i="511"/>
  <c r="P18" i="511" s="1"/>
  <c r="G18" i="511"/>
  <c r="Q17" i="511"/>
  <c r="Z17" i="511" s="1"/>
  <c r="AD17" i="511" s="1"/>
  <c r="L17" i="511"/>
  <c r="P17" i="511" s="1"/>
  <c r="G17" i="511"/>
  <c r="Q16" i="511"/>
  <c r="P16" i="511"/>
  <c r="G16" i="511"/>
  <c r="Q15" i="511"/>
  <c r="Z15" i="511" s="1"/>
  <c r="P15" i="511"/>
  <c r="AV15" i="511" s="1"/>
  <c r="G15" i="511"/>
  <c r="Q14" i="511"/>
  <c r="Z14" i="511" s="1"/>
  <c r="P14" i="511"/>
  <c r="G14" i="511"/>
  <c r="Q13" i="511"/>
  <c r="Z13" i="511" s="1"/>
  <c r="AD13" i="511" s="1"/>
  <c r="L13" i="511"/>
  <c r="P13" i="511" s="1"/>
  <c r="G13" i="511"/>
  <c r="S12" i="511"/>
  <c r="T12" i="511" s="1"/>
  <c r="Q12" i="511"/>
  <c r="Z12" i="511" s="1"/>
  <c r="AD12" i="511" s="1"/>
  <c r="L12" i="511"/>
  <c r="G12" i="511"/>
  <c r="Q11" i="511"/>
  <c r="Z11" i="511" s="1"/>
  <c r="AD11" i="511" s="1"/>
  <c r="L11" i="511"/>
  <c r="P11" i="511" s="1"/>
  <c r="G11" i="511"/>
  <c r="Q10" i="511"/>
  <c r="Z10" i="511" s="1"/>
  <c r="AD10" i="511" s="1"/>
  <c r="L10" i="511"/>
  <c r="P10" i="511" s="1"/>
  <c r="G10" i="511"/>
  <c r="AF9" i="511"/>
  <c r="AB9" i="511"/>
  <c r="V9" i="511"/>
  <c r="F9" i="511"/>
  <c r="M3" i="511"/>
  <c r="L9" i="511" l="1"/>
  <c r="Z24" i="511"/>
  <c r="AD24" i="511" s="1"/>
  <c r="S55" i="511"/>
  <c r="T55" i="511" s="1"/>
  <c r="AL55" i="511" s="1"/>
  <c r="U57" i="511"/>
  <c r="W57" i="511" s="1"/>
  <c r="S61" i="511"/>
  <c r="T61" i="511" s="1"/>
  <c r="U61" i="511" s="1"/>
  <c r="W61" i="511" s="1"/>
  <c r="U74" i="511"/>
  <c r="U81" i="511"/>
  <c r="U88" i="511"/>
  <c r="U90" i="511"/>
  <c r="U97" i="511"/>
  <c r="S10" i="511"/>
  <c r="T10" i="511" s="1"/>
  <c r="U10" i="511" s="1"/>
  <c r="AA23" i="511"/>
  <c r="AC23" i="511" s="1"/>
  <c r="S39" i="511"/>
  <c r="T39" i="511" s="1"/>
  <c r="AP39" i="511" s="1"/>
  <c r="S42" i="511"/>
  <c r="T42" i="511" s="1"/>
  <c r="S45" i="511"/>
  <c r="T45" i="511" s="1"/>
  <c r="AL45" i="511" s="1"/>
  <c r="U73" i="511"/>
  <c r="U80" i="511"/>
  <c r="U82" i="511"/>
  <c r="U89" i="511"/>
  <c r="U96" i="511"/>
  <c r="U98" i="511"/>
  <c r="U24" i="511"/>
  <c r="W24" i="511" s="1"/>
  <c r="U91" i="511"/>
  <c r="AA45" i="511"/>
  <c r="AC45" i="511" s="1"/>
  <c r="AV45" i="511"/>
  <c r="AP53" i="511"/>
  <c r="U53" i="511"/>
  <c r="W53" i="511" s="1"/>
  <c r="AL53" i="511"/>
  <c r="AA55" i="511"/>
  <c r="AC55" i="511" s="1"/>
  <c r="AV55" i="511"/>
  <c r="AE55" i="511"/>
  <c r="AG55" i="511" s="1"/>
  <c r="AA51" i="511"/>
  <c r="AC51" i="511" s="1"/>
  <c r="U51" i="511"/>
  <c r="W51" i="511" s="1"/>
  <c r="AV51" i="511"/>
  <c r="AE51" i="511"/>
  <c r="AG51" i="511" s="1"/>
  <c r="Z35" i="511"/>
  <c r="AD35" i="511" s="1"/>
  <c r="AE35" i="511" s="1"/>
  <c r="AG35" i="511" s="1"/>
  <c r="Z38" i="511"/>
  <c r="AD38" i="511" s="1"/>
  <c r="AA41" i="511"/>
  <c r="AC41" i="511" s="1"/>
  <c r="AE41" i="511"/>
  <c r="AG41" i="511" s="1"/>
  <c r="Z53" i="511"/>
  <c r="AD53" i="511" s="1"/>
  <c r="AE53" i="511" s="1"/>
  <c r="AG53" i="511" s="1"/>
  <c r="AV53" i="511"/>
  <c r="U59" i="511"/>
  <c r="W59" i="511" s="1"/>
  <c r="AE19" i="511"/>
  <c r="AG19" i="511" s="1"/>
  <c r="P12" i="511"/>
  <c r="AA12" i="511" s="1"/>
  <c r="AC12" i="511" s="1"/>
  <c r="S17" i="511"/>
  <c r="T17" i="511" s="1"/>
  <c r="AL17" i="511" s="1"/>
  <c r="S33" i="511"/>
  <c r="T33" i="511" s="1"/>
  <c r="AA39" i="511"/>
  <c r="AC39" i="511" s="1"/>
  <c r="S41" i="511"/>
  <c r="T41" i="511" s="1"/>
  <c r="AW41" i="511" s="1"/>
  <c r="AA42" i="511"/>
  <c r="AC42" i="511" s="1"/>
  <c r="AV42" i="511"/>
  <c r="AP45" i="511"/>
  <c r="S65" i="511"/>
  <c r="T65" i="511" s="1"/>
  <c r="AP65" i="511" s="1"/>
  <c r="AA35" i="511"/>
  <c r="AC35" i="511" s="1"/>
  <c r="AW10" i="511"/>
  <c r="AX10" i="511" s="1"/>
  <c r="AR10" i="511"/>
  <c r="AV13" i="511"/>
  <c r="AA13" i="511"/>
  <c r="AC13" i="511" s="1"/>
  <c r="AE13" i="511"/>
  <c r="AG13" i="511" s="1"/>
  <c r="AD14" i="511"/>
  <c r="AA14" i="511"/>
  <c r="AC14" i="511" s="1"/>
  <c r="AR12" i="511"/>
  <c r="AP12" i="511"/>
  <c r="AW12" i="511"/>
  <c r="AN12" i="511"/>
  <c r="AL12" i="511"/>
  <c r="U12" i="511"/>
  <c r="W12" i="511" s="1"/>
  <c r="AL20" i="511"/>
  <c r="AR20" i="511"/>
  <c r="AP20" i="511"/>
  <c r="U20" i="511"/>
  <c r="W20" i="511" s="1"/>
  <c r="AW20" i="511"/>
  <c r="AN20" i="511"/>
  <c r="AE11" i="511"/>
  <c r="AG11" i="511" s="1"/>
  <c r="P9" i="511"/>
  <c r="AV11" i="511"/>
  <c r="AA11" i="511"/>
  <c r="AC11" i="511" s="1"/>
  <c r="AA15" i="511"/>
  <c r="AC15" i="511" s="1"/>
  <c r="AD15" i="511"/>
  <c r="AR38" i="511"/>
  <c r="AP38" i="511"/>
  <c r="AW38" i="511"/>
  <c r="AX38" i="511" s="1"/>
  <c r="AN38" i="511"/>
  <c r="AL38" i="511"/>
  <c r="U38" i="511"/>
  <c r="W38" i="511" s="1"/>
  <c r="AE10" i="511"/>
  <c r="AA17" i="511"/>
  <c r="AC17" i="511" s="1"/>
  <c r="AE17" i="511"/>
  <c r="AG17" i="511" s="1"/>
  <c r="Z18" i="511"/>
  <c r="AD18" i="511" s="1"/>
  <c r="S18" i="511"/>
  <c r="T18" i="511" s="1"/>
  <c r="Z27" i="511"/>
  <c r="AD27" i="511" s="1"/>
  <c r="AE27" i="511" s="1"/>
  <c r="AG27" i="511" s="1"/>
  <c r="S27" i="511"/>
  <c r="T27" i="511" s="1"/>
  <c r="AR35" i="511"/>
  <c r="AP35" i="511"/>
  <c r="AW35" i="511"/>
  <c r="AX35" i="511" s="1"/>
  <c r="AN35" i="511"/>
  <c r="AL35" i="511"/>
  <c r="U35" i="511"/>
  <c r="W35" i="511" s="1"/>
  <c r="AA10" i="511"/>
  <c r="S13" i="511"/>
  <c r="T13" i="511" s="1"/>
  <c r="AV14" i="511"/>
  <c r="S15" i="511"/>
  <c r="T15" i="511" s="1"/>
  <c r="AE15" i="511"/>
  <c r="AG15" i="511" s="1"/>
  <c r="Z16" i="511"/>
  <c r="S16" i="511"/>
  <c r="T16" i="511" s="1"/>
  <c r="AV20" i="511"/>
  <c r="AX20" i="511"/>
  <c r="AV22" i="511"/>
  <c r="AR24" i="511"/>
  <c r="AP24" i="511"/>
  <c r="AW24" i="511"/>
  <c r="AX24" i="511" s="1"/>
  <c r="AN24" i="511"/>
  <c r="AL24" i="511"/>
  <c r="AR26" i="511"/>
  <c r="AP26" i="511"/>
  <c r="U26" i="511"/>
  <c r="W26" i="511" s="1"/>
  <c r="AW26" i="511"/>
  <c r="AN26" i="511"/>
  <c r="Z29" i="511"/>
  <c r="S29" i="511"/>
  <c r="T29" i="511" s="1"/>
  <c r="AD30" i="511"/>
  <c r="AA30" i="511"/>
  <c r="AC30" i="511" s="1"/>
  <c r="AV32" i="511"/>
  <c r="AA32" i="511"/>
  <c r="AC32" i="511" s="1"/>
  <c r="AE32" i="511"/>
  <c r="AG32" i="511" s="1"/>
  <c r="Z22" i="511"/>
  <c r="AD22" i="511" s="1"/>
  <c r="AE22" i="511" s="1"/>
  <c r="AG22" i="511" s="1"/>
  <c r="S22" i="511"/>
  <c r="T22" i="511" s="1"/>
  <c r="AV10" i="511"/>
  <c r="AR17" i="511"/>
  <c r="AP17" i="511"/>
  <c r="AW17" i="511"/>
  <c r="AN17" i="511"/>
  <c r="AW19" i="511"/>
  <c r="AN19" i="511"/>
  <c r="AL19" i="511"/>
  <c r="U19" i="511"/>
  <c r="W19" i="511" s="1"/>
  <c r="AR19" i="511"/>
  <c r="AV25" i="511"/>
  <c r="AA28" i="511"/>
  <c r="AC28" i="511" s="1"/>
  <c r="AR31" i="511"/>
  <c r="AP31" i="511"/>
  <c r="AW31" i="511"/>
  <c r="AN31" i="511"/>
  <c r="AL31" i="511"/>
  <c r="U31" i="511"/>
  <c r="W31" i="511" s="1"/>
  <c r="AE34" i="511"/>
  <c r="AG34" i="511" s="1"/>
  <c r="AV34" i="511"/>
  <c r="AA34" i="511"/>
  <c r="AC34" i="511" s="1"/>
  <c r="S11" i="511"/>
  <c r="T11" i="511" s="1"/>
  <c r="S14" i="511"/>
  <c r="T14" i="511" s="1"/>
  <c r="AE14" i="511"/>
  <c r="AG14" i="511" s="1"/>
  <c r="U17" i="511"/>
  <c r="W17" i="511" s="1"/>
  <c r="AV17" i="511"/>
  <c r="AV18" i="511"/>
  <c r="AA18" i="511"/>
  <c r="AC18" i="511" s="1"/>
  <c r="AE18" i="511"/>
  <c r="AG18" i="511" s="1"/>
  <c r="AR21" i="511"/>
  <c r="AP21" i="511"/>
  <c r="U21" i="511"/>
  <c r="W21" i="511" s="1"/>
  <c r="AW21" i="511"/>
  <c r="AN21" i="511"/>
  <c r="AA24" i="511"/>
  <c r="AC24" i="511" s="1"/>
  <c r="AE24" i="511"/>
  <c r="AG24" i="511" s="1"/>
  <c r="Z25" i="511"/>
  <c r="AD25" i="511" s="1"/>
  <c r="AE25" i="511" s="1"/>
  <c r="AG25" i="511" s="1"/>
  <c r="S25" i="511"/>
  <c r="T25" i="511" s="1"/>
  <c r="AX26" i="511"/>
  <c r="AV27" i="511"/>
  <c r="AW33" i="511"/>
  <c r="AN33" i="511"/>
  <c r="AL33" i="511"/>
  <c r="U33" i="511"/>
  <c r="W33" i="511" s="1"/>
  <c r="AR33" i="511"/>
  <c r="AP33" i="511"/>
  <c r="AV36" i="511"/>
  <c r="AA36" i="511"/>
  <c r="AC36" i="511" s="1"/>
  <c r="AE36" i="511"/>
  <c r="AG36" i="511" s="1"/>
  <c r="AD37" i="511"/>
  <c r="AE37" i="511" s="1"/>
  <c r="AG37" i="511" s="1"/>
  <c r="AA37" i="511"/>
  <c r="AC37" i="511" s="1"/>
  <c r="AV31" i="511"/>
  <c r="AV35" i="511"/>
  <c r="AV38" i="511"/>
  <c r="Z40" i="511"/>
  <c r="AD40" i="511" s="1"/>
  <c r="S40" i="511"/>
  <c r="T40" i="511" s="1"/>
  <c r="AV43" i="511"/>
  <c r="AV46" i="511"/>
  <c r="AV60" i="511"/>
  <c r="AV16" i="511"/>
  <c r="AA19" i="511"/>
  <c r="AC19" i="511" s="1"/>
  <c r="AV23" i="511"/>
  <c r="AV28" i="511"/>
  <c r="AV30" i="511"/>
  <c r="S32" i="511"/>
  <c r="T32" i="511" s="1"/>
  <c r="AA33" i="511"/>
  <c r="AC33" i="511" s="1"/>
  <c r="S36" i="511"/>
  <c r="T36" i="511" s="1"/>
  <c r="AV37" i="511"/>
  <c r="AV39" i="511"/>
  <c r="Z43" i="511"/>
  <c r="AD43" i="511" s="1"/>
  <c r="AE43" i="511" s="1"/>
  <c r="AG43" i="511" s="1"/>
  <c r="S43" i="511"/>
  <c r="T43" i="511" s="1"/>
  <c r="Z46" i="511"/>
  <c r="AD46" i="511" s="1"/>
  <c r="AE46" i="511" s="1"/>
  <c r="AG46" i="511" s="1"/>
  <c r="S46" i="511"/>
  <c r="T46" i="511" s="1"/>
  <c r="AV54" i="511"/>
  <c r="AD58" i="511"/>
  <c r="AE58" i="511" s="1"/>
  <c r="AG58" i="511" s="1"/>
  <c r="AA58" i="511"/>
  <c r="AC58" i="511" s="1"/>
  <c r="AE31" i="511"/>
  <c r="AG31" i="511" s="1"/>
  <c r="AE38" i="511"/>
  <c r="AG38" i="511" s="1"/>
  <c r="AW39" i="511"/>
  <c r="AX39" i="511" s="1"/>
  <c r="AN39" i="511"/>
  <c r="AR39" i="511"/>
  <c r="AE39" i="511"/>
  <c r="AG39" i="511" s="1"/>
  <c r="Z49" i="511"/>
  <c r="S49" i="511"/>
  <c r="T49" i="511" s="1"/>
  <c r="S23" i="511"/>
  <c r="T23" i="511" s="1"/>
  <c r="AE23" i="511"/>
  <c r="AG23" i="511" s="1"/>
  <c r="S28" i="511"/>
  <c r="T28" i="511" s="1"/>
  <c r="AE28" i="511"/>
  <c r="AG28" i="511" s="1"/>
  <c r="S30" i="511"/>
  <c r="T30" i="511" s="1"/>
  <c r="AE30" i="511"/>
  <c r="AG30" i="511" s="1"/>
  <c r="S34" i="511"/>
  <c r="T34" i="511" s="1"/>
  <c r="S37" i="511"/>
  <c r="T37" i="511" s="1"/>
  <c r="U39" i="511"/>
  <c r="W39" i="511" s="1"/>
  <c r="AL39" i="511"/>
  <c r="AE40" i="511"/>
  <c r="AG40" i="511" s="1"/>
  <c r="AV40" i="511"/>
  <c r="AV41" i="511"/>
  <c r="AW42" i="511"/>
  <c r="AN42" i="511"/>
  <c r="AR42" i="511"/>
  <c r="AE42" i="511"/>
  <c r="AG42" i="511" s="1"/>
  <c r="AX42" i="511"/>
  <c r="Z44" i="511"/>
  <c r="S44" i="511"/>
  <c r="T44" i="511" s="1"/>
  <c r="AE45" i="511"/>
  <c r="AG45" i="511" s="1"/>
  <c r="Z47" i="511"/>
  <c r="S47" i="511"/>
  <c r="T47" i="511" s="1"/>
  <c r="AA48" i="511"/>
  <c r="AC48" i="511" s="1"/>
  <c r="AA54" i="511"/>
  <c r="AC54" i="511" s="1"/>
  <c r="AV48" i="511"/>
  <c r="Z50" i="511"/>
  <c r="S50" i="511"/>
  <c r="T50" i="511" s="1"/>
  <c r="AW51" i="511"/>
  <c r="AN51" i="511"/>
  <c r="AR51" i="511"/>
  <c r="Z54" i="511"/>
  <c r="AD54" i="511" s="1"/>
  <c r="AE54" i="511" s="1"/>
  <c r="AG54" i="511" s="1"/>
  <c r="S54" i="511"/>
  <c r="T54" i="511" s="1"/>
  <c r="AW57" i="511"/>
  <c r="AN57" i="511"/>
  <c r="AL57" i="511"/>
  <c r="AR57" i="511"/>
  <c r="AA59" i="511"/>
  <c r="AC59" i="511" s="1"/>
  <c r="AE59" i="511"/>
  <c r="AG59" i="511" s="1"/>
  <c r="Z60" i="511"/>
  <c r="AD60" i="511" s="1"/>
  <c r="AE60" i="511" s="1"/>
  <c r="AG60" i="511" s="1"/>
  <c r="S60" i="511"/>
  <c r="T60" i="511" s="1"/>
  <c r="Z64" i="511"/>
  <c r="AD64" i="511" s="1"/>
  <c r="AE64" i="511" s="1"/>
  <c r="AG64" i="511" s="1"/>
  <c r="S64" i="511"/>
  <c r="T64" i="511" s="1"/>
  <c r="AV52" i="511"/>
  <c r="AE56" i="511"/>
  <c r="AG56" i="511" s="1"/>
  <c r="AV56" i="511"/>
  <c r="AV62" i="511"/>
  <c r="AE66" i="511"/>
  <c r="AG66" i="511" s="1"/>
  <c r="AA66" i="511"/>
  <c r="AC66" i="511" s="1"/>
  <c r="AV66" i="511"/>
  <c r="S48" i="511"/>
  <c r="T48" i="511" s="1"/>
  <c r="AE48" i="511"/>
  <c r="AG48" i="511" s="1"/>
  <c r="AP51" i="511"/>
  <c r="Z52" i="511"/>
  <c r="AD52" i="511" s="1"/>
  <c r="AE52" i="511" s="1"/>
  <c r="AG52" i="511" s="1"/>
  <c r="S52" i="511"/>
  <c r="T52" i="511" s="1"/>
  <c r="AR53" i="511"/>
  <c r="AW53" i="511"/>
  <c r="AN53" i="511"/>
  <c r="AP55" i="511"/>
  <c r="Z56" i="511"/>
  <c r="AD56" i="511" s="1"/>
  <c r="S56" i="511"/>
  <c r="T56" i="511" s="1"/>
  <c r="AP57" i="511"/>
  <c r="AV58" i="511"/>
  <c r="AR59" i="511"/>
  <c r="AP59" i="511"/>
  <c r="AW59" i="511"/>
  <c r="AN59" i="511"/>
  <c r="AL59" i="511"/>
  <c r="Z68" i="511"/>
  <c r="AD68" i="511" s="1"/>
  <c r="AE68" i="511" s="1"/>
  <c r="AG68" i="511" s="1"/>
  <c r="S68" i="511"/>
  <c r="T68" i="511" s="1"/>
  <c r="AX70" i="511"/>
  <c r="BB70" i="511"/>
  <c r="AP61" i="511"/>
  <c r="AW61" i="511"/>
  <c r="AN61" i="511"/>
  <c r="AR61" i="511"/>
  <c r="Z62" i="511"/>
  <c r="AD62" i="511" s="1"/>
  <c r="S62" i="511"/>
  <c r="T62" i="511" s="1"/>
  <c r="AP63" i="511"/>
  <c r="U63" i="511"/>
  <c r="W63" i="511" s="1"/>
  <c r="AW63" i="511"/>
  <c r="AX63" i="511" s="1"/>
  <c r="AN63" i="511"/>
  <c r="AR63" i="511"/>
  <c r="AL65" i="511"/>
  <c r="U65" i="511"/>
  <c r="W65" i="511" s="1"/>
  <c r="AR65" i="511"/>
  <c r="AW65" i="511"/>
  <c r="AN65" i="511"/>
  <c r="AZ70" i="511"/>
  <c r="Z67" i="511"/>
  <c r="AD67" i="511" s="1"/>
  <c r="AE67" i="511" s="1"/>
  <c r="AG67" i="511" s="1"/>
  <c r="S67" i="511"/>
  <c r="T67" i="511" s="1"/>
  <c r="AP69" i="511"/>
  <c r="AW69" i="511"/>
  <c r="AN69" i="511"/>
  <c r="AR69" i="511"/>
  <c r="U69" i="511"/>
  <c r="AR70" i="511"/>
  <c r="AN70" i="511"/>
  <c r="U70" i="511"/>
  <c r="S58" i="511"/>
  <c r="T58" i="511" s="1"/>
  <c r="AL61" i="511"/>
  <c r="AV63" i="511"/>
  <c r="AV64" i="511"/>
  <c r="AV65" i="511"/>
  <c r="AA65" i="511"/>
  <c r="AC65" i="511" s="1"/>
  <c r="AE65" i="511"/>
  <c r="AG65" i="511" s="1"/>
  <c r="AV67" i="511"/>
  <c r="AL69" i="511"/>
  <c r="AY70" i="511"/>
  <c r="AP70" i="511"/>
  <c r="AW71" i="511"/>
  <c r="AN71" i="511"/>
  <c r="U71" i="511"/>
  <c r="AR71" i="511"/>
  <c r="AP71" i="511"/>
  <c r="AL71" i="511"/>
  <c r="AV70" i="511"/>
  <c r="S66" i="511"/>
  <c r="T66" i="511" s="1"/>
  <c r="AW55" i="511" l="1"/>
  <c r="AW45" i="511"/>
  <c r="AX45" i="511" s="1"/>
  <c r="AR41" i="511"/>
  <c r="AP10" i="511"/>
  <c r="AN10" i="511"/>
  <c r="AA52" i="511"/>
  <c r="AC52" i="511" s="1"/>
  <c r="AR55" i="511"/>
  <c r="AR45" i="511"/>
  <c r="AL41" i="511"/>
  <c r="AN41" i="511"/>
  <c r="AX12" i="511"/>
  <c r="AE12" i="511"/>
  <c r="AG12" i="511" s="1"/>
  <c r="O9" i="511"/>
  <c r="N9" i="511"/>
  <c r="AL10" i="511"/>
  <c r="U45" i="511"/>
  <c r="W45" i="511" s="1"/>
  <c r="AA53" i="511"/>
  <c r="AC53" i="511" s="1"/>
  <c r="U55" i="511"/>
  <c r="W55" i="511" s="1"/>
  <c r="AL42" i="511"/>
  <c r="U42" i="511"/>
  <c r="W42" i="511" s="1"/>
  <c r="AP42" i="511"/>
  <c r="AA67" i="511"/>
  <c r="AC67" i="511" s="1"/>
  <c r="AA56" i="511"/>
  <c r="AC56" i="511" s="1"/>
  <c r="AN55" i="511"/>
  <c r="AN45" i="511"/>
  <c r="AP41" i="511"/>
  <c r="U41" i="511"/>
  <c r="W41" i="511" s="1"/>
  <c r="AV12" i="511"/>
  <c r="M9" i="511"/>
  <c r="AA38" i="511"/>
  <c r="AC38" i="511" s="1"/>
  <c r="AA46" i="511"/>
  <c r="AC46" i="511" s="1"/>
  <c r="AA60" i="511"/>
  <c r="AC60" i="511" s="1"/>
  <c r="AA64" i="511"/>
  <c r="AC64" i="511" s="1"/>
  <c r="AA27" i="511"/>
  <c r="AC27" i="511" s="1"/>
  <c r="AY71" i="511"/>
  <c r="BB71" i="511"/>
  <c r="BC70" i="511"/>
  <c r="BD70" i="511" s="1"/>
  <c r="AP58" i="511"/>
  <c r="AW58" i="511"/>
  <c r="AN58" i="511"/>
  <c r="AL58" i="511"/>
  <c r="U58" i="511"/>
  <c r="W58" i="511" s="1"/>
  <c r="AR58" i="511"/>
  <c r="BB69" i="511"/>
  <c r="BA69" i="511"/>
  <c r="AY69" i="511"/>
  <c r="AZ69" i="511"/>
  <c r="AX69" i="511"/>
  <c r="AP56" i="511"/>
  <c r="AW56" i="511"/>
  <c r="AL56" i="511"/>
  <c r="U56" i="511"/>
  <c r="W56" i="511" s="1"/>
  <c r="AR56" i="511"/>
  <c r="AN56" i="511"/>
  <c r="AP52" i="511"/>
  <c r="AL52" i="511"/>
  <c r="U52" i="511"/>
  <c r="W52" i="511" s="1"/>
  <c r="AW52" i="511"/>
  <c r="AR52" i="511"/>
  <c r="AN52" i="511"/>
  <c r="AR64" i="511"/>
  <c r="AP64" i="511"/>
  <c r="AL64" i="511"/>
  <c r="U64" i="511"/>
  <c r="W64" i="511" s="1"/>
  <c r="AN64" i="511"/>
  <c r="AW64" i="511"/>
  <c r="AD50" i="511"/>
  <c r="AE50" i="511" s="1"/>
  <c r="AG50" i="511" s="1"/>
  <c r="AA50" i="511"/>
  <c r="AC50" i="511" s="1"/>
  <c r="AL47" i="511"/>
  <c r="U47" i="511"/>
  <c r="W47" i="511" s="1"/>
  <c r="AP47" i="511"/>
  <c r="AW47" i="511"/>
  <c r="AR47" i="511"/>
  <c r="AN47" i="511"/>
  <c r="AD44" i="511"/>
  <c r="AE44" i="511" s="1"/>
  <c r="AG44" i="511" s="1"/>
  <c r="AA44" i="511"/>
  <c r="AC44" i="511" s="1"/>
  <c r="AA49" i="511"/>
  <c r="AC49" i="511" s="1"/>
  <c r="AD49" i="511"/>
  <c r="AE49" i="511" s="1"/>
  <c r="AG49" i="511" s="1"/>
  <c r="AP43" i="511"/>
  <c r="AL43" i="511"/>
  <c r="U43" i="511"/>
  <c r="AN43" i="511"/>
  <c r="AW43" i="511"/>
  <c r="AR43" i="511"/>
  <c r="AL32" i="511"/>
  <c r="U32" i="511"/>
  <c r="W32" i="511" s="1"/>
  <c r="AR32" i="511"/>
  <c r="AP32" i="511"/>
  <c r="AW32" i="511"/>
  <c r="AN32" i="511"/>
  <c r="AP40" i="511"/>
  <c r="AL40" i="511"/>
  <c r="U40" i="511"/>
  <c r="W40" i="511" s="1"/>
  <c r="AR40" i="511"/>
  <c r="AN40" i="511"/>
  <c r="AW40" i="511"/>
  <c r="BA33" i="511"/>
  <c r="AZ33" i="511"/>
  <c r="AY33" i="511"/>
  <c r="BB33" i="511"/>
  <c r="AX33" i="511"/>
  <c r="AP14" i="511"/>
  <c r="AW14" i="511"/>
  <c r="AN14" i="511"/>
  <c r="AL14" i="511"/>
  <c r="U14" i="511"/>
  <c r="AR14" i="511"/>
  <c r="AA25" i="511"/>
  <c r="AC25" i="511" s="1"/>
  <c r="AY17" i="511"/>
  <c r="BB17" i="511"/>
  <c r="BA17" i="511"/>
  <c r="AZ17" i="511"/>
  <c r="AL13" i="511"/>
  <c r="U13" i="511"/>
  <c r="W13" i="511" s="1"/>
  <c r="AR13" i="511"/>
  <c r="AP13" i="511"/>
  <c r="AW13" i="511"/>
  <c r="AN13" i="511"/>
  <c r="AL18" i="511"/>
  <c r="U18" i="511"/>
  <c r="W18" i="511" s="1"/>
  <c r="AR18" i="511"/>
  <c r="AP18" i="511"/>
  <c r="AN18" i="511"/>
  <c r="AW18" i="511"/>
  <c r="BA71" i="511"/>
  <c r="AZ71" i="511"/>
  <c r="AZ65" i="511"/>
  <c r="AY65" i="511"/>
  <c r="BA65" i="511"/>
  <c r="BB65" i="511"/>
  <c r="AX65" i="511"/>
  <c r="AW68" i="511"/>
  <c r="AP68" i="511"/>
  <c r="AR68" i="511"/>
  <c r="AL68" i="511"/>
  <c r="U68" i="511"/>
  <c r="W68" i="511" s="1"/>
  <c r="AN68" i="511"/>
  <c r="AY59" i="511"/>
  <c r="BB59" i="511"/>
  <c r="BA59" i="511"/>
  <c r="AZ59" i="511"/>
  <c r="AP48" i="511"/>
  <c r="AW48" i="511"/>
  <c r="AN48" i="511"/>
  <c r="AL48" i="511"/>
  <c r="U48" i="511"/>
  <c r="W48" i="511" s="1"/>
  <c r="AR48" i="511"/>
  <c r="AX59" i="511"/>
  <c r="BA55" i="511"/>
  <c r="AY55" i="511"/>
  <c r="BB55" i="511"/>
  <c r="AZ55" i="511"/>
  <c r="AX55" i="511"/>
  <c r="AD47" i="511"/>
  <c r="AE47" i="511" s="1"/>
  <c r="AG47" i="511" s="1"/>
  <c r="AA47" i="511"/>
  <c r="AC47" i="511" s="1"/>
  <c r="BA42" i="511"/>
  <c r="AY42" i="511"/>
  <c r="BB42" i="511"/>
  <c r="AZ42" i="511"/>
  <c r="AP30" i="511"/>
  <c r="AW30" i="511"/>
  <c r="AN30" i="511"/>
  <c r="AL30" i="511"/>
  <c r="U30" i="511"/>
  <c r="W30" i="511" s="1"/>
  <c r="AR30" i="511"/>
  <c r="AP23" i="511"/>
  <c r="AW23" i="511"/>
  <c r="AN23" i="511"/>
  <c r="AL23" i="511"/>
  <c r="U23" i="511"/>
  <c r="W23" i="511" s="1"/>
  <c r="AR23" i="511"/>
  <c r="AA43" i="511"/>
  <c r="AC43" i="511" s="1"/>
  <c r="AY21" i="511"/>
  <c r="BB21" i="511"/>
  <c r="BA21" i="511"/>
  <c r="AZ21" i="511"/>
  <c r="AP11" i="511"/>
  <c r="AW11" i="511"/>
  <c r="AN11" i="511"/>
  <c r="AL11" i="511"/>
  <c r="U11" i="511"/>
  <c r="W11" i="511" s="1"/>
  <c r="AR11" i="511"/>
  <c r="AL22" i="511"/>
  <c r="U22" i="511"/>
  <c r="W22" i="511" s="1"/>
  <c r="AR22" i="511"/>
  <c r="AP22" i="511"/>
  <c r="AW22" i="511"/>
  <c r="AN22" i="511"/>
  <c r="AY26" i="511"/>
  <c r="BB26" i="511"/>
  <c r="BA26" i="511"/>
  <c r="AZ26" i="511"/>
  <c r="AA22" i="511"/>
  <c r="AC22" i="511" s="1"/>
  <c r="AC10" i="511"/>
  <c r="AZ20" i="511"/>
  <c r="AY20" i="511"/>
  <c r="BB20" i="511"/>
  <c r="BA20" i="511"/>
  <c r="AY12" i="511"/>
  <c r="BB12" i="511"/>
  <c r="BA12" i="511"/>
  <c r="AZ12" i="511"/>
  <c r="W10" i="511"/>
  <c r="AX71" i="511"/>
  <c r="AR62" i="511"/>
  <c r="AP62" i="511"/>
  <c r="AL62" i="511"/>
  <c r="U62" i="511"/>
  <c r="W62" i="511" s="1"/>
  <c r="AN62" i="511"/>
  <c r="AW62" i="511"/>
  <c r="AY53" i="511"/>
  <c r="BA53" i="511"/>
  <c r="BB53" i="511"/>
  <c r="AZ53" i="511"/>
  <c r="AL60" i="511"/>
  <c r="U60" i="511"/>
  <c r="W60" i="511" s="1"/>
  <c r="AR60" i="511"/>
  <c r="AP60" i="511"/>
  <c r="AW60" i="511"/>
  <c r="AN60" i="511"/>
  <c r="BA57" i="511"/>
  <c r="AZ57" i="511"/>
  <c r="AY57" i="511"/>
  <c r="BB57" i="511"/>
  <c r="AX57" i="511"/>
  <c r="AL54" i="511"/>
  <c r="U54" i="511"/>
  <c r="W54" i="511" s="1"/>
  <c r="AP54" i="511"/>
  <c r="AN54" i="511"/>
  <c r="AW54" i="511"/>
  <c r="AR54" i="511"/>
  <c r="BA51" i="511"/>
  <c r="AY51" i="511"/>
  <c r="BB51" i="511"/>
  <c r="AZ51" i="511"/>
  <c r="AX51" i="511"/>
  <c r="BA45" i="511"/>
  <c r="AY45" i="511"/>
  <c r="BB45" i="511"/>
  <c r="AZ45" i="511"/>
  <c r="AP37" i="511"/>
  <c r="AW37" i="511"/>
  <c r="AN37" i="511"/>
  <c r="AL37" i="511"/>
  <c r="U37" i="511"/>
  <c r="W37" i="511" s="1"/>
  <c r="AR37" i="511"/>
  <c r="BA39" i="511"/>
  <c r="AY39" i="511"/>
  <c r="AZ39" i="511"/>
  <c r="BB39" i="511"/>
  <c r="AP46" i="511"/>
  <c r="AL46" i="511"/>
  <c r="U46" i="511"/>
  <c r="W46" i="511" s="1"/>
  <c r="AN46" i="511"/>
  <c r="AW46" i="511"/>
  <c r="AR46" i="511"/>
  <c r="AL36" i="511"/>
  <c r="U36" i="511"/>
  <c r="W36" i="511" s="1"/>
  <c r="AR36" i="511"/>
  <c r="AP36" i="511"/>
  <c r="AW36" i="511"/>
  <c r="AN36" i="511"/>
  <c r="AY41" i="511"/>
  <c r="BA41" i="511"/>
  <c r="BB41" i="511"/>
  <c r="AZ41" i="511"/>
  <c r="AX41" i="511"/>
  <c r="AY31" i="511"/>
  <c r="BB31" i="511"/>
  <c r="BA31" i="511"/>
  <c r="AZ31" i="511"/>
  <c r="BA19" i="511"/>
  <c r="AZ19" i="511"/>
  <c r="AY19" i="511"/>
  <c r="BB19" i="511"/>
  <c r="AX19" i="511"/>
  <c r="AL29" i="511"/>
  <c r="U29" i="511"/>
  <c r="W29" i="511" s="1"/>
  <c r="AR29" i="511"/>
  <c r="AP29" i="511"/>
  <c r="AW29" i="511"/>
  <c r="AN29" i="511"/>
  <c r="AP16" i="511"/>
  <c r="AW16" i="511"/>
  <c r="AN16" i="511"/>
  <c r="AL16" i="511"/>
  <c r="U16" i="511"/>
  <c r="W16" i="511" s="1"/>
  <c r="AR16" i="511"/>
  <c r="AL15" i="511"/>
  <c r="U15" i="511"/>
  <c r="W15" i="511" s="1"/>
  <c r="AR15" i="511"/>
  <c r="AP15" i="511"/>
  <c r="AN15" i="511"/>
  <c r="AW15" i="511"/>
  <c r="AY35" i="511"/>
  <c r="BB35" i="511"/>
  <c r="BA35" i="511"/>
  <c r="AZ35" i="511"/>
  <c r="AL27" i="511"/>
  <c r="U27" i="511"/>
  <c r="W27" i="511" s="1"/>
  <c r="AR27" i="511"/>
  <c r="AP27" i="511"/>
  <c r="AN27" i="511"/>
  <c r="AW27" i="511"/>
  <c r="BB61" i="511"/>
  <c r="AX61" i="511"/>
  <c r="BA61" i="511"/>
  <c r="AY61" i="511"/>
  <c r="AZ61" i="511"/>
  <c r="AP66" i="511"/>
  <c r="AW66" i="511"/>
  <c r="AN66" i="511"/>
  <c r="AR66" i="511"/>
  <c r="U66" i="511"/>
  <c r="W66" i="511" s="1"/>
  <c r="AL66" i="511"/>
  <c r="AA68" i="511"/>
  <c r="AC68" i="511" s="1"/>
  <c r="AW67" i="511"/>
  <c r="AP67" i="511"/>
  <c r="AR67" i="511"/>
  <c r="AL67" i="511"/>
  <c r="U67" i="511"/>
  <c r="W67" i="511" s="1"/>
  <c r="AN67" i="511"/>
  <c r="BB63" i="511"/>
  <c r="BA63" i="511"/>
  <c r="AY63" i="511"/>
  <c r="AZ63" i="511"/>
  <c r="AX53" i="511"/>
  <c r="AL50" i="511"/>
  <c r="U50" i="511"/>
  <c r="W50" i="511" s="1"/>
  <c r="AP50" i="511"/>
  <c r="AN50" i="511"/>
  <c r="AW50" i="511"/>
  <c r="AR50" i="511"/>
  <c r="AL44" i="511"/>
  <c r="U44" i="511"/>
  <c r="W44" i="511" s="1"/>
  <c r="AP44" i="511"/>
  <c r="AW44" i="511"/>
  <c r="AR44" i="511"/>
  <c r="AN44" i="511"/>
  <c r="AA40" i="511"/>
  <c r="AC40" i="511" s="1"/>
  <c r="AP34" i="511"/>
  <c r="AW34" i="511"/>
  <c r="AN34" i="511"/>
  <c r="AL34" i="511"/>
  <c r="U34" i="511"/>
  <c r="W34" i="511" s="1"/>
  <c r="AR34" i="511"/>
  <c r="AP28" i="511"/>
  <c r="AW28" i="511"/>
  <c r="AN28" i="511"/>
  <c r="AL28" i="511"/>
  <c r="U28" i="511"/>
  <c r="W28" i="511" s="1"/>
  <c r="AR28" i="511"/>
  <c r="AP49" i="511"/>
  <c r="AW49" i="511"/>
  <c r="AL49" i="511"/>
  <c r="U49" i="511"/>
  <c r="W49" i="511" s="1"/>
  <c r="AR49" i="511"/>
  <c r="AN49" i="511"/>
  <c r="AX31" i="511"/>
  <c r="AL25" i="511"/>
  <c r="U25" i="511"/>
  <c r="W25" i="511" s="1"/>
  <c r="AR25" i="511"/>
  <c r="AP25" i="511"/>
  <c r="AW25" i="511"/>
  <c r="AN25" i="511"/>
  <c r="AA29" i="511"/>
  <c r="AC29" i="511" s="1"/>
  <c r="AD29" i="511"/>
  <c r="AE29" i="511" s="1"/>
  <c r="AG29" i="511" s="1"/>
  <c r="AY24" i="511"/>
  <c r="BC24" i="511" s="1"/>
  <c r="BD24" i="511" s="1"/>
  <c r="BB24" i="511"/>
  <c r="BA24" i="511"/>
  <c r="AZ24" i="511"/>
  <c r="AX21" i="511"/>
  <c r="AD16" i="511"/>
  <c r="AE16" i="511" s="1"/>
  <c r="AG16" i="511" s="1"/>
  <c r="AA16" i="511"/>
  <c r="AC16" i="511" s="1"/>
  <c r="AX17" i="511"/>
  <c r="AG10" i="511"/>
  <c r="AG9" i="511" s="1"/>
  <c r="BA38" i="511"/>
  <c r="AY38" i="511"/>
  <c r="BB38" i="511"/>
  <c r="AZ38" i="511"/>
  <c r="BA10" i="511"/>
  <c r="AZ10" i="511"/>
  <c r="AY10" i="511"/>
  <c r="BB10" i="511"/>
  <c r="BC26" i="511" l="1"/>
  <c r="BD26" i="511" s="1"/>
  <c r="BC21" i="511"/>
  <c r="BD21" i="511" s="1"/>
  <c r="BC42" i="511"/>
  <c r="BD42" i="511" s="1"/>
  <c r="BC17" i="511"/>
  <c r="AP9" i="511"/>
  <c r="AN9" i="511"/>
  <c r="BC55" i="511"/>
  <c r="BD55" i="511" s="1"/>
  <c r="BC59" i="511"/>
  <c r="BD17" i="511"/>
  <c r="BC61" i="511"/>
  <c r="AR9" i="511"/>
  <c r="BC31" i="511"/>
  <c r="BC20" i="511"/>
  <c r="BD20" i="511" s="1"/>
  <c r="AL9" i="511"/>
  <c r="BC57" i="511"/>
  <c r="BD57" i="511" s="1"/>
  <c r="BC53" i="511"/>
  <c r="BB66" i="511"/>
  <c r="BA66" i="511"/>
  <c r="AY66" i="511"/>
  <c r="AZ66" i="511"/>
  <c r="AX66" i="511"/>
  <c r="BA60" i="511"/>
  <c r="AZ60" i="511"/>
  <c r="AY60" i="511"/>
  <c r="BB60" i="511"/>
  <c r="AX60" i="511"/>
  <c r="U9" i="511"/>
  <c r="BB30" i="511"/>
  <c r="BA30" i="511"/>
  <c r="AZ30" i="511"/>
  <c r="AY30" i="511"/>
  <c r="AX30" i="511"/>
  <c r="AZ18" i="511"/>
  <c r="AY18" i="511"/>
  <c r="BB18" i="511"/>
  <c r="BA18" i="511"/>
  <c r="AX18" i="511"/>
  <c r="AZ32" i="511"/>
  <c r="AY32" i="511"/>
  <c r="BB32" i="511"/>
  <c r="BA32" i="511"/>
  <c r="AX32" i="511"/>
  <c r="W43" i="511"/>
  <c r="W3" i="511"/>
  <c r="Z3" i="511" s="1"/>
  <c r="BB34" i="511"/>
  <c r="BA34" i="511"/>
  <c r="AZ34" i="511"/>
  <c r="AY34" i="511"/>
  <c r="AX34" i="511"/>
  <c r="BC38" i="511"/>
  <c r="BD38" i="511" s="1"/>
  <c r="AZ25" i="511"/>
  <c r="AY25" i="511"/>
  <c r="BB25" i="511"/>
  <c r="BA25" i="511"/>
  <c r="AX25" i="511"/>
  <c r="AZ44" i="511"/>
  <c r="BB44" i="511"/>
  <c r="BA44" i="511"/>
  <c r="AY44" i="511"/>
  <c r="AX44" i="511"/>
  <c r="BC35" i="511"/>
  <c r="BD35" i="511" s="1"/>
  <c r="AZ36" i="511"/>
  <c r="AY36" i="511"/>
  <c r="BB36" i="511"/>
  <c r="BA36" i="511"/>
  <c r="AX36" i="511"/>
  <c r="BB37" i="511"/>
  <c r="BA37" i="511"/>
  <c r="AZ37" i="511"/>
  <c r="AY37" i="511"/>
  <c r="AX37" i="511"/>
  <c r="BC45" i="511"/>
  <c r="BD45" i="511" s="1"/>
  <c r="AZ54" i="511"/>
  <c r="BB54" i="511"/>
  <c r="BA54" i="511"/>
  <c r="AY54" i="511"/>
  <c r="AX54" i="511"/>
  <c r="AY62" i="511"/>
  <c r="BB62" i="511"/>
  <c r="AZ62" i="511"/>
  <c r="BA62" i="511"/>
  <c r="AX62" i="511"/>
  <c r="BC12" i="511"/>
  <c r="BD12" i="511" s="1"/>
  <c r="BB40" i="511"/>
  <c r="AZ40" i="511"/>
  <c r="BA40" i="511"/>
  <c r="AY40" i="511"/>
  <c r="AX40" i="511"/>
  <c r="AZ47" i="511"/>
  <c r="BB47" i="511"/>
  <c r="BA47" i="511"/>
  <c r="AY47" i="511"/>
  <c r="AX47" i="511"/>
  <c r="BB16" i="511"/>
  <c r="BA16" i="511"/>
  <c r="AZ16" i="511"/>
  <c r="AY16" i="511"/>
  <c r="AX16" i="511"/>
  <c r="BD31" i="511"/>
  <c r="AZ50" i="511"/>
  <c r="BB50" i="511"/>
  <c r="BA50" i="511"/>
  <c r="AY50" i="511"/>
  <c r="AX50" i="511"/>
  <c r="BC63" i="511"/>
  <c r="BD63" i="511" s="1"/>
  <c r="BA67" i="511"/>
  <c r="AY67" i="511"/>
  <c r="AZ67" i="511"/>
  <c r="AX67" i="511"/>
  <c r="BB67" i="511"/>
  <c r="BD61" i="511"/>
  <c r="AZ15" i="511"/>
  <c r="AY15" i="511"/>
  <c r="BB15" i="511"/>
  <c r="BA15" i="511"/>
  <c r="AX15" i="511"/>
  <c r="BC19" i="511"/>
  <c r="BD19" i="511" s="1"/>
  <c r="BC39" i="511"/>
  <c r="BD39" i="511" s="1"/>
  <c r="BC51" i="511"/>
  <c r="BD51" i="511" s="1"/>
  <c r="AA9" i="511"/>
  <c r="AZ22" i="511"/>
  <c r="AY22" i="511"/>
  <c r="BB22" i="511"/>
  <c r="BA22" i="511"/>
  <c r="AX22" i="511"/>
  <c r="BB23" i="511"/>
  <c r="BA23" i="511"/>
  <c r="AZ23" i="511"/>
  <c r="AY23" i="511"/>
  <c r="AX23" i="511"/>
  <c r="BD59" i="511"/>
  <c r="BA68" i="511"/>
  <c r="AY68" i="511"/>
  <c r="AZ68" i="511"/>
  <c r="BB68" i="511"/>
  <c r="AX68" i="511"/>
  <c r="BC65" i="511"/>
  <c r="BB14" i="511"/>
  <c r="BA14" i="511"/>
  <c r="AZ14" i="511"/>
  <c r="AY14" i="511"/>
  <c r="AX14" i="511"/>
  <c r="BC33" i="511"/>
  <c r="BD33" i="511" s="1"/>
  <c r="BB43" i="511"/>
  <c r="AZ43" i="511"/>
  <c r="BA43" i="511"/>
  <c r="AY43" i="511"/>
  <c r="AX43" i="511"/>
  <c r="BB58" i="511"/>
  <c r="BA58" i="511"/>
  <c r="AZ58" i="511"/>
  <c r="AY58" i="511"/>
  <c r="AX58" i="511"/>
  <c r="BC71" i="511"/>
  <c r="BD71" i="511" s="1"/>
  <c r="BB49" i="511"/>
  <c r="AZ49" i="511"/>
  <c r="BA49" i="511"/>
  <c r="AY49" i="511"/>
  <c r="AX49" i="511"/>
  <c r="AZ27" i="511"/>
  <c r="AY27" i="511"/>
  <c r="BB27" i="511"/>
  <c r="BA27" i="511"/>
  <c r="AX27" i="511"/>
  <c r="BB28" i="511"/>
  <c r="BA28" i="511"/>
  <c r="AZ28" i="511"/>
  <c r="AY28" i="511"/>
  <c r="AX28" i="511"/>
  <c r="BC10" i="511"/>
  <c r="BD10" i="511" s="1"/>
  <c r="AE9" i="511"/>
  <c r="BD53" i="511"/>
  <c r="AZ29" i="511"/>
  <c r="AY29" i="511"/>
  <c r="BB29" i="511"/>
  <c r="BA29" i="511"/>
  <c r="AX29" i="511"/>
  <c r="BC41" i="511"/>
  <c r="BD41" i="511" s="1"/>
  <c r="BB46" i="511"/>
  <c r="AZ46" i="511"/>
  <c r="BA46" i="511"/>
  <c r="AY46" i="511"/>
  <c r="AX46" i="511"/>
  <c r="AC9" i="511"/>
  <c r="BB11" i="511"/>
  <c r="BA11" i="511"/>
  <c r="AZ11" i="511"/>
  <c r="AY11" i="511"/>
  <c r="AX11" i="511"/>
  <c r="BB48" i="511"/>
  <c r="BA48" i="511"/>
  <c r="AZ48" i="511"/>
  <c r="AY48" i="511"/>
  <c r="AX48" i="511"/>
  <c r="BD65" i="511"/>
  <c r="AZ13" i="511"/>
  <c r="AY13" i="511"/>
  <c r="BB13" i="511"/>
  <c r="BA13" i="511"/>
  <c r="AX13" i="511"/>
  <c r="BF9" i="511"/>
  <c r="W14" i="511"/>
  <c r="AY64" i="511"/>
  <c r="BB64" i="511"/>
  <c r="AZ64" i="511"/>
  <c r="BA64" i="511"/>
  <c r="AX64" i="511"/>
  <c r="BB52" i="511"/>
  <c r="AZ52" i="511"/>
  <c r="BA52" i="511"/>
  <c r="AY52" i="511"/>
  <c r="AX52" i="511"/>
  <c r="BB56" i="511"/>
  <c r="BA56" i="511"/>
  <c r="AZ56" i="511"/>
  <c r="AY56" i="511"/>
  <c r="AX56" i="511"/>
  <c r="BC69" i="511"/>
  <c r="BD69" i="511" s="1"/>
  <c r="AZ9" i="511" l="1"/>
  <c r="BC49" i="511"/>
  <c r="BC22" i="511"/>
  <c r="BD22" i="511" s="1"/>
  <c r="BC67" i="511"/>
  <c r="BC50" i="511"/>
  <c r="BC34" i="511"/>
  <c r="W9" i="511"/>
  <c r="BA9" i="511"/>
  <c r="BC62" i="511"/>
  <c r="BD62" i="511" s="1"/>
  <c r="BC37" i="511"/>
  <c r="BD37" i="511" s="1"/>
  <c r="BC18" i="511"/>
  <c r="BD18" i="511" s="1"/>
  <c r="BC13" i="511"/>
  <c r="BC48" i="511"/>
  <c r="BB9" i="511"/>
  <c r="BC47" i="511"/>
  <c r="AX9" i="511"/>
  <c r="BC52" i="511"/>
  <c r="BC64" i="511"/>
  <c r="BD64" i="511" s="1"/>
  <c r="BC29" i="511"/>
  <c r="AY9" i="511"/>
  <c r="BC58" i="511"/>
  <c r="BC15" i="511"/>
  <c r="BD15" i="511" s="1"/>
  <c r="BD67" i="511"/>
  <c r="BC16" i="511"/>
  <c r="BC54" i="511"/>
  <c r="BD54" i="511" s="1"/>
  <c r="BC25" i="511"/>
  <c r="BD25" i="511" s="1"/>
  <c r="BC32" i="511"/>
  <c r="BD32" i="511" s="1"/>
  <c r="BC60" i="511"/>
  <c r="BD60" i="511" s="1"/>
  <c r="BD48" i="511"/>
  <c r="BD29" i="511"/>
  <c r="BD49" i="511"/>
  <c r="BC43" i="511"/>
  <c r="BD43" i="511" s="1"/>
  <c r="BD50" i="511"/>
  <c r="BD47" i="511"/>
  <c r="BC36" i="511"/>
  <c r="BD36" i="511" s="1"/>
  <c r="BC44" i="511"/>
  <c r="BD44" i="511" s="1"/>
  <c r="BD34" i="511"/>
  <c r="BC30" i="511"/>
  <c r="BD30" i="511" s="1"/>
  <c r="BG9" i="511"/>
  <c r="V4" i="511"/>
  <c r="W5" i="511"/>
  <c r="Z5" i="511" s="1"/>
  <c r="AA5" i="511" s="1"/>
  <c r="U3" i="511"/>
  <c r="U4" i="511" s="1"/>
  <c r="U5" i="511"/>
  <c r="AE4" i="511"/>
  <c r="AL2" i="511"/>
  <c r="BC66" i="511"/>
  <c r="BD66" i="511" s="1"/>
  <c r="BC56" i="511"/>
  <c r="BD56" i="511" s="1"/>
  <c r="BD52" i="511"/>
  <c r="BD13" i="511"/>
  <c r="BC11" i="511"/>
  <c r="BD11" i="511" s="1"/>
  <c r="BC46" i="511"/>
  <c r="BD46" i="511" s="1"/>
  <c r="BC28" i="511"/>
  <c r="BD28" i="511" s="1"/>
  <c r="BC27" i="511"/>
  <c r="BD27" i="511" s="1"/>
  <c r="BD58" i="511"/>
  <c r="BC14" i="511"/>
  <c r="BD14" i="511" s="1"/>
  <c r="BC68" i="511"/>
  <c r="BD68" i="511" s="1"/>
  <c r="BC23" i="511"/>
  <c r="BD23" i="511" s="1"/>
  <c r="BD16" i="511"/>
  <c r="BC40" i="511"/>
  <c r="BD40" i="511" s="1"/>
  <c r="BC9" i="511" l="1"/>
  <c r="AX112" i="511"/>
  <c r="AX3" i="511"/>
  <c r="L11" i="496" l="1"/>
  <c r="L14" i="496"/>
  <c r="L15" i="496"/>
  <c r="L16" i="496"/>
  <c r="L18" i="496"/>
  <c r="L19" i="496"/>
  <c r="L20" i="496"/>
  <c r="L21" i="496"/>
  <c r="L22" i="496"/>
  <c r="L23" i="496"/>
  <c r="L24" i="496"/>
  <c r="L25" i="496"/>
  <c r="L26" i="496"/>
  <c r="L27" i="496"/>
  <c r="L28" i="496"/>
  <c r="L29" i="496"/>
  <c r="L30" i="496"/>
  <c r="L31" i="496"/>
  <c r="L32" i="496"/>
  <c r="L33" i="496"/>
  <c r="L34" i="496"/>
  <c r="L35" i="496"/>
  <c r="L36" i="496"/>
  <c r="L37" i="496"/>
  <c r="L38" i="496"/>
  <c r="L39" i="496"/>
  <c r="L40" i="496"/>
  <c r="L41" i="496"/>
  <c r="L42" i="496"/>
  <c r="L43" i="496"/>
  <c r="L44" i="496"/>
  <c r="L45" i="496"/>
  <c r="L46" i="496"/>
  <c r="L47" i="496"/>
  <c r="L48" i="496"/>
  <c r="L49" i="496"/>
  <c r="L50" i="496"/>
  <c r="L51" i="496"/>
  <c r="L52" i="496"/>
  <c r="L53" i="496"/>
  <c r="L54" i="496"/>
  <c r="L55" i="496"/>
  <c r="L56" i="496"/>
  <c r="L57" i="496"/>
  <c r="L58" i="496"/>
  <c r="L59" i="496"/>
  <c r="L60" i="496"/>
  <c r="L61" i="496"/>
  <c r="L62" i="496"/>
  <c r="L63" i="496"/>
  <c r="L64" i="496"/>
  <c r="L65" i="496"/>
  <c r="L66" i="496"/>
  <c r="L67" i="496"/>
  <c r="L68" i="496"/>
  <c r="L69" i="496"/>
  <c r="L70" i="496"/>
  <c r="L71" i="496"/>
  <c r="L72" i="496"/>
  <c r="L73" i="496"/>
  <c r="L74" i="496"/>
  <c r="L75" i="496"/>
  <c r="L77" i="496"/>
  <c r="L78" i="496"/>
  <c r="L79" i="496"/>
  <c r="L80" i="496"/>
  <c r="L81" i="496"/>
  <c r="L82" i="496"/>
  <c r="L83" i="496"/>
  <c r="L84" i="496"/>
  <c r="L85" i="496"/>
  <c r="L86" i="496"/>
  <c r="L87" i="496"/>
  <c r="L88" i="496"/>
  <c r="L89" i="496"/>
  <c r="L92" i="496"/>
  <c r="L93" i="496"/>
  <c r="L94" i="496"/>
  <c r="L95" i="496"/>
  <c r="L96" i="496"/>
  <c r="L97" i="496"/>
  <c r="L98" i="496"/>
  <c r="L100" i="496"/>
  <c r="L101" i="496"/>
  <c r="L102" i="496"/>
  <c r="L103" i="496"/>
  <c r="L104" i="496"/>
  <c r="L105" i="496"/>
  <c r="L106" i="496"/>
  <c r="L107" i="496"/>
  <c r="L108" i="496"/>
  <c r="L109" i="496"/>
  <c r="L110" i="496"/>
  <c r="L10" i="496"/>
  <c r="F21" i="376" l="1"/>
  <c r="F20" i="376"/>
  <c r="F19" i="376"/>
  <c r="F17" i="376"/>
  <c r="F16" i="376"/>
  <c r="F15" i="376"/>
  <c r="F129" i="379"/>
  <c r="F128" i="379"/>
  <c r="F127" i="379"/>
  <c r="F126" i="379"/>
  <c r="F116" i="379"/>
  <c r="F115" i="379"/>
  <c r="F114" i="379"/>
  <c r="F113" i="379"/>
  <c r="F112" i="379"/>
  <c r="F130" i="380"/>
  <c r="F128" i="380"/>
  <c r="F127" i="380"/>
  <c r="F116" i="380"/>
  <c r="F115" i="380"/>
  <c r="F114" i="380"/>
  <c r="F113" i="380"/>
  <c r="F112" i="380"/>
  <c r="R25" i="344" l="1"/>
  <c r="R26" i="344" s="1"/>
  <c r="Q20" i="344"/>
  <c r="Q21" i="344" s="1"/>
  <c r="P18" i="344"/>
  <c r="R24" i="344" s="1"/>
  <c r="P20" i="344"/>
  <c r="P21" i="344" s="1"/>
  <c r="P19" i="344" l="1"/>
  <c r="AQ90" i="496" l="1"/>
  <c r="L90" i="496" s="1"/>
  <c r="P90" i="496" s="1"/>
  <c r="AQ99" i="496"/>
  <c r="L99" i="496" s="1"/>
  <c r="AQ91" i="496"/>
  <c r="L91" i="496" s="1"/>
  <c r="P91" i="496" s="1"/>
  <c r="R18" i="441" l="1"/>
  <c r="S18" i="441" s="1"/>
  <c r="Q17" i="441"/>
  <c r="R17" i="441" s="1"/>
  <c r="S17" i="441" s="1"/>
  <c r="Q16" i="441"/>
  <c r="R16" i="441" s="1"/>
  <c r="S16" i="441" s="1"/>
  <c r="Q15" i="441"/>
  <c r="R15" i="441" s="1"/>
  <c r="S15" i="441" s="1"/>
  <c r="Q14" i="441"/>
  <c r="R14" i="441" s="1"/>
  <c r="S14" i="441" s="1"/>
  <c r="Q13" i="441"/>
  <c r="R13" i="441" s="1"/>
  <c r="S13" i="441" s="1"/>
  <c r="AK13" i="441" s="1"/>
  <c r="P13" i="441"/>
  <c r="P14" i="441"/>
  <c r="P15" i="441"/>
  <c r="P16" i="441"/>
  <c r="P17" i="441"/>
  <c r="P18" i="441"/>
  <c r="U9" i="418"/>
  <c r="R21" i="418"/>
  <c r="S21" i="418" s="1"/>
  <c r="P21" i="418"/>
  <c r="P16" i="418"/>
  <c r="P17" i="418"/>
  <c r="P18" i="418"/>
  <c r="P19" i="418"/>
  <c r="P20" i="418"/>
  <c r="S19" i="418"/>
  <c r="R17" i="418"/>
  <c r="S17" i="418" s="1"/>
  <c r="R18" i="418"/>
  <c r="S18" i="418" s="1"/>
  <c r="R19" i="418"/>
  <c r="R20" i="418"/>
  <c r="S20" i="418" s="1"/>
  <c r="R16" i="418"/>
  <c r="S16" i="418" s="1"/>
  <c r="K13" i="344"/>
  <c r="I13" i="344"/>
  <c r="T21" i="418" l="1"/>
  <c r="V21" i="418" s="1"/>
  <c r="T19" i="418"/>
  <c r="V19" i="418" s="1"/>
  <c r="T18" i="418"/>
  <c r="V18" i="418" s="1"/>
  <c r="T16" i="418"/>
  <c r="V16" i="418" s="1"/>
  <c r="T16" i="441"/>
  <c r="AK16" i="441"/>
  <c r="T20" i="418"/>
  <c r="V20" i="418" s="1"/>
  <c r="AG16" i="441"/>
  <c r="AJ16" i="441" s="1"/>
  <c r="AL16" i="441" s="1"/>
  <c r="AG15" i="441"/>
  <c r="AH15" i="441" s="1"/>
  <c r="T14" i="441"/>
  <c r="AK14" i="441"/>
  <c r="T17" i="441"/>
  <c r="AG17" i="441"/>
  <c r="AH17" i="441" s="1"/>
  <c r="AG13" i="441"/>
  <c r="W13" i="344"/>
  <c r="W9" i="344" s="1"/>
  <c r="N19" i="344"/>
  <c r="T17" i="418"/>
  <c r="V17" i="418" s="1"/>
  <c r="AG18" i="441"/>
  <c r="AH18" i="441" s="1"/>
  <c r="AG14" i="441"/>
  <c r="AJ14" i="441" s="1"/>
  <c r="AL14" i="441" s="1"/>
  <c r="T15" i="441"/>
  <c r="T18" i="441"/>
  <c r="T13" i="441"/>
  <c r="S13" i="344"/>
  <c r="L13" i="344"/>
  <c r="U13" i="344"/>
  <c r="U9" i="344" s="1"/>
  <c r="Q13" i="344"/>
  <c r="V25" i="418" l="1"/>
  <c r="AH16" i="441"/>
  <c r="AJ13" i="441"/>
  <c r="AL13" i="441" s="1"/>
  <c r="AH13" i="441"/>
  <c r="AH14" i="441"/>
  <c r="K12" i="344" l="1"/>
  <c r="K11" i="344"/>
  <c r="K10" i="344"/>
  <c r="I11" i="344"/>
  <c r="I12" i="344"/>
  <c r="I10" i="344"/>
  <c r="L10" i="344" l="1"/>
  <c r="Q10" i="344"/>
  <c r="S10" i="344"/>
  <c r="S12" i="344"/>
  <c r="L12" i="344"/>
  <c r="Q12" i="344"/>
  <c r="S11" i="344"/>
  <c r="L11" i="344"/>
  <c r="Q11" i="344"/>
  <c r="N11" i="428"/>
  <c r="N18" i="428"/>
  <c r="N21" i="453"/>
  <c r="N21" i="416"/>
  <c r="N17" i="428"/>
  <c r="N20" i="453"/>
  <c r="N20" i="416"/>
  <c r="N16" i="428"/>
  <c r="N19" i="453"/>
  <c r="N19" i="416"/>
  <c r="N15" i="428"/>
  <c r="N18" i="453"/>
  <c r="N18" i="416"/>
  <c r="N13" i="428"/>
  <c r="N16" i="453"/>
  <c r="N16" i="416"/>
  <c r="N12" i="428"/>
  <c r="N15" i="453"/>
  <c r="N15" i="416"/>
  <c r="N17" i="453"/>
  <c r="N17" i="416"/>
  <c r="N14" i="428"/>
  <c r="L9" i="344" l="1"/>
  <c r="S9" i="344"/>
  <c r="Q9" i="344"/>
  <c r="J105" i="509" l="1"/>
  <c r="K105" i="509" s="1"/>
  <c r="C102" i="509"/>
  <c r="C101" i="509"/>
  <c r="C100" i="509"/>
  <c r="C99" i="509"/>
  <c r="C98" i="509"/>
  <c r="J94" i="509"/>
  <c r="L104" i="509" s="1"/>
  <c r="X93" i="509"/>
  <c r="J93" i="509"/>
  <c r="L94" i="509" s="1"/>
  <c r="D93" i="509"/>
  <c r="W93" i="509" s="1"/>
  <c r="X92" i="509"/>
  <c r="W92" i="509"/>
  <c r="V92" i="509"/>
  <c r="U92" i="509"/>
  <c r="T92" i="509"/>
  <c r="S92" i="509"/>
  <c r="R92" i="509"/>
  <c r="Q92" i="509"/>
  <c r="P92" i="509"/>
  <c r="O92" i="509"/>
  <c r="N92" i="509"/>
  <c r="M92" i="509"/>
  <c r="L92" i="509"/>
  <c r="K92" i="509"/>
  <c r="J92" i="509"/>
  <c r="I92" i="509"/>
  <c r="H92" i="509"/>
  <c r="G92" i="509"/>
  <c r="F92" i="509"/>
  <c r="Z91" i="509"/>
  <c r="X91" i="509"/>
  <c r="W91" i="509"/>
  <c r="V91" i="509"/>
  <c r="Z90" i="509"/>
  <c r="X90" i="509"/>
  <c r="W90" i="509"/>
  <c r="V90" i="509"/>
  <c r="B90" i="509"/>
  <c r="Z89" i="509"/>
  <c r="X89" i="509"/>
  <c r="W89" i="509"/>
  <c r="V89" i="509"/>
  <c r="Z88" i="509"/>
  <c r="X88" i="509"/>
  <c r="W88" i="509"/>
  <c r="V88" i="509"/>
  <c r="Z87" i="509"/>
  <c r="X87" i="509"/>
  <c r="W87" i="509"/>
  <c r="V87" i="509"/>
  <c r="B87" i="509"/>
  <c r="A87" i="509"/>
  <c r="Z86" i="509"/>
  <c r="X86" i="509"/>
  <c r="W86" i="509"/>
  <c r="V86" i="509"/>
  <c r="B86" i="509"/>
  <c r="A86" i="509"/>
  <c r="Z85" i="509"/>
  <c r="X85" i="509"/>
  <c r="W85" i="509"/>
  <c r="V85" i="509"/>
  <c r="B85" i="509"/>
  <c r="A85" i="509"/>
  <c r="Z84" i="509"/>
  <c r="X84" i="509"/>
  <c r="W84" i="509"/>
  <c r="V84" i="509"/>
  <c r="X83" i="509"/>
  <c r="W83" i="509"/>
  <c r="S83" i="509"/>
  <c r="P83" i="509"/>
  <c r="M83" i="509"/>
  <c r="C83" i="509"/>
  <c r="Z82" i="509"/>
  <c r="X82" i="509"/>
  <c r="W82" i="509"/>
  <c r="V82" i="509"/>
  <c r="Z81" i="509"/>
  <c r="X81" i="509"/>
  <c r="W81" i="509"/>
  <c r="V81" i="509"/>
  <c r="B81" i="509"/>
  <c r="A81" i="509"/>
  <c r="Z80" i="509"/>
  <c r="X80" i="509"/>
  <c r="W80" i="509"/>
  <c r="V80" i="509"/>
  <c r="Z78" i="509"/>
  <c r="X78" i="509"/>
  <c r="W78" i="509"/>
  <c r="V78" i="509"/>
  <c r="X77" i="509"/>
  <c r="D77" i="509"/>
  <c r="C77" i="509" s="1"/>
  <c r="X76" i="509"/>
  <c r="X75" i="509"/>
  <c r="X74" i="509" s="1"/>
  <c r="U74" i="509"/>
  <c r="Z73" i="509"/>
  <c r="X73" i="509"/>
  <c r="W73" i="509"/>
  <c r="V73" i="509"/>
  <c r="Z72" i="509"/>
  <c r="X72" i="509"/>
  <c r="W72" i="509"/>
  <c r="V72" i="509"/>
  <c r="X71" i="509"/>
  <c r="Z70" i="509"/>
  <c r="X70" i="509"/>
  <c r="W70" i="509"/>
  <c r="V70" i="509"/>
  <c r="Z69" i="509"/>
  <c r="X69" i="509"/>
  <c r="W69" i="509"/>
  <c r="V69" i="509"/>
  <c r="Z68" i="509"/>
  <c r="X68" i="509"/>
  <c r="W68" i="509"/>
  <c r="V68" i="509"/>
  <c r="W64" i="509"/>
  <c r="P64" i="509"/>
  <c r="R64" i="509" s="1"/>
  <c r="R56" i="509" s="1"/>
  <c r="Z63" i="509"/>
  <c r="X63" i="509"/>
  <c r="W63" i="509"/>
  <c r="V63" i="509"/>
  <c r="Z62" i="509"/>
  <c r="X62" i="509"/>
  <c r="W62" i="509"/>
  <c r="V62" i="509"/>
  <c r="Z61" i="509"/>
  <c r="X61" i="509"/>
  <c r="W61" i="509"/>
  <c r="V61" i="509"/>
  <c r="Z60" i="509"/>
  <c r="X60" i="509"/>
  <c r="W60" i="509"/>
  <c r="V60" i="509"/>
  <c r="Z59" i="509"/>
  <c r="X59" i="509"/>
  <c r="W59" i="509"/>
  <c r="V59" i="509"/>
  <c r="Z58" i="509"/>
  <c r="X58" i="509"/>
  <c r="W58" i="509"/>
  <c r="V58" i="509"/>
  <c r="Z57" i="509"/>
  <c r="X57" i="509"/>
  <c r="W57" i="509"/>
  <c r="V57" i="509"/>
  <c r="W56" i="509"/>
  <c r="Z55" i="509"/>
  <c r="X55" i="509"/>
  <c r="W55" i="509"/>
  <c r="V55" i="509"/>
  <c r="Z54" i="509"/>
  <c r="X54" i="509"/>
  <c r="W54" i="509"/>
  <c r="V54" i="509"/>
  <c r="Z53" i="509"/>
  <c r="X53" i="509"/>
  <c r="W53" i="509"/>
  <c r="V53" i="509"/>
  <c r="Z52" i="509"/>
  <c r="X52" i="509"/>
  <c r="W52" i="509"/>
  <c r="V52" i="509"/>
  <c r="Z51" i="509"/>
  <c r="X51" i="509"/>
  <c r="W51" i="509"/>
  <c r="V51" i="509"/>
  <c r="Z50" i="509"/>
  <c r="X50" i="509"/>
  <c r="W50" i="509"/>
  <c r="V50" i="509"/>
  <c r="X49" i="509"/>
  <c r="W49" i="509"/>
  <c r="S49" i="509"/>
  <c r="P49" i="509"/>
  <c r="M49" i="509"/>
  <c r="C49" i="509"/>
  <c r="Z48" i="509"/>
  <c r="X48" i="509"/>
  <c r="W48" i="509"/>
  <c r="V48" i="509"/>
  <c r="Z47" i="509"/>
  <c r="X47" i="509"/>
  <c r="W47" i="509"/>
  <c r="V47" i="509"/>
  <c r="Z46" i="509"/>
  <c r="X46" i="509"/>
  <c r="W46" i="509"/>
  <c r="V46" i="509"/>
  <c r="Z45" i="509"/>
  <c r="X45" i="509"/>
  <c r="W45" i="509"/>
  <c r="V45" i="509"/>
  <c r="Z44" i="509"/>
  <c r="X44" i="509"/>
  <c r="W44" i="509"/>
  <c r="V44" i="509"/>
  <c r="X43" i="509"/>
  <c r="W43" i="509"/>
  <c r="S43" i="509"/>
  <c r="P43" i="509"/>
  <c r="M43" i="509"/>
  <c r="C43" i="509"/>
  <c r="Z42" i="509"/>
  <c r="X42" i="509"/>
  <c r="W42" i="509"/>
  <c r="V42" i="509"/>
  <c r="W41" i="509"/>
  <c r="S41" i="509"/>
  <c r="U41" i="509" s="1"/>
  <c r="R41" i="509"/>
  <c r="O41" i="509"/>
  <c r="Z40" i="509"/>
  <c r="X40" i="509"/>
  <c r="W40" i="509"/>
  <c r="V40" i="509"/>
  <c r="W39" i="509"/>
  <c r="W38" i="509"/>
  <c r="Z37" i="509"/>
  <c r="Y37" i="509"/>
  <c r="X37" i="509"/>
  <c r="W37" i="509"/>
  <c r="V37" i="509"/>
  <c r="Z36" i="509"/>
  <c r="Y36" i="509"/>
  <c r="X36" i="509"/>
  <c r="W36" i="509"/>
  <c r="V36" i="509"/>
  <c r="X35" i="509"/>
  <c r="V35" i="509" s="1"/>
  <c r="W35" i="509"/>
  <c r="U35" i="509"/>
  <c r="S35" i="509" s="1"/>
  <c r="S31" i="509" s="1"/>
  <c r="R35" i="509"/>
  <c r="P35" i="509" s="1"/>
  <c r="P31" i="509" s="1"/>
  <c r="M35" i="509"/>
  <c r="O35" i="509" s="1"/>
  <c r="O31" i="509" s="1"/>
  <c r="C35" i="509"/>
  <c r="Y35" i="509" s="1"/>
  <c r="Y34" i="509"/>
  <c r="X34" i="509"/>
  <c r="V34" i="509"/>
  <c r="T34" i="509"/>
  <c r="Q34" i="509"/>
  <c r="N34" i="509"/>
  <c r="D34" i="509"/>
  <c r="Z34" i="509" s="1"/>
  <c r="Y33" i="509"/>
  <c r="X33" i="509"/>
  <c r="V33" i="509"/>
  <c r="T33" i="509"/>
  <c r="Q33" i="509"/>
  <c r="N33" i="509"/>
  <c r="D33" i="509"/>
  <c r="Z33" i="509" s="1"/>
  <c r="Y32" i="509"/>
  <c r="X32" i="509"/>
  <c r="V32" i="509"/>
  <c r="T32" i="509"/>
  <c r="T31" i="509" s="1"/>
  <c r="Q32" i="509"/>
  <c r="Q31" i="509" s="1"/>
  <c r="N32" i="509"/>
  <c r="N31" i="509" s="1"/>
  <c r="D32" i="509"/>
  <c r="U31" i="509"/>
  <c r="M31" i="509"/>
  <c r="L31" i="509"/>
  <c r="K31" i="509"/>
  <c r="J31" i="509"/>
  <c r="H31" i="509"/>
  <c r="F31" i="509"/>
  <c r="Z25" i="509"/>
  <c r="X25" i="509"/>
  <c r="W25" i="509"/>
  <c r="S25" i="509"/>
  <c r="O25" i="509"/>
  <c r="R25" i="509" s="1"/>
  <c r="N25" i="509"/>
  <c r="Q25" i="509" s="1"/>
  <c r="M25" i="509"/>
  <c r="P25" i="509" s="1"/>
  <c r="Z24" i="509"/>
  <c r="X24" i="509"/>
  <c r="W24" i="509"/>
  <c r="S24" i="509"/>
  <c r="O24" i="509"/>
  <c r="R24" i="509" s="1"/>
  <c r="N24" i="509"/>
  <c r="Q24" i="509" s="1"/>
  <c r="M24" i="509"/>
  <c r="P24" i="509" s="1"/>
  <c r="Z22" i="509"/>
  <c r="X22" i="509"/>
  <c r="V22" i="509" s="1"/>
  <c r="W22" i="509"/>
  <c r="S22" i="509"/>
  <c r="O22" i="509"/>
  <c r="R22" i="509" s="1"/>
  <c r="N22" i="509"/>
  <c r="Q22" i="509" s="1"/>
  <c r="M22" i="509"/>
  <c r="P22" i="509" s="1"/>
  <c r="W20" i="509"/>
  <c r="N20" i="509"/>
  <c r="Q20" i="509" s="1"/>
  <c r="Z16" i="509"/>
  <c r="X14" i="509"/>
  <c r="V14" i="509" s="1"/>
  <c r="U14" i="509"/>
  <c r="S14" i="509" s="1"/>
  <c r="S11" i="509"/>
  <c r="O33" i="508"/>
  <c r="O15" i="508"/>
  <c r="O34" i="508"/>
  <c r="O35" i="508"/>
  <c r="O36" i="508"/>
  <c r="O37" i="508"/>
  <c r="O38" i="508"/>
  <c r="O39" i="508"/>
  <c r="O40" i="508"/>
  <c r="O41" i="508"/>
  <c r="O42" i="508"/>
  <c r="O43" i="508"/>
  <c r="O44" i="508"/>
  <c r="O45" i="508"/>
  <c r="O46" i="508"/>
  <c r="O47" i="508"/>
  <c r="O48" i="508"/>
  <c r="O49" i="508"/>
  <c r="O50" i="508"/>
  <c r="O51" i="508"/>
  <c r="O52" i="508"/>
  <c r="O53" i="508"/>
  <c r="O54" i="508"/>
  <c r="O55" i="508"/>
  <c r="O56" i="508"/>
  <c r="O57" i="508"/>
  <c r="O58" i="508"/>
  <c r="O59" i="508"/>
  <c r="O60" i="508"/>
  <c r="O61" i="508"/>
  <c r="O62" i="508"/>
  <c r="O63" i="508"/>
  <c r="O64" i="508"/>
  <c r="O65" i="508"/>
  <c r="O66" i="508"/>
  <c r="O67" i="508"/>
  <c r="O68" i="508"/>
  <c r="O69" i="508"/>
  <c r="O70" i="508"/>
  <c r="O71" i="508"/>
  <c r="O72" i="508"/>
  <c r="O73" i="508"/>
  <c r="O74" i="508"/>
  <c r="O76" i="508"/>
  <c r="O75" i="508" s="1"/>
  <c r="O16" i="508"/>
  <c r="O17" i="508"/>
  <c r="O18" i="508"/>
  <c r="O19" i="508"/>
  <c r="O20" i="508"/>
  <c r="O21" i="508"/>
  <c r="O22" i="508"/>
  <c r="O23" i="508"/>
  <c r="O24" i="508"/>
  <c r="O25" i="508"/>
  <c r="O26" i="508"/>
  <c r="O27" i="508"/>
  <c r="O28" i="508"/>
  <c r="O29" i="508"/>
  <c r="O30" i="508"/>
  <c r="O31" i="508"/>
  <c r="O14" i="507"/>
  <c r="O16" i="507"/>
  <c r="O17" i="507"/>
  <c r="O18" i="507"/>
  <c r="O19" i="507"/>
  <c r="O20" i="507"/>
  <c r="O21" i="507"/>
  <c r="O22" i="507"/>
  <c r="O23" i="507"/>
  <c r="O24" i="507"/>
  <c r="O25" i="507"/>
  <c r="O26" i="507"/>
  <c r="O27" i="507"/>
  <c r="O28" i="507"/>
  <c r="O29" i="507"/>
  <c r="O30" i="507"/>
  <c r="O32" i="507"/>
  <c r="O31" i="507" s="1"/>
  <c r="O13" i="507"/>
  <c r="I71" i="478"/>
  <c r="O12" i="507" l="1"/>
  <c r="R31" i="509"/>
  <c r="V83" i="509"/>
  <c r="V24" i="509"/>
  <c r="V25" i="509"/>
  <c r="O14" i="508"/>
  <c r="O32" i="508"/>
  <c r="W32" i="509"/>
  <c r="W33" i="509"/>
  <c r="W34" i="509"/>
  <c r="O15" i="507"/>
  <c r="V49" i="509"/>
  <c r="L93" i="509"/>
  <c r="P56" i="509"/>
  <c r="O12" i="508"/>
  <c r="O10" i="507"/>
  <c r="V43" i="509"/>
  <c r="Z49" i="509"/>
  <c r="Z83" i="509"/>
  <c r="Z43" i="509"/>
  <c r="M77" i="509"/>
  <c r="P77" i="509" s="1"/>
  <c r="Z77" i="509"/>
  <c r="N77" i="509"/>
  <c r="Q77" i="509" s="1"/>
  <c r="Z32" i="509"/>
  <c r="E35" i="509"/>
  <c r="Z35" i="509" s="1"/>
  <c r="C93" i="509"/>
  <c r="D31" i="509"/>
  <c r="G43" i="471"/>
  <c r="G42" i="471" s="1"/>
  <c r="G30" i="471"/>
  <c r="H30" i="471" s="1"/>
  <c r="G44" i="471"/>
  <c r="H43" i="471"/>
  <c r="H42" i="471" s="1"/>
  <c r="H41" i="471"/>
  <c r="H44" i="471"/>
  <c r="E10" i="471"/>
  <c r="G10" i="471" s="1"/>
  <c r="H10" i="471" l="1"/>
  <c r="W31" i="509"/>
  <c r="C11" i="509"/>
  <c r="V93" i="509"/>
  <c r="V11" i="509" s="1"/>
  <c r="M93" i="509"/>
  <c r="Z93" i="509"/>
  <c r="CY20" i="456"/>
  <c r="D21" i="475" l="1"/>
  <c r="P93" i="509"/>
  <c r="P11" i="509" s="1"/>
  <c r="O93" i="509"/>
  <c r="M11" i="509"/>
  <c r="R93" i="509" l="1"/>
  <c r="M15" i="428" l="1"/>
  <c r="H15" i="428"/>
  <c r="S10" i="441" l="1"/>
  <c r="R10" i="441"/>
  <c r="O9" i="441"/>
  <c r="N9" i="441"/>
  <c r="L9" i="441"/>
  <c r="P11" i="441"/>
  <c r="P10" i="441"/>
  <c r="O9" i="496"/>
  <c r="P11" i="418"/>
  <c r="P12" i="418"/>
  <c r="P13" i="418"/>
  <c r="P14" i="418"/>
  <c r="P15" i="418"/>
  <c r="L9" i="418"/>
  <c r="O9" i="418"/>
  <c r="N9" i="418"/>
  <c r="R10" i="418"/>
  <c r="Q10" i="418" s="1"/>
  <c r="P14" i="496"/>
  <c r="P10" i="496"/>
  <c r="P11" i="428"/>
  <c r="P12" i="428"/>
  <c r="P13" i="428"/>
  <c r="P15" i="428"/>
  <c r="P16" i="428"/>
  <c r="P10" i="428"/>
  <c r="M18" i="428"/>
  <c r="P18" i="428" s="1"/>
  <c r="M17" i="428"/>
  <c r="P17" i="428" s="1"/>
  <c r="M20" i="453"/>
  <c r="M18" i="453"/>
  <c r="P18" i="453"/>
  <c r="M18" i="416"/>
  <c r="P18" i="416" s="1"/>
  <c r="AA18" i="416" s="1"/>
  <c r="M17" i="416"/>
  <c r="M14" i="428"/>
  <c r="P14" i="428" s="1"/>
  <c r="M17" i="453"/>
  <c r="P17" i="453" s="1"/>
  <c r="P16" i="453"/>
  <c r="P19" i="453"/>
  <c r="P20" i="453"/>
  <c r="P15" i="453"/>
  <c r="P15" i="416"/>
  <c r="AA15" i="416" s="1"/>
  <c r="P19" i="416"/>
  <c r="P16" i="416"/>
  <c r="P17" i="416"/>
  <c r="AA16" i="416" l="1"/>
  <c r="AG10" i="441"/>
  <c r="AH10" i="441" s="1"/>
  <c r="S10" i="418"/>
  <c r="AA17" i="416"/>
  <c r="AM11" i="428"/>
  <c r="AG11" i="441"/>
  <c r="AD18" i="416"/>
  <c r="T10" i="441"/>
  <c r="AM10" i="428"/>
  <c r="AA19" i="416"/>
  <c r="AD19" i="416" s="1"/>
  <c r="AD16" i="416"/>
  <c r="AD15" i="416"/>
  <c r="M10" i="418"/>
  <c r="M12" i="441"/>
  <c r="M110" i="496"/>
  <c r="M100" i="496"/>
  <c r="M21" i="453"/>
  <c r="P21" i="453" s="1"/>
  <c r="M20" i="416"/>
  <c r="P20" i="416" s="1"/>
  <c r="AA20" i="416" s="1"/>
  <c r="AD20" i="416" s="1"/>
  <c r="AD14" i="416" l="1"/>
  <c r="AD17" i="416"/>
  <c r="P10" i="418"/>
  <c r="M9" i="418"/>
  <c r="P12" i="441"/>
  <c r="M9" i="441"/>
  <c r="AD13" i="416"/>
  <c r="E47" i="471"/>
  <c r="T10" i="418" l="1"/>
  <c r="P9" i="418"/>
  <c r="AG12" i="441"/>
  <c r="P9" i="441"/>
  <c r="H8" i="447"/>
  <c r="J8" i="447" s="1"/>
  <c r="D75" i="509" s="1"/>
  <c r="P52" i="496"/>
  <c r="C75" i="509" l="1"/>
  <c r="N75" i="509"/>
  <c r="Q75" i="509" s="1"/>
  <c r="V10" i="418"/>
  <c r="M98" i="496"/>
  <c r="M21" i="416"/>
  <c r="P21" i="416" s="1"/>
  <c r="AA21" i="416" s="1"/>
  <c r="M75" i="509" l="1"/>
  <c r="P75" i="509" s="1"/>
  <c r="Z75" i="509"/>
  <c r="AD21" i="416"/>
  <c r="Q12" i="418"/>
  <c r="Q14" i="418"/>
  <c r="P103" i="496"/>
  <c r="N110" i="496"/>
  <c r="N102" i="496"/>
  <c r="N101" i="496"/>
  <c r="N9" i="496" l="1"/>
  <c r="D14" i="456"/>
  <c r="Q110" i="496"/>
  <c r="S110" i="496" s="1"/>
  <c r="T110" i="496" s="1"/>
  <c r="Q109" i="496"/>
  <c r="S109" i="496" s="1"/>
  <c r="T109" i="496" s="1"/>
  <c r="AW109" i="496" s="1"/>
  <c r="Q108" i="496"/>
  <c r="S108" i="496" s="1"/>
  <c r="T108" i="496" s="1"/>
  <c r="AW108" i="496" s="1"/>
  <c r="Q107" i="496"/>
  <c r="S107" i="496" s="1"/>
  <c r="T107" i="496" s="1"/>
  <c r="AW107" i="496" s="1"/>
  <c r="Q106" i="496"/>
  <c r="S106" i="496" s="1"/>
  <c r="T106" i="496" s="1"/>
  <c r="AW106" i="496" s="1"/>
  <c r="Q105" i="496"/>
  <c r="S105" i="496" s="1"/>
  <c r="T105" i="496" s="1"/>
  <c r="AW105" i="496" s="1"/>
  <c r="Q104" i="496"/>
  <c r="S104" i="496" s="1"/>
  <c r="T104" i="496" s="1"/>
  <c r="AW104" i="496" s="1"/>
  <c r="Q103" i="496"/>
  <c r="S103" i="496" s="1"/>
  <c r="T103" i="496" s="1"/>
  <c r="AW103" i="496" s="1"/>
  <c r="BB103" i="496" s="1"/>
  <c r="Q102" i="496"/>
  <c r="S102" i="496" s="1"/>
  <c r="T102" i="496" s="1"/>
  <c r="AW102" i="496" s="1"/>
  <c r="Q101" i="496"/>
  <c r="S101" i="496" s="1"/>
  <c r="T101" i="496" s="1"/>
  <c r="AW101" i="496" s="1"/>
  <c r="Q100" i="496"/>
  <c r="S100" i="496" s="1"/>
  <c r="T100" i="496" s="1"/>
  <c r="AW100" i="496" s="1"/>
  <c r="Q99" i="496"/>
  <c r="S99" i="496" s="1"/>
  <c r="T99" i="496" s="1"/>
  <c r="AW99" i="496" s="1"/>
  <c r="Q98" i="496"/>
  <c r="S98" i="496" s="1"/>
  <c r="T98" i="496" s="1"/>
  <c r="AW98" i="496" s="1"/>
  <c r="Q97" i="496"/>
  <c r="S97" i="496" s="1"/>
  <c r="T97" i="496" s="1"/>
  <c r="AW97" i="496" s="1"/>
  <c r="Q96" i="496"/>
  <c r="S96" i="496" s="1"/>
  <c r="T96" i="496" s="1"/>
  <c r="AW96" i="496" s="1"/>
  <c r="Q95" i="496"/>
  <c r="S95" i="496" s="1"/>
  <c r="T95" i="496" s="1"/>
  <c r="AW95" i="496" s="1"/>
  <c r="BB95" i="496" s="1"/>
  <c r="Q94" i="496"/>
  <c r="S94" i="496" s="1"/>
  <c r="T94" i="496" s="1"/>
  <c r="AW94" i="496" s="1"/>
  <c r="Q93" i="496"/>
  <c r="S93" i="496" s="1"/>
  <c r="T93" i="496" s="1"/>
  <c r="AW93" i="496" s="1"/>
  <c r="Q92" i="496"/>
  <c r="S92" i="496" s="1"/>
  <c r="T92" i="496" s="1"/>
  <c r="AW92" i="496" s="1"/>
  <c r="Q91" i="496"/>
  <c r="S91" i="496" s="1"/>
  <c r="T91" i="496" s="1"/>
  <c r="AW91" i="496" s="1"/>
  <c r="Q90" i="496"/>
  <c r="S90" i="496" s="1"/>
  <c r="T90" i="496" s="1"/>
  <c r="Q89" i="496"/>
  <c r="S89" i="496" s="1"/>
  <c r="T89" i="496" s="1"/>
  <c r="AW89" i="496" s="1"/>
  <c r="Q88" i="496"/>
  <c r="S88" i="496" s="1"/>
  <c r="T88" i="496" s="1"/>
  <c r="AW88" i="496" s="1"/>
  <c r="Q87" i="496"/>
  <c r="S87" i="496" s="1"/>
  <c r="T87" i="496" s="1"/>
  <c r="AW87" i="496" s="1"/>
  <c r="Q86" i="496"/>
  <c r="S86" i="496" s="1"/>
  <c r="T86" i="496" s="1"/>
  <c r="AW86" i="496" s="1"/>
  <c r="Q85" i="496"/>
  <c r="S85" i="496" s="1"/>
  <c r="T85" i="496" s="1"/>
  <c r="AW85" i="496" s="1"/>
  <c r="Q84" i="496"/>
  <c r="S84" i="496" s="1"/>
  <c r="T84" i="496" s="1"/>
  <c r="AW84" i="496" s="1"/>
  <c r="Q83" i="496"/>
  <c r="S83" i="496" s="1"/>
  <c r="T83" i="496" s="1"/>
  <c r="AW83" i="496" s="1"/>
  <c r="Q82" i="496"/>
  <c r="S82" i="496" s="1"/>
  <c r="T82" i="496" s="1"/>
  <c r="AW82" i="496" s="1"/>
  <c r="Q81" i="496"/>
  <c r="S81" i="496" s="1"/>
  <c r="T81" i="496" s="1"/>
  <c r="AW81" i="496" s="1"/>
  <c r="Q80" i="496"/>
  <c r="S80" i="496" s="1"/>
  <c r="T80" i="496" s="1"/>
  <c r="AW80" i="496" s="1"/>
  <c r="Q79" i="496"/>
  <c r="S79" i="496" s="1"/>
  <c r="T79" i="496" s="1"/>
  <c r="AW79" i="496" s="1"/>
  <c r="Q78" i="496"/>
  <c r="S78" i="496" s="1"/>
  <c r="T78" i="496" s="1"/>
  <c r="AW78" i="496" s="1"/>
  <c r="Q77" i="496"/>
  <c r="S77" i="496" s="1"/>
  <c r="T77" i="496" s="1"/>
  <c r="AW77" i="496" s="1"/>
  <c r="Q76" i="496"/>
  <c r="S76" i="496" s="1"/>
  <c r="T76" i="496" s="1"/>
  <c r="AW76" i="496" s="1"/>
  <c r="Q75" i="496"/>
  <c r="S75" i="496" s="1"/>
  <c r="T75" i="496" s="1"/>
  <c r="AW75" i="496" s="1"/>
  <c r="Q74" i="496"/>
  <c r="S74" i="496" s="1"/>
  <c r="T74" i="496" s="1"/>
  <c r="AW74" i="496" s="1"/>
  <c r="Q73" i="496"/>
  <c r="S73" i="496" s="1"/>
  <c r="T73" i="496" s="1"/>
  <c r="AW73" i="496" s="1"/>
  <c r="Q72" i="496"/>
  <c r="S72" i="496" s="1"/>
  <c r="T72" i="496" s="1"/>
  <c r="AW72" i="496" s="1"/>
  <c r="Q71" i="496"/>
  <c r="S71" i="496" s="1"/>
  <c r="T71" i="496" s="1"/>
  <c r="AW71" i="496" s="1"/>
  <c r="Q70" i="496"/>
  <c r="S70" i="496" s="1"/>
  <c r="T70" i="496" s="1"/>
  <c r="Q69" i="496"/>
  <c r="S69" i="496" s="1"/>
  <c r="T69" i="496" s="1"/>
  <c r="AW69" i="496" s="1"/>
  <c r="Q68" i="496"/>
  <c r="S68" i="496" s="1"/>
  <c r="T68" i="496" s="1"/>
  <c r="AW68" i="496" s="1"/>
  <c r="Q67" i="496"/>
  <c r="S67" i="496" s="1"/>
  <c r="T67" i="496" s="1"/>
  <c r="AW67" i="496" s="1"/>
  <c r="Q66" i="496"/>
  <c r="S66" i="496" s="1"/>
  <c r="T66" i="496" s="1"/>
  <c r="AW66" i="496" s="1"/>
  <c r="Q65" i="496"/>
  <c r="S65" i="496" s="1"/>
  <c r="T65" i="496" s="1"/>
  <c r="AW65" i="496" s="1"/>
  <c r="Q64" i="496"/>
  <c r="S64" i="496" s="1"/>
  <c r="T64" i="496" s="1"/>
  <c r="AW64" i="496" s="1"/>
  <c r="Q63" i="496"/>
  <c r="S63" i="496" s="1"/>
  <c r="T63" i="496" s="1"/>
  <c r="AW63" i="496" s="1"/>
  <c r="Q62" i="496"/>
  <c r="S62" i="496" s="1"/>
  <c r="T62" i="496" s="1"/>
  <c r="AW62" i="496" s="1"/>
  <c r="Q61" i="496"/>
  <c r="S61" i="496" s="1"/>
  <c r="T61" i="496" s="1"/>
  <c r="AW61" i="496" s="1"/>
  <c r="Q60" i="496"/>
  <c r="S60" i="496" s="1"/>
  <c r="T60" i="496" s="1"/>
  <c r="AW60" i="496" s="1"/>
  <c r="Q59" i="496"/>
  <c r="S59" i="496" s="1"/>
  <c r="T59" i="496" s="1"/>
  <c r="AW59" i="496" s="1"/>
  <c r="Q58" i="496"/>
  <c r="S58" i="496" s="1"/>
  <c r="T58" i="496" s="1"/>
  <c r="AW58" i="496" s="1"/>
  <c r="Q57" i="496"/>
  <c r="S57" i="496" s="1"/>
  <c r="T57" i="496" s="1"/>
  <c r="AW57" i="496" s="1"/>
  <c r="Q56" i="496"/>
  <c r="S56" i="496" s="1"/>
  <c r="T56" i="496" s="1"/>
  <c r="AW56" i="496" s="1"/>
  <c r="Q55" i="496"/>
  <c r="S55" i="496" s="1"/>
  <c r="T55" i="496" s="1"/>
  <c r="AW55" i="496" s="1"/>
  <c r="Q54" i="496"/>
  <c r="S54" i="496" s="1"/>
  <c r="T54" i="496" s="1"/>
  <c r="AW54" i="496" s="1"/>
  <c r="Q53" i="496"/>
  <c r="S53" i="496" s="1"/>
  <c r="T53" i="496" s="1"/>
  <c r="AW53" i="496" s="1"/>
  <c r="Q52" i="496"/>
  <c r="S52" i="496" s="1"/>
  <c r="T52" i="496" s="1"/>
  <c r="AW52" i="496" s="1"/>
  <c r="Q51" i="496"/>
  <c r="S51" i="496" s="1"/>
  <c r="T51" i="496" s="1"/>
  <c r="AW51" i="496" s="1"/>
  <c r="Q50" i="496"/>
  <c r="S50" i="496" s="1"/>
  <c r="T50" i="496" s="1"/>
  <c r="AW50" i="496" s="1"/>
  <c r="Q49" i="496"/>
  <c r="S49" i="496" s="1"/>
  <c r="T49" i="496" s="1"/>
  <c r="AW49" i="496" s="1"/>
  <c r="Q48" i="496"/>
  <c r="S48" i="496" s="1"/>
  <c r="T48" i="496" s="1"/>
  <c r="AW48" i="496" s="1"/>
  <c r="Q47" i="496"/>
  <c r="S47" i="496" s="1"/>
  <c r="T47" i="496" s="1"/>
  <c r="AW47" i="496" s="1"/>
  <c r="Q46" i="496"/>
  <c r="S46" i="496" s="1"/>
  <c r="T46" i="496" s="1"/>
  <c r="AW46" i="496" s="1"/>
  <c r="Q45" i="496"/>
  <c r="S45" i="496" s="1"/>
  <c r="T45" i="496" s="1"/>
  <c r="AW45" i="496" s="1"/>
  <c r="Q44" i="496"/>
  <c r="S44" i="496" s="1"/>
  <c r="T44" i="496" s="1"/>
  <c r="AW44" i="496" s="1"/>
  <c r="Q43" i="496"/>
  <c r="S43" i="496" s="1"/>
  <c r="T43" i="496" s="1"/>
  <c r="AW43" i="496" s="1"/>
  <c r="Q42" i="496"/>
  <c r="S42" i="496" s="1"/>
  <c r="T42" i="496" s="1"/>
  <c r="AW42" i="496" s="1"/>
  <c r="Q41" i="496"/>
  <c r="S41" i="496" s="1"/>
  <c r="T41" i="496" s="1"/>
  <c r="AW41" i="496" s="1"/>
  <c r="Q40" i="496"/>
  <c r="S40" i="496" s="1"/>
  <c r="T40" i="496" s="1"/>
  <c r="AW40" i="496" s="1"/>
  <c r="Q39" i="496"/>
  <c r="S39" i="496" s="1"/>
  <c r="T39" i="496" s="1"/>
  <c r="AW39" i="496" s="1"/>
  <c r="Q38" i="496"/>
  <c r="S38" i="496" s="1"/>
  <c r="T38" i="496" s="1"/>
  <c r="AW38" i="496" s="1"/>
  <c r="Q37" i="496"/>
  <c r="S37" i="496" s="1"/>
  <c r="T37" i="496" s="1"/>
  <c r="AW37" i="496" s="1"/>
  <c r="Q36" i="496"/>
  <c r="S36" i="496" s="1"/>
  <c r="T36" i="496" s="1"/>
  <c r="AW36" i="496" s="1"/>
  <c r="Q35" i="496"/>
  <c r="S35" i="496" s="1"/>
  <c r="T35" i="496" s="1"/>
  <c r="AW35" i="496" s="1"/>
  <c r="Q34" i="496"/>
  <c r="S34" i="496" s="1"/>
  <c r="T34" i="496" s="1"/>
  <c r="AW34" i="496" s="1"/>
  <c r="Q33" i="496"/>
  <c r="S33" i="496" s="1"/>
  <c r="T33" i="496" s="1"/>
  <c r="AW33" i="496" s="1"/>
  <c r="Q32" i="496"/>
  <c r="S32" i="496" s="1"/>
  <c r="T32" i="496" s="1"/>
  <c r="AW32" i="496" s="1"/>
  <c r="Q31" i="496"/>
  <c r="S31" i="496" s="1"/>
  <c r="T31" i="496" s="1"/>
  <c r="AW31" i="496" s="1"/>
  <c r="Q30" i="496"/>
  <c r="S30" i="496" s="1"/>
  <c r="T30" i="496" s="1"/>
  <c r="AW30" i="496" s="1"/>
  <c r="Q29" i="496"/>
  <c r="S29" i="496" s="1"/>
  <c r="T29" i="496" s="1"/>
  <c r="AW29" i="496" s="1"/>
  <c r="Q28" i="496"/>
  <c r="S28" i="496" s="1"/>
  <c r="T28" i="496" s="1"/>
  <c r="AW28" i="496" s="1"/>
  <c r="Q27" i="496"/>
  <c r="S27" i="496" s="1"/>
  <c r="T27" i="496" s="1"/>
  <c r="AW27" i="496" s="1"/>
  <c r="Q26" i="496"/>
  <c r="S26" i="496" s="1"/>
  <c r="T26" i="496" s="1"/>
  <c r="AW26" i="496" s="1"/>
  <c r="Q25" i="496"/>
  <c r="S25" i="496" s="1"/>
  <c r="T25" i="496" s="1"/>
  <c r="AW25" i="496" s="1"/>
  <c r="Q24" i="496"/>
  <c r="S24" i="496" s="1"/>
  <c r="T24" i="496" s="1"/>
  <c r="AW24" i="496" s="1"/>
  <c r="Q23" i="496"/>
  <c r="S23" i="496" s="1"/>
  <c r="T23" i="496" s="1"/>
  <c r="AW23" i="496" s="1"/>
  <c r="Q22" i="496"/>
  <c r="S22" i="496" s="1"/>
  <c r="T22" i="496" s="1"/>
  <c r="AW22" i="496" s="1"/>
  <c r="Q21" i="496"/>
  <c r="S21" i="496" s="1"/>
  <c r="T21" i="496" s="1"/>
  <c r="AW21" i="496" s="1"/>
  <c r="Q20" i="496"/>
  <c r="S20" i="496" s="1"/>
  <c r="T20" i="496" s="1"/>
  <c r="AW20" i="496" s="1"/>
  <c r="Q19" i="496"/>
  <c r="S19" i="496" s="1"/>
  <c r="T19" i="496" s="1"/>
  <c r="AW19" i="496" s="1"/>
  <c r="Q18" i="496"/>
  <c r="S18" i="496" s="1"/>
  <c r="T18" i="496" s="1"/>
  <c r="AW18" i="496" s="1"/>
  <c r="S17" i="496"/>
  <c r="T17" i="496" s="1"/>
  <c r="AW17" i="496" s="1"/>
  <c r="Q16" i="496"/>
  <c r="S16" i="496" s="1"/>
  <c r="T16" i="496" s="1"/>
  <c r="AW16" i="496" s="1"/>
  <c r="Q15" i="496"/>
  <c r="S15" i="496" s="1"/>
  <c r="T15" i="496" s="1"/>
  <c r="AW15" i="496" s="1"/>
  <c r="Q14" i="496"/>
  <c r="S14" i="496" s="1"/>
  <c r="T14" i="496" s="1"/>
  <c r="AW14" i="496" s="1"/>
  <c r="AW13" i="496"/>
  <c r="S12" i="496"/>
  <c r="T12" i="496" s="1"/>
  <c r="AW12" i="496" s="1"/>
  <c r="Q11" i="496"/>
  <c r="S11" i="496" s="1"/>
  <c r="T11" i="496" s="1"/>
  <c r="AW11" i="496" s="1"/>
  <c r="Q10" i="496"/>
  <c r="S10" i="496" s="1"/>
  <c r="T10" i="496" s="1"/>
  <c r="AR10" i="496" s="1"/>
  <c r="N9" i="428"/>
  <c r="O9" i="428"/>
  <c r="L9" i="428"/>
  <c r="I9" i="428"/>
  <c r="J9" i="428"/>
  <c r="H14" i="428"/>
  <c r="H9" i="428" s="1"/>
  <c r="Q18" i="428"/>
  <c r="S18" i="428" s="1"/>
  <c r="U18" i="428" s="1"/>
  <c r="V18" i="428" s="1"/>
  <c r="Q17" i="428"/>
  <c r="S17" i="428" s="1"/>
  <c r="U17" i="428" s="1"/>
  <c r="V17" i="428" s="1"/>
  <c r="Q16" i="428"/>
  <c r="S16" i="428" s="1"/>
  <c r="U16" i="428" s="1"/>
  <c r="V16" i="428" s="1"/>
  <c r="Q15" i="428"/>
  <c r="S15" i="428" s="1"/>
  <c r="U15" i="428" s="1"/>
  <c r="V15" i="428" s="1"/>
  <c r="Q14" i="428"/>
  <c r="S14" i="428" s="1"/>
  <c r="U14" i="428" s="1"/>
  <c r="V14" i="428" s="1"/>
  <c r="Q13" i="428"/>
  <c r="S13" i="428" s="1"/>
  <c r="U13" i="428" s="1"/>
  <c r="V13" i="428" s="1"/>
  <c r="Q12" i="428"/>
  <c r="S12" i="428" s="1"/>
  <c r="U12" i="428" s="1"/>
  <c r="V12" i="428" s="1"/>
  <c r="Q11" i="428"/>
  <c r="S11" i="428" s="1"/>
  <c r="U11" i="428" s="1"/>
  <c r="Q10" i="428"/>
  <c r="S10" i="428" s="1"/>
  <c r="U10" i="428" s="1"/>
  <c r="M14" i="453"/>
  <c r="Q21" i="453"/>
  <c r="S21" i="453" s="1"/>
  <c r="U21" i="453" s="1"/>
  <c r="V21" i="453" s="1"/>
  <c r="Q20" i="453"/>
  <c r="S20" i="453" s="1"/>
  <c r="U20" i="453" s="1"/>
  <c r="V20" i="453" s="1"/>
  <c r="Q19" i="453"/>
  <c r="S19" i="453" s="1"/>
  <c r="U19" i="453" s="1"/>
  <c r="V19" i="453" s="1"/>
  <c r="Q18" i="453"/>
  <c r="S18" i="453" s="1"/>
  <c r="U18" i="453" s="1"/>
  <c r="V18" i="453" s="1"/>
  <c r="Q17" i="453"/>
  <c r="S17" i="453" s="1"/>
  <c r="U17" i="453" s="1"/>
  <c r="V17" i="453" s="1"/>
  <c r="Q16" i="453"/>
  <c r="S16" i="453" s="1"/>
  <c r="U16" i="453" s="1"/>
  <c r="V16" i="453" s="1"/>
  <c r="Q15" i="453"/>
  <c r="S15" i="453" s="1"/>
  <c r="U15" i="453" s="1"/>
  <c r="V15" i="453" s="1"/>
  <c r="N14" i="453"/>
  <c r="O14" i="453"/>
  <c r="L14" i="453"/>
  <c r="I14" i="453"/>
  <c r="J14" i="453"/>
  <c r="K14" i="453"/>
  <c r="AW70" i="496" l="1"/>
  <c r="AR70" i="496"/>
  <c r="AW90" i="496"/>
  <c r="BB90" i="496" s="1"/>
  <c r="AR90" i="496"/>
  <c r="AN10" i="428"/>
  <c r="V10" i="428"/>
  <c r="AN11" i="428"/>
  <c r="V11" i="428"/>
  <c r="AW110" i="496"/>
  <c r="BB110" i="496" s="1"/>
  <c r="AX103" i="496"/>
  <c r="BB42" i="496"/>
  <c r="BA42" i="496"/>
  <c r="AZ42" i="496"/>
  <c r="AY42" i="496"/>
  <c r="BB46" i="496"/>
  <c r="BA46" i="496"/>
  <c r="AZ46" i="496"/>
  <c r="AY46" i="496"/>
  <c r="BB50" i="496"/>
  <c r="BA50" i="496"/>
  <c r="AZ50" i="496"/>
  <c r="AY50" i="496"/>
  <c r="BB54" i="496"/>
  <c r="BA54" i="496"/>
  <c r="AZ54" i="496"/>
  <c r="AY54" i="496"/>
  <c r="BB58" i="496"/>
  <c r="BA58" i="496"/>
  <c r="AZ58" i="496"/>
  <c r="AY58" i="496"/>
  <c r="BB62" i="496"/>
  <c r="BA62" i="496"/>
  <c r="AZ62" i="496"/>
  <c r="AY62" i="496"/>
  <c r="BB66" i="496"/>
  <c r="AZ66" i="496"/>
  <c r="BA66" i="496"/>
  <c r="AY66" i="496"/>
  <c r="BB70" i="496"/>
  <c r="AZ70" i="496"/>
  <c r="BA70" i="496"/>
  <c r="AY70" i="496"/>
  <c r="BB74" i="496"/>
  <c r="BA74" i="496"/>
  <c r="AZ74" i="496"/>
  <c r="AY74" i="496"/>
  <c r="BB78" i="496"/>
  <c r="BA78" i="496"/>
  <c r="AZ78" i="496"/>
  <c r="AY78" i="496"/>
  <c r="BB82" i="496"/>
  <c r="BA82" i="496"/>
  <c r="AZ82" i="496"/>
  <c r="AY82" i="496"/>
  <c r="BB86" i="496"/>
  <c r="BA86" i="496"/>
  <c r="AZ86" i="496"/>
  <c r="AY86" i="496"/>
  <c r="AZ90" i="496"/>
  <c r="BB93" i="496"/>
  <c r="AZ93" i="496"/>
  <c r="BB97" i="496"/>
  <c r="BA97" i="496"/>
  <c r="AZ97" i="496"/>
  <c r="AY97" i="496"/>
  <c r="BB101" i="496"/>
  <c r="BA101" i="496"/>
  <c r="AZ101" i="496"/>
  <c r="AY101" i="496"/>
  <c r="BB105" i="496"/>
  <c r="BA105" i="496"/>
  <c r="AZ105" i="496"/>
  <c r="AY105" i="496"/>
  <c r="BB109" i="496"/>
  <c r="BA109" i="496"/>
  <c r="AZ109" i="496"/>
  <c r="AY109" i="496"/>
  <c r="BB43" i="496"/>
  <c r="AZ43" i="496"/>
  <c r="AY43" i="496"/>
  <c r="BA43" i="496"/>
  <c r="BB47" i="496"/>
  <c r="BA47" i="496"/>
  <c r="AZ47" i="496"/>
  <c r="AY47" i="496"/>
  <c r="BB51" i="496"/>
  <c r="AZ51" i="496"/>
  <c r="AY51" i="496"/>
  <c r="BA51" i="496"/>
  <c r="BB55" i="496"/>
  <c r="BA55" i="496"/>
  <c r="AZ55" i="496"/>
  <c r="AY55" i="496"/>
  <c r="BB59" i="496"/>
  <c r="AZ59" i="496"/>
  <c r="AY59" i="496"/>
  <c r="BA59" i="496"/>
  <c r="BB63" i="496"/>
  <c r="BA63" i="496"/>
  <c r="AZ63" i="496"/>
  <c r="AY63" i="496"/>
  <c r="BB67" i="496"/>
  <c r="AZ67" i="496"/>
  <c r="AY67" i="496"/>
  <c r="BA67" i="496"/>
  <c r="BB71" i="496"/>
  <c r="AZ71" i="496"/>
  <c r="AY71" i="496"/>
  <c r="BA71" i="496"/>
  <c r="BB75" i="496"/>
  <c r="BA75" i="496"/>
  <c r="AZ75" i="496"/>
  <c r="AY75" i="496"/>
  <c r="BB79" i="496"/>
  <c r="BA79" i="496"/>
  <c r="AZ79" i="496"/>
  <c r="AY79" i="496"/>
  <c r="BB83" i="496"/>
  <c r="BA83" i="496"/>
  <c r="AZ83" i="496"/>
  <c r="AY83" i="496"/>
  <c r="BB87" i="496"/>
  <c r="BA87" i="496"/>
  <c r="AZ87" i="496"/>
  <c r="AY87" i="496"/>
  <c r="BB91" i="496"/>
  <c r="BA91" i="496"/>
  <c r="AZ91" i="496"/>
  <c r="AY91" i="496"/>
  <c r="BB94" i="496"/>
  <c r="BA94" i="496"/>
  <c r="AY94" i="496"/>
  <c r="BA98" i="496"/>
  <c r="BB98" i="496"/>
  <c r="BA102" i="496"/>
  <c r="AZ102" i="496"/>
  <c r="AY102" i="496"/>
  <c r="BB102" i="496"/>
  <c r="BB106" i="496"/>
  <c r="BA106" i="496"/>
  <c r="AZ106" i="496"/>
  <c r="AY106" i="496"/>
  <c r="BB44" i="496"/>
  <c r="AZ44" i="496"/>
  <c r="AY44" i="496"/>
  <c r="BA44" i="496"/>
  <c r="BB48" i="496"/>
  <c r="BA48" i="496"/>
  <c r="AZ48" i="496"/>
  <c r="AY48" i="496"/>
  <c r="BB52" i="496"/>
  <c r="AZ52" i="496"/>
  <c r="AY52" i="496"/>
  <c r="BA52" i="496"/>
  <c r="AX52" i="496"/>
  <c r="BB56" i="496"/>
  <c r="BA56" i="496"/>
  <c r="AZ56" i="496"/>
  <c r="AY56" i="496"/>
  <c r="BB60" i="496"/>
  <c r="AZ60" i="496"/>
  <c r="AY60" i="496"/>
  <c r="BA60" i="496"/>
  <c r="BB64" i="496"/>
  <c r="BA64" i="496"/>
  <c r="AZ64" i="496"/>
  <c r="AY64" i="496"/>
  <c r="BB68" i="496"/>
  <c r="BA68" i="496"/>
  <c r="AZ68" i="496"/>
  <c r="AY68" i="496"/>
  <c r="BB72" i="496"/>
  <c r="AZ72" i="496"/>
  <c r="AY72" i="496"/>
  <c r="BA72" i="496"/>
  <c r="BA76" i="496"/>
  <c r="AZ76" i="496"/>
  <c r="AY76" i="496"/>
  <c r="BB80" i="496"/>
  <c r="BA80" i="496"/>
  <c r="AZ80" i="496"/>
  <c r="AY80" i="496"/>
  <c r="BB84" i="496"/>
  <c r="BA84" i="496"/>
  <c r="AZ84" i="496"/>
  <c r="AY84" i="496"/>
  <c r="BB88" i="496"/>
  <c r="BA88" i="496"/>
  <c r="AZ88" i="496"/>
  <c r="AY88" i="496"/>
  <c r="BB107" i="496"/>
  <c r="BA107" i="496"/>
  <c r="AZ107" i="496"/>
  <c r="AY107" i="496"/>
  <c r="BB41" i="496"/>
  <c r="BA41" i="496"/>
  <c r="AZ41" i="496"/>
  <c r="AY41" i="496"/>
  <c r="BB45" i="496"/>
  <c r="BA45" i="496"/>
  <c r="AZ45" i="496"/>
  <c r="AY45" i="496"/>
  <c r="BB49" i="496"/>
  <c r="BA49" i="496"/>
  <c r="AZ49" i="496"/>
  <c r="AY49" i="496"/>
  <c r="BB53" i="496"/>
  <c r="BA53" i="496"/>
  <c r="AZ53" i="496"/>
  <c r="AY53" i="496"/>
  <c r="BB57" i="496"/>
  <c r="BA57" i="496"/>
  <c r="AZ57" i="496"/>
  <c r="AY57" i="496"/>
  <c r="BB61" i="496"/>
  <c r="BA61" i="496"/>
  <c r="AZ61" i="496"/>
  <c r="AY61" i="496"/>
  <c r="BB65" i="496"/>
  <c r="BA65" i="496"/>
  <c r="AZ65" i="496"/>
  <c r="AY65" i="496"/>
  <c r="BB69" i="496"/>
  <c r="BA69" i="496"/>
  <c r="AZ69" i="496"/>
  <c r="AY69" i="496"/>
  <c r="BB73" i="496"/>
  <c r="BA73" i="496"/>
  <c r="AZ73" i="496"/>
  <c r="AY73" i="496"/>
  <c r="BB77" i="496"/>
  <c r="BA77" i="496"/>
  <c r="AZ77" i="496"/>
  <c r="AY77" i="496"/>
  <c r="AX81" i="496"/>
  <c r="BB81" i="496"/>
  <c r="BA81" i="496"/>
  <c r="AZ81" i="496"/>
  <c r="AY81" i="496"/>
  <c r="BB85" i="496"/>
  <c r="BA85" i="496"/>
  <c r="AZ85" i="496"/>
  <c r="AY85" i="496"/>
  <c r="BB89" i="496"/>
  <c r="BA89" i="496"/>
  <c r="AZ89" i="496"/>
  <c r="AY89" i="496"/>
  <c r="BB92" i="496"/>
  <c r="BA92" i="496"/>
  <c r="AZ92" i="496"/>
  <c r="AY92" i="496"/>
  <c r="BB96" i="496"/>
  <c r="BA96" i="496"/>
  <c r="AZ96" i="496"/>
  <c r="AY96" i="496"/>
  <c r="BB100" i="496"/>
  <c r="BA100" i="496"/>
  <c r="AZ100" i="496"/>
  <c r="AY100" i="496"/>
  <c r="BB104" i="496"/>
  <c r="BA104" i="496"/>
  <c r="AZ104" i="496"/>
  <c r="AY104" i="496"/>
  <c r="BB108" i="496"/>
  <c r="BA108" i="496"/>
  <c r="AZ108" i="496"/>
  <c r="AY108" i="496"/>
  <c r="BB26" i="496"/>
  <c r="BA26" i="496"/>
  <c r="AZ26" i="496"/>
  <c r="AY26" i="496"/>
  <c r="AW10" i="496"/>
  <c r="BB10" i="496" s="1"/>
  <c r="U10" i="496"/>
  <c r="BA13" i="496"/>
  <c r="AZ13" i="496"/>
  <c r="AY13" i="496"/>
  <c r="BB13" i="496"/>
  <c r="BA17" i="496"/>
  <c r="AZ17" i="496"/>
  <c r="AY17" i="496"/>
  <c r="BB17" i="496"/>
  <c r="BA21" i="496"/>
  <c r="AZ21" i="496"/>
  <c r="AY21" i="496"/>
  <c r="BB21" i="496"/>
  <c r="BA25" i="496"/>
  <c r="AZ25" i="496"/>
  <c r="AY25" i="496"/>
  <c r="BB25" i="496"/>
  <c r="BA29" i="496"/>
  <c r="AZ29" i="496"/>
  <c r="AY29" i="496"/>
  <c r="BB29" i="496"/>
  <c r="BA33" i="496"/>
  <c r="AZ33" i="496"/>
  <c r="AY33" i="496"/>
  <c r="BB33" i="496"/>
  <c r="BA37" i="496"/>
  <c r="AZ37" i="496"/>
  <c r="AY37" i="496"/>
  <c r="BB37" i="496"/>
  <c r="BB18" i="496"/>
  <c r="BA18" i="496"/>
  <c r="AZ18" i="496"/>
  <c r="AY18" i="496"/>
  <c r="BB30" i="496"/>
  <c r="BA30" i="496"/>
  <c r="AZ30" i="496"/>
  <c r="AY30" i="496"/>
  <c r="BB34" i="496"/>
  <c r="BA34" i="496"/>
  <c r="AZ34" i="496"/>
  <c r="AY34" i="496"/>
  <c r="BB38" i="496"/>
  <c r="BA38" i="496"/>
  <c r="AZ38" i="496"/>
  <c r="AY38" i="496"/>
  <c r="BB11" i="496"/>
  <c r="BA11" i="496"/>
  <c r="AZ11" i="496"/>
  <c r="AY11" i="496"/>
  <c r="BB22" i="496"/>
  <c r="BA22" i="496"/>
  <c r="AZ22" i="496"/>
  <c r="AY22" i="496"/>
  <c r="AY12" i="496"/>
  <c r="BB12" i="496"/>
  <c r="BA12" i="496"/>
  <c r="AZ12" i="496"/>
  <c r="AY15" i="496"/>
  <c r="BB15" i="496"/>
  <c r="BA15" i="496"/>
  <c r="AZ15" i="496"/>
  <c r="AY19" i="496"/>
  <c r="BB19" i="496"/>
  <c r="BA19" i="496"/>
  <c r="AZ19" i="496"/>
  <c r="AY23" i="496"/>
  <c r="BB23" i="496"/>
  <c r="BA23" i="496"/>
  <c r="AZ23" i="496"/>
  <c r="AY27" i="496"/>
  <c r="BB27" i="496"/>
  <c r="BA27" i="496"/>
  <c r="AZ27" i="496"/>
  <c r="AY31" i="496"/>
  <c r="BB31" i="496"/>
  <c r="BA31" i="496"/>
  <c r="AZ31" i="496"/>
  <c r="AY35" i="496"/>
  <c r="BB35" i="496"/>
  <c r="BA35" i="496"/>
  <c r="AZ35" i="496"/>
  <c r="AY39" i="496"/>
  <c r="BB39" i="496"/>
  <c r="BA39" i="496"/>
  <c r="AZ39" i="496"/>
  <c r="BB14" i="496"/>
  <c r="BA14" i="496"/>
  <c r="AZ14" i="496"/>
  <c r="AY14" i="496"/>
  <c r="AX14" i="496"/>
  <c r="AZ16" i="496"/>
  <c r="AY16" i="496"/>
  <c r="BB16" i="496"/>
  <c r="BA16" i="496"/>
  <c r="AZ20" i="496"/>
  <c r="AY20" i="496"/>
  <c r="BB20" i="496"/>
  <c r="BA20" i="496"/>
  <c r="AZ24" i="496"/>
  <c r="BB24" i="496"/>
  <c r="BA24" i="496"/>
  <c r="AY24" i="496"/>
  <c r="AZ28" i="496"/>
  <c r="AY28" i="496"/>
  <c r="BB28" i="496"/>
  <c r="BA28" i="496"/>
  <c r="AZ32" i="496"/>
  <c r="AY32" i="496"/>
  <c r="BB32" i="496"/>
  <c r="BA32" i="496"/>
  <c r="AZ36" i="496"/>
  <c r="AY36" i="496"/>
  <c r="BB36" i="496"/>
  <c r="BA36" i="496"/>
  <c r="AZ40" i="496"/>
  <c r="AY40" i="496"/>
  <c r="BB40" i="496"/>
  <c r="BA40" i="496"/>
  <c r="AP10" i="496"/>
  <c r="AL10" i="496"/>
  <c r="AN10" i="496"/>
  <c r="AN12" i="496"/>
  <c r="AP12" i="496"/>
  <c r="AR12" i="496"/>
  <c r="AL12" i="496"/>
  <c r="AN15" i="496"/>
  <c r="AP15" i="496"/>
  <c r="AR15" i="496"/>
  <c r="AL15" i="496"/>
  <c r="AN19" i="496"/>
  <c r="AP19" i="496"/>
  <c r="AR19" i="496"/>
  <c r="AL19" i="496"/>
  <c r="AN23" i="496"/>
  <c r="AP23" i="496"/>
  <c r="AR23" i="496"/>
  <c r="AL23" i="496"/>
  <c r="AN27" i="496"/>
  <c r="AP27" i="496"/>
  <c r="AR27" i="496"/>
  <c r="AL27" i="496"/>
  <c r="AN31" i="496"/>
  <c r="AP31" i="496"/>
  <c r="AR31" i="496"/>
  <c r="AL31" i="496"/>
  <c r="AN35" i="496"/>
  <c r="AP35" i="496"/>
  <c r="AR35" i="496"/>
  <c r="AL35" i="496"/>
  <c r="AN39" i="496"/>
  <c r="AP39" i="496"/>
  <c r="AR39" i="496"/>
  <c r="AL39" i="496"/>
  <c r="AN43" i="496"/>
  <c r="AP43" i="496"/>
  <c r="AR43" i="496"/>
  <c r="AL43" i="496"/>
  <c r="AN47" i="496"/>
  <c r="AP47" i="496"/>
  <c r="AR47" i="496"/>
  <c r="AL47" i="496"/>
  <c r="AN51" i="496"/>
  <c r="AP51" i="496"/>
  <c r="AR51" i="496"/>
  <c r="AL51" i="496"/>
  <c r="AN52" i="496"/>
  <c r="AP52" i="496"/>
  <c r="AR52" i="496"/>
  <c r="AL52" i="496"/>
  <c r="AN56" i="496"/>
  <c r="AP56" i="496"/>
  <c r="AR56" i="496"/>
  <c r="AL56" i="496"/>
  <c r="AN60" i="496"/>
  <c r="AP60" i="496"/>
  <c r="AR60" i="496"/>
  <c r="AL60" i="496"/>
  <c r="AN64" i="496"/>
  <c r="AP64" i="496"/>
  <c r="AR64" i="496"/>
  <c r="AL64" i="496"/>
  <c r="AN68" i="496"/>
  <c r="AP68" i="496"/>
  <c r="AR68" i="496"/>
  <c r="AL68" i="496"/>
  <c r="AN72" i="496"/>
  <c r="AP72" i="496"/>
  <c r="AR72" i="496"/>
  <c r="AL72" i="496"/>
  <c r="AN76" i="496"/>
  <c r="AP76" i="496"/>
  <c r="AL76" i="496"/>
  <c r="AN80" i="496"/>
  <c r="AP80" i="496"/>
  <c r="AR80" i="496"/>
  <c r="AL80" i="496"/>
  <c r="AN84" i="496"/>
  <c r="AP84" i="496"/>
  <c r="AR84" i="496"/>
  <c r="AL84" i="496"/>
  <c r="AN88" i="496"/>
  <c r="AP88" i="496"/>
  <c r="AR88" i="496"/>
  <c r="AL88" i="496"/>
  <c r="AR95" i="496"/>
  <c r="AR103" i="496"/>
  <c r="AP107" i="496"/>
  <c r="AR107" i="496"/>
  <c r="AN107" i="496"/>
  <c r="AL107" i="496"/>
  <c r="AR110" i="496"/>
  <c r="AR16" i="496"/>
  <c r="AN16" i="496"/>
  <c r="AP16" i="496"/>
  <c r="AL16" i="496"/>
  <c r="AR20" i="496"/>
  <c r="AN20" i="496"/>
  <c r="AP20" i="496"/>
  <c r="AL20" i="496"/>
  <c r="AR24" i="496"/>
  <c r="AN24" i="496"/>
  <c r="AP24" i="496"/>
  <c r="AL24" i="496"/>
  <c r="AR28" i="496"/>
  <c r="AN28" i="496"/>
  <c r="AP28" i="496"/>
  <c r="AL28" i="496"/>
  <c r="AR32" i="496"/>
  <c r="AN32" i="496"/>
  <c r="AP32" i="496"/>
  <c r="AL32" i="496"/>
  <c r="AR36" i="496"/>
  <c r="AN36" i="496"/>
  <c r="AP36" i="496"/>
  <c r="AL36" i="496"/>
  <c r="AR40" i="496"/>
  <c r="AN40" i="496"/>
  <c r="AP40" i="496"/>
  <c r="AL40" i="496"/>
  <c r="AR44" i="496"/>
  <c r="AN44" i="496"/>
  <c r="AP44" i="496"/>
  <c r="AL44" i="496"/>
  <c r="AR48" i="496"/>
  <c r="AN48" i="496"/>
  <c r="AP48" i="496"/>
  <c r="AL48" i="496"/>
  <c r="AR53" i="496"/>
  <c r="AN53" i="496"/>
  <c r="AP53" i="496"/>
  <c r="AL53" i="496"/>
  <c r="AR57" i="496"/>
  <c r="AN57" i="496"/>
  <c r="AP57" i="496"/>
  <c r="AL57" i="496"/>
  <c r="AR61" i="496"/>
  <c r="AN61" i="496"/>
  <c r="AP61" i="496"/>
  <c r="AL61" i="496"/>
  <c r="AR65" i="496"/>
  <c r="AN65" i="496"/>
  <c r="AP65" i="496"/>
  <c r="AL65" i="496"/>
  <c r="AR69" i="496"/>
  <c r="AN69" i="496"/>
  <c r="AP69" i="496"/>
  <c r="AL69" i="496"/>
  <c r="AR73" i="496"/>
  <c r="AN73" i="496"/>
  <c r="AP73" i="496"/>
  <c r="AL73" i="496"/>
  <c r="AR77" i="496"/>
  <c r="AN77" i="496"/>
  <c r="AP77" i="496"/>
  <c r="AL77" i="496"/>
  <c r="AR81" i="496"/>
  <c r="AN81" i="496"/>
  <c r="AP81" i="496"/>
  <c r="AL81" i="496"/>
  <c r="U81" i="496"/>
  <c r="AR85" i="496"/>
  <c r="AN85" i="496"/>
  <c r="AP85" i="496"/>
  <c r="AL85" i="496"/>
  <c r="AR89" i="496"/>
  <c r="AN89" i="496"/>
  <c r="AP89" i="496"/>
  <c r="AL89" i="496"/>
  <c r="AR92" i="496"/>
  <c r="AN92" i="496"/>
  <c r="AP92" i="496"/>
  <c r="AL92" i="496"/>
  <c r="AR96" i="496"/>
  <c r="AN96" i="496"/>
  <c r="AP96" i="496"/>
  <c r="AL96" i="496"/>
  <c r="AR100" i="496"/>
  <c r="AN100" i="496"/>
  <c r="AP100" i="496"/>
  <c r="AL100" i="496"/>
  <c r="AR104" i="496"/>
  <c r="AN104" i="496"/>
  <c r="AP104" i="496"/>
  <c r="AL104" i="496"/>
  <c r="AR108" i="496"/>
  <c r="AP108" i="496"/>
  <c r="AL108" i="496"/>
  <c r="AN108" i="496"/>
  <c r="AP25" i="496"/>
  <c r="AR25" i="496"/>
  <c r="AN25" i="496"/>
  <c r="AL25" i="496"/>
  <c r="AP17" i="496"/>
  <c r="AR17" i="496"/>
  <c r="AN17" i="496"/>
  <c r="AL17" i="496"/>
  <c r="AP21" i="496"/>
  <c r="AR21" i="496"/>
  <c r="AN21" i="496"/>
  <c r="AL21" i="496"/>
  <c r="AP29" i="496"/>
  <c r="AR29" i="496"/>
  <c r="AN29" i="496"/>
  <c r="AL29" i="496"/>
  <c r="AP33" i="496"/>
  <c r="AR33" i="496"/>
  <c r="AN33" i="496"/>
  <c r="AL33" i="496"/>
  <c r="AP37" i="496"/>
  <c r="AR37" i="496"/>
  <c r="AN37" i="496"/>
  <c r="AL37" i="496"/>
  <c r="AR41" i="496"/>
  <c r="AN41" i="496"/>
  <c r="AP41" i="496"/>
  <c r="AL41" i="496"/>
  <c r="AR45" i="496"/>
  <c r="AN45" i="496"/>
  <c r="AP45" i="496"/>
  <c r="AL45" i="496"/>
  <c r="AR49" i="496"/>
  <c r="AN49" i="496"/>
  <c r="AP49" i="496"/>
  <c r="AL49" i="496"/>
  <c r="AR54" i="496"/>
  <c r="AN54" i="496"/>
  <c r="AP54" i="496"/>
  <c r="AL54" i="496"/>
  <c r="AR58" i="496"/>
  <c r="AN58" i="496"/>
  <c r="AP58" i="496"/>
  <c r="AL58" i="496"/>
  <c r="AR62" i="496"/>
  <c r="AN62" i="496"/>
  <c r="AP62" i="496"/>
  <c r="AL62" i="496"/>
  <c r="AR66" i="496"/>
  <c r="AN66" i="496"/>
  <c r="AP66" i="496"/>
  <c r="AL66" i="496"/>
  <c r="AN70" i="496"/>
  <c r="AP70" i="496"/>
  <c r="AL70" i="496"/>
  <c r="AR74" i="496"/>
  <c r="AN74" i="496"/>
  <c r="AP74" i="496"/>
  <c r="AL74" i="496"/>
  <c r="AR78" i="496"/>
  <c r="AN78" i="496"/>
  <c r="AP78" i="496"/>
  <c r="AL78" i="496"/>
  <c r="AR82" i="496"/>
  <c r="AN82" i="496"/>
  <c r="AP82" i="496"/>
  <c r="AL82" i="496"/>
  <c r="AR86" i="496"/>
  <c r="AN86" i="496"/>
  <c r="AP86" i="496"/>
  <c r="AL86" i="496"/>
  <c r="AN90" i="496"/>
  <c r="AP90" i="496"/>
  <c r="AL90" i="496"/>
  <c r="AR93" i="496"/>
  <c r="AN93" i="496"/>
  <c r="AR97" i="496"/>
  <c r="AN97" i="496"/>
  <c r="AP97" i="496"/>
  <c r="AL97" i="496"/>
  <c r="AR101" i="496"/>
  <c r="AN101" i="496"/>
  <c r="AP101" i="496"/>
  <c r="AL101" i="496"/>
  <c r="AR105" i="496"/>
  <c r="AN105" i="496"/>
  <c r="AP105" i="496"/>
  <c r="AL105" i="496"/>
  <c r="AR109" i="496"/>
  <c r="AN109" i="496"/>
  <c r="AP109" i="496"/>
  <c r="AL109" i="496"/>
  <c r="AP11" i="496"/>
  <c r="AR11" i="496"/>
  <c r="AN11" i="496"/>
  <c r="AL11" i="496"/>
  <c r="AP14" i="496"/>
  <c r="AR14" i="496"/>
  <c r="AL14" i="496"/>
  <c r="AN14" i="496"/>
  <c r="AP18" i="496"/>
  <c r="AR18" i="496"/>
  <c r="AL18" i="496"/>
  <c r="AN18" i="496"/>
  <c r="AP22" i="496"/>
  <c r="AR22" i="496"/>
  <c r="AL22" i="496"/>
  <c r="AN22" i="496"/>
  <c r="AP26" i="496"/>
  <c r="AR26" i="496"/>
  <c r="AN26" i="496"/>
  <c r="AL26" i="496"/>
  <c r="AP30" i="496"/>
  <c r="AR30" i="496"/>
  <c r="AL30" i="496"/>
  <c r="AN30" i="496"/>
  <c r="AP34" i="496"/>
  <c r="AR34" i="496"/>
  <c r="AL34" i="496"/>
  <c r="AN34" i="496"/>
  <c r="AP38" i="496"/>
  <c r="AR38" i="496"/>
  <c r="AL38" i="496"/>
  <c r="AN38" i="496"/>
  <c r="AP42" i="496"/>
  <c r="AR42" i="496"/>
  <c r="AN42" i="496"/>
  <c r="AL42" i="496"/>
  <c r="AP46" i="496"/>
  <c r="AR46" i="496"/>
  <c r="AL46" i="496"/>
  <c r="AN46" i="496"/>
  <c r="AP50" i="496"/>
  <c r="AR50" i="496"/>
  <c r="AL50" i="496"/>
  <c r="AN50" i="496"/>
  <c r="AP55" i="496"/>
  <c r="AR55" i="496"/>
  <c r="AN55" i="496"/>
  <c r="AL55" i="496"/>
  <c r="AP59" i="496"/>
  <c r="AR59" i="496"/>
  <c r="AL59" i="496"/>
  <c r="AN59" i="496"/>
  <c r="AP63" i="496"/>
  <c r="AR63" i="496"/>
  <c r="AL63" i="496"/>
  <c r="AN63" i="496"/>
  <c r="AP67" i="496"/>
  <c r="AR67" i="496"/>
  <c r="AL67" i="496"/>
  <c r="AN67" i="496"/>
  <c r="AP71" i="496"/>
  <c r="AR71" i="496"/>
  <c r="AN71" i="496"/>
  <c r="AL71" i="496"/>
  <c r="AP75" i="496"/>
  <c r="AR75" i="496"/>
  <c r="AL75" i="496"/>
  <c r="AN75" i="496"/>
  <c r="AP79" i="496"/>
  <c r="AR79" i="496"/>
  <c r="AL79" i="496"/>
  <c r="AN79" i="496"/>
  <c r="AP83" i="496"/>
  <c r="AR83" i="496"/>
  <c r="AL83" i="496"/>
  <c r="AN83" i="496"/>
  <c r="AP87" i="496"/>
  <c r="AR87" i="496"/>
  <c r="AN87" i="496"/>
  <c r="AL87" i="496"/>
  <c r="AP91" i="496"/>
  <c r="AR91" i="496"/>
  <c r="AL91" i="496"/>
  <c r="AN91" i="496"/>
  <c r="AP94" i="496"/>
  <c r="AR94" i="496"/>
  <c r="AL94" i="496"/>
  <c r="AP98" i="496"/>
  <c r="AR98" i="496"/>
  <c r="AP102" i="496"/>
  <c r="AR102" i="496"/>
  <c r="AN102" i="496"/>
  <c r="AL102" i="496"/>
  <c r="AP106" i="496"/>
  <c r="AR106" i="496"/>
  <c r="AL106" i="496"/>
  <c r="AN106" i="496"/>
  <c r="AY90" i="496" l="1"/>
  <c r="BA90" i="496"/>
  <c r="BC71" i="496"/>
  <c r="BC67" i="496"/>
  <c r="BC59" i="496"/>
  <c r="BC51" i="496"/>
  <c r="AE14" i="416"/>
  <c r="AF14" i="416" s="1"/>
  <c r="AO11" i="428"/>
  <c r="AE13" i="416"/>
  <c r="AF13" i="416" s="1"/>
  <c r="AO10" i="428"/>
  <c r="BC43" i="496"/>
  <c r="BC108" i="496"/>
  <c r="BC104" i="496"/>
  <c r="BC100" i="496"/>
  <c r="BC96" i="496"/>
  <c r="BC92" i="496"/>
  <c r="BC89" i="496"/>
  <c r="BC85" i="496"/>
  <c r="BC81" i="496"/>
  <c r="BD81" i="496" s="1"/>
  <c r="BC68" i="496"/>
  <c r="BC39" i="496"/>
  <c r="BC35" i="496"/>
  <c r="BC31" i="496"/>
  <c r="BC27" i="496"/>
  <c r="BC23" i="496"/>
  <c r="BC19" i="496"/>
  <c r="BC15" i="496"/>
  <c r="BC12" i="496"/>
  <c r="BC64" i="496"/>
  <c r="BC56" i="496"/>
  <c r="BC90" i="496"/>
  <c r="BC86" i="496"/>
  <c r="BC82" i="496"/>
  <c r="BC78" i="496"/>
  <c r="BC74" i="496"/>
  <c r="BC70" i="496"/>
  <c r="BC66" i="496"/>
  <c r="BC62" i="496"/>
  <c r="BC58" i="496"/>
  <c r="BC54" i="496"/>
  <c r="BC50" i="496"/>
  <c r="BC46" i="496"/>
  <c r="BC42" i="496"/>
  <c r="BC77" i="496"/>
  <c r="BC73" i="496"/>
  <c r="BC69" i="496"/>
  <c r="BC65" i="496"/>
  <c r="BC61" i="496"/>
  <c r="BC57" i="496"/>
  <c r="BC53" i="496"/>
  <c r="BC49" i="496"/>
  <c r="BC45" i="496"/>
  <c r="BC41" i="496"/>
  <c r="BC107" i="496"/>
  <c r="BC88" i="496"/>
  <c r="BC84" i="496"/>
  <c r="BC80" i="496"/>
  <c r="BC72" i="496"/>
  <c r="BC60" i="496"/>
  <c r="BC48" i="496"/>
  <c r="BC106" i="496"/>
  <c r="BC52" i="496"/>
  <c r="BD52" i="496" s="1"/>
  <c r="BC44" i="496"/>
  <c r="BC102" i="496"/>
  <c r="BC91" i="496"/>
  <c r="BC87" i="496"/>
  <c r="BC83" i="496"/>
  <c r="BC79" i="496"/>
  <c r="BC75" i="496"/>
  <c r="BC63" i="496"/>
  <c r="BC55" i="496"/>
  <c r="BC47" i="496"/>
  <c r="BC109" i="496"/>
  <c r="BC105" i="496"/>
  <c r="BC101" i="496"/>
  <c r="BC97" i="496"/>
  <c r="BC24" i="496"/>
  <c r="BC26" i="496"/>
  <c r="BC40" i="496"/>
  <c r="BC36" i="496"/>
  <c r="BC32" i="496"/>
  <c r="BC28" i="496"/>
  <c r="BC20" i="496"/>
  <c r="BC16" i="496"/>
  <c r="BC14" i="496"/>
  <c r="BD14" i="496" s="1"/>
  <c r="BC22" i="496"/>
  <c r="BC11" i="496"/>
  <c r="BC38" i="496"/>
  <c r="BC34" i="496"/>
  <c r="BC30" i="496"/>
  <c r="BC18" i="496"/>
  <c r="BC37" i="496"/>
  <c r="BC33" i="496"/>
  <c r="BC29" i="496"/>
  <c r="BC25" i="496"/>
  <c r="BC21" i="496"/>
  <c r="BC17" i="496"/>
  <c r="BC13" i="496"/>
  <c r="BA10" i="496"/>
  <c r="AZ10" i="496"/>
  <c r="AY10" i="496"/>
  <c r="AX10" i="496"/>
  <c r="D71" i="509"/>
  <c r="C71" i="509"/>
  <c r="H16" i="453"/>
  <c r="H17" i="453"/>
  <c r="H14" i="453" s="1"/>
  <c r="H18" i="453"/>
  <c r="H19" i="453"/>
  <c r="H20" i="453"/>
  <c r="H21" i="453"/>
  <c r="H15" i="453"/>
  <c r="S21" i="416"/>
  <c r="U21" i="416" s="1"/>
  <c r="Q21" i="416"/>
  <c r="Q20" i="416"/>
  <c r="S20" i="416" s="1"/>
  <c r="U20" i="416" s="1"/>
  <c r="Q19" i="416"/>
  <c r="S19" i="416" s="1"/>
  <c r="U19" i="416" s="1"/>
  <c r="Q18" i="416"/>
  <c r="S18" i="416" s="1"/>
  <c r="U18" i="416" s="1"/>
  <c r="Q17" i="416"/>
  <c r="S17" i="416" s="1"/>
  <c r="U17" i="416" s="1"/>
  <c r="Q16" i="416"/>
  <c r="S16" i="416" s="1"/>
  <c r="U16" i="416" s="1"/>
  <c r="Q15" i="416"/>
  <c r="S15" i="416" s="1"/>
  <c r="U15" i="416" s="1"/>
  <c r="N14" i="416"/>
  <c r="O14" i="416"/>
  <c r="L14" i="416"/>
  <c r="I14" i="416"/>
  <c r="J14" i="416"/>
  <c r="K14" i="416"/>
  <c r="H16" i="416"/>
  <c r="H17" i="416"/>
  <c r="H14" i="416" s="1"/>
  <c r="H18" i="416"/>
  <c r="H19" i="416"/>
  <c r="H20" i="416"/>
  <c r="H21" i="416"/>
  <c r="H15" i="416"/>
  <c r="BC10" i="496" l="1"/>
  <c r="V19" i="416"/>
  <c r="AE19" i="416"/>
  <c r="AF19" i="416" s="1"/>
  <c r="AB19" i="416"/>
  <c r="AE17" i="416"/>
  <c r="AF17" i="416" s="1"/>
  <c r="AB17" i="416"/>
  <c r="V18" i="416"/>
  <c r="AE18" i="416"/>
  <c r="AF18" i="416" s="1"/>
  <c r="AB18" i="416"/>
  <c r="AE21" i="416"/>
  <c r="AF21" i="416" s="1"/>
  <c r="AB21" i="416"/>
  <c r="AE15" i="416"/>
  <c r="AF15" i="416" s="1"/>
  <c r="V15" i="416"/>
  <c r="AB15" i="416"/>
  <c r="AE16" i="416"/>
  <c r="AF16" i="416" s="1"/>
  <c r="AB16" i="416"/>
  <c r="AE20" i="416"/>
  <c r="AF20" i="416" s="1"/>
  <c r="AB20" i="416"/>
  <c r="BD10" i="496"/>
  <c r="Z71" i="509"/>
  <c r="M71" i="509"/>
  <c r="P71" i="509" s="1"/>
  <c r="T71" i="509"/>
  <c r="S71" i="509" s="1"/>
  <c r="W71" i="509"/>
  <c r="V71" i="509" s="1"/>
  <c r="N71" i="509"/>
  <c r="Q71" i="509" s="1"/>
  <c r="V20" i="416"/>
  <c r="AF12" i="416" l="1"/>
  <c r="AF9" i="416" s="1"/>
  <c r="V17" i="416"/>
  <c r="R12" i="441"/>
  <c r="R11" i="441"/>
  <c r="Q10" i="441"/>
  <c r="R15" i="418"/>
  <c r="Q15" i="418" s="1"/>
  <c r="R11" i="418"/>
  <c r="Q11" i="418" s="1"/>
  <c r="D67" i="509" l="1"/>
  <c r="N67" i="509" s="1"/>
  <c r="Q67" i="509" s="1"/>
  <c r="Q11" i="441"/>
  <c r="S11" i="441"/>
  <c r="AH11" i="441" s="1"/>
  <c r="Q12" i="441"/>
  <c r="S12" i="441"/>
  <c r="AH12" i="441" s="1"/>
  <c r="AH9" i="441" l="1"/>
  <c r="AO110" i="496" l="1"/>
  <c r="AK110" i="496"/>
  <c r="AM110" i="496"/>
  <c r="AN110" i="496" l="1"/>
  <c r="AZ110" i="496"/>
  <c r="AP110" i="496"/>
  <c r="BA110" i="496"/>
  <c r="AL110" i="496"/>
  <c r="AY110" i="496"/>
  <c r="D20" i="456"/>
  <c r="BC110" i="496" l="1"/>
  <c r="P110" i="496"/>
  <c r="AX110" i="496" s="1"/>
  <c r="BD110" i="496" l="1"/>
  <c r="U110" i="496"/>
  <c r="V110" i="496"/>
  <c r="W110" i="496"/>
  <c r="X110" i="496"/>
  <c r="Y110" i="496"/>
  <c r="Z110" i="496"/>
  <c r="AA110" i="496"/>
  <c r="AB110" i="496"/>
  <c r="AC110" i="496"/>
  <c r="AD110" i="496"/>
  <c r="AE110" i="496"/>
  <c r="AF110" i="496"/>
  <c r="AG110" i="496"/>
  <c r="W9" i="428" l="1"/>
  <c r="W14" i="453"/>
  <c r="AA14" i="453"/>
  <c r="AE14" i="453"/>
  <c r="W14" i="416"/>
  <c r="X18" i="428" l="1"/>
  <c r="G18" i="428"/>
  <c r="X21" i="453"/>
  <c r="X17" i="428"/>
  <c r="Y20" i="453"/>
  <c r="X19" i="416"/>
  <c r="G15" i="428"/>
  <c r="G16" i="428"/>
  <c r="G17" i="428"/>
  <c r="X20" i="453" l="1"/>
  <c r="V21" i="416"/>
  <c r="X21" i="416" s="1"/>
  <c r="X20" i="416"/>
  <c r="X18" i="416"/>
  <c r="X19" i="453"/>
  <c r="X16" i="428"/>
  <c r="X17" i="453"/>
  <c r="G14" i="428"/>
  <c r="V16" i="416"/>
  <c r="P109" i="496"/>
  <c r="P108" i="496"/>
  <c r="P107" i="496"/>
  <c r="P106" i="496"/>
  <c r="M105" i="496"/>
  <c r="P105" i="496" s="1"/>
  <c r="M104" i="496"/>
  <c r="P104" i="496" s="1"/>
  <c r="AM103" i="496"/>
  <c r="AK103" i="496"/>
  <c r="AO103" i="496"/>
  <c r="U103" i="496"/>
  <c r="M103" i="496"/>
  <c r="U108" i="496" l="1"/>
  <c r="AX108" i="496"/>
  <c r="BD108" i="496" s="1"/>
  <c r="U104" i="496"/>
  <c r="AX104" i="496"/>
  <c r="BD104" i="496" s="1"/>
  <c r="AP103" i="496"/>
  <c r="BA103" i="496"/>
  <c r="U105" i="496"/>
  <c r="AX105" i="496"/>
  <c r="BD105" i="496" s="1"/>
  <c r="U109" i="496"/>
  <c r="AX109" i="496"/>
  <c r="BD109" i="496" s="1"/>
  <c r="AL103" i="496"/>
  <c r="AY103" i="496"/>
  <c r="U106" i="496"/>
  <c r="AX106" i="496"/>
  <c r="BD106" i="496" s="1"/>
  <c r="AN103" i="496"/>
  <c r="AZ103" i="496"/>
  <c r="U107" i="496"/>
  <c r="AX107" i="496"/>
  <c r="BD107" i="496" s="1"/>
  <c r="M9" i="496"/>
  <c r="M9" i="428"/>
  <c r="P14" i="416"/>
  <c r="AV107" i="496"/>
  <c r="AV108" i="496"/>
  <c r="AV106" i="496"/>
  <c r="AV104" i="496"/>
  <c r="AV105" i="496"/>
  <c r="AV109" i="496"/>
  <c r="AV103" i="496"/>
  <c r="X15" i="428"/>
  <c r="X18" i="453"/>
  <c r="X16" i="416"/>
  <c r="BC103" i="496" l="1"/>
  <c r="BD103" i="496" s="1"/>
  <c r="X14" i="428"/>
  <c r="X17" i="416"/>
  <c r="V14" i="416"/>
  <c r="X15" i="416"/>
  <c r="G102" i="496"/>
  <c r="G101" i="496"/>
  <c r="G100" i="496"/>
  <c r="G99" i="496"/>
  <c r="G98" i="496"/>
  <c r="G97" i="496"/>
  <c r="G96" i="496"/>
  <c r="G95" i="496"/>
  <c r="G94" i="496"/>
  <c r="G93" i="496"/>
  <c r="AK93" i="496"/>
  <c r="P102" i="496"/>
  <c r="P101" i="496"/>
  <c r="AL93" i="496" l="1"/>
  <c r="AY93" i="496"/>
  <c r="U101" i="496"/>
  <c r="AX101" i="496"/>
  <c r="BD101" i="496" s="1"/>
  <c r="U102" i="496"/>
  <c r="AX102" i="496"/>
  <c r="BD102" i="496" s="1"/>
  <c r="AV102" i="496"/>
  <c r="X14" i="416"/>
  <c r="AV101" i="496"/>
  <c r="P100" i="496"/>
  <c r="P99" i="496"/>
  <c r="AM99" i="496"/>
  <c r="AO99" i="496"/>
  <c r="AK99" i="496"/>
  <c r="AK98" i="496"/>
  <c r="AM98" i="496"/>
  <c r="P97" i="496"/>
  <c r="P96" i="496"/>
  <c r="AM95" i="496"/>
  <c r="P95" i="496"/>
  <c r="AO95" i="496"/>
  <c r="AK95" i="496"/>
  <c r="P94" i="496"/>
  <c r="AO93" i="496"/>
  <c r="U94" i="496" l="1"/>
  <c r="AX94" i="496"/>
  <c r="AR99" i="496"/>
  <c r="BB99" i="496"/>
  <c r="AL95" i="496"/>
  <c r="AY95" i="496"/>
  <c r="U96" i="496"/>
  <c r="AX96" i="496"/>
  <c r="BD96" i="496" s="1"/>
  <c r="U99" i="496"/>
  <c r="AX99" i="496"/>
  <c r="AN99" i="496"/>
  <c r="AZ99" i="496"/>
  <c r="AL98" i="496"/>
  <c r="AY98" i="496"/>
  <c r="AP95" i="496"/>
  <c r="BA95" i="496"/>
  <c r="U97" i="496"/>
  <c r="AX97" i="496"/>
  <c r="BD97" i="496" s="1"/>
  <c r="AL99" i="496"/>
  <c r="AY99" i="496"/>
  <c r="AN95" i="496"/>
  <c r="AZ95" i="496"/>
  <c r="AP93" i="496"/>
  <c r="BA93" i="496"/>
  <c r="BC93" i="496" s="1"/>
  <c r="U95" i="496"/>
  <c r="AX95" i="496"/>
  <c r="AN98" i="496"/>
  <c r="AZ98" i="496"/>
  <c r="AP99" i="496"/>
  <c r="BA99" i="496"/>
  <c r="U100" i="496"/>
  <c r="AX100" i="496"/>
  <c r="BD100" i="496" s="1"/>
  <c r="AM94" i="496"/>
  <c r="AV100" i="496"/>
  <c r="AV97" i="496"/>
  <c r="AV95" i="496"/>
  <c r="AV96" i="496"/>
  <c r="AV99" i="496"/>
  <c r="P98" i="496"/>
  <c r="P93" i="496"/>
  <c r="AX93" i="496" s="1"/>
  <c r="AY9" i="496" l="1"/>
  <c r="BA9" i="496"/>
  <c r="BD93" i="496"/>
  <c r="BC99" i="496"/>
  <c r="BD99" i="496" s="1"/>
  <c r="U98" i="496"/>
  <c r="AX98" i="496"/>
  <c r="AN94" i="496"/>
  <c r="AZ94" i="496"/>
  <c r="BC98" i="496"/>
  <c r="BC95" i="496"/>
  <c r="BD95" i="496" s="1"/>
  <c r="U93" i="496"/>
  <c r="AV93" i="496"/>
  <c r="AV94" i="496"/>
  <c r="BD98" i="496" l="1"/>
  <c r="BC94" i="496"/>
  <c r="BD94" i="496" s="1"/>
  <c r="AZ9" i="496"/>
  <c r="AV98" i="496"/>
  <c r="AJ158" i="497"/>
  <c r="P26" i="496"/>
  <c r="AV81" i="496"/>
  <c r="Z10" i="496"/>
  <c r="Z82" i="496"/>
  <c r="AD82" i="496" s="1"/>
  <c r="Z17" i="496"/>
  <c r="AD17" i="496" s="1"/>
  <c r="U26" i="496" l="1"/>
  <c r="AX26" i="496"/>
  <c r="BD26" i="496" s="1"/>
  <c r="P92" i="496"/>
  <c r="G92" i="496"/>
  <c r="P78" i="496"/>
  <c r="P80" i="496"/>
  <c r="Z81" i="496"/>
  <c r="AD81" i="496" s="1"/>
  <c r="Z74" i="496"/>
  <c r="AD74" i="496" s="1"/>
  <c r="Z73" i="496"/>
  <c r="AD73" i="496" s="1"/>
  <c r="U92" i="496" l="1"/>
  <c r="AX92" i="496"/>
  <c r="BD92" i="496" s="1"/>
  <c r="U80" i="496"/>
  <c r="AX80" i="496"/>
  <c r="BD80" i="496" s="1"/>
  <c r="U78" i="496"/>
  <c r="AX78" i="496"/>
  <c r="BD78" i="496" s="1"/>
  <c r="AV78" i="496"/>
  <c r="AV92" i="496"/>
  <c r="AV80" i="496"/>
  <c r="P17" i="496"/>
  <c r="U17" i="496" l="1"/>
  <c r="AX17" i="496"/>
  <c r="BD17" i="496" s="1"/>
  <c r="AV17" i="496"/>
  <c r="AA17" i="496"/>
  <c r="AC17" i="496" s="1"/>
  <c r="AE17" i="496"/>
  <c r="AG17" i="496" s="1"/>
  <c r="CV27" i="456" l="1"/>
  <c r="CV28" i="456" s="1"/>
  <c r="CV23" i="456"/>
  <c r="CV24" i="456" s="1"/>
  <c r="CV29" i="456" l="1"/>
  <c r="CV31" i="456" s="1"/>
  <c r="CV32" i="456" s="1"/>
  <c r="CV33" i="456" s="1"/>
  <c r="CV34" i="456" l="1"/>
  <c r="CV36" i="456" s="1"/>
  <c r="CV35" i="456"/>
  <c r="CV37" i="456" s="1"/>
  <c r="AP69" i="497" l="1"/>
  <c r="AP70" i="497"/>
  <c r="AP71" i="497"/>
  <c r="AP72" i="497"/>
  <c r="AP73" i="497"/>
  <c r="AP74" i="497"/>
  <c r="AP75" i="497"/>
  <c r="AP76" i="497"/>
  <c r="AP77" i="497"/>
  <c r="AP78" i="497"/>
  <c r="AP79" i="497"/>
  <c r="AP80" i="497"/>
  <c r="AP81" i="497"/>
  <c r="AP82" i="497"/>
  <c r="AP83" i="497"/>
  <c r="AP84" i="497"/>
  <c r="AP85" i="497"/>
  <c r="AP86" i="497"/>
  <c r="AP87" i="497"/>
  <c r="AP88" i="497"/>
  <c r="AP89" i="497"/>
  <c r="AP90" i="497"/>
  <c r="AP91" i="497"/>
  <c r="AP92" i="497"/>
  <c r="AP93" i="497"/>
  <c r="AP94" i="497"/>
  <c r="AP95" i="497"/>
  <c r="AP96" i="497"/>
  <c r="AP97" i="497"/>
  <c r="AP98" i="497"/>
  <c r="AP99" i="497"/>
  <c r="AP100" i="497"/>
  <c r="AP101" i="497"/>
  <c r="AP102" i="497"/>
  <c r="AP103" i="497"/>
  <c r="AP104" i="497"/>
  <c r="AP105" i="497"/>
  <c r="AP106" i="497"/>
  <c r="AP107" i="497"/>
  <c r="AP108" i="497"/>
  <c r="AP109" i="497"/>
  <c r="AP110" i="497"/>
  <c r="AP111" i="497"/>
  <c r="AP112" i="497"/>
  <c r="AP113" i="497"/>
  <c r="AP114" i="497"/>
  <c r="AP115" i="497"/>
  <c r="AP116" i="497"/>
  <c r="AP117" i="497"/>
  <c r="AP118" i="497"/>
  <c r="AP119" i="497"/>
  <c r="AP120" i="497"/>
  <c r="AP121" i="497"/>
  <c r="AP122" i="497"/>
  <c r="AP123" i="497"/>
  <c r="AP124" i="497"/>
  <c r="AP125" i="497"/>
  <c r="AP126" i="497"/>
  <c r="AP127" i="497"/>
  <c r="AP128" i="497"/>
  <c r="AP129" i="497"/>
  <c r="AP130" i="497"/>
  <c r="AP131" i="497"/>
  <c r="AP132" i="497"/>
  <c r="AP133" i="497"/>
  <c r="AP134" i="497"/>
  <c r="AP68" i="497"/>
  <c r="AP64" i="497"/>
  <c r="AP63" i="497"/>
  <c r="AR67" i="497"/>
  <c r="AP59" i="497"/>
  <c r="AP58" i="497"/>
  <c r="AP54" i="497"/>
  <c r="AP55" i="497"/>
  <c r="AP57" i="497"/>
  <c r="AP53" i="497"/>
  <c r="AP56" i="497"/>
  <c r="AR63" i="497"/>
  <c r="AP52" i="497"/>
  <c r="AP43" i="497"/>
  <c r="AP44" i="497"/>
  <c r="AP45" i="497"/>
  <c r="AR46" i="497"/>
  <c r="AP47" i="497"/>
  <c r="AR48" i="497"/>
  <c r="AP42" i="497"/>
  <c r="AP40" i="497"/>
  <c r="AP39" i="497"/>
  <c r="AP32" i="497"/>
  <c r="AP33" i="497"/>
  <c r="AR34" i="497"/>
  <c r="AR35" i="497"/>
  <c r="AP31" i="497"/>
  <c r="AP38" i="497"/>
  <c r="AP23" i="497"/>
  <c r="AP24" i="497"/>
  <c r="AR25" i="497"/>
  <c r="AP26" i="497"/>
  <c r="AP27" i="497"/>
  <c r="AR28" i="497"/>
  <c r="AP29" i="497"/>
  <c r="AR39" i="497"/>
  <c r="AR40" i="497"/>
  <c r="AP22" i="497"/>
  <c r="AP11" i="497"/>
  <c r="AP12" i="497"/>
  <c r="AP13" i="497"/>
  <c r="AP14" i="497"/>
  <c r="AP15" i="497"/>
  <c r="AP16" i="497"/>
  <c r="AP17" i="497"/>
  <c r="AP18" i="497"/>
  <c r="AP19" i="497"/>
  <c r="AP20" i="497"/>
  <c r="AP10" i="497"/>
  <c r="AJ10" i="497"/>
  <c r="AJ58" i="497"/>
  <c r="AJ59" i="497"/>
  <c r="AJ60" i="497"/>
  <c r="AJ61" i="497"/>
  <c r="AJ62" i="497"/>
  <c r="AJ63" i="497"/>
  <c r="AJ64" i="497"/>
  <c r="AJ65" i="497"/>
  <c r="AJ66" i="497"/>
  <c r="AJ68" i="497"/>
  <c r="AJ69" i="497"/>
  <c r="AJ71" i="497"/>
  <c r="AJ72" i="497"/>
  <c r="AJ73" i="497"/>
  <c r="AJ74" i="497"/>
  <c r="AJ75" i="497"/>
  <c r="AJ76" i="497"/>
  <c r="AJ77" i="497"/>
  <c r="AJ78" i="497"/>
  <c r="AJ79" i="497"/>
  <c r="AJ80" i="497"/>
  <c r="AJ81" i="497"/>
  <c r="AJ82" i="497"/>
  <c r="AJ83" i="497"/>
  <c r="AJ85" i="497"/>
  <c r="AJ86" i="497"/>
  <c r="AJ89" i="497"/>
  <c r="AJ90" i="497"/>
  <c r="AJ91" i="497"/>
  <c r="AJ92" i="497"/>
  <c r="AJ93" i="497"/>
  <c r="AJ94" i="497"/>
  <c r="AJ95" i="497"/>
  <c r="AJ96" i="497"/>
  <c r="AJ97" i="497"/>
  <c r="AJ98" i="497"/>
  <c r="AJ99" i="497"/>
  <c r="AJ100" i="497"/>
  <c r="AJ101" i="497"/>
  <c r="AJ102" i="497"/>
  <c r="AJ104" i="497"/>
  <c r="AJ105" i="497"/>
  <c r="AJ106" i="497"/>
  <c r="AJ107" i="497"/>
  <c r="AJ108" i="497"/>
  <c r="AJ109" i="497"/>
  <c r="AJ110" i="497"/>
  <c r="AJ111" i="497"/>
  <c r="AJ112" i="497"/>
  <c r="AJ113" i="497"/>
  <c r="AJ116" i="497"/>
  <c r="AJ117" i="497"/>
  <c r="AJ118" i="497"/>
  <c r="AJ119" i="497"/>
  <c r="AJ120" i="497"/>
  <c r="AJ121" i="497"/>
  <c r="AJ122" i="497"/>
  <c r="AJ123" i="497"/>
  <c r="AJ125" i="497"/>
  <c r="AJ126" i="497"/>
  <c r="AJ128" i="497"/>
  <c r="AJ129" i="497"/>
  <c r="AJ130" i="497"/>
  <c r="AJ131" i="497"/>
  <c r="AJ132" i="497"/>
  <c r="AJ133" i="497"/>
  <c r="AJ134" i="497"/>
  <c r="AJ135" i="497"/>
  <c r="AJ136" i="497"/>
  <c r="AJ137" i="497"/>
  <c r="AJ139" i="497"/>
  <c r="AJ140" i="497"/>
  <c r="AJ141" i="497"/>
  <c r="AJ143" i="497"/>
  <c r="AJ144" i="497"/>
  <c r="AJ145" i="497"/>
  <c r="AJ146" i="497"/>
  <c r="AJ147" i="497"/>
  <c r="AJ148" i="497"/>
  <c r="AJ149" i="497"/>
  <c r="AJ150" i="497"/>
  <c r="AJ151" i="497"/>
  <c r="AJ152" i="497"/>
  <c r="AJ153" i="497"/>
  <c r="AJ154" i="497"/>
  <c r="AJ155" i="497"/>
  <c r="AJ57" i="497"/>
  <c r="AJ38" i="497"/>
  <c r="AJ39" i="497"/>
  <c r="AJ40" i="497"/>
  <c r="AJ41" i="497"/>
  <c r="AJ42" i="497"/>
  <c r="AJ43" i="497"/>
  <c r="AJ44" i="497"/>
  <c r="AJ45" i="497"/>
  <c r="AJ46" i="497"/>
  <c r="AJ47" i="497"/>
  <c r="AJ48" i="497"/>
  <c r="AJ49" i="497"/>
  <c r="AJ50" i="497"/>
  <c r="AJ51" i="497"/>
  <c r="AJ52" i="497"/>
  <c r="AJ53" i="497"/>
  <c r="AJ54" i="497"/>
  <c r="AJ55" i="497"/>
  <c r="AJ37" i="497"/>
  <c r="AM155" i="497"/>
  <c r="AM138" i="497"/>
  <c r="AM142" i="497"/>
  <c r="AM143" i="497"/>
  <c r="AM144" i="497"/>
  <c r="AM145" i="497"/>
  <c r="AM146" i="497"/>
  <c r="AM124" i="497"/>
  <c r="AM103" i="497"/>
  <c r="AM108" i="497"/>
  <c r="AM109" i="497"/>
  <c r="AM80" i="497"/>
  <c r="AM81" i="497"/>
  <c r="AM82" i="497"/>
  <c r="AJ32" i="497"/>
  <c r="AJ33" i="497"/>
  <c r="AJ34" i="497"/>
  <c r="AJ35" i="497"/>
  <c r="AJ36" i="497"/>
  <c r="AM38" i="497"/>
  <c r="AJ31" i="497"/>
  <c r="AN32" i="497"/>
  <c r="AJ11" i="497"/>
  <c r="AJ12" i="497"/>
  <c r="AJ13" i="497"/>
  <c r="AM14" i="497"/>
  <c r="AJ15" i="497"/>
  <c r="AJ16" i="497"/>
  <c r="AJ17" i="497"/>
  <c r="AJ18" i="497"/>
  <c r="AJ19" i="497"/>
  <c r="AJ20" i="497"/>
  <c r="AJ21" i="497"/>
  <c r="AJ22" i="497"/>
  <c r="AJ23" i="497"/>
  <c r="AJ24" i="497"/>
  <c r="AJ25" i="497"/>
  <c r="AJ26" i="497"/>
  <c r="AJ27" i="497"/>
  <c r="AJ28" i="497"/>
  <c r="AJ29" i="497"/>
  <c r="AJ30" i="497"/>
  <c r="AN31" i="497"/>
  <c r="AC33" i="430"/>
  <c r="AC32" i="430"/>
  <c r="AC31" i="430"/>
  <c r="AC30" i="430"/>
  <c r="AC29" i="430"/>
  <c r="AC28" i="430"/>
  <c r="AC27" i="430"/>
  <c r="AC26" i="430"/>
  <c r="AC25" i="430"/>
  <c r="AC24" i="430"/>
  <c r="AC23" i="430"/>
  <c r="AC22" i="430"/>
  <c r="R22" i="430" s="1"/>
  <c r="AC21" i="430"/>
  <c r="AC20" i="430"/>
  <c r="AC19" i="430"/>
  <c r="AC18" i="430"/>
  <c r="AC17" i="430"/>
  <c r="AC16" i="430"/>
  <c r="R16" i="430" s="1"/>
  <c r="AC15" i="430"/>
  <c r="AC14" i="430"/>
  <c r="AC13" i="430"/>
  <c r="R13" i="430" s="1"/>
  <c r="S15" i="418"/>
  <c r="T15" i="418" s="1"/>
  <c r="S14" i="418"/>
  <c r="T14" i="418" s="1"/>
  <c r="S12" i="418"/>
  <c r="T12" i="418" s="1"/>
  <c r="S11" i="418"/>
  <c r="T11" i="418" s="1"/>
  <c r="AE124" i="426"/>
  <c r="T124" i="426" s="1"/>
  <c r="AE123" i="426"/>
  <c r="T123" i="426" s="1"/>
  <c r="AE122" i="426"/>
  <c r="AE121" i="426"/>
  <c r="AE120" i="426"/>
  <c r="AE119" i="426"/>
  <c r="AE118" i="426"/>
  <c r="AE117" i="426"/>
  <c r="AE116" i="426"/>
  <c r="AE115" i="426"/>
  <c r="AE114" i="426"/>
  <c r="AE113" i="426"/>
  <c r="AE112" i="426"/>
  <c r="AE111" i="426"/>
  <c r="AE110" i="426"/>
  <c r="T110" i="426" s="1"/>
  <c r="AE109" i="426"/>
  <c r="AE108" i="426"/>
  <c r="AE107" i="426"/>
  <c r="AE106" i="426"/>
  <c r="AE105" i="426"/>
  <c r="T105" i="426" s="1"/>
  <c r="AE104" i="426"/>
  <c r="AE103" i="426"/>
  <c r="AE102" i="426"/>
  <c r="AE101" i="426"/>
  <c r="AE100" i="426"/>
  <c r="AE99" i="426"/>
  <c r="AE98" i="426"/>
  <c r="AE97" i="426"/>
  <c r="AE96" i="426"/>
  <c r="AE95" i="426"/>
  <c r="AE94" i="426"/>
  <c r="AE93" i="426"/>
  <c r="AE92" i="426"/>
  <c r="AE91" i="426"/>
  <c r="AE90" i="426"/>
  <c r="AE89" i="426"/>
  <c r="AE88" i="426"/>
  <c r="AE87" i="426"/>
  <c r="AE86" i="426"/>
  <c r="AE85" i="426"/>
  <c r="AE84" i="426"/>
  <c r="AE83" i="426"/>
  <c r="AE82" i="426"/>
  <c r="AE81" i="426"/>
  <c r="AE80" i="426"/>
  <c r="AE79" i="426"/>
  <c r="AE78" i="426"/>
  <c r="AE77" i="426"/>
  <c r="AE76" i="426"/>
  <c r="AE75" i="426"/>
  <c r="AE74" i="426"/>
  <c r="AE73" i="426"/>
  <c r="AE72" i="426"/>
  <c r="AE71" i="426"/>
  <c r="AE70" i="426"/>
  <c r="AE69" i="426"/>
  <c r="AE68" i="426"/>
  <c r="AE67" i="426"/>
  <c r="AE66" i="426"/>
  <c r="AE65" i="426"/>
  <c r="AE64" i="426"/>
  <c r="AE63" i="426"/>
  <c r="AE62" i="426"/>
  <c r="AE61" i="426"/>
  <c r="AE60" i="426"/>
  <c r="AE59" i="426"/>
  <c r="AE58" i="426"/>
  <c r="AE57" i="426"/>
  <c r="T57" i="426" s="1"/>
  <c r="AE56" i="426"/>
  <c r="AE55" i="426"/>
  <c r="AE54" i="426"/>
  <c r="AE53" i="426"/>
  <c r="AE52" i="426"/>
  <c r="AE51" i="426"/>
  <c r="AE50" i="426"/>
  <c r="AE49" i="426"/>
  <c r="AE48" i="426"/>
  <c r="AE47" i="426"/>
  <c r="AE46" i="426"/>
  <c r="AE45" i="426"/>
  <c r="AE44" i="426"/>
  <c r="AE43" i="426"/>
  <c r="AE42" i="426"/>
  <c r="AE41" i="426"/>
  <c r="AE40" i="426"/>
  <c r="AE39" i="426"/>
  <c r="AE38" i="426"/>
  <c r="AE37" i="426"/>
  <c r="AE36" i="426"/>
  <c r="T36" i="426" s="1"/>
  <c r="AE35" i="426"/>
  <c r="AE34" i="426"/>
  <c r="AE33" i="426"/>
  <c r="AE32" i="426"/>
  <c r="AE31" i="426"/>
  <c r="AE30" i="426"/>
  <c r="AE29" i="426"/>
  <c r="AE28" i="426"/>
  <c r="AE27" i="426"/>
  <c r="AE26" i="426"/>
  <c r="AE25" i="426"/>
  <c r="AE24" i="426"/>
  <c r="AE23" i="426"/>
  <c r="AE22" i="426"/>
  <c r="AE21" i="426"/>
  <c r="AE20" i="426"/>
  <c r="AE19" i="426"/>
  <c r="AE18" i="426"/>
  <c r="AE17" i="426"/>
  <c r="AE16" i="426"/>
  <c r="AE15" i="426"/>
  <c r="AE14" i="426"/>
  <c r="AE13" i="426"/>
  <c r="AE12" i="426"/>
  <c r="AE11" i="426"/>
  <c r="AE10" i="426"/>
  <c r="AE11" i="497"/>
  <c r="AE12" i="497"/>
  <c r="AE13" i="497"/>
  <c r="AE14" i="497"/>
  <c r="AE15" i="497"/>
  <c r="AE16" i="497"/>
  <c r="AE17" i="497"/>
  <c r="AE18" i="497"/>
  <c r="AE19" i="497"/>
  <c r="AE20" i="497"/>
  <c r="AE21" i="497"/>
  <c r="AE22" i="497"/>
  <c r="AE23" i="497"/>
  <c r="AE24" i="497"/>
  <c r="AE25" i="497"/>
  <c r="AE26" i="497"/>
  <c r="AE27" i="497"/>
  <c r="AE28" i="497"/>
  <c r="AE29" i="497"/>
  <c r="AE30" i="497"/>
  <c r="AE31" i="497"/>
  <c r="AE32" i="497"/>
  <c r="AE33" i="497"/>
  <c r="AE34" i="497"/>
  <c r="AE35" i="497"/>
  <c r="AE36" i="497"/>
  <c r="AE37" i="497"/>
  <c r="AE38" i="497"/>
  <c r="AE39" i="497"/>
  <c r="AE40" i="497"/>
  <c r="AE41" i="497"/>
  <c r="AE42" i="497"/>
  <c r="AE43" i="497"/>
  <c r="AE44" i="497"/>
  <c r="AE45" i="497"/>
  <c r="AE46" i="497"/>
  <c r="AE47" i="497"/>
  <c r="AE48" i="497"/>
  <c r="AE49" i="497"/>
  <c r="AE50" i="497"/>
  <c r="AE51" i="497"/>
  <c r="AE52" i="497"/>
  <c r="AE53" i="497"/>
  <c r="AE54" i="497"/>
  <c r="AE55" i="497"/>
  <c r="AE56" i="497"/>
  <c r="AE57" i="497"/>
  <c r="AE58" i="497"/>
  <c r="AE59" i="497"/>
  <c r="AE60" i="497"/>
  <c r="AE61" i="497"/>
  <c r="AE62" i="497"/>
  <c r="AE63" i="497"/>
  <c r="AE64" i="497"/>
  <c r="AE65" i="497"/>
  <c r="AE66" i="497"/>
  <c r="AE67" i="497"/>
  <c r="R67" i="497" s="1"/>
  <c r="AE68" i="497"/>
  <c r="AE69" i="497"/>
  <c r="AE70" i="497"/>
  <c r="AE71" i="497"/>
  <c r="AE72" i="497"/>
  <c r="AE73" i="497"/>
  <c r="AE74" i="497"/>
  <c r="AE75" i="497"/>
  <c r="AE76" i="497"/>
  <c r="AE77" i="497"/>
  <c r="AE78" i="497"/>
  <c r="AE79" i="497"/>
  <c r="AE80" i="497"/>
  <c r="AE81" i="497"/>
  <c r="AE82" i="497"/>
  <c r="AE83" i="497"/>
  <c r="AE84" i="497"/>
  <c r="AE85" i="497"/>
  <c r="AE86" i="497"/>
  <c r="AE87" i="497"/>
  <c r="AE88" i="497"/>
  <c r="AE89" i="497"/>
  <c r="AE90" i="497"/>
  <c r="AE91" i="497"/>
  <c r="AE92" i="497"/>
  <c r="AE93" i="497"/>
  <c r="AE94" i="497"/>
  <c r="AE95" i="497"/>
  <c r="AE96" i="497"/>
  <c r="AE97" i="497"/>
  <c r="AE98" i="497"/>
  <c r="AE99" i="497"/>
  <c r="AE100" i="497"/>
  <c r="AE101" i="497"/>
  <c r="AE102" i="497"/>
  <c r="AE103" i="497"/>
  <c r="AE104" i="497"/>
  <c r="AE105" i="497"/>
  <c r="AE106" i="497"/>
  <c r="AE107" i="497"/>
  <c r="AE108" i="497"/>
  <c r="AE109" i="497"/>
  <c r="AE110" i="497"/>
  <c r="AE111" i="497"/>
  <c r="AE112" i="497"/>
  <c r="AE113" i="497"/>
  <c r="AE114" i="497"/>
  <c r="R114" i="497" s="1"/>
  <c r="AE115" i="497"/>
  <c r="R115" i="497" s="1"/>
  <c r="AE116" i="497"/>
  <c r="AE117" i="497"/>
  <c r="AE118" i="497"/>
  <c r="R118" i="497" s="1"/>
  <c r="AE119" i="497"/>
  <c r="AE120" i="497"/>
  <c r="AE121" i="497"/>
  <c r="AE122" i="497"/>
  <c r="AE123" i="497"/>
  <c r="AE124" i="497"/>
  <c r="AE125" i="497"/>
  <c r="AE126" i="497"/>
  <c r="AE127" i="497"/>
  <c r="AE128" i="497"/>
  <c r="AE129" i="497"/>
  <c r="AE130" i="497"/>
  <c r="AE131" i="497"/>
  <c r="AE132" i="497"/>
  <c r="AE133" i="497"/>
  <c r="AE134" i="497"/>
  <c r="AE135" i="497"/>
  <c r="AE136" i="497"/>
  <c r="AE137" i="497"/>
  <c r="AE138" i="497"/>
  <c r="AE139" i="497"/>
  <c r="AE140" i="497"/>
  <c r="AE141" i="497"/>
  <c r="AE142" i="497"/>
  <c r="R142" i="497" s="1"/>
  <c r="AE143" i="497"/>
  <c r="AE144" i="497"/>
  <c r="AE145" i="497"/>
  <c r="AE146" i="497"/>
  <c r="AE147" i="497"/>
  <c r="AE148" i="497"/>
  <c r="AE149" i="497"/>
  <c r="AE150" i="497"/>
  <c r="AE151" i="497"/>
  <c r="AE152" i="497"/>
  <c r="AE153" i="497"/>
  <c r="AE154" i="497"/>
  <c r="AE155" i="497"/>
  <c r="AE10" i="497"/>
  <c r="H52" i="124"/>
  <c r="T118" i="497" l="1"/>
  <c r="T142" i="497"/>
  <c r="V123" i="426"/>
  <c r="S9" i="430"/>
  <c r="G123" i="426"/>
  <c r="G124" i="426"/>
  <c r="U9" i="426"/>
  <c r="W123" i="426"/>
  <c r="AA123" i="426" s="1"/>
  <c r="V125" i="426"/>
  <c r="W124" i="426"/>
  <c r="AA124" i="426"/>
  <c r="V105" i="426"/>
  <c r="T114" i="497"/>
  <c r="T115" i="497"/>
  <c r="AN9" i="496" l="1"/>
  <c r="AL9" i="496"/>
  <c r="AP9" i="496"/>
  <c r="V124" i="426"/>
  <c r="Z45" i="496"/>
  <c r="AD45" i="496" s="1"/>
  <c r="P45" i="496"/>
  <c r="F45" i="496"/>
  <c r="U45" i="496" l="1"/>
  <c r="W45" i="496" s="1"/>
  <c r="AX45" i="496"/>
  <c r="BD45" i="496" s="1"/>
  <c r="AV45" i="496"/>
  <c r="AE45" i="496"/>
  <c r="AG45" i="496" s="1"/>
  <c r="AA45" i="496"/>
  <c r="AC45" i="496" s="1"/>
  <c r="P27" i="496" l="1"/>
  <c r="G27" i="496"/>
  <c r="G81" i="496"/>
  <c r="U27" i="496" l="1"/>
  <c r="W27" i="496" s="1"/>
  <c r="AX27" i="496"/>
  <c r="BD27" i="496" s="1"/>
  <c r="AV27" i="496"/>
  <c r="W81" i="496"/>
  <c r="G22" i="430" l="1"/>
  <c r="G15" i="430"/>
  <c r="G25" i="430"/>
  <c r="G27" i="430"/>
  <c r="G30" i="430"/>
  <c r="G18" i="430"/>
  <c r="G33" i="430"/>
  <c r="G21" i="430"/>
  <c r="G14" i="430"/>
  <c r="G23" i="430"/>
  <c r="G24" i="430"/>
  <c r="G31" i="430"/>
  <c r="G28" i="430"/>
  <c r="G29" i="430"/>
  <c r="G17" i="430"/>
  <c r="P15" i="430"/>
  <c r="R15" i="430" s="1"/>
  <c r="P25" i="430"/>
  <c r="R25" i="430" s="1"/>
  <c r="P27" i="430"/>
  <c r="P30" i="430"/>
  <c r="R30" i="430" s="1"/>
  <c r="P18" i="430"/>
  <c r="R18" i="430" s="1"/>
  <c r="P33" i="430"/>
  <c r="R33" i="430" s="1"/>
  <c r="P21" i="430"/>
  <c r="P14" i="430"/>
  <c r="R14" i="430" s="1"/>
  <c r="P23" i="430"/>
  <c r="R23" i="430" s="1"/>
  <c r="P24" i="430"/>
  <c r="R24" i="430" s="1"/>
  <c r="P31" i="430"/>
  <c r="P28" i="430"/>
  <c r="R28" i="430" s="1"/>
  <c r="P29" i="430"/>
  <c r="R29" i="430" s="1"/>
  <c r="P17" i="430"/>
  <c r="R17" i="430" s="1"/>
  <c r="P82" i="496"/>
  <c r="P85" i="496"/>
  <c r="AV26" i="496"/>
  <c r="P32" i="496"/>
  <c r="P74" i="496"/>
  <c r="P73" i="496"/>
  <c r="G82" i="496"/>
  <c r="G85" i="496"/>
  <c r="G26" i="496"/>
  <c r="G32" i="496"/>
  <c r="G17" i="496"/>
  <c r="G74" i="496"/>
  <c r="G76" i="496"/>
  <c r="G73" i="496"/>
  <c r="P140" i="497"/>
  <c r="R140" i="497" s="1"/>
  <c r="P30" i="497"/>
  <c r="R30" i="497" s="1"/>
  <c r="P155" i="497"/>
  <c r="R155" i="497" s="1"/>
  <c r="P35" i="497"/>
  <c r="R35" i="497" s="1"/>
  <c r="P101" i="497"/>
  <c r="R101" i="497" s="1"/>
  <c r="P133" i="497"/>
  <c r="R133" i="497" s="1"/>
  <c r="P134" i="497"/>
  <c r="R134" i="497" s="1"/>
  <c r="P100" i="497"/>
  <c r="R100" i="497" s="1"/>
  <c r="L141" i="497"/>
  <c r="P141" i="497" s="1"/>
  <c r="R141" i="497" s="1"/>
  <c r="L103" i="497"/>
  <c r="P103" i="497" s="1"/>
  <c r="R103" i="497" s="1"/>
  <c r="L21" i="497"/>
  <c r="L119" i="497"/>
  <c r="P119" i="497" s="1"/>
  <c r="R119" i="497" s="1"/>
  <c r="L108" i="497"/>
  <c r="P108" i="497" s="1"/>
  <c r="R108" i="497" s="1"/>
  <c r="U73" i="496" l="1"/>
  <c r="W73" i="496" s="1"/>
  <c r="AX73" i="496"/>
  <c r="BD73" i="496" s="1"/>
  <c r="U85" i="496"/>
  <c r="W85" i="496" s="1"/>
  <c r="AX85" i="496"/>
  <c r="BD85" i="496" s="1"/>
  <c r="U74" i="496"/>
  <c r="W74" i="496" s="1"/>
  <c r="AX74" i="496"/>
  <c r="BD74" i="496" s="1"/>
  <c r="U82" i="496"/>
  <c r="W82" i="496" s="1"/>
  <c r="AX82" i="496"/>
  <c r="BD82" i="496" s="1"/>
  <c r="U32" i="496"/>
  <c r="W32" i="496" s="1"/>
  <c r="AX32" i="496"/>
  <c r="BD32" i="496" s="1"/>
  <c r="AV73" i="496"/>
  <c r="AV85" i="496"/>
  <c r="AV74" i="496"/>
  <c r="AV82" i="496"/>
  <c r="R31" i="430"/>
  <c r="T31" i="430" s="1"/>
  <c r="R21" i="430"/>
  <c r="T21" i="430" s="1"/>
  <c r="R27" i="430"/>
  <c r="T27" i="430" s="1"/>
  <c r="AV32" i="496"/>
  <c r="R21" i="497"/>
  <c r="T21" i="497" s="1"/>
  <c r="AA73" i="496"/>
  <c r="AC73" i="496" s="1"/>
  <c r="AE73" i="496"/>
  <c r="AG73" i="496" s="1"/>
  <c r="AA74" i="496"/>
  <c r="AC74" i="496" s="1"/>
  <c r="AE74" i="496"/>
  <c r="AG74" i="496" s="1"/>
  <c r="T133" i="497"/>
  <c r="T29" i="430"/>
  <c r="T23" i="430"/>
  <c r="T15" i="430"/>
  <c r="T28" i="430"/>
  <c r="T14" i="430"/>
  <c r="T30" i="430"/>
  <c r="T22" i="430"/>
  <c r="T17" i="430"/>
  <c r="T24" i="430"/>
  <c r="T33" i="430"/>
  <c r="T25" i="430"/>
  <c r="T18" i="430"/>
  <c r="T108" i="497"/>
  <c r="T140" i="497"/>
  <c r="T141" i="497"/>
  <c r="T101" i="497"/>
  <c r="T134" i="497"/>
  <c r="T30" i="497"/>
  <c r="T35" i="497"/>
  <c r="T119" i="497"/>
  <c r="T100" i="497"/>
  <c r="T103" i="497"/>
  <c r="T155" i="497"/>
  <c r="W17" i="496"/>
  <c r="W26" i="496" l="1"/>
  <c r="P111" i="426" l="1"/>
  <c r="T111" i="426" l="1"/>
  <c r="V111" i="426" s="1"/>
  <c r="T13" i="430" l="1"/>
  <c r="P20" i="430"/>
  <c r="R20" i="430" s="1"/>
  <c r="P19" i="430"/>
  <c r="R19" i="430" s="1"/>
  <c r="P26" i="430"/>
  <c r="R26" i="430" s="1"/>
  <c r="P32" i="430"/>
  <c r="R32" i="430" s="1"/>
  <c r="G10" i="430"/>
  <c r="G11" i="430"/>
  <c r="G12" i="430"/>
  <c r="G16" i="430"/>
  <c r="G13" i="430"/>
  <c r="G20" i="430"/>
  <c r="G19" i="430"/>
  <c r="G26" i="430"/>
  <c r="G32" i="430"/>
  <c r="T20" i="430" l="1"/>
  <c r="T26" i="430"/>
  <c r="T32" i="430"/>
  <c r="T16" i="430"/>
  <c r="V110" i="426"/>
  <c r="P86" i="426"/>
  <c r="P43" i="426"/>
  <c r="P109" i="426"/>
  <c r="P59" i="426"/>
  <c r="P61" i="426"/>
  <c r="P60" i="426"/>
  <c r="P103" i="426"/>
  <c r="P72" i="497"/>
  <c r="R72" i="497" s="1"/>
  <c r="P132" i="497"/>
  <c r="T43" i="426" l="1"/>
  <c r="V43" i="426" s="1"/>
  <c r="T61" i="426"/>
  <c r="V61" i="426" s="1"/>
  <c r="T86" i="426"/>
  <c r="V86" i="426" s="1"/>
  <c r="T103" i="426"/>
  <c r="V103" i="426" s="1"/>
  <c r="T109" i="426"/>
  <c r="V109" i="426" s="1"/>
  <c r="T60" i="426"/>
  <c r="V60" i="426" s="1"/>
  <c r="T59" i="426"/>
  <c r="V59" i="426" s="1"/>
  <c r="R132" i="497"/>
  <c r="T132" i="497" s="1"/>
  <c r="T19" i="430"/>
  <c r="T72" i="497"/>
  <c r="P12" i="376" l="1"/>
  <c r="I110" i="380"/>
  <c r="I9" i="380" s="1"/>
  <c r="K110" i="380"/>
  <c r="O12" i="376"/>
  <c r="D13" i="376"/>
  <c r="H56" i="448" l="1"/>
  <c r="H55" i="448"/>
  <c r="H54" i="448"/>
  <c r="H52" i="448"/>
  <c r="H51" i="448"/>
  <c r="H50" i="448"/>
  <c r="H49" i="448"/>
  <c r="H48" i="448"/>
  <c r="H47" i="448"/>
  <c r="G10" i="428" l="1"/>
  <c r="G11" i="428"/>
  <c r="G12" i="428"/>
  <c r="G13" i="428"/>
  <c r="H50" i="124" l="1"/>
  <c r="H49" i="124"/>
  <c r="H48" i="124"/>
  <c r="H47" i="124"/>
  <c r="P11" i="496" l="1"/>
  <c r="AX11" i="496" s="1"/>
  <c r="P61" i="496"/>
  <c r="P62" i="496"/>
  <c r="P63" i="496"/>
  <c r="P65" i="496"/>
  <c r="P64" i="496"/>
  <c r="P66" i="496"/>
  <c r="P15" i="496"/>
  <c r="U14" i="496"/>
  <c r="P16" i="496"/>
  <c r="P18" i="496"/>
  <c r="P20" i="496"/>
  <c r="P22" i="496"/>
  <c r="P23" i="496"/>
  <c r="P25" i="496"/>
  <c r="P34" i="496"/>
  <c r="P30" i="496"/>
  <c r="P29" i="496"/>
  <c r="P31" i="496"/>
  <c r="P75" i="496"/>
  <c r="P33" i="496"/>
  <c r="P35" i="496"/>
  <c r="P36" i="496"/>
  <c r="P37" i="496"/>
  <c r="P38" i="496"/>
  <c r="P39" i="496"/>
  <c r="P41" i="496"/>
  <c r="P42" i="496"/>
  <c r="P43" i="496"/>
  <c r="P46" i="496"/>
  <c r="P47" i="496"/>
  <c r="P49" i="496"/>
  <c r="P48" i="496"/>
  <c r="P50" i="496"/>
  <c r="P51" i="496"/>
  <c r="U52" i="496"/>
  <c r="P55" i="496"/>
  <c r="P56" i="496"/>
  <c r="P57" i="496"/>
  <c r="P67" i="496"/>
  <c r="P69" i="496"/>
  <c r="P89" i="496"/>
  <c r="P79" i="496"/>
  <c r="P83" i="496"/>
  <c r="P86" i="496"/>
  <c r="P87" i="496"/>
  <c r="P88" i="496"/>
  <c r="P84" i="496"/>
  <c r="P59" i="496"/>
  <c r="P60" i="496"/>
  <c r="P58" i="496"/>
  <c r="P28" i="496"/>
  <c r="P77" i="496"/>
  <c r="P54" i="496"/>
  <c r="P68" i="496"/>
  <c r="P21" i="496"/>
  <c r="P24" i="496"/>
  <c r="P44" i="496"/>
  <c r="P53" i="496"/>
  <c r="P70" i="496"/>
  <c r="P71" i="496"/>
  <c r="P72" i="496"/>
  <c r="P40" i="496"/>
  <c r="P20" i="426"/>
  <c r="T20" i="426" s="1"/>
  <c r="P21" i="426"/>
  <c r="T21" i="426" s="1"/>
  <c r="P22" i="426"/>
  <c r="T22" i="426" s="1"/>
  <c r="P23" i="426"/>
  <c r="T23" i="426" s="1"/>
  <c r="P25" i="426"/>
  <c r="T25" i="426" s="1"/>
  <c r="P26" i="426"/>
  <c r="T26" i="426" s="1"/>
  <c r="P28" i="426"/>
  <c r="T28" i="426" s="1"/>
  <c r="P107" i="426"/>
  <c r="T107" i="426" s="1"/>
  <c r="P34" i="426"/>
  <c r="T34" i="426" s="1"/>
  <c r="P31" i="426"/>
  <c r="T31" i="426" s="1"/>
  <c r="P29" i="426"/>
  <c r="T29" i="426" s="1"/>
  <c r="P30" i="426"/>
  <c r="T30" i="426" s="1"/>
  <c r="P32" i="426"/>
  <c r="T32" i="426" s="1"/>
  <c r="P79" i="426"/>
  <c r="T79" i="426" s="1"/>
  <c r="P35" i="426"/>
  <c r="T35" i="426" s="1"/>
  <c r="P37" i="426"/>
  <c r="T37" i="426" s="1"/>
  <c r="P38" i="426"/>
  <c r="T38" i="426" s="1"/>
  <c r="P39" i="426"/>
  <c r="T39" i="426" s="1"/>
  <c r="P40" i="426"/>
  <c r="T40" i="426" s="1"/>
  <c r="P46" i="426"/>
  <c r="T46" i="426" s="1"/>
  <c r="P47" i="426"/>
  <c r="T47" i="426" s="1"/>
  <c r="P49" i="426"/>
  <c r="T49" i="426" s="1"/>
  <c r="P50" i="426"/>
  <c r="T50" i="426" s="1"/>
  <c r="P51" i="426"/>
  <c r="T51" i="426" s="1"/>
  <c r="P48" i="426"/>
  <c r="T48" i="426" s="1"/>
  <c r="P52" i="426"/>
  <c r="T52" i="426" s="1"/>
  <c r="P53" i="426"/>
  <c r="T53" i="426" s="1"/>
  <c r="P56" i="426"/>
  <c r="T56" i="426" s="1"/>
  <c r="P58" i="426"/>
  <c r="T58" i="426" s="1"/>
  <c r="P62" i="426"/>
  <c r="T62" i="426" s="1"/>
  <c r="P63" i="426"/>
  <c r="T63" i="426" s="1"/>
  <c r="P64" i="426"/>
  <c r="T64" i="426" s="1"/>
  <c r="P66" i="426"/>
  <c r="T66" i="426" s="1"/>
  <c r="P65" i="426"/>
  <c r="T65" i="426" s="1"/>
  <c r="P67" i="426"/>
  <c r="T67" i="426" s="1"/>
  <c r="P68" i="426"/>
  <c r="T68" i="426" s="1"/>
  <c r="P76" i="426"/>
  <c r="T76" i="426" s="1"/>
  <c r="P95" i="426"/>
  <c r="T95" i="426" s="1"/>
  <c r="P96" i="426"/>
  <c r="T96" i="426" s="1"/>
  <c r="P97" i="426"/>
  <c r="T97" i="426" s="1"/>
  <c r="P98" i="426"/>
  <c r="T98" i="426" s="1"/>
  <c r="P82" i="426"/>
  <c r="T82" i="426" s="1"/>
  <c r="P83" i="426"/>
  <c r="T83" i="426" s="1"/>
  <c r="P89" i="426"/>
  <c r="T89" i="426" s="1"/>
  <c r="P90" i="426"/>
  <c r="T90" i="426" s="1"/>
  <c r="P91" i="426"/>
  <c r="T91" i="426" s="1"/>
  <c r="P92" i="426"/>
  <c r="T92" i="426" s="1"/>
  <c r="P93" i="426"/>
  <c r="T93" i="426" s="1"/>
  <c r="P99" i="426"/>
  <c r="T99" i="426" s="1"/>
  <c r="P102" i="426"/>
  <c r="T102" i="426" s="1"/>
  <c r="P104" i="426"/>
  <c r="T104" i="426" s="1"/>
  <c r="P84" i="426"/>
  <c r="T84" i="426" s="1"/>
  <c r="P112" i="426"/>
  <c r="T112" i="426" s="1"/>
  <c r="P116" i="426"/>
  <c r="T116" i="426" s="1"/>
  <c r="P117" i="426"/>
  <c r="T117" i="426" s="1"/>
  <c r="P122" i="426"/>
  <c r="T122" i="426" s="1"/>
  <c r="P118" i="426"/>
  <c r="T118" i="426" s="1"/>
  <c r="P119" i="426"/>
  <c r="T119" i="426" s="1"/>
  <c r="P120" i="426"/>
  <c r="T120" i="426" s="1"/>
  <c r="P121" i="426"/>
  <c r="T121" i="426" s="1"/>
  <c r="P55" i="426"/>
  <c r="T55" i="426" s="1"/>
  <c r="P101" i="426"/>
  <c r="T101" i="426" s="1"/>
  <c r="P14" i="426"/>
  <c r="T14" i="426" s="1"/>
  <c r="P81" i="426"/>
  <c r="T81" i="426" s="1"/>
  <c r="P77" i="426"/>
  <c r="T77" i="426" s="1"/>
  <c r="P85" i="426"/>
  <c r="T85" i="426" s="1"/>
  <c r="P87" i="426"/>
  <c r="T87" i="426" s="1"/>
  <c r="P80" i="426"/>
  <c r="T80" i="426" s="1"/>
  <c r="P94" i="426"/>
  <c r="T94" i="426" s="1"/>
  <c r="P33" i="426"/>
  <c r="T33" i="426" s="1"/>
  <c r="P88" i="426"/>
  <c r="T88" i="426" s="1"/>
  <c r="P108" i="426"/>
  <c r="P54" i="426"/>
  <c r="P24" i="426"/>
  <c r="P27" i="426"/>
  <c r="P115" i="426"/>
  <c r="P44" i="426"/>
  <c r="P45" i="426"/>
  <c r="V57" i="426"/>
  <c r="P69" i="426"/>
  <c r="P78" i="426"/>
  <c r="P100" i="426"/>
  <c r="P113" i="426"/>
  <c r="P114" i="426"/>
  <c r="P41" i="426"/>
  <c r="P42" i="426"/>
  <c r="P106" i="426"/>
  <c r="P13" i="426"/>
  <c r="T13" i="426" s="1"/>
  <c r="P12" i="426"/>
  <c r="T12" i="426" s="1"/>
  <c r="P10" i="426"/>
  <c r="P70" i="426"/>
  <c r="T70" i="426" s="1"/>
  <c r="P71" i="426"/>
  <c r="T71" i="426" s="1"/>
  <c r="P72" i="426"/>
  <c r="T72" i="426" s="1"/>
  <c r="P74" i="426"/>
  <c r="T74" i="426" s="1"/>
  <c r="P73" i="426"/>
  <c r="T73" i="426" s="1"/>
  <c r="P75" i="426"/>
  <c r="T75" i="426" s="1"/>
  <c r="P15" i="426"/>
  <c r="T15" i="426" s="1"/>
  <c r="P19" i="426"/>
  <c r="T19" i="426" s="1"/>
  <c r="P16" i="426"/>
  <c r="T16" i="426" s="1"/>
  <c r="P17" i="426"/>
  <c r="T17" i="426" s="1"/>
  <c r="P18" i="426"/>
  <c r="T18" i="426" s="1"/>
  <c r="P11" i="426"/>
  <c r="T11" i="426" s="1"/>
  <c r="P13" i="497"/>
  <c r="P12" i="497"/>
  <c r="P10" i="497"/>
  <c r="P81" i="497"/>
  <c r="R81" i="497" s="1"/>
  <c r="P82" i="497"/>
  <c r="R82" i="497" s="1"/>
  <c r="P83" i="497"/>
  <c r="R83" i="497" s="1"/>
  <c r="P84" i="497"/>
  <c r="R84" i="497" s="1"/>
  <c r="P86" i="497"/>
  <c r="R86" i="497" s="1"/>
  <c r="P85" i="497"/>
  <c r="R85" i="497" s="1"/>
  <c r="P88" i="497"/>
  <c r="R88" i="497" s="1"/>
  <c r="P87" i="497"/>
  <c r="R87" i="497" s="1"/>
  <c r="P89" i="497"/>
  <c r="R89" i="497" s="1"/>
  <c r="P90" i="497"/>
  <c r="R90" i="497" s="1"/>
  <c r="P15" i="497"/>
  <c r="R15" i="497" s="1"/>
  <c r="P19" i="497"/>
  <c r="R19" i="497" s="1"/>
  <c r="P16" i="497"/>
  <c r="R16" i="497" s="1"/>
  <c r="P17" i="497"/>
  <c r="R17" i="497" s="1"/>
  <c r="P18" i="497"/>
  <c r="R18" i="497" s="1"/>
  <c r="P20" i="497"/>
  <c r="R20" i="497" s="1"/>
  <c r="P22" i="497"/>
  <c r="R22" i="497" s="1"/>
  <c r="P23" i="497"/>
  <c r="R23" i="497" s="1"/>
  <c r="P24" i="497"/>
  <c r="R24" i="497" s="1"/>
  <c r="P26" i="497"/>
  <c r="R26" i="497" s="1"/>
  <c r="P27" i="497"/>
  <c r="R27" i="497" s="1"/>
  <c r="P29" i="497"/>
  <c r="R29" i="497" s="1"/>
  <c r="P139" i="497"/>
  <c r="R139" i="497" s="1"/>
  <c r="P37" i="497"/>
  <c r="R37" i="497" s="1"/>
  <c r="P33" i="497"/>
  <c r="R33" i="497" s="1"/>
  <c r="P31" i="497"/>
  <c r="R31" i="497" s="1"/>
  <c r="P32" i="497"/>
  <c r="R32" i="497" s="1"/>
  <c r="P34" i="497"/>
  <c r="R34" i="497" s="1"/>
  <c r="P102" i="497"/>
  <c r="R102" i="497" s="1"/>
  <c r="P36" i="497"/>
  <c r="R36" i="497" s="1"/>
  <c r="P38" i="497"/>
  <c r="R38" i="497" s="1"/>
  <c r="P94" i="497"/>
  <c r="R94" i="497" s="1"/>
  <c r="P39" i="497"/>
  <c r="R39" i="497" s="1"/>
  <c r="P40" i="497"/>
  <c r="R40" i="497" s="1"/>
  <c r="P41" i="497"/>
  <c r="R41" i="497" s="1"/>
  <c r="P42" i="497"/>
  <c r="R42" i="497" s="1"/>
  <c r="P43" i="497"/>
  <c r="R43" i="497" s="1"/>
  <c r="P46" i="497"/>
  <c r="R46" i="497" s="1"/>
  <c r="P48" i="497"/>
  <c r="R48" i="497" s="1"/>
  <c r="P49" i="497"/>
  <c r="R49" i="497" s="1"/>
  <c r="P51" i="497"/>
  <c r="R51" i="497" s="1"/>
  <c r="P52" i="497"/>
  <c r="R52" i="497" s="1"/>
  <c r="P53" i="497"/>
  <c r="R53" i="497" s="1"/>
  <c r="P55" i="497"/>
  <c r="R55" i="497" s="1"/>
  <c r="P56" i="497"/>
  <c r="R56" i="497" s="1"/>
  <c r="P57" i="497"/>
  <c r="R57" i="497" s="1"/>
  <c r="P54" i="497"/>
  <c r="R54" i="497" s="1"/>
  <c r="P58" i="497"/>
  <c r="R58" i="497" s="1"/>
  <c r="P59" i="497"/>
  <c r="R59" i="497" s="1"/>
  <c r="P60" i="497"/>
  <c r="R60" i="497" s="1"/>
  <c r="P61" i="497"/>
  <c r="R61" i="497" s="1"/>
  <c r="P62" i="497"/>
  <c r="R62" i="497" s="1"/>
  <c r="P64" i="497"/>
  <c r="R64" i="497" s="1"/>
  <c r="P68" i="497"/>
  <c r="R68" i="497" s="1"/>
  <c r="P70" i="497"/>
  <c r="R70" i="497" s="1"/>
  <c r="P71" i="497"/>
  <c r="R71" i="497" s="1"/>
  <c r="P73" i="497"/>
  <c r="R73" i="497" s="1"/>
  <c r="P74" i="497"/>
  <c r="R74" i="497" s="1"/>
  <c r="P75" i="497"/>
  <c r="R75" i="497" s="1"/>
  <c r="P77" i="497"/>
  <c r="R77" i="497" s="1"/>
  <c r="P76" i="497"/>
  <c r="R76" i="497" s="1"/>
  <c r="P78" i="497"/>
  <c r="R78" i="497" s="1"/>
  <c r="P79" i="497"/>
  <c r="R79" i="497" s="1"/>
  <c r="P91" i="497"/>
  <c r="R91" i="497" s="1"/>
  <c r="P95" i="497"/>
  <c r="R95" i="497" s="1"/>
  <c r="P96" i="497"/>
  <c r="R96" i="497" s="1"/>
  <c r="P123" i="497"/>
  <c r="R123" i="497" s="1"/>
  <c r="P124" i="497"/>
  <c r="R124" i="497" s="1"/>
  <c r="P125" i="497"/>
  <c r="R125" i="497" s="1"/>
  <c r="P105" i="497"/>
  <c r="R105" i="497" s="1"/>
  <c r="P106" i="497"/>
  <c r="R106" i="497" s="1"/>
  <c r="P107" i="497"/>
  <c r="R107" i="497" s="1"/>
  <c r="P109" i="497"/>
  <c r="R109" i="497" s="1"/>
  <c r="P110" i="497"/>
  <c r="R110" i="497" s="1"/>
  <c r="P111" i="497"/>
  <c r="R111" i="497" s="1"/>
  <c r="P116" i="497"/>
  <c r="R116" i="497" s="1"/>
  <c r="P117" i="497"/>
  <c r="R117" i="497" s="1"/>
  <c r="P120" i="497"/>
  <c r="R120" i="497" s="1"/>
  <c r="P121" i="497"/>
  <c r="R121" i="497" s="1"/>
  <c r="P122" i="497"/>
  <c r="R122" i="497" s="1"/>
  <c r="P126" i="497"/>
  <c r="R126" i="497" s="1"/>
  <c r="P128" i="497"/>
  <c r="R128" i="497" s="1"/>
  <c r="P131" i="497"/>
  <c r="R131" i="497" s="1"/>
  <c r="P135" i="497"/>
  <c r="R135" i="497" s="1"/>
  <c r="P138" i="497"/>
  <c r="R138" i="497" s="1"/>
  <c r="P112" i="497"/>
  <c r="R112" i="497" s="1"/>
  <c r="P143" i="497"/>
  <c r="R143" i="497" s="1"/>
  <c r="P147" i="497"/>
  <c r="R147" i="497" s="1"/>
  <c r="P148" i="497"/>
  <c r="R148" i="497" s="1"/>
  <c r="P154" i="497"/>
  <c r="R154" i="497" s="1"/>
  <c r="P149" i="497"/>
  <c r="R149" i="497" s="1"/>
  <c r="P150" i="497"/>
  <c r="R150" i="497" s="1"/>
  <c r="P151" i="497"/>
  <c r="R151" i="497" s="1"/>
  <c r="P152" i="497"/>
  <c r="R152" i="497" s="1"/>
  <c r="P153" i="497"/>
  <c r="R153" i="497" s="1"/>
  <c r="P63" i="497"/>
  <c r="R63" i="497" s="1"/>
  <c r="P130" i="497"/>
  <c r="R130" i="497" s="1"/>
  <c r="P127" i="497"/>
  <c r="R127" i="497" s="1"/>
  <c r="P14" i="497"/>
  <c r="R14" i="497" s="1"/>
  <c r="P104" i="497"/>
  <c r="R104" i="497" s="1"/>
  <c r="P69" i="497"/>
  <c r="R69" i="497" s="1"/>
  <c r="P92" i="497"/>
  <c r="R92" i="497" s="1"/>
  <c r="P93" i="497"/>
  <c r="R93" i="497" s="1"/>
  <c r="P113" i="497"/>
  <c r="R113" i="497" s="1"/>
  <c r="P25" i="497"/>
  <c r="R25" i="497" s="1"/>
  <c r="P28" i="497"/>
  <c r="R28" i="497" s="1"/>
  <c r="P146" i="497"/>
  <c r="R146" i="497" s="1"/>
  <c r="P47" i="497"/>
  <c r="R47" i="497" s="1"/>
  <c r="P50" i="497"/>
  <c r="R50" i="497" s="1"/>
  <c r="P65" i="497"/>
  <c r="R65" i="497" s="1"/>
  <c r="P66" i="497"/>
  <c r="R66" i="497" s="1"/>
  <c r="P80" i="497"/>
  <c r="R80" i="497" s="1"/>
  <c r="P97" i="497"/>
  <c r="R97" i="497" s="1"/>
  <c r="P98" i="497"/>
  <c r="R98" i="497" s="1"/>
  <c r="P99" i="497"/>
  <c r="R99" i="497" s="1"/>
  <c r="P129" i="497"/>
  <c r="R129" i="497" s="1"/>
  <c r="P144" i="497"/>
  <c r="R144" i="497" s="1"/>
  <c r="P145" i="497"/>
  <c r="R145" i="497" s="1"/>
  <c r="P44" i="497"/>
  <c r="R44" i="497" s="1"/>
  <c r="P45" i="497"/>
  <c r="R45" i="497" s="1"/>
  <c r="P137" i="497"/>
  <c r="R137" i="497" s="1"/>
  <c r="P136" i="497"/>
  <c r="R136" i="497" s="1"/>
  <c r="P11" i="497"/>
  <c r="G160" i="502"/>
  <c r="G159" i="502"/>
  <c r="G158" i="502"/>
  <c r="G157" i="502"/>
  <c r="G156" i="502"/>
  <c r="G155" i="502"/>
  <c r="G154" i="502"/>
  <c r="G153" i="502"/>
  <c r="G152" i="502"/>
  <c r="G151" i="502"/>
  <c r="G150" i="502"/>
  <c r="G149" i="502"/>
  <c r="G148" i="502"/>
  <c r="G147" i="502"/>
  <c r="G146" i="502"/>
  <c r="G145" i="502"/>
  <c r="G144" i="502"/>
  <c r="G143" i="502"/>
  <c r="G142" i="502"/>
  <c r="U44" i="496" l="1"/>
  <c r="AX44" i="496"/>
  <c r="BD44" i="496" s="1"/>
  <c r="U83" i="496"/>
  <c r="AX83" i="496"/>
  <c r="BD83" i="496" s="1"/>
  <c r="U71" i="496"/>
  <c r="AX71" i="496"/>
  <c r="BD71" i="496" s="1"/>
  <c r="U77" i="496"/>
  <c r="AX77" i="496"/>
  <c r="BD77" i="496" s="1"/>
  <c r="U60" i="496"/>
  <c r="AX60" i="496"/>
  <c r="BD60" i="496" s="1"/>
  <c r="U88" i="496"/>
  <c r="AX88" i="496"/>
  <c r="BD88" i="496" s="1"/>
  <c r="U79" i="496"/>
  <c r="AX79" i="496"/>
  <c r="BD79" i="496" s="1"/>
  <c r="U69" i="496"/>
  <c r="AX69" i="496"/>
  <c r="BD69" i="496" s="1"/>
  <c r="U55" i="496"/>
  <c r="AX55" i="496"/>
  <c r="BD55" i="496" s="1"/>
  <c r="U48" i="496"/>
  <c r="AX48" i="496"/>
  <c r="BD48" i="496" s="1"/>
  <c r="U43" i="496"/>
  <c r="AX43" i="496"/>
  <c r="BD43" i="496" s="1"/>
  <c r="U63" i="496"/>
  <c r="AX63" i="496"/>
  <c r="BD63" i="496" s="1"/>
  <c r="U72" i="496"/>
  <c r="AX72" i="496"/>
  <c r="BD72" i="496" s="1"/>
  <c r="U58" i="496"/>
  <c r="AX58" i="496"/>
  <c r="BD58" i="496" s="1"/>
  <c r="U89" i="496"/>
  <c r="AX89" i="496"/>
  <c r="BD89" i="496" s="1"/>
  <c r="U50" i="496"/>
  <c r="AX50" i="496"/>
  <c r="BD50" i="496" s="1"/>
  <c r="U70" i="496"/>
  <c r="AX70" i="496"/>
  <c r="BD70" i="496" s="1"/>
  <c r="U59" i="496"/>
  <c r="AX59" i="496"/>
  <c r="BD59" i="496" s="1"/>
  <c r="U87" i="496"/>
  <c r="AX87" i="496"/>
  <c r="BD87" i="496" s="1"/>
  <c r="U91" i="496"/>
  <c r="AX91" i="496"/>
  <c r="BD91" i="496" s="1"/>
  <c r="U67" i="496"/>
  <c r="AX67" i="496"/>
  <c r="BD67" i="496" s="1"/>
  <c r="U49" i="496"/>
  <c r="AX49" i="496"/>
  <c r="BD49" i="496" s="1"/>
  <c r="U42" i="496"/>
  <c r="AX42" i="496"/>
  <c r="BD42" i="496" s="1"/>
  <c r="U75" i="496"/>
  <c r="AX75" i="496"/>
  <c r="BD75" i="496" s="1"/>
  <c r="U66" i="496"/>
  <c r="AX66" i="496"/>
  <c r="BD66" i="496" s="1"/>
  <c r="U62" i="496"/>
  <c r="AX62" i="496"/>
  <c r="BD62" i="496" s="1"/>
  <c r="U54" i="496"/>
  <c r="AX54" i="496"/>
  <c r="BD54" i="496" s="1"/>
  <c r="U56" i="496"/>
  <c r="AX56" i="496"/>
  <c r="BD56" i="496" s="1"/>
  <c r="U53" i="496"/>
  <c r="AX53" i="496"/>
  <c r="U68" i="496"/>
  <c r="AX68" i="496"/>
  <c r="BD68" i="496" s="1"/>
  <c r="U84" i="496"/>
  <c r="AX84" i="496"/>
  <c r="BD84" i="496" s="1"/>
  <c r="U86" i="496"/>
  <c r="AX86" i="496"/>
  <c r="BD86" i="496" s="1"/>
  <c r="U90" i="496"/>
  <c r="AX90" i="496"/>
  <c r="BD90" i="496" s="1"/>
  <c r="U57" i="496"/>
  <c r="AX57" i="496"/>
  <c r="BD57" i="496" s="1"/>
  <c r="U51" i="496"/>
  <c r="AX51" i="496"/>
  <c r="BD51" i="496" s="1"/>
  <c r="U47" i="496"/>
  <c r="AX47" i="496"/>
  <c r="BD47" i="496" s="1"/>
  <c r="U41" i="496"/>
  <c r="AX41" i="496"/>
  <c r="BD41" i="496" s="1"/>
  <c r="U64" i="496"/>
  <c r="AX64" i="496"/>
  <c r="BD64" i="496" s="1"/>
  <c r="U61" i="496"/>
  <c r="AX61" i="496"/>
  <c r="BD61" i="496" s="1"/>
  <c r="U46" i="496"/>
  <c r="AX46" i="496"/>
  <c r="BD46" i="496" s="1"/>
  <c r="U65" i="496"/>
  <c r="AX65" i="496"/>
  <c r="BD65" i="496" s="1"/>
  <c r="U21" i="496"/>
  <c r="AX21" i="496"/>
  <c r="BD21" i="496" s="1"/>
  <c r="U24" i="496"/>
  <c r="AX24" i="496"/>
  <c r="BD24" i="496" s="1"/>
  <c r="U38" i="496"/>
  <c r="AX38" i="496"/>
  <c r="BD38" i="496" s="1"/>
  <c r="U33" i="496"/>
  <c r="AX33" i="496"/>
  <c r="BD33" i="496" s="1"/>
  <c r="U30" i="496"/>
  <c r="AX30" i="496"/>
  <c r="BD30" i="496" s="1"/>
  <c r="U22" i="496"/>
  <c r="AX22" i="496"/>
  <c r="BD22" i="496" s="1"/>
  <c r="U16" i="496"/>
  <c r="AX16" i="496"/>
  <c r="BD16" i="496" s="1"/>
  <c r="U37" i="496"/>
  <c r="AX37" i="496"/>
  <c r="BD37" i="496" s="1"/>
  <c r="U20" i="496"/>
  <c r="AX20" i="496"/>
  <c r="BD20" i="496" s="1"/>
  <c r="U40" i="496"/>
  <c r="AX40" i="496"/>
  <c r="BD40" i="496" s="1"/>
  <c r="U12" i="496"/>
  <c r="AX12" i="496"/>
  <c r="BD12" i="496" s="1"/>
  <c r="U36" i="496"/>
  <c r="AX36" i="496"/>
  <c r="BD36" i="496" s="1"/>
  <c r="U31" i="496"/>
  <c r="AX31" i="496"/>
  <c r="BD31" i="496" s="1"/>
  <c r="U25" i="496"/>
  <c r="AX25" i="496"/>
  <c r="BD25" i="496" s="1"/>
  <c r="U19" i="496"/>
  <c r="AX19" i="496"/>
  <c r="BD19" i="496" s="1"/>
  <c r="AX13" i="496"/>
  <c r="BD13" i="496" s="1"/>
  <c r="U28" i="496"/>
  <c r="AX28" i="496"/>
  <c r="BD28" i="496" s="1"/>
  <c r="U34" i="496"/>
  <c r="AX34" i="496"/>
  <c r="BD34" i="496" s="1"/>
  <c r="U39" i="496"/>
  <c r="AX39" i="496"/>
  <c r="BD39" i="496" s="1"/>
  <c r="U35" i="496"/>
  <c r="AX35" i="496"/>
  <c r="BD35" i="496" s="1"/>
  <c r="U29" i="496"/>
  <c r="AX29" i="496"/>
  <c r="BD29" i="496" s="1"/>
  <c r="U23" i="496"/>
  <c r="AX23" i="496"/>
  <c r="BD23" i="496" s="1"/>
  <c r="U18" i="496"/>
  <c r="AX18" i="496"/>
  <c r="BD18" i="496" s="1"/>
  <c r="U15" i="496"/>
  <c r="AX15" i="496"/>
  <c r="BD15" i="496" s="1"/>
  <c r="BD11" i="496"/>
  <c r="U11" i="496"/>
  <c r="T41" i="426"/>
  <c r="V41" i="426" s="1"/>
  <c r="T54" i="426"/>
  <c r="V54" i="426" s="1"/>
  <c r="AV28" i="496"/>
  <c r="AV91" i="496"/>
  <c r="AV64" i="496"/>
  <c r="P125" i="426"/>
  <c r="T10" i="426"/>
  <c r="T42" i="426"/>
  <c r="V42" i="426" s="1"/>
  <c r="T100" i="426"/>
  <c r="V100" i="426" s="1"/>
  <c r="T45" i="426"/>
  <c r="V45" i="426" s="1"/>
  <c r="T24" i="426"/>
  <c r="V24" i="426" s="1"/>
  <c r="AV71" i="496"/>
  <c r="AV24" i="496"/>
  <c r="AV77" i="496"/>
  <c r="AV60" i="496"/>
  <c r="AV88" i="496"/>
  <c r="AV79" i="496"/>
  <c r="AV69" i="496"/>
  <c r="AV55" i="496"/>
  <c r="AV49" i="496"/>
  <c r="AV42" i="496"/>
  <c r="AV37" i="496"/>
  <c r="AV75" i="496"/>
  <c r="AV34" i="496"/>
  <c r="AV20" i="496"/>
  <c r="AV14" i="496"/>
  <c r="AV66" i="496"/>
  <c r="AV62" i="496"/>
  <c r="T44" i="426"/>
  <c r="V44" i="426" s="1"/>
  <c r="AV21" i="496"/>
  <c r="AV59" i="496"/>
  <c r="AV67" i="496"/>
  <c r="AV52" i="496"/>
  <c r="AV51" i="496"/>
  <c r="AV47" i="496"/>
  <c r="AV41" i="496"/>
  <c r="AV36" i="496"/>
  <c r="AV31" i="496"/>
  <c r="AV25" i="496"/>
  <c r="AV19" i="496"/>
  <c r="AV61" i="496"/>
  <c r="T114" i="426"/>
  <c r="V114" i="426" s="1"/>
  <c r="T69" i="426"/>
  <c r="V69" i="426" s="1"/>
  <c r="T115" i="426"/>
  <c r="V115" i="426" s="1"/>
  <c r="T108" i="426"/>
  <c r="V108" i="426" s="1"/>
  <c r="AV40" i="496"/>
  <c r="AV53" i="496"/>
  <c r="AV68" i="496"/>
  <c r="AV12" i="496"/>
  <c r="AV84" i="496"/>
  <c r="AV86" i="496"/>
  <c r="AV90" i="496"/>
  <c r="AV57" i="496"/>
  <c r="AV50" i="496"/>
  <c r="AV46" i="496"/>
  <c r="AV39" i="496"/>
  <c r="AV35" i="496"/>
  <c r="AV29" i="496"/>
  <c r="AV23" i="496"/>
  <c r="AV18" i="496"/>
  <c r="AV15" i="496"/>
  <c r="AV65" i="496"/>
  <c r="AV10" i="496"/>
  <c r="T78" i="426"/>
  <c r="V78" i="426" s="1"/>
  <c r="AV70" i="496"/>
  <c r="AV87" i="496"/>
  <c r="AV13" i="496"/>
  <c r="T106" i="426"/>
  <c r="V106" i="426" s="1"/>
  <c r="V113" i="426"/>
  <c r="T113" i="426"/>
  <c r="T27" i="426"/>
  <c r="V27" i="426" s="1"/>
  <c r="AV72" i="496"/>
  <c r="AV44" i="496"/>
  <c r="AV54" i="496"/>
  <c r="AV58" i="496"/>
  <c r="AV83" i="496"/>
  <c r="AV89" i="496"/>
  <c r="AV56" i="496"/>
  <c r="AV48" i="496"/>
  <c r="AV43" i="496"/>
  <c r="AV38" i="496"/>
  <c r="AV33" i="496"/>
  <c r="AV30" i="496"/>
  <c r="AV22" i="496"/>
  <c r="AV16" i="496"/>
  <c r="AV63" i="496"/>
  <c r="AV11" i="496"/>
  <c r="AK10" i="497"/>
  <c r="R11" i="497"/>
  <c r="AK11" i="497"/>
  <c r="R12" i="497"/>
  <c r="AK12" i="497"/>
  <c r="R13" i="497"/>
  <c r="AK13" i="497"/>
  <c r="R10" i="497"/>
  <c r="V36" i="426"/>
  <c r="T11" i="441"/>
  <c r="V15" i="418"/>
  <c r="BD53" i="496" l="1"/>
  <c r="AH4" i="441"/>
  <c r="AH2" i="441" s="1"/>
  <c r="T11" i="497"/>
  <c r="V14" i="418"/>
  <c r="V12" i="418"/>
  <c r="V11" i="418"/>
  <c r="E14" i="503" l="1"/>
  <c r="G14" i="503" s="1"/>
  <c r="G13" i="503"/>
  <c r="E12" i="503"/>
  <c r="G12" i="503" s="1"/>
  <c r="E11" i="503"/>
  <c r="G11" i="503" s="1"/>
  <c r="E10" i="503"/>
  <c r="G10" i="503" s="1"/>
  <c r="E9" i="503"/>
  <c r="G9" i="503" s="1"/>
  <c r="E8" i="503"/>
  <c r="G8" i="503" s="1"/>
  <c r="E141" i="502"/>
  <c r="G141" i="502" s="1"/>
  <c r="E140" i="502"/>
  <c r="G140" i="502" s="1"/>
  <c r="E139" i="502"/>
  <c r="G139" i="502" s="1"/>
  <c r="E138" i="502"/>
  <c r="G138" i="502" s="1"/>
  <c r="E137" i="502"/>
  <c r="G137" i="502" s="1"/>
  <c r="E136" i="502"/>
  <c r="G136" i="502" s="1"/>
  <c r="E135" i="502"/>
  <c r="G135" i="502" s="1"/>
  <c r="E134" i="502"/>
  <c r="G134" i="502" s="1"/>
  <c r="E133" i="502"/>
  <c r="G133" i="502" s="1"/>
  <c r="E132" i="502"/>
  <c r="G132" i="502" s="1"/>
  <c r="E131" i="502"/>
  <c r="G131" i="502" s="1"/>
  <c r="E130" i="502"/>
  <c r="G130" i="502" s="1"/>
  <c r="E129" i="502"/>
  <c r="G129" i="502" s="1"/>
  <c r="E128" i="502"/>
  <c r="G128" i="502" s="1"/>
  <c r="E127" i="502"/>
  <c r="G127" i="502" s="1"/>
  <c r="E126" i="502"/>
  <c r="G126" i="502" s="1"/>
  <c r="E125" i="502"/>
  <c r="G125" i="502" s="1"/>
  <c r="E124" i="502"/>
  <c r="G124" i="502" s="1"/>
  <c r="E123" i="502"/>
  <c r="G123" i="502" s="1"/>
  <c r="E122" i="502"/>
  <c r="G122" i="502" s="1"/>
  <c r="E121" i="502"/>
  <c r="G121" i="502" s="1"/>
  <c r="E120" i="502"/>
  <c r="G120" i="502" s="1"/>
  <c r="E119" i="502"/>
  <c r="G119" i="502" s="1"/>
  <c r="E118" i="502"/>
  <c r="G118" i="502" s="1"/>
  <c r="E117" i="502"/>
  <c r="G117" i="502" s="1"/>
  <c r="E116" i="502"/>
  <c r="G116" i="502" s="1"/>
  <c r="E115" i="502"/>
  <c r="G115" i="502" s="1"/>
  <c r="E114" i="502"/>
  <c r="G114" i="502" s="1"/>
  <c r="E113" i="502"/>
  <c r="G113" i="502" s="1"/>
  <c r="E112" i="502"/>
  <c r="G112" i="502" s="1"/>
  <c r="E111" i="502"/>
  <c r="G111" i="502" s="1"/>
  <c r="E110" i="502"/>
  <c r="G110" i="502" s="1"/>
  <c r="E109" i="502"/>
  <c r="G109" i="502" s="1"/>
  <c r="E108" i="502"/>
  <c r="G108" i="502" s="1"/>
  <c r="E107" i="502"/>
  <c r="G107" i="502" s="1"/>
  <c r="E106" i="502"/>
  <c r="G106" i="502" s="1"/>
  <c r="E105" i="502"/>
  <c r="G105" i="502" s="1"/>
  <c r="E104" i="502"/>
  <c r="G104" i="502" s="1"/>
  <c r="E103" i="502"/>
  <c r="G103" i="502" s="1"/>
  <c r="E102" i="502"/>
  <c r="G102" i="502" s="1"/>
  <c r="E101" i="502"/>
  <c r="G101" i="502" s="1"/>
  <c r="E100" i="502"/>
  <c r="G100" i="502" s="1"/>
  <c r="E99" i="502"/>
  <c r="G99" i="502" s="1"/>
  <c r="E98" i="502"/>
  <c r="G98" i="502" s="1"/>
  <c r="E97" i="502"/>
  <c r="G97" i="502" s="1"/>
  <c r="E96" i="502"/>
  <c r="G96" i="502" s="1"/>
  <c r="E95" i="502"/>
  <c r="G95" i="502" s="1"/>
  <c r="E94" i="502"/>
  <c r="G94" i="502" s="1"/>
  <c r="E93" i="502"/>
  <c r="G93" i="502" s="1"/>
  <c r="E92" i="502"/>
  <c r="G92" i="502" s="1"/>
  <c r="E91" i="502"/>
  <c r="G91" i="502" s="1"/>
  <c r="E90" i="502"/>
  <c r="G90" i="502" s="1"/>
  <c r="E89" i="502"/>
  <c r="G89" i="502" s="1"/>
  <c r="E88" i="502"/>
  <c r="G88" i="502" s="1"/>
  <c r="E87" i="502"/>
  <c r="G87" i="502" s="1"/>
  <c r="E86" i="502"/>
  <c r="G86" i="502" s="1"/>
  <c r="E85" i="502"/>
  <c r="G85" i="502" s="1"/>
  <c r="E84" i="502"/>
  <c r="G84" i="502" s="1"/>
  <c r="E83" i="502"/>
  <c r="G83" i="502" s="1"/>
  <c r="E82" i="502"/>
  <c r="G82" i="502" s="1"/>
  <c r="E81" i="502"/>
  <c r="G81" i="502" s="1"/>
  <c r="E80" i="502"/>
  <c r="G80" i="502" s="1"/>
  <c r="E79" i="502"/>
  <c r="G79" i="502" s="1"/>
  <c r="E78" i="502"/>
  <c r="G78" i="502" s="1"/>
  <c r="E77" i="502"/>
  <c r="G77" i="502" s="1"/>
  <c r="E76" i="502"/>
  <c r="G76" i="502" s="1"/>
  <c r="E75" i="502"/>
  <c r="G75" i="502" s="1"/>
  <c r="E74" i="502"/>
  <c r="G74" i="502" s="1"/>
  <c r="E73" i="502"/>
  <c r="G73" i="502" s="1"/>
  <c r="E72" i="502"/>
  <c r="G72" i="502" s="1"/>
  <c r="E71" i="502"/>
  <c r="G71" i="502" s="1"/>
  <c r="E70" i="502"/>
  <c r="G70" i="502" s="1"/>
  <c r="E69" i="502"/>
  <c r="G69" i="502" s="1"/>
  <c r="E68" i="502"/>
  <c r="G68" i="502" s="1"/>
  <c r="E67" i="502"/>
  <c r="G67" i="502" s="1"/>
  <c r="E66" i="502"/>
  <c r="G66" i="502" s="1"/>
  <c r="E65" i="502"/>
  <c r="G65" i="502" s="1"/>
  <c r="E64" i="502"/>
  <c r="G64" i="502" s="1"/>
  <c r="E63" i="502"/>
  <c r="G63" i="502" s="1"/>
  <c r="E62" i="502"/>
  <c r="G62" i="502" s="1"/>
  <c r="E61" i="502"/>
  <c r="G61" i="502" s="1"/>
  <c r="E60" i="502"/>
  <c r="G60" i="502" s="1"/>
  <c r="E59" i="502"/>
  <c r="G59" i="502" s="1"/>
  <c r="E58" i="502"/>
  <c r="G58" i="502" s="1"/>
  <c r="E57" i="502"/>
  <c r="G57" i="502" s="1"/>
  <c r="E56" i="502"/>
  <c r="G56" i="502" s="1"/>
  <c r="E55" i="502"/>
  <c r="G55" i="502" s="1"/>
  <c r="E54" i="502"/>
  <c r="G54" i="502" s="1"/>
  <c r="E53" i="502"/>
  <c r="G53" i="502" s="1"/>
  <c r="E52" i="502"/>
  <c r="G52" i="502" s="1"/>
  <c r="E51" i="502"/>
  <c r="G51" i="502" s="1"/>
  <c r="E50" i="502"/>
  <c r="G50" i="502" s="1"/>
  <c r="E49" i="502"/>
  <c r="G49" i="502" s="1"/>
  <c r="E48" i="502"/>
  <c r="G48" i="502" s="1"/>
  <c r="E47" i="502"/>
  <c r="G47" i="502" s="1"/>
  <c r="E46" i="502"/>
  <c r="G46" i="502" s="1"/>
  <c r="E45" i="502"/>
  <c r="G45" i="502" s="1"/>
  <c r="E44" i="502"/>
  <c r="G44" i="502" s="1"/>
  <c r="E43" i="502"/>
  <c r="G43" i="502" s="1"/>
  <c r="E42" i="502"/>
  <c r="G42" i="502" s="1"/>
  <c r="E41" i="502"/>
  <c r="G41" i="502" s="1"/>
  <c r="E40" i="502"/>
  <c r="G40" i="502" s="1"/>
  <c r="E39" i="502"/>
  <c r="G39" i="502" s="1"/>
  <c r="E38" i="502"/>
  <c r="G38" i="502" s="1"/>
  <c r="E37" i="502"/>
  <c r="G37" i="502" s="1"/>
  <c r="E36" i="502"/>
  <c r="G36" i="502" s="1"/>
  <c r="E35" i="502"/>
  <c r="G35" i="502" s="1"/>
  <c r="E34" i="502"/>
  <c r="G34" i="502" s="1"/>
  <c r="E33" i="502"/>
  <c r="G33" i="502" s="1"/>
  <c r="E32" i="502"/>
  <c r="G32" i="502" s="1"/>
  <c r="E31" i="502"/>
  <c r="G31" i="502" s="1"/>
  <c r="E30" i="502"/>
  <c r="G30" i="502" s="1"/>
  <c r="E29" i="502"/>
  <c r="G29" i="502" s="1"/>
  <c r="E28" i="502"/>
  <c r="G28" i="502" s="1"/>
  <c r="E27" i="502"/>
  <c r="G27" i="502" s="1"/>
  <c r="E26" i="502"/>
  <c r="G26" i="502" s="1"/>
  <c r="E25" i="502"/>
  <c r="G25" i="502" s="1"/>
  <c r="E24" i="502"/>
  <c r="G24" i="502" s="1"/>
  <c r="E23" i="502"/>
  <c r="G23" i="502" s="1"/>
  <c r="E22" i="502"/>
  <c r="G22" i="502" s="1"/>
  <c r="E21" i="502"/>
  <c r="G21" i="502" s="1"/>
  <c r="E20" i="502"/>
  <c r="G20" i="502" s="1"/>
  <c r="E19" i="502"/>
  <c r="G19" i="502" s="1"/>
  <c r="E18" i="502"/>
  <c r="G18" i="502" s="1"/>
  <c r="E17" i="502"/>
  <c r="G17" i="502" s="1"/>
  <c r="E16" i="502"/>
  <c r="G16" i="502" s="1"/>
  <c r="E15" i="502"/>
  <c r="G15" i="502" s="1"/>
  <c r="E14" i="502"/>
  <c r="G14" i="502" s="1"/>
  <c r="E13" i="502"/>
  <c r="G13" i="502" s="1"/>
  <c r="E12" i="502"/>
  <c r="G12" i="502" s="1"/>
  <c r="E11" i="502"/>
  <c r="G11" i="502" s="1"/>
  <c r="E10" i="502"/>
  <c r="G10" i="502" s="1"/>
  <c r="E9" i="502"/>
  <c r="G9" i="502" s="1"/>
  <c r="E8" i="502"/>
  <c r="G8" i="502" s="1"/>
  <c r="G15" i="503" l="1"/>
  <c r="C64" i="509" l="1"/>
  <c r="C56" i="509" s="1"/>
  <c r="E64" i="509" l="1"/>
  <c r="E56" i="509" s="1"/>
  <c r="Z64" i="509"/>
  <c r="D92" i="509"/>
  <c r="Z56" i="509"/>
  <c r="E92" i="509"/>
  <c r="C92" i="509" l="1"/>
  <c r="Z92" i="509" s="1"/>
  <c r="V111" i="380"/>
  <c r="CR27" i="456" l="1"/>
  <c r="CR28" i="456" s="1"/>
  <c r="CR15" i="456"/>
  <c r="CQ27" i="456"/>
  <c r="CQ28" i="456" s="1"/>
  <c r="CQ15" i="456"/>
  <c r="Q8" i="447"/>
  <c r="N8" i="447"/>
  <c r="S18" i="447"/>
  <c r="P18" i="447"/>
  <c r="O16" i="447"/>
  <c r="R16" i="447" s="1"/>
  <c r="O15" i="447"/>
  <c r="O13" i="447"/>
  <c r="R13" i="447" s="1"/>
  <c r="R14" i="447" s="1"/>
  <c r="N9" i="447" l="1"/>
  <c r="T75" i="509" s="1"/>
  <c r="S75" i="509" s="1"/>
  <c r="J9" i="447"/>
  <c r="O14" i="447"/>
  <c r="O17" i="447"/>
  <c r="R15" i="447"/>
  <c r="R17" i="447" s="1"/>
  <c r="O8" i="447"/>
  <c r="D10" i="376"/>
  <c r="D110" i="379"/>
  <c r="D9" i="379" s="1"/>
  <c r="R88" i="426"/>
  <c r="R228" i="429"/>
  <c r="R227" i="429"/>
  <c r="R226" i="429"/>
  <c r="R225" i="429"/>
  <c r="R224" i="429"/>
  <c r="R223" i="429"/>
  <c r="R222" i="429"/>
  <c r="R221" i="429"/>
  <c r="O9" i="447" l="1"/>
  <c r="W11" i="426"/>
  <c r="AA11" i="426" s="1"/>
  <c r="W16" i="426"/>
  <c r="AA16" i="426" s="1"/>
  <c r="W17" i="426"/>
  <c r="AA17" i="426" s="1"/>
  <c r="W18" i="426"/>
  <c r="AA18" i="426" s="1"/>
  <c r="W20" i="426"/>
  <c r="AA20" i="426" s="1"/>
  <c r="W136" i="497"/>
  <c r="AA136" i="497" s="1"/>
  <c r="W137" i="497"/>
  <c r="AA137" i="497" s="1"/>
  <c r="W45" i="497"/>
  <c r="AA45" i="497" s="1"/>
  <c r="W44" i="497"/>
  <c r="AA44" i="497" s="1"/>
  <c r="W145" i="497"/>
  <c r="AA145" i="497" s="1"/>
  <c r="W144" i="497"/>
  <c r="AA144" i="497" s="1"/>
  <c r="W129" i="497"/>
  <c r="AA129" i="497" s="1"/>
  <c r="T129" i="497"/>
  <c r="W99" i="497"/>
  <c r="AA99" i="497" s="1"/>
  <c r="W98" i="497"/>
  <c r="AA98" i="497" s="1"/>
  <c r="AB98" i="497" s="1"/>
  <c r="AD98" i="497" s="1"/>
  <c r="W97" i="497"/>
  <c r="AA97" i="497" s="1"/>
  <c r="W80" i="497"/>
  <c r="AA80" i="497" s="1"/>
  <c r="W66" i="497"/>
  <c r="W65" i="497"/>
  <c r="T65" i="497"/>
  <c r="W50" i="497"/>
  <c r="AA50" i="497" s="1"/>
  <c r="W47" i="497"/>
  <c r="AA47" i="497" s="1"/>
  <c r="W146" i="497"/>
  <c r="W28" i="497"/>
  <c r="W25" i="497"/>
  <c r="AA25" i="497" s="1"/>
  <c r="W113" i="497"/>
  <c r="T113" i="497"/>
  <c r="W93" i="497"/>
  <c r="AA93" i="497" s="1"/>
  <c r="W92" i="497"/>
  <c r="AA92" i="497" s="1"/>
  <c r="W69" i="497"/>
  <c r="W104" i="497"/>
  <c r="T104" i="497"/>
  <c r="W14" i="497"/>
  <c r="AA14" i="497" s="1"/>
  <c r="W127" i="497"/>
  <c r="AA127" i="497" s="1"/>
  <c r="W130" i="497"/>
  <c r="W63" i="497"/>
  <c r="AA63" i="497" s="1"/>
  <c r="W153" i="497"/>
  <c r="W152" i="497"/>
  <c r="AA152" i="497" s="1"/>
  <c r="W151" i="497"/>
  <c r="AA151" i="497" s="1"/>
  <c r="W150" i="497"/>
  <c r="AA150" i="497" s="1"/>
  <c r="W149" i="497"/>
  <c r="AA149" i="497" s="1"/>
  <c r="AB149" i="497" s="1"/>
  <c r="AD149" i="497" s="1"/>
  <c r="W154" i="497"/>
  <c r="W148" i="497"/>
  <c r="AA148" i="497" s="1"/>
  <c r="T147" i="497"/>
  <c r="W147" i="497"/>
  <c r="AA147" i="497" s="1"/>
  <c r="W143" i="497"/>
  <c r="AA143" i="497" s="1"/>
  <c r="W112" i="497"/>
  <c r="AA112" i="497" s="1"/>
  <c r="W138" i="497"/>
  <c r="AA138" i="497" s="1"/>
  <c r="AB138" i="497" s="1"/>
  <c r="AD138" i="497" s="1"/>
  <c r="W135" i="497"/>
  <c r="AA135" i="497" s="1"/>
  <c r="W131" i="497"/>
  <c r="AA131" i="497" s="1"/>
  <c r="W128" i="497"/>
  <c r="W126" i="497"/>
  <c r="AA126" i="497" s="1"/>
  <c r="W122" i="497"/>
  <c r="AA122" i="497" s="1"/>
  <c r="W121" i="497"/>
  <c r="AA121" i="497" s="1"/>
  <c r="W120" i="497"/>
  <c r="AA120" i="497" s="1"/>
  <c r="W117" i="497"/>
  <c r="AA117" i="497" s="1"/>
  <c r="W116" i="497"/>
  <c r="X116" i="497" s="1"/>
  <c r="Z116" i="497" s="1"/>
  <c r="W111" i="497"/>
  <c r="AA111" i="497" s="1"/>
  <c r="T110" i="497"/>
  <c r="W109" i="497"/>
  <c r="AA109" i="497" s="1"/>
  <c r="W107" i="497"/>
  <c r="AA107" i="497" s="1"/>
  <c r="AB107" i="497" s="1"/>
  <c r="AD107" i="497" s="1"/>
  <c r="W106" i="497"/>
  <c r="AA106" i="497" s="1"/>
  <c r="W105" i="497"/>
  <c r="AA105" i="497" s="1"/>
  <c r="W125" i="497"/>
  <c r="AA125" i="497" s="1"/>
  <c r="W124" i="497"/>
  <c r="AA124" i="497" s="1"/>
  <c r="W123" i="497"/>
  <c r="AA123" i="497" s="1"/>
  <c r="W96" i="497"/>
  <c r="AA96" i="497" s="1"/>
  <c r="W95" i="497"/>
  <c r="AA95" i="497" s="1"/>
  <c r="W79" i="497"/>
  <c r="AA79" i="497" s="1"/>
  <c r="W78" i="497"/>
  <c r="AA78" i="497" s="1"/>
  <c r="W76" i="497"/>
  <c r="AA76" i="497" s="1"/>
  <c r="W75" i="497"/>
  <c r="AA75" i="497" s="1"/>
  <c r="W74" i="497"/>
  <c r="AA74" i="497" s="1"/>
  <c r="W73" i="497"/>
  <c r="AA73" i="497" s="1"/>
  <c r="W70" i="497"/>
  <c r="AA70" i="497" s="1"/>
  <c r="W67" i="497"/>
  <c r="AA67" i="497" s="1"/>
  <c r="W62" i="497"/>
  <c r="AA62" i="497" s="1"/>
  <c r="W59" i="497"/>
  <c r="AA59" i="497" s="1"/>
  <c r="W58" i="497"/>
  <c r="AA58" i="497" s="1"/>
  <c r="T54" i="497"/>
  <c r="T57" i="497"/>
  <c r="T56" i="497"/>
  <c r="W55" i="497"/>
  <c r="AA55" i="497" s="1"/>
  <c r="W53" i="497"/>
  <c r="AA53" i="497" s="1"/>
  <c r="W52" i="497"/>
  <c r="AA52" i="497" s="1"/>
  <c r="W49" i="497"/>
  <c r="AA49" i="497" s="1"/>
  <c r="W48" i="497"/>
  <c r="AA48" i="497" s="1"/>
  <c r="W46" i="497"/>
  <c r="AA46" i="497" s="1"/>
  <c r="AB46" i="497" s="1"/>
  <c r="AD46" i="497" s="1"/>
  <c r="W43" i="497"/>
  <c r="W42" i="497"/>
  <c r="W41" i="497"/>
  <c r="W40" i="497"/>
  <c r="W39" i="497"/>
  <c r="W94" i="497"/>
  <c r="W38" i="497"/>
  <c r="W36" i="497"/>
  <c r="T102" i="497"/>
  <c r="W34" i="497"/>
  <c r="AA34" i="497" s="1"/>
  <c r="W32" i="497"/>
  <c r="W31" i="497"/>
  <c r="X31" i="497" s="1"/>
  <c r="Z31" i="497" s="1"/>
  <c r="T31" i="497"/>
  <c r="W37" i="497"/>
  <c r="AA37" i="497" s="1"/>
  <c r="T37" i="497"/>
  <c r="W139" i="497"/>
  <c r="AA139" i="497" s="1"/>
  <c r="T27" i="497"/>
  <c r="T26" i="497"/>
  <c r="W26" i="497"/>
  <c r="T24" i="497"/>
  <c r="W23" i="497"/>
  <c r="T22" i="497"/>
  <c r="W20" i="497"/>
  <c r="T18" i="497"/>
  <c r="W17" i="497"/>
  <c r="AA17" i="497" s="1"/>
  <c r="W16" i="497"/>
  <c r="W19" i="497"/>
  <c r="T19" i="497"/>
  <c r="W15" i="497"/>
  <c r="AA15" i="497" s="1"/>
  <c r="T15" i="497"/>
  <c r="W90" i="497"/>
  <c r="AA90" i="497" s="1"/>
  <c r="W89" i="497"/>
  <c r="W87" i="497"/>
  <c r="W88" i="497"/>
  <c r="AA88" i="497" s="1"/>
  <c r="W85" i="497"/>
  <c r="AA85" i="497" s="1"/>
  <c r="W86" i="497"/>
  <c r="AA86" i="497" s="1"/>
  <c r="W84" i="497"/>
  <c r="T83" i="497"/>
  <c r="W82" i="497"/>
  <c r="T81" i="497"/>
  <c r="W10" i="497"/>
  <c r="AA10" i="497" s="1"/>
  <c r="W12" i="497"/>
  <c r="W13" i="497"/>
  <c r="W11" i="497"/>
  <c r="AA11" i="497" s="1"/>
  <c r="E11" i="497"/>
  <c r="AC9" i="497"/>
  <c r="Y9" i="497"/>
  <c r="S9" i="497"/>
  <c r="M3" i="497"/>
  <c r="Q2" i="497"/>
  <c r="Z88" i="496"/>
  <c r="AD88" i="496" s="1"/>
  <c r="Z87" i="496"/>
  <c r="AD87" i="496" s="1"/>
  <c r="Z86" i="496"/>
  <c r="AD86" i="496" s="1"/>
  <c r="Z83" i="496"/>
  <c r="AD83" i="496" s="1"/>
  <c r="Z79" i="496"/>
  <c r="AD79" i="496" s="1"/>
  <c r="Z78" i="496"/>
  <c r="AD78" i="496" s="1"/>
  <c r="Z91" i="496"/>
  <c r="AD91" i="496" s="1"/>
  <c r="Z48" i="496"/>
  <c r="AD48" i="496" s="1"/>
  <c r="Z49" i="496"/>
  <c r="AD49" i="496" s="1"/>
  <c r="Z47" i="496"/>
  <c r="AD47" i="496" s="1"/>
  <c r="Z46" i="496"/>
  <c r="AD46" i="496" s="1"/>
  <c r="Z43" i="496"/>
  <c r="AD43" i="496" s="1"/>
  <c r="Z42" i="496"/>
  <c r="AD42" i="496" s="1"/>
  <c r="Z41" i="496"/>
  <c r="AD41" i="496" s="1"/>
  <c r="Z39" i="496"/>
  <c r="AD39" i="496" s="1"/>
  <c r="Z38" i="496"/>
  <c r="AD38" i="496" s="1"/>
  <c r="Z37" i="496"/>
  <c r="AD37" i="496" s="1"/>
  <c r="Z36" i="496"/>
  <c r="AD36" i="496" s="1"/>
  <c r="Z35" i="496"/>
  <c r="AD35" i="496" s="1"/>
  <c r="Z33" i="496"/>
  <c r="AD33" i="496" s="1"/>
  <c r="Z75" i="496"/>
  <c r="AD75" i="496" s="1"/>
  <c r="Z31" i="496"/>
  <c r="AD31" i="496" s="1"/>
  <c r="Z29" i="496"/>
  <c r="Z30" i="496"/>
  <c r="AD30" i="496" s="1"/>
  <c r="Z34" i="496"/>
  <c r="AD34" i="496" s="1"/>
  <c r="Z25" i="496"/>
  <c r="AD25" i="496" s="1"/>
  <c r="Z23" i="496"/>
  <c r="AD23" i="496" s="1"/>
  <c r="Z22" i="496"/>
  <c r="AD22" i="496" s="1"/>
  <c r="Z20" i="496"/>
  <c r="AD20" i="496" s="1"/>
  <c r="Z19" i="496"/>
  <c r="AD19" i="496" s="1"/>
  <c r="Z18" i="496"/>
  <c r="AD18" i="496" s="1"/>
  <c r="Z16" i="496"/>
  <c r="AD16" i="496" s="1"/>
  <c r="Z14" i="496"/>
  <c r="Z15" i="496"/>
  <c r="AD15" i="496" s="1"/>
  <c r="Z66" i="496"/>
  <c r="AD66" i="496" s="1"/>
  <c r="Z64" i="496"/>
  <c r="AD64" i="496" s="1"/>
  <c r="Z65" i="496"/>
  <c r="AD65" i="496" s="1"/>
  <c r="Z63" i="496"/>
  <c r="AD63" i="496" s="1"/>
  <c r="Z62" i="496"/>
  <c r="AD62" i="496" s="1"/>
  <c r="Z61" i="496"/>
  <c r="Z40" i="496"/>
  <c r="AD40" i="496" s="1"/>
  <c r="G40" i="496"/>
  <c r="Z72" i="496"/>
  <c r="AD72" i="496" s="1"/>
  <c r="G72" i="496"/>
  <c r="Z71" i="496"/>
  <c r="AD71" i="496" s="1"/>
  <c r="G71" i="496"/>
  <c r="Z70" i="496"/>
  <c r="AD70" i="496" s="1"/>
  <c r="G70" i="496"/>
  <c r="Z53" i="496"/>
  <c r="AD53" i="496" s="1"/>
  <c r="G53" i="496"/>
  <c r="Z44" i="496"/>
  <c r="AD44" i="496" s="1"/>
  <c r="G44" i="496"/>
  <c r="Z24" i="496"/>
  <c r="AD24" i="496" s="1"/>
  <c r="G24" i="496"/>
  <c r="Z21" i="496"/>
  <c r="AD21" i="496" s="1"/>
  <c r="G21" i="496"/>
  <c r="Z68" i="496"/>
  <c r="AD68" i="496" s="1"/>
  <c r="G68" i="496"/>
  <c r="Z54" i="496"/>
  <c r="AD54" i="496" s="1"/>
  <c r="G54" i="496"/>
  <c r="Z77" i="496"/>
  <c r="AD77" i="496" s="1"/>
  <c r="G77" i="496"/>
  <c r="Z28" i="496"/>
  <c r="AD28" i="496" s="1"/>
  <c r="G28" i="496"/>
  <c r="Z12" i="496"/>
  <c r="AD12" i="496" s="1"/>
  <c r="G12" i="496"/>
  <c r="Z58" i="496"/>
  <c r="AD58" i="496" s="1"/>
  <c r="W58" i="496"/>
  <c r="G58" i="496"/>
  <c r="Z60" i="496"/>
  <c r="AD60" i="496" s="1"/>
  <c r="G60" i="496"/>
  <c r="Z59" i="496"/>
  <c r="AD59" i="496" s="1"/>
  <c r="G59" i="496"/>
  <c r="Z84" i="496"/>
  <c r="AD84" i="496" s="1"/>
  <c r="G84" i="496"/>
  <c r="G88" i="496"/>
  <c r="G87" i="496"/>
  <c r="G86" i="496"/>
  <c r="G83" i="496"/>
  <c r="Z80" i="496"/>
  <c r="AD80" i="496" s="1"/>
  <c r="G80" i="496"/>
  <c r="W79" i="496"/>
  <c r="G79" i="496"/>
  <c r="G78" i="496"/>
  <c r="G91" i="496"/>
  <c r="Z90" i="496"/>
  <c r="AD90" i="496" s="1"/>
  <c r="G90" i="496"/>
  <c r="Z89" i="496"/>
  <c r="AD89" i="496" s="1"/>
  <c r="G89" i="496"/>
  <c r="Z69" i="496"/>
  <c r="AD69" i="496" s="1"/>
  <c r="G69" i="496"/>
  <c r="Z67" i="496"/>
  <c r="AD67" i="496" s="1"/>
  <c r="G67" i="496"/>
  <c r="Z57" i="496"/>
  <c r="AD57" i="496" s="1"/>
  <c r="G57" i="496"/>
  <c r="Z56" i="496"/>
  <c r="AD56" i="496" s="1"/>
  <c r="G56" i="496"/>
  <c r="Z55" i="496"/>
  <c r="AD55" i="496" s="1"/>
  <c r="G55" i="496"/>
  <c r="Z52" i="496"/>
  <c r="AD52" i="496" s="1"/>
  <c r="G52" i="496"/>
  <c r="Z51" i="496"/>
  <c r="AD51" i="496" s="1"/>
  <c r="G51" i="496"/>
  <c r="Z50" i="496"/>
  <c r="AD50" i="496" s="1"/>
  <c r="G50" i="496"/>
  <c r="G48" i="496"/>
  <c r="G49" i="496"/>
  <c r="W47" i="496"/>
  <c r="G47" i="496"/>
  <c r="W46" i="496"/>
  <c r="G46" i="496"/>
  <c r="G43" i="496"/>
  <c r="W42" i="496"/>
  <c r="G42" i="496"/>
  <c r="G41" i="496"/>
  <c r="W39" i="496"/>
  <c r="G39" i="496"/>
  <c r="W38" i="496"/>
  <c r="G38" i="496"/>
  <c r="W37" i="496"/>
  <c r="G37" i="496"/>
  <c r="G36" i="496"/>
  <c r="W35" i="496"/>
  <c r="G35" i="496"/>
  <c r="G33" i="496"/>
  <c r="G75" i="496"/>
  <c r="W31" i="496"/>
  <c r="G31" i="496"/>
  <c r="G29" i="496"/>
  <c r="W30" i="496"/>
  <c r="G30" i="496"/>
  <c r="G34" i="496"/>
  <c r="G25" i="496"/>
  <c r="G23" i="496"/>
  <c r="W22" i="496"/>
  <c r="G22" i="496"/>
  <c r="G20" i="496"/>
  <c r="W19" i="496"/>
  <c r="G19" i="496"/>
  <c r="G18" i="496"/>
  <c r="W16" i="496"/>
  <c r="G16" i="496"/>
  <c r="G14" i="496"/>
  <c r="G13" i="496"/>
  <c r="G15" i="496"/>
  <c r="G66" i="496"/>
  <c r="G64" i="496"/>
  <c r="G65" i="496"/>
  <c r="W63" i="496"/>
  <c r="G63" i="496"/>
  <c r="G62" i="496"/>
  <c r="G61" i="496"/>
  <c r="AD10" i="496"/>
  <c r="G10" i="496"/>
  <c r="Z11" i="496"/>
  <c r="AD11" i="496" s="1"/>
  <c r="G11" i="496"/>
  <c r="AF9" i="496"/>
  <c r="AB9" i="496"/>
  <c r="V9" i="496"/>
  <c r="F9" i="496"/>
  <c r="M3" i="496"/>
  <c r="Q2" i="496"/>
  <c r="X48" i="497" l="1"/>
  <c r="Z48" i="497" s="1"/>
  <c r="X58" i="497"/>
  <c r="Z58" i="497" s="1"/>
  <c r="X85" i="497"/>
  <c r="Z85" i="497" s="1"/>
  <c r="X17" i="497"/>
  <c r="Z17" i="497" s="1"/>
  <c r="T36" i="497"/>
  <c r="T95" i="497"/>
  <c r="T116" i="497"/>
  <c r="X143" i="497"/>
  <c r="Z143" i="497" s="1"/>
  <c r="T66" i="497"/>
  <c r="T137" i="497"/>
  <c r="T13" i="497"/>
  <c r="T89" i="497"/>
  <c r="T20" i="497"/>
  <c r="T52" i="497"/>
  <c r="T73" i="497"/>
  <c r="T153" i="497"/>
  <c r="X99" i="497"/>
  <c r="Z99" i="497" s="1"/>
  <c r="AB70" i="497"/>
  <c r="AD70" i="497" s="1"/>
  <c r="T12" i="497"/>
  <c r="T82" i="497"/>
  <c r="W83" i="497"/>
  <c r="X83" i="497" s="1"/>
  <c r="Z83" i="497" s="1"/>
  <c r="T23" i="497"/>
  <c r="T75" i="497"/>
  <c r="T123" i="497"/>
  <c r="X105" i="497"/>
  <c r="Z105" i="497" s="1"/>
  <c r="AB111" i="497"/>
  <c r="AD111" i="497" s="1"/>
  <c r="T150" i="497"/>
  <c r="T69" i="497"/>
  <c r="T146" i="497"/>
  <c r="T144" i="497"/>
  <c r="T88" i="497"/>
  <c r="T87" i="497"/>
  <c r="T16" i="497"/>
  <c r="T135" i="497"/>
  <c r="T61" i="497"/>
  <c r="T68" i="497"/>
  <c r="T91" i="497"/>
  <c r="AB124" i="497"/>
  <c r="AD124" i="497" s="1"/>
  <c r="X106" i="497"/>
  <c r="Z106" i="497" s="1"/>
  <c r="T122" i="497"/>
  <c r="T130" i="497"/>
  <c r="T92" i="497"/>
  <c r="T47" i="497"/>
  <c r="AB59" i="497"/>
  <c r="AD59" i="497" s="1"/>
  <c r="AB136" i="497"/>
  <c r="AD136" i="497" s="1"/>
  <c r="AD61" i="496"/>
  <c r="AE61" i="496" s="1"/>
  <c r="AG61" i="496" s="1"/>
  <c r="AA61" i="496"/>
  <c r="AC61" i="496" s="1"/>
  <c r="AD14" i="496"/>
  <c r="AE14" i="496" s="1"/>
  <c r="AG14" i="496" s="1"/>
  <c r="AA14" i="496"/>
  <c r="AC14" i="496" s="1"/>
  <c r="AA29" i="496"/>
  <c r="AC29" i="496" s="1"/>
  <c r="AD29" i="496"/>
  <c r="AE29" i="496" s="1"/>
  <c r="AG29" i="496" s="1"/>
  <c r="X38" i="497"/>
  <c r="Z38" i="497" s="1"/>
  <c r="AA38" i="497"/>
  <c r="AB38" i="497" s="1"/>
  <c r="AD38" i="497" s="1"/>
  <c r="X10" i="497"/>
  <c r="Z10" i="497" s="1"/>
  <c r="X20" i="497"/>
  <c r="Z20" i="497" s="1"/>
  <c r="AA20" i="497"/>
  <c r="AB20" i="497" s="1"/>
  <c r="AD20" i="497" s="1"/>
  <c r="W29" i="497"/>
  <c r="AA29" i="497" s="1"/>
  <c r="AB29" i="497" s="1"/>
  <c r="AD29" i="497" s="1"/>
  <c r="T29" i="497"/>
  <c r="X39" i="497"/>
  <c r="Z39" i="497" s="1"/>
  <c r="AA39" i="497"/>
  <c r="AB39" i="497" s="1"/>
  <c r="AD39" i="497" s="1"/>
  <c r="X23" i="497"/>
  <c r="Z23" i="497" s="1"/>
  <c r="AA23" i="497"/>
  <c r="AB23" i="497" s="1"/>
  <c r="AD23" i="497" s="1"/>
  <c r="X90" i="497"/>
  <c r="Z90" i="497" s="1"/>
  <c r="X26" i="497"/>
  <c r="Z26" i="497" s="1"/>
  <c r="AA26" i="497"/>
  <c r="AB26" i="497" s="1"/>
  <c r="AD26" i="497" s="1"/>
  <c r="X42" i="497"/>
  <c r="Z42" i="497" s="1"/>
  <c r="AA42" i="497"/>
  <c r="AB42" i="497" s="1"/>
  <c r="AD42" i="497" s="1"/>
  <c r="AB55" i="497"/>
  <c r="AD55" i="497" s="1"/>
  <c r="T107" i="497"/>
  <c r="T3" i="497"/>
  <c r="W3" i="497" s="1"/>
  <c r="T38" i="497"/>
  <c r="T39" i="497"/>
  <c r="T42" i="497"/>
  <c r="T46" i="497"/>
  <c r="X53" i="497"/>
  <c r="Z53" i="497" s="1"/>
  <c r="W56" i="497"/>
  <c r="W57" i="497"/>
  <c r="X57" i="497" s="1"/>
  <c r="Z57" i="497" s="1"/>
  <c r="W54" i="497"/>
  <c r="AA54" i="497" s="1"/>
  <c r="AB54" i="497" s="1"/>
  <c r="AD54" i="497" s="1"/>
  <c r="W61" i="497"/>
  <c r="AA61" i="497" s="1"/>
  <c r="AB61" i="497" s="1"/>
  <c r="AD61" i="497" s="1"/>
  <c r="W68" i="497"/>
  <c r="AA68" i="497" s="1"/>
  <c r="AB68" i="497" s="1"/>
  <c r="AD68" i="497" s="1"/>
  <c r="T79" i="497"/>
  <c r="T106" i="497"/>
  <c r="T128" i="497"/>
  <c r="T112" i="497"/>
  <c r="AB143" i="497"/>
  <c r="AD143" i="497" s="1"/>
  <c r="AB147" i="497"/>
  <c r="AD147" i="497" s="1"/>
  <c r="T149" i="497"/>
  <c r="X14" i="497"/>
  <c r="Z14" i="497" s="1"/>
  <c r="X25" i="497"/>
  <c r="Z25" i="497" s="1"/>
  <c r="T28" i="497"/>
  <c r="X97" i="497"/>
  <c r="Z97" i="497" s="1"/>
  <c r="T84" i="497"/>
  <c r="X139" i="497"/>
  <c r="Z139" i="497" s="1"/>
  <c r="T32" i="497"/>
  <c r="AB49" i="497"/>
  <c r="AD49" i="497" s="1"/>
  <c r="X74" i="497"/>
  <c r="Z74" i="497" s="1"/>
  <c r="AB76" i="497"/>
  <c r="AD76" i="497" s="1"/>
  <c r="X96" i="497"/>
  <c r="Z96" i="497" s="1"/>
  <c r="X124" i="497"/>
  <c r="Z124" i="497" s="1"/>
  <c r="T117" i="497"/>
  <c r="X120" i="497"/>
  <c r="Z120" i="497" s="1"/>
  <c r="AB120" i="497"/>
  <c r="AD120" i="497" s="1"/>
  <c r="X149" i="497"/>
  <c r="Z149" i="497" s="1"/>
  <c r="AB63" i="497"/>
  <c r="AD63" i="497" s="1"/>
  <c r="AB127" i="497"/>
  <c r="AD127" i="497" s="1"/>
  <c r="AB80" i="497"/>
  <c r="AD80" i="497" s="1"/>
  <c r="AB145" i="497"/>
  <c r="AD145" i="497" s="1"/>
  <c r="T44" i="497"/>
  <c r="AB52" i="497"/>
  <c r="AD52" i="497" s="1"/>
  <c r="AB106" i="497"/>
  <c r="AD106" i="497" s="1"/>
  <c r="X93" i="497"/>
  <c r="Z93" i="497" s="1"/>
  <c r="X50" i="497"/>
  <c r="Z50" i="497" s="1"/>
  <c r="AB144" i="497"/>
  <c r="AD144" i="497" s="1"/>
  <c r="T33" i="497"/>
  <c r="X34" i="497"/>
  <c r="Z34" i="497" s="1"/>
  <c r="AB73" i="497"/>
  <c r="AD73" i="497" s="1"/>
  <c r="T77" i="497"/>
  <c r="T76" i="497"/>
  <c r="X78" i="497"/>
  <c r="Z78" i="497" s="1"/>
  <c r="AB95" i="497"/>
  <c r="AD95" i="497" s="1"/>
  <c r="T124" i="497"/>
  <c r="T120" i="497"/>
  <c r="AB131" i="497"/>
  <c r="AD131" i="497" s="1"/>
  <c r="AB150" i="497"/>
  <c r="AD150" i="497" s="1"/>
  <c r="T63" i="497"/>
  <c r="T127" i="497"/>
  <c r="AB92" i="497"/>
  <c r="AD92" i="497" s="1"/>
  <c r="AB47" i="497"/>
  <c r="AD47" i="497" s="1"/>
  <c r="T80" i="497"/>
  <c r="U64" i="509"/>
  <c r="X64" i="509"/>
  <c r="Q9" i="447"/>
  <c r="W75" i="509" s="1"/>
  <c r="V75" i="509" s="1"/>
  <c r="R8" i="447"/>
  <c r="R9" i="447" s="1"/>
  <c r="AA82" i="497"/>
  <c r="AB82" i="497" s="1"/>
  <c r="AD82" i="497" s="1"/>
  <c r="X82" i="497"/>
  <c r="Z82" i="497" s="1"/>
  <c r="AA12" i="497"/>
  <c r="AB12" i="497" s="1"/>
  <c r="AD12" i="497" s="1"/>
  <c r="X12" i="497"/>
  <c r="Z12" i="497" s="1"/>
  <c r="AB86" i="497"/>
  <c r="AD86" i="497" s="1"/>
  <c r="T86" i="497"/>
  <c r="X86" i="497"/>
  <c r="Z86" i="497" s="1"/>
  <c r="AA89" i="497"/>
  <c r="AB89" i="497" s="1"/>
  <c r="AD89" i="497" s="1"/>
  <c r="X89" i="497"/>
  <c r="Z89" i="497" s="1"/>
  <c r="AA16" i="497"/>
  <c r="AB16" i="497" s="1"/>
  <c r="AD16" i="497" s="1"/>
  <c r="X16" i="497"/>
  <c r="Z16" i="497" s="1"/>
  <c r="AA36" i="497"/>
  <c r="AB36" i="497" s="1"/>
  <c r="AD36" i="497" s="1"/>
  <c r="X36" i="497"/>
  <c r="Z36" i="497" s="1"/>
  <c r="AA13" i="497"/>
  <c r="AB13" i="497" s="1"/>
  <c r="AD13" i="497" s="1"/>
  <c r="X13" i="497"/>
  <c r="Z13" i="497" s="1"/>
  <c r="AA84" i="497"/>
  <c r="AB84" i="497" s="1"/>
  <c r="AD84" i="497" s="1"/>
  <c r="X84" i="497"/>
  <c r="Z84" i="497" s="1"/>
  <c r="AA87" i="497"/>
  <c r="AB87" i="497" s="1"/>
  <c r="AD87" i="497" s="1"/>
  <c r="X87" i="497"/>
  <c r="Z87" i="497" s="1"/>
  <c r="AA19" i="497"/>
  <c r="AB19" i="497" s="1"/>
  <c r="AD19" i="497" s="1"/>
  <c r="X19" i="497"/>
  <c r="Z19" i="497" s="1"/>
  <c r="AA32" i="497"/>
  <c r="AB32" i="497" s="1"/>
  <c r="AD32" i="497" s="1"/>
  <c r="X32" i="497"/>
  <c r="Z32" i="497" s="1"/>
  <c r="AA94" i="497"/>
  <c r="AB94" i="497" s="1"/>
  <c r="AD94" i="497" s="1"/>
  <c r="X94" i="497"/>
  <c r="Z94" i="497" s="1"/>
  <c r="AA40" i="497"/>
  <c r="AB40" i="497" s="1"/>
  <c r="AD40" i="497" s="1"/>
  <c r="X40" i="497"/>
  <c r="Z40" i="497" s="1"/>
  <c r="AA41" i="497"/>
  <c r="AB41" i="497" s="1"/>
  <c r="AD41" i="497" s="1"/>
  <c r="X41" i="497"/>
  <c r="Z41" i="497" s="1"/>
  <c r="AA43" i="497"/>
  <c r="AB43" i="497" s="1"/>
  <c r="AD43" i="497" s="1"/>
  <c r="X43" i="497"/>
  <c r="Z43" i="497" s="1"/>
  <c r="T10" i="497"/>
  <c r="W81" i="497"/>
  <c r="T85" i="497"/>
  <c r="T90" i="497"/>
  <c r="T17" i="497"/>
  <c r="W18" i="497"/>
  <c r="W22" i="497"/>
  <c r="W24" i="497"/>
  <c r="W27" i="497"/>
  <c r="T139" i="497"/>
  <c r="W33" i="497"/>
  <c r="AA31" i="497"/>
  <c r="AB31" i="497" s="1"/>
  <c r="AD31" i="497" s="1"/>
  <c r="T34" i="497"/>
  <c r="W102" i="497"/>
  <c r="T67" i="497"/>
  <c r="X67" i="497"/>
  <c r="Z67" i="497" s="1"/>
  <c r="AB126" i="497"/>
  <c r="AD126" i="497" s="1"/>
  <c r="AA154" i="497"/>
  <c r="AB154" i="497" s="1"/>
  <c r="AD154" i="497" s="1"/>
  <c r="X154" i="497"/>
  <c r="Z154" i="497" s="1"/>
  <c r="AB11" i="497"/>
  <c r="AB88" i="497"/>
  <c r="AD88" i="497" s="1"/>
  <c r="AB15" i="497"/>
  <c r="AD15" i="497" s="1"/>
  <c r="AB37" i="497"/>
  <c r="AD37" i="497" s="1"/>
  <c r="T51" i="497"/>
  <c r="W51" i="497"/>
  <c r="T60" i="497"/>
  <c r="W60" i="497"/>
  <c r="T71" i="497"/>
  <c r="W71" i="497"/>
  <c r="AA128" i="497"/>
  <c r="AB128" i="497" s="1"/>
  <c r="AD128" i="497" s="1"/>
  <c r="X128" i="497"/>
  <c r="Z128" i="497" s="1"/>
  <c r="X11" i="497"/>
  <c r="AB10" i="497"/>
  <c r="AD10" i="497" s="1"/>
  <c r="AB85" i="497"/>
  <c r="AD85" i="497" s="1"/>
  <c r="X88" i="497"/>
  <c r="Z88" i="497" s="1"/>
  <c r="AB90" i="497"/>
  <c r="AD90" i="497" s="1"/>
  <c r="X15" i="497"/>
  <c r="Z15" i="497" s="1"/>
  <c r="AB17" i="497"/>
  <c r="AD17" i="497" s="1"/>
  <c r="AB139" i="497"/>
  <c r="AD139" i="497" s="1"/>
  <c r="X37" i="497"/>
  <c r="Z37" i="497" s="1"/>
  <c r="AB34" i="497"/>
  <c r="AD34" i="497" s="1"/>
  <c r="T94" i="497"/>
  <c r="T40" i="497"/>
  <c r="T41" i="497"/>
  <c r="T43" i="497"/>
  <c r="T55" i="497"/>
  <c r="X55" i="497"/>
  <c r="Z55" i="497" s="1"/>
  <c r="T64" i="497"/>
  <c r="W64" i="497"/>
  <c r="T49" i="497"/>
  <c r="X49" i="497"/>
  <c r="Z49" i="497" s="1"/>
  <c r="T59" i="497"/>
  <c r="X59" i="497"/>
  <c r="Z59" i="497" s="1"/>
  <c r="X62" i="497"/>
  <c r="Z62" i="497" s="1"/>
  <c r="AB67" i="497"/>
  <c r="AD67" i="497" s="1"/>
  <c r="T70" i="497"/>
  <c r="X70" i="497"/>
  <c r="Z70" i="497" s="1"/>
  <c r="AB125" i="497"/>
  <c r="AD125" i="497" s="1"/>
  <c r="X46" i="497"/>
  <c r="Z46" i="497" s="1"/>
  <c r="T48" i="497"/>
  <c r="X52" i="497"/>
  <c r="Z52" i="497" s="1"/>
  <c r="T53" i="497"/>
  <c r="T58" i="497"/>
  <c r="T62" i="497"/>
  <c r="X73" i="497"/>
  <c r="Z73" i="497" s="1"/>
  <c r="T74" i="497"/>
  <c r="W77" i="497"/>
  <c r="X76" i="497"/>
  <c r="Z76" i="497" s="1"/>
  <c r="T78" i="497"/>
  <c r="W91" i="497"/>
  <c r="X95" i="497"/>
  <c r="Z95" i="497" s="1"/>
  <c r="T96" i="497"/>
  <c r="T105" i="497"/>
  <c r="AB109" i="497"/>
  <c r="AD109" i="497" s="1"/>
  <c r="X109" i="497"/>
  <c r="Z109" i="497" s="1"/>
  <c r="AB117" i="497"/>
  <c r="AD117" i="497" s="1"/>
  <c r="AB121" i="497"/>
  <c r="AD121" i="497" s="1"/>
  <c r="X131" i="497"/>
  <c r="Z131" i="497" s="1"/>
  <c r="AB135" i="497"/>
  <c r="AD135" i="497" s="1"/>
  <c r="X138" i="497"/>
  <c r="Z138" i="497" s="1"/>
  <c r="T138" i="497"/>
  <c r="T143" i="497"/>
  <c r="T154" i="497"/>
  <c r="AA69" i="497"/>
  <c r="AB69" i="497" s="1"/>
  <c r="AD69" i="497" s="1"/>
  <c r="X69" i="497"/>
  <c r="Z69" i="497" s="1"/>
  <c r="AA146" i="497"/>
  <c r="AB146" i="497" s="1"/>
  <c r="AD146" i="497" s="1"/>
  <c r="X146" i="497"/>
  <c r="Z146" i="497" s="1"/>
  <c r="AB75" i="497"/>
  <c r="AD75" i="497" s="1"/>
  <c r="AB79" i="497"/>
  <c r="AD79" i="497" s="1"/>
  <c r="AB123" i="497"/>
  <c r="AD123" i="497" s="1"/>
  <c r="X125" i="497"/>
  <c r="Z125" i="497" s="1"/>
  <c r="X111" i="497"/>
  <c r="Z111" i="497" s="1"/>
  <c r="X148" i="497"/>
  <c r="Z148" i="497" s="1"/>
  <c r="T148" i="497"/>
  <c r="T152" i="497"/>
  <c r="AB152" i="497"/>
  <c r="AD152" i="497" s="1"/>
  <c r="X104" i="497"/>
  <c r="Z104" i="497" s="1"/>
  <c r="AA104" i="497"/>
  <c r="AB104" i="497" s="1"/>
  <c r="AD104" i="497" s="1"/>
  <c r="X28" i="497"/>
  <c r="Z28" i="497" s="1"/>
  <c r="AA28" i="497"/>
  <c r="AB28" i="497" s="1"/>
  <c r="AD28" i="497" s="1"/>
  <c r="AB48" i="497"/>
  <c r="AD48" i="497" s="1"/>
  <c r="AB53" i="497"/>
  <c r="AD53" i="497" s="1"/>
  <c r="AB58" i="497"/>
  <c r="AD58" i="497" s="1"/>
  <c r="AB62" i="497"/>
  <c r="AD62" i="497" s="1"/>
  <c r="AB74" i="497"/>
  <c r="AD74" i="497" s="1"/>
  <c r="X75" i="497"/>
  <c r="Z75" i="497" s="1"/>
  <c r="AB78" i="497"/>
  <c r="AD78" i="497" s="1"/>
  <c r="X79" i="497"/>
  <c r="Z79" i="497" s="1"/>
  <c r="AB96" i="497"/>
  <c r="AD96" i="497" s="1"/>
  <c r="X123" i="497"/>
  <c r="Z123" i="497" s="1"/>
  <c r="AB105" i="497"/>
  <c r="AD105" i="497" s="1"/>
  <c r="T109" i="497"/>
  <c r="X117" i="497"/>
  <c r="Z117" i="497" s="1"/>
  <c r="T121" i="497"/>
  <c r="X112" i="497"/>
  <c r="Z112" i="497" s="1"/>
  <c r="AB148" i="497"/>
  <c r="AD148" i="497" s="1"/>
  <c r="X151" i="497"/>
  <c r="Z151" i="497" s="1"/>
  <c r="T151" i="497"/>
  <c r="AA130" i="497"/>
  <c r="AB130" i="497" s="1"/>
  <c r="AD130" i="497" s="1"/>
  <c r="X130" i="497"/>
  <c r="Z130" i="497" s="1"/>
  <c r="AA66" i="497"/>
  <c r="AB66" i="497" s="1"/>
  <c r="AD66" i="497" s="1"/>
  <c r="X66" i="497"/>
  <c r="Z66" i="497" s="1"/>
  <c r="T125" i="497"/>
  <c r="X107" i="497"/>
  <c r="Z107" i="497" s="1"/>
  <c r="W110" i="497"/>
  <c r="T111" i="497"/>
  <c r="AA116" i="497"/>
  <c r="AB116" i="497" s="1"/>
  <c r="AD116" i="497" s="1"/>
  <c r="X121" i="497"/>
  <c r="Z121" i="497" s="1"/>
  <c r="AB122" i="497"/>
  <c r="AD122" i="497" s="1"/>
  <c r="X126" i="497"/>
  <c r="Z126" i="497" s="1"/>
  <c r="T126" i="497"/>
  <c r="T131" i="497"/>
  <c r="AB112" i="497"/>
  <c r="AD112" i="497" s="1"/>
  <c r="AB151" i="497"/>
  <c r="AD151" i="497" s="1"/>
  <c r="X152" i="497"/>
  <c r="Z152" i="497" s="1"/>
  <c r="AA153" i="497"/>
  <c r="AB153" i="497" s="1"/>
  <c r="AD153" i="497" s="1"/>
  <c r="X153" i="497"/>
  <c r="Z153" i="497" s="1"/>
  <c r="X113" i="497"/>
  <c r="Z113" i="497" s="1"/>
  <c r="AA113" i="497"/>
  <c r="AB113" i="497" s="1"/>
  <c r="AD113" i="497" s="1"/>
  <c r="X65" i="497"/>
  <c r="Z65" i="497" s="1"/>
  <c r="AA65" i="497"/>
  <c r="AB65" i="497" s="1"/>
  <c r="AD65" i="497" s="1"/>
  <c r="X122" i="497"/>
  <c r="Z122" i="497" s="1"/>
  <c r="X135" i="497"/>
  <c r="Z135" i="497" s="1"/>
  <c r="X147" i="497"/>
  <c r="Z147" i="497" s="1"/>
  <c r="X150" i="497"/>
  <c r="Z150" i="497" s="1"/>
  <c r="X63" i="497"/>
  <c r="Z63" i="497" s="1"/>
  <c r="X127" i="497"/>
  <c r="Z127" i="497" s="1"/>
  <c r="T14" i="497"/>
  <c r="X92" i="497"/>
  <c r="Z92" i="497" s="1"/>
  <c r="T93" i="497"/>
  <c r="T25" i="497"/>
  <c r="X47" i="497"/>
  <c r="Z47" i="497" s="1"/>
  <c r="T50" i="497"/>
  <c r="X80" i="497"/>
  <c r="Z80" i="497" s="1"/>
  <c r="T97" i="497"/>
  <c r="T98" i="497"/>
  <c r="X98" i="497"/>
  <c r="Z98" i="497" s="1"/>
  <c r="AB129" i="497"/>
  <c r="AD129" i="497" s="1"/>
  <c r="X45" i="497"/>
  <c r="Z45" i="497" s="1"/>
  <c r="AB137" i="497"/>
  <c r="AD137" i="497" s="1"/>
  <c r="X136" i="497"/>
  <c r="Z136" i="497" s="1"/>
  <c r="T136" i="497"/>
  <c r="T99" i="497"/>
  <c r="AB99" i="497"/>
  <c r="AD99" i="497" s="1"/>
  <c r="X44" i="497"/>
  <c r="Z44" i="497" s="1"/>
  <c r="AB45" i="497"/>
  <c r="AD45" i="497" s="1"/>
  <c r="AB14" i="497"/>
  <c r="AD14" i="497" s="1"/>
  <c r="AB93" i="497"/>
  <c r="AD93" i="497" s="1"/>
  <c r="AB25" i="497"/>
  <c r="AD25" i="497" s="1"/>
  <c r="AB50" i="497"/>
  <c r="AD50" i="497" s="1"/>
  <c r="AB97" i="497"/>
  <c r="AD97" i="497" s="1"/>
  <c r="AB44" i="497"/>
  <c r="AD44" i="497" s="1"/>
  <c r="X129" i="497"/>
  <c r="Z129" i="497" s="1"/>
  <c r="X145" i="497"/>
  <c r="Z145" i="497" s="1"/>
  <c r="T145" i="497"/>
  <c r="T45" i="497"/>
  <c r="X144" i="497"/>
  <c r="Z144" i="497" s="1"/>
  <c r="X137" i="497"/>
  <c r="Z137" i="497" s="1"/>
  <c r="AE69" i="496"/>
  <c r="AG69" i="496" s="1"/>
  <c r="AA20" i="496"/>
  <c r="AC20" i="496" s="1"/>
  <c r="AA23" i="496"/>
  <c r="AC23" i="496" s="1"/>
  <c r="AA18" i="496"/>
  <c r="AC18" i="496" s="1"/>
  <c r="W57" i="496"/>
  <c r="W44" i="496"/>
  <c r="AA34" i="496"/>
  <c r="AC34" i="496" s="1"/>
  <c r="AE63" i="496"/>
  <c r="AG63" i="496" s="1"/>
  <c r="W34" i="496"/>
  <c r="W29" i="496"/>
  <c r="W78" i="496"/>
  <c r="AA62" i="496"/>
  <c r="AC62" i="496" s="1"/>
  <c r="AA63" i="496"/>
  <c r="AC63" i="496" s="1"/>
  <c r="W62" i="496"/>
  <c r="AA65" i="496"/>
  <c r="AC65" i="496" s="1"/>
  <c r="AA66" i="496"/>
  <c r="AC66" i="496" s="1"/>
  <c r="W23" i="496"/>
  <c r="W41" i="496"/>
  <c r="W48" i="496"/>
  <c r="W69" i="496"/>
  <c r="W20" i="496"/>
  <c r="AA30" i="496"/>
  <c r="AC30" i="496" s="1"/>
  <c r="W75" i="496"/>
  <c r="W36" i="496"/>
  <c r="W50" i="496"/>
  <c r="AE51" i="496"/>
  <c r="AG51" i="496" s="1"/>
  <c r="W88" i="496"/>
  <c r="AE34" i="496"/>
  <c r="AG34" i="496" s="1"/>
  <c r="AE39" i="496"/>
  <c r="AG39" i="496" s="1"/>
  <c r="AA78" i="496"/>
  <c r="AC78" i="496" s="1"/>
  <c r="AE78" i="496"/>
  <c r="AG78" i="496" s="1"/>
  <c r="W60" i="496"/>
  <c r="W21" i="496"/>
  <c r="W70" i="496"/>
  <c r="AE11" i="496"/>
  <c r="AG11" i="496" s="1"/>
  <c r="AE10" i="496"/>
  <c r="AG10" i="496" s="1"/>
  <c r="AE64" i="496"/>
  <c r="AG64" i="496" s="1"/>
  <c r="W66" i="496"/>
  <c r="AE20" i="496"/>
  <c r="AG20" i="496" s="1"/>
  <c r="AE23" i="496"/>
  <c r="AG23" i="496" s="1"/>
  <c r="W11" i="496"/>
  <c r="W65" i="496"/>
  <c r="AE30" i="496"/>
  <c r="AG30" i="496" s="1"/>
  <c r="W61" i="496"/>
  <c r="AE65" i="496"/>
  <c r="AG65" i="496" s="1"/>
  <c r="AE66" i="496"/>
  <c r="AG66" i="496" s="1"/>
  <c r="AE15" i="496"/>
  <c r="AG15" i="496" s="1"/>
  <c r="AA15" i="496"/>
  <c r="AC15" i="496" s="1"/>
  <c r="W14" i="496"/>
  <c r="W18" i="496"/>
  <c r="AE18" i="496"/>
  <c r="AG18" i="496" s="1"/>
  <c r="AA31" i="496"/>
  <c r="AC31" i="496" s="1"/>
  <c r="AE75" i="496"/>
  <c r="AG75" i="496" s="1"/>
  <c r="AA35" i="496"/>
  <c r="AC35" i="496" s="1"/>
  <c r="AE37" i="496"/>
  <c r="AG37" i="496" s="1"/>
  <c r="W25" i="496"/>
  <c r="AA25" i="496"/>
  <c r="AC25" i="496" s="1"/>
  <c r="AE31" i="496"/>
  <c r="AG31" i="496" s="1"/>
  <c r="AE35" i="496"/>
  <c r="AG35" i="496" s="1"/>
  <c r="AA39" i="496"/>
  <c r="AC39" i="496" s="1"/>
  <c r="AA11" i="496"/>
  <c r="AC11" i="496" s="1"/>
  <c r="W10" i="496"/>
  <c r="AA10" i="496"/>
  <c r="AC10" i="496" s="1"/>
  <c r="AE62" i="496"/>
  <c r="AG62" i="496" s="1"/>
  <c r="W64" i="496"/>
  <c r="AA64" i="496"/>
  <c r="AC64" i="496" s="1"/>
  <c r="W15" i="496"/>
  <c r="AE25" i="496"/>
  <c r="AG25" i="496" s="1"/>
  <c r="W33" i="496"/>
  <c r="AA33" i="496"/>
  <c r="AC33" i="496" s="1"/>
  <c r="W43" i="496"/>
  <c r="AA48" i="496"/>
  <c r="AC48" i="496" s="1"/>
  <c r="AE48" i="496"/>
  <c r="AG48" i="496" s="1"/>
  <c r="AA51" i="496"/>
  <c r="AC51" i="496" s="1"/>
  <c r="W89" i="496"/>
  <c r="W91" i="496"/>
  <c r="AE47" i="496"/>
  <c r="AG47" i="496" s="1"/>
  <c r="AA47" i="496"/>
  <c r="AC47" i="496" s="1"/>
  <c r="W49" i="496"/>
  <c r="W51" i="496"/>
  <c r="AA69" i="496"/>
  <c r="AC69" i="496" s="1"/>
  <c r="W87" i="496"/>
  <c r="W52" i="496"/>
  <c r="W83" i="496"/>
  <c r="W55" i="496"/>
  <c r="W56" i="496"/>
  <c r="W67" i="496"/>
  <c r="W90" i="496"/>
  <c r="W54" i="496"/>
  <c r="W59" i="496"/>
  <c r="W86" i="496"/>
  <c r="W84" i="496"/>
  <c r="W28" i="496"/>
  <c r="W68" i="496"/>
  <c r="W72" i="496"/>
  <c r="W12" i="496"/>
  <c r="W77" i="496"/>
  <c r="W24" i="496"/>
  <c r="W53" i="496"/>
  <c r="W71" i="496"/>
  <c r="W40" i="496"/>
  <c r="S64" i="509" l="1"/>
  <c r="S56" i="509" s="1"/>
  <c r="U56" i="509"/>
  <c r="V64" i="509"/>
  <c r="V56" i="509" s="1"/>
  <c r="X56" i="509"/>
  <c r="M64" i="509"/>
  <c r="AA57" i="497"/>
  <c r="AB57" i="497" s="1"/>
  <c r="AD57" i="497" s="1"/>
  <c r="X61" i="497"/>
  <c r="Z61" i="497" s="1"/>
  <c r="X54" i="497"/>
  <c r="Z54" i="497" s="1"/>
  <c r="X29" i="497"/>
  <c r="Z29" i="497" s="1"/>
  <c r="X68" i="497"/>
  <c r="Z68" i="497" s="1"/>
  <c r="AA83" i="497"/>
  <c r="AB83" i="497" s="1"/>
  <c r="AD83" i="497" s="1"/>
  <c r="CQ20" i="456"/>
  <c r="X56" i="497"/>
  <c r="Z56" i="497" s="1"/>
  <c r="AA56" i="497"/>
  <c r="AB56" i="497" s="1"/>
  <c r="AD56" i="497" s="1"/>
  <c r="CR20" i="456"/>
  <c r="AA77" i="497"/>
  <c r="AB77" i="497" s="1"/>
  <c r="AD77" i="497" s="1"/>
  <c r="X77" i="497"/>
  <c r="Z77" i="497" s="1"/>
  <c r="AA64" i="497"/>
  <c r="AB64" i="497" s="1"/>
  <c r="AD64" i="497" s="1"/>
  <c r="X64" i="497"/>
  <c r="Z64" i="497" s="1"/>
  <c r="AA71" i="497"/>
  <c r="AB71" i="497" s="1"/>
  <c r="AD71" i="497" s="1"/>
  <c r="X71" i="497"/>
  <c r="Z71" i="497" s="1"/>
  <c r="AA33" i="497"/>
  <c r="AB33" i="497" s="1"/>
  <c r="AD33" i="497" s="1"/>
  <c r="X33" i="497"/>
  <c r="Z33" i="497" s="1"/>
  <c r="AA22" i="497"/>
  <c r="AB22" i="497" s="1"/>
  <c r="AD22" i="497" s="1"/>
  <c r="X22" i="497"/>
  <c r="Z22" i="497" s="1"/>
  <c r="AA81" i="497"/>
  <c r="AB81" i="497" s="1"/>
  <c r="AD81" i="497" s="1"/>
  <c r="X81" i="497"/>
  <c r="Z81" i="497" s="1"/>
  <c r="AA51" i="497"/>
  <c r="AB51" i="497" s="1"/>
  <c r="AD51" i="497" s="1"/>
  <c r="X51" i="497"/>
  <c r="Z51" i="497" s="1"/>
  <c r="AA110" i="497"/>
  <c r="AB110" i="497" s="1"/>
  <c r="AD110" i="497" s="1"/>
  <c r="X110" i="497"/>
  <c r="Z110" i="497" s="1"/>
  <c r="AA91" i="497"/>
  <c r="AB91" i="497" s="1"/>
  <c r="AD91" i="497" s="1"/>
  <c r="X91" i="497"/>
  <c r="Z91" i="497" s="1"/>
  <c r="AD11" i="497"/>
  <c r="AA27" i="497"/>
  <c r="AB27" i="497" s="1"/>
  <c r="AD27" i="497" s="1"/>
  <c r="X27" i="497"/>
  <c r="Z27" i="497" s="1"/>
  <c r="Z11" i="497"/>
  <c r="AA102" i="497"/>
  <c r="AB102" i="497" s="1"/>
  <c r="AD102" i="497" s="1"/>
  <c r="X102" i="497"/>
  <c r="Z102" i="497" s="1"/>
  <c r="AA18" i="497"/>
  <c r="AB18" i="497" s="1"/>
  <c r="AD18" i="497" s="1"/>
  <c r="X18" i="497"/>
  <c r="Z18" i="497" s="1"/>
  <c r="AA60" i="497"/>
  <c r="AB60" i="497" s="1"/>
  <c r="AD60" i="497" s="1"/>
  <c r="X60" i="497"/>
  <c r="Z60" i="497" s="1"/>
  <c r="AA24" i="497"/>
  <c r="AB24" i="497" s="1"/>
  <c r="AD24" i="497" s="1"/>
  <c r="X24" i="497"/>
  <c r="Z24" i="497" s="1"/>
  <c r="AA37" i="496"/>
  <c r="AC37" i="496" s="1"/>
  <c r="AA75" i="496"/>
  <c r="AC75" i="496" s="1"/>
  <c r="AE33" i="496"/>
  <c r="AG33" i="496" s="1"/>
  <c r="AE22" i="496"/>
  <c r="AG22" i="496" s="1"/>
  <c r="AA22" i="496"/>
  <c r="AC22" i="496" s="1"/>
  <c r="AA16" i="496"/>
  <c r="AC16" i="496" s="1"/>
  <c r="AE16" i="496"/>
  <c r="AG16" i="496" s="1"/>
  <c r="W3" i="496"/>
  <c r="Z3" i="496" s="1"/>
  <c r="W80" i="496"/>
  <c r="AA19" i="496"/>
  <c r="AC19" i="496" s="1"/>
  <c r="AE19" i="496"/>
  <c r="AG19" i="496" s="1"/>
  <c r="O64" i="509" l="1"/>
  <c r="O56" i="509" s="1"/>
  <c r="M56" i="509"/>
  <c r="X9" i="497"/>
  <c r="S4" i="497"/>
  <c r="R3" i="497"/>
  <c r="R4" i="497" s="1"/>
  <c r="T5" i="497"/>
  <c r="W5" i="497" s="1"/>
  <c r="X5" i="497" s="1"/>
  <c r="AB4" i="497"/>
  <c r="R5" i="497"/>
  <c r="Z9" i="497"/>
  <c r="AB9" i="497"/>
  <c r="AD9" i="497"/>
  <c r="AE38" i="496"/>
  <c r="AG38" i="496" s="1"/>
  <c r="AA38" i="496"/>
  <c r="AC38" i="496" s="1"/>
  <c r="AA36" i="496"/>
  <c r="AC36" i="496" s="1"/>
  <c r="AE36" i="496"/>
  <c r="AG36" i="496" s="1"/>
  <c r="AA41" i="496"/>
  <c r="AC41" i="496" s="1"/>
  <c r="AE41" i="496"/>
  <c r="AG41" i="496" s="1"/>
  <c r="AE49" i="496" l="1"/>
  <c r="AG49" i="496" s="1"/>
  <c r="AA49" i="496"/>
  <c r="AC49" i="496" s="1"/>
  <c r="AE42" i="496"/>
  <c r="AG42" i="496" s="1"/>
  <c r="AA42" i="496"/>
  <c r="AC42" i="496" s="1"/>
  <c r="AE43" i="496"/>
  <c r="AG43" i="496" s="1"/>
  <c r="AA43" i="496"/>
  <c r="AC43" i="496" s="1"/>
  <c r="AE88" i="496"/>
  <c r="AG88" i="496" s="1"/>
  <c r="AA88" i="496"/>
  <c r="AC88" i="496" s="1"/>
  <c r="AA46" i="496" l="1"/>
  <c r="AC46" i="496" s="1"/>
  <c r="AE46" i="496"/>
  <c r="AG46" i="496" s="1"/>
  <c r="AE84" i="496"/>
  <c r="AG84" i="496" s="1"/>
  <c r="AA84" i="496"/>
  <c r="AC84" i="496" s="1"/>
  <c r="AE50" i="496" l="1"/>
  <c r="AG50" i="496" s="1"/>
  <c r="AA50" i="496"/>
  <c r="AC50" i="496" s="1"/>
  <c r="AA60" i="496"/>
  <c r="AC60" i="496" s="1"/>
  <c r="AE60" i="496"/>
  <c r="AG60" i="496" s="1"/>
  <c r="AA55" i="496" l="1"/>
  <c r="AC55" i="496" s="1"/>
  <c r="AE55" i="496"/>
  <c r="AG55" i="496" s="1"/>
  <c r="AA56" i="496"/>
  <c r="AC56" i="496" s="1"/>
  <c r="AE56" i="496"/>
  <c r="AG56" i="496" s="1"/>
  <c r="AE52" i="496"/>
  <c r="AG52" i="496" s="1"/>
  <c r="AA52" i="496"/>
  <c r="AC52" i="496" s="1"/>
  <c r="AA28" i="496" l="1"/>
  <c r="AC28" i="496" s="1"/>
  <c r="AE28" i="496"/>
  <c r="AG28" i="496" s="1"/>
  <c r="AA68" i="496"/>
  <c r="AC68" i="496" s="1"/>
  <c r="AE68" i="496"/>
  <c r="AG68" i="496" s="1"/>
  <c r="AE57" i="496"/>
  <c r="AG57" i="496" s="1"/>
  <c r="AA57" i="496"/>
  <c r="AC57" i="496" s="1"/>
  <c r="AE67" i="496" l="1"/>
  <c r="AG67" i="496" s="1"/>
  <c r="AA67" i="496"/>
  <c r="AC67" i="496" s="1"/>
  <c r="AE77" i="496"/>
  <c r="AG77" i="496" s="1"/>
  <c r="AA77" i="496"/>
  <c r="AC77" i="496" s="1"/>
  <c r="AE90" i="496"/>
  <c r="AG90" i="496" s="1"/>
  <c r="AA90" i="496"/>
  <c r="AC90" i="496" s="1"/>
  <c r="AE79" i="496"/>
  <c r="AG79" i="496" s="1"/>
  <c r="AA79" i="496"/>
  <c r="AC79" i="496" s="1"/>
  <c r="AA89" i="496"/>
  <c r="AC89" i="496" s="1"/>
  <c r="AE89" i="496"/>
  <c r="AG89" i="496" s="1"/>
  <c r="AA80" i="496" l="1"/>
  <c r="AC80" i="496" s="1"/>
  <c r="AE80" i="496"/>
  <c r="AG80" i="496" s="1"/>
  <c r="AE91" i="496"/>
  <c r="AG91" i="496" s="1"/>
  <c r="AA91" i="496"/>
  <c r="AC91" i="496" s="1"/>
  <c r="AA53" i="496" l="1"/>
  <c r="AC53" i="496" s="1"/>
  <c r="AE53" i="496"/>
  <c r="AG53" i="496" s="1"/>
  <c r="AE86" i="496"/>
  <c r="AG86" i="496" s="1"/>
  <c r="AA86" i="496"/>
  <c r="AC86" i="496" s="1"/>
  <c r="AE83" i="496"/>
  <c r="AG83" i="496" s="1"/>
  <c r="AA83" i="496"/>
  <c r="AC83" i="496" s="1"/>
  <c r="AE87" i="496"/>
  <c r="AG87" i="496" s="1"/>
  <c r="AA87" i="496"/>
  <c r="AC87" i="496" s="1"/>
  <c r="AE71" i="496" l="1"/>
  <c r="AG71" i="496" s="1"/>
  <c r="AA71" i="496"/>
  <c r="AC71" i="496" s="1"/>
  <c r="AA40" i="496" l="1"/>
  <c r="AC40" i="496" s="1"/>
  <c r="AE40" i="496"/>
  <c r="AG40" i="496" s="1"/>
  <c r="AE58" i="496"/>
  <c r="AG58" i="496" s="1"/>
  <c r="AA58" i="496"/>
  <c r="AC58" i="496" s="1"/>
  <c r="AE59" i="496" l="1"/>
  <c r="AG59" i="496" s="1"/>
  <c r="AA59" i="496"/>
  <c r="AC59" i="496" s="1"/>
  <c r="AE12" i="496"/>
  <c r="AG12" i="496" s="1"/>
  <c r="AA12" i="496"/>
  <c r="AC12" i="496" s="1"/>
  <c r="AE54" i="496" l="1"/>
  <c r="AG54" i="496" s="1"/>
  <c r="AA54" i="496"/>
  <c r="AC54" i="496" s="1"/>
  <c r="AA21" i="496" l="1"/>
  <c r="AC21" i="496" s="1"/>
  <c r="AE21" i="496"/>
  <c r="AG21" i="496" s="1"/>
  <c r="AE24" i="496" l="1"/>
  <c r="AG24" i="496" s="1"/>
  <c r="AA24" i="496"/>
  <c r="AC24" i="496" s="1"/>
  <c r="AE70" i="496" l="1"/>
  <c r="AG70" i="496" s="1"/>
  <c r="AA70" i="496"/>
  <c r="AC70" i="496" s="1"/>
  <c r="AA44" i="496"/>
  <c r="AC44" i="496" s="1"/>
  <c r="AE44" i="496"/>
  <c r="AG44" i="496" s="1"/>
  <c r="AE72" i="496" l="1"/>
  <c r="AG72" i="496" s="1"/>
  <c r="AA72" i="496"/>
  <c r="AC72" i="496" s="1"/>
  <c r="Y16" i="453" l="1"/>
  <c r="AC16" i="453" s="1"/>
  <c r="Y15" i="453"/>
  <c r="P20" i="376"/>
  <c r="P18" i="376"/>
  <c r="P17" i="376"/>
  <c r="P127" i="379"/>
  <c r="P126" i="379"/>
  <c r="P125" i="379"/>
  <c r="P129" i="380"/>
  <c r="P127" i="380"/>
  <c r="P126" i="380"/>
  <c r="P125" i="380"/>
  <c r="P21" i="381"/>
  <c r="P19" i="381"/>
  <c r="P16" i="381"/>
  <c r="P15" i="381"/>
  <c r="P14" i="381"/>
  <c r="P13" i="381"/>
  <c r="P11" i="381"/>
  <c r="AC15" i="453" l="1"/>
  <c r="AC14" i="453" s="1"/>
  <c r="Y14" i="453"/>
  <c r="H54" i="124"/>
  <c r="H56" i="124" l="1"/>
  <c r="CH26" i="456" l="1"/>
  <c r="CH25" i="456"/>
  <c r="P129" i="377" l="1"/>
  <c r="P127" i="377"/>
  <c r="P13" i="379" l="1"/>
  <c r="I10" i="376"/>
  <c r="K10" i="376"/>
  <c r="R14" i="376"/>
  <c r="T14" i="376" s="1"/>
  <c r="H12" i="376"/>
  <c r="N12" i="376" l="1"/>
  <c r="U14" i="376"/>
  <c r="V14" i="376" s="1"/>
  <c r="S14" i="376"/>
  <c r="Q12" i="376" l="1"/>
  <c r="R12" i="376" s="1"/>
  <c r="P11" i="380"/>
  <c r="P11" i="379"/>
  <c r="H11" i="381"/>
  <c r="S12" i="376" l="1"/>
  <c r="T12" i="376"/>
  <c r="U12" i="376"/>
  <c r="V12" i="376" l="1"/>
  <c r="O826" i="493"/>
  <c r="T231" i="492" l="1"/>
  <c r="S229" i="492"/>
  <c r="R229" i="492"/>
  <c r="N229" i="492"/>
  <c r="K229" i="492"/>
  <c r="F229" i="492"/>
  <c r="P229" i="492" s="1"/>
  <c r="S228" i="492"/>
  <c r="R228" i="492"/>
  <c r="N228" i="492"/>
  <c r="K228" i="492"/>
  <c r="F228" i="492"/>
  <c r="P228" i="492" s="1"/>
  <c r="S227" i="492"/>
  <c r="R227" i="492"/>
  <c r="N227" i="492"/>
  <c r="K227" i="492"/>
  <c r="F227" i="492"/>
  <c r="P227" i="492" s="1"/>
  <c r="S226" i="492"/>
  <c r="R226" i="492"/>
  <c r="N226" i="492"/>
  <c r="K226" i="492"/>
  <c r="F226" i="492"/>
  <c r="P226" i="492" s="1"/>
  <c r="S225" i="492"/>
  <c r="R225" i="492"/>
  <c r="N225" i="492"/>
  <c r="K225" i="492"/>
  <c r="F225" i="492"/>
  <c r="P225" i="492" s="1"/>
  <c r="S223" i="492"/>
  <c r="R223" i="492"/>
  <c r="N223" i="492"/>
  <c r="K223" i="492"/>
  <c r="F223" i="492"/>
  <c r="P223" i="492" s="1"/>
  <c r="S222" i="492"/>
  <c r="R222" i="492"/>
  <c r="N222" i="492"/>
  <c r="K222" i="492"/>
  <c r="F222" i="492"/>
  <c r="P222" i="492" s="1"/>
  <c r="S221" i="492"/>
  <c r="R221" i="492"/>
  <c r="N221" i="492"/>
  <c r="K221" i="492"/>
  <c r="F221" i="492"/>
  <c r="P221" i="492" s="1"/>
  <c r="S220" i="492"/>
  <c r="R220" i="492"/>
  <c r="N220" i="492"/>
  <c r="K220" i="492"/>
  <c r="F220" i="492"/>
  <c r="P220" i="492" s="1"/>
  <c r="S219" i="492"/>
  <c r="R219" i="492"/>
  <c r="N219" i="492"/>
  <c r="K219" i="492"/>
  <c r="F219" i="492"/>
  <c r="P219" i="492" s="1"/>
  <c r="S218" i="492"/>
  <c r="R218" i="492"/>
  <c r="N218" i="492"/>
  <c r="K218" i="492"/>
  <c r="F218" i="492"/>
  <c r="P218" i="492" s="1"/>
  <c r="S217" i="492"/>
  <c r="R217" i="492"/>
  <c r="N217" i="492"/>
  <c r="K217" i="492"/>
  <c r="F217" i="492"/>
  <c r="P217" i="492" s="1"/>
  <c r="S216" i="492"/>
  <c r="R216" i="492"/>
  <c r="N216" i="492"/>
  <c r="K216" i="492"/>
  <c r="F216" i="492"/>
  <c r="P216" i="492" s="1"/>
  <c r="S215" i="492"/>
  <c r="R215" i="492"/>
  <c r="N215" i="492"/>
  <c r="K215" i="492"/>
  <c r="F215" i="492"/>
  <c r="P215" i="492" s="1"/>
  <c r="S214" i="492"/>
  <c r="R214" i="492"/>
  <c r="N214" i="492"/>
  <c r="K214" i="492"/>
  <c r="F214" i="492"/>
  <c r="P214" i="492" s="1"/>
  <c r="S213" i="492"/>
  <c r="R213" i="492"/>
  <c r="N213" i="492"/>
  <c r="K213" i="492"/>
  <c r="F213" i="492"/>
  <c r="P213" i="492" s="1"/>
  <c r="S212" i="492"/>
  <c r="R212" i="492"/>
  <c r="N212" i="492"/>
  <c r="K212" i="492"/>
  <c r="F212" i="492"/>
  <c r="P212" i="492" s="1"/>
  <c r="S211" i="492"/>
  <c r="R211" i="492"/>
  <c r="N211" i="492"/>
  <c r="K211" i="492"/>
  <c r="F211" i="492"/>
  <c r="P211" i="492" s="1"/>
  <c r="S209" i="492"/>
  <c r="R209" i="492"/>
  <c r="N209" i="492"/>
  <c r="K209" i="492"/>
  <c r="F209" i="492"/>
  <c r="P209" i="492" s="1"/>
  <c r="S208" i="492"/>
  <c r="R208" i="492"/>
  <c r="N208" i="492"/>
  <c r="K208" i="492"/>
  <c r="F208" i="492"/>
  <c r="P208" i="492" s="1"/>
  <c r="S207" i="492"/>
  <c r="R207" i="492"/>
  <c r="N207" i="492"/>
  <c r="K207" i="492"/>
  <c r="F207" i="492"/>
  <c r="I207" i="492" s="1"/>
  <c r="S206" i="492"/>
  <c r="R206" i="492"/>
  <c r="N206" i="492"/>
  <c r="K206" i="492"/>
  <c r="F206" i="492"/>
  <c r="P206" i="492" s="1"/>
  <c r="S205" i="492"/>
  <c r="R205" i="492"/>
  <c r="N205" i="492"/>
  <c r="K205" i="492"/>
  <c r="F205" i="492"/>
  <c r="I205" i="492" s="1"/>
  <c r="S204" i="492"/>
  <c r="R204" i="492"/>
  <c r="N204" i="492"/>
  <c r="K204" i="492"/>
  <c r="F204" i="492"/>
  <c r="P204" i="492" s="1"/>
  <c r="S203" i="492"/>
  <c r="R203" i="492"/>
  <c r="N203" i="492"/>
  <c r="K203" i="492"/>
  <c r="F203" i="492"/>
  <c r="I203" i="492" s="1"/>
  <c r="S202" i="492"/>
  <c r="R202" i="492"/>
  <c r="N202" i="492"/>
  <c r="K202" i="492"/>
  <c r="F202" i="492"/>
  <c r="P202" i="492" s="1"/>
  <c r="S201" i="492"/>
  <c r="R201" i="492"/>
  <c r="N201" i="492"/>
  <c r="K201" i="492"/>
  <c r="F201" i="492"/>
  <c r="I201" i="492" s="1"/>
  <c r="S200" i="492"/>
  <c r="R200" i="492"/>
  <c r="P200" i="492"/>
  <c r="N200" i="492"/>
  <c r="K200" i="492"/>
  <c r="I200" i="492"/>
  <c r="S199" i="492"/>
  <c r="R199" i="492"/>
  <c r="P199" i="492"/>
  <c r="N199" i="492"/>
  <c r="K199" i="492"/>
  <c r="I199" i="492"/>
  <c r="S198" i="492"/>
  <c r="R198" i="492"/>
  <c r="N198" i="492"/>
  <c r="K198" i="492"/>
  <c r="F198" i="492"/>
  <c r="P198" i="492" s="1"/>
  <c r="S197" i="492"/>
  <c r="R197" i="492"/>
  <c r="N197" i="492"/>
  <c r="K197" i="492"/>
  <c r="F197" i="492"/>
  <c r="P197" i="492" s="1"/>
  <c r="S195" i="492"/>
  <c r="R195" i="492"/>
  <c r="N195" i="492"/>
  <c r="K195" i="492"/>
  <c r="F195" i="492"/>
  <c r="P195" i="492" s="1"/>
  <c r="S193" i="492"/>
  <c r="R193" i="492"/>
  <c r="S192" i="492"/>
  <c r="R192" i="492"/>
  <c r="N192" i="492"/>
  <c r="K192" i="492"/>
  <c r="F192" i="492"/>
  <c r="I192" i="492" s="1"/>
  <c r="S191" i="492"/>
  <c r="R191" i="492"/>
  <c r="N191" i="492"/>
  <c r="K191" i="492"/>
  <c r="F191" i="492"/>
  <c r="P191" i="492" s="1"/>
  <c r="S190" i="492"/>
  <c r="R190" i="492"/>
  <c r="N190" i="492"/>
  <c r="K190" i="492"/>
  <c r="F190" i="492"/>
  <c r="I190" i="492" s="1"/>
  <c r="S189" i="492"/>
  <c r="R189" i="492"/>
  <c r="N189" i="492"/>
  <c r="K189" i="492"/>
  <c r="F189" i="492"/>
  <c r="P189" i="492" s="1"/>
  <c r="S187" i="492"/>
  <c r="R187" i="492"/>
  <c r="N187" i="492"/>
  <c r="K187" i="492"/>
  <c r="F187" i="492"/>
  <c r="I187" i="492" s="1"/>
  <c r="S186" i="492"/>
  <c r="T186" i="492" s="1"/>
  <c r="N186" i="492"/>
  <c r="K186" i="492"/>
  <c r="F186" i="492"/>
  <c r="P186" i="492" s="1"/>
  <c r="S185" i="492"/>
  <c r="R185" i="492"/>
  <c r="N185" i="492"/>
  <c r="K185" i="492"/>
  <c r="F185" i="492"/>
  <c r="P185" i="492" s="1"/>
  <c r="S184" i="492"/>
  <c r="T184" i="492" s="1"/>
  <c r="S183" i="492"/>
  <c r="R183" i="492"/>
  <c r="N183" i="492"/>
  <c r="K183" i="492"/>
  <c r="F183" i="492"/>
  <c r="P183" i="492" s="1"/>
  <c r="S182" i="492"/>
  <c r="T182" i="492" s="1"/>
  <c r="S181" i="492"/>
  <c r="R181" i="492"/>
  <c r="N181" i="492"/>
  <c r="K181" i="492"/>
  <c r="F181" i="492"/>
  <c r="P181" i="492" s="1"/>
  <c r="S180" i="492"/>
  <c r="R180" i="492"/>
  <c r="N180" i="492"/>
  <c r="K180" i="492"/>
  <c r="F180" i="492"/>
  <c r="P180" i="492" s="1"/>
  <c r="S177" i="492"/>
  <c r="R177" i="492"/>
  <c r="N177" i="492"/>
  <c r="K177" i="492"/>
  <c r="F177" i="492"/>
  <c r="P177" i="492" s="1"/>
  <c r="S176" i="492"/>
  <c r="R176" i="492"/>
  <c r="N176" i="492"/>
  <c r="K176" i="492"/>
  <c r="F176" i="492"/>
  <c r="P176" i="492" s="1"/>
  <c r="S174" i="492"/>
  <c r="R174" i="492"/>
  <c r="N174" i="492"/>
  <c r="K174" i="492"/>
  <c r="F174" i="492"/>
  <c r="P174" i="492" s="1"/>
  <c r="S173" i="492"/>
  <c r="R173" i="492"/>
  <c r="N173" i="492"/>
  <c r="K173" i="492"/>
  <c r="F173" i="492"/>
  <c r="P173" i="492" s="1"/>
  <c r="S172" i="492"/>
  <c r="R172" i="492"/>
  <c r="N172" i="492"/>
  <c r="K172" i="492"/>
  <c r="F172" i="492"/>
  <c r="P172" i="492" s="1"/>
  <c r="S171" i="492"/>
  <c r="R171" i="492"/>
  <c r="N171" i="492"/>
  <c r="K171" i="492"/>
  <c r="F171" i="492"/>
  <c r="P171" i="492" s="1"/>
  <c r="S170" i="492"/>
  <c r="R170" i="492"/>
  <c r="N170" i="492"/>
  <c r="K170" i="492"/>
  <c r="F170" i="492"/>
  <c r="P170" i="492" s="1"/>
  <c r="S169" i="492"/>
  <c r="R169" i="492"/>
  <c r="N169" i="492"/>
  <c r="K169" i="492"/>
  <c r="F169" i="492"/>
  <c r="P169" i="492" s="1"/>
  <c r="S168" i="492"/>
  <c r="R168" i="492"/>
  <c r="N168" i="492"/>
  <c r="K168" i="492"/>
  <c r="F168" i="492"/>
  <c r="P168" i="492" s="1"/>
  <c r="S166" i="492"/>
  <c r="R166" i="492"/>
  <c r="N166" i="492"/>
  <c r="K166" i="492"/>
  <c r="F166" i="492"/>
  <c r="P166" i="492" s="1"/>
  <c r="S165" i="492"/>
  <c r="R165" i="492"/>
  <c r="N165" i="492"/>
  <c r="K165" i="492"/>
  <c r="F165" i="492"/>
  <c r="P165" i="492" s="1"/>
  <c r="S164" i="492"/>
  <c r="R164" i="492"/>
  <c r="N164" i="492"/>
  <c r="K164" i="492"/>
  <c r="F164" i="492"/>
  <c r="P164" i="492" s="1"/>
  <c r="S163" i="492"/>
  <c r="R163" i="492"/>
  <c r="N163" i="492"/>
  <c r="K163" i="492"/>
  <c r="F163" i="492"/>
  <c r="P163" i="492" s="1"/>
  <c r="S162" i="492"/>
  <c r="R162" i="492"/>
  <c r="N162" i="492"/>
  <c r="K162" i="492"/>
  <c r="F162" i="492"/>
  <c r="P162" i="492" s="1"/>
  <c r="S161" i="492"/>
  <c r="R161" i="492"/>
  <c r="N161" i="492"/>
  <c r="K161" i="492"/>
  <c r="F161" i="492"/>
  <c r="P161" i="492" s="1"/>
  <c r="S159" i="492"/>
  <c r="R159" i="492"/>
  <c r="N159" i="492"/>
  <c r="K159" i="492"/>
  <c r="F159" i="492"/>
  <c r="P159" i="492" s="1"/>
  <c r="S158" i="492"/>
  <c r="R158" i="492"/>
  <c r="N158" i="492"/>
  <c r="K158" i="492"/>
  <c r="F158" i="492"/>
  <c r="P158" i="492" s="1"/>
  <c r="S157" i="492"/>
  <c r="R157" i="492"/>
  <c r="N157" i="492"/>
  <c r="K157" i="492"/>
  <c r="F157" i="492"/>
  <c r="P157" i="492" s="1"/>
  <c r="S155" i="492"/>
  <c r="R155" i="492"/>
  <c r="N155" i="492"/>
  <c r="K155" i="492"/>
  <c r="F155" i="492"/>
  <c r="P155" i="492" s="1"/>
  <c r="S154" i="492"/>
  <c r="R154" i="492"/>
  <c r="N154" i="492"/>
  <c r="K154" i="492"/>
  <c r="F154" i="492"/>
  <c r="P154" i="492" s="1"/>
  <c r="S153" i="492"/>
  <c r="R153" i="492"/>
  <c r="N153" i="492"/>
  <c r="K153" i="492"/>
  <c r="F153" i="492"/>
  <c r="P153" i="492" s="1"/>
  <c r="S152" i="492"/>
  <c r="R152" i="492"/>
  <c r="N152" i="492"/>
  <c r="K152" i="492"/>
  <c r="F152" i="492"/>
  <c r="P152" i="492" s="1"/>
  <c r="S151" i="492"/>
  <c r="R151" i="492"/>
  <c r="N151" i="492"/>
  <c r="K151" i="492"/>
  <c r="F151" i="492"/>
  <c r="P151" i="492" s="1"/>
  <c r="S150" i="492"/>
  <c r="R150" i="492"/>
  <c r="N150" i="492"/>
  <c r="K150" i="492"/>
  <c r="F150" i="492"/>
  <c r="P150" i="492" s="1"/>
  <c r="S149" i="492"/>
  <c r="R149" i="492"/>
  <c r="N149" i="492"/>
  <c r="K149" i="492"/>
  <c r="F149" i="492"/>
  <c r="S148" i="492"/>
  <c r="R148" i="492"/>
  <c r="T148" i="492" s="1"/>
  <c r="N148" i="492"/>
  <c r="K148" i="492"/>
  <c r="F148" i="492"/>
  <c r="P148" i="492" s="1"/>
  <c r="S147" i="492"/>
  <c r="R147" i="492"/>
  <c r="N147" i="492"/>
  <c r="K147" i="492"/>
  <c r="F147" i="492"/>
  <c r="P147" i="492" s="1"/>
  <c r="S146" i="492"/>
  <c r="R146" i="492"/>
  <c r="N146" i="492"/>
  <c r="K146" i="492"/>
  <c r="F146" i="492"/>
  <c r="I146" i="492" s="1"/>
  <c r="S145" i="492"/>
  <c r="R145" i="492"/>
  <c r="N145" i="492"/>
  <c r="K145" i="492"/>
  <c r="F145" i="492"/>
  <c r="P145" i="492" s="1"/>
  <c r="S144" i="492"/>
  <c r="R144" i="492"/>
  <c r="N144" i="492"/>
  <c r="K144" i="492"/>
  <c r="F144" i="492"/>
  <c r="I144" i="492" s="1"/>
  <c r="S143" i="492"/>
  <c r="R143" i="492"/>
  <c r="N143" i="492"/>
  <c r="K143" i="492"/>
  <c r="F143" i="492"/>
  <c r="P143" i="492" s="1"/>
  <c r="S142" i="492"/>
  <c r="R142" i="492"/>
  <c r="N142" i="492"/>
  <c r="K142" i="492"/>
  <c r="F142" i="492"/>
  <c r="I142" i="492" s="1"/>
  <c r="S141" i="492"/>
  <c r="R141" i="492"/>
  <c r="N141" i="492"/>
  <c r="K141" i="492"/>
  <c r="F141" i="492"/>
  <c r="P141" i="492" s="1"/>
  <c r="S140" i="492"/>
  <c r="R140" i="492"/>
  <c r="N140" i="492"/>
  <c r="K140" i="492"/>
  <c r="F140" i="492"/>
  <c r="P140" i="492" s="1"/>
  <c r="S139" i="492"/>
  <c r="R139" i="492"/>
  <c r="N139" i="492"/>
  <c r="K139" i="492"/>
  <c r="F139" i="492"/>
  <c r="P139" i="492" s="1"/>
  <c r="S138" i="492"/>
  <c r="R138" i="492"/>
  <c r="N138" i="492"/>
  <c r="K138" i="492"/>
  <c r="F138" i="492"/>
  <c r="P138" i="492" s="1"/>
  <c r="S137" i="492"/>
  <c r="R137" i="492"/>
  <c r="N137" i="492"/>
  <c r="K137" i="492"/>
  <c r="F137" i="492"/>
  <c r="P137" i="492" s="1"/>
  <c r="S136" i="492"/>
  <c r="R136" i="492"/>
  <c r="N136" i="492"/>
  <c r="K136" i="492"/>
  <c r="F136" i="492"/>
  <c r="P136" i="492" s="1"/>
  <c r="S135" i="492"/>
  <c r="R135" i="492"/>
  <c r="N135" i="492"/>
  <c r="K135" i="492"/>
  <c r="F135" i="492"/>
  <c r="P135" i="492" s="1"/>
  <c r="S134" i="492"/>
  <c r="R134" i="492"/>
  <c r="N134" i="492"/>
  <c r="K134" i="492"/>
  <c r="F134" i="492"/>
  <c r="P134" i="492" s="1"/>
  <c r="S133" i="492"/>
  <c r="R133" i="492"/>
  <c r="N133" i="492"/>
  <c r="K133" i="492"/>
  <c r="F133" i="492"/>
  <c r="P133" i="492" s="1"/>
  <c r="S132" i="492"/>
  <c r="R132" i="492"/>
  <c r="N132" i="492"/>
  <c r="K132" i="492"/>
  <c r="F132" i="492"/>
  <c r="S130" i="492"/>
  <c r="R130" i="492"/>
  <c r="N130" i="492"/>
  <c r="K130" i="492"/>
  <c r="F130" i="492"/>
  <c r="P130" i="492" s="1"/>
  <c r="S129" i="492"/>
  <c r="R129" i="492"/>
  <c r="N129" i="492"/>
  <c r="K129" i="492"/>
  <c r="F129" i="492"/>
  <c r="P129" i="492" s="1"/>
  <c r="S128" i="492"/>
  <c r="R128" i="492"/>
  <c r="N128" i="492"/>
  <c r="K128" i="492"/>
  <c r="F128" i="492"/>
  <c r="P128" i="492" s="1"/>
  <c r="S127" i="492"/>
  <c r="R127" i="492"/>
  <c r="N127" i="492"/>
  <c r="K127" i="492"/>
  <c r="F127" i="492"/>
  <c r="P127" i="492" s="1"/>
  <c r="S126" i="492"/>
  <c r="R126" i="492"/>
  <c r="N126" i="492"/>
  <c r="K126" i="492"/>
  <c r="F126" i="492"/>
  <c r="P126" i="492" s="1"/>
  <c r="S125" i="492"/>
  <c r="R125" i="492"/>
  <c r="N125" i="492"/>
  <c r="K125" i="492"/>
  <c r="F125" i="492"/>
  <c r="P125" i="492" s="1"/>
  <c r="S124" i="492"/>
  <c r="R124" i="492"/>
  <c r="N124" i="492"/>
  <c r="K124" i="492"/>
  <c r="F124" i="492"/>
  <c r="P124" i="492" s="1"/>
  <c r="S123" i="492"/>
  <c r="R123" i="492"/>
  <c r="N123" i="492"/>
  <c r="K123" i="492"/>
  <c r="F123" i="492"/>
  <c r="P123" i="492" s="1"/>
  <c r="S122" i="492"/>
  <c r="R122" i="492"/>
  <c r="N122" i="492"/>
  <c r="K122" i="492"/>
  <c r="F122" i="492"/>
  <c r="P122" i="492" s="1"/>
  <c r="S121" i="492"/>
  <c r="R121" i="492"/>
  <c r="N121" i="492"/>
  <c r="K121" i="492"/>
  <c r="F121" i="492"/>
  <c r="P121" i="492" s="1"/>
  <c r="S119" i="492"/>
  <c r="R119" i="492"/>
  <c r="N119" i="492"/>
  <c r="K119" i="492"/>
  <c r="F119" i="492"/>
  <c r="P119" i="492" s="1"/>
  <c r="S118" i="492"/>
  <c r="R118" i="492"/>
  <c r="N118" i="492"/>
  <c r="K118" i="492"/>
  <c r="F118" i="492"/>
  <c r="P118" i="492" s="1"/>
  <c r="S117" i="492"/>
  <c r="R117" i="492"/>
  <c r="N117" i="492"/>
  <c r="K117" i="492"/>
  <c r="F117" i="492"/>
  <c r="P117" i="492" s="1"/>
  <c r="S116" i="492"/>
  <c r="R116" i="492"/>
  <c r="N116" i="492"/>
  <c r="K116" i="492"/>
  <c r="F116" i="492"/>
  <c r="P116" i="492" s="1"/>
  <c r="S115" i="492"/>
  <c r="R115" i="492"/>
  <c r="N115" i="492"/>
  <c r="K115" i="492"/>
  <c r="F115" i="492"/>
  <c r="P115" i="492" s="1"/>
  <c r="S113" i="492"/>
  <c r="R113" i="492"/>
  <c r="N113" i="492"/>
  <c r="K113" i="492"/>
  <c r="F113" i="492"/>
  <c r="P113" i="492" s="1"/>
  <c r="S112" i="492"/>
  <c r="R112" i="492"/>
  <c r="N112" i="492"/>
  <c r="K112" i="492"/>
  <c r="F112" i="492"/>
  <c r="P112" i="492" s="1"/>
  <c r="S110" i="492"/>
  <c r="R110" i="492"/>
  <c r="N110" i="492"/>
  <c r="K110" i="492"/>
  <c r="F110" i="492"/>
  <c r="P110" i="492" s="1"/>
  <c r="S109" i="492"/>
  <c r="R109" i="492"/>
  <c r="N109" i="492"/>
  <c r="K109" i="492"/>
  <c r="F109" i="492"/>
  <c r="P109" i="492" s="1"/>
  <c r="S108" i="492"/>
  <c r="R108" i="492"/>
  <c r="N108" i="492"/>
  <c r="K108" i="492"/>
  <c r="F108" i="492"/>
  <c r="P108" i="492" s="1"/>
  <c r="S107" i="492"/>
  <c r="R107" i="492"/>
  <c r="N107" i="492"/>
  <c r="K107" i="492"/>
  <c r="F107" i="492"/>
  <c r="P107" i="492" s="1"/>
  <c r="S106" i="492"/>
  <c r="R106" i="492"/>
  <c r="N106" i="492"/>
  <c r="K106" i="492"/>
  <c r="F106" i="492"/>
  <c r="P106" i="492" s="1"/>
  <c r="S105" i="492"/>
  <c r="R105" i="492"/>
  <c r="N105" i="492"/>
  <c r="K105" i="492"/>
  <c r="F105" i="492"/>
  <c r="P105" i="492" s="1"/>
  <c r="S104" i="492"/>
  <c r="R104" i="492"/>
  <c r="N104" i="492"/>
  <c r="K104" i="492"/>
  <c r="F104" i="492"/>
  <c r="P104" i="492" s="1"/>
  <c r="S103" i="492"/>
  <c r="R103" i="492"/>
  <c r="N103" i="492"/>
  <c r="K103" i="492"/>
  <c r="F103" i="492"/>
  <c r="P103" i="492" s="1"/>
  <c r="S102" i="492"/>
  <c r="R102" i="492"/>
  <c r="N102" i="492"/>
  <c r="K102" i="492"/>
  <c r="F102" i="492"/>
  <c r="P102" i="492" s="1"/>
  <c r="S101" i="492"/>
  <c r="R101" i="492"/>
  <c r="N101" i="492"/>
  <c r="K101" i="492"/>
  <c r="F101" i="492"/>
  <c r="P101" i="492" s="1"/>
  <c r="S100" i="492"/>
  <c r="T100" i="492" s="1"/>
  <c r="N100" i="492"/>
  <c r="K100" i="492"/>
  <c r="F100" i="492"/>
  <c r="P100" i="492" s="1"/>
  <c r="S98" i="492"/>
  <c r="R98" i="492"/>
  <c r="N98" i="492"/>
  <c r="K98" i="492"/>
  <c r="F98" i="492"/>
  <c r="I98" i="492" s="1"/>
  <c r="S96" i="492"/>
  <c r="R96" i="492"/>
  <c r="N96" i="492"/>
  <c r="K96" i="492"/>
  <c r="F96" i="492"/>
  <c r="P96" i="492" s="1"/>
  <c r="S94" i="492"/>
  <c r="R94" i="492"/>
  <c r="N94" i="492"/>
  <c r="K94" i="492"/>
  <c r="F94" i="492"/>
  <c r="I94" i="492" s="1"/>
  <c r="S93" i="492"/>
  <c r="R93" i="492"/>
  <c r="N93" i="492"/>
  <c r="K93" i="492"/>
  <c r="F93" i="492"/>
  <c r="P93" i="492" s="1"/>
  <c r="S92" i="492"/>
  <c r="R92" i="492"/>
  <c r="N92" i="492"/>
  <c r="K92" i="492"/>
  <c r="F92" i="492"/>
  <c r="I92" i="492" s="1"/>
  <c r="S91" i="492"/>
  <c r="R91" i="492"/>
  <c r="N91" i="492"/>
  <c r="K91" i="492"/>
  <c r="F91" i="492"/>
  <c r="P91" i="492" s="1"/>
  <c r="S90" i="492"/>
  <c r="R90" i="492"/>
  <c r="N90" i="492"/>
  <c r="K90" i="492"/>
  <c r="F90" i="492"/>
  <c r="I90" i="492" s="1"/>
  <c r="S89" i="492"/>
  <c r="R89" i="492"/>
  <c r="N89" i="492"/>
  <c r="K89" i="492"/>
  <c r="F89" i="492"/>
  <c r="P89" i="492" s="1"/>
  <c r="S88" i="492"/>
  <c r="R88" i="492"/>
  <c r="N88" i="492"/>
  <c r="K88" i="492"/>
  <c r="F88" i="492"/>
  <c r="I88" i="492" s="1"/>
  <c r="S87" i="492"/>
  <c r="R87" i="492"/>
  <c r="N87" i="492"/>
  <c r="K87" i="492"/>
  <c r="F87" i="492"/>
  <c r="P87" i="492" s="1"/>
  <c r="S86" i="492"/>
  <c r="R86" i="492"/>
  <c r="N86" i="492"/>
  <c r="K86" i="492"/>
  <c r="F86" i="492"/>
  <c r="I86" i="492" s="1"/>
  <c r="S85" i="492"/>
  <c r="T85" i="492" s="1"/>
  <c r="N85" i="492"/>
  <c r="K85" i="492"/>
  <c r="F85" i="492"/>
  <c r="P85" i="492" s="1"/>
  <c r="S84" i="492"/>
  <c r="R84" i="492"/>
  <c r="N84" i="492"/>
  <c r="K84" i="492"/>
  <c r="F84" i="492"/>
  <c r="P84" i="492" s="1"/>
  <c r="S82" i="492"/>
  <c r="R82" i="492"/>
  <c r="N82" i="492"/>
  <c r="K82" i="492"/>
  <c r="F82" i="492"/>
  <c r="P82" i="492" s="1"/>
  <c r="S81" i="492"/>
  <c r="R81" i="492"/>
  <c r="N81" i="492"/>
  <c r="K81" i="492"/>
  <c r="F81" i="492"/>
  <c r="P81" i="492" s="1"/>
  <c r="S80" i="492"/>
  <c r="R80" i="492"/>
  <c r="N80" i="492"/>
  <c r="K80" i="492"/>
  <c r="F80" i="492"/>
  <c r="P80" i="492" s="1"/>
  <c r="S78" i="492"/>
  <c r="R78" i="492"/>
  <c r="N78" i="492"/>
  <c r="K78" i="492"/>
  <c r="F78" i="492"/>
  <c r="P78" i="492" s="1"/>
  <c r="S77" i="492"/>
  <c r="R77" i="492"/>
  <c r="N77" i="492"/>
  <c r="K77" i="492"/>
  <c r="F77" i="492"/>
  <c r="P77" i="492" s="1"/>
  <c r="S76" i="492"/>
  <c r="R76" i="492"/>
  <c r="N76" i="492"/>
  <c r="K76" i="492"/>
  <c r="F76" i="492"/>
  <c r="P76" i="492" s="1"/>
  <c r="S75" i="492"/>
  <c r="R75" i="492"/>
  <c r="N75" i="492"/>
  <c r="K75" i="492"/>
  <c r="F75" i="492"/>
  <c r="P75" i="492" s="1"/>
  <c r="S74" i="492"/>
  <c r="R74" i="492"/>
  <c r="N74" i="492"/>
  <c r="K74" i="492"/>
  <c r="F74" i="492"/>
  <c r="P74" i="492" s="1"/>
  <c r="S73" i="492"/>
  <c r="R73" i="492"/>
  <c r="N73" i="492"/>
  <c r="K73" i="492"/>
  <c r="F73" i="492"/>
  <c r="P73" i="492" s="1"/>
  <c r="S72" i="492"/>
  <c r="R72" i="492"/>
  <c r="N72" i="492"/>
  <c r="K72" i="492"/>
  <c r="F72" i="492"/>
  <c r="P72" i="492" s="1"/>
  <c r="T71" i="492"/>
  <c r="N71" i="492"/>
  <c r="K71" i="492"/>
  <c r="F71" i="492"/>
  <c r="P71" i="492" s="1"/>
  <c r="S70" i="492"/>
  <c r="R70" i="492"/>
  <c r="N70" i="492"/>
  <c r="K70" i="492"/>
  <c r="F70" i="492"/>
  <c r="P70" i="492" s="1"/>
  <c r="S69" i="492"/>
  <c r="R69" i="492"/>
  <c r="N69" i="492"/>
  <c r="K69" i="492"/>
  <c r="F69" i="492"/>
  <c r="P69" i="492" s="1"/>
  <c r="S68" i="492"/>
  <c r="R68" i="492"/>
  <c r="N68" i="492"/>
  <c r="K68" i="492"/>
  <c r="F68" i="492"/>
  <c r="P68" i="492" s="1"/>
  <c r="S67" i="492"/>
  <c r="R67" i="492"/>
  <c r="N67" i="492"/>
  <c r="K67" i="492"/>
  <c r="F67" i="492"/>
  <c r="P67" i="492" s="1"/>
  <c r="S66" i="492"/>
  <c r="R66" i="492"/>
  <c r="N66" i="492"/>
  <c r="K66" i="492"/>
  <c r="F66" i="492"/>
  <c r="P66" i="492" s="1"/>
  <c r="S65" i="492"/>
  <c r="R65" i="492"/>
  <c r="N65" i="492"/>
  <c r="K65" i="492"/>
  <c r="F65" i="492"/>
  <c r="P65" i="492" s="1"/>
  <c r="S64" i="492"/>
  <c r="R64" i="492"/>
  <c r="N64" i="492"/>
  <c r="K64" i="492"/>
  <c r="F64" i="492"/>
  <c r="P64" i="492" s="1"/>
  <c r="S62" i="492"/>
  <c r="R62" i="492"/>
  <c r="N62" i="492"/>
  <c r="K62" i="492"/>
  <c r="F62" i="492"/>
  <c r="P62" i="492" s="1"/>
  <c r="S61" i="492"/>
  <c r="R61" i="492"/>
  <c r="N61" i="492"/>
  <c r="K61" i="492"/>
  <c r="F61" i="492"/>
  <c r="P61" i="492" s="1"/>
  <c r="S60" i="492"/>
  <c r="R60" i="492"/>
  <c r="N60" i="492"/>
  <c r="K60" i="492"/>
  <c r="F60" i="492"/>
  <c r="P60" i="492" s="1"/>
  <c r="S59" i="492"/>
  <c r="R59" i="492"/>
  <c r="N59" i="492"/>
  <c r="K59" i="492"/>
  <c r="F59" i="492"/>
  <c r="P59" i="492" s="1"/>
  <c r="S58" i="492"/>
  <c r="R58" i="492"/>
  <c r="N58" i="492"/>
  <c r="K58" i="492"/>
  <c r="F58" i="492"/>
  <c r="P58" i="492" s="1"/>
  <c r="S57" i="492"/>
  <c r="R57" i="492"/>
  <c r="N57" i="492"/>
  <c r="K57" i="492"/>
  <c r="F57" i="492"/>
  <c r="P57" i="492" s="1"/>
  <c r="S56" i="492"/>
  <c r="R56" i="492"/>
  <c r="N56" i="492"/>
  <c r="K56" i="492"/>
  <c r="F56" i="492"/>
  <c r="P56" i="492" s="1"/>
  <c r="S54" i="492"/>
  <c r="R54" i="492"/>
  <c r="N54" i="492"/>
  <c r="K54" i="492"/>
  <c r="F54" i="492"/>
  <c r="P54" i="492" s="1"/>
  <c r="S53" i="492"/>
  <c r="R53" i="492"/>
  <c r="N53" i="492"/>
  <c r="K53" i="492"/>
  <c r="F53" i="492"/>
  <c r="P53" i="492" s="1"/>
  <c r="S52" i="492"/>
  <c r="R52" i="492"/>
  <c r="S51" i="492"/>
  <c r="R51" i="492"/>
  <c r="N51" i="492"/>
  <c r="K51" i="492"/>
  <c r="F51" i="492"/>
  <c r="P51" i="492" s="1"/>
  <c r="S50" i="492"/>
  <c r="T50" i="492" s="1"/>
  <c r="N50" i="492"/>
  <c r="K50" i="492"/>
  <c r="F50" i="492"/>
  <c r="P50" i="492" s="1"/>
  <c r="S49" i="492"/>
  <c r="R49" i="492"/>
  <c r="N49" i="492"/>
  <c r="K49" i="492"/>
  <c r="F49" i="492"/>
  <c r="P49" i="492" s="1"/>
  <c r="S47" i="492"/>
  <c r="R47" i="492"/>
  <c r="N47" i="492"/>
  <c r="K47" i="492"/>
  <c r="F47" i="492"/>
  <c r="P47" i="492" s="1"/>
  <c r="S46" i="492"/>
  <c r="R46" i="492"/>
  <c r="N46" i="492"/>
  <c r="K46" i="492"/>
  <c r="F46" i="492"/>
  <c r="P46" i="492" s="1"/>
  <c r="S45" i="492"/>
  <c r="R45" i="492"/>
  <c r="N45" i="492"/>
  <c r="K45" i="492"/>
  <c r="F45" i="492"/>
  <c r="P45" i="492" s="1"/>
  <c r="S44" i="492"/>
  <c r="R44" i="492"/>
  <c r="N44" i="492"/>
  <c r="K44" i="492"/>
  <c r="F44" i="492"/>
  <c r="P44" i="492" s="1"/>
  <c r="S43" i="492"/>
  <c r="R43" i="492"/>
  <c r="N43" i="492"/>
  <c r="K43" i="492"/>
  <c r="F43" i="492"/>
  <c r="P43" i="492" s="1"/>
  <c r="S42" i="492"/>
  <c r="R42" i="492"/>
  <c r="N42" i="492"/>
  <c r="K42" i="492"/>
  <c r="F42" i="492"/>
  <c r="P42" i="492" s="1"/>
  <c r="S41" i="492"/>
  <c r="R41" i="492"/>
  <c r="N41" i="492"/>
  <c r="K41" i="492"/>
  <c r="F41" i="492"/>
  <c r="P41" i="492" s="1"/>
  <c r="S40" i="492"/>
  <c r="R40" i="492"/>
  <c r="N40" i="492"/>
  <c r="K40" i="492"/>
  <c r="F40" i="492"/>
  <c r="P40" i="492" s="1"/>
  <c r="S39" i="492"/>
  <c r="R39" i="492"/>
  <c r="N39" i="492"/>
  <c r="K39" i="492"/>
  <c r="F39" i="492"/>
  <c r="P39" i="492" s="1"/>
  <c r="S38" i="492"/>
  <c r="R38" i="492"/>
  <c r="N38" i="492"/>
  <c r="K38" i="492"/>
  <c r="F38" i="492"/>
  <c r="P38" i="492" s="1"/>
  <c r="S37" i="492"/>
  <c r="R37" i="492"/>
  <c r="N37" i="492"/>
  <c r="K37" i="492"/>
  <c r="F37" i="492"/>
  <c r="P37" i="492" s="1"/>
  <c r="S36" i="492"/>
  <c r="R36" i="492"/>
  <c r="N36" i="492"/>
  <c r="K36" i="492"/>
  <c r="F36" i="492"/>
  <c r="P36" i="492" s="1"/>
  <c r="S35" i="492"/>
  <c r="R35" i="492"/>
  <c r="N35" i="492"/>
  <c r="K35" i="492"/>
  <c r="F35" i="492"/>
  <c r="P35" i="492" s="1"/>
  <c r="S34" i="492"/>
  <c r="R34" i="492"/>
  <c r="N34" i="492"/>
  <c r="K34" i="492"/>
  <c r="F34" i="492"/>
  <c r="P34" i="492" s="1"/>
  <c r="S33" i="492"/>
  <c r="R33" i="492"/>
  <c r="N33" i="492"/>
  <c r="K33" i="492"/>
  <c r="F33" i="492"/>
  <c r="P33" i="492" s="1"/>
  <c r="S31" i="492"/>
  <c r="R31" i="492"/>
  <c r="N31" i="492"/>
  <c r="K31" i="492"/>
  <c r="F31" i="492"/>
  <c r="P31" i="492" s="1"/>
  <c r="S30" i="492"/>
  <c r="R30" i="492"/>
  <c r="N30" i="492"/>
  <c r="K30" i="492"/>
  <c r="F30" i="492"/>
  <c r="P30" i="492" s="1"/>
  <c r="S29" i="492"/>
  <c r="R29" i="492"/>
  <c r="N29" i="492"/>
  <c r="K29" i="492"/>
  <c r="F29" i="492"/>
  <c r="P29" i="492" s="1"/>
  <c r="S28" i="492"/>
  <c r="R28" i="492"/>
  <c r="N28" i="492"/>
  <c r="K28" i="492"/>
  <c r="F28" i="492"/>
  <c r="P28" i="492" s="1"/>
  <c r="S27" i="492"/>
  <c r="R27" i="492"/>
  <c r="N27" i="492"/>
  <c r="K27" i="492"/>
  <c r="F27" i="492"/>
  <c r="P27" i="492" s="1"/>
  <c r="S26" i="492"/>
  <c r="R26" i="492"/>
  <c r="N26" i="492"/>
  <c r="K26" i="492"/>
  <c r="F26" i="492"/>
  <c r="P26" i="492" s="1"/>
  <c r="S25" i="492"/>
  <c r="R25" i="492"/>
  <c r="N25" i="492"/>
  <c r="K25" i="492"/>
  <c r="F25" i="492"/>
  <c r="P25" i="492" s="1"/>
  <c r="S24" i="492"/>
  <c r="R24" i="492"/>
  <c r="N24" i="492"/>
  <c r="K24" i="492"/>
  <c r="F24" i="492"/>
  <c r="P24" i="492" s="1"/>
  <c r="S23" i="492"/>
  <c r="R23" i="492"/>
  <c r="N23" i="492"/>
  <c r="K23" i="492"/>
  <c r="F23" i="492"/>
  <c r="I23" i="492" s="1"/>
  <c r="S22" i="492"/>
  <c r="R22" i="492"/>
  <c r="N22" i="492"/>
  <c r="K22" i="492"/>
  <c r="F22" i="492"/>
  <c r="P22" i="492" s="1"/>
  <c r="S20" i="492"/>
  <c r="R20" i="492"/>
  <c r="N20" i="492"/>
  <c r="K20" i="492"/>
  <c r="F20" i="492"/>
  <c r="I20" i="492" s="1"/>
  <c r="S19" i="492"/>
  <c r="R19" i="492"/>
  <c r="N19" i="492"/>
  <c r="K19" i="492"/>
  <c r="F19" i="492"/>
  <c r="P19" i="492" s="1"/>
  <c r="S17" i="492"/>
  <c r="R17" i="492"/>
  <c r="N17" i="492"/>
  <c r="K17" i="492"/>
  <c r="F17" i="492"/>
  <c r="I17" i="492" s="1"/>
  <c r="S16" i="492"/>
  <c r="R16" i="492"/>
  <c r="N16" i="492"/>
  <c r="K16" i="492"/>
  <c r="F16" i="492"/>
  <c r="P16" i="492" s="1"/>
  <c r="S15" i="492"/>
  <c r="R15" i="492"/>
  <c r="N15" i="492"/>
  <c r="K15" i="492"/>
  <c r="F15" i="492"/>
  <c r="I15" i="492" s="1"/>
  <c r="S14" i="492"/>
  <c r="R14" i="492"/>
  <c r="N14" i="492"/>
  <c r="K14" i="492"/>
  <c r="F14" i="492"/>
  <c r="P14" i="492" s="1"/>
  <c r="S13" i="492"/>
  <c r="T13" i="492" s="1"/>
  <c r="S12" i="492"/>
  <c r="T12" i="492" s="1"/>
  <c r="N12" i="492"/>
  <c r="K12" i="492"/>
  <c r="F12" i="492"/>
  <c r="P12" i="492" s="1"/>
  <c r="S11" i="492"/>
  <c r="R11" i="492"/>
  <c r="N11" i="492"/>
  <c r="K11" i="492"/>
  <c r="F11" i="492"/>
  <c r="P11" i="492" s="1"/>
  <c r="S9" i="492"/>
  <c r="R9" i="492"/>
  <c r="N9" i="492"/>
  <c r="K9" i="492"/>
  <c r="F9" i="492"/>
  <c r="P9" i="492" s="1"/>
  <c r="S8" i="492"/>
  <c r="R8" i="492"/>
  <c r="N8" i="492"/>
  <c r="K8" i="492"/>
  <c r="F8" i="492"/>
  <c r="P8" i="492" s="1"/>
  <c r="S7" i="492"/>
  <c r="R7" i="492"/>
  <c r="N7" i="492"/>
  <c r="K7" i="492"/>
  <c r="F7" i="492"/>
  <c r="P7" i="492" s="1"/>
  <c r="I20" i="478"/>
  <c r="M15" i="492" l="1"/>
  <c r="T152" i="492"/>
  <c r="W231" i="492"/>
  <c r="B20" i="494" s="1"/>
  <c r="T14" i="492"/>
  <c r="T24" i="492"/>
  <c r="T28" i="492"/>
  <c r="T33" i="492"/>
  <c r="T37" i="492"/>
  <c r="T41" i="492"/>
  <c r="T45" i="492"/>
  <c r="T51" i="492"/>
  <c r="T54" i="492"/>
  <c r="T59" i="492"/>
  <c r="T64" i="492"/>
  <c r="T68" i="492"/>
  <c r="T73" i="492"/>
  <c r="T216" i="492"/>
  <c r="T220" i="492"/>
  <c r="T225" i="492"/>
  <c r="T229" i="492"/>
  <c r="T26" i="492"/>
  <c r="T30" i="492"/>
  <c r="T35" i="492"/>
  <c r="T39" i="492"/>
  <c r="T43" i="492"/>
  <c r="T47" i="492"/>
  <c r="T52" i="492"/>
  <c r="T57" i="492"/>
  <c r="T61" i="492"/>
  <c r="T66" i="492"/>
  <c r="T75" i="492"/>
  <c r="T214" i="492"/>
  <c r="T77" i="492"/>
  <c r="T218" i="492"/>
  <c r="T227" i="492"/>
  <c r="T70" i="492"/>
  <c r="T150" i="492"/>
  <c r="T154" i="492"/>
  <c r="T222" i="492"/>
  <c r="K5" i="492"/>
  <c r="T89" i="492"/>
  <c r="T101" i="492"/>
  <c r="T105" i="492"/>
  <c r="T109" i="492"/>
  <c r="T115" i="492"/>
  <c r="T119" i="492"/>
  <c r="T124" i="492"/>
  <c r="T128" i="492"/>
  <c r="T133" i="492"/>
  <c r="T137" i="492"/>
  <c r="T168" i="492"/>
  <c r="T172" i="492"/>
  <c r="T177" i="492"/>
  <c r="T183" i="492"/>
  <c r="T189" i="492"/>
  <c r="M90" i="492"/>
  <c r="T103" i="492"/>
  <c r="T107" i="492"/>
  <c r="T112" i="492"/>
  <c r="T117" i="492"/>
  <c r="T122" i="492"/>
  <c r="T126" i="492"/>
  <c r="T130" i="492"/>
  <c r="T135" i="492"/>
  <c r="T139" i="492"/>
  <c r="M142" i="492"/>
  <c r="T165" i="492"/>
  <c r="T170" i="492"/>
  <c r="T174" i="492"/>
  <c r="T181" i="492"/>
  <c r="M190" i="492"/>
  <c r="T206" i="492"/>
  <c r="T141" i="492"/>
  <c r="M207" i="492"/>
  <c r="N5" i="492"/>
  <c r="N210" i="492"/>
  <c r="K210" i="492"/>
  <c r="I16" i="492"/>
  <c r="M16" i="492" s="1"/>
  <c r="I91" i="492"/>
  <c r="M91" i="492" s="1"/>
  <c r="T143" i="492"/>
  <c r="T145" i="492"/>
  <c r="M146" i="492"/>
  <c r="T202" i="492"/>
  <c r="M203" i="492"/>
  <c r="I204" i="492"/>
  <c r="M204" i="492" s="1"/>
  <c r="T209" i="492"/>
  <c r="T19" i="492"/>
  <c r="M20" i="492"/>
  <c r="I22" i="492"/>
  <c r="M22" i="492" s="1"/>
  <c r="M86" i="492"/>
  <c r="I87" i="492"/>
  <c r="M87" i="492" s="1"/>
  <c r="T93" i="492"/>
  <c r="M94" i="492"/>
  <c r="I96" i="492"/>
  <c r="M96" i="492" s="1"/>
  <c r="T157" i="492"/>
  <c r="T8" i="492"/>
  <c r="T11" i="492"/>
  <c r="I14" i="492"/>
  <c r="M14" i="492" s="1"/>
  <c r="T16" i="492"/>
  <c r="M17" i="492"/>
  <c r="I19" i="492"/>
  <c r="M19" i="492" s="1"/>
  <c r="T22" i="492"/>
  <c r="M23" i="492"/>
  <c r="I24" i="492"/>
  <c r="M24" i="492" s="1"/>
  <c r="T31" i="492"/>
  <c r="I141" i="492"/>
  <c r="M141" i="492" s="1"/>
  <c r="M144" i="492"/>
  <c r="I145" i="492"/>
  <c r="M145" i="492" s="1"/>
  <c r="T147" i="492"/>
  <c r="T185" i="492"/>
  <c r="M187" i="492"/>
  <c r="I189" i="492"/>
  <c r="M189" i="492" s="1"/>
  <c r="T191" i="492"/>
  <c r="M192" i="492"/>
  <c r="T195" i="492"/>
  <c r="T198" i="492"/>
  <c r="M199" i="492"/>
  <c r="T199" i="492"/>
  <c r="T200" i="492"/>
  <c r="M201" i="492"/>
  <c r="I202" i="492"/>
  <c r="M202" i="492" s="1"/>
  <c r="T204" i="492"/>
  <c r="M205" i="492"/>
  <c r="I206" i="492"/>
  <c r="M206" i="492" s="1"/>
  <c r="T207" i="492"/>
  <c r="I209" i="492"/>
  <c r="M209" i="492" s="1"/>
  <c r="T211" i="492"/>
  <c r="T213" i="492"/>
  <c r="T215" i="492"/>
  <c r="T217" i="492"/>
  <c r="T219" i="492"/>
  <c r="T80" i="492"/>
  <c r="T82" i="492"/>
  <c r="T87" i="492"/>
  <c r="M88" i="492"/>
  <c r="I89" i="492"/>
  <c r="M89" i="492" s="1"/>
  <c r="T91" i="492"/>
  <c r="M92" i="492"/>
  <c r="I93" i="492"/>
  <c r="M93" i="492" s="1"/>
  <c r="T96" i="492"/>
  <c r="M98" i="492"/>
  <c r="I100" i="492"/>
  <c r="M100" i="492" s="1"/>
  <c r="I143" i="492"/>
  <c r="M143" i="492" s="1"/>
  <c r="I147" i="492"/>
  <c r="M147" i="492" s="1"/>
  <c r="T159" i="492"/>
  <c r="T162" i="492"/>
  <c r="T164" i="492"/>
  <c r="I191" i="492"/>
  <c r="M191" i="492" s="1"/>
  <c r="Q14" i="492"/>
  <c r="P15" i="492"/>
  <c r="Q16" i="492"/>
  <c r="P17" i="492"/>
  <c r="Q19" i="492"/>
  <c r="P20" i="492"/>
  <c r="P23" i="492"/>
  <c r="Q24" i="492"/>
  <c r="P86" i="492"/>
  <c r="P88" i="492"/>
  <c r="P90" i="492"/>
  <c r="P92" i="492"/>
  <c r="P94" i="492"/>
  <c r="Q96" i="492"/>
  <c r="P98" i="492"/>
  <c r="Q141" i="492"/>
  <c r="P142" i="492"/>
  <c r="P144" i="492"/>
  <c r="P146" i="492"/>
  <c r="T166" i="492"/>
  <c r="T169" i="492"/>
  <c r="T171" i="492"/>
  <c r="T173" i="492"/>
  <c r="T176" i="492"/>
  <c r="T180" i="492"/>
  <c r="P187" i="492"/>
  <c r="P190" i="492"/>
  <c r="P192" i="492"/>
  <c r="Q199" i="492"/>
  <c r="Q200" i="492"/>
  <c r="P201" i="492"/>
  <c r="P203" i="492"/>
  <c r="P205" i="492"/>
  <c r="P207" i="492"/>
  <c r="I208" i="492"/>
  <c r="M208" i="492" s="1"/>
  <c r="T208" i="492"/>
  <c r="T221" i="492"/>
  <c r="T223" i="492"/>
  <c r="T226" i="492"/>
  <c r="T228" i="492"/>
  <c r="T7" i="492"/>
  <c r="T9" i="492"/>
  <c r="Q15" i="492"/>
  <c r="T15" i="492"/>
  <c r="Q17" i="492"/>
  <c r="T17" i="492"/>
  <c r="Q20" i="492"/>
  <c r="T20" i="492"/>
  <c r="Q23" i="492"/>
  <c r="T23" i="492"/>
  <c r="T25" i="492"/>
  <c r="T27" i="492"/>
  <c r="T29" i="492"/>
  <c r="T34" i="492"/>
  <c r="T36" i="492"/>
  <c r="T38" i="492"/>
  <c r="T40" i="492"/>
  <c r="T42" i="492"/>
  <c r="T44" i="492"/>
  <c r="T46" i="492"/>
  <c r="T49" i="492"/>
  <c r="I51" i="492"/>
  <c r="M51" i="492" s="1"/>
  <c r="T53" i="492"/>
  <c r="T56" i="492"/>
  <c r="T58" i="492"/>
  <c r="T60" i="492"/>
  <c r="T62" i="492"/>
  <c r="T65" i="492"/>
  <c r="T67" i="492"/>
  <c r="T69" i="492"/>
  <c r="T72" i="492"/>
  <c r="T74" i="492"/>
  <c r="T76" i="492"/>
  <c r="T78" i="492"/>
  <c r="T81" i="492"/>
  <c r="T84" i="492"/>
  <c r="Q86" i="492"/>
  <c r="T86" i="492"/>
  <c r="Q88" i="492"/>
  <c r="T88" i="492"/>
  <c r="Q90" i="492"/>
  <c r="T90" i="492"/>
  <c r="Q92" i="492"/>
  <c r="T92" i="492"/>
  <c r="Q94" i="492"/>
  <c r="T94" i="492"/>
  <c r="Q98" i="492"/>
  <c r="T98" i="492"/>
  <c r="T102" i="492"/>
  <c r="T104" i="492"/>
  <c r="T106" i="492"/>
  <c r="T108" i="492"/>
  <c r="T110" i="492"/>
  <c r="T113" i="492"/>
  <c r="T116" i="492"/>
  <c r="T118" i="492"/>
  <c r="T121" i="492"/>
  <c r="T123" i="492"/>
  <c r="T125" i="492"/>
  <c r="T127" i="492"/>
  <c r="T129" i="492"/>
  <c r="T132" i="492"/>
  <c r="T134" i="492"/>
  <c r="T136" i="492"/>
  <c r="T138" i="492"/>
  <c r="T140" i="492"/>
  <c r="Q142" i="492"/>
  <c r="T142" i="492"/>
  <c r="Q144" i="492"/>
  <c r="T144" i="492"/>
  <c r="Q146" i="492"/>
  <c r="T146" i="492"/>
  <c r="I148" i="492"/>
  <c r="Q148" i="492" s="1"/>
  <c r="T149" i="492"/>
  <c r="T151" i="492"/>
  <c r="T153" i="492"/>
  <c r="T155" i="492"/>
  <c r="T158" i="492"/>
  <c r="T161" i="492"/>
  <c r="T163" i="492"/>
  <c r="Q187" i="492"/>
  <c r="T187" i="492"/>
  <c r="Q190" i="492"/>
  <c r="T190" i="492"/>
  <c r="Q192" i="492"/>
  <c r="T192" i="492"/>
  <c r="T193" i="492"/>
  <c r="T197" i="492"/>
  <c r="M200" i="492"/>
  <c r="T201" i="492"/>
  <c r="T203" i="492"/>
  <c r="T205" i="492"/>
  <c r="Q207" i="492"/>
  <c r="Q209" i="492"/>
  <c r="T212" i="492"/>
  <c r="I7" i="492"/>
  <c r="Q7" i="492" s="1"/>
  <c r="I8" i="492"/>
  <c r="Q8" i="492" s="1"/>
  <c r="I9" i="492"/>
  <c r="M9" i="492" s="1"/>
  <c r="I11" i="492"/>
  <c r="Q11" i="492" s="1"/>
  <c r="I12" i="492"/>
  <c r="Q12" i="492" s="1"/>
  <c r="I25" i="492"/>
  <c r="M25" i="492" s="1"/>
  <c r="I26" i="492"/>
  <c r="Q26" i="492" s="1"/>
  <c r="I27" i="492"/>
  <c r="M27" i="492" s="1"/>
  <c r="I28" i="492"/>
  <c r="Q28" i="492" s="1"/>
  <c r="I29" i="492"/>
  <c r="M29" i="492" s="1"/>
  <c r="I30" i="492"/>
  <c r="Q30" i="492" s="1"/>
  <c r="I31" i="492"/>
  <c r="M31" i="492" s="1"/>
  <c r="I33" i="492"/>
  <c r="Q33" i="492" s="1"/>
  <c r="I34" i="492"/>
  <c r="M34" i="492" s="1"/>
  <c r="I35" i="492"/>
  <c r="Q35" i="492" s="1"/>
  <c r="I36" i="492"/>
  <c r="M36" i="492" s="1"/>
  <c r="I37" i="492"/>
  <c r="Q37" i="492" s="1"/>
  <c r="I38" i="492"/>
  <c r="M38" i="492" s="1"/>
  <c r="I39" i="492"/>
  <c r="Q39" i="492" s="1"/>
  <c r="I40" i="492"/>
  <c r="M40" i="492" s="1"/>
  <c r="I41" i="492"/>
  <c r="Q41" i="492" s="1"/>
  <c r="I42" i="492"/>
  <c r="M42" i="492" s="1"/>
  <c r="I43" i="492"/>
  <c r="Q43" i="492" s="1"/>
  <c r="I44" i="492"/>
  <c r="M44" i="492" s="1"/>
  <c r="I45" i="492"/>
  <c r="Q45" i="492" s="1"/>
  <c r="I46" i="492"/>
  <c r="M46" i="492" s="1"/>
  <c r="I47" i="492"/>
  <c r="Q47" i="492" s="1"/>
  <c r="I49" i="492"/>
  <c r="M49" i="492" s="1"/>
  <c r="I50" i="492"/>
  <c r="Q50" i="492" s="1"/>
  <c r="I53" i="492"/>
  <c r="M53" i="492" s="1"/>
  <c r="I54" i="492"/>
  <c r="Q54" i="492" s="1"/>
  <c r="I56" i="492"/>
  <c r="M56" i="492" s="1"/>
  <c r="I57" i="492"/>
  <c r="Q57" i="492" s="1"/>
  <c r="I58" i="492"/>
  <c r="M58" i="492" s="1"/>
  <c r="I59" i="492"/>
  <c r="Q59" i="492" s="1"/>
  <c r="I60" i="492"/>
  <c r="M60" i="492" s="1"/>
  <c r="I61" i="492"/>
  <c r="Q61" i="492" s="1"/>
  <c r="I62" i="492"/>
  <c r="M62" i="492" s="1"/>
  <c r="I64" i="492"/>
  <c r="Q64" i="492" s="1"/>
  <c r="I65" i="492"/>
  <c r="M65" i="492" s="1"/>
  <c r="I66" i="492"/>
  <c r="Q66" i="492" s="1"/>
  <c r="I67" i="492"/>
  <c r="M67" i="492" s="1"/>
  <c r="I68" i="492"/>
  <c r="Q68" i="492" s="1"/>
  <c r="I69" i="492"/>
  <c r="M69" i="492" s="1"/>
  <c r="I70" i="492"/>
  <c r="Q70" i="492" s="1"/>
  <c r="I71" i="492"/>
  <c r="M71" i="492" s="1"/>
  <c r="I72" i="492"/>
  <c r="M72" i="492" s="1"/>
  <c r="I73" i="492"/>
  <c r="Q73" i="492" s="1"/>
  <c r="I74" i="492"/>
  <c r="M74" i="492" s="1"/>
  <c r="I75" i="492"/>
  <c r="Q75" i="492" s="1"/>
  <c r="I76" i="492"/>
  <c r="M76" i="492" s="1"/>
  <c r="I77" i="492"/>
  <c r="Q77" i="492" s="1"/>
  <c r="I78" i="492"/>
  <c r="M78" i="492" s="1"/>
  <c r="I80" i="492"/>
  <c r="Q80" i="492" s="1"/>
  <c r="I81" i="492"/>
  <c r="M81" i="492" s="1"/>
  <c r="I82" i="492"/>
  <c r="Q82" i="492" s="1"/>
  <c r="I84" i="492"/>
  <c r="M84" i="492" s="1"/>
  <c r="I85" i="492"/>
  <c r="Q85" i="492" s="1"/>
  <c r="I101" i="492"/>
  <c r="Q101" i="492" s="1"/>
  <c r="I102" i="492"/>
  <c r="M102" i="492" s="1"/>
  <c r="I103" i="492"/>
  <c r="Q103" i="492" s="1"/>
  <c r="I104" i="492"/>
  <c r="M104" i="492" s="1"/>
  <c r="I105" i="492"/>
  <c r="Q105" i="492" s="1"/>
  <c r="I106" i="492"/>
  <c r="M106" i="492" s="1"/>
  <c r="I107" i="492"/>
  <c r="Q107" i="492" s="1"/>
  <c r="I108" i="492"/>
  <c r="M108" i="492" s="1"/>
  <c r="I109" i="492"/>
  <c r="Q109" i="492" s="1"/>
  <c r="I110" i="492"/>
  <c r="M110" i="492" s="1"/>
  <c r="I112" i="492"/>
  <c r="Q112" i="492" s="1"/>
  <c r="I113" i="492"/>
  <c r="M113" i="492" s="1"/>
  <c r="I115" i="492"/>
  <c r="Q115" i="492" s="1"/>
  <c r="I116" i="492"/>
  <c r="M116" i="492" s="1"/>
  <c r="I117" i="492"/>
  <c r="Q117" i="492" s="1"/>
  <c r="I118" i="492"/>
  <c r="M118" i="492" s="1"/>
  <c r="I119" i="492"/>
  <c r="Q119" i="492" s="1"/>
  <c r="I121" i="492"/>
  <c r="M121" i="492" s="1"/>
  <c r="I122" i="492"/>
  <c r="Q122" i="492" s="1"/>
  <c r="I123" i="492"/>
  <c r="M123" i="492" s="1"/>
  <c r="I124" i="492"/>
  <c r="Q124" i="492" s="1"/>
  <c r="I125" i="492"/>
  <c r="M125" i="492" s="1"/>
  <c r="I126" i="492"/>
  <c r="Q126" i="492" s="1"/>
  <c r="I127" i="492"/>
  <c r="M127" i="492" s="1"/>
  <c r="I128" i="492"/>
  <c r="Q128" i="492" s="1"/>
  <c r="I129" i="492"/>
  <c r="M129" i="492" s="1"/>
  <c r="I130" i="492"/>
  <c r="Q130" i="492" s="1"/>
  <c r="P132" i="492"/>
  <c r="I132" i="492"/>
  <c r="M132" i="492" s="1"/>
  <c r="I133" i="492"/>
  <c r="M133" i="492" s="1"/>
  <c r="I134" i="492"/>
  <c r="Q134" i="492" s="1"/>
  <c r="I135" i="492"/>
  <c r="M135" i="492" s="1"/>
  <c r="I136" i="492"/>
  <c r="Q136" i="492" s="1"/>
  <c r="I137" i="492"/>
  <c r="M137" i="492" s="1"/>
  <c r="I138" i="492"/>
  <c r="Q138" i="492" s="1"/>
  <c r="I139" i="492"/>
  <c r="M139" i="492" s="1"/>
  <c r="I140" i="492"/>
  <c r="Q140" i="492" s="1"/>
  <c r="P149" i="492"/>
  <c r="I149" i="492"/>
  <c r="M149" i="492" s="1"/>
  <c r="I150" i="492"/>
  <c r="M150" i="492" s="1"/>
  <c r="I151" i="492"/>
  <c r="Q151" i="492" s="1"/>
  <c r="I152" i="492"/>
  <c r="M152" i="492" s="1"/>
  <c r="I153" i="492"/>
  <c r="Q153" i="492" s="1"/>
  <c r="I154" i="492"/>
  <c r="M154" i="492" s="1"/>
  <c r="I155" i="492"/>
  <c r="Q155" i="492" s="1"/>
  <c r="I157" i="492"/>
  <c r="M157" i="492" s="1"/>
  <c r="I158" i="492"/>
  <c r="Q158" i="492" s="1"/>
  <c r="I159" i="492"/>
  <c r="M159" i="492" s="1"/>
  <c r="I161" i="492"/>
  <c r="Q161" i="492" s="1"/>
  <c r="I162" i="492"/>
  <c r="M162" i="492" s="1"/>
  <c r="I163" i="492"/>
  <c r="Q163" i="492" s="1"/>
  <c r="I164" i="492"/>
  <c r="M164" i="492" s="1"/>
  <c r="I165" i="492"/>
  <c r="Q165" i="492" s="1"/>
  <c r="I166" i="492"/>
  <c r="M166" i="492" s="1"/>
  <c r="I168" i="492"/>
  <c r="Q168" i="492" s="1"/>
  <c r="I169" i="492"/>
  <c r="M169" i="492" s="1"/>
  <c r="I170" i="492"/>
  <c r="Q170" i="492" s="1"/>
  <c r="I171" i="492"/>
  <c r="M171" i="492" s="1"/>
  <c r="I172" i="492"/>
  <c r="Q172" i="492" s="1"/>
  <c r="I173" i="492"/>
  <c r="M173" i="492" s="1"/>
  <c r="I174" i="492"/>
  <c r="Q174" i="492" s="1"/>
  <c r="I176" i="492"/>
  <c r="M176" i="492" s="1"/>
  <c r="I177" i="492"/>
  <c r="Q177" i="492" s="1"/>
  <c r="I180" i="492"/>
  <c r="M180" i="492" s="1"/>
  <c r="I181" i="492"/>
  <c r="Q181" i="492" s="1"/>
  <c r="I183" i="492"/>
  <c r="Q183" i="492" s="1"/>
  <c r="I185" i="492"/>
  <c r="Q185" i="492" s="1"/>
  <c r="I186" i="492"/>
  <c r="M186" i="492" s="1"/>
  <c r="I195" i="492"/>
  <c r="M195" i="492" s="1"/>
  <c r="I197" i="492"/>
  <c r="Q197" i="492" s="1"/>
  <c r="I198" i="492"/>
  <c r="M198" i="492" s="1"/>
  <c r="Q201" i="492"/>
  <c r="Q203" i="492"/>
  <c r="Q205" i="492"/>
  <c r="I211" i="492"/>
  <c r="I212" i="492"/>
  <c r="Q212" i="492" s="1"/>
  <c r="I213" i="492"/>
  <c r="Q213" i="492" s="1"/>
  <c r="I214" i="492"/>
  <c r="Q214" i="492" s="1"/>
  <c r="I215" i="492"/>
  <c r="M215" i="492" s="1"/>
  <c r="I216" i="492"/>
  <c r="Q216" i="492" s="1"/>
  <c r="I217" i="492"/>
  <c r="Q217" i="492" s="1"/>
  <c r="I218" i="492"/>
  <c r="Q218" i="492" s="1"/>
  <c r="I219" i="492"/>
  <c r="M219" i="492" s="1"/>
  <c r="I220" i="492"/>
  <c r="Q220" i="492" s="1"/>
  <c r="I221" i="492"/>
  <c r="Q221" i="492" s="1"/>
  <c r="I222" i="492"/>
  <c r="Q222" i="492" s="1"/>
  <c r="I223" i="492"/>
  <c r="M223" i="492" s="1"/>
  <c r="I225" i="492"/>
  <c r="Q225" i="492" s="1"/>
  <c r="I226" i="492"/>
  <c r="Q226" i="492" s="1"/>
  <c r="I227" i="492"/>
  <c r="Q227" i="492" s="1"/>
  <c r="I228" i="492"/>
  <c r="M228" i="492" s="1"/>
  <c r="I229" i="492"/>
  <c r="Q229" i="492" s="1"/>
  <c r="Q145" i="492" l="1"/>
  <c r="Q206" i="492"/>
  <c r="Q189" i="492"/>
  <c r="Q147" i="492"/>
  <c r="Q87" i="492"/>
  <c r="M148" i="492"/>
  <c r="Q91" i="492"/>
  <c r="Q204" i="492"/>
  <c r="Q22" i="492"/>
  <c r="Q202" i="492"/>
  <c r="B18" i="494"/>
  <c r="C18" i="494" s="1"/>
  <c r="Q191" i="492"/>
  <c r="T230" i="492"/>
  <c r="Q149" i="492"/>
  <c r="M136" i="492"/>
  <c r="Q143" i="492"/>
  <c r="Q93" i="492"/>
  <c r="Q100" i="492"/>
  <c r="Q89" i="492"/>
  <c r="M229" i="492"/>
  <c r="M225" i="492"/>
  <c r="M220" i="492"/>
  <c r="M216" i="492"/>
  <c r="M212" i="492"/>
  <c r="Q186" i="492"/>
  <c r="Q180" i="492"/>
  <c r="Q173" i="492"/>
  <c r="Q169" i="492"/>
  <c r="Q164" i="492"/>
  <c r="Q159" i="492"/>
  <c r="Q154" i="492"/>
  <c r="Q150" i="492"/>
  <c r="M140" i="492"/>
  <c r="Q9" i="492"/>
  <c r="M12" i="492"/>
  <c r="M227" i="492"/>
  <c r="M222" i="492"/>
  <c r="M218" i="492"/>
  <c r="M214" i="492"/>
  <c r="M197" i="492"/>
  <c r="M183" i="492"/>
  <c r="Q176" i="492"/>
  <c r="Q171" i="492"/>
  <c r="Q166" i="492"/>
  <c r="Q162" i="492"/>
  <c r="Q157" i="492"/>
  <c r="Q152" i="492"/>
  <c r="M138" i="492"/>
  <c r="M134" i="492"/>
  <c r="Q51" i="492"/>
  <c r="Q208" i="492"/>
  <c r="I210" i="492"/>
  <c r="M226" i="492"/>
  <c r="M221" i="492"/>
  <c r="M217" i="492"/>
  <c r="M213" i="492"/>
  <c r="Q228" i="492"/>
  <c r="Q223" i="492"/>
  <c r="Q219" i="492"/>
  <c r="Q215" i="492"/>
  <c r="Q211" i="492"/>
  <c r="Q198" i="492"/>
  <c r="Q195" i="492"/>
  <c r="M185" i="492"/>
  <c r="M181" i="492"/>
  <c r="M177" i="492"/>
  <c r="M174" i="492"/>
  <c r="M172" i="492"/>
  <c r="M170" i="492"/>
  <c r="M168" i="492"/>
  <c r="M165" i="492"/>
  <c r="M163" i="492"/>
  <c r="M161" i="492"/>
  <c r="M158" i="492"/>
  <c r="M155" i="492"/>
  <c r="M153" i="492"/>
  <c r="M151" i="492"/>
  <c r="Q132" i="492"/>
  <c r="Q139" i="492"/>
  <c r="Q137" i="492"/>
  <c r="Q135" i="492"/>
  <c r="Q133" i="492"/>
  <c r="M130" i="492"/>
  <c r="M128" i="492"/>
  <c r="M126" i="492"/>
  <c r="M124" i="492"/>
  <c r="M122" i="492"/>
  <c r="M119" i="492"/>
  <c r="M117" i="492"/>
  <c r="M115" i="492"/>
  <c r="M112" i="492"/>
  <c r="M109" i="492"/>
  <c r="M107" i="492"/>
  <c r="M105" i="492"/>
  <c r="M103" i="492"/>
  <c r="M101" i="492"/>
  <c r="Q84" i="492"/>
  <c r="Q81" i="492"/>
  <c r="Q78" i="492"/>
  <c r="Q76" i="492"/>
  <c r="Q74" i="492"/>
  <c r="Q72" i="492"/>
  <c r="M70" i="492"/>
  <c r="M68" i="492"/>
  <c r="M66" i="492"/>
  <c r="M64" i="492"/>
  <c r="M61" i="492"/>
  <c r="M59" i="492"/>
  <c r="M57" i="492"/>
  <c r="M54" i="492"/>
  <c r="M50" i="492"/>
  <c r="M47" i="492"/>
  <c r="M45" i="492"/>
  <c r="M43" i="492"/>
  <c r="M41" i="492"/>
  <c r="M39" i="492"/>
  <c r="M37" i="492"/>
  <c r="M35" i="492"/>
  <c r="M33" i="492"/>
  <c r="M30" i="492"/>
  <c r="M28" i="492"/>
  <c r="M26" i="492"/>
  <c r="I5" i="492"/>
  <c r="M11" i="492"/>
  <c r="M8" i="492"/>
  <c r="M7" i="492"/>
  <c r="M211" i="492"/>
  <c r="Q129" i="492"/>
  <c r="Q127" i="492"/>
  <c r="Q125" i="492"/>
  <c r="Q123" i="492"/>
  <c r="Q121" i="492"/>
  <c r="Q118" i="492"/>
  <c r="Q116" i="492"/>
  <c r="Q113" i="492"/>
  <c r="Q110" i="492"/>
  <c r="Q108" i="492"/>
  <c r="Q106" i="492"/>
  <c r="Q104" i="492"/>
  <c r="Q102" i="492"/>
  <c r="M85" i="492"/>
  <c r="M82" i="492"/>
  <c r="M80" i="492"/>
  <c r="M77" i="492"/>
  <c r="M75" i="492"/>
  <c r="M73" i="492"/>
  <c r="Q71" i="492"/>
  <c r="Q69" i="492"/>
  <c r="Q67" i="492"/>
  <c r="Q65" i="492"/>
  <c r="Q62" i="492"/>
  <c r="Q60" i="492"/>
  <c r="Q58" i="492"/>
  <c r="Q56" i="492"/>
  <c r="Q53" i="492"/>
  <c r="Q49" i="492"/>
  <c r="Q46" i="492"/>
  <c r="Q44" i="492"/>
  <c r="Q42" i="492"/>
  <c r="Q40" i="492"/>
  <c r="Q38" i="492"/>
  <c r="Q36" i="492"/>
  <c r="Q34" i="492"/>
  <c r="Q31" i="492"/>
  <c r="Q29" i="492"/>
  <c r="Q27" i="492"/>
  <c r="Q25" i="492"/>
  <c r="T237" i="492" l="1"/>
  <c r="T232" i="492"/>
  <c r="Q5" i="492"/>
  <c r="M5" i="492"/>
  <c r="M210" i="492"/>
  <c r="Q210" i="492"/>
  <c r="P20" i="381" l="1"/>
  <c r="P12" i="381"/>
  <c r="P29" i="420" l="1"/>
  <c r="P30" i="420"/>
  <c r="P31" i="420"/>
  <c r="P28" i="420"/>
  <c r="O132" i="429"/>
  <c r="O133" i="429"/>
  <c r="O131" i="429"/>
  <c r="O121" i="429"/>
  <c r="O122" i="429"/>
  <c r="O123" i="429"/>
  <c r="O124" i="429"/>
  <c r="O125" i="429"/>
  <c r="O126" i="429"/>
  <c r="O127" i="429"/>
  <c r="O128" i="429"/>
  <c r="O120" i="429"/>
  <c r="G93" i="417" l="1"/>
  <c r="P93" i="417"/>
  <c r="T93" i="417"/>
  <c r="V93" i="417" s="1"/>
  <c r="W93" i="417"/>
  <c r="AA93" i="417" s="1"/>
  <c r="AB93" i="417" l="1"/>
  <c r="AD93" i="417" s="1"/>
  <c r="X93" i="417"/>
  <c r="Z93" i="417" s="1"/>
  <c r="N155" i="417"/>
  <c r="N123" i="417"/>
  <c r="N124" i="417"/>
  <c r="N125" i="417"/>
  <c r="N126" i="417"/>
  <c r="N127" i="417"/>
  <c r="N128" i="417"/>
  <c r="N129" i="417"/>
  <c r="N130" i="417"/>
  <c r="N131" i="417"/>
  <c r="N13" i="417"/>
  <c r="N12" i="417"/>
  <c r="N10" i="417"/>
  <c r="R302" i="417"/>
  <c r="T302" i="417" s="1"/>
  <c r="P324" i="417"/>
  <c r="R324" i="417" s="1"/>
  <c r="T324" i="417" s="1"/>
  <c r="G324" i="417"/>
  <c r="P323" i="417"/>
  <c r="R323" i="417" s="1"/>
  <c r="T323" i="417" s="1"/>
  <c r="G323" i="417"/>
  <c r="P322" i="417"/>
  <c r="R322" i="417" s="1"/>
  <c r="T322" i="417" s="1"/>
  <c r="G322" i="417"/>
  <c r="P321" i="417"/>
  <c r="R321" i="417" s="1"/>
  <c r="T321" i="417" s="1"/>
  <c r="G321" i="417"/>
  <c r="P320" i="417"/>
  <c r="R320" i="417" s="1"/>
  <c r="T320" i="417" s="1"/>
  <c r="G320" i="417"/>
  <c r="P319" i="417"/>
  <c r="R319" i="417" s="1"/>
  <c r="T319" i="417" s="1"/>
  <c r="G319" i="417"/>
  <c r="P318" i="417"/>
  <c r="R318" i="417" s="1"/>
  <c r="T318" i="417" s="1"/>
  <c r="G318" i="417"/>
  <c r="P317" i="417"/>
  <c r="R317" i="417" s="1"/>
  <c r="T317" i="417" s="1"/>
  <c r="G317" i="417"/>
  <c r="P316" i="417"/>
  <c r="R316" i="417" s="1"/>
  <c r="T316" i="417" s="1"/>
  <c r="G316" i="417"/>
  <c r="P315" i="417"/>
  <c r="R315" i="417" s="1"/>
  <c r="T315" i="417" s="1"/>
  <c r="G315" i="417"/>
  <c r="P314" i="417"/>
  <c r="R314" i="417" s="1"/>
  <c r="T314" i="417" s="1"/>
  <c r="G314" i="417"/>
  <c r="O313" i="417"/>
  <c r="P313" i="417" s="1"/>
  <c r="R313" i="417" s="1"/>
  <c r="T313" i="417" s="1"/>
  <c r="G313" i="417"/>
  <c r="P312" i="417"/>
  <c r="R312" i="417" s="1"/>
  <c r="T312" i="417" s="1"/>
  <c r="G312" i="417"/>
  <c r="P311" i="417"/>
  <c r="R311" i="417" s="1"/>
  <c r="T311" i="417" s="1"/>
  <c r="G311" i="417"/>
  <c r="P310" i="417"/>
  <c r="R310" i="417" s="1"/>
  <c r="T310" i="417" s="1"/>
  <c r="G310" i="417"/>
  <c r="P309" i="417"/>
  <c r="R309" i="417" s="1"/>
  <c r="T309" i="417" s="1"/>
  <c r="G309" i="417"/>
  <c r="P308" i="417"/>
  <c r="R308" i="417" s="1"/>
  <c r="T308" i="417" s="1"/>
  <c r="G308" i="417"/>
  <c r="P307" i="417"/>
  <c r="R307" i="417" s="1"/>
  <c r="T307" i="417" s="1"/>
  <c r="G307" i="417"/>
  <c r="P306" i="417"/>
  <c r="R306" i="417" s="1"/>
  <c r="T306" i="417" s="1"/>
  <c r="G306" i="417"/>
  <c r="P305" i="417"/>
  <c r="R305" i="417" s="1"/>
  <c r="T305" i="417" s="1"/>
  <c r="G305" i="417"/>
  <c r="P304" i="417"/>
  <c r="R304" i="417" s="1"/>
  <c r="T304" i="417" s="1"/>
  <c r="G304" i="417"/>
  <c r="P303" i="417"/>
  <c r="R303" i="417" s="1"/>
  <c r="T303" i="417" s="1"/>
  <c r="G303" i="417"/>
  <c r="P301" i="417"/>
  <c r="R301" i="417" s="1"/>
  <c r="T301" i="417" s="1"/>
  <c r="G301" i="417"/>
  <c r="P300" i="417"/>
  <c r="R300" i="417" s="1"/>
  <c r="T300" i="417" s="1"/>
  <c r="G300" i="417"/>
  <c r="P299" i="417"/>
  <c r="R299" i="417" s="1"/>
  <c r="T299" i="417" s="1"/>
  <c r="G299" i="417"/>
  <c r="P298" i="417"/>
  <c r="R298" i="417" s="1"/>
  <c r="T298" i="417" s="1"/>
  <c r="G298" i="417"/>
  <c r="P297" i="417"/>
  <c r="R297" i="417" s="1"/>
  <c r="T297" i="417" s="1"/>
  <c r="G297" i="417"/>
  <c r="P296" i="417"/>
  <c r="R296" i="417" s="1"/>
  <c r="T296" i="417" s="1"/>
  <c r="G296" i="417"/>
  <c r="P295" i="417"/>
  <c r="R295" i="417" s="1"/>
  <c r="T295" i="417" s="1"/>
  <c r="G295" i="417"/>
  <c r="P294" i="417"/>
  <c r="R294" i="417" s="1"/>
  <c r="T294" i="417" s="1"/>
  <c r="G294" i="417"/>
  <c r="P293" i="417"/>
  <c r="R293" i="417" s="1"/>
  <c r="T293" i="417" s="1"/>
  <c r="G293" i="417"/>
  <c r="P292" i="417"/>
  <c r="R292" i="417" s="1"/>
  <c r="T292" i="417" s="1"/>
  <c r="G292" i="417"/>
  <c r="P291" i="417"/>
  <c r="R291" i="417" s="1"/>
  <c r="T291" i="417" s="1"/>
  <c r="G291" i="417"/>
  <c r="P290" i="417"/>
  <c r="R290" i="417" s="1"/>
  <c r="T290" i="417" s="1"/>
  <c r="M290" i="417"/>
  <c r="G290" i="417"/>
  <c r="P289" i="417"/>
  <c r="R289" i="417" s="1"/>
  <c r="T289" i="417" s="1"/>
  <c r="G289" i="417"/>
  <c r="P288" i="417"/>
  <c r="R288" i="417" s="1"/>
  <c r="T288" i="417" s="1"/>
  <c r="G288" i="417"/>
  <c r="P287" i="417"/>
  <c r="R287" i="417" s="1"/>
  <c r="T287" i="417" s="1"/>
  <c r="G287" i="417"/>
  <c r="P286" i="417"/>
  <c r="R286" i="417" s="1"/>
  <c r="T286" i="417" s="1"/>
  <c r="G286" i="417"/>
  <c r="P285" i="417"/>
  <c r="R285" i="417" s="1"/>
  <c r="T285" i="417" s="1"/>
  <c r="G285" i="417"/>
  <c r="P284" i="417"/>
  <c r="R284" i="417" s="1"/>
  <c r="T284" i="417" s="1"/>
  <c r="G284" i="417"/>
  <c r="P283" i="417"/>
  <c r="R283" i="417" s="1"/>
  <c r="T283" i="417" s="1"/>
  <c r="G283" i="417"/>
  <c r="P282" i="417"/>
  <c r="R282" i="417" s="1"/>
  <c r="T282" i="417" s="1"/>
  <c r="G282" i="417"/>
  <c r="P281" i="417"/>
  <c r="R281" i="417" s="1"/>
  <c r="T281" i="417" s="1"/>
  <c r="G281" i="417"/>
  <c r="E281" i="417"/>
  <c r="P280" i="417"/>
  <c r="R280" i="417" s="1"/>
  <c r="T280" i="417" s="1"/>
  <c r="G280" i="417"/>
  <c r="E280" i="417"/>
  <c r="P279" i="417"/>
  <c r="R279" i="417" s="1"/>
  <c r="T279" i="417" s="1"/>
  <c r="G279" i="417"/>
  <c r="E279" i="417"/>
  <c r="P278" i="417"/>
  <c r="R278" i="417" s="1"/>
  <c r="T278" i="417" s="1"/>
  <c r="G278" i="417"/>
  <c r="E278" i="417"/>
  <c r="P277" i="417"/>
  <c r="R277" i="417" s="1"/>
  <c r="T277" i="417" s="1"/>
  <c r="G277" i="417"/>
  <c r="E277" i="417"/>
  <c r="P276" i="417"/>
  <c r="R276" i="417" s="1"/>
  <c r="T276" i="417" s="1"/>
  <c r="G276" i="417"/>
  <c r="E276" i="417"/>
  <c r="P275" i="417"/>
  <c r="R275" i="417" s="1"/>
  <c r="T275" i="417" s="1"/>
  <c r="G275" i="417"/>
  <c r="E275" i="417"/>
  <c r="P274" i="417"/>
  <c r="R274" i="417" s="1"/>
  <c r="T274" i="417" s="1"/>
  <c r="G274" i="417"/>
  <c r="E274" i="417"/>
  <c r="P273" i="417"/>
  <c r="R273" i="417" s="1"/>
  <c r="T273" i="417" s="1"/>
  <c r="G273" i="417"/>
  <c r="E273" i="417"/>
  <c r="P272" i="417"/>
  <c r="R272" i="417" s="1"/>
  <c r="T272" i="417" s="1"/>
  <c r="G272" i="417"/>
  <c r="E272" i="417"/>
  <c r="P271" i="417"/>
  <c r="R271" i="417" s="1"/>
  <c r="T271" i="417" s="1"/>
  <c r="G271" i="417"/>
  <c r="E271" i="417"/>
  <c r="P270" i="417"/>
  <c r="R270" i="417" s="1"/>
  <c r="T270" i="417" s="1"/>
  <c r="G270" i="417"/>
  <c r="E270" i="417"/>
  <c r="P269" i="417"/>
  <c r="R269" i="417" s="1"/>
  <c r="T269" i="417" s="1"/>
  <c r="G269" i="417"/>
  <c r="E269" i="417"/>
  <c r="R268" i="417"/>
  <c r="T268" i="417" s="1"/>
  <c r="G268" i="417"/>
  <c r="E268" i="417"/>
  <c r="P267" i="417"/>
  <c r="R267" i="417" s="1"/>
  <c r="T267" i="417" s="1"/>
  <c r="G267" i="417"/>
  <c r="E267" i="417"/>
  <c r="P266" i="417"/>
  <c r="R266" i="417" s="1"/>
  <c r="T266" i="417" s="1"/>
  <c r="G266" i="417"/>
  <c r="E266" i="417"/>
  <c r="P265" i="417"/>
  <c r="R265" i="417" s="1"/>
  <c r="T265" i="417" s="1"/>
  <c r="G265" i="417"/>
  <c r="E265" i="417"/>
  <c r="P264" i="417"/>
  <c r="R264" i="417" s="1"/>
  <c r="T264" i="417" s="1"/>
  <c r="G264" i="417"/>
  <c r="E264" i="417"/>
  <c r="P263" i="417"/>
  <c r="R263" i="417" s="1"/>
  <c r="T263" i="417" s="1"/>
  <c r="G263" i="417"/>
  <c r="E263" i="417"/>
  <c r="P262" i="417"/>
  <c r="R262" i="417" s="1"/>
  <c r="T262" i="417" s="1"/>
  <c r="G262" i="417"/>
  <c r="E262" i="417"/>
  <c r="P261" i="417"/>
  <c r="R261" i="417" s="1"/>
  <c r="T261" i="417" s="1"/>
  <c r="G261" i="417"/>
  <c r="E261" i="417"/>
  <c r="R260" i="417"/>
  <c r="T260" i="417" s="1"/>
  <c r="G260" i="417"/>
  <c r="E260" i="417"/>
  <c r="R259" i="417"/>
  <c r="T259" i="417" s="1"/>
  <c r="G259" i="417"/>
  <c r="E259" i="417"/>
  <c r="P258" i="417"/>
  <c r="R258" i="417" s="1"/>
  <c r="T258" i="417" s="1"/>
  <c r="G258" i="417"/>
  <c r="E258" i="417"/>
  <c r="P257" i="417"/>
  <c r="R257" i="417" s="1"/>
  <c r="T257" i="417" s="1"/>
  <c r="G257" i="417"/>
  <c r="E257" i="417"/>
  <c r="P256" i="417"/>
  <c r="R256" i="417" s="1"/>
  <c r="T256" i="417" s="1"/>
  <c r="G256" i="417"/>
  <c r="E256" i="417"/>
  <c r="R255" i="417"/>
  <c r="T255" i="417" s="1"/>
  <c r="G255" i="417"/>
  <c r="E255" i="417"/>
  <c r="P254" i="417"/>
  <c r="R254" i="417" s="1"/>
  <c r="T254" i="417" s="1"/>
  <c r="G254" i="417"/>
  <c r="E254" i="417"/>
  <c r="P253" i="417"/>
  <c r="R253" i="417" s="1"/>
  <c r="T253" i="417" s="1"/>
  <c r="G253" i="417"/>
  <c r="E253" i="417"/>
  <c r="P252" i="417"/>
  <c r="R252" i="417" s="1"/>
  <c r="T252" i="417" s="1"/>
  <c r="G252" i="417"/>
  <c r="E252" i="417"/>
  <c r="P251" i="417"/>
  <c r="R251" i="417" s="1"/>
  <c r="T251" i="417" s="1"/>
  <c r="G251" i="417"/>
  <c r="E251" i="417"/>
  <c r="P250" i="417"/>
  <c r="R250" i="417" s="1"/>
  <c r="T250" i="417" s="1"/>
  <c r="G250" i="417"/>
  <c r="E250" i="417"/>
  <c r="G249" i="417"/>
  <c r="O248" i="417"/>
  <c r="M248" i="417"/>
  <c r="L248" i="417" s="1"/>
  <c r="G248" i="417"/>
  <c r="O247" i="417"/>
  <c r="M247" i="417"/>
  <c r="L247" i="417" s="1"/>
  <c r="G247" i="417"/>
  <c r="S205" i="429"/>
  <c r="W205" i="429" s="1"/>
  <c r="AA205" i="429" s="1"/>
  <c r="P246" i="417"/>
  <c r="R246" i="417" s="1"/>
  <c r="T246" i="417" s="1"/>
  <c r="P245" i="417"/>
  <c r="R245" i="417" s="1"/>
  <c r="T245" i="417" s="1"/>
  <c r="P244" i="417"/>
  <c r="R244" i="417" s="1"/>
  <c r="T244" i="417" s="1"/>
  <c r="P243" i="417"/>
  <c r="R243" i="417" s="1"/>
  <c r="T243" i="417" s="1"/>
  <c r="P242" i="417"/>
  <c r="R242" i="417" s="1"/>
  <c r="T242" i="417" s="1"/>
  <c r="P241" i="417"/>
  <c r="R241" i="417" s="1"/>
  <c r="T241" i="417" s="1"/>
  <c r="P240" i="417"/>
  <c r="R240" i="417" s="1"/>
  <c r="T240" i="417" s="1"/>
  <c r="P239" i="417"/>
  <c r="R239" i="417" s="1"/>
  <c r="T239" i="417" s="1"/>
  <c r="P238" i="417"/>
  <c r="R238" i="417" s="1"/>
  <c r="T238" i="417" s="1"/>
  <c r="P237" i="417"/>
  <c r="R237" i="417" s="1"/>
  <c r="T237" i="417" s="1"/>
  <c r="P236" i="417"/>
  <c r="R236" i="417" s="1"/>
  <c r="T236" i="417" s="1"/>
  <c r="P235" i="417"/>
  <c r="R235" i="417" s="1"/>
  <c r="T235" i="417" s="1"/>
  <c r="P234" i="417"/>
  <c r="R234" i="417" s="1"/>
  <c r="T234" i="417" s="1"/>
  <c r="P233" i="417"/>
  <c r="R233" i="417" s="1"/>
  <c r="T233" i="417" s="1"/>
  <c r="P232" i="417"/>
  <c r="R232" i="417" s="1"/>
  <c r="T232" i="417" s="1"/>
  <c r="P231" i="417"/>
  <c r="R231" i="417" s="1"/>
  <c r="T231" i="417" s="1"/>
  <c r="G246" i="417"/>
  <c r="G245" i="417"/>
  <c r="G244" i="417"/>
  <c r="G243" i="417"/>
  <c r="G242" i="417"/>
  <c r="G241" i="417"/>
  <c r="G240" i="417"/>
  <c r="G239" i="417"/>
  <c r="G238" i="417"/>
  <c r="G237" i="417"/>
  <c r="G236" i="417"/>
  <c r="G235" i="417"/>
  <c r="G234" i="417"/>
  <c r="G233" i="417"/>
  <c r="G232" i="417"/>
  <c r="G231" i="417"/>
  <c r="C230" i="417"/>
  <c r="B230" i="417"/>
  <c r="R247" i="417" l="1"/>
  <c r="R248" i="417"/>
  <c r="T248" i="417" s="1"/>
  <c r="F131" i="377"/>
  <c r="F131" i="379"/>
  <c r="N132" i="380"/>
  <c r="F6" i="381"/>
  <c r="T247" i="417" l="1"/>
  <c r="H8" i="490" l="1"/>
  <c r="H9" i="490" s="1"/>
  <c r="J9" i="490"/>
  <c r="J137" i="490"/>
  <c r="D136" i="490"/>
  <c r="J118" i="490"/>
  <c r="D117" i="490"/>
  <c r="J99" i="490"/>
  <c r="D98" i="490"/>
  <c r="J81" i="490"/>
  <c r="D80" i="490"/>
  <c r="J63" i="490"/>
  <c r="D62" i="490"/>
  <c r="J45" i="490"/>
  <c r="D44" i="490"/>
  <c r="J27" i="490"/>
  <c r="D26" i="490"/>
  <c r="I9" i="490"/>
  <c r="D8" i="490"/>
  <c r="P30" i="442" l="1"/>
  <c r="P31" i="442"/>
  <c r="P32" i="442"/>
  <c r="P33" i="442"/>
  <c r="P34" i="442"/>
  <c r="P35" i="442"/>
  <c r="P36" i="442"/>
  <c r="P37" i="442"/>
  <c r="P38" i="442"/>
  <c r="P40" i="442"/>
  <c r="P41" i="442"/>
  <c r="P42" i="442"/>
  <c r="P43" i="442"/>
  <c r="P44" i="442"/>
  <c r="P45" i="442"/>
  <c r="P46" i="442"/>
  <c r="P47" i="442"/>
  <c r="P48" i="442"/>
  <c r="P49" i="442"/>
  <c r="P50" i="442"/>
  <c r="P29" i="442"/>
  <c r="P9" i="442"/>
  <c r="P10" i="442"/>
  <c r="P11" i="442"/>
  <c r="P12" i="442"/>
  <c r="P13" i="442"/>
  <c r="P14" i="442"/>
  <c r="P15" i="442"/>
  <c r="P16" i="442"/>
  <c r="P17" i="442"/>
  <c r="P18" i="442"/>
  <c r="P19" i="442"/>
  <c r="P20" i="442"/>
  <c r="P21" i="442"/>
  <c r="P22" i="442"/>
  <c r="P23" i="442"/>
  <c r="P24" i="442"/>
  <c r="P25" i="442"/>
  <c r="P26" i="442"/>
  <c r="P27" i="442"/>
  <c r="P8" i="442"/>
  <c r="P206" i="417"/>
  <c r="P14" i="417"/>
  <c r="P17" i="417"/>
  <c r="P25" i="417"/>
  <c r="P31" i="417"/>
  <c r="P33" i="417"/>
  <c r="P40" i="417"/>
  <c r="P43" i="417"/>
  <c r="P49" i="417"/>
  <c r="P51" i="417"/>
  <c r="P61" i="417"/>
  <c r="P92" i="417"/>
  <c r="P95" i="417"/>
  <c r="P176" i="417"/>
  <c r="P230" i="417"/>
  <c r="P11" i="420"/>
  <c r="P12" i="420"/>
  <c r="P13" i="420"/>
  <c r="P14" i="420"/>
  <c r="P15" i="420"/>
  <c r="P16" i="420"/>
  <c r="P184" i="417" s="1"/>
  <c r="P17" i="420"/>
  <c r="P18" i="420"/>
  <c r="P19" i="420"/>
  <c r="P20" i="420"/>
  <c r="P21" i="420"/>
  <c r="P22" i="420"/>
  <c r="P23" i="420"/>
  <c r="P24" i="420"/>
  <c r="P25" i="420"/>
  <c r="P26" i="420"/>
  <c r="P27" i="420"/>
  <c r="P32" i="420"/>
  <c r="P33" i="420"/>
  <c r="P34" i="420"/>
  <c r="P35" i="420"/>
  <c r="P36" i="420"/>
  <c r="P37" i="420"/>
  <c r="P38" i="420"/>
  <c r="P39" i="420"/>
  <c r="P40" i="420"/>
  <c r="P41" i="420"/>
  <c r="P42" i="420"/>
  <c r="P43" i="420"/>
  <c r="P44" i="420"/>
  <c r="P45" i="420"/>
  <c r="P46" i="420"/>
  <c r="P47" i="420"/>
  <c r="P48" i="420"/>
  <c r="P49" i="420"/>
  <c r="P50" i="420"/>
  <c r="P10" i="420"/>
  <c r="P13" i="417"/>
  <c r="P16" i="417"/>
  <c r="P18" i="417"/>
  <c r="P20" i="417"/>
  <c r="P21" i="417"/>
  <c r="P22" i="417"/>
  <c r="P24" i="417"/>
  <c r="P26" i="417"/>
  <c r="P28" i="417"/>
  <c r="P29" i="417"/>
  <c r="P30" i="417"/>
  <c r="P32" i="417"/>
  <c r="P34" i="417"/>
  <c r="P37" i="417"/>
  <c r="P38" i="417"/>
  <c r="P39" i="417"/>
  <c r="P41" i="417"/>
  <c r="P44" i="417"/>
  <c r="P46" i="417"/>
  <c r="P47" i="417"/>
  <c r="P48" i="417"/>
  <c r="P50" i="417"/>
  <c r="P52" i="417"/>
  <c r="P54" i="417"/>
  <c r="P55" i="417"/>
  <c r="P56" i="417"/>
  <c r="P60" i="417"/>
  <c r="P62" i="417"/>
  <c r="P63" i="417"/>
  <c r="P64" i="417"/>
  <c r="P65" i="417"/>
  <c r="P67" i="417"/>
  <c r="P68" i="417"/>
  <c r="P69" i="417"/>
  <c r="P70" i="417"/>
  <c r="P71" i="417"/>
  <c r="P72" i="417"/>
  <c r="P73" i="417"/>
  <c r="P74" i="417"/>
  <c r="P75" i="417"/>
  <c r="P76" i="417"/>
  <c r="P77" i="417"/>
  <c r="P78" i="417"/>
  <c r="P79" i="417"/>
  <c r="P80" i="417"/>
  <c r="P81" i="417"/>
  <c r="P82" i="417"/>
  <c r="P83" i="417"/>
  <c r="P84" i="417"/>
  <c r="P85" i="417"/>
  <c r="P86" i="417"/>
  <c r="P87" i="417"/>
  <c r="P88" i="417"/>
  <c r="P89" i="417"/>
  <c r="P90" i="417"/>
  <c r="P91" i="417"/>
  <c r="P94" i="417"/>
  <c r="P96" i="417"/>
  <c r="P97" i="417"/>
  <c r="P98" i="417"/>
  <c r="P99" i="417"/>
  <c r="P100" i="417"/>
  <c r="P101" i="417"/>
  <c r="P103" i="417"/>
  <c r="P104" i="417"/>
  <c r="P105" i="417"/>
  <c r="P108" i="417"/>
  <c r="P110" i="417"/>
  <c r="P112" i="417"/>
  <c r="P113" i="417"/>
  <c r="P114" i="417"/>
  <c r="P115" i="417"/>
  <c r="P116" i="417"/>
  <c r="P117" i="417"/>
  <c r="P118" i="417"/>
  <c r="P119" i="417"/>
  <c r="P120" i="417"/>
  <c r="P121" i="417"/>
  <c r="P122" i="417"/>
  <c r="P123" i="417"/>
  <c r="P124" i="417"/>
  <c r="P125" i="417"/>
  <c r="P126" i="417"/>
  <c r="P127" i="417"/>
  <c r="P128" i="417"/>
  <c r="P129" i="417"/>
  <c r="P130" i="417"/>
  <c r="P131" i="417"/>
  <c r="P132" i="417"/>
  <c r="P133" i="417"/>
  <c r="P134" i="417"/>
  <c r="P135" i="417"/>
  <c r="P136" i="417"/>
  <c r="P137" i="417"/>
  <c r="P138" i="417"/>
  <c r="P139" i="417"/>
  <c r="P140" i="417"/>
  <c r="P141" i="417"/>
  <c r="P142" i="417"/>
  <c r="P143" i="417"/>
  <c r="P144" i="417"/>
  <c r="P145" i="417"/>
  <c r="P146" i="417"/>
  <c r="P147" i="417"/>
  <c r="P148" i="417"/>
  <c r="P149" i="417"/>
  <c r="P150" i="417"/>
  <c r="P151" i="417"/>
  <c r="P152" i="417"/>
  <c r="P154" i="417"/>
  <c r="P157" i="417"/>
  <c r="P158" i="417"/>
  <c r="P161" i="417"/>
  <c r="P162" i="417"/>
  <c r="P163" i="417"/>
  <c r="P164" i="417"/>
  <c r="P165" i="417"/>
  <c r="P167" i="417"/>
  <c r="P168" i="417"/>
  <c r="P169" i="417"/>
  <c r="P181" i="417"/>
  <c r="P182" i="417"/>
  <c r="P193" i="417"/>
  <c r="P194" i="417"/>
  <c r="P197" i="417"/>
  <c r="P202" i="417"/>
  <c r="P203" i="417"/>
  <c r="P204" i="417"/>
  <c r="P205" i="417"/>
  <c r="P207" i="417"/>
  <c r="P208" i="417"/>
  <c r="P215" i="417"/>
  <c r="P216" i="417"/>
  <c r="P217" i="417"/>
  <c r="P218" i="417"/>
  <c r="P219" i="417"/>
  <c r="P220" i="417"/>
  <c r="P221" i="417"/>
  <c r="P222" i="417"/>
  <c r="P223" i="417"/>
  <c r="P224" i="417"/>
  <c r="P225" i="417"/>
  <c r="P226" i="417"/>
  <c r="P227" i="417"/>
  <c r="P228" i="417"/>
  <c r="P229" i="417"/>
  <c r="D58" i="124"/>
  <c r="D56" i="124"/>
  <c r="D54" i="124"/>
  <c r="G54" i="124" s="1"/>
  <c r="I54" i="124" s="1"/>
  <c r="D52" i="124"/>
  <c r="G52" i="124" s="1"/>
  <c r="I52" i="124" s="1"/>
  <c r="D50" i="124"/>
  <c r="G50" i="124" s="1"/>
  <c r="I50" i="124" s="1"/>
  <c r="D49" i="124"/>
  <c r="G49" i="124" s="1"/>
  <c r="I49" i="124" s="1"/>
  <c r="D48" i="124"/>
  <c r="G48" i="124" s="1"/>
  <c r="I48" i="124" s="1"/>
  <c r="D47" i="124"/>
  <c r="G47" i="124" s="1"/>
  <c r="I47" i="124" s="1"/>
  <c r="P59" i="417" l="1"/>
  <c r="P53" i="417"/>
  <c r="P45" i="417"/>
  <c r="P27" i="417"/>
  <c r="P23" i="417"/>
  <c r="P19" i="417"/>
  <c r="P12" i="417"/>
  <c r="P10" i="417"/>
  <c r="R10" i="430"/>
  <c r="T10" i="430" s="1"/>
  <c r="Q10" i="422"/>
  <c r="P57" i="487" l="1"/>
  <c r="N57" i="487"/>
  <c r="L57" i="487"/>
  <c r="K57" i="487"/>
  <c r="J57" i="487"/>
  <c r="I57" i="487"/>
  <c r="H57" i="487"/>
  <c r="Q56" i="487"/>
  <c r="M56" i="487"/>
  <c r="F56" i="487"/>
  <c r="M55" i="487"/>
  <c r="O55" i="487" s="1"/>
  <c r="E55" i="487"/>
  <c r="G55" i="487" s="1"/>
  <c r="Q55" i="487" s="1"/>
  <c r="M54" i="487"/>
  <c r="O54" i="487" s="1"/>
  <c r="E54" i="487"/>
  <c r="G54" i="487" s="1"/>
  <c r="Q54" i="487" s="1"/>
  <c r="M53" i="487"/>
  <c r="O53" i="487" s="1"/>
  <c r="E53" i="487"/>
  <c r="G53" i="487" s="1"/>
  <c r="Q53" i="487" s="1"/>
  <c r="Q52" i="487"/>
  <c r="M52" i="487"/>
  <c r="O52" i="487" s="1"/>
  <c r="M51" i="487"/>
  <c r="O51" i="487" s="1"/>
  <c r="M50" i="487"/>
  <c r="O50" i="487" s="1"/>
  <c r="E50" i="487"/>
  <c r="G50" i="487" s="1"/>
  <c r="Q50" i="487" s="1"/>
  <c r="M49" i="487"/>
  <c r="O49" i="487" s="1"/>
  <c r="E49" i="487"/>
  <c r="G49" i="487" s="1"/>
  <c r="Q49" i="487" s="1"/>
  <c r="Q48" i="487"/>
  <c r="M48" i="487"/>
  <c r="O48" i="487" s="1"/>
  <c r="Q47" i="487"/>
  <c r="M47" i="487"/>
  <c r="O47" i="487" s="1"/>
  <c r="Q46" i="487"/>
  <c r="M46" i="487"/>
  <c r="O46" i="487" s="1"/>
  <c r="Q45" i="487"/>
  <c r="M45" i="487"/>
  <c r="O45" i="487" s="1"/>
  <c r="Q44" i="487"/>
  <c r="M44" i="487"/>
  <c r="O44" i="487" s="1"/>
  <c r="M43" i="487"/>
  <c r="O43" i="487" s="1"/>
  <c r="E43" i="487"/>
  <c r="G43" i="487" s="1"/>
  <c r="M42" i="487"/>
  <c r="O42" i="487" s="1"/>
  <c r="E42" i="487"/>
  <c r="G42" i="487" s="1"/>
  <c r="M41" i="487"/>
  <c r="O41" i="487" s="1"/>
  <c r="E41" i="487"/>
  <c r="G41" i="487" s="1"/>
  <c r="M40" i="487"/>
  <c r="O40" i="487" s="1"/>
  <c r="M39" i="487"/>
  <c r="O39" i="487" s="1"/>
  <c r="M38" i="487"/>
  <c r="O38" i="487" s="1"/>
  <c r="M37" i="487"/>
  <c r="O37" i="487" s="1"/>
  <c r="M36" i="487"/>
  <c r="O36" i="487" s="1"/>
  <c r="Q35" i="487"/>
  <c r="M35" i="487"/>
  <c r="O35" i="487" s="1"/>
  <c r="Q34" i="487"/>
  <c r="M34" i="487"/>
  <c r="O34" i="487" s="1"/>
  <c r="Q33" i="487"/>
  <c r="O33" i="487"/>
  <c r="Q32" i="487"/>
  <c r="O32" i="487"/>
  <c r="Q31" i="487"/>
  <c r="M31" i="487"/>
  <c r="O31" i="487" s="1"/>
  <c r="Q30" i="487"/>
  <c r="M30" i="487"/>
  <c r="O30" i="487" s="1"/>
  <c r="M29" i="487"/>
  <c r="O29" i="487" s="1"/>
  <c r="E29" i="487"/>
  <c r="G29" i="487" s="1"/>
  <c r="M28" i="487"/>
  <c r="O28" i="487" s="1"/>
  <c r="E28" i="487"/>
  <c r="G28" i="487" s="1"/>
  <c r="Q28" i="487" s="1"/>
  <c r="M27" i="487"/>
  <c r="O27" i="487" s="1"/>
  <c r="E27" i="487"/>
  <c r="G27" i="487" s="1"/>
  <c r="Q27" i="487" s="1"/>
  <c r="M26" i="487"/>
  <c r="O26" i="487" s="1"/>
  <c r="E26" i="487"/>
  <c r="G26" i="487" s="1"/>
  <c r="Q26" i="487" s="1"/>
  <c r="M25" i="487"/>
  <c r="O25" i="487" s="1"/>
  <c r="E25" i="487"/>
  <c r="G25" i="487" s="1"/>
  <c r="Q25" i="487" s="1"/>
  <c r="M24" i="487"/>
  <c r="O24" i="487" s="1"/>
  <c r="E24" i="487"/>
  <c r="G24" i="487" s="1"/>
  <c r="Q24" i="487" s="1"/>
  <c r="Q23" i="487"/>
  <c r="M23" i="487"/>
  <c r="O23" i="487" s="1"/>
  <c r="O22" i="487"/>
  <c r="M21" i="487"/>
  <c r="O21" i="487" s="1"/>
  <c r="E21" i="487"/>
  <c r="G21" i="487" s="1"/>
  <c r="Q21" i="487" s="1"/>
  <c r="M20" i="487"/>
  <c r="O20" i="487" s="1"/>
  <c r="E20" i="487"/>
  <c r="G20" i="487" s="1"/>
  <c r="Q20" i="487" s="1"/>
  <c r="Q19" i="487"/>
  <c r="M19" i="487"/>
  <c r="O19" i="487" s="1"/>
  <c r="Q18" i="487"/>
  <c r="M18" i="487"/>
  <c r="O18" i="487" s="1"/>
  <c r="M17" i="487"/>
  <c r="O17" i="487" s="1"/>
  <c r="E17" i="487"/>
  <c r="G17" i="487" s="1"/>
  <c r="Q17" i="487" s="1"/>
  <c r="Q16" i="487"/>
  <c r="Q15" i="487"/>
  <c r="M15" i="487"/>
  <c r="O15" i="487" s="1"/>
  <c r="M14" i="487"/>
  <c r="O14" i="487" s="1"/>
  <c r="E14" i="487"/>
  <c r="G14" i="487" s="1"/>
  <c r="M13" i="487"/>
  <c r="O13" i="487" s="1"/>
  <c r="E13" i="487"/>
  <c r="G13" i="487" s="1"/>
  <c r="Q13" i="487" s="1"/>
  <c r="M12" i="487"/>
  <c r="O12" i="487" s="1"/>
  <c r="E12" i="487"/>
  <c r="G12" i="487" s="1"/>
  <c r="Q12" i="487" s="1"/>
  <c r="M11" i="487"/>
  <c r="O11" i="487" s="1"/>
  <c r="E11" i="487"/>
  <c r="G11" i="487" s="1"/>
  <c r="Q11" i="487" s="1"/>
  <c r="Q10" i="487"/>
  <c r="M10" i="487"/>
  <c r="O10" i="487" s="1"/>
  <c r="Q9" i="487"/>
  <c r="M9" i="487"/>
  <c r="O9" i="487" s="1"/>
  <c r="M8" i="487"/>
  <c r="O8" i="487" s="1"/>
  <c r="E8" i="487"/>
  <c r="G8" i="487" s="1"/>
  <c r="M7" i="487"/>
  <c r="O7" i="487" s="1"/>
  <c r="E7" i="487"/>
  <c r="G7" i="487" s="1"/>
  <c r="Q7" i="487" s="1"/>
  <c r="O6" i="487"/>
  <c r="G6" i="487"/>
  <c r="M5" i="487"/>
  <c r="O5" i="487" s="1"/>
  <c r="E5" i="487"/>
  <c r="G5" i="487" s="1"/>
  <c r="Q5" i="487" s="1"/>
  <c r="M4" i="487"/>
  <c r="O4" i="487" s="1"/>
  <c r="E4" i="487"/>
  <c r="G4" i="487" s="1"/>
  <c r="B5" i="477"/>
  <c r="C5" i="477" s="1"/>
  <c r="B5" i="478"/>
  <c r="C5" i="478" s="1"/>
  <c r="B5" i="479"/>
  <c r="C5" i="479" s="1"/>
  <c r="C4" i="476"/>
  <c r="C37" i="476" s="1"/>
  <c r="M85" i="479"/>
  <c r="O85" i="479" s="1"/>
  <c r="E85" i="479"/>
  <c r="G85" i="479" s="1"/>
  <c r="T85" i="479" s="1"/>
  <c r="M84" i="479"/>
  <c r="O84" i="479" s="1"/>
  <c r="E84" i="479"/>
  <c r="G84" i="479" s="1"/>
  <c r="T84" i="479" s="1"/>
  <c r="T83" i="479"/>
  <c r="I83" i="479"/>
  <c r="F83" i="479"/>
  <c r="T82" i="479"/>
  <c r="O82" i="479"/>
  <c r="I82" i="479"/>
  <c r="F82" i="479"/>
  <c r="R89" i="479" s="1"/>
  <c r="N81" i="479"/>
  <c r="P81" i="479" s="1"/>
  <c r="R81" i="479" s="1"/>
  <c r="E81" i="479"/>
  <c r="G81" i="479" s="1"/>
  <c r="O80" i="479"/>
  <c r="R80" i="479" s="1"/>
  <c r="E80" i="479"/>
  <c r="G80" i="479" s="1"/>
  <c r="T80" i="479" s="1"/>
  <c r="T79" i="479"/>
  <c r="O79" i="479"/>
  <c r="R79" i="479" s="1"/>
  <c r="I79" i="479"/>
  <c r="T78" i="479"/>
  <c r="O78" i="479"/>
  <c r="R78" i="479" s="1"/>
  <c r="I78" i="479"/>
  <c r="T77" i="479"/>
  <c r="O77" i="479"/>
  <c r="R77" i="479" s="1"/>
  <c r="I77" i="479"/>
  <c r="T76" i="479"/>
  <c r="O76" i="479"/>
  <c r="R76" i="479" s="1"/>
  <c r="I76" i="479"/>
  <c r="T75" i="479"/>
  <c r="O75" i="479"/>
  <c r="R75" i="479" s="1"/>
  <c r="I75" i="479"/>
  <c r="T74" i="479"/>
  <c r="O74" i="479"/>
  <c r="R74" i="479" s="1"/>
  <c r="I74" i="479"/>
  <c r="T73" i="479"/>
  <c r="O73" i="479"/>
  <c r="R73" i="479" s="1"/>
  <c r="I73" i="479"/>
  <c r="T72" i="479"/>
  <c r="O72" i="479"/>
  <c r="R72" i="479" s="1"/>
  <c r="I72" i="479"/>
  <c r="O71" i="479"/>
  <c r="R71" i="479" s="1"/>
  <c r="E71" i="479"/>
  <c r="G71" i="479" s="1"/>
  <c r="I71" i="479" s="1"/>
  <c r="T70" i="479"/>
  <c r="O70" i="479"/>
  <c r="R70" i="479" s="1"/>
  <c r="I70" i="479"/>
  <c r="T69" i="479"/>
  <c r="O69" i="479"/>
  <c r="R69" i="479" s="1"/>
  <c r="I69" i="479"/>
  <c r="T68" i="479"/>
  <c r="O68" i="479"/>
  <c r="R68" i="479" s="1"/>
  <c r="I68" i="479"/>
  <c r="O67" i="479"/>
  <c r="R67" i="479" s="1"/>
  <c r="E67" i="479"/>
  <c r="G67" i="479" s="1"/>
  <c r="T66" i="479"/>
  <c r="O66" i="479"/>
  <c r="R66" i="479" s="1"/>
  <c r="I66" i="479"/>
  <c r="T65" i="479"/>
  <c r="O65" i="479"/>
  <c r="R65" i="479" s="1"/>
  <c r="I65" i="479"/>
  <c r="O64" i="479"/>
  <c r="R64" i="479" s="1"/>
  <c r="E64" i="479"/>
  <c r="G64" i="479" s="1"/>
  <c r="O63" i="479"/>
  <c r="R63" i="479" s="1"/>
  <c r="E63" i="479"/>
  <c r="G63" i="479" s="1"/>
  <c r="T63" i="479" s="1"/>
  <c r="O62" i="479"/>
  <c r="R62" i="479" s="1"/>
  <c r="E62" i="479"/>
  <c r="G62" i="479" s="1"/>
  <c r="I62" i="479" s="1"/>
  <c r="T61" i="479"/>
  <c r="O61" i="479"/>
  <c r="R61" i="479" s="1"/>
  <c r="I61" i="479"/>
  <c r="T60" i="479"/>
  <c r="O60" i="479"/>
  <c r="R60" i="479" s="1"/>
  <c r="I60" i="479"/>
  <c r="T59" i="479"/>
  <c r="O59" i="479"/>
  <c r="R59" i="479" s="1"/>
  <c r="I59" i="479"/>
  <c r="T58" i="479"/>
  <c r="O58" i="479"/>
  <c r="R58" i="479" s="1"/>
  <c r="I58" i="479"/>
  <c r="T57" i="479"/>
  <c r="O57" i="479"/>
  <c r="R57" i="479" s="1"/>
  <c r="I57" i="479"/>
  <c r="O56" i="479"/>
  <c r="R56" i="479" s="1"/>
  <c r="E56" i="479"/>
  <c r="G56" i="479" s="1"/>
  <c r="T55" i="479"/>
  <c r="R55" i="479"/>
  <c r="I55" i="479"/>
  <c r="T54" i="479"/>
  <c r="O54" i="479"/>
  <c r="R54" i="479" s="1"/>
  <c r="I54" i="479"/>
  <c r="T53" i="479"/>
  <c r="O53" i="479"/>
  <c r="R53" i="479" s="1"/>
  <c r="I53" i="479"/>
  <c r="T52" i="479"/>
  <c r="O52" i="479"/>
  <c r="R52" i="479" s="1"/>
  <c r="I52" i="479"/>
  <c r="T51" i="479"/>
  <c r="O51" i="479"/>
  <c r="R51" i="479" s="1"/>
  <c r="I51" i="479"/>
  <c r="T50" i="479"/>
  <c r="O50" i="479"/>
  <c r="R50" i="479" s="1"/>
  <c r="I50" i="479"/>
  <c r="T49" i="479"/>
  <c r="O49" i="479"/>
  <c r="R49" i="479" s="1"/>
  <c r="I49" i="479"/>
  <c r="T48" i="479"/>
  <c r="O48" i="479"/>
  <c r="R48" i="479" s="1"/>
  <c r="I48" i="479"/>
  <c r="T47" i="479"/>
  <c r="O47" i="479"/>
  <c r="R47" i="479" s="1"/>
  <c r="I47" i="479"/>
  <c r="T46" i="479"/>
  <c r="O46" i="479"/>
  <c r="R46" i="479" s="1"/>
  <c r="I46" i="479"/>
  <c r="T45" i="479"/>
  <c r="O45" i="479"/>
  <c r="R45" i="479" s="1"/>
  <c r="I45" i="479"/>
  <c r="T44" i="479"/>
  <c r="O44" i="479"/>
  <c r="R44" i="479" s="1"/>
  <c r="I44" i="479"/>
  <c r="T43" i="479"/>
  <c r="O43" i="479"/>
  <c r="R43" i="479" s="1"/>
  <c r="I43" i="479"/>
  <c r="T42" i="479"/>
  <c r="O42" i="479"/>
  <c r="R42" i="479" s="1"/>
  <c r="I42" i="479"/>
  <c r="T41" i="479"/>
  <c r="O41" i="479"/>
  <c r="R41" i="479" s="1"/>
  <c r="I41" i="479"/>
  <c r="T40" i="479"/>
  <c r="O40" i="479"/>
  <c r="R40" i="479" s="1"/>
  <c r="I40" i="479"/>
  <c r="T39" i="479"/>
  <c r="O39" i="479"/>
  <c r="R39" i="479" s="1"/>
  <c r="I39" i="479"/>
  <c r="T38" i="479"/>
  <c r="R38" i="479"/>
  <c r="I38" i="479"/>
  <c r="T37" i="479"/>
  <c r="O37" i="479"/>
  <c r="R37" i="479" s="1"/>
  <c r="I37" i="479"/>
  <c r="T36" i="479"/>
  <c r="O36" i="479"/>
  <c r="R36" i="479" s="1"/>
  <c r="I36" i="479"/>
  <c r="T35" i="479"/>
  <c r="O35" i="479"/>
  <c r="R35" i="479" s="1"/>
  <c r="I35" i="479"/>
  <c r="O34" i="479"/>
  <c r="R34" i="479" s="1"/>
  <c r="E34" i="479"/>
  <c r="G34" i="479" s="1"/>
  <c r="T34" i="479" s="1"/>
  <c r="O33" i="479"/>
  <c r="R33" i="479" s="1"/>
  <c r="E33" i="479"/>
  <c r="G33" i="479" s="1"/>
  <c r="I33" i="479" s="1"/>
  <c r="O32" i="479"/>
  <c r="R32" i="479" s="1"/>
  <c r="E32" i="479"/>
  <c r="G32" i="479" s="1"/>
  <c r="T31" i="479"/>
  <c r="O31" i="479"/>
  <c r="R31" i="479" s="1"/>
  <c r="I31" i="479"/>
  <c r="T30" i="479"/>
  <c r="O30" i="479"/>
  <c r="R30" i="479" s="1"/>
  <c r="I30" i="479"/>
  <c r="T29" i="479"/>
  <c r="O29" i="479"/>
  <c r="R29" i="479" s="1"/>
  <c r="I29" i="479"/>
  <c r="T28" i="479"/>
  <c r="O28" i="479"/>
  <c r="R28" i="479" s="1"/>
  <c r="I28" i="479"/>
  <c r="T27" i="479"/>
  <c r="O27" i="479"/>
  <c r="R27" i="479" s="1"/>
  <c r="I27" i="479"/>
  <c r="T26" i="479"/>
  <c r="O26" i="479"/>
  <c r="R26" i="479" s="1"/>
  <c r="I26" i="479"/>
  <c r="T25" i="479"/>
  <c r="O25" i="479"/>
  <c r="R25" i="479" s="1"/>
  <c r="I25" i="479"/>
  <c r="T24" i="479"/>
  <c r="O24" i="479"/>
  <c r="R24" i="479" s="1"/>
  <c r="I24" i="479"/>
  <c r="T23" i="479"/>
  <c r="O23" i="479"/>
  <c r="R23" i="479" s="1"/>
  <c r="I23" i="479"/>
  <c r="T22" i="479"/>
  <c r="O22" i="479"/>
  <c r="R22" i="479" s="1"/>
  <c r="I22" i="479"/>
  <c r="T21" i="479"/>
  <c r="O21" i="479"/>
  <c r="R21" i="479" s="1"/>
  <c r="I21" i="479"/>
  <c r="T20" i="479"/>
  <c r="O20" i="479"/>
  <c r="R20" i="479" s="1"/>
  <c r="I20" i="479"/>
  <c r="T19" i="479"/>
  <c r="O19" i="479"/>
  <c r="R19" i="479" s="1"/>
  <c r="I19" i="479"/>
  <c r="T18" i="479"/>
  <c r="O18" i="479"/>
  <c r="R18" i="479" s="1"/>
  <c r="I18" i="479"/>
  <c r="T17" i="479"/>
  <c r="O17" i="479"/>
  <c r="R17" i="479" s="1"/>
  <c r="I17" i="479"/>
  <c r="T16" i="479"/>
  <c r="O16" i="479"/>
  <c r="R16" i="479" s="1"/>
  <c r="I16" i="479"/>
  <c r="T15" i="479"/>
  <c r="O15" i="479"/>
  <c r="R15" i="479" s="1"/>
  <c r="I15" i="479"/>
  <c r="T14" i="479"/>
  <c r="O14" i="479"/>
  <c r="R14" i="479" s="1"/>
  <c r="I14" i="479"/>
  <c r="T13" i="479"/>
  <c r="O13" i="479"/>
  <c r="R13" i="479" s="1"/>
  <c r="I13" i="479"/>
  <c r="T12" i="479"/>
  <c r="O12" i="479"/>
  <c r="R12" i="479" s="1"/>
  <c r="I12" i="479"/>
  <c r="T11" i="479"/>
  <c r="O11" i="479"/>
  <c r="R11" i="479" s="1"/>
  <c r="I11" i="479"/>
  <c r="T10" i="479"/>
  <c r="O10" i="479"/>
  <c r="R10" i="479" s="1"/>
  <c r="I10" i="479"/>
  <c r="T9" i="479"/>
  <c r="O9" i="479"/>
  <c r="R9" i="479" s="1"/>
  <c r="I9" i="479"/>
  <c r="T8" i="479"/>
  <c r="O8" i="479"/>
  <c r="R8" i="479" s="1"/>
  <c r="I8" i="479"/>
  <c r="T7" i="479"/>
  <c r="O7" i="479"/>
  <c r="R7" i="479" s="1"/>
  <c r="I7" i="479"/>
  <c r="T6" i="479"/>
  <c r="O6" i="479"/>
  <c r="R6" i="479" s="1"/>
  <c r="I6" i="479"/>
  <c r="T5" i="479"/>
  <c r="O5" i="479"/>
  <c r="R5" i="479" s="1"/>
  <c r="I5" i="479"/>
  <c r="O4" i="479"/>
  <c r="R4" i="479" s="1"/>
  <c r="E4" i="479"/>
  <c r="G4" i="479" s="1"/>
  <c r="O71" i="478"/>
  <c r="Q71" i="478" s="1"/>
  <c r="O70" i="478"/>
  <c r="Q70" i="478" s="1"/>
  <c r="I70" i="478"/>
  <c r="O69" i="478"/>
  <c r="Q69" i="478" s="1"/>
  <c r="I69" i="478"/>
  <c r="O68" i="478"/>
  <c r="Q68" i="478" s="1"/>
  <c r="E68" i="478"/>
  <c r="G68" i="478" s="1"/>
  <c r="I68" i="478" s="1"/>
  <c r="O67" i="478"/>
  <c r="Q67" i="478" s="1"/>
  <c r="E67" i="478"/>
  <c r="G67" i="478" s="1"/>
  <c r="I67" i="478" s="1"/>
  <c r="O66" i="478"/>
  <c r="Q66" i="478" s="1"/>
  <c r="E66" i="478"/>
  <c r="G66" i="478" s="1"/>
  <c r="I66" i="478" s="1"/>
  <c r="O65" i="478"/>
  <c r="Q65" i="478" s="1"/>
  <c r="E65" i="478"/>
  <c r="G65" i="478" s="1"/>
  <c r="I65" i="478" s="1"/>
  <c r="O64" i="478"/>
  <c r="Q64" i="478" s="1"/>
  <c r="E64" i="478"/>
  <c r="G64" i="478" s="1"/>
  <c r="I64" i="478" s="1"/>
  <c r="O63" i="478"/>
  <c r="Q63" i="478" s="1"/>
  <c r="I63" i="478"/>
  <c r="O62" i="478"/>
  <c r="Q62" i="478" s="1"/>
  <c r="I62" i="478"/>
  <c r="O61" i="478"/>
  <c r="Q61" i="478" s="1"/>
  <c r="I61" i="478"/>
  <c r="O60" i="478"/>
  <c r="Q60" i="478" s="1"/>
  <c r="I60" i="478"/>
  <c r="O59" i="478"/>
  <c r="Q59" i="478" s="1"/>
  <c r="I59" i="478"/>
  <c r="O58" i="478"/>
  <c r="Q58" i="478" s="1"/>
  <c r="I58" i="478"/>
  <c r="O57" i="478"/>
  <c r="Q57" i="478" s="1"/>
  <c r="I57" i="478"/>
  <c r="O56" i="478"/>
  <c r="Q56" i="478" s="1"/>
  <c r="I56" i="478"/>
  <c r="O55" i="478"/>
  <c r="Q55" i="478" s="1"/>
  <c r="E55" i="478"/>
  <c r="G55" i="478" s="1"/>
  <c r="I55" i="478" s="1"/>
  <c r="O54" i="478"/>
  <c r="Q54" i="478" s="1"/>
  <c r="E54" i="478"/>
  <c r="G54" i="478" s="1"/>
  <c r="I54" i="478" s="1"/>
  <c r="O53" i="478"/>
  <c r="Q53" i="478" s="1"/>
  <c r="E53" i="478"/>
  <c r="G53" i="478" s="1"/>
  <c r="I53" i="478" s="1"/>
  <c r="O52" i="478"/>
  <c r="Q52" i="478" s="1"/>
  <c r="I52" i="478"/>
  <c r="O51" i="478"/>
  <c r="Q51" i="478" s="1"/>
  <c r="I51" i="478"/>
  <c r="O50" i="478"/>
  <c r="Q50" i="478" s="1"/>
  <c r="E50" i="478"/>
  <c r="G50" i="478" s="1"/>
  <c r="I50" i="478" s="1"/>
  <c r="O49" i="478"/>
  <c r="Q49" i="478" s="1"/>
  <c r="E49" i="478"/>
  <c r="G49" i="478" s="1"/>
  <c r="I49" i="478" s="1"/>
  <c r="O48" i="478"/>
  <c r="Q48" i="478" s="1"/>
  <c r="E48" i="478"/>
  <c r="G48" i="478" s="1"/>
  <c r="I48" i="478" s="1"/>
  <c r="O47" i="478"/>
  <c r="Q47" i="478" s="1"/>
  <c r="I47" i="478"/>
  <c r="O46" i="478"/>
  <c r="Q46" i="478" s="1"/>
  <c r="I46" i="478"/>
  <c r="O45" i="478"/>
  <c r="Q45" i="478" s="1"/>
  <c r="I45" i="478"/>
  <c r="O44" i="478"/>
  <c r="Q44" i="478" s="1"/>
  <c r="I44" i="478"/>
  <c r="O43" i="478"/>
  <c r="Q43" i="478" s="1"/>
  <c r="E43" i="478"/>
  <c r="G43" i="478" s="1"/>
  <c r="I43" i="478" s="1"/>
  <c r="O42" i="478"/>
  <c r="Q42" i="478" s="1"/>
  <c r="E42" i="478"/>
  <c r="G42" i="478" s="1"/>
  <c r="I42" i="478" s="1"/>
  <c r="O41" i="478"/>
  <c r="Q41" i="478" s="1"/>
  <c r="I41" i="478"/>
  <c r="O40" i="478"/>
  <c r="Q40" i="478" s="1"/>
  <c r="I40" i="478"/>
  <c r="O39" i="478"/>
  <c r="Q39" i="478" s="1"/>
  <c r="I39" i="478"/>
  <c r="O38" i="478"/>
  <c r="Q38" i="478" s="1"/>
  <c r="I38" i="478"/>
  <c r="O37" i="478"/>
  <c r="Q37" i="478" s="1"/>
  <c r="I37" i="478"/>
  <c r="O36" i="478"/>
  <c r="Q36" i="478" s="1"/>
  <c r="I36" i="478"/>
  <c r="O35" i="478"/>
  <c r="Q35" i="478" s="1"/>
  <c r="I35" i="478"/>
  <c r="O34" i="478"/>
  <c r="Q34" i="478" s="1"/>
  <c r="I34" i="478"/>
  <c r="O33" i="478"/>
  <c r="Q33" i="478" s="1"/>
  <c r="I33" i="478"/>
  <c r="O32" i="478"/>
  <c r="Q32" i="478" s="1"/>
  <c r="I32" i="478"/>
  <c r="O31" i="478"/>
  <c r="Q31" i="478" s="1"/>
  <c r="I31" i="478"/>
  <c r="O30" i="478"/>
  <c r="Q30" i="478" s="1"/>
  <c r="I30" i="478"/>
  <c r="O29" i="478"/>
  <c r="Q29" i="478" s="1"/>
  <c r="I29" i="478"/>
  <c r="O28" i="478"/>
  <c r="Q28" i="478" s="1"/>
  <c r="I28" i="478"/>
  <c r="O27" i="478"/>
  <c r="Q27" i="478" s="1"/>
  <c r="I27" i="478"/>
  <c r="O26" i="478"/>
  <c r="Q26" i="478" s="1"/>
  <c r="I26" i="478"/>
  <c r="O25" i="478"/>
  <c r="Q25" i="478" s="1"/>
  <c r="I25" i="478"/>
  <c r="O24" i="478"/>
  <c r="Q24" i="478" s="1"/>
  <c r="I24" i="478"/>
  <c r="O23" i="478"/>
  <c r="Q23" i="478" s="1"/>
  <c r="I23" i="478"/>
  <c r="O22" i="478"/>
  <c r="Q22" i="478" s="1"/>
  <c r="E22" i="478"/>
  <c r="G22" i="478" s="1"/>
  <c r="I22" i="478" s="1"/>
  <c r="O21" i="478"/>
  <c r="Q21" i="478" s="1"/>
  <c r="I21" i="478"/>
  <c r="O20" i="478"/>
  <c r="Q20" i="478" s="1"/>
  <c r="O19" i="478"/>
  <c r="Q19" i="478" s="1"/>
  <c r="I19" i="478"/>
  <c r="O18" i="478"/>
  <c r="Q18" i="478" s="1"/>
  <c r="I18" i="478"/>
  <c r="O17" i="478"/>
  <c r="Q17" i="478" s="1"/>
  <c r="I17" i="478"/>
  <c r="O16" i="478"/>
  <c r="Q16" i="478" s="1"/>
  <c r="I16" i="478"/>
  <c r="O15" i="478"/>
  <c r="Q15" i="478" s="1"/>
  <c r="I15" i="478"/>
  <c r="O14" i="478"/>
  <c r="Q14" i="478" s="1"/>
  <c r="I14" i="478"/>
  <c r="O13" i="478"/>
  <c r="Q13" i="478" s="1"/>
  <c r="I13" i="478"/>
  <c r="O12" i="478"/>
  <c r="Q12" i="478" s="1"/>
  <c r="I12" i="478"/>
  <c r="O11" i="478"/>
  <c r="Q11" i="478" s="1"/>
  <c r="I11" i="478"/>
  <c r="O10" i="478"/>
  <c r="Q10" i="478" s="1"/>
  <c r="I10" i="478"/>
  <c r="O9" i="478"/>
  <c r="Q9" i="478" s="1"/>
  <c r="I9" i="478"/>
  <c r="O8" i="478"/>
  <c r="Q8" i="478" s="1"/>
  <c r="E8" i="478"/>
  <c r="G8" i="478" s="1"/>
  <c r="I8" i="478" s="1"/>
  <c r="O7" i="478"/>
  <c r="Q7" i="478" s="1"/>
  <c r="I7" i="478"/>
  <c r="O6" i="478"/>
  <c r="Q6" i="478" s="1"/>
  <c r="I6" i="478"/>
  <c r="O5" i="478"/>
  <c r="Q5" i="478" s="1"/>
  <c r="I5" i="478"/>
  <c r="O4" i="478"/>
  <c r="Q4" i="478" s="1"/>
  <c r="I4" i="478"/>
  <c r="O3" i="478"/>
  <c r="Q3" i="478" s="1"/>
  <c r="I3" i="478"/>
  <c r="B54" i="477"/>
  <c r="C54" i="477" s="1"/>
  <c r="B53" i="477"/>
  <c r="C53" i="477" s="1"/>
  <c r="B52" i="477"/>
  <c r="H42" i="477"/>
  <c r="H40" i="477"/>
  <c r="B30" i="477"/>
  <c r="B29" i="477"/>
  <c r="E28" i="477"/>
  <c r="E26" i="477"/>
  <c r="I24" i="477"/>
  <c r="E24" i="477"/>
  <c r="D23" i="477"/>
  <c r="C52" i="476"/>
  <c r="C41" i="476"/>
  <c r="I72" i="478" l="1"/>
  <c r="I73" i="478" s="1"/>
  <c r="U20" i="509"/>
  <c r="I25" i="477"/>
  <c r="H44" i="477"/>
  <c r="B55" i="477"/>
  <c r="A67" i="477" s="1"/>
  <c r="A68" i="477" s="1"/>
  <c r="C52" i="477"/>
  <c r="C55" i="477" s="1"/>
  <c r="T4" i="479"/>
  <c r="I4" i="479"/>
  <c r="T56" i="479"/>
  <c r="I56" i="479"/>
  <c r="T64" i="479"/>
  <c r="I64" i="479"/>
  <c r="T32" i="479"/>
  <c r="I32" i="479"/>
  <c r="T67" i="479"/>
  <c r="I67" i="479"/>
  <c r="T81" i="479"/>
  <c r="I81" i="479"/>
  <c r="T33" i="479"/>
  <c r="T62" i="479"/>
  <c r="T71" i="479"/>
  <c r="C53" i="476"/>
  <c r="G57" i="487"/>
  <c r="G59" i="487" s="1"/>
  <c r="I34" i="479"/>
  <c r="I63" i="479"/>
  <c r="I80" i="479"/>
  <c r="O57" i="487"/>
  <c r="Q4" i="487"/>
  <c r="Q57" i="487" s="1"/>
  <c r="M57" i="487"/>
  <c r="G86" i="479"/>
  <c r="T88" i="479" s="1"/>
  <c r="G72" i="478"/>
  <c r="G74" i="478" s="1"/>
  <c r="X20" i="509" l="1"/>
  <c r="S20" i="509"/>
  <c r="C55" i="476"/>
  <c r="B9" i="494" s="1"/>
  <c r="B5" i="494" s="1"/>
  <c r="B24" i="494" s="1"/>
  <c r="C54" i="476"/>
  <c r="T86" i="479"/>
  <c r="B20" i="477" s="1"/>
  <c r="B18" i="477" s="1"/>
  <c r="A61" i="477"/>
  <c r="A62" i="477" s="1"/>
  <c r="A64" i="477"/>
  <c r="A65" i="477" s="1"/>
  <c r="I86" i="479"/>
  <c r="V20" i="509" l="1"/>
  <c r="C5" i="494"/>
  <c r="B20" i="478"/>
  <c r="B18" i="478" s="1"/>
  <c r="B20" i="479"/>
  <c r="B18" i="479" s="1"/>
  <c r="B20" i="476"/>
  <c r="B18" i="476" s="1"/>
  <c r="C24" i="494" l="1"/>
  <c r="E24" i="494" s="1"/>
  <c r="F24" i="494" s="1"/>
  <c r="C5" i="472"/>
  <c r="C6" i="472" l="1"/>
  <c r="C7" i="472" s="1"/>
  <c r="C47" i="471"/>
  <c r="D47" i="471" s="1"/>
  <c r="E42" i="471"/>
  <c r="E39" i="471"/>
  <c r="E38" i="471"/>
  <c r="G38" i="471" s="1"/>
  <c r="H38" i="471" s="1"/>
  <c r="E37" i="471"/>
  <c r="G37" i="471" s="1"/>
  <c r="H37" i="471" s="1"/>
  <c r="E36" i="471"/>
  <c r="E35" i="471"/>
  <c r="E34" i="471"/>
  <c r="G34" i="471" s="1"/>
  <c r="H34" i="471" s="1"/>
  <c r="E33" i="471"/>
  <c r="E32" i="471"/>
  <c r="E31" i="471"/>
  <c r="E29" i="471"/>
  <c r="E28" i="471"/>
  <c r="E27" i="471"/>
  <c r="E26" i="471"/>
  <c r="E25" i="471"/>
  <c r="E24" i="471"/>
  <c r="E23" i="471"/>
  <c r="E22" i="471"/>
  <c r="E21" i="471"/>
  <c r="E20" i="471"/>
  <c r="E19" i="471"/>
  <c r="E18" i="471"/>
  <c r="E17" i="471"/>
  <c r="E16" i="471"/>
  <c r="E15" i="471"/>
  <c r="E14" i="471"/>
  <c r="E13" i="471"/>
  <c r="G13" i="471" s="1"/>
  <c r="H13" i="471" s="1"/>
  <c r="E12" i="471"/>
  <c r="E11" i="471"/>
  <c r="G17" i="471" l="1"/>
  <c r="H17" i="471" s="1"/>
  <c r="G21" i="471"/>
  <c r="H21" i="471" s="1"/>
  <c r="G25" i="471"/>
  <c r="H25" i="471" s="1"/>
  <c r="G29" i="471"/>
  <c r="H29" i="471" s="1"/>
  <c r="G14" i="471"/>
  <c r="H14" i="471"/>
  <c r="G18" i="471"/>
  <c r="H18" i="471" s="1"/>
  <c r="G22" i="471"/>
  <c r="H22" i="471" s="1"/>
  <c r="G26" i="471"/>
  <c r="H26" i="471" s="1"/>
  <c r="G31" i="471"/>
  <c r="H31" i="471" s="1"/>
  <c r="G35" i="471"/>
  <c r="H35" i="471" s="1"/>
  <c r="G39" i="471"/>
  <c r="H39" i="471" s="1"/>
  <c r="G11" i="471"/>
  <c r="H11" i="471"/>
  <c r="G15" i="471"/>
  <c r="H15" i="471"/>
  <c r="G19" i="471"/>
  <c r="H19" i="471"/>
  <c r="G23" i="471"/>
  <c r="H23" i="471" s="1"/>
  <c r="G27" i="471"/>
  <c r="H27" i="471" s="1"/>
  <c r="G32" i="471"/>
  <c r="H32" i="471" s="1"/>
  <c r="G36" i="471"/>
  <c r="H36" i="471" s="1"/>
  <c r="G12" i="471"/>
  <c r="H12" i="471" s="1"/>
  <c r="G16" i="471"/>
  <c r="H16" i="471" s="1"/>
  <c r="G20" i="471"/>
  <c r="H20" i="471" s="1"/>
  <c r="G24" i="471"/>
  <c r="H24" i="471" s="1"/>
  <c r="G28" i="471"/>
  <c r="H28" i="471" s="1"/>
  <c r="G33" i="471"/>
  <c r="H33" i="471" s="1"/>
  <c r="E9" i="471"/>
  <c r="E40" i="471"/>
  <c r="F47" i="471"/>
  <c r="H9" i="471" l="1"/>
  <c r="G40" i="471"/>
  <c r="H40" i="471"/>
  <c r="BX27" i="466" l="1"/>
  <c r="BX28" i="466" s="1"/>
  <c r="BX20" i="466"/>
  <c r="BX15" i="466"/>
  <c r="C56" i="466"/>
  <c r="F49" i="466" s="1"/>
  <c r="BM44" i="466"/>
  <c r="BM46" i="466" s="1"/>
  <c r="BM47" i="466" s="1"/>
  <c r="BM41" i="466"/>
  <c r="BV38" i="466"/>
  <c r="BW38" i="466" s="1"/>
  <c r="BR36" i="466"/>
  <c r="BO36" i="466"/>
  <c r="BT33" i="466"/>
  <c r="BQ33" i="466"/>
  <c r="BO33" i="466"/>
  <c r="BQ30" i="466"/>
  <c r="BO30" i="466"/>
  <c r="BQ29" i="466"/>
  <c r="BO29" i="466"/>
  <c r="C28" i="466"/>
  <c r="I27" i="466"/>
  <c r="I28" i="466" s="1"/>
  <c r="E27" i="466"/>
  <c r="E28" i="466" s="1"/>
  <c r="D27" i="466"/>
  <c r="D28" i="466" s="1"/>
  <c r="F26" i="466"/>
  <c r="G26" i="466" s="1"/>
  <c r="G28" i="466" s="1"/>
  <c r="F25" i="466"/>
  <c r="BQ23" i="466"/>
  <c r="BO23" i="466"/>
  <c r="BP23" i="466" s="1"/>
  <c r="H23" i="466"/>
  <c r="H24" i="466" s="1"/>
  <c r="C22" i="466"/>
  <c r="C21" i="466"/>
  <c r="C20" i="466"/>
  <c r="G19" i="466"/>
  <c r="C19" i="466" s="1"/>
  <c r="I18" i="466"/>
  <c r="E18" i="466" s="1"/>
  <c r="G18" i="466"/>
  <c r="C17" i="466"/>
  <c r="C16" i="466"/>
  <c r="F15" i="466"/>
  <c r="C15" i="466" s="1"/>
  <c r="E15" i="466"/>
  <c r="D15" i="466"/>
  <c r="BL15" i="466" s="1"/>
  <c r="F14" i="466"/>
  <c r="C14" i="466" s="1"/>
  <c r="E14" i="466"/>
  <c r="BM13" i="466"/>
  <c r="F13" i="466"/>
  <c r="C13" i="466" s="1"/>
  <c r="E13" i="466"/>
  <c r="F12" i="466"/>
  <c r="C12" i="466" s="1"/>
  <c r="E12" i="466"/>
  <c r="F11" i="466"/>
  <c r="E11" i="466"/>
  <c r="F25" i="465"/>
  <c r="H25" i="465"/>
  <c r="I25" i="465"/>
  <c r="J25" i="465"/>
  <c r="K25" i="465"/>
  <c r="L25" i="465"/>
  <c r="M25" i="465"/>
  <c r="N25" i="465"/>
  <c r="O25" i="465"/>
  <c r="P25" i="465"/>
  <c r="Q25" i="465"/>
  <c r="R25" i="465"/>
  <c r="S25" i="465"/>
  <c r="T25" i="465"/>
  <c r="U25" i="465"/>
  <c r="V25" i="465"/>
  <c r="W25" i="465"/>
  <c r="X25" i="465"/>
  <c r="Y25" i="465"/>
  <c r="Z25" i="465"/>
  <c r="AA25" i="465"/>
  <c r="AB25" i="465"/>
  <c r="AC25" i="465"/>
  <c r="AD25" i="465"/>
  <c r="AE25" i="465"/>
  <c r="AF25" i="465"/>
  <c r="AG25" i="465"/>
  <c r="AH25" i="465"/>
  <c r="AI25" i="465"/>
  <c r="AJ25" i="465"/>
  <c r="AK25" i="465"/>
  <c r="AL25" i="465"/>
  <c r="AM25" i="465"/>
  <c r="AN25" i="465"/>
  <c r="AO25" i="465"/>
  <c r="AP25" i="465"/>
  <c r="AQ25" i="465"/>
  <c r="AR25" i="465"/>
  <c r="AS25" i="465"/>
  <c r="AT25" i="465"/>
  <c r="AU25" i="465"/>
  <c r="AV25" i="465"/>
  <c r="AW25" i="465"/>
  <c r="AX25" i="465"/>
  <c r="AY25" i="465"/>
  <c r="AZ25" i="465"/>
  <c r="BA25" i="465"/>
  <c r="BB25" i="465"/>
  <c r="BC25" i="465"/>
  <c r="BD25" i="465"/>
  <c r="BE25" i="465"/>
  <c r="BF25" i="465"/>
  <c r="BG25" i="465"/>
  <c r="BH25" i="465"/>
  <c r="BI25" i="465"/>
  <c r="BJ25" i="465"/>
  <c r="BK25" i="465"/>
  <c r="BL25" i="465"/>
  <c r="BM25" i="465"/>
  <c r="BN25" i="465"/>
  <c r="BO25" i="465"/>
  <c r="BP25" i="465"/>
  <c r="BQ25" i="465"/>
  <c r="BR25" i="465"/>
  <c r="BS25" i="465"/>
  <c r="BT25" i="465"/>
  <c r="BU25" i="465"/>
  <c r="BV25" i="465"/>
  <c r="BW25" i="465"/>
  <c r="BX25" i="465"/>
  <c r="BY25" i="465"/>
  <c r="G23" i="465"/>
  <c r="G24" i="465" s="1"/>
  <c r="H23" i="465"/>
  <c r="H24" i="465" s="1"/>
  <c r="J23" i="465"/>
  <c r="J24" i="465" s="1"/>
  <c r="J27" i="465" s="1"/>
  <c r="J29" i="465" s="1"/>
  <c r="J30" i="465" s="1"/>
  <c r="J31" i="465" s="1"/>
  <c r="K23" i="465"/>
  <c r="K24" i="465" s="1"/>
  <c r="K27" i="465" s="1"/>
  <c r="K29" i="465" s="1"/>
  <c r="K30" i="465" s="1"/>
  <c r="K31" i="465" s="1"/>
  <c r="L23" i="465"/>
  <c r="L24" i="465" s="1"/>
  <c r="L27" i="465" s="1"/>
  <c r="L29" i="465" s="1"/>
  <c r="L30" i="465" s="1"/>
  <c r="L31" i="465" s="1"/>
  <c r="M23" i="465"/>
  <c r="M24" i="465" s="1"/>
  <c r="M27" i="465" s="1"/>
  <c r="M29" i="465" s="1"/>
  <c r="M30" i="465" s="1"/>
  <c r="M31" i="465" s="1"/>
  <c r="N23" i="465"/>
  <c r="N24" i="465" s="1"/>
  <c r="N27" i="465" s="1"/>
  <c r="N29" i="465" s="1"/>
  <c r="N30" i="465" s="1"/>
  <c r="N31" i="465" s="1"/>
  <c r="O23" i="465"/>
  <c r="O24" i="465" s="1"/>
  <c r="O27" i="465" s="1"/>
  <c r="O29" i="465" s="1"/>
  <c r="O30" i="465" s="1"/>
  <c r="O31" i="465" s="1"/>
  <c r="P23" i="465"/>
  <c r="P24" i="465" s="1"/>
  <c r="P27" i="465" s="1"/>
  <c r="P29" i="465" s="1"/>
  <c r="P30" i="465" s="1"/>
  <c r="P31" i="465" s="1"/>
  <c r="Q23" i="465"/>
  <c r="Q24" i="465" s="1"/>
  <c r="Q27" i="465" s="1"/>
  <c r="Q29" i="465" s="1"/>
  <c r="Q30" i="465" s="1"/>
  <c r="Q31" i="465" s="1"/>
  <c r="R23" i="465"/>
  <c r="R24" i="465" s="1"/>
  <c r="R27" i="465" s="1"/>
  <c r="R29" i="465" s="1"/>
  <c r="R30" i="465" s="1"/>
  <c r="R31" i="465" s="1"/>
  <c r="S23" i="465"/>
  <c r="S24" i="465" s="1"/>
  <c r="S27" i="465" s="1"/>
  <c r="S29" i="465" s="1"/>
  <c r="S30" i="465" s="1"/>
  <c r="S31" i="465" s="1"/>
  <c r="T23" i="465"/>
  <c r="T24" i="465" s="1"/>
  <c r="T27" i="465" s="1"/>
  <c r="T29" i="465" s="1"/>
  <c r="T30" i="465" s="1"/>
  <c r="T31" i="465" s="1"/>
  <c r="U23" i="465"/>
  <c r="U24" i="465" s="1"/>
  <c r="U27" i="465" s="1"/>
  <c r="U29" i="465" s="1"/>
  <c r="U30" i="465" s="1"/>
  <c r="U31" i="465" s="1"/>
  <c r="V23" i="465"/>
  <c r="V24" i="465" s="1"/>
  <c r="V27" i="465" s="1"/>
  <c r="V29" i="465" s="1"/>
  <c r="V30" i="465" s="1"/>
  <c r="V31" i="465" s="1"/>
  <c r="W23" i="465"/>
  <c r="W24" i="465" s="1"/>
  <c r="W27" i="465" s="1"/>
  <c r="W29" i="465" s="1"/>
  <c r="W30" i="465" s="1"/>
  <c r="W31" i="465" s="1"/>
  <c r="X23" i="465"/>
  <c r="X24" i="465" s="1"/>
  <c r="X27" i="465" s="1"/>
  <c r="X29" i="465" s="1"/>
  <c r="X30" i="465" s="1"/>
  <c r="X31" i="465" s="1"/>
  <c r="Y23" i="465"/>
  <c r="Y24" i="465" s="1"/>
  <c r="Y27" i="465" s="1"/>
  <c r="Y29" i="465" s="1"/>
  <c r="Y30" i="465" s="1"/>
  <c r="Y31" i="465" s="1"/>
  <c r="Z23" i="465"/>
  <c r="Z24" i="465" s="1"/>
  <c r="Z27" i="465" s="1"/>
  <c r="Z29" i="465" s="1"/>
  <c r="Z30" i="465" s="1"/>
  <c r="Z31" i="465" s="1"/>
  <c r="AA23" i="465"/>
  <c r="AA24" i="465" s="1"/>
  <c r="AA27" i="465" s="1"/>
  <c r="AA29" i="465" s="1"/>
  <c r="AA30" i="465" s="1"/>
  <c r="AA31" i="465" s="1"/>
  <c r="AB23" i="465"/>
  <c r="AB24" i="465" s="1"/>
  <c r="AB27" i="465" s="1"/>
  <c r="AB29" i="465" s="1"/>
  <c r="AB30" i="465" s="1"/>
  <c r="AB31" i="465" s="1"/>
  <c r="AC23" i="465"/>
  <c r="AC24" i="465" s="1"/>
  <c r="AC27" i="465" s="1"/>
  <c r="AC29" i="465" s="1"/>
  <c r="AC30" i="465" s="1"/>
  <c r="AC31" i="465" s="1"/>
  <c r="AD23" i="465"/>
  <c r="AD24" i="465" s="1"/>
  <c r="AD27" i="465" s="1"/>
  <c r="AD29" i="465" s="1"/>
  <c r="AD30" i="465" s="1"/>
  <c r="AD31" i="465" s="1"/>
  <c r="AE23" i="465"/>
  <c r="AE24" i="465" s="1"/>
  <c r="AE27" i="465" s="1"/>
  <c r="AE29" i="465" s="1"/>
  <c r="AE30" i="465" s="1"/>
  <c r="AE31" i="465" s="1"/>
  <c r="AF23" i="465"/>
  <c r="AF24" i="465" s="1"/>
  <c r="AF27" i="465" s="1"/>
  <c r="AF29" i="465" s="1"/>
  <c r="AF30" i="465" s="1"/>
  <c r="AF31" i="465" s="1"/>
  <c r="AG23" i="465"/>
  <c r="AG24" i="465" s="1"/>
  <c r="AG27" i="465" s="1"/>
  <c r="AG29" i="465" s="1"/>
  <c r="AG30" i="465" s="1"/>
  <c r="AG31" i="465" s="1"/>
  <c r="AH23" i="465"/>
  <c r="AH24" i="465" s="1"/>
  <c r="AH27" i="465" s="1"/>
  <c r="AH29" i="465" s="1"/>
  <c r="AH30" i="465" s="1"/>
  <c r="AH31" i="465" s="1"/>
  <c r="AI23" i="465"/>
  <c r="AI24" i="465" s="1"/>
  <c r="AI27" i="465" s="1"/>
  <c r="AI29" i="465" s="1"/>
  <c r="AI30" i="465" s="1"/>
  <c r="AI31" i="465" s="1"/>
  <c r="AJ23" i="465"/>
  <c r="AJ24" i="465" s="1"/>
  <c r="AJ27" i="465" s="1"/>
  <c r="AJ29" i="465" s="1"/>
  <c r="AJ30" i="465" s="1"/>
  <c r="AJ31" i="465" s="1"/>
  <c r="AK23" i="465"/>
  <c r="AK24" i="465" s="1"/>
  <c r="AK27" i="465" s="1"/>
  <c r="AK29" i="465" s="1"/>
  <c r="AK30" i="465" s="1"/>
  <c r="AK31" i="465" s="1"/>
  <c r="AL23" i="465"/>
  <c r="AL24" i="465" s="1"/>
  <c r="AL27" i="465" s="1"/>
  <c r="AL29" i="465" s="1"/>
  <c r="AL30" i="465" s="1"/>
  <c r="AL31" i="465" s="1"/>
  <c r="AM23" i="465"/>
  <c r="AM24" i="465" s="1"/>
  <c r="AM27" i="465" s="1"/>
  <c r="AM29" i="465" s="1"/>
  <c r="AM30" i="465" s="1"/>
  <c r="AM31" i="465" s="1"/>
  <c r="AN23" i="465"/>
  <c r="AN24" i="465" s="1"/>
  <c r="AN27" i="465" s="1"/>
  <c r="AN29" i="465" s="1"/>
  <c r="AN30" i="465" s="1"/>
  <c r="AN31" i="465" s="1"/>
  <c r="AO23" i="465"/>
  <c r="AO24" i="465" s="1"/>
  <c r="AO27" i="465" s="1"/>
  <c r="AO29" i="465" s="1"/>
  <c r="AO30" i="465" s="1"/>
  <c r="AO31" i="465" s="1"/>
  <c r="AP23" i="465"/>
  <c r="AP24" i="465" s="1"/>
  <c r="AP27" i="465" s="1"/>
  <c r="AP29" i="465" s="1"/>
  <c r="AP30" i="465" s="1"/>
  <c r="AP31" i="465" s="1"/>
  <c r="AQ23" i="465"/>
  <c r="AQ24" i="465" s="1"/>
  <c r="AQ27" i="465" s="1"/>
  <c r="AQ29" i="465" s="1"/>
  <c r="AQ30" i="465" s="1"/>
  <c r="AQ31" i="465" s="1"/>
  <c r="AR23" i="465"/>
  <c r="AR24" i="465" s="1"/>
  <c r="AR27" i="465" s="1"/>
  <c r="AR29" i="465" s="1"/>
  <c r="AR30" i="465" s="1"/>
  <c r="AR31" i="465" s="1"/>
  <c r="AS23" i="465"/>
  <c r="AS24" i="465" s="1"/>
  <c r="AS27" i="465" s="1"/>
  <c r="AS29" i="465" s="1"/>
  <c r="AS30" i="465" s="1"/>
  <c r="AS31" i="465" s="1"/>
  <c r="AT23" i="465"/>
  <c r="AT24" i="465" s="1"/>
  <c r="AT27" i="465" s="1"/>
  <c r="AT29" i="465" s="1"/>
  <c r="AT30" i="465" s="1"/>
  <c r="AT31" i="465" s="1"/>
  <c r="AU23" i="465"/>
  <c r="AU24" i="465" s="1"/>
  <c r="AU27" i="465" s="1"/>
  <c r="AU29" i="465" s="1"/>
  <c r="AU30" i="465" s="1"/>
  <c r="AU31" i="465" s="1"/>
  <c r="AV23" i="465"/>
  <c r="AV24" i="465" s="1"/>
  <c r="AV27" i="465" s="1"/>
  <c r="AV29" i="465" s="1"/>
  <c r="AV30" i="465" s="1"/>
  <c r="AV31" i="465" s="1"/>
  <c r="AW23" i="465"/>
  <c r="AW24" i="465" s="1"/>
  <c r="AW27" i="465" s="1"/>
  <c r="AW29" i="465" s="1"/>
  <c r="AW30" i="465" s="1"/>
  <c r="AW31" i="465" s="1"/>
  <c r="AX23" i="465"/>
  <c r="AX24" i="465" s="1"/>
  <c r="AX27" i="465" s="1"/>
  <c r="AX29" i="465" s="1"/>
  <c r="AX30" i="465" s="1"/>
  <c r="AX31" i="465" s="1"/>
  <c r="AY23" i="465"/>
  <c r="AY24" i="465" s="1"/>
  <c r="AY27" i="465" s="1"/>
  <c r="AY29" i="465" s="1"/>
  <c r="AY30" i="465" s="1"/>
  <c r="AY31" i="465" s="1"/>
  <c r="AZ23" i="465"/>
  <c r="AZ24" i="465" s="1"/>
  <c r="AZ27" i="465" s="1"/>
  <c r="AZ29" i="465" s="1"/>
  <c r="AZ30" i="465" s="1"/>
  <c r="AZ31" i="465" s="1"/>
  <c r="BA23" i="465"/>
  <c r="BA24" i="465" s="1"/>
  <c r="BA27" i="465" s="1"/>
  <c r="BA29" i="465" s="1"/>
  <c r="BA30" i="465" s="1"/>
  <c r="BA31" i="465" s="1"/>
  <c r="BB23" i="465"/>
  <c r="BB24" i="465" s="1"/>
  <c r="BB27" i="465" s="1"/>
  <c r="BB29" i="465" s="1"/>
  <c r="BB30" i="465" s="1"/>
  <c r="BB31" i="465" s="1"/>
  <c r="BC23" i="465"/>
  <c r="BC24" i="465" s="1"/>
  <c r="BC27" i="465" s="1"/>
  <c r="BC29" i="465" s="1"/>
  <c r="BC30" i="465" s="1"/>
  <c r="BC31" i="465" s="1"/>
  <c r="BD23" i="465"/>
  <c r="BD24" i="465" s="1"/>
  <c r="BD27" i="465" s="1"/>
  <c r="BD29" i="465" s="1"/>
  <c r="BD30" i="465" s="1"/>
  <c r="BD31" i="465" s="1"/>
  <c r="BE23" i="465"/>
  <c r="BE24" i="465" s="1"/>
  <c r="BE27" i="465" s="1"/>
  <c r="BE29" i="465" s="1"/>
  <c r="BE30" i="465" s="1"/>
  <c r="BE31" i="465" s="1"/>
  <c r="BF23" i="465"/>
  <c r="BF24" i="465" s="1"/>
  <c r="BF27" i="465" s="1"/>
  <c r="BF29" i="465" s="1"/>
  <c r="BF30" i="465" s="1"/>
  <c r="BF31" i="465" s="1"/>
  <c r="BG23" i="465"/>
  <c r="BG24" i="465" s="1"/>
  <c r="BG27" i="465" s="1"/>
  <c r="BG29" i="465" s="1"/>
  <c r="BG30" i="465" s="1"/>
  <c r="BG31" i="465" s="1"/>
  <c r="BH23" i="465"/>
  <c r="BH24" i="465" s="1"/>
  <c r="BH27" i="465" s="1"/>
  <c r="BH29" i="465" s="1"/>
  <c r="BH30" i="465" s="1"/>
  <c r="BH31" i="465" s="1"/>
  <c r="BI23" i="465"/>
  <c r="BI24" i="465" s="1"/>
  <c r="BI27" i="465" s="1"/>
  <c r="BI29" i="465" s="1"/>
  <c r="BI30" i="465" s="1"/>
  <c r="BI31" i="465" s="1"/>
  <c r="BJ23" i="465"/>
  <c r="BJ24" i="465" s="1"/>
  <c r="BJ27" i="465" s="1"/>
  <c r="BJ29" i="465" s="1"/>
  <c r="BJ30" i="465" s="1"/>
  <c r="BJ31" i="465" s="1"/>
  <c r="BK23" i="465"/>
  <c r="BK24" i="465" s="1"/>
  <c r="BK27" i="465" s="1"/>
  <c r="BK29" i="465" s="1"/>
  <c r="BK30" i="465" s="1"/>
  <c r="BK31" i="465" s="1"/>
  <c r="BP23" i="465"/>
  <c r="BP24" i="465" s="1"/>
  <c r="BP27" i="465" s="1"/>
  <c r="BQ23" i="465"/>
  <c r="BQ24" i="465" s="1"/>
  <c r="BQ27" i="465" s="1"/>
  <c r="BR23" i="465"/>
  <c r="BR24" i="465" s="1"/>
  <c r="BR27" i="465" s="1"/>
  <c r="BR29" i="465" s="1"/>
  <c r="BR30" i="465" s="1"/>
  <c r="BR31" i="465" s="1"/>
  <c r="BR32" i="465" s="1"/>
  <c r="BR33" i="465" s="1"/>
  <c r="BS23" i="465"/>
  <c r="BS24" i="465" s="1"/>
  <c r="BS27" i="465" s="1"/>
  <c r="BS29" i="465" s="1"/>
  <c r="BS30" i="465" s="1"/>
  <c r="BS31" i="465" s="1"/>
  <c r="BT23" i="465"/>
  <c r="BT24" i="465" s="1"/>
  <c r="BT27" i="465" s="1"/>
  <c r="BT29" i="465" s="1"/>
  <c r="BT30" i="465" s="1"/>
  <c r="BT31" i="465" s="1"/>
  <c r="BV23" i="465"/>
  <c r="BV24" i="465" s="1"/>
  <c r="BV27" i="465" s="1"/>
  <c r="BV29" i="465" s="1"/>
  <c r="BV30" i="465" s="1"/>
  <c r="BV31" i="465" s="1"/>
  <c r="C52" i="465"/>
  <c r="F45" i="465" s="1"/>
  <c r="C45" i="465"/>
  <c r="BM40" i="465"/>
  <c r="BM42" i="465" s="1"/>
  <c r="BM43" i="465" s="1"/>
  <c r="BM39" i="465"/>
  <c r="BM37" i="465"/>
  <c r="BL35" i="465"/>
  <c r="BL36" i="465" s="1"/>
  <c r="BQ28" i="465"/>
  <c r="BO28" i="465"/>
  <c r="I26" i="465"/>
  <c r="H26" i="465"/>
  <c r="G26" i="465"/>
  <c r="F26" i="465"/>
  <c r="E26" i="465"/>
  <c r="C26" i="465"/>
  <c r="C21" i="465"/>
  <c r="C20" i="465"/>
  <c r="C19" i="465"/>
  <c r="E18" i="465"/>
  <c r="C18" i="465"/>
  <c r="C17" i="465"/>
  <c r="C16" i="465"/>
  <c r="F15" i="465"/>
  <c r="C15" i="465" s="1"/>
  <c r="E15" i="465"/>
  <c r="D15" i="465"/>
  <c r="BL15" i="465" s="1"/>
  <c r="F14" i="465"/>
  <c r="C14" i="465" s="1"/>
  <c r="E14" i="465"/>
  <c r="BM13" i="465"/>
  <c r="F13" i="465"/>
  <c r="C13" i="465" s="1"/>
  <c r="E13" i="465"/>
  <c r="F12" i="465"/>
  <c r="C12" i="465" s="1"/>
  <c r="E12" i="465"/>
  <c r="F11" i="465"/>
  <c r="E11" i="465"/>
  <c r="BF25" i="463"/>
  <c r="BF26" i="463" s="1"/>
  <c r="O117" i="464"/>
  <c r="O118" i="464"/>
  <c r="O119" i="464"/>
  <c r="O120" i="464"/>
  <c r="O121" i="464"/>
  <c r="O122" i="464"/>
  <c r="O124" i="464"/>
  <c r="O125" i="464"/>
  <c r="O126" i="464"/>
  <c r="O129" i="464"/>
  <c r="J130" i="464"/>
  <c r="F130" i="464"/>
  <c r="L130" i="464" s="1"/>
  <c r="D130" i="464"/>
  <c r="P129" i="464"/>
  <c r="L129" i="464"/>
  <c r="J129" i="464"/>
  <c r="H129" i="464"/>
  <c r="J128" i="464"/>
  <c r="F128" i="464"/>
  <c r="L128" i="464" s="1"/>
  <c r="D128" i="464"/>
  <c r="L127" i="464"/>
  <c r="J127" i="464"/>
  <c r="D127" i="464"/>
  <c r="H127" i="464" s="1"/>
  <c r="P126" i="464"/>
  <c r="L126" i="464"/>
  <c r="J126" i="464"/>
  <c r="H126" i="464"/>
  <c r="P125" i="464"/>
  <c r="L125" i="464"/>
  <c r="J125" i="464"/>
  <c r="H125" i="464"/>
  <c r="P124" i="464"/>
  <c r="L124" i="464"/>
  <c r="J124" i="464"/>
  <c r="H124" i="464"/>
  <c r="J123" i="464"/>
  <c r="P122" i="464"/>
  <c r="L122" i="464"/>
  <c r="J122" i="464"/>
  <c r="H122" i="464"/>
  <c r="P121" i="464"/>
  <c r="L121" i="464"/>
  <c r="J121" i="464"/>
  <c r="H121" i="464"/>
  <c r="P120" i="464"/>
  <c r="L120" i="464"/>
  <c r="J120" i="464"/>
  <c r="H120" i="464"/>
  <c r="P119" i="464"/>
  <c r="L119" i="464"/>
  <c r="J119" i="464"/>
  <c r="H119" i="464"/>
  <c r="P118" i="464"/>
  <c r="L118" i="464"/>
  <c r="J118" i="464"/>
  <c r="H118" i="464"/>
  <c r="P117" i="464"/>
  <c r="L117" i="464"/>
  <c r="J117" i="464"/>
  <c r="H117" i="464"/>
  <c r="J116" i="464"/>
  <c r="F116" i="464"/>
  <c r="L116" i="464" s="1"/>
  <c r="D116" i="464"/>
  <c r="J115" i="464"/>
  <c r="F115" i="464"/>
  <c r="L115" i="464" s="1"/>
  <c r="D115" i="464"/>
  <c r="J114" i="464"/>
  <c r="F114" i="464"/>
  <c r="L114" i="464" s="1"/>
  <c r="D114" i="464"/>
  <c r="J113" i="464"/>
  <c r="F113" i="464"/>
  <c r="L113" i="464" s="1"/>
  <c r="D113" i="464"/>
  <c r="J112" i="464"/>
  <c r="F112" i="464"/>
  <c r="L112" i="464" s="1"/>
  <c r="D112" i="464"/>
  <c r="J109" i="464"/>
  <c r="J108" i="464"/>
  <c r="J107" i="464"/>
  <c r="J106" i="464"/>
  <c r="J105" i="464"/>
  <c r="J104" i="464"/>
  <c r="J103" i="464"/>
  <c r="J102" i="464"/>
  <c r="P101" i="464"/>
  <c r="O101" i="464"/>
  <c r="D101" i="464"/>
  <c r="J100" i="464"/>
  <c r="J99" i="464"/>
  <c r="J98" i="464"/>
  <c r="J97" i="464"/>
  <c r="J96" i="464"/>
  <c r="J95" i="464"/>
  <c r="J94" i="464"/>
  <c r="J93" i="464"/>
  <c r="J92" i="464"/>
  <c r="J91" i="464"/>
  <c r="J90" i="464"/>
  <c r="J89" i="464"/>
  <c r="J88" i="464"/>
  <c r="J87" i="464"/>
  <c r="J86" i="464"/>
  <c r="J85" i="464"/>
  <c r="J84" i="464"/>
  <c r="J83" i="464"/>
  <c r="J82" i="464"/>
  <c r="J81" i="464"/>
  <c r="J80" i="464"/>
  <c r="J79" i="464"/>
  <c r="J78" i="464"/>
  <c r="J77" i="464"/>
  <c r="J76" i="464"/>
  <c r="J75" i="464"/>
  <c r="J74" i="464"/>
  <c r="J73" i="464"/>
  <c r="J72" i="464"/>
  <c r="J71" i="464"/>
  <c r="J70" i="464"/>
  <c r="J69" i="464"/>
  <c r="J68" i="464"/>
  <c r="J67" i="464"/>
  <c r="J66" i="464"/>
  <c r="J65" i="464"/>
  <c r="P64" i="464"/>
  <c r="O64" i="464"/>
  <c r="D64" i="464"/>
  <c r="J63" i="464"/>
  <c r="J62" i="464"/>
  <c r="J61" i="464"/>
  <c r="J60" i="464"/>
  <c r="J59" i="464"/>
  <c r="J58" i="464"/>
  <c r="J57" i="464"/>
  <c r="J56" i="464"/>
  <c r="J55" i="464"/>
  <c r="J54" i="464"/>
  <c r="J53" i="464"/>
  <c r="J52" i="464"/>
  <c r="J51" i="464"/>
  <c r="J50" i="464"/>
  <c r="J49" i="464"/>
  <c r="J48" i="464"/>
  <c r="J47" i="464"/>
  <c r="J46" i="464"/>
  <c r="J45" i="464"/>
  <c r="J44" i="464"/>
  <c r="J43" i="464"/>
  <c r="J42" i="464"/>
  <c r="J41" i="464"/>
  <c r="J40" i="464"/>
  <c r="J39" i="464"/>
  <c r="J38" i="464"/>
  <c r="J37" i="464"/>
  <c r="J36" i="464"/>
  <c r="J35" i="464"/>
  <c r="J34" i="464"/>
  <c r="J33" i="464"/>
  <c r="J32" i="464"/>
  <c r="J31" i="464"/>
  <c r="J30" i="464"/>
  <c r="J29" i="464"/>
  <c r="J28" i="464"/>
  <c r="J27" i="464"/>
  <c r="J26" i="464"/>
  <c r="J25" i="464"/>
  <c r="J24" i="464"/>
  <c r="J23" i="464"/>
  <c r="J22" i="464"/>
  <c r="J21" i="464"/>
  <c r="J20" i="464"/>
  <c r="J19" i="464"/>
  <c r="J18" i="464"/>
  <c r="J17" i="464"/>
  <c r="P16" i="464"/>
  <c r="O16" i="464"/>
  <c r="L16" i="464"/>
  <c r="J16" i="464"/>
  <c r="M16" i="464" s="1"/>
  <c r="H16" i="464"/>
  <c r="P15" i="464"/>
  <c r="O15" i="464"/>
  <c r="L15" i="464"/>
  <c r="J15" i="464"/>
  <c r="H15" i="464"/>
  <c r="P14" i="464"/>
  <c r="O14" i="464"/>
  <c r="L14" i="464"/>
  <c r="J14" i="464"/>
  <c r="H14" i="464"/>
  <c r="P13" i="464"/>
  <c r="O13" i="464"/>
  <c r="L13" i="464"/>
  <c r="J13" i="464"/>
  <c r="H13" i="464"/>
  <c r="P12" i="464"/>
  <c r="O12" i="464"/>
  <c r="L12" i="464"/>
  <c r="J12" i="464"/>
  <c r="M12" i="464" s="1"/>
  <c r="H12" i="464"/>
  <c r="P11" i="464"/>
  <c r="O11" i="464"/>
  <c r="L11" i="464"/>
  <c r="J11" i="464"/>
  <c r="H11" i="464"/>
  <c r="D10" i="464"/>
  <c r="E6" i="464"/>
  <c r="K6" i="464" s="1"/>
  <c r="Q5" i="464"/>
  <c r="F39" i="464" s="1"/>
  <c r="B29" i="463"/>
  <c r="B28" i="463"/>
  <c r="C25" i="463"/>
  <c r="C26" i="463" s="1"/>
  <c r="F23" i="463"/>
  <c r="E23" i="463"/>
  <c r="D23" i="463"/>
  <c r="U10" i="430"/>
  <c r="Y10" i="430" s="1"/>
  <c r="AC9" i="426"/>
  <c r="Y9" i="426"/>
  <c r="U10" i="422"/>
  <c r="Y10" i="422" s="1"/>
  <c r="AA9" i="422"/>
  <c r="W9" i="422"/>
  <c r="G92" i="462"/>
  <c r="B92" i="462"/>
  <c r="E91" i="462"/>
  <c r="G91" i="462" s="1"/>
  <c r="E90" i="462"/>
  <c r="G90" i="462" s="1"/>
  <c r="B89" i="462"/>
  <c r="E89" i="462" s="1"/>
  <c r="G89" i="462" s="1"/>
  <c r="B88" i="462"/>
  <c r="E88" i="462" s="1"/>
  <c r="G88" i="462" s="1"/>
  <c r="B87" i="462"/>
  <c r="E87" i="462" s="1"/>
  <c r="G87" i="462" s="1"/>
  <c r="B86" i="462"/>
  <c r="E86" i="462" s="1"/>
  <c r="G86" i="462" s="1"/>
  <c r="B85" i="462"/>
  <c r="E85" i="462" s="1"/>
  <c r="G85" i="462" s="1"/>
  <c r="G81" i="462"/>
  <c r="H81" i="462" s="1"/>
  <c r="B81" i="462"/>
  <c r="E80" i="462"/>
  <c r="G80" i="462" s="1"/>
  <c r="U14" i="424" s="1"/>
  <c r="E79" i="462"/>
  <c r="G79" i="462" s="1"/>
  <c r="U13" i="424" s="1"/>
  <c r="B78" i="462"/>
  <c r="E78" i="462" s="1"/>
  <c r="G78" i="462" s="1"/>
  <c r="U10" i="424" s="1"/>
  <c r="Z10" i="424" s="1"/>
  <c r="B77" i="462"/>
  <c r="E77" i="462" s="1"/>
  <c r="G77" i="462" s="1"/>
  <c r="U18" i="424" s="1"/>
  <c r="B76" i="462"/>
  <c r="E76" i="462" s="1"/>
  <c r="G76" i="462" s="1"/>
  <c r="U15" i="424" s="1"/>
  <c r="Z15" i="424" s="1"/>
  <c r="B75" i="462"/>
  <c r="E75" i="462" s="1"/>
  <c r="G75" i="462" s="1"/>
  <c r="J74" i="462"/>
  <c r="I74" i="462"/>
  <c r="B74" i="462"/>
  <c r="E74" i="462" s="1"/>
  <c r="B73" i="462"/>
  <c r="E73" i="462" s="1"/>
  <c r="G73" i="462" s="1"/>
  <c r="U17" i="424" s="1"/>
  <c r="B72" i="462"/>
  <c r="E72" i="462" s="1"/>
  <c r="G72" i="462" s="1"/>
  <c r="U16" i="424" s="1"/>
  <c r="G67" i="462"/>
  <c r="H67" i="462" s="1"/>
  <c r="B67" i="462"/>
  <c r="E66" i="462"/>
  <c r="G66" i="462" s="1"/>
  <c r="E65" i="462"/>
  <c r="G65" i="462" s="1"/>
  <c r="B64" i="462"/>
  <c r="E64" i="462" s="1"/>
  <c r="G64" i="462" s="1"/>
  <c r="B63" i="462"/>
  <c r="E63" i="462" s="1"/>
  <c r="G63" i="462" s="1"/>
  <c r="B62" i="462"/>
  <c r="E62" i="462" s="1"/>
  <c r="G62" i="462" s="1"/>
  <c r="B61" i="462"/>
  <c r="E61" i="462" s="1"/>
  <c r="G61" i="462" s="1"/>
  <c r="B60" i="462"/>
  <c r="E60" i="462" s="1"/>
  <c r="G60" i="462" s="1"/>
  <c r="C56" i="462"/>
  <c r="G56" i="462" s="1"/>
  <c r="I56" i="462" s="1"/>
  <c r="E55" i="462"/>
  <c r="G55" i="462" s="1"/>
  <c r="I55" i="462" s="1"/>
  <c r="E54" i="462"/>
  <c r="G54" i="462" s="1"/>
  <c r="I54" i="462" s="1"/>
  <c r="B53" i="462"/>
  <c r="B57" i="462" s="1"/>
  <c r="E57" i="462" s="1"/>
  <c r="G57" i="462" s="1"/>
  <c r="I57" i="462" s="1"/>
  <c r="B52" i="462"/>
  <c r="E52" i="462" s="1"/>
  <c r="G52" i="462" s="1"/>
  <c r="D51" i="462"/>
  <c r="B51" i="462"/>
  <c r="B50" i="462"/>
  <c r="E50" i="462" s="1"/>
  <c r="G50" i="462" s="1"/>
  <c r="B49" i="462"/>
  <c r="E49" i="462" s="1"/>
  <c r="G49" i="462" s="1"/>
  <c r="I48" i="462"/>
  <c r="B48" i="462"/>
  <c r="E48" i="462" s="1"/>
  <c r="B47" i="462"/>
  <c r="E47" i="462" s="1"/>
  <c r="G47" i="462" s="1"/>
  <c r="I47" i="462" s="1"/>
  <c r="B46" i="462"/>
  <c r="E46" i="462" s="1"/>
  <c r="G46" i="462" s="1"/>
  <c r="I46" i="462" s="1"/>
  <c r="G41" i="462"/>
  <c r="I41" i="462" s="1"/>
  <c r="E40" i="462"/>
  <c r="G40" i="462" s="1"/>
  <c r="I40" i="462" s="1"/>
  <c r="E39" i="462"/>
  <c r="G39" i="462" s="1"/>
  <c r="I39" i="462" s="1"/>
  <c r="B38" i="462"/>
  <c r="B42" i="462" s="1"/>
  <c r="E42" i="462" s="1"/>
  <c r="G42" i="462" s="1"/>
  <c r="I42" i="462" s="1"/>
  <c r="B37" i="462"/>
  <c r="E37" i="462" s="1"/>
  <c r="G37" i="462" s="1"/>
  <c r="D36" i="462"/>
  <c r="B36" i="462"/>
  <c r="B35" i="462"/>
  <c r="E35" i="462" s="1"/>
  <c r="G35" i="462" s="1"/>
  <c r="B34" i="462"/>
  <c r="E34" i="462" s="1"/>
  <c r="G34" i="462" s="1"/>
  <c r="I33" i="462"/>
  <c r="B33" i="462"/>
  <c r="E33" i="462" s="1"/>
  <c r="B32" i="462"/>
  <c r="E32" i="462" s="1"/>
  <c r="G32" i="462" s="1"/>
  <c r="I32" i="462" s="1"/>
  <c r="B31" i="462"/>
  <c r="E31" i="462" s="1"/>
  <c r="G31" i="462" s="1"/>
  <c r="I31" i="462" s="1"/>
  <c r="G27" i="462"/>
  <c r="G26" i="462"/>
  <c r="G25" i="462"/>
  <c r="G24" i="462"/>
  <c r="E23" i="462"/>
  <c r="G23" i="462" s="1"/>
  <c r="G22" i="462"/>
  <c r="E21" i="462"/>
  <c r="G21" i="462" s="1"/>
  <c r="E20" i="462"/>
  <c r="G20" i="462" s="1"/>
  <c r="B19" i="462"/>
  <c r="E19" i="462" s="1"/>
  <c r="G19" i="462" s="1"/>
  <c r="B18" i="462"/>
  <c r="E18" i="462" s="1"/>
  <c r="G18" i="462" s="1"/>
  <c r="B17" i="462"/>
  <c r="E17" i="462" s="1"/>
  <c r="G17" i="462" s="1"/>
  <c r="B16" i="462"/>
  <c r="E16" i="462" s="1"/>
  <c r="G16" i="462" s="1"/>
  <c r="B15" i="462"/>
  <c r="E15" i="462" s="1"/>
  <c r="G15" i="462" s="1"/>
  <c r="E12" i="462"/>
  <c r="G12" i="462" s="1"/>
  <c r="E11" i="462"/>
  <c r="G11" i="462" s="1"/>
  <c r="E10" i="462"/>
  <c r="G10" i="462" s="1"/>
  <c r="E9" i="462"/>
  <c r="G9" i="462" s="1"/>
  <c r="E8" i="462"/>
  <c r="G8" i="462" s="1"/>
  <c r="E7" i="462"/>
  <c r="G7" i="462" s="1"/>
  <c r="E6" i="462"/>
  <c r="G6" i="462" s="1"/>
  <c r="AC9" i="441"/>
  <c r="Y9" i="441"/>
  <c r="AC9" i="418"/>
  <c r="W11" i="418"/>
  <c r="AA11" i="418" s="1"/>
  <c r="Y9" i="418"/>
  <c r="AC9" i="417"/>
  <c r="Y9" i="417"/>
  <c r="G23" i="466" l="1"/>
  <c r="G24" i="466" s="1"/>
  <c r="G29" i="466" s="1"/>
  <c r="G32" i="466" s="1"/>
  <c r="G33" i="466" s="1"/>
  <c r="J77" i="462"/>
  <c r="J78" i="462" s="1"/>
  <c r="P10" i="464"/>
  <c r="O10" i="464"/>
  <c r="M14" i="464"/>
  <c r="BT32" i="465"/>
  <c r="BT33" i="465" s="1"/>
  <c r="BS32" i="465"/>
  <c r="BS33" i="465" s="1"/>
  <c r="F28" i="466"/>
  <c r="BP30" i="466"/>
  <c r="BV32" i="465"/>
  <c r="BV33" i="465" s="1"/>
  <c r="J64" i="464"/>
  <c r="O113" i="464"/>
  <c r="M124" i="464"/>
  <c r="N124" i="464" s="1"/>
  <c r="Q124" i="464" s="1"/>
  <c r="R124" i="464" s="1"/>
  <c r="T124" i="464" s="1"/>
  <c r="M125" i="464"/>
  <c r="M126" i="464"/>
  <c r="N126" i="464" s="1"/>
  <c r="Q126" i="464" s="1"/>
  <c r="R126" i="464" s="1"/>
  <c r="T126" i="464" s="1"/>
  <c r="H27" i="465"/>
  <c r="H29" i="465" s="1"/>
  <c r="H30" i="465" s="1"/>
  <c r="H31" i="465" s="1"/>
  <c r="J10" i="464"/>
  <c r="M11" i="464"/>
  <c r="N11" i="464" s="1"/>
  <c r="Q11" i="464" s="1"/>
  <c r="M15" i="464"/>
  <c r="N15" i="464" s="1"/>
  <c r="Q15" i="464" s="1"/>
  <c r="R15" i="464" s="1"/>
  <c r="U15" i="464" s="1"/>
  <c r="J101" i="464"/>
  <c r="J110" i="464"/>
  <c r="H114" i="464"/>
  <c r="M117" i="464"/>
  <c r="M118" i="464"/>
  <c r="M119" i="464"/>
  <c r="N119" i="464" s="1"/>
  <c r="Q119" i="464" s="1"/>
  <c r="M120" i="464"/>
  <c r="N120" i="464" s="1"/>
  <c r="Q120" i="464" s="1"/>
  <c r="M121" i="464"/>
  <c r="M122" i="464"/>
  <c r="M129" i="464"/>
  <c r="N129" i="464" s="1"/>
  <c r="Q129" i="464" s="1"/>
  <c r="R129" i="464" s="1"/>
  <c r="U129" i="464" s="1"/>
  <c r="E23" i="465"/>
  <c r="E24" i="465" s="1"/>
  <c r="E27" i="465" s="1"/>
  <c r="E29" i="465" s="1"/>
  <c r="E30" i="465" s="1"/>
  <c r="E31" i="465" s="1"/>
  <c r="H43" i="465"/>
  <c r="G27" i="465"/>
  <c r="G29" i="465" s="1"/>
  <c r="G30" i="465" s="1"/>
  <c r="G31" i="465" s="1"/>
  <c r="Z17" i="424"/>
  <c r="Z13" i="424"/>
  <c r="E36" i="462"/>
  <c r="G36" i="462" s="1"/>
  <c r="I36" i="462" s="1"/>
  <c r="E51" i="462"/>
  <c r="G51" i="462" s="1"/>
  <c r="I51" i="462" s="1"/>
  <c r="U12" i="424"/>
  <c r="Z12" i="424" s="1"/>
  <c r="M112" i="464"/>
  <c r="M128" i="464"/>
  <c r="M130" i="464"/>
  <c r="BJ32" i="465"/>
  <c r="BJ33" i="465" s="1"/>
  <c r="BH32" i="465"/>
  <c r="BH33" i="465" s="1"/>
  <c r="BF32" i="465"/>
  <c r="BF33" i="465" s="1"/>
  <c r="BD32" i="465"/>
  <c r="BD33" i="465" s="1"/>
  <c r="BB32" i="465"/>
  <c r="BB33" i="465" s="1"/>
  <c r="AZ32" i="465"/>
  <c r="AZ33" i="465" s="1"/>
  <c r="AX32" i="465"/>
  <c r="AX33" i="465" s="1"/>
  <c r="AV32" i="465"/>
  <c r="AV33" i="465" s="1"/>
  <c r="AT32" i="465"/>
  <c r="AT33" i="465" s="1"/>
  <c r="AR32" i="465"/>
  <c r="AR33" i="465" s="1"/>
  <c r="AP32" i="465"/>
  <c r="AP33" i="465" s="1"/>
  <c r="AN32" i="465"/>
  <c r="AN33" i="465" s="1"/>
  <c r="AL32" i="465"/>
  <c r="AL33" i="465" s="1"/>
  <c r="AJ32" i="465"/>
  <c r="AJ33" i="465" s="1"/>
  <c r="AH32" i="465"/>
  <c r="AH33" i="465" s="1"/>
  <c r="AF32" i="465"/>
  <c r="AF33" i="465" s="1"/>
  <c r="AD32" i="465"/>
  <c r="AD33" i="465" s="1"/>
  <c r="AB32" i="465"/>
  <c r="AB33" i="465" s="1"/>
  <c r="Z32" i="465"/>
  <c r="Z33" i="465" s="1"/>
  <c r="X32" i="465"/>
  <c r="X33" i="465" s="1"/>
  <c r="V32" i="465"/>
  <c r="V33" i="465" s="1"/>
  <c r="T32" i="465"/>
  <c r="T33" i="465" s="1"/>
  <c r="R32" i="465"/>
  <c r="R33" i="465" s="1"/>
  <c r="P32" i="465"/>
  <c r="P33" i="465" s="1"/>
  <c r="N32" i="465"/>
  <c r="N33" i="465" s="1"/>
  <c r="L32" i="465"/>
  <c r="L33" i="465" s="1"/>
  <c r="J32" i="465"/>
  <c r="J33" i="465" s="1"/>
  <c r="H32" i="465"/>
  <c r="H33" i="465" s="1"/>
  <c r="M13" i="464"/>
  <c r="N13" i="464" s="1"/>
  <c r="Q13" i="464" s="1"/>
  <c r="N14" i="464"/>
  <c r="Q14" i="464" s="1"/>
  <c r="M115" i="464"/>
  <c r="M116" i="464"/>
  <c r="N117" i="464"/>
  <c r="Q117" i="464" s="1"/>
  <c r="N118" i="464"/>
  <c r="N121" i="464"/>
  <c r="Q121" i="464" s="1"/>
  <c r="N122" i="464"/>
  <c r="Q122" i="464" s="1"/>
  <c r="N125" i="464"/>
  <c r="Q125" i="464" s="1"/>
  <c r="R125" i="464" s="1"/>
  <c r="S125" i="464" s="1"/>
  <c r="BK32" i="465"/>
  <c r="BK33" i="465" s="1"/>
  <c r="BI32" i="465"/>
  <c r="BI33" i="465" s="1"/>
  <c r="BG32" i="465"/>
  <c r="BG33" i="465" s="1"/>
  <c r="BE32" i="465"/>
  <c r="BE33" i="465" s="1"/>
  <c r="BC32" i="465"/>
  <c r="BC33" i="465" s="1"/>
  <c r="BA32" i="465"/>
  <c r="BA33" i="465" s="1"/>
  <c r="AY32" i="465"/>
  <c r="AY33" i="465" s="1"/>
  <c r="AW32" i="465"/>
  <c r="AW33" i="465" s="1"/>
  <c r="AU32" i="465"/>
  <c r="AU33" i="465" s="1"/>
  <c r="AS32" i="465"/>
  <c r="AS33" i="465" s="1"/>
  <c r="AQ32" i="465"/>
  <c r="AQ33" i="465" s="1"/>
  <c r="AO32" i="465"/>
  <c r="AO33" i="465" s="1"/>
  <c r="AM32" i="465"/>
  <c r="AM33" i="465" s="1"/>
  <c r="AK32" i="465"/>
  <c r="AK33" i="465" s="1"/>
  <c r="AI32" i="465"/>
  <c r="AI33" i="465" s="1"/>
  <c r="AG32" i="465"/>
  <c r="AG33" i="465" s="1"/>
  <c r="AE32" i="465"/>
  <c r="AE33" i="465" s="1"/>
  <c r="AC32" i="465"/>
  <c r="AC33" i="465" s="1"/>
  <c r="AA32" i="465"/>
  <c r="AA33" i="465" s="1"/>
  <c r="Y32" i="465"/>
  <c r="Y33" i="465" s="1"/>
  <c r="W32" i="465"/>
  <c r="W33" i="465" s="1"/>
  <c r="U32" i="465"/>
  <c r="U33" i="465" s="1"/>
  <c r="S32" i="465"/>
  <c r="S33" i="465" s="1"/>
  <c r="Q32" i="465"/>
  <c r="Q33" i="465" s="1"/>
  <c r="O32" i="465"/>
  <c r="O33" i="465" s="1"/>
  <c r="M32" i="465"/>
  <c r="M33" i="465" s="1"/>
  <c r="K32" i="465"/>
  <c r="K33" i="465" s="1"/>
  <c r="BP33" i="466"/>
  <c r="B22" i="462"/>
  <c r="B23" i="462" s="1"/>
  <c r="B24" i="462" s="1"/>
  <c r="Z18" i="424"/>
  <c r="Z16" i="424"/>
  <c r="Z14" i="424"/>
  <c r="H113" i="464"/>
  <c r="H116" i="464"/>
  <c r="H130" i="464"/>
  <c r="P112" i="464"/>
  <c r="P114" i="464"/>
  <c r="P116" i="464"/>
  <c r="P128" i="464"/>
  <c r="O112" i="464"/>
  <c r="O130" i="464"/>
  <c r="O128" i="464"/>
  <c r="O116" i="464"/>
  <c r="O114" i="464"/>
  <c r="B41" i="462"/>
  <c r="E53" i="462"/>
  <c r="G53" i="462" s="1"/>
  <c r="I53" i="462" s="1"/>
  <c r="B56" i="462"/>
  <c r="P113" i="464"/>
  <c r="P115" i="464"/>
  <c r="P127" i="464"/>
  <c r="P130" i="464"/>
  <c r="O127" i="464"/>
  <c r="O115" i="464"/>
  <c r="BQ29" i="465"/>
  <c r="BQ30" i="465" s="1"/>
  <c r="BQ31" i="465" s="1"/>
  <c r="BQ32" i="465" s="1"/>
  <c r="BQ33" i="465" s="1"/>
  <c r="BP28" i="465"/>
  <c r="BP29" i="465" s="1"/>
  <c r="BP30" i="465" s="1"/>
  <c r="BP31" i="465" s="1"/>
  <c r="BP32" i="465" s="1"/>
  <c r="BP33" i="465" s="1"/>
  <c r="F23" i="465"/>
  <c r="F24" i="465" s="1"/>
  <c r="F27" i="465" s="1"/>
  <c r="F29" i="465" s="1"/>
  <c r="F30" i="465" s="1"/>
  <c r="F31" i="465" s="1"/>
  <c r="F32" i="465" s="1"/>
  <c r="F33" i="465" s="1"/>
  <c r="BP29" i="466"/>
  <c r="E23" i="466"/>
  <c r="E24" i="466" s="1"/>
  <c r="E29" i="466" s="1"/>
  <c r="E32" i="466" s="1"/>
  <c r="E33" i="466" s="1"/>
  <c r="H26" i="466"/>
  <c r="H28" i="466" s="1"/>
  <c r="H29" i="466" s="1"/>
  <c r="H32" i="466" s="1"/>
  <c r="H33" i="466" s="1"/>
  <c r="H37" i="466" s="1"/>
  <c r="BM43" i="466"/>
  <c r="F23" i="466"/>
  <c r="C18" i="466"/>
  <c r="G43" i="465"/>
  <c r="Q118" i="464"/>
  <c r="R118" i="464" s="1"/>
  <c r="T118" i="464" s="1"/>
  <c r="L39" i="464"/>
  <c r="M39" i="464" s="1"/>
  <c r="H39" i="464"/>
  <c r="N12" i="464"/>
  <c r="Q12" i="464" s="1"/>
  <c r="N16" i="464"/>
  <c r="Q16" i="464" s="1"/>
  <c r="R14" i="464"/>
  <c r="T14" i="464" s="1"/>
  <c r="F17" i="464"/>
  <c r="F21" i="464"/>
  <c r="F25" i="464"/>
  <c r="F27" i="464"/>
  <c r="F35" i="464"/>
  <c r="F43" i="464"/>
  <c r="F20" i="464"/>
  <c r="F24" i="464"/>
  <c r="F29" i="464"/>
  <c r="F30" i="464"/>
  <c r="F37" i="464"/>
  <c r="F38" i="464"/>
  <c r="F19" i="464"/>
  <c r="F23" i="464"/>
  <c r="F31" i="464"/>
  <c r="F123" i="464"/>
  <c r="O123" i="464" s="1"/>
  <c r="F107" i="464"/>
  <c r="F106" i="464"/>
  <c r="F102" i="464"/>
  <c r="F99" i="464"/>
  <c r="F95" i="464"/>
  <c r="F103" i="464"/>
  <c r="F98" i="464"/>
  <c r="F93" i="464"/>
  <c r="F89" i="464"/>
  <c r="F85" i="464"/>
  <c r="F81" i="464"/>
  <c r="F77" i="464"/>
  <c r="F73" i="464"/>
  <c r="F108" i="464"/>
  <c r="F104" i="464"/>
  <c r="F97" i="464"/>
  <c r="F96" i="464"/>
  <c r="F90" i="464"/>
  <c r="F86" i="464"/>
  <c r="F82" i="464"/>
  <c r="F94" i="464"/>
  <c r="F91" i="464"/>
  <c r="F87" i="464"/>
  <c r="F109" i="464"/>
  <c r="F105" i="464"/>
  <c r="F100" i="464"/>
  <c r="F92" i="464"/>
  <c r="F88" i="464"/>
  <c r="F84" i="464"/>
  <c r="F80" i="464"/>
  <c r="F76" i="464"/>
  <c r="F72" i="464"/>
  <c r="F68" i="464"/>
  <c r="F83" i="464"/>
  <c r="F67" i="464"/>
  <c r="F61" i="464"/>
  <c r="F57" i="464"/>
  <c r="F53" i="464"/>
  <c r="F49" i="464"/>
  <c r="F45" i="464"/>
  <c r="F79" i="464"/>
  <c r="F75" i="464"/>
  <c r="F66" i="464"/>
  <c r="F65" i="464"/>
  <c r="F62" i="464"/>
  <c r="F58" i="464"/>
  <c r="F54" i="464"/>
  <c r="F50" i="464"/>
  <c r="F46" i="464"/>
  <c r="F71" i="464"/>
  <c r="F63" i="464"/>
  <c r="F59" i="464"/>
  <c r="F55" i="464"/>
  <c r="F51" i="464"/>
  <c r="F47" i="464"/>
  <c r="F78" i="464"/>
  <c r="F74" i="464"/>
  <c r="F70" i="464"/>
  <c r="F69" i="464"/>
  <c r="F60" i="464"/>
  <c r="F56" i="464"/>
  <c r="F52" i="464"/>
  <c r="F48" i="464"/>
  <c r="F44" i="464"/>
  <c r="F40" i="464"/>
  <c r="F36" i="464"/>
  <c r="F32" i="464"/>
  <c r="F28" i="464"/>
  <c r="F18" i="464"/>
  <c r="F22" i="464"/>
  <c r="F26" i="464"/>
  <c r="F33" i="464"/>
  <c r="F34" i="464"/>
  <c r="F41" i="464"/>
  <c r="F42" i="464"/>
  <c r="R117" i="464"/>
  <c r="U117" i="464" s="1"/>
  <c r="R121" i="464"/>
  <c r="U121" i="464" s="1"/>
  <c r="D110" i="464"/>
  <c r="D9" i="464" s="1"/>
  <c r="H112" i="464"/>
  <c r="N112" i="464" s="1"/>
  <c r="M113" i="464"/>
  <c r="N113" i="464" s="1"/>
  <c r="Q113" i="464" s="1"/>
  <c r="H115" i="464"/>
  <c r="H128" i="464"/>
  <c r="N128" i="464" s="1"/>
  <c r="M114" i="464"/>
  <c r="N114" i="464" s="1"/>
  <c r="M127" i="464"/>
  <c r="N127" i="464" s="1"/>
  <c r="I35" i="462"/>
  <c r="H35" i="462"/>
  <c r="I49" i="462"/>
  <c r="H49" i="462"/>
  <c r="I52" i="462"/>
  <c r="H52" i="462"/>
  <c r="H36" i="462"/>
  <c r="H50" i="462"/>
  <c r="I50" i="462"/>
  <c r="I34" i="462"/>
  <c r="H34" i="462"/>
  <c r="I37" i="462"/>
  <c r="H37" i="462"/>
  <c r="H51" i="462"/>
  <c r="E38" i="462"/>
  <c r="G38" i="462" s="1"/>
  <c r="I38" i="462" s="1"/>
  <c r="N130" i="464" l="1"/>
  <c r="B26" i="462"/>
  <c r="E14" i="509"/>
  <c r="C14" i="509" s="1"/>
  <c r="Z14" i="509" s="1"/>
  <c r="BZ19" i="465"/>
  <c r="CQ19" i="456"/>
  <c r="Q112" i="464"/>
  <c r="Q130" i="464"/>
  <c r="N115" i="464"/>
  <c r="Q128" i="464"/>
  <c r="R128" i="464" s="1"/>
  <c r="S128" i="464" s="1"/>
  <c r="Q114" i="464"/>
  <c r="R114" i="464" s="1"/>
  <c r="U114" i="464" s="1"/>
  <c r="Q115" i="464"/>
  <c r="R115" i="464" s="1"/>
  <c r="S115" i="464" s="1"/>
  <c r="O110" i="464"/>
  <c r="O9" i="464" s="1"/>
  <c r="O6" i="464" s="1"/>
  <c r="N116" i="464"/>
  <c r="Q116" i="464" s="1"/>
  <c r="R13" i="464"/>
  <c r="U13" i="464" s="1"/>
  <c r="U125" i="464"/>
  <c r="T15" i="464"/>
  <c r="H35" i="466"/>
  <c r="H47" i="466"/>
  <c r="G37" i="466"/>
  <c r="G35" i="466" s="1"/>
  <c r="G36" i="466"/>
  <c r="L23" i="466"/>
  <c r="K23" i="466"/>
  <c r="J23" i="466"/>
  <c r="F24" i="466"/>
  <c r="F29" i="466" s="1"/>
  <c r="F32" i="466" s="1"/>
  <c r="F33" i="466" s="1"/>
  <c r="E34" i="466"/>
  <c r="E36" i="466" s="1"/>
  <c r="E35" i="466"/>
  <c r="E37" i="466" s="1"/>
  <c r="F43" i="465"/>
  <c r="S121" i="464"/>
  <c r="S117" i="464"/>
  <c r="S129" i="464"/>
  <c r="T121" i="464"/>
  <c r="T117" i="464"/>
  <c r="T129" i="464"/>
  <c r="R122" i="464"/>
  <c r="U122" i="464" s="1"/>
  <c r="R113" i="464"/>
  <c r="S113" i="464" s="1"/>
  <c r="Q127" i="464"/>
  <c r="P110" i="464"/>
  <c r="P9" i="464" s="1"/>
  <c r="U118" i="464"/>
  <c r="T125" i="464"/>
  <c r="U126" i="464"/>
  <c r="U124" i="464"/>
  <c r="L42" i="464"/>
  <c r="M42" i="464" s="1"/>
  <c r="H42" i="464"/>
  <c r="L26" i="464"/>
  <c r="M26" i="464" s="1"/>
  <c r="H26" i="464"/>
  <c r="H32" i="464"/>
  <c r="L32" i="464"/>
  <c r="M32" i="464" s="1"/>
  <c r="L48" i="464"/>
  <c r="M48" i="464" s="1"/>
  <c r="H48" i="464"/>
  <c r="H69" i="464"/>
  <c r="L69" i="464"/>
  <c r="M69" i="464" s="1"/>
  <c r="H47" i="464"/>
  <c r="L47" i="464"/>
  <c r="M47" i="464" s="1"/>
  <c r="H63" i="464"/>
  <c r="L63" i="464"/>
  <c r="M63" i="464" s="1"/>
  <c r="H54" i="464"/>
  <c r="L54" i="464"/>
  <c r="M54" i="464" s="1"/>
  <c r="H66" i="464"/>
  <c r="L66" i="464"/>
  <c r="M66" i="464" s="1"/>
  <c r="L49" i="464"/>
  <c r="M49" i="464" s="1"/>
  <c r="H49" i="464"/>
  <c r="L67" i="464"/>
  <c r="M67" i="464" s="1"/>
  <c r="H67" i="464"/>
  <c r="L76" i="464"/>
  <c r="M76" i="464" s="1"/>
  <c r="H76" i="464"/>
  <c r="L92" i="464"/>
  <c r="M92" i="464" s="1"/>
  <c r="H92" i="464"/>
  <c r="H87" i="464"/>
  <c r="L87" i="464"/>
  <c r="M87" i="464" s="1"/>
  <c r="H86" i="464"/>
  <c r="L86" i="464"/>
  <c r="M86" i="464" s="1"/>
  <c r="H104" i="464"/>
  <c r="L104" i="464"/>
  <c r="M104" i="464" s="1"/>
  <c r="H81" i="464"/>
  <c r="L81" i="464"/>
  <c r="M81" i="464" s="1"/>
  <c r="L98" i="464"/>
  <c r="M98" i="464" s="1"/>
  <c r="H98" i="464"/>
  <c r="H102" i="464"/>
  <c r="L102" i="464"/>
  <c r="F101" i="464"/>
  <c r="H19" i="464"/>
  <c r="L19" i="464"/>
  <c r="M19" i="464" s="1"/>
  <c r="H30" i="464"/>
  <c r="L30" i="464"/>
  <c r="M30" i="464" s="1"/>
  <c r="L17" i="464"/>
  <c r="F10" i="464"/>
  <c r="H17" i="464"/>
  <c r="S15" i="464"/>
  <c r="R11" i="464"/>
  <c r="T11" i="464" s="1"/>
  <c r="U14" i="464"/>
  <c r="S13" i="464"/>
  <c r="R12" i="464"/>
  <c r="U12" i="464" s="1"/>
  <c r="R120" i="464"/>
  <c r="S120" i="464" s="1"/>
  <c r="H41" i="464"/>
  <c r="L41" i="464"/>
  <c r="M41" i="464" s="1"/>
  <c r="L22" i="464"/>
  <c r="M22" i="464" s="1"/>
  <c r="H22" i="464"/>
  <c r="L36" i="464"/>
  <c r="M36" i="464" s="1"/>
  <c r="H36" i="464"/>
  <c r="L52" i="464"/>
  <c r="M52" i="464" s="1"/>
  <c r="H52" i="464"/>
  <c r="L70" i="464"/>
  <c r="M70" i="464" s="1"/>
  <c r="H70" i="464"/>
  <c r="H51" i="464"/>
  <c r="L51" i="464"/>
  <c r="M51" i="464" s="1"/>
  <c r="L71" i="464"/>
  <c r="M71" i="464" s="1"/>
  <c r="H71" i="464"/>
  <c r="H58" i="464"/>
  <c r="L58" i="464"/>
  <c r="M58" i="464" s="1"/>
  <c r="L75" i="464"/>
  <c r="M75" i="464" s="1"/>
  <c r="H75" i="464"/>
  <c r="L53" i="464"/>
  <c r="M53" i="464" s="1"/>
  <c r="H53" i="464"/>
  <c r="H83" i="464"/>
  <c r="L83" i="464"/>
  <c r="M83" i="464" s="1"/>
  <c r="L80" i="464"/>
  <c r="M80" i="464" s="1"/>
  <c r="H80" i="464"/>
  <c r="H100" i="464"/>
  <c r="L100" i="464"/>
  <c r="M100" i="464" s="1"/>
  <c r="H91" i="464"/>
  <c r="L91" i="464"/>
  <c r="M91" i="464" s="1"/>
  <c r="H90" i="464"/>
  <c r="L90" i="464"/>
  <c r="M90" i="464" s="1"/>
  <c r="H108" i="464"/>
  <c r="L108" i="464"/>
  <c r="M108" i="464" s="1"/>
  <c r="L85" i="464"/>
  <c r="M85" i="464" s="1"/>
  <c r="H85" i="464"/>
  <c r="H103" i="464"/>
  <c r="L103" i="464"/>
  <c r="M103" i="464" s="1"/>
  <c r="L106" i="464"/>
  <c r="M106" i="464" s="1"/>
  <c r="H106" i="464"/>
  <c r="L31" i="464"/>
  <c r="M31" i="464" s="1"/>
  <c r="H31" i="464"/>
  <c r="H29" i="464"/>
  <c r="L29" i="464"/>
  <c r="M29" i="464" s="1"/>
  <c r="L43" i="464"/>
  <c r="M43" i="464" s="1"/>
  <c r="H43" i="464"/>
  <c r="L27" i="464"/>
  <c r="M27" i="464" s="1"/>
  <c r="H27" i="464"/>
  <c r="S118" i="464"/>
  <c r="R130" i="464"/>
  <c r="S130" i="464" s="1"/>
  <c r="S126" i="464"/>
  <c r="S124" i="464"/>
  <c r="L34" i="464"/>
  <c r="M34" i="464" s="1"/>
  <c r="H34" i="464"/>
  <c r="L18" i="464"/>
  <c r="M18" i="464" s="1"/>
  <c r="H18" i="464"/>
  <c r="H40" i="464"/>
  <c r="L40" i="464"/>
  <c r="M40" i="464" s="1"/>
  <c r="L56" i="464"/>
  <c r="M56" i="464" s="1"/>
  <c r="H56" i="464"/>
  <c r="H74" i="464"/>
  <c r="L74" i="464"/>
  <c r="M74" i="464" s="1"/>
  <c r="H55" i="464"/>
  <c r="L55" i="464"/>
  <c r="M55" i="464" s="1"/>
  <c r="H46" i="464"/>
  <c r="L46" i="464"/>
  <c r="M46" i="464" s="1"/>
  <c r="H62" i="464"/>
  <c r="L62" i="464"/>
  <c r="M62" i="464" s="1"/>
  <c r="L79" i="464"/>
  <c r="M79" i="464" s="1"/>
  <c r="H79" i="464"/>
  <c r="L57" i="464"/>
  <c r="M57" i="464" s="1"/>
  <c r="H57" i="464"/>
  <c r="L68" i="464"/>
  <c r="M68" i="464" s="1"/>
  <c r="H68" i="464"/>
  <c r="L84" i="464"/>
  <c r="M84" i="464" s="1"/>
  <c r="H84" i="464"/>
  <c r="L105" i="464"/>
  <c r="M105" i="464" s="1"/>
  <c r="H105" i="464"/>
  <c r="L94" i="464"/>
  <c r="M94" i="464" s="1"/>
  <c r="H94" i="464"/>
  <c r="H96" i="464"/>
  <c r="L96" i="464"/>
  <c r="M96" i="464" s="1"/>
  <c r="H73" i="464"/>
  <c r="L73" i="464"/>
  <c r="M73" i="464" s="1"/>
  <c r="L89" i="464"/>
  <c r="M89" i="464" s="1"/>
  <c r="H89" i="464"/>
  <c r="H95" i="464"/>
  <c r="L95" i="464"/>
  <c r="M95" i="464" s="1"/>
  <c r="H107" i="464"/>
  <c r="L107" i="464"/>
  <c r="M107" i="464" s="1"/>
  <c r="H38" i="464"/>
  <c r="L38" i="464"/>
  <c r="M38" i="464" s="1"/>
  <c r="H24" i="464"/>
  <c r="L24" i="464"/>
  <c r="M24" i="464" s="1"/>
  <c r="L25" i="464"/>
  <c r="M25" i="464" s="1"/>
  <c r="H25" i="464"/>
  <c r="S14" i="464"/>
  <c r="N39" i="464"/>
  <c r="Q39" i="464" s="1"/>
  <c r="R119" i="464"/>
  <c r="S119" i="464" s="1"/>
  <c r="H33" i="464"/>
  <c r="L33" i="464"/>
  <c r="M33" i="464" s="1"/>
  <c r="L28" i="464"/>
  <c r="M28" i="464" s="1"/>
  <c r="H28" i="464"/>
  <c r="L44" i="464"/>
  <c r="M44" i="464" s="1"/>
  <c r="H44" i="464"/>
  <c r="L60" i="464"/>
  <c r="M60" i="464" s="1"/>
  <c r="H60" i="464"/>
  <c r="H78" i="464"/>
  <c r="L78" i="464"/>
  <c r="M78" i="464" s="1"/>
  <c r="H59" i="464"/>
  <c r="L59" i="464"/>
  <c r="M59" i="464" s="1"/>
  <c r="H50" i="464"/>
  <c r="L50" i="464"/>
  <c r="M50" i="464" s="1"/>
  <c r="H65" i="464"/>
  <c r="F64" i="464"/>
  <c r="L65" i="464"/>
  <c r="L45" i="464"/>
  <c r="M45" i="464" s="1"/>
  <c r="H45" i="464"/>
  <c r="L61" i="464"/>
  <c r="M61" i="464" s="1"/>
  <c r="H61" i="464"/>
  <c r="L72" i="464"/>
  <c r="M72" i="464" s="1"/>
  <c r="H72" i="464"/>
  <c r="L88" i="464"/>
  <c r="M88" i="464" s="1"/>
  <c r="H88" i="464"/>
  <c r="L109" i="464"/>
  <c r="M109" i="464" s="1"/>
  <c r="H109" i="464"/>
  <c r="H82" i="464"/>
  <c r="L82" i="464"/>
  <c r="M82" i="464" s="1"/>
  <c r="H97" i="464"/>
  <c r="L97" i="464"/>
  <c r="M97" i="464" s="1"/>
  <c r="H77" i="464"/>
  <c r="L77" i="464"/>
  <c r="M77" i="464" s="1"/>
  <c r="L93" i="464"/>
  <c r="M93" i="464" s="1"/>
  <c r="H93" i="464"/>
  <c r="L99" i="464"/>
  <c r="M99" i="464" s="1"/>
  <c r="H99" i="464"/>
  <c r="L123" i="464"/>
  <c r="F110" i="464"/>
  <c r="H123" i="464"/>
  <c r="H110" i="464" s="1"/>
  <c r="H23" i="464"/>
  <c r="L23" i="464"/>
  <c r="M23" i="464" s="1"/>
  <c r="H37" i="464"/>
  <c r="L37" i="464"/>
  <c r="M37" i="464" s="1"/>
  <c r="H20" i="464"/>
  <c r="L20" i="464"/>
  <c r="M20" i="464" s="1"/>
  <c r="L35" i="464"/>
  <c r="M35" i="464" s="1"/>
  <c r="H35" i="464"/>
  <c r="L21" i="464"/>
  <c r="M21" i="464" s="1"/>
  <c r="H21" i="464"/>
  <c r="R16" i="464"/>
  <c r="T16" i="464" s="1"/>
  <c r="B27" i="462"/>
  <c r="B25" i="462"/>
  <c r="R116" i="464" l="1"/>
  <c r="U116" i="464" s="1"/>
  <c r="T116" i="464"/>
  <c r="D19" i="465"/>
  <c r="BL19" i="465" s="1"/>
  <c r="BX19" i="466"/>
  <c r="CR19" i="456"/>
  <c r="N98" i="464"/>
  <c r="Q98" i="464" s="1"/>
  <c r="R98" i="464" s="1"/>
  <c r="T98" i="464" s="1"/>
  <c r="N49" i="464"/>
  <c r="Q49" i="464" s="1"/>
  <c r="N76" i="464"/>
  <c r="Q76" i="464" s="1"/>
  <c r="N20" i="464"/>
  <c r="Q20" i="464" s="1"/>
  <c r="R20" i="464" s="1"/>
  <c r="S20" i="464" s="1"/>
  <c r="N23" i="464"/>
  <c r="Q23" i="464" s="1"/>
  <c r="R23" i="464" s="1"/>
  <c r="S23" i="464" s="1"/>
  <c r="N99" i="464"/>
  <c r="Q99" i="464" s="1"/>
  <c r="N93" i="464"/>
  <c r="Q93" i="464" s="1"/>
  <c r="N109" i="464"/>
  <c r="Q109" i="464" s="1"/>
  <c r="R109" i="464" s="1"/>
  <c r="S109" i="464" s="1"/>
  <c r="N88" i="464"/>
  <c r="Q88" i="464" s="1"/>
  <c r="R88" i="464" s="1"/>
  <c r="S88" i="464" s="1"/>
  <c r="N72" i="464"/>
  <c r="Q72" i="464" s="1"/>
  <c r="N61" i="464"/>
  <c r="Q61" i="464" s="1"/>
  <c r="N45" i="464"/>
  <c r="Q45" i="464" s="1"/>
  <c r="R45" i="464" s="1"/>
  <c r="U45" i="464" s="1"/>
  <c r="N50" i="464"/>
  <c r="Q50" i="464" s="1"/>
  <c r="R50" i="464" s="1"/>
  <c r="T50" i="464" s="1"/>
  <c r="N78" i="464"/>
  <c r="Q78" i="464" s="1"/>
  <c r="N33" i="464"/>
  <c r="Q33" i="464" s="1"/>
  <c r="U119" i="464"/>
  <c r="N89" i="464"/>
  <c r="Q89" i="464" s="1"/>
  <c r="R89" i="464" s="1"/>
  <c r="S89" i="464" s="1"/>
  <c r="N105" i="464"/>
  <c r="Q105" i="464" s="1"/>
  <c r="N68" i="464"/>
  <c r="Q68" i="464" s="1"/>
  <c r="N79" i="464"/>
  <c r="Q79" i="464" s="1"/>
  <c r="R79" i="464" s="1"/>
  <c r="U79" i="464" s="1"/>
  <c r="N27" i="464"/>
  <c r="Q27" i="464" s="1"/>
  <c r="N43" i="464"/>
  <c r="Q43" i="464" s="1"/>
  <c r="N31" i="464"/>
  <c r="Q31" i="464" s="1"/>
  <c r="N106" i="464"/>
  <c r="Q106" i="464" s="1"/>
  <c r="R106" i="464" s="1"/>
  <c r="U106" i="464" s="1"/>
  <c r="N85" i="464"/>
  <c r="Q85" i="464" s="1"/>
  <c r="R85" i="464" s="1"/>
  <c r="S85" i="464" s="1"/>
  <c r="N80" i="464"/>
  <c r="Q80" i="464" s="1"/>
  <c r="S16" i="464"/>
  <c r="U120" i="464"/>
  <c r="U16" i="464"/>
  <c r="N35" i="464"/>
  <c r="Q35" i="464" s="1"/>
  <c r="N60" i="464"/>
  <c r="Q60" i="464" s="1"/>
  <c r="N28" i="464"/>
  <c r="Q28" i="464" s="1"/>
  <c r="R28" i="464" s="1"/>
  <c r="T28" i="464" s="1"/>
  <c r="N38" i="464"/>
  <c r="Q38" i="464" s="1"/>
  <c r="N95" i="464"/>
  <c r="Q95" i="464" s="1"/>
  <c r="N73" i="464"/>
  <c r="Q73" i="464" s="1"/>
  <c r="N62" i="464"/>
  <c r="Q62" i="464" s="1"/>
  <c r="R62" i="464" s="1"/>
  <c r="T62" i="464" s="1"/>
  <c r="N55" i="464"/>
  <c r="Q55" i="464" s="1"/>
  <c r="R55" i="464" s="1"/>
  <c r="T55" i="464" s="1"/>
  <c r="T12" i="464"/>
  <c r="T13" i="464"/>
  <c r="N53" i="464"/>
  <c r="Q53" i="464" s="1"/>
  <c r="R53" i="464" s="1"/>
  <c r="S53" i="464" s="1"/>
  <c r="N75" i="464"/>
  <c r="Q75" i="464" s="1"/>
  <c r="R75" i="464" s="1"/>
  <c r="U75" i="464" s="1"/>
  <c r="N71" i="464"/>
  <c r="Q71" i="464" s="1"/>
  <c r="N70" i="464"/>
  <c r="Q70" i="464" s="1"/>
  <c r="N52" i="464"/>
  <c r="Q52" i="464" s="1"/>
  <c r="R52" i="464" s="1"/>
  <c r="U52" i="464" s="1"/>
  <c r="N36" i="464"/>
  <c r="Q36" i="464" s="1"/>
  <c r="R36" i="464" s="1"/>
  <c r="S36" i="464" s="1"/>
  <c r="N22" i="464"/>
  <c r="Q22" i="464" s="1"/>
  <c r="S12" i="464"/>
  <c r="N81" i="464"/>
  <c r="Q81" i="464" s="1"/>
  <c r="R81" i="464" s="1"/>
  <c r="U81" i="464" s="1"/>
  <c r="N86" i="464"/>
  <c r="Q86" i="464" s="1"/>
  <c r="N66" i="464"/>
  <c r="Q66" i="464" s="1"/>
  <c r="N63" i="464"/>
  <c r="Q63" i="464" s="1"/>
  <c r="N69" i="464"/>
  <c r="Q69" i="464" s="1"/>
  <c r="R69" i="464" s="1"/>
  <c r="S69" i="464" s="1"/>
  <c r="N32" i="464"/>
  <c r="Q32" i="464" s="1"/>
  <c r="S116" i="464"/>
  <c r="U128" i="464"/>
  <c r="G34" i="466"/>
  <c r="G47" i="466"/>
  <c r="F36" i="466"/>
  <c r="F37" i="466"/>
  <c r="T120" i="464"/>
  <c r="T122" i="464"/>
  <c r="S122" i="464"/>
  <c r="U130" i="464"/>
  <c r="T113" i="464"/>
  <c r="T128" i="464"/>
  <c r="S114" i="464"/>
  <c r="L64" i="464"/>
  <c r="M65" i="464"/>
  <c r="M64" i="464" s="1"/>
  <c r="N77" i="464"/>
  <c r="Q77" i="464" s="1"/>
  <c r="N37" i="464"/>
  <c r="Q37" i="464" s="1"/>
  <c r="N59" i="464"/>
  <c r="Q59" i="464" s="1"/>
  <c r="T115" i="464"/>
  <c r="N21" i="464"/>
  <c r="Q21" i="464" s="1"/>
  <c r="L110" i="464"/>
  <c r="M123" i="464"/>
  <c r="M110" i="464" s="1"/>
  <c r="N97" i="464"/>
  <c r="Q97" i="464" s="1"/>
  <c r="N44" i="464"/>
  <c r="Q44" i="464" s="1"/>
  <c r="T119" i="464"/>
  <c r="U115" i="464"/>
  <c r="N25" i="464"/>
  <c r="Q25" i="464" s="1"/>
  <c r="N94" i="464"/>
  <c r="Q94" i="464" s="1"/>
  <c r="N84" i="464"/>
  <c r="Q84" i="464" s="1"/>
  <c r="N57" i="464"/>
  <c r="Q57" i="464" s="1"/>
  <c r="N56" i="464"/>
  <c r="Q56" i="464" s="1"/>
  <c r="N18" i="464"/>
  <c r="Q18" i="464" s="1"/>
  <c r="T130" i="464"/>
  <c r="N103" i="464"/>
  <c r="Q103" i="464" s="1"/>
  <c r="N108" i="464"/>
  <c r="Q108" i="464" s="1"/>
  <c r="N91" i="464"/>
  <c r="Q91" i="464" s="1"/>
  <c r="N58" i="464"/>
  <c r="Q58" i="464" s="1"/>
  <c r="N51" i="464"/>
  <c r="Q51" i="464" s="1"/>
  <c r="H10" i="464"/>
  <c r="N30" i="464"/>
  <c r="Q30" i="464" s="1"/>
  <c r="L101" i="464"/>
  <c r="M102" i="464"/>
  <c r="M101" i="464" s="1"/>
  <c r="N92" i="464"/>
  <c r="Q92" i="464" s="1"/>
  <c r="N67" i="464"/>
  <c r="Q67" i="464" s="1"/>
  <c r="N42" i="464"/>
  <c r="Q42" i="464" s="1"/>
  <c r="U113" i="464"/>
  <c r="T114" i="464"/>
  <c r="R78" i="464"/>
  <c r="T78" i="464" s="1"/>
  <c r="R33" i="464"/>
  <c r="T33" i="464" s="1"/>
  <c r="R38" i="464"/>
  <c r="U38" i="464" s="1"/>
  <c r="R95" i="464"/>
  <c r="S95" i="464" s="1"/>
  <c r="R73" i="464"/>
  <c r="S73" i="464" s="1"/>
  <c r="R27" i="464"/>
  <c r="U27" i="464" s="1"/>
  <c r="R71" i="464"/>
  <c r="U71" i="464" s="1"/>
  <c r="R70" i="464"/>
  <c r="U70" i="464" s="1"/>
  <c r="H101" i="464"/>
  <c r="R86" i="464"/>
  <c r="S86" i="464" s="1"/>
  <c r="R66" i="464"/>
  <c r="S66" i="464" s="1"/>
  <c r="R63" i="464"/>
  <c r="U63" i="464" s="1"/>
  <c r="R32" i="464"/>
  <c r="T32" i="464" s="1"/>
  <c r="N82" i="464"/>
  <c r="Q82" i="464" s="1"/>
  <c r="R60" i="464"/>
  <c r="U60" i="464" s="1"/>
  <c r="R39" i="464"/>
  <c r="U39" i="464" s="1"/>
  <c r="R105" i="464"/>
  <c r="U105" i="464" s="1"/>
  <c r="R68" i="464"/>
  <c r="U68" i="464" s="1"/>
  <c r="N34" i="464"/>
  <c r="Q34" i="464" s="1"/>
  <c r="N29" i="464"/>
  <c r="Q29" i="464" s="1"/>
  <c r="N90" i="464"/>
  <c r="Q90" i="464" s="1"/>
  <c r="N100" i="464"/>
  <c r="Q100" i="464" s="1"/>
  <c r="N83" i="464"/>
  <c r="Q83" i="464" s="1"/>
  <c r="N41" i="464"/>
  <c r="Q41" i="464" s="1"/>
  <c r="U11" i="464"/>
  <c r="L10" i="464"/>
  <c r="M17" i="464"/>
  <c r="M10" i="464" s="1"/>
  <c r="N19" i="464"/>
  <c r="Q19" i="464" s="1"/>
  <c r="R76" i="464"/>
  <c r="U76" i="464" s="1"/>
  <c r="R49" i="464"/>
  <c r="S49" i="464" s="1"/>
  <c r="N48" i="464"/>
  <c r="Q48" i="464" s="1"/>
  <c r="N26" i="464"/>
  <c r="Q26" i="464" s="1"/>
  <c r="R99" i="464"/>
  <c r="S99" i="464" s="1"/>
  <c r="R61" i="464"/>
  <c r="S61" i="464" s="1"/>
  <c r="R35" i="464"/>
  <c r="U35" i="464" s="1"/>
  <c r="N123" i="464"/>
  <c r="Q123" i="464" s="1"/>
  <c r="R93" i="464"/>
  <c r="U93" i="464" s="1"/>
  <c r="R72" i="464"/>
  <c r="T72" i="464" s="1"/>
  <c r="H64" i="464"/>
  <c r="N24" i="464"/>
  <c r="Q24" i="464" s="1"/>
  <c r="N107" i="464"/>
  <c r="Q107" i="464" s="1"/>
  <c r="N96" i="464"/>
  <c r="Q96" i="464" s="1"/>
  <c r="N46" i="464"/>
  <c r="Q46" i="464" s="1"/>
  <c r="N74" i="464"/>
  <c r="Q74" i="464" s="1"/>
  <c r="N40" i="464"/>
  <c r="Q40" i="464" s="1"/>
  <c r="N110" i="464"/>
  <c r="R43" i="464"/>
  <c r="U43" i="464" s="1"/>
  <c r="R31" i="464"/>
  <c r="U31" i="464" s="1"/>
  <c r="R80" i="464"/>
  <c r="S80" i="464" s="1"/>
  <c r="R22" i="464"/>
  <c r="S22" i="464" s="1"/>
  <c r="S11" i="464"/>
  <c r="N104" i="464"/>
  <c r="Q104" i="464" s="1"/>
  <c r="N87" i="464"/>
  <c r="Q87" i="464" s="1"/>
  <c r="N54" i="464"/>
  <c r="Q54" i="464" s="1"/>
  <c r="N47" i="464"/>
  <c r="Q47" i="464" s="1"/>
  <c r="R127" i="464"/>
  <c r="T127" i="464" s="1"/>
  <c r="N65" i="464" l="1"/>
  <c r="S35" i="464"/>
  <c r="S43" i="464"/>
  <c r="T22" i="464"/>
  <c r="T52" i="464"/>
  <c r="T43" i="464"/>
  <c r="T35" i="464"/>
  <c r="U61" i="464"/>
  <c r="S105" i="464"/>
  <c r="T89" i="464"/>
  <c r="T39" i="464"/>
  <c r="T106" i="464"/>
  <c r="S55" i="464"/>
  <c r="T60" i="464"/>
  <c r="U86" i="464"/>
  <c r="T86" i="464"/>
  <c r="S81" i="464"/>
  <c r="U95" i="464"/>
  <c r="T38" i="464"/>
  <c r="T20" i="464"/>
  <c r="U127" i="464"/>
  <c r="U22" i="464"/>
  <c r="S52" i="464"/>
  <c r="T53" i="464"/>
  <c r="U80" i="464"/>
  <c r="T31" i="464"/>
  <c r="T93" i="464"/>
  <c r="S93" i="464"/>
  <c r="T49" i="464"/>
  <c r="T79" i="464"/>
  <c r="U89" i="464"/>
  <c r="S39" i="464"/>
  <c r="U28" i="464"/>
  <c r="S60" i="464"/>
  <c r="S63" i="464"/>
  <c r="N102" i="464"/>
  <c r="N101" i="464" s="1"/>
  <c r="S106" i="464"/>
  <c r="S27" i="464"/>
  <c r="U55" i="464"/>
  <c r="U99" i="464"/>
  <c r="T73" i="464"/>
  <c r="U33" i="464"/>
  <c r="U78" i="464"/>
  <c r="U88" i="464"/>
  <c r="U20" i="464"/>
  <c r="U53" i="464"/>
  <c r="T80" i="464"/>
  <c r="S31" i="464"/>
  <c r="S72" i="464"/>
  <c r="T99" i="464"/>
  <c r="U49" i="464"/>
  <c r="S79" i="464"/>
  <c r="T105" i="464"/>
  <c r="U23" i="464"/>
  <c r="T23" i="464"/>
  <c r="S32" i="464"/>
  <c r="T69" i="464"/>
  <c r="T63" i="464"/>
  <c r="U66" i="464"/>
  <c r="S71" i="464"/>
  <c r="S75" i="464"/>
  <c r="U85" i="464"/>
  <c r="T27" i="464"/>
  <c r="U73" i="464"/>
  <c r="S33" i="464"/>
  <c r="S78" i="464"/>
  <c r="F35" i="466"/>
  <c r="F34" i="466"/>
  <c r="F47" i="466"/>
  <c r="M9" i="464"/>
  <c r="R46" i="464"/>
  <c r="T46" i="464" s="1"/>
  <c r="S127" i="464"/>
  <c r="R40" i="464"/>
  <c r="T40" i="464" s="1"/>
  <c r="R123" i="464"/>
  <c r="T123" i="464" s="1"/>
  <c r="R47" i="464"/>
  <c r="S47" i="464" s="1"/>
  <c r="R74" i="464"/>
  <c r="S74" i="464" s="1"/>
  <c r="R24" i="464"/>
  <c r="S24" i="464" s="1"/>
  <c r="U72" i="464"/>
  <c r="T109" i="464"/>
  <c r="T61" i="464"/>
  <c r="R26" i="464"/>
  <c r="S26" i="464" s="1"/>
  <c r="S76" i="464"/>
  <c r="U98" i="464"/>
  <c r="R83" i="464"/>
  <c r="T83" i="464" s="1"/>
  <c r="R34" i="464"/>
  <c r="T34" i="464" s="1"/>
  <c r="S68" i="464"/>
  <c r="S28" i="464"/>
  <c r="U32" i="464"/>
  <c r="U69" i="464"/>
  <c r="T66" i="464"/>
  <c r="T81" i="464"/>
  <c r="U36" i="464"/>
  <c r="T70" i="464"/>
  <c r="T71" i="464"/>
  <c r="T75" i="464"/>
  <c r="T85" i="464"/>
  <c r="U62" i="464"/>
  <c r="T95" i="464"/>
  <c r="S38" i="464"/>
  <c r="U50" i="464"/>
  <c r="R92" i="464"/>
  <c r="T92" i="464" s="1"/>
  <c r="H9" i="464"/>
  <c r="R91" i="464"/>
  <c r="T91" i="464" s="1"/>
  <c r="R18" i="464"/>
  <c r="S18" i="464" s="1"/>
  <c r="R94" i="464"/>
  <c r="S94" i="464" s="1"/>
  <c r="R44" i="464"/>
  <c r="U44" i="464" s="1"/>
  <c r="R21" i="464"/>
  <c r="U21" i="464" s="1"/>
  <c r="T45" i="464"/>
  <c r="R77" i="464"/>
  <c r="S77" i="464" s="1"/>
  <c r="T88" i="464"/>
  <c r="R48" i="464"/>
  <c r="S48" i="464" s="1"/>
  <c r="R100" i="464"/>
  <c r="S100" i="464" s="1"/>
  <c r="R82" i="464"/>
  <c r="U82" i="464" s="1"/>
  <c r="N17" i="464"/>
  <c r="R108" i="464"/>
  <c r="U108" i="464" s="1"/>
  <c r="R56" i="464"/>
  <c r="U56" i="464" s="1"/>
  <c r="R25" i="464"/>
  <c r="U25" i="464" s="1"/>
  <c r="R97" i="464"/>
  <c r="T97" i="464" s="1"/>
  <c r="R87" i="464"/>
  <c r="T87" i="464" s="1"/>
  <c r="R112" i="464"/>
  <c r="Q110" i="464"/>
  <c r="R96" i="464"/>
  <c r="T96" i="464" s="1"/>
  <c r="N64" i="464"/>
  <c r="Q65" i="464"/>
  <c r="U109" i="464"/>
  <c r="T76" i="464"/>
  <c r="S98" i="464"/>
  <c r="R19" i="464"/>
  <c r="T19" i="464" s="1"/>
  <c r="R90" i="464"/>
  <c r="T90" i="464" s="1"/>
  <c r="T68" i="464"/>
  <c r="T36" i="464"/>
  <c r="S70" i="464"/>
  <c r="S62" i="464"/>
  <c r="S50" i="464"/>
  <c r="R42" i="464"/>
  <c r="T42" i="464" s="1"/>
  <c r="R51" i="464"/>
  <c r="T51" i="464" s="1"/>
  <c r="R103" i="464"/>
  <c r="T103" i="464" s="1"/>
  <c r="R57" i="464"/>
  <c r="S57" i="464" s="1"/>
  <c r="R59" i="464"/>
  <c r="T59" i="464" s="1"/>
  <c r="S45" i="464"/>
  <c r="R54" i="464"/>
  <c r="T54" i="464" s="1"/>
  <c r="R104" i="464"/>
  <c r="S104" i="464" s="1"/>
  <c r="R107" i="464"/>
  <c r="U107" i="464" s="1"/>
  <c r="R41" i="464"/>
  <c r="S41" i="464" s="1"/>
  <c r="R29" i="464"/>
  <c r="S29" i="464" s="1"/>
  <c r="R67" i="464"/>
  <c r="S67" i="464" s="1"/>
  <c r="R30" i="464"/>
  <c r="T30" i="464" s="1"/>
  <c r="R58" i="464"/>
  <c r="T58" i="464" s="1"/>
  <c r="R84" i="464"/>
  <c r="T84" i="464" s="1"/>
  <c r="R37" i="464"/>
  <c r="T37" i="464" s="1"/>
  <c r="Q102" i="464" l="1"/>
  <c r="U84" i="464"/>
  <c r="U58" i="464"/>
  <c r="S58" i="464"/>
  <c r="U103" i="464"/>
  <c r="U19" i="464"/>
  <c r="S19" i="464"/>
  <c r="T82" i="464"/>
  <c r="T100" i="464"/>
  <c r="T18" i="464"/>
  <c r="U104" i="464"/>
  <c r="S59" i="464"/>
  <c r="S42" i="464"/>
  <c r="U18" i="464"/>
  <c r="U51" i="464"/>
  <c r="U37" i="464"/>
  <c r="S37" i="464"/>
  <c r="U41" i="464"/>
  <c r="U54" i="464"/>
  <c r="S54" i="464"/>
  <c r="U59" i="464"/>
  <c r="S103" i="464"/>
  <c r="S51" i="464"/>
  <c r="U42" i="464"/>
  <c r="U90" i="464"/>
  <c r="S90" i="464"/>
  <c r="T25" i="464"/>
  <c r="T56" i="464"/>
  <c r="T21" i="464"/>
  <c r="S44" i="464"/>
  <c r="U94" i="464"/>
  <c r="T29" i="464"/>
  <c r="S107" i="464"/>
  <c r="T77" i="464"/>
  <c r="U26" i="464"/>
  <c r="U47" i="464"/>
  <c r="S40" i="464"/>
  <c r="U67" i="464"/>
  <c r="U29" i="464"/>
  <c r="T41" i="464"/>
  <c r="T107" i="464"/>
  <c r="T104" i="464"/>
  <c r="U57" i="464"/>
  <c r="U96" i="464"/>
  <c r="S25" i="464"/>
  <c r="S56" i="464"/>
  <c r="U48" i="464"/>
  <c r="U77" i="464"/>
  <c r="S21" i="464"/>
  <c r="T44" i="464"/>
  <c r="T94" i="464"/>
  <c r="T26" i="464"/>
  <c r="U24" i="464"/>
  <c r="T74" i="464"/>
  <c r="T47" i="464"/>
  <c r="U40" i="464"/>
  <c r="R110" i="464"/>
  <c r="S112" i="464"/>
  <c r="T112" i="464"/>
  <c r="T110" i="464" s="1"/>
  <c r="U112" i="464"/>
  <c r="U30" i="464"/>
  <c r="S84" i="464"/>
  <c r="S30" i="464"/>
  <c r="T67" i="464"/>
  <c r="T57" i="464"/>
  <c r="Q101" i="464"/>
  <c r="R102" i="464"/>
  <c r="R101" i="464" s="1"/>
  <c r="S96" i="464"/>
  <c r="U87" i="464"/>
  <c r="U97" i="464"/>
  <c r="T108" i="464"/>
  <c r="S82" i="464"/>
  <c r="U100" i="464"/>
  <c r="T48" i="464"/>
  <c r="U91" i="464"/>
  <c r="U92" i="464"/>
  <c r="U34" i="464"/>
  <c r="U83" i="464"/>
  <c r="T24" i="464"/>
  <c r="U74" i="464"/>
  <c r="U123" i="464"/>
  <c r="U46" i="464"/>
  <c r="Q17" i="464"/>
  <c r="N10" i="464"/>
  <c r="N9" i="464" s="1"/>
  <c r="R65" i="464"/>
  <c r="R64" i="464" s="1"/>
  <c r="Q64" i="464"/>
  <c r="S87" i="464"/>
  <c r="S97" i="464"/>
  <c r="S108" i="464"/>
  <c r="S91" i="464"/>
  <c r="S92" i="464"/>
  <c r="S34" i="464"/>
  <c r="S83" i="464"/>
  <c r="S123" i="464"/>
  <c r="S110" i="464" s="1"/>
  <c r="S46" i="464"/>
  <c r="S9" i="422"/>
  <c r="C25" i="460"/>
  <c r="D113" i="437"/>
  <c r="D130" i="437"/>
  <c r="D128" i="437"/>
  <c r="D127" i="437"/>
  <c r="P127" i="437" s="1"/>
  <c r="D116" i="437"/>
  <c r="D115" i="437"/>
  <c r="D114" i="437"/>
  <c r="D112" i="437"/>
  <c r="T102" i="464" l="1"/>
  <c r="D110" i="437"/>
  <c r="BF15" i="463"/>
  <c r="BJ15" i="463" s="1"/>
  <c r="C15" i="463"/>
  <c r="U110" i="464"/>
  <c r="S65" i="464"/>
  <c r="S64" i="464" s="1"/>
  <c r="U65" i="464"/>
  <c r="U64" i="464" s="1"/>
  <c r="U102" i="464"/>
  <c r="U101" i="464" s="1"/>
  <c r="R17" i="464"/>
  <c r="R10" i="464" s="1"/>
  <c r="R9" i="464" s="1"/>
  <c r="Q10" i="464"/>
  <c r="Q9" i="464" s="1"/>
  <c r="S102" i="464"/>
  <c r="S101" i="464" s="1"/>
  <c r="T65" i="464"/>
  <c r="T64" i="464" s="1"/>
  <c r="T101" i="464"/>
  <c r="T17" i="464" l="1"/>
  <c r="T10" i="464" s="1"/>
  <c r="T9" i="464" s="1"/>
  <c r="S17" i="464"/>
  <c r="S10" i="464" s="1"/>
  <c r="S9" i="464" s="1"/>
  <c r="U17" i="464"/>
  <c r="U10" i="464" s="1"/>
  <c r="U9" i="464" s="1"/>
  <c r="C14" i="463"/>
  <c r="BF14" i="463" s="1"/>
  <c r="C11" i="463" l="1"/>
  <c r="BF11" i="463" s="1"/>
  <c r="D113" i="380" l="1"/>
  <c r="N79" i="509" l="1"/>
  <c r="M79" i="509" s="1"/>
  <c r="T79" i="509"/>
  <c r="S79" i="509" s="1"/>
  <c r="Q79" i="509"/>
  <c r="P79" i="509" s="1"/>
  <c r="W79" i="509"/>
  <c r="V79" i="509" s="1"/>
  <c r="P36" i="417"/>
  <c r="Q215" i="417"/>
  <c r="Q216" i="417"/>
  <c r="Q217" i="417"/>
  <c r="Q218" i="417"/>
  <c r="Q219" i="417"/>
  <c r="Q220" i="417"/>
  <c r="Q221" i="417"/>
  <c r="Q222" i="417"/>
  <c r="Q223" i="417"/>
  <c r="Q224" i="417"/>
  <c r="Q225" i="417"/>
  <c r="Q226" i="417"/>
  <c r="Q227" i="417"/>
  <c r="Q228" i="417"/>
  <c r="Q229" i="417"/>
  <c r="G215" i="417"/>
  <c r="G216" i="417"/>
  <c r="G217" i="417"/>
  <c r="G218" i="417"/>
  <c r="G219" i="417"/>
  <c r="G220" i="417"/>
  <c r="G221" i="417"/>
  <c r="G222" i="417"/>
  <c r="G223" i="417"/>
  <c r="G224" i="417"/>
  <c r="G225" i="417"/>
  <c r="G226" i="417"/>
  <c r="G227" i="417"/>
  <c r="G228" i="417"/>
  <c r="G229" i="417"/>
  <c r="W229" i="417" l="1"/>
  <c r="R229" i="417"/>
  <c r="T229" i="417" s="1"/>
  <c r="W228" i="417"/>
  <c r="R228" i="417"/>
  <c r="T228" i="417" s="1"/>
  <c r="W226" i="417"/>
  <c r="R226" i="417"/>
  <c r="T226" i="417" s="1"/>
  <c r="W224" i="417"/>
  <c r="R224" i="417"/>
  <c r="T224" i="417" s="1"/>
  <c r="W222" i="417"/>
  <c r="R222" i="417"/>
  <c r="T222" i="417" s="1"/>
  <c r="W220" i="417"/>
  <c r="R220" i="417"/>
  <c r="T220" i="417" s="1"/>
  <c r="W218" i="417"/>
  <c r="R218" i="417"/>
  <c r="T218" i="417" s="1"/>
  <c r="W216" i="417"/>
  <c r="R216" i="417"/>
  <c r="T216" i="417" s="1"/>
  <c r="W227" i="417"/>
  <c r="R227" i="417"/>
  <c r="T227" i="417" s="1"/>
  <c r="W225" i="417"/>
  <c r="R225" i="417"/>
  <c r="T225" i="417" s="1"/>
  <c r="W223" i="417"/>
  <c r="R223" i="417"/>
  <c r="T223" i="417" s="1"/>
  <c r="W221" i="417"/>
  <c r="R221" i="417"/>
  <c r="T221" i="417" s="1"/>
  <c r="W219" i="417"/>
  <c r="R219" i="417"/>
  <c r="T219" i="417" s="1"/>
  <c r="W217" i="417"/>
  <c r="R217" i="417"/>
  <c r="T217" i="417" s="1"/>
  <c r="W215" i="417"/>
  <c r="R215" i="417"/>
  <c r="T215" i="417" s="1"/>
  <c r="O39" i="442"/>
  <c r="P39" i="442" s="1"/>
  <c r="S39" i="442"/>
  <c r="T39" i="442" l="1"/>
  <c r="AA227" i="417"/>
  <c r="AB227" i="417" s="1"/>
  <c r="AD227" i="417" s="1"/>
  <c r="X227" i="417"/>
  <c r="Z227" i="417" s="1"/>
  <c r="X216" i="417"/>
  <c r="Z216" i="417" s="1"/>
  <c r="AA216" i="417"/>
  <c r="AB216" i="417" s="1"/>
  <c r="AD216" i="417" s="1"/>
  <c r="X218" i="417"/>
  <c r="Z218" i="417" s="1"/>
  <c r="AA218" i="417"/>
  <c r="X220" i="417"/>
  <c r="Z220" i="417" s="1"/>
  <c r="AA220" i="417"/>
  <c r="AB220" i="417" s="1"/>
  <c r="AD220" i="417" s="1"/>
  <c r="AA229" i="417"/>
  <c r="AB229" i="417" s="1"/>
  <c r="AD229" i="417" s="1"/>
  <c r="X229" i="417"/>
  <c r="Z229" i="417" s="1"/>
  <c r="AA215" i="417"/>
  <c r="AB215" i="417" s="1"/>
  <c r="AD215" i="417" s="1"/>
  <c r="X215" i="417"/>
  <c r="Z215" i="417" s="1"/>
  <c r="AA217" i="417"/>
  <c r="AB217" i="417" s="1"/>
  <c r="AD217" i="417" s="1"/>
  <c r="X217" i="417"/>
  <c r="Z217" i="417" s="1"/>
  <c r="AA219" i="417"/>
  <c r="AB219" i="417" s="1"/>
  <c r="AD219" i="417" s="1"/>
  <c r="X219" i="417"/>
  <c r="Z219" i="417" s="1"/>
  <c r="AA221" i="417"/>
  <c r="AB221" i="417" s="1"/>
  <c r="AD221" i="417" s="1"/>
  <c r="X221" i="417"/>
  <c r="Z221" i="417" s="1"/>
  <c r="AA223" i="417"/>
  <c r="AB223" i="417" s="1"/>
  <c r="AD223" i="417" s="1"/>
  <c r="X223" i="417"/>
  <c r="Z223" i="417" s="1"/>
  <c r="AA225" i="417"/>
  <c r="AB225" i="417" s="1"/>
  <c r="AD225" i="417" s="1"/>
  <c r="X225" i="417"/>
  <c r="Z225" i="417" s="1"/>
  <c r="X222" i="417"/>
  <c r="Z222" i="417" s="1"/>
  <c r="AA222" i="417"/>
  <c r="X224" i="417"/>
  <c r="Z224" i="417" s="1"/>
  <c r="AA224" i="417"/>
  <c r="AB224" i="417" s="1"/>
  <c r="AD224" i="417" s="1"/>
  <c r="X226" i="417"/>
  <c r="Z226" i="417" s="1"/>
  <c r="AA226" i="417"/>
  <c r="AB226" i="417" s="1"/>
  <c r="AD226" i="417" s="1"/>
  <c r="X228" i="417"/>
  <c r="Z228" i="417" s="1"/>
  <c r="AA228" i="417"/>
  <c r="AB228" i="417" s="1"/>
  <c r="AD228" i="417" s="1"/>
  <c r="G36" i="461"/>
  <c r="B33" i="461"/>
  <c r="B32" i="461"/>
  <c r="F30" i="461"/>
  <c r="C30" i="461"/>
  <c r="E30" i="461" s="1"/>
  <c r="C29" i="461"/>
  <c r="E29" i="461" s="1"/>
  <c r="E28" i="461"/>
  <c r="D28" i="461" s="1"/>
  <c r="G26" i="461"/>
  <c r="G30" i="461" s="1"/>
  <c r="F24" i="461"/>
  <c r="F25" i="461" s="1"/>
  <c r="C21" i="461"/>
  <c r="C20" i="461"/>
  <c r="C19" i="461"/>
  <c r="C18" i="461"/>
  <c r="D17" i="461"/>
  <c r="C17" i="461"/>
  <c r="D16" i="461"/>
  <c r="C16" i="461"/>
  <c r="D15" i="461"/>
  <c r="C15" i="461"/>
  <c r="E14" i="461"/>
  <c r="C14" i="461" s="1"/>
  <c r="BK13" i="461"/>
  <c r="E13" i="461"/>
  <c r="C13" i="461" s="1"/>
  <c r="E12" i="461"/>
  <c r="C12" i="461" s="1"/>
  <c r="E11" i="461"/>
  <c r="F31" i="461" l="1"/>
  <c r="F34" i="461" s="1"/>
  <c r="F35" i="461" s="1"/>
  <c r="E24" i="461"/>
  <c r="J24" i="461" s="1"/>
  <c r="AB222" i="417"/>
  <c r="AD222" i="417" s="1"/>
  <c r="AB218" i="417"/>
  <c r="AD218" i="417" s="1"/>
  <c r="C11" i="461"/>
  <c r="D29" i="461"/>
  <c r="D30" i="461" s="1"/>
  <c r="F29" i="461"/>
  <c r="E26" i="461"/>
  <c r="D26" i="461" s="1"/>
  <c r="F28" i="461"/>
  <c r="F39" i="461" l="1"/>
  <c r="F36" i="461"/>
  <c r="F38" i="461" s="1"/>
  <c r="E25" i="461"/>
  <c r="E31" i="461" s="1"/>
  <c r="E34" i="461" s="1"/>
  <c r="E35" i="461" s="1"/>
  <c r="E13" i="467" s="1"/>
  <c r="E39" i="461" l="1"/>
  <c r="E37" i="461"/>
  <c r="E38" i="461"/>
  <c r="C38" i="461" s="1"/>
  <c r="E36" i="461"/>
  <c r="C36" i="461" s="1"/>
  <c r="H58" i="448"/>
  <c r="H60" i="448" s="1"/>
  <c r="H62" i="448" s="1"/>
  <c r="H63" i="448" s="1"/>
  <c r="H65" i="448" s="1"/>
  <c r="H67" i="448" s="1"/>
  <c r="H69" i="448" s="1"/>
  <c r="P107" i="417" l="1"/>
  <c r="P42" i="417"/>
  <c r="P159" i="417"/>
  <c r="P200" i="417"/>
  <c r="P201" i="417"/>
  <c r="P198" i="417"/>
  <c r="P199" i="417"/>
  <c r="P57" i="417"/>
  <c r="P58" i="417"/>
  <c r="P109" i="417"/>
  <c r="P102" i="417"/>
  <c r="P35" i="417"/>
  <c r="P15" i="417"/>
  <c r="P191" i="417"/>
  <c r="P195" i="417"/>
  <c r="P196" i="417"/>
  <c r="P192" i="417"/>
  <c r="P160" i="417"/>
  <c r="P111" i="417"/>
  <c r="P190" i="417"/>
  <c r="P189" i="417"/>
  <c r="P186" i="417"/>
  <c r="P185" i="417"/>
  <c r="P188" i="417"/>
  <c r="P187" i="417"/>
  <c r="P156" i="417"/>
  <c r="P155" i="417"/>
  <c r="P66" i="417"/>
  <c r="P106" i="417"/>
  <c r="P180" i="417"/>
  <c r="P183" i="417"/>
  <c r="P179" i="417"/>
  <c r="P153" i="417"/>
  <c r="P178" i="417"/>
  <c r="P177" i="417"/>
  <c r="P172" i="417"/>
  <c r="P175" i="417"/>
  <c r="P174" i="417"/>
  <c r="P173" i="417"/>
  <c r="P170" i="417"/>
  <c r="P11" i="417"/>
  <c r="C56" i="449"/>
  <c r="G56" i="449" s="1"/>
  <c r="O18" i="417"/>
  <c r="O166" i="417"/>
  <c r="O52" i="420"/>
  <c r="O57" i="420"/>
  <c r="O51" i="420"/>
  <c r="O55" i="420"/>
  <c r="S58" i="420"/>
  <c r="O58" i="420"/>
  <c r="P58" i="420" s="1"/>
  <c r="P249" i="417" s="1"/>
  <c r="R249" i="417" s="1"/>
  <c r="T249" i="417" s="1"/>
  <c r="E58" i="420"/>
  <c r="G58" i="420" s="1"/>
  <c r="S228" i="429"/>
  <c r="W228" i="429" s="1"/>
  <c r="AA228" i="429" s="1"/>
  <c r="G228" i="429"/>
  <c r="O226" i="429"/>
  <c r="O227" i="429"/>
  <c r="P171" i="417" l="1"/>
  <c r="T58" i="420"/>
  <c r="V58" i="420" s="1"/>
  <c r="T228" i="429"/>
  <c r="W88" i="426"/>
  <c r="AA88" i="426" s="1"/>
  <c r="V228" i="429" l="1"/>
  <c r="AB228" i="429"/>
  <c r="AD228" i="429" s="1"/>
  <c r="X228" i="429"/>
  <c r="Z228" i="429" s="1"/>
  <c r="BM41" i="457"/>
  <c r="B29" i="460"/>
  <c r="B28" i="460"/>
  <c r="C26" i="460"/>
  <c r="F23" i="460"/>
  <c r="E23" i="460"/>
  <c r="D23" i="460"/>
  <c r="C15" i="460"/>
  <c r="G36" i="459"/>
  <c r="B33" i="459"/>
  <c r="B32" i="459"/>
  <c r="F30" i="459"/>
  <c r="C30" i="459"/>
  <c r="E30" i="459" s="1"/>
  <c r="C29" i="459"/>
  <c r="E29" i="459" s="1"/>
  <c r="F29" i="459" s="1"/>
  <c r="E28" i="459"/>
  <c r="F28" i="459" s="1"/>
  <c r="G26" i="459"/>
  <c r="G30" i="459" s="1"/>
  <c r="F24" i="459"/>
  <c r="F25" i="459" s="1"/>
  <c r="C21" i="459"/>
  <c r="C20" i="459"/>
  <c r="C19" i="459"/>
  <c r="C18" i="459"/>
  <c r="D17" i="459"/>
  <c r="C17" i="459"/>
  <c r="D16" i="459"/>
  <c r="C16" i="459"/>
  <c r="D15" i="459"/>
  <c r="C15" i="459"/>
  <c r="E14" i="459"/>
  <c r="C14" i="459" s="1"/>
  <c r="BK13" i="459"/>
  <c r="E13" i="459"/>
  <c r="C13" i="459" s="1"/>
  <c r="E12" i="459"/>
  <c r="C12" i="459" s="1"/>
  <c r="E11" i="459"/>
  <c r="C11" i="459" s="1"/>
  <c r="C52" i="458"/>
  <c r="F45" i="458" s="1"/>
  <c r="C45" i="458"/>
  <c r="BM40" i="458"/>
  <c r="BM42" i="458" s="1"/>
  <c r="BM43" i="458" s="1"/>
  <c r="BM39" i="458"/>
  <c r="BM37" i="458"/>
  <c r="BL35" i="458"/>
  <c r="BL36" i="458" s="1"/>
  <c r="BT31" i="458"/>
  <c r="BQ31" i="458"/>
  <c r="BO31" i="458"/>
  <c r="BQ28" i="458"/>
  <c r="BO28" i="458"/>
  <c r="BQ27" i="458"/>
  <c r="BO27" i="458"/>
  <c r="I26" i="458"/>
  <c r="H26" i="458"/>
  <c r="G26" i="458"/>
  <c r="F26" i="458"/>
  <c r="E26" i="458"/>
  <c r="C26" i="458"/>
  <c r="BQ23" i="458"/>
  <c r="BO23" i="458"/>
  <c r="BP23" i="458" s="1"/>
  <c r="H23" i="458"/>
  <c r="H24" i="458" s="1"/>
  <c r="G23" i="458"/>
  <c r="G24" i="458" s="1"/>
  <c r="G27" i="458" s="1"/>
  <c r="G30" i="458" s="1"/>
  <c r="G31" i="458" s="1"/>
  <c r="C21" i="458"/>
  <c r="C20" i="458"/>
  <c r="C19" i="458"/>
  <c r="E18" i="458"/>
  <c r="C18" i="458"/>
  <c r="C17" i="458"/>
  <c r="C16" i="458"/>
  <c r="F15" i="458"/>
  <c r="C15" i="458" s="1"/>
  <c r="E15" i="458"/>
  <c r="D15" i="458"/>
  <c r="BL15" i="458" s="1"/>
  <c r="F14" i="458"/>
  <c r="C14" i="458" s="1"/>
  <c r="E14" i="458"/>
  <c r="BM13" i="458"/>
  <c r="F13" i="458"/>
  <c r="C13" i="458" s="1"/>
  <c r="E13" i="458"/>
  <c r="F12" i="458"/>
  <c r="C12" i="458" s="1"/>
  <c r="E12" i="458"/>
  <c r="F11" i="458"/>
  <c r="E11" i="458"/>
  <c r="F31" i="459" l="1"/>
  <c r="F34" i="459" s="1"/>
  <c r="F35" i="459" s="1"/>
  <c r="H27" i="458"/>
  <c r="H30" i="458" s="1"/>
  <c r="H31" i="458" s="1"/>
  <c r="G43" i="458"/>
  <c r="BP31" i="458"/>
  <c r="E23" i="458"/>
  <c r="E24" i="458" s="1"/>
  <c r="E27" i="458" s="1"/>
  <c r="E30" i="458" s="1"/>
  <c r="E31" i="458" s="1"/>
  <c r="BP28" i="458"/>
  <c r="BP27" i="458"/>
  <c r="E24" i="459"/>
  <c r="I24" i="459" s="1"/>
  <c r="F36" i="459"/>
  <c r="F38" i="459" s="1"/>
  <c r="F37" i="459"/>
  <c r="F39" i="459" s="1"/>
  <c r="D28" i="459"/>
  <c r="D29" i="459"/>
  <c r="E26" i="459"/>
  <c r="D26" i="459" s="1"/>
  <c r="F23" i="458"/>
  <c r="H43" i="458"/>
  <c r="D30" i="459" l="1"/>
  <c r="E25" i="459"/>
  <c r="E31" i="459" s="1"/>
  <c r="E34" i="459" s="1"/>
  <c r="E35" i="459" s="1"/>
  <c r="E37" i="459" s="1"/>
  <c r="J24" i="459"/>
  <c r="H24" i="459"/>
  <c r="F43" i="458"/>
  <c r="L23" i="458"/>
  <c r="K23" i="458"/>
  <c r="F24" i="458"/>
  <c r="F27" i="458" s="1"/>
  <c r="F30" i="458" s="1"/>
  <c r="F31" i="458" s="1"/>
  <c r="J23" i="458"/>
  <c r="E38" i="459" l="1"/>
  <c r="C38" i="459" s="1"/>
  <c r="E36" i="459"/>
  <c r="C36" i="459" s="1"/>
  <c r="E39" i="459"/>
  <c r="BM39" i="457" l="1"/>
  <c r="BM40" i="457"/>
  <c r="BM38" i="457"/>
  <c r="BH38" i="457"/>
  <c r="BI38" i="457" s="1"/>
  <c r="BJ38" i="457" s="1"/>
  <c r="BM37" i="457"/>
  <c r="BH37" i="457"/>
  <c r="BI37" i="457" s="1"/>
  <c r="BJ37" i="457" s="1"/>
  <c r="BM36" i="457"/>
  <c r="BH36" i="457"/>
  <c r="BI36" i="457" s="1"/>
  <c r="BH41" i="457"/>
  <c r="F25" i="457"/>
  <c r="E25" i="457"/>
  <c r="D25" i="457"/>
  <c r="C15" i="457"/>
  <c r="C56" i="456"/>
  <c r="F49" i="456" s="1"/>
  <c r="BM44" i="456"/>
  <c r="BM46" i="456" s="1"/>
  <c r="BM47" i="456" s="1"/>
  <c r="BM41" i="456"/>
  <c r="BV38" i="456"/>
  <c r="BW38" i="456" s="1"/>
  <c r="BR36" i="456"/>
  <c r="BO36" i="456"/>
  <c r="BT33" i="456"/>
  <c r="BQ33" i="456"/>
  <c r="BO33" i="456"/>
  <c r="BQ30" i="456"/>
  <c r="BO30" i="456"/>
  <c r="BQ29" i="456"/>
  <c r="BO29" i="456"/>
  <c r="C28" i="456"/>
  <c r="I27" i="456"/>
  <c r="I28" i="456" s="1"/>
  <c r="E27" i="456"/>
  <c r="E28" i="456" s="1"/>
  <c r="D27" i="456"/>
  <c r="F26" i="456"/>
  <c r="H26" i="456" s="1"/>
  <c r="H28" i="456" s="1"/>
  <c r="F25" i="456"/>
  <c r="BQ23" i="456"/>
  <c r="BO23" i="456"/>
  <c r="BP23" i="456" s="1"/>
  <c r="H23" i="456"/>
  <c r="C22" i="456"/>
  <c r="C21" i="456"/>
  <c r="C20" i="456"/>
  <c r="G19" i="456"/>
  <c r="C19" i="456" s="1"/>
  <c r="I18" i="456"/>
  <c r="E18" i="456" s="1"/>
  <c r="G18" i="456"/>
  <c r="C17" i="456"/>
  <c r="C16" i="456"/>
  <c r="F15" i="456"/>
  <c r="C15" i="456" s="1"/>
  <c r="E15" i="456"/>
  <c r="D15" i="456"/>
  <c r="F14" i="456"/>
  <c r="C14" i="456" s="1"/>
  <c r="E14" i="456"/>
  <c r="BM13" i="456"/>
  <c r="F13" i="456"/>
  <c r="C13" i="456" s="1"/>
  <c r="E13" i="456"/>
  <c r="F12" i="456"/>
  <c r="E12" i="456"/>
  <c r="F11" i="456"/>
  <c r="E11" i="456"/>
  <c r="F28" i="456" l="1"/>
  <c r="D28" i="456"/>
  <c r="CH27" i="456"/>
  <c r="BL15" i="456"/>
  <c r="BM42" i="457"/>
  <c r="BM43" i="457" s="1"/>
  <c r="G26" i="456"/>
  <c r="G28" i="456" s="1"/>
  <c r="BM43" i="456"/>
  <c r="C18" i="456"/>
  <c r="BP29" i="456"/>
  <c r="G23" i="456"/>
  <c r="G24" i="456" s="1"/>
  <c r="G29" i="456" s="1"/>
  <c r="G32" i="456" s="1"/>
  <c r="G33" i="456" s="1"/>
  <c r="BP30" i="456"/>
  <c r="E23" i="456"/>
  <c r="E24" i="456" s="1"/>
  <c r="E29" i="456" s="1"/>
  <c r="E32" i="456" s="1"/>
  <c r="E33" i="456" s="1"/>
  <c r="E35" i="456" s="1"/>
  <c r="E37" i="456" s="1"/>
  <c r="BP33" i="456"/>
  <c r="BJ41" i="457"/>
  <c r="F23" i="456"/>
  <c r="L23" i="456" s="1"/>
  <c r="BH40" i="457"/>
  <c r="BJ36" i="457"/>
  <c r="C12" i="456"/>
  <c r="H24" i="456"/>
  <c r="H29" i="456" s="1"/>
  <c r="H32" i="456" s="1"/>
  <c r="H33" i="456" s="1"/>
  <c r="H37" i="456" s="1"/>
  <c r="H35" i="456" s="1"/>
  <c r="CN28" i="456" l="1"/>
  <c r="CH28" i="456"/>
  <c r="E34" i="456"/>
  <c r="E36" i="456" s="1"/>
  <c r="K23" i="456"/>
  <c r="F24" i="456"/>
  <c r="F29" i="456" s="1"/>
  <c r="F32" i="456" s="1"/>
  <c r="F33" i="456" s="1"/>
  <c r="F36" i="456" s="1"/>
  <c r="J23" i="456"/>
  <c r="BJ40" i="457"/>
  <c r="H47" i="456"/>
  <c r="G36" i="456"/>
  <c r="G37" i="456"/>
  <c r="G35" i="456" s="1"/>
  <c r="F37" i="456" l="1"/>
  <c r="F35" i="456" s="1"/>
  <c r="G34" i="456"/>
  <c r="G47" i="456"/>
  <c r="F34" i="456"/>
  <c r="F47" i="456" l="1"/>
  <c r="Q12" i="430"/>
  <c r="U12" i="430" s="1"/>
  <c r="Y12" i="430" s="1"/>
  <c r="Q11" i="430"/>
  <c r="S227" i="429"/>
  <c r="W227" i="429" s="1"/>
  <c r="AA227" i="429" s="1"/>
  <c r="S13" i="442"/>
  <c r="T13" i="442" s="1"/>
  <c r="S9" i="442"/>
  <c r="T9" i="442" s="1"/>
  <c r="S10" i="442"/>
  <c r="T10" i="442" s="1"/>
  <c r="S11" i="442"/>
  <c r="T11" i="442" s="1"/>
  <c r="S12" i="442"/>
  <c r="T12" i="442" s="1"/>
  <c r="S14" i="442"/>
  <c r="T14" i="442" s="1"/>
  <c r="S15" i="442"/>
  <c r="T15" i="442" s="1"/>
  <c r="S16" i="442"/>
  <c r="T16" i="442" s="1"/>
  <c r="S17" i="442"/>
  <c r="T17" i="442" s="1"/>
  <c r="S18" i="442"/>
  <c r="T18" i="442" s="1"/>
  <c r="S19" i="442"/>
  <c r="T19" i="442" s="1"/>
  <c r="S20" i="442"/>
  <c r="T20" i="442" s="1"/>
  <c r="S21" i="442"/>
  <c r="T21" i="442" s="1"/>
  <c r="S22" i="442"/>
  <c r="T22" i="442" s="1"/>
  <c r="S23" i="442"/>
  <c r="T23" i="442" s="1"/>
  <c r="S24" i="442"/>
  <c r="T24" i="442" s="1"/>
  <c r="S25" i="442"/>
  <c r="T25" i="442" s="1"/>
  <c r="S26" i="442"/>
  <c r="T26" i="442" s="1"/>
  <c r="S27" i="442"/>
  <c r="T27" i="442" s="1"/>
  <c r="S28" i="442"/>
  <c r="T28" i="442" s="1"/>
  <c r="S29" i="442"/>
  <c r="T29" i="442" s="1"/>
  <c r="S30" i="442"/>
  <c r="T30" i="442" s="1"/>
  <c r="S31" i="442"/>
  <c r="T31" i="442" s="1"/>
  <c r="S32" i="442"/>
  <c r="T32" i="442" s="1"/>
  <c r="S33" i="442"/>
  <c r="T33" i="442" s="1"/>
  <c r="S34" i="442"/>
  <c r="T34" i="442" s="1"/>
  <c r="S35" i="442"/>
  <c r="T35" i="442" s="1"/>
  <c r="S36" i="442"/>
  <c r="T36" i="442" s="1"/>
  <c r="S37" i="442"/>
  <c r="T37" i="442" s="1"/>
  <c r="S38" i="442"/>
  <c r="T38" i="442" s="1"/>
  <c r="S40" i="442"/>
  <c r="T40" i="442" s="1"/>
  <c r="S41" i="442"/>
  <c r="T41" i="442" s="1"/>
  <c r="S42" i="442"/>
  <c r="S43" i="442"/>
  <c r="T43" i="442" s="1"/>
  <c r="S44" i="442"/>
  <c r="T44" i="442" s="1"/>
  <c r="S45" i="442"/>
  <c r="T45" i="442" s="1"/>
  <c r="S46" i="442"/>
  <c r="T46" i="442" s="1"/>
  <c r="S47" i="442"/>
  <c r="T47" i="442" s="1"/>
  <c r="S48" i="442"/>
  <c r="T48" i="442" s="1"/>
  <c r="S49" i="442"/>
  <c r="T49" i="442" s="1"/>
  <c r="S50" i="442"/>
  <c r="T50" i="442" s="1"/>
  <c r="S8" i="442"/>
  <c r="T8" i="442" s="1"/>
  <c r="S8" i="429"/>
  <c r="W8" i="429" s="1"/>
  <c r="AA8" i="429" s="1"/>
  <c r="S9" i="429"/>
  <c r="W9" i="429" s="1"/>
  <c r="AA9" i="429" s="1"/>
  <c r="S10" i="429"/>
  <c r="W10" i="429" s="1"/>
  <c r="AA10" i="429" s="1"/>
  <c r="S11" i="429"/>
  <c r="W11" i="429" s="1"/>
  <c r="AA11" i="429" s="1"/>
  <c r="S12" i="429"/>
  <c r="W12" i="429" s="1"/>
  <c r="AA12" i="429" s="1"/>
  <c r="S13" i="429"/>
  <c r="W13" i="429" s="1"/>
  <c r="AA13" i="429" s="1"/>
  <c r="S14" i="429"/>
  <c r="W14" i="429" s="1"/>
  <c r="AA14" i="429" s="1"/>
  <c r="S15" i="429"/>
  <c r="W15" i="429" s="1"/>
  <c r="AA15" i="429" s="1"/>
  <c r="S16" i="429"/>
  <c r="W16" i="429" s="1"/>
  <c r="AA16" i="429" s="1"/>
  <c r="S17" i="429"/>
  <c r="W17" i="429" s="1"/>
  <c r="AA17" i="429" s="1"/>
  <c r="S18" i="429"/>
  <c r="W18" i="429" s="1"/>
  <c r="AA18" i="429" s="1"/>
  <c r="S19" i="429"/>
  <c r="W19" i="429" s="1"/>
  <c r="AA19" i="429" s="1"/>
  <c r="S20" i="429"/>
  <c r="W20" i="429" s="1"/>
  <c r="AA20" i="429" s="1"/>
  <c r="S21" i="429"/>
  <c r="W21" i="429" s="1"/>
  <c r="AA21" i="429" s="1"/>
  <c r="S22" i="429"/>
  <c r="W22" i="429" s="1"/>
  <c r="AA22" i="429" s="1"/>
  <c r="S23" i="429"/>
  <c r="W23" i="429" s="1"/>
  <c r="AA23" i="429" s="1"/>
  <c r="S24" i="429"/>
  <c r="W24" i="429" s="1"/>
  <c r="AA24" i="429" s="1"/>
  <c r="S25" i="429"/>
  <c r="W25" i="429" s="1"/>
  <c r="AA25" i="429" s="1"/>
  <c r="S26" i="429"/>
  <c r="W26" i="429" s="1"/>
  <c r="AA26" i="429" s="1"/>
  <c r="S27" i="429"/>
  <c r="W27" i="429" s="1"/>
  <c r="AA27" i="429" s="1"/>
  <c r="S28" i="429"/>
  <c r="W28" i="429" s="1"/>
  <c r="AA28" i="429" s="1"/>
  <c r="S29" i="429"/>
  <c r="W29" i="429" s="1"/>
  <c r="AA29" i="429" s="1"/>
  <c r="S30" i="429"/>
  <c r="W30" i="429" s="1"/>
  <c r="AA30" i="429" s="1"/>
  <c r="S31" i="429"/>
  <c r="W31" i="429" s="1"/>
  <c r="AA31" i="429" s="1"/>
  <c r="S32" i="429"/>
  <c r="W32" i="429" s="1"/>
  <c r="AA32" i="429" s="1"/>
  <c r="S33" i="429"/>
  <c r="W33" i="429" s="1"/>
  <c r="AA33" i="429" s="1"/>
  <c r="S34" i="429"/>
  <c r="W34" i="429" s="1"/>
  <c r="AA34" i="429" s="1"/>
  <c r="S35" i="429"/>
  <c r="W35" i="429" s="1"/>
  <c r="AA35" i="429" s="1"/>
  <c r="S36" i="429"/>
  <c r="W36" i="429" s="1"/>
  <c r="AA36" i="429" s="1"/>
  <c r="S37" i="429"/>
  <c r="W37" i="429" s="1"/>
  <c r="AA37" i="429" s="1"/>
  <c r="S38" i="429"/>
  <c r="W38" i="429" s="1"/>
  <c r="AA38" i="429" s="1"/>
  <c r="S39" i="429"/>
  <c r="W39" i="429" s="1"/>
  <c r="AA39" i="429" s="1"/>
  <c r="S40" i="429"/>
  <c r="W40" i="429" s="1"/>
  <c r="AA40" i="429" s="1"/>
  <c r="S41" i="429"/>
  <c r="W41" i="429" s="1"/>
  <c r="AA41" i="429" s="1"/>
  <c r="S42" i="429"/>
  <c r="W42" i="429" s="1"/>
  <c r="AA42" i="429" s="1"/>
  <c r="S43" i="429"/>
  <c r="W43" i="429" s="1"/>
  <c r="AA43" i="429" s="1"/>
  <c r="S44" i="429"/>
  <c r="W44" i="429" s="1"/>
  <c r="AA44" i="429" s="1"/>
  <c r="S45" i="429"/>
  <c r="W45" i="429" s="1"/>
  <c r="AA45" i="429" s="1"/>
  <c r="S46" i="429"/>
  <c r="W46" i="429" s="1"/>
  <c r="AA46" i="429" s="1"/>
  <c r="S47" i="429"/>
  <c r="W47" i="429" s="1"/>
  <c r="AA47" i="429" s="1"/>
  <c r="S48" i="429"/>
  <c r="W48" i="429" s="1"/>
  <c r="AA48" i="429" s="1"/>
  <c r="S49" i="429"/>
  <c r="W49" i="429" s="1"/>
  <c r="AA49" i="429" s="1"/>
  <c r="S50" i="429"/>
  <c r="W50" i="429" s="1"/>
  <c r="AA50" i="429" s="1"/>
  <c r="S51" i="429"/>
  <c r="W51" i="429" s="1"/>
  <c r="AA51" i="429" s="1"/>
  <c r="S52" i="429"/>
  <c r="W52" i="429" s="1"/>
  <c r="AA52" i="429" s="1"/>
  <c r="S53" i="429"/>
  <c r="W53" i="429" s="1"/>
  <c r="AA53" i="429" s="1"/>
  <c r="S54" i="429"/>
  <c r="W54" i="429" s="1"/>
  <c r="AA54" i="429" s="1"/>
  <c r="S55" i="429"/>
  <c r="W55" i="429" s="1"/>
  <c r="AA55" i="429" s="1"/>
  <c r="S56" i="429"/>
  <c r="W56" i="429" s="1"/>
  <c r="AA56" i="429" s="1"/>
  <c r="S57" i="429"/>
  <c r="W57" i="429" s="1"/>
  <c r="AA57" i="429" s="1"/>
  <c r="S58" i="429"/>
  <c r="W58" i="429" s="1"/>
  <c r="AA58" i="429" s="1"/>
  <c r="S59" i="429"/>
  <c r="W59" i="429" s="1"/>
  <c r="AA59" i="429" s="1"/>
  <c r="S60" i="429"/>
  <c r="W60" i="429" s="1"/>
  <c r="AA60" i="429" s="1"/>
  <c r="S61" i="429"/>
  <c r="W61" i="429" s="1"/>
  <c r="AA61" i="429" s="1"/>
  <c r="S62" i="429"/>
  <c r="W62" i="429" s="1"/>
  <c r="AA62" i="429" s="1"/>
  <c r="S63" i="429"/>
  <c r="W63" i="429" s="1"/>
  <c r="AA63" i="429" s="1"/>
  <c r="S64" i="429"/>
  <c r="W64" i="429" s="1"/>
  <c r="AA64" i="429" s="1"/>
  <c r="S65" i="429"/>
  <c r="W65" i="429" s="1"/>
  <c r="AA65" i="429" s="1"/>
  <c r="S66" i="429"/>
  <c r="W66" i="429" s="1"/>
  <c r="AA66" i="429" s="1"/>
  <c r="S67" i="429"/>
  <c r="W67" i="429" s="1"/>
  <c r="AA67" i="429" s="1"/>
  <c r="S68" i="429"/>
  <c r="W68" i="429" s="1"/>
  <c r="AA68" i="429" s="1"/>
  <c r="S69" i="429"/>
  <c r="W69" i="429" s="1"/>
  <c r="AA69" i="429" s="1"/>
  <c r="S70" i="429"/>
  <c r="W70" i="429" s="1"/>
  <c r="AA70" i="429" s="1"/>
  <c r="S71" i="429"/>
  <c r="W71" i="429" s="1"/>
  <c r="AA71" i="429" s="1"/>
  <c r="S72" i="429"/>
  <c r="W72" i="429" s="1"/>
  <c r="AA72" i="429" s="1"/>
  <c r="S73" i="429"/>
  <c r="W73" i="429" s="1"/>
  <c r="AA73" i="429" s="1"/>
  <c r="S74" i="429"/>
  <c r="W74" i="429" s="1"/>
  <c r="AA74" i="429" s="1"/>
  <c r="S75" i="429"/>
  <c r="W75" i="429" s="1"/>
  <c r="AA75" i="429" s="1"/>
  <c r="S76" i="429"/>
  <c r="W76" i="429" s="1"/>
  <c r="AA76" i="429" s="1"/>
  <c r="S77" i="429"/>
  <c r="W77" i="429" s="1"/>
  <c r="AA77" i="429" s="1"/>
  <c r="S78" i="429"/>
  <c r="W78" i="429" s="1"/>
  <c r="AA78" i="429" s="1"/>
  <c r="S79" i="429"/>
  <c r="W79" i="429" s="1"/>
  <c r="AA79" i="429" s="1"/>
  <c r="S80" i="429"/>
  <c r="W80" i="429" s="1"/>
  <c r="AA80" i="429" s="1"/>
  <c r="S81" i="429"/>
  <c r="W81" i="429" s="1"/>
  <c r="AA81" i="429" s="1"/>
  <c r="S82" i="429"/>
  <c r="W82" i="429" s="1"/>
  <c r="AA82" i="429" s="1"/>
  <c r="S83" i="429"/>
  <c r="W83" i="429" s="1"/>
  <c r="AA83" i="429" s="1"/>
  <c r="S84" i="429"/>
  <c r="W84" i="429" s="1"/>
  <c r="AA84" i="429" s="1"/>
  <c r="S85" i="429"/>
  <c r="W85" i="429" s="1"/>
  <c r="AA85" i="429" s="1"/>
  <c r="S86" i="429"/>
  <c r="W86" i="429" s="1"/>
  <c r="AA86" i="429" s="1"/>
  <c r="S87" i="429"/>
  <c r="W87" i="429" s="1"/>
  <c r="AA87" i="429" s="1"/>
  <c r="S88" i="429"/>
  <c r="W88" i="429" s="1"/>
  <c r="AA88" i="429" s="1"/>
  <c r="S89" i="429"/>
  <c r="W89" i="429" s="1"/>
  <c r="AA89" i="429" s="1"/>
  <c r="S90" i="429"/>
  <c r="W90" i="429" s="1"/>
  <c r="AA90" i="429" s="1"/>
  <c r="S91" i="429"/>
  <c r="W91" i="429" s="1"/>
  <c r="AA91" i="429" s="1"/>
  <c r="S92" i="429"/>
  <c r="W92" i="429" s="1"/>
  <c r="AA92" i="429" s="1"/>
  <c r="S93" i="429"/>
  <c r="W93" i="429" s="1"/>
  <c r="AA93" i="429" s="1"/>
  <c r="S94" i="429"/>
  <c r="W94" i="429" s="1"/>
  <c r="AA94" i="429" s="1"/>
  <c r="S95" i="429"/>
  <c r="W95" i="429" s="1"/>
  <c r="AA95" i="429" s="1"/>
  <c r="S96" i="429"/>
  <c r="W96" i="429" s="1"/>
  <c r="AA96" i="429" s="1"/>
  <c r="S97" i="429"/>
  <c r="W97" i="429" s="1"/>
  <c r="AA97" i="429" s="1"/>
  <c r="S98" i="429"/>
  <c r="W98" i="429" s="1"/>
  <c r="AA98" i="429" s="1"/>
  <c r="S99" i="429"/>
  <c r="W99" i="429" s="1"/>
  <c r="AA99" i="429" s="1"/>
  <c r="S100" i="429"/>
  <c r="W100" i="429" s="1"/>
  <c r="AA100" i="429" s="1"/>
  <c r="S101" i="429"/>
  <c r="W101" i="429" s="1"/>
  <c r="AA101" i="429" s="1"/>
  <c r="S102" i="429"/>
  <c r="W102" i="429" s="1"/>
  <c r="AA102" i="429" s="1"/>
  <c r="S103" i="429"/>
  <c r="W103" i="429" s="1"/>
  <c r="AA103" i="429" s="1"/>
  <c r="S104" i="429"/>
  <c r="W104" i="429" s="1"/>
  <c r="AA104" i="429" s="1"/>
  <c r="S105" i="429"/>
  <c r="W105" i="429" s="1"/>
  <c r="AA105" i="429" s="1"/>
  <c r="S106" i="429"/>
  <c r="W106" i="429" s="1"/>
  <c r="AA106" i="429" s="1"/>
  <c r="S107" i="429"/>
  <c r="W107" i="429" s="1"/>
  <c r="AA107" i="429" s="1"/>
  <c r="S108" i="429"/>
  <c r="W108" i="429" s="1"/>
  <c r="AA108" i="429" s="1"/>
  <c r="S109" i="429"/>
  <c r="W109" i="429" s="1"/>
  <c r="AA109" i="429" s="1"/>
  <c r="S110" i="429"/>
  <c r="W110" i="429" s="1"/>
  <c r="AA110" i="429" s="1"/>
  <c r="S111" i="429"/>
  <c r="W111" i="429" s="1"/>
  <c r="AA111" i="429" s="1"/>
  <c r="S112" i="429"/>
  <c r="W112" i="429" s="1"/>
  <c r="AA112" i="429" s="1"/>
  <c r="S113" i="429"/>
  <c r="W113" i="429" s="1"/>
  <c r="AA113" i="429" s="1"/>
  <c r="S114" i="429"/>
  <c r="W114" i="429" s="1"/>
  <c r="AA114" i="429" s="1"/>
  <c r="S115" i="429"/>
  <c r="W115" i="429" s="1"/>
  <c r="AA115" i="429" s="1"/>
  <c r="S116" i="429"/>
  <c r="W116" i="429" s="1"/>
  <c r="AA116" i="429" s="1"/>
  <c r="S117" i="429"/>
  <c r="W117" i="429" s="1"/>
  <c r="AA117" i="429" s="1"/>
  <c r="S118" i="429"/>
  <c r="W118" i="429" s="1"/>
  <c r="AA118" i="429" s="1"/>
  <c r="S119" i="429"/>
  <c r="W119" i="429" s="1"/>
  <c r="AA119" i="429" s="1"/>
  <c r="S120" i="429"/>
  <c r="W120" i="429" s="1"/>
  <c r="AA120" i="429" s="1"/>
  <c r="S121" i="429"/>
  <c r="W121" i="429" s="1"/>
  <c r="AA121" i="429" s="1"/>
  <c r="S122" i="429"/>
  <c r="W122" i="429" s="1"/>
  <c r="AA122" i="429" s="1"/>
  <c r="S123" i="429"/>
  <c r="W123" i="429" s="1"/>
  <c r="AA123" i="429" s="1"/>
  <c r="S124" i="429"/>
  <c r="W124" i="429" s="1"/>
  <c r="AA124" i="429" s="1"/>
  <c r="S125" i="429"/>
  <c r="W125" i="429" s="1"/>
  <c r="AA125" i="429" s="1"/>
  <c r="S126" i="429"/>
  <c r="W126" i="429" s="1"/>
  <c r="AA126" i="429" s="1"/>
  <c r="S127" i="429"/>
  <c r="W127" i="429" s="1"/>
  <c r="AA127" i="429" s="1"/>
  <c r="S128" i="429"/>
  <c r="W128" i="429" s="1"/>
  <c r="AA128" i="429" s="1"/>
  <c r="S129" i="429"/>
  <c r="W129" i="429" s="1"/>
  <c r="AA129" i="429" s="1"/>
  <c r="S130" i="429"/>
  <c r="W130" i="429" s="1"/>
  <c r="AA130" i="429" s="1"/>
  <c r="S131" i="429"/>
  <c r="W131" i="429" s="1"/>
  <c r="AA131" i="429" s="1"/>
  <c r="S132" i="429"/>
  <c r="W132" i="429" s="1"/>
  <c r="AA132" i="429" s="1"/>
  <c r="S133" i="429"/>
  <c r="W133" i="429" s="1"/>
  <c r="AA133" i="429" s="1"/>
  <c r="S134" i="429"/>
  <c r="W134" i="429" s="1"/>
  <c r="AA134" i="429" s="1"/>
  <c r="S135" i="429"/>
  <c r="W135" i="429" s="1"/>
  <c r="AA135" i="429" s="1"/>
  <c r="S136" i="429"/>
  <c r="W136" i="429" s="1"/>
  <c r="AA136" i="429" s="1"/>
  <c r="S137" i="429"/>
  <c r="W137" i="429" s="1"/>
  <c r="AA137" i="429" s="1"/>
  <c r="S138" i="429"/>
  <c r="W138" i="429" s="1"/>
  <c r="AA138" i="429" s="1"/>
  <c r="S139" i="429"/>
  <c r="W139" i="429" s="1"/>
  <c r="AA139" i="429" s="1"/>
  <c r="S140" i="429"/>
  <c r="W140" i="429" s="1"/>
  <c r="AA140" i="429" s="1"/>
  <c r="S141" i="429"/>
  <c r="W141" i="429" s="1"/>
  <c r="AA141" i="429" s="1"/>
  <c r="S142" i="429"/>
  <c r="W142" i="429" s="1"/>
  <c r="AA142" i="429" s="1"/>
  <c r="S143" i="429"/>
  <c r="W143" i="429" s="1"/>
  <c r="AA143" i="429" s="1"/>
  <c r="S144" i="429"/>
  <c r="W144" i="429" s="1"/>
  <c r="AA144" i="429" s="1"/>
  <c r="S145" i="429"/>
  <c r="W145" i="429" s="1"/>
  <c r="AA145" i="429" s="1"/>
  <c r="S146" i="429"/>
  <c r="W146" i="429" s="1"/>
  <c r="AA146" i="429" s="1"/>
  <c r="S147" i="429"/>
  <c r="W147" i="429" s="1"/>
  <c r="AA147" i="429" s="1"/>
  <c r="S148" i="429"/>
  <c r="W148" i="429" s="1"/>
  <c r="AA148" i="429" s="1"/>
  <c r="S149" i="429"/>
  <c r="W149" i="429" s="1"/>
  <c r="AA149" i="429" s="1"/>
  <c r="S150" i="429"/>
  <c r="W150" i="429" s="1"/>
  <c r="AA150" i="429" s="1"/>
  <c r="S151" i="429"/>
  <c r="W151" i="429" s="1"/>
  <c r="AA151" i="429" s="1"/>
  <c r="S152" i="429"/>
  <c r="W152" i="429" s="1"/>
  <c r="AA152" i="429" s="1"/>
  <c r="S153" i="429"/>
  <c r="W153" i="429" s="1"/>
  <c r="AA153" i="429" s="1"/>
  <c r="S154" i="429"/>
  <c r="W154" i="429" s="1"/>
  <c r="AA154" i="429" s="1"/>
  <c r="S155" i="429"/>
  <c r="W155" i="429" s="1"/>
  <c r="AA155" i="429" s="1"/>
  <c r="S156" i="429"/>
  <c r="W156" i="429" s="1"/>
  <c r="AA156" i="429" s="1"/>
  <c r="S157" i="429"/>
  <c r="W157" i="429" s="1"/>
  <c r="AA157" i="429" s="1"/>
  <c r="S158" i="429"/>
  <c r="W158" i="429" s="1"/>
  <c r="AA158" i="429" s="1"/>
  <c r="S159" i="429"/>
  <c r="W159" i="429" s="1"/>
  <c r="AA159" i="429" s="1"/>
  <c r="S160" i="429"/>
  <c r="W160" i="429" s="1"/>
  <c r="AA160" i="429" s="1"/>
  <c r="S161" i="429"/>
  <c r="W161" i="429" s="1"/>
  <c r="AA161" i="429" s="1"/>
  <c r="S162" i="429"/>
  <c r="W162" i="429" s="1"/>
  <c r="AA162" i="429" s="1"/>
  <c r="S163" i="429"/>
  <c r="W163" i="429" s="1"/>
  <c r="AA163" i="429" s="1"/>
  <c r="S164" i="429"/>
  <c r="W164" i="429" s="1"/>
  <c r="AA164" i="429" s="1"/>
  <c r="S165" i="429"/>
  <c r="W165" i="429" s="1"/>
  <c r="AA165" i="429" s="1"/>
  <c r="S166" i="429"/>
  <c r="W166" i="429" s="1"/>
  <c r="AA166" i="429" s="1"/>
  <c r="S167" i="429"/>
  <c r="W167" i="429" s="1"/>
  <c r="AA167" i="429" s="1"/>
  <c r="S168" i="429"/>
  <c r="W168" i="429" s="1"/>
  <c r="AA168" i="429" s="1"/>
  <c r="S169" i="429"/>
  <c r="W169" i="429" s="1"/>
  <c r="AA169" i="429" s="1"/>
  <c r="S170" i="429"/>
  <c r="W170" i="429" s="1"/>
  <c r="AA170" i="429" s="1"/>
  <c r="S171" i="429"/>
  <c r="W171" i="429" s="1"/>
  <c r="AA171" i="429" s="1"/>
  <c r="S172" i="429"/>
  <c r="W172" i="429" s="1"/>
  <c r="AA172" i="429" s="1"/>
  <c r="S173" i="429"/>
  <c r="W173" i="429" s="1"/>
  <c r="AA173" i="429" s="1"/>
  <c r="S174" i="429"/>
  <c r="W174" i="429" s="1"/>
  <c r="AA174" i="429" s="1"/>
  <c r="S175" i="429"/>
  <c r="W175" i="429" s="1"/>
  <c r="AA175" i="429" s="1"/>
  <c r="S176" i="429"/>
  <c r="W176" i="429" s="1"/>
  <c r="AA176" i="429" s="1"/>
  <c r="S177" i="429"/>
  <c r="W177" i="429" s="1"/>
  <c r="AA177" i="429" s="1"/>
  <c r="S178" i="429"/>
  <c r="W178" i="429" s="1"/>
  <c r="AA178" i="429" s="1"/>
  <c r="S179" i="429"/>
  <c r="W179" i="429" s="1"/>
  <c r="AA179" i="429" s="1"/>
  <c r="S180" i="429"/>
  <c r="W180" i="429" s="1"/>
  <c r="AA180" i="429" s="1"/>
  <c r="S181" i="429"/>
  <c r="W181" i="429" s="1"/>
  <c r="AA181" i="429" s="1"/>
  <c r="S182" i="429"/>
  <c r="W182" i="429" s="1"/>
  <c r="AA182" i="429" s="1"/>
  <c r="S183" i="429"/>
  <c r="W183" i="429" s="1"/>
  <c r="AA183" i="429" s="1"/>
  <c r="S184" i="429"/>
  <c r="W184" i="429" s="1"/>
  <c r="AA184" i="429" s="1"/>
  <c r="S185" i="429"/>
  <c r="W185" i="429" s="1"/>
  <c r="AA185" i="429" s="1"/>
  <c r="S186" i="429"/>
  <c r="W186" i="429" s="1"/>
  <c r="AA186" i="429" s="1"/>
  <c r="S187" i="429"/>
  <c r="W187" i="429" s="1"/>
  <c r="AA187" i="429" s="1"/>
  <c r="S188" i="429"/>
  <c r="W188" i="429" s="1"/>
  <c r="AA188" i="429" s="1"/>
  <c r="S189" i="429"/>
  <c r="W189" i="429" s="1"/>
  <c r="AA189" i="429" s="1"/>
  <c r="S190" i="429"/>
  <c r="W190" i="429" s="1"/>
  <c r="AA190" i="429" s="1"/>
  <c r="S191" i="429"/>
  <c r="W191" i="429" s="1"/>
  <c r="AA191" i="429" s="1"/>
  <c r="S192" i="429"/>
  <c r="W192" i="429" s="1"/>
  <c r="AA192" i="429" s="1"/>
  <c r="S193" i="429"/>
  <c r="W193" i="429" s="1"/>
  <c r="AA193" i="429" s="1"/>
  <c r="S194" i="429"/>
  <c r="W194" i="429" s="1"/>
  <c r="AA194" i="429" s="1"/>
  <c r="S195" i="429"/>
  <c r="W195" i="429" s="1"/>
  <c r="AA195" i="429" s="1"/>
  <c r="S196" i="429"/>
  <c r="W196" i="429" s="1"/>
  <c r="AA196" i="429" s="1"/>
  <c r="S197" i="429"/>
  <c r="W197" i="429" s="1"/>
  <c r="AA197" i="429" s="1"/>
  <c r="S198" i="429"/>
  <c r="W198" i="429" s="1"/>
  <c r="AA198" i="429" s="1"/>
  <c r="S199" i="429"/>
  <c r="W199" i="429" s="1"/>
  <c r="AA199" i="429" s="1"/>
  <c r="S200" i="429"/>
  <c r="W200" i="429" s="1"/>
  <c r="AA200" i="429" s="1"/>
  <c r="S201" i="429"/>
  <c r="W201" i="429" s="1"/>
  <c r="AA201" i="429" s="1"/>
  <c r="S202" i="429"/>
  <c r="S203" i="429"/>
  <c r="W203" i="429" s="1"/>
  <c r="AA203" i="429" s="1"/>
  <c r="S204" i="429"/>
  <c r="W204" i="429" s="1"/>
  <c r="AA204" i="429" s="1"/>
  <c r="S206" i="429"/>
  <c r="W206" i="429" s="1"/>
  <c r="AA206" i="429" s="1"/>
  <c r="S207" i="429"/>
  <c r="W207" i="429" s="1"/>
  <c r="AA207" i="429" s="1"/>
  <c r="S208" i="429"/>
  <c r="W208" i="429" s="1"/>
  <c r="AA208" i="429" s="1"/>
  <c r="S209" i="429"/>
  <c r="W209" i="429" s="1"/>
  <c r="AA209" i="429" s="1"/>
  <c r="S210" i="429"/>
  <c r="W210" i="429" s="1"/>
  <c r="AA210" i="429" s="1"/>
  <c r="S211" i="429"/>
  <c r="W211" i="429" s="1"/>
  <c r="AA211" i="429" s="1"/>
  <c r="S212" i="429"/>
  <c r="W212" i="429" s="1"/>
  <c r="AA212" i="429" s="1"/>
  <c r="S213" i="429"/>
  <c r="W213" i="429" s="1"/>
  <c r="AA213" i="429" s="1"/>
  <c r="S214" i="429"/>
  <c r="W214" i="429" s="1"/>
  <c r="AA214" i="429" s="1"/>
  <c r="S215" i="429"/>
  <c r="W215" i="429" s="1"/>
  <c r="AA215" i="429" s="1"/>
  <c r="S216" i="429"/>
  <c r="W216" i="429" s="1"/>
  <c r="AA216" i="429" s="1"/>
  <c r="S217" i="429"/>
  <c r="W217" i="429" s="1"/>
  <c r="AA217" i="429" s="1"/>
  <c r="S218" i="429"/>
  <c r="W218" i="429" s="1"/>
  <c r="AA218" i="429" s="1"/>
  <c r="S219" i="429"/>
  <c r="W219" i="429" s="1"/>
  <c r="AA219" i="429" s="1"/>
  <c r="S220" i="429"/>
  <c r="W220" i="429" s="1"/>
  <c r="AA220" i="429" s="1"/>
  <c r="S221" i="429"/>
  <c r="W221" i="429" s="1"/>
  <c r="AA221" i="429" s="1"/>
  <c r="S222" i="429"/>
  <c r="W222" i="429" s="1"/>
  <c r="AA222" i="429" s="1"/>
  <c r="S223" i="429"/>
  <c r="W223" i="429" s="1"/>
  <c r="AA223" i="429" s="1"/>
  <c r="S224" i="429"/>
  <c r="W224" i="429" s="1"/>
  <c r="AA224" i="429" s="1"/>
  <c r="S225" i="429"/>
  <c r="W225" i="429" s="1"/>
  <c r="AA225" i="429" s="1"/>
  <c r="S226" i="429"/>
  <c r="W226" i="429" s="1"/>
  <c r="AA226" i="429" s="1"/>
  <c r="U11" i="430" l="1"/>
  <c r="Y11" i="430" s="1"/>
  <c r="R11" i="430"/>
  <c r="T11" i="430" s="1"/>
  <c r="W202" i="429"/>
  <c r="AA202" i="429" s="1"/>
  <c r="T202" i="429"/>
  <c r="T220" i="429"/>
  <c r="T218" i="429"/>
  <c r="T216" i="429"/>
  <c r="T214" i="429"/>
  <c r="T212" i="429"/>
  <c r="T210" i="429"/>
  <c r="T208" i="429"/>
  <c r="T206" i="429"/>
  <c r="T204" i="429"/>
  <c r="T200" i="429"/>
  <c r="T198" i="429"/>
  <c r="T196" i="429"/>
  <c r="T194" i="429"/>
  <c r="T192" i="429"/>
  <c r="T190" i="429"/>
  <c r="T188" i="429"/>
  <c r="T186" i="429"/>
  <c r="T184" i="429"/>
  <c r="T182" i="429"/>
  <c r="T180" i="429"/>
  <c r="T178" i="429"/>
  <c r="T176" i="429"/>
  <c r="T174" i="429"/>
  <c r="T172" i="429"/>
  <c r="T170" i="429"/>
  <c r="T168" i="429"/>
  <c r="T166" i="429"/>
  <c r="T164" i="429"/>
  <c r="T162" i="429"/>
  <c r="T160" i="429"/>
  <c r="T158" i="429"/>
  <c r="T156" i="429"/>
  <c r="T154" i="429"/>
  <c r="T152" i="429"/>
  <c r="T150" i="429"/>
  <c r="T148" i="429"/>
  <c r="T146" i="429"/>
  <c r="T144" i="429"/>
  <c r="T142" i="429"/>
  <c r="T140" i="429"/>
  <c r="T138" i="429"/>
  <c r="T136" i="429"/>
  <c r="T134" i="429"/>
  <c r="T132" i="429"/>
  <c r="T130" i="429"/>
  <c r="T128" i="429"/>
  <c r="T126" i="429"/>
  <c r="T124" i="429"/>
  <c r="T122" i="429"/>
  <c r="T120" i="429"/>
  <c r="T118" i="429"/>
  <c r="T116" i="429"/>
  <c r="T114" i="429"/>
  <c r="T112" i="429"/>
  <c r="T110" i="429"/>
  <c r="T108" i="429"/>
  <c r="T106" i="429"/>
  <c r="T104" i="429"/>
  <c r="T102" i="429"/>
  <c r="T100" i="429"/>
  <c r="T98" i="429"/>
  <c r="T96" i="429"/>
  <c r="T94" i="429"/>
  <c r="T92" i="429"/>
  <c r="T90" i="429"/>
  <c r="T88" i="429"/>
  <c r="T86" i="429"/>
  <c r="T84" i="429"/>
  <c r="T82" i="429"/>
  <c r="T80" i="429"/>
  <c r="T78" i="429"/>
  <c r="T76" i="429"/>
  <c r="T74" i="429"/>
  <c r="T72" i="429"/>
  <c r="T70" i="429"/>
  <c r="T68" i="429"/>
  <c r="T66" i="429"/>
  <c r="T64" i="429"/>
  <c r="T62" i="429"/>
  <c r="T60" i="429"/>
  <c r="T58" i="429"/>
  <c r="T56" i="429"/>
  <c r="T54" i="429"/>
  <c r="T52" i="429"/>
  <c r="T50" i="429"/>
  <c r="T48" i="429"/>
  <c r="T46" i="429"/>
  <c r="T44" i="429"/>
  <c r="T42" i="429"/>
  <c r="T40" i="429"/>
  <c r="T38" i="429"/>
  <c r="T36" i="429"/>
  <c r="T34" i="429"/>
  <c r="T32" i="429"/>
  <c r="T30" i="429"/>
  <c r="T28" i="429"/>
  <c r="T26" i="429"/>
  <c r="T24" i="429"/>
  <c r="T22" i="429"/>
  <c r="T20" i="429"/>
  <c r="T18" i="429"/>
  <c r="T16" i="429"/>
  <c r="T14" i="429"/>
  <c r="T12" i="429"/>
  <c r="T10" i="429"/>
  <c r="T8" i="429"/>
  <c r="T219" i="429"/>
  <c r="T217" i="429"/>
  <c r="T215" i="429"/>
  <c r="T213" i="429"/>
  <c r="T211" i="429"/>
  <c r="T209" i="429"/>
  <c r="T207" i="429"/>
  <c r="T205" i="429"/>
  <c r="T203" i="429"/>
  <c r="T201" i="429"/>
  <c r="T199" i="429"/>
  <c r="T197" i="429"/>
  <c r="T195" i="429"/>
  <c r="T193" i="429"/>
  <c r="T191" i="429"/>
  <c r="T189" i="429"/>
  <c r="T187" i="429"/>
  <c r="T185" i="429"/>
  <c r="T183" i="429"/>
  <c r="T181" i="429"/>
  <c r="T179" i="429"/>
  <c r="T177" i="429"/>
  <c r="T175" i="429"/>
  <c r="T173" i="429"/>
  <c r="T171" i="429"/>
  <c r="T169" i="429"/>
  <c r="T167" i="429"/>
  <c r="T165" i="429"/>
  <c r="T161" i="429"/>
  <c r="T159" i="429"/>
  <c r="T157" i="429"/>
  <c r="T155" i="429"/>
  <c r="T153" i="429"/>
  <c r="T151" i="429"/>
  <c r="T149" i="429"/>
  <c r="T147" i="429"/>
  <c r="T145" i="429"/>
  <c r="T143" i="429"/>
  <c r="T141" i="429"/>
  <c r="T139" i="429"/>
  <c r="T137" i="429"/>
  <c r="T135" i="429"/>
  <c r="T133" i="429"/>
  <c r="T131" i="429"/>
  <c r="T129" i="429"/>
  <c r="T127" i="429"/>
  <c r="T125" i="429"/>
  <c r="T123" i="429"/>
  <c r="T121" i="429"/>
  <c r="T119" i="429"/>
  <c r="T117" i="429"/>
  <c r="T115" i="429"/>
  <c r="T113" i="429"/>
  <c r="T111" i="429"/>
  <c r="T109" i="429"/>
  <c r="T107" i="429"/>
  <c r="T105" i="429"/>
  <c r="T103" i="429"/>
  <c r="T101" i="429"/>
  <c r="T99" i="429"/>
  <c r="T97" i="429"/>
  <c r="T95" i="429"/>
  <c r="T93" i="429"/>
  <c r="T91" i="429"/>
  <c r="T89" i="429"/>
  <c r="T87" i="429"/>
  <c r="T85" i="429"/>
  <c r="T83" i="429"/>
  <c r="T81" i="429"/>
  <c r="T79" i="429"/>
  <c r="T77" i="429"/>
  <c r="T75" i="429"/>
  <c r="T73" i="429"/>
  <c r="T71" i="429"/>
  <c r="T69" i="429"/>
  <c r="T67" i="429"/>
  <c r="T65" i="429"/>
  <c r="T63" i="429"/>
  <c r="T61" i="429"/>
  <c r="T59" i="429"/>
  <c r="T57" i="429"/>
  <c r="T55" i="429"/>
  <c r="T53" i="429"/>
  <c r="T51" i="429"/>
  <c r="T49" i="429"/>
  <c r="T47" i="429"/>
  <c r="T45" i="429"/>
  <c r="T43" i="429"/>
  <c r="T41" i="429"/>
  <c r="T39" i="429"/>
  <c r="T37" i="429"/>
  <c r="T35" i="429"/>
  <c r="T33" i="429"/>
  <c r="T31" i="429"/>
  <c r="T29" i="429"/>
  <c r="T27" i="429"/>
  <c r="T25" i="429"/>
  <c r="T23" i="429"/>
  <c r="T21" i="429"/>
  <c r="T19" i="429"/>
  <c r="T17" i="429"/>
  <c r="T15" i="429"/>
  <c r="T13" i="429"/>
  <c r="T11" i="429"/>
  <c r="T9" i="429"/>
  <c r="AB165" i="429" l="1"/>
  <c r="AD165" i="429" s="1"/>
  <c r="X165" i="429"/>
  <c r="Z165" i="429" s="1"/>
  <c r="X167" i="429"/>
  <c r="Z167" i="429" s="1"/>
  <c r="AB169" i="429"/>
  <c r="AD169" i="429" s="1"/>
  <c r="X169" i="429"/>
  <c r="Z169" i="429" s="1"/>
  <c r="X171" i="429"/>
  <c r="Z171" i="429" s="1"/>
  <c r="AB173" i="429"/>
  <c r="AD173" i="429" s="1"/>
  <c r="X173" i="429"/>
  <c r="Z173" i="429" s="1"/>
  <c r="X175" i="429"/>
  <c r="Z175" i="429" s="1"/>
  <c r="AB177" i="429"/>
  <c r="AD177" i="429" s="1"/>
  <c r="X177" i="429"/>
  <c r="Z177" i="429" s="1"/>
  <c r="X179" i="429"/>
  <c r="Z179" i="429" s="1"/>
  <c r="AB181" i="429"/>
  <c r="AD181" i="429" s="1"/>
  <c r="X181" i="429"/>
  <c r="Z181" i="429" s="1"/>
  <c r="AB183" i="429"/>
  <c r="AD183" i="429" s="1"/>
  <c r="X183" i="429"/>
  <c r="Z183" i="429" s="1"/>
  <c r="AB185" i="429"/>
  <c r="AD185" i="429" s="1"/>
  <c r="X185" i="429"/>
  <c r="Z185" i="429" s="1"/>
  <c r="X187" i="429"/>
  <c r="Z187" i="429" s="1"/>
  <c r="AB189" i="429"/>
  <c r="AD189" i="429" s="1"/>
  <c r="X189" i="429"/>
  <c r="Z189" i="429" s="1"/>
  <c r="AB191" i="429"/>
  <c r="AD191" i="429" s="1"/>
  <c r="X191" i="429"/>
  <c r="Z191" i="429" s="1"/>
  <c r="AB193" i="429"/>
  <c r="AD193" i="429" s="1"/>
  <c r="X193" i="429"/>
  <c r="Z193" i="429" s="1"/>
  <c r="X195" i="429"/>
  <c r="Z195" i="429" s="1"/>
  <c r="AB197" i="429"/>
  <c r="AD197" i="429" s="1"/>
  <c r="X197" i="429"/>
  <c r="Z197" i="429" s="1"/>
  <c r="AB199" i="429"/>
  <c r="AD199" i="429" s="1"/>
  <c r="X199" i="429"/>
  <c r="Z199" i="429" s="1"/>
  <c r="AB201" i="429"/>
  <c r="AD201" i="429" s="1"/>
  <c r="X201" i="429"/>
  <c r="Z201" i="429" s="1"/>
  <c r="AB203" i="429"/>
  <c r="AD203" i="429" s="1"/>
  <c r="X203" i="429"/>
  <c r="Z203" i="429" s="1"/>
  <c r="AB205" i="429"/>
  <c r="AD205" i="429" s="1"/>
  <c r="X205" i="429"/>
  <c r="Z205" i="429" s="1"/>
  <c r="X207" i="429"/>
  <c r="Z207" i="429" s="1"/>
  <c r="AB209" i="429"/>
  <c r="AD209" i="429" s="1"/>
  <c r="X209" i="429"/>
  <c r="Z209" i="429" s="1"/>
  <c r="AB211" i="429"/>
  <c r="AD211" i="429" s="1"/>
  <c r="X211" i="429"/>
  <c r="Z211" i="429" s="1"/>
  <c r="AB213" i="429"/>
  <c r="AD213" i="429" s="1"/>
  <c r="X213" i="429"/>
  <c r="Z213" i="429" s="1"/>
  <c r="AB215" i="429"/>
  <c r="AD215" i="429" s="1"/>
  <c r="X215" i="429"/>
  <c r="Z215" i="429" s="1"/>
  <c r="AB217" i="429"/>
  <c r="AD217" i="429" s="1"/>
  <c r="X217" i="429"/>
  <c r="Z217" i="429" s="1"/>
  <c r="AB219" i="429"/>
  <c r="AD219" i="429" s="1"/>
  <c r="X219" i="429"/>
  <c r="Z219" i="429" s="1"/>
  <c r="AB11" i="426"/>
  <c r="AD11" i="426" s="1"/>
  <c r="X11" i="426"/>
  <c r="Z11" i="426" s="1"/>
  <c r="AB9" i="429"/>
  <c r="AD9" i="429" s="1"/>
  <c r="X9" i="429"/>
  <c r="Z9" i="429" s="1"/>
  <c r="X11" i="429"/>
  <c r="Z11" i="429" s="1"/>
  <c r="AB13" i="429"/>
  <c r="AD13" i="429" s="1"/>
  <c r="X13" i="429"/>
  <c r="Z13" i="429" s="1"/>
  <c r="X15" i="429"/>
  <c r="Z15" i="429" s="1"/>
  <c r="AB17" i="429"/>
  <c r="AD17" i="429" s="1"/>
  <c r="X17" i="429"/>
  <c r="Z17" i="429" s="1"/>
  <c r="X19" i="429"/>
  <c r="Z19" i="429" s="1"/>
  <c r="AB21" i="429"/>
  <c r="AD21" i="429" s="1"/>
  <c r="X21" i="429"/>
  <c r="Z21" i="429" s="1"/>
  <c r="X23" i="429"/>
  <c r="Z23" i="429" s="1"/>
  <c r="AB25" i="429"/>
  <c r="AD25" i="429" s="1"/>
  <c r="X25" i="429"/>
  <c r="Z25" i="429" s="1"/>
  <c r="X27" i="429"/>
  <c r="Z27" i="429" s="1"/>
  <c r="AB29" i="429"/>
  <c r="AD29" i="429" s="1"/>
  <c r="X29" i="429"/>
  <c r="Z29" i="429" s="1"/>
  <c r="X31" i="429"/>
  <c r="Z31" i="429" s="1"/>
  <c r="AB33" i="429"/>
  <c r="AD33" i="429" s="1"/>
  <c r="X33" i="429"/>
  <c r="Z33" i="429" s="1"/>
  <c r="X35" i="429"/>
  <c r="Z35" i="429" s="1"/>
  <c r="AB37" i="429"/>
  <c r="AD37" i="429" s="1"/>
  <c r="X37" i="429"/>
  <c r="Z37" i="429" s="1"/>
  <c r="X39" i="429"/>
  <c r="Z39" i="429" s="1"/>
  <c r="AB41" i="429"/>
  <c r="AD41" i="429" s="1"/>
  <c r="X41" i="429"/>
  <c r="Z41" i="429" s="1"/>
  <c r="X43" i="429"/>
  <c r="Z43" i="429" s="1"/>
  <c r="AB45" i="429"/>
  <c r="AD45" i="429" s="1"/>
  <c r="X45" i="429"/>
  <c r="Z45" i="429" s="1"/>
  <c r="X47" i="429"/>
  <c r="Z47" i="429" s="1"/>
  <c r="AB49" i="429"/>
  <c r="AD49" i="429" s="1"/>
  <c r="X49" i="429"/>
  <c r="Z49" i="429" s="1"/>
  <c r="X51" i="429"/>
  <c r="Z51" i="429" s="1"/>
  <c r="AB53" i="429"/>
  <c r="AD53" i="429" s="1"/>
  <c r="X53" i="429"/>
  <c r="Z53" i="429" s="1"/>
  <c r="X55" i="429"/>
  <c r="Z55" i="429" s="1"/>
  <c r="AB57" i="429"/>
  <c r="AD57" i="429" s="1"/>
  <c r="X57" i="429"/>
  <c r="Z57" i="429" s="1"/>
  <c r="X59" i="429"/>
  <c r="Z59" i="429" s="1"/>
  <c r="X61" i="429"/>
  <c r="Z61" i="429" s="1"/>
  <c r="X63" i="429"/>
  <c r="Z63" i="429" s="1"/>
  <c r="X65" i="429"/>
  <c r="Z65" i="429" s="1"/>
  <c r="X67" i="429"/>
  <c r="Z67" i="429" s="1"/>
  <c r="X69" i="429"/>
  <c r="Z69" i="429" s="1"/>
  <c r="X71" i="429"/>
  <c r="Z71" i="429" s="1"/>
  <c r="X73" i="429"/>
  <c r="Z73" i="429" s="1"/>
  <c r="X75" i="429"/>
  <c r="Z75" i="429" s="1"/>
  <c r="X77" i="429"/>
  <c r="Z77" i="429" s="1"/>
  <c r="X79" i="429"/>
  <c r="Z79" i="429" s="1"/>
  <c r="X81" i="429"/>
  <c r="Z81" i="429" s="1"/>
  <c r="X83" i="429"/>
  <c r="Z83" i="429" s="1"/>
  <c r="X85" i="429"/>
  <c r="Z85" i="429" s="1"/>
  <c r="X87" i="429"/>
  <c r="Z87" i="429" s="1"/>
  <c r="X89" i="429"/>
  <c r="Z89" i="429" s="1"/>
  <c r="X91" i="429"/>
  <c r="Z91" i="429" s="1"/>
  <c r="X93" i="429"/>
  <c r="Z93" i="429" s="1"/>
  <c r="X95" i="429"/>
  <c r="Z95" i="429" s="1"/>
  <c r="X97" i="429"/>
  <c r="Z97" i="429" s="1"/>
  <c r="X99" i="429"/>
  <c r="Z99" i="429" s="1"/>
  <c r="X101" i="429"/>
  <c r="Z101" i="429" s="1"/>
  <c r="X103" i="429"/>
  <c r="Z103" i="429" s="1"/>
  <c r="AB105" i="429"/>
  <c r="AD105" i="429" s="1"/>
  <c r="X105" i="429"/>
  <c r="Z105" i="429" s="1"/>
  <c r="X107" i="429"/>
  <c r="Z107" i="429" s="1"/>
  <c r="AB109" i="429"/>
  <c r="AD109" i="429" s="1"/>
  <c r="X109" i="429"/>
  <c r="Z109" i="429" s="1"/>
  <c r="X111" i="429"/>
  <c r="Z111" i="429" s="1"/>
  <c r="AB113" i="429"/>
  <c r="AD113" i="429" s="1"/>
  <c r="X113" i="429"/>
  <c r="Z113" i="429" s="1"/>
  <c r="X115" i="429"/>
  <c r="Z115" i="429" s="1"/>
  <c r="AB117" i="429"/>
  <c r="AD117" i="429" s="1"/>
  <c r="X117" i="429"/>
  <c r="Z117" i="429" s="1"/>
  <c r="X119" i="429"/>
  <c r="Z119" i="429" s="1"/>
  <c r="AB121" i="429"/>
  <c r="AD121" i="429" s="1"/>
  <c r="X121" i="429"/>
  <c r="Z121" i="429" s="1"/>
  <c r="X123" i="429"/>
  <c r="Z123" i="429" s="1"/>
  <c r="AB125" i="429"/>
  <c r="AD125" i="429" s="1"/>
  <c r="X125" i="429"/>
  <c r="Z125" i="429" s="1"/>
  <c r="X127" i="429"/>
  <c r="Z127" i="429" s="1"/>
  <c r="AB129" i="429"/>
  <c r="AD129" i="429" s="1"/>
  <c r="X129" i="429"/>
  <c r="Z129" i="429" s="1"/>
  <c r="X131" i="429"/>
  <c r="Z131" i="429" s="1"/>
  <c r="AB133" i="429"/>
  <c r="AD133" i="429" s="1"/>
  <c r="X133" i="429"/>
  <c r="Z133" i="429" s="1"/>
  <c r="X135" i="429"/>
  <c r="Z135" i="429" s="1"/>
  <c r="AB137" i="429"/>
  <c r="AD137" i="429" s="1"/>
  <c r="X137" i="429"/>
  <c r="Z137" i="429" s="1"/>
  <c r="X139" i="429"/>
  <c r="Z139" i="429" s="1"/>
  <c r="AB141" i="429"/>
  <c r="AD141" i="429" s="1"/>
  <c r="X141" i="429"/>
  <c r="Z141" i="429" s="1"/>
  <c r="X143" i="429"/>
  <c r="Z143" i="429" s="1"/>
  <c r="AB145" i="429"/>
  <c r="AD145" i="429" s="1"/>
  <c r="X145" i="429"/>
  <c r="Z145" i="429" s="1"/>
  <c r="X147" i="429"/>
  <c r="Z147" i="429" s="1"/>
  <c r="AB149" i="429"/>
  <c r="AD149" i="429" s="1"/>
  <c r="X149" i="429"/>
  <c r="Z149" i="429" s="1"/>
  <c r="X151" i="429"/>
  <c r="Z151" i="429" s="1"/>
  <c r="AB153" i="429"/>
  <c r="AD153" i="429" s="1"/>
  <c r="X153" i="429"/>
  <c r="Z153" i="429" s="1"/>
  <c r="X155" i="429"/>
  <c r="Z155" i="429" s="1"/>
  <c r="AB157" i="429"/>
  <c r="AD157" i="429" s="1"/>
  <c r="X157" i="429"/>
  <c r="Z157" i="429" s="1"/>
  <c r="X159" i="429"/>
  <c r="Z159" i="429" s="1"/>
  <c r="AB161" i="429"/>
  <c r="AD161" i="429" s="1"/>
  <c r="X161" i="429"/>
  <c r="Z161" i="429" s="1"/>
  <c r="H58" i="124"/>
  <c r="AB8" i="429"/>
  <c r="AD8" i="429" s="1"/>
  <c r="X8" i="429"/>
  <c r="Z8" i="429" s="1"/>
  <c r="AB10" i="429"/>
  <c r="AD10" i="429" s="1"/>
  <c r="X10" i="429"/>
  <c r="Z10" i="429" s="1"/>
  <c r="AB12" i="429"/>
  <c r="AD12" i="429" s="1"/>
  <c r="X12" i="429"/>
  <c r="Z12" i="429" s="1"/>
  <c r="X14" i="429"/>
  <c r="Z14" i="429" s="1"/>
  <c r="X16" i="429"/>
  <c r="Z16" i="429" s="1"/>
  <c r="AB18" i="429"/>
  <c r="AD18" i="429" s="1"/>
  <c r="X18" i="429"/>
  <c r="Z18" i="429" s="1"/>
  <c r="AB20" i="429"/>
  <c r="AD20" i="429" s="1"/>
  <c r="X20" i="429"/>
  <c r="Z20" i="429" s="1"/>
  <c r="X22" i="429"/>
  <c r="Z22" i="429" s="1"/>
  <c r="X24" i="429"/>
  <c r="Z24" i="429" s="1"/>
  <c r="AB26" i="429"/>
  <c r="AD26" i="429" s="1"/>
  <c r="X26" i="429"/>
  <c r="Z26" i="429" s="1"/>
  <c r="AB28" i="429"/>
  <c r="AD28" i="429" s="1"/>
  <c r="X28" i="429"/>
  <c r="Z28" i="429" s="1"/>
  <c r="X30" i="429"/>
  <c r="Z30" i="429" s="1"/>
  <c r="X32" i="429"/>
  <c r="Z32" i="429" s="1"/>
  <c r="AB34" i="429"/>
  <c r="AD34" i="429" s="1"/>
  <c r="X34" i="429"/>
  <c r="Z34" i="429" s="1"/>
  <c r="AB36" i="429"/>
  <c r="AD36" i="429" s="1"/>
  <c r="X36" i="429"/>
  <c r="Z36" i="429" s="1"/>
  <c r="X38" i="429"/>
  <c r="Z38" i="429" s="1"/>
  <c r="X40" i="429"/>
  <c r="Z40" i="429" s="1"/>
  <c r="AB42" i="429"/>
  <c r="AD42" i="429" s="1"/>
  <c r="X42" i="429"/>
  <c r="Z42" i="429" s="1"/>
  <c r="AB44" i="429"/>
  <c r="AD44" i="429" s="1"/>
  <c r="X44" i="429"/>
  <c r="Z44" i="429" s="1"/>
  <c r="X46" i="429"/>
  <c r="Z46" i="429" s="1"/>
  <c r="X48" i="429"/>
  <c r="Z48" i="429" s="1"/>
  <c r="AB50" i="429"/>
  <c r="AD50" i="429" s="1"/>
  <c r="X50" i="429"/>
  <c r="Z50" i="429" s="1"/>
  <c r="AB52" i="429"/>
  <c r="AD52" i="429" s="1"/>
  <c r="X52" i="429"/>
  <c r="Z52" i="429" s="1"/>
  <c r="X54" i="429"/>
  <c r="Z54" i="429" s="1"/>
  <c r="X56" i="429"/>
  <c r="Z56" i="429" s="1"/>
  <c r="AB58" i="429"/>
  <c r="AD58" i="429" s="1"/>
  <c r="X58" i="429"/>
  <c r="Z58" i="429" s="1"/>
  <c r="AB60" i="429"/>
  <c r="AD60" i="429" s="1"/>
  <c r="X60" i="429"/>
  <c r="Z60" i="429" s="1"/>
  <c r="AB62" i="429"/>
  <c r="AD62" i="429" s="1"/>
  <c r="X62" i="429"/>
  <c r="Z62" i="429" s="1"/>
  <c r="X64" i="429"/>
  <c r="Z64" i="429" s="1"/>
  <c r="X66" i="429"/>
  <c r="Z66" i="429" s="1"/>
  <c r="AB66" i="429"/>
  <c r="AD66" i="429" s="1"/>
  <c r="X68" i="429"/>
  <c r="Z68" i="429" s="1"/>
  <c r="AB68" i="429"/>
  <c r="AD68" i="429" s="1"/>
  <c r="X70" i="429"/>
  <c r="Z70" i="429" s="1"/>
  <c r="AB70" i="429"/>
  <c r="AD70" i="429" s="1"/>
  <c r="X72" i="429"/>
  <c r="Z72" i="429" s="1"/>
  <c r="AB74" i="429"/>
  <c r="AD74" i="429" s="1"/>
  <c r="X74" i="429"/>
  <c r="Z74" i="429" s="1"/>
  <c r="AB76" i="429"/>
  <c r="AD76" i="429" s="1"/>
  <c r="X76" i="429"/>
  <c r="Z76" i="429" s="1"/>
  <c r="AB78" i="429"/>
  <c r="AD78" i="429" s="1"/>
  <c r="X78" i="429"/>
  <c r="Z78" i="429" s="1"/>
  <c r="X80" i="429"/>
  <c r="Z80" i="429" s="1"/>
  <c r="X82" i="429"/>
  <c r="Z82" i="429" s="1"/>
  <c r="AB82" i="429"/>
  <c r="AD82" i="429" s="1"/>
  <c r="X84" i="429"/>
  <c r="Z84" i="429" s="1"/>
  <c r="AB84" i="429"/>
  <c r="AD84" i="429" s="1"/>
  <c r="X86" i="429"/>
  <c r="Z86" i="429" s="1"/>
  <c r="AB86" i="429"/>
  <c r="AD86" i="429" s="1"/>
  <c r="X88" i="429"/>
  <c r="Z88" i="429" s="1"/>
  <c r="AB90" i="429"/>
  <c r="AD90" i="429" s="1"/>
  <c r="X90" i="429"/>
  <c r="Z90" i="429" s="1"/>
  <c r="AB92" i="429"/>
  <c r="AD92" i="429" s="1"/>
  <c r="X92" i="429"/>
  <c r="Z92" i="429" s="1"/>
  <c r="AB94" i="429"/>
  <c r="AD94" i="429" s="1"/>
  <c r="X94" i="429"/>
  <c r="Z94" i="429" s="1"/>
  <c r="X96" i="429"/>
  <c r="Z96" i="429" s="1"/>
  <c r="AB98" i="429"/>
  <c r="AD98" i="429" s="1"/>
  <c r="X98" i="429"/>
  <c r="Z98" i="429" s="1"/>
  <c r="AB100" i="429"/>
  <c r="AD100" i="429" s="1"/>
  <c r="X100" i="429"/>
  <c r="Z100" i="429" s="1"/>
  <c r="AB102" i="429"/>
  <c r="AD102" i="429" s="1"/>
  <c r="X102" i="429"/>
  <c r="Z102" i="429" s="1"/>
  <c r="X104" i="429"/>
  <c r="Z104" i="429" s="1"/>
  <c r="AB106" i="429"/>
  <c r="AD106" i="429" s="1"/>
  <c r="X106" i="429"/>
  <c r="Z106" i="429" s="1"/>
  <c r="AB108" i="429"/>
  <c r="AD108" i="429" s="1"/>
  <c r="X108" i="429"/>
  <c r="Z108" i="429" s="1"/>
  <c r="AB110" i="429"/>
  <c r="AD110" i="429" s="1"/>
  <c r="X110" i="429"/>
  <c r="Z110" i="429" s="1"/>
  <c r="AB112" i="429"/>
  <c r="AD112" i="429" s="1"/>
  <c r="X112" i="429"/>
  <c r="Z112" i="429" s="1"/>
  <c r="AB114" i="429"/>
  <c r="AD114" i="429" s="1"/>
  <c r="X114" i="429"/>
  <c r="Z114" i="429" s="1"/>
  <c r="AB116" i="429"/>
  <c r="AD116" i="429" s="1"/>
  <c r="X116" i="429"/>
  <c r="Z116" i="429" s="1"/>
  <c r="AB118" i="429"/>
  <c r="AD118" i="429" s="1"/>
  <c r="X118" i="429"/>
  <c r="Z118" i="429" s="1"/>
  <c r="AB120" i="429"/>
  <c r="AD120" i="429" s="1"/>
  <c r="X120" i="429"/>
  <c r="Z120" i="429" s="1"/>
  <c r="AB122" i="429"/>
  <c r="AD122" i="429" s="1"/>
  <c r="X122" i="429"/>
  <c r="Z122" i="429" s="1"/>
  <c r="AB124" i="429"/>
  <c r="AD124" i="429" s="1"/>
  <c r="X124" i="429"/>
  <c r="Z124" i="429" s="1"/>
  <c r="AB126" i="429"/>
  <c r="AD126" i="429" s="1"/>
  <c r="X126" i="429"/>
  <c r="Z126" i="429" s="1"/>
  <c r="AB128" i="429"/>
  <c r="AD128" i="429" s="1"/>
  <c r="X128" i="429"/>
  <c r="Z128" i="429" s="1"/>
  <c r="AB130" i="429"/>
  <c r="AD130" i="429" s="1"/>
  <c r="X130" i="429"/>
  <c r="Z130" i="429" s="1"/>
  <c r="AB132" i="429"/>
  <c r="AD132" i="429" s="1"/>
  <c r="X132" i="429"/>
  <c r="Z132" i="429" s="1"/>
  <c r="AB134" i="429"/>
  <c r="AD134" i="429" s="1"/>
  <c r="X134" i="429"/>
  <c r="Z134" i="429" s="1"/>
  <c r="AB136" i="429"/>
  <c r="AD136" i="429" s="1"/>
  <c r="X136" i="429"/>
  <c r="Z136" i="429" s="1"/>
  <c r="AB138" i="429"/>
  <c r="AD138" i="429" s="1"/>
  <c r="X138" i="429"/>
  <c r="Z138" i="429" s="1"/>
  <c r="AB140" i="429"/>
  <c r="AD140" i="429" s="1"/>
  <c r="X140" i="429"/>
  <c r="Z140" i="429" s="1"/>
  <c r="AB142" i="429"/>
  <c r="AD142" i="429" s="1"/>
  <c r="X142" i="429"/>
  <c r="Z142" i="429" s="1"/>
  <c r="AB144" i="429"/>
  <c r="AD144" i="429" s="1"/>
  <c r="X144" i="429"/>
  <c r="Z144" i="429" s="1"/>
  <c r="AB146" i="429"/>
  <c r="AD146" i="429" s="1"/>
  <c r="X146" i="429"/>
  <c r="Z146" i="429" s="1"/>
  <c r="AB148" i="429"/>
  <c r="AD148" i="429" s="1"/>
  <c r="X148" i="429"/>
  <c r="Z148" i="429" s="1"/>
  <c r="AB150" i="429"/>
  <c r="AD150" i="429" s="1"/>
  <c r="X150" i="429"/>
  <c r="Z150" i="429" s="1"/>
  <c r="AB152" i="429"/>
  <c r="AD152" i="429" s="1"/>
  <c r="X152" i="429"/>
  <c r="Z152" i="429" s="1"/>
  <c r="AB154" i="429"/>
  <c r="AD154" i="429" s="1"/>
  <c r="X154" i="429"/>
  <c r="Z154" i="429" s="1"/>
  <c r="AB156" i="429"/>
  <c r="AD156" i="429" s="1"/>
  <c r="X156" i="429"/>
  <c r="Z156" i="429" s="1"/>
  <c r="AB158" i="429"/>
  <c r="AD158" i="429" s="1"/>
  <c r="X158" i="429"/>
  <c r="Z158" i="429" s="1"/>
  <c r="AB160" i="429"/>
  <c r="AD160" i="429" s="1"/>
  <c r="X160" i="429"/>
  <c r="Z160" i="429" s="1"/>
  <c r="AB162" i="429"/>
  <c r="AD162" i="429" s="1"/>
  <c r="X162" i="429"/>
  <c r="Z162" i="429" s="1"/>
  <c r="AB164" i="429"/>
  <c r="AD164" i="429" s="1"/>
  <c r="X164" i="429"/>
  <c r="Z164" i="429" s="1"/>
  <c r="AB166" i="429"/>
  <c r="AD166" i="429" s="1"/>
  <c r="X166" i="429"/>
  <c r="Z166" i="429" s="1"/>
  <c r="AB168" i="429"/>
  <c r="AD168" i="429" s="1"/>
  <c r="X168" i="429"/>
  <c r="Z168" i="429" s="1"/>
  <c r="AB170" i="429"/>
  <c r="AD170" i="429" s="1"/>
  <c r="X170" i="429"/>
  <c r="Z170" i="429" s="1"/>
  <c r="AB172" i="429"/>
  <c r="AD172" i="429" s="1"/>
  <c r="X172" i="429"/>
  <c r="Z172" i="429" s="1"/>
  <c r="AB174" i="429"/>
  <c r="AD174" i="429" s="1"/>
  <c r="X174" i="429"/>
  <c r="Z174" i="429" s="1"/>
  <c r="AB176" i="429"/>
  <c r="AD176" i="429" s="1"/>
  <c r="X176" i="429"/>
  <c r="Z176" i="429" s="1"/>
  <c r="AB178" i="429"/>
  <c r="AD178" i="429" s="1"/>
  <c r="X178" i="429"/>
  <c r="Z178" i="429" s="1"/>
  <c r="AB180" i="429"/>
  <c r="AD180" i="429" s="1"/>
  <c r="X180" i="429"/>
  <c r="Z180" i="429" s="1"/>
  <c r="AB182" i="429"/>
  <c r="AD182" i="429" s="1"/>
  <c r="X182" i="429"/>
  <c r="Z182" i="429" s="1"/>
  <c r="AB184" i="429"/>
  <c r="AD184" i="429" s="1"/>
  <c r="X184" i="429"/>
  <c r="Z184" i="429" s="1"/>
  <c r="AB186" i="429"/>
  <c r="AD186" i="429" s="1"/>
  <c r="X186" i="429"/>
  <c r="Z186" i="429" s="1"/>
  <c r="AB188" i="429"/>
  <c r="AD188" i="429" s="1"/>
  <c r="X188" i="429"/>
  <c r="Z188" i="429" s="1"/>
  <c r="AB190" i="429"/>
  <c r="AD190" i="429" s="1"/>
  <c r="X190" i="429"/>
  <c r="Z190" i="429" s="1"/>
  <c r="AB192" i="429"/>
  <c r="AD192" i="429" s="1"/>
  <c r="X192" i="429"/>
  <c r="Z192" i="429" s="1"/>
  <c r="AB194" i="429"/>
  <c r="AD194" i="429" s="1"/>
  <c r="X194" i="429"/>
  <c r="Z194" i="429" s="1"/>
  <c r="AB196" i="429"/>
  <c r="AD196" i="429" s="1"/>
  <c r="X196" i="429"/>
  <c r="Z196" i="429" s="1"/>
  <c r="AB198" i="429"/>
  <c r="AD198" i="429" s="1"/>
  <c r="X198" i="429"/>
  <c r="Z198" i="429" s="1"/>
  <c r="AB200" i="429"/>
  <c r="AD200" i="429" s="1"/>
  <c r="X200" i="429"/>
  <c r="Z200" i="429" s="1"/>
  <c r="AB202" i="429"/>
  <c r="AD202" i="429" s="1"/>
  <c r="X202" i="429"/>
  <c r="Z202" i="429" s="1"/>
  <c r="AB204" i="429"/>
  <c r="AD204" i="429" s="1"/>
  <c r="X204" i="429"/>
  <c r="Z204" i="429" s="1"/>
  <c r="AB206" i="429"/>
  <c r="AD206" i="429" s="1"/>
  <c r="X206" i="429"/>
  <c r="Z206" i="429" s="1"/>
  <c r="AB208" i="429"/>
  <c r="AD208" i="429" s="1"/>
  <c r="X208" i="429"/>
  <c r="Z208" i="429" s="1"/>
  <c r="AB210" i="429"/>
  <c r="AD210" i="429" s="1"/>
  <c r="X210" i="429"/>
  <c r="Z210" i="429" s="1"/>
  <c r="AB212" i="429"/>
  <c r="AD212" i="429" s="1"/>
  <c r="X212" i="429"/>
  <c r="Z212" i="429" s="1"/>
  <c r="AB214" i="429"/>
  <c r="AD214" i="429" s="1"/>
  <c r="X214" i="429"/>
  <c r="Z214" i="429" s="1"/>
  <c r="AB216" i="429"/>
  <c r="AD216" i="429" s="1"/>
  <c r="X216" i="429"/>
  <c r="Z216" i="429" s="1"/>
  <c r="AB218" i="429"/>
  <c r="AD218" i="429" s="1"/>
  <c r="X218" i="429"/>
  <c r="Z218" i="429" s="1"/>
  <c r="AB220" i="429"/>
  <c r="AD220" i="429" s="1"/>
  <c r="X220" i="429"/>
  <c r="Z220" i="429" s="1"/>
  <c r="W13" i="426"/>
  <c r="AA13" i="426" s="1"/>
  <c r="W12" i="426"/>
  <c r="AA12" i="426" s="1"/>
  <c r="W10" i="426"/>
  <c r="AA10" i="426" s="1"/>
  <c r="W70" i="426"/>
  <c r="AA70" i="426" s="1"/>
  <c r="W71" i="426"/>
  <c r="AA71" i="426" s="1"/>
  <c r="W72" i="426"/>
  <c r="AA72" i="426" s="1"/>
  <c r="W74" i="426"/>
  <c r="AA74" i="426" s="1"/>
  <c r="W73" i="426"/>
  <c r="AA73" i="426" s="1"/>
  <c r="W75" i="426"/>
  <c r="AA75" i="426" s="1"/>
  <c r="W15" i="426"/>
  <c r="AA15" i="426" s="1"/>
  <c r="W19" i="426"/>
  <c r="AA19" i="426" s="1"/>
  <c r="W21" i="426"/>
  <c r="AA21" i="426" s="1"/>
  <c r="W22" i="426"/>
  <c r="AA22" i="426" s="1"/>
  <c r="W23" i="426"/>
  <c r="AA23" i="426" s="1"/>
  <c r="W25" i="426"/>
  <c r="AA25" i="426" s="1"/>
  <c r="W26" i="426"/>
  <c r="AA26" i="426" s="1"/>
  <c r="W28" i="426"/>
  <c r="AA28" i="426" s="1"/>
  <c r="W107" i="426"/>
  <c r="AA107" i="426" s="1"/>
  <c r="W34" i="426"/>
  <c r="AA34" i="426" s="1"/>
  <c r="W31" i="426"/>
  <c r="AA31" i="426" s="1"/>
  <c r="W29" i="426"/>
  <c r="AA29" i="426" s="1"/>
  <c r="W30" i="426"/>
  <c r="AA30" i="426" s="1"/>
  <c r="W32" i="426"/>
  <c r="AA32" i="426" s="1"/>
  <c r="W79" i="426"/>
  <c r="AA79" i="426" s="1"/>
  <c r="W35" i="426"/>
  <c r="AA35" i="426" s="1"/>
  <c r="W37" i="426"/>
  <c r="AA37" i="426" s="1"/>
  <c r="W38" i="426"/>
  <c r="AA38" i="426" s="1"/>
  <c r="W39" i="426"/>
  <c r="AA39" i="426" s="1"/>
  <c r="W40" i="426"/>
  <c r="AA40" i="426" s="1"/>
  <c r="W46" i="426"/>
  <c r="AA46" i="426" s="1"/>
  <c r="W47" i="426"/>
  <c r="AA47" i="426" s="1"/>
  <c r="W49" i="426"/>
  <c r="AA49" i="426" s="1"/>
  <c r="W50" i="426"/>
  <c r="AA50" i="426" s="1"/>
  <c r="W51" i="426"/>
  <c r="AA51" i="426" s="1"/>
  <c r="W48" i="426"/>
  <c r="AA48" i="426" s="1"/>
  <c r="W52" i="426"/>
  <c r="AA52" i="426" s="1"/>
  <c r="W53" i="426"/>
  <c r="AA53" i="426" s="1"/>
  <c r="W56" i="426"/>
  <c r="AA56" i="426" s="1"/>
  <c r="W58" i="426"/>
  <c r="AA58" i="426" s="1"/>
  <c r="W62" i="426"/>
  <c r="AA62" i="426" s="1"/>
  <c r="W63" i="426"/>
  <c r="AA63" i="426" s="1"/>
  <c r="W64" i="426"/>
  <c r="AA64" i="426" s="1"/>
  <c r="W66" i="426"/>
  <c r="AA66" i="426" s="1"/>
  <c r="W65" i="426"/>
  <c r="AA65" i="426" s="1"/>
  <c r="W67" i="426"/>
  <c r="AA67" i="426" s="1"/>
  <c r="W68" i="426"/>
  <c r="AA68" i="426" s="1"/>
  <c r="W76" i="426"/>
  <c r="AA76" i="426" s="1"/>
  <c r="W95" i="426"/>
  <c r="AA95" i="426" s="1"/>
  <c r="W96" i="426"/>
  <c r="AA96" i="426" s="1"/>
  <c r="W97" i="426"/>
  <c r="AA97" i="426" s="1"/>
  <c r="W98" i="426"/>
  <c r="AA98" i="426" s="1"/>
  <c r="W82" i="426"/>
  <c r="AA82" i="426" s="1"/>
  <c r="W83" i="426"/>
  <c r="AA83" i="426" s="1"/>
  <c r="W89" i="426"/>
  <c r="AA89" i="426" s="1"/>
  <c r="W90" i="426"/>
  <c r="AA90" i="426" s="1"/>
  <c r="W91" i="426"/>
  <c r="AA91" i="426" s="1"/>
  <c r="W92" i="426"/>
  <c r="AA92" i="426" s="1"/>
  <c r="W93" i="426"/>
  <c r="AA93" i="426" s="1"/>
  <c r="W99" i="426"/>
  <c r="AA99" i="426" s="1"/>
  <c r="W102" i="426"/>
  <c r="AA102" i="426" s="1"/>
  <c r="W104" i="426"/>
  <c r="AA104" i="426" s="1"/>
  <c r="W84" i="426"/>
  <c r="AA84" i="426" s="1"/>
  <c r="W112" i="426"/>
  <c r="AA112" i="426" s="1"/>
  <c r="W116" i="426"/>
  <c r="AA116" i="426" s="1"/>
  <c r="W117" i="426"/>
  <c r="AA117" i="426" s="1"/>
  <c r="W122" i="426"/>
  <c r="AA122" i="426" s="1"/>
  <c r="W118" i="426"/>
  <c r="AA118" i="426" s="1"/>
  <c r="W119" i="426"/>
  <c r="AA119" i="426" s="1"/>
  <c r="W120" i="426"/>
  <c r="AA120" i="426" s="1"/>
  <c r="W121" i="426"/>
  <c r="AA121" i="426" s="1"/>
  <c r="W55" i="426"/>
  <c r="AA55" i="426" s="1"/>
  <c r="W101" i="426"/>
  <c r="AA101" i="426" s="1"/>
  <c r="W14" i="426"/>
  <c r="AA14" i="426" s="1"/>
  <c r="W81" i="426"/>
  <c r="AA81" i="426" s="1"/>
  <c r="W77" i="426"/>
  <c r="AA77" i="426" s="1"/>
  <c r="W85" i="426"/>
  <c r="AA85" i="426" s="1"/>
  <c r="W87" i="426"/>
  <c r="AA87" i="426" s="1"/>
  <c r="W80" i="426"/>
  <c r="AA80" i="426" s="1"/>
  <c r="W94" i="426"/>
  <c r="AA94" i="426" s="1"/>
  <c r="W33" i="426"/>
  <c r="AA33" i="426" s="1"/>
  <c r="Q12" i="422"/>
  <c r="U12" i="422" s="1"/>
  <c r="Y12" i="422" s="1"/>
  <c r="Q11" i="422"/>
  <c r="U11" i="422" s="1"/>
  <c r="Y11" i="422" s="1"/>
  <c r="Q10" i="421"/>
  <c r="S10" i="420"/>
  <c r="T10" i="420" s="1"/>
  <c r="S11" i="420"/>
  <c r="T11" i="420" s="1"/>
  <c r="S12" i="420"/>
  <c r="T12" i="420" s="1"/>
  <c r="S13" i="420"/>
  <c r="T13" i="420" s="1"/>
  <c r="S14" i="420"/>
  <c r="T14" i="420" s="1"/>
  <c r="S15" i="420"/>
  <c r="T15" i="420" s="1"/>
  <c r="S16" i="420"/>
  <c r="T16" i="420" s="1"/>
  <c r="S17" i="420"/>
  <c r="T17" i="420" s="1"/>
  <c r="S18" i="420"/>
  <c r="T18" i="420" s="1"/>
  <c r="S19" i="420"/>
  <c r="T19" i="420" s="1"/>
  <c r="S20" i="420"/>
  <c r="T20" i="420" s="1"/>
  <c r="S21" i="420"/>
  <c r="T21" i="420" s="1"/>
  <c r="S22" i="420"/>
  <c r="T22" i="420" s="1"/>
  <c r="S23" i="420"/>
  <c r="T23" i="420" s="1"/>
  <c r="S24" i="420"/>
  <c r="T24" i="420" s="1"/>
  <c r="S25" i="420"/>
  <c r="T25" i="420" s="1"/>
  <c r="S26" i="420"/>
  <c r="T26" i="420" s="1"/>
  <c r="S27" i="420"/>
  <c r="T27" i="420" s="1"/>
  <c r="S28" i="420"/>
  <c r="T28" i="420" s="1"/>
  <c r="S29" i="420"/>
  <c r="T29" i="420" s="1"/>
  <c r="S30" i="420"/>
  <c r="T30" i="420" s="1"/>
  <c r="S31" i="420"/>
  <c r="T31" i="420" s="1"/>
  <c r="S32" i="420"/>
  <c r="T32" i="420" s="1"/>
  <c r="S33" i="420"/>
  <c r="T33" i="420" s="1"/>
  <c r="S34" i="420"/>
  <c r="T34" i="420" s="1"/>
  <c r="S35" i="420"/>
  <c r="T35" i="420" s="1"/>
  <c r="S36" i="420"/>
  <c r="T36" i="420" s="1"/>
  <c r="S37" i="420"/>
  <c r="T37" i="420" s="1"/>
  <c r="S38" i="420"/>
  <c r="T38" i="420" s="1"/>
  <c r="S39" i="420"/>
  <c r="T39" i="420" s="1"/>
  <c r="S40" i="420"/>
  <c r="T40" i="420" s="1"/>
  <c r="S41" i="420"/>
  <c r="T41" i="420" s="1"/>
  <c r="S42" i="420"/>
  <c r="T42" i="420" s="1"/>
  <c r="S43" i="420"/>
  <c r="T43" i="420" s="1"/>
  <c r="S44" i="420"/>
  <c r="T44" i="420" s="1"/>
  <c r="S45" i="420"/>
  <c r="T45" i="420" s="1"/>
  <c r="S46" i="420"/>
  <c r="T46" i="420" s="1"/>
  <c r="S47" i="420"/>
  <c r="T47" i="420" s="1"/>
  <c r="S48" i="420"/>
  <c r="T48" i="420" s="1"/>
  <c r="S49" i="420"/>
  <c r="T49" i="420" s="1"/>
  <c r="S50" i="420"/>
  <c r="T50" i="420" s="1"/>
  <c r="S51" i="420"/>
  <c r="S52" i="420"/>
  <c r="S53" i="420"/>
  <c r="S54" i="420"/>
  <c r="S55" i="420"/>
  <c r="S56" i="420"/>
  <c r="S57" i="420"/>
  <c r="W12" i="441"/>
  <c r="AA12" i="441" s="1"/>
  <c r="R13" i="418"/>
  <c r="W12" i="418"/>
  <c r="AA12" i="418" s="1"/>
  <c r="Q111" i="417"/>
  <c r="Q104" i="417"/>
  <c r="Q105" i="417"/>
  <c r="Q106" i="417"/>
  <c r="Q107" i="417"/>
  <c r="Q108" i="417"/>
  <c r="Q109" i="417"/>
  <c r="Q110" i="417"/>
  <c r="Q112" i="417"/>
  <c r="Q113" i="417"/>
  <c r="Q114" i="417"/>
  <c r="Q115" i="417"/>
  <c r="Q116" i="417"/>
  <c r="Q117" i="417"/>
  <c r="Q118" i="417"/>
  <c r="Q119" i="417"/>
  <c r="Q120" i="417"/>
  <c r="Q121" i="417"/>
  <c r="Q122" i="417"/>
  <c r="Q123" i="417"/>
  <c r="Q124" i="417"/>
  <c r="Q125" i="417"/>
  <c r="Q126" i="417"/>
  <c r="Q127" i="417"/>
  <c r="Q128" i="417"/>
  <c r="Q129" i="417"/>
  <c r="Q130" i="417"/>
  <c r="Q131" i="417"/>
  <c r="Q132" i="417"/>
  <c r="Q133" i="417"/>
  <c r="Q134" i="417"/>
  <c r="Q135" i="417"/>
  <c r="Q136" i="417"/>
  <c r="Q137" i="417"/>
  <c r="Q138" i="417"/>
  <c r="Q139" i="417"/>
  <c r="Q140" i="417"/>
  <c r="Q141" i="417"/>
  <c r="Q142" i="417"/>
  <c r="Q143" i="417"/>
  <c r="Q144" i="417"/>
  <c r="Q145" i="417"/>
  <c r="Q146" i="417"/>
  <c r="Q147" i="417"/>
  <c r="Q148" i="417"/>
  <c r="Q149" i="417"/>
  <c r="Q150" i="417"/>
  <c r="Q151" i="417"/>
  <c r="Q152" i="417"/>
  <c r="Q153" i="417"/>
  <c r="Q154" i="417"/>
  <c r="Q155" i="417"/>
  <c r="Q156" i="417"/>
  <c r="Q157" i="417"/>
  <c r="Q158" i="417"/>
  <c r="Q159" i="417"/>
  <c r="Q160" i="417"/>
  <c r="Q161" i="417"/>
  <c r="Q162" i="417"/>
  <c r="Q163" i="417"/>
  <c r="Q164" i="417"/>
  <c r="Q165" i="417"/>
  <c r="Q166" i="417"/>
  <c r="Q167" i="417"/>
  <c r="Q168" i="417"/>
  <c r="Q169" i="417"/>
  <c r="Q170" i="417"/>
  <c r="Q171" i="417"/>
  <c r="Q172" i="417"/>
  <c r="Q173" i="417"/>
  <c r="Q174" i="417"/>
  <c r="Q175" i="417"/>
  <c r="Q176" i="417"/>
  <c r="Q177" i="417"/>
  <c r="Q178" i="417"/>
  <c r="Q179" i="417"/>
  <c r="Q180" i="417"/>
  <c r="Q181" i="417"/>
  <c r="Q182" i="417"/>
  <c r="Q183" i="417"/>
  <c r="Q184" i="417"/>
  <c r="Q185" i="417"/>
  <c r="Q186" i="417"/>
  <c r="Q187" i="417"/>
  <c r="Q188" i="417"/>
  <c r="Q189" i="417"/>
  <c r="Q190" i="417"/>
  <c r="Q191" i="417"/>
  <c r="Q192" i="417"/>
  <c r="Q193" i="417"/>
  <c r="Q194" i="417"/>
  <c r="Q195" i="417"/>
  <c r="Q196" i="417"/>
  <c r="Q197" i="417"/>
  <c r="Q198" i="417"/>
  <c r="Q199" i="417"/>
  <c r="Q200" i="417"/>
  <c r="Q201" i="417"/>
  <c r="Q202" i="417"/>
  <c r="Q203" i="417"/>
  <c r="Q204" i="417"/>
  <c r="Q205" i="417"/>
  <c r="Q206" i="417"/>
  <c r="Q207" i="417"/>
  <c r="Q208" i="417"/>
  <c r="Q209" i="417"/>
  <c r="Q210" i="417"/>
  <c r="W210" i="417" s="1"/>
  <c r="AA210" i="417" s="1"/>
  <c r="Q211" i="417"/>
  <c r="W211" i="417" s="1"/>
  <c r="AA211" i="417" s="1"/>
  <c r="Q212" i="417"/>
  <c r="W212" i="417" s="1"/>
  <c r="AA212" i="417" s="1"/>
  <c r="Q213" i="417"/>
  <c r="W213" i="417" s="1"/>
  <c r="Q214" i="417"/>
  <c r="W214" i="417" s="1"/>
  <c r="AA214" i="417" s="1"/>
  <c r="Q103" i="417"/>
  <c r="Q98" i="417"/>
  <c r="Q99" i="417"/>
  <c r="Q100" i="417"/>
  <c r="Q101" i="417"/>
  <c r="Q102" i="417"/>
  <c r="Q97" i="417"/>
  <c r="Q96" i="417"/>
  <c r="Q95" i="417"/>
  <c r="Q94" i="417"/>
  <c r="Q92" i="417"/>
  <c r="Q91" i="417"/>
  <c r="Q90" i="417"/>
  <c r="Q89" i="417"/>
  <c r="Q88" i="417"/>
  <c r="Q87" i="417"/>
  <c r="Q86" i="417"/>
  <c r="Q85" i="417"/>
  <c r="Q84" i="417"/>
  <c r="Q83" i="417"/>
  <c r="Q82" i="417"/>
  <c r="Q81" i="417"/>
  <c r="Q80" i="417"/>
  <c r="Q79" i="417"/>
  <c r="Q78" i="417"/>
  <c r="Q77" i="417"/>
  <c r="Q76" i="417"/>
  <c r="Q75" i="417"/>
  <c r="Q74" i="417"/>
  <c r="Q73" i="417"/>
  <c r="Q72" i="417"/>
  <c r="Q71" i="417"/>
  <c r="Q70" i="417"/>
  <c r="Q69" i="417"/>
  <c r="Q68" i="417"/>
  <c r="Q67" i="417"/>
  <c r="Q66" i="417"/>
  <c r="Q65" i="417"/>
  <c r="Q64" i="417"/>
  <c r="Q63" i="417"/>
  <c r="Q62" i="417"/>
  <c r="Q61" i="417"/>
  <c r="Q60" i="417"/>
  <c r="Q59" i="417"/>
  <c r="Q58" i="417"/>
  <c r="Q57" i="417"/>
  <c r="Q56" i="417"/>
  <c r="Q55" i="417"/>
  <c r="Q54" i="417"/>
  <c r="Q53" i="417"/>
  <c r="Q52" i="417"/>
  <c r="Q51" i="417"/>
  <c r="Q50" i="417"/>
  <c r="Q49" i="417"/>
  <c r="Q48" i="417"/>
  <c r="Q47" i="417"/>
  <c r="Q46" i="417"/>
  <c r="Q45" i="417"/>
  <c r="Q44" i="417"/>
  <c r="Q43" i="417"/>
  <c r="Q42" i="417"/>
  <c r="Q41" i="417"/>
  <c r="Q40" i="417"/>
  <c r="Q39" i="417"/>
  <c r="Q38" i="417"/>
  <c r="Q37" i="417"/>
  <c r="Q36" i="417"/>
  <c r="Q35" i="417"/>
  <c r="Q34" i="417"/>
  <c r="Q33" i="417"/>
  <c r="Q32" i="417"/>
  <c r="Q31" i="417"/>
  <c r="Q30" i="417"/>
  <c r="Q29" i="417"/>
  <c r="Q27" i="417"/>
  <c r="Q28" i="417"/>
  <c r="Q26" i="417"/>
  <c r="Q25" i="417"/>
  <c r="Q24" i="417"/>
  <c r="Q23" i="417"/>
  <c r="Q22" i="417"/>
  <c r="Q21" i="417"/>
  <c r="Q20" i="417"/>
  <c r="Q19" i="417"/>
  <c r="Q18" i="417"/>
  <c r="Q17" i="417"/>
  <c r="Q16" i="417"/>
  <c r="Q15" i="417"/>
  <c r="Q14" i="417"/>
  <c r="Q13" i="417"/>
  <c r="Q12" i="417"/>
  <c r="Q11" i="417"/>
  <c r="Q10" i="417"/>
  <c r="G27" i="449"/>
  <c r="G25" i="449"/>
  <c r="B16" i="449"/>
  <c r="B17" i="449"/>
  <c r="B18" i="449"/>
  <c r="B19" i="449"/>
  <c r="B15" i="449"/>
  <c r="Q18" i="424"/>
  <c r="V18" i="424" s="1"/>
  <c r="Q17" i="424"/>
  <c r="V17" i="424" s="1"/>
  <c r="Q16" i="424"/>
  <c r="V16" i="424" s="1"/>
  <c r="Q15" i="424"/>
  <c r="V15" i="424" s="1"/>
  <c r="Q14" i="424"/>
  <c r="V14" i="424" s="1"/>
  <c r="Q13" i="424"/>
  <c r="V13" i="424" s="1"/>
  <c r="Q12" i="424"/>
  <c r="V12" i="424" s="1"/>
  <c r="Q11" i="424"/>
  <c r="V11" i="424" s="1"/>
  <c r="AA11" i="424" s="1"/>
  <c r="Q10" i="424"/>
  <c r="V10" i="424" s="1"/>
  <c r="M10" i="424"/>
  <c r="B47" i="449"/>
  <c r="E47" i="449" s="1"/>
  <c r="G47" i="449" s="1"/>
  <c r="B48" i="449"/>
  <c r="E48" i="449" s="1"/>
  <c r="B49" i="449"/>
  <c r="E49" i="449" s="1"/>
  <c r="G49" i="449" s="1"/>
  <c r="B50" i="449"/>
  <c r="E50" i="449" s="1"/>
  <c r="G50" i="449" s="1"/>
  <c r="B51" i="449"/>
  <c r="B52" i="449"/>
  <c r="E52" i="449" s="1"/>
  <c r="G52" i="449" s="1"/>
  <c r="B53" i="449"/>
  <c r="B56" i="449" s="1"/>
  <c r="B46" i="449"/>
  <c r="I56" i="449"/>
  <c r="E55" i="449"/>
  <c r="G55" i="449" s="1"/>
  <c r="I55" i="449" s="1"/>
  <c r="E54" i="449"/>
  <c r="G54" i="449" s="1"/>
  <c r="D51" i="449"/>
  <c r="I48" i="449"/>
  <c r="F14" i="453"/>
  <c r="S13" i="418" l="1"/>
  <c r="T13" i="418" s="1"/>
  <c r="T9" i="418" s="1"/>
  <c r="Q13" i="418"/>
  <c r="W13" i="418"/>
  <c r="AA13" i="418" s="1"/>
  <c r="E53" i="449"/>
  <c r="G53" i="449" s="1"/>
  <c r="Q230" i="417"/>
  <c r="AA10" i="424"/>
  <c r="AB10" i="424" s="1"/>
  <c r="W10" i="424"/>
  <c r="AA12" i="424"/>
  <c r="AB12" i="424" s="1"/>
  <c r="AD12" i="424" s="1"/>
  <c r="W12" i="424"/>
  <c r="Y12" i="424" s="1"/>
  <c r="AA14" i="424"/>
  <c r="AB14" i="424" s="1"/>
  <c r="AD14" i="424" s="1"/>
  <c r="W14" i="424"/>
  <c r="Y14" i="424" s="1"/>
  <c r="AA16" i="424"/>
  <c r="AB16" i="424" s="1"/>
  <c r="AD16" i="424" s="1"/>
  <c r="W16" i="424"/>
  <c r="Y16" i="424" s="1"/>
  <c r="AA18" i="424"/>
  <c r="AB18" i="424" s="1"/>
  <c r="AD18" i="424" s="1"/>
  <c r="W18" i="424"/>
  <c r="Y18" i="424" s="1"/>
  <c r="W11" i="417"/>
  <c r="R11" i="417"/>
  <c r="W13" i="417"/>
  <c r="R13" i="417"/>
  <c r="W15" i="417"/>
  <c r="R15" i="417"/>
  <c r="W17" i="417"/>
  <c r="R17" i="417"/>
  <c r="W19" i="417"/>
  <c r="R19" i="417"/>
  <c r="W21" i="417"/>
  <c r="R21" i="417"/>
  <c r="W23" i="417"/>
  <c r="R23" i="417"/>
  <c r="W25" i="417"/>
  <c r="R25" i="417"/>
  <c r="W28" i="417"/>
  <c r="R28" i="417"/>
  <c r="W29" i="417"/>
  <c r="R29" i="417"/>
  <c r="W31" i="417"/>
  <c r="R31" i="417"/>
  <c r="W33" i="417"/>
  <c r="R33" i="417"/>
  <c r="W35" i="417"/>
  <c r="R35" i="417"/>
  <c r="W37" i="417"/>
  <c r="R37" i="417"/>
  <c r="W39" i="417"/>
  <c r="R39" i="417"/>
  <c r="W41" i="417"/>
  <c r="R41" i="417"/>
  <c r="W43" i="417"/>
  <c r="R43" i="417"/>
  <c r="W45" i="417"/>
  <c r="R45" i="417"/>
  <c r="W47" i="417"/>
  <c r="R47" i="417"/>
  <c r="W49" i="417"/>
  <c r="R49" i="417"/>
  <c r="W51" i="417"/>
  <c r="R51" i="417"/>
  <c r="W53" i="417"/>
  <c r="R53" i="417"/>
  <c r="W55" i="417"/>
  <c r="R55" i="417"/>
  <c r="W57" i="417"/>
  <c r="R57" i="417"/>
  <c r="W59" i="417"/>
  <c r="R59" i="417"/>
  <c r="W61" i="417"/>
  <c r="R61" i="417"/>
  <c r="W63" i="417"/>
  <c r="R63" i="417"/>
  <c r="W65" i="417"/>
  <c r="R65" i="417"/>
  <c r="W67" i="417"/>
  <c r="R67" i="417"/>
  <c r="W69" i="417"/>
  <c r="R69" i="417"/>
  <c r="W71" i="417"/>
  <c r="R71" i="417"/>
  <c r="W73" i="417"/>
  <c r="R73" i="417"/>
  <c r="W75" i="417"/>
  <c r="R75" i="417"/>
  <c r="W77" i="417"/>
  <c r="R77" i="417"/>
  <c r="W79" i="417"/>
  <c r="R79" i="417"/>
  <c r="W81" i="417"/>
  <c r="R81" i="417"/>
  <c r="W83" i="417"/>
  <c r="R83" i="417"/>
  <c r="W85" i="417"/>
  <c r="R85" i="417"/>
  <c r="W87" i="417"/>
  <c r="R87" i="417"/>
  <c r="W89" i="417"/>
  <c r="R89" i="417"/>
  <c r="W91" i="417"/>
  <c r="R91" i="417"/>
  <c r="W94" i="417"/>
  <c r="R94" i="417"/>
  <c r="W96" i="417"/>
  <c r="R96" i="417"/>
  <c r="W102" i="417"/>
  <c r="R102" i="417"/>
  <c r="W100" i="417"/>
  <c r="R100" i="417"/>
  <c r="W98" i="417"/>
  <c r="R98" i="417"/>
  <c r="W208" i="417"/>
  <c r="R208" i="417"/>
  <c r="W206" i="417"/>
  <c r="R206" i="417"/>
  <c r="W204" i="417"/>
  <c r="R204" i="417"/>
  <c r="W202" i="417"/>
  <c r="R202" i="417"/>
  <c r="W200" i="417"/>
  <c r="R200" i="417"/>
  <c r="W198" i="417"/>
  <c r="R198" i="417"/>
  <c r="W196" i="417"/>
  <c r="R196" i="417"/>
  <c r="W194" i="417"/>
  <c r="R194" i="417"/>
  <c r="W192" i="417"/>
  <c r="R192" i="417"/>
  <c r="W190" i="417"/>
  <c r="R190" i="417"/>
  <c r="W188" i="417"/>
  <c r="R188" i="417"/>
  <c r="W186" i="417"/>
  <c r="R186" i="417"/>
  <c r="W184" i="417"/>
  <c r="R184" i="417"/>
  <c r="W182" i="417"/>
  <c r="R182" i="417"/>
  <c r="W180" i="417"/>
  <c r="R180" i="417"/>
  <c r="W178" i="417"/>
  <c r="R178" i="417"/>
  <c r="W176" i="417"/>
  <c r="R176" i="417"/>
  <c r="W174" i="417"/>
  <c r="R174" i="417"/>
  <c r="W172" i="417"/>
  <c r="R172" i="417"/>
  <c r="W170" i="417"/>
  <c r="R170" i="417"/>
  <c r="W168" i="417"/>
  <c r="R168" i="417"/>
  <c r="W166" i="417"/>
  <c r="W164" i="417"/>
  <c r="R164" i="417"/>
  <c r="W162" i="417"/>
  <c r="R162" i="417"/>
  <c r="W160" i="417"/>
  <c r="R160" i="417"/>
  <c r="W158" i="417"/>
  <c r="R158" i="417"/>
  <c r="W156" i="417"/>
  <c r="R156" i="417"/>
  <c r="W154" i="417"/>
  <c r="R154" i="417"/>
  <c r="W152" i="417"/>
  <c r="R152" i="417"/>
  <c r="W150" i="417"/>
  <c r="R150" i="417"/>
  <c r="W148" i="417"/>
  <c r="R148" i="417"/>
  <c r="W146" i="417"/>
  <c r="R146" i="417"/>
  <c r="W144" i="417"/>
  <c r="R144" i="417"/>
  <c r="W142" i="417"/>
  <c r="R142" i="417"/>
  <c r="W140" i="417"/>
  <c r="R140" i="417"/>
  <c r="W138" i="417"/>
  <c r="R138" i="417"/>
  <c r="W136" i="417"/>
  <c r="R136" i="417"/>
  <c r="W134" i="417"/>
  <c r="R134" i="417"/>
  <c r="W132" i="417"/>
  <c r="R132" i="417"/>
  <c r="W130" i="417"/>
  <c r="R130" i="417"/>
  <c r="W128" i="417"/>
  <c r="R128" i="417"/>
  <c r="W126" i="417"/>
  <c r="R126" i="417"/>
  <c r="W124" i="417"/>
  <c r="R124" i="417"/>
  <c r="W122" i="417"/>
  <c r="R122" i="417"/>
  <c r="W120" i="417"/>
  <c r="R120" i="417"/>
  <c r="W118" i="417"/>
  <c r="R118" i="417"/>
  <c r="W116" i="417"/>
  <c r="R116" i="417"/>
  <c r="W114" i="417"/>
  <c r="R114" i="417"/>
  <c r="W112" i="417"/>
  <c r="R112" i="417"/>
  <c r="W109" i="417"/>
  <c r="R109" i="417"/>
  <c r="W107" i="417"/>
  <c r="R107" i="417"/>
  <c r="W105" i="417"/>
  <c r="R105" i="417"/>
  <c r="W111" i="417"/>
  <c r="R111" i="417"/>
  <c r="AB94" i="426"/>
  <c r="AD94" i="426" s="1"/>
  <c r="X94" i="426"/>
  <c r="Z94" i="426" s="1"/>
  <c r="AB85" i="426"/>
  <c r="AD85" i="426" s="1"/>
  <c r="X85" i="426"/>
  <c r="Z85" i="426" s="1"/>
  <c r="X77" i="426"/>
  <c r="Z77" i="426" s="1"/>
  <c r="AB81" i="426"/>
  <c r="AD81" i="426" s="1"/>
  <c r="X81" i="426"/>
  <c r="Z81" i="426" s="1"/>
  <c r="X55" i="426"/>
  <c r="Z55" i="426" s="1"/>
  <c r="AB121" i="426"/>
  <c r="AD121" i="426" s="1"/>
  <c r="X121" i="426"/>
  <c r="Z121" i="426" s="1"/>
  <c r="X119" i="426"/>
  <c r="Z119" i="426" s="1"/>
  <c r="X122" i="426"/>
  <c r="Z122" i="426" s="1"/>
  <c r="AB122" i="426"/>
  <c r="AD122" i="426" s="1"/>
  <c r="X116" i="426"/>
  <c r="Z116" i="426" s="1"/>
  <c r="AB84" i="426"/>
  <c r="AD84" i="426" s="1"/>
  <c r="X84" i="426"/>
  <c r="Z84" i="426" s="1"/>
  <c r="X104" i="426"/>
  <c r="Z104" i="426" s="1"/>
  <c r="X93" i="426"/>
  <c r="Z93" i="426" s="1"/>
  <c r="AB91" i="426"/>
  <c r="AD91" i="426" s="1"/>
  <c r="X91" i="426"/>
  <c r="Z91" i="426" s="1"/>
  <c r="X89" i="426"/>
  <c r="Z89" i="426" s="1"/>
  <c r="X83" i="426"/>
  <c r="Z83" i="426" s="1"/>
  <c r="X97" i="426"/>
  <c r="Z97" i="426" s="1"/>
  <c r="AB95" i="426"/>
  <c r="AD95" i="426" s="1"/>
  <c r="X95" i="426"/>
  <c r="Z95" i="426" s="1"/>
  <c r="AB68" i="426"/>
  <c r="AD68" i="426" s="1"/>
  <c r="X68" i="426"/>
  <c r="Z68" i="426" s="1"/>
  <c r="X65" i="426"/>
  <c r="Z65" i="426" s="1"/>
  <c r="AB64" i="426"/>
  <c r="AD64" i="426" s="1"/>
  <c r="X64" i="426"/>
  <c r="Z64" i="426" s="1"/>
  <c r="X62" i="426"/>
  <c r="Z62" i="426" s="1"/>
  <c r="X58" i="426"/>
  <c r="Z58" i="426" s="1"/>
  <c r="X53" i="426"/>
  <c r="Z53" i="426" s="1"/>
  <c r="AB53" i="426"/>
  <c r="AD53" i="426" s="1"/>
  <c r="X48" i="426"/>
  <c r="Z48" i="426" s="1"/>
  <c r="AB50" i="426"/>
  <c r="AD50" i="426" s="1"/>
  <c r="X50" i="426"/>
  <c r="Z50" i="426" s="1"/>
  <c r="X47" i="426"/>
  <c r="Z47" i="426" s="1"/>
  <c r="AB40" i="426"/>
  <c r="AD40" i="426" s="1"/>
  <c r="X40" i="426"/>
  <c r="Z40" i="426" s="1"/>
  <c r="X38" i="426"/>
  <c r="Z38" i="426" s="1"/>
  <c r="AB38" i="426"/>
  <c r="AD38" i="426" s="1"/>
  <c r="AB35" i="426"/>
  <c r="AD35" i="426" s="1"/>
  <c r="X35" i="426"/>
  <c r="Z35" i="426" s="1"/>
  <c r="X79" i="426"/>
  <c r="Z79" i="426" s="1"/>
  <c r="X30" i="426"/>
  <c r="Z30" i="426" s="1"/>
  <c r="AB30" i="426"/>
  <c r="AD30" i="426" s="1"/>
  <c r="AB34" i="426"/>
  <c r="AD34" i="426" s="1"/>
  <c r="X34" i="426"/>
  <c r="Z34" i="426" s="1"/>
  <c r="X28" i="426"/>
  <c r="Z28" i="426" s="1"/>
  <c r="X25" i="426"/>
  <c r="Z25" i="426" s="1"/>
  <c r="AB25" i="426"/>
  <c r="AD25" i="426" s="1"/>
  <c r="X22" i="426"/>
  <c r="Z22" i="426" s="1"/>
  <c r="AB20" i="426"/>
  <c r="AD20" i="426" s="1"/>
  <c r="X20" i="426"/>
  <c r="Z20" i="426" s="1"/>
  <c r="X17" i="426"/>
  <c r="Z17" i="426" s="1"/>
  <c r="X19" i="426"/>
  <c r="Z19" i="426" s="1"/>
  <c r="AB19" i="426"/>
  <c r="AD19" i="426" s="1"/>
  <c r="X75" i="426"/>
  <c r="Z75" i="426" s="1"/>
  <c r="AB73" i="426"/>
  <c r="AD73" i="426" s="1"/>
  <c r="X73" i="426"/>
  <c r="Z73" i="426" s="1"/>
  <c r="X72" i="426"/>
  <c r="Z72" i="426" s="1"/>
  <c r="AB72" i="426"/>
  <c r="AD72" i="426" s="1"/>
  <c r="X71" i="426"/>
  <c r="Z71" i="426" s="1"/>
  <c r="AB10" i="426"/>
  <c r="AD10" i="426" s="1"/>
  <c r="X10" i="426"/>
  <c r="Z10" i="426" s="1"/>
  <c r="X13" i="426"/>
  <c r="Z13" i="426" s="1"/>
  <c r="AB104" i="429"/>
  <c r="AD104" i="429" s="1"/>
  <c r="AB96" i="429"/>
  <c r="AD96" i="429" s="1"/>
  <c r="AB88" i="429"/>
  <c r="AD88" i="429" s="1"/>
  <c r="AB80" i="429"/>
  <c r="AD80" i="429" s="1"/>
  <c r="AB64" i="429"/>
  <c r="AD64" i="429" s="1"/>
  <c r="AB56" i="429"/>
  <c r="AD56" i="429" s="1"/>
  <c r="AB48" i="429"/>
  <c r="AD48" i="429" s="1"/>
  <c r="AB40" i="429"/>
  <c r="AD40" i="429" s="1"/>
  <c r="AB32" i="429"/>
  <c r="AD32" i="429" s="1"/>
  <c r="AB24" i="429"/>
  <c r="AD24" i="429" s="1"/>
  <c r="AB16" i="429"/>
  <c r="AD16" i="429" s="1"/>
  <c r="AD15" i="453"/>
  <c r="Z15" i="453"/>
  <c r="X15" i="453"/>
  <c r="I54" i="449"/>
  <c r="E51" i="449"/>
  <c r="G51" i="449" s="1"/>
  <c r="AA13" i="424"/>
  <c r="AB13" i="424" s="1"/>
  <c r="AD13" i="424" s="1"/>
  <c r="W13" i="424"/>
  <c r="Y13" i="424" s="1"/>
  <c r="AA15" i="424"/>
  <c r="AB15" i="424" s="1"/>
  <c r="AD15" i="424" s="1"/>
  <c r="W15" i="424"/>
  <c r="Y15" i="424" s="1"/>
  <c r="AA17" i="424"/>
  <c r="AB17" i="424" s="1"/>
  <c r="AD17" i="424" s="1"/>
  <c r="W17" i="424"/>
  <c r="Y17" i="424" s="1"/>
  <c r="W10" i="417"/>
  <c r="R10" i="417"/>
  <c r="W12" i="417"/>
  <c r="R12" i="417"/>
  <c r="W14" i="417"/>
  <c r="R14" i="417"/>
  <c r="W16" i="417"/>
  <c r="R16" i="417"/>
  <c r="W18" i="417"/>
  <c r="R18" i="417"/>
  <c r="W20" i="417"/>
  <c r="R20" i="417"/>
  <c r="W22" i="417"/>
  <c r="R22" i="417"/>
  <c r="W24" i="417"/>
  <c r="R24" i="417"/>
  <c r="W26" i="417"/>
  <c r="R26" i="417"/>
  <c r="W27" i="417"/>
  <c r="R27" i="417"/>
  <c r="W30" i="417"/>
  <c r="R30" i="417"/>
  <c r="W32" i="417"/>
  <c r="R32" i="417"/>
  <c r="W34" i="417"/>
  <c r="R34" i="417"/>
  <c r="W36" i="417"/>
  <c r="R36" i="417"/>
  <c r="W38" i="417"/>
  <c r="R38" i="417"/>
  <c r="W40" i="417"/>
  <c r="R40" i="417"/>
  <c r="W42" i="417"/>
  <c r="R42" i="417"/>
  <c r="W44" i="417"/>
  <c r="R44" i="417"/>
  <c r="W46" i="417"/>
  <c r="R46" i="417"/>
  <c r="W48" i="417"/>
  <c r="R48" i="417"/>
  <c r="W50" i="417"/>
  <c r="R50" i="417"/>
  <c r="W52" i="417"/>
  <c r="R52" i="417"/>
  <c r="W54" i="417"/>
  <c r="R54" i="417"/>
  <c r="W56" i="417"/>
  <c r="R56" i="417"/>
  <c r="W58" i="417"/>
  <c r="R58" i="417"/>
  <c r="W60" i="417"/>
  <c r="R60" i="417"/>
  <c r="W62" i="417"/>
  <c r="R62" i="417"/>
  <c r="W64" i="417"/>
  <c r="R64" i="417"/>
  <c r="W66" i="417"/>
  <c r="R66" i="417"/>
  <c r="W68" i="417"/>
  <c r="R68" i="417"/>
  <c r="W70" i="417"/>
  <c r="R70" i="417"/>
  <c r="W72" i="417"/>
  <c r="R72" i="417"/>
  <c r="W74" i="417"/>
  <c r="R74" i="417"/>
  <c r="W76" i="417"/>
  <c r="R76" i="417"/>
  <c r="W78" i="417"/>
  <c r="R78" i="417"/>
  <c r="W80" i="417"/>
  <c r="R80" i="417"/>
  <c r="W82" i="417"/>
  <c r="R82" i="417"/>
  <c r="W84" i="417"/>
  <c r="R84" i="417"/>
  <c r="W86" i="417"/>
  <c r="R86" i="417"/>
  <c r="W88" i="417"/>
  <c r="R88" i="417"/>
  <c r="W90" i="417"/>
  <c r="R90" i="417"/>
  <c r="W92" i="417"/>
  <c r="R92" i="417"/>
  <c r="W95" i="417"/>
  <c r="R95" i="417"/>
  <c r="W97" i="417"/>
  <c r="R97" i="417"/>
  <c r="W101" i="417"/>
  <c r="R101" i="417"/>
  <c r="W99" i="417"/>
  <c r="R99" i="417"/>
  <c r="W103" i="417"/>
  <c r="R103" i="417"/>
  <c r="AA213" i="417"/>
  <c r="W209" i="417"/>
  <c r="W207" i="417"/>
  <c r="R207" i="417"/>
  <c r="W205" i="417"/>
  <c r="R205" i="417"/>
  <c r="W203" i="417"/>
  <c r="R203" i="417"/>
  <c r="W201" i="417"/>
  <c r="R201" i="417"/>
  <c r="W199" i="417"/>
  <c r="R199" i="417"/>
  <c r="W197" i="417"/>
  <c r="R197" i="417"/>
  <c r="W195" i="417"/>
  <c r="R195" i="417"/>
  <c r="W193" i="417"/>
  <c r="R193" i="417"/>
  <c r="W191" i="417"/>
  <c r="R191" i="417"/>
  <c r="W189" i="417"/>
  <c r="R189" i="417"/>
  <c r="W187" i="417"/>
  <c r="R187" i="417"/>
  <c r="W185" i="417"/>
  <c r="R185" i="417"/>
  <c r="W183" i="417"/>
  <c r="R183" i="417"/>
  <c r="W181" i="417"/>
  <c r="R181" i="417"/>
  <c r="W179" i="417"/>
  <c r="R179" i="417"/>
  <c r="W177" i="417"/>
  <c r="R177" i="417"/>
  <c r="W175" i="417"/>
  <c r="R175" i="417"/>
  <c r="W173" i="417"/>
  <c r="R173" i="417"/>
  <c r="W171" i="417"/>
  <c r="R171" i="417"/>
  <c r="W169" i="417"/>
  <c r="R169" i="417"/>
  <c r="W167" i="417"/>
  <c r="R167" i="417"/>
  <c r="W165" i="417"/>
  <c r="R165" i="417"/>
  <c r="W163" i="417"/>
  <c r="R163" i="417"/>
  <c r="W161" i="417"/>
  <c r="R161" i="417"/>
  <c r="W159" i="417"/>
  <c r="R159" i="417"/>
  <c r="W157" i="417"/>
  <c r="R157" i="417"/>
  <c r="W155" i="417"/>
  <c r="R155" i="417"/>
  <c r="W153" i="417"/>
  <c r="R153" i="417"/>
  <c r="W151" i="417"/>
  <c r="R151" i="417"/>
  <c r="W149" i="417"/>
  <c r="R149" i="417"/>
  <c r="W147" i="417"/>
  <c r="R147" i="417"/>
  <c r="W145" i="417"/>
  <c r="R145" i="417"/>
  <c r="W143" i="417"/>
  <c r="R143" i="417"/>
  <c r="W141" i="417"/>
  <c r="R141" i="417"/>
  <c r="W139" i="417"/>
  <c r="R139" i="417"/>
  <c r="W137" i="417"/>
  <c r="R137" i="417"/>
  <c r="W135" i="417"/>
  <c r="R135" i="417"/>
  <c r="W133" i="417"/>
  <c r="R133" i="417"/>
  <c r="W131" i="417"/>
  <c r="R131" i="417"/>
  <c r="W129" i="417"/>
  <c r="R129" i="417"/>
  <c r="W127" i="417"/>
  <c r="R127" i="417"/>
  <c r="W125" i="417"/>
  <c r="R125" i="417"/>
  <c r="W123" i="417"/>
  <c r="R123" i="417"/>
  <c r="W121" i="417"/>
  <c r="R121" i="417"/>
  <c r="W119" i="417"/>
  <c r="R119" i="417"/>
  <c r="W117" i="417"/>
  <c r="R117" i="417"/>
  <c r="W115" i="417"/>
  <c r="R115" i="417"/>
  <c r="W113" i="417"/>
  <c r="R113" i="417"/>
  <c r="W110" i="417"/>
  <c r="R110" i="417"/>
  <c r="W108" i="417"/>
  <c r="R108" i="417"/>
  <c r="W106" i="417"/>
  <c r="R106" i="417"/>
  <c r="W104" i="417"/>
  <c r="R104" i="417"/>
  <c r="X33" i="426"/>
  <c r="Z33" i="426" s="1"/>
  <c r="X80" i="426"/>
  <c r="Z80" i="426" s="1"/>
  <c r="X87" i="426"/>
  <c r="Z87" i="426" s="1"/>
  <c r="X14" i="426"/>
  <c r="Z14" i="426" s="1"/>
  <c r="X101" i="426"/>
  <c r="Z101" i="426" s="1"/>
  <c r="AB120" i="426"/>
  <c r="AD120" i="426" s="1"/>
  <c r="X120" i="426"/>
  <c r="Z120" i="426" s="1"/>
  <c r="AB117" i="426"/>
  <c r="AD117" i="426" s="1"/>
  <c r="X117" i="426"/>
  <c r="Z117" i="426" s="1"/>
  <c r="AB112" i="426"/>
  <c r="AD112" i="426" s="1"/>
  <c r="X112" i="426"/>
  <c r="Z112" i="426" s="1"/>
  <c r="X102" i="426"/>
  <c r="Z102" i="426" s="1"/>
  <c r="AB99" i="426"/>
  <c r="AD99" i="426" s="1"/>
  <c r="X99" i="426"/>
  <c r="Z99" i="426" s="1"/>
  <c r="X92" i="426"/>
  <c r="Z92" i="426" s="1"/>
  <c r="X90" i="426"/>
  <c r="Z90" i="426" s="1"/>
  <c r="X82" i="426"/>
  <c r="Z82" i="426" s="1"/>
  <c r="X98" i="426"/>
  <c r="Z98" i="426" s="1"/>
  <c r="X96" i="426"/>
  <c r="Z96" i="426" s="1"/>
  <c r="X76" i="426"/>
  <c r="Z76" i="426" s="1"/>
  <c r="X67" i="426"/>
  <c r="Z67" i="426" s="1"/>
  <c r="X66" i="426"/>
  <c r="Z66" i="426" s="1"/>
  <c r="X63" i="426"/>
  <c r="Z63" i="426" s="1"/>
  <c r="X56" i="426"/>
  <c r="Z56" i="426" s="1"/>
  <c r="X52" i="426"/>
  <c r="Z52" i="426" s="1"/>
  <c r="X51" i="426"/>
  <c r="Z51" i="426" s="1"/>
  <c r="X49" i="426"/>
  <c r="Z49" i="426" s="1"/>
  <c r="X46" i="426"/>
  <c r="Z46" i="426" s="1"/>
  <c r="X39" i="426"/>
  <c r="Z39" i="426" s="1"/>
  <c r="X37" i="426"/>
  <c r="Z37" i="426" s="1"/>
  <c r="X32" i="426"/>
  <c r="Z32" i="426" s="1"/>
  <c r="X29" i="426"/>
  <c r="Z29" i="426" s="1"/>
  <c r="X31" i="426"/>
  <c r="Z31" i="426" s="1"/>
  <c r="X107" i="426"/>
  <c r="Z107" i="426" s="1"/>
  <c r="X26" i="426"/>
  <c r="Z26" i="426" s="1"/>
  <c r="X23" i="426"/>
  <c r="Z23" i="426" s="1"/>
  <c r="X21" i="426"/>
  <c r="Z21" i="426" s="1"/>
  <c r="X18" i="426"/>
  <c r="Z18" i="426" s="1"/>
  <c r="X16" i="426"/>
  <c r="Z16" i="426" s="1"/>
  <c r="X15" i="426"/>
  <c r="Z15" i="426" s="1"/>
  <c r="X74" i="426"/>
  <c r="Z74" i="426" s="1"/>
  <c r="X70" i="426"/>
  <c r="Z70" i="426" s="1"/>
  <c r="X12" i="426"/>
  <c r="Z12" i="426" s="1"/>
  <c r="AB72" i="429"/>
  <c r="AD72" i="429" s="1"/>
  <c r="AB54" i="429"/>
  <c r="AD54" i="429" s="1"/>
  <c r="AB46" i="429"/>
  <c r="AD46" i="429" s="1"/>
  <c r="AB38" i="429"/>
  <c r="AD38" i="429" s="1"/>
  <c r="AB30" i="429"/>
  <c r="AD30" i="429" s="1"/>
  <c r="AB22" i="429"/>
  <c r="AD22" i="429" s="1"/>
  <c r="AB14" i="429"/>
  <c r="AD14" i="429" s="1"/>
  <c r="AB159" i="429"/>
  <c r="AD159" i="429" s="1"/>
  <c r="AB155" i="429"/>
  <c r="AD155" i="429" s="1"/>
  <c r="AB151" i="429"/>
  <c r="AD151" i="429" s="1"/>
  <c r="AB147" i="429"/>
  <c r="AD147" i="429" s="1"/>
  <c r="AB143" i="429"/>
  <c r="AD143" i="429" s="1"/>
  <c r="AB139" i="429"/>
  <c r="AD139" i="429" s="1"/>
  <c r="AB135" i="429"/>
  <c r="AD135" i="429" s="1"/>
  <c r="AB131" i="429"/>
  <c r="AD131" i="429" s="1"/>
  <c r="AB127" i="429"/>
  <c r="AD127" i="429" s="1"/>
  <c r="AB123" i="429"/>
  <c r="AD123" i="429" s="1"/>
  <c r="AB119" i="429"/>
  <c r="AD119" i="429" s="1"/>
  <c r="AB115" i="429"/>
  <c r="AD115" i="429" s="1"/>
  <c r="AB111" i="429"/>
  <c r="AD111" i="429" s="1"/>
  <c r="AB107" i="429"/>
  <c r="AD107" i="429" s="1"/>
  <c r="AB103" i="429"/>
  <c r="AD103" i="429" s="1"/>
  <c r="AB101" i="429"/>
  <c r="AD101" i="429" s="1"/>
  <c r="AB99" i="429"/>
  <c r="AD99" i="429" s="1"/>
  <c r="AB97" i="429"/>
  <c r="AD97" i="429" s="1"/>
  <c r="AB95" i="429"/>
  <c r="AD95" i="429" s="1"/>
  <c r="AB93" i="429"/>
  <c r="AD93" i="429" s="1"/>
  <c r="AB91" i="429"/>
  <c r="AD91" i="429" s="1"/>
  <c r="AB89" i="429"/>
  <c r="AD89" i="429" s="1"/>
  <c r="AB87" i="429"/>
  <c r="AD87" i="429" s="1"/>
  <c r="AB85" i="429"/>
  <c r="AD85" i="429" s="1"/>
  <c r="AB83" i="429"/>
  <c r="AD83" i="429" s="1"/>
  <c r="AB81" i="429"/>
  <c r="AD81" i="429" s="1"/>
  <c r="AB79" i="429"/>
  <c r="AD79" i="429" s="1"/>
  <c r="AB77" i="429"/>
  <c r="AD77" i="429" s="1"/>
  <c r="AB75" i="429"/>
  <c r="AD75" i="429" s="1"/>
  <c r="AB73" i="429"/>
  <c r="AD73" i="429" s="1"/>
  <c r="AB71" i="429"/>
  <c r="AD71" i="429" s="1"/>
  <c r="AB69" i="429"/>
  <c r="AD69" i="429" s="1"/>
  <c r="AB67" i="429"/>
  <c r="AD67" i="429" s="1"/>
  <c r="AB65" i="429"/>
  <c r="AD65" i="429" s="1"/>
  <c r="AB63" i="429"/>
  <c r="AD63" i="429" s="1"/>
  <c r="AB61" i="429"/>
  <c r="AD61" i="429" s="1"/>
  <c r="AB59" i="429"/>
  <c r="AD59" i="429" s="1"/>
  <c r="AB55" i="429"/>
  <c r="AD55" i="429" s="1"/>
  <c r="AB51" i="429"/>
  <c r="AD51" i="429" s="1"/>
  <c r="AB47" i="429"/>
  <c r="AD47" i="429" s="1"/>
  <c r="AB43" i="429"/>
  <c r="AD43" i="429" s="1"/>
  <c r="AB39" i="429"/>
  <c r="AD39" i="429" s="1"/>
  <c r="AB35" i="429"/>
  <c r="AD35" i="429" s="1"/>
  <c r="AB31" i="429"/>
  <c r="AD31" i="429" s="1"/>
  <c r="AB27" i="429"/>
  <c r="AD27" i="429" s="1"/>
  <c r="AB23" i="429"/>
  <c r="AD23" i="429" s="1"/>
  <c r="AB19" i="429"/>
  <c r="AD19" i="429" s="1"/>
  <c r="AB15" i="429"/>
  <c r="AD15" i="429" s="1"/>
  <c r="AB11" i="429"/>
  <c r="AD11" i="429" s="1"/>
  <c r="AB207" i="429"/>
  <c r="AD207" i="429" s="1"/>
  <c r="AB195" i="429"/>
  <c r="AD195" i="429" s="1"/>
  <c r="AB187" i="429"/>
  <c r="AD187" i="429" s="1"/>
  <c r="AB179" i="429"/>
  <c r="AD179" i="429" s="1"/>
  <c r="AB175" i="429"/>
  <c r="AD175" i="429" s="1"/>
  <c r="AB171" i="429"/>
  <c r="AD171" i="429" s="1"/>
  <c r="AB167" i="429"/>
  <c r="AD167" i="429" s="1"/>
  <c r="B57" i="449"/>
  <c r="E57" i="449" s="1"/>
  <c r="G57" i="449" s="1"/>
  <c r="I57" i="449" s="1"/>
  <c r="B22" i="449"/>
  <c r="B23" i="449" s="1"/>
  <c r="B24" i="449" s="1"/>
  <c r="E19" i="449"/>
  <c r="G16" i="453"/>
  <c r="I47" i="449"/>
  <c r="E46" i="449"/>
  <c r="G46" i="449" s="1"/>
  <c r="I50" i="449"/>
  <c r="H50" i="449"/>
  <c r="I53" i="449"/>
  <c r="I51" i="449"/>
  <c r="I49" i="449"/>
  <c r="H49" i="449"/>
  <c r="I52" i="449"/>
  <c r="H52" i="449"/>
  <c r="B32" i="449"/>
  <c r="B33" i="449"/>
  <c r="B34" i="449"/>
  <c r="B35" i="449"/>
  <c r="B36" i="449"/>
  <c r="B37" i="449"/>
  <c r="B38" i="449"/>
  <c r="B42" i="449" s="1"/>
  <c r="B31" i="449"/>
  <c r="D14" i="451"/>
  <c r="F13" i="451"/>
  <c r="F12" i="451"/>
  <c r="E15" i="453" s="1"/>
  <c r="G15" i="453" s="1"/>
  <c r="C10" i="451"/>
  <c r="C9" i="451"/>
  <c r="C8" i="451"/>
  <c r="C7" i="451"/>
  <c r="C5" i="451"/>
  <c r="C6" i="451" l="1"/>
  <c r="F5" i="451" s="1"/>
  <c r="E10" i="441"/>
  <c r="E15" i="416"/>
  <c r="E16" i="416"/>
  <c r="G16" i="416" s="1"/>
  <c r="F14" i="451"/>
  <c r="G19" i="416"/>
  <c r="G18" i="416"/>
  <c r="G21" i="416"/>
  <c r="M14" i="416"/>
  <c r="G21" i="453"/>
  <c r="G18" i="453"/>
  <c r="G19" i="453"/>
  <c r="G17" i="453"/>
  <c r="G17" i="416"/>
  <c r="G15" i="416"/>
  <c r="AB15" i="453"/>
  <c r="AF15" i="453"/>
  <c r="H51" i="449"/>
  <c r="W230" i="417"/>
  <c r="R230" i="417"/>
  <c r="T230" i="417" s="1"/>
  <c r="B26" i="449"/>
  <c r="T10" i="417"/>
  <c r="AB12" i="426"/>
  <c r="AD12" i="426" s="1"/>
  <c r="AB70" i="426"/>
  <c r="AD70" i="426" s="1"/>
  <c r="AB74" i="426"/>
  <c r="AD74" i="426" s="1"/>
  <c r="AB15" i="426"/>
  <c r="AD15" i="426" s="1"/>
  <c r="AB16" i="426"/>
  <c r="AD16" i="426" s="1"/>
  <c r="AB18" i="426"/>
  <c r="AD18" i="426" s="1"/>
  <c r="AB21" i="426"/>
  <c r="AD21" i="426" s="1"/>
  <c r="AB23" i="426"/>
  <c r="AD23" i="426" s="1"/>
  <c r="AB26" i="426"/>
  <c r="AD26" i="426" s="1"/>
  <c r="AB107" i="426"/>
  <c r="AD107" i="426" s="1"/>
  <c r="AB31" i="426"/>
  <c r="AD31" i="426" s="1"/>
  <c r="AB29" i="426"/>
  <c r="AD29" i="426" s="1"/>
  <c r="AB32" i="426"/>
  <c r="AD32" i="426" s="1"/>
  <c r="AB37" i="426"/>
  <c r="AD37" i="426" s="1"/>
  <c r="AB39" i="426"/>
  <c r="AD39" i="426" s="1"/>
  <c r="AB46" i="426"/>
  <c r="AD46" i="426" s="1"/>
  <c r="AB49" i="426"/>
  <c r="AD49" i="426" s="1"/>
  <c r="AB51" i="426"/>
  <c r="AD51" i="426" s="1"/>
  <c r="AB52" i="426"/>
  <c r="AD52" i="426" s="1"/>
  <c r="AB56" i="426"/>
  <c r="AD56" i="426" s="1"/>
  <c r="AB63" i="426"/>
  <c r="AD63" i="426" s="1"/>
  <c r="AB66" i="426"/>
  <c r="AD66" i="426" s="1"/>
  <c r="AB67" i="426"/>
  <c r="AD67" i="426" s="1"/>
  <c r="AB76" i="426"/>
  <c r="AD76" i="426" s="1"/>
  <c r="AB96" i="426"/>
  <c r="AD96" i="426" s="1"/>
  <c r="AB98" i="426"/>
  <c r="AD98" i="426" s="1"/>
  <c r="AB82" i="426"/>
  <c r="AD82" i="426" s="1"/>
  <c r="AB90" i="426"/>
  <c r="AD90" i="426" s="1"/>
  <c r="AB92" i="426"/>
  <c r="AD92" i="426" s="1"/>
  <c r="AB102" i="426"/>
  <c r="AD102" i="426" s="1"/>
  <c r="AB101" i="426"/>
  <c r="AD101" i="426" s="1"/>
  <c r="AB14" i="426"/>
  <c r="AD14" i="426" s="1"/>
  <c r="AB87" i="426"/>
  <c r="AD87" i="426" s="1"/>
  <c r="AB80" i="426"/>
  <c r="AD80" i="426" s="1"/>
  <c r="X104" i="417"/>
  <c r="Z104" i="417" s="1"/>
  <c r="AA104" i="417"/>
  <c r="AB104" i="417" s="1"/>
  <c r="AD104" i="417" s="1"/>
  <c r="X106" i="417"/>
  <c r="Z106" i="417" s="1"/>
  <c r="AA106" i="417"/>
  <c r="AB106" i="417" s="1"/>
  <c r="AD106" i="417" s="1"/>
  <c r="X108" i="417"/>
  <c r="Z108" i="417" s="1"/>
  <c r="AA108" i="417"/>
  <c r="AB108" i="417" s="1"/>
  <c r="AD108" i="417" s="1"/>
  <c r="X110" i="417"/>
  <c r="Z110" i="417" s="1"/>
  <c r="AA110" i="417"/>
  <c r="AB110" i="417" s="1"/>
  <c r="AD110" i="417" s="1"/>
  <c r="AA113" i="417"/>
  <c r="AB113" i="417" s="1"/>
  <c r="AD113" i="417" s="1"/>
  <c r="X113" i="417"/>
  <c r="Z113" i="417" s="1"/>
  <c r="AA115" i="417"/>
  <c r="AB115" i="417" s="1"/>
  <c r="AD115" i="417" s="1"/>
  <c r="X115" i="417"/>
  <c r="Z115" i="417" s="1"/>
  <c r="AA117" i="417"/>
  <c r="AB117" i="417" s="1"/>
  <c r="AD117" i="417" s="1"/>
  <c r="X117" i="417"/>
  <c r="Z117" i="417" s="1"/>
  <c r="AA119" i="417"/>
  <c r="AB119" i="417" s="1"/>
  <c r="AD119" i="417" s="1"/>
  <c r="X119" i="417"/>
  <c r="Z119" i="417" s="1"/>
  <c r="AA121" i="417"/>
  <c r="AB121" i="417" s="1"/>
  <c r="AD121" i="417" s="1"/>
  <c r="X121" i="417"/>
  <c r="Z121" i="417" s="1"/>
  <c r="AA123" i="417"/>
  <c r="AB123" i="417" s="1"/>
  <c r="AD123" i="417" s="1"/>
  <c r="X123" i="417"/>
  <c r="Z123" i="417" s="1"/>
  <c r="AA125" i="417"/>
  <c r="AB125" i="417" s="1"/>
  <c r="AD125" i="417" s="1"/>
  <c r="X125" i="417"/>
  <c r="Z125" i="417" s="1"/>
  <c r="AA127" i="417"/>
  <c r="AB127" i="417" s="1"/>
  <c r="AD127" i="417" s="1"/>
  <c r="X127" i="417"/>
  <c r="Z127" i="417" s="1"/>
  <c r="AA129" i="417"/>
  <c r="AB129" i="417" s="1"/>
  <c r="AD129" i="417" s="1"/>
  <c r="X129" i="417"/>
  <c r="Z129" i="417" s="1"/>
  <c r="AA131" i="417"/>
  <c r="AB131" i="417" s="1"/>
  <c r="AD131" i="417" s="1"/>
  <c r="X131" i="417"/>
  <c r="Z131" i="417" s="1"/>
  <c r="AA133" i="417"/>
  <c r="AB133" i="417" s="1"/>
  <c r="AD133" i="417" s="1"/>
  <c r="X133" i="417"/>
  <c r="Z133" i="417" s="1"/>
  <c r="AA135" i="417"/>
  <c r="AB135" i="417" s="1"/>
  <c r="AD135" i="417" s="1"/>
  <c r="X135" i="417"/>
  <c r="Z135" i="417" s="1"/>
  <c r="AA137" i="417"/>
  <c r="AB137" i="417" s="1"/>
  <c r="AD137" i="417" s="1"/>
  <c r="X137" i="417"/>
  <c r="Z137" i="417" s="1"/>
  <c r="AA139" i="417"/>
  <c r="AB139" i="417" s="1"/>
  <c r="AD139" i="417" s="1"/>
  <c r="X139" i="417"/>
  <c r="Z139" i="417" s="1"/>
  <c r="AA141" i="417"/>
  <c r="AB141" i="417" s="1"/>
  <c r="AD141" i="417" s="1"/>
  <c r="X141" i="417"/>
  <c r="Z141" i="417" s="1"/>
  <c r="AA143" i="417"/>
  <c r="AB143" i="417" s="1"/>
  <c r="AD143" i="417" s="1"/>
  <c r="X143" i="417"/>
  <c r="Z143" i="417" s="1"/>
  <c r="AA145" i="417"/>
  <c r="AB145" i="417" s="1"/>
  <c r="AD145" i="417" s="1"/>
  <c r="X145" i="417"/>
  <c r="Z145" i="417" s="1"/>
  <c r="AA147" i="417"/>
  <c r="AB147" i="417" s="1"/>
  <c r="AD147" i="417" s="1"/>
  <c r="X147" i="417"/>
  <c r="Z147" i="417" s="1"/>
  <c r="AA149" i="417"/>
  <c r="AB149" i="417" s="1"/>
  <c r="AD149" i="417" s="1"/>
  <c r="X149" i="417"/>
  <c r="Z149" i="417" s="1"/>
  <c r="AA151" i="417"/>
  <c r="AB151" i="417" s="1"/>
  <c r="AD151" i="417" s="1"/>
  <c r="X151" i="417"/>
  <c r="Z151" i="417" s="1"/>
  <c r="AA153" i="417"/>
  <c r="AB153" i="417" s="1"/>
  <c r="AD153" i="417" s="1"/>
  <c r="X153" i="417"/>
  <c r="Z153" i="417" s="1"/>
  <c r="AA155" i="417"/>
  <c r="AB155" i="417" s="1"/>
  <c r="AD155" i="417" s="1"/>
  <c r="X155" i="417"/>
  <c r="Z155" i="417" s="1"/>
  <c r="AA157" i="417"/>
  <c r="AB157" i="417" s="1"/>
  <c r="AD157" i="417" s="1"/>
  <c r="X157" i="417"/>
  <c r="Z157" i="417" s="1"/>
  <c r="AA159" i="417"/>
  <c r="AB159" i="417" s="1"/>
  <c r="AD159" i="417" s="1"/>
  <c r="X159" i="417"/>
  <c r="Z159" i="417" s="1"/>
  <c r="AA161" i="417"/>
  <c r="AB161" i="417" s="1"/>
  <c r="AD161" i="417" s="1"/>
  <c r="X161" i="417"/>
  <c r="Z161" i="417" s="1"/>
  <c r="AA163" i="417"/>
  <c r="AB163" i="417" s="1"/>
  <c r="AD163" i="417" s="1"/>
  <c r="X163" i="417"/>
  <c r="Z163" i="417" s="1"/>
  <c r="AA165" i="417"/>
  <c r="AB165" i="417" s="1"/>
  <c r="AD165" i="417" s="1"/>
  <c r="X165" i="417"/>
  <c r="Z165" i="417" s="1"/>
  <c r="AA167" i="417"/>
  <c r="AB167" i="417" s="1"/>
  <c r="AD167" i="417" s="1"/>
  <c r="X167" i="417"/>
  <c r="Z167" i="417" s="1"/>
  <c r="AA169" i="417"/>
  <c r="AB169" i="417" s="1"/>
  <c r="AD169" i="417" s="1"/>
  <c r="X169" i="417"/>
  <c r="Z169" i="417" s="1"/>
  <c r="AA171" i="417"/>
  <c r="AB171" i="417" s="1"/>
  <c r="AD171" i="417" s="1"/>
  <c r="X171" i="417"/>
  <c r="Z171" i="417" s="1"/>
  <c r="AA173" i="417"/>
  <c r="AB173" i="417" s="1"/>
  <c r="AD173" i="417" s="1"/>
  <c r="X173" i="417"/>
  <c r="Z173" i="417" s="1"/>
  <c r="AA175" i="417"/>
  <c r="AB175" i="417" s="1"/>
  <c r="AD175" i="417" s="1"/>
  <c r="X175" i="417"/>
  <c r="Z175" i="417" s="1"/>
  <c r="AA177" i="417"/>
  <c r="X177" i="417"/>
  <c r="Z177" i="417" s="1"/>
  <c r="AA179" i="417"/>
  <c r="AB179" i="417" s="1"/>
  <c r="AD179" i="417" s="1"/>
  <c r="X179" i="417"/>
  <c r="Z179" i="417" s="1"/>
  <c r="AA181" i="417"/>
  <c r="AB181" i="417" s="1"/>
  <c r="AD181" i="417" s="1"/>
  <c r="X181" i="417"/>
  <c r="Z181" i="417" s="1"/>
  <c r="AA183" i="417"/>
  <c r="AB183" i="417" s="1"/>
  <c r="AD183" i="417" s="1"/>
  <c r="X183" i="417"/>
  <c r="Z183" i="417" s="1"/>
  <c r="AA185" i="417"/>
  <c r="AB185" i="417" s="1"/>
  <c r="AD185" i="417" s="1"/>
  <c r="X185" i="417"/>
  <c r="Z185" i="417" s="1"/>
  <c r="AA187" i="417"/>
  <c r="AB187" i="417" s="1"/>
  <c r="AD187" i="417" s="1"/>
  <c r="X187" i="417"/>
  <c r="Z187" i="417" s="1"/>
  <c r="AA189" i="417"/>
  <c r="AB189" i="417" s="1"/>
  <c r="AD189" i="417" s="1"/>
  <c r="X189" i="417"/>
  <c r="Z189" i="417" s="1"/>
  <c r="AA191" i="417"/>
  <c r="AB191" i="417" s="1"/>
  <c r="AD191" i="417" s="1"/>
  <c r="X191" i="417"/>
  <c r="Z191" i="417" s="1"/>
  <c r="AA193" i="417"/>
  <c r="X193" i="417"/>
  <c r="Z193" i="417" s="1"/>
  <c r="AA195" i="417"/>
  <c r="AB195" i="417" s="1"/>
  <c r="AD195" i="417" s="1"/>
  <c r="X195" i="417"/>
  <c r="Z195" i="417" s="1"/>
  <c r="AA197" i="417"/>
  <c r="AB197" i="417" s="1"/>
  <c r="AD197" i="417" s="1"/>
  <c r="X197" i="417"/>
  <c r="Z197" i="417" s="1"/>
  <c r="AA199" i="417"/>
  <c r="AB199" i="417" s="1"/>
  <c r="AD199" i="417" s="1"/>
  <c r="X199" i="417"/>
  <c r="Z199" i="417" s="1"/>
  <c r="AA201" i="417"/>
  <c r="AB201" i="417" s="1"/>
  <c r="AD201" i="417" s="1"/>
  <c r="X201" i="417"/>
  <c r="Z201" i="417" s="1"/>
  <c r="AA203" i="417"/>
  <c r="AB203" i="417" s="1"/>
  <c r="AD203" i="417" s="1"/>
  <c r="X203" i="417"/>
  <c r="Z203" i="417" s="1"/>
  <c r="AA205" i="417"/>
  <c r="AB205" i="417" s="1"/>
  <c r="AD205" i="417" s="1"/>
  <c r="X205" i="417"/>
  <c r="Z205" i="417" s="1"/>
  <c r="AA207" i="417"/>
  <c r="AB207" i="417" s="1"/>
  <c r="AD207" i="417" s="1"/>
  <c r="X207" i="417"/>
  <c r="Z207" i="417" s="1"/>
  <c r="AA103" i="417"/>
  <c r="AB103" i="417" s="1"/>
  <c r="AD103" i="417" s="1"/>
  <c r="X103" i="417"/>
  <c r="Z103" i="417" s="1"/>
  <c r="AA99" i="417"/>
  <c r="AB99" i="417" s="1"/>
  <c r="AD99" i="417" s="1"/>
  <c r="X99" i="417"/>
  <c r="Z99" i="417" s="1"/>
  <c r="AA101" i="417"/>
  <c r="AB101" i="417" s="1"/>
  <c r="AD101" i="417" s="1"/>
  <c r="X101" i="417"/>
  <c r="Z101" i="417" s="1"/>
  <c r="AA97" i="417"/>
  <c r="AB97" i="417" s="1"/>
  <c r="AD97" i="417" s="1"/>
  <c r="X97" i="417"/>
  <c r="Z97" i="417" s="1"/>
  <c r="AA95" i="417"/>
  <c r="AB95" i="417" s="1"/>
  <c r="AD95" i="417" s="1"/>
  <c r="X95" i="417"/>
  <c r="Z95" i="417" s="1"/>
  <c r="AA92" i="417"/>
  <c r="AB92" i="417" s="1"/>
  <c r="AD92" i="417" s="1"/>
  <c r="X92" i="417"/>
  <c r="Z92" i="417" s="1"/>
  <c r="AA90" i="417"/>
  <c r="AB90" i="417" s="1"/>
  <c r="AD90" i="417" s="1"/>
  <c r="X90" i="417"/>
  <c r="Z90" i="417" s="1"/>
  <c r="AA88" i="417"/>
  <c r="AB88" i="417" s="1"/>
  <c r="AD88" i="417" s="1"/>
  <c r="X88" i="417"/>
  <c r="Z88" i="417" s="1"/>
  <c r="AA86" i="417"/>
  <c r="AB86" i="417" s="1"/>
  <c r="AD86" i="417" s="1"/>
  <c r="X86" i="417"/>
  <c r="Z86" i="417" s="1"/>
  <c r="AA84" i="417"/>
  <c r="AB84" i="417" s="1"/>
  <c r="AD84" i="417" s="1"/>
  <c r="X84" i="417"/>
  <c r="Z84" i="417" s="1"/>
  <c r="AA82" i="417"/>
  <c r="AB82" i="417" s="1"/>
  <c r="AD82" i="417" s="1"/>
  <c r="X82" i="417"/>
  <c r="Z82" i="417" s="1"/>
  <c r="AA80" i="417"/>
  <c r="AB80" i="417" s="1"/>
  <c r="AD80" i="417" s="1"/>
  <c r="X80" i="417"/>
  <c r="Z80" i="417" s="1"/>
  <c r="AA78" i="417"/>
  <c r="AB78" i="417" s="1"/>
  <c r="AD78" i="417" s="1"/>
  <c r="X78" i="417"/>
  <c r="Z78" i="417" s="1"/>
  <c r="AA76" i="417"/>
  <c r="AB76" i="417" s="1"/>
  <c r="AD76" i="417" s="1"/>
  <c r="X76" i="417"/>
  <c r="Z76" i="417" s="1"/>
  <c r="AA74" i="417"/>
  <c r="AB74" i="417" s="1"/>
  <c r="AD74" i="417" s="1"/>
  <c r="X74" i="417"/>
  <c r="Z74" i="417" s="1"/>
  <c r="AA72" i="417"/>
  <c r="AB72" i="417" s="1"/>
  <c r="AD72" i="417" s="1"/>
  <c r="X72" i="417"/>
  <c r="Z72" i="417" s="1"/>
  <c r="AA70" i="417"/>
  <c r="AB70" i="417" s="1"/>
  <c r="AD70" i="417" s="1"/>
  <c r="X70" i="417"/>
  <c r="Z70" i="417" s="1"/>
  <c r="AA68" i="417"/>
  <c r="AB68" i="417" s="1"/>
  <c r="AD68" i="417" s="1"/>
  <c r="X68" i="417"/>
  <c r="Z68" i="417" s="1"/>
  <c r="AA66" i="417"/>
  <c r="AB66" i="417" s="1"/>
  <c r="AD66" i="417" s="1"/>
  <c r="X66" i="417"/>
  <c r="Z66" i="417" s="1"/>
  <c r="AA64" i="417"/>
  <c r="AB64" i="417" s="1"/>
  <c r="AD64" i="417" s="1"/>
  <c r="X64" i="417"/>
  <c r="Z64" i="417" s="1"/>
  <c r="AA62" i="417"/>
  <c r="AB62" i="417" s="1"/>
  <c r="AD62" i="417" s="1"/>
  <c r="X62" i="417"/>
  <c r="Z62" i="417" s="1"/>
  <c r="AA60" i="417"/>
  <c r="AB60" i="417" s="1"/>
  <c r="AD60" i="417" s="1"/>
  <c r="X60" i="417"/>
  <c r="Z60" i="417" s="1"/>
  <c r="AA58" i="417"/>
  <c r="AB58" i="417" s="1"/>
  <c r="AD58" i="417" s="1"/>
  <c r="X58" i="417"/>
  <c r="Z58" i="417" s="1"/>
  <c r="AA56" i="417"/>
  <c r="AB56" i="417" s="1"/>
  <c r="AD56" i="417" s="1"/>
  <c r="X56" i="417"/>
  <c r="Z56" i="417" s="1"/>
  <c r="AA54" i="417"/>
  <c r="AB54" i="417" s="1"/>
  <c r="AD54" i="417" s="1"/>
  <c r="X54" i="417"/>
  <c r="Z54" i="417" s="1"/>
  <c r="AA52" i="417"/>
  <c r="AB52" i="417" s="1"/>
  <c r="AD52" i="417" s="1"/>
  <c r="X52" i="417"/>
  <c r="Z52" i="417" s="1"/>
  <c r="AA50" i="417"/>
  <c r="AB50" i="417" s="1"/>
  <c r="AD50" i="417" s="1"/>
  <c r="X50" i="417"/>
  <c r="Z50" i="417" s="1"/>
  <c r="AA48" i="417"/>
  <c r="AB48" i="417" s="1"/>
  <c r="AD48" i="417" s="1"/>
  <c r="X48" i="417"/>
  <c r="Z48" i="417" s="1"/>
  <c r="AA46" i="417"/>
  <c r="AB46" i="417" s="1"/>
  <c r="AD46" i="417" s="1"/>
  <c r="X46" i="417"/>
  <c r="Z46" i="417" s="1"/>
  <c r="AA44" i="417"/>
  <c r="AB44" i="417" s="1"/>
  <c r="AD44" i="417" s="1"/>
  <c r="X44" i="417"/>
  <c r="Z44" i="417" s="1"/>
  <c r="AA42" i="417"/>
  <c r="AB42" i="417" s="1"/>
  <c r="AD42" i="417" s="1"/>
  <c r="X42" i="417"/>
  <c r="Z42" i="417" s="1"/>
  <c r="AA40" i="417"/>
  <c r="AB40" i="417" s="1"/>
  <c r="AD40" i="417" s="1"/>
  <c r="X40" i="417"/>
  <c r="Z40" i="417" s="1"/>
  <c r="AA38" i="417"/>
  <c r="AB38" i="417" s="1"/>
  <c r="AD38" i="417" s="1"/>
  <c r="X38" i="417"/>
  <c r="Z38" i="417" s="1"/>
  <c r="AA36" i="417"/>
  <c r="AB36" i="417" s="1"/>
  <c r="AD36" i="417" s="1"/>
  <c r="X36" i="417"/>
  <c r="Z36" i="417" s="1"/>
  <c r="AA34" i="417"/>
  <c r="AB34" i="417" s="1"/>
  <c r="AD34" i="417" s="1"/>
  <c r="X34" i="417"/>
  <c r="Z34" i="417" s="1"/>
  <c r="AA32" i="417"/>
  <c r="AB32" i="417" s="1"/>
  <c r="AD32" i="417" s="1"/>
  <c r="X32" i="417"/>
  <c r="Z32" i="417" s="1"/>
  <c r="AA30" i="417"/>
  <c r="AB30" i="417" s="1"/>
  <c r="AD30" i="417" s="1"/>
  <c r="X30" i="417"/>
  <c r="Z30" i="417" s="1"/>
  <c r="X27" i="417"/>
  <c r="Z27" i="417" s="1"/>
  <c r="AA27" i="417"/>
  <c r="AB27" i="417" s="1"/>
  <c r="AD27" i="417" s="1"/>
  <c r="AA26" i="417"/>
  <c r="AB26" i="417" s="1"/>
  <c r="AD26" i="417" s="1"/>
  <c r="X26" i="417"/>
  <c r="Z26" i="417" s="1"/>
  <c r="AA24" i="417"/>
  <c r="AB24" i="417" s="1"/>
  <c r="AD24" i="417" s="1"/>
  <c r="X24" i="417"/>
  <c r="Z24" i="417" s="1"/>
  <c r="AA22" i="417"/>
  <c r="AB22" i="417" s="1"/>
  <c r="AD22" i="417" s="1"/>
  <c r="X22" i="417"/>
  <c r="Z22" i="417" s="1"/>
  <c r="AA20" i="417"/>
  <c r="AB20" i="417" s="1"/>
  <c r="AD20" i="417" s="1"/>
  <c r="X20" i="417"/>
  <c r="Z20" i="417" s="1"/>
  <c r="AA18" i="417"/>
  <c r="AB18" i="417" s="1"/>
  <c r="AD18" i="417" s="1"/>
  <c r="X18" i="417"/>
  <c r="Z18" i="417" s="1"/>
  <c r="AA16" i="417"/>
  <c r="AB16" i="417" s="1"/>
  <c r="AD16" i="417" s="1"/>
  <c r="X16" i="417"/>
  <c r="Z16" i="417" s="1"/>
  <c r="AA14" i="417"/>
  <c r="AB14" i="417" s="1"/>
  <c r="AD14" i="417" s="1"/>
  <c r="X14" i="417"/>
  <c r="Z14" i="417" s="1"/>
  <c r="AA12" i="417"/>
  <c r="AB12" i="417" s="1"/>
  <c r="AD12" i="417" s="1"/>
  <c r="X12" i="417"/>
  <c r="Z12" i="417" s="1"/>
  <c r="X10" i="417"/>
  <c r="AA10" i="417"/>
  <c r="AB10" i="417" s="1"/>
  <c r="AB75" i="426"/>
  <c r="AD75" i="426" s="1"/>
  <c r="AB22" i="426"/>
  <c r="AD22" i="426" s="1"/>
  <c r="AB58" i="426"/>
  <c r="AD58" i="426" s="1"/>
  <c r="AB97" i="426"/>
  <c r="AD97" i="426" s="1"/>
  <c r="AB116" i="426"/>
  <c r="AD116" i="426" s="1"/>
  <c r="Y10" i="424"/>
  <c r="AB33" i="426"/>
  <c r="AD33" i="426" s="1"/>
  <c r="AA209" i="417"/>
  <c r="AB13" i="426"/>
  <c r="AD13" i="426" s="1"/>
  <c r="AB71" i="426"/>
  <c r="AD71" i="426" s="1"/>
  <c r="AB17" i="426"/>
  <c r="AD17" i="426" s="1"/>
  <c r="AB28" i="426"/>
  <c r="AD28" i="426" s="1"/>
  <c r="AB79" i="426"/>
  <c r="AD79" i="426" s="1"/>
  <c r="AB47" i="426"/>
  <c r="AD47" i="426" s="1"/>
  <c r="AB48" i="426"/>
  <c r="AD48" i="426" s="1"/>
  <c r="AB62" i="426"/>
  <c r="AD62" i="426" s="1"/>
  <c r="AB65" i="426"/>
  <c r="AD65" i="426" s="1"/>
  <c r="AB83" i="426"/>
  <c r="AD83" i="426" s="1"/>
  <c r="AB89" i="426"/>
  <c r="AD89" i="426" s="1"/>
  <c r="AB93" i="426"/>
  <c r="AD93" i="426" s="1"/>
  <c r="AB104" i="426"/>
  <c r="AD104" i="426" s="1"/>
  <c r="AB119" i="426"/>
  <c r="AD119" i="426" s="1"/>
  <c r="AB55" i="426"/>
  <c r="AD55" i="426" s="1"/>
  <c r="AB77" i="426"/>
  <c r="AD77" i="426" s="1"/>
  <c r="AA111" i="417"/>
  <c r="AB111" i="417" s="1"/>
  <c r="AD111" i="417" s="1"/>
  <c r="X111" i="417"/>
  <c r="Z111" i="417" s="1"/>
  <c r="AA105" i="417"/>
  <c r="AB105" i="417" s="1"/>
  <c r="AD105" i="417" s="1"/>
  <c r="X105" i="417"/>
  <c r="Z105" i="417" s="1"/>
  <c r="AA107" i="417"/>
  <c r="AB107" i="417" s="1"/>
  <c r="AD107" i="417" s="1"/>
  <c r="X107" i="417"/>
  <c r="Z107" i="417" s="1"/>
  <c r="AA109" i="417"/>
  <c r="AB109" i="417" s="1"/>
  <c r="AD109" i="417" s="1"/>
  <c r="X109" i="417"/>
  <c r="Z109" i="417" s="1"/>
  <c r="X112" i="417"/>
  <c r="Z112" i="417" s="1"/>
  <c r="AA112" i="417"/>
  <c r="AB112" i="417" s="1"/>
  <c r="AD112" i="417" s="1"/>
  <c r="X114" i="417"/>
  <c r="Z114" i="417" s="1"/>
  <c r="AA114" i="417"/>
  <c r="AB114" i="417" s="1"/>
  <c r="AD114" i="417" s="1"/>
  <c r="X116" i="417"/>
  <c r="Z116" i="417" s="1"/>
  <c r="AA116" i="417"/>
  <c r="AB116" i="417" s="1"/>
  <c r="AD116" i="417" s="1"/>
  <c r="X118" i="417"/>
  <c r="Z118" i="417" s="1"/>
  <c r="AA118" i="417"/>
  <c r="AB118" i="417" s="1"/>
  <c r="AD118" i="417" s="1"/>
  <c r="X120" i="417"/>
  <c r="Z120" i="417" s="1"/>
  <c r="AA120" i="417"/>
  <c r="AB120" i="417" s="1"/>
  <c r="AD120" i="417" s="1"/>
  <c r="X122" i="417"/>
  <c r="Z122" i="417" s="1"/>
  <c r="AA122" i="417"/>
  <c r="AB122" i="417" s="1"/>
  <c r="AD122" i="417" s="1"/>
  <c r="X124" i="417"/>
  <c r="Z124" i="417" s="1"/>
  <c r="AA124" i="417"/>
  <c r="AB124" i="417" s="1"/>
  <c r="AD124" i="417" s="1"/>
  <c r="X126" i="417"/>
  <c r="Z126" i="417" s="1"/>
  <c r="AA126" i="417"/>
  <c r="AB126" i="417" s="1"/>
  <c r="AD126" i="417" s="1"/>
  <c r="X128" i="417"/>
  <c r="Z128" i="417" s="1"/>
  <c r="AA128" i="417"/>
  <c r="AB128" i="417" s="1"/>
  <c r="AD128" i="417" s="1"/>
  <c r="X130" i="417"/>
  <c r="Z130" i="417" s="1"/>
  <c r="AA130" i="417"/>
  <c r="AB130" i="417" s="1"/>
  <c r="AD130" i="417" s="1"/>
  <c r="X132" i="417"/>
  <c r="Z132" i="417" s="1"/>
  <c r="AA132" i="417"/>
  <c r="AB132" i="417" s="1"/>
  <c r="AD132" i="417" s="1"/>
  <c r="X134" i="417"/>
  <c r="Z134" i="417" s="1"/>
  <c r="AA134" i="417"/>
  <c r="AB134" i="417" s="1"/>
  <c r="AD134" i="417" s="1"/>
  <c r="X136" i="417"/>
  <c r="Z136" i="417" s="1"/>
  <c r="AA136" i="417"/>
  <c r="AB136" i="417" s="1"/>
  <c r="AD136" i="417" s="1"/>
  <c r="X138" i="417"/>
  <c r="Z138" i="417" s="1"/>
  <c r="AA138" i="417"/>
  <c r="AB138" i="417" s="1"/>
  <c r="AD138" i="417" s="1"/>
  <c r="X140" i="417"/>
  <c r="Z140" i="417" s="1"/>
  <c r="AA140" i="417"/>
  <c r="AB140" i="417" s="1"/>
  <c r="AD140" i="417" s="1"/>
  <c r="X142" i="417"/>
  <c r="Z142" i="417" s="1"/>
  <c r="AA142" i="417"/>
  <c r="AB142" i="417" s="1"/>
  <c r="AD142" i="417" s="1"/>
  <c r="X144" i="417"/>
  <c r="Z144" i="417" s="1"/>
  <c r="AA144" i="417"/>
  <c r="AB144" i="417" s="1"/>
  <c r="AD144" i="417" s="1"/>
  <c r="X146" i="417"/>
  <c r="Z146" i="417" s="1"/>
  <c r="AA146" i="417"/>
  <c r="AB146" i="417" s="1"/>
  <c r="AD146" i="417" s="1"/>
  <c r="X148" i="417"/>
  <c r="Z148" i="417" s="1"/>
  <c r="AA148" i="417"/>
  <c r="AB148" i="417" s="1"/>
  <c r="AD148" i="417" s="1"/>
  <c r="X150" i="417"/>
  <c r="Z150" i="417" s="1"/>
  <c r="AA150" i="417"/>
  <c r="AB150" i="417" s="1"/>
  <c r="AD150" i="417" s="1"/>
  <c r="X152" i="417"/>
  <c r="Z152" i="417" s="1"/>
  <c r="AA152" i="417"/>
  <c r="AB152" i="417" s="1"/>
  <c r="AD152" i="417" s="1"/>
  <c r="X154" i="417"/>
  <c r="Z154" i="417" s="1"/>
  <c r="AA154" i="417"/>
  <c r="AB154" i="417" s="1"/>
  <c r="AD154" i="417" s="1"/>
  <c r="X156" i="417"/>
  <c r="Z156" i="417" s="1"/>
  <c r="AA156" i="417"/>
  <c r="AB156" i="417" s="1"/>
  <c r="AD156" i="417" s="1"/>
  <c r="X158" i="417"/>
  <c r="Z158" i="417" s="1"/>
  <c r="AA158" i="417"/>
  <c r="AB158" i="417" s="1"/>
  <c r="AD158" i="417" s="1"/>
  <c r="X160" i="417"/>
  <c r="Z160" i="417" s="1"/>
  <c r="AA160" i="417"/>
  <c r="AB160" i="417" s="1"/>
  <c r="AD160" i="417" s="1"/>
  <c r="X162" i="417"/>
  <c r="Z162" i="417" s="1"/>
  <c r="AA162" i="417"/>
  <c r="AB162" i="417" s="1"/>
  <c r="AD162" i="417" s="1"/>
  <c r="X164" i="417"/>
  <c r="Z164" i="417" s="1"/>
  <c r="AA164" i="417"/>
  <c r="AB164" i="417" s="1"/>
  <c r="AD164" i="417" s="1"/>
  <c r="AA166" i="417"/>
  <c r="X168" i="417"/>
  <c r="Z168" i="417" s="1"/>
  <c r="AA168" i="417"/>
  <c r="AB168" i="417" s="1"/>
  <c r="AD168" i="417" s="1"/>
  <c r="X170" i="417"/>
  <c r="Z170" i="417" s="1"/>
  <c r="AA170" i="417"/>
  <c r="AB170" i="417" s="1"/>
  <c r="AD170" i="417" s="1"/>
  <c r="X172" i="417"/>
  <c r="Z172" i="417" s="1"/>
  <c r="AA172" i="417"/>
  <c r="AB172" i="417" s="1"/>
  <c r="AD172" i="417" s="1"/>
  <c r="X174" i="417"/>
  <c r="Z174" i="417" s="1"/>
  <c r="AA174" i="417"/>
  <c r="X176" i="417"/>
  <c r="Z176" i="417" s="1"/>
  <c r="AA176" i="417"/>
  <c r="AB176" i="417" s="1"/>
  <c r="AD176" i="417" s="1"/>
  <c r="X178" i="417"/>
  <c r="Z178" i="417" s="1"/>
  <c r="AA178" i="417"/>
  <c r="AB178" i="417" s="1"/>
  <c r="AD178" i="417" s="1"/>
  <c r="X180" i="417"/>
  <c r="Z180" i="417" s="1"/>
  <c r="AA180" i="417"/>
  <c r="AB180" i="417" s="1"/>
  <c r="AD180" i="417" s="1"/>
  <c r="X182" i="417"/>
  <c r="Z182" i="417" s="1"/>
  <c r="AA182" i="417"/>
  <c r="AB182" i="417" s="1"/>
  <c r="AD182" i="417" s="1"/>
  <c r="X184" i="417"/>
  <c r="Z184" i="417" s="1"/>
  <c r="AA184" i="417"/>
  <c r="AB184" i="417" s="1"/>
  <c r="AD184" i="417" s="1"/>
  <c r="X186" i="417"/>
  <c r="Z186" i="417" s="1"/>
  <c r="AA186" i="417"/>
  <c r="AB186" i="417" s="1"/>
  <c r="AD186" i="417" s="1"/>
  <c r="X188" i="417"/>
  <c r="Z188" i="417" s="1"/>
  <c r="AA188" i="417"/>
  <c r="AB188" i="417" s="1"/>
  <c r="AD188" i="417" s="1"/>
  <c r="X190" i="417"/>
  <c r="Z190" i="417" s="1"/>
  <c r="AA190" i="417"/>
  <c r="X192" i="417"/>
  <c r="Z192" i="417" s="1"/>
  <c r="AA192" i="417"/>
  <c r="AB192" i="417" s="1"/>
  <c r="AD192" i="417" s="1"/>
  <c r="X194" i="417"/>
  <c r="Z194" i="417" s="1"/>
  <c r="AA194" i="417"/>
  <c r="AB194" i="417" s="1"/>
  <c r="AD194" i="417" s="1"/>
  <c r="X196" i="417"/>
  <c r="Z196" i="417" s="1"/>
  <c r="AA196" i="417"/>
  <c r="AB196" i="417" s="1"/>
  <c r="AD196" i="417" s="1"/>
  <c r="X198" i="417"/>
  <c r="Z198" i="417" s="1"/>
  <c r="AA198" i="417"/>
  <c r="AB198" i="417" s="1"/>
  <c r="AD198" i="417" s="1"/>
  <c r="X200" i="417"/>
  <c r="Z200" i="417" s="1"/>
  <c r="AA200" i="417"/>
  <c r="AB200" i="417" s="1"/>
  <c r="AD200" i="417" s="1"/>
  <c r="X202" i="417"/>
  <c r="Z202" i="417" s="1"/>
  <c r="AA202" i="417"/>
  <c r="AB202" i="417" s="1"/>
  <c r="AD202" i="417" s="1"/>
  <c r="X204" i="417"/>
  <c r="Z204" i="417" s="1"/>
  <c r="AA204" i="417"/>
  <c r="AB204" i="417" s="1"/>
  <c r="AD204" i="417" s="1"/>
  <c r="X206" i="417"/>
  <c r="Z206" i="417" s="1"/>
  <c r="AA206" i="417"/>
  <c r="X208" i="417"/>
  <c r="Z208" i="417" s="1"/>
  <c r="AA208" i="417"/>
  <c r="AB208" i="417" s="1"/>
  <c r="AD208" i="417" s="1"/>
  <c r="X98" i="417"/>
  <c r="Z98" i="417" s="1"/>
  <c r="AA98" i="417"/>
  <c r="AB98" i="417" s="1"/>
  <c r="AD98" i="417" s="1"/>
  <c r="X100" i="417"/>
  <c r="Z100" i="417" s="1"/>
  <c r="AA100" i="417"/>
  <c r="AB100" i="417" s="1"/>
  <c r="AD100" i="417" s="1"/>
  <c r="X102" i="417"/>
  <c r="Z102" i="417" s="1"/>
  <c r="AA102" i="417"/>
  <c r="AB102" i="417" s="1"/>
  <c r="AD102" i="417" s="1"/>
  <c r="X96" i="417"/>
  <c r="Z96" i="417" s="1"/>
  <c r="AA96" i="417"/>
  <c r="AB96" i="417" s="1"/>
  <c r="AD96" i="417" s="1"/>
  <c r="X94" i="417"/>
  <c r="Z94" i="417" s="1"/>
  <c r="AA94" i="417"/>
  <c r="AB94" i="417" s="1"/>
  <c r="AD94" i="417" s="1"/>
  <c r="X91" i="417"/>
  <c r="Z91" i="417" s="1"/>
  <c r="AA91" i="417"/>
  <c r="AB91" i="417" s="1"/>
  <c r="AD91" i="417" s="1"/>
  <c r="X89" i="417"/>
  <c r="Z89" i="417" s="1"/>
  <c r="AA89" i="417"/>
  <c r="AB89" i="417" s="1"/>
  <c r="AD89" i="417" s="1"/>
  <c r="X87" i="417"/>
  <c r="Z87" i="417" s="1"/>
  <c r="AA87" i="417"/>
  <c r="AB87" i="417" s="1"/>
  <c r="AD87" i="417" s="1"/>
  <c r="X85" i="417"/>
  <c r="Z85" i="417" s="1"/>
  <c r="AA85" i="417"/>
  <c r="AB85" i="417" s="1"/>
  <c r="AD85" i="417" s="1"/>
  <c r="X83" i="417"/>
  <c r="Z83" i="417" s="1"/>
  <c r="AA83" i="417"/>
  <c r="AB83" i="417" s="1"/>
  <c r="AD83" i="417" s="1"/>
  <c r="X81" i="417"/>
  <c r="Z81" i="417" s="1"/>
  <c r="AA81" i="417"/>
  <c r="AB81" i="417" s="1"/>
  <c r="AD81" i="417" s="1"/>
  <c r="X79" i="417"/>
  <c r="Z79" i="417" s="1"/>
  <c r="AA79" i="417"/>
  <c r="AB79" i="417" s="1"/>
  <c r="AD79" i="417" s="1"/>
  <c r="X77" i="417"/>
  <c r="Z77" i="417" s="1"/>
  <c r="AA77" i="417"/>
  <c r="AB77" i="417" s="1"/>
  <c r="AD77" i="417" s="1"/>
  <c r="X75" i="417"/>
  <c r="Z75" i="417" s="1"/>
  <c r="AA75" i="417"/>
  <c r="AB75" i="417" s="1"/>
  <c r="AD75" i="417" s="1"/>
  <c r="X73" i="417"/>
  <c r="Z73" i="417" s="1"/>
  <c r="AA73" i="417"/>
  <c r="AB73" i="417" s="1"/>
  <c r="AD73" i="417" s="1"/>
  <c r="X71" i="417"/>
  <c r="Z71" i="417" s="1"/>
  <c r="AA71" i="417"/>
  <c r="AB71" i="417" s="1"/>
  <c r="AD71" i="417" s="1"/>
  <c r="X69" i="417"/>
  <c r="Z69" i="417" s="1"/>
  <c r="AA69" i="417"/>
  <c r="AB69" i="417" s="1"/>
  <c r="AD69" i="417" s="1"/>
  <c r="X67" i="417"/>
  <c r="Z67" i="417" s="1"/>
  <c r="AA67" i="417"/>
  <c r="AB67" i="417" s="1"/>
  <c r="AD67" i="417" s="1"/>
  <c r="X65" i="417"/>
  <c r="Z65" i="417" s="1"/>
  <c r="AA65" i="417"/>
  <c r="AB65" i="417" s="1"/>
  <c r="AD65" i="417" s="1"/>
  <c r="X63" i="417"/>
  <c r="Z63" i="417" s="1"/>
  <c r="AA63" i="417"/>
  <c r="AB63" i="417" s="1"/>
  <c r="AD63" i="417" s="1"/>
  <c r="X61" i="417"/>
  <c r="Z61" i="417" s="1"/>
  <c r="AA61" i="417"/>
  <c r="AB61" i="417" s="1"/>
  <c r="AD61" i="417" s="1"/>
  <c r="X59" i="417"/>
  <c r="Z59" i="417" s="1"/>
  <c r="AA59" i="417"/>
  <c r="AB59" i="417" s="1"/>
  <c r="AD59" i="417" s="1"/>
  <c r="X57" i="417"/>
  <c r="Z57" i="417" s="1"/>
  <c r="AA57" i="417"/>
  <c r="AB57" i="417" s="1"/>
  <c r="AD57" i="417" s="1"/>
  <c r="X55" i="417"/>
  <c r="Z55" i="417" s="1"/>
  <c r="AA55" i="417"/>
  <c r="AB55" i="417" s="1"/>
  <c r="AD55" i="417" s="1"/>
  <c r="X53" i="417"/>
  <c r="Z53" i="417" s="1"/>
  <c r="AA53" i="417"/>
  <c r="AB53" i="417" s="1"/>
  <c r="AD53" i="417" s="1"/>
  <c r="X51" i="417"/>
  <c r="Z51" i="417" s="1"/>
  <c r="AA51" i="417"/>
  <c r="AB51" i="417" s="1"/>
  <c r="AD51" i="417" s="1"/>
  <c r="X49" i="417"/>
  <c r="Z49" i="417" s="1"/>
  <c r="AA49" i="417"/>
  <c r="AB49" i="417" s="1"/>
  <c r="AD49" i="417" s="1"/>
  <c r="X47" i="417"/>
  <c r="Z47" i="417" s="1"/>
  <c r="AA47" i="417"/>
  <c r="AB47" i="417" s="1"/>
  <c r="AD47" i="417" s="1"/>
  <c r="X45" i="417"/>
  <c r="Z45" i="417" s="1"/>
  <c r="AA45" i="417"/>
  <c r="AB45" i="417" s="1"/>
  <c r="AD45" i="417" s="1"/>
  <c r="X43" i="417"/>
  <c r="Z43" i="417" s="1"/>
  <c r="AA43" i="417"/>
  <c r="AB43" i="417" s="1"/>
  <c r="AD43" i="417" s="1"/>
  <c r="X41" i="417"/>
  <c r="Z41" i="417" s="1"/>
  <c r="AA41" i="417"/>
  <c r="AB41" i="417" s="1"/>
  <c r="AD41" i="417" s="1"/>
  <c r="X39" i="417"/>
  <c r="Z39" i="417" s="1"/>
  <c r="AA39" i="417"/>
  <c r="AB39" i="417" s="1"/>
  <c r="AD39" i="417" s="1"/>
  <c r="X37" i="417"/>
  <c r="Z37" i="417" s="1"/>
  <c r="AA37" i="417"/>
  <c r="AB37" i="417" s="1"/>
  <c r="AD37" i="417" s="1"/>
  <c r="X35" i="417"/>
  <c r="Z35" i="417" s="1"/>
  <c r="AA35" i="417"/>
  <c r="AB35" i="417" s="1"/>
  <c r="AD35" i="417" s="1"/>
  <c r="X33" i="417"/>
  <c r="Z33" i="417" s="1"/>
  <c r="AA33" i="417"/>
  <c r="AB33" i="417" s="1"/>
  <c r="AD33" i="417" s="1"/>
  <c r="X31" i="417"/>
  <c r="Z31" i="417" s="1"/>
  <c r="AA31" i="417"/>
  <c r="AB31" i="417" s="1"/>
  <c r="AD31" i="417" s="1"/>
  <c r="X29" i="417"/>
  <c r="Z29" i="417" s="1"/>
  <c r="AA29" i="417"/>
  <c r="AB29" i="417" s="1"/>
  <c r="AD29" i="417" s="1"/>
  <c r="AA28" i="417"/>
  <c r="AB28" i="417" s="1"/>
  <c r="AD28" i="417" s="1"/>
  <c r="X28" i="417"/>
  <c r="Z28" i="417" s="1"/>
  <c r="X25" i="417"/>
  <c r="Z25" i="417" s="1"/>
  <c r="AA25" i="417"/>
  <c r="AB25" i="417" s="1"/>
  <c r="AD25" i="417" s="1"/>
  <c r="X23" i="417"/>
  <c r="Z23" i="417" s="1"/>
  <c r="AA23" i="417"/>
  <c r="AB23" i="417" s="1"/>
  <c r="AD23" i="417" s="1"/>
  <c r="X21" i="417"/>
  <c r="Z21" i="417" s="1"/>
  <c r="AA21" i="417"/>
  <c r="AB21" i="417" s="1"/>
  <c r="AD21" i="417" s="1"/>
  <c r="X19" i="417"/>
  <c r="Z19" i="417" s="1"/>
  <c r="AA19" i="417"/>
  <c r="AB19" i="417" s="1"/>
  <c r="AD19" i="417" s="1"/>
  <c r="X17" i="417"/>
  <c r="Z17" i="417" s="1"/>
  <c r="AA17" i="417"/>
  <c r="AB17" i="417" s="1"/>
  <c r="AD17" i="417" s="1"/>
  <c r="X15" i="417"/>
  <c r="Z15" i="417" s="1"/>
  <c r="AA15" i="417"/>
  <c r="AB15" i="417" s="1"/>
  <c r="AD15" i="417" s="1"/>
  <c r="X13" i="417"/>
  <c r="Z13" i="417" s="1"/>
  <c r="AA13" i="417"/>
  <c r="AB13" i="417" s="1"/>
  <c r="AD13" i="417" s="1"/>
  <c r="X11" i="417"/>
  <c r="Z11" i="417" s="1"/>
  <c r="AA11" i="417"/>
  <c r="AB11" i="417" s="1"/>
  <c r="AD11" i="417" s="1"/>
  <c r="AD10" i="424"/>
  <c r="B25" i="449"/>
  <c r="B27" i="449"/>
  <c r="I46" i="449"/>
  <c r="B41" i="449"/>
  <c r="F16" i="451"/>
  <c r="I5" i="451" l="1"/>
  <c r="V14" i="453"/>
  <c r="P14" i="453"/>
  <c r="F17" i="451"/>
  <c r="F15" i="451"/>
  <c r="G20" i="416"/>
  <c r="G20" i="453"/>
  <c r="AD16" i="453"/>
  <c r="G5" i="451"/>
  <c r="Z16" i="453"/>
  <c r="AA230" i="417"/>
  <c r="AB230" i="417" s="1"/>
  <c r="AD230" i="417" s="1"/>
  <c r="X230" i="417"/>
  <c r="Z230" i="417" s="1"/>
  <c r="AB190" i="417"/>
  <c r="AD190" i="417" s="1"/>
  <c r="AB174" i="417"/>
  <c r="AD174" i="417" s="1"/>
  <c r="Z10" i="417"/>
  <c r="AB193" i="417"/>
  <c r="AD193" i="417" s="1"/>
  <c r="AB206" i="417"/>
  <c r="AD206" i="417" s="1"/>
  <c r="AD10" i="417"/>
  <c r="AB177" i="417"/>
  <c r="D25" i="465"/>
  <c r="D25" i="458"/>
  <c r="D26" i="458" s="1"/>
  <c r="C30" i="457"/>
  <c r="G12" i="451"/>
  <c r="E25" i="465" l="1"/>
  <c r="E32" i="465" s="1"/>
  <c r="E33" i="465" s="1"/>
  <c r="X16" i="453"/>
  <c r="X14" i="453" s="1"/>
  <c r="AF16" i="453"/>
  <c r="AF14" i="453" s="1"/>
  <c r="AD14" i="453"/>
  <c r="AB16" i="453"/>
  <c r="AB14" i="453" s="1"/>
  <c r="Z14" i="453"/>
  <c r="G14" i="451"/>
  <c r="G11" i="451"/>
  <c r="G13" i="451"/>
  <c r="G15" i="451"/>
  <c r="G16" i="451"/>
  <c r="AD177" i="417"/>
  <c r="G25" i="465"/>
  <c r="G32" i="465" s="1"/>
  <c r="G33" i="465" s="1"/>
  <c r="BH39" i="457"/>
  <c r="BH45" i="457"/>
  <c r="BI45" i="457"/>
  <c r="D26" i="465"/>
  <c r="BZ26" i="465" s="1"/>
  <c r="BZ25" i="465"/>
  <c r="M38" i="509" l="1"/>
  <c r="O38" i="509" s="1"/>
  <c r="U38" i="509"/>
  <c r="S38" i="509" s="1"/>
  <c r="X38" i="509"/>
  <c r="V38" i="509" s="1"/>
  <c r="R38" i="509"/>
  <c r="P38" i="509" s="1"/>
  <c r="BI39" i="457"/>
  <c r="BH42" i="457"/>
  <c r="BJ39" i="457" l="1"/>
  <c r="BJ42" i="457" s="1"/>
  <c r="BI42" i="457"/>
  <c r="BJ43" i="457" s="1"/>
  <c r="C33" i="457" s="1"/>
  <c r="P72" i="450"/>
  <c r="Q72" i="450" s="1"/>
  <c r="O72" i="450"/>
  <c r="H71" i="450"/>
  <c r="I71" i="450" s="1"/>
  <c r="J71" i="450" s="1"/>
  <c r="I70" i="450"/>
  <c r="J70" i="450" s="1"/>
  <c r="H69" i="450"/>
  <c r="I69" i="450" s="1"/>
  <c r="J69" i="450" s="1"/>
  <c r="H68" i="450"/>
  <c r="I68" i="450" s="1"/>
  <c r="J68" i="450" s="1"/>
  <c r="I67" i="450"/>
  <c r="I66" i="450"/>
  <c r="J66" i="450" s="1"/>
  <c r="H56" i="450"/>
  <c r="F56" i="450"/>
  <c r="F55" i="450"/>
  <c r="I55" i="450" s="1"/>
  <c r="J55" i="450" s="1"/>
  <c r="H54" i="450"/>
  <c r="F54" i="450"/>
  <c r="H53" i="450"/>
  <c r="F53" i="450"/>
  <c r="F52" i="450"/>
  <c r="I52" i="450" s="1"/>
  <c r="J52" i="450" s="1"/>
  <c r="F51" i="450"/>
  <c r="I51" i="450" s="1"/>
  <c r="P43" i="450"/>
  <c r="Q43" i="450" s="1"/>
  <c r="O43" i="450"/>
  <c r="H42" i="450"/>
  <c r="F42" i="450"/>
  <c r="F41" i="450"/>
  <c r="I41" i="450" s="1"/>
  <c r="J41" i="450" s="1"/>
  <c r="H40" i="450"/>
  <c r="F40" i="450"/>
  <c r="H39" i="450"/>
  <c r="F39" i="450"/>
  <c r="F38" i="450"/>
  <c r="I38" i="450" s="1"/>
  <c r="J38" i="450" s="1"/>
  <c r="F37" i="450"/>
  <c r="I37" i="450" s="1"/>
  <c r="J37" i="450" s="1"/>
  <c r="N27" i="450"/>
  <c r="O27" i="450" s="1"/>
  <c r="P27" i="450" s="1"/>
  <c r="H27" i="450"/>
  <c r="I27" i="450" s="1"/>
  <c r="J27" i="450" s="1"/>
  <c r="O26" i="450"/>
  <c r="P26" i="450" s="1"/>
  <c r="I26" i="450"/>
  <c r="J26" i="450" s="1"/>
  <c r="N25" i="450"/>
  <c r="O25" i="450" s="1"/>
  <c r="H25" i="450"/>
  <c r="I25" i="450" s="1"/>
  <c r="J25" i="450" s="1"/>
  <c r="N24" i="450"/>
  <c r="O24" i="450" s="1"/>
  <c r="P24" i="450" s="1"/>
  <c r="H24" i="450"/>
  <c r="I24" i="450" s="1"/>
  <c r="J24" i="450" s="1"/>
  <c r="O23" i="450"/>
  <c r="P23" i="450" s="1"/>
  <c r="I23" i="450"/>
  <c r="J23" i="450" s="1"/>
  <c r="I22" i="450"/>
  <c r="J22" i="450" s="1"/>
  <c r="N13" i="450"/>
  <c r="O13" i="450" s="1"/>
  <c r="P13" i="450" s="1"/>
  <c r="H13" i="450"/>
  <c r="I13" i="450" s="1"/>
  <c r="J13" i="450" s="1"/>
  <c r="I12" i="450"/>
  <c r="J12" i="450" s="1"/>
  <c r="N11" i="450"/>
  <c r="H11" i="450"/>
  <c r="I11" i="450" s="1"/>
  <c r="J11" i="450" s="1"/>
  <c r="N10" i="450"/>
  <c r="L10" i="450"/>
  <c r="H10" i="450"/>
  <c r="I10" i="450" s="1"/>
  <c r="J10" i="450" s="1"/>
  <c r="L9" i="450"/>
  <c r="O9" i="450" s="1"/>
  <c r="I9" i="450"/>
  <c r="J9" i="450" s="1"/>
  <c r="I8" i="450"/>
  <c r="G92" i="449"/>
  <c r="B92" i="449"/>
  <c r="E91" i="449"/>
  <c r="G91" i="449" s="1"/>
  <c r="E90" i="449"/>
  <c r="G90" i="449" s="1"/>
  <c r="B89" i="449"/>
  <c r="E89" i="449" s="1"/>
  <c r="G89" i="449" s="1"/>
  <c r="B88" i="449"/>
  <c r="E88" i="449" s="1"/>
  <c r="G88" i="449" s="1"/>
  <c r="B87" i="449"/>
  <c r="E87" i="449" s="1"/>
  <c r="G87" i="449" s="1"/>
  <c r="B86" i="449"/>
  <c r="E86" i="449" s="1"/>
  <c r="G86" i="449" s="1"/>
  <c r="B85" i="449"/>
  <c r="E85" i="449" s="1"/>
  <c r="G85" i="449" s="1"/>
  <c r="G81" i="449"/>
  <c r="H81" i="449" s="1"/>
  <c r="M12" i="424" s="1"/>
  <c r="B81" i="449"/>
  <c r="E80" i="449"/>
  <c r="G80" i="449" s="1"/>
  <c r="M14" i="424" s="1"/>
  <c r="L14" i="424" s="1"/>
  <c r="E79" i="449"/>
  <c r="G79" i="449" s="1"/>
  <c r="M13" i="424" s="1"/>
  <c r="B78" i="449"/>
  <c r="E78" i="449" s="1"/>
  <c r="G78" i="449" s="1"/>
  <c r="B77" i="449"/>
  <c r="E77" i="449" s="1"/>
  <c r="G77" i="449" s="1"/>
  <c r="M18" i="424" s="1"/>
  <c r="B76" i="449"/>
  <c r="E76" i="449" s="1"/>
  <c r="G76" i="449" s="1"/>
  <c r="M15" i="424" s="1"/>
  <c r="B75" i="449"/>
  <c r="E75" i="449" s="1"/>
  <c r="G75" i="449" s="1"/>
  <c r="J74" i="449"/>
  <c r="I74" i="449"/>
  <c r="B74" i="449"/>
  <c r="E74" i="449" s="1"/>
  <c r="B73" i="449"/>
  <c r="E73" i="449" s="1"/>
  <c r="G73" i="449" s="1"/>
  <c r="M17" i="424" s="1"/>
  <c r="B72" i="449"/>
  <c r="G67" i="449"/>
  <c r="H67" i="449" s="1"/>
  <c r="M12" i="419" s="1"/>
  <c r="B67" i="449"/>
  <c r="E66" i="449"/>
  <c r="G66" i="449" s="1"/>
  <c r="M14" i="419" s="1"/>
  <c r="E65" i="449"/>
  <c r="G65" i="449" s="1"/>
  <c r="M13" i="419" s="1"/>
  <c r="B64" i="449"/>
  <c r="E64" i="449" s="1"/>
  <c r="G64" i="449" s="1"/>
  <c r="M10" i="419" s="1"/>
  <c r="B63" i="449"/>
  <c r="E63" i="449" s="1"/>
  <c r="G63" i="449" s="1"/>
  <c r="M18" i="419" s="1"/>
  <c r="B62" i="449"/>
  <c r="E62" i="449" s="1"/>
  <c r="G62" i="449" s="1"/>
  <c r="M15" i="419" s="1"/>
  <c r="L15" i="419" s="1"/>
  <c r="B61" i="449"/>
  <c r="E61" i="449" s="1"/>
  <c r="G61" i="449" s="1"/>
  <c r="M17" i="419" s="1"/>
  <c r="B60" i="449"/>
  <c r="E42" i="449"/>
  <c r="G42" i="449" s="1"/>
  <c r="G41" i="449"/>
  <c r="E40" i="449"/>
  <c r="G40" i="449" s="1"/>
  <c r="E39" i="449"/>
  <c r="G39" i="449" s="1"/>
  <c r="E38" i="449"/>
  <c r="G38" i="449" s="1"/>
  <c r="E37" i="449"/>
  <c r="G37" i="449" s="1"/>
  <c r="I37" i="449" s="1"/>
  <c r="D36" i="449"/>
  <c r="E36" i="449" s="1"/>
  <c r="G36" i="449" s="1"/>
  <c r="E35" i="449"/>
  <c r="G35" i="449" s="1"/>
  <c r="E34" i="449"/>
  <c r="G34" i="449" s="1"/>
  <c r="I34" i="449" s="1"/>
  <c r="I33" i="449"/>
  <c r="E33" i="449"/>
  <c r="E32" i="449"/>
  <c r="G32" i="449" s="1"/>
  <c r="E31" i="449"/>
  <c r="G31" i="449" s="1"/>
  <c r="G26" i="449"/>
  <c r="G24" i="449"/>
  <c r="E23" i="449"/>
  <c r="G23" i="449" s="1"/>
  <c r="G22" i="449"/>
  <c r="E21" i="449"/>
  <c r="G21" i="449" s="1"/>
  <c r="E20" i="449"/>
  <c r="G20" i="449" s="1"/>
  <c r="G19" i="449"/>
  <c r="E18" i="449"/>
  <c r="G18" i="449" s="1"/>
  <c r="E17" i="449"/>
  <c r="G17" i="449" s="1"/>
  <c r="E16" i="449"/>
  <c r="G16" i="449" s="1"/>
  <c r="E15" i="449"/>
  <c r="G15" i="449" s="1"/>
  <c r="E12" i="449"/>
  <c r="G12" i="449" s="1"/>
  <c r="E11" i="449"/>
  <c r="G11" i="449" s="1"/>
  <c r="E10" i="449"/>
  <c r="G10" i="449" s="1"/>
  <c r="E9" i="449"/>
  <c r="G9" i="449" s="1"/>
  <c r="E8" i="449"/>
  <c r="G8" i="449" s="1"/>
  <c r="E7" i="449"/>
  <c r="G7" i="449" s="1"/>
  <c r="E6" i="449"/>
  <c r="G6" i="449" s="1"/>
  <c r="J77" i="449" l="1"/>
  <c r="J78" i="449" s="1"/>
  <c r="O10" i="450"/>
  <c r="P10" i="450" s="1"/>
  <c r="I56" i="450"/>
  <c r="J56" i="450" s="1"/>
  <c r="I72" i="450"/>
  <c r="I14" i="450"/>
  <c r="I39" i="449"/>
  <c r="I41" i="449"/>
  <c r="E60" i="449"/>
  <c r="G60" i="449" s="1"/>
  <c r="M16" i="419" s="1"/>
  <c r="E10" i="419"/>
  <c r="I39" i="450"/>
  <c r="J39" i="450" s="1"/>
  <c r="I40" i="450"/>
  <c r="J40" i="450" s="1"/>
  <c r="I40" i="449"/>
  <c r="E72" i="449"/>
  <c r="G72" i="449" s="1"/>
  <c r="M16" i="424" s="1"/>
  <c r="E10" i="424"/>
  <c r="J8" i="450"/>
  <c r="J14" i="450" s="1"/>
  <c r="K14" i="450" s="1"/>
  <c r="I42" i="450"/>
  <c r="J42" i="450" s="1"/>
  <c r="I53" i="450"/>
  <c r="J53" i="450" s="1"/>
  <c r="I54" i="450"/>
  <c r="J54" i="450" s="1"/>
  <c r="BF27" i="457"/>
  <c r="BF29" i="457"/>
  <c r="BF32" i="457"/>
  <c r="BF28" i="457"/>
  <c r="BF31" i="457"/>
  <c r="BF30" i="457"/>
  <c r="L11" i="450"/>
  <c r="L12" i="450" s="1"/>
  <c r="O12" i="450" s="1"/>
  <c r="P12" i="450" s="1"/>
  <c r="I32" i="449"/>
  <c r="I31" i="449"/>
  <c r="I38" i="449"/>
  <c r="I42" i="449"/>
  <c r="I36" i="449"/>
  <c r="H36" i="449"/>
  <c r="H35" i="449"/>
  <c r="I35" i="449"/>
  <c r="P25" i="450"/>
  <c r="P28" i="450" s="1"/>
  <c r="Q28" i="450" s="1"/>
  <c r="O28" i="450"/>
  <c r="J28" i="450"/>
  <c r="K28" i="450" s="1"/>
  <c r="J51" i="450"/>
  <c r="H34" i="449"/>
  <c r="H37" i="449"/>
  <c r="P9" i="450"/>
  <c r="I28" i="450"/>
  <c r="J67" i="450"/>
  <c r="J72" i="450" s="1"/>
  <c r="K72" i="450" s="1"/>
  <c r="I43" i="450" l="1"/>
  <c r="J43" i="450"/>
  <c r="K43" i="450" s="1"/>
  <c r="M11" i="419" s="1"/>
  <c r="J57" i="450"/>
  <c r="K57" i="450" s="1"/>
  <c r="M11" i="424" s="1"/>
  <c r="I57" i="450"/>
  <c r="O11" i="450"/>
  <c r="P11" i="450" s="1"/>
  <c r="P14" i="450" s="1"/>
  <c r="Q14" i="450" s="1"/>
  <c r="U11" i="424" l="1"/>
  <c r="O14" i="450"/>
  <c r="Z11" i="424"/>
  <c r="AB11" i="424" s="1"/>
  <c r="W11" i="424"/>
  <c r="L12" i="424"/>
  <c r="L13" i="424"/>
  <c r="L10" i="424"/>
  <c r="L18" i="424"/>
  <c r="L15" i="424"/>
  <c r="L17" i="424"/>
  <c r="L16" i="424"/>
  <c r="L11" i="424"/>
  <c r="L11" i="419"/>
  <c r="L12" i="419"/>
  <c r="L13" i="419"/>
  <c r="L10" i="419"/>
  <c r="L18" i="419"/>
  <c r="L17" i="419"/>
  <c r="L16" i="419"/>
  <c r="P14" i="424"/>
  <c r="R14" i="424" s="1"/>
  <c r="M227" i="429"/>
  <c r="G227" i="429"/>
  <c r="M226" i="429"/>
  <c r="G226" i="429"/>
  <c r="M225" i="429"/>
  <c r="G225" i="429"/>
  <c r="M54" i="420"/>
  <c r="E57" i="420"/>
  <c r="M57" i="420" s="1"/>
  <c r="L57" i="420" s="1"/>
  <c r="P57" i="420" s="1"/>
  <c r="T57" i="420" s="1"/>
  <c r="G214" i="417"/>
  <c r="G224" i="429"/>
  <c r="E56" i="420"/>
  <c r="G56" i="420" s="1"/>
  <c r="G213" i="417"/>
  <c r="M223" i="429"/>
  <c r="G205" i="429"/>
  <c r="G206" i="429"/>
  <c r="G207" i="429"/>
  <c r="G208" i="429"/>
  <c r="G209" i="429"/>
  <c r="G210" i="429"/>
  <c r="G211" i="429"/>
  <c r="G212" i="429"/>
  <c r="G213" i="429"/>
  <c r="G214" i="429"/>
  <c r="G215" i="429"/>
  <c r="G216" i="429"/>
  <c r="G217" i="429"/>
  <c r="G218" i="429"/>
  <c r="G219" i="429"/>
  <c r="G220" i="429"/>
  <c r="G221" i="429"/>
  <c r="G222" i="429"/>
  <c r="G223" i="429"/>
  <c r="M55" i="420"/>
  <c r="L55" i="420" s="1"/>
  <c r="P55" i="420" s="1"/>
  <c r="T55" i="420" s="1"/>
  <c r="E53" i="420"/>
  <c r="E54" i="420"/>
  <c r="G54" i="420" s="1"/>
  <c r="E55" i="420"/>
  <c r="G55" i="420" s="1"/>
  <c r="G212" i="417"/>
  <c r="G88" i="426"/>
  <c r="L54" i="420"/>
  <c r="P54" i="420" s="1"/>
  <c r="T54" i="420" s="1"/>
  <c r="G211" i="417"/>
  <c r="M222" i="429"/>
  <c r="M53" i="420"/>
  <c r="L53" i="420" s="1"/>
  <c r="W53" i="420"/>
  <c r="G53" i="420"/>
  <c r="G209" i="417"/>
  <c r="G210" i="417"/>
  <c r="M221" i="429"/>
  <c r="M52" i="420"/>
  <c r="L52" i="420" s="1"/>
  <c r="P52" i="420" s="1"/>
  <c r="T52" i="420" s="1"/>
  <c r="P211" i="417" l="1"/>
  <c r="P212" i="417"/>
  <c r="G57" i="420"/>
  <c r="P214" i="417"/>
  <c r="X214" i="417" s="1"/>
  <c r="Z214" i="417" s="1"/>
  <c r="M224" i="429"/>
  <c r="Y11" i="424"/>
  <c r="Y9" i="424" s="1"/>
  <c r="W9" i="424"/>
  <c r="AB221" i="429"/>
  <c r="AD221" i="429" s="1"/>
  <c r="X221" i="429"/>
  <c r="Z221" i="429" s="1"/>
  <c r="T221" i="429"/>
  <c r="V221" i="429" s="1"/>
  <c r="P53" i="420"/>
  <c r="T53" i="420" s="1"/>
  <c r="V53" i="420" s="1"/>
  <c r="AB223" i="429"/>
  <c r="AD223" i="429" s="1"/>
  <c r="X223" i="429"/>
  <c r="Z223" i="429" s="1"/>
  <c r="T223" i="429"/>
  <c r="V223" i="429" s="1"/>
  <c r="M56" i="420"/>
  <c r="L56" i="420" s="1"/>
  <c r="P56" i="420" s="1"/>
  <c r="T56" i="420" s="1"/>
  <c r="V56" i="420" s="1"/>
  <c r="AB225" i="429"/>
  <c r="AD225" i="429" s="1"/>
  <c r="X225" i="429"/>
  <c r="Z225" i="429" s="1"/>
  <c r="T225" i="429"/>
  <c r="V225" i="429" s="1"/>
  <c r="AB226" i="429"/>
  <c r="AD226" i="429" s="1"/>
  <c r="X226" i="429"/>
  <c r="Z226" i="429" s="1"/>
  <c r="T226" i="429"/>
  <c r="V226" i="429" s="1"/>
  <c r="AB227" i="429"/>
  <c r="AD227" i="429" s="1"/>
  <c r="X227" i="429"/>
  <c r="Z227" i="429" s="1"/>
  <c r="T227" i="429"/>
  <c r="V227" i="429" s="1"/>
  <c r="AD11" i="424"/>
  <c r="AD9" i="424" s="1"/>
  <c r="AB9" i="424"/>
  <c r="V88" i="426"/>
  <c r="AB88" i="426"/>
  <c r="X88" i="426"/>
  <c r="X222" i="429"/>
  <c r="AB222" i="429"/>
  <c r="T222" i="429"/>
  <c r="V222" i="429" s="1"/>
  <c r="V52" i="420"/>
  <c r="V57" i="420"/>
  <c r="V54" i="420"/>
  <c r="T14" i="424"/>
  <c r="R214" i="417" l="1"/>
  <c r="T214" i="417" s="1"/>
  <c r="AB214" i="417"/>
  <c r="AD214" i="417" s="1"/>
  <c r="P213" i="417"/>
  <c r="P210" i="417"/>
  <c r="AB210" i="417" s="1"/>
  <c r="AB224" i="429"/>
  <c r="AD224" i="429" s="1"/>
  <c r="X224" i="429"/>
  <c r="Z224" i="429" s="1"/>
  <c r="T224" i="429"/>
  <c r="V224" i="429" s="1"/>
  <c r="AB211" i="417"/>
  <c r="AD211" i="417" s="1"/>
  <c r="X211" i="417"/>
  <c r="Z211" i="417" s="1"/>
  <c r="R211" i="417"/>
  <c r="T211" i="417" s="1"/>
  <c r="AB212" i="417"/>
  <c r="AD212" i="417" s="1"/>
  <c r="X212" i="417"/>
  <c r="Z212" i="417" s="1"/>
  <c r="R212" i="417"/>
  <c r="T212" i="417" s="1"/>
  <c r="AD222" i="429"/>
  <c r="Z88" i="426"/>
  <c r="Z222" i="429"/>
  <c r="AD88" i="426"/>
  <c r="V55" i="420"/>
  <c r="G52" i="420"/>
  <c r="E52" i="420"/>
  <c r="M163" i="429"/>
  <c r="M51" i="420"/>
  <c r="L51" i="420" s="1"/>
  <c r="P51" i="420" s="1"/>
  <c r="T51" i="420" s="1"/>
  <c r="W51" i="420"/>
  <c r="G51" i="420"/>
  <c r="E51" i="420"/>
  <c r="M166" i="417"/>
  <c r="P209" i="417"/>
  <c r="X210" i="417" l="1"/>
  <c r="Z210" i="417" s="1"/>
  <c r="R209" i="417"/>
  <c r="X209" i="417"/>
  <c r="Z209" i="417" s="1"/>
  <c r="AB209" i="417"/>
  <c r="AD209" i="417" s="1"/>
  <c r="P166" i="417"/>
  <c r="R210" i="417"/>
  <c r="T210" i="417" s="1"/>
  <c r="AB163" i="429"/>
  <c r="X163" i="429"/>
  <c r="T163" i="429"/>
  <c r="T7" i="429" s="1"/>
  <c r="AB118" i="426"/>
  <c r="X118" i="426"/>
  <c r="AD210" i="417"/>
  <c r="AB213" i="417"/>
  <c r="AD213" i="417" s="1"/>
  <c r="X213" i="417"/>
  <c r="Z213" i="417" s="1"/>
  <c r="R213" i="417"/>
  <c r="T213" i="417" s="1"/>
  <c r="R166" i="417" l="1"/>
  <c r="R9" i="417" s="1"/>
  <c r="X166" i="417"/>
  <c r="Z166" i="417" s="1"/>
  <c r="AB166" i="417"/>
  <c r="AD166" i="417" s="1"/>
  <c r="AD118" i="426"/>
  <c r="AD9" i="426" s="1"/>
  <c r="AB9" i="426"/>
  <c r="Z9" i="417"/>
  <c r="Z163" i="429"/>
  <c r="Z7" i="429" s="1"/>
  <c r="X7" i="429"/>
  <c r="AD9" i="417"/>
  <c r="Z118" i="426"/>
  <c r="Z9" i="426" s="1"/>
  <c r="X9" i="426"/>
  <c r="AD163" i="429"/>
  <c r="AD7" i="429" s="1"/>
  <c r="AB7" i="429"/>
  <c r="V51" i="420"/>
  <c r="T209" i="417"/>
  <c r="AB9" i="417" l="1"/>
  <c r="X9" i="417"/>
  <c r="K8" i="447"/>
  <c r="E67" i="448"/>
  <c r="G67" i="448" s="1"/>
  <c r="E65" i="448"/>
  <c r="G65" i="448" s="1"/>
  <c r="E63" i="448"/>
  <c r="G63" i="448" s="1"/>
  <c r="G60" i="448"/>
  <c r="G61" i="448" s="1"/>
  <c r="G58" i="448"/>
  <c r="I58" i="448" s="1"/>
  <c r="I59" i="448" s="1"/>
  <c r="G56" i="448"/>
  <c r="G52" i="448"/>
  <c r="I52" i="448" s="1"/>
  <c r="G51" i="448"/>
  <c r="I51" i="448" s="1"/>
  <c r="G50" i="448"/>
  <c r="I50" i="448" s="1"/>
  <c r="G49" i="448"/>
  <c r="G48" i="448"/>
  <c r="G47" i="448"/>
  <c r="I39" i="448"/>
  <c r="I41" i="448" s="1"/>
  <c r="H39" i="448"/>
  <c r="H41" i="448" s="1"/>
  <c r="C39" i="448"/>
  <c r="E38" i="448"/>
  <c r="G38" i="448" s="1"/>
  <c r="E37" i="448"/>
  <c r="G37" i="448" s="1"/>
  <c r="E36" i="448"/>
  <c r="G36" i="448" s="1"/>
  <c r="E35" i="448"/>
  <c r="G35" i="448" s="1"/>
  <c r="E34" i="448"/>
  <c r="G34" i="448" s="1"/>
  <c r="E33" i="448"/>
  <c r="G33" i="448" s="1"/>
  <c r="E32" i="448"/>
  <c r="G32" i="448" s="1"/>
  <c r="E31" i="448"/>
  <c r="G31" i="448" s="1"/>
  <c r="E30" i="448"/>
  <c r="G30" i="448" s="1"/>
  <c r="E29" i="448"/>
  <c r="G29" i="448" s="1"/>
  <c r="E28" i="448"/>
  <c r="G28" i="448" s="1"/>
  <c r="E27" i="448"/>
  <c r="D22" i="448"/>
  <c r="D20" i="448"/>
  <c r="L18" i="447"/>
  <c r="H16" i="447"/>
  <c r="K16" i="447" s="1"/>
  <c r="D16" i="447"/>
  <c r="H15" i="447"/>
  <c r="K15" i="447" s="1"/>
  <c r="D15" i="447"/>
  <c r="H13" i="447"/>
  <c r="K13" i="447" s="1"/>
  <c r="K14" i="447" s="1"/>
  <c r="D13" i="447"/>
  <c r="D11" i="447"/>
  <c r="D10" i="447"/>
  <c r="D8" i="447"/>
  <c r="G54" i="448" l="1"/>
  <c r="I54" i="448" s="1"/>
  <c r="C74" i="448" s="1"/>
  <c r="G62" i="448"/>
  <c r="I62" i="448" s="1"/>
  <c r="C76" i="448" s="1"/>
  <c r="G59" i="448"/>
  <c r="K9" i="447"/>
  <c r="G53" i="448"/>
  <c r="E39" i="448"/>
  <c r="E41" i="448" s="1"/>
  <c r="G55" i="448"/>
  <c r="I55" i="448" s="1"/>
  <c r="C75" i="448" s="1"/>
  <c r="I60" i="448"/>
  <c r="I61" i="448" s="1"/>
  <c r="I47" i="448"/>
  <c r="G69" i="448"/>
  <c r="G64" i="448"/>
  <c r="I63" i="448"/>
  <c r="I64" i="448" s="1"/>
  <c r="G68" i="448"/>
  <c r="I67" i="448"/>
  <c r="I68" i="448" s="1"/>
  <c r="G66" i="448"/>
  <c r="I65" i="448"/>
  <c r="I66" i="448" s="1"/>
  <c r="G27" i="448"/>
  <c r="G39" i="448" s="1"/>
  <c r="G41" i="448" s="1"/>
  <c r="I49" i="448"/>
  <c r="I56" i="448"/>
  <c r="I57" i="448" s="1"/>
  <c r="I48" i="448"/>
  <c r="G57" i="448"/>
  <c r="K17" i="447"/>
  <c r="I53" i="448" l="1"/>
  <c r="I69" i="448"/>
  <c r="C77" i="448" s="1"/>
  <c r="I71" i="448" l="1"/>
  <c r="J126" i="445"/>
  <c r="F126" i="445"/>
  <c r="L126" i="445" s="1"/>
  <c r="D126" i="445"/>
  <c r="J125" i="445"/>
  <c r="F125" i="445"/>
  <c r="D125" i="445"/>
  <c r="L124" i="445"/>
  <c r="J124" i="445"/>
  <c r="D124" i="445"/>
  <c r="L123" i="445"/>
  <c r="J123" i="445"/>
  <c r="D123" i="445"/>
  <c r="O123" i="445" s="1"/>
  <c r="L122" i="445"/>
  <c r="J122" i="445"/>
  <c r="D122" i="445"/>
  <c r="P122" i="445" s="1"/>
  <c r="L121" i="445"/>
  <c r="J121" i="445"/>
  <c r="D121" i="445"/>
  <c r="J120" i="445"/>
  <c r="L119" i="445"/>
  <c r="J119" i="445"/>
  <c r="D119" i="445"/>
  <c r="P119" i="445" s="1"/>
  <c r="L118" i="445"/>
  <c r="J118" i="445"/>
  <c r="D118" i="445"/>
  <c r="H118" i="445" s="1"/>
  <c r="J117" i="445"/>
  <c r="F117" i="445"/>
  <c r="L117" i="445" s="1"/>
  <c r="D117" i="445"/>
  <c r="J116" i="445"/>
  <c r="F116" i="445"/>
  <c r="L116" i="445" s="1"/>
  <c r="D116" i="445"/>
  <c r="J115" i="445"/>
  <c r="F115" i="445"/>
  <c r="L115" i="445" s="1"/>
  <c r="D115" i="445"/>
  <c r="J114" i="445"/>
  <c r="F114" i="445"/>
  <c r="D114" i="445"/>
  <c r="J113" i="445"/>
  <c r="F113" i="445"/>
  <c r="D113" i="445"/>
  <c r="J112" i="445"/>
  <c r="F112" i="445"/>
  <c r="L112" i="445" s="1"/>
  <c r="D112" i="445"/>
  <c r="J111" i="445"/>
  <c r="F111" i="445"/>
  <c r="L111" i="445" s="1"/>
  <c r="J110" i="445"/>
  <c r="F110" i="445"/>
  <c r="L110" i="445" s="1"/>
  <c r="D110" i="445"/>
  <c r="J107" i="445"/>
  <c r="J106" i="445"/>
  <c r="J105" i="445"/>
  <c r="J104" i="445"/>
  <c r="J103" i="445"/>
  <c r="J102" i="445"/>
  <c r="J101" i="445"/>
  <c r="J100" i="445"/>
  <c r="P99" i="445"/>
  <c r="O99" i="445"/>
  <c r="D99" i="445"/>
  <c r="J98" i="445"/>
  <c r="J97" i="445"/>
  <c r="J96" i="445"/>
  <c r="J95" i="445"/>
  <c r="J94" i="445"/>
  <c r="J93" i="445"/>
  <c r="J92" i="445"/>
  <c r="J91" i="445"/>
  <c r="J90" i="445"/>
  <c r="J89" i="445"/>
  <c r="J88" i="445"/>
  <c r="J87" i="445"/>
  <c r="J86" i="445"/>
  <c r="J85" i="445"/>
  <c r="J84" i="445"/>
  <c r="J83" i="445"/>
  <c r="J82" i="445"/>
  <c r="J81" i="445"/>
  <c r="J80" i="445"/>
  <c r="J79" i="445"/>
  <c r="J78" i="445"/>
  <c r="J77" i="445"/>
  <c r="J76" i="445"/>
  <c r="J75" i="445"/>
  <c r="J74" i="445"/>
  <c r="J73" i="445"/>
  <c r="J72" i="445"/>
  <c r="J71" i="445"/>
  <c r="J70" i="445"/>
  <c r="J69" i="445"/>
  <c r="J68" i="445"/>
  <c r="J67" i="445"/>
  <c r="J66" i="445"/>
  <c r="J65" i="445"/>
  <c r="J64" i="445"/>
  <c r="J63" i="445"/>
  <c r="P62" i="445"/>
  <c r="O62" i="445"/>
  <c r="D62" i="445"/>
  <c r="J61" i="445"/>
  <c r="J60" i="445"/>
  <c r="J59" i="445"/>
  <c r="J58" i="445"/>
  <c r="J57" i="445"/>
  <c r="J56" i="445"/>
  <c r="J55" i="445"/>
  <c r="J54" i="445"/>
  <c r="J53" i="445"/>
  <c r="J52" i="445"/>
  <c r="J51" i="445"/>
  <c r="J50" i="445"/>
  <c r="J49" i="445"/>
  <c r="J48" i="445"/>
  <c r="J47" i="445"/>
  <c r="J46" i="445"/>
  <c r="J45" i="445"/>
  <c r="J44" i="445"/>
  <c r="J43" i="445"/>
  <c r="J42" i="445"/>
  <c r="J41" i="445"/>
  <c r="J40" i="445"/>
  <c r="J39" i="445"/>
  <c r="J38" i="445"/>
  <c r="J37" i="445"/>
  <c r="J36" i="445"/>
  <c r="J35" i="445"/>
  <c r="J34" i="445"/>
  <c r="J33" i="445"/>
  <c r="J32" i="445"/>
  <c r="J31" i="445"/>
  <c r="J30" i="445"/>
  <c r="J29" i="445"/>
  <c r="J28" i="445"/>
  <c r="J27" i="445"/>
  <c r="J26" i="445"/>
  <c r="J25" i="445"/>
  <c r="J24" i="445"/>
  <c r="J23" i="445"/>
  <c r="J22" i="445"/>
  <c r="J21" i="445"/>
  <c r="J20" i="445"/>
  <c r="J19" i="445"/>
  <c r="J18" i="445"/>
  <c r="J17" i="445"/>
  <c r="J16" i="445"/>
  <c r="J15" i="445"/>
  <c r="P14" i="445"/>
  <c r="O14" i="445"/>
  <c r="L14" i="445"/>
  <c r="J14" i="445"/>
  <c r="H14" i="445"/>
  <c r="P13" i="445"/>
  <c r="O13" i="445"/>
  <c r="L13" i="445"/>
  <c r="J13" i="445"/>
  <c r="H13" i="445"/>
  <c r="P12" i="445"/>
  <c r="O12" i="445"/>
  <c r="L12" i="445"/>
  <c r="J12" i="445"/>
  <c r="H12" i="445"/>
  <c r="D11" i="445"/>
  <c r="B9" i="445"/>
  <c r="C9" i="445" s="1"/>
  <c r="D9" i="445" s="1"/>
  <c r="E9" i="445" s="1"/>
  <c r="F9" i="445" s="1"/>
  <c r="G9" i="445" s="1"/>
  <c r="H9" i="445" s="1"/>
  <c r="I9" i="445" s="1"/>
  <c r="J9" i="445" s="1"/>
  <c r="K9" i="445" s="1"/>
  <c r="L9" i="445" s="1"/>
  <c r="M9" i="445" s="1"/>
  <c r="N9" i="445" s="1"/>
  <c r="O9" i="445" s="1"/>
  <c r="P9" i="445" s="1"/>
  <c r="Q9" i="445" s="1"/>
  <c r="R9" i="445" s="1"/>
  <c r="S9" i="445" s="1"/>
  <c r="T9" i="445" s="1"/>
  <c r="U9" i="445" s="1"/>
  <c r="E6" i="445"/>
  <c r="K6" i="445" s="1"/>
  <c r="Q5" i="445"/>
  <c r="F46" i="445" s="1"/>
  <c r="L46" i="445" s="1"/>
  <c r="M46" i="445" s="1"/>
  <c r="F69" i="445"/>
  <c r="L114" i="445"/>
  <c r="L113" i="445"/>
  <c r="P123" i="445"/>
  <c r="V220" i="429"/>
  <c r="V219" i="429"/>
  <c r="V218" i="429"/>
  <c r="V217" i="429"/>
  <c r="V216" i="429"/>
  <c r="V215" i="429"/>
  <c r="V214" i="429"/>
  <c r="V213" i="429"/>
  <c r="V212" i="429"/>
  <c r="V211" i="429"/>
  <c r="V210" i="429"/>
  <c r="V209" i="429"/>
  <c r="V208" i="429"/>
  <c r="V207" i="429"/>
  <c r="V206" i="429"/>
  <c r="V205" i="429"/>
  <c r="T208" i="417"/>
  <c r="G208" i="417"/>
  <c r="V204" i="429"/>
  <c r="G204" i="429"/>
  <c r="T207" i="417"/>
  <c r="G207" i="417"/>
  <c r="V203" i="429"/>
  <c r="G203" i="429"/>
  <c r="T206" i="417"/>
  <c r="G206" i="417"/>
  <c r="V202" i="429"/>
  <c r="G202" i="429"/>
  <c r="T205" i="417"/>
  <c r="G205" i="417"/>
  <c r="J126" i="443"/>
  <c r="F126" i="443"/>
  <c r="L126" i="443" s="1"/>
  <c r="D126" i="443"/>
  <c r="J125" i="443"/>
  <c r="F125" i="443"/>
  <c r="D125" i="443"/>
  <c r="L124" i="443"/>
  <c r="J124" i="443"/>
  <c r="D124" i="443"/>
  <c r="P124" i="443" s="1"/>
  <c r="L123" i="443"/>
  <c r="J123" i="443"/>
  <c r="D123" i="443"/>
  <c r="H123" i="443" s="1"/>
  <c r="L122" i="443"/>
  <c r="J122" i="443"/>
  <c r="D122" i="443"/>
  <c r="H122" i="443" s="1"/>
  <c r="L121" i="443"/>
  <c r="J121" i="443"/>
  <c r="D121" i="443"/>
  <c r="J120" i="443"/>
  <c r="L119" i="443"/>
  <c r="J119" i="443"/>
  <c r="D119" i="443"/>
  <c r="P119" i="443" s="1"/>
  <c r="L118" i="443"/>
  <c r="J118" i="443"/>
  <c r="D118" i="443"/>
  <c r="O118" i="443" s="1"/>
  <c r="J117" i="443"/>
  <c r="F117" i="443"/>
  <c r="D117" i="443"/>
  <c r="O117" i="443" s="1"/>
  <c r="J116" i="443"/>
  <c r="F116" i="443"/>
  <c r="L116" i="443" s="1"/>
  <c r="D116" i="443"/>
  <c r="J115" i="443"/>
  <c r="F115" i="443"/>
  <c r="D115" i="443"/>
  <c r="J114" i="443"/>
  <c r="F114" i="443"/>
  <c r="L114" i="443" s="1"/>
  <c r="D114" i="443"/>
  <c r="J113" i="443"/>
  <c r="F113" i="443"/>
  <c r="L113" i="443" s="1"/>
  <c r="D113" i="443"/>
  <c r="J112" i="443"/>
  <c r="F112" i="443"/>
  <c r="L112" i="443" s="1"/>
  <c r="D112" i="443"/>
  <c r="J111" i="443"/>
  <c r="F111" i="443"/>
  <c r="L111" i="443" s="1"/>
  <c r="J110" i="443"/>
  <c r="F110" i="443"/>
  <c r="L110" i="443" s="1"/>
  <c r="D110" i="443"/>
  <c r="O110" i="443" s="1"/>
  <c r="J107" i="443"/>
  <c r="J106" i="443"/>
  <c r="J105" i="443"/>
  <c r="J104" i="443"/>
  <c r="J103" i="443"/>
  <c r="J102" i="443"/>
  <c r="J101" i="443"/>
  <c r="J100" i="443"/>
  <c r="P99" i="443"/>
  <c r="O99" i="443"/>
  <c r="D99" i="443"/>
  <c r="J98" i="443"/>
  <c r="J97" i="443"/>
  <c r="J96" i="443"/>
  <c r="J95" i="443"/>
  <c r="J94" i="443"/>
  <c r="J93" i="443"/>
  <c r="J92" i="443"/>
  <c r="J91" i="443"/>
  <c r="J90" i="443"/>
  <c r="J89" i="443"/>
  <c r="J88" i="443"/>
  <c r="J87" i="443"/>
  <c r="J86" i="443"/>
  <c r="J85" i="443"/>
  <c r="J84" i="443"/>
  <c r="J83" i="443"/>
  <c r="J82" i="443"/>
  <c r="J81" i="443"/>
  <c r="J80" i="443"/>
  <c r="J79" i="443"/>
  <c r="J78" i="443"/>
  <c r="J77" i="443"/>
  <c r="J76" i="443"/>
  <c r="J75" i="443"/>
  <c r="J74" i="443"/>
  <c r="J73" i="443"/>
  <c r="J72" i="443"/>
  <c r="J71" i="443"/>
  <c r="J70" i="443"/>
  <c r="J69" i="443"/>
  <c r="J68" i="443"/>
  <c r="J67" i="443"/>
  <c r="J66" i="443"/>
  <c r="J65" i="443"/>
  <c r="J64" i="443"/>
  <c r="J63" i="443"/>
  <c r="P62" i="443"/>
  <c r="O62" i="443"/>
  <c r="D62" i="443"/>
  <c r="J61" i="443"/>
  <c r="J60" i="443"/>
  <c r="J59" i="443"/>
  <c r="J58" i="443"/>
  <c r="J57" i="443"/>
  <c r="J56" i="443"/>
  <c r="J55" i="443"/>
  <c r="J54" i="443"/>
  <c r="J53" i="443"/>
  <c r="J52" i="443"/>
  <c r="J51" i="443"/>
  <c r="J50" i="443"/>
  <c r="J49" i="443"/>
  <c r="J48" i="443"/>
  <c r="J47" i="443"/>
  <c r="J46" i="443"/>
  <c r="J45" i="443"/>
  <c r="J44" i="443"/>
  <c r="J43" i="443"/>
  <c r="J42" i="443"/>
  <c r="J41" i="443"/>
  <c r="J40" i="443"/>
  <c r="J39" i="443"/>
  <c r="J38" i="443"/>
  <c r="J37" i="443"/>
  <c r="J36" i="443"/>
  <c r="J35" i="443"/>
  <c r="J34" i="443"/>
  <c r="J33" i="443"/>
  <c r="J32" i="443"/>
  <c r="J31" i="443"/>
  <c r="J30" i="443"/>
  <c r="J29" i="443"/>
  <c r="J28" i="443"/>
  <c r="J27" i="443"/>
  <c r="J26" i="443"/>
  <c r="J25" i="443"/>
  <c r="J24" i="443"/>
  <c r="J23" i="443"/>
  <c r="J22" i="443"/>
  <c r="J21" i="443"/>
  <c r="J20" i="443"/>
  <c r="J19" i="443"/>
  <c r="J18" i="443"/>
  <c r="J17" i="443"/>
  <c r="J16" i="443"/>
  <c r="J15" i="443"/>
  <c r="P14" i="443"/>
  <c r="O14" i="443"/>
  <c r="L14" i="443"/>
  <c r="J14" i="443"/>
  <c r="H14" i="443"/>
  <c r="P13" i="443"/>
  <c r="O13" i="443"/>
  <c r="L13" i="443"/>
  <c r="J13" i="443"/>
  <c r="H13" i="443"/>
  <c r="P12" i="443"/>
  <c r="O12" i="443"/>
  <c r="L12" i="443"/>
  <c r="J12" i="443"/>
  <c r="H12" i="443"/>
  <c r="D11" i="443"/>
  <c r="B9" i="443"/>
  <c r="C9" i="443" s="1"/>
  <c r="D9" i="443" s="1"/>
  <c r="E9" i="443" s="1"/>
  <c r="F9" i="443" s="1"/>
  <c r="G9" i="443" s="1"/>
  <c r="H9" i="443" s="1"/>
  <c r="I9" i="443" s="1"/>
  <c r="J9" i="443" s="1"/>
  <c r="K9" i="443" s="1"/>
  <c r="L9" i="443" s="1"/>
  <c r="M9" i="443" s="1"/>
  <c r="N9" i="443" s="1"/>
  <c r="O9" i="443" s="1"/>
  <c r="P9" i="443" s="1"/>
  <c r="Q9" i="443" s="1"/>
  <c r="R9" i="443" s="1"/>
  <c r="S9" i="443" s="1"/>
  <c r="T9" i="443" s="1"/>
  <c r="U9" i="443" s="1"/>
  <c r="E6" i="443"/>
  <c r="K6" i="443" s="1"/>
  <c r="Q5" i="443"/>
  <c r="F34" i="443" s="1"/>
  <c r="V50" i="442"/>
  <c r="G50" i="442"/>
  <c r="V49" i="442"/>
  <c r="G49" i="442"/>
  <c r="V48" i="442"/>
  <c r="G48" i="442"/>
  <c r="V47" i="442"/>
  <c r="G47" i="442"/>
  <c r="P62" i="442"/>
  <c r="T62" i="442" s="1"/>
  <c r="V62" i="442" s="1"/>
  <c r="G62" i="442"/>
  <c r="V46" i="442"/>
  <c r="G46" i="442"/>
  <c r="V45" i="442"/>
  <c r="G45" i="442"/>
  <c r="V44" i="442"/>
  <c r="G44" i="442"/>
  <c r="V43" i="442"/>
  <c r="G43" i="442"/>
  <c r="G42" i="442"/>
  <c r="V41" i="442"/>
  <c r="G41" i="442"/>
  <c r="V40" i="442"/>
  <c r="G40" i="442"/>
  <c r="G39" i="442"/>
  <c r="V38" i="442"/>
  <c r="G38" i="442"/>
  <c r="V37" i="442"/>
  <c r="G37" i="442"/>
  <c r="V36" i="442"/>
  <c r="G36" i="442"/>
  <c r="V35" i="442"/>
  <c r="G35" i="442"/>
  <c r="V34" i="442"/>
  <c r="G34" i="442"/>
  <c r="V33" i="442"/>
  <c r="G33" i="442"/>
  <c r="V32" i="442"/>
  <c r="G32" i="442"/>
  <c r="V31" i="442"/>
  <c r="G31" i="442"/>
  <c r="V30" i="442"/>
  <c r="G30" i="442"/>
  <c r="V29" i="442"/>
  <c r="G29" i="442"/>
  <c r="G27" i="442"/>
  <c r="V26" i="442"/>
  <c r="G26" i="442"/>
  <c r="V25" i="442"/>
  <c r="G25" i="442"/>
  <c r="V24" i="442"/>
  <c r="G24" i="442"/>
  <c r="V23" i="442"/>
  <c r="G23" i="442"/>
  <c r="V22" i="442"/>
  <c r="G22" i="442"/>
  <c r="V21" i="442"/>
  <c r="G21" i="442"/>
  <c r="V20" i="442"/>
  <c r="G20" i="442"/>
  <c r="V19" i="442"/>
  <c r="G19" i="442"/>
  <c r="V18" i="442"/>
  <c r="G18" i="442"/>
  <c r="V17" i="442"/>
  <c r="G17" i="442"/>
  <c r="V16" i="442"/>
  <c r="M16" i="442"/>
  <c r="G16" i="442"/>
  <c r="V15" i="442"/>
  <c r="G15" i="442"/>
  <c r="V14" i="442"/>
  <c r="G14" i="442"/>
  <c r="V13" i="442"/>
  <c r="G13" i="442"/>
  <c r="V12" i="442"/>
  <c r="G12" i="442"/>
  <c r="V11" i="442"/>
  <c r="G11" i="442"/>
  <c r="V10" i="442"/>
  <c r="G10" i="442"/>
  <c r="V9" i="442"/>
  <c r="G9" i="442"/>
  <c r="G8" i="442"/>
  <c r="N7" i="442"/>
  <c r="J7" i="442"/>
  <c r="I7" i="442"/>
  <c r="H7" i="442"/>
  <c r="L12" i="430"/>
  <c r="R12" i="430" s="1"/>
  <c r="L12" i="422"/>
  <c r="P12" i="422" s="1"/>
  <c r="L10" i="421"/>
  <c r="G13" i="418"/>
  <c r="P11" i="422"/>
  <c r="G11" i="418"/>
  <c r="G12" i="418"/>
  <c r="V109" i="429"/>
  <c r="V110" i="429"/>
  <c r="V111" i="429"/>
  <c r="V112" i="429"/>
  <c r="V113" i="429"/>
  <c r="V114" i="429"/>
  <c r="V115" i="429"/>
  <c r="V116" i="429"/>
  <c r="V117" i="429"/>
  <c r="V118" i="429"/>
  <c r="V119" i="429"/>
  <c r="V120" i="429"/>
  <c r="V121" i="429"/>
  <c r="V122" i="429"/>
  <c r="V123" i="429"/>
  <c r="V124" i="429"/>
  <c r="V125" i="429"/>
  <c r="V126" i="429"/>
  <c r="V127" i="429"/>
  <c r="V128" i="429"/>
  <c r="V129" i="429"/>
  <c r="V130" i="429"/>
  <c r="V131" i="429"/>
  <c r="V132" i="429"/>
  <c r="V133" i="429"/>
  <c r="V134" i="429"/>
  <c r="V135" i="429"/>
  <c r="V136" i="429"/>
  <c r="V137" i="429"/>
  <c r="V138" i="429"/>
  <c r="V139" i="429"/>
  <c r="V140" i="429"/>
  <c r="V141" i="429"/>
  <c r="V142" i="429"/>
  <c r="V143" i="429"/>
  <c r="V144" i="429"/>
  <c r="V145" i="429"/>
  <c r="V146" i="429"/>
  <c r="V147" i="429"/>
  <c r="V148" i="429"/>
  <c r="V149" i="429"/>
  <c r="V150" i="429"/>
  <c r="V151" i="429"/>
  <c r="V152" i="429"/>
  <c r="V153" i="429"/>
  <c r="V154" i="429"/>
  <c r="V155" i="429"/>
  <c r="V156" i="429"/>
  <c r="V157" i="429"/>
  <c r="V158" i="429"/>
  <c r="V159" i="429"/>
  <c r="V160" i="429"/>
  <c r="V161" i="429"/>
  <c r="V162" i="429"/>
  <c r="V164" i="429"/>
  <c r="V165" i="429"/>
  <c r="V166" i="429"/>
  <c r="V167" i="429"/>
  <c r="V168" i="429"/>
  <c r="V169" i="429"/>
  <c r="V170" i="429"/>
  <c r="V171" i="429"/>
  <c r="V172" i="429"/>
  <c r="V173" i="429"/>
  <c r="V174" i="429"/>
  <c r="V175" i="429"/>
  <c r="V176" i="429"/>
  <c r="V177" i="429"/>
  <c r="V178" i="429"/>
  <c r="V179" i="429"/>
  <c r="V180" i="429"/>
  <c r="V181" i="429"/>
  <c r="V182" i="429"/>
  <c r="V183" i="429"/>
  <c r="V184" i="429"/>
  <c r="V185" i="429"/>
  <c r="V186" i="429"/>
  <c r="V187" i="429"/>
  <c r="V188" i="429"/>
  <c r="V189" i="429"/>
  <c r="V190" i="429"/>
  <c r="V191" i="429"/>
  <c r="V192" i="429"/>
  <c r="V193" i="429"/>
  <c r="V194" i="429"/>
  <c r="V195" i="429"/>
  <c r="V196" i="429"/>
  <c r="V197" i="429"/>
  <c r="V198" i="429"/>
  <c r="V199" i="429"/>
  <c r="V200" i="429"/>
  <c r="V201" i="429"/>
  <c r="G9" i="429"/>
  <c r="G10" i="429"/>
  <c r="G11" i="429"/>
  <c r="G12" i="429"/>
  <c r="G13" i="429"/>
  <c r="G14" i="429"/>
  <c r="G15" i="429"/>
  <c r="G16" i="429"/>
  <c r="G17" i="429"/>
  <c r="G18" i="429"/>
  <c r="G19" i="429"/>
  <c r="G20" i="429"/>
  <c r="G21" i="429"/>
  <c r="G22" i="429"/>
  <c r="G23" i="429"/>
  <c r="G24" i="429"/>
  <c r="G25" i="429"/>
  <c r="G26" i="429"/>
  <c r="G27" i="429"/>
  <c r="G28" i="429"/>
  <c r="G29" i="429"/>
  <c r="G30" i="429"/>
  <c r="G31" i="429"/>
  <c r="G32" i="429"/>
  <c r="G33" i="429"/>
  <c r="G34" i="429"/>
  <c r="G35" i="429"/>
  <c r="G36" i="429"/>
  <c r="G37" i="429"/>
  <c r="G38" i="429"/>
  <c r="G39" i="429"/>
  <c r="G40" i="429"/>
  <c r="G41" i="429"/>
  <c r="G42" i="429"/>
  <c r="G43" i="429"/>
  <c r="G44" i="429"/>
  <c r="G45" i="429"/>
  <c r="G46" i="429"/>
  <c r="G47" i="429"/>
  <c r="G48" i="429"/>
  <c r="G49" i="429"/>
  <c r="G50" i="429"/>
  <c r="G51" i="429"/>
  <c r="G52" i="429"/>
  <c r="G53" i="429"/>
  <c r="G54" i="429"/>
  <c r="G55" i="429"/>
  <c r="G56" i="429"/>
  <c r="G57" i="429"/>
  <c r="G58" i="429"/>
  <c r="G59" i="429"/>
  <c r="G60" i="429"/>
  <c r="G61" i="429"/>
  <c r="G62" i="429"/>
  <c r="G63" i="429"/>
  <c r="G64" i="429"/>
  <c r="G65" i="429"/>
  <c r="G66" i="429"/>
  <c r="G67" i="429"/>
  <c r="G68" i="429"/>
  <c r="G69" i="429"/>
  <c r="G70" i="429"/>
  <c r="G71" i="429"/>
  <c r="G72" i="429"/>
  <c r="G73" i="429"/>
  <c r="G74" i="429"/>
  <c r="G75" i="429"/>
  <c r="G76" i="429"/>
  <c r="G77" i="429"/>
  <c r="G78" i="429"/>
  <c r="G79" i="429"/>
  <c r="G80" i="429"/>
  <c r="G81" i="429"/>
  <c r="G82" i="429"/>
  <c r="G83" i="429"/>
  <c r="G84" i="429"/>
  <c r="G85" i="429"/>
  <c r="G86" i="429"/>
  <c r="G87" i="429"/>
  <c r="G88" i="429"/>
  <c r="G89" i="429"/>
  <c r="G90" i="429"/>
  <c r="G91" i="429"/>
  <c r="G92" i="429"/>
  <c r="G93" i="429"/>
  <c r="G94" i="429"/>
  <c r="G95" i="429"/>
  <c r="G96" i="429"/>
  <c r="G97" i="429"/>
  <c r="G98" i="429"/>
  <c r="G99" i="429"/>
  <c r="G100" i="429"/>
  <c r="G101" i="429"/>
  <c r="G102" i="429"/>
  <c r="G103" i="429"/>
  <c r="G104" i="429"/>
  <c r="G105" i="429"/>
  <c r="G106" i="429"/>
  <c r="G107" i="429"/>
  <c r="G108" i="429"/>
  <c r="G109" i="429"/>
  <c r="G110" i="429"/>
  <c r="G111" i="429"/>
  <c r="G112" i="429"/>
  <c r="G113" i="429"/>
  <c r="G114" i="429"/>
  <c r="G115" i="429"/>
  <c r="G116" i="429"/>
  <c r="G117" i="429"/>
  <c r="G118" i="429"/>
  <c r="G119" i="429"/>
  <c r="G120" i="429"/>
  <c r="G121" i="429"/>
  <c r="G122" i="429"/>
  <c r="G123" i="429"/>
  <c r="G124" i="429"/>
  <c r="G125" i="429"/>
  <c r="G126" i="429"/>
  <c r="G127" i="429"/>
  <c r="G128" i="429"/>
  <c r="G129" i="429"/>
  <c r="G130" i="429"/>
  <c r="G131" i="429"/>
  <c r="G132" i="429"/>
  <c r="G133" i="429"/>
  <c r="G134" i="429"/>
  <c r="G135" i="429"/>
  <c r="G136" i="429"/>
  <c r="G137" i="429"/>
  <c r="G138" i="429"/>
  <c r="G139" i="429"/>
  <c r="G140" i="429"/>
  <c r="G141" i="429"/>
  <c r="G142" i="429"/>
  <c r="G143" i="429"/>
  <c r="G144" i="429"/>
  <c r="G145" i="429"/>
  <c r="G146" i="429"/>
  <c r="G147" i="429"/>
  <c r="G148" i="429"/>
  <c r="G149" i="429"/>
  <c r="G150" i="429"/>
  <c r="G151" i="429"/>
  <c r="G152" i="429"/>
  <c r="G153" i="429"/>
  <c r="G154" i="429"/>
  <c r="G155" i="429"/>
  <c r="G156" i="429"/>
  <c r="G157" i="429"/>
  <c r="G158" i="429"/>
  <c r="G159" i="429"/>
  <c r="G160" i="429"/>
  <c r="G161" i="429"/>
  <c r="G162" i="429"/>
  <c r="G163" i="429"/>
  <c r="G164" i="429"/>
  <c r="G165" i="429"/>
  <c r="G166" i="429"/>
  <c r="G167" i="429"/>
  <c r="G168" i="429"/>
  <c r="G169" i="429"/>
  <c r="G170" i="429"/>
  <c r="G171" i="429"/>
  <c r="G172" i="429"/>
  <c r="G173" i="429"/>
  <c r="G174" i="429"/>
  <c r="G175" i="429"/>
  <c r="G176" i="429"/>
  <c r="G177" i="429"/>
  <c r="G178" i="429"/>
  <c r="G179" i="429"/>
  <c r="G180" i="429"/>
  <c r="G181" i="429"/>
  <c r="G182" i="429"/>
  <c r="G183" i="429"/>
  <c r="G184" i="429"/>
  <c r="G185" i="429"/>
  <c r="G186" i="429"/>
  <c r="G187" i="429"/>
  <c r="G188" i="429"/>
  <c r="G189" i="429"/>
  <c r="G190" i="429"/>
  <c r="G191" i="429"/>
  <c r="G192" i="429"/>
  <c r="G193" i="429"/>
  <c r="G194" i="429"/>
  <c r="G195" i="429"/>
  <c r="G196" i="429"/>
  <c r="G197" i="429"/>
  <c r="G198" i="429"/>
  <c r="G199" i="429"/>
  <c r="G200" i="429"/>
  <c r="G201" i="429"/>
  <c r="G8" i="429"/>
  <c r="T12" i="441"/>
  <c r="U9" i="441"/>
  <c r="T186" i="417"/>
  <c r="T190" i="417"/>
  <c r="T191" i="417"/>
  <c r="T193" i="417"/>
  <c r="T194" i="417"/>
  <c r="T198" i="417"/>
  <c r="T199" i="417"/>
  <c r="T201" i="417"/>
  <c r="T202" i="417"/>
  <c r="T203" i="417"/>
  <c r="T188" i="417"/>
  <c r="T189" i="417"/>
  <c r="T192" i="417"/>
  <c r="T195" i="417"/>
  <c r="T196" i="417"/>
  <c r="T197" i="417"/>
  <c r="T200" i="417"/>
  <c r="T204" i="417"/>
  <c r="G10" i="418"/>
  <c r="D12" i="438"/>
  <c r="F12" i="438" s="1"/>
  <c r="F11" i="438"/>
  <c r="F10" i="438"/>
  <c r="C8" i="438"/>
  <c r="C7" i="438"/>
  <c r="C6" i="438"/>
  <c r="C5" i="438"/>
  <c r="C3" i="438"/>
  <c r="G186" i="417"/>
  <c r="G187" i="417"/>
  <c r="G188" i="417"/>
  <c r="G189" i="417"/>
  <c r="G190" i="417"/>
  <c r="G191" i="417"/>
  <c r="G192" i="417"/>
  <c r="G193" i="417"/>
  <c r="G194" i="417"/>
  <c r="G195" i="417"/>
  <c r="G196" i="417"/>
  <c r="G197" i="417"/>
  <c r="G198" i="417"/>
  <c r="G199" i="417"/>
  <c r="G200" i="417"/>
  <c r="G201" i="417"/>
  <c r="G202" i="417"/>
  <c r="G203" i="417"/>
  <c r="G204" i="417"/>
  <c r="G66" i="417"/>
  <c r="G67" i="417"/>
  <c r="G68" i="417"/>
  <c r="G69" i="417"/>
  <c r="G70" i="417"/>
  <c r="G71" i="417"/>
  <c r="G72" i="417"/>
  <c r="G73" i="417"/>
  <c r="G74" i="417"/>
  <c r="G75" i="417"/>
  <c r="G76" i="417"/>
  <c r="G77" i="417"/>
  <c r="G78" i="417"/>
  <c r="G79" i="417"/>
  <c r="G80" i="417"/>
  <c r="G81" i="417"/>
  <c r="G82" i="417"/>
  <c r="G83" i="417"/>
  <c r="G84" i="417"/>
  <c r="G85" i="417"/>
  <c r="G86" i="417"/>
  <c r="G87" i="417"/>
  <c r="G88" i="417"/>
  <c r="G89" i="417"/>
  <c r="G90" i="417"/>
  <c r="G91" i="417"/>
  <c r="G92" i="417"/>
  <c r="G94" i="417"/>
  <c r="G95" i="417"/>
  <c r="G96" i="417"/>
  <c r="G97" i="417"/>
  <c r="G98" i="417"/>
  <c r="G99" i="417"/>
  <c r="G100" i="417"/>
  <c r="G101" i="417"/>
  <c r="G102" i="417"/>
  <c r="G103" i="417"/>
  <c r="G104" i="417"/>
  <c r="G105" i="417"/>
  <c r="G106" i="417"/>
  <c r="G107" i="417"/>
  <c r="G108" i="417"/>
  <c r="G109" i="417"/>
  <c r="G110" i="417"/>
  <c r="G111" i="417"/>
  <c r="G112" i="417"/>
  <c r="G113" i="417"/>
  <c r="G114" i="417"/>
  <c r="G115" i="417"/>
  <c r="G116" i="417"/>
  <c r="G117" i="417"/>
  <c r="G118" i="417"/>
  <c r="G119" i="417"/>
  <c r="G120" i="417"/>
  <c r="G121" i="417"/>
  <c r="G122" i="417"/>
  <c r="G123" i="417"/>
  <c r="G124" i="417"/>
  <c r="G125" i="417"/>
  <c r="G126" i="417"/>
  <c r="G127" i="417"/>
  <c r="G128" i="417"/>
  <c r="G129" i="417"/>
  <c r="G130" i="417"/>
  <c r="G131" i="417"/>
  <c r="G132" i="417"/>
  <c r="G133" i="417"/>
  <c r="G134" i="417"/>
  <c r="G135" i="417"/>
  <c r="G136" i="417"/>
  <c r="G137" i="417"/>
  <c r="G138" i="417"/>
  <c r="G139" i="417"/>
  <c r="G140" i="417"/>
  <c r="G141" i="417"/>
  <c r="G142" i="417"/>
  <c r="G143" i="417"/>
  <c r="G144" i="417"/>
  <c r="G145" i="417"/>
  <c r="G146" i="417"/>
  <c r="G147" i="417"/>
  <c r="G148" i="417"/>
  <c r="G149" i="417"/>
  <c r="G150" i="417"/>
  <c r="G151" i="417"/>
  <c r="G152" i="417"/>
  <c r="G153" i="417"/>
  <c r="G154" i="417"/>
  <c r="G155" i="417"/>
  <c r="G156" i="417"/>
  <c r="G157" i="417"/>
  <c r="G158" i="417"/>
  <c r="G159" i="417"/>
  <c r="G160" i="417"/>
  <c r="G161" i="417"/>
  <c r="G162" i="417"/>
  <c r="G163" i="417"/>
  <c r="G164" i="417"/>
  <c r="G165" i="417"/>
  <c r="G166" i="417"/>
  <c r="G167" i="417"/>
  <c r="G168" i="417"/>
  <c r="G169" i="417"/>
  <c r="G170" i="417"/>
  <c r="G171" i="417"/>
  <c r="G172" i="417"/>
  <c r="G173" i="417"/>
  <c r="G174" i="417"/>
  <c r="G175" i="417"/>
  <c r="G176" i="417"/>
  <c r="G177" i="417"/>
  <c r="G178" i="417"/>
  <c r="G179" i="417"/>
  <c r="G180" i="417"/>
  <c r="G181" i="417"/>
  <c r="G182" i="417"/>
  <c r="G183" i="417"/>
  <c r="G184" i="417"/>
  <c r="G185" i="417"/>
  <c r="G65" i="417"/>
  <c r="G11" i="417"/>
  <c r="G12" i="417"/>
  <c r="G13" i="417"/>
  <c r="G14" i="417"/>
  <c r="G15" i="417"/>
  <c r="G16" i="417"/>
  <c r="G17" i="417"/>
  <c r="G18" i="417"/>
  <c r="G19" i="417"/>
  <c r="G20" i="417"/>
  <c r="G21" i="417"/>
  <c r="G22" i="417"/>
  <c r="G23" i="417"/>
  <c r="G24" i="417"/>
  <c r="G25" i="417"/>
  <c r="G26" i="417"/>
  <c r="G27" i="417"/>
  <c r="G28" i="417"/>
  <c r="G29" i="417"/>
  <c r="G30" i="417"/>
  <c r="G31" i="417"/>
  <c r="G32" i="417"/>
  <c r="G33" i="417"/>
  <c r="G34" i="417"/>
  <c r="G35" i="417"/>
  <c r="G36" i="417"/>
  <c r="G37" i="417"/>
  <c r="G38" i="417"/>
  <c r="G39" i="417"/>
  <c r="G40" i="417"/>
  <c r="G41" i="417"/>
  <c r="G42" i="417"/>
  <c r="G43" i="417"/>
  <c r="G44" i="417"/>
  <c r="G45" i="417"/>
  <c r="G46" i="417"/>
  <c r="G47" i="417"/>
  <c r="G48" i="417"/>
  <c r="G49" i="417"/>
  <c r="G50" i="417"/>
  <c r="G51" i="417"/>
  <c r="G52" i="417"/>
  <c r="G53" i="417"/>
  <c r="G54" i="417"/>
  <c r="G55" i="417"/>
  <c r="G56" i="417"/>
  <c r="G57" i="417"/>
  <c r="G58" i="417"/>
  <c r="G59" i="417"/>
  <c r="G60" i="417"/>
  <c r="G61" i="417"/>
  <c r="G62" i="417"/>
  <c r="G63" i="417"/>
  <c r="G13" i="426"/>
  <c r="G12" i="426"/>
  <c r="G10" i="426"/>
  <c r="G70" i="426"/>
  <c r="G71" i="426"/>
  <c r="G72" i="426"/>
  <c r="G74" i="426"/>
  <c r="G73" i="426"/>
  <c r="G75" i="426"/>
  <c r="G15" i="426"/>
  <c r="G19" i="426"/>
  <c r="G16" i="426"/>
  <c r="G17" i="426"/>
  <c r="G18" i="426"/>
  <c r="G20" i="426"/>
  <c r="G21" i="426"/>
  <c r="G22" i="426"/>
  <c r="G23" i="426"/>
  <c r="G25" i="426"/>
  <c r="G26" i="426"/>
  <c r="G28" i="426"/>
  <c r="G107" i="426"/>
  <c r="G34" i="426"/>
  <c r="G31" i="426"/>
  <c r="G29" i="426"/>
  <c r="G30" i="426"/>
  <c r="G32" i="426"/>
  <c r="G79" i="426"/>
  <c r="G35" i="426"/>
  <c r="G37" i="426"/>
  <c r="G38" i="426"/>
  <c r="G39" i="426"/>
  <c r="G40" i="426"/>
  <c r="G46" i="426"/>
  <c r="G47" i="426"/>
  <c r="G49" i="426"/>
  <c r="G50" i="426"/>
  <c r="G51" i="426"/>
  <c r="G48" i="426"/>
  <c r="G52" i="426"/>
  <c r="G53" i="426"/>
  <c r="G56" i="426"/>
  <c r="G58" i="426"/>
  <c r="G62" i="426"/>
  <c r="G63" i="426"/>
  <c r="G64" i="426"/>
  <c r="G66" i="426"/>
  <c r="G65" i="426"/>
  <c r="G67" i="426"/>
  <c r="G68" i="426"/>
  <c r="G76" i="426"/>
  <c r="G95" i="426"/>
  <c r="G96" i="426"/>
  <c r="G97" i="426"/>
  <c r="G98" i="426"/>
  <c r="G82" i="426"/>
  <c r="G83" i="426"/>
  <c r="G89" i="426"/>
  <c r="G90" i="426"/>
  <c r="G91" i="426"/>
  <c r="G92" i="426"/>
  <c r="G93" i="426"/>
  <c r="G99" i="426"/>
  <c r="G102" i="426"/>
  <c r="G104" i="426"/>
  <c r="G84" i="426"/>
  <c r="G112" i="426"/>
  <c r="G116" i="426"/>
  <c r="G117" i="426"/>
  <c r="G122" i="426"/>
  <c r="G118" i="426"/>
  <c r="G119" i="426"/>
  <c r="G120" i="426"/>
  <c r="G121" i="426"/>
  <c r="G55" i="426"/>
  <c r="G101" i="426"/>
  <c r="G14" i="426"/>
  <c r="G81" i="426"/>
  <c r="G77" i="426"/>
  <c r="G85" i="426"/>
  <c r="G87" i="426"/>
  <c r="G80" i="426"/>
  <c r="G94" i="426"/>
  <c r="G33" i="426"/>
  <c r="G11" i="426"/>
  <c r="E10" i="376"/>
  <c r="F130" i="437"/>
  <c r="P130" i="437" s="1"/>
  <c r="F128" i="437"/>
  <c r="L128" i="437" s="1"/>
  <c r="F116" i="437"/>
  <c r="P116" i="437" s="1"/>
  <c r="F115" i="437"/>
  <c r="P115" i="437" s="1"/>
  <c r="F114" i="437"/>
  <c r="P114" i="437" s="1"/>
  <c r="F113" i="437"/>
  <c r="H113" i="437" s="1"/>
  <c r="F112" i="437"/>
  <c r="P112" i="437" s="1"/>
  <c r="F130" i="377"/>
  <c r="P130" i="377" s="1"/>
  <c r="F128" i="377"/>
  <c r="P128" i="377" s="1"/>
  <c r="F116" i="377"/>
  <c r="F115" i="377"/>
  <c r="F114" i="377"/>
  <c r="P114" i="377" s="1"/>
  <c r="F113" i="377"/>
  <c r="P113" i="377" s="1"/>
  <c r="F112" i="377"/>
  <c r="J130" i="437"/>
  <c r="H130" i="437"/>
  <c r="P129" i="437"/>
  <c r="O129" i="437"/>
  <c r="L129" i="437"/>
  <c r="J129" i="437"/>
  <c r="H129" i="437"/>
  <c r="J128" i="437"/>
  <c r="L127" i="437"/>
  <c r="J127" i="437"/>
  <c r="H127" i="437"/>
  <c r="P126" i="437"/>
  <c r="O126" i="437"/>
  <c r="L126" i="437"/>
  <c r="J126" i="437"/>
  <c r="H126" i="437"/>
  <c r="P125" i="437"/>
  <c r="O125" i="437"/>
  <c r="L125" i="437"/>
  <c r="J125" i="437"/>
  <c r="H125" i="437"/>
  <c r="P124" i="437"/>
  <c r="O124" i="437"/>
  <c r="L124" i="437"/>
  <c r="J124" i="437"/>
  <c r="H124" i="437"/>
  <c r="J123" i="437"/>
  <c r="P122" i="437"/>
  <c r="L122" i="437"/>
  <c r="J122" i="437"/>
  <c r="H122" i="437"/>
  <c r="P121" i="437"/>
  <c r="O121" i="437"/>
  <c r="L121" i="437"/>
  <c r="J121" i="437"/>
  <c r="H121" i="437"/>
  <c r="P120" i="437"/>
  <c r="O120" i="437"/>
  <c r="L120" i="437"/>
  <c r="J120" i="437"/>
  <c r="H120" i="437"/>
  <c r="P119" i="437"/>
  <c r="O119" i="437"/>
  <c r="L119" i="437"/>
  <c r="J119" i="437"/>
  <c r="H119" i="437"/>
  <c r="P118" i="437"/>
  <c r="O118" i="437"/>
  <c r="L118" i="437"/>
  <c r="J118" i="437"/>
  <c r="H118" i="437"/>
  <c r="P117" i="437"/>
  <c r="O117" i="437"/>
  <c r="L117" i="437"/>
  <c r="J117" i="437"/>
  <c r="H117" i="437"/>
  <c r="J116" i="437"/>
  <c r="J115" i="437"/>
  <c r="L114" i="437"/>
  <c r="J114" i="437"/>
  <c r="J113" i="437"/>
  <c r="J112" i="437"/>
  <c r="J109" i="437"/>
  <c r="J108" i="437"/>
  <c r="J107" i="437"/>
  <c r="J106" i="437"/>
  <c r="J105" i="437"/>
  <c r="J104" i="437"/>
  <c r="J103" i="437"/>
  <c r="J102" i="437"/>
  <c r="P101" i="437"/>
  <c r="O101" i="437"/>
  <c r="D101" i="437"/>
  <c r="J100" i="437"/>
  <c r="J99" i="437"/>
  <c r="J98" i="437"/>
  <c r="J97" i="437"/>
  <c r="J96" i="437"/>
  <c r="J95" i="437"/>
  <c r="J94" i="437"/>
  <c r="J93" i="437"/>
  <c r="J92" i="437"/>
  <c r="J91" i="437"/>
  <c r="J90" i="437"/>
  <c r="J89" i="437"/>
  <c r="J88" i="437"/>
  <c r="J87" i="437"/>
  <c r="J86" i="437"/>
  <c r="J85" i="437"/>
  <c r="J84" i="437"/>
  <c r="J83" i="437"/>
  <c r="J82" i="437"/>
  <c r="J81" i="437"/>
  <c r="J80" i="437"/>
  <c r="J79" i="437"/>
  <c r="J78" i="437"/>
  <c r="J77" i="437"/>
  <c r="J76" i="437"/>
  <c r="J75" i="437"/>
  <c r="J74" i="437"/>
  <c r="J73" i="437"/>
  <c r="J72" i="437"/>
  <c r="J71" i="437"/>
  <c r="J70" i="437"/>
  <c r="J69" i="437"/>
  <c r="J68" i="437"/>
  <c r="J67" i="437"/>
  <c r="J66" i="437"/>
  <c r="J65" i="437"/>
  <c r="P64" i="437"/>
  <c r="O64" i="437"/>
  <c r="D64" i="437"/>
  <c r="J63" i="437"/>
  <c r="J62" i="437"/>
  <c r="J61" i="437"/>
  <c r="J60" i="437"/>
  <c r="J59" i="437"/>
  <c r="J58" i="437"/>
  <c r="J57" i="437"/>
  <c r="J56" i="437"/>
  <c r="J55" i="437"/>
  <c r="J54" i="437"/>
  <c r="J53" i="437"/>
  <c r="J52" i="437"/>
  <c r="J51" i="437"/>
  <c r="J50" i="437"/>
  <c r="J49" i="437"/>
  <c r="J48" i="437"/>
  <c r="J47" i="437"/>
  <c r="J46" i="437"/>
  <c r="J45" i="437"/>
  <c r="J44" i="437"/>
  <c r="J43" i="437"/>
  <c r="J42" i="437"/>
  <c r="J41" i="437"/>
  <c r="J40" i="437"/>
  <c r="J39" i="437"/>
  <c r="J38" i="437"/>
  <c r="J37" i="437"/>
  <c r="J36" i="437"/>
  <c r="J35" i="437"/>
  <c r="J34" i="437"/>
  <c r="J33" i="437"/>
  <c r="J32" i="437"/>
  <c r="J31" i="437"/>
  <c r="J30" i="437"/>
  <c r="J29" i="437"/>
  <c r="J28" i="437"/>
  <c r="J27" i="437"/>
  <c r="J26" i="437"/>
  <c r="J25" i="437"/>
  <c r="J24" i="437"/>
  <c r="J23" i="437"/>
  <c r="J22" i="437"/>
  <c r="J21" i="437"/>
  <c r="J20" i="437"/>
  <c r="J19" i="437"/>
  <c r="J18" i="437"/>
  <c r="J17" i="437"/>
  <c r="P16" i="437"/>
  <c r="O16" i="437"/>
  <c r="L16" i="437"/>
  <c r="J16" i="437"/>
  <c r="H16" i="437"/>
  <c r="P15" i="437"/>
  <c r="O15" i="437"/>
  <c r="L15" i="437"/>
  <c r="J15" i="437"/>
  <c r="H15" i="437"/>
  <c r="P14" i="437"/>
  <c r="O14" i="437"/>
  <c r="L14" i="437"/>
  <c r="J14" i="437"/>
  <c r="H14" i="437"/>
  <c r="P13" i="437"/>
  <c r="O13" i="437"/>
  <c r="L13" i="437"/>
  <c r="J13" i="437"/>
  <c r="H13" i="437"/>
  <c r="P12" i="437"/>
  <c r="O12" i="437"/>
  <c r="L12" i="437"/>
  <c r="J12" i="437"/>
  <c r="H12" i="437"/>
  <c r="P11" i="437"/>
  <c r="O11" i="437"/>
  <c r="L11" i="437"/>
  <c r="J11" i="437"/>
  <c r="H11" i="437"/>
  <c r="D10" i="437"/>
  <c r="E6" i="437"/>
  <c r="K6" i="437" s="1"/>
  <c r="Q5" i="437"/>
  <c r="P129" i="379"/>
  <c r="P128" i="379"/>
  <c r="P116" i="379"/>
  <c r="P115" i="379"/>
  <c r="P114" i="379"/>
  <c r="P113" i="379"/>
  <c r="P112" i="379"/>
  <c r="F25" i="437"/>
  <c r="H25" i="437" s="1"/>
  <c r="M127" i="437"/>
  <c r="F43" i="437"/>
  <c r="P130" i="380"/>
  <c r="P128" i="380"/>
  <c r="P116" i="380"/>
  <c r="P115" i="380"/>
  <c r="P114" i="380"/>
  <c r="L113" i="380"/>
  <c r="O11" i="381"/>
  <c r="F17" i="381"/>
  <c r="F10" i="381"/>
  <c r="I9" i="381"/>
  <c r="K9" i="381"/>
  <c r="D10" i="381"/>
  <c r="H14" i="381"/>
  <c r="T187" i="417"/>
  <c r="P122" i="377"/>
  <c r="E11" i="374"/>
  <c r="G11" i="374" s="1"/>
  <c r="I11" i="374" s="1"/>
  <c r="F3" i="431"/>
  <c r="E3" i="431"/>
  <c r="Z12" i="425"/>
  <c r="M12" i="425" s="1"/>
  <c r="S9" i="425"/>
  <c r="M9" i="422"/>
  <c r="M6" i="419"/>
  <c r="M62" i="429"/>
  <c r="M5" i="420"/>
  <c r="T111" i="417"/>
  <c r="M10" i="425"/>
  <c r="Z46" i="411"/>
  <c r="Z45" i="411"/>
  <c r="Z44" i="411"/>
  <c r="Z43" i="411"/>
  <c r="Z42" i="411"/>
  <c r="Z40" i="411"/>
  <c r="Z38" i="411"/>
  <c r="Z37" i="411"/>
  <c r="Z36" i="411"/>
  <c r="Z31" i="411"/>
  <c r="Z21" i="411"/>
  <c r="Z18" i="411"/>
  <c r="Z17" i="411"/>
  <c r="Z14" i="411"/>
  <c r="Z13" i="411"/>
  <c r="Z12" i="411"/>
  <c r="X46" i="411"/>
  <c r="X38" i="411"/>
  <c r="X36" i="411"/>
  <c r="X35" i="411"/>
  <c r="X34" i="411"/>
  <c r="X45" i="411"/>
  <c r="X44" i="411"/>
  <c r="X43" i="411"/>
  <c r="X42" i="411"/>
  <c r="X41" i="411"/>
  <c r="X40" i="411"/>
  <c r="X39" i="411"/>
  <c r="X37" i="411"/>
  <c r="X31" i="411"/>
  <c r="X23" i="411"/>
  <c r="X22" i="411"/>
  <c r="X21" i="411"/>
  <c r="X17" i="411"/>
  <c r="X16" i="411"/>
  <c r="X15" i="411"/>
  <c r="X14" i="411"/>
  <c r="X13" i="411"/>
  <c r="X12" i="411"/>
  <c r="X9" i="411"/>
  <c r="F9" i="417"/>
  <c r="G50" i="420"/>
  <c r="G49" i="420"/>
  <c r="G48" i="420"/>
  <c r="G47" i="420"/>
  <c r="G46" i="420"/>
  <c r="G45" i="420"/>
  <c r="G44" i="420"/>
  <c r="G43" i="420"/>
  <c r="G42" i="420"/>
  <c r="G41" i="420"/>
  <c r="G40" i="420"/>
  <c r="G39" i="420"/>
  <c r="G38" i="420"/>
  <c r="G37" i="420"/>
  <c r="G36" i="420"/>
  <c r="G35" i="420"/>
  <c r="G34" i="420"/>
  <c r="G33" i="420"/>
  <c r="G32" i="420"/>
  <c r="G31" i="420"/>
  <c r="G30" i="420"/>
  <c r="G29" i="420"/>
  <c r="G28" i="420"/>
  <c r="G27" i="420"/>
  <c r="G26" i="420"/>
  <c r="G25" i="420"/>
  <c r="G24" i="420"/>
  <c r="G23" i="420"/>
  <c r="G22" i="420"/>
  <c r="G21" i="420"/>
  <c r="G20" i="420"/>
  <c r="G19" i="420"/>
  <c r="G18" i="420"/>
  <c r="G17" i="420"/>
  <c r="G16" i="420"/>
  <c r="G15" i="420"/>
  <c r="G14" i="420"/>
  <c r="G13" i="420"/>
  <c r="G12" i="420"/>
  <c r="G11" i="420"/>
  <c r="G10" i="420"/>
  <c r="E11" i="420"/>
  <c r="E12" i="420"/>
  <c r="E13" i="420"/>
  <c r="E14" i="420"/>
  <c r="E15" i="420"/>
  <c r="E16" i="420"/>
  <c r="E17" i="420"/>
  <c r="E18" i="420"/>
  <c r="E19" i="420"/>
  <c r="E20" i="420"/>
  <c r="E21" i="420"/>
  <c r="E22" i="420"/>
  <c r="E23" i="420"/>
  <c r="E24" i="420"/>
  <c r="E25" i="420"/>
  <c r="E26" i="420"/>
  <c r="E27" i="420"/>
  <c r="E28" i="420"/>
  <c r="E29" i="420"/>
  <c r="E30" i="420"/>
  <c r="E31" i="420"/>
  <c r="E32" i="420"/>
  <c r="E33" i="420"/>
  <c r="E34" i="420"/>
  <c r="E35" i="420"/>
  <c r="E36" i="420"/>
  <c r="E37" i="420"/>
  <c r="E38" i="420"/>
  <c r="E39" i="420"/>
  <c r="E40" i="420"/>
  <c r="E41" i="420"/>
  <c r="E42" i="420"/>
  <c r="E43" i="420"/>
  <c r="E44" i="420"/>
  <c r="E45" i="420"/>
  <c r="E46" i="420"/>
  <c r="E47" i="420"/>
  <c r="E48" i="420"/>
  <c r="E49" i="420"/>
  <c r="E50" i="420"/>
  <c r="E10" i="420"/>
  <c r="G10" i="421"/>
  <c r="E10" i="421"/>
  <c r="G12" i="422"/>
  <c r="G11" i="422"/>
  <c r="G10" i="422"/>
  <c r="E11" i="422"/>
  <c r="E12" i="422"/>
  <c r="E10" i="422"/>
  <c r="AD299" i="412"/>
  <c r="AD298" i="412"/>
  <c r="AD297" i="412"/>
  <c r="AD292" i="412"/>
  <c r="AD291" i="412"/>
  <c r="AD290" i="412"/>
  <c r="AD288" i="412"/>
  <c r="AD287" i="412"/>
  <c r="AD285" i="412"/>
  <c r="AD283" i="412"/>
  <c r="AD282" i="412"/>
  <c r="AD279" i="412"/>
  <c r="AD275" i="412"/>
  <c r="AD272" i="412"/>
  <c r="AD271" i="412"/>
  <c r="AD270" i="412"/>
  <c r="AD268" i="412"/>
  <c r="AD267" i="412"/>
  <c r="AD262" i="412"/>
  <c r="AD258" i="412"/>
  <c r="AD257" i="412"/>
  <c r="AD256" i="412"/>
  <c r="AD255" i="412"/>
  <c r="AD250" i="412"/>
  <c r="AD249" i="412"/>
  <c r="AD246" i="412"/>
  <c r="AD245" i="412"/>
  <c r="AD244" i="412"/>
  <c r="AD238" i="412"/>
  <c r="AD237" i="412"/>
  <c r="AD230" i="412"/>
  <c r="AD228" i="412"/>
  <c r="AD219" i="412"/>
  <c r="AD216" i="412"/>
  <c r="AD211" i="412"/>
  <c r="AD209" i="412"/>
  <c r="AD208" i="412"/>
  <c r="AD207" i="412"/>
  <c r="AD203" i="412"/>
  <c r="AD200" i="412"/>
  <c r="AD199" i="412"/>
  <c r="AD194" i="412"/>
  <c r="AD193" i="412"/>
  <c r="AD192" i="412"/>
  <c r="AD190" i="412"/>
  <c r="AD188" i="412"/>
  <c r="AD186" i="412"/>
  <c r="AD185" i="412"/>
  <c r="AD183" i="412"/>
  <c r="AD182" i="412"/>
  <c r="AD180" i="412"/>
  <c r="AD173" i="412"/>
  <c r="AD172" i="412"/>
  <c r="AD169" i="412"/>
  <c r="AD166" i="412"/>
  <c r="AD164" i="412"/>
  <c r="AD163" i="412"/>
  <c r="AD161" i="412"/>
  <c r="AD155" i="412"/>
  <c r="AD154" i="412"/>
  <c r="AD150" i="412"/>
  <c r="AD145" i="412"/>
  <c r="AD131" i="412"/>
  <c r="AD130" i="412"/>
  <c r="AD129" i="412"/>
  <c r="AD127" i="412"/>
  <c r="AD126" i="412"/>
  <c r="AD125" i="412"/>
  <c r="AD124" i="412"/>
  <c r="AD123" i="412"/>
  <c r="AD119" i="412"/>
  <c r="AD118" i="412"/>
  <c r="AD113" i="412"/>
  <c r="AD108" i="412"/>
  <c r="AD107" i="412"/>
  <c r="AD103" i="412"/>
  <c r="AD102" i="412"/>
  <c r="AD101" i="412"/>
  <c r="AD100" i="412"/>
  <c r="AD99" i="412"/>
  <c r="AD89" i="412"/>
  <c r="AD93" i="412"/>
  <c r="AD92" i="412"/>
  <c r="AD81" i="412"/>
  <c r="AD76" i="412"/>
  <c r="AD75" i="412"/>
  <c r="AD74" i="412"/>
  <c r="AD71" i="412"/>
  <c r="AD66" i="412"/>
  <c r="AD64" i="412"/>
  <c r="AD63" i="412"/>
  <c r="AD62" i="412"/>
  <c r="AD61" i="412"/>
  <c r="AD55" i="412"/>
  <c r="AD54" i="412"/>
  <c r="AD53" i="412"/>
  <c r="AD43" i="412"/>
  <c r="AD39" i="412"/>
  <c r="AD25" i="412"/>
  <c r="AD24" i="412"/>
  <c r="AD23" i="412"/>
  <c r="AD22" i="412"/>
  <c r="AD21" i="412"/>
  <c r="AD20" i="412"/>
  <c r="AD19" i="412"/>
  <c r="AD17" i="412"/>
  <c r="AD307" i="412"/>
  <c r="AD259" i="412"/>
  <c r="AD212" i="412"/>
  <c r="AD121" i="412"/>
  <c r="AD95" i="412"/>
  <c r="V46" i="411"/>
  <c r="V45" i="411"/>
  <c r="V44" i="411"/>
  <c r="V43" i="411"/>
  <c r="V42" i="411"/>
  <c r="V41" i="411"/>
  <c r="V40" i="411"/>
  <c r="V39" i="411"/>
  <c r="V38" i="411"/>
  <c r="V37" i="411"/>
  <c r="V36" i="411"/>
  <c r="V35" i="411"/>
  <c r="V34" i="411"/>
  <c r="V33" i="411"/>
  <c r="V32" i="411"/>
  <c r="V31" i="411"/>
  <c r="V29" i="411"/>
  <c r="V24" i="411"/>
  <c r="V25" i="411"/>
  <c r="V23" i="411"/>
  <c r="V21" i="411"/>
  <c r="V18" i="411"/>
  <c r="V17" i="411"/>
  <c r="V14" i="411"/>
  <c r="V13" i="411"/>
  <c r="V12" i="411"/>
  <c r="V9" i="411"/>
  <c r="V30" i="411"/>
  <c r="V28" i="411"/>
  <c r="V27" i="411"/>
  <c r="V26" i="411"/>
  <c r="V20" i="411"/>
  <c r="V19" i="411"/>
  <c r="U10" i="411"/>
  <c r="W10" i="411" s="1"/>
  <c r="U11" i="411"/>
  <c r="Y11" i="411" s="1"/>
  <c r="U12" i="411"/>
  <c r="U13" i="411"/>
  <c r="AA13" i="411" s="1"/>
  <c r="U14" i="411"/>
  <c r="U15" i="411"/>
  <c r="U16" i="411"/>
  <c r="U17" i="411"/>
  <c r="U18" i="411"/>
  <c r="U19" i="411"/>
  <c r="U20" i="411"/>
  <c r="AA20" i="411" s="1"/>
  <c r="U21" i="411"/>
  <c r="U22" i="411"/>
  <c r="Y22" i="411" s="1"/>
  <c r="U23" i="411"/>
  <c r="U24" i="411"/>
  <c r="Y24" i="411" s="1"/>
  <c r="U25" i="411"/>
  <c r="Y25" i="411" s="1"/>
  <c r="U26" i="411"/>
  <c r="Y26" i="411" s="1"/>
  <c r="U27" i="411"/>
  <c r="Y27" i="411" s="1"/>
  <c r="U28" i="411"/>
  <c r="Y28" i="411" s="1"/>
  <c r="U29" i="411"/>
  <c r="U30" i="411"/>
  <c r="U31" i="411"/>
  <c r="U32" i="411"/>
  <c r="U9" i="411"/>
  <c r="AB21" i="412"/>
  <c r="AB27" i="412"/>
  <c r="AB26" i="412"/>
  <c r="AB25" i="412"/>
  <c r="AB24" i="412"/>
  <c r="AB23" i="412"/>
  <c r="AB22" i="412"/>
  <c r="AB20" i="412"/>
  <c r="AB19" i="412"/>
  <c r="AB18" i="412"/>
  <c r="AB17" i="412"/>
  <c r="AB16" i="412"/>
  <c r="AB15" i="412"/>
  <c r="AB14" i="412"/>
  <c r="AB13" i="412"/>
  <c r="X295" i="412"/>
  <c r="X296" i="412"/>
  <c r="Z259" i="412"/>
  <c r="Z258" i="412"/>
  <c r="Z257" i="412"/>
  <c r="Z256" i="412"/>
  <c r="X253" i="412"/>
  <c r="Y253" i="412" s="1"/>
  <c r="AA253" i="412" s="1"/>
  <c r="Z213" i="412"/>
  <c r="J181" i="412"/>
  <c r="X181" i="412" s="1"/>
  <c r="Y181" i="412" s="1"/>
  <c r="AA181" i="412" s="1"/>
  <c r="Z163" i="412"/>
  <c r="Z162" i="412"/>
  <c r="Z161" i="412"/>
  <c r="X160" i="412"/>
  <c r="Y160" i="412" s="1"/>
  <c r="Z160" i="412"/>
  <c r="Z149" i="412"/>
  <c r="Z145" i="412"/>
  <c r="Z144" i="412"/>
  <c r="Z141" i="412"/>
  <c r="Z140" i="412"/>
  <c r="Z139" i="412"/>
  <c r="Z138" i="412"/>
  <c r="Z137" i="412"/>
  <c r="Z136" i="412"/>
  <c r="Z134" i="412"/>
  <c r="Z131" i="412"/>
  <c r="Z130" i="412"/>
  <c r="Z129" i="412"/>
  <c r="Z128" i="412"/>
  <c r="Z127" i="412"/>
  <c r="Z126" i="412"/>
  <c r="Z125" i="412"/>
  <c r="Z124" i="412"/>
  <c r="Z123" i="412"/>
  <c r="Z119" i="412"/>
  <c r="Z118" i="412"/>
  <c r="Z109" i="412"/>
  <c r="Z108" i="412"/>
  <c r="Z103" i="412"/>
  <c r="Z102" i="412"/>
  <c r="Z101" i="412"/>
  <c r="Z100" i="412"/>
  <c r="Z99" i="412"/>
  <c r="Z94" i="412"/>
  <c r="Z93" i="412"/>
  <c r="Z92" i="412"/>
  <c r="Z91" i="412"/>
  <c r="Z87" i="412"/>
  <c r="Z85" i="412"/>
  <c r="Z84" i="412"/>
  <c r="Z82" i="412"/>
  <c r="Z81" i="412"/>
  <c r="Z78" i="412"/>
  <c r="Z76" i="412"/>
  <c r="Z75" i="412"/>
  <c r="Z74" i="412"/>
  <c r="Z71" i="412"/>
  <c r="Z70" i="412"/>
  <c r="Z69" i="412"/>
  <c r="Z67" i="412"/>
  <c r="Z66" i="412"/>
  <c r="Z65" i="412"/>
  <c r="Z64" i="412"/>
  <c r="Z63" i="412"/>
  <c r="Z62" i="412"/>
  <c r="Z61" i="412"/>
  <c r="Z55" i="412"/>
  <c r="AA17" i="412"/>
  <c r="Y296" i="412"/>
  <c r="AA296" i="412" s="1"/>
  <c r="X28" i="412"/>
  <c r="X29" i="412"/>
  <c r="AE29" i="412" s="1"/>
  <c r="X32" i="412"/>
  <c r="Y32" i="412" s="1"/>
  <c r="AA32" i="412" s="1"/>
  <c r="X37" i="412"/>
  <c r="AC37" i="412" s="1"/>
  <c r="X44" i="412"/>
  <c r="X46" i="412"/>
  <c r="Y46" i="412" s="1"/>
  <c r="AA46" i="412" s="1"/>
  <c r="X47" i="412"/>
  <c r="Y47" i="412" s="1"/>
  <c r="AA47" i="412" s="1"/>
  <c r="X48" i="412"/>
  <c r="Y48" i="412" s="1"/>
  <c r="AA48" i="412" s="1"/>
  <c r="X49" i="412"/>
  <c r="Y49" i="412" s="1"/>
  <c r="AA49" i="412" s="1"/>
  <c r="X50" i="412"/>
  <c r="Y50" i="412" s="1"/>
  <c r="AA50" i="412" s="1"/>
  <c r="X51" i="412"/>
  <c r="Y51" i="412" s="1"/>
  <c r="AA51" i="412" s="1"/>
  <c r="X56" i="412"/>
  <c r="X57" i="412"/>
  <c r="AE57" i="412" s="1"/>
  <c r="X58" i="412"/>
  <c r="X68" i="412"/>
  <c r="Y68" i="412" s="1"/>
  <c r="X77" i="412"/>
  <c r="X79" i="412"/>
  <c r="AE79" i="412" s="1"/>
  <c r="X80" i="412"/>
  <c r="X82" i="412"/>
  <c r="Y82" i="412" s="1"/>
  <c r="X83" i="412"/>
  <c r="Y83" i="412" s="1"/>
  <c r="AA83" i="412" s="1"/>
  <c r="X84" i="412"/>
  <c r="Y84" i="412" s="1"/>
  <c r="X85" i="412"/>
  <c r="Y85" i="412" s="1"/>
  <c r="X86" i="412"/>
  <c r="Y86" i="412" s="1"/>
  <c r="AA86" i="412" s="1"/>
  <c r="X87" i="412"/>
  <c r="Y87" i="412" s="1"/>
  <c r="X88" i="412"/>
  <c r="X90" i="412"/>
  <c r="AE90" i="412" s="1"/>
  <c r="X95" i="412"/>
  <c r="AC95" i="412" s="1"/>
  <c r="X110" i="412"/>
  <c r="AC110" i="412" s="1"/>
  <c r="X111" i="412"/>
  <c r="AC111" i="412" s="1"/>
  <c r="X114" i="412"/>
  <c r="AE114" i="412" s="1"/>
  <c r="X121" i="412"/>
  <c r="AC121" i="412" s="1"/>
  <c r="X133" i="412"/>
  <c r="Y133" i="412" s="1"/>
  <c r="AA133" i="412" s="1"/>
  <c r="X135" i="412"/>
  <c r="AC135" i="412" s="1"/>
  <c r="X165" i="412"/>
  <c r="AE165" i="412" s="1"/>
  <c r="X171" i="412"/>
  <c r="AE171" i="412" s="1"/>
  <c r="X174" i="412"/>
  <c r="AE174" i="412" s="1"/>
  <c r="X179" i="412"/>
  <c r="AE179" i="412" s="1"/>
  <c r="X187" i="412"/>
  <c r="AE187" i="412" s="1"/>
  <c r="X189" i="412"/>
  <c r="AE189" i="412" s="1"/>
  <c r="X191" i="412"/>
  <c r="AE191" i="412" s="1"/>
  <c r="X215" i="412"/>
  <c r="X218" i="412"/>
  <c r="X220" i="412"/>
  <c r="X221" i="412"/>
  <c r="AE221" i="412" s="1"/>
  <c r="X222" i="412"/>
  <c r="AC222" i="412" s="1"/>
  <c r="X223" i="412"/>
  <c r="AE223" i="412" s="1"/>
  <c r="X248" i="412"/>
  <c r="X249" i="412"/>
  <c r="AE249" i="412" s="1"/>
  <c r="X251" i="412"/>
  <c r="AE251" i="412" s="1"/>
  <c r="X252" i="412"/>
  <c r="AE252" i="412" s="1"/>
  <c r="X254" i="412"/>
  <c r="AE254" i="412" s="1"/>
  <c r="X260" i="412"/>
  <c r="Y260" i="412" s="1"/>
  <c r="AA260" i="412" s="1"/>
  <c r="X263" i="412"/>
  <c r="AE263" i="412" s="1"/>
  <c r="X264" i="412"/>
  <c r="AE264" i="412" s="1"/>
  <c r="X273" i="412"/>
  <c r="AE273" i="412" s="1"/>
  <c r="X274" i="412"/>
  <c r="AE274" i="412" s="1"/>
  <c r="X277" i="412"/>
  <c r="AE277" i="412" s="1"/>
  <c r="X278" i="412"/>
  <c r="AE278" i="412" s="1"/>
  <c r="X280" i="412"/>
  <c r="AE280" i="412" s="1"/>
  <c r="X281" i="412"/>
  <c r="AE281" i="412" s="1"/>
  <c r="X285" i="412"/>
  <c r="Y285" i="412" s="1"/>
  <c r="AA285" i="412" s="1"/>
  <c r="X300" i="412"/>
  <c r="Y300" i="412" s="1"/>
  <c r="X301" i="412"/>
  <c r="Y301" i="412" s="1"/>
  <c r="AA301" i="412" s="1"/>
  <c r="X302" i="412"/>
  <c r="Y302" i="412" s="1"/>
  <c r="AA302" i="412" s="1"/>
  <c r="X303" i="412"/>
  <c r="X304" i="412"/>
  <c r="Y304" i="412" s="1"/>
  <c r="AA304" i="412" s="1"/>
  <c r="X305" i="412"/>
  <c r="Y305" i="412" s="1"/>
  <c r="AA305" i="412" s="1"/>
  <c r="X11" i="412"/>
  <c r="Y11" i="412" s="1"/>
  <c r="AC11" i="412" s="1"/>
  <c r="Z307" i="412"/>
  <c r="Z306" i="412"/>
  <c r="Z300" i="412"/>
  <c r="Z280" i="412"/>
  <c r="Z274" i="412"/>
  <c r="Z273" i="412"/>
  <c r="Z264" i="412"/>
  <c r="Z263" i="412"/>
  <c r="Z254" i="412"/>
  <c r="Z251" i="412"/>
  <c r="Z223" i="412"/>
  <c r="Z221" i="412"/>
  <c r="Z220" i="412"/>
  <c r="Z189" i="412"/>
  <c r="Z187" i="412"/>
  <c r="Z135" i="412"/>
  <c r="Z121" i="412"/>
  <c r="Z116" i="412"/>
  <c r="Z111" i="412"/>
  <c r="Z95" i="412"/>
  <c r="Z88" i="412"/>
  <c r="Z77" i="412"/>
  <c r="Z68" i="412"/>
  <c r="Z56" i="412"/>
  <c r="Z53" i="412"/>
  <c r="Z52" i="412"/>
  <c r="Z45" i="412"/>
  <c r="Z43" i="412"/>
  <c r="Z42" i="412"/>
  <c r="Z41" i="412"/>
  <c r="Z40" i="412"/>
  <c r="Z39" i="412"/>
  <c r="Z38" i="412"/>
  <c r="Z36" i="412"/>
  <c r="Z35" i="412"/>
  <c r="Z34" i="412"/>
  <c r="Z33" i="412"/>
  <c r="Z31" i="412"/>
  <c r="Z30" i="412"/>
  <c r="Z27" i="412"/>
  <c r="Z26" i="412"/>
  <c r="Z25" i="412"/>
  <c r="Z24" i="412"/>
  <c r="Z23" i="412"/>
  <c r="Z22" i="412"/>
  <c r="Z21" i="412"/>
  <c r="Z20" i="412"/>
  <c r="Z19" i="412"/>
  <c r="Z18" i="412"/>
  <c r="Z16" i="412"/>
  <c r="Z15" i="412"/>
  <c r="Z14" i="412"/>
  <c r="Z13" i="412"/>
  <c r="G64" i="417"/>
  <c r="W34" i="410"/>
  <c r="W33" i="410"/>
  <c r="W32" i="410"/>
  <c r="W31" i="410"/>
  <c r="W28" i="410"/>
  <c r="W29" i="410"/>
  <c r="W26" i="410"/>
  <c r="W24" i="410"/>
  <c r="W22" i="410"/>
  <c r="X23" i="410"/>
  <c r="W21" i="410"/>
  <c r="W19" i="410"/>
  <c r="W20" i="410"/>
  <c r="W17" i="410"/>
  <c r="W14" i="410"/>
  <c r="W16" i="410"/>
  <c r="W12" i="410"/>
  <c r="U33" i="410"/>
  <c r="U32" i="410"/>
  <c r="U31" i="410"/>
  <c r="U28" i="410"/>
  <c r="U21" i="410"/>
  <c r="V23" i="410"/>
  <c r="U17" i="410"/>
  <c r="U14" i="410"/>
  <c r="U16" i="410"/>
  <c r="U12" i="410"/>
  <c r="S33" i="410"/>
  <c r="S32" i="410"/>
  <c r="S31" i="410"/>
  <c r="S30" i="410"/>
  <c r="S28" i="410"/>
  <c r="S25" i="410"/>
  <c r="S21" i="410"/>
  <c r="S18" i="410"/>
  <c r="S17" i="410"/>
  <c r="S16" i="410"/>
  <c r="T23" i="410"/>
  <c r="S12" i="410"/>
  <c r="Q33" i="410"/>
  <c r="Q32" i="410"/>
  <c r="Q31" i="410"/>
  <c r="Q28" i="410"/>
  <c r="Q26" i="410"/>
  <c r="Q25" i="410"/>
  <c r="Q21" i="410"/>
  <c r="Q16" i="410"/>
  <c r="R23" i="410"/>
  <c r="R35" i="410"/>
  <c r="Q37" i="410"/>
  <c r="R37" i="410" s="1"/>
  <c r="Q36" i="410"/>
  <c r="R36" i="410" s="1"/>
  <c r="Q18" i="410"/>
  <c r="Q12" i="410"/>
  <c r="O34" i="410"/>
  <c r="O33" i="410"/>
  <c r="O32" i="410"/>
  <c r="O31" i="410"/>
  <c r="O30" i="410"/>
  <c r="O29" i="410"/>
  <c r="O28" i="410"/>
  <c r="O26" i="410"/>
  <c r="O25" i="410"/>
  <c r="P35" i="410"/>
  <c r="P36" i="410"/>
  <c r="P37" i="410"/>
  <c r="P38" i="410"/>
  <c r="P39" i="410"/>
  <c r="P40" i="410"/>
  <c r="O24" i="410"/>
  <c r="O22" i="410"/>
  <c r="O21" i="410"/>
  <c r="O16" i="410"/>
  <c r="O15" i="410"/>
  <c r="M13" i="410"/>
  <c r="N13" i="410" s="1"/>
  <c r="P13" i="410" s="1"/>
  <c r="M14" i="410"/>
  <c r="N14" i="410" s="1"/>
  <c r="P14" i="410" s="1"/>
  <c r="M15" i="410"/>
  <c r="N15" i="410" s="1"/>
  <c r="M17" i="410"/>
  <c r="N17" i="410" s="1"/>
  <c r="M20" i="410"/>
  <c r="N20" i="410" s="1"/>
  <c r="M35" i="410"/>
  <c r="M36" i="410"/>
  <c r="M37" i="410"/>
  <c r="M12" i="410"/>
  <c r="N12" i="410" s="1"/>
  <c r="M11" i="425"/>
  <c r="M16" i="425"/>
  <c r="M13" i="425"/>
  <c r="Q14" i="408"/>
  <c r="Q12" i="408"/>
  <c r="M16" i="429"/>
  <c r="N7" i="429"/>
  <c r="J7" i="429"/>
  <c r="I7" i="429"/>
  <c r="H7" i="429"/>
  <c r="F9" i="428"/>
  <c r="V14" i="426"/>
  <c r="V116" i="426"/>
  <c r="V102" i="426"/>
  <c r="V91" i="426"/>
  <c r="V97" i="426"/>
  <c r="V95" i="426"/>
  <c r="V67" i="426"/>
  <c r="V64" i="426"/>
  <c r="V63" i="426"/>
  <c r="V47" i="426"/>
  <c r="V37" i="426"/>
  <c r="V79" i="426"/>
  <c r="V31" i="426"/>
  <c r="V26" i="426"/>
  <c r="V23" i="426"/>
  <c r="V18" i="426"/>
  <c r="V15" i="426"/>
  <c r="V72" i="426"/>
  <c r="V12" i="426"/>
  <c r="Y16" i="425"/>
  <c r="Z16" i="425" s="1"/>
  <c r="AA16" i="425" s="1"/>
  <c r="Q16" i="425"/>
  <c r="P16" i="425"/>
  <c r="Q15" i="425"/>
  <c r="P15" i="425"/>
  <c r="Y14" i="425"/>
  <c r="Z14" i="425" s="1"/>
  <c r="AA14" i="425" s="1"/>
  <c r="Q14" i="425"/>
  <c r="P14" i="425"/>
  <c r="Y13" i="425"/>
  <c r="Z13" i="425" s="1"/>
  <c r="AA13" i="425" s="1"/>
  <c r="Q13" i="425"/>
  <c r="P13" i="425"/>
  <c r="Q12" i="425"/>
  <c r="P12" i="425"/>
  <c r="AJ11" i="425"/>
  <c r="AK11" i="425" s="1"/>
  <c r="AL11" i="425" s="1"/>
  <c r="AG11" i="425"/>
  <c r="AF11" i="425"/>
  <c r="AC11" i="425"/>
  <c r="AB11" i="425"/>
  <c r="Q11" i="425"/>
  <c r="P11" i="425"/>
  <c r="W10" i="425"/>
  <c r="Q10" i="425"/>
  <c r="P10" i="425"/>
  <c r="P18" i="424"/>
  <c r="P17" i="424"/>
  <c r="P16" i="424"/>
  <c r="R16" i="424" s="1"/>
  <c r="P15" i="424"/>
  <c r="P13" i="424"/>
  <c r="R13" i="424" s="1"/>
  <c r="T13" i="424" s="1"/>
  <c r="P12" i="424"/>
  <c r="R12" i="424" s="1"/>
  <c r="P11" i="424"/>
  <c r="R11" i="424" s="1"/>
  <c r="T11" i="424" s="1"/>
  <c r="P10" i="424"/>
  <c r="R10" i="424" s="1"/>
  <c r="E9" i="424"/>
  <c r="O9" i="424"/>
  <c r="N9" i="424"/>
  <c r="H9" i="424"/>
  <c r="G9" i="424"/>
  <c r="F9" i="424"/>
  <c r="P10" i="422"/>
  <c r="V34" i="420"/>
  <c r="P18" i="419"/>
  <c r="R18" i="419" s="1"/>
  <c r="P17" i="419"/>
  <c r="P16" i="419"/>
  <c r="R16" i="419" s="1"/>
  <c r="P14" i="419"/>
  <c r="R14" i="419" s="1"/>
  <c r="P13" i="419"/>
  <c r="R13" i="419" s="1"/>
  <c r="T13" i="419" s="1"/>
  <c r="P12" i="419"/>
  <c r="R12" i="419" s="1"/>
  <c r="P11" i="419"/>
  <c r="R11" i="419" s="1"/>
  <c r="T11" i="419" s="1"/>
  <c r="P10" i="419"/>
  <c r="R10" i="419" s="1"/>
  <c r="E9" i="419"/>
  <c r="G9" i="419"/>
  <c r="F9" i="419"/>
  <c r="T179" i="417"/>
  <c r="T176" i="417"/>
  <c r="T173" i="417"/>
  <c r="T172" i="417"/>
  <c r="T167" i="417"/>
  <c r="T164" i="417"/>
  <c r="T155" i="417"/>
  <c r="T151" i="417"/>
  <c r="T148" i="417"/>
  <c r="T136" i="417"/>
  <c r="T135" i="417"/>
  <c r="T133" i="417"/>
  <c r="T145" i="417"/>
  <c r="T141" i="417"/>
  <c r="T129" i="417"/>
  <c r="T121" i="417"/>
  <c r="T109" i="417"/>
  <c r="T102" i="417"/>
  <c r="T101" i="417"/>
  <c r="T97" i="417"/>
  <c r="T92" i="417"/>
  <c r="T86" i="417"/>
  <c r="T85" i="417"/>
  <c r="T82" i="417"/>
  <c r="T81" i="417"/>
  <c r="T80" i="417"/>
  <c r="T77" i="417"/>
  <c r="T73" i="417"/>
  <c r="T69" i="417"/>
  <c r="T65" i="417"/>
  <c r="T62" i="417"/>
  <c r="T61" i="417"/>
  <c r="T59" i="417"/>
  <c r="T53" i="417"/>
  <c r="T52" i="417"/>
  <c r="T48" i="417"/>
  <c r="T46" i="417"/>
  <c r="T43" i="417"/>
  <c r="T42" i="417"/>
  <c r="T31" i="417"/>
  <c r="T29" i="417"/>
  <c r="T25" i="417"/>
  <c r="T21" i="417"/>
  <c r="T17" i="417"/>
  <c r="T13" i="417"/>
  <c r="T11" i="417"/>
  <c r="F14" i="416"/>
  <c r="E26" i="414"/>
  <c r="F26" i="414" s="1"/>
  <c r="E25" i="414"/>
  <c r="D25" i="414"/>
  <c r="E24" i="414"/>
  <c r="D24" i="414"/>
  <c r="E22" i="414"/>
  <c r="F22" i="414" s="1"/>
  <c r="D21" i="414"/>
  <c r="E21" i="414"/>
  <c r="E20" i="414"/>
  <c r="D20" i="414"/>
  <c r="E17" i="414"/>
  <c r="F17" i="414" s="1"/>
  <c r="E16" i="414"/>
  <c r="D16" i="414"/>
  <c r="E15" i="414"/>
  <c r="D15" i="414"/>
  <c r="E12" i="414"/>
  <c r="F12" i="414" s="1"/>
  <c r="E7" i="414"/>
  <c r="F7" i="414" s="1"/>
  <c r="E11" i="414"/>
  <c r="D11" i="414"/>
  <c r="AH18" i="407"/>
  <c r="E10" i="414"/>
  <c r="D10" i="414"/>
  <c r="E6" i="414"/>
  <c r="D6" i="414"/>
  <c r="E5" i="414"/>
  <c r="D5" i="414"/>
  <c r="F5" i="414" s="1"/>
  <c r="Z15" i="405"/>
  <c r="AA18" i="408"/>
  <c r="M18" i="408" s="1"/>
  <c r="Y23" i="413"/>
  <c r="M23" i="413" s="1"/>
  <c r="Y23" i="407"/>
  <c r="M23" i="407" s="1"/>
  <c r="U31" i="407"/>
  <c r="V107" i="413"/>
  <c r="Q107" i="413"/>
  <c r="P107" i="413"/>
  <c r="V106" i="413"/>
  <c r="Q106" i="413"/>
  <c r="P106" i="413"/>
  <c r="V105" i="413"/>
  <c r="Q105" i="413"/>
  <c r="P105" i="413"/>
  <c r="V104" i="413"/>
  <c r="Q104" i="413"/>
  <c r="P104" i="413"/>
  <c r="R103" i="413"/>
  <c r="S103" i="413" s="1"/>
  <c r="R102" i="413"/>
  <c r="Q101" i="413"/>
  <c r="P101" i="413"/>
  <c r="Q100" i="413"/>
  <c r="P100" i="413"/>
  <c r="P99" i="413"/>
  <c r="Q98" i="413"/>
  <c r="P98" i="413"/>
  <c r="P97" i="413"/>
  <c r="R97" i="413" s="1"/>
  <c r="P96" i="413"/>
  <c r="R96" i="413" s="1"/>
  <c r="Y78" i="413"/>
  <c r="Z78" i="413" s="1"/>
  <c r="W78" i="413"/>
  <c r="X78" i="413" s="1"/>
  <c r="U73" i="413"/>
  <c r="U71" i="413"/>
  <c r="U69" i="413"/>
  <c r="U68" i="413"/>
  <c r="Y45" i="413"/>
  <c r="Z45" i="413" s="1"/>
  <c r="AA45" i="413" s="1"/>
  <c r="V45" i="413"/>
  <c r="W45" i="413" s="1"/>
  <c r="X45" i="413" s="1"/>
  <c r="U44" i="413"/>
  <c r="P40" i="413"/>
  <c r="R40" i="413" s="1"/>
  <c r="AB38" i="413"/>
  <c r="AD38" i="413" s="1"/>
  <c r="AF38" i="413" s="1"/>
  <c r="M38" i="413" s="1"/>
  <c r="AA38" i="413"/>
  <c r="AC38" i="413" s="1"/>
  <c r="AE38" i="413" s="1"/>
  <c r="Q38" i="413"/>
  <c r="P38" i="413"/>
  <c r="Q37" i="413"/>
  <c r="P37" i="413"/>
  <c r="AB36" i="413"/>
  <c r="AD36" i="413" s="1"/>
  <c r="AF36" i="413" s="1"/>
  <c r="M36" i="413" s="1"/>
  <c r="AA36" i="413"/>
  <c r="AC36" i="413" s="1"/>
  <c r="AE36" i="413" s="1"/>
  <c r="Q36" i="413"/>
  <c r="P36" i="413"/>
  <c r="Q33" i="413"/>
  <c r="P33" i="413"/>
  <c r="P32" i="413"/>
  <c r="R32" i="413" s="1"/>
  <c r="Z31" i="413"/>
  <c r="AB31" i="413" s="1"/>
  <c r="AF31" i="413" s="1"/>
  <c r="M31" i="413" s="1"/>
  <c r="Y31" i="413"/>
  <c r="AA31" i="413" s="1"/>
  <c r="AE31" i="413" s="1"/>
  <c r="Q31" i="413"/>
  <c r="P31" i="413"/>
  <c r="AD30" i="413"/>
  <c r="M30" i="413" s="1"/>
  <c r="AC30" i="413"/>
  <c r="Q30" i="413"/>
  <c r="P30" i="413"/>
  <c r="P28" i="413"/>
  <c r="R28" i="413" s="1"/>
  <c r="Q27" i="413"/>
  <c r="L27" i="413"/>
  <c r="P25" i="413"/>
  <c r="R25" i="413" s="1"/>
  <c r="S25" i="413" s="1"/>
  <c r="P24" i="413"/>
  <c r="R24" i="413" s="1"/>
  <c r="Q23" i="413"/>
  <c r="P23" i="413"/>
  <c r="P19" i="413"/>
  <c r="R19" i="413" s="1"/>
  <c r="AY18" i="413"/>
  <c r="AZ18" i="413" s="1"/>
  <c r="BA18" i="413" s="1"/>
  <c r="AV18" i="413"/>
  <c r="AW18" i="413" s="1"/>
  <c r="AX18" i="413" s="1"/>
  <c r="AS18" i="413"/>
  <c r="AR18" i="413"/>
  <c r="AN18" i="413"/>
  <c r="AM18" i="413"/>
  <c r="AJ18" i="413"/>
  <c r="AI18" i="413"/>
  <c r="AH18" i="413"/>
  <c r="AG18" i="413"/>
  <c r="Q18" i="413"/>
  <c r="P18" i="413"/>
  <c r="P17" i="413"/>
  <c r="R17" i="413" s="1"/>
  <c r="Q16" i="413"/>
  <c r="P16" i="413"/>
  <c r="P15" i="413"/>
  <c r="R15" i="413" s="1"/>
  <c r="S15" i="413" s="1"/>
  <c r="P14" i="413"/>
  <c r="R14" i="413" s="1"/>
  <c r="S14" i="413" s="1"/>
  <c r="P13" i="413"/>
  <c r="R13" i="413" s="1"/>
  <c r="S13" i="413" s="1"/>
  <c r="Z12" i="413"/>
  <c r="M12" i="413" s="1"/>
  <c r="Y12" i="413"/>
  <c r="Q12" i="413"/>
  <c r="P11" i="413"/>
  <c r="R11" i="413" s="1"/>
  <c r="E11" i="413"/>
  <c r="E9" i="413" s="1"/>
  <c r="O9" i="413"/>
  <c r="N9" i="413"/>
  <c r="K9" i="413"/>
  <c r="J9" i="413"/>
  <c r="I9" i="413"/>
  <c r="H9" i="413"/>
  <c r="G9" i="413"/>
  <c r="F9" i="413"/>
  <c r="H130" i="383"/>
  <c r="H131" i="383" s="1"/>
  <c r="G130" i="383"/>
  <c r="H109" i="383"/>
  <c r="H110" i="383" s="1"/>
  <c r="G109" i="383"/>
  <c r="H89" i="383"/>
  <c r="H90" i="383" s="1"/>
  <c r="G89" i="383"/>
  <c r="H69" i="383"/>
  <c r="G69" i="383"/>
  <c r="H49" i="383"/>
  <c r="H50" i="383" s="1"/>
  <c r="G49" i="383"/>
  <c r="G299" i="412"/>
  <c r="X299" i="412" s="1"/>
  <c r="G298" i="412"/>
  <c r="X298" i="412" s="1"/>
  <c r="F297" i="412"/>
  <c r="X297" i="412" s="1"/>
  <c r="P294" i="412"/>
  <c r="X294" i="412" s="1"/>
  <c r="Y294" i="412" s="1"/>
  <c r="AA294" i="412" s="1"/>
  <c r="V293" i="412"/>
  <c r="X293" i="412" s="1"/>
  <c r="Y293" i="412" s="1"/>
  <c r="AA293" i="412" s="1"/>
  <c r="E292" i="412"/>
  <c r="X292" i="412" s="1"/>
  <c r="E291" i="412"/>
  <c r="X291" i="412" s="1"/>
  <c r="AE291" i="412" s="1"/>
  <c r="E290" i="412"/>
  <c r="X290" i="412" s="1"/>
  <c r="P289" i="412"/>
  <c r="X289" i="412" s="1"/>
  <c r="Y289" i="412" s="1"/>
  <c r="AA289" i="412" s="1"/>
  <c r="F288" i="412"/>
  <c r="X288" i="412" s="1"/>
  <c r="AE288" i="412" s="1"/>
  <c r="F287" i="412"/>
  <c r="X287" i="412" s="1"/>
  <c r="P286" i="412"/>
  <c r="X286" i="412" s="1"/>
  <c r="Y286" i="412" s="1"/>
  <c r="AA286" i="412" s="1"/>
  <c r="J284" i="412"/>
  <c r="X284" i="412" s="1"/>
  <c r="Y284" i="412" s="1"/>
  <c r="AA284" i="412" s="1"/>
  <c r="G283" i="412"/>
  <c r="E283" i="412"/>
  <c r="F282" i="412"/>
  <c r="X282" i="412" s="1"/>
  <c r="G279" i="412"/>
  <c r="X279" i="412" s="1"/>
  <c r="P276" i="412"/>
  <c r="X276" i="412" s="1"/>
  <c r="Y276" i="412" s="1"/>
  <c r="AA276" i="412" s="1"/>
  <c r="G275" i="412"/>
  <c r="X275" i="412" s="1"/>
  <c r="AE275" i="412" s="1"/>
  <c r="J272" i="412"/>
  <c r="X272" i="412" s="1"/>
  <c r="AE272" i="412" s="1"/>
  <c r="F271" i="412"/>
  <c r="X271" i="412" s="1"/>
  <c r="E270" i="412"/>
  <c r="X270" i="412" s="1"/>
  <c r="J269" i="412"/>
  <c r="X269" i="412" s="1"/>
  <c r="Y269" i="412" s="1"/>
  <c r="AA269" i="412" s="1"/>
  <c r="G268" i="412"/>
  <c r="X268" i="412" s="1"/>
  <c r="AE268" i="412" s="1"/>
  <c r="G267" i="412"/>
  <c r="X267" i="412" s="1"/>
  <c r="AE267" i="412" s="1"/>
  <c r="M266" i="412"/>
  <c r="X266" i="412" s="1"/>
  <c r="Y266" i="412" s="1"/>
  <c r="AA266" i="412" s="1"/>
  <c r="M265" i="412"/>
  <c r="X265" i="412" s="1"/>
  <c r="Y265" i="412" s="1"/>
  <c r="AA265" i="412" s="1"/>
  <c r="J262" i="412"/>
  <c r="X262" i="412" s="1"/>
  <c r="J261" i="412"/>
  <c r="X261" i="412" s="1"/>
  <c r="Y261" i="412" s="1"/>
  <c r="AA261" i="412" s="1"/>
  <c r="G259" i="412"/>
  <c r="X259" i="412" s="1"/>
  <c r="AE259" i="412" s="1"/>
  <c r="G258" i="412"/>
  <c r="X258" i="412" s="1"/>
  <c r="G257" i="412"/>
  <c r="X257" i="412" s="1"/>
  <c r="AE257" i="412" s="1"/>
  <c r="G256" i="412"/>
  <c r="X256" i="412" s="1"/>
  <c r="AE256" i="412" s="1"/>
  <c r="F255" i="412"/>
  <c r="X255" i="412" s="1"/>
  <c r="E250" i="412"/>
  <c r="X250" i="412" s="1"/>
  <c r="G247" i="412"/>
  <c r="X247" i="412" s="1"/>
  <c r="G246" i="412"/>
  <c r="X246" i="412" s="1"/>
  <c r="Y246" i="412" s="1"/>
  <c r="AA246" i="412" s="1"/>
  <c r="G245" i="412"/>
  <c r="X245" i="412" s="1"/>
  <c r="Y245" i="412" s="1"/>
  <c r="AA245" i="412" s="1"/>
  <c r="G244" i="412"/>
  <c r="X244" i="412" s="1"/>
  <c r="Y244" i="412" s="1"/>
  <c r="AA244" i="412" s="1"/>
  <c r="G243" i="412"/>
  <c r="X243" i="412" s="1"/>
  <c r="G242" i="412"/>
  <c r="X242" i="412" s="1"/>
  <c r="G241" i="412"/>
  <c r="X241" i="412" s="1"/>
  <c r="G240" i="412"/>
  <c r="X240" i="412" s="1"/>
  <c r="G239" i="412"/>
  <c r="X239" i="412" s="1"/>
  <c r="G238" i="412"/>
  <c r="X238" i="412" s="1"/>
  <c r="AE238" i="412" s="1"/>
  <c r="G237" i="412"/>
  <c r="X237" i="412" s="1"/>
  <c r="AE237" i="412" s="1"/>
  <c r="G236" i="412"/>
  <c r="X236" i="412" s="1"/>
  <c r="G235" i="412"/>
  <c r="X235" i="412" s="1"/>
  <c r="G234" i="412"/>
  <c r="X234" i="412" s="1"/>
  <c r="G233" i="412"/>
  <c r="X233" i="412" s="1"/>
  <c r="G232" i="412"/>
  <c r="X232" i="412" s="1"/>
  <c r="Y232" i="412" s="1"/>
  <c r="AA232" i="412" s="1"/>
  <c r="G231" i="412"/>
  <c r="X231" i="412" s="1"/>
  <c r="G230" i="412"/>
  <c r="X230" i="412" s="1"/>
  <c r="M229" i="412"/>
  <c r="X229" i="412" s="1"/>
  <c r="Y229" i="412" s="1"/>
  <c r="AA229" i="412" s="1"/>
  <c r="G228" i="412"/>
  <c r="X228" i="412" s="1"/>
  <c r="G227" i="412"/>
  <c r="X227" i="412" s="1"/>
  <c r="G226" i="412"/>
  <c r="X226" i="412" s="1"/>
  <c r="M225" i="412"/>
  <c r="X225" i="412" s="1"/>
  <c r="Y225" i="412" s="1"/>
  <c r="AA225" i="412" s="1"/>
  <c r="M224" i="412"/>
  <c r="X224" i="412" s="1"/>
  <c r="Y224" i="412" s="1"/>
  <c r="AA224" i="412" s="1"/>
  <c r="E219" i="412"/>
  <c r="X219" i="412" s="1"/>
  <c r="AE219" i="412" s="1"/>
  <c r="E217" i="412"/>
  <c r="X217" i="412" s="1"/>
  <c r="E216" i="412"/>
  <c r="X216" i="412" s="1"/>
  <c r="AC216" i="412" s="1"/>
  <c r="M214" i="412"/>
  <c r="X214" i="412" s="1"/>
  <c r="Y214" i="412" s="1"/>
  <c r="AA214" i="412" s="1"/>
  <c r="P213" i="412"/>
  <c r="X213" i="412" s="1"/>
  <c r="Y213" i="412" s="1"/>
  <c r="G212" i="412"/>
  <c r="X212" i="412" s="1"/>
  <c r="G211" i="412"/>
  <c r="X211" i="412" s="1"/>
  <c r="AE211" i="412" s="1"/>
  <c r="G210" i="412"/>
  <c r="X210" i="412" s="1"/>
  <c r="G209" i="412"/>
  <c r="X209" i="412" s="1"/>
  <c r="G208" i="412"/>
  <c r="X208" i="412" s="1"/>
  <c r="AE208" i="412" s="1"/>
  <c r="G207" i="412"/>
  <c r="X207" i="412" s="1"/>
  <c r="AE207" i="412" s="1"/>
  <c r="M206" i="412"/>
  <c r="X206" i="412" s="1"/>
  <c r="Y206" i="412" s="1"/>
  <c r="AA206" i="412" s="1"/>
  <c r="M205" i="412"/>
  <c r="X205" i="412" s="1"/>
  <c r="Y205" i="412" s="1"/>
  <c r="AA205" i="412" s="1"/>
  <c r="G204" i="412"/>
  <c r="X204" i="412" s="1"/>
  <c r="F203" i="412"/>
  <c r="X203" i="412" s="1"/>
  <c r="P202" i="412"/>
  <c r="X202" i="412" s="1"/>
  <c r="Y202" i="412" s="1"/>
  <c r="AA202" i="412" s="1"/>
  <c r="P201" i="412"/>
  <c r="E201" i="412"/>
  <c r="J200" i="412"/>
  <c r="X200" i="412" s="1"/>
  <c r="E199" i="412"/>
  <c r="X199" i="412" s="1"/>
  <c r="AE199" i="412" s="1"/>
  <c r="M198" i="412"/>
  <c r="X198" i="412" s="1"/>
  <c r="Y198" i="412" s="1"/>
  <c r="M197" i="412"/>
  <c r="X197" i="412" s="1"/>
  <c r="Y197" i="412" s="1"/>
  <c r="M196" i="412"/>
  <c r="X196" i="412" s="1"/>
  <c r="Y196" i="412" s="1"/>
  <c r="P195" i="412"/>
  <c r="X195" i="412" s="1"/>
  <c r="Y195" i="412" s="1"/>
  <c r="AA195" i="412" s="1"/>
  <c r="G194" i="412"/>
  <c r="X194" i="412" s="1"/>
  <c r="AE194" i="412" s="1"/>
  <c r="G193" i="412"/>
  <c r="X193" i="412" s="1"/>
  <c r="G192" i="412"/>
  <c r="X192" i="412" s="1"/>
  <c r="E190" i="412"/>
  <c r="X190" i="412" s="1"/>
  <c r="AE190" i="412" s="1"/>
  <c r="G188" i="412"/>
  <c r="X188" i="412" s="1"/>
  <c r="AE188" i="412" s="1"/>
  <c r="E186" i="412"/>
  <c r="X186" i="412" s="1"/>
  <c r="E185" i="412"/>
  <c r="X185" i="412" s="1"/>
  <c r="M184" i="412"/>
  <c r="X184" i="412" s="1"/>
  <c r="Y184" i="412" s="1"/>
  <c r="J183" i="412"/>
  <c r="X183" i="412" s="1"/>
  <c r="AE183" i="412" s="1"/>
  <c r="J182" i="412"/>
  <c r="X182" i="412" s="1"/>
  <c r="AE182" i="412" s="1"/>
  <c r="J180" i="412"/>
  <c r="X180" i="412" s="1"/>
  <c r="AE180" i="412" s="1"/>
  <c r="P178" i="412"/>
  <c r="X178" i="412" s="1"/>
  <c r="Y178" i="412" s="1"/>
  <c r="AA178" i="412" s="1"/>
  <c r="P177" i="412"/>
  <c r="X177" i="412" s="1"/>
  <c r="Y177" i="412" s="1"/>
  <c r="AA177" i="412" s="1"/>
  <c r="J176" i="412"/>
  <c r="X176" i="412" s="1"/>
  <c r="Y176" i="412" s="1"/>
  <c r="AA176" i="412" s="1"/>
  <c r="M175" i="412"/>
  <c r="X175" i="412" s="1"/>
  <c r="Y175" i="412" s="1"/>
  <c r="G173" i="412"/>
  <c r="X173" i="412" s="1"/>
  <c r="E172" i="412"/>
  <c r="X172" i="412" s="1"/>
  <c r="AE172" i="412" s="1"/>
  <c r="M170" i="412"/>
  <c r="X170" i="412" s="1"/>
  <c r="Y170" i="412" s="1"/>
  <c r="E169" i="412"/>
  <c r="X169" i="412" s="1"/>
  <c r="AE169" i="412" s="1"/>
  <c r="M168" i="412"/>
  <c r="X168" i="412" s="1"/>
  <c r="Y168" i="412" s="1"/>
  <c r="M167" i="412"/>
  <c r="X167" i="412" s="1"/>
  <c r="Y167" i="412" s="1"/>
  <c r="F166" i="412"/>
  <c r="X166" i="412" s="1"/>
  <c r="J164" i="412"/>
  <c r="X164" i="412" s="1"/>
  <c r="E163" i="412"/>
  <c r="X163" i="412" s="1"/>
  <c r="AE163" i="412" s="1"/>
  <c r="V162" i="412"/>
  <c r="X162" i="412" s="1"/>
  <c r="Y162" i="412" s="1"/>
  <c r="AA162" i="412" s="1"/>
  <c r="F161" i="412"/>
  <c r="X161" i="412" s="1"/>
  <c r="AE161" i="412" s="1"/>
  <c r="G159" i="412"/>
  <c r="X159" i="412" s="1"/>
  <c r="G158" i="412"/>
  <c r="X158" i="412" s="1"/>
  <c r="G157" i="412"/>
  <c r="X157" i="412" s="1"/>
  <c r="Y157" i="412" s="1"/>
  <c r="AA157" i="412" s="1"/>
  <c r="M156" i="412"/>
  <c r="X156" i="412" s="1"/>
  <c r="Y156" i="412" s="1"/>
  <c r="AA156" i="412" s="1"/>
  <c r="G155" i="412"/>
  <c r="X155" i="412" s="1"/>
  <c r="AE155" i="412" s="1"/>
  <c r="G154" i="412"/>
  <c r="X154" i="412" s="1"/>
  <c r="G153" i="412"/>
  <c r="X153" i="412" s="1"/>
  <c r="G152" i="412"/>
  <c r="X152" i="412" s="1"/>
  <c r="G151" i="412"/>
  <c r="X151" i="412" s="1"/>
  <c r="Y151" i="412" s="1"/>
  <c r="AA151" i="412" s="1"/>
  <c r="G150" i="412"/>
  <c r="X150" i="412" s="1"/>
  <c r="AE150" i="412" s="1"/>
  <c r="G149" i="412"/>
  <c r="X149" i="412" s="1"/>
  <c r="M148" i="412"/>
  <c r="X148" i="412" s="1"/>
  <c r="Y148" i="412" s="1"/>
  <c r="M147" i="412"/>
  <c r="X147" i="412" s="1"/>
  <c r="Y147" i="412" s="1"/>
  <c r="M146" i="412"/>
  <c r="X146" i="412" s="1"/>
  <c r="Y146" i="412" s="1"/>
  <c r="E145" i="412"/>
  <c r="X145" i="412" s="1"/>
  <c r="AE145" i="412" s="1"/>
  <c r="J144" i="412"/>
  <c r="X144" i="412" s="1"/>
  <c r="Y144" i="412" s="1"/>
  <c r="J143" i="412"/>
  <c r="X143" i="412" s="1"/>
  <c r="Y143" i="412" s="1"/>
  <c r="AA143" i="412" s="1"/>
  <c r="E142" i="412"/>
  <c r="X142" i="412" s="1"/>
  <c r="Y142" i="412" s="1"/>
  <c r="AA142" i="412" s="1"/>
  <c r="F141" i="412"/>
  <c r="X141" i="412" s="1"/>
  <c r="F140" i="412"/>
  <c r="X140" i="412" s="1"/>
  <c r="F139" i="412"/>
  <c r="X139" i="412" s="1"/>
  <c r="F138" i="412"/>
  <c r="X138" i="412" s="1"/>
  <c r="F137" i="412"/>
  <c r="X137" i="412" s="1"/>
  <c r="F136" i="412"/>
  <c r="X136" i="412" s="1"/>
  <c r="P134" i="412"/>
  <c r="X134" i="412" s="1"/>
  <c r="Y134" i="412" s="1"/>
  <c r="AA134" i="412" s="1"/>
  <c r="F132" i="412"/>
  <c r="X132" i="412" s="1"/>
  <c r="Y132" i="412" s="1"/>
  <c r="AA132" i="412" s="1"/>
  <c r="G131" i="412"/>
  <c r="X131" i="412" s="1"/>
  <c r="G130" i="412"/>
  <c r="X130" i="412" s="1"/>
  <c r="G129" i="412"/>
  <c r="X129" i="412" s="1"/>
  <c r="J128" i="412"/>
  <c r="X128" i="412" s="1"/>
  <c r="Y128" i="412" s="1"/>
  <c r="G127" i="412"/>
  <c r="X127" i="412" s="1"/>
  <c r="AE127" i="412" s="1"/>
  <c r="F126" i="412"/>
  <c r="X126" i="412" s="1"/>
  <c r="F125" i="412"/>
  <c r="X125" i="412" s="1"/>
  <c r="F124" i="412"/>
  <c r="X124" i="412" s="1"/>
  <c r="AE124" i="412" s="1"/>
  <c r="F123" i="412"/>
  <c r="X123" i="412" s="1"/>
  <c r="AE123" i="412" s="1"/>
  <c r="G122" i="412"/>
  <c r="X122" i="412" s="1"/>
  <c r="M120" i="412"/>
  <c r="X120" i="412" s="1"/>
  <c r="G119" i="412"/>
  <c r="X119" i="412" s="1"/>
  <c r="G118" i="412"/>
  <c r="X118" i="412" s="1"/>
  <c r="P117" i="412"/>
  <c r="X117" i="412" s="1"/>
  <c r="Y117" i="412" s="1"/>
  <c r="AA117" i="412" s="1"/>
  <c r="F116" i="412"/>
  <c r="X116" i="412" s="1"/>
  <c r="E115" i="412"/>
  <c r="X115" i="412" s="1"/>
  <c r="P113" i="412"/>
  <c r="X113" i="412" s="1"/>
  <c r="AE113" i="412" s="1"/>
  <c r="M112" i="412"/>
  <c r="X112" i="412" s="1"/>
  <c r="AC112" i="412" s="1"/>
  <c r="J109" i="412"/>
  <c r="X109" i="412" s="1"/>
  <c r="Y109" i="412" s="1"/>
  <c r="G108" i="412"/>
  <c r="X108" i="412" s="1"/>
  <c r="AE108" i="412" s="1"/>
  <c r="G107" i="412"/>
  <c r="X107" i="412" s="1"/>
  <c r="M106" i="412"/>
  <c r="X106" i="412" s="1"/>
  <c r="Y106" i="412" s="1"/>
  <c r="AA106" i="412" s="1"/>
  <c r="M105" i="412"/>
  <c r="X105" i="412" s="1"/>
  <c r="Y105" i="412" s="1"/>
  <c r="AA105" i="412" s="1"/>
  <c r="G104" i="412"/>
  <c r="X104" i="412" s="1"/>
  <c r="G103" i="412"/>
  <c r="X103" i="412" s="1"/>
  <c r="G102" i="412"/>
  <c r="X102" i="412" s="1"/>
  <c r="AE102" i="412" s="1"/>
  <c r="G101" i="412"/>
  <c r="X101" i="412" s="1"/>
  <c r="AE101" i="412" s="1"/>
  <c r="G100" i="412"/>
  <c r="X100" i="412" s="1"/>
  <c r="G99" i="412"/>
  <c r="X99" i="412" s="1"/>
  <c r="M98" i="412"/>
  <c r="X98" i="412" s="1"/>
  <c r="Y98" i="412" s="1"/>
  <c r="M97" i="412"/>
  <c r="X97" i="412" s="1"/>
  <c r="Y97" i="412" s="1"/>
  <c r="M96" i="412"/>
  <c r="X96" i="412" s="1"/>
  <c r="Y96" i="412" s="1"/>
  <c r="G94" i="412"/>
  <c r="X94" i="412" s="1"/>
  <c r="Y94" i="412" s="1"/>
  <c r="AA94" i="412" s="1"/>
  <c r="G93" i="412"/>
  <c r="X93" i="412" s="1"/>
  <c r="AE93" i="412" s="1"/>
  <c r="G92" i="412"/>
  <c r="X92" i="412" s="1"/>
  <c r="P91" i="412"/>
  <c r="X91" i="412" s="1"/>
  <c r="Y91" i="412" s="1"/>
  <c r="AA91" i="412" s="1"/>
  <c r="J89" i="412"/>
  <c r="X89" i="412" s="1"/>
  <c r="Y89" i="412" s="1"/>
  <c r="U197" i="405"/>
  <c r="U196" i="405"/>
  <c r="U129" i="406"/>
  <c r="U128" i="406"/>
  <c r="U69" i="407"/>
  <c r="U68" i="407"/>
  <c r="U211" i="408"/>
  <c r="U210" i="408"/>
  <c r="E81" i="412"/>
  <c r="X81" i="412" s="1"/>
  <c r="P78" i="412"/>
  <c r="X78" i="412" s="1"/>
  <c r="Y78" i="412" s="1"/>
  <c r="E76" i="412"/>
  <c r="X76" i="412" s="1"/>
  <c r="AE76" i="412" s="1"/>
  <c r="G75" i="412"/>
  <c r="X75" i="412" s="1"/>
  <c r="AE75" i="412" s="1"/>
  <c r="G74" i="412"/>
  <c r="X74" i="412" s="1"/>
  <c r="M73" i="412"/>
  <c r="X73" i="412" s="1"/>
  <c r="Y73" i="412" s="1"/>
  <c r="AA73" i="412" s="1"/>
  <c r="M72" i="412"/>
  <c r="X72" i="412" s="1"/>
  <c r="Y72" i="412" s="1"/>
  <c r="AA72" i="412" s="1"/>
  <c r="E71" i="412"/>
  <c r="X71" i="412" s="1"/>
  <c r="E70" i="412"/>
  <c r="X70" i="412" s="1"/>
  <c r="Y70" i="412" s="1"/>
  <c r="E69" i="412"/>
  <c r="X69" i="412" s="1"/>
  <c r="Y69" i="412" s="1"/>
  <c r="AA69" i="412" s="1"/>
  <c r="P67" i="412"/>
  <c r="X67" i="412" s="1"/>
  <c r="Y67" i="412" s="1"/>
  <c r="AA67" i="412" s="1"/>
  <c r="F66" i="412"/>
  <c r="X66" i="412" s="1"/>
  <c r="P65" i="412"/>
  <c r="X65" i="412" s="1"/>
  <c r="Y65" i="412" s="1"/>
  <c r="G64" i="412"/>
  <c r="X64" i="412"/>
  <c r="AE64" i="412" s="1"/>
  <c r="G63" i="412"/>
  <c r="X63" i="412" s="1"/>
  <c r="AE63" i="412" s="1"/>
  <c r="G62" i="412"/>
  <c r="X62" i="412" s="1"/>
  <c r="G61" i="412"/>
  <c r="X61" i="412" s="1"/>
  <c r="AE61" i="412" s="1"/>
  <c r="M60" i="412"/>
  <c r="X60" i="412" s="1"/>
  <c r="Y60" i="412" s="1"/>
  <c r="M59" i="412"/>
  <c r="X59" i="412" s="1"/>
  <c r="Y59" i="412" s="1"/>
  <c r="E55" i="412"/>
  <c r="X55" i="412" s="1"/>
  <c r="AE55" i="412" s="1"/>
  <c r="M54" i="412"/>
  <c r="X54" i="412" s="1"/>
  <c r="J53" i="412"/>
  <c r="X53" i="412" s="1"/>
  <c r="AE53" i="412" s="1"/>
  <c r="P52" i="412"/>
  <c r="X52" i="412" s="1"/>
  <c r="Y52" i="412" s="1"/>
  <c r="AA52" i="412" s="1"/>
  <c r="J45" i="412"/>
  <c r="X45" i="412" s="1"/>
  <c r="Y45" i="412" s="1"/>
  <c r="AA45" i="412" s="1"/>
  <c r="E43" i="412"/>
  <c r="X43" i="412" s="1"/>
  <c r="AE43" i="412" s="1"/>
  <c r="E42" i="412"/>
  <c r="X42" i="412" s="1"/>
  <c r="Y42" i="412" s="1"/>
  <c r="AA42" i="412" s="1"/>
  <c r="E41" i="412"/>
  <c r="X41" i="412" s="1"/>
  <c r="Y41" i="412" s="1"/>
  <c r="AA41" i="412" s="1"/>
  <c r="E40" i="412"/>
  <c r="X40" i="412" s="1"/>
  <c r="Y40" i="412" s="1"/>
  <c r="AA40" i="412" s="1"/>
  <c r="J39" i="412"/>
  <c r="X39" i="412" s="1"/>
  <c r="E38" i="412"/>
  <c r="G36" i="412"/>
  <c r="X36" i="412" s="1"/>
  <c r="Y36" i="412" s="1"/>
  <c r="AA36" i="412" s="1"/>
  <c r="P35" i="412"/>
  <c r="X35" i="412" s="1"/>
  <c r="G34" i="412"/>
  <c r="X34" i="412" s="1"/>
  <c r="J33" i="412"/>
  <c r="X33" i="412" s="1"/>
  <c r="Y33" i="412" s="1"/>
  <c r="AA33" i="412" s="1"/>
  <c r="P31" i="412"/>
  <c r="X31" i="412" s="1"/>
  <c r="Y31" i="412" s="1"/>
  <c r="AA31" i="412" s="1"/>
  <c r="P30" i="412"/>
  <c r="X30" i="412" s="1"/>
  <c r="Y30" i="412" s="1"/>
  <c r="AA30" i="412" s="1"/>
  <c r="G27" i="412"/>
  <c r="X27" i="412" s="1"/>
  <c r="G26" i="412"/>
  <c r="X26" i="412" s="1"/>
  <c r="G25" i="412"/>
  <c r="X25" i="412" s="1"/>
  <c r="AE25" i="412" s="1"/>
  <c r="G24" i="412"/>
  <c r="X24" i="412" s="1"/>
  <c r="G23" i="412"/>
  <c r="X23" i="412" s="1"/>
  <c r="AE23" i="412" s="1"/>
  <c r="G22" i="412"/>
  <c r="X22" i="412" s="1"/>
  <c r="AE22" i="412" s="1"/>
  <c r="G21" i="412"/>
  <c r="X21" i="412" s="1"/>
  <c r="AE21" i="412" s="1"/>
  <c r="G20" i="412"/>
  <c r="X20" i="412" s="1"/>
  <c r="G19" i="412"/>
  <c r="X19" i="412" s="1"/>
  <c r="AE19" i="412" s="1"/>
  <c r="G18" i="412"/>
  <c r="X18" i="412" s="1"/>
  <c r="G17" i="412"/>
  <c r="X17" i="412" s="1"/>
  <c r="G16" i="412"/>
  <c r="X16" i="412" s="1"/>
  <c r="G15" i="412"/>
  <c r="X15" i="412" s="1"/>
  <c r="G14" i="412"/>
  <c r="X14" i="412" s="1"/>
  <c r="G13" i="412"/>
  <c r="X13" i="412" s="1"/>
  <c r="Y13" i="412" s="1"/>
  <c r="AA13" i="412" s="1"/>
  <c r="M12" i="412"/>
  <c r="X12" i="412" s="1"/>
  <c r="Y12" i="412" s="1"/>
  <c r="R46" i="411"/>
  <c r="U46" i="411" s="1"/>
  <c r="R45" i="411"/>
  <c r="U45" i="411" s="1"/>
  <c r="R44" i="411"/>
  <c r="U44" i="411" s="1"/>
  <c r="D43" i="411"/>
  <c r="U43" i="411" s="1"/>
  <c r="D42" i="411"/>
  <c r="U42" i="411" s="1"/>
  <c r="D41" i="411"/>
  <c r="U41" i="411" s="1"/>
  <c r="D40" i="411"/>
  <c r="U40" i="411" s="1"/>
  <c r="D39" i="411"/>
  <c r="U39" i="411" s="1"/>
  <c r="Y39" i="411" s="1"/>
  <c r="D38" i="411"/>
  <c r="U38" i="411" s="1"/>
  <c r="D37" i="411"/>
  <c r="U37" i="411" s="1"/>
  <c r="D36" i="411"/>
  <c r="U36" i="411" s="1"/>
  <c r="W36" i="411" s="1"/>
  <c r="D35" i="411"/>
  <c r="U35" i="411" s="1"/>
  <c r="Y35" i="411" s="1"/>
  <c r="D34" i="411"/>
  <c r="U34" i="411"/>
  <c r="R33" i="411"/>
  <c r="U33" i="411" s="1"/>
  <c r="W33" i="411" s="1"/>
  <c r="D29" i="411"/>
  <c r="D25" i="411"/>
  <c r="D24" i="411"/>
  <c r="D15" i="411"/>
  <c r="Q11" i="405"/>
  <c r="Q12" i="406"/>
  <c r="Q12" i="407"/>
  <c r="Q11" i="408"/>
  <c r="D34" i="410"/>
  <c r="M34" i="410" s="1"/>
  <c r="N34" i="410" s="1"/>
  <c r="D33" i="410"/>
  <c r="M33" i="410" s="1"/>
  <c r="N33" i="410" s="1"/>
  <c r="D32" i="410"/>
  <c r="M32" i="410" s="1"/>
  <c r="N32" i="410" s="1"/>
  <c r="D31" i="410"/>
  <c r="M31" i="410" s="1"/>
  <c r="N31" i="410" s="1"/>
  <c r="G30" i="410"/>
  <c r="M30" i="410" s="1"/>
  <c r="N30" i="410" s="1"/>
  <c r="D29" i="410"/>
  <c r="M29" i="410" s="1"/>
  <c r="N29" i="410" s="1"/>
  <c r="D28" i="410"/>
  <c r="M28" i="410" s="1"/>
  <c r="N28" i="410" s="1"/>
  <c r="M27" i="410"/>
  <c r="N27" i="410" s="1"/>
  <c r="T27" i="410" s="1"/>
  <c r="D26" i="410"/>
  <c r="M26" i="410" s="1"/>
  <c r="N26" i="410" s="1"/>
  <c r="D25" i="410"/>
  <c r="M25" i="410" s="1"/>
  <c r="N25" i="410" s="1"/>
  <c r="D24" i="410"/>
  <c r="M24" i="410" s="1"/>
  <c r="N24" i="410" s="1"/>
  <c r="D23" i="410"/>
  <c r="D22" i="410"/>
  <c r="M22" i="410" s="1"/>
  <c r="N22" i="410" s="1"/>
  <c r="D21" i="410"/>
  <c r="M21" i="410" s="1"/>
  <c r="N21" i="410" s="1"/>
  <c r="D19" i="410"/>
  <c r="M19" i="410" s="1"/>
  <c r="N19" i="410" s="1"/>
  <c r="D18" i="410"/>
  <c r="M18" i="410" s="1"/>
  <c r="N18" i="410" s="1"/>
  <c r="D16" i="410"/>
  <c r="M16" i="410" s="1"/>
  <c r="N16" i="410" s="1"/>
  <c r="P16" i="410" s="1"/>
  <c r="V342" i="405"/>
  <c r="V341" i="405"/>
  <c r="V340" i="405"/>
  <c r="W331" i="405"/>
  <c r="V237" i="406"/>
  <c r="V236" i="406"/>
  <c r="V235" i="406"/>
  <c r="V314" i="408"/>
  <c r="U312" i="408"/>
  <c r="V107" i="407"/>
  <c r="V106" i="407"/>
  <c r="V105" i="407"/>
  <c r="V104" i="407"/>
  <c r="V365" i="408"/>
  <c r="V364" i="408"/>
  <c r="V363" i="408"/>
  <c r="L51" i="409"/>
  <c r="L50" i="409"/>
  <c r="L49" i="409"/>
  <c r="L48" i="409"/>
  <c r="L47" i="409"/>
  <c r="L46" i="409"/>
  <c r="L45" i="409"/>
  <c r="L44" i="409"/>
  <c r="L43" i="409"/>
  <c r="L42" i="409"/>
  <c r="L41" i="409"/>
  <c r="L40" i="409"/>
  <c r="L39" i="409"/>
  <c r="L38" i="409"/>
  <c r="L37" i="409"/>
  <c r="L36" i="409"/>
  <c r="L35" i="409"/>
  <c r="L34" i="409"/>
  <c r="L33" i="409"/>
  <c r="L32" i="409"/>
  <c r="L31" i="409"/>
  <c r="L30" i="409"/>
  <c r="L29" i="409"/>
  <c r="L28" i="409"/>
  <c r="L27" i="409"/>
  <c r="L26" i="409"/>
  <c r="L25" i="409"/>
  <c r="L24" i="409"/>
  <c r="L23" i="409"/>
  <c r="L22" i="409"/>
  <c r="L21" i="409"/>
  <c r="L20" i="409"/>
  <c r="L19" i="409"/>
  <c r="L18" i="409"/>
  <c r="L17" i="409"/>
  <c r="L15" i="409"/>
  <c r="L16" i="409"/>
  <c r="L14" i="409"/>
  <c r="L13" i="409"/>
  <c r="L12" i="409"/>
  <c r="J51" i="409"/>
  <c r="F51" i="409"/>
  <c r="E51" i="409"/>
  <c r="J50" i="409"/>
  <c r="F50" i="409"/>
  <c r="E50" i="409"/>
  <c r="J49" i="409"/>
  <c r="F49" i="409"/>
  <c r="E49" i="409"/>
  <c r="J48" i="409"/>
  <c r="F48" i="409"/>
  <c r="G48" i="409" s="1"/>
  <c r="K48" i="409" s="1"/>
  <c r="E48" i="409"/>
  <c r="J47" i="409"/>
  <c r="F47" i="409"/>
  <c r="E47" i="409"/>
  <c r="J46" i="409"/>
  <c r="F46" i="409"/>
  <c r="E46" i="409"/>
  <c r="J45" i="409"/>
  <c r="F45" i="409"/>
  <c r="E45" i="409"/>
  <c r="J44" i="409"/>
  <c r="F44" i="409"/>
  <c r="E44" i="409"/>
  <c r="J43" i="409"/>
  <c r="F43" i="409"/>
  <c r="E43" i="409"/>
  <c r="J42" i="409"/>
  <c r="F42" i="409"/>
  <c r="E42" i="409"/>
  <c r="J41" i="409"/>
  <c r="F41" i="409"/>
  <c r="E41" i="409"/>
  <c r="J40" i="409"/>
  <c r="F40" i="409"/>
  <c r="G40" i="409" s="1"/>
  <c r="K40" i="409" s="1"/>
  <c r="E40" i="409"/>
  <c r="J39" i="409"/>
  <c r="F39" i="409"/>
  <c r="E39" i="409"/>
  <c r="J38" i="409"/>
  <c r="F38" i="409"/>
  <c r="E38" i="409"/>
  <c r="J37" i="409"/>
  <c r="F37" i="409"/>
  <c r="E37" i="409"/>
  <c r="J36" i="409"/>
  <c r="F36" i="409"/>
  <c r="E36" i="409"/>
  <c r="J35" i="409"/>
  <c r="F35" i="409"/>
  <c r="E35" i="409"/>
  <c r="J34" i="409"/>
  <c r="F34" i="409"/>
  <c r="E34" i="409"/>
  <c r="J33" i="409"/>
  <c r="F33" i="409"/>
  <c r="E33" i="409"/>
  <c r="J32" i="409"/>
  <c r="F32" i="409"/>
  <c r="G32" i="409" s="1"/>
  <c r="K32" i="409" s="1"/>
  <c r="E32" i="409"/>
  <c r="J31" i="409"/>
  <c r="F31" i="409"/>
  <c r="E31" i="409"/>
  <c r="J30" i="409"/>
  <c r="F30" i="409"/>
  <c r="E30" i="409"/>
  <c r="J29" i="409"/>
  <c r="F29" i="409"/>
  <c r="E29" i="409"/>
  <c r="J28" i="409"/>
  <c r="F28" i="409"/>
  <c r="E28" i="409"/>
  <c r="J27" i="409"/>
  <c r="F27" i="409"/>
  <c r="E27" i="409"/>
  <c r="G27" i="409" s="1"/>
  <c r="K27" i="409" s="1"/>
  <c r="J26" i="409"/>
  <c r="F26" i="409"/>
  <c r="E26" i="409"/>
  <c r="J25" i="409"/>
  <c r="F25" i="409"/>
  <c r="E25" i="409"/>
  <c r="J24" i="409"/>
  <c r="F24" i="409"/>
  <c r="E24" i="409"/>
  <c r="J23" i="409"/>
  <c r="F23" i="409"/>
  <c r="E23" i="409"/>
  <c r="J22" i="409"/>
  <c r="F22" i="409"/>
  <c r="E22" i="409"/>
  <c r="J21" i="409"/>
  <c r="F21" i="409"/>
  <c r="E21" i="409"/>
  <c r="J20" i="409"/>
  <c r="F20" i="409"/>
  <c r="E20" i="409"/>
  <c r="J19" i="409"/>
  <c r="F19" i="409"/>
  <c r="E19" i="409"/>
  <c r="J18" i="409"/>
  <c r="F18" i="409"/>
  <c r="E18" i="409"/>
  <c r="J17" i="409"/>
  <c r="F17" i="409"/>
  <c r="E17" i="409"/>
  <c r="J16" i="409"/>
  <c r="F16" i="409"/>
  <c r="E16" i="409"/>
  <c r="J15" i="409"/>
  <c r="F15" i="409"/>
  <c r="E15" i="409"/>
  <c r="G15" i="409" s="1"/>
  <c r="K15" i="409" s="1"/>
  <c r="J14" i="409"/>
  <c r="F14" i="409"/>
  <c r="E14" i="409"/>
  <c r="J13" i="409"/>
  <c r="F13" i="409"/>
  <c r="E13" i="409"/>
  <c r="J12" i="409"/>
  <c r="F12" i="409"/>
  <c r="F11" i="409" s="1"/>
  <c r="E12" i="409"/>
  <c r="U12" i="384"/>
  <c r="M72" i="346"/>
  <c r="L72" i="346" s="1"/>
  <c r="P72" i="346" s="1"/>
  <c r="U26" i="406"/>
  <c r="M26" i="406" s="1"/>
  <c r="U49" i="405"/>
  <c r="M49" i="405" s="1"/>
  <c r="U44" i="407"/>
  <c r="V63" i="408"/>
  <c r="W63" i="408" s="1"/>
  <c r="V93" i="408"/>
  <c r="V281" i="408"/>
  <c r="W220" i="406"/>
  <c r="U69" i="408"/>
  <c r="W343" i="408"/>
  <c r="V321" i="408"/>
  <c r="M221" i="346"/>
  <c r="U214" i="408"/>
  <c r="U71" i="407"/>
  <c r="L71" i="407"/>
  <c r="P71" i="407" s="1"/>
  <c r="U131" i="406"/>
  <c r="M131" i="406" s="1"/>
  <c r="U200" i="405"/>
  <c r="M200" i="405" s="1"/>
  <c r="M225" i="346"/>
  <c r="U218" i="408"/>
  <c r="U73" i="407"/>
  <c r="U134" i="406"/>
  <c r="M134" i="406" s="1"/>
  <c r="U204" i="405"/>
  <c r="L218" i="346"/>
  <c r="L217" i="346"/>
  <c r="M235" i="346"/>
  <c r="Y228" i="408"/>
  <c r="W228" i="408"/>
  <c r="X228" i="408" s="1"/>
  <c r="Y78" i="407"/>
  <c r="Z78" i="407" s="1"/>
  <c r="W78" i="407"/>
  <c r="X78" i="407" s="1"/>
  <c r="X140" i="406"/>
  <c r="Y140" i="406" s="1"/>
  <c r="W214" i="405"/>
  <c r="X214" i="405" s="1"/>
  <c r="M86" i="346"/>
  <c r="Y77" i="408"/>
  <c r="V77" i="408"/>
  <c r="W77" i="408" s="1"/>
  <c r="X77" i="408" s="1"/>
  <c r="Y45" i="407"/>
  <c r="Z45" i="407" s="1"/>
  <c r="AA45" i="407" s="1"/>
  <c r="V45" i="407"/>
  <c r="W45" i="407" s="1"/>
  <c r="X45" i="407" s="1"/>
  <c r="W62" i="406"/>
  <c r="X62" i="406" s="1"/>
  <c r="W63" i="405"/>
  <c r="X63" i="405" s="1"/>
  <c r="Y63" i="405" s="1"/>
  <c r="W102" i="405"/>
  <c r="Y26" i="405"/>
  <c r="Z26" i="405" s="1"/>
  <c r="W178" i="405"/>
  <c r="Y14" i="405"/>
  <c r="Z14" i="405" s="1"/>
  <c r="M14" i="405" s="1"/>
  <c r="M30" i="346"/>
  <c r="AD30" i="407"/>
  <c r="AC30" i="407"/>
  <c r="M30" i="407" s="1"/>
  <c r="Z23" i="408"/>
  <c r="AA23" i="408" s="1"/>
  <c r="M23" i="408" s="1"/>
  <c r="AA24" i="408"/>
  <c r="Z19" i="405"/>
  <c r="L28" i="346"/>
  <c r="P28" i="346" s="1"/>
  <c r="Y17" i="405"/>
  <c r="Z17" i="405" s="1"/>
  <c r="AA17" i="405" s="1"/>
  <c r="M17" i="405" s="1"/>
  <c r="AA22" i="408"/>
  <c r="AB22" i="408" s="1"/>
  <c r="M22" i="408" s="1"/>
  <c r="M23" i="346"/>
  <c r="M15" i="405"/>
  <c r="Z17" i="406"/>
  <c r="M17" i="406" s="1"/>
  <c r="L18" i="346"/>
  <c r="P18" i="346" s="1"/>
  <c r="AK16" i="408"/>
  <c r="AL16" i="408" s="1"/>
  <c r="AM16" i="408" s="1"/>
  <c r="AH16" i="408"/>
  <c r="AG16" i="408"/>
  <c r="AD16" i="408"/>
  <c r="AC16" i="408"/>
  <c r="AY18" i="407"/>
  <c r="AZ18" i="407" s="1"/>
  <c r="BA18" i="407" s="1"/>
  <c r="AV18" i="407"/>
  <c r="AW18" i="407" s="1"/>
  <c r="AX18" i="407" s="1"/>
  <c r="AS18" i="407"/>
  <c r="AR18" i="407"/>
  <c r="AN18" i="407"/>
  <c r="AM18" i="407"/>
  <c r="AJ18" i="407"/>
  <c r="AI18" i="407"/>
  <c r="AG18" i="407"/>
  <c r="Y18" i="407" s="1"/>
  <c r="AJ14" i="406"/>
  <c r="AK14" i="406" s="1"/>
  <c r="AL14" i="406" s="1"/>
  <c r="AG14" i="406"/>
  <c r="AF14" i="406"/>
  <c r="AC14" i="406"/>
  <c r="AB14" i="406"/>
  <c r="AK13" i="405"/>
  <c r="AL13" i="405" s="1"/>
  <c r="AM13" i="405" s="1"/>
  <c r="AH13" i="405"/>
  <c r="AG13" i="405"/>
  <c r="AD13" i="405"/>
  <c r="Z13" i="405" s="1"/>
  <c r="AE13" i="405" s="1"/>
  <c r="AC13" i="405"/>
  <c r="Y21" i="405"/>
  <c r="Z21" i="405" s="1"/>
  <c r="AA21" i="405" s="1"/>
  <c r="M21" i="405" s="1"/>
  <c r="Z26" i="408"/>
  <c r="AA26" i="408" s="1"/>
  <c r="AB26" i="408" s="1"/>
  <c r="M26" i="408" s="1"/>
  <c r="Z32" i="407"/>
  <c r="AB32" i="407" s="1"/>
  <c r="AF32" i="407" s="1"/>
  <c r="Y32" i="407"/>
  <c r="AA32" i="407" s="1"/>
  <c r="AE32" i="407" s="1"/>
  <c r="M32" i="407" s="1"/>
  <c r="Y21" i="406"/>
  <c r="Z21" i="406" s="1"/>
  <c r="AA21" i="406" s="1"/>
  <c r="M21" i="406" s="1"/>
  <c r="AA27" i="408"/>
  <c r="Y22" i="405"/>
  <c r="Z22" i="405" s="1"/>
  <c r="L40" i="346"/>
  <c r="M40" i="346"/>
  <c r="M38" i="346"/>
  <c r="Y23" i="405"/>
  <c r="Z23" i="405" s="1"/>
  <c r="AA23" i="405" s="1"/>
  <c r="M23" i="405" s="1"/>
  <c r="Y22" i="406"/>
  <c r="Z22" i="406" s="1"/>
  <c r="AA22" i="406" s="1"/>
  <c r="M22" i="406" s="1"/>
  <c r="AB36" i="407"/>
  <c r="AD36" i="407" s="1"/>
  <c r="AF36" i="407" s="1"/>
  <c r="AA36" i="407"/>
  <c r="AC36" i="407" s="1"/>
  <c r="AE36" i="407" s="1"/>
  <c r="M36" i="407" s="1"/>
  <c r="Z29" i="408"/>
  <c r="AA29" i="408" s="1"/>
  <c r="AB29" i="408" s="1"/>
  <c r="M29" i="408" s="1"/>
  <c r="Z31" i="408"/>
  <c r="AA31" i="408" s="1"/>
  <c r="AB31" i="408" s="1"/>
  <c r="M31" i="408" s="1"/>
  <c r="AB38" i="407"/>
  <c r="AD38" i="407" s="1"/>
  <c r="AF38" i="407" s="1"/>
  <c r="AA38" i="407"/>
  <c r="AC38" i="407" s="1"/>
  <c r="AE38" i="407" s="1"/>
  <c r="M38" i="407" s="1"/>
  <c r="Y24" i="406"/>
  <c r="Z24" i="406" s="1"/>
  <c r="AA24" i="406" s="1"/>
  <c r="Y25" i="405"/>
  <c r="Z25" i="405" s="1"/>
  <c r="AA25" i="405" s="1"/>
  <c r="M25" i="405" s="1"/>
  <c r="X16" i="405"/>
  <c r="Y16" i="405" s="1"/>
  <c r="Z16" i="405" s="1"/>
  <c r="I20" i="403"/>
  <c r="L20" i="403" s="1"/>
  <c r="H20" i="403"/>
  <c r="K20" i="403" s="1"/>
  <c r="I19" i="403"/>
  <c r="L19" i="403" s="1"/>
  <c r="H19" i="403"/>
  <c r="I18" i="403"/>
  <c r="L18" i="403" s="1"/>
  <c r="H18" i="403"/>
  <c r="K18" i="403" s="1"/>
  <c r="I11" i="403"/>
  <c r="L11" i="403" s="1"/>
  <c r="H11" i="403"/>
  <c r="M12" i="346"/>
  <c r="L12" i="346"/>
  <c r="P12" i="346" s="1"/>
  <c r="Z12" i="407"/>
  <c r="Y12" i="407"/>
  <c r="M12" i="407" s="1"/>
  <c r="P12" i="407"/>
  <c r="W11" i="405"/>
  <c r="M11" i="405" s="1"/>
  <c r="X11" i="408"/>
  <c r="W11" i="408"/>
  <c r="W12" i="406"/>
  <c r="M12" i="406" s="1"/>
  <c r="Q65" i="405"/>
  <c r="Q63" i="406"/>
  <c r="Q79" i="408"/>
  <c r="Q93" i="405"/>
  <c r="Q77" i="406"/>
  <c r="R77" i="406" s="1"/>
  <c r="S77" i="406" s="1"/>
  <c r="Q254" i="346"/>
  <c r="Q247" i="408"/>
  <c r="Q151" i="406"/>
  <c r="Q233" i="405"/>
  <c r="E12" i="398"/>
  <c r="Q365" i="408"/>
  <c r="Q364" i="408"/>
  <c r="Q363" i="408"/>
  <c r="Q362" i="408"/>
  <c r="Q361" i="408"/>
  <c r="Q360" i="408"/>
  <c r="Q359" i="408"/>
  <c r="Q358" i="408"/>
  <c r="Q357" i="408"/>
  <c r="Q356" i="408"/>
  <c r="Q355" i="408"/>
  <c r="Q354" i="408"/>
  <c r="Q353" i="408"/>
  <c r="Q352" i="408"/>
  <c r="Q351" i="408"/>
  <c r="Q349" i="408"/>
  <c r="Q345" i="408"/>
  <c r="Q344" i="408"/>
  <c r="Q343" i="408"/>
  <c r="Q340" i="408"/>
  <c r="Q339" i="408"/>
  <c r="Q338" i="408"/>
  <c r="Q337" i="408"/>
  <c r="Q334" i="408"/>
  <c r="Q332" i="408"/>
  <c r="Q331" i="408"/>
  <c r="Q330" i="408"/>
  <c r="Q329" i="408"/>
  <c r="Q328" i="408"/>
  <c r="Q327" i="408"/>
  <c r="Q326" i="408"/>
  <c r="Q325" i="408"/>
  <c r="Q324" i="408"/>
  <c r="Q322" i="408"/>
  <c r="Q321" i="408"/>
  <c r="Q320" i="408"/>
  <c r="Q319" i="408"/>
  <c r="Q318" i="408"/>
  <c r="Q317" i="408"/>
  <c r="Q316" i="408"/>
  <c r="Q315" i="408"/>
  <c r="Q314" i="408"/>
  <c r="Q313" i="408"/>
  <c r="Q312" i="408"/>
  <c r="Q311" i="408"/>
  <c r="Q310" i="408"/>
  <c r="Q307" i="408"/>
  <c r="Q304" i="408"/>
  <c r="Q303" i="408"/>
  <c r="Q300" i="408"/>
  <c r="Q299" i="408"/>
  <c r="Q298" i="408"/>
  <c r="Q297" i="408"/>
  <c r="Q296" i="408"/>
  <c r="Q295" i="408"/>
  <c r="Q290" i="408"/>
  <c r="Q289" i="408"/>
  <c r="Q288" i="408"/>
  <c r="Q285" i="408"/>
  <c r="Q286" i="408"/>
  <c r="Q287" i="408"/>
  <c r="Q284" i="408"/>
  <c r="Q283" i="408"/>
  <c r="Q281" i="408"/>
  <c r="Q278" i="408"/>
  <c r="Q277" i="408"/>
  <c r="Q275" i="408"/>
  <c r="R275" i="408" s="1"/>
  <c r="S275" i="408" s="1"/>
  <c r="T275" i="408" s="1"/>
  <c r="Q271" i="408"/>
  <c r="Q270" i="408"/>
  <c r="Q269" i="408"/>
  <c r="Q268" i="408"/>
  <c r="Q267" i="408"/>
  <c r="Q266" i="408"/>
  <c r="Q265" i="408"/>
  <c r="Q264" i="408"/>
  <c r="Q263" i="408"/>
  <c r="Q262" i="408"/>
  <c r="Q261" i="408"/>
  <c r="Q260" i="408"/>
  <c r="Q259" i="408"/>
  <c r="Q258" i="408"/>
  <c r="Q256" i="408"/>
  <c r="Q255" i="408"/>
  <c r="Q245" i="408"/>
  <c r="Q244" i="408"/>
  <c r="Q241" i="408"/>
  <c r="Q240" i="408"/>
  <c r="R240" i="408" s="1"/>
  <c r="S240" i="408" s="1"/>
  <c r="T240" i="408" s="1"/>
  <c r="Q239" i="408"/>
  <c r="Q238" i="408"/>
  <c r="Q237" i="408"/>
  <c r="Q236" i="408"/>
  <c r="Q235" i="408"/>
  <c r="Q231" i="408"/>
  <c r="Q230" i="408"/>
  <c r="Q229" i="408"/>
  <c r="R229" i="408" s="1"/>
  <c r="S229" i="408" s="1"/>
  <c r="T229" i="408" s="1"/>
  <c r="Q228" i="408"/>
  <c r="Q227" i="408"/>
  <c r="Q223" i="408"/>
  <c r="Q221" i="408"/>
  <c r="R221" i="408" s="1"/>
  <c r="S221" i="408" s="1"/>
  <c r="T221" i="408" s="1"/>
  <c r="Q222" i="408"/>
  <c r="Q220" i="408"/>
  <c r="Q218" i="408"/>
  <c r="Q216" i="408"/>
  <c r="Q214" i="408"/>
  <c r="Q213" i="408"/>
  <c r="Q211" i="408"/>
  <c r="Q210" i="408"/>
  <c r="Q209" i="408"/>
  <c r="Q208" i="408"/>
  <c r="Q206" i="408"/>
  <c r="Q205" i="408"/>
  <c r="Q204" i="408"/>
  <c r="Q201" i="408"/>
  <c r="Q200" i="408"/>
  <c r="Q197" i="408"/>
  <c r="R197" i="408" s="1"/>
  <c r="S197" i="408" s="1"/>
  <c r="T197" i="408" s="1"/>
  <c r="Q194" i="408"/>
  <c r="Q191" i="408"/>
  <c r="Q190" i="408"/>
  <c r="Q189" i="408"/>
  <c r="R189" i="408" s="1"/>
  <c r="Q188" i="408"/>
  <c r="Q185" i="408"/>
  <c r="Q183" i="408"/>
  <c r="Q182" i="408"/>
  <c r="Q181" i="408"/>
  <c r="Q180" i="408"/>
  <c r="Q179" i="408"/>
  <c r="Q177" i="408"/>
  <c r="Q173" i="408"/>
  <c r="Q172" i="408"/>
  <c r="Q171" i="408"/>
  <c r="Q170" i="408"/>
  <c r="Q169" i="408"/>
  <c r="Q168" i="408"/>
  <c r="Q167" i="408"/>
  <c r="Q166" i="408"/>
  <c r="Q165" i="408"/>
  <c r="Q164" i="408"/>
  <c r="Q162" i="408"/>
  <c r="Q161" i="408"/>
  <c r="Q160" i="408"/>
  <c r="Q159" i="408"/>
  <c r="Q158" i="408"/>
  <c r="Q157" i="408"/>
  <c r="Q156" i="408"/>
  <c r="Q155" i="408"/>
  <c r="Q154" i="408"/>
  <c r="Q153" i="408"/>
  <c r="Q152" i="408"/>
  <c r="Q151" i="408"/>
  <c r="Q150" i="408"/>
  <c r="Q149" i="408"/>
  <c r="Q147" i="408"/>
  <c r="Q146" i="408"/>
  <c r="Q145" i="408"/>
  <c r="Q144" i="408"/>
  <c r="R144" i="408" s="1"/>
  <c r="S144" i="408" s="1"/>
  <c r="Q143" i="408"/>
  <c r="Q141" i="408"/>
  <c r="Q140" i="408"/>
  <c r="Q137" i="408"/>
  <c r="Q136" i="408"/>
  <c r="Q135" i="408"/>
  <c r="Q131" i="408"/>
  <c r="Q130" i="408"/>
  <c r="Q129" i="408"/>
  <c r="Q128" i="408"/>
  <c r="Q127" i="408"/>
  <c r="Q122" i="408"/>
  <c r="Q120" i="408"/>
  <c r="Q119" i="408"/>
  <c r="Q118" i="408"/>
  <c r="Q114" i="408"/>
  <c r="Q112" i="408"/>
  <c r="Q111" i="408"/>
  <c r="Q109" i="408"/>
  <c r="Q108" i="408"/>
  <c r="Q104" i="408"/>
  <c r="Q102" i="408"/>
  <c r="Q101" i="408"/>
  <c r="Q100" i="408"/>
  <c r="Q97" i="408"/>
  <c r="Q96" i="408"/>
  <c r="Q95" i="408"/>
  <c r="Q93" i="408"/>
  <c r="Q92" i="408"/>
  <c r="Q90" i="408"/>
  <c r="Q89" i="408"/>
  <c r="Q88" i="408"/>
  <c r="Q87" i="408"/>
  <c r="Q86" i="408"/>
  <c r="Q80" i="408"/>
  <c r="Q77" i="408"/>
  <c r="Q69" i="408"/>
  <c r="Q67" i="408"/>
  <c r="Q66" i="408"/>
  <c r="Q65" i="408"/>
  <c r="R65" i="408" s="1"/>
  <c r="S65" i="408" s="1"/>
  <c r="T65" i="408" s="1"/>
  <c r="Q64" i="408"/>
  <c r="Q63" i="408"/>
  <c r="Q62" i="408"/>
  <c r="Q60" i="408"/>
  <c r="Q59" i="408"/>
  <c r="Q58" i="408"/>
  <c r="Q57" i="408"/>
  <c r="Q56" i="408"/>
  <c r="Q53" i="408"/>
  <c r="Q52" i="408"/>
  <c r="Q51" i="408"/>
  <c r="Q50" i="408"/>
  <c r="Q49" i="408"/>
  <c r="Q48" i="408"/>
  <c r="Q47" i="408"/>
  <c r="Q46" i="408"/>
  <c r="Q45" i="408"/>
  <c r="Q44" i="408"/>
  <c r="Q43" i="408"/>
  <c r="Q42" i="408"/>
  <c r="Q40" i="408"/>
  <c r="Q39" i="408"/>
  <c r="Q38" i="408"/>
  <c r="Q37" i="408"/>
  <c r="Q342" i="405"/>
  <c r="Q341" i="405"/>
  <c r="Q340" i="405"/>
  <c r="Q339" i="405"/>
  <c r="Q338" i="405"/>
  <c r="Q337" i="405"/>
  <c r="Q336" i="405"/>
  <c r="Q335" i="405"/>
  <c r="Q334" i="405"/>
  <c r="Q333" i="405"/>
  <c r="Q331" i="405"/>
  <c r="Q327" i="405"/>
  <c r="Q326" i="405"/>
  <c r="Q325" i="405"/>
  <c r="Q324" i="405"/>
  <c r="Q318" i="405"/>
  <c r="Q317" i="405"/>
  <c r="Q313" i="405"/>
  <c r="Q312" i="405"/>
  <c r="Q311" i="405"/>
  <c r="Q306" i="405"/>
  <c r="Q305" i="405"/>
  <c r="Q304" i="405"/>
  <c r="Q302" i="405"/>
  <c r="Q300" i="405"/>
  <c r="Q301" i="405"/>
  <c r="Q299" i="405"/>
  <c r="Q297" i="405"/>
  <c r="Q296" i="405"/>
  <c r="Q293" i="405"/>
  <c r="Q289" i="405"/>
  <c r="Q286" i="405"/>
  <c r="Q285" i="405"/>
  <c r="Q284" i="405"/>
  <c r="Q282" i="405"/>
  <c r="Q281" i="405"/>
  <c r="Q271" i="405"/>
  <c r="Q272" i="405"/>
  <c r="Q273" i="405"/>
  <c r="Q270" i="405"/>
  <c r="Q269" i="405"/>
  <c r="Q264" i="405"/>
  <c r="Q263" i="405"/>
  <c r="Q260" i="405"/>
  <c r="Q259" i="405"/>
  <c r="Q258" i="405"/>
  <c r="Q252" i="405"/>
  <c r="Q251" i="405"/>
  <c r="Q244" i="405"/>
  <c r="Q242" i="405"/>
  <c r="Q230" i="405"/>
  <c r="Q226" i="405"/>
  <c r="Q225" i="405"/>
  <c r="Q223" i="405"/>
  <c r="Q222" i="405"/>
  <c r="Q221" i="405"/>
  <c r="Q217" i="405"/>
  <c r="Q214" i="405"/>
  <c r="Q213" i="405"/>
  <c r="Q208" i="405"/>
  <c r="Q207" i="405"/>
  <c r="Q206" i="405"/>
  <c r="Q204" i="405"/>
  <c r="Q202" i="405"/>
  <c r="Q200" i="405"/>
  <c r="Q199" i="405"/>
  <c r="Q197" i="405"/>
  <c r="Q196" i="405"/>
  <c r="Q194" i="405"/>
  <c r="Q187" i="405"/>
  <c r="Q186" i="405"/>
  <c r="Q183" i="405"/>
  <c r="Q180" i="405"/>
  <c r="Q178" i="405"/>
  <c r="Q177" i="405"/>
  <c r="Q175" i="405"/>
  <c r="Q169" i="405"/>
  <c r="Q168" i="405"/>
  <c r="Q164" i="405"/>
  <c r="Q159" i="405"/>
  <c r="Q145" i="405"/>
  <c r="Q144" i="405"/>
  <c r="Q143" i="405"/>
  <c r="Q141" i="405"/>
  <c r="Q140" i="405"/>
  <c r="Q139" i="405"/>
  <c r="Q138" i="405"/>
  <c r="Q137" i="405"/>
  <c r="Q135" i="405"/>
  <c r="Q133" i="405"/>
  <c r="Q132" i="405"/>
  <c r="Q127" i="405"/>
  <c r="Q122" i="405"/>
  <c r="Q121" i="405"/>
  <c r="Q117" i="405"/>
  <c r="Q116" i="405"/>
  <c r="Q115" i="405"/>
  <c r="Q114" i="405"/>
  <c r="Q113" i="405"/>
  <c r="Q108" i="405"/>
  <c r="Q106" i="405"/>
  <c r="Q105" i="405"/>
  <c r="Q102" i="405"/>
  <c r="Q88" i="405"/>
  <c r="Q87" i="405"/>
  <c r="Q86" i="405"/>
  <c r="Q83" i="405"/>
  <c r="Q78" i="405"/>
  <c r="Q75" i="405"/>
  <c r="Q74" i="405"/>
  <c r="Q73" i="405"/>
  <c r="Q72" i="405"/>
  <c r="Q66" i="405"/>
  <c r="Q63" i="405"/>
  <c r="Q53" i="405"/>
  <c r="Q49" i="405"/>
  <c r="Q35" i="405"/>
  <c r="Q34" i="405"/>
  <c r="Q33" i="405"/>
  <c r="Q32" i="405"/>
  <c r="Q31" i="405"/>
  <c r="Q30" i="405"/>
  <c r="Q29" i="405"/>
  <c r="Q28" i="405"/>
  <c r="Q237" i="406"/>
  <c r="Q236" i="406"/>
  <c r="Q235" i="406"/>
  <c r="Q234" i="406"/>
  <c r="Q233" i="406"/>
  <c r="Q232" i="406"/>
  <c r="Q231" i="406"/>
  <c r="Q230" i="406"/>
  <c r="Q229" i="406"/>
  <c r="Q228" i="406"/>
  <c r="Q227" i="406"/>
  <c r="Q226" i="406"/>
  <c r="Q225" i="406"/>
  <c r="Q224" i="406"/>
  <c r="Q222" i="406"/>
  <c r="Q221" i="406"/>
  <c r="R221" i="406" s="1"/>
  <c r="S221" i="406" s="1"/>
  <c r="Q220" i="406"/>
  <c r="Q216" i="406"/>
  <c r="Q215" i="406"/>
  <c r="Q214" i="406"/>
  <c r="Q213" i="406"/>
  <c r="Q212" i="406"/>
  <c r="Q211" i="406"/>
  <c r="Q205" i="406"/>
  <c r="Q204" i="406"/>
  <c r="Q203" i="406"/>
  <c r="Q202" i="406"/>
  <c r="Q201" i="406"/>
  <c r="Q200" i="406"/>
  <c r="Q199" i="406"/>
  <c r="Q198" i="406"/>
  <c r="Q197" i="406"/>
  <c r="Q196" i="406"/>
  <c r="Q195" i="406"/>
  <c r="Q194" i="406"/>
  <c r="Q193" i="406"/>
  <c r="Q190" i="406"/>
  <c r="Q188" i="406"/>
  <c r="Q185" i="406"/>
  <c r="Q184" i="406"/>
  <c r="Q183" i="406"/>
  <c r="Q181" i="406"/>
  <c r="Q180" i="406"/>
  <c r="Q178" i="406"/>
  <c r="Q175" i="406"/>
  <c r="Q176" i="406"/>
  <c r="Q177" i="406"/>
  <c r="Q174" i="406"/>
  <c r="R174" i="406" s="1"/>
  <c r="Q173" i="406"/>
  <c r="Q170" i="406"/>
  <c r="Q169" i="406"/>
  <c r="Q168" i="406"/>
  <c r="Q167" i="406"/>
  <c r="Q166" i="406"/>
  <c r="Q165" i="406"/>
  <c r="Q164" i="406"/>
  <c r="Q163" i="406"/>
  <c r="Q162" i="406"/>
  <c r="Q161" i="406"/>
  <c r="Q160" i="406"/>
  <c r="Q159" i="406"/>
  <c r="Q158" i="406"/>
  <c r="Q156" i="406"/>
  <c r="Q155" i="406"/>
  <c r="R155" i="406" s="1"/>
  <c r="S155" i="406" s="1"/>
  <c r="T155" i="406" s="1"/>
  <c r="Q154" i="406"/>
  <c r="Q153" i="406"/>
  <c r="Q152" i="406"/>
  <c r="Q150" i="406"/>
  <c r="Q149" i="406"/>
  <c r="Q148" i="406"/>
  <c r="Q147" i="406"/>
  <c r="Q146" i="406"/>
  <c r="Q145" i="406"/>
  <c r="Q144" i="406"/>
  <c r="Q143" i="406"/>
  <c r="Q142" i="406"/>
  <c r="Q141" i="406"/>
  <c r="Q140" i="406"/>
  <c r="Q139" i="406"/>
  <c r="Q138" i="406"/>
  <c r="Q137" i="406"/>
  <c r="Q136" i="406"/>
  <c r="Q134" i="406"/>
  <c r="Q133" i="406"/>
  <c r="Q131" i="406"/>
  <c r="Q130" i="406"/>
  <c r="Q129" i="406"/>
  <c r="Q128" i="406"/>
  <c r="Q127" i="406"/>
  <c r="Q126" i="406"/>
  <c r="Q125" i="406"/>
  <c r="Q124" i="406"/>
  <c r="Q123" i="406"/>
  <c r="Q122" i="406"/>
  <c r="Q121" i="406"/>
  <c r="Q120" i="406"/>
  <c r="Q119" i="406"/>
  <c r="Q118" i="406"/>
  <c r="Q117" i="406"/>
  <c r="Q116" i="406"/>
  <c r="Q115" i="406"/>
  <c r="Q113" i="406"/>
  <c r="Q112" i="406"/>
  <c r="Q111" i="406"/>
  <c r="Q110" i="406"/>
  <c r="Q109" i="406"/>
  <c r="Q108" i="406"/>
  <c r="Q107" i="406"/>
  <c r="Q106" i="406"/>
  <c r="Q105" i="406"/>
  <c r="Q103" i="406"/>
  <c r="Q102" i="406"/>
  <c r="Q101" i="406"/>
  <c r="Q100" i="406"/>
  <c r="Q99" i="406"/>
  <c r="Q98" i="406"/>
  <c r="Q97" i="406"/>
  <c r="Q96" i="406"/>
  <c r="Q95" i="406"/>
  <c r="Q94" i="406"/>
  <c r="Q93" i="406"/>
  <c r="Q91" i="406"/>
  <c r="Q90" i="406"/>
  <c r="Q89" i="406"/>
  <c r="Q88" i="406"/>
  <c r="Q87" i="406"/>
  <c r="Q86" i="406"/>
  <c r="Q85" i="406"/>
  <c r="Q84" i="406"/>
  <c r="Q83" i="406"/>
  <c r="Q82" i="406"/>
  <c r="Q81" i="406"/>
  <c r="Q80" i="406"/>
  <c r="Q79" i="406"/>
  <c r="Q76" i="406"/>
  <c r="Q75" i="406"/>
  <c r="R75" i="406" s="1"/>
  <c r="S75" i="406" s="1"/>
  <c r="Q74" i="406"/>
  <c r="Q73" i="406"/>
  <c r="Q72" i="406"/>
  <c r="Q71" i="406"/>
  <c r="Q70" i="406"/>
  <c r="Q69" i="406"/>
  <c r="Q68" i="406"/>
  <c r="Q64" i="406"/>
  <c r="Q62" i="406"/>
  <c r="Q56" i="406"/>
  <c r="Q51" i="406"/>
  <c r="Q50" i="406"/>
  <c r="Q49" i="406"/>
  <c r="Q41" i="406"/>
  <c r="Q40" i="406"/>
  <c r="Q39" i="406"/>
  <c r="Q38" i="406"/>
  <c r="Q37" i="406"/>
  <c r="Q36" i="406"/>
  <c r="Q35" i="406"/>
  <c r="Q34" i="406"/>
  <c r="Q33" i="406"/>
  <c r="Q32" i="406"/>
  <c r="Q31" i="406"/>
  <c r="Q30" i="406"/>
  <c r="Q29" i="406"/>
  <c r="Q28" i="406"/>
  <c r="Q27" i="406"/>
  <c r="Q26" i="406"/>
  <c r="Q99" i="407"/>
  <c r="Q94" i="407"/>
  <c r="Q93" i="407"/>
  <c r="Q92" i="407"/>
  <c r="Q91" i="407"/>
  <c r="Q90" i="407"/>
  <c r="Q89" i="407"/>
  <c r="Q87" i="407"/>
  <c r="Q85" i="407"/>
  <c r="Q84" i="407"/>
  <c r="Q83" i="407"/>
  <c r="Q82" i="407"/>
  <c r="Q81" i="407"/>
  <c r="Q80" i="407"/>
  <c r="Q79" i="407"/>
  <c r="Q78" i="407"/>
  <c r="Q77" i="407"/>
  <c r="Q76" i="407"/>
  <c r="Q75" i="407"/>
  <c r="Q73" i="407"/>
  <c r="Q71" i="407"/>
  <c r="Q70" i="407"/>
  <c r="Q69" i="407"/>
  <c r="Q68" i="407"/>
  <c r="Q67" i="407"/>
  <c r="Q66" i="407"/>
  <c r="Q65" i="407"/>
  <c r="Q64" i="407"/>
  <c r="Q63" i="407"/>
  <c r="Q62" i="407"/>
  <c r="Q61" i="407"/>
  <c r="Q60" i="407"/>
  <c r="Q59" i="407"/>
  <c r="Q58" i="407"/>
  <c r="Q57" i="407"/>
  <c r="Q56" i="407"/>
  <c r="Q55" i="407"/>
  <c r="Q54" i="407"/>
  <c r="Q53" i="407"/>
  <c r="Q52" i="407"/>
  <c r="Q51" i="407"/>
  <c r="Q50" i="407"/>
  <c r="Q46" i="407"/>
  <c r="Q45" i="407"/>
  <c r="Q43" i="407"/>
  <c r="Q44" i="407"/>
  <c r="Q166" i="346"/>
  <c r="Q382" i="346"/>
  <c r="Q381" i="346"/>
  <c r="Q380" i="346"/>
  <c r="Q379" i="346"/>
  <c r="Q378" i="346"/>
  <c r="Q377" i="346"/>
  <c r="Q376" i="346"/>
  <c r="Q375" i="346"/>
  <c r="Q374" i="346"/>
  <c r="Q373" i="346"/>
  <c r="Q372" i="346"/>
  <c r="Q371" i="346"/>
  <c r="Q370" i="346"/>
  <c r="Q369" i="346"/>
  <c r="Q368" i="346"/>
  <c r="Q367" i="346"/>
  <c r="Q365" i="346"/>
  <c r="Q361" i="346"/>
  <c r="Q360" i="346"/>
  <c r="Q359" i="346"/>
  <c r="Q328" i="405"/>
  <c r="Q358" i="346"/>
  <c r="Q357" i="346"/>
  <c r="Q354" i="346"/>
  <c r="Q353" i="346"/>
  <c r="Q352" i="346"/>
  <c r="Q351" i="346"/>
  <c r="Q350" i="346"/>
  <c r="Q349" i="346"/>
  <c r="Q348" i="346"/>
  <c r="Q345" i="346"/>
  <c r="Q340" i="346"/>
  <c r="Q339" i="346"/>
  <c r="Q338" i="346"/>
  <c r="Q337" i="346"/>
  <c r="Q336" i="346"/>
  <c r="Q335" i="346"/>
  <c r="Q334" i="346"/>
  <c r="Q333" i="346"/>
  <c r="Q332" i="346"/>
  <c r="Q331" i="346"/>
  <c r="Q329" i="346"/>
  <c r="Q328" i="346"/>
  <c r="Q327" i="346"/>
  <c r="Q326" i="346"/>
  <c r="Q325" i="346"/>
  <c r="Q324" i="346"/>
  <c r="Q323" i="346"/>
  <c r="Q322" i="346"/>
  <c r="Q321" i="346"/>
  <c r="Q320" i="346"/>
  <c r="Q319" i="346"/>
  <c r="Q318" i="346"/>
  <c r="Q317" i="346"/>
  <c r="Q314" i="346"/>
  <c r="Q311" i="346"/>
  <c r="Q310" i="346"/>
  <c r="Q307" i="346"/>
  <c r="Q306" i="346"/>
  <c r="Q305" i="346"/>
  <c r="Q304" i="346"/>
  <c r="Q303" i="346"/>
  <c r="Q302" i="346"/>
  <c r="Q301" i="346"/>
  <c r="Q300" i="346"/>
  <c r="Q297" i="346"/>
  <c r="Q296" i="346"/>
  <c r="Q295" i="346"/>
  <c r="Q293" i="346"/>
  <c r="Q294" i="346"/>
  <c r="Q292" i="346"/>
  <c r="Q291" i="346"/>
  <c r="Q290" i="346"/>
  <c r="Q288" i="346"/>
  <c r="Q285" i="346"/>
  <c r="Q284" i="346"/>
  <c r="Q282" i="346"/>
  <c r="Q281" i="346"/>
  <c r="Q280" i="346"/>
  <c r="Q279" i="346"/>
  <c r="Q278" i="346"/>
  <c r="Q277" i="346"/>
  <c r="Q276" i="346"/>
  <c r="Q275" i="346"/>
  <c r="Q274" i="346"/>
  <c r="Q273" i="346"/>
  <c r="Q272" i="346"/>
  <c r="Q271" i="346"/>
  <c r="Q270" i="346"/>
  <c r="Q269" i="346"/>
  <c r="Q268" i="346"/>
  <c r="Q267" i="346"/>
  <c r="Q266" i="346"/>
  <c r="Q265" i="346"/>
  <c r="Q264" i="346"/>
  <c r="Q263" i="346"/>
  <c r="Q262" i="346"/>
  <c r="Q261" i="346"/>
  <c r="Q260" i="346"/>
  <c r="Q259" i="346"/>
  <c r="Q252" i="346"/>
  <c r="Q251" i="346"/>
  <c r="Q249" i="346"/>
  <c r="Q248" i="346"/>
  <c r="Q247" i="346"/>
  <c r="Q246" i="346"/>
  <c r="Q245" i="346"/>
  <c r="Q244" i="346"/>
  <c r="Q243" i="346"/>
  <c r="Q242" i="346"/>
  <c r="Q241" i="346"/>
  <c r="Q240" i="346"/>
  <c r="Q239" i="346"/>
  <c r="Q238" i="346"/>
  <c r="Q237" i="346"/>
  <c r="Q236" i="346"/>
  <c r="Q235" i="346"/>
  <c r="Q234" i="346"/>
  <c r="Q233" i="346"/>
  <c r="Q232" i="346"/>
  <c r="Q231" i="346"/>
  <c r="Q230" i="346"/>
  <c r="Q229" i="346"/>
  <c r="Q228" i="346"/>
  <c r="Q227" i="346"/>
  <c r="Q225" i="346"/>
  <c r="Q223" i="346"/>
  <c r="Q221" i="346"/>
  <c r="Q220" i="346"/>
  <c r="Q219" i="346"/>
  <c r="Q218" i="346"/>
  <c r="Q217" i="346"/>
  <c r="Q216" i="346"/>
  <c r="Q215" i="346"/>
  <c r="Q213" i="346"/>
  <c r="Q212" i="346"/>
  <c r="Q211" i="346"/>
  <c r="Q210" i="346"/>
  <c r="Q208" i="346"/>
  <c r="Q207" i="346"/>
  <c r="Q205" i="346"/>
  <c r="Q204" i="346"/>
  <c r="Q203" i="346"/>
  <c r="Q202" i="346"/>
  <c r="Q201" i="346"/>
  <c r="Q199" i="346"/>
  <c r="Q198" i="346"/>
  <c r="Q197" i="346"/>
  <c r="Q196" i="346"/>
  <c r="Q195" i="346"/>
  <c r="Q194" i="346"/>
  <c r="Q193" i="346"/>
  <c r="Q192" i="346"/>
  <c r="Q191" i="346"/>
  <c r="Q190" i="346"/>
  <c r="Q189" i="346"/>
  <c r="Q188" i="346"/>
  <c r="Q187" i="346"/>
  <c r="Q186" i="346"/>
  <c r="Q185" i="346"/>
  <c r="Q184" i="346"/>
  <c r="Q183" i="346"/>
  <c r="Q182" i="346"/>
  <c r="Q181" i="346"/>
  <c r="Q180" i="346"/>
  <c r="Q179" i="346"/>
  <c r="Q178" i="346"/>
  <c r="Q177" i="346"/>
  <c r="Q176" i="346"/>
  <c r="Q175" i="346"/>
  <c r="Q174" i="346"/>
  <c r="Q173" i="346"/>
  <c r="Q172" i="346"/>
  <c r="Q171" i="346"/>
  <c r="Q169" i="346"/>
  <c r="Q168" i="346"/>
  <c r="Q167" i="346"/>
  <c r="Q165" i="346"/>
  <c r="Q164" i="346"/>
  <c r="Q163" i="346"/>
  <c r="Q162" i="346"/>
  <c r="Q161" i="346"/>
  <c r="Q160" i="346"/>
  <c r="Q159" i="346"/>
  <c r="Q158" i="346"/>
  <c r="Q157" i="346"/>
  <c r="Q155" i="346"/>
  <c r="Q154" i="346"/>
  <c r="Q153" i="346"/>
  <c r="Q152" i="346"/>
  <c r="Q151" i="346"/>
  <c r="Q150" i="346"/>
  <c r="Q148" i="346"/>
  <c r="Q147" i="346"/>
  <c r="Q144" i="346"/>
  <c r="Q143" i="346"/>
  <c r="Q142" i="346"/>
  <c r="Q141" i="346"/>
  <c r="Q140" i="346"/>
  <c r="Q139" i="346"/>
  <c r="Q138" i="346"/>
  <c r="Q137" i="346"/>
  <c r="Q136" i="346"/>
  <c r="Q135" i="346"/>
  <c r="Q134" i="346"/>
  <c r="Q133" i="346"/>
  <c r="Q132" i="346"/>
  <c r="Q131" i="346"/>
  <c r="Q129" i="346"/>
  <c r="Q128" i="346"/>
  <c r="Q127" i="346"/>
  <c r="Q126" i="346"/>
  <c r="Q124" i="346"/>
  <c r="Q122" i="346"/>
  <c r="Q120" i="346"/>
  <c r="Q119" i="346"/>
  <c r="Q118" i="346"/>
  <c r="Q117" i="346"/>
  <c r="Q113" i="346"/>
  <c r="Q111" i="346"/>
  <c r="Q110" i="346"/>
  <c r="Q109" i="346"/>
  <c r="Q108" i="346"/>
  <c r="Q107" i="346"/>
  <c r="Q106" i="346"/>
  <c r="Q105" i="346"/>
  <c r="Q104" i="346"/>
  <c r="Q102" i="346"/>
  <c r="Q101" i="346"/>
  <c r="Q99" i="346"/>
  <c r="Q98" i="346"/>
  <c r="Q97" i="346"/>
  <c r="Q96" i="346"/>
  <c r="Q95" i="346"/>
  <c r="Q94" i="346"/>
  <c r="Q93" i="346"/>
  <c r="Q89" i="346"/>
  <c r="Q87" i="346"/>
  <c r="Q86" i="346"/>
  <c r="Q85" i="346"/>
  <c r="Q78" i="346"/>
  <c r="Q76" i="346"/>
  <c r="Q75" i="346"/>
  <c r="Q74" i="346"/>
  <c r="Q73" i="346"/>
  <c r="Q72" i="346"/>
  <c r="Q69" i="346"/>
  <c r="Q67" i="346"/>
  <c r="Q60" i="346"/>
  <c r="Q59" i="346"/>
  <c r="Q58" i="346"/>
  <c r="Q57" i="346"/>
  <c r="Q56" i="346"/>
  <c r="Q55" i="346"/>
  <c r="Q54" i="346"/>
  <c r="Q53" i="346"/>
  <c r="Q52" i="346"/>
  <c r="Q51" i="346"/>
  <c r="Q50" i="346"/>
  <c r="Q49" i="346"/>
  <c r="Q48" i="346"/>
  <c r="Q47" i="346"/>
  <c r="Q46" i="346"/>
  <c r="Q45" i="346"/>
  <c r="Q44" i="346"/>
  <c r="P380" i="346"/>
  <c r="P381" i="346"/>
  <c r="R381" i="346" s="1"/>
  <c r="P382" i="346"/>
  <c r="P302" i="405"/>
  <c r="Q26" i="405"/>
  <c r="Q25" i="405"/>
  <c r="Q24" i="405"/>
  <c r="Q23" i="405"/>
  <c r="Q22" i="405"/>
  <c r="Q20" i="405"/>
  <c r="Q19" i="405"/>
  <c r="Q17" i="405"/>
  <c r="Q16" i="405"/>
  <c r="Q15" i="405"/>
  <c r="Q14" i="405"/>
  <c r="Q13" i="405"/>
  <c r="Q12" i="405"/>
  <c r="Q24" i="406"/>
  <c r="Q23" i="406"/>
  <c r="Q22" i="406"/>
  <c r="Q21" i="406"/>
  <c r="Q19" i="406"/>
  <c r="Q17" i="406"/>
  <c r="Q14" i="406"/>
  <c r="Q13" i="406"/>
  <c r="Q38" i="407"/>
  <c r="Q37" i="407"/>
  <c r="Q36" i="407"/>
  <c r="Q32" i="407"/>
  <c r="Q31" i="407"/>
  <c r="Q30" i="407"/>
  <c r="Q27" i="407"/>
  <c r="Q23" i="407"/>
  <c r="Q18" i="407"/>
  <c r="Q16" i="407"/>
  <c r="Q31" i="408"/>
  <c r="Q30" i="408"/>
  <c r="Q29" i="408"/>
  <c r="Q28" i="408"/>
  <c r="Q27" i="408"/>
  <c r="Q26" i="408"/>
  <c r="Q24" i="408"/>
  <c r="Q23" i="408"/>
  <c r="Q22" i="408"/>
  <c r="Q21" i="408"/>
  <c r="Q18" i="408"/>
  <c r="Q17" i="408"/>
  <c r="Q16" i="408"/>
  <c r="Q15" i="408"/>
  <c r="Q42" i="346"/>
  <c r="Q40" i="346"/>
  <c r="Q39" i="346"/>
  <c r="Q38" i="346"/>
  <c r="Q35" i="346"/>
  <c r="Q34" i="346"/>
  <c r="Q33" i="346"/>
  <c r="Q32" i="346"/>
  <c r="Q31" i="346"/>
  <c r="Q30" i="346"/>
  <c r="Q28" i="346"/>
  <c r="Q27" i="346"/>
  <c r="Q25" i="346"/>
  <c r="Q24" i="346"/>
  <c r="Q23" i="346"/>
  <c r="Q19" i="346"/>
  <c r="Q18" i="346"/>
  <c r="Q16" i="346"/>
  <c r="Q15" i="346"/>
  <c r="Q14" i="346"/>
  <c r="Q13" i="346"/>
  <c r="Q12" i="346"/>
  <c r="Q71" i="346"/>
  <c r="Q68" i="346"/>
  <c r="Q66" i="346"/>
  <c r="Q65" i="346"/>
  <c r="Q64" i="346"/>
  <c r="Q63" i="346"/>
  <c r="P94" i="407"/>
  <c r="R94" i="407" s="1"/>
  <c r="S94" i="407" s="1"/>
  <c r="T94" i="407" s="1"/>
  <c r="P93" i="407"/>
  <c r="R93" i="407" s="1"/>
  <c r="S93" i="407" s="1"/>
  <c r="T93" i="407" s="1"/>
  <c r="P85" i="346"/>
  <c r="P205" i="406"/>
  <c r="P92" i="407"/>
  <c r="P340" i="405"/>
  <c r="P341" i="405"/>
  <c r="R341" i="405" s="1"/>
  <c r="P342" i="405"/>
  <c r="P235" i="406"/>
  <c r="R235" i="406" s="1"/>
  <c r="S235" i="406" s="1"/>
  <c r="T235" i="406" s="1"/>
  <c r="P236" i="406"/>
  <c r="R236" i="406" s="1"/>
  <c r="P237" i="406"/>
  <c r="R237" i="406" s="1"/>
  <c r="P363" i="408"/>
  <c r="P364" i="408"/>
  <c r="R364" i="408" s="1"/>
  <c r="P365" i="408"/>
  <c r="R365" i="408" s="1"/>
  <c r="S365" i="408" s="1"/>
  <c r="T365" i="408" s="1"/>
  <c r="L362" i="408"/>
  <c r="P362" i="408" s="1"/>
  <c r="R362" i="408" s="1"/>
  <c r="S362" i="408" s="1"/>
  <c r="L361" i="408"/>
  <c r="L360" i="408"/>
  <c r="P360" i="408" s="1"/>
  <c r="R360" i="408" s="1"/>
  <c r="L359" i="408"/>
  <c r="P359" i="408" s="1"/>
  <c r="R359" i="408" s="1"/>
  <c r="S359" i="408" s="1"/>
  <c r="T359" i="408" s="1"/>
  <c r="L358" i="408"/>
  <c r="P358" i="408" s="1"/>
  <c r="R358" i="408" s="1"/>
  <c r="L357" i="408"/>
  <c r="P357" i="408" s="1"/>
  <c r="R357" i="408" s="1"/>
  <c r="L356" i="408"/>
  <c r="P356" i="408" s="1"/>
  <c r="L355" i="408"/>
  <c r="P355" i="408" s="1"/>
  <c r="R355" i="408" s="1"/>
  <c r="S355" i="408" s="1"/>
  <c r="T355" i="408" s="1"/>
  <c r="L354" i="408"/>
  <c r="P354" i="408" s="1"/>
  <c r="R354" i="408" s="1"/>
  <c r="L353" i="408"/>
  <c r="P353" i="408" s="1"/>
  <c r="R353" i="408" s="1"/>
  <c r="L352" i="408"/>
  <c r="P352" i="408" s="1"/>
  <c r="R352" i="408" s="1"/>
  <c r="L351" i="408"/>
  <c r="P351" i="408" s="1"/>
  <c r="R351" i="408" s="1"/>
  <c r="L345" i="408"/>
  <c r="P345" i="408" s="1"/>
  <c r="R345" i="408" s="1"/>
  <c r="L344" i="408"/>
  <c r="P344" i="408" s="1"/>
  <c r="L334" i="408"/>
  <c r="P334" i="408" s="1"/>
  <c r="L331" i="408"/>
  <c r="P331" i="408" s="1"/>
  <c r="L337" i="408"/>
  <c r="P337" i="408" s="1"/>
  <c r="L340" i="408"/>
  <c r="P340" i="408" s="1"/>
  <c r="L349" i="408"/>
  <c r="P349" i="408" s="1"/>
  <c r="L339" i="408"/>
  <c r="P339" i="408" s="1"/>
  <c r="R339" i="408" s="1"/>
  <c r="S339" i="408" s="1"/>
  <c r="T339" i="408" s="1"/>
  <c r="L343" i="408"/>
  <c r="P343" i="408" s="1"/>
  <c r="L338" i="408"/>
  <c r="P338" i="408" s="1"/>
  <c r="P297" i="405"/>
  <c r="P298" i="405"/>
  <c r="R298" i="405" s="1"/>
  <c r="S298" i="405" s="1"/>
  <c r="T298" i="405" s="1"/>
  <c r="P299" i="405"/>
  <c r="P320" i="346"/>
  <c r="P313" i="408"/>
  <c r="Q86" i="407"/>
  <c r="P86" i="407"/>
  <c r="P195" i="405"/>
  <c r="R195" i="405" s="1"/>
  <c r="Q76" i="408"/>
  <c r="P76" i="408"/>
  <c r="Q55" i="408"/>
  <c r="Q54" i="408"/>
  <c r="F404" i="408"/>
  <c r="F403" i="408"/>
  <c r="F402" i="408"/>
  <c r="F401" i="408"/>
  <c r="F400" i="408"/>
  <c r="F399" i="408"/>
  <c r="F398" i="408"/>
  <c r="F397" i="408"/>
  <c r="F396" i="408"/>
  <c r="F395" i="408"/>
  <c r="F394" i="408"/>
  <c r="F393" i="408"/>
  <c r="H391" i="408"/>
  <c r="H390" i="408"/>
  <c r="H389" i="408"/>
  <c r="H388" i="408"/>
  <c r="H387" i="408"/>
  <c r="H386" i="408"/>
  <c r="H385" i="408"/>
  <c r="P361" i="408"/>
  <c r="R361" i="408" s="1"/>
  <c r="R350" i="408"/>
  <c r="R348" i="408"/>
  <c r="S348" i="408" s="1"/>
  <c r="T348" i="408" s="1"/>
  <c r="R347" i="408"/>
  <c r="S347" i="408" s="1"/>
  <c r="R346" i="408"/>
  <c r="R342" i="408"/>
  <c r="S342" i="408" s="1"/>
  <c r="R341" i="408"/>
  <c r="S341" i="408" s="1"/>
  <c r="T341" i="408" s="1"/>
  <c r="P336" i="408"/>
  <c r="R336" i="408" s="1"/>
  <c r="S336" i="408" s="1"/>
  <c r="P335" i="408"/>
  <c r="R335" i="408" s="1"/>
  <c r="P332" i="408"/>
  <c r="R332" i="408" s="1"/>
  <c r="P330" i="408"/>
  <c r="R330" i="408" s="1"/>
  <c r="S330" i="408" s="1"/>
  <c r="T330" i="408" s="1"/>
  <c r="P329" i="408"/>
  <c r="P328" i="408"/>
  <c r="R328" i="408" s="1"/>
  <c r="P327" i="408"/>
  <c r="P326" i="408"/>
  <c r="R326" i="408" s="1"/>
  <c r="P325" i="408"/>
  <c r="P324" i="408"/>
  <c r="R324" i="408" s="1"/>
  <c r="S324" i="408" s="1"/>
  <c r="P322" i="408"/>
  <c r="P321" i="408"/>
  <c r="R321" i="408" s="1"/>
  <c r="S321" i="408" s="1"/>
  <c r="T321" i="408" s="1"/>
  <c r="P320" i="408"/>
  <c r="P319" i="408"/>
  <c r="R319" i="408" s="1"/>
  <c r="P318" i="408"/>
  <c r="P317" i="408"/>
  <c r="R317" i="408" s="1"/>
  <c r="S317" i="408" s="1"/>
  <c r="P316" i="408"/>
  <c r="P315" i="408"/>
  <c r="R315" i="408" s="1"/>
  <c r="S315" i="408" s="1"/>
  <c r="P314" i="408"/>
  <c r="P312" i="408"/>
  <c r="P311" i="408"/>
  <c r="P310" i="408"/>
  <c r="P309" i="408"/>
  <c r="R309" i="408" s="1"/>
  <c r="P308" i="408"/>
  <c r="R308" i="408" s="1"/>
  <c r="S308" i="408" s="1"/>
  <c r="P307" i="408"/>
  <c r="P306" i="408"/>
  <c r="R306" i="408" s="1"/>
  <c r="P304" i="408"/>
  <c r="P303" i="408"/>
  <c r="R303" i="408" s="1"/>
  <c r="P302" i="408"/>
  <c r="R302" i="408" s="1"/>
  <c r="P300" i="408"/>
  <c r="P299" i="408"/>
  <c r="P298" i="408"/>
  <c r="P297" i="408"/>
  <c r="P296" i="408"/>
  <c r="P295" i="408"/>
  <c r="P294" i="408"/>
  <c r="R294" i="408" s="1"/>
  <c r="S294" i="408" s="1"/>
  <c r="T294" i="408" s="1"/>
  <c r="P293" i="408"/>
  <c r="R293" i="408" s="1"/>
  <c r="P292" i="408"/>
  <c r="R292" i="408" s="1"/>
  <c r="P290" i="408"/>
  <c r="P289" i="408"/>
  <c r="R289" i="408" s="1"/>
  <c r="S289" i="408" s="1"/>
  <c r="T289" i="408" s="1"/>
  <c r="P288" i="408"/>
  <c r="P287" i="408"/>
  <c r="R287" i="408" s="1"/>
  <c r="P286" i="408"/>
  <c r="P285" i="408"/>
  <c r="R285" i="408" s="1"/>
  <c r="S285" i="408" s="1"/>
  <c r="P284" i="408"/>
  <c r="P283" i="408"/>
  <c r="P281" i="408"/>
  <c r="P280" i="408"/>
  <c r="R280" i="408" s="1"/>
  <c r="S280" i="408" s="1"/>
  <c r="P279" i="408"/>
  <c r="R279" i="408" s="1"/>
  <c r="P278" i="408"/>
  <c r="R278" i="408" s="1"/>
  <c r="P277" i="408"/>
  <c r="R277" i="408" s="1"/>
  <c r="S277" i="408" s="1"/>
  <c r="T277" i="408" s="1"/>
  <c r="P276" i="408"/>
  <c r="R276" i="408" s="1"/>
  <c r="S276" i="408" s="1"/>
  <c r="T276" i="408" s="1"/>
  <c r="P275" i="408"/>
  <c r="P274" i="408"/>
  <c r="R274" i="408" s="1"/>
  <c r="S274" i="408" s="1"/>
  <c r="P273" i="408"/>
  <c r="R273" i="408" s="1"/>
  <c r="P272" i="408"/>
  <c r="R272" i="408" s="1"/>
  <c r="S272" i="408" s="1"/>
  <c r="T272" i="408" s="1"/>
  <c r="P271" i="408"/>
  <c r="P270" i="408"/>
  <c r="R270" i="408" s="1"/>
  <c r="P269" i="408"/>
  <c r="R269" i="408" s="1"/>
  <c r="S269" i="408" s="1"/>
  <c r="P268" i="408"/>
  <c r="R268" i="408" s="1"/>
  <c r="S268" i="408" s="1"/>
  <c r="T268" i="408" s="1"/>
  <c r="P267" i="408"/>
  <c r="P266" i="408"/>
  <c r="R266" i="408" s="1"/>
  <c r="P265" i="408"/>
  <c r="R265" i="408" s="1"/>
  <c r="S265" i="408" s="1"/>
  <c r="P264" i="408"/>
  <c r="R264" i="408" s="1"/>
  <c r="S264" i="408" s="1"/>
  <c r="T264" i="408" s="1"/>
  <c r="P263" i="408"/>
  <c r="P262" i="408"/>
  <c r="R262" i="408" s="1"/>
  <c r="S262" i="408" s="1"/>
  <c r="T262" i="408" s="1"/>
  <c r="P261" i="408"/>
  <c r="R261" i="408" s="1"/>
  <c r="P260" i="408"/>
  <c r="R260" i="408" s="1"/>
  <c r="S260" i="408" s="1"/>
  <c r="T260" i="408" s="1"/>
  <c r="P259" i="408"/>
  <c r="P258" i="408"/>
  <c r="R258" i="408" s="1"/>
  <c r="P257" i="408"/>
  <c r="R257" i="408" s="1"/>
  <c r="S257" i="408" s="1"/>
  <c r="T257" i="408" s="1"/>
  <c r="P256" i="408"/>
  <c r="P255" i="408"/>
  <c r="P254" i="408"/>
  <c r="R254" i="408" s="1"/>
  <c r="P253" i="408"/>
  <c r="R253" i="408" s="1"/>
  <c r="P252" i="408"/>
  <c r="R252" i="408" s="1"/>
  <c r="S252" i="408" s="1"/>
  <c r="T252" i="408" s="1"/>
  <c r="P247" i="408"/>
  <c r="R247" i="408" s="1"/>
  <c r="P245" i="408"/>
  <c r="P244" i="408"/>
  <c r="R244" i="408" s="1"/>
  <c r="S244" i="408" s="1"/>
  <c r="T244" i="408" s="1"/>
  <c r="P243" i="408"/>
  <c r="R243" i="408" s="1"/>
  <c r="S243" i="408" s="1"/>
  <c r="T243" i="408" s="1"/>
  <c r="P242" i="408"/>
  <c r="R242" i="408" s="1"/>
  <c r="P241" i="408"/>
  <c r="P240" i="408"/>
  <c r="P239" i="408"/>
  <c r="P238" i="408"/>
  <c r="R238" i="408" s="1"/>
  <c r="P237" i="408"/>
  <c r="P236" i="408"/>
  <c r="P235" i="408"/>
  <c r="P234" i="408"/>
  <c r="R234" i="408" s="1"/>
  <c r="P233" i="408"/>
  <c r="R233" i="408" s="1"/>
  <c r="P232" i="408"/>
  <c r="R232" i="408" s="1"/>
  <c r="S232" i="408" s="1"/>
  <c r="T232" i="408" s="1"/>
  <c r="P231" i="408"/>
  <c r="R231" i="408" s="1"/>
  <c r="S231" i="408" s="1"/>
  <c r="T231" i="408" s="1"/>
  <c r="P230" i="408"/>
  <c r="P229" i="408"/>
  <c r="P228" i="408"/>
  <c r="P227" i="408"/>
  <c r="R227" i="408" s="1"/>
  <c r="P226" i="408"/>
  <c r="R226" i="408" s="1"/>
  <c r="P225" i="408"/>
  <c r="R225" i="408" s="1"/>
  <c r="S225" i="408" s="1"/>
  <c r="P224" i="408"/>
  <c r="R224" i="408" s="1"/>
  <c r="P223" i="408"/>
  <c r="P222" i="408"/>
  <c r="P221" i="408"/>
  <c r="P220" i="408"/>
  <c r="R220" i="408" s="1"/>
  <c r="P218" i="408"/>
  <c r="P217" i="408"/>
  <c r="R217" i="408" s="1"/>
  <c r="P216" i="408"/>
  <c r="P214" i="408"/>
  <c r="P213" i="408"/>
  <c r="R213" i="408" s="1"/>
  <c r="S213" i="408" s="1"/>
  <c r="T213" i="408" s="1"/>
  <c r="P212" i="408"/>
  <c r="R212" i="408" s="1"/>
  <c r="P211" i="408"/>
  <c r="P210" i="408"/>
  <c r="P209" i="408"/>
  <c r="P208" i="408"/>
  <c r="R208" i="408" s="1"/>
  <c r="S208" i="408" s="1"/>
  <c r="P207" i="408"/>
  <c r="R207" i="408" s="1"/>
  <c r="P206" i="408"/>
  <c r="R206" i="408" s="1"/>
  <c r="S206" i="408" s="1"/>
  <c r="P205" i="408"/>
  <c r="R205" i="408" s="1"/>
  <c r="S205" i="408" s="1"/>
  <c r="T205" i="408" s="1"/>
  <c r="P204" i="408"/>
  <c r="P203" i="408"/>
  <c r="R203" i="408" s="1"/>
  <c r="S203" i="408" s="1"/>
  <c r="P202" i="408"/>
  <c r="R202" i="408" s="1"/>
  <c r="S202" i="408" s="1"/>
  <c r="T202" i="408" s="1"/>
  <c r="P201" i="408"/>
  <c r="R201" i="408" s="1"/>
  <c r="S201" i="408" s="1"/>
  <c r="T201" i="408" s="1"/>
  <c r="P200" i="408"/>
  <c r="S199" i="408"/>
  <c r="P199" i="408"/>
  <c r="P198" i="408"/>
  <c r="R198" i="408" s="1"/>
  <c r="S198" i="408" s="1"/>
  <c r="T198" i="408" s="1"/>
  <c r="P197" i="408"/>
  <c r="P196" i="408"/>
  <c r="R196" i="408" s="1"/>
  <c r="P195" i="408"/>
  <c r="R195" i="408" s="1"/>
  <c r="S195" i="408" s="1"/>
  <c r="P194" i="408"/>
  <c r="P193" i="408"/>
  <c r="R193" i="408" s="1"/>
  <c r="P192" i="408"/>
  <c r="R192" i="408" s="1"/>
  <c r="P191" i="408"/>
  <c r="R191" i="408" s="1"/>
  <c r="P190" i="408"/>
  <c r="P189" i="408"/>
  <c r="P188" i="408"/>
  <c r="P187" i="408"/>
  <c r="R187" i="408" s="1"/>
  <c r="S187" i="408" s="1"/>
  <c r="T187" i="408" s="1"/>
  <c r="P186" i="408"/>
  <c r="R186" i="408" s="1"/>
  <c r="S186" i="408" s="1"/>
  <c r="T186" i="408" s="1"/>
  <c r="P185" i="408"/>
  <c r="P184" i="408"/>
  <c r="R184" i="408" s="1"/>
  <c r="S184" i="408" s="1"/>
  <c r="P183" i="408"/>
  <c r="R183" i="408" s="1"/>
  <c r="P182" i="408"/>
  <c r="R182" i="408" s="1"/>
  <c r="S182" i="408" s="1"/>
  <c r="T182" i="408" s="1"/>
  <c r="P181" i="408"/>
  <c r="P180" i="408"/>
  <c r="R180" i="408" s="1"/>
  <c r="P179" i="408"/>
  <c r="R179" i="408" s="1"/>
  <c r="S179" i="408" s="1"/>
  <c r="T179" i="408" s="1"/>
  <c r="P178" i="408"/>
  <c r="R178" i="408" s="1"/>
  <c r="S178" i="408" s="1"/>
  <c r="T178" i="408" s="1"/>
  <c r="P177" i="408"/>
  <c r="P176" i="408"/>
  <c r="R176" i="408" s="1"/>
  <c r="P175" i="408"/>
  <c r="R175" i="408" s="1"/>
  <c r="S175" i="408" s="1"/>
  <c r="T175" i="408" s="1"/>
  <c r="P174" i="408"/>
  <c r="R174" i="408" s="1"/>
  <c r="S174" i="408" s="1"/>
  <c r="T174" i="408" s="1"/>
  <c r="P173" i="408"/>
  <c r="P172" i="408"/>
  <c r="P171" i="408"/>
  <c r="R171" i="408" s="1"/>
  <c r="P170" i="408"/>
  <c r="R170" i="408" s="1"/>
  <c r="S170" i="408" s="1"/>
  <c r="P169" i="408"/>
  <c r="P168" i="408"/>
  <c r="R168" i="408" s="1"/>
  <c r="P167" i="408"/>
  <c r="R167" i="408" s="1"/>
  <c r="S167" i="408" s="1"/>
  <c r="T167" i="408" s="1"/>
  <c r="P166" i="408"/>
  <c r="R166" i="408" s="1"/>
  <c r="S166" i="408" s="1"/>
  <c r="T166" i="408" s="1"/>
  <c r="P165" i="408"/>
  <c r="P164" i="408"/>
  <c r="P162" i="408"/>
  <c r="R162" i="408" s="1"/>
  <c r="S162" i="408" s="1"/>
  <c r="T162" i="408" s="1"/>
  <c r="P161" i="408"/>
  <c r="R161" i="408" s="1"/>
  <c r="S161" i="408" s="1"/>
  <c r="T161" i="408" s="1"/>
  <c r="P160" i="408"/>
  <c r="P159" i="408"/>
  <c r="R159" i="408" s="1"/>
  <c r="P158" i="408"/>
  <c r="R158" i="408" s="1"/>
  <c r="S158" i="408" s="1"/>
  <c r="T158" i="408" s="1"/>
  <c r="P157" i="408"/>
  <c r="R157" i="408" s="1"/>
  <c r="S157" i="408" s="1"/>
  <c r="P156" i="408"/>
  <c r="P155" i="408"/>
  <c r="P154" i="408"/>
  <c r="R154" i="408" s="1"/>
  <c r="P153" i="408"/>
  <c r="R153" i="408" s="1"/>
  <c r="S153" i="408" s="1"/>
  <c r="T153" i="408" s="1"/>
  <c r="P152" i="408"/>
  <c r="P151" i="408"/>
  <c r="R151" i="408" s="1"/>
  <c r="S151" i="408" s="1"/>
  <c r="T151" i="408" s="1"/>
  <c r="P150" i="408"/>
  <c r="R150" i="408" s="1"/>
  <c r="P149" i="408"/>
  <c r="R149" i="408" s="1"/>
  <c r="S149" i="408" s="1"/>
  <c r="T149" i="408" s="1"/>
  <c r="P148" i="408"/>
  <c r="R148" i="408" s="1"/>
  <c r="P147" i="408"/>
  <c r="P146" i="408"/>
  <c r="R146" i="408" s="1"/>
  <c r="P145" i="408"/>
  <c r="P144" i="408"/>
  <c r="P143" i="408"/>
  <c r="P141" i="408"/>
  <c r="R141" i="408" s="1"/>
  <c r="S141" i="408" s="1"/>
  <c r="P140" i="408"/>
  <c r="P139" i="408"/>
  <c r="R139" i="408" s="1"/>
  <c r="P138" i="408"/>
  <c r="R138" i="408" s="1"/>
  <c r="P137" i="408"/>
  <c r="P136" i="408"/>
  <c r="R136" i="408" s="1"/>
  <c r="S136" i="408" s="1"/>
  <c r="T136" i="408" s="1"/>
  <c r="P135" i="408"/>
  <c r="P134" i="408"/>
  <c r="R134" i="408" s="1"/>
  <c r="P133" i="408"/>
  <c r="R133" i="408" s="1"/>
  <c r="S133" i="408" s="1"/>
  <c r="T133" i="408" s="1"/>
  <c r="P132" i="408"/>
  <c r="R132" i="408" s="1"/>
  <c r="S132" i="408" s="1"/>
  <c r="T132" i="408" s="1"/>
  <c r="P131" i="408"/>
  <c r="P130" i="408"/>
  <c r="P129" i="408"/>
  <c r="P128" i="408"/>
  <c r="R128" i="408" s="1"/>
  <c r="S128" i="408" s="1"/>
  <c r="T128" i="408" s="1"/>
  <c r="P127" i="408"/>
  <c r="P126" i="408"/>
  <c r="R126" i="408" s="1"/>
  <c r="P125" i="408"/>
  <c r="R125" i="408" s="1"/>
  <c r="S125" i="408" s="1"/>
  <c r="T125" i="408" s="1"/>
  <c r="P124" i="408"/>
  <c r="R124" i="408" s="1"/>
  <c r="S124" i="408" s="1"/>
  <c r="T124" i="408" s="1"/>
  <c r="P123" i="408"/>
  <c r="R123" i="408" s="1"/>
  <c r="P122" i="408"/>
  <c r="P121" i="408"/>
  <c r="R121" i="408" s="1"/>
  <c r="S121" i="408" s="1"/>
  <c r="T121" i="408" s="1"/>
  <c r="P120" i="408"/>
  <c r="R120" i="408" s="1"/>
  <c r="P119" i="408"/>
  <c r="P118" i="408"/>
  <c r="P117" i="408"/>
  <c r="R117" i="408" s="1"/>
  <c r="P116" i="408"/>
  <c r="R116" i="408" s="1"/>
  <c r="S116" i="408" s="1"/>
  <c r="T116" i="408" s="1"/>
  <c r="P115" i="408"/>
  <c r="R115" i="408" s="1"/>
  <c r="P114" i="408"/>
  <c r="P112" i="408"/>
  <c r="P111" i="408"/>
  <c r="R111" i="408" s="1"/>
  <c r="S111" i="408" s="1"/>
  <c r="T111" i="408" s="1"/>
  <c r="R110" i="408"/>
  <c r="P109" i="408"/>
  <c r="P108" i="408"/>
  <c r="Q107" i="408"/>
  <c r="R107" i="408" s="1"/>
  <c r="S107" i="408" s="1"/>
  <c r="T107" i="408" s="1"/>
  <c r="P107" i="408"/>
  <c r="P106" i="408"/>
  <c r="R106" i="408" s="1"/>
  <c r="P105" i="408"/>
  <c r="R105" i="408" s="1"/>
  <c r="S105" i="408" s="1"/>
  <c r="T105" i="408" s="1"/>
  <c r="P104" i="408"/>
  <c r="R104" i="408" s="1"/>
  <c r="S104" i="408" s="1"/>
  <c r="T104" i="408" s="1"/>
  <c r="P102" i="408"/>
  <c r="R102" i="408" s="1"/>
  <c r="S102" i="408" s="1"/>
  <c r="P101" i="408"/>
  <c r="P100" i="408"/>
  <c r="P99" i="408"/>
  <c r="R99" i="408" s="1"/>
  <c r="P98" i="408"/>
  <c r="R98" i="408" s="1"/>
  <c r="S98" i="408" s="1"/>
  <c r="P97" i="408"/>
  <c r="P96" i="408"/>
  <c r="R96" i="408" s="1"/>
  <c r="P95" i="408"/>
  <c r="P93" i="408"/>
  <c r="P92" i="408"/>
  <c r="P90" i="408"/>
  <c r="R90" i="408" s="1"/>
  <c r="P89" i="408"/>
  <c r="P88" i="408"/>
  <c r="P87" i="408"/>
  <c r="P86" i="408"/>
  <c r="R86" i="408" s="1"/>
  <c r="S86" i="408" s="1"/>
  <c r="T86" i="408" s="1"/>
  <c r="P85" i="408"/>
  <c r="R85" i="408" s="1"/>
  <c r="P84" i="408"/>
  <c r="R84" i="408" s="1"/>
  <c r="S84" i="408" s="1"/>
  <c r="P80" i="408"/>
  <c r="P79" i="408"/>
  <c r="R79" i="408" s="1"/>
  <c r="S79" i="408" s="1"/>
  <c r="T79" i="408" s="1"/>
  <c r="P78" i="408"/>
  <c r="R78" i="408" s="1"/>
  <c r="P77" i="408"/>
  <c r="P75" i="408"/>
  <c r="R75" i="408" s="1"/>
  <c r="S75" i="408" s="1"/>
  <c r="P69" i="408"/>
  <c r="P67" i="408"/>
  <c r="R67" i="408" s="1"/>
  <c r="P66" i="408"/>
  <c r="P65" i="408"/>
  <c r="P64" i="408"/>
  <c r="P63" i="408"/>
  <c r="R63" i="408" s="1"/>
  <c r="S63" i="408" s="1"/>
  <c r="T63" i="408" s="1"/>
  <c r="P62" i="408"/>
  <c r="P61" i="408"/>
  <c r="R61" i="408" s="1"/>
  <c r="S61" i="408" s="1"/>
  <c r="P60" i="408"/>
  <c r="P59" i="408"/>
  <c r="R59" i="408" s="1"/>
  <c r="P58" i="408"/>
  <c r="R58" i="408" s="1"/>
  <c r="P57" i="408"/>
  <c r="P56" i="408"/>
  <c r="P55" i="408"/>
  <c r="P54" i="408"/>
  <c r="R54" i="408" s="1"/>
  <c r="S54" i="408" s="1"/>
  <c r="P53" i="408"/>
  <c r="P52" i="408"/>
  <c r="R52" i="408" s="1"/>
  <c r="S52" i="408" s="1"/>
  <c r="P51" i="408"/>
  <c r="P50" i="408"/>
  <c r="P49" i="408"/>
  <c r="P48" i="408"/>
  <c r="R48" i="408" s="1"/>
  <c r="S48" i="408" s="1"/>
  <c r="T48" i="408" s="1"/>
  <c r="P47" i="408"/>
  <c r="P46" i="408"/>
  <c r="P45" i="408"/>
  <c r="P44" i="408"/>
  <c r="R44" i="408" s="1"/>
  <c r="S44" i="408" s="1"/>
  <c r="P43" i="408"/>
  <c r="P42" i="408"/>
  <c r="P41" i="408"/>
  <c r="R41" i="408" s="1"/>
  <c r="S41" i="408" s="1"/>
  <c r="P40" i="408"/>
  <c r="P39" i="408"/>
  <c r="R39" i="408" s="1"/>
  <c r="S39" i="408" s="1"/>
  <c r="P38" i="408"/>
  <c r="P37" i="408"/>
  <c r="P36" i="408"/>
  <c r="R36" i="408" s="1"/>
  <c r="S36" i="408" s="1"/>
  <c r="P35" i="408"/>
  <c r="R35" i="408" s="1"/>
  <c r="P33" i="408"/>
  <c r="R33" i="408" s="1"/>
  <c r="P31" i="408"/>
  <c r="P30" i="408"/>
  <c r="P29" i="408"/>
  <c r="P28" i="408"/>
  <c r="P27" i="408"/>
  <c r="P26" i="408"/>
  <c r="R26" i="408" s="1"/>
  <c r="S26" i="408" s="1"/>
  <c r="T26" i="408" s="1"/>
  <c r="P25" i="408"/>
  <c r="R25" i="408" s="1"/>
  <c r="P24" i="408"/>
  <c r="P23" i="408"/>
  <c r="P22" i="408"/>
  <c r="P21" i="408"/>
  <c r="R21" i="408" s="1"/>
  <c r="S21" i="408" s="1"/>
  <c r="T21" i="408" s="1"/>
  <c r="P19" i="408"/>
  <c r="R19" i="408" s="1"/>
  <c r="P18" i="408"/>
  <c r="P17" i="408"/>
  <c r="P16" i="408"/>
  <c r="P15" i="408"/>
  <c r="P14" i="408"/>
  <c r="R14" i="408" s="1"/>
  <c r="R13" i="408"/>
  <c r="S13" i="408" s="1"/>
  <c r="P12" i="408"/>
  <c r="R12" i="408" s="1"/>
  <c r="S12" i="408" s="1"/>
  <c r="T12" i="408" s="1"/>
  <c r="P11" i="408"/>
  <c r="E9" i="408"/>
  <c r="O9" i="408"/>
  <c r="N9" i="408"/>
  <c r="L9" i="408"/>
  <c r="K9" i="408"/>
  <c r="J9" i="408"/>
  <c r="I9" i="408"/>
  <c r="H9" i="408"/>
  <c r="G9" i="408"/>
  <c r="F9" i="408"/>
  <c r="P37" i="407"/>
  <c r="R37" i="407" s="1"/>
  <c r="S37" i="407" s="1"/>
  <c r="T37" i="407" s="1"/>
  <c r="L27" i="407"/>
  <c r="P27" i="407" s="1"/>
  <c r="R27" i="407" s="1"/>
  <c r="S27" i="407" s="1"/>
  <c r="P23" i="407"/>
  <c r="R23" i="407" s="1"/>
  <c r="P89" i="407"/>
  <c r="T56" i="284"/>
  <c r="F14" i="284" s="1"/>
  <c r="G14" i="284" s="1"/>
  <c r="H14" i="284" s="1"/>
  <c r="T55" i="284"/>
  <c r="F13" i="284" s="1"/>
  <c r="G13" i="284" s="1"/>
  <c r="H13" i="284" s="1"/>
  <c r="T33" i="284"/>
  <c r="F12" i="284" s="1"/>
  <c r="Q116" i="346"/>
  <c r="P99" i="407"/>
  <c r="R99" i="407" s="1"/>
  <c r="P97" i="407"/>
  <c r="R97" i="407" s="1"/>
  <c r="P96" i="407"/>
  <c r="R96" i="407" s="1"/>
  <c r="P91" i="407"/>
  <c r="R91" i="407" s="1"/>
  <c r="S91" i="407" s="1"/>
  <c r="T91" i="407" s="1"/>
  <c r="P90" i="407"/>
  <c r="P87" i="407"/>
  <c r="R87" i="407" s="1"/>
  <c r="P85" i="407"/>
  <c r="R85" i="407" s="1"/>
  <c r="S85" i="407" s="1"/>
  <c r="P84" i="407"/>
  <c r="R84" i="407" s="1"/>
  <c r="S84" i="407" s="1"/>
  <c r="T84" i="407" s="1"/>
  <c r="P83" i="407"/>
  <c r="R83" i="407" s="1"/>
  <c r="P82" i="407"/>
  <c r="P81" i="407"/>
  <c r="R81" i="407" s="1"/>
  <c r="P80" i="407"/>
  <c r="R80" i="407" s="1"/>
  <c r="P79" i="407"/>
  <c r="R79" i="407" s="1"/>
  <c r="S79" i="407" s="1"/>
  <c r="T79" i="407" s="1"/>
  <c r="P78" i="407"/>
  <c r="P77" i="407"/>
  <c r="R77" i="407" s="1"/>
  <c r="P76" i="407"/>
  <c r="R76" i="407" s="1"/>
  <c r="S76" i="407" s="1"/>
  <c r="P75" i="407"/>
  <c r="R75" i="407" s="1"/>
  <c r="P73" i="407"/>
  <c r="P70" i="407"/>
  <c r="P69" i="407"/>
  <c r="P68" i="407"/>
  <c r="P67" i="407"/>
  <c r="R67" i="407" s="1"/>
  <c r="P66" i="407"/>
  <c r="P65" i="407"/>
  <c r="P64" i="407"/>
  <c r="P63" i="407"/>
  <c r="R63" i="407" s="1"/>
  <c r="P62" i="407"/>
  <c r="P61" i="407"/>
  <c r="P60" i="407"/>
  <c r="P59" i="407"/>
  <c r="R59" i="407" s="1"/>
  <c r="P58" i="407"/>
  <c r="P57" i="407"/>
  <c r="P56" i="407"/>
  <c r="P55" i="407"/>
  <c r="R55" i="407" s="1"/>
  <c r="P54" i="407"/>
  <c r="P53" i="407"/>
  <c r="P52" i="407"/>
  <c r="P51" i="407"/>
  <c r="R51" i="407" s="1"/>
  <c r="P50" i="407"/>
  <c r="P46" i="407"/>
  <c r="P45" i="407"/>
  <c r="P44" i="407"/>
  <c r="P43" i="407"/>
  <c r="R43" i="407" s="1"/>
  <c r="P40" i="407"/>
  <c r="R40" i="407" s="1"/>
  <c r="S40" i="407" s="1"/>
  <c r="T40" i="407" s="1"/>
  <c r="P38" i="407"/>
  <c r="P36" i="407"/>
  <c r="P33" i="407"/>
  <c r="R33" i="407" s="1"/>
  <c r="S33" i="407" s="1"/>
  <c r="P32" i="407"/>
  <c r="R32" i="407" s="1"/>
  <c r="P31" i="407"/>
  <c r="P30" i="407"/>
  <c r="P28" i="407"/>
  <c r="R28" i="407" s="1"/>
  <c r="P25" i="407"/>
  <c r="R25" i="407" s="1"/>
  <c r="S25" i="407" s="1"/>
  <c r="P24" i="407"/>
  <c r="R24" i="407" s="1"/>
  <c r="S24" i="407" s="1"/>
  <c r="T24" i="407" s="1"/>
  <c r="P19" i="407"/>
  <c r="R19" i="407" s="1"/>
  <c r="S19" i="407" s="1"/>
  <c r="T19" i="407" s="1"/>
  <c r="P18" i="407"/>
  <c r="P17" i="407"/>
  <c r="R17" i="407" s="1"/>
  <c r="P16" i="407"/>
  <c r="R16" i="407" s="1"/>
  <c r="S16" i="407" s="1"/>
  <c r="T16" i="407" s="1"/>
  <c r="P15" i="407"/>
  <c r="P14" i="407"/>
  <c r="R14" i="407" s="1"/>
  <c r="S14" i="407" s="1"/>
  <c r="T14" i="407" s="1"/>
  <c r="P13" i="407"/>
  <c r="R13" i="407" s="1"/>
  <c r="S13" i="407" s="1"/>
  <c r="T13" i="407" s="1"/>
  <c r="P11" i="407"/>
  <c r="R11" i="407" s="1"/>
  <c r="E11" i="407"/>
  <c r="E9" i="407" s="1"/>
  <c r="O9" i="407"/>
  <c r="N9" i="407"/>
  <c r="K9" i="407"/>
  <c r="J9" i="407"/>
  <c r="I9" i="407"/>
  <c r="H9" i="407"/>
  <c r="G9" i="407"/>
  <c r="F9" i="407"/>
  <c r="Q208" i="406"/>
  <c r="P80" i="406"/>
  <c r="P79" i="406"/>
  <c r="R79" i="406" s="1"/>
  <c r="S79" i="406" s="1"/>
  <c r="S76" i="406"/>
  <c r="T76" i="406" s="1"/>
  <c r="P76" i="406"/>
  <c r="P188" i="405"/>
  <c r="R188" i="405" s="1"/>
  <c r="S188" i="405" s="1"/>
  <c r="T188" i="405" s="1"/>
  <c r="P189" i="405"/>
  <c r="R189" i="405" s="1"/>
  <c r="S189" i="405" s="1"/>
  <c r="T189" i="405" s="1"/>
  <c r="P190" i="405"/>
  <c r="R190" i="405" s="1"/>
  <c r="S190" i="405" s="1"/>
  <c r="P191" i="405"/>
  <c r="R191" i="405" s="1"/>
  <c r="S191" i="405" s="1"/>
  <c r="T191" i="405" s="1"/>
  <c r="P192" i="405"/>
  <c r="R192" i="405" s="1"/>
  <c r="P193" i="405"/>
  <c r="R193" i="405" s="1"/>
  <c r="S193" i="405" s="1"/>
  <c r="T193" i="405" s="1"/>
  <c r="P194" i="405"/>
  <c r="Q276" i="405"/>
  <c r="P274" i="405"/>
  <c r="R274" i="405" s="1"/>
  <c r="S274" i="405" s="1"/>
  <c r="T274" i="405" s="1"/>
  <c r="P275" i="405"/>
  <c r="R275" i="405" s="1"/>
  <c r="P276" i="405"/>
  <c r="P178" i="405"/>
  <c r="R178" i="405" s="1"/>
  <c r="P102" i="405"/>
  <c r="R102" i="405" s="1"/>
  <c r="S102" i="405" s="1"/>
  <c r="T102" i="405" s="1"/>
  <c r="P234" i="406"/>
  <c r="R234" i="406" s="1"/>
  <c r="S234" i="406" s="1"/>
  <c r="T234" i="406" s="1"/>
  <c r="P233" i="406"/>
  <c r="P232" i="406"/>
  <c r="R232" i="406" s="1"/>
  <c r="P231" i="406"/>
  <c r="R231" i="406" s="1"/>
  <c r="S231" i="406" s="1"/>
  <c r="T231" i="406" s="1"/>
  <c r="P230" i="406"/>
  <c r="R230" i="406" s="1"/>
  <c r="S230" i="406" s="1"/>
  <c r="T230" i="406" s="1"/>
  <c r="P229" i="406"/>
  <c r="P228" i="406"/>
  <c r="R228" i="406" s="1"/>
  <c r="P227" i="406"/>
  <c r="R227" i="406" s="1"/>
  <c r="S227" i="406" s="1"/>
  <c r="T227" i="406" s="1"/>
  <c r="P226" i="406"/>
  <c r="R226" i="406" s="1"/>
  <c r="S226" i="406" s="1"/>
  <c r="T226" i="406" s="1"/>
  <c r="P225" i="406"/>
  <c r="P224" i="406"/>
  <c r="R224" i="406" s="1"/>
  <c r="R223" i="406"/>
  <c r="S223" i="406" s="1"/>
  <c r="T223" i="406" s="1"/>
  <c r="P222" i="406"/>
  <c r="P221" i="406"/>
  <c r="P220" i="406"/>
  <c r="R219" i="406"/>
  <c r="S219" i="406" s="1"/>
  <c r="T219" i="406" s="1"/>
  <c r="R218" i="406"/>
  <c r="S218" i="406" s="1"/>
  <c r="T218" i="406" s="1"/>
  <c r="P217" i="406"/>
  <c r="R217" i="406" s="1"/>
  <c r="P216" i="406"/>
  <c r="R216" i="406" s="1"/>
  <c r="P215" i="406"/>
  <c r="R215" i="406" s="1"/>
  <c r="S215" i="406" s="1"/>
  <c r="T215" i="406" s="1"/>
  <c r="P214" i="406"/>
  <c r="R214" i="406" s="1"/>
  <c r="S214" i="406" s="1"/>
  <c r="T214" i="406" s="1"/>
  <c r="P213" i="406"/>
  <c r="P212" i="406"/>
  <c r="R212" i="406" s="1"/>
  <c r="S212" i="406" s="1"/>
  <c r="T212" i="406" s="1"/>
  <c r="P211" i="406"/>
  <c r="R211" i="406" s="1"/>
  <c r="S211" i="406" s="1"/>
  <c r="T211" i="406" s="1"/>
  <c r="P210" i="406"/>
  <c r="R210" i="406" s="1"/>
  <c r="P209" i="406"/>
  <c r="R209" i="406" s="1"/>
  <c r="S209" i="406" s="1"/>
  <c r="P204" i="406"/>
  <c r="R204" i="406" s="1"/>
  <c r="S204" i="406" s="1"/>
  <c r="P203" i="406"/>
  <c r="R203" i="406" s="1"/>
  <c r="S203" i="406" s="1"/>
  <c r="T203" i="406" s="1"/>
  <c r="P208" i="406"/>
  <c r="R208" i="406" s="1"/>
  <c r="P202" i="406"/>
  <c r="P201" i="406"/>
  <c r="P200" i="406"/>
  <c r="P199" i="406"/>
  <c r="R199" i="406" s="1"/>
  <c r="S199" i="406" s="1"/>
  <c r="T199" i="406" s="1"/>
  <c r="P198" i="406"/>
  <c r="P197" i="406"/>
  <c r="P196" i="406"/>
  <c r="P195" i="406"/>
  <c r="R195" i="406" s="1"/>
  <c r="S195" i="406" s="1"/>
  <c r="T195" i="406" s="1"/>
  <c r="P194" i="406"/>
  <c r="P193" i="406"/>
  <c r="P192" i="406"/>
  <c r="R192" i="406" s="1"/>
  <c r="S192" i="406" s="1"/>
  <c r="T192" i="406" s="1"/>
  <c r="P191" i="406"/>
  <c r="R191" i="406" s="1"/>
  <c r="P190" i="406"/>
  <c r="P189" i="406"/>
  <c r="R189" i="406" s="1"/>
  <c r="P188" i="406"/>
  <c r="P187" i="406"/>
  <c r="R187" i="406" s="1"/>
  <c r="S187" i="406" s="1"/>
  <c r="T187" i="406" s="1"/>
  <c r="P185" i="406"/>
  <c r="P184" i="406"/>
  <c r="P183" i="406"/>
  <c r="P182" i="406"/>
  <c r="R182" i="406" s="1"/>
  <c r="S182" i="406" s="1"/>
  <c r="T182" i="406" s="1"/>
  <c r="P181" i="406"/>
  <c r="P180" i="406"/>
  <c r="P178" i="406"/>
  <c r="P177" i="406"/>
  <c r="P176" i="406"/>
  <c r="P175" i="406"/>
  <c r="R175" i="406" s="1"/>
  <c r="P174" i="406"/>
  <c r="P173" i="406"/>
  <c r="P171" i="406"/>
  <c r="R171" i="406" s="1"/>
  <c r="P170" i="406"/>
  <c r="R170" i="406" s="1"/>
  <c r="P169" i="406"/>
  <c r="R169" i="406" s="1"/>
  <c r="S169" i="406" s="1"/>
  <c r="T169" i="406" s="1"/>
  <c r="P168" i="406"/>
  <c r="R168" i="406" s="1"/>
  <c r="S168" i="406" s="1"/>
  <c r="T168" i="406" s="1"/>
  <c r="P167" i="406"/>
  <c r="P166" i="406"/>
  <c r="R166" i="406" s="1"/>
  <c r="P165" i="406"/>
  <c r="R165" i="406" s="1"/>
  <c r="S165" i="406" s="1"/>
  <c r="T165" i="406" s="1"/>
  <c r="P164" i="406"/>
  <c r="R164" i="406" s="1"/>
  <c r="P163" i="406"/>
  <c r="P162" i="406"/>
  <c r="R162" i="406" s="1"/>
  <c r="S162" i="406" s="1"/>
  <c r="T162" i="406" s="1"/>
  <c r="P161" i="406"/>
  <c r="R161" i="406" s="1"/>
  <c r="S161" i="406" s="1"/>
  <c r="T161" i="406" s="1"/>
  <c r="P160" i="406"/>
  <c r="R160" i="406" s="1"/>
  <c r="S160" i="406" s="1"/>
  <c r="T160" i="406" s="1"/>
  <c r="P159" i="406"/>
  <c r="P158" i="406"/>
  <c r="R158" i="406" s="1"/>
  <c r="P157" i="406"/>
  <c r="R157" i="406" s="1"/>
  <c r="S157" i="406" s="1"/>
  <c r="T157" i="406" s="1"/>
  <c r="P156" i="406"/>
  <c r="P155" i="406"/>
  <c r="P154" i="406"/>
  <c r="R154" i="406" s="1"/>
  <c r="P153" i="406"/>
  <c r="R153" i="406" s="1"/>
  <c r="S153" i="406" s="1"/>
  <c r="T153" i="406" s="1"/>
  <c r="P152" i="406"/>
  <c r="P151" i="406"/>
  <c r="P150" i="406"/>
  <c r="P149" i="406"/>
  <c r="P148" i="406"/>
  <c r="R148" i="406" s="1"/>
  <c r="S148" i="406" s="1"/>
  <c r="T148" i="406" s="1"/>
  <c r="P147" i="406"/>
  <c r="P146" i="406"/>
  <c r="P145" i="406"/>
  <c r="P144" i="406"/>
  <c r="R144" i="406" s="1"/>
  <c r="S144" i="406" s="1"/>
  <c r="T144" i="406" s="1"/>
  <c r="P143" i="406"/>
  <c r="P142" i="406"/>
  <c r="P141" i="406"/>
  <c r="P140" i="406"/>
  <c r="R140" i="406" s="1"/>
  <c r="P139" i="406"/>
  <c r="P138" i="406"/>
  <c r="P137" i="406"/>
  <c r="P136" i="406"/>
  <c r="R136" i="406" s="1"/>
  <c r="P134" i="406"/>
  <c r="P133" i="406"/>
  <c r="P131" i="406"/>
  <c r="P130" i="406"/>
  <c r="R130" i="406" s="1"/>
  <c r="P129" i="406"/>
  <c r="P128" i="406"/>
  <c r="P127" i="406"/>
  <c r="P126" i="406"/>
  <c r="R126" i="406" s="1"/>
  <c r="S126" i="406" s="1"/>
  <c r="T126" i="406" s="1"/>
  <c r="P125" i="406"/>
  <c r="P124" i="406"/>
  <c r="P123" i="406"/>
  <c r="P122" i="406"/>
  <c r="R122" i="406" s="1"/>
  <c r="S122" i="406" s="1"/>
  <c r="T122" i="406" s="1"/>
  <c r="P121" i="406"/>
  <c r="P120" i="406"/>
  <c r="P119" i="406"/>
  <c r="P118" i="406"/>
  <c r="R118" i="406" s="1"/>
  <c r="S118" i="406" s="1"/>
  <c r="T118" i="406" s="1"/>
  <c r="P117" i="406"/>
  <c r="P116" i="406"/>
  <c r="P115" i="406"/>
  <c r="P114" i="406"/>
  <c r="R114" i="406" s="1"/>
  <c r="S114" i="406" s="1"/>
  <c r="T114" i="406" s="1"/>
  <c r="P113" i="406"/>
  <c r="P112" i="406"/>
  <c r="P111" i="406"/>
  <c r="P110" i="406"/>
  <c r="P109" i="406"/>
  <c r="P108" i="406"/>
  <c r="P107" i="406"/>
  <c r="P106" i="406"/>
  <c r="P105" i="406"/>
  <c r="P103" i="406"/>
  <c r="P102" i="406"/>
  <c r="P101" i="406"/>
  <c r="P100" i="406"/>
  <c r="P99" i="406"/>
  <c r="P98" i="406"/>
  <c r="P97" i="406"/>
  <c r="P96" i="406"/>
  <c r="P95" i="406"/>
  <c r="P94" i="406"/>
  <c r="P93" i="406"/>
  <c r="P91" i="406"/>
  <c r="P90" i="406"/>
  <c r="P89" i="406"/>
  <c r="P88" i="406"/>
  <c r="P87" i="406"/>
  <c r="R87" i="406" s="1"/>
  <c r="P86" i="406"/>
  <c r="P85" i="406"/>
  <c r="P84" i="406"/>
  <c r="P83" i="406"/>
  <c r="P82" i="406"/>
  <c r="P81" i="406"/>
  <c r="P78" i="406"/>
  <c r="R78" i="406" s="1"/>
  <c r="S78" i="406" s="1"/>
  <c r="T78" i="406" s="1"/>
  <c r="P77" i="406"/>
  <c r="P75" i="406"/>
  <c r="P74" i="406"/>
  <c r="P73" i="406"/>
  <c r="R73" i="406" s="1"/>
  <c r="S73" i="406" s="1"/>
  <c r="T73" i="406" s="1"/>
  <c r="P72" i="406"/>
  <c r="P71" i="406"/>
  <c r="P70" i="406"/>
  <c r="P69" i="406"/>
  <c r="R69" i="406" s="1"/>
  <c r="P68" i="406"/>
  <c r="P64" i="406"/>
  <c r="P63" i="406"/>
  <c r="P62" i="406"/>
  <c r="P58" i="406"/>
  <c r="R58" i="406" s="1"/>
  <c r="P56" i="406"/>
  <c r="R56" i="406" s="1"/>
  <c r="P55" i="406"/>
  <c r="R55" i="406" s="1"/>
  <c r="S55" i="406" s="1"/>
  <c r="T55" i="406" s="1"/>
  <c r="P54" i="406"/>
  <c r="R54" i="406" s="1"/>
  <c r="S54" i="406" s="1"/>
  <c r="T54" i="406" s="1"/>
  <c r="P53" i="406"/>
  <c r="R53" i="406" s="1"/>
  <c r="P51" i="406"/>
  <c r="P50" i="406"/>
  <c r="P49" i="406"/>
  <c r="P48" i="406"/>
  <c r="R48" i="406" s="1"/>
  <c r="P47" i="406"/>
  <c r="R47" i="406" s="1"/>
  <c r="P46" i="406"/>
  <c r="R46" i="406" s="1"/>
  <c r="S46" i="406" s="1"/>
  <c r="T46" i="406" s="1"/>
  <c r="P45" i="406"/>
  <c r="R45" i="406" s="1"/>
  <c r="S45" i="406" s="1"/>
  <c r="T45" i="406" s="1"/>
  <c r="P44" i="406"/>
  <c r="R44" i="406" s="1"/>
  <c r="P41" i="406"/>
  <c r="R41" i="406" s="1"/>
  <c r="P40" i="406"/>
  <c r="R40" i="406" s="1"/>
  <c r="P39" i="406"/>
  <c r="R39" i="406" s="1"/>
  <c r="S39" i="406" s="1"/>
  <c r="P38" i="406"/>
  <c r="R38" i="406" s="1"/>
  <c r="P37" i="406"/>
  <c r="R37" i="406" s="1"/>
  <c r="P36" i="406"/>
  <c r="R36" i="406" s="1"/>
  <c r="S36" i="406" s="1"/>
  <c r="T36" i="406" s="1"/>
  <c r="P35" i="406"/>
  <c r="R35" i="406" s="1"/>
  <c r="S35" i="406" s="1"/>
  <c r="T35" i="406" s="1"/>
  <c r="P34" i="406"/>
  <c r="R34" i="406" s="1"/>
  <c r="P33" i="406"/>
  <c r="R33" i="406" s="1"/>
  <c r="P32" i="406"/>
  <c r="R32" i="406" s="1"/>
  <c r="S32" i="406" s="1"/>
  <c r="T32" i="406" s="1"/>
  <c r="P31" i="406"/>
  <c r="R31" i="406" s="1"/>
  <c r="S31" i="406" s="1"/>
  <c r="T31" i="406" s="1"/>
  <c r="P30" i="406"/>
  <c r="R30" i="406" s="1"/>
  <c r="P29" i="406"/>
  <c r="R29" i="406" s="1"/>
  <c r="P28" i="406"/>
  <c r="R28" i="406" s="1"/>
  <c r="S28" i="406" s="1"/>
  <c r="T28" i="406" s="1"/>
  <c r="P27" i="406"/>
  <c r="R27" i="406" s="1"/>
  <c r="S27" i="406" s="1"/>
  <c r="T27" i="406" s="1"/>
  <c r="P26" i="406"/>
  <c r="R26" i="406" s="1"/>
  <c r="P24" i="406"/>
  <c r="P23" i="406"/>
  <c r="P22" i="406"/>
  <c r="P21" i="406"/>
  <c r="P20" i="406"/>
  <c r="R20" i="406" s="1"/>
  <c r="S20" i="406" s="1"/>
  <c r="T20" i="406" s="1"/>
  <c r="P19" i="406"/>
  <c r="R19" i="406" s="1"/>
  <c r="S19" i="406" s="1"/>
  <c r="T19" i="406" s="1"/>
  <c r="P17" i="406"/>
  <c r="R17" i="406" s="1"/>
  <c r="S17" i="406" s="1"/>
  <c r="T17" i="406" s="1"/>
  <c r="P14" i="406"/>
  <c r="P13" i="406"/>
  <c r="P12" i="406"/>
  <c r="P11" i="406"/>
  <c r="R11" i="406" s="1"/>
  <c r="E11" i="406"/>
  <c r="O9" i="406"/>
  <c r="N9" i="406"/>
  <c r="L9" i="406"/>
  <c r="K9" i="406"/>
  <c r="J9" i="406"/>
  <c r="I9" i="406"/>
  <c r="H9" i="406"/>
  <c r="G9" i="406"/>
  <c r="F9" i="406"/>
  <c r="G7" i="387"/>
  <c r="I7" i="387" s="1"/>
  <c r="G9" i="374"/>
  <c r="I9" i="374" s="1"/>
  <c r="G10" i="374"/>
  <c r="I10" i="374" s="1"/>
  <c r="G12" i="374"/>
  <c r="G13" i="374"/>
  <c r="I13" i="374" s="1"/>
  <c r="G14" i="374"/>
  <c r="I14" i="374" s="1"/>
  <c r="G15" i="374"/>
  <c r="I15" i="374" s="1"/>
  <c r="G16" i="374"/>
  <c r="I16" i="374" s="1"/>
  <c r="G17" i="374"/>
  <c r="I17" i="374" s="1"/>
  <c r="G18" i="374"/>
  <c r="I18" i="374" s="1"/>
  <c r="G19" i="374"/>
  <c r="I19" i="374" s="1"/>
  <c r="G20" i="374"/>
  <c r="I20" i="374" s="1"/>
  <c r="G21" i="374"/>
  <c r="I21" i="374" s="1"/>
  <c r="G22" i="374"/>
  <c r="I22" i="374" s="1"/>
  <c r="G23" i="374"/>
  <c r="I23" i="374" s="1"/>
  <c r="G24" i="374"/>
  <c r="I24" i="374" s="1"/>
  <c r="G25" i="374"/>
  <c r="I25" i="374" s="1"/>
  <c r="G26" i="374"/>
  <c r="I26" i="374" s="1"/>
  <c r="G27" i="374"/>
  <c r="I27" i="374" s="1"/>
  <c r="H29" i="374"/>
  <c r="M7" i="372"/>
  <c r="M8" i="372"/>
  <c r="M9" i="372"/>
  <c r="E25" i="372"/>
  <c r="F45" i="372"/>
  <c r="F46" i="372"/>
  <c r="F47" i="372"/>
  <c r="F64" i="372"/>
  <c r="F65" i="372"/>
  <c r="F66" i="372"/>
  <c r="F83" i="372"/>
  <c r="G84" i="372"/>
  <c r="G85" i="372"/>
  <c r="G86" i="372"/>
  <c r="F102" i="372"/>
  <c r="F103" i="372"/>
  <c r="F104" i="372"/>
  <c r="G9" i="383"/>
  <c r="G28" i="383" s="1"/>
  <c r="H9" i="383"/>
  <c r="H28" i="383" s="1"/>
  <c r="F8" i="332"/>
  <c r="G8" i="332" s="1"/>
  <c r="F9" i="332"/>
  <c r="G9" i="332" s="1"/>
  <c r="F10" i="332"/>
  <c r="G10" i="332" s="1"/>
  <c r="F11" i="332"/>
  <c r="G11" i="332" s="1"/>
  <c r="F12" i="332"/>
  <c r="G12" i="332" s="1"/>
  <c r="F13" i="332"/>
  <c r="G13" i="332" s="1"/>
  <c r="F14" i="332"/>
  <c r="G14" i="332" s="1"/>
  <c r="F15" i="332"/>
  <c r="G15" i="332" s="1"/>
  <c r="F16" i="332"/>
  <c r="G16" i="332" s="1"/>
  <c r="F17" i="332"/>
  <c r="G17" i="332" s="1"/>
  <c r="F18" i="332"/>
  <c r="G18" i="332" s="1"/>
  <c r="F19" i="332"/>
  <c r="G19" i="332" s="1"/>
  <c r="F20" i="332"/>
  <c r="G20" i="332" s="1"/>
  <c r="E8" i="326"/>
  <c r="E9" i="326"/>
  <c r="E10" i="326"/>
  <c r="E11" i="326"/>
  <c r="E12" i="326"/>
  <c r="E13" i="326"/>
  <c r="E14" i="326"/>
  <c r="E15" i="326"/>
  <c r="E16" i="326"/>
  <c r="E17" i="326"/>
  <c r="E18" i="326"/>
  <c r="E19" i="326"/>
  <c r="E20" i="326"/>
  <c r="E21" i="326"/>
  <c r="E22" i="326"/>
  <c r="E23" i="326"/>
  <c r="E24" i="326"/>
  <c r="E25" i="326"/>
  <c r="E26" i="326"/>
  <c r="E27" i="326"/>
  <c r="E28" i="326"/>
  <c r="E29" i="326"/>
  <c r="E30" i="326"/>
  <c r="E31" i="326"/>
  <c r="E32" i="326"/>
  <c r="E33" i="326"/>
  <c r="E34" i="326"/>
  <c r="E35" i="326"/>
  <c r="E36" i="326"/>
  <c r="E37" i="326"/>
  <c r="C9" i="130"/>
  <c r="J9" i="130"/>
  <c r="H10" i="130"/>
  <c r="H11" i="130"/>
  <c r="I11" i="130" s="1"/>
  <c r="H12" i="130"/>
  <c r="I12" i="130" s="1"/>
  <c r="K12" i="130" s="1"/>
  <c r="H13" i="130"/>
  <c r="I13" i="130" s="1"/>
  <c r="K13" i="130" s="1"/>
  <c r="H14" i="130"/>
  <c r="I14" i="130" s="1"/>
  <c r="K14" i="130" s="1"/>
  <c r="H15" i="130"/>
  <c r="I15" i="130" s="1"/>
  <c r="K15" i="130" s="1"/>
  <c r="H16" i="130"/>
  <c r="I16" i="130" s="1"/>
  <c r="K16" i="130" s="1"/>
  <c r="H17" i="130"/>
  <c r="I17" i="130" s="1"/>
  <c r="K17" i="130" s="1"/>
  <c r="H18" i="130"/>
  <c r="I18" i="130" s="1"/>
  <c r="K18" i="130" s="1"/>
  <c r="H19" i="130"/>
  <c r="I19" i="130" s="1"/>
  <c r="K19" i="130" s="1"/>
  <c r="G9" i="366"/>
  <c r="N9" i="366"/>
  <c r="G10" i="366"/>
  <c r="I10" i="366" s="1"/>
  <c r="N10" i="366"/>
  <c r="G11" i="366"/>
  <c r="I11" i="366" s="1"/>
  <c r="N11" i="366"/>
  <c r="G12" i="366"/>
  <c r="I12" i="366" s="1"/>
  <c r="G13" i="366"/>
  <c r="I13" i="366" s="1"/>
  <c r="G14" i="366"/>
  <c r="I14" i="366" s="1"/>
  <c r="G15" i="366"/>
  <c r="I15" i="366" s="1"/>
  <c r="G16" i="366"/>
  <c r="I16" i="366" s="1"/>
  <c r="H17" i="366"/>
  <c r="G9" i="363"/>
  <c r="I9" i="363" s="1"/>
  <c r="G10" i="363"/>
  <c r="I10" i="363" s="1"/>
  <c r="G11" i="363"/>
  <c r="I11" i="363" s="1"/>
  <c r="G12" i="363"/>
  <c r="I12" i="363" s="1"/>
  <c r="G13" i="363"/>
  <c r="I13" i="363" s="1"/>
  <c r="G14" i="363"/>
  <c r="G15" i="363"/>
  <c r="I15" i="363" s="1"/>
  <c r="G16" i="363"/>
  <c r="I16" i="363" s="1"/>
  <c r="G17" i="363"/>
  <c r="I17" i="363" s="1"/>
  <c r="G18" i="363"/>
  <c r="I18" i="363" s="1"/>
  <c r="G19" i="363"/>
  <c r="I19" i="363" s="1"/>
  <c r="H20" i="363"/>
  <c r="L9" i="139"/>
  <c r="F10" i="139"/>
  <c r="H10" i="139"/>
  <c r="F11" i="139"/>
  <c r="H11" i="139"/>
  <c r="F12" i="139"/>
  <c r="H12" i="139"/>
  <c r="F13" i="139"/>
  <c r="H13" i="139"/>
  <c r="F14" i="139"/>
  <c r="H14" i="139"/>
  <c r="F15" i="139"/>
  <c r="H15" i="139"/>
  <c r="F16" i="139"/>
  <c r="H16" i="139"/>
  <c r="F17" i="139"/>
  <c r="H17" i="139"/>
  <c r="F18" i="139"/>
  <c r="H18" i="139"/>
  <c r="F19" i="139"/>
  <c r="H19" i="139"/>
  <c r="I19" i="139" s="1"/>
  <c r="J19" i="139" s="1"/>
  <c r="K19" i="139" s="1"/>
  <c r="F20" i="139"/>
  <c r="H20" i="139"/>
  <c r="F21" i="139"/>
  <c r="H21" i="139"/>
  <c r="F22" i="139"/>
  <c r="H22" i="139"/>
  <c r="F23" i="139"/>
  <c r="H23" i="139"/>
  <c r="G9" i="368"/>
  <c r="G10" i="368"/>
  <c r="I10" i="368" s="1"/>
  <c r="G11" i="368"/>
  <c r="I11" i="368" s="1"/>
  <c r="G12" i="368"/>
  <c r="I12" i="368" s="1"/>
  <c r="G13" i="368"/>
  <c r="I13" i="368" s="1"/>
  <c r="G14" i="368"/>
  <c r="I14" i="368" s="1"/>
  <c r="G15" i="368"/>
  <c r="I15" i="368" s="1"/>
  <c r="G16" i="368"/>
  <c r="G17" i="368"/>
  <c r="I17" i="368" s="1"/>
  <c r="G18" i="368"/>
  <c r="I18" i="368" s="1"/>
  <c r="G19" i="368"/>
  <c r="I19" i="368" s="1"/>
  <c r="G20" i="368"/>
  <c r="I20" i="368" s="1"/>
  <c r="G21" i="368"/>
  <c r="I21" i="368" s="1"/>
  <c r="G22" i="368"/>
  <c r="I22" i="368" s="1"/>
  <c r="G23" i="368"/>
  <c r="I23" i="368" s="1"/>
  <c r="G24" i="368"/>
  <c r="I24" i="368" s="1"/>
  <c r="H25" i="368"/>
  <c r="D10" i="247"/>
  <c r="J10" i="247"/>
  <c r="K10" i="247"/>
  <c r="I10" i="247" s="1"/>
  <c r="D11" i="247"/>
  <c r="J11" i="247"/>
  <c r="K11" i="247"/>
  <c r="D12" i="247"/>
  <c r="J12" i="247"/>
  <c r="K12" i="247"/>
  <c r="D13" i="247"/>
  <c r="J13" i="247"/>
  <c r="K13" i="247"/>
  <c r="D14" i="247"/>
  <c r="J14" i="247"/>
  <c r="K14" i="247"/>
  <c r="D15" i="247"/>
  <c r="J15" i="247"/>
  <c r="K15" i="247"/>
  <c r="D16" i="247"/>
  <c r="J16" i="247"/>
  <c r="K16" i="247"/>
  <c r="D17" i="247"/>
  <c r="J17" i="247"/>
  <c r="K17" i="247"/>
  <c r="D18" i="247"/>
  <c r="J18" i="247"/>
  <c r="K18" i="247"/>
  <c r="D19" i="247"/>
  <c r="J19" i="247"/>
  <c r="K19" i="247"/>
  <c r="D20" i="247"/>
  <c r="J20" i="247"/>
  <c r="K20" i="247"/>
  <c r="D21" i="247"/>
  <c r="J21" i="247"/>
  <c r="K21" i="247"/>
  <c r="D22" i="247"/>
  <c r="J22" i="247"/>
  <c r="K22" i="247"/>
  <c r="D23" i="247"/>
  <c r="J23" i="247"/>
  <c r="K23" i="247"/>
  <c r="L11" i="373"/>
  <c r="N11" i="373"/>
  <c r="P11" i="373"/>
  <c r="R11" i="373"/>
  <c r="T11" i="373"/>
  <c r="W11" i="373"/>
  <c r="Z11" i="373"/>
  <c r="AD11" i="373"/>
  <c r="AE11" i="373" s="1"/>
  <c r="AG11" i="373"/>
  <c r="AK11" i="373"/>
  <c r="AM11" i="373"/>
  <c r="AN11" i="373" s="1"/>
  <c r="AQ11" i="373"/>
  <c r="AT11" i="373"/>
  <c r="L12" i="373"/>
  <c r="N12" i="373"/>
  <c r="P12" i="373"/>
  <c r="R12" i="373"/>
  <c r="T12" i="373"/>
  <c r="W12" i="373"/>
  <c r="Z12" i="373"/>
  <c r="AD12" i="373"/>
  <c r="AE12" i="373" s="1"/>
  <c r="AG12" i="373"/>
  <c r="AK12" i="373"/>
  <c r="AM12" i="373"/>
  <c r="AN12" i="373" s="1"/>
  <c r="AQ12" i="373"/>
  <c r="AT12" i="373"/>
  <c r="L13" i="373"/>
  <c r="N13" i="373"/>
  <c r="P13" i="373"/>
  <c r="R13" i="373"/>
  <c r="T13" i="373"/>
  <c r="W13" i="373"/>
  <c r="Z13" i="373"/>
  <c r="AD13" i="373"/>
  <c r="AE13" i="373" s="1"/>
  <c r="AG13" i="373"/>
  <c r="AK13" i="373"/>
  <c r="AM13" i="373"/>
  <c r="AN13" i="373" s="1"/>
  <c r="AQ13" i="373"/>
  <c r="AT13" i="373"/>
  <c r="L14" i="373"/>
  <c r="N14" i="373"/>
  <c r="P14" i="373"/>
  <c r="R14" i="373"/>
  <c r="T14" i="373"/>
  <c r="W14" i="373"/>
  <c r="Z14" i="373"/>
  <c r="AD14" i="373"/>
  <c r="AE14" i="373" s="1"/>
  <c r="AG14" i="373"/>
  <c r="AK14" i="373"/>
  <c r="AM14" i="373"/>
  <c r="AN14" i="373" s="1"/>
  <c r="AQ14" i="373"/>
  <c r="AT14" i="373"/>
  <c r="L15" i="373"/>
  <c r="N15" i="373"/>
  <c r="P15" i="373"/>
  <c r="R15" i="373"/>
  <c r="T15" i="373"/>
  <c r="W15" i="373"/>
  <c r="Z15" i="373"/>
  <c r="AD15" i="373"/>
  <c r="AE15" i="373" s="1"/>
  <c r="AG15" i="373"/>
  <c r="AK15" i="373"/>
  <c r="AM15" i="373"/>
  <c r="AN15" i="373" s="1"/>
  <c r="AQ15" i="373"/>
  <c r="AT15" i="373"/>
  <c r="AU15" i="373" s="1"/>
  <c r="L16" i="373"/>
  <c r="N16" i="373"/>
  <c r="P16" i="373"/>
  <c r="R16" i="373"/>
  <c r="T16" i="373"/>
  <c r="W16" i="373"/>
  <c r="Z16" i="373"/>
  <c r="AD16" i="373"/>
  <c r="AE16" i="373" s="1"/>
  <c r="AG16" i="373"/>
  <c r="AK16" i="373"/>
  <c r="AM16" i="373"/>
  <c r="AN16" i="373" s="1"/>
  <c r="AQ16" i="373"/>
  <c r="AT16" i="373"/>
  <c r="L17" i="373"/>
  <c r="N17" i="373"/>
  <c r="P17" i="373"/>
  <c r="R17" i="373"/>
  <c r="T17" i="373"/>
  <c r="W17" i="373"/>
  <c r="Z17" i="373"/>
  <c r="AD17" i="373"/>
  <c r="AE17" i="373" s="1"/>
  <c r="AG17" i="373"/>
  <c r="AK17" i="373"/>
  <c r="AM17" i="373"/>
  <c r="AN17" i="373" s="1"/>
  <c r="AQ17" i="373"/>
  <c r="AT17" i="373"/>
  <c r="L18" i="373"/>
  <c r="N18" i="373"/>
  <c r="P18" i="373"/>
  <c r="R18" i="373"/>
  <c r="T18" i="373"/>
  <c r="W18" i="373"/>
  <c r="Z18" i="373"/>
  <c r="AD18" i="373"/>
  <c r="AE18" i="373" s="1"/>
  <c r="AG18" i="373"/>
  <c r="AK18" i="373"/>
  <c r="AM18" i="373"/>
  <c r="AN18" i="373" s="1"/>
  <c r="AQ18" i="373"/>
  <c r="AT18" i="373"/>
  <c r="L19" i="373"/>
  <c r="N19" i="373"/>
  <c r="P19" i="373"/>
  <c r="R19" i="373"/>
  <c r="T19" i="373"/>
  <c r="W19" i="373"/>
  <c r="Z19" i="373"/>
  <c r="AD19" i="373"/>
  <c r="AE19" i="373" s="1"/>
  <c r="AG19" i="373"/>
  <c r="AK19" i="373"/>
  <c r="AM19" i="373"/>
  <c r="AN19" i="373" s="1"/>
  <c r="AQ19" i="373"/>
  <c r="AT19" i="373"/>
  <c r="L20" i="373"/>
  <c r="N20" i="373"/>
  <c r="P20" i="373"/>
  <c r="R20" i="373"/>
  <c r="T20" i="373"/>
  <c r="W20" i="373"/>
  <c r="Z20" i="373"/>
  <c r="AD20" i="373"/>
  <c r="AE20" i="373" s="1"/>
  <c r="AG20" i="373"/>
  <c r="AK20" i="373"/>
  <c r="AM20" i="373"/>
  <c r="AN20" i="373" s="1"/>
  <c r="AQ20" i="373"/>
  <c r="AT20" i="373"/>
  <c r="L21" i="373"/>
  <c r="N21" i="373"/>
  <c r="P21" i="373"/>
  <c r="R21" i="373"/>
  <c r="T21" i="373"/>
  <c r="W21" i="373"/>
  <c r="Z21" i="373"/>
  <c r="AD21" i="373"/>
  <c r="AE21" i="373" s="1"/>
  <c r="AG21" i="373"/>
  <c r="AK21" i="373"/>
  <c r="AM21" i="373"/>
  <c r="AN21" i="373" s="1"/>
  <c r="AQ21" i="373"/>
  <c r="AT21" i="373"/>
  <c r="L22" i="373"/>
  <c r="N22" i="373"/>
  <c r="P22" i="373"/>
  <c r="R22" i="373"/>
  <c r="T22" i="373"/>
  <c r="W22" i="373"/>
  <c r="Z22" i="373"/>
  <c r="AD22" i="373"/>
  <c r="AE22" i="373" s="1"/>
  <c r="AG22" i="373"/>
  <c r="AK22" i="373"/>
  <c r="AM22" i="373"/>
  <c r="AN22" i="373" s="1"/>
  <c r="AQ22" i="373"/>
  <c r="AT22" i="373"/>
  <c r="L23" i="373"/>
  <c r="N23" i="373"/>
  <c r="P23" i="373"/>
  <c r="R23" i="373"/>
  <c r="T23" i="373"/>
  <c r="W23" i="373"/>
  <c r="Z23" i="373"/>
  <c r="AD23" i="373"/>
  <c r="AE23" i="373" s="1"/>
  <c r="AG23" i="373"/>
  <c r="AK23" i="373"/>
  <c r="AM23" i="373"/>
  <c r="AN23" i="373" s="1"/>
  <c r="AQ23" i="373"/>
  <c r="AT23" i="373"/>
  <c r="AY24" i="373"/>
  <c r="F7" i="204"/>
  <c r="F8" i="204"/>
  <c r="F9" i="204"/>
  <c r="F10" i="204"/>
  <c r="F11" i="204"/>
  <c r="F12" i="204"/>
  <c r="F13" i="204"/>
  <c r="F14" i="204"/>
  <c r="F15" i="204"/>
  <c r="F16" i="204"/>
  <c r="F17" i="204"/>
  <c r="F18" i="204"/>
  <c r="F19" i="204"/>
  <c r="F20" i="204"/>
  <c r="F21" i="204"/>
  <c r="D22" i="204"/>
  <c r="F22" i="204" s="1"/>
  <c r="D23" i="204"/>
  <c r="F23" i="204" s="1"/>
  <c r="D24" i="204"/>
  <c r="F24" i="204" s="1"/>
  <c r="D25" i="204"/>
  <c r="F25" i="204" s="1"/>
  <c r="D26" i="204"/>
  <c r="F26" i="204" s="1"/>
  <c r="D27" i="204"/>
  <c r="F27" i="204" s="1"/>
  <c r="D28" i="204"/>
  <c r="F28" i="204" s="1"/>
  <c r="D29" i="204"/>
  <c r="F29" i="204" s="1"/>
  <c r="D30" i="204"/>
  <c r="F30" i="204" s="1"/>
  <c r="D31" i="204"/>
  <c r="F31" i="204" s="1"/>
  <c r="D32" i="204"/>
  <c r="F32" i="204" s="1"/>
  <c r="D33" i="204"/>
  <c r="F33" i="204" s="1"/>
  <c r="D34" i="204"/>
  <c r="F34" i="204" s="1"/>
  <c r="D35" i="204"/>
  <c r="F35" i="204" s="1"/>
  <c r="D36" i="204"/>
  <c r="F36" i="204" s="1"/>
  <c r="D37" i="204"/>
  <c r="F37" i="204" s="1"/>
  <c r="D38" i="204"/>
  <c r="F38" i="204" s="1"/>
  <c r="D39" i="204"/>
  <c r="F39" i="204" s="1"/>
  <c r="D40" i="204"/>
  <c r="F40" i="204" s="1"/>
  <c r="D41" i="204"/>
  <c r="F41" i="204" s="1"/>
  <c r="D42" i="204"/>
  <c r="F42" i="204" s="1"/>
  <c r="D43" i="204"/>
  <c r="F43" i="204" s="1"/>
  <c r="D44" i="204"/>
  <c r="F44" i="204" s="1"/>
  <c r="D45" i="204"/>
  <c r="F45" i="204" s="1"/>
  <c r="D46" i="204"/>
  <c r="F46" i="204" s="1"/>
  <c r="D47" i="204"/>
  <c r="F47" i="204" s="1"/>
  <c r="D48" i="204"/>
  <c r="F48" i="204" s="1"/>
  <c r="D49" i="204"/>
  <c r="F49" i="204" s="1"/>
  <c r="D50" i="204"/>
  <c r="F50" i="204" s="1"/>
  <c r="D51" i="204"/>
  <c r="F51" i="204" s="1"/>
  <c r="D52" i="204"/>
  <c r="F52" i="204" s="1"/>
  <c r="D53" i="204"/>
  <c r="F53" i="204" s="1"/>
  <c r="D54" i="204"/>
  <c r="F54" i="204" s="1"/>
  <c r="D55" i="204"/>
  <c r="F55" i="204" s="1"/>
  <c r="D56" i="204"/>
  <c r="F56" i="204" s="1"/>
  <c r="D57" i="204"/>
  <c r="F57" i="204" s="1"/>
  <c r="D58" i="204"/>
  <c r="F58" i="204" s="1"/>
  <c r="D59" i="204"/>
  <c r="F59" i="204" s="1"/>
  <c r="D60" i="204"/>
  <c r="F60" i="204" s="1"/>
  <c r="D61" i="204"/>
  <c r="F61" i="204" s="1"/>
  <c r="D62" i="204"/>
  <c r="F62" i="204" s="1"/>
  <c r="D63" i="204"/>
  <c r="F63" i="204" s="1"/>
  <c r="D64" i="204"/>
  <c r="F64" i="204" s="1"/>
  <c r="D65" i="204"/>
  <c r="F65" i="204" s="1"/>
  <c r="D66" i="204"/>
  <c r="F66" i="204" s="1"/>
  <c r="D67" i="204"/>
  <c r="F67" i="204" s="1"/>
  <c r="D68" i="204"/>
  <c r="F68" i="204" s="1"/>
  <c r="E69" i="204"/>
  <c r="H7" i="191"/>
  <c r="K7" i="191"/>
  <c r="L7" i="191"/>
  <c r="H8" i="191"/>
  <c r="K8" i="191"/>
  <c r="L8" i="191"/>
  <c r="H9" i="191"/>
  <c r="K9" i="191"/>
  <c r="L9" i="191"/>
  <c r="H10" i="191"/>
  <c r="K10" i="191"/>
  <c r="L10" i="191"/>
  <c r="H11" i="191"/>
  <c r="K11" i="191"/>
  <c r="L11" i="191"/>
  <c r="H12" i="191"/>
  <c r="K12" i="191"/>
  <c r="L12" i="191"/>
  <c r="H13" i="191"/>
  <c r="K13" i="191"/>
  <c r="L13" i="191"/>
  <c r="H14" i="191"/>
  <c r="K14" i="191"/>
  <c r="L14" i="191"/>
  <c r="M14" i="191" s="1"/>
  <c r="N14" i="191" s="1"/>
  <c r="H15" i="191"/>
  <c r="M15" i="191" s="1"/>
  <c r="N15" i="191" s="1"/>
  <c r="O16" i="191"/>
  <c r="P16" i="191"/>
  <c r="Q16" i="191"/>
  <c r="R16" i="191"/>
  <c r="S16" i="191"/>
  <c r="E4" i="143"/>
  <c r="G4" i="143" s="1"/>
  <c r="E11" i="143"/>
  <c r="G11" i="143" s="1"/>
  <c r="I12" i="143"/>
  <c r="G7" i="144"/>
  <c r="H7" i="144" s="1"/>
  <c r="E8" i="144"/>
  <c r="G8" i="144" s="1"/>
  <c r="H8" i="144" s="1"/>
  <c r="F9" i="144"/>
  <c r="G9" i="144" s="1"/>
  <c r="H9" i="144" s="1"/>
  <c r="E10" i="144"/>
  <c r="F10" i="144"/>
  <c r="F11" i="144"/>
  <c r="G11" i="144" s="1"/>
  <c r="H11" i="144" s="1"/>
  <c r="E12" i="144"/>
  <c r="F12" i="144"/>
  <c r="F13" i="144"/>
  <c r="G13" i="144" s="1"/>
  <c r="H13" i="144" s="1"/>
  <c r="E14" i="144"/>
  <c r="F14" i="144"/>
  <c r="F15" i="144"/>
  <c r="G15" i="144" s="1"/>
  <c r="H15" i="144" s="1"/>
  <c r="E16" i="144"/>
  <c r="F16" i="144"/>
  <c r="F17" i="144"/>
  <c r="G17" i="144" s="1"/>
  <c r="H17" i="144" s="1"/>
  <c r="J17" i="144" s="1"/>
  <c r="E18" i="144"/>
  <c r="F18" i="144"/>
  <c r="F19" i="144"/>
  <c r="G19" i="144" s="1"/>
  <c r="E20" i="144"/>
  <c r="F20" i="144"/>
  <c r="G21" i="144"/>
  <c r="H21" i="144" s="1"/>
  <c r="I21" i="144" s="1"/>
  <c r="E22" i="144"/>
  <c r="G22" i="144" s="1"/>
  <c r="H22" i="144" s="1"/>
  <c r="F29" i="144"/>
  <c r="G29" i="144" s="1"/>
  <c r="E30" i="144"/>
  <c r="F30" i="144"/>
  <c r="F31" i="144"/>
  <c r="G31" i="144" s="1"/>
  <c r="E32" i="144"/>
  <c r="F32" i="144"/>
  <c r="F33" i="144"/>
  <c r="G33" i="144" s="1"/>
  <c r="E34" i="144"/>
  <c r="F34" i="144"/>
  <c r="F35" i="144"/>
  <c r="G35" i="144" s="1"/>
  <c r="E36" i="144"/>
  <c r="F36" i="144"/>
  <c r="G8" i="255"/>
  <c r="F9" i="255"/>
  <c r="F10" i="255"/>
  <c r="H10" i="255" s="1"/>
  <c r="F11" i="255"/>
  <c r="H11" i="255" s="1"/>
  <c r="F12" i="255"/>
  <c r="H12" i="255" s="1"/>
  <c r="F13" i="255"/>
  <c r="H13" i="255" s="1"/>
  <c r="F14" i="255"/>
  <c r="H14" i="255" s="1"/>
  <c r="F15" i="255"/>
  <c r="H15" i="255" s="1"/>
  <c r="F16" i="255"/>
  <c r="H16" i="255" s="1"/>
  <c r="F17" i="255"/>
  <c r="H17" i="255" s="1"/>
  <c r="F18" i="255"/>
  <c r="H18" i="255" s="1"/>
  <c r="F19" i="255"/>
  <c r="H19" i="255" s="1"/>
  <c r="F20" i="255"/>
  <c r="H20" i="255" s="1"/>
  <c r="F21" i="255"/>
  <c r="H21" i="255" s="1"/>
  <c r="F22" i="255"/>
  <c r="H22" i="255" s="1"/>
  <c r="F23" i="255"/>
  <c r="H23" i="255" s="1"/>
  <c r="F24" i="255"/>
  <c r="H24" i="255" s="1"/>
  <c r="F25" i="255"/>
  <c r="H25" i="255" s="1"/>
  <c r="F26" i="255"/>
  <c r="H26" i="255" s="1"/>
  <c r="F27" i="255"/>
  <c r="H27" i="255" s="1"/>
  <c r="F28" i="255"/>
  <c r="H28" i="255" s="1"/>
  <c r="F29" i="255"/>
  <c r="H29" i="255" s="1"/>
  <c r="F30" i="255"/>
  <c r="H30" i="255" s="1"/>
  <c r="F31" i="255"/>
  <c r="H31" i="255" s="1"/>
  <c r="F32" i="255"/>
  <c r="H32" i="255" s="1"/>
  <c r="F33" i="255"/>
  <c r="H33" i="255" s="1"/>
  <c r="F34" i="255"/>
  <c r="H34" i="255" s="1"/>
  <c r="B9" i="356"/>
  <c r="C9" i="356" s="1"/>
  <c r="D9" i="356" s="1"/>
  <c r="E9" i="356" s="1"/>
  <c r="F9" i="356" s="1"/>
  <c r="G9" i="356" s="1"/>
  <c r="H9" i="356" s="1"/>
  <c r="I9" i="356" s="1"/>
  <c r="J9" i="356" s="1"/>
  <c r="K9" i="356" s="1"/>
  <c r="L9" i="356" s="1"/>
  <c r="M9" i="356" s="1"/>
  <c r="N9" i="356" s="1"/>
  <c r="O9" i="356" s="1"/>
  <c r="P9" i="356" s="1"/>
  <c r="Q9" i="356" s="1"/>
  <c r="R9" i="356" s="1"/>
  <c r="S9" i="356" s="1"/>
  <c r="T9" i="356" s="1"/>
  <c r="U9" i="356" s="1"/>
  <c r="V9" i="356" s="1"/>
  <c r="W9" i="356" s="1"/>
  <c r="X9" i="356" s="1"/>
  <c r="Y9" i="356" s="1"/>
  <c r="Z9" i="356" s="1"/>
  <c r="AA9" i="356" s="1"/>
  <c r="AB9" i="356" s="1"/>
  <c r="AC9" i="356" s="1"/>
  <c r="AD9" i="356" s="1"/>
  <c r="AE9" i="356" s="1"/>
  <c r="AF9" i="356" s="1"/>
  <c r="AG9" i="356" s="1"/>
  <c r="AH9" i="356" s="1"/>
  <c r="AI9" i="356" s="1"/>
  <c r="AJ9" i="356" s="1"/>
  <c r="AK9" i="356" s="1"/>
  <c r="AL9" i="356" s="1"/>
  <c r="AM9" i="356" s="1"/>
  <c r="AN9" i="356" s="1"/>
  <c r="AO9" i="356" s="1"/>
  <c r="AP9" i="356" s="1"/>
  <c r="AQ9" i="356" s="1"/>
  <c r="AR9" i="356" s="1"/>
  <c r="AS9" i="356" s="1"/>
  <c r="AT9" i="356" s="1"/>
  <c r="AU9" i="356" s="1"/>
  <c r="AV9" i="356" s="1"/>
  <c r="AW9" i="356" s="1"/>
  <c r="AX9" i="356" s="1"/>
  <c r="AY9" i="356" s="1"/>
  <c r="AZ9" i="356" s="1"/>
  <c r="BA9" i="356" s="1"/>
  <c r="BB9" i="356" s="1"/>
  <c r="BC9" i="356" s="1"/>
  <c r="BD9" i="356" s="1"/>
  <c r="BE9" i="356" s="1"/>
  <c r="BF9" i="356" s="1"/>
  <c r="BG9" i="356" s="1"/>
  <c r="BH9" i="356" s="1"/>
  <c r="BI9" i="356" s="1"/>
  <c r="BJ9" i="356" s="1"/>
  <c r="BK9" i="356" s="1"/>
  <c r="BL9" i="356" s="1"/>
  <c r="BM9" i="356" s="1"/>
  <c r="BN9" i="356" s="1"/>
  <c r="L12" i="356"/>
  <c r="O12" i="356"/>
  <c r="R12" i="356"/>
  <c r="T12" i="356"/>
  <c r="V12" i="356"/>
  <c r="X12" i="356"/>
  <c r="Z12" i="356"/>
  <c r="AE12" i="356"/>
  <c r="AH12" i="356"/>
  <c r="AJ12" i="356"/>
  <c r="AO12" i="356"/>
  <c r="AR12" i="356"/>
  <c r="AU12" i="356"/>
  <c r="AY12" i="356"/>
  <c r="BC12" i="356"/>
  <c r="BH12" i="356"/>
  <c r="BL12" i="356"/>
  <c r="L13" i="356"/>
  <c r="O13" i="356"/>
  <c r="R13" i="356"/>
  <c r="T13" i="356"/>
  <c r="V13" i="356"/>
  <c r="X13" i="356"/>
  <c r="Z13" i="356"/>
  <c r="AE13" i="356"/>
  <c r="AH13" i="356"/>
  <c r="AJ13" i="356"/>
  <c r="AO13" i="356"/>
  <c r="AR13" i="356"/>
  <c r="AU13" i="356"/>
  <c r="AY13" i="356"/>
  <c r="BC13" i="356"/>
  <c r="BD13" i="356" s="1"/>
  <c r="BH13" i="356"/>
  <c r="BL13" i="356"/>
  <c r="L14" i="356"/>
  <c r="O14" i="356"/>
  <c r="R14" i="356"/>
  <c r="T14" i="356"/>
  <c r="V14" i="356"/>
  <c r="X14" i="356"/>
  <c r="Z14" i="356"/>
  <c r="AE14" i="356"/>
  <c r="AH14" i="356"/>
  <c r="AJ14" i="356"/>
  <c r="AO14" i="356"/>
  <c r="AR14" i="356"/>
  <c r="AU14" i="356"/>
  <c r="AY14" i="356"/>
  <c r="BC14" i="356"/>
  <c r="BH14" i="356"/>
  <c r="BL14" i="356"/>
  <c r="L15" i="356"/>
  <c r="O15" i="356"/>
  <c r="R15" i="356"/>
  <c r="T15" i="356"/>
  <c r="V15" i="356"/>
  <c r="X15" i="356"/>
  <c r="Z15" i="356"/>
  <c r="AE15" i="356"/>
  <c r="AH15" i="356"/>
  <c r="AJ15" i="356"/>
  <c r="AK15" i="356" s="1"/>
  <c r="AL15" i="356" s="1"/>
  <c r="AO15" i="356"/>
  <c r="AR15" i="356"/>
  <c r="AU15" i="356"/>
  <c r="AY15" i="356"/>
  <c r="BC15" i="356"/>
  <c r="BD15" i="356" s="1"/>
  <c r="BH15" i="356"/>
  <c r="BL15" i="356"/>
  <c r="L16" i="356"/>
  <c r="O16" i="356"/>
  <c r="R16" i="356"/>
  <c r="T16" i="356"/>
  <c r="V16" i="356"/>
  <c r="X16" i="356"/>
  <c r="Z16" i="356"/>
  <c r="AE16" i="356"/>
  <c r="AH16" i="356"/>
  <c r="AJ16" i="356"/>
  <c r="AO16" i="356"/>
  <c r="AR16" i="356"/>
  <c r="AU16" i="356"/>
  <c r="AY16" i="356"/>
  <c r="BC16" i="356"/>
  <c r="BD16" i="356" s="1"/>
  <c r="BH16" i="356"/>
  <c r="BL16" i="356"/>
  <c r="L17" i="356"/>
  <c r="O17" i="356"/>
  <c r="R17" i="356"/>
  <c r="T17" i="356"/>
  <c r="V17" i="356"/>
  <c r="X17" i="356"/>
  <c r="Z17" i="356"/>
  <c r="AE17" i="356"/>
  <c r="AH17" i="356"/>
  <c r="AJ17" i="356"/>
  <c r="AO17" i="356"/>
  <c r="AR17" i="356"/>
  <c r="AU17" i="356"/>
  <c r="AY17" i="356"/>
  <c r="BC17" i="356"/>
  <c r="BD17" i="356" s="1"/>
  <c r="BH17" i="356"/>
  <c r="BL17" i="356"/>
  <c r="L18" i="356"/>
  <c r="O18" i="356"/>
  <c r="R18" i="356"/>
  <c r="T18" i="356"/>
  <c r="V18" i="356"/>
  <c r="X18" i="356"/>
  <c r="Z18" i="356"/>
  <c r="AE18" i="356"/>
  <c r="AH18" i="356"/>
  <c r="AJ18" i="356"/>
  <c r="AO18" i="356"/>
  <c r="AR18" i="356"/>
  <c r="AU18" i="356"/>
  <c r="AY18" i="356"/>
  <c r="BC18" i="356"/>
  <c r="BD18" i="356" s="1"/>
  <c r="BH18" i="356"/>
  <c r="BL18" i="356"/>
  <c r="L19" i="356"/>
  <c r="O19" i="356"/>
  <c r="R19" i="356"/>
  <c r="T19" i="356"/>
  <c r="V19" i="356"/>
  <c r="X19" i="356"/>
  <c r="Z19" i="356"/>
  <c r="AE19" i="356"/>
  <c r="AH19" i="356"/>
  <c r="AJ19" i="356"/>
  <c r="AO19" i="356"/>
  <c r="AR19" i="356"/>
  <c r="AU19" i="356"/>
  <c r="AY19" i="356"/>
  <c r="BC19" i="356"/>
  <c r="BD19" i="356" s="1"/>
  <c r="BH19" i="356"/>
  <c r="BL19" i="356"/>
  <c r="L20" i="356"/>
  <c r="O20" i="356"/>
  <c r="R20" i="356"/>
  <c r="T20" i="356"/>
  <c r="V20" i="356"/>
  <c r="X20" i="356"/>
  <c r="Z20" i="356"/>
  <c r="AE20" i="356"/>
  <c r="AH20" i="356"/>
  <c r="AJ20" i="356"/>
  <c r="AO20" i="356"/>
  <c r="AR20" i="356"/>
  <c r="AU20" i="356"/>
  <c r="AY20" i="356"/>
  <c r="BC20" i="356"/>
  <c r="BD20" i="356" s="1"/>
  <c r="BH20" i="356"/>
  <c r="BL20" i="356"/>
  <c r="L21" i="356"/>
  <c r="O21" i="356"/>
  <c r="R21" i="356"/>
  <c r="T21" i="356"/>
  <c r="V21" i="356"/>
  <c r="X21" i="356"/>
  <c r="Z21" i="356"/>
  <c r="AE21" i="356"/>
  <c r="AH21" i="356"/>
  <c r="AJ21" i="356"/>
  <c r="AO21" i="356"/>
  <c r="AR21" i="356"/>
  <c r="AU21" i="356"/>
  <c r="AY21" i="356"/>
  <c r="BC21" i="356"/>
  <c r="BD21" i="356" s="1"/>
  <c r="BH21" i="356"/>
  <c r="BL21" i="356"/>
  <c r="L22" i="356"/>
  <c r="O22" i="356"/>
  <c r="R22" i="356"/>
  <c r="T22" i="356"/>
  <c r="V22" i="356"/>
  <c r="X22" i="356"/>
  <c r="Z22" i="356"/>
  <c r="AE22" i="356"/>
  <c r="AH22" i="356"/>
  <c r="AJ22" i="356"/>
  <c r="AO22" i="356"/>
  <c r="AR22" i="356"/>
  <c r="AU22" i="356"/>
  <c r="AY22" i="356"/>
  <c r="BC22" i="356"/>
  <c r="BD22" i="356" s="1"/>
  <c r="BH22" i="356"/>
  <c r="BL22" i="356"/>
  <c r="L23" i="356"/>
  <c r="O23" i="356"/>
  <c r="R23" i="356"/>
  <c r="T23" i="356"/>
  <c r="V23" i="356"/>
  <c r="X23" i="356"/>
  <c r="Z23" i="356"/>
  <c r="AE23" i="356"/>
  <c r="AH23" i="356"/>
  <c r="AJ23" i="356"/>
  <c r="AO23" i="356"/>
  <c r="AR23" i="356"/>
  <c r="AU23" i="356"/>
  <c r="AY23" i="356"/>
  <c r="BC23" i="356"/>
  <c r="BD23" i="356" s="1"/>
  <c r="BH23" i="356"/>
  <c r="BL23" i="356"/>
  <c r="L24" i="356"/>
  <c r="O24" i="356"/>
  <c r="R24" i="356"/>
  <c r="T24" i="356"/>
  <c r="V24" i="356"/>
  <c r="X24" i="356"/>
  <c r="Z24" i="356"/>
  <c r="AE24" i="356"/>
  <c r="AH24" i="356"/>
  <c r="AJ24" i="356"/>
  <c r="AO24" i="356"/>
  <c r="AR24" i="356"/>
  <c r="AU24" i="356"/>
  <c r="AY24" i="356"/>
  <c r="BC24" i="356"/>
  <c r="BD24" i="356" s="1"/>
  <c r="BH24" i="356"/>
  <c r="BL24" i="356"/>
  <c r="L25" i="356"/>
  <c r="O25" i="356"/>
  <c r="R25" i="356"/>
  <c r="T25" i="356"/>
  <c r="V25" i="356"/>
  <c r="X25" i="356"/>
  <c r="Z25" i="356"/>
  <c r="AE25" i="356"/>
  <c r="AH25" i="356"/>
  <c r="AJ25" i="356"/>
  <c r="AO25" i="356"/>
  <c r="AR25" i="356"/>
  <c r="AU25" i="356"/>
  <c r="AY25" i="356"/>
  <c r="BC25" i="356"/>
  <c r="BD25" i="356" s="1"/>
  <c r="BH25" i="356"/>
  <c r="BL25" i="356"/>
  <c r="L26" i="356"/>
  <c r="O26" i="356"/>
  <c r="R26" i="356"/>
  <c r="T26" i="356"/>
  <c r="V26" i="356"/>
  <c r="X26" i="356"/>
  <c r="Z26" i="356"/>
  <c r="AE26" i="356"/>
  <c r="AH26" i="356"/>
  <c r="AJ26" i="356"/>
  <c r="AO26" i="356"/>
  <c r="AR26" i="356"/>
  <c r="AU26" i="356"/>
  <c r="AY26" i="356"/>
  <c r="BC26" i="356"/>
  <c r="BD26" i="356" s="1"/>
  <c r="BH26" i="356"/>
  <c r="BL26" i="356"/>
  <c r="L27" i="356"/>
  <c r="O27" i="356"/>
  <c r="R27" i="356"/>
  <c r="T27" i="356"/>
  <c r="V27" i="356"/>
  <c r="X27" i="356"/>
  <c r="Z27" i="356"/>
  <c r="AE27" i="356"/>
  <c r="AH27" i="356"/>
  <c r="AJ27" i="356"/>
  <c r="AK27" i="356" s="1"/>
  <c r="AL27" i="356" s="1"/>
  <c r="AO27" i="356"/>
  <c r="AR27" i="356"/>
  <c r="AU27" i="356"/>
  <c r="AY27" i="356"/>
  <c r="BC27" i="356"/>
  <c r="BD27" i="356" s="1"/>
  <c r="BH27" i="356"/>
  <c r="BL27" i="356"/>
  <c r="L28" i="356"/>
  <c r="O28" i="356"/>
  <c r="R28" i="356"/>
  <c r="T28" i="356"/>
  <c r="V28" i="356"/>
  <c r="X28" i="356"/>
  <c r="Z28" i="356"/>
  <c r="AE28" i="356"/>
  <c r="AH28" i="356"/>
  <c r="AJ28" i="356"/>
  <c r="AO28" i="356"/>
  <c r="AR28" i="356"/>
  <c r="AU28" i="356"/>
  <c r="AY28" i="356"/>
  <c r="BC28" i="356"/>
  <c r="BD28" i="356" s="1"/>
  <c r="BH28" i="356"/>
  <c r="BL28" i="356"/>
  <c r="L29" i="356"/>
  <c r="O29" i="356"/>
  <c r="R29" i="356"/>
  <c r="T29" i="356"/>
  <c r="V29" i="356"/>
  <c r="X29" i="356"/>
  <c r="Z29" i="356"/>
  <c r="AE29" i="356"/>
  <c r="AH29" i="356"/>
  <c r="AJ29" i="356"/>
  <c r="AO29" i="356"/>
  <c r="AR29" i="356"/>
  <c r="AU29" i="356"/>
  <c r="AY29" i="356"/>
  <c r="BC29" i="356"/>
  <c r="BD29" i="356" s="1"/>
  <c r="BH29" i="356"/>
  <c r="BL29" i="356"/>
  <c r="L30" i="356"/>
  <c r="O30" i="356"/>
  <c r="R30" i="356"/>
  <c r="T30" i="356"/>
  <c r="V30" i="356"/>
  <c r="X30" i="356"/>
  <c r="Z30" i="356"/>
  <c r="AE30" i="356"/>
  <c r="AH30" i="356"/>
  <c r="AJ30" i="356"/>
  <c r="AO30" i="356"/>
  <c r="AR30" i="356"/>
  <c r="AU30" i="356"/>
  <c r="AY30" i="356"/>
  <c r="BC30" i="356"/>
  <c r="BD30" i="356" s="1"/>
  <c r="BH30" i="356"/>
  <c r="BL30" i="356"/>
  <c r="L31" i="356"/>
  <c r="O31" i="356"/>
  <c r="R31" i="356"/>
  <c r="T31" i="356"/>
  <c r="V31" i="356"/>
  <c r="X31" i="356"/>
  <c r="Z31" i="356"/>
  <c r="AE31" i="356"/>
  <c r="AH31" i="356"/>
  <c r="AJ31" i="356"/>
  <c r="AK31" i="356" s="1"/>
  <c r="AL31" i="356" s="1"/>
  <c r="AO31" i="356"/>
  <c r="AR31" i="356"/>
  <c r="AU31" i="356"/>
  <c r="AY31" i="356"/>
  <c r="BC31" i="356"/>
  <c r="BD31" i="356" s="1"/>
  <c r="BH31" i="356"/>
  <c r="BL31" i="356"/>
  <c r="P13" i="335"/>
  <c r="R13" i="335" s="1"/>
  <c r="T13" i="335"/>
  <c r="V13" i="335"/>
  <c r="X13" i="335"/>
  <c r="Z13" i="335"/>
  <c r="AB13" i="335"/>
  <c r="AD13" i="335"/>
  <c r="AH13" i="335"/>
  <c r="AK13" i="335"/>
  <c r="AN13" i="335"/>
  <c r="AQ13" i="335"/>
  <c r="AT13" i="335"/>
  <c r="AX13" i="335"/>
  <c r="BB13" i="335"/>
  <c r="P14" i="335"/>
  <c r="R14" i="335" s="1"/>
  <c r="T14" i="335"/>
  <c r="V14" i="335"/>
  <c r="X14" i="335"/>
  <c r="Z14" i="335"/>
  <c r="AB14" i="335"/>
  <c r="AD14" i="335"/>
  <c r="AH14" i="335"/>
  <c r="AK14" i="335"/>
  <c r="AN14" i="335"/>
  <c r="AQ14" i="335"/>
  <c r="AT14" i="335"/>
  <c r="AX14" i="335"/>
  <c r="BB14" i="335"/>
  <c r="P15" i="335"/>
  <c r="R15" i="335" s="1"/>
  <c r="T15" i="335"/>
  <c r="V15" i="335"/>
  <c r="X15" i="335"/>
  <c r="Z15" i="335"/>
  <c r="AB15" i="335"/>
  <c r="AD15" i="335"/>
  <c r="AH15" i="335"/>
  <c r="AK15" i="335"/>
  <c r="AN15" i="335"/>
  <c r="AQ15" i="335"/>
  <c r="AT15" i="335"/>
  <c r="AX15" i="335"/>
  <c r="BB15" i="335"/>
  <c r="P16" i="335"/>
  <c r="T16" i="335"/>
  <c r="V16" i="335"/>
  <c r="X16" i="335"/>
  <c r="Z16" i="335"/>
  <c r="AB16" i="335"/>
  <c r="AD16" i="335"/>
  <c r="AH16" i="335"/>
  <c r="AK16" i="335"/>
  <c r="AN16" i="335"/>
  <c r="AQ16" i="335"/>
  <c r="AT16" i="335"/>
  <c r="AX16" i="335"/>
  <c r="BB16" i="335"/>
  <c r="P17" i="335"/>
  <c r="R17" i="335" s="1"/>
  <c r="T17" i="335"/>
  <c r="V17" i="335"/>
  <c r="X17" i="335"/>
  <c r="Z17" i="335"/>
  <c r="AB17" i="335"/>
  <c r="AD17" i="335"/>
  <c r="AH17" i="335"/>
  <c r="AK17" i="335"/>
  <c r="AN17" i="335"/>
  <c r="AQ17" i="335"/>
  <c r="AT17" i="335"/>
  <c r="AX17" i="335"/>
  <c r="BB17" i="335"/>
  <c r="P18" i="335"/>
  <c r="R18" i="335" s="1"/>
  <c r="T18" i="335"/>
  <c r="V18" i="335"/>
  <c r="X18" i="335"/>
  <c r="Z18" i="335"/>
  <c r="AB18" i="335"/>
  <c r="AD18" i="335"/>
  <c r="AH18" i="335"/>
  <c r="AK18" i="335"/>
  <c r="AN18" i="335"/>
  <c r="AQ18" i="335"/>
  <c r="AT18" i="335"/>
  <c r="AX18" i="335"/>
  <c r="BB18" i="335"/>
  <c r="P19" i="335"/>
  <c r="R19" i="335" s="1"/>
  <c r="T19" i="335"/>
  <c r="V19" i="335"/>
  <c r="X19" i="335"/>
  <c r="Z19" i="335"/>
  <c r="AB19" i="335"/>
  <c r="AD19" i="335"/>
  <c r="AH19" i="335"/>
  <c r="AK19" i="335"/>
  <c r="AN19" i="335"/>
  <c r="AQ19" i="335"/>
  <c r="AT19" i="335"/>
  <c r="AX19" i="335"/>
  <c r="BB19" i="335"/>
  <c r="P20" i="335"/>
  <c r="R20" i="335" s="1"/>
  <c r="T20" i="335"/>
  <c r="V20" i="335"/>
  <c r="X20" i="335"/>
  <c r="Z20" i="335"/>
  <c r="AB20" i="335"/>
  <c r="AD20" i="335"/>
  <c r="AH20" i="335"/>
  <c r="AK20" i="335"/>
  <c r="AN20" i="335"/>
  <c r="AQ20" i="335"/>
  <c r="AT20" i="335"/>
  <c r="AX20" i="335"/>
  <c r="BB20" i="335"/>
  <c r="P21" i="335"/>
  <c r="R21" i="335" s="1"/>
  <c r="T21" i="335"/>
  <c r="V21" i="335"/>
  <c r="X21" i="335"/>
  <c r="Z21" i="335"/>
  <c r="AB21" i="335"/>
  <c r="AD21" i="335"/>
  <c r="AH21" i="335"/>
  <c r="AK21" i="335"/>
  <c r="AN21" i="335"/>
  <c r="AQ21" i="335"/>
  <c r="AT21" i="335"/>
  <c r="AX21" i="335"/>
  <c r="BB21" i="335"/>
  <c r="P22" i="335"/>
  <c r="R22" i="335" s="1"/>
  <c r="T22" i="335"/>
  <c r="V22" i="335"/>
  <c r="X22" i="335"/>
  <c r="Z22" i="335"/>
  <c r="AB22" i="335"/>
  <c r="AD22" i="335"/>
  <c r="AH22" i="335"/>
  <c r="AK22" i="335"/>
  <c r="AN22" i="335"/>
  <c r="AQ22" i="335"/>
  <c r="AT22" i="335"/>
  <c r="AX22" i="335"/>
  <c r="BB22" i="335"/>
  <c r="P23" i="335"/>
  <c r="R23" i="335" s="1"/>
  <c r="T23" i="335"/>
  <c r="V23" i="335"/>
  <c r="X23" i="335"/>
  <c r="Z23" i="335"/>
  <c r="AB23" i="335"/>
  <c r="AD23" i="335"/>
  <c r="AH23" i="335"/>
  <c r="AK23" i="335"/>
  <c r="AN23" i="335"/>
  <c r="AQ23" i="335"/>
  <c r="AT23" i="335"/>
  <c r="AX23" i="335"/>
  <c r="BB23" i="335"/>
  <c r="P24" i="335"/>
  <c r="R24" i="335" s="1"/>
  <c r="T24" i="335"/>
  <c r="V24" i="335"/>
  <c r="X24" i="335"/>
  <c r="Z24" i="335"/>
  <c r="AB24" i="335"/>
  <c r="AD24" i="335"/>
  <c r="AH24" i="335"/>
  <c r="AK24" i="335"/>
  <c r="AN24" i="335"/>
  <c r="AQ24" i="335"/>
  <c r="AT24" i="335"/>
  <c r="AX24" i="335"/>
  <c r="BB24" i="335"/>
  <c r="P25" i="335"/>
  <c r="R25" i="335" s="1"/>
  <c r="T25" i="335"/>
  <c r="V25" i="335"/>
  <c r="X25" i="335"/>
  <c r="Z25" i="335"/>
  <c r="AB25" i="335"/>
  <c r="AD25" i="335"/>
  <c r="AH25" i="335"/>
  <c r="AK25" i="335"/>
  <c r="AN25" i="335"/>
  <c r="AQ25" i="335"/>
  <c r="AT25" i="335"/>
  <c r="AX25" i="335"/>
  <c r="BB25" i="335"/>
  <c r="P26" i="335"/>
  <c r="R26" i="335" s="1"/>
  <c r="T26" i="335"/>
  <c r="V26" i="335"/>
  <c r="X26" i="335"/>
  <c r="Z26" i="335"/>
  <c r="AB26" i="335"/>
  <c r="AD26" i="335"/>
  <c r="AH26" i="335"/>
  <c r="AK26" i="335"/>
  <c r="AN26" i="335"/>
  <c r="AQ26" i="335"/>
  <c r="AT26" i="335"/>
  <c r="AX26" i="335"/>
  <c r="BB26" i="335"/>
  <c r="P27" i="335"/>
  <c r="R27" i="335" s="1"/>
  <c r="T27" i="335"/>
  <c r="V27" i="335"/>
  <c r="X27" i="335"/>
  <c r="Z27" i="335"/>
  <c r="AB27" i="335"/>
  <c r="AD27" i="335"/>
  <c r="AH27" i="335"/>
  <c r="AK27" i="335"/>
  <c r="AN27" i="335"/>
  <c r="AQ27" i="335"/>
  <c r="AT27" i="335"/>
  <c r="AX27" i="335"/>
  <c r="BB27" i="335"/>
  <c r="P28" i="335"/>
  <c r="R28" i="335" s="1"/>
  <c r="T28" i="335"/>
  <c r="V28" i="335"/>
  <c r="X28" i="335"/>
  <c r="Z28" i="335"/>
  <c r="AB28" i="335"/>
  <c r="AD28" i="335"/>
  <c r="AH28" i="335"/>
  <c r="AK28" i="335"/>
  <c r="AN28" i="335"/>
  <c r="AQ28" i="335"/>
  <c r="AT28" i="335"/>
  <c r="AX28" i="335"/>
  <c r="BB28" i="335"/>
  <c r="P29" i="335"/>
  <c r="R29" i="335" s="1"/>
  <c r="T29" i="335"/>
  <c r="V29" i="335"/>
  <c r="X29" i="335"/>
  <c r="Z29" i="335"/>
  <c r="AB29" i="335"/>
  <c r="AD29" i="335"/>
  <c r="AH29" i="335"/>
  <c r="AK29" i="335"/>
  <c r="AN29" i="335"/>
  <c r="AQ29" i="335"/>
  <c r="AT29" i="335"/>
  <c r="AX29" i="335"/>
  <c r="BB29" i="335"/>
  <c r="P30" i="335"/>
  <c r="R30" i="335" s="1"/>
  <c r="T30" i="335"/>
  <c r="V30" i="335"/>
  <c r="X30" i="335"/>
  <c r="Z30" i="335"/>
  <c r="AB30" i="335"/>
  <c r="AD30" i="335"/>
  <c r="AH30" i="335"/>
  <c r="AK30" i="335"/>
  <c r="AN30" i="335"/>
  <c r="AQ30" i="335"/>
  <c r="AT30" i="335"/>
  <c r="AX30" i="335"/>
  <c r="BB30" i="335"/>
  <c r="P31" i="335"/>
  <c r="R31" i="335" s="1"/>
  <c r="T31" i="335"/>
  <c r="V31" i="335"/>
  <c r="X31" i="335"/>
  <c r="Z31" i="335"/>
  <c r="AB31" i="335"/>
  <c r="AD31" i="335"/>
  <c r="AH31" i="335"/>
  <c r="AK31" i="335"/>
  <c r="AN31" i="335"/>
  <c r="AQ31" i="335"/>
  <c r="AT31" i="335"/>
  <c r="AX31" i="335"/>
  <c r="BB31" i="335"/>
  <c r="P32" i="335"/>
  <c r="R32" i="335" s="1"/>
  <c r="T32" i="335"/>
  <c r="V32" i="335"/>
  <c r="X32" i="335"/>
  <c r="Z32" i="335"/>
  <c r="AB32" i="335"/>
  <c r="AD32" i="335"/>
  <c r="AH32" i="335"/>
  <c r="AK32" i="335"/>
  <c r="AN32" i="335"/>
  <c r="AQ32" i="335"/>
  <c r="AT32" i="335"/>
  <c r="AX32" i="335"/>
  <c r="BB32" i="335"/>
  <c r="P33" i="335"/>
  <c r="R33" i="335" s="1"/>
  <c r="T33" i="335"/>
  <c r="V33" i="335"/>
  <c r="X33" i="335"/>
  <c r="Z33" i="335"/>
  <c r="AB33" i="335"/>
  <c r="AD33" i="335"/>
  <c r="AH33" i="335"/>
  <c r="AK33" i="335"/>
  <c r="AN33" i="335"/>
  <c r="AQ33" i="335"/>
  <c r="AT33" i="335"/>
  <c r="AX33" i="335"/>
  <c r="BB33" i="335"/>
  <c r="P34" i="335"/>
  <c r="R34" i="335" s="1"/>
  <c r="T34" i="335"/>
  <c r="V34" i="335"/>
  <c r="X34" i="335"/>
  <c r="Z34" i="335"/>
  <c r="AB34" i="335"/>
  <c r="AD34" i="335"/>
  <c r="AH34" i="335"/>
  <c r="AK34" i="335"/>
  <c r="AN34" i="335"/>
  <c r="AQ34" i="335"/>
  <c r="AT34" i="335"/>
  <c r="AX34" i="335"/>
  <c r="BB34" i="335"/>
  <c r="P35" i="335"/>
  <c r="R35" i="335" s="1"/>
  <c r="T35" i="335"/>
  <c r="V35" i="335"/>
  <c r="X35" i="335"/>
  <c r="Z35" i="335"/>
  <c r="AB35" i="335"/>
  <c r="AD35" i="335"/>
  <c r="AH35" i="335"/>
  <c r="AK35" i="335"/>
  <c r="AN35" i="335"/>
  <c r="AQ35" i="335"/>
  <c r="AT35" i="335"/>
  <c r="AX35" i="335"/>
  <c r="BB35" i="335"/>
  <c r="P36" i="335"/>
  <c r="R36" i="335" s="1"/>
  <c r="T36" i="335"/>
  <c r="V36" i="335"/>
  <c r="X36" i="335"/>
  <c r="Z36" i="335"/>
  <c r="AB36" i="335"/>
  <c r="AD36" i="335"/>
  <c r="AH36" i="335"/>
  <c r="AK36" i="335"/>
  <c r="AN36" i="335"/>
  <c r="AQ36" i="335"/>
  <c r="AT36" i="335"/>
  <c r="AX36" i="335"/>
  <c r="BB36" i="335"/>
  <c r="P37" i="335"/>
  <c r="R37" i="335" s="1"/>
  <c r="T37" i="335"/>
  <c r="V37" i="335"/>
  <c r="X37" i="335"/>
  <c r="Z37" i="335"/>
  <c r="AB37" i="335"/>
  <c r="AD37" i="335"/>
  <c r="AH37" i="335"/>
  <c r="AK37" i="335"/>
  <c r="AN37" i="335"/>
  <c r="AQ37" i="335"/>
  <c r="AT37" i="335"/>
  <c r="AX37" i="335"/>
  <c r="BB37" i="335"/>
  <c r="P38" i="335"/>
  <c r="R38" i="335" s="1"/>
  <c r="T38" i="335"/>
  <c r="V38" i="335"/>
  <c r="X38" i="335"/>
  <c r="Z38" i="335"/>
  <c r="AB38" i="335"/>
  <c r="AD38" i="335"/>
  <c r="AH38" i="335"/>
  <c r="AK38" i="335"/>
  <c r="AN38" i="335"/>
  <c r="AQ38" i="335"/>
  <c r="AT38" i="335"/>
  <c r="AX38" i="335"/>
  <c r="BB38" i="335"/>
  <c r="P39" i="335"/>
  <c r="R39" i="335" s="1"/>
  <c r="T39" i="335"/>
  <c r="V39" i="335"/>
  <c r="X39" i="335"/>
  <c r="Z39" i="335"/>
  <c r="AB39" i="335"/>
  <c r="AD39" i="335"/>
  <c r="AH39" i="335"/>
  <c r="AK39" i="335"/>
  <c r="AN39" i="335"/>
  <c r="AQ39" i="335"/>
  <c r="AT39" i="335"/>
  <c r="AX39" i="335"/>
  <c r="BB39" i="335"/>
  <c r="P40" i="335"/>
  <c r="R40" i="335" s="1"/>
  <c r="T40" i="335"/>
  <c r="V40" i="335"/>
  <c r="X40" i="335"/>
  <c r="Z40" i="335"/>
  <c r="AB40" i="335"/>
  <c r="AD40" i="335"/>
  <c r="AH40" i="335"/>
  <c r="AK40" i="335"/>
  <c r="AN40" i="335"/>
  <c r="AQ40" i="335"/>
  <c r="AT40" i="335"/>
  <c r="AX40" i="335"/>
  <c r="BB40" i="335"/>
  <c r="P41" i="335"/>
  <c r="R41" i="335" s="1"/>
  <c r="T41" i="335"/>
  <c r="V41" i="335"/>
  <c r="X41" i="335"/>
  <c r="Z41" i="335"/>
  <c r="AB41" i="335"/>
  <c r="AD41" i="335"/>
  <c r="AH41" i="335"/>
  <c r="AK41" i="335"/>
  <c r="AN41" i="335"/>
  <c r="AQ41" i="335"/>
  <c r="AT41" i="335"/>
  <c r="AX41" i="335"/>
  <c r="BB41" i="335"/>
  <c r="P42" i="335"/>
  <c r="R42" i="335" s="1"/>
  <c r="T42" i="335"/>
  <c r="V42" i="335"/>
  <c r="X42" i="335"/>
  <c r="Z42" i="335"/>
  <c r="AB42" i="335"/>
  <c r="AD42" i="335"/>
  <c r="AH42" i="335"/>
  <c r="AK42" i="335"/>
  <c r="AN42" i="335"/>
  <c r="AQ42" i="335"/>
  <c r="AT42" i="335"/>
  <c r="AX42" i="335"/>
  <c r="BB42" i="335"/>
  <c r="P43" i="335"/>
  <c r="R43" i="335" s="1"/>
  <c r="T43" i="335"/>
  <c r="V43" i="335"/>
  <c r="X43" i="335"/>
  <c r="Z43" i="335"/>
  <c r="AB43" i="335"/>
  <c r="AD43" i="335"/>
  <c r="AH43" i="335"/>
  <c r="AK43" i="335"/>
  <c r="AN43" i="335"/>
  <c r="AQ43" i="335"/>
  <c r="AT43" i="335"/>
  <c r="AX43" i="335"/>
  <c r="BB43" i="335"/>
  <c r="P44" i="335"/>
  <c r="R44" i="335" s="1"/>
  <c r="T44" i="335"/>
  <c r="V44" i="335"/>
  <c r="X44" i="335"/>
  <c r="Z44" i="335"/>
  <c r="AB44" i="335"/>
  <c r="AD44" i="335"/>
  <c r="AH44" i="335"/>
  <c r="AK44" i="335"/>
  <c r="AN44" i="335"/>
  <c r="AQ44" i="335"/>
  <c r="AT44" i="335"/>
  <c r="AX44" i="335"/>
  <c r="BB44" i="335"/>
  <c r="P45" i="335"/>
  <c r="R45" i="335" s="1"/>
  <c r="T45" i="335"/>
  <c r="V45" i="335"/>
  <c r="X45" i="335"/>
  <c r="Z45" i="335"/>
  <c r="AB45" i="335"/>
  <c r="AD45" i="335"/>
  <c r="AH45" i="335"/>
  <c r="AK45" i="335"/>
  <c r="AN45" i="335"/>
  <c r="AQ45" i="335"/>
  <c r="AT45" i="335"/>
  <c r="AX45" i="335"/>
  <c r="BB45" i="335"/>
  <c r="P46" i="335"/>
  <c r="R46" i="335" s="1"/>
  <c r="T46" i="335"/>
  <c r="V46" i="335"/>
  <c r="X46" i="335"/>
  <c r="Z46" i="335"/>
  <c r="AB46" i="335"/>
  <c r="AD46" i="335"/>
  <c r="AH46" i="335"/>
  <c r="AK46" i="335"/>
  <c r="AN46" i="335"/>
  <c r="AQ46" i="335"/>
  <c r="AT46" i="335"/>
  <c r="AX46" i="335"/>
  <c r="BB46" i="335"/>
  <c r="P47" i="335"/>
  <c r="R47" i="335" s="1"/>
  <c r="T47" i="335"/>
  <c r="V47" i="335"/>
  <c r="X47" i="335"/>
  <c r="Z47" i="335"/>
  <c r="AB47" i="335"/>
  <c r="AD47" i="335"/>
  <c r="AH47" i="335"/>
  <c r="AK47" i="335"/>
  <c r="AN47" i="335"/>
  <c r="AQ47" i="335"/>
  <c r="AT47" i="335"/>
  <c r="AX47" i="335"/>
  <c r="BB47" i="335"/>
  <c r="P48" i="335"/>
  <c r="R48" i="335" s="1"/>
  <c r="T48" i="335"/>
  <c r="V48" i="335"/>
  <c r="X48" i="335"/>
  <c r="Z48" i="335"/>
  <c r="AB48" i="335"/>
  <c r="AD48" i="335"/>
  <c r="AH48" i="335"/>
  <c r="AK48" i="335"/>
  <c r="AN48" i="335"/>
  <c r="AQ48" i="335"/>
  <c r="AT48" i="335"/>
  <c r="AX48" i="335"/>
  <c r="BB48" i="335"/>
  <c r="P49" i="335"/>
  <c r="R49" i="335" s="1"/>
  <c r="T49" i="335"/>
  <c r="V49" i="335"/>
  <c r="X49" i="335"/>
  <c r="Z49" i="335"/>
  <c r="AB49" i="335"/>
  <c r="AD49" i="335"/>
  <c r="AH49" i="335"/>
  <c r="AK49" i="335"/>
  <c r="AN49" i="335"/>
  <c r="AQ49" i="335"/>
  <c r="AT49" i="335"/>
  <c r="AX49" i="335"/>
  <c r="BB49" i="335"/>
  <c r="P50" i="335"/>
  <c r="R50" i="335" s="1"/>
  <c r="T50" i="335"/>
  <c r="V50" i="335"/>
  <c r="X50" i="335"/>
  <c r="Z50" i="335"/>
  <c r="AB50" i="335"/>
  <c r="AD50" i="335"/>
  <c r="AH50" i="335"/>
  <c r="AK50" i="335"/>
  <c r="AN50" i="335"/>
  <c r="AQ50" i="335"/>
  <c r="AT50" i="335"/>
  <c r="AX50" i="335"/>
  <c r="BB50" i="335"/>
  <c r="P51" i="335"/>
  <c r="R51" i="335" s="1"/>
  <c r="T51" i="335"/>
  <c r="V51" i="335"/>
  <c r="X51" i="335"/>
  <c r="Z51" i="335"/>
  <c r="AB51" i="335"/>
  <c r="AD51" i="335"/>
  <c r="AH51" i="335"/>
  <c r="AK51" i="335"/>
  <c r="AN51" i="335"/>
  <c r="AQ51" i="335"/>
  <c r="AT51" i="335"/>
  <c r="AX51" i="335"/>
  <c r="BB51" i="335"/>
  <c r="P52" i="335"/>
  <c r="R52" i="335" s="1"/>
  <c r="T52" i="335"/>
  <c r="V52" i="335"/>
  <c r="X52" i="335"/>
  <c r="Z52" i="335"/>
  <c r="AB52" i="335"/>
  <c r="AD52" i="335"/>
  <c r="AH52" i="335"/>
  <c r="AK52" i="335"/>
  <c r="AN52" i="335"/>
  <c r="AQ52" i="335"/>
  <c r="AT52" i="335"/>
  <c r="AX52" i="335"/>
  <c r="BB52" i="335"/>
  <c r="F9" i="365"/>
  <c r="H9" i="365" s="1"/>
  <c r="A10" i="365"/>
  <c r="A11" i="365" s="1"/>
  <c r="A12" i="365" s="1"/>
  <c r="A13" i="365" s="1"/>
  <c r="A14" i="365" s="1"/>
  <c r="A15" i="365" s="1"/>
  <c r="A16" i="365" s="1"/>
  <c r="A17" i="365" s="1"/>
  <c r="A18" i="365" s="1"/>
  <c r="A19" i="365" s="1"/>
  <c r="A20" i="365" s="1"/>
  <c r="A21" i="365" s="1"/>
  <c r="A22" i="365" s="1"/>
  <c r="A23" i="365" s="1"/>
  <c r="F10" i="365"/>
  <c r="H10" i="365" s="1"/>
  <c r="F11" i="365"/>
  <c r="H11" i="365" s="1"/>
  <c r="F12" i="365"/>
  <c r="H12" i="365" s="1"/>
  <c r="F13" i="365"/>
  <c r="H13" i="365" s="1"/>
  <c r="F14" i="365"/>
  <c r="H14" i="365" s="1"/>
  <c r="F15" i="365"/>
  <c r="H15" i="365" s="1"/>
  <c r="F16" i="365"/>
  <c r="H16" i="365" s="1"/>
  <c r="F17" i="365"/>
  <c r="H17" i="365" s="1"/>
  <c r="F18" i="365"/>
  <c r="H18" i="365" s="1"/>
  <c r="F19" i="365"/>
  <c r="H19" i="365" s="1"/>
  <c r="F20" i="365"/>
  <c r="H20" i="365" s="1"/>
  <c r="F21" i="365"/>
  <c r="H21" i="365" s="1"/>
  <c r="F22" i="365"/>
  <c r="H22" i="365" s="1"/>
  <c r="F23" i="365"/>
  <c r="H23" i="365" s="1"/>
  <c r="F24" i="365"/>
  <c r="H24" i="365" s="1"/>
  <c r="G25" i="365"/>
  <c r="F9" i="350"/>
  <c r="F10" i="350"/>
  <c r="F11" i="350"/>
  <c r="F12" i="350"/>
  <c r="F13" i="350"/>
  <c r="F14" i="350"/>
  <c r="F15" i="350"/>
  <c r="F16" i="350"/>
  <c r="F17" i="350"/>
  <c r="F18" i="350"/>
  <c r="F19" i="350"/>
  <c r="F20" i="350"/>
  <c r="F21" i="350"/>
  <c r="F22" i="350"/>
  <c r="G23" i="350"/>
  <c r="H23" i="350"/>
  <c r="G9" i="353"/>
  <c r="G10" i="353"/>
  <c r="H10" i="353" s="1"/>
  <c r="G11" i="353"/>
  <c r="H11" i="353" s="1"/>
  <c r="G12" i="353"/>
  <c r="H12" i="353" s="1"/>
  <c r="G13" i="353"/>
  <c r="H13" i="353" s="1"/>
  <c r="G14" i="353"/>
  <c r="H14" i="353" s="1"/>
  <c r="G15" i="353"/>
  <c r="H15" i="353" s="1"/>
  <c r="G16" i="353"/>
  <c r="H16" i="353" s="1"/>
  <c r="G17" i="353"/>
  <c r="H17" i="353" s="1"/>
  <c r="G18" i="353"/>
  <c r="H18" i="353" s="1"/>
  <c r="G19" i="353"/>
  <c r="H19" i="353" s="1"/>
  <c r="G20" i="353"/>
  <c r="H20" i="353" s="1"/>
  <c r="G21" i="353"/>
  <c r="H21" i="353" s="1"/>
  <c r="G22" i="353"/>
  <c r="H22" i="353" s="1"/>
  <c r="G23" i="353"/>
  <c r="H23" i="353" s="1"/>
  <c r="G24" i="353"/>
  <c r="H24" i="353" s="1"/>
  <c r="G25" i="353"/>
  <c r="H25" i="353" s="1"/>
  <c r="G26" i="353"/>
  <c r="H26" i="353" s="1"/>
  <c r="G27" i="353"/>
  <c r="H27" i="353" s="1"/>
  <c r="G28" i="353"/>
  <c r="H28" i="353" s="1"/>
  <c r="G29" i="353"/>
  <c r="H29" i="353" s="1"/>
  <c r="G30" i="353"/>
  <c r="H30" i="353" s="1"/>
  <c r="I31" i="353"/>
  <c r="J9" i="351"/>
  <c r="J10" i="351"/>
  <c r="J11" i="351"/>
  <c r="J12" i="351"/>
  <c r="J13" i="351"/>
  <c r="J14" i="351"/>
  <c r="J15" i="351"/>
  <c r="J16" i="351"/>
  <c r="J17" i="351"/>
  <c r="J18" i="351"/>
  <c r="J19" i="351"/>
  <c r="J20" i="351"/>
  <c r="J21" i="351"/>
  <c r="K22" i="351"/>
  <c r="L22" i="351"/>
  <c r="E9" i="354"/>
  <c r="A10" i="354"/>
  <c r="A11" i="354" s="1"/>
  <c r="A12" i="354" s="1"/>
  <c r="A13" i="354" s="1"/>
  <c r="A14" i="354" s="1"/>
  <c r="A15" i="354" s="1"/>
  <c r="A16" i="354" s="1"/>
  <c r="A17" i="354" s="1"/>
  <c r="A18" i="354" s="1"/>
  <c r="A19" i="354" s="1"/>
  <c r="A20" i="354" s="1"/>
  <c r="A21" i="354" s="1"/>
  <c r="A22" i="354" s="1"/>
  <c r="F10" i="354"/>
  <c r="E11" i="354"/>
  <c r="F11" i="354" s="1"/>
  <c r="E12" i="354"/>
  <c r="F12" i="354" s="1"/>
  <c r="E13" i="354"/>
  <c r="F13" i="354" s="1"/>
  <c r="E14" i="354"/>
  <c r="F14" i="354" s="1"/>
  <c r="E15" i="354"/>
  <c r="F15" i="354" s="1"/>
  <c r="E16" i="354"/>
  <c r="F16" i="354" s="1"/>
  <c r="E17" i="354"/>
  <c r="F17" i="354" s="1"/>
  <c r="E18" i="354"/>
  <c r="F18" i="354" s="1"/>
  <c r="E19" i="354"/>
  <c r="F19" i="354" s="1"/>
  <c r="E20" i="354"/>
  <c r="F20" i="354" s="1"/>
  <c r="E21" i="354"/>
  <c r="F21" i="354" s="1"/>
  <c r="E22" i="354"/>
  <c r="F22" i="354" s="1"/>
  <c r="G23" i="354"/>
  <c r="F11" i="349"/>
  <c r="H11" i="349" s="1"/>
  <c r="A12" i="349"/>
  <c r="A13" i="349" s="1"/>
  <c r="A14" i="349" s="1"/>
  <c r="A15" i="349" s="1"/>
  <c r="A16" i="349" s="1"/>
  <c r="A17" i="349" s="1"/>
  <c r="F12" i="349"/>
  <c r="H12" i="349" s="1"/>
  <c r="F13" i="349"/>
  <c r="H13" i="349" s="1"/>
  <c r="F14" i="349"/>
  <c r="H14" i="349" s="1"/>
  <c r="F15" i="349"/>
  <c r="H15" i="349" s="1"/>
  <c r="F16" i="349"/>
  <c r="H16" i="349" s="1"/>
  <c r="F17" i="349"/>
  <c r="H17" i="349" s="1"/>
  <c r="I18" i="349"/>
  <c r="J18" i="349"/>
  <c r="H10" i="364"/>
  <c r="I10" i="364" s="1"/>
  <c r="H11" i="364"/>
  <c r="H12" i="364"/>
  <c r="I12" i="364" s="1"/>
  <c r="H13" i="364"/>
  <c r="I13" i="364" s="1"/>
  <c r="H14" i="364"/>
  <c r="I14" i="364" s="1"/>
  <c r="H15" i="364"/>
  <c r="I15" i="364" s="1"/>
  <c r="H16" i="364"/>
  <c r="I16" i="364" s="1"/>
  <c r="H17" i="364"/>
  <c r="I17" i="364" s="1"/>
  <c r="H18" i="364"/>
  <c r="I18" i="364" s="1"/>
  <c r="H19" i="364"/>
  <c r="I19" i="364" s="1"/>
  <c r="J20" i="364"/>
  <c r="F9" i="367"/>
  <c r="F10" i="367"/>
  <c r="F11" i="367"/>
  <c r="F12" i="367"/>
  <c r="F13" i="367"/>
  <c r="F14" i="367"/>
  <c r="F15" i="367"/>
  <c r="F16" i="367"/>
  <c r="F17" i="367"/>
  <c r="F18" i="367"/>
  <c r="F19" i="367"/>
  <c r="F20" i="367"/>
  <c r="F21" i="367"/>
  <c r="F22" i="367"/>
  <c r="F23" i="367"/>
  <c r="F24" i="367"/>
  <c r="F25" i="367"/>
  <c r="F26" i="367"/>
  <c r="F27" i="367"/>
  <c r="F28" i="367"/>
  <c r="F29" i="367"/>
  <c r="F30" i="367"/>
  <c r="F31" i="367"/>
  <c r="F32" i="367"/>
  <c r="F33" i="367"/>
  <c r="G34" i="367"/>
  <c r="H34" i="367"/>
  <c r="E10" i="254"/>
  <c r="F11" i="254"/>
  <c r="F12" i="254"/>
  <c r="F13" i="254"/>
  <c r="F14" i="254"/>
  <c r="F32" i="254"/>
  <c r="I32" i="254"/>
  <c r="F33" i="254"/>
  <c r="I33" i="254"/>
  <c r="F34" i="254"/>
  <c r="I34" i="254"/>
  <c r="J34" i="254" s="1"/>
  <c r="F35" i="254"/>
  <c r="I35" i="254"/>
  <c r="F54" i="254"/>
  <c r="F55" i="254"/>
  <c r="F56" i="254"/>
  <c r="F57" i="254"/>
  <c r="D10" i="152"/>
  <c r="I10" i="152"/>
  <c r="J10" i="152"/>
  <c r="D11" i="152"/>
  <c r="I11" i="152"/>
  <c r="J11" i="152"/>
  <c r="H11" i="152" s="1"/>
  <c r="D12" i="152"/>
  <c r="I12" i="152"/>
  <c r="J12" i="152"/>
  <c r="D13" i="152"/>
  <c r="I13" i="152"/>
  <c r="J13" i="152"/>
  <c r="D14" i="152"/>
  <c r="I14" i="152"/>
  <c r="J14" i="152"/>
  <c r="D15" i="152"/>
  <c r="I15" i="152"/>
  <c r="J15" i="152"/>
  <c r="H15" i="152" s="1"/>
  <c r="D16" i="152"/>
  <c r="I16" i="152"/>
  <c r="J16" i="152"/>
  <c r="D17" i="152"/>
  <c r="I17" i="152"/>
  <c r="J17" i="152"/>
  <c r="D18" i="152"/>
  <c r="I18" i="152"/>
  <c r="J18" i="152"/>
  <c r="D19" i="152"/>
  <c r="I19" i="152"/>
  <c r="J19" i="152"/>
  <c r="H19" i="152" s="1"/>
  <c r="D20" i="152"/>
  <c r="I20" i="152"/>
  <c r="J20" i="152"/>
  <c r="D21" i="152"/>
  <c r="I21" i="152"/>
  <c r="J21" i="152"/>
  <c r="D22" i="152"/>
  <c r="I22" i="152"/>
  <c r="J22" i="152"/>
  <c r="D23" i="152"/>
  <c r="I23" i="152"/>
  <c r="J23" i="152"/>
  <c r="H23" i="152" s="1"/>
  <c r="D24" i="152"/>
  <c r="I24" i="152"/>
  <c r="J24" i="152"/>
  <c r="E9" i="370"/>
  <c r="F9" i="370" s="1"/>
  <c r="F29" i="370" s="1"/>
  <c r="E10" i="370"/>
  <c r="E11" i="370"/>
  <c r="E12" i="370"/>
  <c r="E13" i="370"/>
  <c r="E14" i="370"/>
  <c r="E15" i="370"/>
  <c r="E16" i="370"/>
  <c r="E17" i="370"/>
  <c r="E18" i="370"/>
  <c r="E19" i="370"/>
  <c r="E20" i="370"/>
  <c r="E21" i="370"/>
  <c r="E22" i="370"/>
  <c r="E23" i="370"/>
  <c r="E24" i="370"/>
  <c r="E25" i="370"/>
  <c r="E26" i="370"/>
  <c r="E27" i="370"/>
  <c r="E28" i="370"/>
  <c r="G29" i="370"/>
  <c r="F9" i="388"/>
  <c r="G9" i="388"/>
  <c r="H9" i="388"/>
  <c r="I9" i="388"/>
  <c r="J9" i="388"/>
  <c r="K9" i="388"/>
  <c r="L9" i="388"/>
  <c r="M9" i="388"/>
  <c r="N9" i="388"/>
  <c r="O9" i="388"/>
  <c r="Q9" i="388"/>
  <c r="E11" i="388"/>
  <c r="P11" i="388"/>
  <c r="P12" i="388"/>
  <c r="R12" i="388" s="1"/>
  <c r="S12" i="388" s="1"/>
  <c r="T12" i="388" s="1"/>
  <c r="P13" i="388"/>
  <c r="R13" i="388" s="1"/>
  <c r="P14" i="388"/>
  <c r="P15" i="388"/>
  <c r="R15" i="388" s="1"/>
  <c r="E16" i="388"/>
  <c r="P16" i="388"/>
  <c r="R16" i="388" s="1"/>
  <c r="E17" i="388"/>
  <c r="P17" i="388"/>
  <c r="R17" i="388" s="1"/>
  <c r="E18" i="388"/>
  <c r="P18" i="388"/>
  <c r="R18" i="388" s="1"/>
  <c r="S18" i="388" s="1"/>
  <c r="T18" i="388" s="1"/>
  <c r="P19" i="388"/>
  <c r="R19" i="388" s="1"/>
  <c r="S19" i="388" s="1"/>
  <c r="T19" i="388" s="1"/>
  <c r="E23" i="388"/>
  <c r="P23" i="388"/>
  <c r="R23" i="388" s="1"/>
  <c r="S23" i="388" s="1"/>
  <c r="T23" i="388" s="1"/>
  <c r="P24" i="388"/>
  <c r="R24" i="388" s="1"/>
  <c r="E25" i="388"/>
  <c r="P25" i="388"/>
  <c r="R25" i="388" s="1"/>
  <c r="P27" i="388"/>
  <c r="R27" i="388" s="1"/>
  <c r="E28" i="388"/>
  <c r="P28" i="388"/>
  <c r="R28" i="388" s="1"/>
  <c r="S28" i="388" s="1"/>
  <c r="T28" i="388" s="1"/>
  <c r="E30" i="388"/>
  <c r="P30" i="388"/>
  <c r="R30" i="388" s="1"/>
  <c r="E31" i="388"/>
  <c r="P31" i="388"/>
  <c r="R31" i="388" s="1"/>
  <c r="S31" i="388" s="1"/>
  <c r="T31" i="388" s="1"/>
  <c r="E32" i="388"/>
  <c r="P32" i="388"/>
  <c r="R32" i="388" s="1"/>
  <c r="E34" i="388"/>
  <c r="P34" i="388"/>
  <c r="R34" i="388" s="1"/>
  <c r="S34" i="388" s="1"/>
  <c r="T34" i="388" s="1"/>
  <c r="P35" i="388"/>
  <c r="R35" i="388" s="1"/>
  <c r="E39" i="388"/>
  <c r="P39" i="388"/>
  <c r="R39" i="388" s="1"/>
  <c r="E40" i="388"/>
  <c r="P40" i="388"/>
  <c r="R40" i="388" s="1"/>
  <c r="E41" i="388"/>
  <c r="P41" i="388"/>
  <c r="R41" i="388" s="1"/>
  <c r="P43" i="388"/>
  <c r="R43" i="388" s="1"/>
  <c r="S43" i="388" s="1"/>
  <c r="T43" i="388" s="1"/>
  <c r="P46" i="388"/>
  <c r="R46" i="388" s="1"/>
  <c r="P47" i="388"/>
  <c r="R47" i="388" s="1"/>
  <c r="P48" i="388"/>
  <c r="R48" i="388" s="1"/>
  <c r="P49" i="388"/>
  <c r="R49" i="388" s="1"/>
  <c r="S49" i="388" s="1"/>
  <c r="T49" i="388" s="1"/>
  <c r="P50" i="388"/>
  <c r="R50" i="388" s="1"/>
  <c r="P51" i="388"/>
  <c r="R51" i="388" s="1"/>
  <c r="P52" i="388"/>
  <c r="R52" i="388" s="1"/>
  <c r="P53" i="388"/>
  <c r="R53" i="388" s="1"/>
  <c r="S53" i="388" s="1"/>
  <c r="T53" i="388" s="1"/>
  <c r="P54" i="388"/>
  <c r="R54" i="388" s="1"/>
  <c r="P55" i="388"/>
  <c r="R55" i="388" s="1"/>
  <c r="P56" i="388"/>
  <c r="R56" i="388" s="1"/>
  <c r="P57" i="388"/>
  <c r="R57" i="388" s="1"/>
  <c r="S57" i="388" s="1"/>
  <c r="T57" i="388" s="1"/>
  <c r="P58" i="388"/>
  <c r="R58" i="388" s="1"/>
  <c r="P59" i="388"/>
  <c r="R59" i="388" s="1"/>
  <c r="P60" i="388"/>
  <c r="R60" i="388" s="1"/>
  <c r="P61" i="388"/>
  <c r="R61" i="388" s="1"/>
  <c r="P62" i="388"/>
  <c r="R62" i="388" s="1"/>
  <c r="P63" i="388"/>
  <c r="R63" i="388" s="1"/>
  <c r="P64" i="388"/>
  <c r="R64" i="388" s="1"/>
  <c r="P65" i="388"/>
  <c r="R65" i="388" s="1"/>
  <c r="S65" i="388" s="1"/>
  <c r="T65" i="388" s="1"/>
  <c r="P66" i="388"/>
  <c r="R66" i="388" s="1"/>
  <c r="P67" i="388"/>
  <c r="R67" i="388" s="1"/>
  <c r="P68" i="388"/>
  <c r="R68" i="388" s="1"/>
  <c r="P69" i="388"/>
  <c r="R69" i="388" s="1"/>
  <c r="S69" i="388" s="1"/>
  <c r="T69" i="388" s="1"/>
  <c r="P70" i="388"/>
  <c r="R70" i="388" s="1"/>
  <c r="P71" i="388"/>
  <c r="R71" i="388" s="1"/>
  <c r="P72" i="388"/>
  <c r="R72" i="388" s="1"/>
  <c r="P73" i="388"/>
  <c r="R73" i="388" s="1"/>
  <c r="P74" i="388"/>
  <c r="R74" i="388" s="1"/>
  <c r="P75" i="388"/>
  <c r="R75" i="388" s="1"/>
  <c r="P76" i="388"/>
  <c r="R76" i="388" s="1"/>
  <c r="P77" i="388"/>
  <c r="R77" i="388" s="1"/>
  <c r="S77" i="388" s="1"/>
  <c r="T77" i="388" s="1"/>
  <c r="P78" i="388"/>
  <c r="R78" i="388" s="1"/>
  <c r="P79" i="388"/>
  <c r="R79" i="388" s="1"/>
  <c r="P83" i="388"/>
  <c r="R83" i="388" s="1"/>
  <c r="P84" i="388"/>
  <c r="R84" i="388" s="1"/>
  <c r="S84" i="388" s="1"/>
  <c r="T84" i="388" s="1"/>
  <c r="P85" i="388"/>
  <c r="R85" i="388" s="1"/>
  <c r="P86" i="388"/>
  <c r="R86" i="388" s="1"/>
  <c r="P87" i="388"/>
  <c r="R87" i="388" s="1"/>
  <c r="P88" i="388"/>
  <c r="R88" i="388" s="1"/>
  <c r="S88" i="388" s="1"/>
  <c r="T88" i="388" s="1"/>
  <c r="P89" i="388"/>
  <c r="R89" i="388" s="1"/>
  <c r="P90" i="388"/>
  <c r="R90" i="388" s="1"/>
  <c r="P91" i="388"/>
  <c r="R91" i="388" s="1"/>
  <c r="P92" i="388"/>
  <c r="R92" i="388" s="1"/>
  <c r="S92" i="388" s="1"/>
  <c r="T92" i="388" s="1"/>
  <c r="P93" i="388"/>
  <c r="R93" i="388" s="1"/>
  <c r="P94" i="388"/>
  <c r="R94" i="388" s="1"/>
  <c r="P95" i="388"/>
  <c r="R95" i="388" s="1"/>
  <c r="P96" i="388"/>
  <c r="R96" i="388" s="1"/>
  <c r="S96" i="388" s="1"/>
  <c r="T96" i="388" s="1"/>
  <c r="P97" i="388"/>
  <c r="R97" i="388" s="1"/>
  <c r="P98" i="388"/>
  <c r="R98" i="388" s="1"/>
  <c r="P99" i="388"/>
  <c r="R99" i="388" s="1"/>
  <c r="P100" i="388"/>
  <c r="R100" i="388" s="1"/>
  <c r="S100" i="388" s="1"/>
  <c r="T100" i="388" s="1"/>
  <c r="P102" i="388"/>
  <c r="R102" i="388" s="1"/>
  <c r="P103" i="388"/>
  <c r="R103" i="388" s="1"/>
  <c r="P104" i="388"/>
  <c r="R104" i="388" s="1"/>
  <c r="P105" i="388"/>
  <c r="R105" i="388" s="1"/>
  <c r="S105" i="388" s="1"/>
  <c r="T105" i="388" s="1"/>
  <c r="P106" i="388"/>
  <c r="R106" i="388" s="1"/>
  <c r="P107" i="388"/>
  <c r="R107" i="388" s="1"/>
  <c r="P108" i="388"/>
  <c r="R108" i="388" s="1"/>
  <c r="P109" i="388"/>
  <c r="R109" i="388" s="1"/>
  <c r="S109" i="388" s="1"/>
  <c r="T109" i="388" s="1"/>
  <c r="P110" i="388"/>
  <c r="R110" i="388" s="1"/>
  <c r="P112" i="388"/>
  <c r="R112" i="388" s="1"/>
  <c r="S112" i="388" s="1"/>
  <c r="T112" i="388" s="1"/>
  <c r="P113" i="388"/>
  <c r="R113" i="388" s="1"/>
  <c r="P114" i="388"/>
  <c r="R114" i="388" s="1"/>
  <c r="S114" i="388" s="1"/>
  <c r="T114" i="388" s="1"/>
  <c r="P115" i="388"/>
  <c r="R115" i="388" s="1"/>
  <c r="P116" i="388"/>
  <c r="R116" i="388" s="1"/>
  <c r="S116" i="388" s="1"/>
  <c r="T116" i="388" s="1"/>
  <c r="P117" i="388"/>
  <c r="R117" i="388" s="1"/>
  <c r="P118" i="388"/>
  <c r="R118" i="388" s="1"/>
  <c r="S118" i="388" s="1"/>
  <c r="T118" i="388" s="1"/>
  <c r="P119" i="388"/>
  <c r="R119" i="388" s="1"/>
  <c r="P120" i="388"/>
  <c r="R120" i="388" s="1"/>
  <c r="S120" i="388" s="1"/>
  <c r="T120" i="388" s="1"/>
  <c r="P121" i="388"/>
  <c r="R121" i="388" s="1"/>
  <c r="P122" i="388"/>
  <c r="R122" i="388" s="1"/>
  <c r="S122" i="388" s="1"/>
  <c r="T122" i="388" s="1"/>
  <c r="P123" i="388"/>
  <c r="R123" i="388" s="1"/>
  <c r="P124" i="388"/>
  <c r="R124" i="388" s="1"/>
  <c r="S124" i="388" s="1"/>
  <c r="T124" i="388" s="1"/>
  <c r="P125" i="388"/>
  <c r="R125" i="388" s="1"/>
  <c r="P126" i="388"/>
  <c r="R126" i="388" s="1"/>
  <c r="S126" i="388" s="1"/>
  <c r="T126" i="388" s="1"/>
  <c r="P127" i="388"/>
  <c r="R127" i="388" s="1"/>
  <c r="P128" i="388"/>
  <c r="R128" i="388" s="1"/>
  <c r="S128" i="388" s="1"/>
  <c r="T128" i="388" s="1"/>
  <c r="P129" i="388"/>
  <c r="R129" i="388" s="1"/>
  <c r="P130" i="388"/>
  <c r="R130" i="388" s="1"/>
  <c r="S130" i="388" s="1"/>
  <c r="T130" i="388" s="1"/>
  <c r="P131" i="388"/>
  <c r="R131" i="388" s="1"/>
  <c r="P132" i="388"/>
  <c r="R132" i="388" s="1"/>
  <c r="S132" i="388" s="1"/>
  <c r="T132" i="388" s="1"/>
  <c r="P133" i="388"/>
  <c r="R133" i="388" s="1"/>
  <c r="P134" i="388"/>
  <c r="R134" i="388" s="1"/>
  <c r="S134" i="388" s="1"/>
  <c r="T134" i="388" s="1"/>
  <c r="P135" i="388"/>
  <c r="R135" i="388" s="1"/>
  <c r="P136" i="388"/>
  <c r="R136" i="388" s="1"/>
  <c r="S136" i="388" s="1"/>
  <c r="T136" i="388" s="1"/>
  <c r="P137" i="388"/>
  <c r="R137" i="388" s="1"/>
  <c r="P138" i="388"/>
  <c r="R138" i="388" s="1"/>
  <c r="S138" i="388" s="1"/>
  <c r="T138" i="388" s="1"/>
  <c r="P139" i="388"/>
  <c r="R139" i="388" s="1"/>
  <c r="P140" i="388"/>
  <c r="R140" i="388" s="1"/>
  <c r="S140" i="388" s="1"/>
  <c r="T140" i="388" s="1"/>
  <c r="P141" i="388"/>
  <c r="R141" i="388" s="1"/>
  <c r="P142" i="388"/>
  <c r="R142" i="388" s="1"/>
  <c r="S142" i="388" s="1"/>
  <c r="T142" i="388" s="1"/>
  <c r="P143" i="388"/>
  <c r="R143" i="388" s="1"/>
  <c r="P144" i="388"/>
  <c r="R144" i="388" s="1"/>
  <c r="S144" i="388" s="1"/>
  <c r="T144" i="388" s="1"/>
  <c r="P145" i="388"/>
  <c r="R145" i="388" s="1"/>
  <c r="P146" i="388"/>
  <c r="R146" i="388" s="1"/>
  <c r="S146" i="388" s="1"/>
  <c r="T146" i="388" s="1"/>
  <c r="P147" i="388"/>
  <c r="R147" i="388" s="1"/>
  <c r="P148" i="388"/>
  <c r="R148" i="388" s="1"/>
  <c r="S148" i="388" s="1"/>
  <c r="T148" i="388" s="1"/>
  <c r="P149" i="388"/>
  <c r="R149" i="388" s="1"/>
  <c r="P150" i="388"/>
  <c r="R150" i="388" s="1"/>
  <c r="S150" i="388" s="1"/>
  <c r="T150" i="388" s="1"/>
  <c r="P151" i="388"/>
  <c r="R151" i="388" s="1"/>
  <c r="P152" i="388"/>
  <c r="R152" i="388" s="1"/>
  <c r="S152" i="388" s="1"/>
  <c r="T152" i="388" s="1"/>
  <c r="P153" i="388"/>
  <c r="R153" i="388" s="1"/>
  <c r="P154" i="388"/>
  <c r="R154" i="388" s="1"/>
  <c r="S154" i="388" s="1"/>
  <c r="T154" i="388" s="1"/>
  <c r="P155" i="388"/>
  <c r="R155" i="388" s="1"/>
  <c r="P156" i="388"/>
  <c r="R156" i="388" s="1"/>
  <c r="S156" i="388" s="1"/>
  <c r="T156" i="388" s="1"/>
  <c r="P157" i="388"/>
  <c r="R157" i="388" s="1"/>
  <c r="P158" i="388"/>
  <c r="R158" i="388" s="1"/>
  <c r="S158" i="388" s="1"/>
  <c r="T158" i="388" s="1"/>
  <c r="P159" i="388"/>
  <c r="R159" i="388" s="1"/>
  <c r="P160" i="388"/>
  <c r="R160" i="388" s="1"/>
  <c r="S160" i="388" s="1"/>
  <c r="T160" i="388" s="1"/>
  <c r="P161" i="388"/>
  <c r="R161" i="388" s="1"/>
  <c r="P162" i="388"/>
  <c r="R162" i="388" s="1"/>
  <c r="S162" i="388" s="1"/>
  <c r="T162" i="388" s="1"/>
  <c r="P163" i="388"/>
  <c r="R163" i="388" s="1"/>
  <c r="P164" i="388"/>
  <c r="R164" i="388" s="1"/>
  <c r="S164" i="388" s="1"/>
  <c r="T164" i="388" s="1"/>
  <c r="P165" i="388"/>
  <c r="R165" i="388" s="1"/>
  <c r="P166" i="388"/>
  <c r="R166" i="388" s="1"/>
  <c r="S166" i="388" s="1"/>
  <c r="T166" i="388" s="1"/>
  <c r="P167" i="388"/>
  <c r="R167" i="388" s="1"/>
  <c r="P168" i="388"/>
  <c r="R168" i="388" s="1"/>
  <c r="S168" i="388" s="1"/>
  <c r="T168" i="388" s="1"/>
  <c r="P169" i="388"/>
  <c r="R169" i="388" s="1"/>
  <c r="P170" i="388"/>
  <c r="R170" i="388" s="1"/>
  <c r="S170" i="388" s="1"/>
  <c r="T170" i="388" s="1"/>
  <c r="P171" i="388"/>
  <c r="R171" i="388" s="1"/>
  <c r="P172" i="388"/>
  <c r="R172" i="388" s="1"/>
  <c r="S172" i="388" s="1"/>
  <c r="T172" i="388" s="1"/>
  <c r="P173" i="388"/>
  <c r="R173" i="388" s="1"/>
  <c r="P174" i="388"/>
  <c r="R174" i="388" s="1"/>
  <c r="S174" i="388" s="1"/>
  <c r="T174" i="388" s="1"/>
  <c r="P175" i="388"/>
  <c r="R175" i="388" s="1"/>
  <c r="P176" i="388"/>
  <c r="R176" i="388" s="1"/>
  <c r="S176" i="388" s="1"/>
  <c r="T176" i="388" s="1"/>
  <c r="P177" i="388"/>
  <c r="R177" i="388" s="1"/>
  <c r="P178" i="388"/>
  <c r="R178" i="388" s="1"/>
  <c r="S178" i="388" s="1"/>
  <c r="T178" i="388" s="1"/>
  <c r="P179" i="388"/>
  <c r="R179" i="388" s="1"/>
  <c r="P180" i="388"/>
  <c r="R180" i="388" s="1"/>
  <c r="S180" i="388" s="1"/>
  <c r="T180" i="388" s="1"/>
  <c r="P181" i="388"/>
  <c r="R181" i="388" s="1"/>
  <c r="P182" i="388"/>
  <c r="R182" i="388" s="1"/>
  <c r="S182" i="388" s="1"/>
  <c r="T182" i="388" s="1"/>
  <c r="P183" i="388"/>
  <c r="R183" i="388" s="1"/>
  <c r="P184" i="388"/>
  <c r="R184" i="388" s="1"/>
  <c r="S184" i="388" s="1"/>
  <c r="T184" i="388" s="1"/>
  <c r="P185" i="388"/>
  <c r="R185" i="388" s="1"/>
  <c r="P186" i="388"/>
  <c r="R186" i="388" s="1"/>
  <c r="S186" i="388" s="1"/>
  <c r="T186" i="388" s="1"/>
  <c r="P187" i="388"/>
  <c r="R187" i="388" s="1"/>
  <c r="P188" i="388"/>
  <c r="R188" i="388" s="1"/>
  <c r="S188" i="388" s="1"/>
  <c r="T188" i="388" s="1"/>
  <c r="P189" i="388"/>
  <c r="R189" i="388" s="1"/>
  <c r="P190" i="388"/>
  <c r="R190" i="388" s="1"/>
  <c r="S190" i="388" s="1"/>
  <c r="T190" i="388" s="1"/>
  <c r="P191" i="388"/>
  <c r="R191" i="388" s="1"/>
  <c r="P192" i="388"/>
  <c r="R192" i="388" s="1"/>
  <c r="S192" i="388" s="1"/>
  <c r="T192" i="388" s="1"/>
  <c r="P193" i="388"/>
  <c r="R193" i="388" s="1"/>
  <c r="P194" i="388"/>
  <c r="R194" i="388" s="1"/>
  <c r="S194" i="388" s="1"/>
  <c r="T194" i="388" s="1"/>
  <c r="P195" i="388"/>
  <c r="R195" i="388" s="1"/>
  <c r="P196" i="388"/>
  <c r="R196" i="388" s="1"/>
  <c r="P197" i="388"/>
  <c r="R197" i="388" s="1"/>
  <c r="P198" i="388"/>
  <c r="R198" i="388" s="1"/>
  <c r="S198" i="388" s="1"/>
  <c r="T198" i="388" s="1"/>
  <c r="P199" i="388"/>
  <c r="R199" i="388" s="1"/>
  <c r="P200" i="388"/>
  <c r="R200" i="388" s="1"/>
  <c r="P201" i="388"/>
  <c r="R201" i="388" s="1"/>
  <c r="P202" i="388"/>
  <c r="R202" i="388" s="1"/>
  <c r="S202" i="388" s="1"/>
  <c r="T202" i="388" s="1"/>
  <c r="P203" i="388"/>
  <c r="R203" i="388" s="1"/>
  <c r="P204" i="388"/>
  <c r="R204" i="388" s="1"/>
  <c r="P205" i="388"/>
  <c r="R205" i="388" s="1"/>
  <c r="P206" i="388"/>
  <c r="R206" i="388" s="1"/>
  <c r="S206" i="388" s="1"/>
  <c r="T206" i="388" s="1"/>
  <c r="P207" i="388"/>
  <c r="R207" i="388" s="1"/>
  <c r="P208" i="388"/>
  <c r="R208" i="388" s="1"/>
  <c r="S208" i="388" s="1"/>
  <c r="T208" i="388" s="1"/>
  <c r="P209" i="388"/>
  <c r="R209" i="388" s="1"/>
  <c r="P210" i="388"/>
  <c r="R210" i="388" s="1"/>
  <c r="S210" i="388" s="1"/>
  <c r="T210" i="388" s="1"/>
  <c r="P211" i="388"/>
  <c r="R211" i="388" s="1"/>
  <c r="P212" i="388"/>
  <c r="R212" i="388" s="1"/>
  <c r="S212" i="388" s="1"/>
  <c r="T212" i="388" s="1"/>
  <c r="P213" i="388"/>
  <c r="R213" i="388" s="1"/>
  <c r="P214" i="388"/>
  <c r="R214" i="388" s="1"/>
  <c r="S214" i="388" s="1"/>
  <c r="T214" i="388" s="1"/>
  <c r="P215" i="388"/>
  <c r="R215" i="388" s="1"/>
  <c r="P216" i="388"/>
  <c r="R216" i="388" s="1"/>
  <c r="S216" i="388" s="1"/>
  <c r="T216" i="388" s="1"/>
  <c r="P217" i="388"/>
  <c r="R217" i="388" s="1"/>
  <c r="P218" i="388"/>
  <c r="R218" i="388" s="1"/>
  <c r="S218" i="388" s="1"/>
  <c r="T218" i="388" s="1"/>
  <c r="P219" i="388"/>
  <c r="R219" i="388" s="1"/>
  <c r="P220" i="388"/>
  <c r="R220" i="388" s="1"/>
  <c r="S220" i="388" s="1"/>
  <c r="T220" i="388" s="1"/>
  <c r="P221" i="388"/>
  <c r="R221" i="388" s="1"/>
  <c r="P222" i="388"/>
  <c r="R222" i="388" s="1"/>
  <c r="S222" i="388" s="1"/>
  <c r="T222" i="388" s="1"/>
  <c r="P223" i="388"/>
  <c r="R223" i="388" s="1"/>
  <c r="P224" i="388"/>
  <c r="R224" i="388" s="1"/>
  <c r="S224" i="388" s="1"/>
  <c r="T224" i="388" s="1"/>
  <c r="P225" i="388"/>
  <c r="R225" i="388" s="1"/>
  <c r="P226" i="388"/>
  <c r="R226" i="388" s="1"/>
  <c r="S226" i="388" s="1"/>
  <c r="T226" i="388" s="1"/>
  <c r="P228" i="388"/>
  <c r="R228" i="388" s="1"/>
  <c r="P229" i="388"/>
  <c r="R229" i="388" s="1"/>
  <c r="S229" i="388" s="1"/>
  <c r="T229" i="388" s="1"/>
  <c r="P230" i="388"/>
  <c r="R230" i="388" s="1"/>
  <c r="P232" i="388"/>
  <c r="R232" i="388" s="1"/>
  <c r="S232" i="388" s="1"/>
  <c r="T232" i="388" s="1"/>
  <c r="P233" i="388"/>
  <c r="R233" i="388" s="1"/>
  <c r="P234" i="388"/>
  <c r="R234" i="388" s="1"/>
  <c r="P235" i="388"/>
  <c r="R235" i="388" s="1"/>
  <c r="P236" i="388"/>
  <c r="R236" i="388" s="1"/>
  <c r="S236" i="388" s="1"/>
  <c r="T236" i="388" s="1"/>
  <c r="P237" i="388"/>
  <c r="R237" i="388" s="1"/>
  <c r="P238" i="388"/>
  <c r="R238" i="388" s="1"/>
  <c r="P239" i="388"/>
  <c r="R239" i="388" s="1"/>
  <c r="P240" i="388"/>
  <c r="R240" i="388" s="1"/>
  <c r="S240" i="388" s="1"/>
  <c r="T240" i="388" s="1"/>
  <c r="P241" i="388"/>
  <c r="R241" i="388" s="1"/>
  <c r="P242" i="388"/>
  <c r="R242" i="388" s="1"/>
  <c r="P243" i="388"/>
  <c r="R243" i="388" s="1"/>
  <c r="P244" i="388"/>
  <c r="R244" i="388" s="1"/>
  <c r="S244" i="388" s="1"/>
  <c r="T244" i="388" s="1"/>
  <c r="P245" i="388"/>
  <c r="R245" i="388" s="1"/>
  <c r="P246" i="388"/>
  <c r="R246" i="388" s="1"/>
  <c r="P247" i="388"/>
  <c r="R247" i="388" s="1"/>
  <c r="P248" i="388"/>
  <c r="R248" i="388" s="1"/>
  <c r="S248" i="388" s="1"/>
  <c r="T248" i="388" s="1"/>
  <c r="P249" i="388"/>
  <c r="R249" i="388" s="1"/>
  <c r="P250" i="388"/>
  <c r="R250" i="388" s="1"/>
  <c r="P253" i="388"/>
  <c r="R253" i="388" s="1"/>
  <c r="P254" i="388"/>
  <c r="R254" i="388" s="1"/>
  <c r="S254" i="388" s="1"/>
  <c r="T254" i="388" s="1"/>
  <c r="P255" i="388"/>
  <c r="R255" i="388" s="1"/>
  <c r="P256" i="388"/>
  <c r="R256" i="388" s="1"/>
  <c r="P257" i="388"/>
  <c r="R257" i="388" s="1"/>
  <c r="P258" i="388"/>
  <c r="R258" i="388" s="1"/>
  <c r="S258" i="388" s="1"/>
  <c r="T258" i="388" s="1"/>
  <c r="P259" i="388"/>
  <c r="R259" i="388" s="1"/>
  <c r="P260" i="388"/>
  <c r="R260" i="388" s="1"/>
  <c r="P261" i="388"/>
  <c r="R261" i="388" s="1"/>
  <c r="P262" i="388"/>
  <c r="R262" i="388" s="1"/>
  <c r="S262" i="388" s="1"/>
  <c r="T262" i="388" s="1"/>
  <c r="P263" i="388"/>
  <c r="R263" i="388" s="1"/>
  <c r="P264" i="388"/>
  <c r="R264" i="388" s="1"/>
  <c r="P265" i="388"/>
  <c r="R265" i="388" s="1"/>
  <c r="P266" i="388"/>
  <c r="R266" i="388" s="1"/>
  <c r="S266" i="388" s="1"/>
  <c r="T266" i="388" s="1"/>
  <c r="P267" i="388"/>
  <c r="R267" i="388" s="1"/>
  <c r="P268" i="388"/>
  <c r="R268" i="388" s="1"/>
  <c r="S268" i="388" s="1"/>
  <c r="T268" i="388" s="1"/>
  <c r="P269" i="388"/>
  <c r="R269" i="388" s="1"/>
  <c r="P270" i="388"/>
  <c r="R270" i="388" s="1"/>
  <c r="S270" i="388" s="1"/>
  <c r="T270" i="388" s="1"/>
  <c r="P271" i="388"/>
  <c r="R271" i="388" s="1"/>
  <c r="P272" i="388"/>
  <c r="R272" i="388" s="1"/>
  <c r="S272" i="388" s="1"/>
  <c r="T272" i="388" s="1"/>
  <c r="P273" i="388"/>
  <c r="R273" i="388" s="1"/>
  <c r="P274" i="388"/>
  <c r="R274" i="388" s="1"/>
  <c r="S274" i="388" s="1"/>
  <c r="T274" i="388" s="1"/>
  <c r="P275" i="388"/>
  <c r="R275" i="388" s="1"/>
  <c r="P276" i="388"/>
  <c r="R276" i="388" s="1"/>
  <c r="S276" i="388" s="1"/>
  <c r="T276" i="388" s="1"/>
  <c r="P277" i="388"/>
  <c r="R277" i="388" s="1"/>
  <c r="P278" i="388"/>
  <c r="R278" i="388" s="1"/>
  <c r="S278" i="388" s="1"/>
  <c r="T278" i="388" s="1"/>
  <c r="P279" i="388"/>
  <c r="R279" i="388" s="1"/>
  <c r="S279" i="388" s="1"/>
  <c r="P280" i="388"/>
  <c r="R280" i="388" s="1"/>
  <c r="P281" i="388"/>
  <c r="R281" i="388" s="1"/>
  <c r="S281" i="388" s="1"/>
  <c r="T281" i="388" s="1"/>
  <c r="P282" i="388"/>
  <c r="R282" i="388" s="1"/>
  <c r="P283" i="388"/>
  <c r="R283" i="388" s="1"/>
  <c r="S283" i="388" s="1"/>
  <c r="P284" i="388"/>
  <c r="R284" i="388" s="1"/>
  <c r="S284" i="388" s="1"/>
  <c r="T284" i="388" s="1"/>
  <c r="P285" i="388"/>
  <c r="R285" i="388" s="1"/>
  <c r="P286" i="388"/>
  <c r="R286" i="388" s="1"/>
  <c r="P287" i="388"/>
  <c r="R287" i="388" s="1"/>
  <c r="S287" i="388" s="1"/>
  <c r="T287" i="388" s="1"/>
  <c r="P288" i="388"/>
  <c r="R288" i="388" s="1"/>
  <c r="S288" i="388" s="1"/>
  <c r="P289" i="388"/>
  <c r="R289" i="388" s="1"/>
  <c r="S289" i="388" s="1"/>
  <c r="P290" i="388"/>
  <c r="R290" i="388" s="1"/>
  <c r="S290" i="388" s="1"/>
  <c r="T290" i="388" s="1"/>
  <c r="P291" i="388"/>
  <c r="R291" i="388" s="1"/>
  <c r="P292" i="388"/>
  <c r="R292" i="388" s="1"/>
  <c r="P293" i="388"/>
  <c r="R293" i="388" s="1"/>
  <c r="S293" i="388" s="1"/>
  <c r="T293" i="388" s="1"/>
  <c r="P294" i="388"/>
  <c r="R294" i="388" s="1"/>
  <c r="S294" i="388" s="1"/>
  <c r="T294" i="388" s="1"/>
  <c r="P295" i="388"/>
  <c r="R295" i="388" s="1"/>
  <c r="P296" i="388"/>
  <c r="R296" i="388" s="1"/>
  <c r="P297" i="388"/>
  <c r="R297" i="388" s="1"/>
  <c r="P298" i="388"/>
  <c r="R298" i="388" s="1"/>
  <c r="S298" i="388" s="1"/>
  <c r="T298" i="388" s="1"/>
  <c r="P300" i="388"/>
  <c r="R300" i="388" s="1"/>
  <c r="P301" i="388"/>
  <c r="R301" i="388" s="1"/>
  <c r="P302" i="388"/>
  <c r="R302" i="388" s="1"/>
  <c r="S302" i="388" s="1"/>
  <c r="T302" i="388" s="1"/>
  <c r="P303" i="388"/>
  <c r="R303" i="388" s="1"/>
  <c r="S303" i="388" s="1"/>
  <c r="T303" i="388" s="1"/>
  <c r="P304" i="388"/>
  <c r="R304" i="388" s="1"/>
  <c r="P305" i="388"/>
  <c r="R305" i="388" s="1"/>
  <c r="P306" i="388"/>
  <c r="R306" i="388" s="1"/>
  <c r="P307" i="388"/>
  <c r="R307" i="388" s="1"/>
  <c r="P309" i="388"/>
  <c r="R309" i="388" s="1"/>
  <c r="S309" i="388" s="1"/>
  <c r="P310" i="388"/>
  <c r="R310" i="388" s="1"/>
  <c r="P311" i="388"/>
  <c r="R311" i="388" s="1"/>
  <c r="S311" i="388" s="1"/>
  <c r="P312" i="388"/>
  <c r="R312" i="388" s="1"/>
  <c r="P313" i="388"/>
  <c r="R313" i="388" s="1"/>
  <c r="S313" i="388" s="1"/>
  <c r="P314" i="388"/>
  <c r="R314" i="388" s="1"/>
  <c r="P315" i="388"/>
  <c r="R315" i="388" s="1"/>
  <c r="S315" i="388" s="1"/>
  <c r="P316" i="388"/>
  <c r="R316" i="388" s="1"/>
  <c r="P317" i="388"/>
  <c r="R317" i="388" s="1"/>
  <c r="S317" i="388" s="1"/>
  <c r="P318" i="388"/>
  <c r="R318" i="388" s="1"/>
  <c r="P319" i="388"/>
  <c r="R319" i="388" s="1"/>
  <c r="S319" i="388" s="1"/>
  <c r="P320" i="388"/>
  <c r="R320" i="388" s="1"/>
  <c r="P321" i="388"/>
  <c r="R321" i="388" s="1"/>
  <c r="P323" i="388"/>
  <c r="R323" i="388" s="1"/>
  <c r="S323" i="388" s="1"/>
  <c r="P324" i="388"/>
  <c r="R324" i="388" s="1"/>
  <c r="P325" i="388"/>
  <c r="R325" i="388" s="1"/>
  <c r="S325" i="388" s="1"/>
  <c r="T325" i="388" s="1"/>
  <c r="P326" i="388"/>
  <c r="R326" i="388" s="1"/>
  <c r="S326" i="388" s="1"/>
  <c r="T326" i="388" s="1"/>
  <c r="P327" i="388"/>
  <c r="R327" i="388" s="1"/>
  <c r="P328" i="388"/>
  <c r="R328" i="388" s="1"/>
  <c r="P329" i="388"/>
  <c r="R329" i="388" s="1"/>
  <c r="P330" i="388"/>
  <c r="R330" i="388" s="1"/>
  <c r="P331" i="388"/>
  <c r="R331" i="388" s="1"/>
  <c r="P332" i="388"/>
  <c r="R332" i="388" s="1"/>
  <c r="S332" i="388" s="1"/>
  <c r="P333" i="388"/>
  <c r="R333" i="388" s="1"/>
  <c r="P334" i="388"/>
  <c r="R334" i="388" s="1"/>
  <c r="P335" i="388"/>
  <c r="R335" i="388" s="1"/>
  <c r="S335" i="388" s="1"/>
  <c r="P336" i="388"/>
  <c r="R336" i="388" s="1"/>
  <c r="S336" i="388" s="1"/>
  <c r="P337" i="388"/>
  <c r="R337" i="388" s="1"/>
  <c r="S337" i="388" s="1"/>
  <c r="P338" i="388"/>
  <c r="R338" i="388" s="1"/>
  <c r="S338" i="388" s="1"/>
  <c r="P340" i="388"/>
  <c r="R340" i="388" s="1"/>
  <c r="P341" i="388"/>
  <c r="R341" i="388" s="1"/>
  <c r="S341" i="388" s="1"/>
  <c r="P342" i="388"/>
  <c r="R342" i="388" s="1"/>
  <c r="P343" i="388"/>
  <c r="R343" i="388" s="1"/>
  <c r="P344" i="388"/>
  <c r="R344" i="388" s="1"/>
  <c r="S344" i="388" s="1"/>
  <c r="P345" i="388"/>
  <c r="R345" i="388" s="1"/>
  <c r="S345" i="388" s="1"/>
  <c r="P346" i="388"/>
  <c r="R346" i="388" s="1"/>
  <c r="E347" i="388"/>
  <c r="P347" i="388"/>
  <c r="R347" i="388" s="1"/>
  <c r="S347" i="388" s="1"/>
  <c r="T347" i="388" s="1"/>
  <c r="P348" i="388"/>
  <c r="R348" i="388" s="1"/>
  <c r="S348" i="388" s="1"/>
  <c r="P349" i="388"/>
  <c r="R349" i="388" s="1"/>
  <c r="S349" i="388" s="1"/>
  <c r="T349" i="388" s="1"/>
  <c r="P350" i="388"/>
  <c r="R350" i="388" s="1"/>
  <c r="P352" i="388"/>
  <c r="R352" i="388" s="1"/>
  <c r="S352" i="388" s="1"/>
  <c r="P353" i="388"/>
  <c r="R353" i="388" s="1"/>
  <c r="S353" i="388" s="1"/>
  <c r="P354" i="388"/>
  <c r="R354" i="388" s="1"/>
  <c r="S354" i="388" s="1"/>
  <c r="T354" i="388" s="1"/>
  <c r="P355" i="388"/>
  <c r="R355" i="388" s="1"/>
  <c r="P358" i="388"/>
  <c r="R358" i="388" s="1"/>
  <c r="P359" i="388"/>
  <c r="R359" i="388" s="1"/>
  <c r="S359" i="388" s="1"/>
  <c r="P360" i="388"/>
  <c r="R360" i="388" s="1"/>
  <c r="P361" i="388"/>
  <c r="R361" i="388" s="1"/>
  <c r="P362" i="388"/>
  <c r="R362" i="388" s="1"/>
  <c r="P363" i="388"/>
  <c r="R363" i="388" s="1"/>
  <c r="P364" i="388"/>
  <c r="R364" i="388" s="1"/>
  <c r="S364" i="388" s="1"/>
  <c r="P365" i="388"/>
  <c r="R365" i="388" s="1"/>
  <c r="S365" i="388" s="1"/>
  <c r="P366" i="388"/>
  <c r="R366" i="388" s="1"/>
  <c r="P367" i="388"/>
  <c r="R367" i="388" s="1"/>
  <c r="S367" i="388" s="1"/>
  <c r="P368" i="388"/>
  <c r="R368" i="388" s="1"/>
  <c r="P369" i="388"/>
  <c r="R369" i="388" s="1"/>
  <c r="S369" i="388" s="1"/>
  <c r="P370" i="388"/>
  <c r="R370" i="388" s="1"/>
  <c r="P371" i="388"/>
  <c r="R371" i="388" s="1"/>
  <c r="S371" i="388" s="1"/>
  <c r="P372" i="388"/>
  <c r="R372" i="388" s="1"/>
  <c r="P373" i="388"/>
  <c r="R373" i="388" s="1"/>
  <c r="P374" i="388"/>
  <c r="R374" i="388" s="1"/>
  <c r="S374" i="388" s="1"/>
  <c r="T374" i="388" s="1"/>
  <c r="P375" i="388"/>
  <c r="R375" i="388" s="1"/>
  <c r="P376" i="388"/>
  <c r="R376" i="388" s="1"/>
  <c r="S376" i="388" s="1"/>
  <c r="T376" i="388" s="1"/>
  <c r="P377" i="388"/>
  <c r="R377" i="388" s="1"/>
  <c r="P378" i="388"/>
  <c r="R378" i="388" s="1"/>
  <c r="S378" i="388" s="1"/>
  <c r="T378" i="388" s="1"/>
  <c r="P379" i="388"/>
  <c r="R379" i="388" s="1"/>
  <c r="P380" i="388"/>
  <c r="R380" i="388" s="1"/>
  <c r="S380" i="388" s="1"/>
  <c r="T380" i="388" s="1"/>
  <c r="P381" i="388"/>
  <c r="R381" i="388" s="1"/>
  <c r="P382" i="388"/>
  <c r="R382" i="388" s="1"/>
  <c r="S382" i="388" s="1"/>
  <c r="T382" i="388" s="1"/>
  <c r="H406" i="388"/>
  <c r="H407" i="388"/>
  <c r="H408" i="388"/>
  <c r="H409" i="388"/>
  <c r="H410" i="388"/>
  <c r="H411" i="388"/>
  <c r="H412" i="388"/>
  <c r="F414" i="388"/>
  <c r="F415" i="388"/>
  <c r="F416" i="388"/>
  <c r="F417" i="388"/>
  <c r="F418" i="388"/>
  <c r="F419" i="388"/>
  <c r="F420" i="388"/>
  <c r="F421" i="388"/>
  <c r="F422" i="388"/>
  <c r="F423" i="388"/>
  <c r="F424" i="388"/>
  <c r="F425" i="388"/>
  <c r="H10" i="391"/>
  <c r="L10" i="391"/>
  <c r="M10" i="391" s="1"/>
  <c r="D11" i="391"/>
  <c r="H11" i="391" s="1"/>
  <c r="L11" i="391"/>
  <c r="D12" i="391"/>
  <c r="H12" i="391" s="1"/>
  <c r="L12" i="391"/>
  <c r="H13" i="391"/>
  <c r="H14" i="391"/>
  <c r="M14" i="391"/>
  <c r="N14" i="391" s="1"/>
  <c r="D15" i="391"/>
  <c r="L15" i="391"/>
  <c r="M15" i="391" s="1"/>
  <c r="M18" i="391" s="1"/>
  <c r="D16" i="391"/>
  <c r="L16" i="391"/>
  <c r="D17" i="391"/>
  <c r="H17" i="391" s="1"/>
  <c r="L17" i="391"/>
  <c r="M17" i="391" s="1"/>
  <c r="N17" i="391" s="1"/>
  <c r="H18" i="391"/>
  <c r="H19" i="391"/>
  <c r="M19" i="391"/>
  <c r="N19" i="391" s="1"/>
  <c r="H20" i="391"/>
  <c r="L20" i="391"/>
  <c r="K32" i="391"/>
  <c r="L32" i="391"/>
  <c r="E10" i="398"/>
  <c r="F10" i="398"/>
  <c r="G10" i="398"/>
  <c r="E11" i="398"/>
  <c r="F11" i="398"/>
  <c r="G11" i="398"/>
  <c r="D12" i="398"/>
  <c r="F15" i="398"/>
  <c r="G15" i="398"/>
  <c r="F16" i="398"/>
  <c r="G16" i="398"/>
  <c r="D17" i="398"/>
  <c r="N19" i="398"/>
  <c r="I20" i="398"/>
  <c r="K32" i="398"/>
  <c r="L32" i="398"/>
  <c r="F35" i="398"/>
  <c r="G35" i="398" s="1"/>
  <c r="F36" i="398"/>
  <c r="G36" i="398" s="1"/>
  <c r="F37" i="398"/>
  <c r="G37" i="398" s="1"/>
  <c r="H12" i="398" s="1"/>
  <c r="I12" i="398" s="1"/>
  <c r="L12" i="398" s="1"/>
  <c r="D10" i="397"/>
  <c r="D11" i="397"/>
  <c r="D12" i="397"/>
  <c r="M14" i="397"/>
  <c r="N14" i="397" s="1"/>
  <c r="D15" i="397"/>
  <c r="D16" i="397"/>
  <c r="D17" i="397"/>
  <c r="M19" i="397"/>
  <c r="N19" i="397" s="1"/>
  <c r="L20" i="397"/>
  <c r="M20" i="397" s="1"/>
  <c r="M21" i="397" s="1"/>
  <c r="K32" i="397"/>
  <c r="L32" i="397"/>
  <c r="P40" i="397"/>
  <c r="B43" i="397"/>
  <c r="C43" i="397"/>
  <c r="D43" i="397"/>
  <c r="E43" i="397"/>
  <c r="F43" i="397"/>
  <c r="G43" i="397"/>
  <c r="H43" i="397"/>
  <c r="K43" i="397"/>
  <c r="L43" i="397"/>
  <c r="M43" i="397"/>
  <c r="N43" i="397"/>
  <c r="O43" i="397"/>
  <c r="B44" i="397"/>
  <c r="C44" i="397"/>
  <c r="D44" i="397"/>
  <c r="E44" i="397"/>
  <c r="F44" i="397"/>
  <c r="G44" i="397"/>
  <c r="H44" i="397"/>
  <c r="K44" i="397"/>
  <c r="L44" i="397"/>
  <c r="M44" i="397"/>
  <c r="N44" i="397"/>
  <c r="O44" i="397"/>
  <c r="D50" i="397"/>
  <c r="D51" i="397"/>
  <c r="D52" i="397"/>
  <c r="M54" i="397"/>
  <c r="N54" i="397" s="1"/>
  <c r="D55" i="397"/>
  <c r="D56" i="397"/>
  <c r="D57" i="397"/>
  <c r="M59" i="397"/>
  <c r="N59" i="397" s="1"/>
  <c r="L60" i="397"/>
  <c r="L61" i="397" s="1"/>
  <c r="B66" i="397"/>
  <c r="E66" i="397" s="1"/>
  <c r="H66" i="397"/>
  <c r="H67" i="397"/>
  <c r="H68" i="397"/>
  <c r="B71" i="397"/>
  <c r="E71" i="397" s="1"/>
  <c r="H71" i="397"/>
  <c r="H72" i="397"/>
  <c r="H73" i="397"/>
  <c r="D10" i="402"/>
  <c r="H10" i="402" s="1"/>
  <c r="I10" i="402" s="1"/>
  <c r="L10" i="402" s="1"/>
  <c r="M10" i="402" s="1"/>
  <c r="D11" i="402"/>
  <c r="H11" i="402" s="1"/>
  <c r="I11" i="402" s="1"/>
  <c r="L11" i="402" s="1"/>
  <c r="D12" i="402"/>
  <c r="H12" i="402" s="1"/>
  <c r="D15" i="402"/>
  <c r="D16" i="402"/>
  <c r="D17" i="402"/>
  <c r="M19" i="402"/>
  <c r="N19" i="402" s="1"/>
  <c r="L20" i="402"/>
  <c r="L21" i="402" s="1"/>
  <c r="K32" i="402"/>
  <c r="L32" i="402"/>
  <c r="S41" i="402"/>
  <c r="K43" i="402" s="1"/>
  <c r="L43" i="402" s="1"/>
  <c r="M43" i="402" s="1"/>
  <c r="S42" i="402"/>
  <c r="K44" i="402" s="1"/>
  <c r="T48" i="402"/>
  <c r="Q52" i="402"/>
  <c r="F64" i="402"/>
  <c r="G64" i="402" s="1"/>
  <c r="H64" i="402" s="1"/>
  <c r="I64" i="402" s="1"/>
  <c r="I66" i="402" s="1"/>
  <c r="K64" i="402"/>
  <c r="L64" i="402" s="1"/>
  <c r="F65" i="402"/>
  <c r="G65" i="402" s="1"/>
  <c r="K65" i="402"/>
  <c r="L65" i="402" s="1"/>
  <c r="M65" i="402" s="1"/>
  <c r="C68" i="402"/>
  <c r="C69" i="402"/>
  <c r="B76" i="402"/>
  <c r="C76" i="402"/>
  <c r="D76" i="402"/>
  <c r="E76" i="402"/>
  <c r="F76" i="402"/>
  <c r="G76" i="402"/>
  <c r="H76" i="402"/>
  <c r="K76" i="402"/>
  <c r="L76" i="402"/>
  <c r="M76" i="402"/>
  <c r="N76" i="402"/>
  <c r="O76" i="402"/>
  <c r="B77" i="402"/>
  <c r="C77" i="402"/>
  <c r="D77" i="402"/>
  <c r="E77" i="402"/>
  <c r="F77" i="402"/>
  <c r="G77" i="402"/>
  <c r="H77" i="402"/>
  <c r="K77" i="402"/>
  <c r="L77" i="402"/>
  <c r="M77" i="402"/>
  <c r="N77" i="402"/>
  <c r="O77" i="402"/>
  <c r="D88" i="402"/>
  <c r="D89" i="402"/>
  <c r="D90" i="402"/>
  <c r="D93" i="402"/>
  <c r="D94" i="402"/>
  <c r="D95" i="402"/>
  <c r="M97" i="402"/>
  <c r="N97" i="402" s="1"/>
  <c r="L98" i="402"/>
  <c r="L99" i="402" s="1"/>
  <c r="B107" i="402"/>
  <c r="C107" i="402"/>
  <c r="D107" i="402"/>
  <c r="E107" i="402"/>
  <c r="F107" i="402"/>
  <c r="G107" i="402"/>
  <c r="H107" i="402"/>
  <c r="K107" i="402"/>
  <c r="L107" i="402"/>
  <c r="M107" i="402"/>
  <c r="N107" i="402"/>
  <c r="O107" i="402"/>
  <c r="B108" i="402"/>
  <c r="C108" i="402"/>
  <c r="D108" i="402"/>
  <c r="E108" i="402"/>
  <c r="F108" i="402"/>
  <c r="G108" i="402"/>
  <c r="H108" i="402"/>
  <c r="K108" i="402"/>
  <c r="L108" i="402"/>
  <c r="M108" i="402"/>
  <c r="N108" i="402"/>
  <c r="O108" i="402"/>
  <c r="I9" i="123"/>
  <c r="J9" i="123"/>
  <c r="H10" i="123"/>
  <c r="H11" i="123"/>
  <c r="H12" i="123"/>
  <c r="H13" i="123"/>
  <c r="H14" i="123"/>
  <c r="H15" i="123"/>
  <c r="H9" i="352"/>
  <c r="K9" i="352"/>
  <c r="H10" i="352"/>
  <c r="K10" i="352"/>
  <c r="H11" i="352"/>
  <c r="K11" i="352"/>
  <c r="H12" i="352"/>
  <c r="K12" i="352"/>
  <c r="H13" i="352"/>
  <c r="K13" i="352"/>
  <c r="H14" i="352"/>
  <c r="K14" i="352"/>
  <c r="H15" i="352"/>
  <c r="K15" i="352"/>
  <c r="H16" i="352"/>
  <c r="K16" i="352"/>
  <c r="H17" i="352"/>
  <c r="K17" i="352"/>
  <c r="H18" i="352"/>
  <c r="K18" i="352"/>
  <c r="H19" i="352"/>
  <c r="K19" i="352"/>
  <c r="H20" i="352"/>
  <c r="K20" i="352"/>
  <c r="H21" i="352"/>
  <c r="K21" i="352"/>
  <c r="L21" i="352" s="1"/>
  <c r="H22" i="352"/>
  <c r="K22" i="352"/>
  <c r="H23" i="352"/>
  <c r="K23" i="352"/>
  <c r="H24" i="352"/>
  <c r="K24" i="352"/>
  <c r="H25" i="352"/>
  <c r="K25" i="352"/>
  <c r="H26" i="352"/>
  <c r="K26" i="352"/>
  <c r="H27" i="352"/>
  <c r="K27" i="352"/>
  <c r="H28" i="352"/>
  <c r="L28" i="352" s="1"/>
  <c r="K28" i="352"/>
  <c r="H29" i="352"/>
  <c r="K29" i="352"/>
  <c r="H30" i="352"/>
  <c r="L30" i="352" s="1"/>
  <c r="K30" i="352"/>
  <c r="H31" i="352"/>
  <c r="K31" i="352"/>
  <c r="H32" i="352"/>
  <c r="K32" i="352"/>
  <c r="H33" i="352"/>
  <c r="K33" i="352"/>
  <c r="H34" i="352"/>
  <c r="K34" i="352"/>
  <c r="H35" i="352"/>
  <c r="K35" i="352"/>
  <c r="H36" i="352"/>
  <c r="K36" i="352"/>
  <c r="H37" i="352"/>
  <c r="K37" i="352"/>
  <c r="H38" i="352"/>
  <c r="K38" i="352"/>
  <c r="H39" i="352"/>
  <c r="K39" i="352"/>
  <c r="M40" i="352"/>
  <c r="N40" i="352"/>
  <c r="H12" i="325"/>
  <c r="W12" i="325"/>
  <c r="X12" i="325"/>
  <c r="H13" i="325"/>
  <c r="R13" i="325" s="1"/>
  <c r="W13" i="325"/>
  <c r="X13" i="325"/>
  <c r="H14" i="325"/>
  <c r="W14" i="325"/>
  <c r="X14" i="325"/>
  <c r="H15" i="325"/>
  <c r="W15" i="325"/>
  <c r="X15" i="325"/>
  <c r="H16" i="325"/>
  <c r="W16" i="325"/>
  <c r="X16" i="325"/>
  <c r="H17" i="325"/>
  <c r="P17" i="325" s="1"/>
  <c r="W17" i="325"/>
  <c r="X17" i="325"/>
  <c r="H18" i="325"/>
  <c r="W18" i="325"/>
  <c r="X18" i="325"/>
  <c r="H19" i="325"/>
  <c r="W19" i="325"/>
  <c r="X19" i="325"/>
  <c r="H20" i="325"/>
  <c r="P20" i="325" s="1"/>
  <c r="W20" i="325"/>
  <c r="X20" i="325"/>
  <c r="G27" i="325"/>
  <c r="K27" i="325" s="1"/>
  <c r="Q27" i="325"/>
  <c r="R27" i="325"/>
  <c r="G28" i="325"/>
  <c r="Q28" i="325"/>
  <c r="R28" i="325"/>
  <c r="G29" i="325"/>
  <c r="O29" i="325" s="1"/>
  <c r="Q29" i="325"/>
  <c r="R29" i="325"/>
  <c r="G30" i="325"/>
  <c r="Q30" i="325"/>
  <c r="R30" i="325"/>
  <c r="G31" i="325"/>
  <c r="O31" i="325" s="1"/>
  <c r="Q31" i="325"/>
  <c r="R31" i="325"/>
  <c r="G32" i="325"/>
  <c r="Q32" i="325"/>
  <c r="R32" i="325"/>
  <c r="G33" i="325"/>
  <c r="Q33" i="325"/>
  <c r="R33" i="325"/>
  <c r="G34" i="325"/>
  <c r="K34" i="325" s="1"/>
  <c r="Q34" i="325"/>
  <c r="R34" i="325"/>
  <c r="G35" i="325"/>
  <c r="O35" i="325" s="1"/>
  <c r="Q35" i="325"/>
  <c r="R35" i="325"/>
  <c r="C10" i="199"/>
  <c r="H10" i="199" s="1"/>
  <c r="K10" i="199"/>
  <c r="L10" i="199"/>
  <c r="D11" i="199"/>
  <c r="E11" i="199"/>
  <c r="C13" i="199"/>
  <c r="H13" i="199" s="1"/>
  <c r="K13" i="199"/>
  <c r="L13" i="199"/>
  <c r="J13" i="199" s="1"/>
  <c r="C14" i="199"/>
  <c r="H14" i="199" s="1"/>
  <c r="H11" i="199" s="1"/>
  <c r="K14" i="199"/>
  <c r="L14" i="199"/>
  <c r="C15" i="199"/>
  <c r="H15" i="199" s="1"/>
  <c r="K15" i="199"/>
  <c r="L15" i="199"/>
  <c r="D16" i="199"/>
  <c r="E16" i="199"/>
  <c r="C18" i="199"/>
  <c r="H18" i="199" s="1"/>
  <c r="K18" i="199"/>
  <c r="L18" i="199"/>
  <c r="C19" i="199"/>
  <c r="H19" i="199" s="1"/>
  <c r="K19" i="199"/>
  <c r="J19" i="199" s="1"/>
  <c r="L19" i="199"/>
  <c r="C20" i="199"/>
  <c r="H20" i="199" s="1"/>
  <c r="K20" i="199"/>
  <c r="L20" i="199"/>
  <c r="L16" i="199" s="1"/>
  <c r="C21" i="199"/>
  <c r="H21" i="199" s="1"/>
  <c r="K21" i="199"/>
  <c r="L21" i="199"/>
  <c r="C22" i="199"/>
  <c r="H22" i="199" s="1"/>
  <c r="K22" i="199"/>
  <c r="L22" i="199"/>
  <c r="C23" i="199"/>
  <c r="H23" i="199" s="1"/>
  <c r="K23" i="199"/>
  <c r="L23" i="199"/>
  <c r="C24" i="199"/>
  <c r="H24" i="199" s="1"/>
  <c r="K24" i="199"/>
  <c r="L24" i="199"/>
  <c r="C25" i="199"/>
  <c r="H25" i="199" s="1"/>
  <c r="K25" i="199"/>
  <c r="L25" i="199"/>
  <c r="C26" i="199"/>
  <c r="H26" i="199" s="1"/>
  <c r="K26" i="199"/>
  <c r="L26" i="199"/>
  <c r="C12" i="369"/>
  <c r="E13" i="369"/>
  <c r="A14" i="369"/>
  <c r="A15" i="369" s="1"/>
  <c r="A16" i="369" s="1"/>
  <c r="A17" i="369" s="1"/>
  <c r="A18" i="369" s="1"/>
  <c r="A19" i="369" s="1"/>
  <c r="A20" i="369" s="1"/>
  <c r="A21" i="369" s="1"/>
  <c r="A22" i="369" s="1"/>
  <c r="A23" i="369" s="1"/>
  <c r="A24" i="369" s="1"/>
  <c r="E14" i="369"/>
  <c r="G14" i="369" s="1"/>
  <c r="E15" i="369"/>
  <c r="G15" i="369" s="1"/>
  <c r="E16" i="369"/>
  <c r="G16" i="369" s="1"/>
  <c r="F16" i="369" s="1"/>
  <c r="E17" i="369"/>
  <c r="G17" i="369" s="1"/>
  <c r="E18" i="369"/>
  <c r="G18" i="369" s="1"/>
  <c r="F18" i="369" s="1"/>
  <c r="E19" i="369"/>
  <c r="E20" i="369"/>
  <c r="G20" i="369" s="1"/>
  <c r="F20" i="369" s="1"/>
  <c r="E21" i="369"/>
  <c r="G21" i="369" s="1"/>
  <c r="F21" i="369" s="1"/>
  <c r="E22" i="369"/>
  <c r="G22" i="369" s="1"/>
  <c r="E23" i="369"/>
  <c r="E24" i="369"/>
  <c r="G24" i="369" s="1"/>
  <c r="F24" i="369" s="1"/>
  <c r="D10" i="404"/>
  <c r="D11" i="404"/>
  <c r="D12" i="404"/>
  <c r="H12" i="404" s="1"/>
  <c r="D15" i="404"/>
  <c r="H15" i="404" s="1"/>
  <c r="I15" i="404" s="1"/>
  <c r="L15" i="404" s="1"/>
  <c r="D16" i="404"/>
  <c r="D17" i="404"/>
  <c r="H17" i="404" s="1"/>
  <c r="M19" i="404"/>
  <c r="N19" i="404" s="1"/>
  <c r="I20" i="404"/>
  <c r="K34" i="404"/>
  <c r="L34" i="404"/>
  <c r="F48" i="404"/>
  <c r="G48" i="404" s="1"/>
  <c r="K48" i="404"/>
  <c r="L48" i="404" s="1"/>
  <c r="F49" i="404"/>
  <c r="G49" i="404" s="1"/>
  <c r="K49" i="404"/>
  <c r="L49" i="404" s="1"/>
  <c r="M49" i="404" s="1"/>
  <c r="C52" i="404"/>
  <c r="C53" i="404"/>
  <c r="B60" i="404"/>
  <c r="C60" i="404"/>
  <c r="D60" i="404"/>
  <c r="E60" i="404"/>
  <c r="F60" i="404"/>
  <c r="G60" i="404"/>
  <c r="H60" i="404"/>
  <c r="K60" i="404"/>
  <c r="L60" i="404"/>
  <c r="M60" i="404"/>
  <c r="N60" i="404"/>
  <c r="O60" i="404"/>
  <c r="B61" i="404"/>
  <c r="C61" i="404"/>
  <c r="D61" i="404"/>
  <c r="E61" i="404"/>
  <c r="F61" i="404"/>
  <c r="G61" i="404"/>
  <c r="H61" i="404"/>
  <c r="K61" i="404"/>
  <c r="L61" i="404"/>
  <c r="M61" i="404"/>
  <c r="N61" i="404"/>
  <c r="O61" i="404"/>
  <c r="Q61" i="404" s="1"/>
  <c r="H79" i="404" s="1"/>
  <c r="I79" i="404" s="1"/>
  <c r="L79" i="404" s="1"/>
  <c r="M79" i="404" s="1"/>
  <c r="N79" i="404" s="1"/>
  <c r="D72" i="404"/>
  <c r="D73" i="404"/>
  <c r="D74" i="404"/>
  <c r="D77" i="404"/>
  <c r="D78" i="404"/>
  <c r="D79" i="404"/>
  <c r="M81" i="404"/>
  <c r="N81" i="404" s="1"/>
  <c r="L82" i="404"/>
  <c r="B91" i="404"/>
  <c r="C91" i="404"/>
  <c r="D91" i="404"/>
  <c r="E91" i="404"/>
  <c r="F91" i="404"/>
  <c r="G91" i="404"/>
  <c r="H91" i="404"/>
  <c r="K91" i="404"/>
  <c r="L91" i="404"/>
  <c r="M91" i="404"/>
  <c r="N91" i="404"/>
  <c r="O91" i="404"/>
  <c r="B92" i="404"/>
  <c r="C92" i="404"/>
  <c r="D92" i="404"/>
  <c r="E92" i="404"/>
  <c r="F92" i="404"/>
  <c r="G92" i="404"/>
  <c r="H92" i="404"/>
  <c r="K92" i="404"/>
  <c r="L92" i="404"/>
  <c r="M92" i="404"/>
  <c r="N92" i="404"/>
  <c r="O92" i="404"/>
  <c r="Q92" i="404" s="1"/>
  <c r="D10" i="285"/>
  <c r="D11" i="285"/>
  <c r="H11" i="285" s="1"/>
  <c r="D12" i="285"/>
  <c r="D15" i="285"/>
  <c r="H15" i="285" s="1"/>
  <c r="I15" i="285" s="1"/>
  <c r="L15" i="285" s="1"/>
  <c r="D16" i="285"/>
  <c r="D17" i="285"/>
  <c r="M19" i="285"/>
  <c r="N19" i="285" s="1"/>
  <c r="D20" i="285"/>
  <c r="H20" i="285"/>
  <c r="L20" i="285"/>
  <c r="K34" i="285"/>
  <c r="L34" i="285"/>
  <c r="F48" i="285"/>
  <c r="G48" i="285" s="1"/>
  <c r="K48" i="285"/>
  <c r="L48" i="285" s="1"/>
  <c r="F49" i="285"/>
  <c r="G49" i="285" s="1"/>
  <c r="H49" i="285" s="1"/>
  <c r="K49" i="285"/>
  <c r="L49" i="285" s="1"/>
  <c r="C52" i="285"/>
  <c r="C53" i="285"/>
  <c r="B60" i="285"/>
  <c r="C60" i="285"/>
  <c r="I60" i="285" s="1"/>
  <c r="J60" i="285" s="1"/>
  <c r="H72" i="285" s="1"/>
  <c r="I72" i="285" s="1"/>
  <c r="L72" i="285" s="1"/>
  <c r="D60" i="285"/>
  <c r="E60" i="285"/>
  <c r="F60" i="285"/>
  <c r="G60" i="285"/>
  <c r="H60" i="285"/>
  <c r="K60" i="285"/>
  <c r="L60" i="285"/>
  <c r="M60" i="285"/>
  <c r="Q60" i="285" s="1"/>
  <c r="H74" i="285" s="1"/>
  <c r="I74" i="285" s="1"/>
  <c r="L74" i="285" s="1"/>
  <c r="M74" i="285" s="1"/>
  <c r="N74" i="285" s="1"/>
  <c r="N60" i="285"/>
  <c r="O60" i="285"/>
  <c r="B61" i="285"/>
  <c r="C61" i="285"/>
  <c r="D61" i="285"/>
  <c r="E61" i="285"/>
  <c r="F61" i="285"/>
  <c r="G61" i="285"/>
  <c r="H61" i="285"/>
  <c r="K61" i="285"/>
  <c r="L61" i="285"/>
  <c r="M61" i="285"/>
  <c r="Q61" i="285" s="1"/>
  <c r="N61" i="285"/>
  <c r="O61" i="285"/>
  <c r="D72" i="285"/>
  <c r="D73" i="285"/>
  <c r="D74" i="285"/>
  <c r="D77" i="285"/>
  <c r="D78" i="285"/>
  <c r="D79" i="285"/>
  <c r="M81" i="285"/>
  <c r="N81" i="285" s="1"/>
  <c r="L82" i="285"/>
  <c r="B91" i="285"/>
  <c r="C91" i="285"/>
  <c r="I91" i="285" s="1"/>
  <c r="J91" i="285" s="1"/>
  <c r="D91" i="285"/>
  <c r="E91" i="285"/>
  <c r="F91" i="285"/>
  <c r="G91" i="285"/>
  <c r="P91" i="285" s="1"/>
  <c r="H91" i="285"/>
  <c r="K91" i="285"/>
  <c r="L91" i="285"/>
  <c r="M91" i="285"/>
  <c r="Q91" i="285" s="1"/>
  <c r="N91" i="285"/>
  <c r="O91" i="285"/>
  <c r="B92" i="285"/>
  <c r="C92" i="285"/>
  <c r="D92" i="285"/>
  <c r="E92" i="285"/>
  <c r="F92" i="285"/>
  <c r="G92" i="285"/>
  <c r="P92" i="285" s="1"/>
  <c r="H92" i="285"/>
  <c r="K92" i="285"/>
  <c r="L92" i="285"/>
  <c r="M92" i="285"/>
  <c r="N92" i="285"/>
  <c r="O92" i="285"/>
  <c r="C10" i="393"/>
  <c r="I10" i="393"/>
  <c r="F11" i="393"/>
  <c r="H11" i="393"/>
  <c r="G12" i="393"/>
  <c r="J12" i="393"/>
  <c r="K12" i="393" s="1"/>
  <c r="L12" i="393" s="1"/>
  <c r="G13" i="393"/>
  <c r="J13" i="393"/>
  <c r="K13" i="393" s="1"/>
  <c r="L13" i="393" s="1"/>
  <c r="G14" i="393"/>
  <c r="K14" i="393"/>
  <c r="L14" i="393" s="1"/>
  <c r="F15" i="393"/>
  <c r="H15" i="393"/>
  <c r="G16" i="393"/>
  <c r="J16" i="393"/>
  <c r="K16" i="393" s="1"/>
  <c r="G17" i="393"/>
  <c r="J17" i="393"/>
  <c r="K17" i="393" s="1"/>
  <c r="G18" i="393"/>
  <c r="J18" i="393"/>
  <c r="K18" i="393" s="1"/>
  <c r="L18" i="393" s="1"/>
  <c r="F19" i="393"/>
  <c r="H19" i="393"/>
  <c r="G20" i="393"/>
  <c r="J20" i="393"/>
  <c r="K20" i="393" s="1"/>
  <c r="G21" i="393"/>
  <c r="J21" i="393"/>
  <c r="K21" i="393" s="1"/>
  <c r="L21" i="393" s="1"/>
  <c r="G22" i="393"/>
  <c r="J22" i="393"/>
  <c r="K22" i="393" s="1"/>
  <c r="L22" i="393" s="1"/>
  <c r="I33" i="393"/>
  <c r="M33" i="393"/>
  <c r="P33" i="393"/>
  <c r="Q33" i="393" s="1"/>
  <c r="P34" i="393"/>
  <c r="Q34" i="393" s="1"/>
  <c r="S34" i="393" s="1"/>
  <c r="P35" i="393"/>
  <c r="Q35" i="393" s="1"/>
  <c r="S35" i="393" s="1"/>
  <c r="P36" i="393"/>
  <c r="Q36" i="393" s="1"/>
  <c r="S36" i="393" s="1"/>
  <c r="P37" i="393"/>
  <c r="Q37" i="393" s="1"/>
  <c r="S37" i="393" s="1"/>
  <c r="P38" i="393"/>
  <c r="Q38" i="393" s="1"/>
  <c r="S38" i="393" s="1"/>
  <c r="P39" i="393"/>
  <c r="Q39" i="393" s="1"/>
  <c r="S39" i="393" s="1"/>
  <c r="P40" i="393"/>
  <c r="Q40" i="393" s="1"/>
  <c r="S40" i="393" s="1"/>
  <c r="P41" i="393"/>
  <c r="Q41" i="393" s="1"/>
  <c r="S41" i="393" s="1"/>
  <c r="P42" i="393"/>
  <c r="Q42" i="393" s="1"/>
  <c r="S42" i="393" s="1"/>
  <c r="P43" i="393"/>
  <c r="Q43" i="393" s="1"/>
  <c r="S43" i="393" s="1"/>
  <c r="P44" i="393"/>
  <c r="Q44" i="393" s="1"/>
  <c r="S44" i="393" s="1"/>
  <c r="P45" i="393"/>
  <c r="Q45" i="393" s="1"/>
  <c r="S45" i="393" s="1"/>
  <c r="P46" i="393"/>
  <c r="Q46" i="393" s="1"/>
  <c r="S46" i="393" s="1"/>
  <c r="P47" i="393"/>
  <c r="Q47" i="393" s="1"/>
  <c r="S47" i="393" s="1"/>
  <c r="P48" i="393"/>
  <c r="Q48" i="393" s="1"/>
  <c r="S48" i="393" s="1"/>
  <c r="P49" i="393"/>
  <c r="Q49" i="393" s="1"/>
  <c r="S49" i="393" s="1"/>
  <c r="P50" i="393"/>
  <c r="Q50" i="393" s="1"/>
  <c r="S50" i="393" s="1"/>
  <c r="P51" i="393"/>
  <c r="Q51" i="393" s="1"/>
  <c r="S51" i="393" s="1"/>
  <c r="P52" i="393"/>
  <c r="Q52" i="393" s="1"/>
  <c r="S52" i="393" s="1"/>
  <c r="P53" i="393"/>
  <c r="Q53" i="393" s="1"/>
  <c r="S53" i="393" s="1"/>
  <c r="P54" i="393"/>
  <c r="Q54" i="393" s="1"/>
  <c r="S54" i="393" s="1"/>
  <c r="I55" i="393"/>
  <c r="M55" i="393"/>
  <c r="P55" i="393"/>
  <c r="Q55" i="393" s="1"/>
  <c r="S55" i="393" s="1"/>
  <c r="I56" i="393"/>
  <c r="M56" i="393"/>
  <c r="P56" i="393"/>
  <c r="Q56" i="393" s="1"/>
  <c r="B57" i="393"/>
  <c r="C57" i="393"/>
  <c r="D57" i="393"/>
  <c r="E57" i="393"/>
  <c r="F57" i="393"/>
  <c r="G57" i="393"/>
  <c r="H57" i="393"/>
  <c r="N57" i="393"/>
  <c r="K61" i="393"/>
  <c r="B68" i="393" s="1"/>
  <c r="D86" i="393"/>
  <c r="E86" i="393"/>
  <c r="G86" i="393"/>
  <c r="I86" i="393"/>
  <c r="D90" i="393"/>
  <c r="E90" i="393"/>
  <c r="G90" i="393"/>
  <c r="D94" i="393"/>
  <c r="J94" i="393" s="1"/>
  <c r="E94" i="393"/>
  <c r="F94" i="393" s="1"/>
  <c r="G94" i="393"/>
  <c r="D98" i="393"/>
  <c r="E98" i="393"/>
  <c r="G98" i="393"/>
  <c r="H98" i="393" s="1"/>
  <c r="D102" i="393"/>
  <c r="E102" i="393"/>
  <c r="G102" i="393"/>
  <c r="I102" i="393"/>
  <c r="D106" i="393"/>
  <c r="E106" i="393"/>
  <c r="G106" i="393"/>
  <c r="D110" i="393"/>
  <c r="E110" i="393"/>
  <c r="G110" i="393"/>
  <c r="D114" i="393"/>
  <c r="E114" i="393"/>
  <c r="G114" i="393"/>
  <c r="D118" i="393"/>
  <c r="E118" i="393"/>
  <c r="G118" i="393"/>
  <c r="I118" i="393"/>
  <c r="D122" i="393"/>
  <c r="E122" i="393"/>
  <c r="G122" i="393"/>
  <c r="H122" i="393" s="1"/>
  <c r="D126" i="393"/>
  <c r="E126" i="393"/>
  <c r="G126" i="393"/>
  <c r="D130" i="393"/>
  <c r="E130" i="393"/>
  <c r="G130" i="393"/>
  <c r="C134" i="393"/>
  <c r="C168" i="393" s="1"/>
  <c r="G134" i="393"/>
  <c r="I135" i="393"/>
  <c r="J135" i="393" s="1"/>
  <c r="D139" i="393"/>
  <c r="E139" i="393"/>
  <c r="I139" i="393"/>
  <c r="J139" i="393" s="1"/>
  <c r="G139" i="393" s="1"/>
  <c r="H139" i="393" s="1"/>
  <c r="D143" i="393"/>
  <c r="E143" i="393"/>
  <c r="I143" i="393"/>
  <c r="D147" i="393"/>
  <c r="E147" i="393"/>
  <c r="I147" i="393"/>
  <c r="D151" i="393"/>
  <c r="E151" i="393"/>
  <c r="F151" i="393" s="1"/>
  <c r="I151" i="393"/>
  <c r="D155" i="393"/>
  <c r="E155" i="393"/>
  <c r="I155" i="393"/>
  <c r="D159" i="393"/>
  <c r="E159" i="393"/>
  <c r="I159" i="393"/>
  <c r="D163" i="393"/>
  <c r="J163" i="393" s="1"/>
  <c r="G163" i="393" s="1"/>
  <c r="E163" i="393"/>
  <c r="I163" i="393"/>
  <c r="D167" i="393"/>
  <c r="E167" i="393"/>
  <c r="I167" i="393"/>
  <c r="B174" i="393"/>
  <c r="B178" i="393" s="1"/>
  <c r="C174" i="393"/>
  <c r="C178" i="393" s="1"/>
  <c r="D174" i="393"/>
  <c r="D176" i="393" s="1"/>
  <c r="E174" i="393"/>
  <c r="F174" i="393"/>
  <c r="G174" i="393"/>
  <c r="G176" i="393" s="1"/>
  <c r="H174" i="393"/>
  <c r="I174" i="393"/>
  <c r="C190" i="393"/>
  <c r="I190" i="393"/>
  <c r="B210" i="393"/>
  <c r="C210" i="393"/>
  <c r="C225" i="393" s="1"/>
  <c r="D210" i="393"/>
  <c r="E210" i="393"/>
  <c r="E225" i="393" s="1"/>
  <c r="F210" i="393"/>
  <c r="G210" i="393"/>
  <c r="G225" i="393" s="1"/>
  <c r="D107" i="393" s="1"/>
  <c r="H210" i="393"/>
  <c r="I210" i="393"/>
  <c r="I225" i="393" s="1"/>
  <c r="J210" i="393"/>
  <c r="K210" i="393"/>
  <c r="L210" i="393"/>
  <c r="L225" i="393" s="1"/>
  <c r="M210" i="393"/>
  <c r="M225" i="393" s="1"/>
  <c r="B215" i="393"/>
  <c r="C215" i="393"/>
  <c r="D215" i="393"/>
  <c r="E215" i="393"/>
  <c r="F215" i="393"/>
  <c r="G215" i="393"/>
  <c r="H215" i="393"/>
  <c r="I215" i="393"/>
  <c r="J215" i="393"/>
  <c r="K215" i="393"/>
  <c r="L215" i="393"/>
  <c r="M215" i="393"/>
  <c r="B216" i="393"/>
  <c r="C216" i="393"/>
  <c r="D216" i="393"/>
  <c r="E216" i="393"/>
  <c r="F216" i="393"/>
  <c r="D220" i="393" s="1"/>
  <c r="F197" i="393" s="1"/>
  <c r="G197" i="393" s="1"/>
  <c r="H197" i="393" s="1"/>
  <c r="K197" i="393" s="1"/>
  <c r="G216" i="393"/>
  <c r="H216" i="393"/>
  <c r="I216" i="393"/>
  <c r="J216" i="393"/>
  <c r="K216" i="393"/>
  <c r="L216" i="393"/>
  <c r="M216" i="393"/>
  <c r="B217" i="393"/>
  <c r="B221" i="393" s="1"/>
  <c r="F194" i="393" s="1"/>
  <c r="G194" i="393" s="1"/>
  <c r="H194" i="393" s="1"/>
  <c r="K194" i="393" s="1"/>
  <c r="C217" i="393"/>
  <c r="D217" i="393"/>
  <c r="E217" i="393"/>
  <c r="F217" i="393"/>
  <c r="D221" i="393" s="1"/>
  <c r="F198" i="393" s="1"/>
  <c r="G198" i="393" s="1"/>
  <c r="H198" i="393" s="1"/>
  <c r="K198" i="393" s="1"/>
  <c r="G217" i="393"/>
  <c r="H217" i="393"/>
  <c r="I217" i="393"/>
  <c r="J217" i="393"/>
  <c r="F221" i="393" s="1"/>
  <c r="F202" i="393" s="1"/>
  <c r="G202" i="393" s="1"/>
  <c r="H202" i="393" s="1"/>
  <c r="K202" i="393" s="1"/>
  <c r="K217" i="393"/>
  <c r="L217" i="393"/>
  <c r="M217" i="393"/>
  <c r="B226" i="393"/>
  <c r="D88" i="393" s="1"/>
  <c r="D10" i="399"/>
  <c r="H10" i="399" s="1"/>
  <c r="D11" i="399"/>
  <c r="D12" i="399"/>
  <c r="D15" i="399"/>
  <c r="D16" i="399"/>
  <c r="H16" i="399" s="1"/>
  <c r="D17" i="399"/>
  <c r="H17" i="399" s="1"/>
  <c r="M19" i="399"/>
  <c r="N19" i="399" s="1"/>
  <c r="L20" i="399"/>
  <c r="L21" i="399" s="1"/>
  <c r="K46" i="399"/>
  <c r="L46" i="399" s="1"/>
  <c r="K47" i="399"/>
  <c r="L47" i="399" s="1"/>
  <c r="M47" i="399" s="1"/>
  <c r="Q48" i="399"/>
  <c r="S48" i="399" s="1"/>
  <c r="F46" i="399" s="1"/>
  <c r="G46" i="399" s="1"/>
  <c r="Q49" i="399"/>
  <c r="S49" i="399" s="1"/>
  <c r="F47" i="399" s="1"/>
  <c r="G47" i="399" s="1"/>
  <c r="H47" i="399" s="1"/>
  <c r="O53" i="399"/>
  <c r="D70" i="399"/>
  <c r="D71" i="399"/>
  <c r="D72" i="399"/>
  <c r="D75" i="399"/>
  <c r="D76" i="399"/>
  <c r="D77" i="399"/>
  <c r="M79" i="399"/>
  <c r="N79" i="399" s="1"/>
  <c r="L80" i="399"/>
  <c r="M80" i="399" s="1"/>
  <c r="A91" i="399"/>
  <c r="B91" i="399"/>
  <c r="C91" i="399"/>
  <c r="D91" i="399"/>
  <c r="E91" i="399"/>
  <c r="F91" i="399"/>
  <c r="G91" i="399"/>
  <c r="H91" i="399"/>
  <c r="I91" i="399"/>
  <c r="J91" i="399"/>
  <c r="K91" i="399"/>
  <c r="L91" i="399"/>
  <c r="A92" i="399"/>
  <c r="B92" i="399"/>
  <c r="C92" i="399"/>
  <c r="D92" i="399"/>
  <c r="E92" i="399"/>
  <c r="F92" i="399"/>
  <c r="G92" i="399"/>
  <c r="H92" i="399"/>
  <c r="I92" i="399"/>
  <c r="J92" i="399"/>
  <c r="K92" i="399"/>
  <c r="L92" i="399"/>
  <c r="C10" i="401"/>
  <c r="I10" i="401"/>
  <c r="S33" i="401"/>
  <c r="S34" i="401"/>
  <c r="S35" i="401"/>
  <c r="B36" i="401"/>
  <c r="C36" i="401"/>
  <c r="D36" i="401"/>
  <c r="E36" i="401"/>
  <c r="F36" i="401"/>
  <c r="G36" i="401"/>
  <c r="H36" i="401"/>
  <c r="I36" i="401"/>
  <c r="S36" i="401"/>
  <c r="B40" i="401"/>
  <c r="C40" i="401"/>
  <c r="D40" i="401"/>
  <c r="E40" i="401"/>
  <c r="F40" i="401"/>
  <c r="C45" i="401" s="1"/>
  <c r="F16" i="401" s="1"/>
  <c r="G40" i="401"/>
  <c r="H40" i="401"/>
  <c r="I40" i="401"/>
  <c r="N40" i="401"/>
  <c r="O40" i="401"/>
  <c r="P40" i="401"/>
  <c r="Q40" i="401"/>
  <c r="B41" i="401"/>
  <c r="C41" i="401"/>
  <c r="D41" i="401"/>
  <c r="E41" i="401"/>
  <c r="F41" i="401"/>
  <c r="C46" i="401" s="1"/>
  <c r="F17" i="401" s="1"/>
  <c r="G17" i="401" s="1"/>
  <c r="H17" i="401" s="1"/>
  <c r="K17" i="401" s="1"/>
  <c r="G41" i="401"/>
  <c r="H41" i="401"/>
  <c r="I41" i="401"/>
  <c r="N41" i="401"/>
  <c r="D46" i="401" s="1"/>
  <c r="F21" i="401" s="1"/>
  <c r="G21" i="401" s="1"/>
  <c r="H21" i="401" s="1"/>
  <c r="K21" i="401" s="1"/>
  <c r="O41" i="401"/>
  <c r="P41" i="401"/>
  <c r="Q41" i="401"/>
  <c r="B42" i="401"/>
  <c r="C42" i="401"/>
  <c r="D42" i="401"/>
  <c r="E42" i="401"/>
  <c r="F42" i="401"/>
  <c r="C47" i="401" s="1"/>
  <c r="F18" i="401" s="1"/>
  <c r="G18" i="401" s="1"/>
  <c r="H18" i="401" s="1"/>
  <c r="K18" i="401" s="1"/>
  <c r="G42" i="401"/>
  <c r="H42" i="401"/>
  <c r="I42" i="401"/>
  <c r="N42" i="401"/>
  <c r="D47" i="401" s="1"/>
  <c r="F22" i="401" s="1"/>
  <c r="G22" i="401" s="1"/>
  <c r="H22" i="401" s="1"/>
  <c r="K22" i="401" s="1"/>
  <c r="O42" i="401"/>
  <c r="P42" i="401"/>
  <c r="Q42" i="401"/>
  <c r="C10" i="394"/>
  <c r="I10" i="394"/>
  <c r="F11" i="394"/>
  <c r="H11" i="394"/>
  <c r="G12" i="394"/>
  <c r="J12" i="394"/>
  <c r="K12" i="394" s="1"/>
  <c r="G13" i="394"/>
  <c r="J13" i="394"/>
  <c r="K13" i="394" s="1"/>
  <c r="G14" i="394"/>
  <c r="J14" i="394"/>
  <c r="K14" i="394" s="1"/>
  <c r="F15" i="394"/>
  <c r="H15" i="394"/>
  <c r="G16" i="394"/>
  <c r="J16" i="394"/>
  <c r="K16" i="394" s="1"/>
  <c r="G17" i="394"/>
  <c r="J17" i="394"/>
  <c r="K17" i="394" s="1"/>
  <c r="G18" i="394"/>
  <c r="J18" i="394"/>
  <c r="K18" i="394" s="1"/>
  <c r="F19" i="394"/>
  <c r="H19" i="394"/>
  <c r="G20" i="394"/>
  <c r="J20" i="394"/>
  <c r="K20" i="394" s="1"/>
  <c r="G21" i="394"/>
  <c r="J21" i="394"/>
  <c r="K21" i="394" s="1"/>
  <c r="G22" i="394"/>
  <c r="J22" i="394"/>
  <c r="K22" i="394" s="1"/>
  <c r="I33" i="394"/>
  <c r="M33" i="394"/>
  <c r="P33" i="394"/>
  <c r="P34" i="394"/>
  <c r="Q34" i="394" s="1"/>
  <c r="S34" i="394" s="1"/>
  <c r="P35" i="394"/>
  <c r="Q35" i="394" s="1"/>
  <c r="S35" i="394" s="1"/>
  <c r="P36" i="394"/>
  <c r="Q36" i="394" s="1"/>
  <c r="S36" i="394" s="1"/>
  <c r="P37" i="394"/>
  <c r="Q37" i="394" s="1"/>
  <c r="S37" i="394" s="1"/>
  <c r="P38" i="394"/>
  <c r="Q38" i="394" s="1"/>
  <c r="S38" i="394" s="1"/>
  <c r="P39" i="394"/>
  <c r="Q39" i="394" s="1"/>
  <c r="S39" i="394" s="1"/>
  <c r="P40" i="394"/>
  <c r="Q40" i="394" s="1"/>
  <c r="S40" i="394" s="1"/>
  <c r="P41" i="394"/>
  <c r="Q41" i="394" s="1"/>
  <c r="S41" i="394" s="1"/>
  <c r="P42" i="394"/>
  <c r="Q42" i="394" s="1"/>
  <c r="S42" i="394" s="1"/>
  <c r="P43" i="394"/>
  <c r="Q43" i="394" s="1"/>
  <c r="S43" i="394" s="1"/>
  <c r="P44" i="394"/>
  <c r="Q44" i="394" s="1"/>
  <c r="S44" i="394" s="1"/>
  <c r="P45" i="394"/>
  <c r="Q45" i="394" s="1"/>
  <c r="S45" i="394" s="1"/>
  <c r="P46" i="394"/>
  <c r="Q46" i="394" s="1"/>
  <c r="S46" i="394" s="1"/>
  <c r="P47" i="394"/>
  <c r="Q47" i="394" s="1"/>
  <c r="S47" i="394" s="1"/>
  <c r="P48" i="394"/>
  <c r="Q48" i="394" s="1"/>
  <c r="S48" i="394" s="1"/>
  <c r="P49" i="394"/>
  <c r="Q49" i="394" s="1"/>
  <c r="S49" i="394" s="1"/>
  <c r="P50" i="394"/>
  <c r="Q50" i="394" s="1"/>
  <c r="S50" i="394" s="1"/>
  <c r="P51" i="394"/>
  <c r="Q51" i="394" s="1"/>
  <c r="S51" i="394" s="1"/>
  <c r="P52" i="394"/>
  <c r="Q52" i="394" s="1"/>
  <c r="S52" i="394" s="1"/>
  <c r="P53" i="394"/>
  <c r="Q53" i="394" s="1"/>
  <c r="S53" i="394" s="1"/>
  <c r="P54" i="394"/>
  <c r="Q54" i="394" s="1"/>
  <c r="S54" i="394" s="1"/>
  <c r="I55" i="394"/>
  <c r="M55" i="394"/>
  <c r="P55" i="394"/>
  <c r="Q55" i="394" s="1"/>
  <c r="S55" i="394" s="1"/>
  <c r="I56" i="394"/>
  <c r="M56" i="394"/>
  <c r="P56" i="394"/>
  <c r="Q56" i="394" s="1"/>
  <c r="S56" i="394" s="1"/>
  <c r="B57" i="394"/>
  <c r="C57" i="394"/>
  <c r="D57" i="394"/>
  <c r="E57" i="394"/>
  <c r="F57" i="394"/>
  <c r="G57" i="394"/>
  <c r="H57" i="394"/>
  <c r="N57" i="394"/>
  <c r="K61" i="394"/>
  <c r="D86" i="394"/>
  <c r="G86" i="394"/>
  <c r="D90" i="394"/>
  <c r="J90" i="394" s="1"/>
  <c r="G90" i="394"/>
  <c r="D94" i="394"/>
  <c r="G94" i="394"/>
  <c r="D98" i="394"/>
  <c r="J98" i="394" s="1"/>
  <c r="G98" i="394"/>
  <c r="D102" i="394"/>
  <c r="G102" i="394"/>
  <c r="D106" i="394"/>
  <c r="G106" i="394"/>
  <c r="D110" i="394"/>
  <c r="G110" i="394"/>
  <c r="D114" i="394"/>
  <c r="G114" i="394"/>
  <c r="D118" i="394"/>
  <c r="F118" i="394" s="1"/>
  <c r="G118" i="394"/>
  <c r="D122" i="394"/>
  <c r="G122" i="394"/>
  <c r="H122" i="394" s="1"/>
  <c r="D126" i="394"/>
  <c r="G126" i="394"/>
  <c r="D130" i="394"/>
  <c r="G130" i="394"/>
  <c r="H130" i="394" s="1"/>
  <c r="G134" i="394"/>
  <c r="B140" i="394"/>
  <c r="B142" i="394" s="1"/>
  <c r="C140" i="394"/>
  <c r="D140" i="394"/>
  <c r="D142" i="394" s="1"/>
  <c r="E140" i="394"/>
  <c r="E143" i="394" s="1"/>
  <c r="F140" i="394"/>
  <c r="F144" i="394" s="1"/>
  <c r="G140" i="394"/>
  <c r="G143" i="394" s="1"/>
  <c r="H140" i="394"/>
  <c r="I140" i="394"/>
  <c r="I144" i="394" s="1"/>
  <c r="D117" i="394" s="1"/>
  <c r="J140" i="394"/>
  <c r="J144" i="394" s="1"/>
  <c r="K140" i="394"/>
  <c r="L140" i="394"/>
  <c r="M140" i="394"/>
  <c r="M143" i="394" s="1"/>
  <c r="C10" i="392"/>
  <c r="I10" i="392"/>
  <c r="F11" i="392"/>
  <c r="H11" i="392"/>
  <c r="G12" i="392"/>
  <c r="J12" i="392"/>
  <c r="K12" i="392" s="1"/>
  <c r="G13" i="392"/>
  <c r="G11" i="392" s="1"/>
  <c r="J13" i="392"/>
  <c r="K13" i="392" s="1"/>
  <c r="G14" i="392"/>
  <c r="J14" i="392"/>
  <c r="K14" i="392" s="1"/>
  <c r="F15" i="392"/>
  <c r="H15" i="392"/>
  <c r="G16" i="392"/>
  <c r="J16" i="392"/>
  <c r="K16" i="392" s="1"/>
  <c r="G17" i="392"/>
  <c r="G15" i="392" s="1"/>
  <c r="J17" i="392"/>
  <c r="K17" i="392" s="1"/>
  <c r="G18" i="392"/>
  <c r="J18" i="392"/>
  <c r="K18" i="392" s="1"/>
  <c r="F19" i="392"/>
  <c r="H19" i="392"/>
  <c r="G20" i="392"/>
  <c r="J20" i="392"/>
  <c r="K20" i="392" s="1"/>
  <c r="G21" i="392"/>
  <c r="J21" i="392"/>
  <c r="K21" i="392" s="1"/>
  <c r="G22" i="392"/>
  <c r="J22" i="392"/>
  <c r="K22" i="392" s="1"/>
  <c r="I33" i="392"/>
  <c r="M33" i="392"/>
  <c r="P33" i="392"/>
  <c r="Q33" i="392" s="1"/>
  <c r="S33" i="392" s="1"/>
  <c r="P34" i="392"/>
  <c r="Q34" i="392" s="1"/>
  <c r="S34" i="392" s="1"/>
  <c r="P35" i="392"/>
  <c r="Q35" i="392" s="1"/>
  <c r="S35" i="392" s="1"/>
  <c r="P36" i="392"/>
  <c r="Q36" i="392" s="1"/>
  <c r="S36" i="392" s="1"/>
  <c r="P37" i="392"/>
  <c r="Q37" i="392" s="1"/>
  <c r="S37" i="392" s="1"/>
  <c r="P38" i="392"/>
  <c r="Q38" i="392" s="1"/>
  <c r="S38" i="392" s="1"/>
  <c r="P39" i="392"/>
  <c r="Q39" i="392" s="1"/>
  <c r="S39" i="392" s="1"/>
  <c r="P40" i="392"/>
  <c r="Q40" i="392" s="1"/>
  <c r="S40" i="392" s="1"/>
  <c r="P41" i="392"/>
  <c r="Q41" i="392" s="1"/>
  <c r="S41" i="392" s="1"/>
  <c r="P42" i="392"/>
  <c r="Q42" i="392" s="1"/>
  <c r="S42" i="392" s="1"/>
  <c r="P43" i="392"/>
  <c r="Q43" i="392" s="1"/>
  <c r="S43" i="392" s="1"/>
  <c r="P44" i="392"/>
  <c r="Q44" i="392" s="1"/>
  <c r="S44" i="392" s="1"/>
  <c r="P45" i="392"/>
  <c r="Q45" i="392" s="1"/>
  <c r="S45" i="392" s="1"/>
  <c r="P46" i="392"/>
  <c r="Q46" i="392" s="1"/>
  <c r="S46" i="392" s="1"/>
  <c r="P47" i="392"/>
  <c r="Q47" i="392" s="1"/>
  <c r="S47" i="392" s="1"/>
  <c r="P48" i="392"/>
  <c r="Q48" i="392" s="1"/>
  <c r="S48" i="392" s="1"/>
  <c r="P49" i="392"/>
  <c r="Q49" i="392" s="1"/>
  <c r="S49" i="392" s="1"/>
  <c r="P50" i="392"/>
  <c r="Q50" i="392" s="1"/>
  <c r="S50" i="392" s="1"/>
  <c r="P51" i="392"/>
  <c r="Q51" i="392" s="1"/>
  <c r="S51" i="392" s="1"/>
  <c r="P52" i="392"/>
  <c r="Q52" i="392" s="1"/>
  <c r="S52" i="392" s="1"/>
  <c r="P53" i="392"/>
  <c r="Q53" i="392" s="1"/>
  <c r="S53" i="392" s="1"/>
  <c r="P54" i="392"/>
  <c r="Q54" i="392" s="1"/>
  <c r="S54" i="392" s="1"/>
  <c r="I55" i="392"/>
  <c r="M55" i="392"/>
  <c r="P55" i="392"/>
  <c r="Q55" i="392" s="1"/>
  <c r="S55" i="392" s="1"/>
  <c r="I56" i="392"/>
  <c r="M56" i="392"/>
  <c r="P56" i="392"/>
  <c r="B57" i="392"/>
  <c r="C57" i="392"/>
  <c r="D57" i="392"/>
  <c r="E57" i="392"/>
  <c r="F57" i="392"/>
  <c r="G57" i="392"/>
  <c r="H57" i="392"/>
  <c r="N57" i="392"/>
  <c r="K61" i="392"/>
  <c r="B69" i="392" s="1"/>
  <c r="D86" i="392"/>
  <c r="E86" i="392"/>
  <c r="I86" i="392"/>
  <c r="D90" i="392"/>
  <c r="E90" i="392"/>
  <c r="I90" i="392"/>
  <c r="D94" i="392"/>
  <c r="L86" i="392" s="1"/>
  <c r="E94" i="392"/>
  <c r="I94" i="392"/>
  <c r="D99" i="392"/>
  <c r="F99" i="392" s="1"/>
  <c r="E99" i="392"/>
  <c r="I99" i="392"/>
  <c r="D103" i="392"/>
  <c r="E103" i="392"/>
  <c r="I103" i="392"/>
  <c r="D107" i="392"/>
  <c r="E107" i="392"/>
  <c r="I107" i="392"/>
  <c r="D111" i="392"/>
  <c r="E111" i="392"/>
  <c r="I111" i="392"/>
  <c r="D115" i="392"/>
  <c r="F115" i="392" s="1"/>
  <c r="E115" i="392"/>
  <c r="I115" i="392"/>
  <c r="D119" i="392"/>
  <c r="E119" i="392"/>
  <c r="I119" i="392"/>
  <c r="D123" i="392"/>
  <c r="E123" i="392"/>
  <c r="I123" i="392"/>
  <c r="D127" i="392"/>
  <c r="E127" i="392"/>
  <c r="I127" i="392"/>
  <c r="D131" i="392"/>
  <c r="D133" i="392" s="1"/>
  <c r="J133" i="392" s="1"/>
  <c r="E131" i="392"/>
  <c r="I131" i="392"/>
  <c r="C135" i="392"/>
  <c r="B141" i="392"/>
  <c r="B145" i="392" s="1"/>
  <c r="D89" i="392" s="1"/>
  <c r="J89" i="392" s="1"/>
  <c r="C141" i="392"/>
  <c r="D141" i="392"/>
  <c r="E141" i="392"/>
  <c r="E144" i="392" s="1"/>
  <c r="F141" i="392"/>
  <c r="F143" i="392" s="1"/>
  <c r="G141" i="392"/>
  <c r="H141" i="392"/>
  <c r="H145" i="392" s="1"/>
  <c r="I141" i="392"/>
  <c r="I144" i="392" s="1"/>
  <c r="J141" i="392"/>
  <c r="K141" i="392"/>
  <c r="L141" i="392"/>
  <c r="L143" i="392" s="1"/>
  <c r="M141" i="392"/>
  <c r="M144" i="392" s="1"/>
  <c r="F145" i="392"/>
  <c r="C10" i="396"/>
  <c r="I10" i="396"/>
  <c r="I33" i="396"/>
  <c r="M33" i="396"/>
  <c r="P33" i="396"/>
  <c r="Q33" i="396" s="1"/>
  <c r="T33" i="396"/>
  <c r="U33" i="396"/>
  <c r="P34" i="396"/>
  <c r="Q34" i="396" s="1"/>
  <c r="S34" i="396" s="1"/>
  <c r="P35" i="396"/>
  <c r="Q35" i="396" s="1"/>
  <c r="S35" i="396" s="1"/>
  <c r="P36" i="396"/>
  <c r="Q36" i="396" s="1"/>
  <c r="S36" i="396" s="1"/>
  <c r="P37" i="396"/>
  <c r="Q37" i="396" s="1"/>
  <c r="S37" i="396" s="1"/>
  <c r="P38" i="396"/>
  <c r="Q38" i="396" s="1"/>
  <c r="S38" i="396" s="1"/>
  <c r="P39" i="396"/>
  <c r="Q39" i="396" s="1"/>
  <c r="S39" i="396" s="1"/>
  <c r="P40" i="396"/>
  <c r="Q40" i="396" s="1"/>
  <c r="S40" i="396" s="1"/>
  <c r="P41" i="396"/>
  <c r="Q41" i="396" s="1"/>
  <c r="S41" i="396" s="1"/>
  <c r="P42" i="396"/>
  <c r="Q42" i="396" s="1"/>
  <c r="S42" i="396" s="1"/>
  <c r="P43" i="396"/>
  <c r="Q43" i="396" s="1"/>
  <c r="S43" i="396" s="1"/>
  <c r="P44" i="396"/>
  <c r="Q44" i="396" s="1"/>
  <c r="S44" i="396" s="1"/>
  <c r="P45" i="396"/>
  <c r="Q45" i="396" s="1"/>
  <c r="S45" i="396" s="1"/>
  <c r="P46" i="396"/>
  <c r="Q46" i="396" s="1"/>
  <c r="S46" i="396" s="1"/>
  <c r="P47" i="396"/>
  <c r="Q47" i="396" s="1"/>
  <c r="S47" i="396" s="1"/>
  <c r="P48" i="396"/>
  <c r="Q48" i="396" s="1"/>
  <c r="S48" i="396" s="1"/>
  <c r="P49" i="396"/>
  <c r="Q49" i="396" s="1"/>
  <c r="S49" i="396" s="1"/>
  <c r="P50" i="396"/>
  <c r="Q50" i="396" s="1"/>
  <c r="S50" i="396" s="1"/>
  <c r="P51" i="396"/>
  <c r="Q51" i="396" s="1"/>
  <c r="S51" i="396" s="1"/>
  <c r="P52" i="396"/>
  <c r="Q52" i="396" s="1"/>
  <c r="S52" i="396" s="1"/>
  <c r="P53" i="396"/>
  <c r="Q53" i="396" s="1"/>
  <c r="S53" i="396" s="1"/>
  <c r="P54" i="396"/>
  <c r="Q54" i="396" s="1"/>
  <c r="S54" i="396" s="1"/>
  <c r="I55" i="396"/>
  <c r="M55" i="396"/>
  <c r="P55" i="396"/>
  <c r="Q55" i="396" s="1"/>
  <c r="S55" i="396" s="1"/>
  <c r="T55" i="396"/>
  <c r="U55" i="396"/>
  <c r="I56" i="396"/>
  <c r="M56" i="396"/>
  <c r="P56" i="396"/>
  <c r="T56" i="396"/>
  <c r="U56" i="396"/>
  <c r="B57" i="396"/>
  <c r="C57" i="396"/>
  <c r="D57" i="396"/>
  <c r="E57" i="396"/>
  <c r="F57" i="396"/>
  <c r="G57" i="396"/>
  <c r="H57" i="396"/>
  <c r="N57" i="396"/>
  <c r="K61" i="396"/>
  <c r="B69" i="396" s="1"/>
  <c r="R73" i="396"/>
  <c r="S73" i="396" s="1"/>
  <c r="B76" i="396"/>
  <c r="B81" i="396" s="1"/>
  <c r="C76" i="396"/>
  <c r="C81" i="396" s="1"/>
  <c r="D76" i="396"/>
  <c r="D81" i="396" s="1"/>
  <c r="E76" i="396"/>
  <c r="E81" i="396" s="1"/>
  <c r="F76" i="396"/>
  <c r="F81" i="396" s="1"/>
  <c r="G76" i="396"/>
  <c r="G81" i="396" s="1"/>
  <c r="H76" i="396"/>
  <c r="H81" i="396" s="1"/>
  <c r="I76" i="396"/>
  <c r="I81" i="396" s="1"/>
  <c r="B78" i="396"/>
  <c r="C78" i="396"/>
  <c r="D78" i="396"/>
  <c r="E78" i="396"/>
  <c r="F78" i="396"/>
  <c r="G78" i="396"/>
  <c r="H78" i="396"/>
  <c r="I78" i="396"/>
  <c r="N78" i="396"/>
  <c r="O78" i="396"/>
  <c r="P78" i="396"/>
  <c r="Q78" i="396"/>
  <c r="B79" i="396"/>
  <c r="C79" i="396"/>
  <c r="D79" i="396"/>
  <c r="E79" i="396"/>
  <c r="F79" i="396"/>
  <c r="G79" i="396"/>
  <c r="H79" i="396"/>
  <c r="I79" i="396"/>
  <c r="N79" i="396"/>
  <c r="O79" i="396"/>
  <c r="P79" i="396"/>
  <c r="Q79" i="396"/>
  <c r="R79" i="396" s="1"/>
  <c r="F21" i="396" s="1"/>
  <c r="G21" i="396" s="1"/>
  <c r="H21" i="396" s="1"/>
  <c r="K21" i="396" s="1"/>
  <c r="B80" i="396"/>
  <c r="C80" i="396"/>
  <c r="D80" i="396"/>
  <c r="E80" i="396"/>
  <c r="F80" i="396"/>
  <c r="G80" i="396"/>
  <c r="H80" i="396"/>
  <c r="I80" i="396"/>
  <c r="N80" i="396"/>
  <c r="O80" i="396"/>
  <c r="P80" i="396"/>
  <c r="Q80" i="396"/>
  <c r="J83" i="396"/>
  <c r="C10" i="284"/>
  <c r="I10" i="284"/>
  <c r="J12" i="284"/>
  <c r="J13" i="284"/>
  <c r="J14" i="284"/>
  <c r="J16" i="284"/>
  <c r="J17" i="284"/>
  <c r="J18" i="284"/>
  <c r="J20" i="284"/>
  <c r="J21" i="284"/>
  <c r="J22" i="284"/>
  <c r="I28" i="284"/>
  <c r="I29" i="284"/>
  <c r="I30" i="284"/>
  <c r="Z32" i="284"/>
  <c r="I33" i="284"/>
  <c r="P33" i="284"/>
  <c r="Q33" i="284" s="1"/>
  <c r="P34" i="284"/>
  <c r="Q34" i="284" s="1"/>
  <c r="S34" i="284" s="1"/>
  <c r="P35" i="284"/>
  <c r="Q35" i="284" s="1"/>
  <c r="S35" i="284" s="1"/>
  <c r="P36" i="284"/>
  <c r="Q36" i="284" s="1"/>
  <c r="S36" i="284" s="1"/>
  <c r="P37" i="284"/>
  <c r="Q37" i="284" s="1"/>
  <c r="S37" i="284" s="1"/>
  <c r="P38" i="284"/>
  <c r="Q38" i="284" s="1"/>
  <c r="S38" i="284" s="1"/>
  <c r="P39" i="284"/>
  <c r="Q39" i="284" s="1"/>
  <c r="S39" i="284" s="1"/>
  <c r="P40" i="284"/>
  <c r="Q40" i="284" s="1"/>
  <c r="S40" i="284" s="1"/>
  <c r="P41" i="284"/>
  <c r="Q41" i="284" s="1"/>
  <c r="S41" i="284" s="1"/>
  <c r="P42" i="284"/>
  <c r="Q42" i="284" s="1"/>
  <c r="S42" i="284" s="1"/>
  <c r="P43" i="284"/>
  <c r="Q43" i="284" s="1"/>
  <c r="S43" i="284" s="1"/>
  <c r="P44" i="284"/>
  <c r="Q44" i="284" s="1"/>
  <c r="S44" i="284" s="1"/>
  <c r="P45" i="284"/>
  <c r="Q45" i="284" s="1"/>
  <c r="S45" i="284" s="1"/>
  <c r="P46" i="284"/>
  <c r="Q46" i="284" s="1"/>
  <c r="S46" i="284" s="1"/>
  <c r="P47" i="284"/>
  <c r="Q47" i="284" s="1"/>
  <c r="S47" i="284" s="1"/>
  <c r="P48" i="284"/>
  <c r="Q48" i="284" s="1"/>
  <c r="S48" i="284" s="1"/>
  <c r="P49" i="284"/>
  <c r="Q49" i="284" s="1"/>
  <c r="S49" i="284" s="1"/>
  <c r="P50" i="284"/>
  <c r="Q50" i="284" s="1"/>
  <c r="S50" i="284" s="1"/>
  <c r="P51" i="284"/>
  <c r="Q51" i="284" s="1"/>
  <c r="S51" i="284" s="1"/>
  <c r="P52" i="284"/>
  <c r="Q52" i="284" s="1"/>
  <c r="S52" i="284" s="1"/>
  <c r="P53" i="284"/>
  <c r="Q53" i="284" s="1"/>
  <c r="S53" i="284" s="1"/>
  <c r="P54" i="284"/>
  <c r="Q54" i="284" s="1"/>
  <c r="S54" i="284" s="1"/>
  <c r="Z54" i="284"/>
  <c r="I55" i="284"/>
  <c r="P55" i="284"/>
  <c r="Q55" i="284" s="1"/>
  <c r="S55" i="284" s="1"/>
  <c r="Z55" i="284"/>
  <c r="I56" i="284"/>
  <c r="P56" i="284"/>
  <c r="Q56" i="284" s="1"/>
  <c r="S56" i="284" s="1"/>
  <c r="B57" i="284"/>
  <c r="C57" i="284"/>
  <c r="D57" i="284"/>
  <c r="E57" i="284"/>
  <c r="F57" i="284"/>
  <c r="G57" i="284"/>
  <c r="H57" i="284"/>
  <c r="J57" i="284"/>
  <c r="K57" i="284"/>
  <c r="L57" i="284"/>
  <c r="M57" i="284"/>
  <c r="N57" i="284"/>
  <c r="K61" i="284"/>
  <c r="G65" i="284"/>
  <c r="H65" i="284"/>
  <c r="J65" i="284"/>
  <c r="K65" i="284"/>
  <c r="L65" i="284"/>
  <c r="M65" i="284"/>
  <c r="V33" i="284" s="1"/>
  <c r="F20" i="284" s="1"/>
  <c r="G20" i="284" s="1"/>
  <c r="H20" i="284" s="1"/>
  <c r="K20" i="284" s="1"/>
  <c r="N65" i="284"/>
  <c r="G66" i="284"/>
  <c r="H66" i="284"/>
  <c r="J66" i="284"/>
  <c r="K66" i="284"/>
  <c r="L66" i="284"/>
  <c r="M66" i="284"/>
  <c r="N66" i="284"/>
  <c r="G67" i="284"/>
  <c r="H67" i="284"/>
  <c r="J67" i="284"/>
  <c r="K67" i="284"/>
  <c r="V56" i="284" s="1"/>
  <c r="F22" i="284" s="1"/>
  <c r="G22" i="284" s="1"/>
  <c r="H22" i="284" s="1"/>
  <c r="K22" i="284" s="1"/>
  <c r="L67" i="284"/>
  <c r="M67" i="284"/>
  <c r="N67" i="284"/>
  <c r="B76" i="284"/>
  <c r="C76" i="284"/>
  <c r="D76" i="284"/>
  <c r="E76" i="284"/>
  <c r="F76" i="284"/>
  <c r="G76" i="284"/>
  <c r="H76" i="284"/>
  <c r="I76" i="284"/>
  <c r="B78" i="284"/>
  <c r="C78" i="284"/>
  <c r="D78" i="284"/>
  <c r="E78" i="284"/>
  <c r="F78" i="284"/>
  <c r="G78" i="284"/>
  <c r="H78" i="284"/>
  <c r="I78" i="284"/>
  <c r="B79" i="284"/>
  <c r="C79" i="284"/>
  <c r="D79" i="284"/>
  <c r="E79" i="284"/>
  <c r="F79" i="284"/>
  <c r="G79" i="284"/>
  <c r="H79" i="284"/>
  <c r="I79" i="284"/>
  <c r="B80" i="284"/>
  <c r="C80" i="284"/>
  <c r="D80" i="284"/>
  <c r="E80" i="284"/>
  <c r="F80" i="284"/>
  <c r="G80" i="284"/>
  <c r="H80" i="284"/>
  <c r="I80" i="284"/>
  <c r="B81" i="284"/>
  <c r="C81" i="284"/>
  <c r="D81" i="284"/>
  <c r="E81" i="284"/>
  <c r="F81" i="284"/>
  <c r="G81" i="284"/>
  <c r="H81" i="284"/>
  <c r="I81" i="284"/>
  <c r="I9" i="400"/>
  <c r="K9" i="400"/>
  <c r="I10" i="400"/>
  <c r="K10" i="400"/>
  <c r="E15" i="400"/>
  <c r="Q15" i="400" s="1"/>
  <c r="F15" i="400"/>
  <c r="L22" i="400" s="1"/>
  <c r="G15" i="400"/>
  <c r="S15" i="400" s="1"/>
  <c r="H15" i="400"/>
  <c r="I15" i="400"/>
  <c r="J15" i="400"/>
  <c r="D22" i="400" s="1"/>
  <c r="K15" i="400"/>
  <c r="Q22" i="400" s="1"/>
  <c r="L15" i="400"/>
  <c r="F22" i="400" s="1"/>
  <c r="M15" i="400"/>
  <c r="N15" i="400"/>
  <c r="O15" i="400"/>
  <c r="P15" i="400"/>
  <c r="G22" i="400"/>
  <c r="H22" i="400"/>
  <c r="I22" i="400"/>
  <c r="J22" i="400"/>
  <c r="S22" i="400"/>
  <c r="F29" i="400"/>
  <c r="G37" i="400" s="1"/>
  <c r="F30" i="400"/>
  <c r="H42" i="400" s="1"/>
  <c r="B38" i="400"/>
  <c r="B48" i="400"/>
  <c r="B49" i="400"/>
  <c r="L50" i="400"/>
  <c r="B9" i="345"/>
  <c r="C9" i="345" s="1"/>
  <c r="D9" i="345" s="1"/>
  <c r="E9" i="345" s="1"/>
  <c r="F9" i="345" s="1"/>
  <c r="G9" i="345" s="1"/>
  <c r="H9" i="345" s="1"/>
  <c r="I9" i="345" s="1"/>
  <c r="J9" i="345" s="1"/>
  <c r="K9" i="345" s="1"/>
  <c r="L9" i="345" s="1"/>
  <c r="M9" i="345" s="1"/>
  <c r="N9" i="345" s="1"/>
  <c r="O9" i="345" s="1"/>
  <c r="P9" i="345" s="1"/>
  <c r="Q9" i="345" s="1"/>
  <c r="B11" i="345"/>
  <c r="H11" i="345"/>
  <c r="K11" i="345" s="1"/>
  <c r="K10" i="345" s="1"/>
  <c r="I11" i="345"/>
  <c r="L11" i="345" s="1"/>
  <c r="M11" i="345"/>
  <c r="N11" i="345"/>
  <c r="C9" i="293"/>
  <c r="G10" i="293"/>
  <c r="F10" i="293" s="1"/>
  <c r="G11" i="293"/>
  <c r="R23" i="293"/>
  <c r="F25" i="293"/>
  <c r="G25" i="293" s="1"/>
  <c r="B9" i="403"/>
  <c r="C9" i="403" s="1"/>
  <c r="D9" i="403" s="1"/>
  <c r="E9" i="403" s="1"/>
  <c r="F9" i="403" s="1"/>
  <c r="G9" i="403" s="1"/>
  <c r="H9" i="403" s="1"/>
  <c r="I9" i="403" s="1"/>
  <c r="J9" i="403" s="1"/>
  <c r="K9" i="403" s="1"/>
  <c r="L9" i="403" s="1"/>
  <c r="M9" i="403" s="1"/>
  <c r="N9" i="403" s="1"/>
  <c r="O9" i="403" s="1"/>
  <c r="P9" i="403" s="1"/>
  <c r="Q9" i="403" s="1"/>
  <c r="B11" i="403"/>
  <c r="D11" i="403" s="1"/>
  <c r="K11" i="403"/>
  <c r="O11" i="403" s="1"/>
  <c r="P11" i="403" s="1"/>
  <c r="Q11" i="403" s="1"/>
  <c r="Q10" i="403" s="1"/>
  <c r="M11" i="403"/>
  <c r="N11" i="403"/>
  <c r="D12" i="403"/>
  <c r="H12" i="403"/>
  <c r="K12" i="403" s="1"/>
  <c r="O12" i="403" s="1"/>
  <c r="I12" i="403"/>
  <c r="L12" i="403" s="1"/>
  <c r="M12" i="403"/>
  <c r="N12" i="403"/>
  <c r="D13" i="403"/>
  <c r="H13" i="403"/>
  <c r="K13" i="403" s="1"/>
  <c r="I13" i="403"/>
  <c r="L13" i="403" s="1"/>
  <c r="M13" i="403"/>
  <c r="N13" i="403"/>
  <c r="O13" i="403" s="1"/>
  <c r="D14" i="403"/>
  <c r="H14" i="403"/>
  <c r="K14" i="403" s="1"/>
  <c r="I14" i="403"/>
  <c r="L14" i="403" s="1"/>
  <c r="M14" i="403"/>
  <c r="N14" i="403"/>
  <c r="D15" i="403"/>
  <c r="H15" i="403"/>
  <c r="K15" i="403" s="1"/>
  <c r="I15" i="403"/>
  <c r="L15" i="403" s="1"/>
  <c r="O15" i="403" s="1"/>
  <c r="M15" i="403"/>
  <c r="N15" i="403"/>
  <c r="D16" i="403"/>
  <c r="H16" i="403"/>
  <c r="K16" i="403" s="1"/>
  <c r="O16" i="403" s="1"/>
  <c r="I16" i="403"/>
  <c r="L16" i="403" s="1"/>
  <c r="M16" i="403"/>
  <c r="N16" i="403"/>
  <c r="D17" i="403"/>
  <c r="H17" i="403"/>
  <c r="K17" i="403" s="1"/>
  <c r="I17" i="403"/>
  <c r="L17" i="403" s="1"/>
  <c r="M17" i="403"/>
  <c r="N17" i="403"/>
  <c r="O17" i="403" s="1"/>
  <c r="D18" i="403"/>
  <c r="M18" i="403"/>
  <c r="N18" i="403"/>
  <c r="D19" i="403"/>
  <c r="K19" i="403"/>
  <c r="M19" i="403"/>
  <c r="N19" i="403"/>
  <c r="D20" i="403"/>
  <c r="M20" i="403"/>
  <c r="N20" i="403"/>
  <c r="F9" i="405"/>
  <c r="G9" i="405"/>
  <c r="H9" i="405"/>
  <c r="I9" i="405"/>
  <c r="J9" i="405"/>
  <c r="K9" i="405"/>
  <c r="L9" i="405"/>
  <c r="N9" i="405"/>
  <c r="O9" i="405"/>
  <c r="P11" i="405"/>
  <c r="P12" i="405"/>
  <c r="R12" i="405" s="1"/>
  <c r="P13" i="405"/>
  <c r="P14" i="405"/>
  <c r="P15" i="405"/>
  <c r="P16" i="405"/>
  <c r="R16" i="405" s="1"/>
  <c r="S16" i="405" s="1"/>
  <c r="T16" i="405" s="1"/>
  <c r="P17" i="405"/>
  <c r="P18" i="405"/>
  <c r="R18" i="405" s="1"/>
  <c r="S18" i="405" s="1"/>
  <c r="P19" i="405"/>
  <c r="P20" i="405"/>
  <c r="P21" i="405"/>
  <c r="R21" i="405" s="1"/>
  <c r="P22" i="405"/>
  <c r="R22" i="405" s="1"/>
  <c r="S22" i="405" s="1"/>
  <c r="T22" i="405" s="1"/>
  <c r="P23" i="405"/>
  <c r="P24" i="405"/>
  <c r="P25" i="405"/>
  <c r="P26" i="405"/>
  <c r="R26" i="405" s="1"/>
  <c r="S26" i="405" s="1"/>
  <c r="T26" i="405" s="1"/>
  <c r="P28" i="405"/>
  <c r="P29" i="405"/>
  <c r="P30" i="405"/>
  <c r="R30" i="405" s="1"/>
  <c r="P31" i="405"/>
  <c r="P32" i="405"/>
  <c r="P33" i="405"/>
  <c r="P34" i="405"/>
  <c r="R34" i="405" s="1"/>
  <c r="P35" i="405"/>
  <c r="P49" i="405"/>
  <c r="P53" i="405"/>
  <c r="P63" i="405"/>
  <c r="R63" i="405" s="1"/>
  <c r="P65" i="405"/>
  <c r="P66" i="405"/>
  <c r="P72" i="405"/>
  <c r="P73" i="405"/>
  <c r="P74" i="405"/>
  <c r="R74" i="405" s="1"/>
  <c r="S74" i="405" s="1"/>
  <c r="T74" i="405" s="1"/>
  <c r="P75" i="405"/>
  <c r="P78" i="405"/>
  <c r="P83" i="405"/>
  <c r="P86" i="405"/>
  <c r="R86" i="405" s="1"/>
  <c r="P87" i="405"/>
  <c r="P88" i="405"/>
  <c r="P93" i="405"/>
  <c r="P101" i="405"/>
  <c r="R101" i="405" s="1"/>
  <c r="P105" i="405"/>
  <c r="R105" i="405" s="1"/>
  <c r="P106" i="405"/>
  <c r="P108" i="405"/>
  <c r="P113" i="405"/>
  <c r="P114" i="405"/>
  <c r="R114" i="405" s="1"/>
  <c r="S114" i="405" s="1"/>
  <c r="T114" i="405" s="1"/>
  <c r="P115" i="405"/>
  <c r="P116" i="405"/>
  <c r="P117" i="405"/>
  <c r="P121" i="405"/>
  <c r="R121" i="405" s="1"/>
  <c r="S121" i="405" s="1"/>
  <c r="T121" i="405" s="1"/>
  <c r="P122" i="405"/>
  <c r="P127" i="405"/>
  <c r="P132" i="405"/>
  <c r="P133" i="405"/>
  <c r="R133" i="405" s="1"/>
  <c r="P135" i="405"/>
  <c r="P137" i="405"/>
  <c r="P138" i="405"/>
  <c r="P139" i="405"/>
  <c r="R139" i="405" s="1"/>
  <c r="S139" i="405" s="1"/>
  <c r="T139" i="405" s="1"/>
  <c r="P140" i="405"/>
  <c r="P141" i="405"/>
  <c r="P143" i="405"/>
  <c r="P144" i="405"/>
  <c r="R144" i="405" s="1"/>
  <c r="S144" i="405" s="1"/>
  <c r="T144" i="405" s="1"/>
  <c r="P145" i="405"/>
  <c r="P159" i="405"/>
  <c r="P164" i="405"/>
  <c r="P168" i="405"/>
  <c r="R168" i="405" s="1"/>
  <c r="S168" i="405" s="1"/>
  <c r="T168" i="405" s="1"/>
  <c r="P169" i="405"/>
  <c r="P175" i="405"/>
  <c r="P177" i="405"/>
  <c r="P180" i="405"/>
  <c r="R180" i="405" s="1"/>
  <c r="S180" i="405" s="1"/>
  <c r="P183" i="405"/>
  <c r="P186" i="405"/>
  <c r="P187" i="405"/>
  <c r="R187" i="405" s="1"/>
  <c r="S187" i="405" s="1"/>
  <c r="T187" i="405" s="1"/>
  <c r="P196" i="405"/>
  <c r="P197" i="405"/>
  <c r="P199" i="405"/>
  <c r="R199" i="405" s="1"/>
  <c r="S199" i="405" s="1"/>
  <c r="T199" i="405" s="1"/>
  <c r="P200" i="405"/>
  <c r="P202" i="405"/>
  <c r="P204" i="405"/>
  <c r="P206" i="405"/>
  <c r="R206" i="405" s="1"/>
  <c r="S206" i="405" s="1"/>
  <c r="T206" i="405" s="1"/>
  <c r="P207" i="405"/>
  <c r="P208" i="405"/>
  <c r="P213" i="405"/>
  <c r="P214" i="405"/>
  <c r="R214" i="405" s="1"/>
  <c r="S214" i="405" s="1"/>
  <c r="T214" i="405" s="1"/>
  <c r="P217" i="405"/>
  <c r="P221" i="405"/>
  <c r="P222" i="405"/>
  <c r="P223" i="405"/>
  <c r="R223" i="405" s="1"/>
  <c r="S223" i="405" s="1"/>
  <c r="T223" i="405" s="1"/>
  <c r="P225" i="405"/>
  <c r="P226" i="405"/>
  <c r="P230" i="405"/>
  <c r="P233" i="405"/>
  <c r="P242" i="405"/>
  <c r="R242" i="405" s="1"/>
  <c r="P244" i="405"/>
  <c r="R244" i="405" s="1"/>
  <c r="P251" i="405"/>
  <c r="P252" i="405"/>
  <c r="P258" i="405"/>
  <c r="R258" i="405" s="1"/>
  <c r="P259" i="405"/>
  <c r="R259" i="405" s="1"/>
  <c r="S259" i="405" s="1"/>
  <c r="T259" i="405" s="1"/>
  <c r="P260" i="405"/>
  <c r="P263" i="405"/>
  <c r="P264" i="405"/>
  <c r="R264" i="405" s="1"/>
  <c r="P266" i="405"/>
  <c r="R266" i="405" s="1"/>
  <c r="S266" i="405" s="1"/>
  <c r="P269" i="405"/>
  <c r="P270" i="405"/>
  <c r="P271" i="405"/>
  <c r="P272" i="405"/>
  <c r="R272" i="405" s="1"/>
  <c r="S272" i="405" s="1"/>
  <c r="T272" i="405" s="1"/>
  <c r="P273" i="405"/>
  <c r="P281" i="405"/>
  <c r="P282" i="405"/>
  <c r="P284" i="405"/>
  <c r="R284" i="405" s="1"/>
  <c r="S284" i="405" s="1"/>
  <c r="T284" i="405" s="1"/>
  <c r="P285" i="405"/>
  <c r="P286" i="405"/>
  <c r="P288" i="405"/>
  <c r="R288" i="405" s="1"/>
  <c r="P289" i="405"/>
  <c r="P292" i="405"/>
  <c r="R292" i="405" s="1"/>
  <c r="P293" i="405"/>
  <c r="R293" i="405" s="1"/>
  <c r="S293" i="405" s="1"/>
  <c r="T293" i="405" s="1"/>
  <c r="P294" i="405"/>
  <c r="R294" i="405" s="1"/>
  <c r="P295" i="405"/>
  <c r="R295" i="405" s="1"/>
  <c r="P296" i="405"/>
  <c r="P301" i="405"/>
  <c r="R301" i="405" s="1"/>
  <c r="S301" i="405" s="1"/>
  <c r="T301" i="405" s="1"/>
  <c r="P304" i="405"/>
  <c r="P305" i="405"/>
  <c r="R305" i="405" s="1"/>
  <c r="S305" i="405" s="1"/>
  <c r="T305" i="405" s="1"/>
  <c r="P306" i="405"/>
  <c r="P311" i="405"/>
  <c r="P312" i="405"/>
  <c r="P313" i="405"/>
  <c r="R313" i="405" s="1"/>
  <c r="S313" i="405" s="1"/>
  <c r="T313" i="405" s="1"/>
  <c r="P317" i="405"/>
  <c r="P318" i="405"/>
  <c r="P322" i="405"/>
  <c r="R322" i="405" s="1"/>
  <c r="S322" i="405" s="1"/>
  <c r="P323" i="405"/>
  <c r="R323" i="405" s="1"/>
  <c r="P324" i="405"/>
  <c r="P325" i="405"/>
  <c r="R325" i="405" s="1"/>
  <c r="S325" i="405" s="1"/>
  <c r="T325" i="405" s="1"/>
  <c r="P326" i="405"/>
  <c r="P327" i="405"/>
  <c r="P328" i="405"/>
  <c r="R329" i="405"/>
  <c r="S329" i="405" s="1"/>
  <c r="R330" i="405"/>
  <c r="P331" i="405"/>
  <c r="R332" i="405"/>
  <c r="S332" i="405" s="1"/>
  <c r="P333" i="405"/>
  <c r="R333" i="405" s="1"/>
  <c r="S333" i="405" s="1"/>
  <c r="T333" i="405" s="1"/>
  <c r="P334" i="405"/>
  <c r="P335" i="405"/>
  <c r="P336" i="405"/>
  <c r="P337" i="405"/>
  <c r="R337" i="405" s="1"/>
  <c r="S337" i="405" s="1"/>
  <c r="T337" i="405" s="1"/>
  <c r="P338" i="405"/>
  <c r="P339" i="405"/>
  <c r="F9" i="346"/>
  <c r="G9" i="346"/>
  <c r="H9" i="346"/>
  <c r="I9" i="346"/>
  <c r="J9" i="346"/>
  <c r="K9" i="346"/>
  <c r="N9" i="346"/>
  <c r="O9" i="346"/>
  <c r="E11" i="346"/>
  <c r="P11" i="346"/>
  <c r="R11" i="346" s="1"/>
  <c r="P13" i="346"/>
  <c r="P14" i="346"/>
  <c r="R14" i="346" s="1"/>
  <c r="S14" i="346" s="1"/>
  <c r="T14" i="346" s="1"/>
  <c r="P15" i="346"/>
  <c r="E16" i="346"/>
  <c r="P16" i="346"/>
  <c r="E17" i="346"/>
  <c r="P17" i="346"/>
  <c r="R17" i="346" s="1"/>
  <c r="E18" i="346"/>
  <c r="P19" i="346"/>
  <c r="R19" i="346" s="1"/>
  <c r="E23" i="346"/>
  <c r="P23" i="346"/>
  <c r="R23" i="346" s="1"/>
  <c r="P24" i="346"/>
  <c r="E25" i="346"/>
  <c r="P25" i="346"/>
  <c r="P27" i="346"/>
  <c r="E28" i="346"/>
  <c r="E30" i="346"/>
  <c r="P30" i="346"/>
  <c r="R30" i="346" s="1"/>
  <c r="S30" i="346" s="1"/>
  <c r="T30" i="346" s="1"/>
  <c r="E31" i="346"/>
  <c r="P31" i="346"/>
  <c r="E32" i="346"/>
  <c r="P32" i="346"/>
  <c r="R32" i="346" s="1"/>
  <c r="S32" i="346" s="1"/>
  <c r="T32" i="346" s="1"/>
  <c r="P33" i="346"/>
  <c r="E34" i="346"/>
  <c r="P34" i="346"/>
  <c r="P35" i="346"/>
  <c r="E38" i="346"/>
  <c r="P38" i="346"/>
  <c r="R38" i="346" s="1"/>
  <c r="E39" i="346"/>
  <c r="P39" i="346"/>
  <c r="R39" i="346" s="1"/>
  <c r="S39" i="346" s="1"/>
  <c r="T39" i="346" s="1"/>
  <c r="E40" i="346"/>
  <c r="P40" i="346"/>
  <c r="P42" i="346"/>
  <c r="P44" i="346"/>
  <c r="R44" i="346" s="1"/>
  <c r="P45" i="346"/>
  <c r="P46" i="346"/>
  <c r="P47" i="346"/>
  <c r="R47" i="346" s="1"/>
  <c r="P48" i="346"/>
  <c r="R48" i="346" s="1"/>
  <c r="S48" i="346" s="1"/>
  <c r="T48" i="346" s="1"/>
  <c r="P49" i="346"/>
  <c r="P50" i="346"/>
  <c r="P51" i="346"/>
  <c r="R51" i="346" s="1"/>
  <c r="P52" i="346"/>
  <c r="R52" i="346" s="1"/>
  <c r="P53" i="346"/>
  <c r="P54" i="346"/>
  <c r="P55" i="346"/>
  <c r="R55" i="346" s="1"/>
  <c r="P56" i="346"/>
  <c r="R56" i="346" s="1"/>
  <c r="P57" i="346"/>
  <c r="P58" i="346"/>
  <c r="P59" i="346"/>
  <c r="R59" i="346" s="1"/>
  <c r="P60" i="346"/>
  <c r="P61" i="346"/>
  <c r="R61" i="346" s="1"/>
  <c r="S61" i="346" s="1"/>
  <c r="T61" i="346" s="1"/>
  <c r="P62" i="346"/>
  <c r="R62" i="346" s="1"/>
  <c r="P63" i="346"/>
  <c r="R63" i="346" s="1"/>
  <c r="P64" i="346"/>
  <c r="P65" i="346"/>
  <c r="P66" i="346"/>
  <c r="P67" i="346"/>
  <c r="P68" i="346"/>
  <c r="R68" i="346" s="1"/>
  <c r="S68" i="346" s="1"/>
  <c r="T68" i="346" s="1"/>
  <c r="P69" i="346"/>
  <c r="P70" i="346"/>
  <c r="R70" i="346" s="1"/>
  <c r="S70" i="346" s="1"/>
  <c r="T70" i="346" s="1"/>
  <c r="P71" i="346"/>
  <c r="R71" i="346" s="1"/>
  <c r="P73" i="346"/>
  <c r="R73" i="346" s="1"/>
  <c r="P74" i="346"/>
  <c r="P75" i="346"/>
  <c r="P76" i="346"/>
  <c r="R76" i="346" s="1"/>
  <c r="S76" i="346" s="1"/>
  <c r="T76" i="346" s="1"/>
  <c r="P78" i="346"/>
  <c r="R78" i="346" s="1"/>
  <c r="S78" i="346" s="1"/>
  <c r="T78" i="346" s="1"/>
  <c r="P84" i="346"/>
  <c r="R84" i="346" s="1"/>
  <c r="S84" i="346" s="1"/>
  <c r="P86" i="346"/>
  <c r="P87" i="346"/>
  <c r="R87" i="346" s="1"/>
  <c r="P88" i="346"/>
  <c r="R88" i="346" s="1"/>
  <c r="P89" i="346"/>
  <c r="R89" i="346" s="1"/>
  <c r="S89" i="346" s="1"/>
  <c r="T89" i="346" s="1"/>
  <c r="P93" i="346"/>
  <c r="P94" i="346"/>
  <c r="P95" i="346"/>
  <c r="R95" i="346" s="1"/>
  <c r="P96" i="346"/>
  <c r="R96" i="346" s="1"/>
  <c r="S96" i="346" s="1"/>
  <c r="T96" i="346" s="1"/>
  <c r="P97" i="346"/>
  <c r="P98" i="346"/>
  <c r="P99" i="346"/>
  <c r="R99" i="346" s="1"/>
  <c r="S99" i="346" s="1"/>
  <c r="P101" i="346"/>
  <c r="R101" i="346" s="1"/>
  <c r="P102" i="346"/>
  <c r="P104" i="346"/>
  <c r="P105" i="346"/>
  <c r="R105" i="346" s="1"/>
  <c r="S105" i="346" s="1"/>
  <c r="T105" i="346" s="1"/>
  <c r="P106" i="346"/>
  <c r="R106" i="346" s="1"/>
  <c r="S106" i="346" s="1"/>
  <c r="T106" i="346" s="1"/>
  <c r="P107" i="346"/>
  <c r="P108" i="346"/>
  <c r="P109" i="346"/>
  <c r="R109" i="346" s="1"/>
  <c r="S109" i="346" s="1"/>
  <c r="T109" i="346" s="1"/>
  <c r="P110" i="346"/>
  <c r="R110" i="346" s="1"/>
  <c r="P111" i="346"/>
  <c r="P113" i="346"/>
  <c r="R114" i="346"/>
  <c r="S114" i="346" s="1"/>
  <c r="T114" i="346" s="1"/>
  <c r="P116" i="346"/>
  <c r="P117" i="346"/>
  <c r="R117" i="346" s="1"/>
  <c r="P118" i="346"/>
  <c r="R118" i="346" s="1"/>
  <c r="P119" i="346"/>
  <c r="R119" i="346" s="1"/>
  <c r="S119" i="346" s="1"/>
  <c r="T119" i="346" s="1"/>
  <c r="P120" i="346"/>
  <c r="P122" i="346"/>
  <c r="R122" i="346" s="1"/>
  <c r="S122" i="346" s="1"/>
  <c r="T122" i="346" s="1"/>
  <c r="P123" i="346"/>
  <c r="R123" i="346" s="1"/>
  <c r="P124" i="346"/>
  <c r="R124" i="346" s="1"/>
  <c r="S124" i="346" s="1"/>
  <c r="P125" i="346"/>
  <c r="R125" i="346" s="1"/>
  <c r="P126" i="346"/>
  <c r="P127" i="346"/>
  <c r="P128" i="346"/>
  <c r="R128" i="346" s="1"/>
  <c r="S128" i="346" s="1"/>
  <c r="T128" i="346" s="1"/>
  <c r="P129" i="346"/>
  <c r="R129" i="346" s="1"/>
  <c r="P130" i="346"/>
  <c r="R130" i="346" s="1"/>
  <c r="P131" i="346"/>
  <c r="P132" i="346"/>
  <c r="P133" i="346"/>
  <c r="R133" i="346" s="1"/>
  <c r="S133" i="346" s="1"/>
  <c r="T133" i="346" s="1"/>
  <c r="P134" i="346"/>
  <c r="R134" i="346" s="1"/>
  <c r="S134" i="346" s="1"/>
  <c r="T134" i="346" s="1"/>
  <c r="P135" i="346"/>
  <c r="P136" i="346"/>
  <c r="P137" i="346"/>
  <c r="R137" i="346" s="1"/>
  <c r="P138" i="346"/>
  <c r="R138" i="346" s="1"/>
  <c r="S138" i="346" s="1"/>
  <c r="T138" i="346" s="1"/>
  <c r="P139" i="346"/>
  <c r="P140" i="346"/>
  <c r="P141" i="346"/>
  <c r="R141" i="346" s="1"/>
  <c r="S141" i="346" s="1"/>
  <c r="T141" i="346" s="1"/>
  <c r="P142" i="346"/>
  <c r="R142" i="346" s="1"/>
  <c r="S142" i="346" s="1"/>
  <c r="T142" i="346" s="1"/>
  <c r="P143" i="346"/>
  <c r="P144" i="346"/>
  <c r="P145" i="346"/>
  <c r="R145" i="346" s="1"/>
  <c r="S145" i="346" s="1"/>
  <c r="P146" i="346"/>
  <c r="R146" i="346" s="1"/>
  <c r="P147" i="346"/>
  <c r="R147" i="346" s="1"/>
  <c r="S147" i="346" s="1"/>
  <c r="T147" i="346" s="1"/>
  <c r="P148" i="346"/>
  <c r="R148" i="346" s="1"/>
  <c r="S148" i="346" s="1"/>
  <c r="T148" i="346" s="1"/>
  <c r="P150" i="346"/>
  <c r="P151" i="346"/>
  <c r="P152" i="346"/>
  <c r="R152" i="346" s="1"/>
  <c r="S152" i="346" s="1"/>
  <c r="T152" i="346" s="1"/>
  <c r="P153" i="346"/>
  <c r="R153" i="346" s="1"/>
  <c r="S153" i="346" s="1"/>
  <c r="T153" i="346" s="1"/>
  <c r="P154" i="346"/>
  <c r="P155" i="346"/>
  <c r="P156" i="346"/>
  <c r="R156" i="346" s="1"/>
  <c r="S156" i="346" s="1"/>
  <c r="P157" i="346"/>
  <c r="R157" i="346" s="1"/>
  <c r="P158" i="346"/>
  <c r="R158" i="346" s="1"/>
  <c r="S158" i="346" s="1"/>
  <c r="T158" i="346" s="1"/>
  <c r="P159" i="346"/>
  <c r="P160" i="346"/>
  <c r="P161" i="346"/>
  <c r="R161" i="346" s="1"/>
  <c r="S161" i="346" s="1"/>
  <c r="T161" i="346" s="1"/>
  <c r="P162" i="346"/>
  <c r="R162" i="346" s="1"/>
  <c r="P163" i="346"/>
  <c r="P164" i="346"/>
  <c r="P165" i="346"/>
  <c r="R165" i="346" s="1"/>
  <c r="S165" i="346" s="1"/>
  <c r="T165" i="346" s="1"/>
  <c r="P166" i="346"/>
  <c r="P167" i="346"/>
  <c r="R167" i="346" s="1"/>
  <c r="P168" i="346"/>
  <c r="P169" i="346"/>
  <c r="P171" i="346"/>
  <c r="R171" i="346" s="1"/>
  <c r="S171" i="346" s="1"/>
  <c r="T171" i="346" s="1"/>
  <c r="P172" i="346"/>
  <c r="R172" i="346" s="1"/>
  <c r="S172" i="346" s="1"/>
  <c r="T172" i="346" s="1"/>
  <c r="P173" i="346"/>
  <c r="P174" i="346"/>
  <c r="P175" i="346"/>
  <c r="R175" i="346" s="1"/>
  <c r="S175" i="346" s="1"/>
  <c r="P176" i="346"/>
  <c r="R176" i="346" s="1"/>
  <c r="P177" i="346"/>
  <c r="P178" i="346"/>
  <c r="P179" i="346"/>
  <c r="R179" i="346" s="1"/>
  <c r="S179" i="346" s="1"/>
  <c r="P180" i="346"/>
  <c r="R180" i="346" s="1"/>
  <c r="P181" i="346"/>
  <c r="P182" i="346"/>
  <c r="P183" i="346"/>
  <c r="R183" i="346" s="1"/>
  <c r="P184" i="346"/>
  <c r="R184" i="346" s="1"/>
  <c r="S184" i="346" s="1"/>
  <c r="T184" i="346" s="1"/>
  <c r="P185" i="346"/>
  <c r="P186" i="346"/>
  <c r="P187" i="346"/>
  <c r="R187" i="346" s="1"/>
  <c r="S187" i="346" s="1"/>
  <c r="T187" i="346" s="1"/>
  <c r="P188" i="346"/>
  <c r="R188" i="346" s="1"/>
  <c r="P189" i="346"/>
  <c r="P190" i="346"/>
  <c r="P191" i="346"/>
  <c r="R191" i="346" s="1"/>
  <c r="P192" i="346"/>
  <c r="R192" i="346" s="1"/>
  <c r="P193" i="346"/>
  <c r="P194" i="346"/>
  <c r="P195" i="346"/>
  <c r="R195" i="346" s="1"/>
  <c r="S195" i="346" s="1"/>
  <c r="P196" i="346"/>
  <c r="R196" i="346" s="1"/>
  <c r="S196" i="346" s="1"/>
  <c r="T196" i="346" s="1"/>
  <c r="P197" i="346"/>
  <c r="P198" i="346"/>
  <c r="P199" i="346"/>
  <c r="R199" i="346" s="1"/>
  <c r="S199" i="346" s="1"/>
  <c r="T199" i="346" s="1"/>
  <c r="P200" i="346"/>
  <c r="P201" i="346"/>
  <c r="R201" i="346" s="1"/>
  <c r="P202" i="346"/>
  <c r="R202" i="346" s="1"/>
  <c r="P203" i="346"/>
  <c r="P204" i="346"/>
  <c r="R204" i="346" s="1"/>
  <c r="P205" i="346"/>
  <c r="R205" i="346" s="1"/>
  <c r="P206" i="346"/>
  <c r="R206" i="346" s="1"/>
  <c r="S206" i="346" s="1"/>
  <c r="T206" i="346" s="1"/>
  <c r="P207" i="346"/>
  <c r="P208" i="346"/>
  <c r="P209" i="346"/>
  <c r="R209" i="346" s="1"/>
  <c r="S209" i="346" s="1"/>
  <c r="T209" i="346" s="1"/>
  <c r="P210" i="346"/>
  <c r="R210" i="346" s="1"/>
  <c r="S210" i="346" s="1"/>
  <c r="P211" i="346"/>
  <c r="R211" i="346" s="1"/>
  <c r="S211" i="346" s="1"/>
  <c r="T211" i="346" s="1"/>
  <c r="P212" i="346"/>
  <c r="P213" i="346"/>
  <c r="P214" i="346"/>
  <c r="R214" i="346" s="1"/>
  <c r="S214" i="346" s="1"/>
  <c r="T214" i="346" s="1"/>
  <c r="P215" i="346"/>
  <c r="R215" i="346" s="1"/>
  <c r="S215" i="346" s="1"/>
  <c r="T215" i="346" s="1"/>
  <c r="P216" i="346"/>
  <c r="R216" i="346" s="1"/>
  <c r="P217" i="346"/>
  <c r="P218" i="346"/>
  <c r="P219" i="346"/>
  <c r="R219" i="346" s="1"/>
  <c r="S219" i="346" s="1"/>
  <c r="T219" i="346" s="1"/>
  <c r="P220" i="346"/>
  <c r="R220" i="346" s="1"/>
  <c r="P221" i="346"/>
  <c r="P223" i="346"/>
  <c r="P224" i="346"/>
  <c r="R224" i="346" s="1"/>
  <c r="S224" i="346" s="1"/>
  <c r="T224" i="346" s="1"/>
  <c r="P225" i="346"/>
  <c r="R225" i="346" s="1"/>
  <c r="S225" i="346" s="1"/>
  <c r="T225" i="346" s="1"/>
  <c r="P227" i="346"/>
  <c r="R227" i="346" s="1"/>
  <c r="S227" i="346" s="1"/>
  <c r="T227" i="346" s="1"/>
  <c r="P228" i="346"/>
  <c r="R228" i="346" s="1"/>
  <c r="S228" i="346" s="1"/>
  <c r="T228" i="346" s="1"/>
  <c r="P229" i="346"/>
  <c r="P230" i="346"/>
  <c r="R230" i="346" s="1"/>
  <c r="S230" i="346" s="1"/>
  <c r="T230" i="346" s="1"/>
  <c r="P231" i="346"/>
  <c r="R231" i="346" s="1"/>
  <c r="S231" i="346" s="1"/>
  <c r="T231" i="346" s="1"/>
  <c r="P232" i="346"/>
  <c r="R232" i="346" s="1"/>
  <c r="P233" i="346"/>
  <c r="P234" i="346"/>
  <c r="R234" i="346" s="1"/>
  <c r="S234" i="346" s="1"/>
  <c r="T234" i="346" s="1"/>
  <c r="P235" i="346"/>
  <c r="R235" i="346" s="1"/>
  <c r="S235" i="346" s="1"/>
  <c r="T235" i="346" s="1"/>
  <c r="P236" i="346"/>
  <c r="R236" i="346" s="1"/>
  <c r="S236" i="346" s="1"/>
  <c r="P237" i="346"/>
  <c r="P238" i="346"/>
  <c r="R238" i="346" s="1"/>
  <c r="S238" i="346" s="1"/>
  <c r="P239" i="346"/>
  <c r="R239" i="346" s="1"/>
  <c r="P240" i="346"/>
  <c r="R240" i="346" s="1"/>
  <c r="P241" i="346"/>
  <c r="P242" i="346"/>
  <c r="R242" i="346" s="1"/>
  <c r="P243" i="346"/>
  <c r="R243" i="346" s="1"/>
  <c r="S243" i="346" s="1"/>
  <c r="T243" i="346" s="1"/>
  <c r="P244" i="346"/>
  <c r="R244" i="346" s="1"/>
  <c r="S244" i="346" s="1"/>
  <c r="T244" i="346" s="1"/>
  <c r="P245" i="346"/>
  <c r="P246" i="346"/>
  <c r="R246" i="346" s="1"/>
  <c r="S246" i="346" s="1"/>
  <c r="T246" i="346" s="1"/>
  <c r="P247" i="346"/>
  <c r="R247" i="346" s="1"/>
  <c r="S247" i="346" s="1"/>
  <c r="T247" i="346" s="1"/>
  <c r="P248" i="346"/>
  <c r="R248" i="346" s="1"/>
  <c r="S248" i="346" s="1"/>
  <c r="T248" i="346" s="1"/>
  <c r="P249" i="346"/>
  <c r="P250" i="346"/>
  <c r="R250" i="346" s="1"/>
  <c r="S250" i="346" s="1"/>
  <c r="T250" i="346" s="1"/>
  <c r="P251" i="346"/>
  <c r="R251" i="346" s="1"/>
  <c r="P252" i="346"/>
  <c r="R252" i="346" s="1"/>
  <c r="S252" i="346" s="1"/>
  <c r="T252" i="346" s="1"/>
  <c r="P254" i="346"/>
  <c r="R254" i="346" s="1"/>
  <c r="P259" i="346"/>
  <c r="P260" i="346"/>
  <c r="P261" i="346"/>
  <c r="R261" i="346" s="1"/>
  <c r="S261" i="346" s="1"/>
  <c r="T261" i="346" s="1"/>
  <c r="P262" i="346"/>
  <c r="R262" i="346" s="1"/>
  <c r="P263" i="346"/>
  <c r="P264" i="346"/>
  <c r="P265" i="346"/>
  <c r="R265" i="346" s="1"/>
  <c r="S265" i="346" s="1"/>
  <c r="T265" i="346" s="1"/>
  <c r="P266" i="346"/>
  <c r="R266" i="346" s="1"/>
  <c r="P267" i="346"/>
  <c r="P268" i="346"/>
  <c r="P269" i="346"/>
  <c r="R269" i="346" s="1"/>
  <c r="S269" i="346" s="1"/>
  <c r="T269" i="346" s="1"/>
  <c r="P270" i="346"/>
  <c r="R270" i="346" s="1"/>
  <c r="S270" i="346" s="1"/>
  <c r="T270" i="346" s="1"/>
  <c r="P271" i="346"/>
  <c r="P272" i="346"/>
  <c r="P273" i="346"/>
  <c r="R273" i="346" s="1"/>
  <c r="S273" i="346" s="1"/>
  <c r="T273" i="346" s="1"/>
  <c r="P274" i="346"/>
  <c r="R274" i="346" s="1"/>
  <c r="S274" i="346" s="1"/>
  <c r="T274" i="346" s="1"/>
  <c r="P275" i="346"/>
  <c r="P276" i="346"/>
  <c r="P277" i="346"/>
  <c r="R277" i="346" s="1"/>
  <c r="S277" i="346" s="1"/>
  <c r="T277" i="346" s="1"/>
  <c r="P278" i="346"/>
  <c r="R278" i="346" s="1"/>
  <c r="S278" i="346" s="1"/>
  <c r="T278" i="346" s="1"/>
  <c r="P279" i="346"/>
  <c r="P280" i="346"/>
  <c r="P281" i="346"/>
  <c r="R281" i="346" s="1"/>
  <c r="S281" i="346" s="1"/>
  <c r="T281" i="346" s="1"/>
  <c r="P282" i="346"/>
  <c r="R282" i="346" s="1"/>
  <c r="S282" i="346" s="1"/>
  <c r="P283" i="346"/>
  <c r="R283" i="346" s="1"/>
  <c r="S283" i="346" s="1"/>
  <c r="T283" i="346" s="1"/>
  <c r="P284" i="346"/>
  <c r="P285" i="346"/>
  <c r="P286" i="346"/>
  <c r="R286" i="346" s="1"/>
  <c r="S286" i="346" s="1"/>
  <c r="T286" i="346" s="1"/>
  <c r="P287" i="346"/>
  <c r="R287" i="346" s="1"/>
  <c r="P288" i="346"/>
  <c r="R288" i="346" s="1"/>
  <c r="S288" i="346" s="1"/>
  <c r="P290" i="346"/>
  <c r="R290" i="346" s="1"/>
  <c r="S290" i="346" s="1"/>
  <c r="T290" i="346" s="1"/>
  <c r="P291" i="346"/>
  <c r="P292" i="346"/>
  <c r="P293" i="346"/>
  <c r="R293" i="346" s="1"/>
  <c r="S293" i="346" s="1"/>
  <c r="T293" i="346" s="1"/>
  <c r="P294" i="346"/>
  <c r="R294" i="346" s="1"/>
  <c r="S294" i="346" s="1"/>
  <c r="T294" i="346" s="1"/>
  <c r="P295" i="346"/>
  <c r="P296" i="346"/>
  <c r="P297" i="346"/>
  <c r="R297" i="346" s="1"/>
  <c r="S297" i="346" s="1"/>
  <c r="P299" i="346"/>
  <c r="R299" i="346" s="1"/>
  <c r="S299" i="346" s="1"/>
  <c r="T299" i="346" s="1"/>
  <c r="P300" i="346"/>
  <c r="R300" i="346" s="1"/>
  <c r="S300" i="346" s="1"/>
  <c r="T300" i="346" s="1"/>
  <c r="P301" i="346"/>
  <c r="P302" i="346"/>
  <c r="P303" i="346"/>
  <c r="R303" i="346" s="1"/>
  <c r="S303" i="346" s="1"/>
  <c r="P304" i="346"/>
  <c r="R304" i="346" s="1"/>
  <c r="S304" i="346" s="1"/>
  <c r="T304" i="346" s="1"/>
  <c r="P305" i="346"/>
  <c r="P306" i="346"/>
  <c r="P307" i="346"/>
  <c r="R307" i="346" s="1"/>
  <c r="S307" i="346" s="1"/>
  <c r="T307" i="346" s="1"/>
  <c r="P309" i="346"/>
  <c r="R309" i="346" s="1"/>
  <c r="S309" i="346" s="1"/>
  <c r="T309" i="346" s="1"/>
  <c r="P310" i="346"/>
  <c r="R310" i="346" s="1"/>
  <c r="P311" i="346"/>
  <c r="P313" i="346"/>
  <c r="R313" i="346" s="1"/>
  <c r="S313" i="346" s="1"/>
  <c r="P314" i="346"/>
  <c r="P315" i="346"/>
  <c r="R315" i="346" s="1"/>
  <c r="P316" i="346"/>
  <c r="R316" i="346" s="1"/>
  <c r="S316" i="346" s="1"/>
  <c r="T316" i="346" s="1"/>
  <c r="P317" i="346"/>
  <c r="R317" i="346" s="1"/>
  <c r="S317" i="346" s="1"/>
  <c r="T317" i="346" s="1"/>
  <c r="P318" i="346"/>
  <c r="R318" i="346" s="1"/>
  <c r="P319" i="346"/>
  <c r="P321" i="346"/>
  <c r="R321" i="346" s="1"/>
  <c r="S321" i="346" s="1"/>
  <c r="T321" i="346" s="1"/>
  <c r="P322" i="346"/>
  <c r="R322" i="346" s="1"/>
  <c r="S322" i="346" s="1"/>
  <c r="T322" i="346" s="1"/>
  <c r="P323" i="346"/>
  <c r="P324" i="346"/>
  <c r="P325" i="346"/>
  <c r="R325" i="346" s="1"/>
  <c r="S325" i="346" s="1"/>
  <c r="T325" i="346" s="1"/>
  <c r="P326" i="346"/>
  <c r="R326" i="346" s="1"/>
  <c r="S326" i="346" s="1"/>
  <c r="T326" i="346" s="1"/>
  <c r="P327" i="346"/>
  <c r="P328" i="346"/>
  <c r="P329" i="346"/>
  <c r="R329" i="346" s="1"/>
  <c r="S329" i="346" s="1"/>
  <c r="T329" i="346" s="1"/>
  <c r="P331" i="346"/>
  <c r="R331" i="346" s="1"/>
  <c r="S331" i="346" s="1"/>
  <c r="T331" i="346" s="1"/>
  <c r="P332" i="346"/>
  <c r="P333" i="346"/>
  <c r="P334" i="346"/>
  <c r="R334" i="346" s="1"/>
  <c r="S334" i="346" s="1"/>
  <c r="T334" i="346" s="1"/>
  <c r="P335" i="346"/>
  <c r="R335" i="346" s="1"/>
  <c r="S335" i="346" s="1"/>
  <c r="T335" i="346" s="1"/>
  <c r="P336" i="346"/>
  <c r="P337" i="346"/>
  <c r="P345" i="346"/>
  <c r="P338" i="346"/>
  <c r="R338" i="346" s="1"/>
  <c r="S338" i="346" s="1"/>
  <c r="T338" i="346" s="1"/>
  <c r="P339" i="346"/>
  <c r="R339" i="346" s="1"/>
  <c r="P340" i="346"/>
  <c r="P346" i="346"/>
  <c r="R346" i="346" s="1"/>
  <c r="S346" i="346" s="1"/>
  <c r="T346" i="346" s="1"/>
  <c r="P347" i="346"/>
  <c r="R347" i="346" s="1"/>
  <c r="S347" i="346" s="1"/>
  <c r="T347" i="346" s="1"/>
  <c r="P348" i="346"/>
  <c r="R348" i="346" s="1"/>
  <c r="S348" i="346" s="1"/>
  <c r="T348" i="346" s="1"/>
  <c r="P349" i="346"/>
  <c r="R349" i="346" s="1"/>
  <c r="S349" i="346" s="1"/>
  <c r="T349" i="346" s="1"/>
  <c r="P350" i="346"/>
  <c r="P351" i="346"/>
  <c r="P352" i="346"/>
  <c r="R352" i="346" s="1"/>
  <c r="S352" i="346" s="1"/>
  <c r="T352" i="346" s="1"/>
  <c r="P353" i="346"/>
  <c r="R353" i="346" s="1"/>
  <c r="S353" i="346" s="1"/>
  <c r="T353" i="346" s="1"/>
  <c r="P354" i="346"/>
  <c r="R355" i="346"/>
  <c r="R356" i="346"/>
  <c r="S356" i="346" s="1"/>
  <c r="P357" i="346"/>
  <c r="P358" i="346"/>
  <c r="R358" i="346" s="1"/>
  <c r="S358" i="346" s="1"/>
  <c r="T358" i="346" s="1"/>
  <c r="P359" i="346"/>
  <c r="R359" i="346" s="1"/>
  <c r="S359" i="346" s="1"/>
  <c r="P360" i="346"/>
  <c r="P361" i="346"/>
  <c r="R361" i="346" s="1"/>
  <c r="S361" i="346" s="1"/>
  <c r="T361" i="346" s="1"/>
  <c r="R362" i="346"/>
  <c r="R363" i="346"/>
  <c r="R364" i="346"/>
  <c r="P365" i="346"/>
  <c r="R365" i="346" s="1"/>
  <c r="S365" i="346" s="1"/>
  <c r="R366" i="346"/>
  <c r="S366" i="346" s="1"/>
  <c r="T366" i="346" s="1"/>
  <c r="P367" i="346"/>
  <c r="R367" i="346" s="1"/>
  <c r="S367" i="346" s="1"/>
  <c r="T367" i="346" s="1"/>
  <c r="P368" i="346"/>
  <c r="P369" i="346"/>
  <c r="R369" i="346" s="1"/>
  <c r="S369" i="346" s="1"/>
  <c r="T369" i="346" s="1"/>
  <c r="P370" i="346"/>
  <c r="R370" i="346" s="1"/>
  <c r="S370" i="346" s="1"/>
  <c r="T370" i="346" s="1"/>
  <c r="P371" i="346"/>
  <c r="R371" i="346" s="1"/>
  <c r="S371" i="346" s="1"/>
  <c r="T371" i="346" s="1"/>
  <c r="P372" i="346"/>
  <c r="P373" i="346"/>
  <c r="R373" i="346" s="1"/>
  <c r="S373" i="346" s="1"/>
  <c r="T373" i="346" s="1"/>
  <c r="P374" i="346"/>
  <c r="R374" i="346" s="1"/>
  <c r="S374" i="346" s="1"/>
  <c r="T374" i="346" s="1"/>
  <c r="P375" i="346"/>
  <c r="R375" i="346" s="1"/>
  <c r="S375" i="346" s="1"/>
  <c r="T375" i="346" s="1"/>
  <c r="P376" i="346"/>
  <c r="P377" i="346"/>
  <c r="R377" i="346" s="1"/>
  <c r="S377" i="346" s="1"/>
  <c r="T377" i="346" s="1"/>
  <c r="P378" i="346"/>
  <c r="R378" i="346" s="1"/>
  <c r="S378" i="346" s="1"/>
  <c r="T378" i="346" s="1"/>
  <c r="P379" i="346"/>
  <c r="R379" i="346" s="1"/>
  <c r="S379" i="346" s="1"/>
  <c r="T379" i="346" s="1"/>
  <c r="H405" i="346"/>
  <c r="H406" i="346"/>
  <c r="H407" i="346"/>
  <c r="H408" i="346"/>
  <c r="H409" i="346"/>
  <c r="H410" i="346"/>
  <c r="H411" i="346"/>
  <c r="F413" i="346"/>
  <c r="F414" i="346"/>
  <c r="F415" i="346"/>
  <c r="F416" i="346"/>
  <c r="F417" i="346"/>
  <c r="F418" i="346"/>
  <c r="F419" i="346"/>
  <c r="F420" i="346"/>
  <c r="F421" i="346"/>
  <c r="F422" i="346"/>
  <c r="F423" i="346"/>
  <c r="F424" i="346"/>
  <c r="N12" i="384"/>
  <c r="O12" i="384"/>
  <c r="S12" i="384"/>
  <c r="N13" i="384"/>
  <c r="O13" i="384"/>
  <c r="S13" i="384"/>
  <c r="U13" i="384"/>
  <c r="N14" i="384"/>
  <c r="O14" i="384"/>
  <c r="S14" i="384"/>
  <c r="U14" i="384"/>
  <c r="N15" i="384"/>
  <c r="O15" i="384"/>
  <c r="S15" i="384"/>
  <c r="U15" i="384"/>
  <c r="N16" i="384"/>
  <c r="O16" i="384"/>
  <c r="S16" i="384"/>
  <c r="U16" i="384"/>
  <c r="N17" i="384"/>
  <c r="O17" i="384"/>
  <c r="S17" i="384"/>
  <c r="U17" i="384"/>
  <c r="N18" i="384"/>
  <c r="O18" i="384"/>
  <c r="S18" i="384"/>
  <c r="U18" i="384"/>
  <c r="N19" i="384"/>
  <c r="O19" i="384"/>
  <c r="S19" i="384"/>
  <c r="U19" i="384"/>
  <c r="N20" i="384"/>
  <c r="O20" i="384"/>
  <c r="S20" i="384"/>
  <c r="U20" i="384"/>
  <c r="N21" i="384"/>
  <c r="O21" i="384"/>
  <c r="S21" i="384"/>
  <c r="U21" i="384"/>
  <c r="N22" i="384"/>
  <c r="O22" i="384"/>
  <c r="S22" i="384"/>
  <c r="U22" i="384"/>
  <c r="N23" i="384"/>
  <c r="O23" i="384"/>
  <c r="S23" i="384"/>
  <c r="U23" i="384"/>
  <c r="N24" i="384"/>
  <c r="O24" i="384"/>
  <c r="S24" i="384"/>
  <c r="U24" i="384"/>
  <c r="N25" i="384"/>
  <c r="O25" i="384"/>
  <c r="S25" i="384"/>
  <c r="U25" i="384"/>
  <c r="N26" i="384"/>
  <c r="O26" i="384"/>
  <c r="S26" i="384"/>
  <c r="U26" i="384"/>
  <c r="N27" i="384"/>
  <c r="O27" i="384"/>
  <c r="S27" i="384"/>
  <c r="U27" i="384"/>
  <c r="N28" i="384"/>
  <c r="O28" i="384"/>
  <c r="S28" i="384"/>
  <c r="U28" i="384"/>
  <c r="N29" i="384"/>
  <c r="O29" i="384"/>
  <c r="S29" i="384"/>
  <c r="U29" i="384"/>
  <c r="N30" i="384"/>
  <c r="O30" i="384"/>
  <c r="S30" i="384"/>
  <c r="U30" i="384"/>
  <c r="N31" i="384"/>
  <c r="O31" i="384"/>
  <c r="S31" i="384"/>
  <c r="U31" i="384"/>
  <c r="N32" i="384"/>
  <c r="O32" i="384"/>
  <c r="S32" i="384"/>
  <c r="U32" i="384"/>
  <c r="N33" i="384"/>
  <c r="O33" i="384"/>
  <c r="S33" i="384"/>
  <c r="U33" i="384"/>
  <c r="N34" i="384"/>
  <c r="O34" i="384"/>
  <c r="P34" i="384" s="1"/>
  <c r="T34" i="384" s="1"/>
  <c r="V34" i="384" s="1"/>
  <c r="W34" i="384" s="1"/>
  <c r="X34" i="384" s="1"/>
  <c r="S34" i="384"/>
  <c r="U34" i="384"/>
  <c r="N35" i="384"/>
  <c r="O35" i="384"/>
  <c r="S35" i="384"/>
  <c r="U35" i="384"/>
  <c r="N36" i="384"/>
  <c r="O36" i="384"/>
  <c r="S36" i="384"/>
  <c r="U36" i="384"/>
  <c r="N37" i="384"/>
  <c r="O37" i="384"/>
  <c r="S37" i="384"/>
  <c r="U37" i="384"/>
  <c r="N38" i="384"/>
  <c r="O38" i="384"/>
  <c r="P38" i="384" s="1"/>
  <c r="T38" i="384" s="1"/>
  <c r="V38" i="384" s="1"/>
  <c r="S38" i="384"/>
  <c r="U38" i="384"/>
  <c r="N39" i="384"/>
  <c r="O39" i="384"/>
  <c r="S39" i="384"/>
  <c r="U39" i="384"/>
  <c r="N40" i="384"/>
  <c r="O40" i="384"/>
  <c r="S40" i="384"/>
  <c r="U40" i="384"/>
  <c r="N41" i="384"/>
  <c r="O41" i="384"/>
  <c r="S41" i="384"/>
  <c r="U41" i="384"/>
  <c r="N42" i="384"/>
  <c r="O42" i="384"/>
  <c r="P42" i="384" s="1"/>
  <c r="T42" i="384" s="1"/>
  <c r="S42" i="384"/>
  <c r="U42" i="384"/>
  <c r="N43" i="384"/>
  <c r="O43" i="384"/>
  <c r="S43" i="384"/>
  <c r="U43" i="384"/>
  <c r="N44" i="384"/>
  <c r="O44" i="384"/>
  <c r="S44" i="384"/>
  <c r="U44" i="384"/>
  <c r="N45" i="384"/>
  <c r="O45" i="384"/>
  <c r="S45" i="384"/>
  <c r="U45" i="384"/>
  <c r="N46" i="384"/>
  <c r="O46" i="384"/>
  <c r="S46" i="384"/>
  <c r="U46" i="384"/>
  <c r="N47" i="384"/>
  <c r="O47" i="384"/>
  <c r="S47" i="384"/>
  <c r="U47" i="384"/>
  <c r="N48" i="384"/>
  <c r="O48" i="384"/>
  <c r="S48" i="384"/>
  <c r="U48" i="384"/>
  <c r="N49" i="384"/>
  <c r="O49" i="384"/>
  <c r="S49" i="384"/>
  <c r="U49" i="384"/>
  <c r="N50" i="384"/>
  <c r="O50" i="384"/>
  <c r="S50" i="384"/>
  <c r="U50" i="384"/>
  <c r="D20" i="124"/>
  <c r="D22" i="124"/>
  <c r="E27" i="124"/>
  <c r="G27" i="124" s="1"/>
  <c r="E28" i="124"/>
  <c r="G28" i="124" s="1"/>
  <c r="E29" i="124"/>
  <c r="G29" i="124" s="1"/>
  <c r="E30" i="124"/>
  <c r="G30" i="124" s="1"/>
  <c r="E31" i="124"/>
  <c r="G31" i="124" s="1"/>
  <c r="E32" i="124"/>
  <c r="G32" i="124" s="1"/>
  <c r="E33" i="124"/>
  <c r="G33" i="124" s="1"/>
  <c r="E34" i="124"/>
  <c r="G34" i="124" s="1"/>
  <c r="E35" i="124"/>
  <c r="G35" i="124" s="1"/>
  <c r="E36" i="124"/>
  <c r="G36" i="124" s="1"/>
  <c r="E37" i="124"/>
  <c r="G37" i="124" s="1"/>
  <c r="E38" i="124"/>
  <c r="G38" i="124" s="1"/>
  <c r="C39" i="124"/>
  <c r="H39" i="124"/>
  <c r="H41" i="124" s="1"/>
  <c r="I39" i="124"/>
  <c r="I41" i="124" s="1"/>
  <c r="J53" i="124"/>
  <c r="J55" i="124"/>
  <c r="E56" i="124"/>
  <c r="G56" i="124" s="1"/>
  <c r="J57" i="124"/>
  <c r="E58" i="124"/>
  <c r="G58" i="124" s="1"/>
  <c r="J59" i="124"/>
  <c r="F9" i="344"/>
  <c r="G9" i="344"/>
  <c r="H9" i="344"/>
  <c r="M9" i="344"/>
  <c r="N9" i="344"/>
  <c r="Q5" i="376"/>
  <c r="E6" i="376"/>
  <c r="K6" i="376" s="1"/>
  <c r="B9" i="376"/>
  <c r="C9" i="376" s="1"/>
  <c r="D9" i="376" s="1"/>
  <c r="E9" i="376" s="1"/>
  <c r="F9" i="376" s="1"/>
  <c r="G9" i="376" s="1"/>
  <c r="H9" i="376" s="1"/>
  <c r="I9" i="376" s="1"/>
  <c r="J9" i="376" s="1"/>
  <c r="K9" i="376" s="1"/>
  <c r="L9" i="376" s="1"/>
  <c r="M9" i="376" s="1"/>
  <c r="N9" i="376" s="1"/>
  <c r="O9" i="376" s="1"/>
  <c r="P9" i="376" s="1"/>
  <c r="Q9" i="376" s="1"/>
  <c r="R9" i="376" s="1"/>
  <c r="S9" i="376" s="1"/>
  <c r="T9" i="376" s="1"/>
  <c r="U9" i="376" s="1"/>
  <c r="J15" i="376"/>
  <c r="J16" i="376"/>
  <c r="O16" i="376"/>
  <c r="H17" i="376"/>
  <c r="J17" i="376"/>
  <c r="L17" i="376"/>
  <c r="M17" i="376" s="1"/>
  <c r="O17" i="376"/>
  <c r="H18" i="376"/>
  <c r="J18" i="376"/>
  <c r="L18" i="376"/>
  <c r="M18" i="376" s="1"/>
  <c r="O18" i="376"/>
  <c r="H19" i="376"/>
  <c r="J19" i="376"/>
  <c r="L19" i="376"/>
  <c r="M19" i="376" s="1"/>
  <c r="N19" i="376" s="1"/>
  <c r="O19" i="376"/>
  <c r="H20" i="376"/>
  <c r="J20" i="376"/>
  <c r="L20" i="376"/>
  <c r="O20" i="376"/>
  <c r="H21" i="376"/>
  <c r="J21" i="376"/>
  <c r="L21" i="376"/>
  <c r="M21" i="376" s="1"/>
  <c r="N21" i="376" s="1"/>
  <c r="O21" i="376"/>
  <c r="Q5" i="377"/>
  <c r="F77" i="377" s="1"/>
  <c r="L77" i="377" s="1"/>
  <c r="E6" i="377"/>
  <c r="K6" i="377" s="1"/>
  <c r="D10" i="377"/>
  <c r="D9" i="377" s="1"/>
  <c r="H11" i="377"/>
  <c r="J11" i="377"/>
  <c r="L11" i="377"/>
  <c r="O11" i="377"/>
  <c r="P11" i="377"/>
  <c r="H12" i="377"/>
  <c r="J12" i="377"/>
  <c r="L12" i="377"/>
  <c r="M12" i="377" s="1"/>
  <c r="N12" i="377" s="1"/>
  <c r="Q12" i="377" s="1"/>
  <c r="O12" i="377"/>
  <c r="P12" i="377"/>
  <c r="H13" i="377"/>
  <c r="J13" i="377"/>
  <c r="L13" i="377"/>
  <c r="O13" i="377"/>
  <c r="P13" i="377"/>
  <c r="H14" i="377"/>
  <c r="J14" i="377"/>
  <c r="L14" i="377"/>
  <c r="O14" i="377"/>
  <c r="P14" i="377"/>
  <c r="H15" i="377"/>
  <c r="J15" i="377"/>
  <c r="L15" i="377"/>
  <c r="O15" i="377"/>
  <c r="P15" i="377"/>
  <c r="H16" i="377"/>
  <c r="J16" i="377"/>
  <c r="L16" i="377"/>
  <c r="O16" i="377"/>
  <c r="P16" i="377"/>
  <c r="J17" i="377"/>
  <c r="J18" i="377"/>
  <c r="J19" i="377"/>
  <c r="J20" i="377"/>
  <c r="J21" i="377"/>
  <c r="J22" i="377"/>
  <c r="J23" i="377"/>
  <c r="J24" i="377"/>
  <c r="J25" i="377"/>
  <c r="J26" i="377"/>
  <c r="J27" i="377"/>
  <c r="J28" i="377"/>
  <c r="J29" i="377"/>
  <c r="J30" i="377"/>
  <c r="J31" i="377"/>
  <c r="J32" i="377"/>
  <c r="J33" i="377"/>
  <c r="J34" i="377"/>
  <c r="J35" i="377"/>
  <c r="J36" i="377"/>
  <c r="J37" i="377"/>
  <c r="J38" i="377"/>
  <c r="J39" i="377"/>
  <c r="J40" i="377"/>
  <c r="J41" i="377"/>
  <c r="J42" i="377"/>
  <c r="J43" i="377"/>
  <c r="J44" i="377"/>
  <c r="J45" i="377"/>
  <c r="J46" i="377"/>
  <c r="J47" i="377"/>
  <c r="J48" i="377"/>
  <c r="J49" i="377"/>
  <c r="J50" i="377"/>
  <c r="J51" i="377"/>
  <c r="J52" i="377"/>
  <c r="J53" i="377"/>
  <c r="J54" i="377"/>
  <c r="J55" i="377"/>
  <c r="J56" i="377"/>
  <c r="J57" i="377"/>
  <c r="J58" i="377"/>
  <c r="J59" i="377"/>
  <c r="J60" i="377"/>
  <c r="J61" i="377"/>
  <c r="J62" i="377"/>
  <c r="J63" i="377"/>
  <c r="D64" i="377"/>
  <c r="O64" i="377"/>
  <c r="P64" i="377"/>
  <c r="J65" i="377"/>
  <c r="J66" i="377"/>
  <c r="J67" i="377"/>
  <c r="J68" i="377"/>
  <c r="J64" i="377" s="1"/>
  <c r="J69" i="377"/>
  <c r="J70" i="377"/>
  <c r="J71" i="377"/>
  <c r="J72" i="377"/>
  <c r="J73" i="377"/>
  <c r="J74" i="377"/>
  <c r="J75" i="377"/>
  <c r="J76" i="377"/>
  <c r="J77" i="377"/>
  <c r="J78" i="377"/>
  <c r="J79" i="377"/>
  <c r="J80" i="377"/>
  <c r="J81" i="377"/>
  <c r="J82" i="377"/>
  <c r="J83" i="377"/>
  <c r="J84" i="377"/>
  <c r="J85" i="377"/>
  <c r="J86" i="377"/>
  <c r="J87" i="377"/>
  <c r="J88" i="377"/>
  <c r="J89" i="377"/>
  <c r="J90" i="377"/>
  <c r="J91" i="377"/>
  <c r="J92" i="377"/>
  <c r="J93" i="377"/>
  <c r="J94" i="377"/>
  <c r="J95" i="377"/>
  <c r="J96" i="377"/>
  <c r="J97" i="377"/>
  <c r="J98" i="377"/>
  <c r="J99" i="377"/>
  <c r="J100" i="377"/>
  <c r="D101" i="377"/>
  <c r="O101" i="377"/>
  <c r="P101" i="377"/>
  <c r="J102" i="377"/>
  <c r="J103" i="377"/>
  <c r="J104" i="377"/>
  <c r="J105" i="377"/>
  <c r="J106" i="377"/>
  <c r="J107" i="377"/>
  <c r="J108" i="377"/>
  <c r="J109" i="377"/>
  <c r="D110" i="377"/>
  <c r="H112" i="377"/>
  <c r="J112" i="377"/>
  <c r="J113" i="377"/>
  <c r="L113" i="377"/>
  <c r="H114" i="377"/>
  <c r="J114" i="377"/>
  <c r="L114" i="377"/>
  <c r="O114" i="377"/>
  <c r="J115" i="377"/>
  <c r="O115" i="377"/>
  <c r="J116" i="377"/>
  <c r="L116" i="377"/>
  <c r="H117" i="377"/>
  <c r="J117" i="377"/>
  <c r="L117" i="377"/>
  <c r="O117" i="377"/>
  <c r="P117" i="377"/>
  <c r="H118" i="377"/>
  <c r="J118" i="377"/>
  <c r="L118" i="377"/>
  <c r="O118" i="377"/>
  <c r="P118" i="377"/>
  <c r="H119" i="377"/>
  <c r="J119" i="377"/>
  <c r="J110" i="377" s="1"/>
  <c r="L119" i="377"/>
  <c r="O119" i="377"/>
  <c r="P119" i="377"/>
  <c r="H120" i="377"/>
  <c r="J120" i="377"/>
  <c r="L120" i="377"/>
  <c r="O120" i="377"/>
  <c r="P120" i="377"/>
  <c r="H121" i="377"/>
  <c r="J121" i="377"/>
  <c r="L121" i="377"/>
  <c r="O121" i="377"/>
  <c r="P121" i="377"/>
  <c r="H122" i="377"/>
  <c r="J122" i="377"/>
  <c r="L122" i="377"/>
  <c r="J123" i="377"/>
  <c r="H124" i="377"/>
  <c r="J124" i="377"/>
  <c r="L124" i="377"/>
  <c r="O124" i="377"/>
  <c r="P124" i="377"/>
  <c r="H125" i="377"/>
  <c r="J125" i="377"/>
  <c r="L125" i="377"/>
  <c r="O125" i="377"/>
  <c r="P125" i="377"/>
  <c r="H126" i="377"/>
  <c r="J126" i="377"/>
  <c r="L126" i="377"/>
  <c r="O126" i="377"/>
  <c r="P126" i="377"/>
  <c r="H127" i="377"/>
  <c r="J127" i="377"/>
  <c r="L127" i="377"/>
  <c r="O127" i="377"/>
  <c r="H128" i="377"/>
  <c r="J128" i="377"/>
  <c r="L128" i="377"/>
  <c r="O128" i="377"/>
  <c r="H129" i="377"/>
  <c r="J129" i="377"/>
  <c r="L129" i="377"/>
  <c r="O129" i="377"/>
  <c r="H130" i="377"/>
  <c r="J130" i="377"/>
  <c r="L130" i="377"/>
  <c r="O130" i="377"/>
  <c r="Q5" i="379"/>
  <c r="E6" i="379"/>
  <c r="K6" i="379" s="1"/>
  <c r="D10" i="379"/>
  <c r="H11" i="379"/>
  <c r="J11" i="379"/>
  <c r="L11" i="379"/>
  <c r="O11" i="379"/>
  <c r="H12" i="379"/>
  <c r="J12" i="379"/>
  <c r="L12" i="379"/>
  <c r="O12" i="379"/>
  <c r="P12" i="379"/>
  <c r="P10" i="379" s="1"/>
  <c r="H13" i="379"/>
  <c r="J13" i="379"/>
  <c r="L13" i="379"/>
  <c r="O13" i="379"/>
  <c r="H14" i="379"/>
  <c r="J14" i="379"/>
  <c r="L14" i="379"/>
  <c r="O14" i="379"/>
  <c r="P14" i="379"/>
  <c r="H15" i="379"/>
  <c r="J15" i="379"/>
  <c r="L15" i="379"/>
  <c r="O15" i="379"/>
  <c r="P15" i="379"/>
  <c r="H16" i="379"/>
  <c r="J16" i="379"/>
  <c r="M16" i="379" s="1"/>
  <c r="N16" i="379" s="1"/>
  <c r="Q16" i="379" s="1"/>
  <c r="L16" i="379"/>
  <c r="O16" i="379"/>
  <c r="P16" i="379"/>
  <c r="J17" i="379"/>
  <c r="J18" i="379"/>
  <c r="J19" i="379"/>
  <c r="J20" i="379"/>
  <c r="J21" i="379"/>
  <c r="J22" i="379"/>
  <c r="J23" i="379"/>
  <c r="J24" i="379"/>
  <c r="J25" i="379"/>
  <c r="J26" i="379"/>
  <c r="J27" i="379"/>
  <c r="J28" i="379"/>
  <c r="J29" i="379"/>
  <c r="J30" i="379"/>
  <c r="J31" i="379"/>
  <c r="J32" i="379"/>
  <c r="J33" i="379"/>
  <c r="J34" i="379"/>
  <c r="J35" i="379"/>
  <c r="J36" i="379"/>
  <c r="J37" i="379"/>
  <c r="J38" i="379"/>
  <c r="J39" i="379"/>
  <c r="J40" i="379"/>
  <c r="J41" i="379"/>
  <c r="J42" i="379"/>
  <c r="J43" i="379"/>
  <c r="J44" i="379"/>
  <c r="J45" i="379"/>
  <c r="J46" i="379"/>
  <c r="J47" i="379"/>
  <c r="J48" i="379"/>
  <c r="J49" i="379"/>
  <c r="J50" i="379"/>
  <c r="J51" i="379"/>
  <c r="J52" i="379"/>
  <c r="J53" i="379"/>
  <c r="J54" i="379"/>
  <c r="J55" i="379"/>
  <c r="J56" i="379"/>
  <c r="J57" i="379"/>
  <c r="J58" i="379"/>
  <c r="J59" i="379"/>
  <c r="J60" i="379"/>
  <c r="J61" i="379"/>
  <c r="J62" i="379"/>
  <c r="J63" i="379"/>
  <c r="D64" i="379"/>
  <c r="O64" i="379"/>
  <c r="P64" i="379"/>
  <c r="J65" i="379"/>
  <c r="J66" i="379"/>
  <c r="J67" i="379"/>
  <c r="J68" i="379"/>
  <c r="J69" i="379"/>
  <c r="J70" i="379"/>
  <c r="J71" i="379"/>
  <c r="J72" i="379"/>
  <c r="J73" i="379"/>
  <c r="J74" i="379"/>
  <c r="J75" i="379"/>
  <c r="J76" i="379"/>
  <c r="J77" i="379"/>
  <c r="J78" i="379"/>
  <c r="J79" i="379"/>
  <c r="J80" i="379"/>
  <c r="J81" i="379"/>
  <c r="J82" i="379"/>
  <c r="J83" i="379"/>
  <c r="J84" i="379"/>
  <c r="J85" i="379"/>
  <c r="J86" i="379"/>
  <c r="J87" i="379"/>
  <c r="J88" i="379"/>
  <c r="J89" i="379"/>
  <c r="J90" i="379"/>
  <c r="J91" i="379"/>
  <c r="J92" i="379"/>
  <c r="J93" i="379"/>
  <c r="J94" i="379"/>
  <c r="J95" i="379"/>
  <c r="J96" i="379"/>
  <c r="J97" i="379"/>
  <c r="J98" i="379"/>
  <c r="J99" i="379"/>
  <c r="J100" i="379"/>
  <c r="D101" i="379"/>
  <c r="O101" i="379"/>
  <c r="P101" i="379"/>
  <c r="J102" i="379"/>
  <c r="J103" i="379"/>
  <c r="J104" i="379"/>
  <c r="J105" i="379"/>
  <c r="J106" i="379"/>
  <c r="J107" i="379"/>
  <c r="J108" i="379"/>
  <c r="J109" i="379"/>
  <c r="H112" i="379"/>
  <c r="J112" i="379"/>
  <c r="L112" i="379"/>
  <c r="O112" i="379"/>
  <c r="H113" i="379"/>
  <c r="J113" i="379"/>
  <c r="L113" i="379"/>
  <c r="O113" i="379"/>
  <c r="H114" i="379"/>
  <c r="J114" i="379"/>
  <c r="L114" i="379"/>
  <c r="O114" i="379"/>
  <c r="H115" i="379"/>
  <c r="J115" i="379"/>
  <c r="L115" i="379"/>
  <c r="O115" i="379"/>
  <c r="H116" i="379"/>
  <c r="J116" i="379"/>
  <c r="L116" i="379"/>
  <c r="O116" i="379"/>
  <c r="H117" i="379"/>
  <c r="J117" i="379"/>
  <c r="L117" i="379"/>
  <c r="O117" i="379"/>
  <c r="P117" i="379"/>
  <c r="H118" i="379"/>
  <c r="J118" i="379"/>
  <c r="L118" i="379"/>
  <c r="O118" i="379"/>
  <c r="P118" i="379"/>
  <c r="H119" i="379"/>
  <c r="J119" i="379"/>
  <c r="L119" i="379"/>
  <c r="O119" i="379"/>
  <c r="P119" i="379"/>
  <c r="H120" i="379"/>
  <c r="J120" i="379"/>
  <c r="L120" i="379"/>
  <c r="O120" i="379"/>
  <c r="P120" i="379"/>
  <c r="H121" i="379"/>
  <c r="J121" i="379"/>
  <c r="L121" i="379"/>
  <c r="O121" i="379"/>
  <c r="P121" i="379"/>
  <c r="H122" i="379"/>
  <c r="J122" i="379"/>
  <c r="L122" i="379"/>
  <c r="P122" i="379"/>
  <c r="J123" i="379"/>
  <c r="H124" i="379"/>
  <c r="J124" i="379"/>
  <c r="L124" i="379"/>
  <c r="O124" i="379"/>
  <c r="P124" i="379"/>
  <c r="H125" i="379"/>
  <c r="J125" i="379"/>
  <c r="L125" i="379"/>
  <c r="O125" i="379"/>
  <c r="H126" i="379"/>
  <c r="J126" i="379"/>
  <c r="L126" i="379"/>
  <c r="O126" i="379"/>
  <c r="H127" i="379"/>
  <c r="J127" i="379"/>
  <c r="L127" i="379"/>
  <c r="O127" i="379"/>
  <c r="H128" i="379"/>
  <c r="J128" i="379"/>
  <c r="L128" i="379"/>
  <c r="O128" i="379"/>
  <c r="H129" i="379"/>
  <c r="J129" i="379"/>
  <c r="L129" i="379"/>
  <c r="O129" i="379"/>
  <c r="Q5" i="380"/>
  <c r="E6" i="380"/>
  <c r="K6" i="380" s="1"/>
  <c r="D10" i="380"/>
  <c r="H11" i="380"/>
  <c r="J11" i="380"/>
  <c r="J10" i="380" s="1"/>
  <c r="L11" i="380"/>
  <c r="O11" i="380"/>
  <c r="H12" i="380"/>
  <c r="J12" i="380"/>
  <c r="M12" i="380" s="1"/>
  <c r="N12" i="380" s="1"/>
  <c r="Q12" i="380" s="1"/>
  <c r="R12" i="380" s="1"/>
  <c r="T12" i="380" s="1"/>
  <c r="L12" i="380"/>
  <c r="O12" i="380"/>
  <c r="P12" i="380"/>
  <c r="H13" i="380"/>
  <c r="J13" i="380"/>
  <c r="L13" i="380"/>
  <c r="O13" i="380"/>
  <c r="P13" i="380"/>
  <c r="H14" i="380"/>
  <c r="J14" i="380"/>
  <c r="L14" i="380"/>
  <c r="O14" i="380"/>
  <c r="O10" i="380" s="1"/>
  <c r="P14" i="380"/>
  <c r="H15" i="380"/>
  <c r="J15" i="380"/>
  <c r="L15" i="380"/>
  <c r="O15" i="380"/>
  <c r="P15" i="380"/>
  <c r="H16" i="380"/>
  <c r="J16" i="380"/>
  <c r="L16" i="380"/>
  <c r="O16" i="380"/>
  <c r="P16" i="380"/>
  <c r="J17" i="380"/>
  <c r="J18" i="380"/>
  <c r="J19" i="380"/>
  <c r="J20" i="380"/>
  <c r="J21" i="380"/>
  <c r="J22" i="380"/>
  <c r="J23" i="380"/>
  <c r="J24" i="380"/>
  <c r="J25" i="380"/>
  <c r="J26" i="380"/>
  <c r="J27" i="380"/>
  <c r="J28" i="380"/>
  <c r="J29" i="380"/>
  <c r="J30" i="380"/>
  <c r="J31" i="380"/>
  <c r="J32" i="380"/>
  <c r="J33" i="380"/>
  <c r="J34" i="380"/>
  <c r="J35" i="380"/>
  <c r="J36" i="380"/>
  <c r="J37" i="380"/>
  <c r="J38" i="380"/>
  <c r="J39" i="380"/>
  <c r="J40" i="380"/>
  <c r="J41" i="380"/>
  <c r="J42" i="380"/>
  <c r="J43" i="380"/>
  <c r="J44" i="380"/>
  <c r="J45" i="380"/>
  <c r="J46" i="380"/>
  <c r="J47" i="380"/>
  <c r="J48" i="380"/>
  <c r="J49" i="380"/>
  <c r="J50" i="380"/>
  <c r="J51" i="380"/>
  <c r="J52" i="380"/>
  <c r="J53" i="380"/>
  <c r="J54" i="380"/>
  <c r="J55" i="380"/>
  <c r="J56" i="380"/>
  <c r="J57" i="380"/>
  <c r="J58" i="380"/>
  <c r="J59" i="380"/>
  <c r="J60" i="380"/>
  <c r="J61" i="380"/>
  <c r="J62" i="380"/>
  <c r="J63" i="380"/>
  <c r="D64" i="380"/>
  <c r="O64" i="380"/>
  <c r="P64" i="380"/>
  <c r="J65" i="380"/>
  <c r="J66" i="380"/>
  <c r="J67" i="380"/>
  <c r="J68" i="380"/>
  <c r="J69" i="380"/>
  <c r="J70" i="380"/>
  <c r="J71" i="380"/>
  <c r="J72" i="380"/>
  <c r="J73" i="380"/>
  <c r="J74" i="380"/>
  <c r="J75" i="380"/>
  <c r="J76" i="380"/>
  <c r="J77" i="380"/>
  <c r="J78" i="380"/>
  <c r="J79" i="380"/>
  <c r="J80" i="380"/>
  <c r="J81" i="380"/>
  <c r="J82" i="380"/>
  <c r="J83" i="380"/>
  <c r="J84" i="380"/>
  <c r="J85" i="380"/>
  <c r="J86" i="380"/>
  <c r="J87" i="380"/>
  <c r="J88" i="380"/>
  <c r="J89" i="380"/>
  <c r="J90" i="380"/>
  <c r="J91" i="380"/>
  <c r="J92" i="380"/>
  <c r="J93" i="380"/>
  <c r="J94" i="380"/>
  <c r="J95" i="380"/>
  <c r="J96" i="380"/>
  <c r="J97" i="380"/>
  <c r="J98" i="380"/>
  <c r="J99" i="380"/>
  <c r="J100" i="380"/>
  <c r="D101" i="380"/>
  <c r="O101" i="380"/>
  <c r="P101" i="380"/>
  <c r="J102" i="380"/>
  <c r="J103" i="380"/>
  <c r="J104" i="380"/>
  <c r="J105" i="380"/>
  <c r="J106" i="380"/>
  <c r="J107" i="380"/>
  <c r="J108" i="380"/>
  <c r="J109" i="380"/>
  <c r="D110" i="380"/>
  <c r="J112" i="380"/>
  <c r="L112" i="380"/>
  <c r="H113" i="380"/>
  <c r="J113" i="380"/>
  <c r="O113" i="380"/>
  <c r="H114" i="380"/>
  <c r="J114" i="380"/>
  <c r="M114" i="380" s="1"/>
  <c r="L114" i="380"/>
  <c r="O114" i="380"/>
  <c r="H115" i="380"/>
  <c r="J115" i="380"/>
  <c r="L115" i="380"/>
  <c r="O115" i="380"/>
  <c r="H116" i="380"/>
  <c r="J116" i="380"/>
  <c r="L116" i="380"/>
  <c r="O116" i="380"/>
  <c r="H117" i="380"/>
  <c r="J117" i="380"/>
  <c r="L117" i="380"/>
  <c r="O117" i="380"/>
  <c r="P117" i="380"/>
  <c r="H118" i="380"/>
  <c r="J118" i="380"/>
  <c r="L118" i="380"/>
  <c r="O118" i="380"/>
  <c r="P118" i="380"/>
  <c r="H119" i="380"/>
  <c r="J119" i="380"/>
  <c r="L119" i="380"/>
  <c r="O119" i="380"/>
  <c r="P119" i="380"/>
  <c r="H120" i="380"/>
  <c r="J120" i="380"/>
  <c r="L120" i="380"/>
  <c r="O120" i="380"/>
  <c r="P120" i="380"/>
  <c r="H121" i="380"/>
  <c r="J121" i="380"/>
  <c r="M121" i="380" s="1"/>
  <c r="N121" i="380" s="1"/>
  <c r="Q121" i="380" s="1"/>
  <c r="W121" i="380" s="1"/>
  <c r="L121" i="380"/>
  <c r="O121" i="380"/>
  <c r="P121" i="380"/>
  <c r="H122" i="380"/>
  <c r="J122" i="380"/>
  <c r="L122" i="380"/>
  <c r="P122" i="380"/>
  <c r="J123" i="380"/>
  <c r="H124" i="380"/>
  <c r="J124" i="380"/>
  <c r="L124" i="380"/>
  <c r="O124" i="380"/>
  <c r="P124" i="380"/>
  <c r="H125" i="380"/>
  <c r="J125" i="380"/>
  <c r="L125" i="380"/>
  <c r="O125" i="380"/>
  <c r="H126" i="380"/>
  <c r="J126" i="380"/>
  <c r="L126" i="380"/>
  <c r="M126" i="380" s="1"/>
  <c r="N126" i="380" s="1"/>
  <c r="O126" i="380"/>
  <c r="H127" i="380"/>
  <c r="J127" i="380"/>
  <c r="L127" i="380"/>
  <c r="M127" i="380" s="1"/>
  <c r="O127" i="380"/>
  <c r="H128" i="380"/>
  <c r="J128" i="380"/>
  <c r="L128" i="380"/>
  <c r="M128" i="380" s="1"/>
  <c r="O128" i="380"/>
  <c r="H129" i="380"/>
  <c r="J129" i="380"/>
  <c r="L129" i="380"/>
  <c r="M129" i="380" s="1"/>
  <c r="N129" i="380" s="1"/>
  <c r="O129" i="380"/>
  <c r="H130" i="380"/>
  <c r="J130" i="380"/>
  <c r="L130" i="380"/>
  <c r="M130" i="380" s="1"/>
  <c r="O130" i="380"/>
  <c r="S5" i="381"/>
  <c r="F18" i="381" s="1"/>
  <c r="E6" i="381"/>
  <c r="K6" i="381" s="1"/>
  <c r="J11" i="381"/>
  <c r="M11" i="381" s="1"/>
  <c r="N11" i="381" s="1"/>
  <c r="L11" i="381"/>
  <c r="H12" i="381"/>
  <c r="J12" i="381"/>
  <c r="L12" i="381"/>
  <c r="M12" i="381" s="1"/>
  <c r="N12" i="381" s="1"/>
  <c r="Q12" i="381" s="1"/>
  <c r="R12" i="381" s="1"/>
  <c r="U12" i="381" s="1"/>
  <c r="O12" i="381"/>
  <c r="H13" i="381"/>
  <c r="J13" i="381"/>
  <c r="L13" i="381"/>
  <c r="O13" i="381"/>
  <c r="J14" i="381"/>
  <c r="L14" i="381"/>
  <c r="O14" i="381"/>
  <c r="H15" i="381"/>
  <c r="J15" i="381"/>
  <c r="L15" i="381"/>
  <c r="O15" i="381"/>
  <c r="H16" i="381"/>
  <c r="J16" i="381"/>
  <c r="L16" i="381"/>
  <c r="O16" i="381"/>
  <c r="D17" i="381"/>
  <c r="J18" i="381"/>
  <c r="H19" i="381"/>
  <c r="J19" i="381"/>
  <c r="M19" i="381" s="1"/>
  <c r="N19" i="381" s="1"/>
  <c r="Q19" i="381" s="1"/>
  <c r="L19" i="381"/>
  <c r="O19" i="381"/>
  <c r="H20" i="381"/>
  <c r="J20" i="381"/>
  <c r="M20" i="381" s="1"/>
  <c r="N20" i="381" s="1"/>
  <c r="Q20" i="381" s="1"/>
  <c r="L20" i="381"/>
  <c r="O20" i="381"/>
  <c r="H21" i="381"/>
  <c r="J21" i="381"/>
  <c r="M21" i="381" s="1"/>
  <c r="N21" i="381" s="1"/>
  <c r="Q21" i="381" s="1"/>
  <c r="L21" i="381"/>
  <c r="O21" i="381"/>
  <c r="B9" i="266"/>
  <c r="C9" i="266" s="1"/>
  <c r="D9" i="266" s="1"/>
  <c r="E9" i="266" s="1"/>
  <c r="F9" i="266" s="1"/>
  <c r="G9" i="266" s="1"/>
  <c r="H9" i="266" s="1"/>
  <c r="I9" i="266" s="1"/>
  <c r="J9" i="266" s="1"/>
  <c r="K9" i="266" s="1"/>
  <c r="L9" i="266" s="1"/>
  <c r="M9" i="266" s="1"/>
  <c r="N9" i="266" s="1"/>
  <c r="O9" i="266" s="1"/>
  <c r="P9" i="266" s="1"/>
  <c r="Q9" i="266" s="1"/>
  <c r="R9" i="266" s="1"/>
  <c r="S9" i="266" s="1"/>
  <c r="T9" i="266" s="1"/>
  <c r="U9" i="266" s="1"/>
  <c r="V9" i="266" s="1"/>
  <c r="W9" i="266" s="1"/>
  <c r="X9" i="266" s="1"/>
  <c r="Y9" i="266" s="1"/>
  <c r="Z9" i="266" s="1"/>
  <c r="AA9" i="266" s="1"/>
  <c r="AB9" i="266" s="1"/>
  <c r="AC9" i="266" s="1"/>
  <c r="AD9" i="266" s="1"/>
  <c r="AE9" i="266" s="1"/>
  <c r="AF9" i="266" s="1"/>
  <c r="AG9" i="266" s="1"/>
  <c r="AH9" i="266" s="1"/>
  <c r="AI9" i="266" s="1"/>
  <c r="AJ9" i="266" s="1"/>
  <c r="AK9" i="266" s="1"/>
  <c r="AL9" i="266" s="1"/>
  <c r="AM9" i="266" s="1"/>
  <c r="AN9" i="266" s="1"/>
  <c r="AO9" i="266" s="1"/>
  <c r="AP9" i="266" s="1"/>
  <c r="AQ9" i="266" s="1"/>
  <c r="AR9" i="266" s="1"/>
  <c r="AS9" i="266" s="1"/>
  <c r="AT9" i="266" s="1"/>
  <c r="AU9" i="266" s="1"/>
  <c r="AV9" i="266" s="1"/>
  <c r="AW9" i="266" s="1"/>
  <c r="AX9" i="266" s="1"/>
  <c r="AY9" i="266" s="1"/>
  <c r="AZ9" i="266" s="1"/>
  <c r="BA9" i="266" s="1"/>
  <c r="BB9" i="266" s="1"/>
  <c r="BC9" i="266" s="1"/>
  <c r="BD9" i="266" s="1"/>
  <c r="BE9" i="266" s="1"/>
  <c r="BF9" i="266" s="1"/>
  <c r="BG9" i="266" s="1"/>
  <c r="BH9" i="266" s="1"/>
  <c r="BI9" i="266" s="1"/>
  <c r="BJ9" i="266" s="1"/>
  <c r="BK9" i="266" s="1"/>
  <c r="BL9" i="266" s="1"/>
  <c r="BM9" i="266" s="1"/>
  <c r="BN9" i="266" s="1"/>
  <c r="BO9" i="266" s="1"/>
  <c r="BP9" i="266" s="1"/>
  <c r="BQ9" i="266" s="1"/>
  <c r="BR9" i="266" s="1"/>
  <c r="BS9" i="266" s="1"/>
  <c r="BT9" i="266" s="1"/>
  <c r="BU9" i="266" s="1"/>
  <c r="BV9" i="266" s="1"/>
  <c r="BW9" i="266" s="1"/>
  <c r="BX9" i="266" s="1"/>
  <c r="M10" i="266"/>
  <c r="R10" i="266"/>
  <c r="S10" i="266"/>
  <c r="T10" i="266"/>
  <c r="U10" i="266"/>
  <c r="V10" i="266"/>
  <c r="X10" i="266"/>
  <c r="AB10" i="266" s="1"/>
  <c r="Y10" i="266"/>
  <c r="Z10" i="266"/>
  <c r="AA10" i="266"/>
  <c r="AM10" i="266"/>
  <c r="AX10" i="266"/>
  <c r="BF10" i="266"/>
  <c r="M11" i="266"/>
  <c r="R11" i="266"/>
  <c r="R42" i="266" s="1"/>
  <c r="S11" i="266"/>
  <c r="T11" i="266"/>
  <c r="U11" i="266"/>
  <c r="V11" i="266"/>
  <c r="X11" i="266"/>
  <c r="Y11" i="266"/>
  <c r="Z11" i="266"/>
  <c r="AA11" i="266"/>
  <c r="AA42" i="266" s="1"/>
  <c r="AM11" i="266"/>
  <c r="AX11" i="266"/>
  <c r="BF11" i="266"/>
  <c r="M12" i="266"/>
  <c r="M42" i="266" s="1"/>
  <c r="R12" i="266"/>
  <c r="S12" i="266"/>
  <c r="T12" i="266"/>
  <c r="U12" i="266"/>
  <c r="W12" i="266" s="1"/>
  <c r="V12" i="266"/>
  <c r="X12" i="266"/>
  <c r="Y12" i="266"/>
  <c r="Z12" i="266"/>
  <c r="Z42" i="266" s="1"/>
  <c r="Z43" i="266" s="1"/>
  <c r="Z44" i="266" s="1"/>
  <c r="AA12" i="266"/>
  <c r="AM12" i="266"/>
  <c r="AX12" i="266"/>
  <c r="BF12" i="266"/>
  <c r="BF42" i="266" s="1"/>
  <c r="BF43" i="266" s="1"/>
  <c r="BF44" i="266" s="1"/>
  <c r="M13" i="266"/>
  <c r="R13" i="266"/>
  <c r="S13" i="266"/>
  <c r="T13" i="266"/>
  <c r="W13" i="266" s="1"/>
  <c r="U13" i="266"/>
  <c r="V13" i="266"/>
  <c r="X13" i="266"/>
  <c r="Y13" i="266"/>
  <c r="AB13" i="266" s="1"/>
  <c r="Z13" i="266"/>
  <c r="AA13" i="266"/>
  <c r="AM13" i="266"/>
  <c r="AX13" i="266"/>
  <c r="BF13" i="266"/>
  <c r="M14" i="266"/>
  <c r="R14" i="266"/>
  <c r="S14" i="266"/>
  <c r="T14" i="266"/>
  <c r="U14" i="266"/>
  <c r="V14" i="266"/>
  <c r="X14" i="266"/>
  <c r="AB14" i="266" s="1"/>
  <c r="AD14" i="266" s="1"/>
  <c r="Y14" i="266"/>
  <c r="Z14" i="266"/>
  <c r="AA14" i="266"/>
  <c r="AM14" i="266"/>
  <c r="AX14" i="266"/>
  <c r="BF14" i="266"/>
  <c r="M15" i="266"/>
  <c r="R15" i="266"/>
  <c r="S15" i="266"/>
  <c r="T15" i="266"/>
  <c r="U15" i="266"/>
  <c r="V15" i="266"/>
  <c r="X15" i="266"/>
  <c r="Y15" i="266"/>
  <c r="Z15" i="266"/>
  <c r="AA15" i="266"/>
  <c r="AM15" i="266"/>
  <c r="AX15" i="266"/>
  <c r="BF15" i="266"/>
  <c r="M16" i="266"/>
  <c r="R16" i="266"/>
  <c r="S16" i="266"/>
  <c r="T16" i="266"/>
  <c r="U16" i="266"/>
  <c r="W16" i="266" s="1"/>
  <c r="V16" i="266"/>
  <c r="X16" i="266"/>
  <c r="Y16" i="266"/>
  <c r="Z16" i="266"/>
  <c r="AA16" i="266"/>
  <c r="AM16" i="266"/>
  <c r="AX16" i="266"/>
  <c r="BF16" i="266"/>
  <c r="M17" i="266"/>
  <c r="R17" i="266"/>
  <c r="S17" i="266"/>
  <c r="T17" i="266"/>
  <c r="U17" i="266"/>
  <c r="V17" i="266"/>
  <c r="X17" i="266"/>
  <c r="Y17" i="266"/>
  <c r="Z17" i="266"/>
  <c r="AA17" i="266"/>
  <c r="AM17" i="266"/>
  <c r="AX17" i="266"/>
  <c r="BF17" i="266"/>
  <c r="M18" i="266"/>
  <c r="R18" i="266"/>
  <c r="S18" i="266"/>
  <c r="T18" i="266"/>
  <c r="U18" i="266"/>
  <c r="V18" i="266"/>
  <c r="X18" i="266"/>
  <c r="AB18" i="266" s="1"/>
  <c r="BH18" i="266" s="1"/>
  <c r="Y18" i="266"/>
  <c r="Z18" i="266"/>
  <c r="AA18" i="266"/>
  <c r="AM18" i="266"/>
  <c r="AX18" i="266"/>
  <c r="BF18" i="266"/>
  <c r="M19" i="266"/>
  <c r="R19" i="266"/>
  <c r="S19" i="266"/>
  <c r="T19" i="266"/>
  <c r="U19" i="266"/>
  <c r="V19" i="266"/>
  <c r="W19" i="266" s="1"/>
  <c r="BG19" i="266" s="1"/>
  <c r="X19" i="266"/>
  <c r="Y19" i="266"/>
  <c r="Z19" i="266"/>
  <c r="AA19" i="266"/>
  <c r="AM19" i="266"/>
  <c r="AX19" i="266"/>
  <c r="BF19" i="266"/>
  <c r="M20" i="266"/>
  <c r="R20" i="266"/>
  <c r="S20" i="266"/>
  <c r="T20" i="266"/>
  <c r="U20" i="266"/>
  <c r="W20" i="266" s="1"/>
  <c r="AC20" i="266" s="1"/>
  <c r="AI20" i="266" s="1"/>
  <c r="V20" i="266"/>
  <c r="X20" i="266"/>
  <c r="Y20" i="266"/>
  <c r="Z20" i="266"/>
  <c r="AB20" i="266" s="1"/>
  <c r="AD20" i="266" s="1"/>
  <c r="AA20" i="266"/>
  <c r="AM20" i="266"/>
  <c r="AX20" i="266"/>
  <c r="BF20" i="266"/>
  <c r="M21" i="266"/>
  <c r="R21" i="266"/>
  <c r="S21" i="266"/>
  <c r="T21" i="266"/>
  <c r="W21" i="266" s="1"/>
  <c r="U21" i="266"/>
  <c r="V21" i="266"/>
  <c r="X21" i="266"/>
  <c r="Y21" i="266"/>
  <c r="Z21" i="266"/>
  <c r="AA21" i="266"/>
  <c r="AM21" i="266"/>
  <c r="AX21" i="266"/>
  <c r="BF21" i="266"/>
  <c r="M22" i="266"/>
  <c r="R22" i="266"/>
  <c r="S22" i="266"/>
  <c r="W22" i="266" s="1"/>
  <c r="BG22" i="266" s="1"/>
  <c r="T22" i="266"/>
  <c r="U22" i="266"/>
  <c r="V22" i="266"/>
  <c r="X22" i="266"/>
  <c r="Y22" i="266"/>
  <c r="Z22" i="266"/>
  <c r="AA22" i="266"/>
  <c r="AM22" i="266"/>
  <c r="AX22" i="266"/>
  <c r="BF22" i="266"/>
  <c r="M23" i="266"/>
  <c r="R23" i="266"/>
  <c r="S23" i="266"/>
  <c r="T23" i="266"/>
  <c r="U23" i="266"/>
  <c r="V23" i="266"/>
  <c r="W23" i="266" s="1"/>
  <c r="X23" i="266"/>
  <c r="Y23" i="266"/>
  <c r="Z23" i="266"/>
  <c r="AA23" i="266"/>
  <c r="AB23" i="266" s="1"/>
  <c r="AM23" i="266"/>
  <c r="AX23" i="266"/>
  <c r="BF23" i="266"/>
  <c r="M24" i="266"/>
  <c r="R24" i="266"/>
  <c r="S24" i="266"/>
  <c r="T24" i="266"/>
  <c r="U24" i="266"/>
  <c r="V24" i="266"/>
  <c r="X24" i="266"/>
  <c r="Y24" i="266"/>
  <c r="Z24" i="266"/>
  <c r="AA24" i="266"/>
  <c r="AM24" i="266"/>
  <c r="AX24" i="266"/>
  <c r="BF24" i="266"/>
  <c r="M25" i="266"/>
  <c r="R25" i="266"/>
  <c r="S25" i="266"/>
  <c r="T25" i="266"/>
  <c r="U25" i="266"/>
  <c r="V25" i="266"/>
  <c r="X25" i="266"/>
  <c r="Y25" i="266"/>
  <c r="Z25" i="266"/>
  <c r="AA25" i="266"/>
  <c r="AM25" i="266"/>
  <c r="AX25" i="266"/>
  <c r="BF25" i="266"/>
  <c r="M26" i="266"/>
  <c r="R26" i="266"/>
  <c r="S26" i="266"/>
  <c r="W26" i="266" s="1"/>
  <c r="T26" i="266"/>
  <c r="U26" i="266"/>
  <c r="V26" i="266"/>
  <c r="X26" i="266"/>
  <c r="Y26" i="266"/>
  <c r="Z26" i="266"/>
  <c r="AA26" i="266"/>
  <c r="AM26" i="266"/>
  <c r="AX26" i="266"/>
  <c r="BF26" i="266"/>
  <c r="M27" i="266"/>
  <c r="R27" i="266"/>
  <c r="S27" i="266"/>
  <c r="T27" i="266"/>
  <c r="U27" i="266"/>
  <c r="V27" i="266"/>
  <c r="X27" i="266"/>
  <c r="Y27" i="266"/>
  <c r="Z27" i="266"/>
  <c r="AA27" i="266"/>
  <c r="AM27" i="266"/>
  <c r="AX27" i="266"/>
  <c r="BF27" i="266"/>
  <c r="M28" i="266"/>
  <c r="R28" i="266"/>
  <c r="S28" i="266"/>
  <c r="T28" i="266"/>
  <c r="U28" i="266"/>
  <c r="V28" i="266"/>
  <c r="X28" i="266"/>
  <c r="Y28" i="266"/>
  <c r="Z28" i="266"/>
  <c r="AA28" i="266"/>
  <c r="AM28" i="266"/>
  <c r="AX28" i="266"/>
  <c r="BF28" i="266"/>
  <c r="M29" i="266"/>
  <c r="R29" i="266"/>
  <c r="S29" i="266"/>
  <c r="T29" i="266"/>
  <c r="U29" i="266"/>
  <c r="V29" i="266"/>
  <c r="X29" i="266"/>
  <c r="Y29" i="266"/>
  <c r="Z29" i="266"/>
  <c r="AA29" i="266"/>
  <c r="AM29" i="266"/>
  <c r="AX29" i="266"/>
  <c r="BF29" i="266"/>
  <c r="M30" i="266"/>
  <c r="R30" i="266"/>
  <c r="S30" i="266"/>
  <c r="T30" i="266"/>
  <c r="U30" i="266"/>
  <c r="V30" i="266"/>
  <c r="X30" i="266"/>
  <c r="Y30" i="266"/>
  <c r="Z30" i="266"/>
  <c r="AA30" i="266"/>
  <c r="AM30" i="266"/>
  <c r="AX30" i="266"/>
  <c r="BF30" i="266"/>
  <c r="M31" i="266"/>
  <c r="R31" i="266"/>
  <c r="S31" i="266"/>
  <c r="T31" i="266"/>
  <c r="U31" i="266"/>
  <c r="V31" i="266"/>
  <c r="X31" i="266"/>
  <c r="Y31" i="266"/>
  <c r="Z31" i="266"/>
  <c r="AA31" i="266"/>
  <c r="AM31" i="266"/>
  <c r="AX31" i="266"/>
  <c r="BF31" i="266"/>
  <c r="M32" i="266"/>
  <c r="R32" i="266"/>
  <c r="S32" i="266"/>
  <c r="T32" i="266"/>
  <c r="U32" i="266"/>
  <c r="V32" i="266"/>
  <c r="X32" i="266"/>
  <c r="Y32" i="266"/>
  <c r="Z32" i="266"/>
  <c r="AA32" i="266"/>
  <c r="AM32" i="266"/>
  <c r="AX32" i="266"/>
  <c r="BF32" i="266"/>
  <c r="M33" i="266"/>
  <c r="R33" i="266"/>
  <c r="S33" i="266"/>
  <c r="T33" i="266"/>
  <c r="W33" i="266" s="1"/>
  <c r="U33" i="266"/>
  <c r="V33" i="266"/>
  <c r="X33" i="266"/>
  <c r="Y33" i="266"/>
  <c r="AB33" i="266" s="1"/>
  <c r="Z33" i="266"/>
  <c r="AA33" i="266"/>
  <c r="AM33" i="266"/>
  <c r="AX33" i="266"/>
  <c r="BF33" i="266"/>
  <c r="M34" i="266"/>
  <c r="R34" i="266"/>
  <c r="S34" i="266"/>
  <c r="T34" i="266"/>
  <c r="U34" i="266"/>
  <c r="V34" i="266"/>
  <c r="X34" i="266"/>
  <c r="Y34" i="266"/>
  <c r="Z34" i="266"/>
  <c r="AA34" i="266"/>
  <c r="AM34" i="266"/>
  <c r="AX34" i="266"/>
  <c r="BF34" i="266"/>
  <c r="M35" i="266"/>
  <c r="R35" i="266"/>
  <c r="S35" i="266"/>
  <c r="T35" i="266"/>
  <c r="U35" i="266"/>
  <c r="V35" i="266"/>
  <c r="X35" i="266"/>
  <c r="Y35" i="266"/>
  <c r="Z35" i="266"/>
  <c r="AA35" i="266"/>
  <c r="AM35" i="266"/>
  <c r="AX35" i="266"/>
  <c r="BF35" i="266"/>
  <c r="M36" i="266"/>
  <c r="R36" i="266"/>
  <c r="S36" i="266"/>
  <c r="T36" i="266"/>
  <c r="U36" i="266"/>
  <c r="V36" i="266"/>
  <c r="X36" i="266"/>
  <c r="Y36" i="266"/>
  <c r="Z36" i="266"/>
  <c r="AA36" i="266"/>
  <c r="AM36" i="266"/>
  <c r="AX36" i="266"/>
  <c r="BF36" i="266"/>
  <c r="M37" i="266"/>
  <c r="R37" i="266"/>
  <c r="S37" i="266"/>
  <c r="T37" i="266"/>
  <c r="U37" i="266"/>
  <c r="V37" i="266"/>
  <c r="X37" i="266"/>
  <c r="Y37" i="266"/>
  <c r="AB37" i="266" s="1"/>
  <c r="BH37" i="266" s="1"/>
  <c r="Z37" i="266"/>
  <c r="AA37" i="266"/>
  <c r="AM37" i="266"/>
  <c r="AX37" i="266"/>
  <c r="BF37" i="266"/>
  <c r="M38" i="266"/>
  <c r="R38" i="266"/>
  <c r="S38" i="266"/>
  <c r="T38" i="266"/>
  <c r="U38" i="266"/>
  <c r="V38" i="266"/>
  <c r="X38" i="266"/>
  <c r="Y38" i="266"/>
  <c r="Z38" i="266"/>
  <c r="AA38" i="266"/>
  <c r="AM38" i="266"/>
  <c r="AX38" i="266"/>
  <c r="BF38" i="266"/>
  <c r="M39" i="266"/>
  <c r="R39" i="266"/>
  <c r="S39" i="266"/>
  <c r="T39" i="266"/>
  <c r="U39" i="266"/>
  <c r="V39" i="266"/>
  <c r="X39" i="266"/>
  <c r="Y39" i="266"/>
  <c r="Z39" i="266"/>
  <c r="AA39" i="266"/>
  <c r="AM39" i="266"/>
  <c r="AX39" i="266"/>
  <c r="BF39" i="266"/>
  <c r="M40" i="266"/>
  <c r="R40" i="266"/>
  <c r="S40" i="266"/>
  <c r="T40" i="266"/>
  <c r="U40" i="266"/>
  <c r="V40" i="266"/>
  <c r="X40" i="266"/>
  <c r="Y40" i="266"/>
  <c r="Z40" i="266"/>
  <c r="AA40" i="266"/>
  <c r="AM40" i="266"/>
  <c r="AX40" i="266"/>
  <c r="BF40" i="266"/>
  <c r="M41" i="266"/>
  <c r="R41" i="266"/>
  <c r="S41" i="266"/>
  <c r="T41" i="266"/>
  <c r="U41" i="266"/>
  <c r="V41" i="266"/>
  <c r="X41" i="266"/>
  <c r="Y41" i="266"/>
  <c r="Z41" i="266"/>
  <c r="AA41" i="266"/>
  <c r="AM41" i="266"/>
  <c r="AX41" i="266"/>
  <c r="BF41" i="266"/>
  <c r="I42" i="266"/>
  <c r="J42" i="266"/>
  <c r="K42" i="266"/>
  <c r="L42" i="266"/>
  <c r="N42" i="266"/>
  <c r="O42" i="266"/>
  <c r="P42" i="266"/>
  <c r="Q42" i="266"/>
  <c r="AF42" i="266"/>
  <c r="AF44" i="266" s="1"/>
  <c r="AG42" i="266"/>
  <c r="AG44" i="266" s="1"/>
  <c r="AQ42" i="266"/>
  <c r="AQ44" i="266" s="1"/>
  <c r="AR42" i="266"/>
  <c r="AR44" i="266" s="1"/>
  <c r="BD42" i="266"/>
  <c r="BE42" i="266"/>
  <c r="AH44" i="266"/>
  <c r="AJ44" i="266"/>
  <c r="AL44" i="266"/>
  <c r="AN44" i="266"/>
  <c r="AS44" i="266"/>
  <c r="AU44" i="266"/>
  <c r="AW44" i="266"/>
  <c r="B65" i="266"/>
  <c r="C65" i="266" s="1"/>
  <c r="D65" i="266" s="1"/>
  <c r="E65" i="266" s="1"/>
  <c r="F65" i="266" s="1"/>
  <c r="G65" i="266" s="1"/>
  <c r="H65" i="266" s="1"/>
  <c r="I65" i="266" s="1"/>
  <c r="J65" i="266" s="1"/>
  <c r="K65" i="266" s="1"/>
  <c r="L65" i="266" s="1"/>
  <c r="M65" i="266" s="1"/>
  <c r="N65" i="266" s="1"/>
  <c r="O65" i="266" s="1"/>
  <c r="P65" i="266" s="1"/>
  <c r="Q65" i="266" s="1"/>
  <c r="R65" i="266" s="1"/>
  <c r="S65" i="266" s="1"/>
  <c r="T65" i="266" s="1"/>
  <c r="U65" i="266" s="1"/>
  <c r="V65" i="266" s="1"/>
  <c r="W65" i="266" s="1"/>
  <c r="X65" i="266" s="1"/>
  <c r="Y65" i="266" s="1"/>
  <c r="Z65" i="266" s="1"/>
  <c r="AA65" i="266" s="1"/>
  <c r="AB65" i="266" s="1"/>
  <c r="AC65" i="266" s="1"/>
  <c r="AD65" i="266" s="1"/>
  <c r="AE65" i="266" s="1"/>
  <c r="AF65" i="266" s="1"/>
  <c r="AG65" i="266" s="1"/>
  <c r="AH65" i="266" s="1"/>
  <c r="AI65" i="266" s="1"/>
  <c r="AJ65" i="266" s="1"/>
  <c r="AK65" i="266" s="1"/>
  <c r="AL65" i="266" s="1"/>
  <c r="AM65" i="266" s="1"/>
  <c r="AN65" i="266" s="1"/>
  <c r="AO65" i="266" s="1"/>
  <c r="AP65" i="266" s="1"/>
  <c r="AQ65" i="266" s="1"/>
  <c r="AR65" i="266" s="1"/>
  <c r="AS65" i="266" s="1"/>
  <c r="AT65" i="266" s="1"/>
  <c r="AU65" i="266" s="1"/>
  <c r="AV65" i="266" s="1"/>
  <c r="AW65" i="266" s="1"/>
  <c r="AX65" i="266" s="1"/>
  <c r="AY65" i="266" s="1"/>
  <c r="AZ65" i="266" s="1"/>
  <c r="BA65" i="266" s="1"/>
  <c r="BB65" i="266" s="1"/>
  <c r="BC65" i="266" s="1"/>
  <c r="BD65" i="266" s="1"/>
  <c r="BE65" i="266" s="1"/>
  <c r="BF65" i="266" s="1"/>
  <c r="BG65" i="266" s="1"/>
  <c r="BH65" i="266" s="1"/>
  <c r="BI65" i="266" s="1"/>
  <c r="BJ65" i="266" s="1"/>
  <c r="BK65" i="266" s="1"/>
  <c r="BL65" i="266" s="1"/>
  <c r="BM65" i="266" s="1"/>
  <c r="BN65" i="266" s="1"/>
  <c r="BO65" i="266" s="1"/>
  <c r="BP65" i="266" s="1"/>
  <c r="BQ65" i="266" s="1"/>
  <c r="BR65" i="266" s="1"/>
  <c r="BS65" i="266" s="1"/>
  <c r="BT65" i="266" s="1"/>
  <c r="BU65" i="266" s="1"/>
  <c r="BV65" i="266" s="1"/>
  <c r="BW65" i="266" s="1"/>
  <c r="BX65" i="266" s="1"/>
  <c r="M66" i="266"/>
  <c r="R66" i="266"/>
  <c r="S66" i="266"/>
  <c r="T66" i="266"/>
  <c r="U66" i="266"/>
  <c r="V66" i="266"/>
  <c r="X66" i="266"/>
  <c r="Y66" i="266"/>
  <c r="Z66" i="266"/>
  <c r="AA66" i="266"/>
  <c r="AM66" i="266"/>
  <c r="AX66" i="266"/>
  <c r="BF66" i="266"/>
  <c r="M67" i="266"/>
  <c r="R67" i="266"/>
  <c r="S67" i="266"/>
  <c r="T67" i="266"/>
  <c r="W67" i="266" s="1"/>
  <c r="U67" i="266"/>
  <c r="V67" i="266"/>
  <c r="X67" i="266"/>
  <c r="Y67" i="266"/>
  <c r="Z67" i="266"/>
  <c r="AA67" i="266"/>
  <c r="AM67" i="266"/>
  <c r="AX67" i="266"/>
  <c r="BF67" i="266"/>
  <c r="M68" i="266"/>
  <c r="R68" i="266"/>
  <c r="S68" i="266"/>
  <c r="S98" i="266" s="1"/>
  <c r="S99" i="266" s="1"/>
  <c r="S100" i="266" s="1"/>
  <c r="T68" i="266"/>
  <c r="U68" i="266"/>
  <c r="V68" i="266"/>
  <c r="X68" i="266"/>
  <c r="Y68" i="266"/>
  <c r="Z68" i="266"/>
  <c r="AA68" i="266"/>
  <c r="AM68" i="266"/>
  <c r="AX68" i="266"/>
  <c r="BF68" i="266"/>
  <c r="M69" i="266"/>
  <c r="R69" i="266"/>
  <c r="S69" i="266"/>
  <c r="T69" i="266"/>
  <c r="U69" i="266"/>
  <c r="V69" i="266"/>
  <c r="W69" i="266" s="1"/>
  <c r="AC69" i="266" s="1"/>
  <c r="X69" i="266"/>
  <c r="Y69" i="266"/>
  <c r="Z69" i="266"/>
  <c r="AA69" i="266"/>
  <c r="AM69" i="266"/>
  <c r="AX69" i="266"/>
  <c r="BF69" i="266"/>
  <c r="M70" i="266"/>
  <c r="R70" i="266"/>
  <c r="S70" i="266"/>
  <c r="T70" i="266"/>
  <c r="U70" i="266"/>
  <c r="W70" i="266" s="1"/>
  <c r="AC70" i="266" s="1"/>
  <c r="V70" i="266"/>
  <c r="X70" i="266"/>
  <c r="Y70" i="266"/>
  <c r="Z70" i="266"/>
  <c r="AB70" i="266" s="1"/>
  <c r="AA70" i="266"/>
  <c r="AM70" i="266"/>
  <c r="AX70" i="266"/>
  <c r="BF70" i="266"/>
  <c r="M71" i="266"/>
  <c r="R71" i="266"/>
  <c r="S71" i="266"/>
  <c r="T71" i="266"/>
  <c r="W71" i="266" s="1"/>
  <c r="U71" i="266"/>
  <c r="V71" i="266"/>
  <c r="X71" i="266"/>
  <c r="Y71" i="266"/>
  <c r="Z71" i="266"/>
  <c r="AA71" i="266"/>
  <c r="AM71" i="266"/>
  <c r="AX71" i="266"/>
  <c r="BF71" i="266"/>
  <c r="M72" i="266"/>
  <c r="R72" i="266"/>
  <c r="S72" i="266"/>
  <c r="T72" i="266"/>
  <c r="U72" i="266"/>
  <c r="V72" i="266"/>
  <c r="X72" i="266"/>
  <c r="Y72" i="266"/>
  <c r="Z72" i="266"/>
  <c r="AA72" i="266"/>
  <c r="AM72" i="266"/>
  <c r="AX72" i="266"/>
  <c r="BF72" i="266"/>
  <c r="M73" i="266"/>
  <c r="R73" i="266"/>
  <c r="S73" i="266"/>
  <c r="T73" i="266"/>
  <c r="U73" i="266"/>
  <c r="V73" i="266"/>
  <c r="W73" i="266" s="1"/>
  <c r="AC73" i="266" s="1"/>
  <c r="X73" i="266"/>
  <c r="Y73" i="266"/>
  <c r="Z73" i="266"/>
  <c r="AA73" i="266"/>
  <c r="AM73" i="266"/>
  <c r="AX73" i="266"/>
  <c r="BF73" i="266"/>
  <c r="M74" i="266"/>
  <c r="R74" i="266"/>
  <c r="S74" i="266"/>
  <c r="T74" i="266"/>
  <c r="U74" i="266"/>
  <c r="V74" i="266"/>
  <c r="X74" i="266"/>
  <c r="Y74" i="266"/>
  <c r="Z74" i="266"/>
  <c r="AA74" i="266"/>
  <c r="AM74" i="266"/>
  <c r="AX74" i="266"/>
  <c r="BF74" i="266"/>
  <c r="M75" i="266"/>
  <c r="R75" i="266"/>
  <c r="S75" i="266"/>
  <c r="T75" i="266"/>
  <c r="U75" i="266"/>
  <c r="V75" i="266"/>
  <c r="X75" i="266"/>
  <c r="Y75" i="266"/>
  <c r="AB75" i="266" s="1"/>
  <c r="AD75" i="266" s="1"/>
  <c r="Z75" i="266"/>
  <c r="AA75" i="266"/>
  <c r="AM75" i="266"/>
  <c r="AX75" i="266"/>
  <c r="BF75" i="266"/>
  <c r="M76" i="266"/>
  <c r="R76" i="266"/>
  <c r="S76" i="266"/>
  <c r="W76" i="266" s="1"/>
  <c r="T76" i="266"/>
  <c r="U76" i="266"/>
  <c r="V76" i="266"/>
  <c r="X76" i="266"/>
  <c r="Y76" i="266"/>
  <c r="Z76" i="266"/>
  <c r="AA76" i="266"/>
  <c r="AM76" i="266"/>
  <c r="AX76" i="266"/>
  <c r="BF76" i="266"/>
  <c r="M77" i="266"/>
  <c r="R77" i="266"/>
  <c r="S77" i="266"/>
  <c r="T77" i="266"/>
  <c r="U77" i="266"/>
  <c r="V77" i="266"/>
  <c r="X77" i="266"/>
  <c r="Y77" i="266"/>
  <c r="Z77" i="266"/>
  <c r="AA77" i="266"/>
  <c r="AM77" i="266"/>
  <c r="AX77" i="266"/>
  <c r="BF77" i="266"/>
  <c r="M78" i="266"/>
  <c r="R78" i="266"/>
  <c r="S78" i="266"/>
  <c r="T78" i="266"/>
  <c r="U78" i="266"/>
  <c r="W78" i="266" s="1"/>
  <c r="BG78" i="266" s="1"/>
  <c r="V78" i="266"/>
  <c r="X78" i="266"/>
  <c r="Y78" i="266"/>
  <c r="Z78" i="266"/>
  <c r="AB78" i="266" s="1"/>
  <c r="AD78" i="266" s="1"/>
  <c r="AA78" i="266"/>
  <c r="AM78" i="266"/>
  <c r="AX78" i="266"/>
  <c r="BF78" i="266"/>
  <c r="M79" i="266"/>
  <c r="R79" i="266"/>
  <c r="S79" i="266"/>
  <c r="T79" i="266"/>
  <c r="W79" i="266" s="1"/>
  <c r="U79" i="266"/>
  <c r="V79" i="266"/>
  <c r="X79" i="266"/>
  <c r="Y79" i="266"/>
  <c r="Z79" i="266"/>
  <c r="AA79" i="266"/>
  <c r="AM79" i="266"/>
  <c r="AX79" i="266"/>
  <c r="BF79" i="266"/>
  <c r="M80" i="266"/>
  <c r="R80" i="266"/>
  <c r="S80" i="266"/>
  <c r="T80" i="266"/>
  <c r="U80" i="266"/>
  <c r="V80" i="266"/>
  <c r="X80" i="266"/>
  <c r="AB80" i="266" s="1"/>
  <c r="AD80" i="266" s="1"/>
  <c r="Y80" i="266"/>
  <c r="Z80" i="266"/>
  <c r="AA80" i="266"/>
  <c r="AM80" i="266"/>
  <c r="AX80" i="266"/>
  <c r="BF80" i="266"/>
  <c r="M81" i="266"/>
  <c r="R81" i="266"/>
  <c r="S81" i="266"/>
  <c r="T81" i="266"/>
  <c r="U81" i="266"/>
  <c r="V81" i="266"/>
  <c r="X81" i="266"/>
  <c r="Y81" i="266"/>
  <c r="Z81" i="266"/>
  <c r="AA81" i="266"/>
  <c r="AB81" i="266" s="1"/>
  <c r="AM81" i="266"/>
  <c r="AX81" i="266"/>
  <c r="BF81" i="266"/>
  <c r="M82" i="266"/>
  <c r="R82" i="266"/>
  <c r="S82" i="266"/>
  <c r="T82" i="266"/>
  <c r="U82" i="266"/>
  <c r="V82" i="266"/>
  <c r="X82" i="266"/>
  <c r="Y82" i="266"/>
  <c r="Z82" i="266"/>
  <c r="AB82" i="266" s="1"/>
  <c r="AA82" i="266"/>
  <c r="AM82" i="266"/>
  <c r="AX82" i="266"/>
  <c r="BF82" i="266"/>
  <c r="M83" i="266"/>
  <c r="R83" i="266"/>
  <c r="S83" i="266"/>
  <c r="T83" i="266"/>
  <c r="U83" i="266"/>
  <c r="V83" i="266"/>
  <c r="X83" i="266"/>
  <c r="Y83" i="266"/>
  <c r="Z83" i="266"/>
  <c r="AA83" i="266"/>
  <c r="AM83" i="266"/>
  <c r="AX83" i="266"/>
  <c r="BF83" i="266"/>
  <c r="M84" i="266"/>
  <c r="R84" i="266"/>
  <c r="S84" i="266"/>
  <c r="T84" i="266"/>
  <c r="U84" i="266"/>
  <c r="V84" i="266"/>
  <c r="X84" i="266"/>
  <c r="AB84" i="266" s="1"/>
  <c r="AD84" i="266" s="1"/>
  <c r="Y84" i="266"/>
  <c r="Z84" i="266"/>
  <c r="AA84" i="266"/>
  <c r="AM84" i="266"/>
  <c r="AX84" i="266"/>
  <c r="BF84" i="266"/>
  <c r="M85" i="266"/>
  <c r="R85" i="266"/>
  <c r="S85" i="266"/>
  <c r="T85" i="266"/>
  <c r="U85" i="266"/>
  <c r="V85" i="266"/>
  <c r="X85" i="266"/>
  <c r="Y85" i="266"/>
  <c r="Z85" i="266"/>
  <c r="AA85" i="266"/>
  <c r="AM85" i="266"/>
  <c r="AX85" i="266"/>
  <c r="BF85" i="266"/>
  <c r="M86" i="266"/>
  <c r="R86" i="266"/>
  <c r="S86" i="266"/>
  <c r="T86" i="266"/>
  <c r="U86" i="266"/>
  <c r="V86" i="266"/>
  <c r="X86" i="266"/>
  <c r="Y86" i="266"/>
  <c r="Z86" i="266"/>
  <c r="AB86" i="266" s="1"/>
  <c r="AA86" i="266"/>
  <c r="AM86" i="266"/>
  <c r="AX86" i="266"/>
  <c r="BF86" i="266"/>
  <c r="M87" i="266"/>
  <c r="R87" i="266"/>
  <c r="S87" i="266"/>
  <c r="T87" i="266"/>
  <c r="W87" i="266" s="1"/>
  <c r="U87" i="266"/>
  <c r="V87" i="266"/>
  <c r="X87" i="266"/>
  <c r="Y87" i="266"/>
  <c r="Z87" i="266"/>
  <c r="AA87" i="266"/>
  <c r="AM87" i="266"/>
  <c r="AX87" i="266"/>
  <c r="BF87" i="266"/>
  <c r="M88" i="266"/>
  <c r="R88" i="266"/>
  <c r="S88" i="266"/>
  <c r="T88" i="266"/>
  <c r="U88" i="266"/>
  <c r="V88" i="266"/>
  <c r="X88" i="266"/>
  <c r="AB88" i="266" s="1"/>
  <c r="Y88" i="266"/>
  <c r="Z88" i="266"/>
  <c r="AA88" i="266"/>
  <c r="AM88" i="266"/>
  <c r="AX88" i="266"/>
  <c r="BF88" i="266"/>
  <c r="M89" i="266"/>
  <c r="R89" i="266"/>
  <c r="S89" i="266"/>
  <c r="T89" i="266"/>
  <c r="U89" i="266"/>
  <c r="V89" i="266"/>
  <c r="X89" i="266"/>
  <c r="Y89" i="266"/>
  <c r="Z89" i="266"/>
  <c r="AA89" i="266"/>
  <c r="AM89" i="266"/>
  <c r="AX89" i="266"/>
  <c r="BF89" i="266"/>
  <c r="M90" i="266"/>
  <c r="R90" i="266"/>
  <c r="S90" i="266"/>
  <c r="T90" i="266"/>
  <c r="U90" i="266"/>
  <c r="V90" i="266"/>
  <c r="X90" i="266"/>
  <c r="Y90" i="266"/>
  <c r="Z90" i="266"/>
  <c r="AA90" i="266"/>
  <c r="AM90" i="266"/>
  <c r="AX90" i="266"/>
  <c r="BF90" i="266"/>
  <c r="M91" i="266"/>
  <c r="R91" i="266"/>
  <c r="S91" i="266"/>
  <c r="T91" i="266"/>
  <c r="U91" i="266"/>
  <c r="V91" i="266"/>
  <c r="X91" i="266"/>
  <c r="Y91" i="266"/>
  <c r="Z91" i="266"/>
  <c r="AA91" i="266"/>
  <c r="AM91" i="266"/>
  <c r="AX91" i="266"/>
  <c r="BF91" i="266"/>
  <c r="M92" i="266"/>
  <c r="R92" i="266"/>
  <c r="S92" i="266"/>
  <c r="T92" i="266"/>
  <c r="U92" i="266"/>
  <c r="V92" i="266"/>
  <c r="X92" i="266"/>
  <c r="AB92" i="266" s="1"/>
  <c r="BH92" i="266" s="1"/>
  <c r="Y92" i="266"/>
  <c r="Z92" i="266"/>
  <c r="AA92" i="266"/>
  <c r="AM92" i="266"/>
  <c r="AX92" i="266"/>
  <c r="BF92" i="266"/>
  <c r="M93" i="266"/>
  <c r="R93" i="266"/>
  <c r="S93" i="266"/>
  <c r="T93" i="266"/>
  <c r="U93" i="266"/>
  <c r="V93" i="266"/>
  <c r="W93" i="266" s="1"/>
  <c r="X93" i="266"/>
  <c r="Y93" i="266"/>
  <c r="Z93" i="266"/>
  <c r="AA93" i="266"/>
  <c r="AM93" i="266"/>
  <c r="AX93" i="266"/>
  <c r="BF93" i="266"/>
  <c r="M94" i="266"/>
  <c r="R94" i="266"/>
  <c r="S94" i="266"/>
  <c r="T94" i="266"/>
  <c r="U94" i="266"/>
  <c r="W94" i="266" s="1"/>
  <c r="V94" i="266"/>
  <c r="X94" i="266"/>
  <c r="Y94" i="266"/>
  <c r="Z94" i="266"/>
  <c r="AA94" i="266"/>
  <c r="AM94" i="266"/>
  <c r="AX94" i="266"/>
  <c r="BF94" i="266"/>
  <c r="M95" i="266"/>
  <c r="R95" i="266"/>
  <c r="S95" i="266"/>
  <c r="T95" i="266"/>
  <c r="W95" i="266" s="1"/>
  <c r="U95" i="266"/>
  <c r="V95" i="266"/>
  <c r="X95" i="266"/>
  <c r="Y95" i="266"/>
  <c r="Z95" i="266"/>
  <c r="AA95" i="266"/>
  <c r="AM95" i="266"/>
  <c r="AX95" i="266"/>
  <c r="BF95" i="266"/>
  <c r="M96" i="266"/>
  <c r="R96" i="266"/>
  <c r="S96" i="266"/>
  <c r="T96" i="266"/>
  <c r="U96" i="266"/>
  <c r="V96" i="266"/>
  <c r="X96" i="266"/>
  <c r="AB96" i="266" s="1"/>
  <c r="AD96" i="266" s="1"/>
  <c r="AT96" i="266" s="1"/>
  <c r="Y96" i="266"/>
  <c r="Z96" i="266"/>
  <c r="AA96" i="266"/>
  <c r="AM96" i="266"/>
  <c r="AX96" i="266"/>
  <c r="BF96" i="266"/>
  <c r="M97" i="266"/>
  <c r="R97" i="266"/>
  <c r="S97" i="266"/>
  <c r="T97" i="266"/>
  <c r="U97" i="266"/>
  <c r="V97" i="266"/>
  <c r="X97" i="266"/>
  <c r="Y97" i="266"/>
  <c r="Z97" i="266"/>
  <c r="AA97" i="266"/>
  <c r="AM97" i="266"/>
  <c r="AX97" i="266"/>
  <c r="BF97" i="266"/>
  <c r="I98" i="266"/>
  <c r="J98" i="266"/>
  <c r="K98" i="266"/>
  <c r="L98" i="266"/>
  <c r="N98" i="266"/>
  <c r="O98" i="266"/>
  <c r="P98" i="266"/>
  <c r="Q98" i="266"/>
  <c r="AF98" i="266"/>
  <c r="AF100" i="266" s="1"/>
  <c r="AG98" i="266"/>
  <c r="AG100" i="266" s="1"/>
  <c r="AQ98" i="266"/>
  <c r="AQ100" i="266" s="1"/>
  <c r="AR98" i="266"/>
  <c r="AR100" i="266" s="1"/>
  <c r="BD98" i="266"/>
  <c r="BD99" i="266" s="1"/>
  <c r="BD100" i="266" s="1"/>
  <c r="BE98" i="266"/>
  <c r="BE99" i="266" s="1"/>
  <c r="BE100" i="266" s="1"/>
  <c r="AH100" i="266"/>
  <c r="AJ100" i="266"/>
  <c r="AL100" i="266"/>
  <c r="AN100" i="266"/>
  <c r="AS100" i="266"/>
  <c r="AU100" i="266"/>
  <c r="AW100" i="266"/>
  <c r="G15" i="226"/>
  <c r="C15" i="226" s="1"/>
  <c r="I15" i="226"/>
  <c r="I17" i="226"/>
  <c r="G17" i="226" s="1"/>
  <c r="E17" i="226" s="1"/>
  <c r="F19" i="226"/>
  <c r="L20" i="226"/>
  <c r="L17" i="226" s="1"/>
  <c r="F22" i="226"/>
  <c r="H22" i="226"/>
  <c r="I22" i="226"/>
  <c r="K22" i="226"/>
  <c r="L22" i="226"/>
  <c r="F23" i="226"/>
  <c r="H23" i="226"/>
  <c r="H21" i="226" s="1"/>
  <c r="I23" i="226"/>
  <c r="K23" i="226"/>
  <c r="L23" i="226"/>
  <c r="F24" i="226"/>
  <c r="F48" i="226" s="1"/>
  <c r="F51" i="226" s="1"/>
  <c r="H24" i="226"/>
  <c r="I24" i="226"/>
  <c r="K24" i="226"/>
  <c r="L24" i="226"/>
  <c r="J24" i="226" s="1"/>
  <c r="H25" i="226"/>
  <c r="I25" i="226"/>
  <c r="K25" i="226"/>
  <c r="L25" i="226"/>
  <c r="J25" i="226" s="1"/>
  <c r="H26" i="226"/>
  <c r="I26" i="226"/>
  <c r="K26" i="226"/>
  <c r="L26" i="226"/>
  <c r="J26" i="226" s="1"/>
  <c r="F27" i="226"/>
  <c r="H27" i="226"/>
  <c r="D27" i="226" s="1"/>
  <c r="I27" i="226"/>
  <c r="L27" i="226"/>
  <c r="J27" i="226" s="1"/>
  <c r="F28" i="226"/>
  <c r="H28" i="226"/>
  <c r="D28" i="226" s="1"/>
  <c r="I28" i="226"/>
  <c r="L28" i="226"/>
  <c r="J28" i="226" s="1"/>
  <c r="F29" i="226"/>
  <c r="H29" i="226"/>
  <c r="I29" i="226"/>
  <c r="G29" i="226" s="1"/>
  <c r="K29" i="226"/>
  <c r="L29" i="226"/>
  <c r="H30" i="226"/>
  <c r="I30" i="226"/>
  <c r="K30" i="226"/>
  <c r="D30" i="226" s="1"/>
  <c r="L30" i="226"/>
  <c r="D31" i="226"/>
  <c r="F31" i="226"/>
  <c r="E31" i="226" s="1"/>
  <c r="G31" i="226"/>
  <c r="J31" i="226"/>
  <c r="H32" i="226"/>
  <c r="D32" i="226" s="1"/>
  <c r="I32" i="226"/>
  <c r="E32" i="226" s="1"/>
  <c r="E33" i="226"/>
  <c r="H33" i="226"/>
  <c r="F34" i="226"/>
  <c r="H34" i="226"/>
  <c r="I34" i="226"/>
  <c r="G34" i="226" s="1"/>
  <c r="K34" i="226"/>
  <c r="J34" i="226" s="1"/>
  <c r="H35" i="226"/>
  <c r="D35" i="226" s="1"/>
  <c r="I35" i="226"/>
  <c r="E35" i="226" s="1"/>
  <c r="J35" i="226"/>
  <c r="D36" i="226"/>
  <c r="F36" i="226"/>
  <c r="E36" i="226" s="1"/>
  <c r="G36" i="226"/>
  <c r="J36" i="226"/>
  <c r="F37" i="226"/>
  <c r="H37" i="226"/>
  <c r="I37" i="226"/>
  <c r="L37" i="226"/>
  <c r="J37" i="226" s="1"/>
  <c r="F38" i="226"/>
  <c r="H38" i="226"/>
  <c r="D38" i="226" s="1"/>
  <c r="I38" i="226"/>
  <c r="J38" i="226"/>
  <c r="H39" i="226"/>
  <c r="D39" i="226" s="1"/>
  <c r="I39" i="226"/>
  <c r="E39" i="226" s="1"/>
  <c r="D40" i="226"/>
  <c r="E40" i="226"/>
  <c r="C40" i="226" s="1"/>
  <c r="G40" i="226"/>
  <c r="J40" i="226"/>
  <c r="D41" i="226"/>
  <c r="I41" i="226"/>
  <c r="J41" i="226"/>
  <c r="D42" i="226"/>
  <c r="F42" i="226"/>
  <c r="E42" i="226" s="1"/>
  <c r="G42" i="226"/>
  <c r="J42" i="226"/>
  <c r="H43" i="226"/>
  <c r="D43" i="226" s="1"/>
  <c r="I43" i="226"/>
  <c r="E43" i="226" s="1"/>
  <c r="J43" i="226"/>
  <c r="H44" i="226"/>
  <c r="I44" i="226"/>
  <c r="K44" i="226"/>
  <c r="L44" i="226"/>
  <c r="E44" i="226" s="1"/>
  <c r="C44" i="226" s="1"/>
  <c r="D45" i="226"/>
  <c r="F45" i="226"/>
  <c r="E45" i="226" s="1"/>
  <c r="G45" i="226"/>
  <c r="J45" i="226"/>
  <c r="E46" i="226"/>
  <c r="H46" i="226"/>
  <c r="D46" i="226" s="1"/>
  <c r="J46" i="226"/>
  <c r="H47" i="226"/>
  <c r="D47" i="226" s="1"/>
  <c r="I47" i="226"/>
  <c r="K47" i="226"/>
  <c r="L47" i="226"/>
  <c r="H49" i="226"/>
  <c r="J49" i="226"/>
  <c r="C50" i="226"/>
  <c r="C16" i="225"/>
  <c r="C19" i="225"/>
  <c r="C18" i="225" s="1"/>
  <c r="C20" i="225"/>
  <c r="C22" i="225"/>
  <c r="C21" i="225" s="1"/>
  <c r="C25" i="225"/>
  <c r="C26" i="225"/>
  <c r="C24" i="225" s="1"/>
  <c r="C27" i="225"/>
  <c r="C29" i="225"/>
  <c r="C31" i="225"/>
  <c r="C32" i="225"/>
  <c r="C34" i="225"/>
  <c r="C35" i="225"/>
  <c r="C37" i="225"/>
  <c r="C40" i="225"/>
  <c r="C41" i="225"/>
  <c r="C42" i="225"/>
  <c r="C43" i="225"/>
  <c r="C44" i="225"/>
  <c r="C47" i="225"/>
  <c r="C45" i="225" s="1"/>
  <c r="C49" i="225"/>
  <c r="C50" i="225"/>
  <c r="C53" i="225"/>
  <c r="C54" i="225"/>
  <c r="C55" i="225"/>
  <c r="C56" i="225"/>
  <c r="C58" i="225"/>
  <c r="C57" i="225" s="1"/>
  <c r="C59" i="225"/>
  <c r="C60" i="225"/>
  <c r="C61" i="225"/>
  <c r="C64" i="225"/>
  <c r="C65" i="225"/>
  <c r="C66" i="225"/>
  <c r="C68" i="225"/>
  <c r="C69" i="225"/>
  <c r="C67" i="225" s="1"/>
  <c r="C70" i="225"/>
  <c r="C71" i="225"/>
  <c r="C75" i="225"/>
  <c r="C74" i="225" s="1"/>
  <c r="C73" i="225" s="1"/>
  <c r="C77" i="225"/>
  <c r="C76" i="225" s="1"/>
  <c r="C79" i="225"/>
  <c r="C80" i="225"/>
  <c r="C82" i="225"/>
  <c r="C84" i="225"/>
  <c r="C81" i="225" s="1"/>
  <c r="C86" i="225"/>
  <c r="C87" i="225"/>
  <c r="C88" i="225"/>
  <c r="C89" i="225"/>
  <c r="C90" i="225"/>
  <c r="C91" i="225"/>
  <c r="C92" i="225"/>
  <c r="C93" i="225"/>
  <c r="C94" i="225"/>
  <c r="C95" i="225"/>
  <c r="C97" i="225"/>
  <c r="C98" i="225"/>
  <c r="C96" i="225" s="1"/>
  <c r="C99" i="225"/>
  <c r="C102" i="225"/>
  <c r="C103" i="225"/>
  <c r="C104" i="225"/>
  <c r="C105" i="225"/>
  <c r="C110" i="225"/>
  <c r="C108" i="225" s="1"/>
  <c r="C112" i="225"/>
  <c r="C111" i="225" s="1"/>
  <c r="C114" i="225"/>
  <c r="C113" i="225" s="1"/>
  <c r="C116" i="225"/>
  <c r="C117" i="225"/>
  <c r="C118" i="225"/>
  <c r="C120" i="225"/>
  <c r="C119" i="225" s="1"/>
  <c r="C122" i="225"/>
  <c r="C121" i="225" s="1"/>
  <c r="C123" i="225"/>
  <c r="C125" i="225"/>
  <c r="E15" i="224"/>
  <c r="E16" i="224"/>
  <c r="E18" i="224"/>
  <c r="E19" i="224"/>
  <c r="E20" i="224"/>
  <c r="E21" i="224"/>
  <c r="E22" i="224"/>
  <c r="E23" i="224"/>
  <c r="E24" i="224"/>
  <c r="E25" i="224"/>
  <c r="E26" i="224"/>
  <c r="E27" i="224"/>
  <c r="E28" i="224"/>
  <c r="E29" i="224"/>
  <c r="E30" i="224"/>
  <c r="E31" i="224"/>
  <c r="E32" i="224"/>
  <c r="E33" i="224"/>
  <c r="E34" i="224"/>
  <c r="E35" i="224"/>
  <c r="E36" i="224"/>
  <c r="E37" i="224"/>
  <c r="E38" i="224"/>
  <c r="E39" i="224"/>
  <c r="E40" i="224"/>
  <c r="E41" i="224"/>
  <c r="E42" i="224"/>
  <c r="E43" i="224"/>
  <c r="E45" i="224"/>
  <c r="D6" i="237"/>
  <c r="D7" i="237"/>
  <c r="D8" i="237"/>
  <c r="E8" i="237" s="1"/>
  <c r="D9" i="237"/>
  <c r="E9" i="237" s="1"/>
  <c r="F9" i="237" s="1"/>
  <c r="G9" i="237" s="1"/>
  <c r="D10" i="237"/>
  <c r="E10" i="237" s="1"/>
  <c r="D11" i="237"/>
  <c r="E11" i="237" s="1"/>
  <c r="F11" i="237" s="1"/>
  <c r="D12" i="237"/>
  <c r="E12" i="237" s="1"/>
  <c r="D13" i="237"/>
  <c r="E13" i="237" s="1"/>
  <c r="F13" i="237" s="1"/>
  <c r="G13" i="237" s="1"/>
  <c r="D14" i="237"/>
  <c r="E14" i="237" s="1"/>
  <c r="F14" i="237" s="1"/>
  <c r="G14" i="237" s="1"/>
  <c r="D15" i="237"/>
  <c r="E15" i="237" s="1"/>
  <c r="D16" i="237"/>
  <c r="E16" i="237" s="1"/>
  <c r="C17" i="237"/>
  <c r="D31" i="237"/>
  <c r="E31" i="237" s="1"/>
  <c r="D32" i="237"/>
  <c r="E32" i="237" s="1"/>
  <c r="D33" i="237"/>
  <c r="E33" i="237" s="1"/>
  <c r="D34" i="237"/>
  <c r="E34" i="237" s="1"/>
  <c r="F34" i="237" s="1"/>
  <c r="G34" i="237" s="1"/>
  <c r="D35" i="237"/>
  <c r="E35" i="237" s="1"/>
  <c r="F35" i="237" s="1"/>
  <c r="D36" i="237"/>
  <c r="D37" i="237"/>
  <c r="E37" i="237" s="1"/>
  <c r="D38" i="237"/>
  <c r="E38" i="237" s="1"/>
  <c r="F38" i="237" s="1"/>
  <c r="G38" i="237" s="1"/>
  <c r="D39" i="237"/>
  <c r="E39" i="237" s="1"/>
  <c r="D40" i="237"/>
  <c r="E40" i="237" s="1"/>
  <c r="D41" i="237"/>
  <c r="E41" i="237" s="1"/>
  <c r="C42" i="237"/>
  <c r="R194" i="405"/>
  <c r="R276" i="405"/>
  <c r="S276" i="405" s="1"/>
  <c r="T276" i="405" s="1"/>
  <c r="E9" i="406"/>
  <c r="E9" i="405"/>
  <c r="S14" i="408"/>
  <c r="T14" i="408" s="1"/>
  <c r="S110" i="408"/>
  <c r="T110" i="408" s="1"/>
  <c r="T336" i="408"/>
  <c r="T199" i="408"/>
  <c r="H48" i="404"/>
  <c r="F43" i="402"/>
  <c r="G43" i="402" s="1"/>
  <c r="G55" i="124"/>
  <c r="S56" i="393"/>
  <c r="H48" i="285"/>
  <c r="J10" i="293"/>
  <c r="S277" i="388"/>
  <c r="T277" i="388" s="1"/>
  <c r="S275" i="388"/>
  <c r="T275" i="388" s="1"/>
  <c r="S273" i="388"/>
  <c r="T273" i="388" s="1"/>
  <c r="S271" i="388"/>
  <c r="T271" i="388" s="1"/>
  <c r="S269" i="388"/>
  <c r="T269" i="388" s="1"/>
  <c r="S267" i="388"/>
  <c r="T267" i="388" s="1"/>
  <c r="S265" i="388"/>
  <c r="T265" i="388" s="1"/>
  <c r="S263" i="388"/>
  <c r="T263" i="388" s="1"/>
  <c r="S261" i="388"/>
  <c r="T261" i="388" s="1"/>
  <c r="S259" i="388"/>
  <c r="T259" i="388" s="1"/>
  <c r="S257" i="388"/>
  <c r="T257" i="388" s="1"/>
  <c r="S255" i="388"/>
  <c r="T255" i="388" s="1"/>
  <c r="S253" i="388"/>
  <c r="T253" i="388" s="1"/>
  <c r="S249" i="388"/>
  <c r="T249" i="388" s="1"/>
  <c r="S247" i="388"/>
  <c r="T247" i="388" s="1"/>
  <c r="S245" i="388"/>
  <c r="T245" i="388" s="1"/>
  <c r="S243" i="388"/>
  <c r="T243" i="388" s="1"/>
  <c r="S241" i="388"/>
  <c r="T241" i="388" s="1"/>
  <c r="S239" i="388"/>
  <c r="T239" i="388" s="1"/>
  <c r="S237" i="388"/>
  <c r="T237" i="388" s="1"/>
  <c r="S235" i="388"/>
  <c r="T235" i="388" s="1"/>
  <c r="S233" i="388"/>
  <c r="T233" i="388" s="1"/>
  <c r="S230" i="388"/>
  <c r="T230" i="388" s="1"/>
  <c r="S228" i="388"/>
  <c r="T228" i="388" s="1"/>
  <c r="S225" i="388"/>
  <c r="T225" i="388" s="1"/>
  <c r="S223" i="388"/>
  <c r="T223" i="388" s="1"/>
  <c r="S221" i="388"/>
  <c r="T221" i="388" s="1"/>
  <c r="S219" i="388"/>
  <c r="T219" i="388" s="1"/>
  <c r="S217" i="388"/>
  <c r="T217" i="388" s="1"/>
  <c r="S215" i="388"/>
  <c r="T215" i="388" s="1"/>
  <c r="S213" i="388"/>
  <c r="T213" i="388" s="1"/>
  <c r="S211" i="388"/>
  <c r="T211" i="388" s="1"/>
  <c r="S209" i="388"/>
  <c r="T209" i="388" s="1"/>
  <c r="S207" i="388"/>
  <c r="T207" i="388" s="1"/>
  <c r="S205" i="388"/>
  <c r="T205" i="388" s="1"/>
  <c r="S203" i="388"/>
  <c r="T203" i="388" s="1"/>
  <c r="S201" i="388"/>
  <c r="T201" i="388" s="1"/>
  <c r="S199" i="388"/>
  <c r="T199" i="388" s="1"/>
  <c r="S197" i="388"/>
  <c r="T197" i="388" s="1"/>
  <c r="S195" i="388"/>
  <c r="T195" i="388" s="1"/>
  <c r="S193" i="388"/>
  <c r="T193" i="388" s="1"/>
  <c r="S191" i="388"/>
  <c r="T191" i="388" s="1"/>
  <c r="S189" i="388"/>
  <c r="T189" i="388" s="1"/>
  <c r="S187" i="388"/>
  <c r="T187" i="388" s="1"/>
  <c r="S185" i="388"/>
  <c r="T185" i="388" s="1"/>
  <c r="S183" i="388"/>
  <c r="T183" i="388" s="1"/>
  <c r="S181" i="388"/>
  <c r="T181" i="388" s="1"/>
  <c r="S179" i="388"/>
  <c r="T179" i="388" s="1"/>
  <c r="S177" i="388"/>
  <c r="T177" i="388" s="1"/>
  <c r="S175" i="388"/>
  <c r="T175" i="388" s="1"/>
  <c r="S173" i="388"/>
  <c r="T173" i="388" s="1"/>
  <c r="S171" i="388"/>
  <c r="T171" i="388" s="1"/>
  <c r="S169" i="388"/>
  <c r="T169" i="388" s="1"/>
  <c r="S167" i="388"/>
  <c r="T167" i="388" s="1"/>
  <c r="S165" i="388"/>
  <c r="T165" i="388" s="1"/>
  <c r="S163" i="388"/>
  <c r="T163" i="388" s="1"/>
  <c r="S161" i="388"/>
  <c r="T161" i="388" s="1"/>
  <c r="S159" i="388"/>
  <c r="T159" i="388" s="1"/>
  <c r="S157" i="388"/>
  <c r="T157" i="388" s="1"/>
  <c r="S155" i="388"/>
  <c r="T155" i="388" s="1"/>
  <c r="S153" i="388"/>
  <c r="T153" i="388" s="1"/>
  <c r="S151" i="388"/>
  <c r="T151" i="388" s="1"/>
  <c r="S149" i="388"/>
  <c r="T149" i="388" s="1"/>
  <c r="S147" i="388"/>
  <c r="T147" i="388" s="1"/>
  <c r="S145" i="388"/>
  <c r="T145" i="388" s="1"/>
  <c r="S143" i="388"/>
  <c r="T143" i="388" s="1"/>
  <c r="S141" i="388"/>
  <c r="T141" i="388" s="1"/>
  <c r="S139" i="388"/>
  <c r="T139" i="388" s="1"/>
  <c r="S137" i="388"/>
  <c r="T137" i="388" s="1"/>
  <c r="S135" i="388"/>
  <c r="T135" i="388" s="1"/>
  <c r="S133" i="388"/>
  <c r="T133" i="388" s="1"/>
  <c r="S131" i="388"/>
  <c r="T131" i="388" s="1"/>
  <c r="S129" i="388"/>
  <c r="T129" i="388" s="1"/>
  <c r="J10" i="199"/>
  <c r="L13" i="391"/>
  <c r="T371" i="388"/>
  <c r="T369" i="388"/>
  <c r="T367" i="388"/>
  <c r="T365" i="388"/>
  <c r="T359" i="388"/>
  <c r="T353" i="388"/>
  <c r="T348" i="388"/>
  <c r="T345" i="388"/>
  <c r="T344" i="388"/>
  <c r="T341" i="388"/>
  <c r="T337" i="388"/>
  <c r="T336" i="388"/>
  <c r="T335" i="388"/>
  <c r="T332" i="388"/>
  <c r="T323" i="388"/>
  <c r="T319" i="388"/>
  <c r="T317" i="388"/>
  <c r="T315" i="388"/>
  <c r="T313" i="388"/>
  <c r="T311" i="388"/>
  <c r="T309" i="388"/>
  <c r="T289" i="388"/>
  <c r="T288" i="388"/>
  <c r="T283" i="388"/>
  <c r="T279" i="388"/>
  <c r="S264" i="388"/>
  <c r="T264" i="388" s="1"/>
  <c r="S260" i="388"/>
  <c r="T260" i="388" s="1"/>
  <c r="S256" i="388"/>
  <c r="T256" i="388" s="1"/>
  <c r="S250" i="388"/>
  <c r="T250" i="388" s="1"/>
  <c r="S246" i="388"/>
  <c r="T246" i="388" s="1"/>
  <c r="S242" i="388"/>
  <c r="T242" i="388" s="1"/>
  <c r="S238" i="388"/>
  <c r="T238" i="388" s="1"/>
  <c r="S234" i="388"/>
  <c r="T234" i="388" s="1"/>
  <c r="S204" i="388"/>
  <c r="T204" i="388" s="1"/>
  <c r="S200" i="388"/>
  <c r="T200" i="388" s="1"/>
  <c r="S196" i="388"/>
  <c r="T196" i="388" s="1"/>
  <c r="G43" i="400"/>
  <c r="G41" i="400"/>
  <c r="G39" i="400"/>
  <c r="B70" i="392"/>
  <c r="H118" i="394"/>
  <c r="H94" i="394"/>
  <c r="L81" i="399"/>
  <c r="M227" i="393"/>
  <c r="I227" i="393"/>
  <c r="D117" i="393" s="1"/>
  <c r="G227" i="393"/>
  <c r="D109" i="393" s="1"/>
  <c r="E227" i="393"/>
  <c r="D101" i="393" s="1"/>
  <c r="C227" i="393"/>
  <c r="M226" i="393"/>
  <c r="K226" i="393"/>
  <c r="D124" i="393" s="1"/>
  <c r="I226" i="393"/>
  <c r="D116" i="393" s="1"/>
  <c r="G226" i="393"/>
  <c r="D108" i="393" s="1"/>
  <c r="E226" i="393"/>
  <c r="D100" i="393" s="1"/>
  <c r="C226" i="393"/>
  <c r="J98" i="393"/>
  <c r="B70" i="393"/>
  <c r="P57" i="393"/>
  <c r="O34" i="325"/>
  <c r="O30" i="325"/>
  <c r="S72" i="388"/>
  <c r="T72" i="388" s="1"/>
  <c r="S70" i="388"/>
  <c r="T70" i="388" s="1"/>
  <c r="S68" i="388"/>
  <c r="T68" i="388" s="1"/>
  <c r="S66" i="388"/>
  <c r="T66" i="388" s="1"/>
  <c r="S64" i="388"/>
  <c r="T64" i="388" s="1"/>
  <c r="S62" i="388"/>
  <c r="T62" i="388" s="1"/>
  <c r="S60" i="388"/>
  <c r="T60" i="388" s="1"/>
  <c r="S58" i="388"/>
  <c r="T58" i="388" s="1"/>
  <c r="S56" i="388"/>
  <c r="T56" i="388" s="1"/>
  <c r="S54" i="388"/>
  <c r="T54" i="388" s="1"/>
  <c r="S52" i="388"/>
  <c r="T52" i="388" s="1"/>
  <c r="S50" i="388"/>
  <c r="T50" i="388" s="1"/>
  <c r="S48" i="388"/>
  <c r="T48" i="388" s="1"/>
  <c r="S46" i="388"/>
  <c r="T46" i="388" s="1"/>
  <c r="S15" i="388"/>
  <c r="T15" i="388" s="1"/>
  <c r="S13" i="388"/>
  <c r="T13" i="388" s="1"/>
  <c r="S61" i="388"/>
  <c r="T61" i="388" s="1"/>
  <c r="S59" i="388"/>
  <c r="S55" i="388"/>
  <c r="S51" i="388"/>
  <c r="S47" i="388"/>
  <c r="S35" i="388"/>
  <c r="S24" i="388"/>
  <c r="T24" i="388" s="1"/>
  <c r="S17" i="388"/>
  <c r="H33" i="144"/>
  <c r="J33" i="144"/>
  <c r="H19" i="144"/>
  <c r="S127" i="388"/>
  <c r="T127" i="388" s="1"/>
  <c r="S125" i="388"/>
  <c r="T125" i="388" s="1"/>
  <c r="S123" i="388"/>
  <c r="T123" i="388" s="1"/>
  <c r="S121" i="388"/>
  <c r="T121" i="388" s="1"/>
  <c r="S119" i="388"/>
  <c r="T119" i="388" s="1"/>
  <c r="S117" i="388"/>
  <c r="T117" i="388" s="1"/>
  <c r="S115" i="388"/>
  <c r="T115" i="388" s="1"/>
  <c r="S113" i="388"/>
  <c r="T113" i="388" s="1"/>
  <c r="S110" i="388"/>
  <c r="T110" i="388" s="1"/>
  <c r="S108" i="388"/>
  <c r="T108" i="388" s="1"/>
  <c r="S107" i="388"/>
  <c r="T107" i="388" s="1"/>
  <c r="S106" i="388"/>
  <c r="T106" i="388" s="1"/>
  <c r="S104" i="388"/>
  <c r="T104" i="388" s="1"/>
  <c r="S103" i="388"/>
  <c r="T103" i="388" s="1"/>
  <c r="S102" i="388"/>
  <c r="T102" i="388" s="1"/>
  <c r="S99" i="388"/>
  <c r="T99" i="388" s="1"/>
  <c r="S98" i="388"/>
  <c r="T98" i="388" s="1"/>
  <c r="S97" i="388"/>
  <c r="T97" i="388" s="1"/>
  <c r="S95" i="388"/>
  <c r="T95" i="388" s="1"/>
  <c r="S94" i="388"/>
  <c r="T94" i="388" s="1"/>
  <c r="S93" i="388"/>
  <c r="T93" i="388" s="1"/>
  <c r="S91" i="388"/>
  <c r="T91" i="388" s="1"/>
  <c r="S90" i="388"/>
  <c r="T90" i="388" s="1"/>
  <c r="S89" i="388"/>
  <c r="T89" i="388" s="1"/>
  <c r="S87" i="388"/>
  <c r="T87" i="388" s="1"/>
  <c r="S86" i="388"/>
  <c r="T86" i="388" s="1"/>
  <c r="S85" i="388"/>
  <c r="T85" i="388" s="1"/>
  <c r="S83" i="388"/>
  <c r="T83" i="388" s="1"/>
  <c r="S79" i="388"/>
  <c r="T79" i="388" s="1"/>
  <c r="S78" i="388"/>
  <c r="T78" i="388" s="1"/>
  <c r="S76" i="388"/>
  <c r="T76" i="388" s="1"/>
  <c r="S75" i="388"/>
  <c r="T75" i="388" s="1"/>
  <c r="S74" i="388"/>
  <c r="T74" i="388" s="1"/>
  <c r="I7" i="144"/>
  <c r="J7" i="144"/>
  <c r="R11" i="388"/>
  <c r="J33" i="254"/>
  <c r="F25" i="365"/>
  <c r="H9" i="255"/>
  <c r="J35" i="144"/>
  <c r="J31" i="144"/>
  <c r="I17" i="144"/>
  <c r="J15" i="144"/>
  <c r="I15" i="144"/>
  <c r="I13" i="144"/>
  <c r="J13" i="144"/>
  <c r="J8" i="144"/>
  <c r="I8" i="144"/>
  <c r="I10" i="130"/>
  <c r="K10" i="130" s="1"/>
  <c r="L10" i="293"/>
  <c r="N10" i="402"/>
  <c r="S293" i="408"/>
  <c r="T293" i="408" s="1"/>
  <c r="S254" i="408"/>
  <c r="T254" i="408" s="1"/>
  <c r="S242" i="408"/>
  <c r="T242" i="408" s="1"/>
  <c r="S217" i="408"/>
  <c r="T217" i="408" s="1"/>
  <c r="S123" i="408"/>
  <c r="T123" i="408" s="1"/>
  <c r="S117" i="408"/>
  <c r="T117" i="408" s="1"/>
  <c r="S115" i="408"/>
  <c r="T115" i="408" s="1"/>
  <c r="T98" i="408"/>
  <c r="T84" i="408"/>
  <c r="T61" i="408"/>
  <c r="T41" i="408"/>
  <c r="T36" i="408"/>
  <c r="S220" i="346"/>
  <c r="T175" i="346"/>
  <c r="T208" i="408"/>
  <c r="S200" i="346"/>
  <c r="T200" i="346" s="1"/>
  <c r="S51" i="346"/>
  <c r="T51" i="346" s="1"/>
  <c r="S266" i="346"/>
  <c r="T266" i="346" s="1"/>
  <c r="T238" i="346"/>
  <c r="S129" i="346"/>
  <c r="T129" i="346" s="1"/>
  <c r="S302" i="408"/>
  <c r="T302" i="408" s="1"/>
  <c r="R96" i="406"/>
  <c r="S339" i="346"/>
  <c r="T339" i="346" s="1"/>
  <c r="S262" i="346"/>
  <c r="T262" i="346" s="1"/>
  <c r="S125" i="346"/>
  <c r="T125" i="346" s="1"/>
  <c r="L10" i="345"/>
  <c r="B68" i="396"/>
  <c r="B70" i="396"/>
  <c r="K142" i="394"/>
  <c r="D123" i="394" s="1"/>
  <c r="K143" i="394"/>
  <c r="D124" i="394" s="1"/>
  <c r="K144" i="394"/>
  <c r="I142" i="394"/>
  <c r="D115" i="394" s="1"/>
  <c r="I143" i="394"/>
  <c r="D116" i="394" s="1"/>
  <c r="G142" i="394"/>
  <c r="D107" i="394" s="1"/>
  <c r="G144" i="394"/>
  <c r="D109" i="394" s="1"/>
  <c r="C142" i="394"/>
  <c r="D91" i="394" s="1"/>
  <c r="C143" i="394"/>
  <c r="D92" i="394" s="1"/>
  <c r="C144" i="394"/>
  <c r="D93" i="394" s="1"/>
  <c r="F114" i="394"/>
  <c r="J114" i="394"/>
  <c r="F98" i="394"/>
  <c r="D100" i="394"/>
  <c r="S39" i="388"/>
  <c r="T39" i="388" s="1"/>
  <c r="S30" i="388"/>
  <c r="T30" i="388" s="1"/>
  <c r="S25" i="388"/>
  <c r="T25" i="388" s="1"/>
  <c r="M143" i="392"/>
  <c r="M145" i="392"/>
  <c r="I143" i="392"/>
  <c r="I145" i="392"/>
  <c r="E143" i="392"/>
  <c r="E145" i="392"/>
  <c r="L89" i="392"/>
  <c r="F86" i="392"/>
  <c r="F106" i="394"/>
  <c r="J106" i="394"/>
  <c r="D108" i="394"/>
  <c r="M48" i="285"/>
  <c r="M64" i="402"/>
  <c r="M66" i="402" s="1"/>
  <c r="L66" i="402"/>
  <c r="S381" i="388"/>
  <c r="T381" i="388" s="1"/>
  <c r="S379" i="388"/>
  <c r="T379" i="388" s="1"/>
  <c r="S377" i="388"/>
  <c r="T377" i="388" s="1"/>
  <c r="S375" i="388"/>
  <c r="T375" i="388" s="1"/>
  <c r="S373" i="388"/>
  <c r="T373" i="388" s="1"/>
  <c r="S41" i="388"/>
  <c r="T41" i="388" s="1"/>
  <c r="S32" i="388"/>
  <c r="T32" i="388" s="1"/>
  <c r="S27" i="388"/>
  <c r="T27" i="388" s="1"/>
  <c r="S16" i="388"/>
  <c r="T16" i="388" s="1"/>
  <c r="G19" i="392"/>
  <c r="H35" i="144"/>
  <c r="K35" i="144" s="1"/>
  <c r="I35" i="144"/>
  <c r="G178" i="393"/>
  <c r="D146" i="393" s="1"/>
  <c r="G177" i="393"/>
  <c r="D145" i="393" s="1"/>
  <c r="J122" i="393"/>
  <c r="M27" i="325"/>
  <c r="T12" i="325"/>
  <c r="P12" i="325"/>
  <c r="H31" i="144"/>
  <c r="K31" i="144" s="1"/>
  <c r="I31" i="144"/>
  <c r="AK30" i="356"/>
  <c r="AL30" i="356" s="1"/>
  <c r="I11" i="247"/>
  <c r="T315" i="408"/>
  <c r="S168" i="408"/>
  <c r="T168" i="408" s="1"/>
  <c r="T206" i="408"/>
  <c r="T225" i="408"/>
  <c r="S292" i="405"/>
  <c r="T292" i="405" s="1"/>
  <c r="S288" i="405"/>
  <c r="T288" i="405" s="1"/>
  <c r="S63" i="405"/>
  <c r="S12" i="405"/>
  <c r="T12" i="405" s="1"/>
  <c r="S178" i="405"/>
  <c r="T178" i="405" s="1"/>
  <c r="S23" i="346"/>
  <c r="T23" i="346" s="1"/>
  <c r="S162" i="346"/>
  <c r="T162" i="346" s="1"/>
  <c r="S21" i="405"/>
  <c r="T21" i="405" s="1"/>
  <c r="S318" i="346"/>
  <c r="T318" i="346" s="1"/>
  <c r="S254" i="346"/>
  <c r="T254" i="346" s="1"/>
  <c r="S251" i="346"/>
  <c r="T251" i="346" s="1"/>
  <c r="S137" i="346"/>
  <c r="T137" i="346" s="1"/>
  <c r="S87" i="346"/>
  <c r="T87" i="346" s="1"/>
  <c r="G28" i="226"/>
  <c r="S264" i="405"/>
  <c r="T264" i="405" s="1"/>
  <c r="S242" i="405"/>
  <c r="T242" i="405" s="1"/>
  <c r="S86" i="405"/>
  <c r="T86" i="405" s="1"/>
  <c r="S34" i="405"/>
  <c r="T34" i="405" s="1"/>
  <c r="S30" i="405"/>
  <c r="T30" i="405" s="1"/>
  <c r="R21" i="406"/>
  <c r="S21" i="406" s="1"/>
  <c r="R83" i="406"/>
  <c r="S83" i="406" s="1"/>
  <c r="T83" i="406" s="1"/>
  <c r="R89" i="406"/>
  <c r="S89" i="406" s="1"/>
  <c r="T89" i="406" s="1"/>
  <c r="R91" i="406"/>
  <c r="R100" i="406"/>
  <c r="R105" i="406"/>
  <c r="R109" i="406"/>
  <c r="R113" i="406"/>
  <c r="S113" i="406" s="1"/>
  <c r="T113" i="406" s="1"/>
  <c r="R176" i="406"/>
  <c r="S176" i="406" s="1"/>
  <c r="R181" i="406"/>
  <c r="R188" i="406"/>
  <c r="S154" i="406"/>
  <c r="T154" i="406" s="1"/>
  <c r="S158" i="406"/>
  <c r="T158" i="406" s="1"/>
  <c r="S164" i="406"/>
  <c r="T164" i="406" s="1"/>
  <c r="S166" i="406"/>
  <c r="T166" i="406" s="1"/>
  <c r="S175" i="406"/>
  <c r="T175" i="406" s="1"/>
  <c r="S189" i="406"/>
  <c r="T189" i="406" s="1"/>
  <c r="S29" i="406"/>
  <c r="T29" i="406" s="1"/>
  <c r="S33" i="406"/>
  <c r="T33" i="406" s="1"/>
  <c r="S171" i="406"/>
  <c r="T171" i="406" s="1"/>
  <c r="M11" i="408"/>
  <c r="S238" i="408"/>
  <c r="T238" i="408" s="1"/>
  <c r="S180" i="408"/>
  <c r="T180" i="408" s="1"/>
  <c r="S358" i="408"/>
  <c r="T358" i="408" s="1"/>
  <c r="R119" i="408"/>
  <c r="S119" i="408" s="1"/>
  <c r="R135" i="408"/>
  <c r="S135" i="408" s="1"/>
  <c r="R155" i="408"/>
  <c r="S155" i="408" s="1"/>
  <c r="R164" i="408"/>
  <c r="S164" i="408" s="1"/>
  <c r="R172" i="408"/>
  <c r="S172" i="408" s="1"/>
  <c r="T172" i="408" s="1"/>
  <c r="R185" i="408"/>
  <c r="S185" i="408" s="1"/>
  <c r="R297" i="408"/>
  <c r="R311" i="408"/>
  <c r="S311" i="408" s="1"/>
  <c r="S154" i="408"/>
  <c r="T154" i="408" s="1"/>
  <c r="S247" i="408"/>
  <c r="T247" i="408" s="1"/>
  <c r="S258" i="408"/>
  <c r="T258" i="408" s="1"/>
  <c r="S266" i="408"/>
  <c r="T266" i="408" s="1"/>
  <c r="S139" i="408"/>
  <c r="T139" i="408" s="1"/>
  <c r="S287" i="408"/>
  <c r="T287" i="408" s="1"/>
  <c r="S292" i="408"/>
  <c r="T292" i="408" s="1"/>
  <c r="S335" i="408"/>
  <c r="T335" i="408" s="1"/>
  <c r="S345" i="408"/>
  <c r="T345" i="408" s="1"/>
  <c r="S353" i="408"/>
  <c r="T353" i="408" s="1"/>
  <c r="S357" i="408"/>
  <c r="T357" i="408" s="1"/>
  <c r="S361" i="408"/>
  <c r="T361" i="408" s="1"/>
  <c r="E11" i="409"/>
  <c r="G131" i="383"/>
  <c r="G110" i="383"/>
  <c r="G90" i="383"/>
  <c r="G70" i="383"/>
  <c r="I49" i="383"/>
  <c r="I50" i="383" s="1"/>
  <c r="G50" i="383"/>
  <c r="R71" i="407"/>
  <c r="R23" i="413"/>
  <c r="S23" i="413" s="1"/>
  <c r="S30" i="406"/>
  <c r="T30" i="406" s="1"/>
  <c r="S38" i="406"/>
  <c r="T38" i="406" s="1"/>
  <c r="S40" i="406"/>
  <c r="T40" i="406" s="1"/>
  <c r="S48" i="406"/>
  <c r="T48" i="406" s="1"/>
  <c r="S53" i="406"/>
  <c r="T53" i="406" s="1"/>
  <c r="S58" i="406"/>
  <c r="T58" i="406" s="1"/>
  <c r="S136" i="406"/>
  <c r="T136" i="406" s="1"/>
  <c r="S216" i="406"/>
  <c r="T216" i="406" s="1"/>
  <c r="S224" i="406"/>
  <c r="T224" i="406" s="1"/>
  <c r="S228" i="406"/>
  <c r="T228" i="406" s="1"/>
  <c r="S232" i="406"/>
  <c r="T232" i="406" s="1"/>
  <c r="S237" i="406"/>
  <c r="T237" i="406" s="1"/>
  <c r="S37" i="406"/>
  <c r="T37" i="406" s="1"/>
  <c r="S41" i="406"/>
  <c r="T41" i="406" s="1"/>
  <c r="S47" i="406"/>
  <c r="T47" i="406" s="1"/>
  <c r="S56" i="406"/>
  <c r="T56" i="406" s="1"/>
  <c r="S217" i="406"/>
  <c r="T217" i="406" s="1"/>
  <c r="S294" i="405"/>
  <c r="T294" i="405" s="1"/>
  <c r="S341" i="405"/>
  <c r="T341" i="405" s="1"/>
  <c r="T322" i="405"/>
  <c r="T18" i="405"/>
  <c r="T190" i="405"/>
  <c r="S295" i="405"/>
  <c r="T295" i="405" s="1"/>
  <c r="S105" i="405"/>
  <c r="T105" i="405" s="1"/>
  <c r="S77" i="407"/>
  <c r="T77" i="407" s="1"/>
  <c r="S23" i="407"/>
  <c r="T23" i="407" s="1"/>
  <c r="L9" i="407"/>
  <c r="S67" i="407"/>
  <c r="T67" i="407" s="1"/>
  <c r="S63" i="407"/>
  <c r="T63" i="407" s="1"/>
  <c r="S59" i="407"/>
  <c r="T59" i="407" s="1"/>
  <c r="S55" i="407"/>
  <c r="T55" i="407" s="1"/>
  <c r="S51" i="407"/>
  <c r="T51" i="407" s="1"/>
  <c r="S80" i="407"/>
  <c r="T80" i="407" s="1"/>
  <c r="S28" i="407"/>
  <c r="T28" i="407" s="1"/>
  <c r="R16" i="413"/>
  <c r="S16" i="413" s="1"/>
  <c r="T16" i="413" s="1"/>
  <c r="R18" i="413"/>
  <c r="R30" i="413"/>
  <c r="R31" i="413"/>
  <c r="S31" i="413" s="1"/>
  <c r="T31" i="413" s="1"/>
  <c r="R33" i="413"/>
  <c r="S33" i="413" s="1"/>
  <c r="R38" i="413"/>
  <c r="R98" i="413"/>
  <c r="S98" i="413" s="1"/>
  <c r="R99" i="413"/>
  <c r="R100" i="413"/>
  <c r="S100" i="413" s="1"/>
  <c r="T100" i="413" s="1"/>
  <c r="R101" i="413"/>
  <c r="R105" i="413"/>
  <c r="R107" i="413"/>
  <c r="S107" i="413" s="1"/>
  <c r="S19" i="413"/>
  <c r="T19" i="413" s="1"/>
  <c r="S24" i="413"/>
  <c r="T24" i="413" s="1"/>
  <c r="S28" i="413"/>
  <c r="T28" i="413" s="1"/>
  <c r="S32" i="413"/>
  <c r="T32" i="413" s="1"/>
  <c r="R41" i="413"/>
  <c r="S97" i="413"/>
  <c r="T97" i="413" s="1"/>
  <c r="S40" i="413"/>
  <c r="T40" i="413" s="1"/>
  <c r="S96" i="413"/>
  <c r="T96" i="413" s="1"/>
  <c r="P12" i="413"/>
  <c r="T13" i="413"/>
  <c r="T14" i="413"/>
  <c r="T15" i="413"/>
  <c r="T25" i="413"/>
  <c r="T41" i="413"/>
  <c r="S41" i="413"/>
  <c r="G27" i="226"/>
  <c r="I16" i="226"/>
  <c r="G16" i="226" s="1"/>
  <c r="J23" i="226"/>
  <c r="S62" i="346"/>
  <c r="T62" i="346" s="1"/>
  <c r="L17" i="393"/>
  <c r="S361" i="388"/>
  <c r="S40" i="388"/>
  <c r="T40" i="388" s="1"/>
  <c r="S224" i="408"/>
  <c r="T224" i="408" s="1"/>
  <c r="D37" i="226"/>
  <c r="E7" i="237"/>
  <c r="F7" i="237" s="1"/>
  <c r="G7" i="237" s="1"/>
  <c r="BD43" i="266"/>
  <c r="BD44" i="266" s="1"/>
  <c r="M124" i="380"/>
  <c r="M128" i="379"/>
  <c r="N128" i="379" s="1"/>
  <c r="Q128" i="379" s="1"/>
  <c r="W128" i="379" s="1"/>
  <c r="S106" i="408"/>
  <c r="T106" i="408" s="1"/>
  <c r="F21" i="379"/>
  <c r="F37" i="379"/>
  <c r="H37" i="379" s="1"/>
  <c r="F41" i="379"/>
  <c r="L41" i="379" s="1"/>
  <c r="F58" i="379"/>
  <c r="L58" i="379" s="1"/>
  <c r="M58" i="379" s="1"/>
  <c r="F63" i="379"/>
  <c r="F77" i="379"/>
  <c r="F85" i="379"/>
  <c r="H85" i="379" s="1"/>
  <c r="F107" i="379"/>
  <c r="L107" i="379" s="1"/>
  <c r="G44" i="400"/>
  <c r="G46" i="400"/>
  <c r="G47" i="400"/>
  <c r="G42" i="400"/>
  <c r="P57" i="284"/>
  <c r="H143" i="392"/>
  <c r="D112" i="392" s="1"/>
  <c r="J112" i="392" s="1"/>
  <c r="L144" i="392"/>
  <c r="L145" i="392"/>
  <c r="D130" i="392" s="1"/>
  <c r="F107" i="392"/>
  <c r="J142" i="394"/>
  <c r="D119" i="394" s="1"/>
  <c r="J143" i="394"/>
  <c r="D120" i="394" s="1"/>
  <c r="I16" i="399"/>
  <c r="L16" i="399" s="1"/>
  <c r="M16" i="399" s="1"/>
  <c r="H16" i="404"/>
  <c r="I16" i="404" s="1"/>
  <c r="L16" i="404" s="1"/>
  <c r="I12" i="404"/>
  <c r="L12" i="404" s="1"/>
  <c r="M34" i="325"/>
  <c r="M20" i="391"/>
  <c r="M21" i="391" s="1"/>
  <c r="AE23" i="335"/>
  <c r="AA29" i="356"/>
  <c r="AB29" i="356" s="1"/>
  <c r="BD12" i="356"/>
  <c r="AO11" i="356"/>
  <c r="AO10" i="356" s="1"/>
  <c r="U18" i="373"/>
  <c r="S81" i="407"/>
  <c r="T81" i="407" s="1"/>
  <c r="T102" i="408"/>
  <c r="S126" i="408"/>
  <c r="T126" i="408" s="1"/>
  <c r="S234" i="408"/>
  <c r="T234" i="408" s="1"/>
  <c r="D132" i="394"/>
  <c r="H12" i="399"/>
  <c r="I12" i="399" s="1"/>
  <c r="L12" i="399" s="1"/>
  <c r="M12" i="399" s="1"/>
  <c r="N12" i="399" s="1"/>
  <c r="E177" i="393"/>
  <c r="D137" i="393" s="1"/>
  <c r="E176" i="393"/>
  <c r="D136" i="393" s="1"/>
  <c r="B176" i="393"/>
  <c r="B177" i="393"/>
  <c r="J106" i="393"/>
  <c r="F106" i="393"/>
  <c r="K30" i="325"/>
  <c r="M30" i="325"/>
  <c r="P30" i="325" s="1"/>
  <c r="M20" i="402"/>
  <c r="M21" i="402" s="1"/>
  <c r="I11" i="364"/>
  <c r="I9" i="368"/>
  <c r="T25" i="407"/>
  <c r="S96" i="407"/>
  <c r="T96" i="407" s="1"/>
  <c r="T75" i="408"/>
  <c r="S134" i="408"/>
  <c r="T134" i="408" s="1"/>
  <c r="S138" i="408"/>
  <c r="T138" i="408" s="1"/>
  <c r="S212" i="408"/>
  <c r="T212" i="408" s="1"/>
  <c r="S226" i="408"/>
  <c r="T226" i="408" s="1"/>
  <c r="T124" i="346"/>
  <c r="G48" i="400"/>
  <c r="G45" i="400"/>
  <c r="B70" i="284"/>
  <c r="F94" i="392"/>
  <c r="E144" i="394"/>
  <c r="D101" i="394" s="1"/>
  <c r="J130" i="394"/>
  <c r="I10" i="399"/>
  <c r="L10" i="399" s="1"/>
  <c r="J167" i="393"/>
  <c r="G167" i="393" s="1"/>
  <c r="H167" i="393" s="1"/>
  <c r="F143" i="393"/>
  <c r="H106" i="393"/>
  <c r="J22" i="199"/>
  <c r="J14" i="199"/>
  <c r="L19" i="352"/>
  <c r="M60" i="397"/>
  <c r="N20" i="397"/>
  <c r="N21" i="397" s="1"/>
  <c r="L21" i="397"/>
  <c r="AE44" i="335"/>
  <c r="AE31" i="335"/>
  <c r="Z53" i="335"/>
  <c r="AA30" i="356"/>
  <c r="AB30" i="356" s="1"/>
  <c r="M7" i="191"/>
  <c r="N7" i="191" s="1"/>
  <c r="Z24" i="373"/>
  <c r="T52" i="408"/>
  <c r="R27" i="346"/>
  <c r="T332" i="405"/>
  <c r="S330" i="405"/>
  <c r="T330" i="405" s="1"/>
  <c r="G49" i="400"/>
  <c r="G36" i="400"/>
  <c r="H225" i="393"/>
  <c r="H226" i="393"/>
  <c r="D112" i="393" s="1"/>
  <c r="H227" i="393"/>
  <c r="E178" i="393"/>
  <c r="D138" i="393" s="1"/>
  <c r="I176" i="393"/>
  <c r="D152" i="393" s="1"/>
  <c r="I177" i="393"/>
  <c r="D153" i="393" s="1"/>
  <c r="I178" i="393"/>
  <c r="D154" i="393" s="1"/>
  <c r="F126" i="393"/>
  <c r="D127" i="393"/>
  <c r="J126" i="393"/>
  <c r="F118" i="393"/>
  <c r="H10" i="393"/>
  <c r="P60" i="285"/>
  <c r="H73" i="285" s="1"/>
  <c r="I73" i="285" s="1"/>
  <c r="L73" i="285" s="1"/>
  <c r="L9" i="352"/>
  <c r="L21" i="391"/>
  <c r="L22" i="391" s="1"/>
  <c r="M12" i="391"/>
  <c r="N12" i="391" s="1"/>
  <c r="T352" i="388"/>
  <c r="F23" i="350"/>
  <c r="AE51" i="335"/>
  <c r="R16" i="335"/>
  <c r="AH53" i="335"/>
  <c r="AT53" i="335"/>
  <c r="S148" i="408"/>
  <c r="T148" i="408" s="1"/>
  <c r="S196" i="408"/>
  <c r="S220" i="408"/>
  <c r="T220" i="408" s="1"/>
  <c r="R22" i="400"/>
  <c r="F111" i="392"/>
  <c r="J114" i="393"/>
  <c r="D115" i="393"/>
  <c r="D99" i="393"/>
  <c r="T20" i="325"/>
  <c r="L20" i="325"/>
  <c r="T16" i="325"/>
  <c r="L16" i="325"/>
  <c r="L39" i="352"/>
  <c r="L23" i="352"/>
  <c r="Q77" i="402"/>
  <c r="H95" i="402" s="1"/>
  <c r="I95" i="402" s="1"/>
  <c r="L95" i="402" s="1"/>
  <c r="AR51" i="335"/>
  <c r="AR47" i="335"/>
  <c r="AR31" i="335"/>
  <c r="AR27" i="335"/>
  <c r="J21" i="144"/>
  <c r="D69" i="204"/>
  <c r="U15" i="373"/>
  <c r="T204" i="406"/>
  <c r="T27" i="407"/>
  <c r="T85" i="407"/>
  <c r="T184" i="408"/>
  <c r="T195" i="408"/>
  <c r="T308" i="408"/>
  <c r="T324" i="408"/>
  <c r="P76" i="402"/>
  <c r="H89" i="402" s="1"/>
  <c r="I89" i="402" s="1"/>
  <c r="L89" i="402" s="1"/>
  <c r="M11" i="391"/>
  <c r="N11" i="391" s="1"/>
  <c r="N10" i="391"/>
  <c r="I31" i="254"/>
  <c r="AN53" i="335"/>
  <c r="T53" i="335"/>
  <c r="AK23" i="356"/>
  <c r="AL23" i="356" s="1"/>
  <c r="AK19" i="356"/>
  <c r="AL19" i="356" s="1"/>
  <c r="Z11" i="356"/>
  <c r="Z10" i="356" s="1"/>
  <c r="F8" i="255"/>
  <c r="AU16" i="373"/>
  <c r="U16" i="373"/>
  <c r="K9" i="247"/>
  <c r="T33" i="407"/>
  <c r="T203" i="408"/>
  <c r="S270" i="408"/>
  <c r="T270" i="408" s="1"/>
  <c r="T274" i="408"/>
  <c r="S319" i="408"/>
  <c r="T319" i="408" s="1"/>
  <c r="S346" i="408"/>
  <c r="T346" i="408" s="1"/>
  <c r="BH11" i="356"/>
  <c r="BH10" i="356" s="1"/>
  <c r="G36" i="144"/>
  <c r="G20" i="144"/>
  <c r="H20" i="144" s="1"/>
  <c r="I15" i="139"/>
  <c r="J15" i="139" s="1"/>
  <c r="K15" i="139" s="1"/>
  <c r="I10" i="139"/>
  <c r="J10" i="139" s="1"/>
  <c r="K10" i="139" s="1"/>
  <c r="S350" i="408"/>
  <c r="T350" i="408" s="1"/>
  <c r="Z18" i="407"/>
  <c r="R322" i="408"/>
  <c r="S322" i="408" s="1"/>
  <c r="T322" i="408" s="1"/>
  <c r="R327" i="408"/>
  <c r="R356" i="408"/>
  <c r="G19" i="409"/>
  <c r="K19" i="409" s="1"/>
  <c r="G23" i="409"/>
  <c r="K23" i="409" s="1"/>
  <c r="Q9" i="413"/>
  <c r="AO18" i="413"/>
  <c r="AP18" i="413" s="1"/>
  <c r="R36" i="413"/>
  <c r="S36" i="413" s="1"/>
  <c r="T36" i="413" s="1"/>
  <c r="T103" i="413"/>
  <c r="R16" i="425"/>
  <c r="T16" i="425" s="1"/>
  <c r="AH11" i="425"/>
  <c r="AI11" i="425" s="1"/>
  <c r="S327" i="408"/>
  <c r="T327" i="408" s="1"/>
  <c r="N20" i="391"/>
  <c r="N21" i="391" s="1"/>
  <c r="T361" i="388"/>
  <c r="D9" i="410"/>
  <c r="T23" i="413"/>
  <c r="S146" i="408"/>
  <c r="T146" i="408" s="1"/>
  <c r="T164" i="408"/>
  <c r="S11" i="388"/>
  <c r="T11" i="388" s="1"/>
  <c r="BE43" i="266"/>
  <c r="BE44" i="266" s="1"/>
  <c r="F102" i="377"/>
  <c r="F65" i="377"/>
  <c r="F109" i="377"/>
  <c r="F60" i="377"/>
  <c r="H60" i="377" s="1"/>
  <c r="F58" i="377"/>
  <c r="L58" i="377" s="1"/>
  <c r="F56" i="377"/>
  <c r="H56" i="377" s="1"/>
  <c r="F54" i="377"/>
  <c r="F52" i="377"/>
  <c r="H52" i="377" s="1"/>
  <c r="F50" i="377"/>
  <c r="F48" i="377"/>
  <c r="F46" i="377"/>
  <c r="F44" i="377"/>
  <c r="H44" i="377" s="1"/>
  <c r="F42" i="377"/>
  <c r="F40" i="377"/>
  <c r="H40" i="377" s="1"/>
  <c r="F38" i="377"/>
  <c r="H38" i="377" s="1"/>
  <c r="F36" i="377"/>
  <c r="L36" i="377" s="1"/>
  <c r="M36" i="377" s="1"/>
  <c r="F34" i="377"/>
  <c r="H34" i="377" s="1"/>
  <c r="F32" i="377"/>
  <c r="L32" i="377" s="1"/>
  <c r="M32" i="377" s="1"/>
  <c r="F30" i="377"/>
  <c r="F28" i="377"/>
  <c r="H28" i="377" s="1"/>
  <c r="F26" i="377"/>
  <c r="H26" i="377" s="1"/>
  <c r="F24" i="377"/>
  <c r="L24" i="377" s="1"/>
  <c r="M24" i="377" s="1"/>
  <c r="F22" i="377"/>
  <c r="L22" i="377" s="1"/>
  <c r="M22" i="377" s="1"/>
  <c r="F20" i="377"/>
  <c r="H20" i="377" s="1"/>
  <c r="F18" i="377"/>
  <c r="P22" i="400"/>
  <c r="E22" i="400"/>
  <c r="B68" i="392"/>
  <c r="M142" i="394"/>
  <c r="D131" i="394" s="1"/>
  <c r="I17" i="399"/>
  <c r="L17" i="399" s="1"/>
  <c r="M17" i="399" s="1"/>
  <c r="N17" i="399" s="1"/>
  <c r="C176" i="393"/>
  <c r="B69" i="393"/>
  <c r="G19" i="369"/>
  <c r="F19" i="369" s="1"/>
  <c r="F130" i="394"/>
  <c r="F122" i="394"/>
  <c r="M35" i="325"/>
  <c r="K35" i="325"/>
  <c r="F17" i="369"/>
  <c r="H11" i="404"/>
  <c r="I11" i="404" s="1"/>
  <c r="L11" i="404" s="1"/>
  <c r="H10" i="404"/>
  <c r="I10" i="404" s="1"/>
  <c r="L10" i="404" s="1"/>
  <c r="G23" i="369"/>
  <c r="F23" i="369" s="1"/>
  <c r="M29" i="325"/>
  <c r="N20" i="325"/>
  <c r="N17" i="325"/>
  <c r="R12" i="325"/>
  <c r="T338" i="388"/>
  <c r="AK20" i="356"/>
  <c r="AL20" i="356" s="1"/>
  <c r="K29" i="325"/>
  <c r="R20" i="325"/>
  <c r="L17" i="325"/>
  <c r="H24" i="152"/>
  <c r="F31" i="254"/>
  <c r="AA28" i="356"/>
  <c r="AB28" i="356" s="1"/>
  <c r="T17" i="325"/>
  <c r="S192" i="408"/>
  <c r="T192" i="408" s="1"/>
  <c r="S233" i="408"/>
  <c r="T233" i="408" s="1"/>
  <c r="AQ24" i="373"/>
  <c r="U14" i="373"/>
  <c r="S193" i="408"/>
  <c r="T193" i="408" s="1"/>
  <c r="S278" i="408"/>
  <c r="T278" i="408" s="1"/>
  <c r="S96" i="408"/>
  <c r="T96" i="408" s="1"/>
  <c r="T13" i="408"/>
  <c r="S58" i="408"/>
  <c r="T58" i="408" s="1"/>
  <c r="S328" i="408"/>
  <c r="T328" i="408" s="1"/>
  <c r="T54" i="408"/>
  <c r="T280" i="408"/>
  <c r="T342" i="408"/>
  <c r="I89" i="383"/>
  <c r="I90" i="383" s="1"/>
  <c r="I109" i="383"/>
  <c r="I110" i="383" s="1"/>
  <c r="Z18" i="413"/>
  <c r="T12" i="424"/>
  <c r="R12" i="425"/>
  <c r="T12" i="425" s="1"/>
  <c r="T12" i="419"/>
  <c r="T14" i="419"/>
  <c r="P15" i="410"/>
  <c r="T18" i="419"/>
  <c r="S191" i="346"/>
  <c r="T191" i="346" s="1"/>
  <c r="S358" i="388"/>
  <c r="T358" i="388" s="1"/>
  <c r="S327" i="388"/>
  <c r="T327" i="388" s="1"/>
  <c r="T176" i="406"/>
  <c r="AB91" i="266"/>
  <c r="BH91" i="266" s="1"/>
  <c r="G50" i="285"/>
  <c r="M81" i="399"/>
  <c r="N80" i="399"/>
  <c r="N81" i="399" s="1"/>
  <c r="H4" i="143"/>
  <c r="G5" i="143"/>
  <c r="X22" i="410"/>
  <c r="P22" i="410"/>
  <c r="F100" i="377"/>
  <c r="F98" i="377"/>
  <c r="F96" i="377"/>
  <c r="L96" i="377" s="1"/>
  <c r="F94" i="377"/>
  <c r="L94" i="377" s="1"/>
  <c r="M94" i="377" s="1"/>
  <c r="F92" i="377"/>
  <c r="F90" i="377"/>
  <c r="F88" i="377"/>
  <c r="F86" i="377"/>
  <c r="L86" i="377" s="1"/>
  <c r="M86" i="377" s="1"/>
  <c r="F84" i="377"/>
  <c r="F82" i="377"/>
  <c r="H82" i="377" s="1"/>
  <c r="F80" i="377"/>
  <c r="F78" i="377"/>
  <c r="H78" i="377" s="1"/>
  <c r="F76" i="377"/>
  <c r="F74" i="377"/>
  <c r="H74" i="377" s="1"/>
  <c r="F72" i="377"/>
  <c r="F70" i="377"/>
  <c r="L70" i="377" s="1"/>
  <c r="M70" i="377" s="1"/>
  <c r="F68" i="377"/>
  <c r="F66" i="377"/>
  <c r="H66" i="377" s="1"/>
  <c r="G40" i="400"/>
  <c r="M22" i="400"/>
  <c r="B144" i="394"/>
  <c r="F143" i="394"/>
  <c r="D104" i="394" s="1"/>
  <c r="F142" i="394"/>
  <c r="D103" i="394" s="1"/>
  <c r="J122" i="394"/>
  <c r="H11" i="399"/>
  <c r="I11" i="399" s="1"/>
  <c r="L11" i="399" s="1"/>
  <c r="D227" i="393"/>
  <c r="D97" i="393" s="1"/>
  <c r="D177" i="393"/>
  <c r="L21" i="285"/>
  <c r="C16" i="199"/>
  <c r="T19" i="325"/>
  <c r="P19" i="325"/>
  <c r="T13" i="325"/>
  <c r="P13" i="325"/>
  <c r="M98" i="402"/>
  <c r="J9" i="152"/>
  <c r="AR52" i="335"/>
  <c r="AE50" i="335"/>
  <c r="AE42" i="335"/>
  <c r="AE41" i="335"/>
  <c r="AR33" i="335"/>
  <c r="AR30" i="335"/>
  <c r="AB53" i="335"/>
  <c r="AR36" i="335"/>
  <c r="BB53" i="335"/>
  <c r="X53" i="335"/>
  <c r="X16" i="410"/>
  <c r="T16" i="410"/>
  <c r="V16" i="410"/>
  <c r="R16" i="410"/>
  <c r="X21" i="410"/>
  <c r="V21" i="410"/>
  <c r="R21" i="410"/>
  <c r="P21" i="410"/>
  <c r="T21" i="410"/>
  <c r="AC13" i="412"/>
  <c r="AC15" i="412"/>
  <c r="Y15" i="412"/>
  <c r="AA15" i="412" s="1"/>
  <c r="AC19" i="412"/>
  <c r="Y19" i="412"/>
  <c r="AA19" i="412" s="1"/>
  <c r="AC23" i="412"/>
  <c r="Y23" i="412"/>
  <c r="AA23" i="412" s="1"/>
  <c r="AC27" i="412"/>
  <c r="Y27" i="412"/>
  <c r="AA27" i="412" s="1"/>
  <c r="AC34" i="412"/>
  <c r="Y34" i="412"/>
  <c r="AA34" i="412" s="1"/>
  <c r="AC36" i="412"/>
  <c r="AC169" i="412"/>
  <c r="Y169" i="412"/>
  <c r="AA169" i="412" s="1"/>
  <c r="AC183" i="412"/>
  <c r="Y183" i="412"/>
  <c r="Z183" i="412" s="1"/>
  <c r="AA183" i="412" s="1"/>
  <c r="AC185" i="412"/>
  <c r="Y185" i="412"/>
  <c r="AA185" i="412" s="1"/>
  <c r="AC203" i="412"/>
  <c r="AC207" i="412"/>
  <c r="Y207" i="412"/>
  <c r="AA207" i="412" s="1"/>
  <c r="AC211" i="412"/>
  <c r="Y211" i="412"/>
  <c r="AC219" i="412"/>
  <c r="Y219" i="412"/>
  <c r="AA219" i="412" s="1"/>
  <c r="AC227" i="412"/>
  <c r="Y227" i="412"/>
  <c r="AA227" i="412" s="1"/>
  <c r="AC231" i="412"/>
  <c r="Y231" i="412"/>
  <c r="AA231" i="412" s="1"/>
  <c r="AC233" i="412"/>
  <c r="Y233" i="412"/>
  <c r="AA233" i="412" s="1"/>
  <c r="AC235" i="412"/>
  <c r="Y235" i="412"/>
  <c r="AA235" i="412" s="1"/>
  <c r="AC237" i="412"/>
  <c r="Y237" i="412"/>
  <c r="AA237" i="412" s="1"/>
  <c r="AC239" i="412"/>
  <c r="Y239" i="412"/>
  <c r="AA239" i="412" s="1"/>
  <c r="AC241" i="412"/>
  <c r="Y241" i="412"/>
  <c r="AA241" i="412" s="1"/>
  <c r="AC243" i="412"/>
  <c r="Y243" i="412"/>
  <c r="AA243" i="412" s="1"/>
  <c r="AC257" i="412"/>
  <c r="Y257" i="412"/>
  <c r="AA257" i="412" s="1"/>
  <c r="AC259" i="412"/>
  <c r="Y259" i="412"/>
  <c r="AA259" i="412" s="1"/>
  <c r="AC262" i="412"/>
  <c r="Y262" i="412"/>
  <c r="AA262" i="412" s="1"/>
  <c r="AC268" i="412"/>
  <c r="Y268" i="412"/>
  <c r="AA268" i="412" s="1"/>
  <c r="AC270" i="412"/>
  <c r="Y270" i="412"/>
  <c r="AA270" i="412" s="1"/>
  <c r="AC272" i="412"/>
  <c r="Y272" i="412"/>
  <c r="AA272" i="412" s="1"/>
  <c r="AC282" i="412"/>
  <c r="Y282" i="412"/>
  <c r="AA282" i="412" s="1"/>
  <c r="AC288" i="412"/>
  <c r="Y288" i="412"/>
  <c r="AA288" i="412" s="1"/>
  <c r="AC292" i="412"/>
  <c r="Y292" i="412"/>
  <c r="AA292" i="412" s="1"/>
  <c r="G26" i="409"/>
  <c r="K26" i="409" s="1"/>
  <c r="F21" i="414"/>
  <c r="X19" i="410"/>
  <c r="V19" i="410"/>
  <c r="R19" i="410"/>
  <c r="P19" i="410"/>
  <c r="T19" i="410"/>
  <c r="P24" i="410"/>
  <c r="X24" i="410"/>
  <c r="R25" i="410"/>
  <c r="T25" i="410"/>
  <c r="P25" i="410"/>
  <c r="X26" i="410"/>
  <c r="P26" i="410"/>
  <c r="R26" i="410"/>
  <c r="R27" i="410"/>
  <c r="P27" i="410"/>
  <c r="X28" i="410"/>
  <c r="V28" i="410"/>
  <c r="T28" i="410"/>
  <c r="R28" i="410"/>
  <c r="P28" i="410"/>
  <c r="P29" i="410"/>
  <c r="X29" i="410"/>
  <c r="T30" i="410"/>
  <c r="P30" i="410"/>
  <c r="X32" i="410"/>
  <c r="T32" i="410"/>
  <c r="R32" i="410"/>
  <c r="V32" i="410"/>
  <c r="P32" i="410"/>
  <c r="X33" i="410"/>
  <c r="P33" i="410"/>
  <c r="V33" i="410"/>
  <c r="T33" i="410"/>
  <c r="R33" i="410"/>
  <c r="X34" i="410"/>
  <c r="P34" i="410"/>
  <c r="X38" i="412"/>
  <c r="AC38" i="412" s="1"/>
  <c r="E9" i="412"/>
  <c r="AC53" i="412"/>
  <c r="Y53" i="412"/>
  <c r="AA53" i="412" s="1"/>
  <c r="AC55" i="412"/>
  <c r="Y55" i="412"/>
  <c r="AA55" i="412" s="1"/>
  <c r="AC62" i="412"/>
  <c r="Y62" i="412"/>
  <c r="AA62" i="412" s="1"/>
  <c r="AC64" i="412"/>
  <c r="Y64" i="412"/>
  <c r="AA64" i="412" s="1"/>
  <c r="AC75" i="412"/>
  <c r="Y75" i="412"/>
  <c r="AA75" i="412" s="1"/>
  <c r="AC94" i="412"/>
  <c r="AC100" i="412"/>
  <c r="Y100" i="412"/>
  <c r="AA100" i="412" s="1"/>
  <c r="AC102" i="412"/>
  <c r="Y102" i="412"/>
  <c r="AA102" i="412" s="1"/>
  <c r="AC104" i="412"/>
  <c r="Y104" i="412"/>
  <c r="AA104" i="412" s="1"/>
  <c r="AC108" i="412"/>
  <c r="Y108" i="412"/>
  <c r="AA108" i="412" s="1"/>
  <c r="Y112" i="412"/>
  <c r="AA112" i="412" s="1"/>
  <c r="AC115" i="412"/>
  <c r="Y115" i="412"/>
  <c r="AA115" i="412" s="1"/>
  <c r="AC119" i="412"/>
  <c r="Y119" i="412"/>
  <c r="AA119" i="412" s="1"/>
  <c r="AC122" i="412"/>
  <c r="Y122" i="412"/>
  <c r="AA122" i="412" s="1"/>
  <c r="AC124" i="412"/>
  <c r="Y124" i="412"/>
  <c r="AA124" i="412" s="1"/>
  <c r="AC126" i="412"/>
  <c r="Y126" i="412"/>
  <c r="AA126" i="412" s="1"/>
  <c r="Y136" i="412"/>
  <c r="AB136" i="412" s="1"/>
  <c r="AC136" i="412" s="1"/>
  <c r="Y138" i="412"/>
  <c r="AA138" i="412" s="1"/>
  <c r="Y140" i="412"/>
  <c r="AC150" i="412"/>
  <c r="Y150" i="412"/>
  <c r="AC152" i="412"/>
  <c r="Y152" i="412"/>
  <c r="AA152" i="412" s="1"/>
  <c r="AC154" i="412"/>
  <c r="Y154" i="412"/>
  <c r="AA154" i="412" s="1"/>
  <c r="AC158" i="412"/>
  <c r="Y158" i="412"/>
  <c r="AA158" i="412" s="1"/>
  <c r="AC161" i="412"/>
  <c r="Y161" i="412"/>
  <c r="AA161" i="412" s="1"/>
  <c r="AC163" i="412"/>
  <c r="Y163" i="412"/>
  <c r="AA163" i="412" s="1"/>
  <c r="AC166" i="412"/>
  <c r="Y166" i="412"/>
  <c r="AA166" i="412" s="1"/>
  <c r="AC173" i="412"/>
  <c r="Y173" i="412"/>
  <c r="AA173" i="412" s="1"/>
  <c r="AC182" i="412"/>
  <c r="Y182" i="412"/>
  <c r="Z182" i="412" s="1"/>
  <c r="AA182" i="412" s="1"/>
  <c r="AC190" i="412"/>
  <c r="Y190" i="412"/>
  <c r="Z190" i="412" s="1"/>
  <c r="AA190" i="412" s="1"/>
  <c r="AC199" i="412"/>
  <c r="Y199" i="412"/>
  <c r="AA199" i="412" s="1"/>
  <c r="AC204" i="412"/>
  <c r="Y204" i="412"/>
  <c r="AC208" i="412"/>
  <c r="Y208" i="412"/>
  <c r="Z208" i="412" s="1"/>
  <c r="AA208" i="412" s="1"/>
  <c r="AC210" i="412"/>
  <c r="Y210" i="412"/>
  <c r="Z210" i="412" s="1"/>
  <c r="AA210" i="412" s="1"/>
  <c r="AC212" i="412"/>
  <c r="Y212" i="412"/>
  <c r="Z212" i="412" s="1"/>
  <c r="AA212" i="412" s="1"/>
  <c r="AC217" i="412"/>
  <c r="Y217" i="412"/>
  <c r="AA217" i="412" s="1"/>
  <c r="AC226" i="412"/>
  <c r="Y226" i="412"/>
  <c r="AA226" i="412" s="1"/>
  <c r="AC228" i="412"/>
  <c r="Y228" i="412"/>
  <c r="AA228" i="412" s="1"/>
  <c r="AC230" i="412"/>
  <c r="Y230" i="412"/>
  <c r="AA230" i="412" s="1"/>
  <c r="AC234" i="412"/>
  <c r="Y234" i="412"/>
  <c r="Z234" i="412" s="1"/>
  <c r="AC236" i="412"/>
  <c r="Y236" i="412"/>
  <c r="AA236" i="412" s="1"/>
  <c r="AC238" i="412"/>
  <c r="Y238" i="412"/>
  <c r="AA238" i="412" s="1"/>
  <c r="AC240" i="412"/>
  <c r="Y240" i="412"/>
  <c r="AA240" i="412" s="1"/>
  <c r="AC242" i="412"/>
  <c r="Y242" i="412"/>
  <c r="AA242" i="412" s="1"/>
  <c r="AC256" i="412"/>
  <c r="Y256" i="412"/>
  <c r="AA256" i="412" s="1"/>
  <c r="AC267" i="412"/>
  <c r="Y267" i="412"/>
  <c r="AA267" i="412" s="1"/>
  <c r="AC271" i="412"/>
  <c r="Y271" i="412"/>
  <c r="AA271" i="412" s="1"/>
  <c r="AC275" i="412"/>
  <c r="Y275" i="412"/>
  <c r="AA275" i="412" s="1"/>
  <c r="AC279" i="412"/>
  <c r="Y279" i="412"/>
  <c r="AA279" i="412" s="1"/>
  <c r="AC291" i="412"/>
  <c r="Y291" i="412"/>
  <c r="AA291" i="412" s="1"/>
  <c r="AC297" i="412"/>
  <c r="Y297" i="412"/>
  <c r="AA297" i="412" s="1"/>
  <c r="V12" i="410"/>
  <c r="T12" i="410"/>
  <c r="P12" i="410"/>
  <c r="X12" i="410"/>
  <c r="R12" i="410"/>
  <c r="T20" i="410"/>
  <c r="X20" i="410"/>
  <c r="V20" i="410"/>
  <c r="R20" i="410"/>
  <c r="P20" i="410"/>
  <c r="AC303" i="412"/>
  <c r="Y303" i="412"/>
  <c r="AA303" i="412" s="1"/>
  <c r="AC281" i="412"/>
  <c r="Y281" i="412"/>
  <c r="AA281" i="412" s="1"/>
  <c r="AC277" i="412"/>
  <c r="Y277" i="412"/>
  <c r="AA277" i="412" s="1"/>
  <c r="AC273" i="412"/>
  <c r="Y273" i="412"/>
  <c r="AA273" i="412" s="1"/>
  <c r="AC263" i="412"/>
  <c r="Y263" i="412"/>
  <c r="AA263" i="412" s="1"/>
  <c r="AC252" i="412"/>
  <c r="Y252" i="412"/>
  <c r="AA252" i="412" s="1"/>
  <c r="AC248" i="412"/>
  <c r="Y248" i="412"/>
  <c r="AA248" i="412" s="1"/>
  <c r="AC189" i="412"/>
  <c r="Y189" i="412"/>
  <c r="AA189" i="412" s="1"/>
  <c r="AC179" i="412"/>
  <c r="Y179" i="412"/>
  <c r="AA179" i="412" s="1"/>
  <c r="AC165" i="412"/>
  <c r="Y165" i="412"/>
  <c r="T17" i="410"/>
  <c r="X17" i="410"/>
  <c r="AA68" i="412"/>
  <c r="AC14" i="412"/>
  <c r="Y14" i="412"/>
  <c r="AA14" i="412" s="1"/>
  <c r="AC16" i="412"/>
  <c r="Y16" i="412"/>
  <c r="AA16" i="412" s="1"/>
  <c r="AC18" i="412"/>
  <c r="Y18" i="412"/>
  <c r="AA18" i="412" s="1"/>
  <c r="AC20" i="412"/>
  <c r="Y20" i="412"/>
  <c r="AA20" i="412" s="1"/>
  <c r="AC22" i="412"/>
  <c r="Y22" i="412"/>
  <c r="AA22" i="412" s="1"/>
  <c r="AC24" i="412"/>
  <c r="Y24" i="412"/>
  <c r="AA24" i="412" s="1"/>
  <c r="AC26" i="412"/>
  <c r="Y26" i="412"/>
  <c r="AA26" i="412" s="1"/>
  <c r="AC35" i="412"/>
  <c r="Y35" i="412"/>
  <c r="AA35" i="412" s="1"/>
  <c r="AC43" i="412"/>
  <c r="Y43" i="412"/>
  <c r="AA43" i="412" s="1"/>
  <c r="AC54" i="412"/>
  <c r="Y54" i="412"/>
  <c r="AA54" i="412" s="1"/>
  <c r="AC61" i="412"/>
  <c r="Y61" i="412"/>
  <c r="AA61" i="412" s="1"/>
  <c r="AC63" i="412"/>
  <c r="Y63" i="412"/>
  <c r="AA63" i="412" s="1"/>
  <c r="AC76" i="412"/>
  <c r="Y76" i="412"/>
  <c r="AA76" i="412" s="1"/>
  <c r="AC81" i="412"/>
  <c r="Y81" i="412"/>
  <c r="AA81" i="412" s="1"/>
  <c r="AC93" i="412"/>
  <c r="Y93" i="412"/>
  <c r="AA93" i="412" s="1"/>
  <c r="AC99" i="412"/>
  <c r="Y99" i="412"/>
  <c r="AA99" i="412" s="1"/>
  <c r="AC101" i="412"/>
  <c r="Y101" i="412"/>
  <c r="AA101" i="412" s="1"/>
  <c r="AC103" i="412"/>
  <c r="Y103" i="412"/>
  <c r="AA103" i="412" s="1"/>
  <c r="AC107" i="412"/>
  <c r="Y107" i="412"/>
  <c r="AC113" i="412"/>
  <c r="Y113" i="412"/>
  <c r="AA113" i="412" s="1"/>
  <c r="AC116" i="412"/>
  <c r="Y116" i="412"/>
  <c r="AA116" i="412" s="1"/>
  <c r="AC118" i="412"/>
  <c r="Y118" i="412"/>
  <c r="AA118" i="412" s="1"/>
  <c r="AC120" i="412"/>
  <c r="Y120" i="412"/>
  <c r="AA120" i="412" s="1"/>
  <c r="AC123" i="412"/>
  <c r="Y123" i="412"/>
  <c r="AA123" i="412" s="1"/>
  <c r="AC125" i="412"/>
  <c r="Y125" i="412"/>
  <c r="AA125" i="412" s="1"/>
  <c r="AC127" i="412"/>
  <c r="Y127" i="412"/>
  <c r="AA127" i="412" s="1"/>
  <c r="Y137" i="412"/>
  <c r="AB137" i="412" s="1"/>
  <c r="AC137" i="412" s="1"/>
  <c r="Y139" i="412"/>
  <c r="AB139" i="412" s="1"/>
  <c r="AC139" i="412" s="1"/>
  <c r="Y141" i="412"/>
  <c r="AA141" i="412" s="1"/>
  <c r="AC145" i="412"/>
  <c r="Y145" i="412"/>
  <c r="AA145" i="412" s="1"/>
  <c r="AC149" i="412"/>
  <c r="Y149" i="412"/>
  <c r="AA149" i="412" s="1"/>
  <c r="AC153" i="412"/>
  <c r="Y153" i="412"/>
  <c r="AA153" i="412" s="1"/>
  <c r="AC155" i="412"/>
  <c r="Y155" i="412"/>
  <c r="AA155" i="412" s="1"/>
  <c r="AC159" i="412"/>
  <c r="Y159" i="412"/>
  <c r="AA159" i="412" s="1"/>
  <c r="AC172" i="412"/>
  <c r="Y172" i="412"/>
  <c r="AA172" i="412" s="1"/>
  <c r="AC180" i="412"/>
  <c r="Y180" i="412"/>
  <c r="AA180" i="412" s="1"/>
  <c r="AC188" i="412"/>
  <c r="Y188" i="412"/>
  <c r="AA188" i="412" s="1"/>
  <c r="AC192" i="412"/>
  <c r="Y192" i="412"/>
  <c r="AC194" i="412"/>
  <c r="Y194" i="412"/>
  <c r="Z194" i="412" s="1"/>
  <c r="AA194" i="412" s="1"/>
  <c r="AC280" i="412"/>
  <c r="Y280" i="412"/>
  <c r="AA280" i="412" s="1"/>
  <c r="AC278" i="412"/>
  <c r="Y278" i="412"/>
  <c r="AA278" i="412" s="1"/>
  <c r="AC274" i="412"/>
  <c r="Y274" i="412"/>
  <c r="AA274" i="412" s="1"/>
  <c r="AC264" i="412"/>
  <c r="Y264" i="412"/>
  <c r="AA264" i="412" s="1"/>
  <c r="AC254" i="412"/>
  <c r="Y254" i="412"/>
  <c r="AA254" i="412" s="1"/>
  <c r="AC251" i="412"/>
  <c r="Y251" i="412"/>
  <c r="AA251" i="412" s="1"/>
  <c r="AC249" i="412"/>
  <c r="Y249" i="412"/>
  <c r="AA249" i="412" s="1"/>
  <c r="AC223" i="412"/>
  <c r="Y223" i="412"/>
  <c r="AA223" i="412" s="1"/>
  <c r="AC221" i="412"/>
  <c r="Y221" i="412"/>
  <c r="AA221" i="412" s="1"/>
  <c r="AC215" i="412"/>
  <c r="Y215" i="412"/>
  <c r="AA215" i="412" s="1"/>
  <c r="AC191" i="412"/>
  <c r="Y191" i="412"/>
  <c r="Z191" i="412" s="1"/>
  <c r="AA191" i="412" s="1"/>
  <c r="AC187" i="412"/>
  <c r="Y187" i="412"/>
  <c r="AA187" i="412" s="1"/>
  <c r="AC171" i="412"/>
  <c r="Y171" i="412"/>
  <c r="AA171" i="412" s="1"/>
  <c r="P17" i="410"/>
  <c r="R17" i="410"/>
  <c r="AA300" i="412"/>
  <c r="Y114" i="412"/>
  <c r="AA114" i="412" s="1"/>
  <c r="Y110" i="412"/>
  <c r="AA110" i="412" s="1"/>
  <c r="Y80" i="412"/>
  <c r="AA80" i="412" s="1"/>
  <c r="Y58" i="412"/>
  <c r="AA58" i="412" s="1"/>
  <c r="Y56" i="412"/>
  <c r="AA56" i="412" s="1"/>
  <c r="Y44" i="412"/>
  <c r="AA44" i="412" s="1"/>
  <c r="Y28" i="412"/>
  <c r="AA28" i="412" s="1"/>
  <c r="Y222" i="412"/>
  <c r="AA222" i="412" s="1"/>
  <c r="Y220" i="412"/>
  <c r="AA220" i="412" s="1"/>
  <c r="Y174" i="412"/>
  <c r="AA174" i="412" s="1"/>
  <c r="Y135" i="412"/>
  <c r="AA135" i="412" s="1"/>
  <c r="Y121" i="412"/>
  <c r="AA121" i="412" s="1"/>
  <c r="Y111" i="412"/>
  <c r="AA111" i="412" s="1"/>
  <c r="Y95" i="412"/>
  <c r="AA95" i="412" s="1"/>
  <c r="Y79" i="412"/>
  <c r="AA79" i="412" s="1"/>
  <c r="Y77" i="412"/>
  <c r="AA77" i="412" s="1"/>
  <c r="Y57" i="412"/>
  <c r="AA57" i="412" s="1"/>
  <c r="Y37" i="412"/>
  <c r="AA37" i="412" s="1"/>
  <c r="Y29" i="412"/>
  <c r="AA29" i="412" s="1"/>
  <c r="U9" i="420"/>
  <c r="AD11" i="425"/>
  <c r="V84" i="429"/>
  <c r="V92" i="429"/>
  <c r="V67" i="429"/>
  <c r="V74" i="429"/>
  <c r="V12" i="429"/>
  <c r="V16" i="429"/>
  <c r="V21" i="429"/>
  <c r="V23" i="429"/>
  <c r="V37" i="429"/>
  <c r="V57" i="429"/>
  <c r="V17" i="429"/>
  <c r="V31" i="429"/>
  <c r="V35" i="429"/>
  <c r="V39" i="429"/>
  <c r="V43" i="429"/>
  <c r="V45" i="429"/>
  <c r="V53" i="429"/>
  <c r="V55" i="429"/>
  <c r="V80" i="429"/>
  <c r="V101" i="429"/>
  <c r="V27" i="429"/>
  <c r="V82" i="429"/>
  <c r="V49" i="429"/>
  <c r="V8" i="429"/>
  <c r="V10" i="429"/>
  <c r="V14" i="429"/>
  <c r="V25" i="429"/>
  <c r="V41" i="429"/>
  <c r="V47" i="429"/>
  <c r="V51" i="429"/>
  <c r="V61" i="429"/>
  <c r="V62" i="429"/>
  <c r="V103" i="429"/>
  <c r="V19" i="429"/>
  <c r="V76" i="429"/>
  <c r="V25" i="426"/>
  <c r="V22" i="420"/>
  <c r="V24" i="420"/>
  <c r="V28" i="420"/>
  <c r="V32" i="420"/>
  <c r="V38" i="420"/>
  <c r="V29" i="420"/>
  <c r="V33" i="420"/>
  <c r="V12" i="420"/>
  <c r="V16" i="420"/>
  <c r="V44" i="420"/>
  <c r="V46" i="420"/>
  <c r="V30" i="420"/>
  <c r="V42" i="420"/>
  <c r="V14" i="420"/>
  <c r="V31" i="420"/>
  <c r="V48" i="420"/>
  <c r="V50" i="420"/>
  <c r="V18" i="420"/>
  <c r="V20" i="420"/>
  <c r="V37" i="420"/>
  <c r="V15" i="420"/>
  <c r="V26" i="420"/>
  <c r="T116" i="417"/>
  <c r="T99" i="417"/>
  <c r="T182" i="417"/>
  <c r="T130" i="417"/>
  <c r="T142" i="417"/>
  <c r="T24" i="417"/>
  <c r="T23" i="417"/>
  <c r="T30" i="417"/>
  <c r="T36" i="417"/>
  <c r="T37" i="417"/>
  <c r="T66" i="417"/>
  <c r="T68" i="417"/>
  <c r="T71" i="417"/>
  <c r="T75" i="417"/>
  <c r="T49" i="417"/>
  <c r="T95" i="417"/>
  <c r="T184" i="417"/>
  <c r="T104" i="417"/>
  <c r="T110" i="417"/>
  <c r="T114" i="417"/>
  <c r="T122" i="417"/>
  <c r="T137" i="417"/>
  <c r="T15" i="417"/>
  <c r="T41" i="417"/>
  <c r="T45" i="417"/>
  <c r="T47" i="417"/>
  <c r="T44" i="417"/>
  <c r="T12" i="417"/>
  <c r="T26" i="417"/>
  <c r="T35" i="417"/>
  <c r="T54" i="417"/>
  <c r="T57" i="417"/>
  <c r="T76" i="417"/>
  <c r="T87" i="417"/>
  <c r="T89" i="417"/>
  <c r="T158" i="417"/>
  <c r="T168" i="417"/>
  <c r="T56" i="417"/>
  <c r="T96" i="417"/>
  <c r="T118" i="417"/>
  <c r="T120" i="417"/>
  <c r="T143" i="417"/>
  <c r="T162" i="417"/>
  <c r="T146" i="417"/>
  <c r="T63" i="417"/>
  <c r="T64" i="417"/>
  <c r="T14" i="417"/>
  <c r="T18" i="417"/>
  <c r="T20" i="417"/>
  <c r="T22" i="417"/>
  <c r="T33" i="417"/>
  <c r="T51" i="417"/>
  <c r="T90" i="417"/>
  <c r="T94" i="417"/>
  <c r="T138" i="417"/>
  <c r="T152" i="417"/>
  <c r="T154" i="417"/>
  <c r="T156" i="417"/>
  <c r="T103" i="417"/>
  <c r="T106" i="417"/>
  <c r="T108" i="417"/>
  <c r="T112" i="417"/>
  <c r="T171" i="417"/>
  <c r="T175" i="417"/>
  <c r="T28" i="417"/>
  <c r="T40" i="417"/>
  <c r="T107" i="417"/>
  <c r="T157" i="417"/>
  <c r="T163" i="417"/>
  <c r="T165" i="417"/>
  <c r="T169" i="417"/>
  <c r="T170" i="417"/>
  <c r="T174" i="417"/>
  <c r="T50" i="417"/>
  <c r="T58" i="417"/>
  <c r="T123" i="417"/>
  <c r="T125" i="417"/>
  <c r="T127" i="417"/>
  <c r="T147" i="417"/>
  <c r="T177" i="417"/>
  <c r="T32" i="417"/>
  <c r="T34" i="417"/>
  <c r="T128" i="417"/>
  <c r="T131" i="417"/>
  <c r="T180" i="417"/>
  <c r="T183" i="417"/>
  <c r="T27" i="417"/>
  <c r="T60" i="417"/>
  <c r="T117" i="417"/>
  <c r="T149" i="417"/>
  <c r="T150" i="417"/>
  <c r="T160" i="417"/>
  <c r="T161" i="417"/>
  <c r="T185" i="417"/>
  <c r="T126" i="417"/>
  <c r="T178" i="417"/>
  <c r="T181" i="417"/>
  <c r="T38" i="417"/>
  <c r="T39" i="417"/>
  <c r="T55" i="417"/>
  <c r="T67" i="417"/>
  <c r="T78" i="417"/>
  <c r="T83" i="417"/>
  <c r="T84" i="417"/>
  <c r="T88" i="417"/>
  <c r="T98" i="417"/>
  <c r="T100" i="417"/>
  <c r="T105" i="417"/>
  <c r="T115" i="417"/>
  <c r="T134" i="417"/>
  <c r="T16" i="417"/>
  <c r="T70" i="417"/>
  <c r="T72" i="417"/>
  <c r="T74" i="417"/>
  <c r="T91" i="417"/>
  <c r="T113" i="417"/>
  <c r="T119" i="417"/>
  <c r="T144" i="417"/>
  <c r="T159" i="417"/>
  <c r="T79" i="417"/>
  <c r="T124" i="417"/>
  <c r="T140" i="417"/>
  <c r="T132" i="417"/>
  <c r="T139" i="417"/>
  <c r="T153" i="417"/>
  <c r="S27" i="346"/>
  <c r="T27" i="346" s="1"/>
  <c r="S188" i="346"/>
  <c r="T188" i="346" s="1"/>
  <c r="I16" i="368"/>
  <c r="G25" i="368"/>
  <c r="I14" i="363"/>
  <c r="I20" i="363" s="1"/>
  <c r="G20" i="363"/>
  <c r="K11" i="130"/>
  <c r="K9" i="130" s="1"/>
  <c r="I9" i="130"/>
  <c r="S87" i="406"/>
  <c r="T87" i="406" s="1"/>
  <c r="S140" i="406"/>
  <c r="T140" i="406" s="1"/>
  <c r="S191" i="406"/>
  <c r="T191" i="406" s="1"/>
  <c r="G12" i="284"/>
  <c r="G11" i="284" s="1"/>
  <c r="F11" i="284"/>
  <c r="S171" i="408"/>
  <c r="T171" i="408" s="1"/>
  <c r="T196" i="408"/>
  <c r="S351" i="408"/>
  <c r="T351" i="408" s="1"/>
  <c r="AE74" i="412"/>
  <c r="Y74" i="412"/>
  <c r="AA74" i="412" s="1"/>
  <c r="AC74" i="412"/>
  <c r="AE92" i="412"/>
  <c r="AC92" i="412"/>
  <c r="AE193" i="412"/>
  <c r="AC193" i="412"/>
  <c r="AE200" i="412"/>
  <c r="Y200" i="412"/>
  <c r="AA200" i="412" s="1"/>
  <c r="AC200" i="412"/>
  <c r="AE287" i="412"/>
  <c r="AC287" i="412"/>
  <c r="Y287" i="412"/>
  <c r="AA287" i="412" s="1"/>
  <c r="L66" i="377"/>
  <c r="T63" i="405"/>
  <c r="I9" i="344"/>
  <c r="S192" i="346"/>
  <c r="T192" i="346" s="1"/>
  <c r="B136" i="393"/>
  <c r="F139" i="393"/>
  <c r="P9" i="406"/>
  <c r="R13" i="406"/>
  <c r="S13" i="406" s="1"/>
  <c r="T13" i="406" s="1"/>
  <c r="S26" i="406"/>
  <c r="T26" i="406" s="1"/>
  <c r="S34" i="406"/>
  <c r="T34" i="406" s="1"/>
  <c r="S44" i="406"/>
  <c r="T44" i="406" s="1"/>
  <c r="S130" i="406"/>
  <c r="T130" i="406" s="1"/>
  <c r="S192" i="405"/>
  <c r="T192" i="405" s="1"/>
  <c r="S32" i="407"/>
  <c r="T32" i="407" s="1"/>
  <c r="S87" i="407"/>
  <c r="T87" i="407" s="1"/>
  <c r="R15" i="408"/>
  <c r="S15" i="408" s="1"/>
  <c r="P9" i="408"/>
  <c r="S38" i="346"/>
  <c r="T38" i="346" s="1"/>
  <c r="AE203" i="412"/>
  <c r="Y203" i="412"/>
  <c r="AA203" i="412" s="1"/>
  <c r="AE209" i="412"/>
  <c r="AC209" i="412"/>
  <c r="Y209" i="412"/>
  <c r="Y92" i="412"/>
  <c r="AA92" i="412" s="1"/>
  <c r="S191" i="408"/>
  <c r="T191" i="408" s="1"/>
  <c r="T362" i="408"/>
  <c r="T44" i="408"/>
  <c r="K11" i="393"/>
  <c r="G21" i="332"/>
  <c r="S170" i="406"/>
  <c r="T170" i="406" s="1"/>
  <c r="R15" i="407"/>
  <c r="S15" i="407" s="1"/>
  <c r="T15" i="407" s="1"/>
  <c r="P9" i="407"/>
  <c r="S43" i="407"/>
  <c r="T43" i="407" s="1"/>
  <c r="S83" i="407"/>
  <c r="T83" i="407" s="1"/>
  <c r="S97" i="407"/>
  <c r="T97" i="407" s="1"/>
  <c r="S159" i="408"/>
  <c r="T159" i="408" s="1"/>
  <c r="S176" i="408"/>
  <c r="T176" i="408" s="1"/>
  <c r="S183" i="408"/>
  <c r="T183" i="408" s="1"/>
  <c r="S207" i="408"/>
  <c r="T207" i="408" s="1"/>
  <c r="S354" i="408"/>
  <c r="T354" i="408" s="1"/>
  <c r="S19" i="346"/>
  <c r="T19" i="346" s="1"/>
  <c r="S381" i="346"/>
  <c r="T381" i="346" s="1"/>
  <c r="X31" i="410"/>
  <c r="V31" i="410"/>
  <c r="T31" i="410"/>
  <c r="P31" i="410"/>
  <c r="AA38" i="411"/>
  <c r="Y38" i="411"/>
  <c r="W38" i="411"/>
  <c r="AE186" i="412"/>
  <c r="AC186" i="412"/>
  <c r="Y186" i="412"/>
  <c r="AA186" i="412" s="1"/>
  <c r="AE216" i="412"/>
  <c r="Y216" i="412"/>
  <c r="AA216" i="412" s="1"/>
  <c r="Y193" i="412"/>
  <c r="Z193" i="412" s="1"/>
  <c r="AA193" i="412" s="1"/>
  <c r="R31" i="410"/>
  <c r="L77" i="379"/>
  <c r="H77" i="379"/>
  <c r="S100" i="406"/>
  <c r="T100" i="406" s="1"/>
  <c r="N60" i="397"/>
  <c r="N61" i="397" s="1"/>
  <c r="M61" i="397"/>
  <c r="T185" i="408"/>
  <c r="S174" i="406"/>
  <c r="T174" i="406" s="1"/>
  <c r="S91" i="406"/>
  <c r="T91" i="406" s="1"/>
  <c r="S208" i="406"/>
  <c r="T208" i="406" s="1"/>
  <c r="R12" i="413"/>
  <c r="S12" i="413" s="1"/>
  <c r="T12" i="413" s="1"/>
  <c r="S99" i="413"/>
  <c r="S18" i="413"/>
  <c r="T18" i="413" s="1"/>
  <c r="M12" i="398"/>
  <c r="N12" i="398" s="1"/>
  <c r="G38" i="226"/>
  <c r="I21" i="226"/>
  <c r="M14" i="379"/>
  <c r="N14" i="379" s="1"/>
  <c r="T170" i="408"/>
  <c r="T221" i="406"/>
  <c r="I48" i="404"/>
  <c r="J48" i="404" s="1"/>
  <c r="J50" i="404" s="1"/>
  <c r="F39" i="237"/>
  <c r="G39" i="237" s="1"/>
  <c r="F8" i="237"/>
  <c r="G8" i="237" s="1"/>
  <c r="W40" i="266"/>
  <c r="BG40" i="266" s="1"/>
  <c r="F87" i="379"/>
  <c r="H87" i="379" s="1"/>
  <c r="F78" i="379"/>
  <c r="F67" i="379"/>
  <c r="F62" i="379"/>
  <c r="F59" i="379"/>
  <c r="L59" i="379" s="1"/>
  <c r="F53" i="379"/>
  <c r="H53" i="379" s="1"/>
  <c r="F39" i="379"/>
  <c r="M130" i="377"/>
  <c r="N130" i="377" s="1"/>
  <c r="M124" i="377"/>
  <c r="N124" i="377" s="1"/>
  <c r="Q124" i="377" s="1"/>
  <c r="S96" i="406"/>
  <c r="T96" i="406" s="1"/>
  <c r="H43" i="402"/>
  <c r="F15" i="237"/>
  <c r="G15" i="237" s="1"/>
  <c r="G11" i="237"/>
  <c r="M116" i="379"/>
  <c r="N116" i="379" s="1"/>
  <c r="F105" i="379"/>
  <c r="H105" i="379" s="1"/>
  <c r="F96" i="379"/>
  <c r="F83" i="379"/>
  <c r="L83" i="379" s="1"/>
  <c r="M121" i="377"/>
  <c r="N121" i="377" s="1"/>
  <c r="S364" i="346"/>
  <c r="T364" i="346" s="1"/>
  <c r="S315" i="346"/>
  <c r="T315" i="346" s="1"/>
  <c r="S310" i="346"/>
  <c r="T310" i="346" s="1"/>
  <c r="S287" i="346"/>
  <c r="T287" i="346" s="1"/>
  <c r="S242" i="346"/>
  <c r="T242" i="346" s="1"/>
  <c r="T220" i="346"/>
  <c r="S216" i="346"/>
  <c r="T216" i="346" s="1"/>
  <c r="S204" i="346"/>
  <c r="T204" i="346" s="1"/>
  <c r="S167" i="346"/>
  <c r="T167" i="346" s="1"/>
  <c r="S146" i="346"/>
  <c r="T146" i="346" s="1"/>
  <c r="S130" i="346"/>
  <c r="T130" i="346" s="1"/>
  <c r="S123" i="346"/>
  <c r="T123" i="346" s="1"/>
  <c r="S118" i="346"/>
  <c r="T118" i="346" s="1"/>
  <c r="I19" i="144"/>
  <c r="J19" i="144"/>
  <c r="F33" i="237"/>
  <c r="G33" i="237" s="1"/>
  <c r="F19" i="379"/>
  <c r="L19" i="379" s="1"/>
  <c r="F27" i="379"/>
  <c r="L27" i="379" s="1"/>
  <c r="M27" i="379" s="1"/>
  <c r="F35" i="379"/>
  <c r="F43" i="379"/>
  <c r="F46" i="379"/>
  <c r="L46" i="379" s="1"/>
  <c r="M46" i="379" s="1"/>
  <c r="F52" i="379"/>
  <c r="L52" i="379" s="1"/>
  <c r="M52" i="379" s="1"/>
  <c r="F56" i="379"/>
  <c r="F65" i="379"/>
  <c r="H65" i="379" s="1"/>
  <c r="F75" i="379"/>
  <c r="F90" i="379"/>
  <c r="H90" i="379" s="1"/>
  <c r="F92" i="379"/>
  <c r="L92" i="379" s="1"/>
  <c r="M92" i="379" s="1"/>
  <c r="F94" i="379"/>
  <c r="F102" i="379"/>
  <c r="F17" i="379"/>
  <c r="L17" i="379" s="1"/>
  <c r="F24" i="379"/>
  <c r="F26" i="379"/>
  <c r="L26" i="379" s="1"/>
  <c r="M26" i="379" s="1"/>
  <c r="F32" i="379"/>
  <c r="H32" i="379" s="1"/>
  <c r="F34" i="379"/>
  <c r="H34" i="379" s="1"/>
  <c r="F40" i="379"/>
  <c r="F42" i="379"/>
  <c r="H42" i="379" s="1"/>
  <c r="F45" i="379"/>
  <c r="H45" i="379" s="1"/>
  <c r="F49" i="379"/>
  <c r="H49" i="379" s="1"/>
  <c r="F51" i="379"/>
  <c r="F54" i="379"/>
  <c r="L54" i="379" s="1"/>
  <c r="M54" i="379" s="1"/>
  <c r="F60" i="379"/>
  <c r="L60" i="379" s="1"/>
  <c r="M60" i="379" s="1"/>
  <c r="F71" i="379"/>
  <c r="L71" i="379" s="1"/>
  <c r="F74" i="379"/>
  <c r="H74" i="379" s="1"/>
  <c r="F79" i="379"/>
  <c r="H79" i="379" s="1"/>
  <c r="F88" i="379"/>
  <c r="L88" i="379" s="1"/>
  <c r="M88" i="379" s="1"/>
  <c r="F99" i="379"/>
  <c r="H99" i="379" s="1"/>
  <c r="F100" i="379"/>
  <c r="F104" i="379"/>
  <c r="F106" i="379"/>
  <c r="L106" i="379" s="1"/>
  <c r="M106" i="379" s="1"/>
  <c r="F109" i="379"/>
  <c r="L109" i="379" s="1"/>
  <c r="F9" i="379"/>
  <c r="F20" i="379"/>
  <c r="L20" i="379" s="1"/>
  <c r="M20" i="379" s="1"/>
  <c r="F22" i="379"/>
  <c r="L22" i="379" s="1"/>
  <c r="M22" i="379" s="1"/>
  <c r="F28" i="379"/>
  <c r="L28" i="379" s="1"/>
  <c r="M28" i="379" s="1"/>
  <c r="F30" i="379"/>
  <c r="F36" i="379"/>
  <c r="F38" i="379"/>
  <c r="L38" i="379" s="1"/>
  <c r="M38" i="379" s="1"/>
  <c r="F44" i="379"/>
  <c r="H44" i="379" s="1"/>
  <c r="F48" i="379"/>
  <c r="F61" i="379"/>
  <c r="L61" i="379" s="1"/>
  <c r="M61" i="379" s="1"/>
  <c r="F66" i="379"/>
  <c r="F70" i="379"/>
  <c r="L70" i="379" s="1"/>
  <c r="M70" i="379" s="1"/>
  <c r="F80" i="379"/>
  <c r="F82" i="379"/>
  <c r="L82" i="379" s="1"/>
  <c r="M82" i="379" s="1"/>
  <c r="F84" i="379"/>
  <c r="H84" i="379" s="1"/>
  <c r="F86" i="379"/>
  <c r="F91" i="379"/>
  <c r="L91" i="379" s="1"/>
  <c r="F95" i="379"/>
  <c r="F103" i="379"/>
  <c r="L103" i="379" s="1"/>
  <c r="F108" i="379"/>
  <c r="H108" i="379" s="1"/>
  <c r="S183" i="346"/>
  <c r="T183" i="346" s="1"/>
  <c r="S180" i="346"/>
  <c r="T180" i="346" s="1"/>
  <c r="S176" i="346"/>
  <c r="T176" i="346" s="1"/>
  <c r="S71" i="346"/>
  <c r="T71" i="346" s="1"/>
  <c r="S59" i="346"/>
  <c r="T59" i="346" s="1"/>
  <c r="S47" i="346"/>
  <c r="T47" i="346" s="1"/>
  <c r="R11" i="405"/>
  <c r="S11" i="405" s="1"/>
  <c r="P9" i="405"/>
  <c r="S366" i="388"/>
  <c r="T366" i="388" s="1"/>
  <c r="R357" i="388"/>
  <c r="S330" i="388"/>
  <c r="T330" i="388" s="1"/>
  <c r="S321" i="388"/>
  <c r="H17" i="285"/>
  <c r="I17" i="285" s="1"/>
  <c r="L17" i="285" s="1"/>
  <c r="M14" i="377"/>
  <c r="B68" i="284"/>
  <c r="B69" i="284"/>
  <c r="F44" i="402"/>
  <c r="G44" i="402" s="1"/>
  <c r="L44" i="402"/>
  <c r="M44" i="402" s="1"/>
  <c r="M45" i="402" s="1"/>
  <c r="AE39" i="335"/>
  <c r="G19" i="394"/>
  <c r="H10" i="394"/>
  <c r="Q91" i="404"/>
  <c r="F22" i="369"/>
  <c r="P77" i="402"/>
  <c r="H94" i="402" s="1"/>
  <c r="I94" i="402" s="1"/>
  <c r="L94" i="402" s="1"/>
  <c r="M94" i="402" s="1"/>
  <c r="I77" i="402"/>
  <c r="J77" i="402" s="1"/>
  <c r="H93" i="402" s="1"/>
  <c r="I93" i="402" s="1"/>
  <c r="L93" i="402" s="1"/>
  <c r="L20" i="398"/>
  <c r="L21" i="398" s="1"/>
  <c r="H20" i="398"/>
  <c r="AE24" i="335"/>
  <c r="U56" i="284"/>
  <c r="F18" i="284" s="1"/>
  <c r="G18" i="284" s="1"/>
  <c r="H18" i="284" s="1"/>
  <c r="K18" i="284" s="1"/>
  <c r="K14" i="284"/>
  <c r="Q57" i="393"/>
  <c r="S33" i="393"/>
  <c r="S57" i="393" s="1"/>
  <c r="I61" i="285"/>
  <c r="J61" i="285" s="1"/>
  <c r="H77" i="285" s="1"/>
  <c r="I77" i="285" s="1"/>
  <c r="L77" i="285" s="1"/>
  <c r="H16" i="285"/>
  <c r="I16" i="285" s="1"/>
  <c r="L16" i="285" s="1"/>
  <c r="I17" i="404"/>
  <c r="L17" i="404" s="1"/>
  <c r="M17" i="404" s="1"/>
  <c r="N17" i="404" s="1"/>
  <c r="N16" i="325"/>
  <c r="P16" i="325"/>
  <c r="R16" i="325"/>
  <c r="N15" i="325"/>
  <c r="P15" i="325"/>
  <c r="L15" i="325"/>
  <c r="T15" i="325"/>
  <c r="AA24" i="356"/>
  <c r="AB24" i="356" s="1"/>
  <c r="U21" i="373"/>
  <c r="D219" i="393"/>
  <c r="F196" i="393" s="1"/>
  <c r="B219" i="393"/>
  <c r="F192" i="393" s="1"/>
  <c r="G192" i="393" s="1"/>
  <c r="H192" i="393" s="1"/>
  <c r="K192" i="393" s="1"/>
  <c r="Q36" i="325"/>
  <c r="P43" i="397"/>
  <c r="H11" i="397" s="1"/>
  <c r="I11" i="397" s="1"/>
  <c r="L11" i="397" s="1"/>
  <c r="M11" i="397" s="1"/>
  <c r="AE18" i="335"/>
  <c r="AE15" i="335"/>
  <c r="N19" i="325"/>
  <c r="F10" i="254"/>
  <c r="AE46" i="335"/>
  <c r="AE27" i="335"/>
  <c r="AR25" i="335"/>
  <c r="AU18" i="373"/>
  <c r="I11" i="139"/>
  <c r="J11" i="139" s="1"/>
  <c r="R12" i="407"/>
  <c r="AA40" i="411"/>
  <c r="Y40" i="411"/>
  <c r="W40" i="411"/>
  <c r="H17" i="152"/>
  <c r="AR44" i="335"/>
  <c r="AE40" i="335"/>
  <c r="AR24" i="335"/>
  <c r="AR15" i="335"/>
  <c r="V53" i="335"/>
  <c r="G30" i="144"/>
  <c r="M8" i="191"/>
  <c r="N8" i="191" s="1"/>
  <c r="I18" i="139"/>
  <c r="J18" i="139" s="1"/>
  <c r="K18" i="139" s="1"/>
  <c r="AR50" i="335"/>
  <c r="AR48" i="335"/>
  <c r="AR45" i="335"/>
  <c r="AR40" i="335"/>
  <c r="AE36" i="335"/>
  <c r="AR19" i="335"/>
  <c r="AA23" i="356"/>
  <c r="AK22" i="356"/>
  <c r="AL22" i="356" s="1"/>
  <c r="AK18" i="356"/>
  <c r="AL18" i="356" s="1"/>
  <c r="AK16" i="356"/>
  <c r="AL16" i="356" s="1"/>
  <c r="G18" i="144"/>
  <c r="H18" i="144" s="1"/>
  <c r="G16" i="144"/>
  <c r="H16" i="144" s="1"/>
  <c r="W24" i="373"/>
  <c r="Y45" i="411"/>
  <c r="AA45" i="411"/>
  <c r="W45" i="411"/>
  <c r="Y42" i="411"/>
  <c r="AA42" i="411"/>
  <c r="W42" i="411"/>
  <c r="AA44" i="411"/>
  <c r="AE39" i="412"/>
  <c r="Y39" i="412"/>
  <c r="AA39" i="412" s="1"/>
  <c r="AE130" i="412"/>
  <c r="Y130" i="412"/>
  <c r="AA130" i="412" s="1"/>
  <c r="Y34" i="411"/>
  <c r="W34" i="411"/>
  <c r="AA36" i="411"/>
  <c r="Y36" i="411"/>
  <c r="Y41" i="411"/>
  <c r="W41" i="411"/>
  <c r="T347" i="408"/>
  <c r="Q9" i="406"/>
  <c r="R72" i="346"/>
  <c r="S72" i="346" s="1"/>
  <c r="T72" i="346" s="1"/>
  <c r="Y37" i="411"/>
  <c r="AA37" i="411"/>
  <c r="W37" i="411"/>
  <c r="W44" i="411"/>
  <c r="AA46" i="411"/>
  <c r="Y46" i="411"/>
  <c r="W46" i="411"/>
  <c r="AE131" i="412"/>
  <c r="Y131" i="412"/>
  <c r="AA131" i="412" s="1"/>
  <c r="W35" i="411"/>
  <c r="W39" i="411"/>
  <c r="AE129" i="412"/>
  <c r="Y129" i="412"/>
  <c r="AA129" i="412" s="1"/>
  <c r="Y247" i="412"/>
  <c r="AA247" i="412" s="1"/>
  <c r="AA43" i="411"/>
  <c r="Y43" i="411"/>
  <c r="AE164" i="412"/>
  <c r="Y164" i="412"/>
  <c r="F16" i="414"/>
  <c r="F20" i="414"/>
  <c r="F15" i="414"/>
  <c r="V33" i="429"/>
  <c r="AE44" i="412"/>
  <c r="AC44" i="412"/>
  <c r="AC77" i="412"/>
  <c r="AE77" i="412"/>
  <c r="AC56" i="412"/>
  <c r="AE56" i="412"/>
  <c r="AE295" i="412"/>
  <c r="Y295" i="412"/>
  <c r="AA295" i="412" s="1"/>
  <c r="AA17" i="411"/>
  <c r="W17" i="411"/>
  <c r="Y17" i="411"/>
  <c r="W21" i="411"/>
  <c r="AA21" i="411"/>
  <c r="Y21" i="411"/>
  <c r="Y10" i="411"/>
  <c r="AE220" i="412"/>
  <c r="AC220" i="412"/>
  <c r="AA84" i="412"/>
  <c r="W12" i="411"/>
  <c r="AA12" i="411"/>
  <c r="Y12" i="411"/>
  <c r="AA14" i="411"/>
  <c r="AC218" i="412"/>
  <c r="Y218" i="412"/>
  <c r="AA218" i="412" s="1"/>
  <c r="AE218" i="412"/>
  <c r="AE88" i="412"/>
  <c r="Y88" i="412"/>
  <c r="AA88" i="412" s="1"/>
  <c r="AC80" i="412"/>
  <c r="AE80" i="412"/>
  <c r="AC58" i="412"/>
  <c r="AE58" i="412"/>
  <c r="Y19" i="411"/>
  <c r="W19" i="411"/>
  <c r="AA19" i="411"/>
  <c r="Y14" i="411"/>
  <c r="AC174" i="412"/>
  <c r="Y90" i="412"/>
  <c r="AA90" i="412" s="1"/>
  <c r="AC79" i="412"/>
  <c r="AC57" i="412"/>
  <c r="W13" i="411"/>
  <c r="W11" i="411"/>
  <c r="Y13" i="411"/>
  <c r="Y31" i="411"/>
  <c r="Y30" i="411"/>
  <c r="T321" i="388"/>
  <c r="Z209" i="412"/>
  <c r="AA209" i="412" s="1"/>
  <c r="S236" i="406"/>
  <c r="T236" i="406" s="1"/>
  <c r="L34" i="379"/>
  <c r="M34" i="379" s="1"/>
  <c r="T99" i="413"/>
  <c r="G57" i="124"/>
  <c r="V64" i="429"/>
  <c r="V86" i="429"/>
  <c r="V97" i="429"/>
  <c r="V106" i="429"/>
  <c r="V34" i="429"/>
  <c r="V58" i="429"/>
  <c r="V30" i="429"/>
  <c r="V59" i="429"/>
  <c r="V69" i="429"/>
  <c r="V71" i="429"/>
  <c r="V22" i="429"/>
  <c r="V48" i="429"/>
  <c r="V60" i="429"/>
  <c r="V68" i="429"/>
  <c r="V89" i="429"/>
  <c r="V93" i="429"/>
  <c r="V100" i="429"/>
  <c r="V102" i="429"/>
  <c r="V104" i="429"/>
  <c r="V108" i="429"/>
  <c r="V98" i="429"/>
  <c r="V20" i="429"/>
  <c r="V24" i="429"/>
  <c r="V26" i="429"/>
  <c r="V28" i="429"/>
  <c r="V32" i="429"/>
  <c r="V36" i="429"/>
  <c r="V38" i="429"/>
  <c r="V42" i="429"/>
  <c r="V44" i="429"/>
  <c r="V46" i="429"/>
  <c r="V52" i="429"/>
  <c r="V54" i="429"/>
  <c r="V56" i="429"/>
  <c r="V73" i="429"/>
  <c r="V75" i="429"/>
  <c r="V77" i="429"/>
  <c r="V81" i="429"/>
  <c r="V83" i="429"/>
  <c r="V13" i="429"/>
  <c r="V15" i="429"/>
  <c r="V85" i="429"/>
  <c r="V87" i="429"/>
  <c r="V88" i="429"/>
  <c r="V95" i="429"/>
  <c r="V99" i="429"/>
  <c r="V105" i="429"/>
  <c r="V18" i="429"/>
  <c r="V96" i="429"/>
  <c r="V107" i="429"/>
  <c r="V65" i="429"/>
  <c r="V91" i="429"/>
  <c r="V50" i="429"/>
  <c r="V29" i="429"/>
  <c r="V66" i="429"/>
  <c r="V78" i="429"/>
  <c r="V63" i="429"/>
  <c r="V70" i="429"/>
  <c r="V90" i="429"/>
  <c r="V94" i="429"/>
  <c r="V40" i="429"/>
  <c r="V72" i="429"/>
  <c r="V79" i="429"/>
  <c r="V119" i="426"/>
  <c r="V66" i="426"/>
  <c r="V22" i="426"/>
  <c r="V70" i="426"/>
  <c r="V65" i="426"/>
  <c r="V68" i="426"/>
  <c r="V76" i="426"/>
  <c r="V49" i="426"/>
  <c r="V39" i="426"/>
  <c r="V50" i="426"/>
  <c r="V92" i="426"/>
  <c r="V99" i="426"/>
  <c r="V84" i="426"/>
  <c r="V122" i="426"/>
  <c r="V121" i="426"/>
  <c r="V85" i="426"/>
  <c r="V34" i="426"/>
  <c r="V98" i="426"/>
  <c r="V87" i="426"/>
  <c r="V20" i="426"/>
  <c r="V101" i="426"/>
  <c r="V13" i="426"/>
  <c r="V21" i="426"/>
  <c r="V10" i="426"/>
  <c r="V107" i="426"/>
  <c r="V112" i="426"/>
  <c r="V120" i="426"/>
  <c r="V55" i="426"/>
  <c r="V35" i="426"/>
  <c r="V40" i="426"/>
  <c r="V51" i="426"/>
  <c r="V53" i="426"/>
  <c r="V81" i="426"/>
  <c r="V30" i="426"/>
  <c r="V46" i="426"/>
  <c r="V56" i="426"/>
  <c r="V82" i="426"/>
  <c r="V77" i="426"/>
  <c r="V94" i="426"/>
  <c r="V75" i="426"/>
  <c r="V17" i="426"/>
  <c r="V38" i="426"/>
  <c r="V90" i="426"/>
  <c r="V80" i="426"/>
  <c r="V71" i="426"/>
  <c r="V89" i="426"/>
  <c r="V33" i="426"/>
  <c r="R11" i="422"/>
  <c r="T11" i="422" s="1"/>
  <c r="R10" i="422"/>
  <c r="V35" i="420"/>
  <c r="V43" i="420"/>
  <c r="V47" i="420"/>
  <c r="V39" i="420"/>
  <c r="V13" i="420"/>
  <c r="V19" i="420"/>
  <c r="V23" i="420"/>
  <c r="V27" i="420"/>
  <c r="V36" i="420"/>
  <c r="V41" i="420"/>
  <c r="V45" i="420"/>
  <c r="V49" i="420"/>
  <c r="V17" i="420"/>
  <c r="V21" i="420"/>
  <c r="V25" i="420"/>
  <c r="V40" i="420"/>
  <c r="V9" i="429"/>
  <c r="S12" i="407"/>
  <c r="H76" i="377"/>
  <c r="L76" i="377"/>
  <c r="M11" i="404"/>
  <c r="N11" i="404" s="1"/>
  <c r="Z192" i="412"/>
  <c r="AA192" i="412" s="1"/>
  <c r="AA136" i="412"/>
  <c r="H58" i="377"/>
  <c r="L20" i="377"/>
  <c r="M20" i="377" s="1"/>
  <c r="L26" i="377"/>
  <c r="AA140" i="412"/>
  <c r="AB140" i="412"/>
  <c r="AC140" i="412" s="1"/>
  <c r="H96" i="377"/>
  <c r="N16" i="399"/>
  <c r="H63" i="379"/>
  <c r="L63" i="379"/>
  <c r="M63" i="379" s="1"/>
  <c r="T141" i="408"/>
  <c r="T98" i="413"/>
  <c r="T33" i="413"/>
  <c r="S30" i="413"/>
  <c r="T30" i="413" s="1"/>
  <c r="T79" i="406"/>
  <c r="F31" i="237"/>
  <c r="G31" i="237" s="1"/>
  <c r="G35" i="237"/>
  <c r="F16" i="237"/>
  <c r="G16" i="237" s="1"/>
  <c r="F12" i="237"/>
  <c r="G12" i="237" s="1"/>
  <c r="E20" i="226"/>
  <c r="C20" i="226" s="1"/>
  <c r="H36" i="400"/>
  <c r="H39" i="400"/>
  <c r="H43" i="400"/>
  <c r="H46" i="400"/>
  <c r="H37" i="400"/>
  <c r="H40" i="400"/>
  <c r="H44" i="400"/>
  <c r="H47" i="400"/>
  <c r="H49" i="400"/>
  <c r="H41" i="400"/>
  <c r="H45" i="400"/>
  <c r="R78" i="396"/>
  <c r="F20" i="396" s="1"/>
  <c r="G20" i="396" s="1"/>
  <c r="K11" i="392"/>
  <c r="F107" i="377"/>
  <c r="H107" i="377" s="1"/>
  <c r="F105" i="377"/>
  <c r="H105" i="377" s="1"/>
  <c r="F103" i="377"/>
  <c r="L103" i="377" s="1"/>
  <c r="M103" i="377" s="1"/>
  <c r="M78" i="396"/>
  <c r="F16" i="396" s="1"/>
  <c r="L78" i="396"/>
  <c r="F12" i="396" s="1"/>
  <c r="G12" i="396" s="1"/>
  <c r="H12" i="396" s="1"/>
  <c r="K12" i="396" s="1"/>
  <c r="J143" i="393"/>
  <c r="G143" i="393" s="1"/>
  <c r="H143" i="393" s="1"/>
  <c r="D144" i="393"/>
  <c r="T356" i="346"/>
  <c r="T329" i="405"/>
  <c r="F178" i="393"/>
  <c r="D142" i="393" s="1"/>
  <c r="F177" i="393"/>
  <c r="D141" i="393" s="1"/>
  <c r="F176" i="393"/>
  <c r="D140" i="393" s="1"/>
  <c r="M144" i="394"/>
  <c r="D133" i="394" s="1"/>
  <c r="K19" i="394"/>
  <c r="K15" i="394"/>
  <c r="B220" i="393"/>
  <c r="F193" i="393" s="1"/>
  <c r="F219" i="393"/>
  <c r="F200" i="393" s="1"/>
  <c r="F102" i="393"/>
  <c r="F14" i="369"/>
  <c r="J25" i="199"/>
  <c r="J20" i="199"/>
  <c r="K31" i="325"/>
  <c r="M31" i="325"/>
  <c r="L38" i="352"/>
  <c r="L27" i="352"/>
  <c r="L20" i="352"/>
  <c r="S324" i="388"/>
  <c r="T324" i="388" s="1"/>
  <c r="J151" i="393"/>
  <c r="G151" i="393" s="1"/>
  <c r="X21" i="325"/>
  <c r="B47" i="401"/>
  <c r="F14" i="401" s="1"/>
  <c r="G14" i="401" s="1"/>
  <c r="H14" i="401" s="1"/>
  <c r="K14" i="401" s="1"/>
  <c r="E94" i="399"/>
  <c r="L226" i="393"/>
  <c r="D128" i="393" s="1"/>
  <c r="L227" i="393"/>
  <c r="D129" i="393" s="1"/>
  <c r="G19" i="393"/>
  <c r="F10" i="393"/>
  <c r="P60" i="404"/>
  <c r="H73" i="404" s="1"/>
  <c r="I73" i="404" s="1"/>
  <c r="L73" i="404" s="1"/>
  <c r="K28" i="325"/>
  <c r="M28" i="325"/>
  <c r="Q60" i="404"/>
  <c r="H74" i="404" s="1"/>
  <c r="I74" i="404" s="1"/>
  <c r="L74" i="404" s="1"/>
  <c r="H9" i="123"/>
  <c r="S306" i="388"/>
  <c r="T306" i="388" s="1"/>
  <c r="H15" i="402"/>
  <c r="I15" i="402" s="1"/>
  <c r="L15" i="402" s="1"/>
  <c r="AR41" i="335"/>
  <c r="AE34" i="335"/>
  <c r="AR32" i="335"/>
  <c r="AE52" i="335"/>
  <c r="AE43" i="335"/>
  <c r="H9" i="353"/>
  <c r="H31" i="353" s="1"/>
  <c r="AE17" i="412"/>
  <c r="AC17" i="412"/>
  <c r="G24" i="409"/>
  <c r="K24" i="409" s="1"/>
  <c r="G29" i="409"/>
  <c r="K29" i="409" s="1"/>
  <c r="G41" i="409"/>
  <c r="K41" i="409" s="1"/>
  <c r="G12" i="409"/>
  <c r="K12" i="409" s="1"/>
  <c r="K11" i="409" s="1"/>
  <c r="G13" i="409"/>
  <c r="K13" i="409" s="1"/>
  <c r="G34" i="409"/>
  <c r="K34" i="409" s="1"/>
  <c r="G39" i="409"/>
  <c r="K39" i="409" s="1"/>
  <c r="G44" i="409"/>
  <c r="K44" i="409" s="1"/>
  <c r="Q9" i="407"/>
  <c r="S102" i="413"/>
  <c r="T102" i="413" s="1"/>
  <c r="P27" i="413"/>
  <c r="L9" i="413"/>
  <c r="R106" i="413"/>
  <c r="F10" i="414"/>
  <c r="AT18" i="413"/>
  <c r="AU18" i="413" s="1"/>
  <c r="M18" i="413" s="1"/>
  <c r="M9" i="413" s="1"/>
  <c r="F24" i="414"/>
  <c r="AA85" i="412"/>
  <c r="W30" i="411"/>
  <c r="AA30" i="411"/>
  <c r="P15" i="419"/>
  <c r="AC28" i="412"/>
  <c r="AE28" i="412"/>
  <c r="W9" i="411"/>
  <c r="Y9" i="411"/>
  <c r="W20" i="411"/>
  <c r="AA18" i="411"/>
  <c r="L105" i="377"/>
  <c r="M105" i="377" s="1"/>
  <c r="M117" i="377"/>
  <c r="N117" i="377" s="1"/>
  <c r="Q117" i="377" s="1"/>
  <c r="R117" i="377" s="1"/>
  <c r="T117" i="377" s="1"/>
  <c r="M66" i="377"/>
  <c r="N66" i="377" s="1"/>
  <c r="Q66" i="377" s="1"/>
  <c r="R66" i="377" s="1"/>
  <c r="V11" i="429"/>
  <c r="AB23" i="356"/>
  <c r="T39" i="406"/>
  <c r="H90" i="377"/>
  <c r="L90" i="377"/>
  <c r="M90" i="377" s="1"/>
  <c r="S356" i="408"/>
  <c r="M89" i="402"/>
  <c r="N89" i="402" s="1"/>
  <c r="M10" i="399"/>
  <c r="N10" i="399" s="1"/>
  <c r="Z211" i="412"/>
  <c r="AA211" i="412" s="1"/>
  <c r="L68" i="377"/>
  <c r="M68" i="377" s="1"/>
  <c r="H68" i="377"/>
  <c r="S181" i="406"/>
  <c r="T181" i="406" s="1"/>
  <c r="H84" i="377"/>
  <c r="L84" i="377"/>
  <c r="AC22" i="266"/>
  <c r="AI22" i="266" s="1"/>
  <c r="L40" i="377"/>
  <c r="M40" i="377" s="1"/>
  <c r="J36" i="144"/>
  <c r="S101" i="413"/>
  <c r="T101" i="413" s="1"/>
  <c r="F53" i="377"/>
  <c r="L53" i="377" s="1"/>
  <c r="M53" i="377" s="1"/>
  <c r="F43" i="377"/>
  <c r="F35" i="377"/>
  <c r="H35" i="377" s="1"/>
  <c r="F27" i="377"/>
  <c r="F19" i="377"/>
  <c r="H19" i="377" s="1"/>
  <c r="F51" i="377"/>
  <c r="H51" i="377" s="1"/>
  <c r="F41" i="377"/>
  <c r="L41" i="377" s="1"/>
  <c r="M41" i="377" s="1"/>
  <c r="F33" i="377"/>
  <c r="L33" i="377" s="1"/>
  <c r="M33" i="377" s="1"/>
  <c r="F17" i="377"/>
  <c r="L17" i="377" s="1"/>
  <c r="M17" i="377" s="1"/>
  <c r="F62" i="377"/>
  <c r="F47" i="377"/>
  <c r="F37" i="377"/>
  <c r="L37" i="377" s="1"/>
  <c r="M37" i="377" s="1"/>
  <c r="F29" i="377"/>
  <c r="F21" i="377"/>
  <c r="L21" i="377" s="1"/>
  <c r="M21" i="377" s="1"/>
  <c r="F49" i="377"/>
  <c r="H49" i="377" s="1"/>
  <c r="F25" i="377"/>
  <c r="F123" i="377"/>
  <c r="H123" i="377" s="1"/>
  <c r="F97" i="377"/>
  <c r="F91" i="377"/>
  <c r="H91" i="377" s="1"/>
  <c r="F85" i="377"/>
  <c r="F73" i="377"/>
  <c r="H73" i="377" s="1"/>
  <c r="F63" i="377"/>
  <c r="L63" i="377" s="1"/>
  <c r="M63" i="377" s="1"/>
  <c r="F57" i="377"/>
  <c r="H57" i="377" s="1"/>
  <c r="F45" i="377"/>
  <c r="F23" i="377"/>
  <c r="L23" i="377" s="1"/>
  <c r="M23" i="377" s="1"/>
  <c r="F108" i="377"/>
  <c r="F93" i="377"/>
  <c r="F89" i="377"/>
  <c r="L89" i="377" s="1"/>
  <c r="M89" i="377" s="1"/>
  <c r="F83" i="377"/>
  <c r="L83" i="377" s="1"/>
  <c r="M83" i="377" s="1"/>
  <c r="F79" i="377"/>
  <c r="H79" i="377" s="1"/>
  <c r="F55" i="377"/>
  <c r="H55" i="377" s="1"/>
  <c r="F31" i="377"/>
  <c r="F106" i="377"/>
  <c r="H106" i="377" s="1"/>
  <c r="F99" i="377"/>
  <c r="F95" i="377"/>
  <c r="L95" i="377" s="1"/>
  <c r="M95" i="377" s="1"/>
  <c r="F87" i="377"/>
  <c r="F75" i="377"/>
  <c r="F69" i="377"/>
  <c r="L69" i="377" s="1"/>
  <c r="M69" i="377" s="1"/>
  <c r="F67" i="377"/>
  <c r="H67" i="377" s="1"/>
  <c r="F59" i="377"/>
  <c r="H59" i="377" s="1"/>
  <c r="F71" i="377"/>
  <c r="L71" i="377" s="1"/>
  <c r="M71" i="377" s="1"/>
  <c r="F39" i="377"/>
  <c r="F104" i="377"/>
  <c r="H104" i="377" s="1"/>
  <c r="F81" i="377"/>
  <c r="L81" i="377" s="1"/>
  <c r="M81" i="377" s="1"/>
  <c r="F61" i="377"/>
  <c r="S71" i="407"/>
  <c r="T71" i="407" s="1"/>
  <c r="M13" i="380"/>
  <c r="AB12" i="266"/>
  <c r="J64" i="402"/>
  <c r="J66" i="402" s="1"/>
  <c r="E23" i="226"/>
  <c r="O11" i="356"/>
  <c r="O10" i="356" s="1"/>
  <c r="AR11" i="356"/>
  <c r="AR10" i="356" s="1"/>
  <c r="X11" i="356"/>
  <c r="X10" i="356" s="1"/>
  <c r="AK13" i="356"/>
  <c r="AL13" i="356" s="1"/>
  <c r="AE11" i="356"/>
  <c r="AE10" i="356" s="1"/>
  <c r="T11" i="356"/>
  <c r="T10" i="356" s="1"/>
  <c r="BL11" i="356"/>
  <c r="BL10" i="356" s="1"/>
  <c r="AA12" i="356"/>
  <c r="AB12" i="356" s="1"/>
  <c r="F41" i="237"/>
  <c r="G41" i="237" s="1"/>
  <c r="F10" i="237"/>
  <c r="G10" i="237" s="1"/>
  <c r="S88" i="346"/>
  <c r="T88" i="346" s="1"/>
  <c r="S55" i="346"/>
  <c r="T55" i="346" s="1"/>
  <c r="E9" i="346"/>
  <c r="T266" i="405"/>
  <c r="S258" i="405"/>
  <c r="T258" i="405" s="1"/>
  <c r="S244" i="405"/>
  <c r="T244" i="405" s="1"/>
  <c r="T180" i="405"/>
  <c r="S133" i="405"/>
  <c r="T133" i="405" s="1"/>
  <c r="D125" i="394"/>
  <c r="M10" i="293"/>
  <c r="N10" i="293" s="1"/>
  <c r="P10" i="380"/>
  <c r="M114" i="379"/>
  <c r="N114" i="379" s="1"/>
  <c r="M119" i="380"/>
  <c r="N119" i="380" s="1"/>
  <c r="J64" i="380"/>
  <c r="J145" i="392"/>
  <c r="D122" i="392" s="1"/>
  <c r="J122" i="392" s="1"/>
  <c r="J144" i="392"/>
  <c r="D121" i="392" s="1"/>
  <c r="J121" i="392" s="1"/>
  <c r="J143" i="392"/>
  <c r="D120" i="392" s="1"/>
  <c r="D144" i="392"/>
  <c r="D96" i="392" s="1"/>
  <c r="D145" i="392"/>
  <c r="D97" i="392" s="1"/>
  <c r="D143" i="392"/>
  <c r="D95" i="392" s="1"/>
  <c r="M11" i="379"/>
  <c r="S63" i="346"/>
  <c r="T63" i="346" s="1"/>
  <c r="K22" i="400"/>
  <c r="L80" i="396"/>
  <c r="F14" i="396" s="1"/>
  <c r="G14" i="396" s="1"/>
  <c r="H14" i="396" s="1"/>
  <c r="K14" i="396" s="1"/>
  <c r="B144" i="392"/>
  <c r="D88" i="392" s="1"/>
  <c r="B143" i="392"/>
  <c r="D87" i="392" s="1"/>
  <c r="B100" i="392"/>
  <c r="D45" i="401"/>
  <c r="F20" i="401" s="1"/>
  <c r="F114" i="393"/>
  <c r="H114" i="393"/>
  <c r="S73" i="346"/>
  <c r="T73" i="346" s="1"/>
  <c r="B46" i="400"/>
  <c r="C42" i="400" s="1"/>
  <c r="B47" i="400"/>
  <c r="F10" i="392"/>
  <c r="H10" i="285"/>
  <c r="I10" i="285" s="1"/>
  <c r="L10" i="285" s="1"/>
  <c r="B143" i="394"/>
  <c r="D88" i="394" s="1"/>
  <c r="G11" i="393"/>
  <c r="Q92" i="285"/>
  <c r="I11" i="285"/>
  <c r="L11" i="285" s="1"/>
  <c r="M11" i="285" s="1"/>
  <c r="N11" i="285" s="1"/>
  <c r="N12" i="325"/>
  <c r="L12" i="325"/>
  <c r="L37" i="352"/>
  <c r="L33" i="352"/>
  <c r="H15" i="391"/>
  <c r="S350" i="388"/>
  <c r="T350" i="388" s="1"/>
  <c r="M20" i="399"/>
  <c r="N20" i="399" s="1"/>
  <c r="N21" i="399" s="1"/>
  <c r="F225" i="393"/>
  <c r="D103" i="393" s="1"/>
  <c r="H126" i="393"/>
  <c r="H12" i="285"/>
  <c r="I12" i="285" s="1"/>
  <c r="L12" i="285" s="1"/>
  <c r="M33" i="325"/>
  <c r="O33" i="325"/>
  <c r="K33" i="325"/>
  <c r="R19" i="325"/>
  <c r="L19" i="325"/>
  <c r="L12" i="352"/>
  <c r="M16" i="391"/>
  <c r="N16" i="391" s="1"/>
  <c r="H16" i="391"/>
  <c r="H12" i="152"/>
  <c r="G31" i="353"/>
  <c r="AR46" i="335"/>
  <c r="AR26" i="335"/>
  <c r="AE22" i="335"/>
  <c r="AE20" i="335"/>
  <c r="AA15" i="356"/>
  <c r="AB15" i="356" s="1"/>
  <c r="AR22" i="335"/>
  <c r="AR20" i="335"/>
  <c r="AE14" i="335"/>
  <c r="AK14" i="356"/>
  <c r="AL14" i="356" s="1"/>
  <c r="T24" i="373"/>
  <c r="L24" i="373"/>
  <c r="M11" i="191"/>
  <c r="AH20" i="373"/>
  <c r="I23" i="247"/>
  <c r="I19" i="247"/>
  <c r="I15" i="247"/>
  <c r="F63" i="372"/>
  <c r="AU12" i="373"/>
  <c r="AK24" i="373"/>
  <c r="R30" i="408"/>
  <c r="T269" i="408"/>
  <c r="R271" i="408"/>
  <c r="S271" i="408" s="1"/>
  <c r="AE89" i="412"/>
  <c r="G22" i="409"/>
  <c r="K22" i="409" s="1"/>
  <c r="X283" i="412"/>
  <c r="Y283" i="412" s="1"/>
  <c r="AA283" i="412" s="1"/>
  <c r="H70" i="383"/>
  <c r="I69" i="383"/>
  <c r="I70" i="383" s="1"/>
  <c r="W18" i="411"/>
  <c r="Y18" i="411"/>
  <c r="AE248" i="412"/>
  <c r="AA160" i="412"/>
  <c r="R13" i="425"/>
  <c r="T13" i="425" s="1"/>
  <c r="AA82" i="412"/>
  <c r="W23" i="411"/>
  <c r="Y23" i="411"/>
  <c r="R104" i="413"/>
  <c r="S104" i="413" s="1"/>
  <c r="T104" i="413" s="1"/>
  <c r="V73" i="426"/>
  <c r="AE222" i="412"/>
  <c r="AC114" i="412"/>
  <c r="N11" i="191"/>
  <c r="L75" i="377"/>
  <c r="M75" i="377" s="1"/>
  <c r="H75" i="377"/>
  <c r="L104" i="377"/>
  <c r="M104" i="377" s="1"/>
  <c r="H89" i="377"/>
  <c r="H37" i="377"/>
  <c r="H83" i="377"/>
  <c r="L123" i="377"/>
  <c r="M123" i="377" s="1"/>
  <c r="L67" i="377"/>
  <c r="M67" i="377" s="1"/>
  <c r="H95" i="377"/>
  <c r="L55" i="377"/>
  <c r="M55" i="377" s="1"/>
  <c r="L91" i="377"/>
  <c r="M91" i="377" s="1"/>
  <c r="L49" i="377"/>
  <c r="M49" i="377" s="1"/>
  <c r="H41" i="377"/>
  <c r="L106" i="377"/>
  <c r="L29" i="377"/>
  <c r="M29" i="377" s="1"/>
  <c r="H29" i="377"/>
  <c r="H71" i="377"/>
  <c r="L79" i="377"/>
  <c r="M79" i="377" s="1"/>
  <c r="N79" i="377" s="1"/>
  <c r="Q79" i="377" s="1"/>
  <c r="D44" i="226"/>
  <c r="D26" i="226"/>
  <c r="E38" i="226"/>
  <c r="T19" i="417"/>
  <c r="M77" i="377"/>
  <c r="D25" i="226"/>
  <c r="D22" i="226"/>
  <c r="C101" i="225"/>
  <c r="T356" i="408"/>
  <c r="L107" i="377"/>
  <c r="M107" i="377" s="1"/>
  <c r="N107" i="377" s="1"/>
  <c r="Q107" i="377" s="1"/>
  <c r="T10" i="419"/>
  <c r="V10" i="420"/>
  <c r="M95" i="402"/>
  <c r="N95" i="402" s="1"/>
  <c r="T75" i="406"/>
  <c r="L65" i="379"/>
  <c r="M65" i="379" s="1"/>
  <c r="AB138" i="412"/>
  <c r="AC138" i="412" s="1"/>
  <c r="H24" i="377"/>
  <c r="N24" i="377" s="1"/>
  <c r="Q24" i="377" s="1"/>
  <c r="R24" i="377" s="1"/>
  <c r="S24" i="377" s="1"/>
  <c r="S332" i="408"/>
  <c r="T332" i="408" s="1"/>
  <c r="S189" i="408"/>
  <c r="T189" i="408" s="1"/>
  <c r="S105" i="406"/>
  <c r="T105" i="406" s="1"/>
  <c r="F37" i="237"/>
  <c r="G37" i="237" s="1"/>
  <c r="T107" i="413"/>
  <c r="F40" i="237"/>
  <c r="G40" i="237" s="1"/>
  <c r="F98" i="379"/>
  <c r="F72" i="379"/>
  <c r="H72" i="379" s="1"/>
  <c r="F23" i="379"/>
  <c r="H23" i="379" s="1"/>
  <c r="P18" i="384"/>
  <c r="T18" i="384" s="1"/>
  <c r="V18" i="384" s="1"/>
  <c r="S101" i="346"/>
  <c r="T101" i="346" s="1"/>
  <c r="F76" i="379"/>
  <c r="L76" i="379" s="1"/>
  <c r="R80" i="396"/>
  <c r="F22" i="396" s="1"/>
  <c r="E142" i="394"/>
  <c r="D99" i="394" s="1"/>
  <c r="D87" i="394"/>
  <c r="F90" i="394"/>
  <c r="F86" i="394"/>
  <c r="J227" i="393"/>
  <c r="D121" i="393" s="1"/>
  <c r="C177" i="393"/>
  <c r="M82" i="285"/>
  <c r="N82" i="285" s="1"/>
  <c r="N83" i="285" s="1"/>
  <c r="L83" i="285"/>
  <c r="N13" i="325"/>
  <c r="AH19" i="373"/>
  <c r="L13" i="325"/>
  <c r="J9" i="247"/>
  <c r="N24" i="373"/>
  <c r="AH21" i="373"/>
  <c r="I23" i="139"/>
  <c r="J23" i="139" s="1"/>
  <c r="K23" i="139" s="1"/>
  <c r="Y18" i="413"/>
  <c r="AC29" i="412"/>
  <c r="T10" i="424"/>
  <c r="C52" i="225"/>
  <c r="J47" i="226"/>
  <c r="G30" i="226"/>
  <c r="E29" i="226"/>
  <c r="E24" i="226"/>
  <c r="G35" i="226"/>
  <c r="G43" i="226"/>
  <c r="L21" i="226"/>
  <c r="D34" i="226"/>
  <c r="G39" i="226"/>
  <c r="R16" i="379"/>
  <c r="U16" i="379" s="1"/>
  <c r="L37" i="379"/>
  <c r="M113" i="379"/>
  <c r="N113" i="379" s="1"/>
  <c r="Q113" i="379" s="1"/>
  <c r="W113" i="379" s="1"/>
  <c r="M16" i="381"/>
  <c r="N16" i="381" s="1"/>
  <c r="Q16" i="381" s="1"/>
  <c r="H18" i="381"/>
  <c r="H17" i="381" s="1"/>
  <c r="L18" i="381"/>
  <c r="M18" i="381" s="1"/>
  <c r="M15" i="381"/>
  <c r="N15" i="381" s="1"/>
  <c r="M14" i="381"/>
  <c r="N14" i="381" s="1"/>
  <c r="P17" i="381"/>
  <c r="O17" i="381"/>
  <c r="M20" i="376"/>
  <c r="N20" i="376" s="1"/>
  <c r="L28" i="377"/>
  <c r="M28" i="377" s="1"/>
  <c r="N28" i="377" s="1"/>
  <c r="Q28" i="377" s="1"/>
  <c r="R28" i="377" s="1"/>
  <c r="L44" i="377"/>
  <c r="M44" i="377" s="1"/>
  <c r="N44" i="377" s="1"/>
  <c r="Q44" i="377" s="1"/>
  <c r="L43" i="437"/>
  <c r="M43" i="437" s="1"/>
  <c r="H43" i="437"/>
  <c r="O110" i="437"/>
  <c r="M120" i="380"/>
  <c r="N120" i="380" s="1"/>
  <c r="Q120" i="380" s="1"/>
  <c r="W120" i="380" s="1"/>
  <c r="L72" i="379"/>
  <c r="M72" i="379" s="1"/>
  <c r="N72" i="379" s="1"/>
  <c r="Q72" i="379" s="1"/>
  <c r="H71" i="379"/>
  <c r="H54" i="379"/>
  <c r="N54" i="379" s="1"/>
  <c r="Q54" i="379" s="1"/>
  <c r="M129" i="379"/>
  <c r="M115" i="379"/>
  <c r="N115" i="379" s="1"/>
  <c r="M115" i="380"/>
  <c r="M112" i="380"/>
  <c r="V16" i="426"/>
  <c r="C115" i="225"/>
  <c r="G26" i="226"/>
  <c r="G24" i="226"/>
  <c r="J44" i="226"/>
  <c r="G37" i="226"/>
  <c r="E34" i="226"/>
  <c r="C48" i="225"/>
  <c r="C78" i="225"/>
  <c r="C63" i="225"/>
  <c r="G46" i="226"/>
  <c r="V11" i="420"/>
  <c r="V8" i="442"/>
  <c r="L9" i="422"/>
  <c r="L34" i="443"/>
  <c r="M34" i="443" s="1"/>
  <c r="H34" i="443"/>
  <c r="J11" i="443"/>
  <c r="F17" i="443"/>
  <c r="H17" i="443" s="1"/>
  <c r="F18" i="443"/>
  <c r="L18" i="443" s="1"/>
  <c r="M18" i="443" s="1"/>
  <c r="F25" i="443"/>
  <c r="H25" i="443" s="1"/>
  <c r="F26" i="443"/>
  <c r="F33" i="443"/>
  <c r="H33" i="443" s="1"/>
  <c r="F106" i="443"/>
  <c r="L106" i="443" s="1"/>
  <c r="M106" i="443" s="1"/>
  <c r="F102" i="443"/>
  <c r="H102" i="443" s="1"/>
  <c r="F107" i="443"/>
  <c r="L107" i="443" s="1"/>
  <c r="M107" i="443" s="1"/>
  <c r="F120" i="443"/>
  <c r="F108" i="443" s="1"/>
  <c r="F105" i="443"/>
  <c r="L105" i="443" s="1"/>
  <c r="M105" i="443" s="1"/>
  <c r="F101" i="443"/>
  <c r="H101" i="443" s="1"/>
  <c r="F98" i="443"/>
  <c r="L98" i="443" s="1"/>
  <c r="M98" i="443" s="1"/>
  <c r="F94" i="443"/>
  <c r="L94" i="443" s="1"/>
  <c r="M94" i="443" s="1"/>
  <c r="F104" i="443"/>
  <c r="H104" i="443" s="1"/>
  <c r="F103" i="443"/>
  <c r="H103" i="443" s="1"/>
  <c r="F93" i="443"/>
  <c r="F89" i="443"/>
  <c r="L89" i="443" s="1"/>
  <c r="M89" i="443" s="1"/>
  <c r="F85" i="443"/>
  <c r="L85" i="443" s="1"/>
  <c r="M85" i="443" s="1"/>
  <c r="F81" i="443"/>
  <c r="L81" i="443" s="1"/>
  <c r="M81" i="443" s="1"/>
  <c r="F77" i="443"/>
  <c r="L77" i="443" s="1"/>
  <c r="M77" i="443" s="1"/>
  <c r="F73" i="443"/>
  <c r="H73" i="443" s="1"/>
  <c r="F97" i="443"/>
  <c r="L97" i="443" s="1"/>
  <c r="M97" i="443" s="1"/>
  <c r="F90" i="443"/>
  <c r="H90" i="443" s="1"/>
  <c r="F86" i="443"/>
  <c r="F82" i="443"/>
  <c r="H82" i="443" s="1"/>
  <c r="F100" i="443"/>
  <c r="F96" i="443"/>
  <c r="H96" i="443" s="1"/>
  <c r="F95" i="443"/>
  <c r="L95" i="443" s="1"/>
  <c r="M95" i="443" s="1"/>
  <c r="F91" i="443"/>
  <c r="H91" i="443" s="1"/>
  <c r="F87" i="443"/>
  <c r="L87" i="443" s="1"/>
  <c r="M87" i="443" s="1"/>
  <c r="F92" i="443"/>
  <c r="L92" i="443" s="1"/>
  <c r="M92" i="443" s="1"/>
  <c r="F88" i="443"/>
  <c r="F84" i="443"/>
  <c r="H84" i="443" s="1"/>
  <c r="F80" i="443"/>
  <c r="H80" i="443" s="1"/>
  <c r="F76" i="443"/>
  <c r="L76" i="443" s="1"/>
  <c r="M76" i="443" s="1"/>
  <c r="F72" i="443"/>
  <c r="H72" i="443" s="1"/>
  <c r="F68" i="443"/>
  <c r="L68" i="443" s="1"/>
  <c r="M68" i="443" s="1"/>
  <c r="F64" i="443"/>
  <c r="L64" i="443" s="1"/>
  <c r="M64" i="443" s="1"/>
  <c r="F61" i="443"/>
  <c r="H61" i="443" s="1"/>
  <c r="F67" i="443"/>
  <c r="F57" i="443"/>
  <c r="H57" i="443" s="1"/>
  <c r="F53" i="443"/>
  <c r="H53" i="443" s="1"/>
  <c r="F49" i="443"/>
  <c r="L49" i="443" s="1"/>
  <c r="M49" i="443" s="1"/>
  <c r="F45" i="443"/>
  <c r="H45" i="443" s="1"/>
  <c r="F41" i="443"/>
  <c r="L41" i="443" s="1"/>
  <c r="M41" i="443" s="1"/>
  <c r="F79" i="443"/>
  <c r="L79" i="443" s="1"/>
  <c r="M79" i="443" s="1"/>
  <c r="F78" i="443"/>
  <c r="H78" i="443" s="1"/>
  <c r="F74" i="443"/>
  <c r="F70" i="443"/>
  <c r="L70" i="443" s="1"/>
  <c r="M70" i="443" s="1"/>
  <c r="F66" i="443"/>
  <c r="L66" i="443" s="1"/>
  <c r="M66" i="443" s="1"/>
  <c r="F65" i="443"/>
  <c r="H65" i="443" s="1"/>
  <c r="F60" i="443"/>
  <c r="H60" i="443" s="1"/>
  <c r="F58" i="443"/>
  <c r="L58" i="443" s="1"/>
  <c r="M58" i="443" s="1"/>
  <c r="F54" i="443"/>
  <c r="L54" i="443" s="1"/>
  <c r="M54" i="443" s="1"/>
  <c r="F50" i="443"/>
  <c r="H50" i="443" s="1"/>
  <c r="F46" i="443"/>
  <c r="F42" i="443"/>
  <c r="L42" i="443" s="1"/>
  <c r="M42" i="443" s="1"/>
  <c r="F63" i="443"/>
  <c r="H63" i="443" s="1"/>
  <c r="F59" i="443"/>
  <c r="H59" i="443" s="1"/>
  <c r="F55" i="443"/>
  <c r="L55" i="443" s="1"/>
  <c r="M55" i="443" s="1"/>
  <c r="F51" i="443"/>
  <c r="L51" i="443" s="1"/>
  <c r="M51" i="443" s="1"/>
  <c r="F47" i="443"/>
  <c r="L47" i="443" s="1"/>
  <c r="M47" i="443" s="1"/>
  <c r="F83" i="443"/>
  <c r="L83" i="443" s="1"/>
  <c r="M83" i="443" s="1"/>
  <c r="F75" i="443"/>
  <c r="F71" i="443"/>
  <c r="L71" i="443" s="1"/>
  <c r="F69" i="443"/>
  <c r="L69" i="443" s="1"/>
  <c r="M69" i="443" s="1"/>
  <c r="F56" i="443"/>
  <c r="H56" i="443" s="1"/>
  <c r="F52" i="443"/>
  <c r="H52" i="443" s="1"/>
  <c r="F48" i="443"/>
  <c r="L48" i="443" s="1"/>
  <c r="M48" i="443" s="1"/>
  <c r="F44" i="443"/>
  <c r="H44" i="443" s="1"/>
  <c r="F40" i="443"/>
  <c r="H40" i="443" s="1"/>
  <c r="F36" i="443"/>
  <c r="F32" i="443"/>
  <c r="L32" i="443" s="1"/>
  <c r="M32" i="443" s="1"/>
  <c r="F28" i="443"/>
  <c r="L28" i="443" s="1"/>
  <c r="M28" i="443" s="1"/>
  <c r="F24" i="443"/>
  <c r="L24" i="443" s="1"/>
  <c r="M24" i="443" s="1"/>
  <c r="F20" i="443"/>
  <c r="L20" i="443" s="1"/>
  <c r="M20" i="443" s="1"/>
  <c r="F16" i="443"/>
  <c r="H16" i="443" s="1"/>
  <c r="F19" i="443"/>
  <c r="H19" i="443" s="1"/>
  <c r="F27" i="443"/>
  <c r="L27" i="443" s="1"/>
  <c r="M27" i="443" s="1"/>
  <c r="F35" i="443"/>
  <c r="H35" i="443" s="1"/>
  <c r="F21" i="443"/>
  <c r="H21" i="443" s="1"/>
  <c r="F22" i="443"/>
  <c r="L22" i="443" s="1"/>
  <c r="M22" i="443" s="1"/>
  <c r="F29" i="443"/>
  <c r="H29" i="443" s="1"/>
  <c r="F30" i="443"/>
  <c r="F37" i="443"/>
  <c r="H37" i="443" s="1"/>
  <c r="F38" i="443"/>
  <c r="L38" i="443" s="1"/>
  <c r="M38" i="443" s="1"/>
  <c r="F43" i="443"/>
  <c r="L43" i="443" s="1"/>
  <c r="M43" i="443" s="1"/>
  <c r="F15" i="443"/>
  <c r="H15" i="443" s="1"/>
  <c r="F23" i="443"/>
  <c r="H23" i="443" s="1"/>
  <c r="F31" i="443"/>
  <c r="H31" i="443" s="1"/>
  <c r="F39" i="443"/>
  <c r="L39" i="443" s="1"/>
  <c r="M39" i="443" s="1"/>
  <c r="M112" i="443"/>
  <c r="L125" i="443"/>
  <c r="L115" i="443"/>
  <c r="L117" i="443"/>
  <c r="M123" i="443"/>
  <c r="N123" i="443" s="1"/>
  <c r="L73" i="443"/>
  <c r="M73" i="443" s="1"/>
  <c r="L25" i="443"/>
  <c r="M25" i="443" s="1"/>
  <c r="H92" i="443"/>
  <c r="G25" i="226"/>
  <c r="J22" i="226"/>
  <c r="H69" i="445"/>
  <c r="L69" i="445"/>
  <c r="M69" i="445" s="1"/>
  <c r="C36" i="226"/>
  <c r="BG95" i="266" l="1"/>
  <c r="AC95" i="266"/>
  <c r="AO95" i="266" s="1"/>
  <c r="AC93" i="266"/>
  <c r="BG93" i="266"/>
  <c r="AD82" i="266"/>
  <c r="AV82" i="266" s="1"/>
  <c r="BH82" i="266"/>
  <c r="AD70" i="266"/>
  <c r="BH70" i="266"/>
  <c r="AC33" i="266"/>
  <c r="BG33" i="266"/>
  <c r="BH23" i="266"/>
  <c r="AD23" i="266"/>
  <c r="AV23" i="266" s="1"/>
  <c r="H95" i="379"/>
  <c r="L95" i="379"/>
  <c r="M95" i="379" s="1"/>
  <c r="H36" i="379"/>
  <c r="L36" i="379"/>
  <c r="M36" i="379" s="1"/>
  <c r="L46" i="377"/>
  <c r="M46" i="377" s="1"/>
  <c r="H46" i="377"/>
  <c r="E22" i="226"/>
  <c r="G22" i="226"/>
  <c r="I48" i="226"/>
  <c r="I51" i="226" s="1"/>
  <c r="O11" i="384"/>
  <c r="S363" i="346"/>
  <c r="T363" i="346" s="1"/>
  <c r="T355" i="346"/>
  <c r="S355" i="346"/>
  <c r="S232" i="346"/>
  <c r="T232" i="346" s="1"/>
  <c r="S56" i="346"/>
  <c r="T56" i="346" s="1"/>
  <c r="S52" i="346"/>
  <c r="T52" i="346" s="1"/>
  <c r="S44" i="346"/>
  <c r="T44" i="346" s="1"/>
  <c r="O22" i="400"/>
  <c r="C22" i="400"/>
  <c r="L143" i="394"/>
  <c r="D128" i="394" s="1"/>
  <c r="L144" i="394"/>
  <c r="D129" i="394" s="1"/>
  <c r="L142" i="394"/>
  <c r="D127" i="394" s="1"/>
  <c r="H143" i="394"/>
  <c r="H142" i="394"/>
  <c r="D111" i="394" s="1"/>
  <c r="H144" i="394"/>
  <c r="D113" i="394" s="1"/>
  <c r="B70" i="394"/>
  <c r="B68" i="394"/>
  <c r="B69" i="394"/>
  <c r="Q33" i="394"/>
  <c r="P57" i="394"/>
  <c r="G15" i="394"/>
  <c r="H15" i="399"/>
  <c r="I15" i="399" s="1"/>
  <c r="L15" i="399" s="1"/>
  <c r="J225" i="393"/>
  <c r="D119" i="393" s="1"/>
  <c r="J226" i="393"/>
  <c r="D120" i="393" s="1"/>
  <c r="F226" i="393"/>
  <c r="D104" i="393" s="1"/>
  <c r="F227" i="393"/>
  <c r="D105" i="393" s="1"/>
  <c r="B227" i="393"/>
  <c r="D89" i="393" s="1"/>
  <c r="B225" i="393"/>
  <c r="D87" i="393" s="1"/>
  <c r="H177" i="393"/>
  <c r="D149" i="393" s="1"/>
  <c r="L136" i="393" s="1"/>
  <c r="M136" i="393" s="1"/>
  <c r="H176" i="393"/>
  <c r="D148" i="393" s="1"/>
  <c r="H178" i="393"/>
  <c r="D150" i="393" s="1"/>
  <c r="J147" i="393"/>
  <c r="G147" i="393" s="1"/>
  <c r="H130" i="393"/>
  <c r="D131" i="393"/>
  <c r="J130" i="393"/>
  <c r="K94" i="393"/>
  <c r="J110" i="393"/>
  <c r="H110" i="393"/>
  <c r="F110" i="393"/>
  <c r="K90" i="393"/>
  <c r="D91" i="393"/>
  <c r="J90" i="393"/>
  <c r="K86" i="393"/>
  <c r="L98" i="393"/>
  <c r="H86" i="393"/>
  <c r="F86" i="393"/>
  <c r="K19" i="393"/>
  <c r="L20" i="393"/>
  <c r="L16" i="393"/>
  <c r="K15" i="393"/>
  <c r="H79" i="285"/>
  <c r="I79" i="285" s="1"/>
  <c r="L79" i="285" s="1"/>
  <c r="M79" i="285" s="1"/>
  <c r="N79" i="285" s="1"/>
  <c r="P92" i="404"/>
  <c r="M82" i="404"/>
  <c r="M83" i="404" s="1"/>
  <c r="L83" i="404"/>
  <c r="P61" i="404"/>
  <c r="H78" i="404" s="1"/>
  <c r="I78" i="404" s="1"/>
  <c r="L78" i="404" s="1"/>
  <c r="M48" i="404"/>
  <c r="M50" i="404" s="1"/>
  <c r="L50" i="404"/>
  <c r="H20" i="404"/>
  <c r="L20" i="404"/>
  <c r="G13" i="369"/>
  <c r="F13" i="369" s="1"/>
  <c r="E12" i="369"/>
  <c r="H16" i="199"/>
  <c r="K32" i="325"/>
  <c r="O32" i="325"/>
  <c r="M32" i="325"/>
  <c r="R36" i="325"/>
  <c r="O28" i="325"/>
  <c r="G36" i="325"/>
  <c r="T18" i="325"/>
  <c r="R18" i="325"/>
  <c r="P18" i="325"/>
  <c r="L18" i="325"/>
  <c r="N18" i="325"/>
  <c r="W21" i="325"/>
  <c r="L14" i="325"/>
  <c r="R14" i="325"/>
  <c r="N14" i="325"/>
  <c r="T14" i="325"/>
  <c r="L94" i="379"/>
  <c r="M94" i="379" s="1"/>
  <c r="H94" i="379"/>
  <c r="K10" i="393"/>
  <c r="S297" i="408"/>
  <c r="T297" i="408" s="1"/>
  <c r="G41" i="226"/>
  <c r="E41" i="226"/>
  <c r="C41" i="226" s="1"/>
  <c r="D29" i="226"/>
  <c r="K21" i="226"/>
  <c r="F16" i="226"/>
  <c r="E19" i="226"/>
  <c r="C19" i="226" s="1"/>
  <c r="AC76" i="266"/>
  <c r="AI76" i="266" s="1"/>
  <c r="BG76" i="266"/>
  <c r="M98" i="266"/>
  <c r="J110" i="379"/>
  <c r="E26" i="226"/>
  <c r="K48" i="226"/>
  <c r="T99" i="346"/>
  <c r="Y42" i="266"/>
  <c r="Y43" i="266" s="1"/>
  <c r="Y44" i="266" s="1"/>
  <c r="L61" i="377"/>
  <c r="M61" i="377" s="1"/>
  <c r="H61" i="377"/>
  <c r="M84" i="377"/>
  <c r="H82" i="379"/>
  <c r="L79" i="379"/>
  <c r="M79" i="379" s="1"/>
  <c r="P10" i="403"/>
  <c r="M26" i="377"/>
  <c r="F21" i="226"/>
  <c r="E25" i="226"/>
  <c r="S109" i="406"/>
  <c r="T109" i="406" s="1"/>
  <c r="C22" i="226"/>
  <c r="AD12" i="266"/>
  <c r="AV12" i="266" s="1"/>
  <c r="BH12" i="266"/>
  <c r="G49" i="226"/>
  <c r="D49" i="226"/>
  <c r="C49" i="226" s="1"/>
  <c r="AD88" i="266"/>
  <c r="AT88" i="266" s="1"/>
  <c r="BH88" i="266"/>
  <c r="Y98" i="266"/>
  <c r="Y99" i="266" s="1"/>
  <c r="AB67" i="266"/>
  <c r="BH67" i="266" s="1"/>
  <c r="Z98" i="266"/>
  <c r="Z99" i="266" s="1"/>
  <c r="BG13" i="266"/>
  <c r="AC13" i="266"/>
  <c r="W10" i="266"/>
  <c r="S42" i="266"/>
  <c r="S43" i="266" s="1"/>
  <c r="S44" i="266" s="1"/>
  <c r="J17" i="381"/>
  <c r="F41" i="380"/>
  <c r="F33" i="380"/>
  <c r="F36" i="380"/>
  <c r="F109" i="380"/>
  <c r="F78" i="380"/>
  <c r="F90" i="380"/>
  <c r="F99" i="380"/>
  <c r="F60" i="380"/>
  <c r="F95" i="380"/>
  <c r="F93" i="380"/>
  <c r="H93" i="380" s="1"/>
  <c r="F97" i="380"/>
  <c r="H97" i="380" s="1"/>
  <c r="F49" i="380"/>
  <c r="F81" i="380"/>
  <c r="F82" i="380"/>
  <c r="F94" i="380"/>
  <c r="F73" i="380"/>
  <c r="F86" i="380"/>
  <c r="F20" i="380"/>
  <c r="F65" i="380"/>
  <c r="F79" i="380"/>
  <c r="F58" i="380"/>
  <c r="L33" i="443"/>
  <c r="M33" i="443" s="1"/>
  <c r="R128" i="379"/>
  <c r="U128" i="379" s="1"/>
  <c r="M37" i="379"/>
  <c r="H48" i="226"/>
  <c r="C25" i="226"/>
  <c r="M106" i="377"/>
  <c r="AD92" i="266"/>
  <c r="AT92" i="266" s="1"/>
  <c r="L100" i="443"/>
  <c r="M100" i="443" s="1"/>
  <c r="H100" i="443"/>
  <c r="C36" i="225"/>
  <c r="Q115" i="379"/>
  <c r="W115" i="379" s="1"/>
  <c r="J10" i="381"/>
  <c r="L10" i="381"/>
  <c r="L48" i="226"/>
  <c r="L51" i="226" s="1"/>
  <c r="K91" i="394"/>
  <c r="E37" i="226"/>
  <c r="C37" i="226" s="1"/>
  <c r="AD37" i="266"/>
  <c r="AV37" i="266" s="1"/>
  <c r="L35" i="377"/>
  <c r="M35" i="377" s="1"/>
  <c r="L57" i="377"/>
  <c r="M57" i="377" s="1"/>
  <c r="AO22" i="266"/>
  <c r="N11" i="379"/>
  <c r="X42" i="266"/>
  <c r="X43" i="266" s="1"/>
  <c r="X44" i="266" s="1"/>
  <c r="H45" i="377"/>
  <c r="L45" i="377"/>
  <c r="M45" i="377" s="1"/>
  <c r="BG69" i="266"/>
  <c r="K36" i="325"/>
  <c r="D144" i="394"/>
  <c r="D97" i="394" s="1"/>
  <c r="I50" i="404"/>
  <c r="H60" i="379"/>
  <c r="Q121" i="377"/>
  <c r="Q116" i="379"/>
  <c r="F147" i="393"/>
  <c r="E44" i="224"/>
  <c r="E48" i="224" s="1"/>
  <c r="E50" i="224" s="1"/>
  <c r="E17" i="224"/>
  <c r="G21" i="226"/>
  <c r="BH81" i="266"/>
  <c r="AD81" i="266"/>
  <c r="G23" i="226"/>
  <c r="H77" i="443"/>
  <c r="E28" i="226"/>
  <c r="N129" i="379"/>
  <c r="Q129" i="379" s="1"/>
  <c r="W129" i="379" s="1"/>
  <c r="Q15" i="381"/>
  <c r="H61" i="379"/>
  <c r="C29" i="226"/>
  <c r="V98" i="266"/>
  <c r="V99" i="266" s="1"/>
  <c r="V100" i="266" s="1"/>
  <c r="Q114" i="379"/>
  <c r="W114" i="379" s="1"/>
  <c r="N13" i="380"/>
  <c r="Q13" i="380" s="1"/>
  <c r="H93" i="377"/>
  <c r="L93" i="377"/>
  <c r="M93" i="377" s="1"/>
  <c r="H47" i="377"/>
  <c r="L47" i="377"/>
  <c r="M47" i="377" s="1"/>
  <c r="BG73" i="266"/>
  <c r="H70" i="377"/>
  <c r="S99" i="407"/>
  <c r="S95" i="407" s="1"/>
  <c r="S25" i="408"/>
  <c r="T25" i="408" s="1"/>
  <c r="S35" i="408"/>
  <c r="T35" i="408" s="1"/>
  <c r="S78" i="408"/>
  <c r="T78" i="408" s="1"/>
  <c r="S85" i="408"/>
  <c r="T85" i="408" s="1"/>
  <c r="S99" i="408"/>
  <c r="T99" i="408" s="1"/>
  <c r="S227" i="408"/>
  <c r="T227" i="408" s="1"/>
  <c r="S326" i="408"/>
  <c r="T326" i="408" s="1"/>
  <c r="R12" i="346"/>
  <c r="S12" i="346" s="1"/>
  <c r="T12" i="346" s="1"/>
  <c r="AE66" i="412"/>
  <c r="Y66" i="412"/>
  <c r="AA66" i="412" s="1"/>
  <c r="V27" i="410"/>
  <c r="Y25" i="412"/>
  <c r="AA25" i="412" s="1"/>
  <c r="Y21" i="412"/>
  <c r="AA21" i="412" s="1"/>
  <c r="T77" i="406"/>
  <c r="Q119" i="380"/>
  <c r="M76" i="377"/>
  <c r="Q130" i="377"/>
  <c r="R130" i="377" s="1"/>
  <c r="T130" i="377" s="1"/>
  <c r="AC66" i="412"/>
  <c r="X27" i="410"/>
  <c r="AC25" i="412"/>
  <c r="AC21" i="412"/>
  <c r="T39" i="408"/>
  <c r="T317" i="408"/>
  <c r="D92" i="393"/>
  <c r="N14" i="377"/>
  <c r="Q14" i="377" s="1"/>
  <c r="M71" i="379"/>
  <c r="Q14" i="379"/>
  <c r="R14" i="379" s="1"/>
  <c r="S14" i="379" s="1"/>
  <c r="D113" i="393"/>
  <c r="R95" i="407"/>
  <c r="D132" i="393"/>
  <c r="S75" i="407"/>
  <c r="T75" i="407" s="1"/>
  <c r="S194" i="405"/>
  <c r="T194" i="405"/>
  <c r="AB97" i="266"/>
  <c r="AB89" i="266"/>
  <c r="AD89" i="266" s="1"/>
  <c r="AV89" i="266" s="1"/>
  <c r="AB31" i="266"/>
  <c r="BH31" i="266" s="1"/>
  <c r="AB19" i="266"/>
  <c r="AD19" i="266" s="1"/>
  <c r="F31" i="379"/>
  <c r="F18" i="379"/>
  <c r="H18" i="379" s="1"/>
  <c r="F33" i="379"/>
  <c r="H33" i="379" s="1"/>
  <c r="F50" i="379"/>
  <c r="H50" i="379" s="1"/>
  <c r="F68" i="379"/>
  <c r="F81" i="379"/>
  <c r="F97" i="379"/>
  <c r="H97" i="379" s="1"/>
  <c r="F25" i="379"/>
  <c r="H25" i="379" s="1"/>
  <c r="F47" i="379"/>
  <c r="L47" i="379" s="1"/>
  <c r="F69" i="379"/>
  <c r="L69" i="379" s="1"/>
  <c r="M69" i="379" s="1"/>
  <c r="F89" i="379"/>
  <c r="F29" i="379"/>
  <c r="F55" i="379"/>
  <c r="F73" i="379"/>
  <c r="F93" i="379"/>
  <c r="M96" i="377"/>
  <c r="M58" i="377"/>
  <c r="D111" i="393"/>
  <c r="S105" i="413"/>
  <c r="T105" i="413" s="1"/>
  <c r="R318" i="405"/>
  <c r="S318" i="405" s="1"/>
  <c r="R311" i="405"/>
  <c r="S311" i="405" s="1"/>
  <c r="T311" i="405" s="1"/>
  <c r="R286" i="405"/>
  <c r="S286" i="405" s="1"/>
  <c r="T286" i="405" s="1"/>
  <c r="R281" i="405"/>
  <c r="S281" i="405" s="1"/>
  <c r="T281" i="405" s="1"/>
  <c r="R270" i="405"/>
  <c r="S270" i="405" s="1"/>
  <c r="T270" i="405" s="1"/>
  <c r="R233" i="405"/>
  <c r="S233" i="405" s="1"/>
  <c r="T233" i="405" s="1"/>
  <c r="R175" i="405"/>
  <c r="S175" i="405" s="1"/>
  <c r="T175" i="405" s="1"/>
  <c r="R159" i="405"/>
  <c r="R141" i="405"/>
  <c r="S141" i="405" s="1"/>
  <c r="T141" i="405" s="1"/>
  <c r="R137" i="405"/>
  <c r="S137" i="405" s="1"/>
  <c r="T137" i="405" s="1"/>
  <c r="R127" i="405"/>
  <c r="S127" i="405" s="1"/>
  <c r="T127" i="405" s="1"/>
  <c r="R116" i="405"/>
  <c r="S116" i="405" s="1"/>
  <c r="T116" i="405" s="1"/>
  <c r="R108" i="405"/>
  <c r="S108" i="405" s="1"/>
  <c r="T108" i="405" s="1"/>
  <c r="R336" i="346"/>
  <c r="S336" i="346" s="1"/>
  <c r="R332" i="346"/>
  <c r="S332" i="346" s="1"/>
  <c r="T332" i="346" s="1"/>
  <c r="R327" i="346"/>
  <c r="S327" i="346" s="1"/>
  <c r="T327" i="346" s="1"/>
  <c r="R323" i="346"/>
  <c r="S323" i="346" s="1"/>
  <c r="T323" i="346" s="1"/>
  <c r="R295" i="346"/>
  <c r="S295" i="346" s="1"/>
  <c r="T295" i="346" s="1"/>
  <c r="R291" i="346"/>
  <c r="S291" i="346" s="1"/>
  <c r="T291" i="346" s="1"/>
  <c r="R207" i="346"/>
  <c r="S207" i="346" s="1"/>
  <c r="T207" i="346" s="1"/>
  <c r="R166" i="346"/>
  <c r="S166" i="346" s="1"/>
  <c r="T166" i="346" s="1"/>
  <c r="R154" i="346"/>
  <c r="S154" i="346" s="1"/>
  <c r="T154" i="346" s="1"/>
  <c r="R150" i="346"/>
  <c r="S150" i="346" s="1"/>
  <c r="R74" i="346"/>
  <c r="S74" i="346" s="1"/>
  <c r="T74" i="346" s="1"/>
  <c r="R65" i="346"/>
  <c r="S65" i="346" s="1"/>
  <c r="T65" i="346" s="1"/>
  <c r="R57" i="346"/>
  <c r="R53" i="346"/>
  <c r="S53" i="346" s="1"/>
  <c r="T53" i="346" s="1"/>
  <c r="R49" i="346"/>
  <c r="R45" i="346"/>
  <c r="S45" i="346" s="1"/>
  <c r="R260" i="405"/>
  <c r="S260" i="405" s="1"/>
  <c r="T260" i="405" s="1"/>
  <c r="R251" i="405"/>
  <c r="S251" i="405" s="1"/>
  <c r="T251" i="405" s="1"/>
  <c r="R183" i="405"/>
  <c r="S183" i="405" s="1"/>
  <c r="T183" i="405" s="1"/>
  <c r="R88" i="405"/>
  <c r="S88" i="405" s="1"/>
  <c r="T88" i="405" s="1"/>
  <c r="R78" i="405"/>
  <c r="S78" i="405" s="1"/>
  <c r="T78" i="405" s="1"/>
  <c r="R72" i="405"/>
  <c r="S72" i="405" s="1"/>
  <c r="T72" i="405" s="1"/>
  <c r="R24" i="405"/>
  <c r="S24" i="405" s="1"/>
  <c r="T24" i="405" s="1"/>
  <c r="K144" i="392"/>
  <c r="K143" i="392"/>
  <c r="D124" i="392" s="1"/>
  <c r="J124" i="392" s="1"/>
  <c r="K145" i="392"/>
  <c r="D126" i="392" s="1"/>
  <c r="J126" i="392" s="1"/>
  <c r="G144" i="392"/>
  <c r="D109" i="392" s="1"/>
  <c r="J109" i="392" s="1"/>
  <c r="G143" i="392"/>
  <c r="D108" i="392" s="1"/>
  <c r="G145" i="392"/>
  <c r="D110" i="392" s="1"/>
  <c r="J110" i="392" s="1"/>
  <c r="C144" i="392"/>
  <c r="C143" i="392"/>
  <c r="D91" i="392" s="1"/>
  <c r="J91" i="392" s="1"/>
  <c r="C145" i="392"/>
  <c r="D93" i="392" s="1"/>
  <c r="J93" i="392" s="1"/>
  <c r="J126" i="394"/>
  <c r="F126" i="394"/>
  <c r="H126" i="394"/>
  <c r="H110" i="394"/>
  <c r="F110" i="394"/>
  <c r="D112" i="394"/>
  <c r="J110" i="394"/>
  <c r="J102" i="394" s="1"/>
  <c r="F94" i="394"/>
  <c r="J94" i="394"/>
  <c r="D93" i="393"/>
  <c r="M88" i="393" s="1"/>
  <c r="D133" i="393"/>
  <c r="R354" i="346"/>
  <c r="R350" i="346"/>
  <c r="S350" i="346" s="1"/>
  <c r="T350" i="346" s="1"/>
  <c r="R311" i="346"/>
  <c r="S311" i="346" s="1"/>
  <c r="T311" i="346" s="1"/>
  <c r="R284" i="346"/>
  <c r="S284" i="346" s="1"/>
  <c r="T284" i="346" s="1"/>
  <c r="R221" i="346"/>
  <c r="S221" i="346" s="1"/>
  <c r="T221" i="346" s="1"/>
  <c r="R217" i="346"/>
  <c r="S217" i="346" s="1"/>
  <c r="T217" i="346" s="1"/>
  <c r="R197" i="346"/>
  <c r="S197" i="346" s="1"/>
  <c r="T197" i="346" s="1"/>
  <c r="R193" i="346"/>
  <c r="S193" i="346" s="1"/>
  <c r="T193" i="346" s="1"/>
  <c r="R189" i="346"/>
  <c r="S189" i="346" s="1"/>
  <c r="T189" i="346" s="1"/>
  <c r="R185" i="346"/>
  <c r="S185" i="346" s="1"/>
  <c r="T185" i="346" s="1"/>
  <c r="R181" i="346"/>
  <c r="R177" i="346"/>
  <c r="S177" i="346" s="1"/>
  <c r="T177" i="346" s="1"/>
  <c r="R173" i="346"/>
  <c r="S173" i="346" s="1"/>
  <c r="T173" i="346" s="1"/>
  <c r="R168" i="346"/>
  <c r="R143" i="346"/>
  <c r="S143" i="346" s="1"/>
  <c r="T143" i="346" s="1"/>
  <c r="R139" i="346"/>
  <c r="S139" i="346" s="1"/>
  <c r="R135" i="346"/>
  <c r="S135" i="346" s="1"/>
  <c r="T135" i="346" s="1"/>
  <c r="R131" i="346"/>
  <c r="S131" i="346" s="1"/>
  <c r="R67" i="346"/>
  <c r="S67" i="346" s="1"/>
  <c r="T67" i="346" s="1"/>
  <c r="R34" i="346"/>
  <c r="S34" i="346" s="1"/>
  <c r="T34" i="346" s="1"/>
  <c r="R16" i="346"/>
  <c r="S16" i="346" s="1"/>
  <c r="R339" i="405"/>
  <c r="S339" i="405" s="1"/>
  <c r="T339" i="405" s="1"/>
  <c r="R335" i="405"/>
  <c r="S335" i="405" s="1"/>
  <c r="T335" i="405" s="1"/>
  <c r="R327" i="405"/>
  <c r="R226" i="405"/>
  <c r="R221" i="405"/>
  <c r="S221" i="405" s="1"/>
  <c r="T221" i="405" s="1"/>
  <c r="R208" i="405"/>
  <c r="S208" i="405" s="1"/>
  <c r="T208" i="405" s="1"/>
  <c r="R202" i="405"/>
  <c r="R196" i="405"/>
  <c r="S196" i="405" s="1"/>
  <c r="T196" i="405" s="1"/>
  <c r="R49" i="405"/>
  <c r="S49" i="405" s="1"/>
  <c r="T49" i="405" s="1"/>
  <c r="R32" i="405"/>
  <c r="S32" i="405" s="1"/>
  <c r="T32" i="405" s="1"/>
  <c r="R28" i="405"/>
  <c r="S28" i="405" s="1"/>
  <c r="T28" i="405" s="1"/>
  <c r="R19" i="405"/>
  <c r="S19" i="405" s="1"/>
  <c r="T19" i="405" s="1"/>
  <c r="E9" i="199"/>
  <c r="C11" i="199"/>
  <c r="C9" i="199" s="1"/>
  <c r="D89" i="394"/>
  <c r="D129" i="392"/>
  <c r="G32" i="226"/>
  <c r="R340" i="346"/>
  <c r="S340" i="346" s="1"/>
  <c r="T340" i="346" s="1"/>
  <c r="R319" i="346"/>
  <c r="R305" i="346"/>
  <c r="S305" i="346" s="1"/>
  <c r="T305" i="346" s="1"/>
  <c r="R301" i="346"/>
  <c r="R279" i="346"/>
  <c r="S279" i="346" s="1"/>
  <c r="T279" i="346" s="1"/>
  <c r="R275" i="346"/>
  <c r="S275" i="346" s="1"/>
  <c r="T275" i="346" s="1"/>
  <c r="R271" i="346"/>
  <c r="S271" i="346" s="1"/>
  <c r="T271" i="346" s="1"/>
  <c r="R267" i="346"/>
  <c r="S267" i="346" s="1"/>
  <c r="T267" i="346" s="1"/>
  <c r="R263" i="346"/>
  <c r="S263" i="346" s="1"/>
  <c r="T263" i="346" s="1"/>
  <c r="R259" i="346"/>
  <c r="S259" i="346" s="1"/>
  <c r="T259" i="346" s="1"/>
  <c r="R212" i="346"/>
  <c r="S212" i="346" s="1"/>
  <c r="T212" i="346" s="1"/>
  <c r="R163" i="346"/>
  <c r="S163" i="346" s="1"/>
  <c r="T163" i="346" s="1"/>
  <c r="R159" i="346"/>
  <c r="S159" i="346" s="1"/>
  <c r="T159" i="346" s="1"/>
  <c r="R126" i="346"/>
  <c r="S126" i="346" s="1"/>
  <c r="T126" i="346" s="1"/>
  <c r="R111" i="346"/>
  <c r="R107" i="346"/>
  <c r="S107" i="346" s="1"/>
  <c r="T107" i="346" s="1"/>
  <c r="R102" i="346"/>
  <c r="S102" i="346" s="1"/>
  <c r="T102" i="346" s="1"/>
  <c r="R97" i="346"/>
  <c r="S97" i="346" s="1"/>
  <c r="T97" i="346" s="1"/>
  <c r="R93" i="346"/>
  <c r="S93" i="346" s="1"/>
  <c r="T93" i="346" s="1"/>
  <c r="R40" i="346"/>
  <c r="S40" i="346" s="1"/>
  <c r="T40" i="346" s="1"/>
  <c r="R24" i="346"/>
  <c r="R65" i="405"/>
  <c r="S65" i="405" s="1"/>
  <c r="T65" i="405" s="1"/>
  <c r="R14" i="405"/>
  <c r="S14" i="405" s="1"/>
  <c r="T14" i="405" s="1"/>
  <c r="L15" i="352"/>
  <c r="L13" i="352"/>
  <c r="Q108" i="402"/>
  <c r="P108" i="402"/>
  <c r="R108" i="402"/>
  <c r="Q76" i="402"/>
  <c r="H90" i="402" s="1"/>
  <c r="I90" i="402" s="1"/>
  <c r="L90" i="402" s="1"/>
  <c r="M90" i="402" s="1"/>
  <c r="N90" i="402" s="1"/>
  <c r="Q44" i="397"/>
  <c r="H17" i="397" s="1"/>
  <c r="I17" i="397" s="1"/>
  <c r="L17" i="397" s="1"/>
  <c r="F33" i="437"/>
  <c r="F79" i="437"/>
  <c r="F29" i="437"/>
  <c r="F58" i="437"/>
  <c r="F19" i="437"/>
  <c r="L86" i="393"/>
  <c r="J18" i="199"/>
  <c r="K11" i="199"/>
  <c r="R30" i="407"/>
  <c r="S30" i="407" s="1"/>
  <c r="T30" i="407" s="1"/>
  <c r="R11" i="408"/>
  <c r="S11" i="408" s="1"/>
  <c r="T11" i="408" s="1"/>
  <c r="R28" i="408"/>
  <c r="R42" i="408"/>
  <c r="S42" i="408" s="1"/>
  <c r="T42" i="408" s="1"/>
  <c r="R46" i="408"/>
  <c r="S46" i="408" s="1"/>
  <c r="T46" i="408" s="1"/>
  <c r="R50" i="408"/>
  <c r="S50" i="408" s="1"/>
  <c r="T50" i="408" s="1"/>
  <c r="R77" i="408"/>
  <c r="S77" i="408" s="1"/>
  <c r="T77" i="408" s="1"/>
  <c r="R88" i="408"/>
  <c r="S88" i="408" s="1"/>
  <c r="T88" i="408" s="1"/>
  <c r="R93" i="408"/>
  <c r="S93" i="408" s="1"/>
  <c r="T93" i="408" s="1"/>
  <c r="R177" i="408"/>
  <c r="S177" i="408" s="1"/>
  <c r="T177" i="408" s="1"/>
  <c r="R255" i="408"/>
  <c r="R307" i="408"/>
  <c r="R343" i="408"/>
  <c r="S343" i="408" s="1"/>
  <c r="T343" i="408" s="1"/>
  <c r="R337" i="408"/>
  <c r="S337" i="408" s="1"/>
  <c r="T337" i="408" s="1"/>
  <c r="R85" i="346"/>
  <c r="S85" i="346" s="1"/>
  <c r="T85" i="346" s="1"/>
  <c r="R302" i="405"/>
  <c r="S302" i="405" s="1"/>
  <c r="T302" i="405" s="1"/>
  <c r="W43" i="411"/>
  <c r="AA109" i="412"/>
  <c r="AA128" i="412"/>
  <c r="AE297" i="412"/>
  <c r="F11" i="414"/>
  <c r="F13" i="414" s="1"/>
  <c r="F25" i="414"/>
  <c r="F27" i="414" s="1"/>
  <c r="O115" i="443"/>
  <c r="P44" i="397"/>
  <c r="H16" i="397" s="1"/>
  <c r="I16" i="397" s="1"/>
  <c r="L16" i="397" s="1"/>
  <c r="M16" i="397" s="1"/>
  <c r="N16" i="397" s="1"/>
  <c r="I44" i="397"/>
  <c r="E9" i="388"/>
  <c r="H18" i="152"/>
  <c r="H10" i="152"/>
  <c r="F53" i="254"/>
  <c r="F34" i="367"/>
  <c r="H18" i="349"/>
  <c r="AE49" i="335"/>
  <c r="AE48" i="335"/>
  <c r="AR43" i="335"/>
  <c r="AR39" i="335"/>
  <c r="AE38" i="335"/>
  <c r="AR35" i="335"/>
  <c r="AR34" i="335"/>
  <c r="AE32" i="335"/>
  <c r="BC32" i="335" s="1"/>
  <c r="AE25" i="335"/>
  <c r="AE21" i="335"/>
  <c r="AR16" i="335"/>
  <c r="AD53" i="335"/>
  <c r="AX53" i="335"/>
  <c r="AE13" i="335"/>
  <c r="AK29" i="356"/>
  <c r="AL29" i="356" s="1"/>
  <c r="AA25" i="356"/>
  <c r="AB25" i="356" s="1"/>
  <c r="AA21" i="356"/>
  <c r="AB21" i="356" s="1"/>
  <c r="AA20" i="356"/>
  <c r="AB20" i="356" s="1"/>
  <c r="AA19" i="356"/>
  <c r="AB19" i="356" s="1"/>
  <c r="AA18" i="356"/>
  <c r="AB18" i="356" s="1"/>
  <c r="AA17" i="356"/>
  <c r="AB17" i="356" s="1"/>
  <c r="AA14" i="356"/>
  <c r="AB14" i="356" s="1"/>
  <c r="AA13" i="356"/>
  <c r="AB13" i="356" s="1"/>
  <c r="AU11" i="356"/>
  <c r="AU10" i="356" s="1"/>
  <c r="AH11" i="356"/>
  <c r="AH10" i="356" s="1"/>
  <c r="V11" i="356"/>
  <c r="V10" i="356" s="1"/>
  <c r="L11" i="356"/>
  <c r="L10" i="356" s="1"/>
  <c r="U22" i="373"/>
  <c r="U20" i="373"/>
  <c r="U17" i="373"/>
  <c r="R24" i="373"/>
  <c r="AG24" i="373"/>
  <c r="U11" i="373"/>
  <c r="E38" i="326"/>
  <c r="F101" i="372"/>
  <c r="R23" i="406"/>
  <c r="S23" i="406" s="1"/>
  <c r="T23" i="406" s="1"/>
  <c r="R50" i="406"/>
  <c r="S50" i="406" s="1"/>
  <c r="T50" i="406" s="1"/>
  <c r="R81" i="406"/>
  <c r="R85" i="406"/>
  <c r="S85" i="406" s="1"/>
  <c r="T85" i="406" s="1"/>
  <c r="R94" i="406"/>
  <c r="R98" i="406"/>
  <c r="S98" i="406" s="1"/>
  <c r="T98" i="406" s="1"/>
  <c r="R102" i="406"/>
  <c r="S102" i="406" s="1"/>
  <c r="R107" i="406"/>
  <c r="R111" i="406"/>
  <c r="S111" i="406" s="1"/>
  <c r="R178" i="406"/>
  <c r="S178" i="406" s="1"/>
  <c r="T178" i="406" s="1"/>
  <c r="R46" i="407"/>
  <c r="S46" i="407" s="1"/>
  <c r="T46" i="407" s="1"/>
  <c r="R53" i="407"/>
  <c r="S53" i="407" s="1"/>
  <c r="T53" i="407" s="1"/>
  <c r="R57" i="407"/>
  <c r="S57" i="407" s="1"/>
  <c r="T57" i="407" s="1"/>
  <c r="R61" i="407"/>
  <c r="S61" i="407" s="1"/>
  <c r="T61" i="407" s="1"/>
  <c r="R65" i="407"/>
  <c r="S65" i="407" s="1"/>
  <c r="T65" i="407" s="1"/>
  <c r="R69" i="407"/>
  <c r="S69" i="407" s="1"/>
  <c r="T69" i="407" s="1"/>
  <c r="R89" i="407"/>
  <c r="S89" i="407" s="1"/>
  <c r="T89" i="407" s="1"/>
  <c r="R17" i="408"/>
  <c r="S17" i="408" s="1"/>
  <c r="T17" i="408" s="1"/>
  <c r="R56" i="408"/>
  <c r="S56" i="408" s="1"/>
  <c r="T56" i="408" s="1"/>
  <c r="R60" i="408"/>
  <c r="R100" i="408"/>
  <c r="R108" i="408"/>
  <c r="S108" i="408" s="1"/>
  <c r="R137" i="408"/>
  <c r="S137" i="408" s="1"/>
  <c r="T137" i="408" s="1"/>
  <c r="R210" i="408"/>
  <c r="R236" i="408"/>
  <c r="R295" i="408"/>
  <c r="S295" i="408" s="1"/>
  <c r="T295" i="408" s="1"/>
  <c r="R299" i="408"/>
  <c r="S299" i="408" s="1"/>
  <c r="T299" i="408" s="1"/>
  <c r="R76" i="408"/>
  <c r="S76" i="408" s="1"/>
  <c r="T76" i="408" s="1"/>
  <c r="R313" i="408"/>
  <c r="S313" i="408" s="1"/>
  <c r="T313" i="408" s="1"/>
  <c r="R297" i="405"/>
  <c r="S297" i="405" s="1"/>
  <c r="T297" i="405" s="1"/>
  <c r="R31" i="407"/>
  <c r="L10" i="403"/>
  <c r="AI16" i="408"/>
  <c r="AJ16" i="408" s="1"/>
  <c r="AE107" i="412"/>
  <c r="AE126" i="412"/>
  <c r="AE166" i="412"/>
  <c r="AE230" i="412"/>
  <c r="AE271" i="412"/>
  <c r="M125" i="437"/>
  <c r="L18" i="352"/>
  <c r="R64" i="406"/>
  <c r="S64" i="406" s="1"/>
  <c r="T64" i="406" s="1"/>
  <c r="R71" i="406"/>
  <c r="S71" i="406" s="1"/>
  <c r="T71" i="406" s="1"/>
  <c r="R116" i="406"/>
  <c r="S116" i="406" s="1"/>
  <c r="T116" i="406" s="1"/>
  <c r="R120" i="406"/>
  <c r="S120" i="406" s="1"/>
  <c r="T120" i="406" s="1"/>
  <c r="R124" i="406"/>
  <c r="S124" i="406" s="1"/>
  <c r="T124" i="406" s="1"/>
  <c r="R128" i="406"/>
  <c r="S128" i="406" s="1"/>
  <c r="T128" i="406" s="1"/>
  <c r="R133" i="406"/>
  <c r="S133" i="406" s="1"/>
  <c r="T133" i="406" s="1"/>
  <c r="R138" i="406"/>
  <c r="S138" i="406" s="1"/>
  <c r="T138" i="406" s="1"/>
  <c r="R142" i="406"/>
  <c r="S142" i="406" s="1"/>
  <c r="T142" i="406" s="1"/>
  <c r="R146" i="406"/>
  <c r="S146" i="406" s="1"/>
  <c r="T146" i="406" s="1"/>
  <c r="R150" i="406"/>
  <c r="S150" i="406" s="1"/>
  <c r="T150" i="406" s="1"/>
  <c r="R184" i="406"/>
  <c r="S184" i="406" s="1"/>
  <c r="T184" i="406" s="1"/>
  <c r="R193" i="406"/>
  <c r="S193" i="406" s="1"/>
  <c r="T193" i="406" s="1"/>
  <c r="R197" i="406"/>
  <c r="S197" i="406" s="1"/>
  <c r="T197" i="406" s="1"/>
  <c r="R201" i="406"/>
  <c r="R23" i="408"/>
  <c r="S23" i="408" s="1"/>
  <c r="T23" i="408" s="1"/>
  <c r="R37" i="408"/>
  <c r="S37" i="408" s="1"/>
  <c r="T37" i="408" s="1"/>
  <c r="R114" i="408"/>
  <c r="S114" i="408" s="1"/>
  <c r="T114" i="408" s="1"/>
  <c r="R122" i="408"/>
  <c r="S122" i="408" s="1"/>
  <c r="T122" i="408" s="1"/>
  <c r="R130" i="408"/>
  <c r="S130" i="408" s="1"/>
  <c r="T130" i="408" s="1"/>
  <c r="R216" i="408"/>
  <c r="R283" i="408"/>
  <c r="R363" i="408"/>
  <c r="S363" i="408" s="1"/>
  <c r="T363" i="408" s="1"/>
  <c r="R205" i="406"/>
  <c r="S205" i="406" s="1"/>
  <c r="T205" i="406" s="1"/>
  <c r="AE54" i="412"/>
  <c r="AA78" i="412"/>
  <c r="AE100" i="412"/>
  <c r="AE119" i="412"/>
  <c r="AA213" i="412"/>
  <c r="AE262" i="412"/>
  <c r="AE282" i="412"/>
  <c r="W14" i="411"/>
  <c r="O124" i="443"/>
  <c r="H124" i="443"/>
  <c r="H118" i="443"/>
  <c r="BG26" i="266"/>
  <c r="AC26" i="266"/>
  <c r="AO26" i="266" s="1"/>
  <c r="H72" i="399"/>
  <c r="I72" i="399" s="1"/>
  <c r="L72" i="399" s="1"/>
  <c r="H77" i="399"/>
  <c r="I77" i="399" s="1"/>
  <c r="L77" i="399" s="1"/>
  <c r="M77" i="399" s="1"/>
  <c r="N77" i="399" s="1"/>
  <c r="L103" i="443"/>
  <c r="M103" i="443" s="1"/>
  <c r="L78" i="443"/>
  <c r="M78" i="443" s="1"/>
  <c r="G48" i="226"/>
  <c r="G51" i="226" s="1"/>
  <c r="H81" i="443"/>
  <c r="N81" i="443" s="1"/>
  <c r="Q81" i="443" s="1"/>
  <c r="R81" i="443" s="1"/>
  <c r="T81" i="443" s="1"/>
  <c r="H83" i="443"/>
  <c r="L91" i="443"/>
  <c r="M91" i="443" s="1"/>
  <c r="H81" i="377"/>
  <c r="H33" i="377"/>
  <c r="N33" i="377" s="1"/>
  <c r="Q33" i="377" s="1"/>
  <c r="L59" i="377"/>
  <c r="M59" i="377" s="1"/>
  <c r="L97" i="380"/>
  <c r="M97" i="380" s="1"/>
  <c r="N97" i="380" s="1"/>
  <c r="Q97" i="380" s="1"/>
  <c r="H78" i="379"/>
  <c r="L78" i="379"/>
  <c r="M78" i="379" s="1"/>
  <c r="N78" i="379" s="1"/>
  <c r="Q78" i="379" s="1"/>
  <c r="R78" i="379" s="1"/>
  <c r="U78" i="379" s="1"/>
  <c r="H48" i="377"/>
  <c r="L48" i="377"/>
  <c r="M48" i="377" s="1"/>
  <c r="N48" i="377" s="1"/>
  <c r="Q48" i="377" s="1"/>
  <c r="H65" i="380"/>
  <c r="L65" i="380"/>
  <c r="M65" i="380" s="1"/>
  <c r="N65" i="380" s="1"/>
  <c r="Q65" i="380" s="1"/>
  <c r="R65" i="380" s="1"/>
  <c r="S65" i="380" s="1"/>
  <c r="H69" i="379"/>
  <c r="S188" i="406"/>
  <c r="T188" i="406" s="1"/>
  <c r="AC21" i="266"/>
  <c r="AI21" i="266" s="1"/>
  <c r="BG21" i="266"/>
  <c r="P9" i="413"/>
  <c r="R27" i="413"/>
  <c r="S27" i="413" s="1"/>
  <c r="T27" i="413" s="1"/>
  <c r="H86" i="379"/>
  <c r="L86" i="379"/>
  <c r="M86" i="379" s="1"/>
  <c r="AO13" i="266"/>
  <c r="AI13" i="266"/>
  <c r="H50" i="377"/>
  <c r="L50" i="377"/>
  <c r="M50" i="377" s="1"/>
  <c r="H76" i="443"/>
  <c r="AK20" i="266"/>
  <c r="I43" i="402"/>
  <c r="I45" i="402" s="1"/>
  <c r="AK13" i="266"/>
  <c r="AA43" i="266"/>
  <c r="AA44" i="266"/>
  <c r="AC67" i="266"/>
  <c r="AK67" i="266" s="1"/>
  <c r="BG67" i="266"/>
  <c r="H40" i="352"/>
  <c r="H65" i="402"/>
  <c r="H66" i="402" s="1"/>
  <c r="G66" i="402"/>
  <c r="H16" i="402"/>
  <c r="I16" i="402" s="1"/>
  <c r="L16" i="402" s="1"/>
  <c r="M16" i="402" s="1"/>
  <c r="N16" i="402" s="1"/>
  <c r="H17" i="402"/>
  <c r="I17" i="402" s="1"/>
  <c r="L17" i="402" s="1"/>
  <c r="M17" i="402" s="1"/>
  <c r="N17" i="402" s="1"/>
  <c r="BM20" i="356"/>
  <c r="BN20" i="356" s="1"/>
  <c r="BH13" i="266"/>
  <c r="BI13" i="266" s="1"/>
  <c r="AD13" i="266"/>
  <c r="AE13" i="266" s="1"/>
  <c r="H70" i="379"/>
  <c r="N70" i="379" s="1"/>
  <c r="Q70" i="379" s="1"/>
  <c r="C37" i="400"/>
  <c r="C39" i="400"/>
  <c r="AV96" i="266"/>
  <c r="AY96" i="266" s="1"/>
  <c r="C45" i="400"/>
  <c r="AK22" i="266"/>
  <c r="L87" i="377"/>
  <c r="M87" i="377" s="1"/>
  <c r="N87" i="377" s="1"/>
  <c r="Q87" i="377" s="1"/>
  <c r="H87" i="377"/>
  <c r="H31" i="377"/>
  <c r="L31" i="377"/>
  <c r="M31" i="377" s="1"/>
  <c r="L85" i="377"/>
  <c r="M85" i="377" s="1"/>
  <c r="H85" i="377"/>
  <c r="L25" i="377"/>
  <c r="M25" i="377" s="1"/>
  <c r="H25" i="377"/>
  <c r="L27" i="377"/>
  <c r="M27" i="377" s="1"/>
  <c r="H27" i="377"/>
  <c r="AO73" i="266"/>
  <c r="AI73" i="266"/>
  <c r="L92" i="402"/>
  <c r="L34" i="377"/>
  <c r="M34" i="377" s="1"/>
  <c r="I4" i="143"/>
  <c r="I5" i="143" s="1"/>
  <c r="J4" i="143"/>
  <c r="J5" i="143" s="1"/>
  <c r="I36" i="144"/>
  <c r="H36" i="144"/>
  <c r="K36" i="144" s="1"/>
  <c r="BC51" i="335"/>
  <c r="BM23" i="356"/>
  <c r="BN23" i="356" s="1"/>
  <c r="N76" i="377"/>
  <c r="Q76" i="377" s="1"/>
  <c r="R76" i="377" s="1"/>
  <c r="S76" i="377" s="1"/>
  <c r="T12" i="407"/>
  <c r="BC27" i="335"/>
  <c r="I9" i="152"/>
  <c r="T364" i="388"/>
  <c r="T76" i="407"/>
  <c r="U12" i="373"/>
  <c r="I20" i="364"/>
  <c r="T265" i="408"/>
  <c r="E29" i="370"/>
  <c r="T108" i="408"/>
  <c r="I71" i="397"/>
  <c r="I73" i="397"/>
  <c r="S372" i="388"/>
  <c r="T372" i="388" s="1"/>
  <c r="S368" i="388"/>
  <c r="T368" i="388" s="1"/>
  <c r="S346" i="388"/>
  <c r="T346" i="388" s="1"/>
  <c r="S342" i="388"/>
  <c r="T342" i="388" s="1"/>
  <c r="S333" i="388"/>
  <c r="T333" i="388" s="1"/>
  <c r="S329" i="388"/>
  <c r="T329" i="388" s="1"/>
  <c r="S320" i="388"/>
  <c r="T320" i="388" s="1"/>
  <c r="S316" i="388"/>
  <c r="T316" i="388" s="1"/>
  <c r="S312" i="388"/>
  <c r="T312" i="388" s="1"/>
  <c r="S307" i="388"/>
  <c r="T307" i="388" s="1"/>
  <c r="S282" i="388"/>
  <c r="T282" i="388" s="1"/>
  <c r="R14" i="388"/>
  <c r="S14" i="388" s="1"/>
  <c r="P9" i="388"/>
  <c r="F9" i="354"/>
  <c r="E23" i="354"/>
  <c r="J22" i="351"/>
  <c r="AE47" i="335"/>
  <c r="AE45" i="335"/>
  <c r="BC45" i="335" s="1"/>
  <c r="AE35" i="335"/>
  <c r="AE29" i="335"/>
  <c r="AE28" i="335"/>
  <c r="AQ53" i="335"/>
  <c r="AR13" i="335"/>
  <c r="BC13" i="335" s="1"/>
  <c r="AK53" i="335"/>
  <c r="AA31" i="356"/>
  <c r="AB31" i="356" s="1"/>
  <c r="AA26" i="356"/>
  <c r="AB26" i="356" s="1"/>
  <c r="AA22" i="356"/>
  <c r="AB22" i="356" s="1"/>
  <c r="BD14" i="356"/>
  <c r="BM14" i="356" s="1"/>
  <c r="BN14" i="356" s="1"/>
  <c r="BC11" i="356"/>
  <c r="BC10" i="356" s="1"/>
  <c r="R11" i="356"/>
  <c r="R10" i="356" s="1"/>
  <c r="H29" i="144"/>
  <c r="K29" i="144" s="1"/>
  <c r="J29" i="144"/>
  <c r="I9" i="144"/>
  <c r="J9" i="144"/>
  <c r="U23" i="373"/>
  <c r="P24" i="373"/>
  <c r="AT24" i="373"/>
  <c r="I9" i="366"/>
  <c r="I17" i="366" s="1"/>
  <c r="G17" i="366"/>
  <c r="I12" i="374"/>
  <c r="I29" i="374" s="1"/>
  <c r="G29" i="374"/>
  <c r="S150" i="408"/>
  <c r="T150" i="408" s="1"/>
  <c r="S236" i="408"/>
  <c r="T236" i="408" s="1"/>
  <c r="S253" i="408"/>
  <c r="T253" i="408" s="1"/>
  <c r="S273" i="408"/>
  <c r="T273" i="408" s="1"/>
  <c r="AV92" i="266"/>
  <c r="BM15" i="356"/>
  <c r="BN15" i="356" s="1"/>
  <c r="BC46" i="335"/>
  <c r="BC43" i="335"/>
  <c r="BC41" i="335"/>
  <c r="BM22" i="356"/>
  <c r="BN22" i="356" s="1"/>
  <c r="BC44" i="335"/>
  <c r="H9" i="130"/>
  <c r="P53" i="335"/>
  <c r="H20" i="364"/>
  <c r="I29" i="144"/>
  <c r="T318" i="405"/>
  <c r="R263" i="405"/>
  <c r="S263" i="405" s="1"/>
  <c r="T263" i="405" s="1"/>
  <c r="R252" i="405"/>
  <c r="S252" i="405" s="1"/>
  <c r="T252" i="405" s="1"/>
  <c r="R186" i="405"/>
  <c r="S186" i="405" s="1"/>
  <c r="T186" i="405" s="1"/>
  <c r="R117" i="405"/>
  <c r="S117" i="405" s="1"/>
  <c r="T117" i="405" s="1"/>
  <c r="R113" i="405"/>
  <c r="S113" i="405" s="1"/>
  <c r="T113" i="405" s="1"/>
  <c r="P121" i="445"/>
  <c r="O121" i="445"/>
  <c r="R351" i="346"/>
  <c r="S351" i="346" s="1"/>
  <c r="T351" i="346" s="1"/>
  <c r="R285" i="346"/>
  <c r="S285" i="346" s="1"/>
  <c r="T285" i="346" s="1"/>
  <c r="R223" i="346"/>
  <c r="S223" i="346" s="1"/>
  <c r="T223" i="346" s="1"/>
  <c r="R218" i="346"/>
  <c r="S218" i="346" s="1"/>
  <c r="T218" i="346" s="1"/>
  <c r="R198" i="346"/>
  <c r="S198" i="346" s="1"/>
  <c r="T198" i="346" s="1"/>
  <c r="R194" i="346"/>
  <c r="S194" i="346" s="1"/>
  <c r="T194" i="346" s="1"/>
  <c r="R190" i="346"/>
  <c r="S190" i="346" s="1"/>
  <c r="T190" i="346" s="1"/>
  <c r="R186" i="346"/>
  <c r="S186" i="346" s="1"/>
  <c r="T186" i="346" s="1"/>
  <c r="R182" i="346"/>
  <c r="R178" i="346"/>
  <c r="S178" i="346" s="1"/>
  <c r="T178" i="346" s="1"/>
  <c r="R174" i="346"/>
  <c r="S174" i="346" s="1"/>
  <c r="T174" i="346" s="1"/>
  <c r="R169" i="346"/>
  <c r="R144" i="346"/>
  <c r="S144" i="346" s="1"/>
  <c r="T144" i="346" s="1"/>
  <c r="R140" i="346"/>
  <c r="S140" i="346" s="1"/>
  <c r="T140" i="346" s="1"/>
  <c r="R136" i="346"/>
  <c r="S136" i="346" s="1"/>
  <c r="T136" i="346" s="1"/>
  <c r="R132" i="346"/>
  <c r="S132" i="346" s="1"/>
  <c r="T132" i="346" s="1"/>
  <c r="R35" i="346"/>
  <c r="S35" i="346" s="1"/>
  <c r="Q56" i="392"/>
  <c r="P57" i="392"/>
  <c r="F102" i="394"/>
  <c r="H102" i="394"/>
  <c r="C99" i="394"/>
  <c r="C134" i="394" s="1"/>
  <c r="K225" i="393"/>
  <c r="D123" i="393" s="1"/>
  <c r="M94" i="393" s="1"/>
  <c r="K227" i="393"/>
  <c r="D125" i="393" s="1"/>
  <c r="AE16" i="335"/>
  <c r="BC16" i="335" s="1"/>
  <c r="R15" i="405"/>
  <c r="S15" i="405" s="1"/>
  <c r="T15" i="405" s="1"/>
  <c r="P115" i="377"/>
  <c r="H115" i="377"/>
  <c r="L115" i="377"/>
  <c r="M115" i="377" s="1"/>
  <c r="J62" i="445"/>
  <c r="AB41" i="266"/>
  <c r="W41" i="266"/>
  <c r="AB36" i="266"/>
  <c r="AD36" i="266" s="1"/>
  <c r="AT36" i="266" s="1"/>
  <c r="W34" i="266"/>
  <c r="AC34" i="266" s="1"/>
  <c r="AI34" i="266" s="1"/>
  <c r="AB32" i="266"/>
  <c r="W30" i="266"/>
  <c r="AB26" i="266"/>
  <c r="W24" i="266"/>
  <c r="AB22" i="266"/>
  <c r="AD22" i="266" s="1"/>
  <c r="W17" i="266"/>
  <c r="W14" i="266"/>
  <c r="U42" i="266"/>
  <c r="U43" i="266" s="1"/>
  <c r="U44" i="266" s="1"/>
  <c r="V42" i="266"/>
  <c r="V43" i="266" s="1"/>
  <c r="V44" i="266" s="1"/>
  <c r="W11" i="266"/>
  <c r="D9" i="381"/>
  <c r="M113" i="380"/>
  <c r="N113" i="380" s="1"/>
  <c r="R345" i="346"/>
  <c r="S345" i="346" s="1"/>
  <c r="T345" i="346" s="1"/>
  <c r="R306" i="346"/>
  <c r="S306" i="346" s="1"/>
  <c r="T306" i="346" s="1"/>
  <c r="R302" i="346"/>
  <c r="S302" i="346" s="1"/>
  <c r="T302" i="346" s="1"/>
  <c r="R280" i="346"/>
  <c r="S280" i="346" s="1"/>
  <c r="T280" i="346" s="1"/>
  <c r="R276" i="346"/>
  <c r="S276" i="346" s="1"/>
  <c r="T276" i="346" s="1"/>
  <c r="R272" i="346"/>
  <c r="S272" i="346" s="1"/>
  <c r="T272" i="346" s="1"/>
  <c r="R268" i="346"/>
  <c r="S268" i="346" s="1"/>
  <c r="R264" i="346"/>
  <c r="S264" i="346" s="1"/>
  <c r="T264" i="346" s="1"/>
  <c r="R260" i="346"/>
  <c r="R213" i="346"/>
  <c r="S213" i="346" s="1"/>
  <c r="T213" i="346" s="1"/>
  <c r="R164" i="346"/>
  <c r="S164" i="346" s="1"/>
  <c r="T164" i="346" s="1"/>
  <c r="R160" i="346"/>
  <c r="S160" i="346" s="1"/>
  <c r="T160" i="346" s="1"/>
  <c r="R127" i="346"/>
  <c r="S127" i="346" s="1"/>
  <c r="R113" i="346"/>
  <c r="S113" i="346" s="1"/>
  <c r="T113" i="346" s="1"/>
  <c r="R108" i="346"/>
  <c r="R104" i="346"/>
  <c r="S104" i="346" s="1"/>
  <c r="T104" i="346" s="1"/>
  <c r="R98" i="346"/>
  <c r="S98" i="346" s="1"/>
  <c r="T98" i="346" s="1"/>
  <c r="R94" i="346"/>
  <c r="S94" i="346" s="1"/>
  <c r="T94" i="346" s="1"/>
  <c r="R42" i="346"/>
  <c r="S42" i="346" s="1"/>
  <c r="T42" i="346" s="1"/>
  <c r="R25" i="346"/>
  <c r="S25" i="346" s="1"/>
  <c r="T25" i="346" s="1"/>
  <c r="R336" i="405"/>
  <c r="S336" i="405" s="1"/>
  <c r="R324" i="405"/>
  <c r="R273" i="405"/>
  <c r="S273" i="405" s="1"/>
  <c r="T273" i="405" s="1"/>
  <c r="R230" i="405"/>
  <c r="S230" i="405" s="1"/>
  <c r="T230" i="405" s="1"/>
  <c r="R222" i="405"/>
  <c r="S222" i="405" s="1"/>
  <c r="T222" i="405" s="1"/>
  <c r="R213" i="405"/>
  <c r="S213" i="405" s="1"/>
  <c r="T213" i="405" s="1"/>
  <c r="R204" i="405"/>
  <c r="S204" i="405" s="1"/>
  <c r="T204" i="405" s="1"/>
  <c r="R197" i="405"/>
  <c r="S197" i="405" s="1"/>
  <c r="T197" i="405" s="1"/>
  <c r="R24" i="406"/>
  <c r="S24" i="406" s="1"/>
  <c r="T24" i="406" s="1"/>
  <c r="R51" i="406"/>
  <c r="S51" i="406" s="1"/>
  <c r="T51" i="406" s="1"/>
  <c r="R82" i="406"/>
  <c r="S82" i="406" s="1"/>
  <c r="T82" i="406" s="1"/>
  <c r="R86" i="406"/>
  <c r="S86" i="406" s="1"/>
  <c r="T86" i="406" s="1"/>
  <c r="R90" i="406"/>
  <c r="S90" i="406" s="1"/>
  <c r="T90" i="406" s="1"/>
  <c r="R95" i="406"/>
  <c r="R99" i="406"/>
  <c r="S99" i="406" s="1"/>
  <c r="T99" i="406" s="1"/>
  <c r="R103" i="406"/>
  <c r="S103" i="406" s="1"/>
  <c r="T103" i="406" s="1"/>
  <c r="R108" i="406"/>
  <c r="S108" i="406" s="1"/>
  <c r="T108" i="406" s="1"/>
  <c r="R112" i="406"/>
  <c r="S112" i="406" s="1"/>
  <c r="T112" i="406" s="1"/>
  <c r="R180" i="406"/>
  <c r="S180" i="406" s="1"/>
  <c r="T180" i="406" s="1"/>
  <c r="R18" i="407"/>
  <c r="S18" i="407" s="1"/>
  <c r="T18" i="407" s="1"/>
  <c r="R50" i="407"/>
  <c r="S50" i="407" s="1"/>
  <c r="T50" i="407" s="1"/>
  <c r="R54" i="407"/>
  <c r="S54" i="407" s="1"/>
  <c r="T54" i="407" s="1"/>
  <c r="R58" i="407"/>
  <c r="S58" i="407" s="1"/>
  <c r="T58" i="407" s="1"/>
  <c r="R62" i="407"/>
  <c r="S62" i="407" s="1"/>
  <c r="T62" i="407" s="1"/>
  <c r="R66" i="407"/>
  <c r="S66" i="407" s="1"/>
  <c r="T66" i="407" s="1"/>
  <c r="R70" i="407"/>
  <c r="S70" i="407" s="1"/>
  <c r="T70" i="407" s="1"/>
  <c r="R57" i="408"/>
  <c r="S57" i="408" s="1"/>
  <c r="T57" i="408" s="1"/>
  <c r="R80" i="408"/>
  <c r="R101" i="408"/>
  <c r="S101" i="408" s="1"/>
  <c r="T101" i="408" s="1"/>
  <c r="R109" i="408"/>
  <c r="S109" i="408" s="1"/>
  <c r="T109" i="408" s="1"/>
  <c r="R118" i="408"/>
  <c r="R310" i="408"/>
  <c r="S310" i="408" s="1"/>
  <c r="T310" i="408" s="1"/>
  <c r="R357" i="346"/>
  <c r="S357" i="346" s="1"/>
  <c r="R337" i="346"/>
  <c r="S337" i="346" s="1"/>
  <c r="T337" i="346" s="1"/>
  <c r="R333" i="346"/>
  <c r="S333" i="346" s="1"/>
  <c r="T333" i="346" s="1"/>
  <c r="R328" i="346"/>
  <c r="S328" i="346" s="1"/>
  <c r="T328" i="346" s="1"/>
  <c r="R324" i="346"/>
  <c r="S324" i="346" s="1"/>
  <c r="T324" i="346" s="1"/>
  <c r="R296" i="346"/>
  <c r="R292" i="346"/>
  <c r="S292" i="346" s="1"/>
  <c r="T292" i="346" s="1"/>
  <c r="R208" i="346"/>
  <c r="S208" i="346" s="1"/>
  <c r="T208" i="346" s="1"/>
  <c r="R155" i="346"/>
  <c r="R151" i="346"/>
  <c r="S151" i="346" s="1"/>
  <c r="T151" i="346" s="1"/>
  <c r="R86" i="346"/>
  <c r="S86" i="346" s="1"/>
  <c r="T86" i="346" s="1"/>
  <c r="R75" i="346"/>
  <c r="S75" i="346" s="1"/>
  <c r="T75" i="346" s="1"/>
  <c r="R66" i="346"/>
  <c r="S66" i="346" s="1"/>
  <c r="T66" i="346" s="1"/>
  <c r="R58" i="346"/>
  <c r="S58" i="346" s="1"/>
  <c r="T58" i="346" s="1"/>
  <c r="R54" i="346"/>
  <c r="S54" i="346" s="1"/>
  <c r="T54" i="346" s="1"/>
  <c r="R50" i="346"/>
  <c r="R46" i="346"/>
  <c r="S46" i="346" s="1"/>
  <c r="T46" i="346" s="1"/>
  <c r="R31" i="346"/>
  <c r="S31" i="346" s="1"/>
  <c r="T31" i="346" s="1"/>
  <c r="R13" i="346"/>
  <c r="S13" i="346" s="1"/>
  <c r="T13" i="346" s="1"/>
  <c r="R331" i="405"/>
  <c r="R289" i="405"/>
  <c r="S289" i="405" s="1"/>
  <c r="T289" i="405" s="1"/>
  <c r="R93" i="405"/>
  <c r="S93" i="405" s="1"/>
  <c r="T93" i="405" s="1"/>
  <c r="R83" i="405"/>
  <c r="S83" i="405" s="1"/>
  <c r="T83" i="405" s="1"/>
  <c r="R73" i="405"/>
  <c r="S73" i="405" s="1"/>
  <c r="T73" i="405" s="1"/>
  <c r="R25" i="405"/>
  <c r="S25" i="405" s="1"/>
  <c r="T25" i="405" s="1"/>
  <c r="I72" i="397"/>
  <c r="R68" i="406"/>
  <c r="S68" i="406" s="1"/>
  <c r="T68" i="406" s="1"/>
  <c r="R72" i="406"/>
  <c r="S72" i="406" s="1"/>
  <c r="T72" i="406" s="1"/>
  <c r="R117" i="406"/>
  <c r="S117" i="406" s="1"/>
  <c r="T117" i="406" s="1"/>
  <c r="R121" i="406"/>
  <c r="S121" i="406" s="1"/>
  <c r="T121" i="406" s="1"/>
  <c r="R125" i="406"/>
  <c r="S125" i="406" s="1"/>
  <c r="T125" i="406" s="1"/>
  <c r="R129" i="406"/>
  <c r="R134" i="406"/>
  <c r="S134" i="406" s="1"/>
  <c r="T134" i="406" s="1"/>
  <c r="R139" i="406"/>
  <c r="R143" i="406"/>
  <c r="S143" i="406" s="1"/>
  <c r="T143" i="406" s="1"/>
  <c r="R147" i="406"/>
  <c r="S147" i="406" s="1"/>
  <c r="T147" i="406" s="1"/>
  <c r="R151" i="406"/>
  <c r="S151" i="406" s="1"/>
  <c r="T151" i="406" s="1"/>
  <c r="R185" i="406"/>
  <c r="S185" i="406" s="1"/>
  <c r="T185" i="406" s="1"/>
  <c r="R194" i="406"/>
  <c r="S194" i="406" s="1"/>
  <c r="T194" i="406" s="1"/>
  <c r="R198" i="406"/>
  <c r="S198" i="406" s="1"/>
  <c r="T198" i="406" s="1"/>
  <c r="R202" i="406"/>
  <c r="S202" i="406" s="1"/>
  <c r="T202" i="406" s="1"/>
  <c r="R44" i="407"/>
  <c r="S44" i="407" s="1"/>
  <c r="T44" i="407" s="1"/>
  <c r="R24" i="408"/>
  <c r="S24" i="408" s="1"/>
  <c r="T24" i="408" s="1"/>
  <c r="R38" i="408"/>
  <c r="S38" i="408" s="1"/>
  <c r="T38" i="408" s="1"/>
  <c r="R62" i="408"/>
  <c r="S62" i="408" s="1"/>
  <c r="T62" i="408" s="1"/>
  <c r="R66" i="408"/>
  <c r="S66" i="408" s="1"/>
  <c r="T66" i="408" s="1"/>
  <c r="R127" i="408"/>
  <c r="S127" i="408" s="1"/>
  <c r="T127" i="408" s="1"/>
  <c r="R131" i="408"/>
  <c r="S131" i="408" s="1"/>
  <c r="T131" i="408" s="1"/>
  <c r="R200" i="408"/>
  <c r="S200" i="408" s="1"/>
  <c r="T200" i="408" s="1"/>
  <c r="R230" i="408"/>
  <c r="S230" i="408" s="1"/>
  <c r="T230" i="408" s="1"/>
  <c r="R284" i="408"/>
  <c r="S284" i="408" s="1"/>
  <c r="T284" i="408" s="1"/>
  <c r="R288" i="408"/>
  <c r="S288" i="408" s="1"/>
  <c r="T288" i="408" s="1"/>
  <c r="R299" i="405"/>
  <c r="S299" i="405" s="1"/>
  <c r="T299" i="405" s="1"/>
  <c r="AE81" i="412"/>
  <c r="AE125" i="412"/>
  <c r="AE154" i="412"/>
  <c r="AE173" i="412"/>
  <c r="AE228" i="412"/>
  <c r="R376" i="346"/>
  <c r="S376" i="346" s="1"/>
  <c r="T376" i="346" s="1"/>
  <c r="R372" i="346"/>
  <c r="S372" i="346" s="1"/>
  <c r="T372" i="346" s="1"/>
  <c r="R368" i="346"/>
  <c r="S368" i="346" s="1"/>
  <c r="T368" i="346" s="1"/>
  <c r="R360" i="346"/>
  <c r="S360" i="346" s="1"/>
  <c r="T360" i="346" s="1"/>
  <c r="R314" i="346"/>
  <c r="S314" i="346" s="1"/>
  <c r="T314" i="346" s="1"/>
  <c r="R249" i="346"/>
  <c r="S249" i="346" s="1"/>
  <c r="R245" i="346"/>
  <c r="S245" i="346" s="1"/>
  <c r="T245" i="346" s="1"/>
  <c r="R241" i="346"/>
  <c r="S241" i="346" s="1"/>
  <c r="T241" i="346" s="1"/>
  <c r="R237" i="346"/>
  <c r="S237" i="346" s="1"/>
  <c r="T237" i="346" s="1"/>
  <c r="R233" i="346"/>
  <c r="S233" i="346" s="1"/>
  <c r="T233" i="346" s="1"/>
  <c r="R229" i="346"/>
  <c r="R203" i="346"/>
  <c r="S203" i="346" s="1"/>
  <c r="T203" i="346" s="1"/>
  <c r="R120" i="346"/>
  <c r="S120" i="346" s="1"/>
  <c r="T120" i="346" s="1"/>
  <c r="R116" i="346"/>
  <c r="S116" i="346" s="1"/>
  <c r="T116" i="346" s="1"/>
  <c r="R69" i="346"/>
  <c r="S69" i="346" s="1"/>
  <c r="T69" i="346" s="1"/>
  <c r="R312" i="405"/>
  <c r="S312" i="405" s="1"/>
  <c r="T312" i="405" s="1"/>
  <c r="R304" i="405"/>
  <c r="S304" i="405" s="1"/>
  <c r="T304" i="405" s="1"/>
  <c r="R282" i="405"/>
  <c r="S282" i="405" s="1"/>
  <c r="T282" i="405" s="1"/>
  <c r="R177" i="405"/>
  <c r="S177" i="405" s="1"/>
  <c r="T177" i="405" s="1"/>
  <c r="R164" i="405"/>
  <c r="S164" i="405" s="1"/>
  <c r="T164" i="405" s="1"/>
  <c r="R143" i="405"/>
  <c r="S143" i="405" s="1"/>
  <c r="T143" i="405" s="1"/>
  <c r="R138" i="405"/>
  <c r="S138" i="405" s="1"/>
  <c r="T138" i="405" s="1"/>
  <c r="R132" i="405"/>
  <c r="S132" i="405" s="1"/>
  <c r="T132" i="405" s="1"/>
  <c r="R53" i="405"/>
  <c r="S53" i="405" s="1"/>
  <c r="T53" i="405" s="1"/>
  <c r="R33" i="405"/>
  <c r="S33" i="405" s="1"/>
  <c r="T33" i="405" s="1"/>
  <c r="R29" i="405"/>
  <c r="S29" i="405" s="1"/>
  <c r="T29" i="405" s="1"/>
  <c r="R20" i="405"/>
  <c r="S20" i="405" s="1"/>
  <c r="T20" i="405" s="1"/>
  <c r="R152" i="406"/>
  <c r="S152" i="406" s="1"/>
  <c r="T152" i="406" s="1"/>
  <c r="R156" i="406"/>
  <c r="S156" i="406" s="1"/>
  <c r="T156" i="406" s="1"/>
  <c r="R177" i="406"/>
  <c r="S177" i="406" s="1"/>
  <c r="T177" i="406" s="1"/>
  <c r="R222" i="406"/>
  <c r="S222" i="406" s="1"/>
  <c r="T222" i="406" s="1"/>
  <c r="R38" i="407"/>
  <c r="R90" i="407"/>
  <c r="S90" i="407" s="1"/>
  <c r="T90" i="407" s="1"/>
  <c r="R43" i="408"/>
  <c r="S43" i="408" s="1"/>
  <c r="T43" i="408" s="1"/>
  <c r="R47" i="408"/>
  <c r="S47" i="408" s="1"/>
  <c r="T47" i="408" s="1"/>
  <c r="R51" i="408"/>
  <c r="S51" i="408" s="1"/>
  <c r="T51" i="408" s="1"/>
  <c r="R89" i="408"/>
  <c r="S89" i="408" s="1"/>
  <c r="T89" i="408" s="1"/>
  <c r="R95" i="408"/>
  <c r="S95" i="408" s="1"/>
  <c r="T95" i="408" s="1"/>
  <c r="R140" i="408"/>
  <c r="S140" i="408" s="1"/>
  <c r="T140" i="408" s="1"/>
  <c r="D9" i="437"/>
  <c r="BH13" i="463" s="1"/>
  <c r="O10" i="437"/>
  <c r="O9" i="437" s="1"/>
  <c r="M13" i="437"/>
  <c r="N13" i="437" s="1"/>
  <c r="Q13" i="437" s="1"/>
  <c r="R13" i="437" s="1"/>
  <c r="T13" i="437" s="1"/>
  <c r="O126" i="443"/>
  <c r="P112" i="445"/>
  <c r="H126" i="445"/>
  <c r="M115" i="443"/>
  <c r="H126" i="443"/>
  <c r="H64" i="443"/>
  <c r="L31" i="443"/>
  <c r="M31" i="443" s="1"/>
  <c r="N31" i="443" s="1"/>
  <c r="Q31" i="443" s="1"/>
  <c r="L120" i="443"/>
  <c r="L108" i="443" s="1"/>
  <c r="L84" i="443"/>
  <c r="M84" i="443" s="1"/>
  <c r="N84" i="443" s="1"/>
  <c r="Q84" i="443" s="1"/>
  <c r="H105" i="443"/>
  <c r="AC19" i="266"/>
  <c r="AO19" i="266" s="1"/>
  <c r="H22" i="379"/>
  <c r="N22" i="379" s="1"/>
  <c r="Q22" i="379" s="1"/>
  <c r="R22" i="379" s="1"/>
  <c r="S22" i="379" s="1"/>
  <c r="R95" i="413"/>
  <c r="N11" i="397"/>
  <c r="L51" i="377"/>
  <c r="M51" i="377" s="1"/>
  <c r="N51" i="377" s="1"/>
  <c r="Q51" i="377" s="1"/>
  <c r="R51" i="377" s="1"/>
  <c r="S51" i="377" s="1"/>
  <c r="L19" i="377"/>
  <c r="M19" i="377" s="1"/>
  <c r="L73" i="377"/>
  <c r="M73" i="377" s="1"/>
  <c r="H53" i="377"/>
  <c r="M21" i="399"/>
  <c r="N20" i="398"/>
  <c r="N21" i="398" s="1"/>
  <c r="H27" i="379"/>
  <c r="L49" i="379"/>
  <c r="M49" i="379" s="1"/>
  <c r="N49" i="379" s="1"/>
  <c r="Q49" i="379" s="1"/>
  <c r="AT23" i="266"/>
  <c r="AY23" i="266" s="1"/>
  <c r="BB23" i="266" s="1"/>
  <c r="BK23" i="266" s="1"/>
  <c r="BQ23" i="266" s="1"/>
  <c r="BS23" i="266" s="1"/>
  <c r="BH96" i="266"/>
  <c r="H12" i="284"/>
  <c r="H11" i="284" s="1"/>
  <c r="F23" i="414"/>
  <c r="BH89" i="266"/>
  <c r="H94" i="377"/>
  <c r="N94" i="377" s="1"/>
  <c r="Q94" i="377" s="1"/>
  <c r="R94" i="377" s="1"/>
  <c r="U94" i="377" s="1"/>
  <c r="L60" i="377"/>
  <c r="M60" i="377" s="1"/>
  <c r="I130" i="383"/>
  <c r="I131" i="383" s="1"/>
  <c r="H22" i="443"/>
  <c r="N22" i="443" s="1"/>
  <c r="Q22" i="443" s="1"/>
  <c r="H18" i="443"/>
  <c r="H120" i="443"/>
  <c r="H70" i="443"/>
  <c r="H97" i="443"/>
  <c r="N97" i="443" s="1"/>
  <c r="Q97" i="443" s="1"/>
  <c r="N71" i="379"/>
  <c r="Q71" i="379" s="1"/>
  <c r="R71" i="379" s="1"/>
  <c r="H106" i="379"/>
  <c r="N106" i="379" s="1"/>
  <c r="Q106" i="379" s="1"/>
  <c r="R106" i="379" s="1"/>
  <c r="U106" i="379" s="1"/>
  <c r="BG20" i="266"/>
  <c r="AO67" i="266"/>
  <c r="H21" i="377"/>
  <c r="F110" i="377"/>
  <c r="H17" i="377"/>
  <c r="N17" i="377" s="1"/>
  <c r="Q17" i="377" s="1"/>
  <c r="R17" i="377" s="1"/>
  <c r="T17" i="377" s="1"/>
  <c r="L44" i="379"/>
  <c r="M44" i="379" s="1"/>
  <c r="T15" i="408"/>
  <c r="H103" i="377"/>
  <c r="N103" i="377" s="1"/>
  <c r="Q103" i="377" s="1"/>
  <c r="BH80" i="266"/>
  <c r="L105" i="379"/>
  <c r="M105" i="379" s="1"/>
  <c r="N105" i="379" s="1"/>
  <c r="Q105" i="379" s="1"/>
  <c r="R105" i="379" s="1"/>
  <c r="S105" i="379" s="1"/>
  <c r="BC36" i="335"/>
  <c r="BC50" i="335"/>
  <c r="H86" i="377"/>
  <c r="N86" i="377" s="1"/>
  <c r="Q86" i="377" s="1"/>
  <c r="J118" i="394"/>
  <c r="L52" i="377"/>
  <c r="M52" i="377" s="1"/>
  <c r="H47" i="379"/>
  <c r="H106" i="443"/>
  <c r="F10" i="377"/>
  <c r="AK95" i="266"/>
  <c r="T9" i="441"/>
  <c r="CY18" i="456" s="1"/>
  <c r="AE71" i="412"/>
  <c r="AC71" i="412"/>
  <c r="Y71" i="412"/>
  <c r="AA71" i="412" s="1"/>
  <c r="I16" i="144"/>
  <c r="J16" i="144"/>
  <c r="H69" i="443"/>
  <c r="N115" i="380"/>
  <c r="Q115" i="380" s="1"/>
  <c r="W115" i="380" s="1"/>
  <c r="N114" i="380"/>
  <c r="Q114" i="380" s="1"/>
  <c r="W114" i="380" s="1"/>
  <c r="O11" i="345"/>
  <c r="D106" i="392"/>
  <c r="J106" i="392" s="1"/>
  <c r="D95" i="394"/>
  <c r="K86" i="394" s="1"/>
  <c r="L86" i="394" s="1"/>
  <c r="AH15" i="373"/>
  <c r="AZ15" i="373" s="1"/>
  <c r="P9" i="428"/>
  <c r="H32" i="443"/>
  <c r="AK26" i="266"/>
  <c r="N130" i="380"/>
  <c r="N128" i="380"/>
  <c r="N127" i="380"/>
  <c r="J86" i="394"/>
  <c r="O112" i="380"/>
  <c r="P112" i="380"/>
  <c r="H112" i="380"/>
  <c r="N112" i="380" s="1"/>
  <c r="P15" i="376"/>
  <c r="H15" i="376"/>
  <c r="M119" i="377"/>
  <c r="P16" i="376"/>
  <c r="H16" i="376"/>
  <c r="M115" i="445"/>
  <c r="AE250" i="412"/>
  <c r="AC250" i="412"/>
  <c r="Y250" i="412"/>
  <c r="AA250" i="412" s="1"/>
  <c r="AE299" i="412"/>
  <c r="AC299" i="412"/>
  <c r="Y299" i="412"/>
  <c r="AA299" i="412" s="1"/>
  <c r="L21" i="443"/>
  <c r="M21" i="443" s="1"/>
  <c r="L60" i="443"/>
  <c r="M60" i="443" s="1"/>
  <c r="H89" i="443"/>
  <c r="N89" i="443" s="1"/>
  <c r="Q89" i="443" s="1"/>
  <c r="R89" i="443" s="1"/>
  <c r="S89" i="443" s="1"/>
  <c r="L57" i="443"/>
  <c r="M57" i="443" s="1"/>
  <c r="N57" i="443" s="1"/>
  <c r="Q57" i="443" s="1"/>
  <c r="L80" i="443"/>
  <c r="M80" i="443" s="1"/>
  <c r="N57" i="377"/>
  <c r="Q57" i="377" s="1"/>
  <c r="C36" i="400"/>
  <c r="C38" i="400" s="1"/>
  <c r="L56" i="377"/>
  <c r="M56" i="377" s="1"/>
  <c r="N56" i="377" s="1"/>
  <c r="Q56" i="377" s="1"/>
  <c r="J29" i="226"/>
  <c r="V9" i="428"/>
  <c r="P21" i="376"/>
  <c r="R114" i="379"/>
  <c r="T114" i="379" s="1"/>
  <c r="Q129" i="380"/>
  <c r="W129" i="380" s="1"/>
  <c r="P19" i="376"/>
  <c r="Q19" i="376" s="1"/>
  <c r="W19" i="376" s="1"/>
  <c r="F131" i="392"/>
  <c r="P113" i="380"/>
  <c r="AH12" i="428"/>
  <c r="AJ13" i="428"/>
  <c r="AH13" i="428"/>
  <c r="AG11" i="428"/>
  <c r="AI11" i="428"/>
  <c r="AG10" i="428"/>
  <c r="AI10" i="428"/>
  <c r="AH15" i="428"/>
  <c r="T12" i="430"/>
  <c r="J110" i="380"/>
  <c r="M125" i="443"/>
  <c r="O110" i="380"/>
  <c r="O9" i="380" s="1"/>
  <c r="F13" i="376"/>
  <c r="Q20" i="376"/>
  <c r="W20" i="376" s="1"/>
  <c r="L15" i="376"/>
  <c r="M15" i="376" s="1"/>
  <c r="Q21" i="376"/>
  <c r="W21" i="376" s="1"/>
  <c r="M15" i="404"/>
  <c r="N15" i="404" s="1"/>
  <c r="Y258" i="412"/>
  <c r="AA258" i="412" s="1"/>
  <c r="AC258" i="412"/>
  <c r="AE298" i="412"/>
  <c r="Y298" i="412"/>
  <c r="AA298" i="412" s="1"/>
  <c r="AC298" i="412"/>
  <c r="AE255" i="412"/>
  <c r="AC255" i="412"/>
  <c r="Y255" i="412"/>
  <c r="AA255" i="412" s="1"/>
  <c r="AE290" i="412"/>
  <c r="Y290" i="412"/>
  <c r="AA290" i="412" s="1"/>
  <c r="AC290" i="412"/>
  <c r="H66" i="443"/>
  <c r="P34" i="325"/>
  <c r="AO18" i="407"/>
  <c r="AP18" i="407" s="1"/>
  <c r="M18" i="407" s="1"/>
  <c r="M9" i="407" s="1"/>
  <c r="F6" i="414"/>
  <c r="F8" i="414" s="1"/>
  <c r="G8" i="414" s="1"/>
  <c r="H54" i="443"/>
  <c r="N54" i="443" s="1"/>
  <c r="Q54" i="443" s="1"/>
  <c r="R54" i="443" s="1"/>
  <c r="U54" i="443" s="1"/>
  <c r="U117" i="377"/>
  <c r="M117" i="437"/>
  <c r="N117" i="437" s="1"/>
  <c r="Q117" i="437" s="1"/>
  <c r="N100" i="443"/>
  <c r="D75" i="448"/>
  <c r="D104" i="392"/>
  <c r="J104" i="392" s="1"/>
  <c r="F119" i="392"/>
  <c r="F103" i="392"/>
  <c r="D101" i="392"/>
  <c r="J101" i="392" s="1"/>
  <c r="H94" i="393"/>
  <c r="H38" i="443"/>
  <c r="N38" i="443" s="1"/>
  <c r="Q38" i="443" s="1"/>
  <c r="L44" i="443"/>
  <c r="M44" i="443" s="1"/>
  <c r="N44" i="443" s="1"/>
  <c r="Q44" i="443" s="1"/>
  <c r="R44" i="443" s="1"/>
  <c r="U44" i="443" s="1"/>
  <c r="AP22" i="266"/>
  <c r="BA22" i="266" s="1"/>
  <c r="BJ22" i="266" s="1"/>
  <c r="C33" i="225"/>
  <c r="G44" i="226"/>
  <c r="E30" i="226"/>
  <c r="C30" i="226" s="1"/>
  <c r="E27" i="226"/>
  <c r="C27" i="226" s="1"/>
  <c r="W97" i="266"/>
  <c r="AC97" i="266" s="1"/>
  <c r="W96" i="266"/>
  <c r="BG96" i="266" s="1"/>
  <c r="BI96" i="266" s="1"/>
  <c r="AB95" i="266"/>
  <c r="AD95" i="266" s="1"/>
  <c r="AV95" i="266" s="1"/>
  <c r="AB94" i="266"/>
  <c r="AD94" i="266" s="1"/>
  <c r="W90" i="266"/>
  <c r="AC90" i="266" s="1"/>
  <c r="AO90" i="266" s="1"/>
  <c r="W89" i="266"/>
  <c r="BG89" i="266" s="1"/>
  <c r="W86" i="266"/>
  <c r="BG86" i="266" s="1"/>
  <c r="W84" i="266"/>
  <c r="AB83" i="266"/>
  <c r="W81" i="266"/>
  <c r="W77" i="266"/>
  <c r="AC77" i="266" s="1"/>
  <c r="AK77" i="266" s="1"/>
  <c r="AB76" i="266"/>
  <c r="W75" i="266"/>
  <c r="BG75" i="266" s="1"/>
  <c r="AB74" i="266"/>
  <c r="BH74" i="266" s="1"/>
  <c r="AB72" i="266"/>
  <c r="W72" i="266"/>
  <c r="AM98" i="266"/>
  <c r="AM100" i="266" s="1"/>
  <c r="X98" i="266"/>
  <c r="X99" i="266" s="1"/>
  <c r="X100" i="266" s="1"/>
  <c r="AB66" i="266"/>
  <c r="W66" i="266"/>
  <c r="M124" i="379"/>
  <c r="N124" i="379" s="1"/>
  <c r="Q124" i="379" s="1"/>
  <c r="W124" i="379" s="1"/>
  <c r="D77" i="448"/>
  <c r="D76" i="448"/>
  <c r="D74" i="448"/>
  <c r="E39" i="124"/>
  <c r="E41" i="124" s="1"/>
  <c r="M11" i="380"/>
  <c r="N11" i="380" s="1"/>
  <c r="Q11" i="380" s="1"/>
  <c r="R11" i="380" s="1"/>
  <c r="S11" i="380" s="1"/>
  <c r="AI70" i="266"/>
  <c r="AK70" i="266"/>
  <c r="L90" i="443"/>
  <c r="M90" i="443" s="1"/>
  <c r="N90" i="443" s="1"/>
  <c r="Q90" i="443" s="1"/>
  <c r="R90" i="443" s="1"/>
  <c r="S90" i="443" s="1"/>
  <c r="L19" i="443"/>
  <c r="M19" i="443" s="1"/>
  <c r="N19" i="443" s="1"/>
  <c r="Q19" i="443" s="1"/>
  <c r="R19" i="443" s="1"/>
  <c r="S19" i="443" s="1"/>
  <c r="L53" i="443"/>
  <c r="M53" i="443" s="1"/>
  <c r="N53" i="443" s="1"/>
  <c r="Q53" i="443" s="1"/>
  <c r="R53" i="443" s="1"/>
  <c r="T53" i="443" s="1"/>
  <c r="L63" i="443"/>
  <c r="M63" i="443" s="1"/>
  <c r="H28" i="443"/>
  <c r="N28" i="443" s="1"/>
  <c r="Q28" i="443" s="1"/>
  <c r="R28" i="443" s="1"/>
  <c r="T28" i="443" s="1"/>
  <c r="AI26" i="266"/>
  <c r="N15" i="391"/>
  <c r="N18" i="391" s="1"/>
  <c r="AE283" i="412"/>
  <c r="AC16" i="266"/>
  <c r="AI16" i="266" s="1"/>
  <c r="BG16" i="266"/>
  <c r="AD86" i="266"/>
  <c r="BH86" i="266"/>
  <c r="N70" i="377"/>
  <c r="Q70" i="377" s="1"/>
  <c r="R70" i="377" s="1"/>
  <c r="T70" i="377" s="1"/>
  <c r="H79" i="380"/>
  <c r="L79" i="380"/>
  <c r="M79" i="380" s="1"/>
  <c r="L40" i="443"/>
  <c r="M40" i="443" s="1"/>
  <c r="L102" i="443"/>
  <c r="M102" i="443" s="1"/>
  <c r="N102" i="443" s="1"/>
  <c r="Q102" i="443" s="1"/>
  <c r="R102" i="443" s="1"/>
  <c r="T102" i="443" s="1"/>
  <c r="L61" i="443"/>
  <c r="M61" i="443" s="1"/>
  <c r="N61" i="443" s="1"/>
  <c r="Q61" i="443" s="1"/>
  <c r="R61" i="443" s="1"/>
  <c r="S61" i="443" s="1"/>
  <c r="L50" i="443"/>
  <c r="M50" i="443" s="1"/>
  <c r="N50" i="443" s="1"/>
  <c r="Q50" i="443" s="1"/>
  <c r="R50" i="443" s="1"/>
  <c r="T50" i="443" s="1"/>
  <c r="L104" i="443"/>
  <c r="M104" i="443" s="1"/>
  <c r="L101" i="443"/>
  <c r="M101" i="443" s="1"/>
  <c r="N101" i="443" s="1"/>
  <c r="Q101" i="443" s="1"/>
  <c r="R101" i="443" s="1"/>
  <c r="S101" i="443" s="1"/>
  <c r="L96" i="443"/>
  <c r="M96" i="443" s="1"/>
  <c r="N96" i="443" s="1"/>
  <c r="Q96" i="443" s="1"/>
  <c r="R96" i="443" s="1"/>
  <c r="S96" i="443" s="1"/>
  <c r="H49" i="443"/>
  <c r="N49" i="443" s="1"/>
  <c r="Q49" i="443" s="1"/>
  <c r="R49" i="443" s="1"/>
  <c r="T49" i="443" s="1"/>
  <c r="L59" i="443"/>
  <c r="M59" i="443" s="1"/>
  <c r="H85" i="443"/>
  <c r="N85" i="443" s="1"/>
  <c r="Q85" i="443" s="1"/>
  <c r="R85" i="443" s="1"/>
  <c r="U85" i="443" s="1"/>
  <c r="H87" i="443"/>
  <c r="H79" i="443"/>
  <c r="N79" i="443" s="1"/>
  <c r="Q79" i="443" s="1"/>
  <c r="R79" i="443" s="1"/>
  <c r="S79" i="443" s="1"/>
  <c r="H47" i="443"/>
  <c r="N47" i="443" s="1"/>
  <c r="Q47" i="443" s="1"/>
  <c r="R47" i="443" s="1"/>
  <c r="S47" i="443" s="1"/>
  <c r="H23" i="377"/>
  <c r="L80" i="379"/>
  <c r="M80" i="379" s="1"/>
  <c r="H80" i="379"/>
  <c r="AC78" i="266"/>
  <c r="AI78" i="266" s="1"/>
  <c r="L98" i="377"/>
  <c r="M98" i="377" s="1"/>
  <c r="H98" i="377"/>
  <c r="AC87" i="266"/>
  <c r="BG87" i="266"/>
  <c r="S33" i="396"/>
  <c r="H33" i="380"/>
  <c r="L33" i="380"/>
  <c r="M33" i="380" s="1"/>
  <c r="BG72" i="266"/>
  <c r="AC72" i="266"/>
  <c r="AC17" i="266"/>
  <c r="AO17" i="266" s="1"/>
  <c r="BG17" i="266"/>
  <c r="L65" i="443"/>
  <c r="M65" i="443" s="1"/>
  <c r="N65" i="443" s="1"/>
  <c r="Q65" i="443" s="1"/>
  <c r="AC283" i="412"/>
  <c r="H102" i="379"/>
  <c r="L102" i="379"/>
  <c r="M102" i="379" s="1"/>
  <c r="H92" i="377"/>
  <c r="L92" i="377"/>
  <c r="M92" i="377" s="1"/>
  <c r="L99" i="380"/>
  <c r="M99" i="380" s="1"/>
  <c r="H99" i="380"/>
  <c r="H82" i="380"/>
  <c r="L82" i="380"/>
  <c r="M82" i="380" s="1"/>
  <c r="BH10" i="266"/>
  <c r="AD10" i="266"/>
  <c r="P33" i="325"/>
  <c r="N40" i="377"/>
  <c r="Q40" i="377" s="1"/>
  <c r="R40" i="377" s="1"/>
  <c r="U40" i="377" s="1"/>
  <c r="H22" i="377"/>
  <c r="N22" i="377" s="1"/>
  <c r="Q22" i="377" s="1"/>
  <c r="BC34" i="335"/>
  <c r="H52" i="379"/>
  <c r="N52" i="379" s="1"/>
  <c r="Q52" i="379" s="1"/>
  <c r="R52" i="379" s="1"/>
  <c r="T52" i="379" s="1"/>
  <c r="BC48" i="335"/>
  <c r="Y38" i="412"/>
  <c r="AA38" i="412" s="1"/>
  <c r="AD67" i="266"/>
  <c r="AD31" i="266"/>
  <c r="AT31" i="266" s="1"/>
  <c r="BH19" i="266"/>
  <c r="AA98" i="266"/>
  <c r="AA99" i="266" s="1"/>
  <c r="AA100" i="266" s="1"/>
  <c r="H32" i="377"/>
  <c r="N32" i="377" s="1"/>
  <c r="Q32" i="377" s="1"/>
  <c r="F89" i="380"/>
  <c r="H89" i="380" s="1"/>
  <c r="F85" i="380"/>
  <c r="F70" i="380"/>
  <c r="H55" i="379"/>
  <c r="L55" i="379"/>
  <c r="M55" i="379" s="1"/>
  <c r="L21" i="379"/>
  <c r="H21" i="379"/>
  <c r="F102" i="380"/>
  <c r="H102" i="380" s="1"/>
  <c r="F71" i="380"/>
  <c r="H71" i="380" s="1"/>
  <c r="F28" i="380"/>
  <c r="E6" i="237"/>
  <c r="D17" i="237"/>
  <c r="BH95" i="266"/>
  <c r="BI95" i="266" s="1"/>
  <c r="AC66" i="266"/>
  <c r="BG66" i="266"/>
  <c r="AC41" i="266"/>
  <c r="AO41" i="266" s="1"/>
  <c r="BG41" i="266"/>
  <c r="BG34" i="266"/>
  <c r="BG11" i="266"/>
  <c r="AC11" i="266"/>
  <c r="AI11" i="266" s="1"/>
  <c r="J101" i="380"/>
  <c r="F50" i="380"/>
  <c r="H50" i="380" s="1"/>
  <c r="F53" i="380"/>
  <c r="F45" i="380"/>
  <c r="F37" i="380"/>
  <c r="F29" i="380"/>
  <c r="F21" i="380"/>
  <c r="F17" i="380"/>
  <c r="F24" i="380"/>
  <c r="F32" i="380"/>
  <c r="F40" i="380"/>
  <c r="F52" i="380"/>
  <c r="F67" i="380"/>
  <c r="F75" i="380"/>
  <c r="F83" i="380"/>
  <c r="F91" i="380"/>
  <c r="F98" i="380"/>
  <c r="F105" i="380"/>
  <c r="F63" i="380"/>
  <c r="F59" i="380"/>
  <c r="L59" i="380" s="1"/>
  <c r="F51" i="380"/>
  <c r="H51" i="380" s="1"/>
  <c r="F43" i="380"/>
  <c r="H43" i="380" s="1"/>
  <c r="F35" i="380"/>
  <c r="F27" i="380"/>
  <c r="F19" i="380"/>
  <c r="F18" i="380"/>
  <c r="F26" i="380"/>
  <c r="F34" i="380"/>
  <c r="F42" i="380"/>
  <c r="F56" i="380"/>
  <c r="F68" i="380"/>
  <c r="F76" i="380"/>
  <c r="F84" i="380"/>
  <c r="F92" i="380"/>
  <c r="F100" i="380"/>
  <c r="F107" i="380"/>
  <c r="F55" i="380"/>
  <c r="F47" i="380"/>
  <c r="F39" i="380"/>
  <c r="F31" i="380"/>
  <c r="F23" i="380"/>
  <c r="F22" i="380"/>
  <c r="H22" i="380" s="1"/>
  <c r="F30" i="380"/>
  <c r="L30" i="380" s="1"/>
  <c r="M30" i="380" s="1"/>
  <c r="F38" i="380"/>
  <c r="F48" i="380"/>
  <c r="F61" i="380"/>
  <c r="F72" i="380"/>
  <c r="F80" i="380"/>
  <c r="F88" i="380"/>
  <c r="F96" i="380"/>
  <c r="F103" i="380"/>
  <c r="F54" i="380"/>
  <c r="M11" i="377"/>
  <c r="N11" i="377" s="1"/>
  <c r="Q11" i="377" s="1"/>
  <c r="R11" i="377" s="1"/>
  <c r="U11" i="377" s="1"/>
  <c r="J10" i="377"/>
  <c r="S319" i="346"/>
  <c r="T319" i="346" s="1"/>
  <c r="S296" i="346"/>
  <c r="T296" i="346" s="1"/>
  <c r="S331" i="405"/>
  <c r="T331" i="405" s="1"/>
  <c r="S202" i="405"/>
  <c r="T202" i="405" s="1"/>
  <c r="BC25" i="335"/>
  <c r="L74" i="377"/>
  <c r="M74" i="377" s="1"/>
  <c r="N74" i="377" s="1"/>
  <c r="Q74" i="377" s="1"/>
  <c r="L82" i="377"/>
  <c r="M82" i="377" s="1"/>
  <c r="N82" i="377" s="1"/>
  <c r="Q82" i="377" s="1"/>
  <c r="R82" i="377" s="1"/>
  <c r="U82" i="377" s="1"/>
  <c r="I25" i="368"/>
  <c r="BH78" i="266"/>
  <c r="AD18" i="266"/>
  <c r="BH20" i="266"/>
  <c r="F32" i="237"/>
  <c r="G32" i="237" s="1"/>
  <c r="F87" i="380"/>
  <c r="H87" i="380" s="1"/>
  <c r="F44" i="380"/>
  <c r="F25" i="380"/>
  <c r="F57" i="380"/>
  <c r="S101" i="405"/>
  <c r="T101" i="405" s="1"/>
  <c r="F11" i="293"/>
  <c r="J11" i="293"/>
  <c r="L11" i="293" s="1"/>
  <c r="P11" i="345"/>
  <c r="N22" i="400"/>
  <c r="B22" i="400"/>
  <c r="M80" i="396"/>
  <c r="F18" i="396" s="1"/>
  <c r="G18" i="396" s="1"/>
  <c r="H18" i="396" s="1"/>
  <c r="K18" i="396" s="1"/>
  <c r="M79" i="396"/>
  <c r="F17" i="396" s="1"/>
  <c r="G17" i="396" s="1"/>
  <c r="H17" i="396" s="1"/>
  <c r="K17" i="396" s="1"/>
  <c r="Q56" i="396"/>
  <c r="S56" i="396" s="1"/>
  <c r="P57" i="396"/>
  <c r="M41" i="379"/>
  <c r="V42" i="384"/>
  <c r="W91" i="266"/>
  <c r="W88" i="266"/>
  <c r="AB68" i="266"/>
  <c r="W68" i="266"/>
  <c r="AB34" i="266"/>
  <c r="AB25" i="266"/>
  <c r="AB21" i="266"/>
  <c r="H90" i="393"/>
  <c r="U19" i="373"/>
  <c r="R11" i="425"/>
  <c r="T11" i="425" s="1"/>
  <c r="AA87" i="412"/>
  <c r="W32" i="411"/>
  <c r="L130" i="437"/>
  <c r="M110" i="445"/>
  <c r="H114" i="394"/>
  <c r="H106" i="394"/>
  <c r="H98" i="394"/>
  <c r="F163" i="393"/>
  <c r="F130" i="393"/>
  <c r="D102" i="392"/>
  <c r="J102" i="392" s="1"/>
  <c r="D118" i="392"/>
  <c r="J118" i="392" s="1"/>
  <c r="D134" i="392"/>
  <c r="J134" i="392" s="1"/>
  <c r="AU19" i="373"/>
  <c r="AZ19" i="373" s="1"/>
  <c r="G10" i="392"/>
  <c r="N18" i="376"/>
  <c r="Q18" i="376" s="1"/>
  <c r="W18" i="376" s="1"/>
  <c r="D100" i="392"/>
  <c r="J100" i="392" s="1"/>
  <c r="D116" i="392"/>
  <c r="J116" i="392" s="1"/>
  <c r="D132" i="392"/>
  <c r="J132" i="392" s="1"/>
  <c r="AH17" i="373"/>
  <c r="AU14" i="373"/>
  <c r="Q9" i="405"/>
  <c r="M14" i="437"/>
  <c r="M15" i="437"/>
  <c r="N15" i="437" s="1"/>
  <c r="Q15" i="437" s="1"/>
  <c r="L113" i="437"/>
  <c r="M113" i="437" s="1"/>
  <c r="L42" i="377"/>
  <c r="M42" i="377" s="1"/>
  <c r="H42" i="377"/>
  <c r="I11" i="144"/>
  <c r="J11" i="144"/>
  <c r="AH11" i="373"/>
  <c r="AE24" i="373"/>
  <c r="F69" i="204"/>
  <c r="H88" i="377"/>
  <c r="L88" i="377"/>
  <c r="M88" i="377" s="1"/>
  <c r="L100" i="377"/>
  <c r="M100" i="377" s="1"/>
  <c r="H100" i="377"/>
  <c r="N100" i="377" s="1"/>
  <c r="Q100" i="377" s="1"/>
  <c r="BH33" i="266"/>
  <c r="AD33" i="266"/>
  <c r="AV33" i="266" s="1"/>
  <c r="G12" i="143"/>
  <c r="J11" i="143" s="1"/>
  <c r="J12" i="143" s="1"/>
  <c r="H11" i="143"/>
  <c r="H12" i="143" s="1"/>
  <c r="S303" i="408"/>
  <c r="T303" i="408" s="1"/>
  <c r="L56" i="443"/>
  <c r="M56" i="443" s="1"/>
  <c r="L37" i="443"/>
  <c r="M37" i="443" s="1"/>
  <c r="L29" i="443"/>
  <c r="M29" i="443" s="1"/>
  <c r="N29" i="443" s="1"/>
  <c r="Q29" i="443" s="1"/>
  <c r="R29" i="443" s="1"/>
  <c r="S29" i="443" s="1"/>
  <c r="H42" i="443"/>
  <c r="N42" i="443" s="1"/>
  <c r="Q42" i="443" s="1"/>
  <c r="R42" i="443" s="1"/>
  <c r="T42" i="443" s="1"/>
  <c r="S12" i="380"/>
  <c r="S117" i="377"/>
  <c r="AT12" i="266"/>
  <c r="AY12" i="266" s="1"/>
  <c r="BB12" i="266" s="1"/>
  <c r="BK12" i="266" s="1"/>
  <c r="BQ12" i="266" s="1"/>
  <c r="BT12" i="266" s="1"/>
  <c r="AO70" i="266"/>
  <c r="AP70" i="266" s="1"/>
  <c r="N104" i="377"/>
  <c r="Q104" i="377" s="1"/>
  <c r="R104" i="377" s="1"/>
  <c r="U104" i="377" s="1"/>
  <c r="C47" i="400"/>
  <c r="N58" i="377"/>
  <c r="Q58" i="377" s="1"/>
  <c r="R58" i="377" s="1"/>
  <c r="U58" i="377" s="1"/>
  <c r="F18" i="414"/>
  <c r="BC40" i="335"/>
  <c r="E47" i="226"/>
  <c r="C47" i="226" s="1"/>
  <c r="D24" i="226"/>
  <c r="C24" i="226" s="1"/>
  <c r="AB93" i="266"/>
  <c r="AB90" i="266"/>
  <c r="AB85" i="266"/>
  <c r="AB77" i="266"/>
  <c r="W74" i="266"/>
  <c r="R98" i="266"/>
  <c r="AB39" i="266"/>
  <c r="W39" i="266"/>
  <c r="W28" i="266"/>
  <c r="AB11" i="266"/>
  <c r="K16" i="199"/>
  <c r="K9" i="199" s="1"/>
  <c r="L18" i="391"/>
  <c r="R70" i="406"/>
  <c r="S70" i="406" s="1"/>
  <c r="T70" i="406" s="1"/>
  <c r="R213" i="406"/>
  <c r="S213" i="406" s="1"/>
  <c r="T213" i="406" s="1"/>
  <c r="R220" i="406"/>
  <c r="S220" i="406" s="1"/>
  <c r="T220" i="406" s="1"/>
  <c r="R106" i="405"/>
  <c r="S106" i="405" s="1"/>
  <c r="T106" i="405" s="1"/>
  <c r="R115" i="405"/>
  <c r="S115" i="405" s="1"/>
  <c r="T115" i="405" s="1"/>
  <c r="R122" i="405"/>
  <c r="S122" i="405" s="1"/>
  <c r="T122" i="405" s="1"/>
  <c r="R135" i="405"/>
  <c r="S135" i="405" s="1"/>
  <c r="T135" i="405" s="1"/>
  <c r="R140" i="405"/>
  <c r="S140" i="405" s="1"/>
  <c r="T140" i="405" s="1"/>
  <c r="R145" i="405"/>
  <c r="S145" i="405" s="1"/>
  <c r="T145" i="405" s="1"/>
  <c r="R169" i="405"/>
  <c r="S169" i="405" s="1"/>
  <c r="T169" i="405" s="1"/>
  <c r="R200" i="405"/>
  <c r="S200" i="405" s="1"/>
  <c r="T200" i="405" s="1"/>
  <c r="N125" i="437"/>
  <c r="Q125" i="437" s="1"/>
  <c r="N127" i="437"/>
  <c r="J108" i="445"/>
  <c r="O114" i="445"/>
  <c r="H116" i="445"/>
  <c r="M124" i="445"/>
  <c r="J118" i="393"/>
  <c r="BH22" i="266"/>
  <c r="BI22" i="266" s="1"/>
  <c r="BH36" i="266"/>
  <c r="BC35" i="335"/>
  <c r="L123" i="380"/>
  <c r="L110" i="380" s="1"/>
  <c r="H77" i="377"/>
  <c r="N77" i="377" s="1"/>
  <c r="Q77" i="377" s="1"/>
  <c r="L22" i="380"/>
  <c r="M22" i="380" s="1"/>
  <c r="N22" i="380" s="1"/>
  <c r="Q22" i="380" s="1"/>
  <c r="H59" i="380"/>
  <c r="L51" i="380"/>
  <c r="M51" i="380" s="1"/>
  <c r="N51" i="380" s="1"/>
  <c r="Q51" i="380" s="1"/>
  <c r="F104" i="380"/>
  <c r="M112" i="379"/>
  <c r="M13" i="379"/>
  <c r="N13" i="379" s="1"/>
  <c r="Q13" i="379" s="1"/>
  <c r="R13" i="379" s="1"/>
  <c r="T13" i="379" s="1"/>
  <c r="M12" i="379"/>
  <c r="M113" i="377"/>
  <c r="P50" i="384"/>
  <c r="T50" i="384" s="1"/>
  <c r="V50" i="384" s="1"/>
  <c r="W50" i="384" s="1"/>
  <c r="X50" i="384" s="1"/>
  <c r="P49" i="384"/>
  <c r="T49" i="384" s="1"/>
  <c r="V49" i="384" s="1"/>
  <c r="P48" i="384"/>
  <c r="T48" i="384" s="1"/>
  <c r="V48" i="384" s="1"/>
  <c r="W48" i="384" s="1"/>
  <c r="X48" i="384" s="1"/>
  <c r="P47" i="384"/>
  <c r="T47" i="384" s="1"/>
  <c r="V47" i="384" s="1"/>
  <c r="W47" i="384" s="1"/>
  <c r="P46" i="384"/>
  <c r="T46" i="384" s="1"/>
  <c r="V46" i="384" s="1"/>
  <c r="W46" i="384" s="1"/>
  <c r="X46" i="384" s="1"/>
  <c r="P45" i="384"/>
  <c r="T45" i="384" s="1"/>
  <c r="V45" i="384" s="1"/>
  <c r="W45" i="384" s="1"/>
  <c r="X45" i="384" s="1"/>
  <c r="P44" i="384"/>
  <c r="T44" i="384" s="1"/>
  <c r="V44" i="384" s="1"/>
  <c r="W44" i="384" s="1"/>
  <c r="X44" i="384" s="1"/>
  <c r="P43" i="384"/>
  <c r="T43" i="384" s="1"/>
  <c r="V43" i="384" s="1"/>
  <c r="W43" i="384" s="1"/>
  <c r="P41" i="384"/>
  <c r="T41" i="384" s="1"/>
  <c r="V41" i="384" s="1"/>
  <c r="P40" i="384"/>
  <c r="T40" i="384" s="1"/>
  <c r="V40" i="384" s="1"/>
  <c r="P39" i="384"/>
  <c r="T39" i="384" s="1"/>
  <c r="V39" i="384" s="1"/>
  <c r="P37" i="384"/>
  <c r="T37" i="384" s="1"/>
  <c r="V37" i="384" s="1"/>
  <c r="P36" i="384"/>
  <c r="T36" i="384" s="1"/>
  <c r="V36" i="384" s="1"/>
  <c r="W36" i="384" s="1"/>
  <c r="X36" i="384" s="1"/>
  <c r="P35" i="384"/>
  <c r="T35" i="384" s="1"/>
  <c r="V35" i="384" s="1"/>
  <c r="W35" i="384" s="1"/>
  <c r="X35" i="384" s="1"/>
  <c r="P33" i="384"/>
  <c r="T33" i="384" s="1"/>
  <c r="V33" i="384" s="1"/>
  <c r="W33" i="384" s="1"/>
  <c r="X33" i="384" s="1"/>
  <c r="P29" i="384"/>
  <c r="T29" i="384" s="1"/>
  <c r="V29" i="384" s="1"/>
  <c r="W29" i="384" s="1"/>
  <c r="X29" i="384" s="1"/>
  <c r="P28" i="384"/>
  <c r="T28" i="384" s="1"/>
  <c r="V28" i="384" s="1"/>
  <c r="W28" i="384" s="1"/>
  <c r="X28" i="384" s="1"/>
  <c r="P27" i="384"/>
  <c r="T27" i="384" s="1"/>
  <c r="V27" i="384" s="1"/>
  <c r="W27" i="384" s="1"/>
  <c r="X27" i="384" s="1"/>
  <c r="P24" i="384"/>
  <c r="T24" i="384" s="1"/>
  <c r="V24" i="384" s="1"/>
  <c r="W24" i="384" s="1"/>
  <c r="X24" i="384" s="1"/>
  <c r="P23" i="384"/>
  <c r="T23" i="384" s="1"/>
  <c r="V23" i="384" s="1"/>
  <c r="W23" i="384" s="1"/>
  <c r="X23" i="384" s="1"/>
  <c r="P20" i="384"/>
  <c r="T20" i="384" s="1"/>
  <c r="V20" i="384" s="1"/>
  <c r="P17" i="384"/>
  <c r="T17" i="384" s="1"/>
  <c r="V17" i="384" s="1"/>
  <c r="W17" i="384" s="1"/>
  <c r="X17" i="384" s="1"/>
  <c r="P16" i="384"/>
  <c r="T16" i="384" s="1"/>
  <c r="V16" i="384" s="1"/>
  <c r="W16" i="384" s="1"/>
  <c r="P14" i="384"/>
  <c r="T14" i="384" s="1"/>
  <c r="V14" i="384" s="1"/>
  <c r="W14" i="384" s="1"/>
  <c r="X14" i="384" s="1"/>
  <c r="D92" i="392"/>
  <c r="J92" i="392" s="1"/>
  <c r="J90" i="392" s="1"/>
  <c r="G90" i="392" s="1"/>
  <c r="H90" i="392" s="1"/>
  <c r="G10" i="144"/>
  <c r="H10" i="144" s="1"/>
  <c r="AH22" i="373"/>
  <c r="AH18" i="373"/>
  <c r="AZ18" i="373" s="1"/>
  <c r="BA18" i="373" s="1"/>
  <c r="AH16" i="373"/>
  <c r="AZ16" i="373" s="1"/>
  <c r="BA16" i="373" s="1"/>
  <c r="AH14" i="373"/>
  <c r="AZ14" i="373" s="1"/>
  <c r="BA14" i="373" s="1"/>
  <c r="AH12" i="373"/>
  <c r="AZ12" i="373" s="1"/>
  <c r="BA12" i="373" s="1"/>
  <c r="I16" i="247"/>
  <c r="I12" i="139"/>
  <c r="J12" i="139" s="1"/>
  <c r="K12" i="139" s="1"/>
  <c r="R18" i="408"/>
  <c r="S18" i="408" s="1"/>
  <c r="T18" i="408" s="1"/>
  <c r="R29" i="408"/>
  <c r="S29" i="408" s="1"/>
  <c r="T29" i="408" s="1"/>
  <c r="R145" i="408"/>
  <c r="S145" i="408" s="1"/>
  <c r="T145" i="408" s="1"/>
  <c r="R190" i="408"/>
  <c r="S190" i="408" s="1"/>
  <c r="T190" i="408" s="1"/>
  <c r="R194" i="408"/>
  <c r="S194" i="408" s="1"/>
  <c r="T194" i="408" s="1"/>
  <c r="R211" i="408"/>
  <c r="R218" i="408"/>
  <c r="S218" i="408" s="1"/>
  <c r="T218" i="408" s="1"/>
  <c r="R223" i="408"/>
  <c r="S223" i="408" s="1"/>
  <c r="T223" i="408" s="1"/>
  <c r="R237" i="408"/>
  <c r="S237" i="408" s="1"/>
  <c r="T237" i="408" s="1"/>
  <c r="R241" i="408"/>
  <c r="S241" i="408" s="1"/>
  <c r="T241" i="408" s="1"/>
  <c r="R256" i="408"/>
  <c r="S256" i="408" s="1"/>
  <c r="T256" i="408" s="1"/>
  <c r="R296" i="408"/>
  <c r="S296" i="408" s="1"/>
  <c r="T296" i="408" s="1"/>
  <c r="R300" i="408"/>
  <c r="R314" i="408"/>
  <c r="S314" i="408" s="1"/>
  <c r="T314" i="408" s="1"/>
  <c r="R318" i="408"/>
  <c r="S318" i="408" s="1"/>
  <c r="T318" i="408" s="1"/>
  <c r="R320" i="346"/>
  <c r="S320" i="346" s="1"/>
  <c r="T320" i="346" s="1"/>
  <c r="R338" i="408"/>
  <c r="S338" i="408" s="1"/>
  <c r="T338" i="408" s="1"/>
  <c r="R331" i="408"/>
  <c r="S331" i="408" s="1"/>
  <c r="T331" i="408" s="1"/>
  <c r="R344" i="408"/>
  <c r="R340" i="405"/>
  <c r="S340" i="405" s="1"/>
  <c r="T340" i="405" s="1"/>
  <c r="R380" i="346"/>
  <c r="S380" i="346" s="1"/>
  <c r="T380" i="346" s="1"/>
  <c r="R18" i="346"/>
  <c r="S18" i="346" s="1"/>
  <c r="T18" i="346" s="1"/>
  <c r="V17" i="410"/>
  <c r="F37" i="437"/>
  <c r="F21" i="437"/>
  <c r="F27" i="437"/>
  <c r="F63" i="437"/>
  <c r="F66" i="437"/>
  <c r="M16" i="437"/>
  <c r="N16" i="437" s="1"/>
  <c r="Q16" i="437" s="1"/>
  <c r="M114" i="437"/>
  <c r="H115" i="437"/>
  <c r="L115" i="437"/>
  <c r="M115" i="437" s="1"/>
  <c r="M14" i="443"/>
  <c r="N14" i="443" s="1"/>
  <c r="Q14" i="443" s="1"/>
  <c r="F36" i="445"/>
  <c r="M12" i="445"/>
  <c r="N12" i="445" s="1"/>
  <c r="Q12" i="445" s="1"/>
  <c r="P11" i="445"/>
  <c r="M14" i="445"/>
  <c r="Q11" i="379"/>
  <c r="R11" i="379" s="1"/>
  <c r="U11" i="379" s="1"/>
  <c r="H30" i="443"/>
  <c r="L30" i="443"/>
  <c r="M30" i="443" s="1"/>
  <c r="H67" i="443"/>
  <c r="L67" i="443"/>
  <c r="M67" i="443" s="1"/>
  <c r="H88" i="443"/>
  <c r="L88" i="443"/>
  <c r="M88" i="443" s="1"/>
  <c r="H93" i="443"/>
  <c r="L93" i="443"/>
  <c r="M93" i="443" s="1"/>
  <c r="H26" i="443"/>
  <c r="L26" i="443"/>
  <c r="M26" i="443" s="1"/>
  <c r="AV13" i="266"/>
  <c r="AO69" i="266"/>
  <c r="AI69" i="266"/>
  <c r="AK69" i="266"/>
  <c r="L30" i="379"/>
  <c r="M30" i="379" s="1"/>
  <c r="H30" i="379"/>
  <c r="H100" i="379"/>
  <c r="L100" i="379"/>
  <c r="M100" i="379" s="1"/>
  <c r="H51" i="379"/>
  <c r="L51" i="379"/>
  <c r="M51" i="379" s="1"/>
  <c r="L24" i="379"/>
  <c r="M24" i="379" s="1"/>
  <c r="H24" i="379"/>
  <c r="L35" i="379"/>
  <c r="M35" i="379" s="1"/>
  <c r="H35" i="379"/>
  <c r="BG94" i="266"/>
  <c r="AC94" i="266"/>
  <c r="BH32" i="266"/>
  <c r="AD32" i="266"/>
  <c r="BH41" i="266"/>
  <c r="BI41" i="266" s="1"/>
  <c r="AD41" i="266"/>
  <c r="AV41" i="266" s="1"/>
  <c r="H95" i="443"/>
  <c r="N95" i="443" s="1"/>
  <c r="Q95" i="443" s="1"/>
  <c r="R95" i="443" s="1"/>
  <c r="S95" i="443" s="1"/>
  <c r="H55" i="443"/>
  <c r="N55" i="443" s="1"/>
  <c r="Q55" i="443" s="1"/>
  <c r="R55" i="443" s="1"/>
  <c r="U55" i="443" s="1"/>
  <c r="T24" i="377"/>
  <c r="H92" i="379"/>
  <c r="H63" i="377"/>
  <c r="N63" i="377" s="1"/>
  <c r="Q63" i="377" s="1"/>
  <c r="AI93" i="266"/>
  <c r="H44" i="402"/>
  <c r="H45" i="402" s="1"/>
  <c r="G45" i="402"/>
  <c r="R14" i="377"/>
  <c r="T14" i="377" s="1"/>
  <c r="H94" i="380"/>
  <c r="L94" i="380"/>
  <c r="M94" i="380" s="1"/>
  <c r="H30" i="377"/>
  <c r="L30" i="377"/>
  <c r="M30" i="377" s="1"/>
  <c r="H54" i="377"/>
  <c r="N54" i="377" s="1"/>
  <c r="Q54" i="377" s="1"/>
  <c r="R54" i="377" s="1"/>
  <c r="U54" i="377" s="1"/>
  <c r="L54" i="377"/>
  <c r="M54" i="377" s="1"/>
  <c r="L109" i="377"/>
  <c r="M109" i="377" s="1"/>
  <c r="H109" i="377"/>
  <c r="L65" i="377"/>
  <c r="M65" i="377" s="1"/>
  <c r="F64" i="377"/>
  <c r="L73" i="380"/>
  <c r="M73" i="380" s="1"/>
  <c r="H73" i="380"/>
  <c r="BM13" i="356"/>
  <c r="BN13" i="356" s="1"/>
  <c r="H163" i="393"/>
  <c r="L48" i="379"/>
  <c r="M48" i="379" s="1"/>
  <c r="H48" i="379"/>
  <c r="L40" i="379"/>
  <c r="M40" i="379" s="1"/>
  <c r="H40" i="379"/>
  <c r="H56" i="379"/>
  <c r="L56" i="379"/>
  <c r="M56" i="379" s="1"/>
  <c r="L96" i="379"/>
  <c r="M96" i="379" s="1"/>
  <c r="H96" i="379"/>
  <c r="L72" i="443"/>
  <c r="M72" i="443" s="1"/>
  <c r="N72" i="443" s="1"/>
  <c r="Q72" i="443" s="1"/>
  <c r="R72" i="443" s="1"/>
  <c r="U72" i="443" s="1"/>
  <c r="AV70" i="266"/>
  <c r="AT70" i="266"/>
  <c r="AK21" i="266"/>
  <c r="L39" i="377"/>
  <c r="M39" i="377" s="1"/>
  <c r="H39" i="377"/>
  <c r="L99" i="377"/>
  <c r="M99" i="377" s="1"/>
  <c r="H99" i="377"/>
  <c r="H108" i="377"/>
  <c r="L108" i="377"/>
  <c r="M108" i="377" s="1"/>
  <c r="H97" i="377"/>
  <c r="L97" i="377"/>
  <c r="M97" i="377" s="1"/>
  <c r="L62" i="377"/>
  <c r="M62" i="377" s="1"/>
  <c r="H62" i="377"/>
  <c r="L43" i="377"/>
  <c r="M43" i="377" s="1"/>
  <c r="H43" i="377"/>
  <c r="T11" i="405"/>
  <c r="M17" i="285"/>
  <c r="N17" i="285" s="1"/>
  <c r="AT89" i="266"/>
  <c r="M99" i="402"/>
  <c r="N98" i="402"/>
  <c r="N99" i="402" s="1"/>
  <c r="L72" i="377"/>
  <c r="M72" i="377" s="1"/>
  <c r="H72" i="377"/>
  <c r="L80" i="377"/>
  <c r="M80" i="377" s="1"/>
  <c r="H80" i="377"/>
  <c r="AO11" i="266"/>
  <c r="AV88" i="266"/>
  <c r="AY88" i="266" s="1"/>
  <c r="BB88" i="266" s="1"/>
  <c r="L36" i="443"/>
  <c r="M36" i="443" s="1"/>
  <c r="H36" i="443"/>
  <c r="H75" i="443"/>
  <c r="L75" i="443"/>
  <c r="M75" i="443" s="1"/>
  <c r="L46" i="443"/>
  <c r="M46" i="443" s="1"/>
  <c r="H46" i="443"/>
  <c r="L74" i="443"/>
  <c r="M74" i="443" s="1"/>
  <c r="H74" i="443"/>
  <c r="L86" i="443"/>
  <c r="M86" i="443" s="1"/>
  <c r="H86" i="443"/>
  <c r="AT81" i="266"/>
  <c r="AV81" i="266"/>
  <c r="AC71" i="266"/>
  <c r="BG71" i="266"/>
  <c r="H123" i="379"/>
  <c r="H110" i="379" s="1"/>
  <c r="L123" i="379"/>
  <c r="L110" i="379" s="1"/>
  <c r="L9" i="379" s="1"/>
  <c r="L15" i="443"/>
  <c r="M15" i="443" s="1"/>
  <c r="H107" i="443"/>
  <c r="N107" i="443" s="1"/>
  <c r="Q107" i="443" s="1"/>
  <c r="R107" i="443" s="1"/>
  <c r="S107" i="443" s="1"/>
  <c r="L52" i="443"/>
  <c r="M52" i="443" s="1"/>
  <c r="N52" i="443" s="1"/>
  <c r="Q52" i="443" s="1"/>
  <c r="R52" i="443" s="1"/>
  <c r="U52" i="443" s="1"/>
  <c r="F99" i="443"/>
  <c r="T128" i="379"/>
  <c r="V128" i="379" s="1"/>
  <c r="S128" i="379"/>
  <c r="L35" i="443"/>
  <c r="M35" i="443" s="1"/>
  <c r="N35" i="443" s="1"/>
  <c r="Q35" i="443" s="1"/>
  <c r="R35" i="443" s="1"/>
  <c r="T35" i="443" s="1"/>
  <c r="H98" i="443"/>
  <c r="N98" i="443" s="1"/>
  <c r="Q98" i="443" s="1"/>
  <c r="L45" i="443"/>
  <c r="M45" i="443" s="1"/>
  <c r="H20" i="443"/>
  <c r="N20" i="443" s="1"/>
  <c r="Q20" i="443" s="1"/>
  <c r="N63" i="443"/>
  <c r="Q63" i="443" s="1"/>
  <c r="R63" i="443" s="1"/>
  <c r="T63" i="443" s="1"/>
  <c r="AC12" i="266"/>
  <c r="BG12" i="266"/>
  <c r="BI12" i="266" s="1"/>
  <c r="W42" i="266"/>
  <c r="W43" i="266" s="1"/>
  <c r="W44" i="266" s="1"/>
  <c r="H98" i="379"/>
  <c r="L98" i="379"/>
  <c r="M98" i="379" s="1"/>
  <c r="H69" i="377"/>
  <c r="N69" i="377" s="1"/>
  <c r="Q69" i="377" s="1"/>
  <c r="L74" i="379"/>
  <c r="M74" i="379" s="1"/>
  <c r="N74" i="379" s="1"/>
  <c r="Q74" i="379" s="1"/>
  <c r="R74" i="379" s="1"/>
  <c r="T74" i="379" s="1"/>
  <c r="J30" i="144"/>
  <c r="I30" i="144"/>
  <c r="H30" i="144"/>
  <c r="K30" i="144" s="1"/>
  <c r="L96" i="402"/>
  <c r="M93" i="402"/>
  <c r="H39" i="379"/>
  <c r="L39" i="379"/>
  <c r="M39" i="379" s="1"/>
  <c r="H67" i="379"/>
  <c r="L67" i="379"/>
  <c r="M67" i="379" s="1"/>
  <c r="BG79" i="266"/>
  <c r="AC79" i="266"/>
  <c r="AK79" i="266" s="1"/>
  <c r="S12" i="381"/>
  <c r="N27" i="377"/>
  <c r="Q27" i="377" s="1"/>
  <c r="R27" i="377" s="1"/>
  <c r="U27" i="377" s="1"/>
  <c r="BC52" i="335"/>
  <c r="L95" i="380"/>
  <c r="M95" i="380" s="1"/>
  <c r="H95" i="380"/>
  <c r="L87" i="380"/>
  <c r="M87" i="380" s="1"/>
  <c r="L60" i="380"/>
  <c r="M60" i="380" s="1"/>
  <c r="H60" i="380"/>
  <c r="H36" i="380"/>
  <c r="L36" i="380"/>
  <c r="M36" i="380" s="1"/>
  <c r="H28" i="380"/>
  <c r="L28" i="380"/>
  <c r="M28" i="380" s="1"/>
  <c r="N28" i="380" s="1"/>
  <c r="Q28" i="380" s="1"/>
  <c r="H20" i="380"/>
  <c r="L20" i="380"/>
  <c r="M20" i="380" s="1"/>
  <c r="N11" i="384"/>
  <c r="P13" i="384"/>
  <c r="T13" i="384" s="1"/>
  <c r="V13" i="384" s="1"/>
  <c r="W13" i="384" s="1"/>
  <c r="X13" i="384" s="1"/>
  <c r="S362" i="346"/>
  <c r="T362" i="346" s="1"/>
  <c r="J9" i="381"/>
  <c r="N89" i="377"/>
  <c r="Q89" i="377" s="1"/>
  <c r="R89" i="377" s="1"/>
  <c r="S89" i="377" s="1"/>
  <c r="AE70" i="266"/>
  <c r="AK73" i="266"/>
  <c r="AP73" i="266" s="1"/>
  <c r="BA73" i="266" s="1"/>
  <c r="AI67" i="266"/>
  <c r="BG70" i="266"/>
  <c r="F101" i="377"/>
  <c r="AB42" i="266"/>
  <c r="AB43" i="266" s="1"/>
  <c r="AB44" i="266" s="1"/>
  <c r="C41" i="400"/>
  <c r="K119" i="394"/>
  <c r="G11" i="409"/>
  <c r="H9" i="199"/>
  <c r="AC40" i="266"/>
  <c r="AI40" i="266" s="1"/>
  <c r="L84" i="379"/>
  <c r="M84" i="379" s="1"/>
  <c r="N84" i="379" s="1"/>
  <c r="Q84" i="379" s="1"/>
  <c r="R84" i="379" s="1"/>
  <c r="U84" i="379" s="1"/>
  <c r="L45" i="402"/>
  <c r="T21" i="325"/>
  <c r="AD91" i="266"/>
  <c r="BH75" i="266"/>
  <c r="L85" i="380"/>
  <c r="M85" i="380" s="1"/>
  <c r="H85" i="380"/>
  <c r="C26" i="226"/>
  <c r="N21" i="325"/>
  <c r="N123" i="377"/>
  <c r="Q123" i="377" s="1"/>
  <c r="R123" i="377" s="1"/>
  <c r="T123" i="377" s="1"/>
  <c r="M36" i="325"/>
  <c r="M20" i="398"/>
  <c r="M21" i="398" s="1"/>
  <c r="L45" i="379"/>
  <c r="BC39" i="335"/>
  <c r="BH84" i="266"/>
  <c r="X47" i="384"/>
  <c r="H36" i="377"/>
  <c r="N36" i="377" s="1"/>
  <c r="Q36" i="377" s="1"/>
  <c r="R36" i="377" s="1"/>
  <c r="S36" i="377" s="1"/>
  <c r="I48" i="285"/>
  <c r="H50" i="285"/>
  <c r="E36" i="237"/>
  <c r="D42" i="237"/>
  <c r="D33" i="226"/>
  <c r="G33" i="226"/>
  <c r="P112" i="377"/>
  <c r="L112" i="377"/>
  <c r="M112" i="377" s="1"/>
  <c r="N112" i="377" s="1"/>
  <c r="O112" i="377"/>
  <c r="P116" i="377"/>
  <c r="O116" i="377"/>
  <c r="H116" i="377"/>
  <c r="L16" i="376"/>
  <c r="P10" i="421"/>
  <c r="L9" i="421"/>
  <c r="BC47" i="335"/>
  <c r="N124" i="380"/>
  <c r="Q124" i="380" s="1"/>
  <c r="W124" i="380" s="1"/>
  <c r="U98" i="266"/>
  <c r="U99" i="266" s="1"/>
  <c r="U100" i="266" s="1"/>
  <c r="H91" i="380"/>
  <c r="L91" i="380"/>
  <c r="M91" i="380" s="1"/>
  <c r="M59" i="380"/>
  <c r="N59" i="380" s="1"/>
  <c r="Q59" i="380" s="1"/>
  <c r="V18" i="325"/>
  <c r="U18" i="325" s="1"/>
  <c r="Q126" i="380"/>
  <c r="W126" i="380" s="1"/>
  <c r="S159" i="405"/>
  <c r="T159" i="405" s="1"/>
  <c r="O18" i="403"/>
  <c r="K10" i="403"/>
  <c r="K11" i="394"/>
  <c r="M46" i="399"/>
  <c r="M48" i="399" s="1"/>
  <c r="L48" i="399"/>
  <c r="H49" i="404"/>
  <c r="H50" i="404" s="1"/>
  <c r="G50" i="404"/>
  <c r="R15" i="325"/>
  <c r="V15" i="325" s="1"/>
  <c r="U15" i="325" s="1"/>
  <c r="H21" i="325"/>
  <c r="K40" i="352"/>
  <c r="S362" i="388"/>
  <c r="T362" i="388" s="1"/>
  <c r="S340" i="388"/>
  <c r="T340" i="388" s="1"/>
  <c r="S275" i="405"/>
  <c r="T275" i="405" s="1"/>
  <c r="S19" i="408"/>
  <c r="T19" i="408" s="1"/>
  <c r="S33" i="408"/>
  <c r="T33" i="408" s="1"/>
  <c r="M125" i="379"/>
  <c r="N125" i="379" s="1"/>
  <c r="Q125" i="379" s="1"/>
  <c r="W125" i="379" s="1"/>
  <c r="M13" i="377"/>
  <c r="R55" i="408"/>
  <c r="S55" i="408" s="1"/>
  <c r="T55" i="408" s="1"/>
  <c r="R209" i="408"/>
  <c r="R235" i="408"/>
  <c r="S235" i="408" s="1"/>
  <c r="T235" i="408" s="1"/>
  <c r="R239" i="408"/>
  <c r="S239" i="408" s="1"/>
  <c r="T239" i="408" s="1"/>
  <c r="R298" i="408"/>
  <c r="S298" i="408" s="1"/>
  <c r="T298" i="408" s="1"/>
  <c r="L125" i="445"/>
  <c r="M125" i="445" s="1"/>
  <c r="P125" i="445"/>
  <c r="F108" i="380"/>
  <c r="N12" i="379"/>
  <c r="Q12" i="379" s="1"/>
  <c r="R12" i="379" s="1"/>
  <c r="U12" i="379" s="1"/>
  <c r="J99" i="445"/>
  <c r="AX98" i="266"/>
  <c r="AX100" i="266" s="1"/>
  <c r="M122" i="377"/>
  <c r="N122" i="377" s="1"/>
  <c r="Q122" i="377" s="1"/>
  <c r="N119" i="377"/>
  <c r="Q119" i="377" s="1"/>
  <c r="M118" i="377"/>
  <c r="N118" i="377" s="1"/>
  <c r="D225" i="393"/>
  <c r="D95" i="393" s="1"/>
  <c r="M86" i="393" s="1"/>
  <c r="N86" i="393" s="1"/>
  <c r="D226" i="393"/>
  <c r="D96" i="393" s="1"/>
  <c r="M87" i="393" s="1"/>
  <c r="R45" i="408"/>
  <c r="S45" i="408" s="1"/>
  <c r="T45" i="408" s="1"/>
  <c r="R49" i="408"/>
  <c r="S49" i="408" s="1"/>
  <c r="T49" i="408" s="1"/>
  <c r="R304" i="408"/>
  <c r="S304" i="408" s="1"/>
  <c r="T304" i="408" s="1"/>
  <c r="R15" i="346"/>
  <c r="R338" i="405"/>
  <c r="S338" i="405" s="1"/>
  <c r="T338" i="405" s="1"/>
  <c r="R334" i="405"/>
  <c r="S334" i="405" s="1"/>
  <c r="R326" i="405"/>
  <c r="S326" i="405" s="1"/>
  <c r="T326" i="405" s="1"/>
  <c r="R271" i="405"/>
  <c r="S271" i="405" s="1"/>
  <c r="T271" i="405" s="1"/>
  <c r="R225" i="405"/>
  <c r="S225" i="405" s="1"/>
  <c r="T225" i="405" s="1"/>
  <c r="R217" i="405"/>
  <c r="S217" i="405" s="1"/>
  <c r="T217" i="405" s="1"/>
  <c r="R207" i="405"/>
  <c r="S207" i="405" s="1"/>
  <c r="T207" i="405" s="1"/>
  <c r="R87" i="405"/>
  <c r="S87" i="405" s="1"/>
  <c r="T87" i="405" s="1"/>
  <c r="R75" i="405"/>
  <c r="S75" i="405" s="1"/>
  <c r="T75" i="405" s="1"/>
  <c r="R66" i="405"/>
  <c r="S66" i="405" s="1"/>
  <c r="T66" i="405" s="1"/>
  <c r="R23" i="405"/>
  <c r="S23" i="405" s="1"/>
  <c r="T23" i="405" s="1"/>
  <c r="F159" i="393"/>
  <c r="R12" i="406"/>
  <c r="R22" i="406"/>
  <c r="S22" i="406" s="1"/>
  <c r="T22" i="406" s="1"/>
  <c r="R49" i="406"/>
  <c r="S49" i="406" s="1"/>
  <c r="T49" i="406" s="1"/>
  <c r="R62" i="406"/>
  <c r="S62" i="406" s="1"/>
  <c r="T62" i="406" s="1"/>
  <c r="R159" i="406"/>
  <c r="S159" i="406" s="1"/>
  <c r="T159" i="406" s="1"/>
  <c r="R163" i="406"/>
  <c r="S163" i="406" s="1"/>
  <c r="T163" i="406" s="1"/>
  <c r="R167" i="406"/>
  <c r="S167" i="406" s="1"/>
  <c r="T167" i="406" s="1"/>
  <c r="R190" i="406"/>
  <c r="S190" i="406" s="1"/>
  <c r="T190" i="406" s="1"/>
  <c r="R36" i="407"/>
  <c r="S36" i="407" s="1"/>
  <c r="T36" i="407" s="1"/>
  <c r="R16" i="408"/>
  <c r="S16" i="408" s="1"/>
  <c r="T16" i="408" s="1"/>
  <c r="R64" i="408"/>
  <c r="S64" i="408" s="1"/>
  <c r="T64" i="408" s="1"/>
  <c r="R69" i="408"/>
  <c r="R112" i="408"/>
  <c r="S112" i="408" s="1"/>
  <c r="T112" i="408" s="1"/>
  <c r="R129" i="408"/>
  <c r="R214" i="408"/>
  <c r="S214" i="408" s="1"/>
  <c r="T214" i="408" s="1"/>
  <c r="R228" i="408"/>
  <c r="S228" i="408" s="1"/>
  <c r="T228" i="408" s="1"/>
  <c r="R281" i="408"/>
  <c r="S281" i="408" s="1"/>
  <c r="T281" i="408" s="1"/>
  <c r="R286" i="408"/>
  <c r="S286" i="408" s="1"/>
  <c r="T286" i="408" s="1"/>
  <c r="R290" i="408"/>
  <c r="S290" i="408" s="1"/>
  <c r="T290" i="408" s="1"/>
  <c r="R349" i="408"/>
  <c r="S349" i="408" s="1"/>
  <c r="T349" i="408" s="1"/>
  <c r="R382" i="346"/>
  <c r="AE185" i="412"/>
  <c r="AE192" i="412"/>
  <c r="AE270" i="412"/>
  <c r="Y16" i="411"/>
  <c r="P117" i="445"/>
  <c r="R64" i="346"/>
  <c r="S64" i="346" s="1"/>
  <c r="T64" i="346" s="1"/>
  <c r="R28" i="346"/>
  <c r="S28" i="346" s="1"/>
  <c r="T28" i="346" s="1"/>
  <c r="R35" i="405"/>
  <c r="S35" i="405" s="1"/>
  <c r="T35" i="405" s="1"/>
  <c r="R31" i="405"/>
  <c r="S31" i="405" s="1"/>
  <c r="T31" i="405" s="1"/>
  <c r="H118" i="393"/>
  <c r="R63" i="406"/>
  <c r="S63" i="406" s="1"/>
  <c r="T63" i="406" s="1"/>
  <c r="R84" i="406"/>
  <c r="S84" i="406" s="1"/>
  <c r="T84" i="406" s="1"/>
  <c r="R88" i="406"/>
  <c r="S88" i="406" s="1"/>
  <c r="T88" i="406" s="1"/>
  <c r="R93" i="406"/>
  <c r="S93" i="406" s="1"/>
  <c r="T93" i="406" s="1"/>
  <c r="R97" i="406"/>
  <c r="S97" i="406" s="1"/>
  <c r="T97" i="406" s="1"/>
  <c r="R101" i="406"/>
  <c r="S101" i="406" s="1"/>
  <c r="T101" i="406" s="1"/>
  <c r="R106" i="406"/>
  <c r="S106" i="406" s="1"/>
  <c r="T106" i="406" s="1"/>
  <c r="R110" i="406"/>
  <c r="S110" i="406" s="1"/>
  <c r="T110" i="406" s="1"/>
  <c r="R173" i="406"/>
  <c r="S173" i="406" s="1"/>
  <c r="T173" i="406" s="1"/>
  <c r="R80" i="406"/>
  <c r="S80" i="406" s="1"/>
  <c r="T80" i="406" s="1"/>
  <c r="R45" i="407"/>
  <c r="R52" i="407"/>
  <c r="R73" i="407"/>
  <c r="S73" i="407" s="1"/>
  <c r="T73" i="407" s="1"/>
  <c r="R78" i="407"/>
  <c r="S78" i="407" s="1"/>
  <c r="T78" i="407" s="1"/>
  <c r="R82" i="407"/>
  <c r="S82" i="407" s="1"/>
  <c r="T82" i="407" s="1"/>
  <c r="R22" i="408"/>
  <c r="S22" i="408" s="1"/>
  <c r="T22" i="408" s="1"/>
  <c r="R40" i="408"/>
  <c r="S40" i="408" s="1"/>
  <c r="T40" i="408" s="1"/>
  <c r="R53" i="408"/>
  <c r="S53" i="408" s="1"/>
  <c r="T53" i="408" s="1"/>
  <c r="R87" i="408"/>
  <c r="S87" i="408" s="1"/>
  <c r="T87" i="408" s="1"/>
  <c r="R92" i="408"/>
  <c r="S92" i="408" s="1"/>
  <c r="T92" i="408" s="1"/>
  <c r="R97" i="408"/>
  <c r="S97" i="408" s="1"/>
  <c r="T97" i="408" s="1"/>
  <c r="R143" i="408"/>
  <c r="S143" i="408" s="1"/>
  <c r="T143" i="408" s="1"/>
  <c r="R147" i="408"/>
  <c r="S147" i="408" s="1"/>
  <c r="T147" i="408" s="1"/>
  <c r="R188" i="408"/>
  <c r="S188" i="408" s="1"/>
  <c r="T188" i="408" s="1"/>
  <c r="R245" i="408"/>
  <c r="R316" i="408"/>
  <c r="S316" i="408" s="1"/>
  <c r="T316" i="408" s="1"/>
  <c r="R320" i="408"/>
  <c r="S320" i="408" s="1"/>
  <c r="T320" i="408" s="1"/>
  <c r="R325" i="408"/>
  <c r="S325" i="408" s="1"/>
  <c r="T325" i="408" s="1"/>
  <c r="R329" i="408"/>
  <c r="S329" i="408" s="1"/>
  <c r="T329" i="408" s="1"/>
  <c r="R334" i="408"/>
  <c r="S334" i="408" s="1"/>
  <c r="T334" i="408" s="1"/>
  <c r="R92" i="407"/>
  <c r="S92" i="407" s="1"/>
  <c r="T92" i="407" s="1"/>
  <c r="AE20" i="412"/>
  <c r="AE24" i="412"/>
  <c r="AE62" i="412"/>
  <c r="AA65" i="412"/>
  <c r="AE99" i="412"/>
  <c r="AE103" i="412"/>
  <c r="AE118" i="412"/>
  <c r="AA144" i="412"/>
  <c r="AE212" i="412"/>
  <c r="AE258" i="412"/>
  <c r="AE279" i="412"/>
  <c r="AE292" i="412"/>
  <c r="J10" i="437"/>
  <c r="J64" i="437"/>
  <c r="M114" i="443"/>
  <c r="O11" i="445"/>
  <c r="R60" i="346"/>
  <c r="S60" i="346" s="1"/>
  <c r="T60" i="346" s="1"/>
  <c r="R33" i="346"/>
  <c r="R328" i="405"/>
  <c r="S328" i="405" s="1"/>
  <c r="T328" i="405" s="1"/>
  <c r="R317" i="405"/>
  <c r="S317" i="405" s="1"/>
  <c r="T317" i="405" s="1"/>
  <c r="R306" i="405"/>
  <c r="S306" i="405" s="1"/>
  <c r="T306" i="405" s="1"/>
  <c r="R296" i="405"/>
  <c r="S296" i="405" s="1"/>
  <c r="T296" i="405" s="1"/>
  <c r="R285" i="405"/>
  <c r="S285" i="405" s="1"/>
  <c r="T285" i="405" s="1"/>
  <c r="R269" i="405"/>
  <c r="S269" i="405" s="1"/>
  <c r="T269" i="405" s="1"/>
  <c r="R17" i="405"/>
  <c r="S17" i="405" s="1"/>
  <c r="T17" i="405" s="1"/>
  <c r="R13" i="405"/>
  <c r="H144" i="392"/>
  <c r="D113" i="392" s="1"/>
  <c r="J113" i="392" s="1"/>
  <c r="M20" i="285"/>
  <c r="R14" i="406"/>
  <c r="R74" i="406"/>
  <c r="S74" i="406" s="1"/>
  <c r="T74" i="406" s="1"/>
  <c r="R115" i="406"/>
  <c r="S115" i="406" s="1"/>
  <c r="T115" i="406" s="1"/>
  <c r="R119" i="406"/>
  <c r="S119" i="406" s="1"/>
  <c r="T119" i="406" s="1"/>
  <c r="R123" i="406"/>
  <c r="S123" i="406" s="1"/>
  <c r="T123" i="406" s="1"/>
  <c r="R127" i="406"/>
  <c r="R131" i="406"/>
  <c r="S131" i="406" s="1"/>
  <c r="T131" i="406" s="1"/>
  <c r="R137" i="406"/>
  <c r="S137" i="406" s="1"/>
  <c r="T137" i="406" s="1"/>
  <c r="R141" i="406"/>
  <c r="S141" i="406" s="1"/>
  <c r="T141" i="406" s="1"/>
  <c r="R145" i="406"/>
  <c r="S145" i="406" s="1"/>
  <c r="T145" i="406" s="1"/>
  <c r="R149" i="406"/>
  <c r="S149" i="406" s="1"/>
  <c r="T149" i="406" s="1"/>
  <c r="R183" i="406"/>
  <c r="S183" i="406" s="1"/>
  <c r="T183" i="406" s="1"/>
  <c r="R196" i="406"/>
  <c r="S196" i="406" s="1"/>
  <c r="T196" i="406" s="1"/>
  <c r="R200" i="406"/>
  <c r="S200" i="406" s="1"/>
  <c r="T200" i="406" s="1"/>
  <c r="R225" i="406"/>
  <c r="S225" i="406" s="1"/>
  <c r="T225" i="406" s="1"/>
  <c r="R229" i="406"/>
  <c r="S229" i="406" s="1"/>
  <c r="T229" i="406" s="1"/>
  <c r="R233" i="406"/>
  <c r="S233" i="406" s="1"/>
  <c r="T233" i="406" s="1"/>
  <c r="R56" i="407"/>
  <c r="S56" i="407" s="1"/>
  <c r="T56" i="407" s="1"/>
  <c r="R60" i="407"/>
  <c r="S60" i="407" s="1"/>
  <c r="T60" i="407" s="1"/>
  <c r="R64" i="407"/>
  <c r="S64" i="407" s="1"/>
  <c r="T64" i="407" s="1"/>
  <c r="R68" i="407"/>
  <c r="R27" i="408"/>
  <c r="S27" i="408" s="1"/>
  <c r="T27" i="408" s="1"/>
  <c r="R31" i="408"/>
  <c r="S31" i="408" s="1"/>
  <c r="T31" i="408" s="1"/>
  <c r="R152" i="408"/>
  <c r="R156" i="408"/>
  <c r="S156" i="408" s="1"/>
  <c r="T156" i="408" s="1"/>
  <c r="R160" i="408"/>
  <c r="S160" i="408" s="1"/>
  <c r="T160" i="408" s="1"/>
  <c r="R165" i="408"/>
  <c r="R169" i="408"/>
  <c r="R173" i="408"/>
  <c r="R181" i="408"/>
  <c r="S181" i="408" s="1"/>
  <c r="T181" i="408" s="1"/>
  <c r="R204" i="408"/>
  <c r="S204" i="408" s="1"/>
  <c r="T204" i="408" s="1"/>
  <c r="R222" i="408"/>
  <c r="S222" i="408" s="1"/>
  <c r="T222" i="408" s="1"/>
  <c r="R259" i="408"/>
  <c r="S259" i="408" s="1"/>
  <c r="T259" i="408" s="1"/>
  <c r="R263" i="408"/>
  <c r="S263" i="408" s="1"/>
  <c r="T263" i="408" s="1"/>
  <c r="R267" i="408"/>
  <c r="S267" i="408" s="1"/>
  <c r="T267" i="408" s="1"/>
  <c r="R312" i="408"/>
  <c r="S312" i="408" s="1"/>
  <c r="T312" i="408" s="1"/>
  <c r="R340" i="408"/>
  <c r="R342" i="405"/>
  <c r="S342" i="405" s="1"/>
  <c r="T342" i="405" s="1"/>
  <c r="AD14" i="406"/>
  <c r="AT18" i="407"/>
  <c r="AU18" i="407" s="1"/>
  <c r="Y44" i="411"/>
  <c r="AA70" i="412"/>
  <c r="AE247" i="412"/>
  <c r="P11" i="443"/>
  <c r="N21" i="377"/>
  <c r="Q21" i="377" s="1"/>
  <c r="R21" i="377" s="1"/>
  <c r="U21" i="377" s="1"/>
  <c r="D105" i="394"/>
  <c r="K93" i="394" s="1"/>
  <c r="L14" i="352"/>
  <c r="H17" i="398"/>
  <c r="I17" i="398" s="1"/>
  <c r="L17" i="398" s="1"/>
  <c r="M17" i="398" s="1"/>
  <c r="N17" i="398" s="1"/>
  <c r="F35" i="437"/>
  <c r="F51" i="437"/>
  <c r="F46" i="437"/>
  <c r="F45" i="437"/>
  <c r="F61" i="437"/>
  <c r="F76" i="437"/>
  <c r="H46" i="445"/>
  <c r="N46" i="445" s="1"/>
  <c r="Q46" i="445" s="1"/>
  <c r="F80" i="445"/>
  <c r="S364" i="408"/>
  <c r="T364" i="408" s="1"/>
  <c r="M83" i="285"/>
  <c r="J101" i="437"/>
  <c r="N60" i="443"/>
  <c r="Q60" i="443" s="1"/>
  <c r="R60" i="443" s="1"/>
  <c r="T60" i="443" s="1"/>
  <c r="N64" i="443"/>
  <c r="Q64" i="443" s="1"/>
  <c r="R64" i="443" s="1"/>
  <c r="S64" i="443" s="1"/>
  <c r="N66" i="443"/>
  <c r="Q66" i="443" s="1"/>
  <c r="O10" i="379"/>
  <c r="AA31" i="411"/>
  <c r="F54" i="437"/>
  <c r="F73" i="437"/>
  <c r="F53" i="437"/>
  <c r="F44" i="437"/>
  <c r="F70" i="437"/>
  <c r="F94" i="437"/>
  <c r="F105" i="437"/>
  <c r="J99" i="443"/>
  <c r="P110" i="443"/>
  <c r="J108" i="443"/>
  <c r="H113" i="443"/>
  <c r="P117" i="443"/>
  <c r="H125" i="443"/>
  <c r="F57" i="445"/>
  <c r="F63" i="445"/>
  <c r="F47" i="445"/>
  <c r="F76" i="445"/>
  <c r="H125" i="445"/>
  <c r="N86" i="379"/>
  <c r="Q86" i="379" s="1"/>
  <c r="R86" i="379" s="1"/>
  <c r="U86" i="379" s="1"/>
  <c r="J101" i="379"/>
  <c r="J64" i="379"/>
  <c r="M17" i="379"/>
  <c r="N63" i="379"/>
  <c r="Q63" i="379" s="1"/>
  <c r="R63" i="379" s="1"/>
  <c r="S63" i="379" s="1"/>
  <c r="L90" i="379"/>
  <c r="M90" i="379" s="1"/>
  <c r="N90" i="379" s="1"/>
  <c r="Q90" i="379" s="1"/>
  <c r="H109" i="379"/>
  <c r="J10" i="379"/>
  <c r="L53" i="379"/>
  <c r="M53" i="379" s="1"/>
  <c r="N53" i="379" s="1"/>
  <c r="Q53" i="379" s="1"/>
  <c r="R53" i="379" s="1"/>
  <c r="U53" i="379" s="1"/>
  <c r="L108" i="379"/>
  <c r="M108" i="379" s="1"/>
  <c r="N108" i="379" s="1"/>
  <c r="Q108" i="379" s="1"/>
  <c r="R108" i="379" s="1"/>
  <c r="S108" i="379" s="1"/>
  <c r="H83" i="379"/>
  <c r="L99" i="379"/>
  <c r="M99" i="379" s="1"/>
  <c r="H26" i="379"/>
  <c r="N26" i="379" s="1"/>
  <c r="Q26" i="379" s="1"/>
  <c r="R26" i="379" s="1"/>
  <c r="U26" i="379" s="1"/>
  <c r="L50" i="379"/>
  <c r="M50" i="379" s="1"/>
  <c r="N50" i="379" s="1"/>
  <c r="Q50" i="379" s="1"/>
  <c r="R50" i="379" s="1"/>
  <c r="U50" i="379" s="1"/>
  <c r="H20" i="379"/>
  <c r="N20" i="379" s="1"/>
  <c r="Q20" i="379" s="1"/>
  <c r="H17" i="379"/>
  <c r="H28" i="379"/>
  <c r="N28" i="379" s="1"/>
  <c r="Q28" i="379" s="1"/>
  <c r="R28" i="379" s="1"/>
  <c r="U28" i="379" s="1"/>
  <c r="L42" i="379"/>
  <c r="M42" i="379" s="1"/>
  <c r="M45" i="379"/>
  <c r="N45" i="379" s="1"/>
  <c r="Q45" i="379" s="1"/>
  <c r="M103" i="379"/>
  <c r="M91" i="379"/>
  <c r="N60" i="379"/>
  <c r="Q60" i="379" s="1"/>
  <c r="M19" i="379"/>
  <c r="M59" i="379"/>
  <c r="P126" i="443"/>
  <c r="M122" i="443"/>
  <c r="N122" i="443" s="1"/>
  <c r="P122" i="443"/>
  <c r="H121" i="445"/>
  <c r="O119" i="445"/>
  <c r="P113" i="445"/>
  <c r="M117" i="445"/>
  <c r="H103" i="379"/>
  <c r="L25" i="379"/>
  <c r="M25" i="379" s="1"/>
  <c r="N25" i="379" s="1"/>
  <c r="Q25" i="379" s="1"/>
  <c r="R25" i="379" s="1"/>
  <c r="S25" i="379" s="1"/>
  <c r="L23" i="379"/>
  <c r="M23" i="379" s="1"/>
  <c r="N23" i="379" s="1"/>
  <c r="Q23" i="379" s="1"/>
  <c r="L32" i="379"/>
  <c r="M32" i="379" s="1"/>
  <c r="N32" i="379" s="1"/>
  <c r="Q32" i="379" s="1"/>
  <c r="H19" i="379"/>
  <c r="H59" i="379"/>
  <c r="H88" i="379"/>
  <c r="N88" i="379" s="1"/>
  <c r="Q88" i="379" s="1"/>
  <c r="L97" i="379"/>
  <c r="M97" i="379" s="1"/>
  <c r="N97" i="379" s="1"/>
  <c r="Q97" i="379" s="1"/>
  <c r="H91" i="379"/>
  <c r="L87" i="379"/>
  <c r="M87" i="379" s="1"/>
  <c r="N87" i="379" s="1"/>
  <c r="Q87" i="379" s="1"/>
  <c r="R87" i="379" s="1"/>
  <c r="U87" i="379" s="1"/>
  <c r="H46" i="379"/>
  <c r="N46" i="379" s="1"/>
  <c r="Q46" i="379" s="1"/>
  <c r="R46" i="379" s="1"/>
  <c r="T46" i="379" s="1"/>
  <c r="H38" i="379"/>
  <c r="N38" i="379" s="1"/>
  <c r="Q38" i="379" s="1"/>
  <c r="M109" i="379"/>
  <c r="N109" i="379" s="1"/>
  <c r="Q109" i="379" s="1"/>
  <c r="R109" i="379" s="1"/>
  <c r="U109" i="379" s="1"/>
  <c r="M83" i="379"/>
  <c r="M77" i="379"/>
  <c r="N77" i="379" s="1"/>
  <c r="Q77" i="379" s="1"/>
  <c r="R77" i="379" s="1"/>
  <c r="T77" i="379" s="1"/>
  <c r="L33" i="379"/>
  <c r="M33" i="379" s="1"/>
  <c r="N33" i="379" s="1"/>
  <c r="Q33" i="379" s="1"/>
  <c r="R33" i="379" s="1"/>
  <c r="T33" i="379" s="1"/>
  <c r="M107" i="379"/>
  <c r="M47" i="379"/>
  <c r="M21" i="379"/>
  <c r="T14" i="379"/>
  <c r="H107" i="379"/>
  <c r="L85" i="379"/>
  <c r="M85" i="379" s="1"/>
  <c r="T209" i="406"/>
  <c r="S195" i="405"/>
  <c r="AN24" i="373"/>
  <c r="AU13" i="373"/>
  <c r="S210" i="406"/>
  <c r="T210" i="406" s="1"/>
  <c r="Q130" i="380"/>
  <c r="W130" i="380" s="1"/>
  <c r="N96" i="377"/>
  <c r="Q96" i="377" s="1"/>
  <c r="R96" i="377" s="1"/>
  <c r="U96" i="377" s="1"/>
  <c r="AI95" i="266"/>
  <c r="BM31" i="356"/>
  <c r="BN31" i="356" s="1"/>
  <c r="P21" i="384"/>
  <c r="T21" i="384" s="1"/>
  <c r="V21" i="384" s="1"/>
  <c r="W21" i="384" s="1"/>
  <c r="X21" i="384" s="1"/>
  <c r="H48" i="400"/>
  <c r="D9" i="199"/>
  <c r="H14" i="152"/>
  <c r="Q128" i="380"/>
  <c r="W128" i="380" s="1"/>
  <c r="BC22" i="335"/>
  <c r="BC20" i="335"/>
  <c r="V12" i="325"/>
  <c r="U12" i="325" s="1"/>
  <c r="U21" i="325" s="1"/>
  <c r="S10" i="388"/>
  <c r="N69" i="379"/>
  <c r="Q69" i="379" s="1"/>
  <c r="F23" i="354"/>
  <c r="G36" i="409"/>
  <c r="K36" i="409" s="1"/>
  <c r="G42" i="409"/>
  <c r="K42" i="409" s="1"/>
  <c r="G47" i="409"/>
  <c r="K47" i="409" s="1"/>
  <c r="G50" i="409"/>
  <c r="K50" i="409" s="1"/>
  <c r="G3" i="431"/>
  <c r="F52" i="437"/>
  <c r="F68" i="437"/>
  <c r="F60" i="437"/>
  <c r="F95" i="437"/>
  <c r="F89" i="437"/>
  <c r="F92" i="437"/>
  <c r="F107" i="437"/>
  <c r="M118" i="437"/>
  <c r="N118" i="437" s="1"/>
  <c r="Q118" i="437" s="1"/>
  <c r="M119" i="437"/>
  <c r="N119" i="437" s="1"/>
  <c r="Q119" i="437" s="1"/>
  <c r="M120" i="437"/>
  <c r="N120" i="437" s="1"/>
  <c r="Q120" i="437" s="1"/>
  <c r="R120" i="437" s="1"/>
  <c r="U120" i="437" s="1"/>
  <c r="M121" i="437"/>
  <c r="N121" i="437" s="1"/>
  <c r="Q121" i="437" s="1"/>
  <c r="M122" i="437"/>
  <c r="N122" i="437" s="1"/>
  <c r="Q122" i="437" s="1"/>
  <c r="F50" i="445"/>
  <c r="F49" i="445"/>
  <c r="F65" i="445"/>
  <c r="F52" i="445"/>
  <c r="F17" i="445"/>
  <c r="F66" i="445"/>
  <c r="F81" i="445"/>
  <c r="F93" i="445"/>
  <c r="U114" i="379"/>
  <c r="V114" i="379" s="1"/>
  <c r="N83" i="443"/>
  <c r="Q83" i="443" s="1"/>
  <c r="R83" i="443" s="1"/>
  <c r="U83" i="443" s="1"/>
  <c r="S314" i="388"/>
  <c r="T314" i="388" s="1"/>
  <c r="S301" i="388"/>
  <c r="T301" i="388" s="1"/>
  <c r="S292" i="388"/>
  <c r="T292" i="388" s="1"/>
  <c r="S286" i="388"/>
  <c r="T286" i="388" s="1"/>
  <c r="S280" i="388"/>
  <c r="T280" i="388" s="1"/>
  <c r="R45" i="388"/>
  <c r="S73" i="388"/>
  <c r="T73" i="388" s="1"/>
  <c r="S139" i="406"/>
  <c r="T139" i="406" s="1"/>
  <c r="S90" i="408"/>
  <c r="T90" i="408" s="1"/>
  <c r="S56" i="392"/>
  <c r="S57" i="392" s="1"/>
  <c r="Q57" i="392"/>
  <c r="S300" i="388"/>
  <c r="T300" i="388" s="1"/>
  <c r="S291" i="388"/>
  <c r="T291" i="388" s="1"/>
  <c r="S285" i="388"/>
  <c r="T285" i="388" s="1"/>
  <c r="AE37" i="335"/>
  <c r="R53" i="335"/>
  <c r="N67" i="377"/>
  <c r="Q67" i="377" s="1"/>
  <c r="R67" i="377" s="1"/>
  <c r="T67" i="377" s="1"/>
  <c r="N23" i="377"/>
  <c r="Q23" i="377" s="1"/>
  <c r="R23" i="377" s="1"/>
  <c r="S23" i="377" s="1"/>
  <c r="D128" i="392"/>
  <c r="J128" i="392" s="1"/>
  <c r="D114" i="392"/>
  <c r="F144" i="392"/>
  <c r="D105" i="392" s="1"/>
  <c r="J105" i="392" s="1"/>
  <c r="F127" i="392"/>
  <c r="F90" i="392"/>
  <c r="L29" i="352"/>
  <c r="I21" i="247"/>
  <c r="N14" i="437"/>
  <c r="Q14" i="437" s="1"/>
  <c r="M130" i="437"/>
  <c r="N130" i="437" s="1"/>
  <c r="Q130" i="437" s="1"/>
  <c r="R130" i="437" s="1"/>
  <c r="U130" i="437" s="1"/>
  <c r="F60" i="445"/>
  <c r="F44" i="445"/>
  <c r="F25" i="445"/>
  <c r="F39" i="445"/>
  <c r="F55" i="445"/>
  <c r="F74" i="445"/>
  <c r="F88" i="445"/>
  <c r="F64" i="445"/>
  <c r="F92" i="445"/>
  <c r="F120" i="445"/>
  <c r="J48" i="226"/>
  <c r="J51" i="226" s="1"/>
  <c r="T271" i="408"/>
  <c r="H147" i="393"/>
  <c r="N82" i="379"/>
  <c r="Q82" i="379" s="1"/>
  <c r="R82" i="379" s="1"/>
  <c r="U82" i="379" s="1"/>
  <c r="N42" i="379"/>
  <c r="Q42" i="379" s="1"/>
  <c r="R42" i="379" s="1"/>
  <c r="S42" i="379" s="1"/>
  <c r="BM29" i="356"/>
  <c r="BN29" i="356" s="1"/>
  <c r="BM30" i="356"/>
  <c r="BN30" i="356" s="1"/>
  <c r="C46" i="226"/>
  <c r="P15" i="384"/>
  <c r="G49" i="409"/>
  <c r="K49" i="409" s="1"/>
  <c r="F78" i="437"/>
  <c r="F71" i="437"/>
  <c r="F87" i="437"/>
  <c r="F86" i="437"/>
  <c r="F104" i="437"/>
  <c r="F97" i="437"/>
  <c r="F84" i="437"/>
  <c r="F103" i="437"/>
  <c r="F123" i="437"/>
  <c r="F102" i="437"/>
  <c r="J110" i="437"/>
  <c r="M128" i="437"/>
  <c r="G22" i="396"/>
  <c r="H22" i="396" s="1"/>
  <c r="K22" i="396" s="1"/>
  <c r="F19" i="396"/>
  <c r="AV78" i="266"/>
  <c r="AT78" i="266"/>
  <c r="U66" i="377"/>
  <c r="S66" i="377"/>
  <c r="AV75" i="266"/>
  <c r="AT75" i="266"/>
  <c r="N59" i="443"/>
  <c r="Q59" i="443" s="1"/>
  <c r="R59" i="443" s="1"/>
  <c r="T59" i="443" s="1"/>
  <c r="N21" i="443"/>
  <c r="Q21" i="443" s="1"/>
  <c r="R21" i="443" s="1"/>
  <c r="S21" i="443" s="1"/>
  <c r="N18" i="443"/>
  <c r="Q18" i="443" s="1"/>
  <c r="H24" i="443"/>
  <c r="N24" i="443" s="1"/>
  <c r="Q24" i="443" s="1"/>
  <c r="R24" i="443" s="1"/>
  <c r="U24" i="443" s="1"/>
  <c r="H43" i="443"/>
  <c r="N43" i="443" s="1"/>
  <c r="Q43" i="443" s="1"/>
  <c r="R43" i="443" s="1"/>
  <c r="T43" i="443" s="1"/>
  <c r="H94" i="443"/>
  <c r="N94" i="443" s="1"/>
  <c r="Q94" i="443" s="1"/>
  <c r="R94" i="443" s="1"/>
  <c r="T94" i="443" s="1"/>
  <c r="H71" i="443"/>
  <c r="L17" i="443"/>
  <c r="M17" i="443" s="1"/>
  <c r="N17" i="443" s="1"/>
  <c r="Q17" i="443" s="1"/>
  <c r="C34" i="226"/>
  <c r="S114" i="379"/>
  <c r="U130" i="377"/>
  <c r="S130" i="377"/>
  <c r="T12" i="381"/>
  <c r="H76" i="379"/>
  <c r="T66" i="377"/>
  <c r="T94" i="377"/>
  <c r="T16" i="379"/>
  <c r="V16" i="379" s="1"/>
  <c r="S94" i="377"/>
  <c r="F64" i="379"/>
  <c r="N81" i="377"/>
  <c r="Q81" i="377" s="1"/>
  <c r="N55" i="377"/>
  <c r="Q55" i="377" s="1"/>
  <c r="R55" i="377" s="1"/>
  <c r="N53" i="377"/>
  <c r="Q53" i="377" s="1"/>
  <c r="N75" i="377"/>
  <c r="Q75" i="377" s="1"/>
  <c r="Z100" i="266"/>
  <c r="S301" i="346"/>
  <c r="T301" i="346" s="1"/>
  <c r="M49" i="285"/>
  <c r="M50" i="285" s="1"/>
  <c r="L50" i="285"/>
  <c r="S261" i="408"/>
  <c r="T261" i="408" s="1"/>
  <c r="N76" i="443"/>
  <c r="Q76" i="443" s="1"/>
  <c r="R76" i="443" s="1"/>
  <c r="T76" i="443" s="1"/>
  <c r="N40" i="443"/>
  <c r="Q40" i="443" s="1"/>
  <c r="AK93" i="266"/>
  <c r="Y100" i="266"/>
  <c r="S155" i="346"/>
  <c r="T155" i="346" s="1"/>
  <c r="H46" i="399"/>
  <c r="G48" i="399"/>
  <c r="H8" i="255"/>
  <c r="M16" i="380"/>
  <c r="N16" i="380" s="1"/>
  <c r="Q16" i="380" s="1"/>
  <c r="R16" i="380" s="1"/>
  <c r="S16" i="380" s="1"/>
  <c r="M128" i="377"/>
  <c r="N128" i="377" s="1"/>
  <c r="Q128" i="377" s="1"/>
  <c r="R128" i="377" s="1"/>
  <c r="U128" i="377" s="1"/>
  <c r="M120" i="377"/>
  <c r="N120" i="377" s="1"/>
  <c r="Q120" i="377" s="1"/>
  <c r="R120" i="377" s="1"/>
  <c r="S120" i="377" s="1"/>
  <c r="L35" i="352"/>
  <c r="L32" i="352"/>
  <c r="L31" i="352"/>
  <c r="L24" i="352"/>
  <c r="H21" i="152"/>
  <c r="J32" i="254"/>
  <c r="G34" i="144"/>
  <c r="I17" i="247"/>
  <c r="Y15" i="411"/>
  <c r="K13" i="284"/>
  <c r="D125" i="392"/>
  <c r="D117" i="392"/>
  <c r="B94" i="399"/>
  <c r="H70" i="399" s="1"/>
  <c r="I70" i="399" s="1"/>
  <c r="L70" i="399" s="1"/>
  <c r="M70" i="399" s="1"/>
  <c r="I13" i="247"/>
  <c r="L25" i="437"/>
  <c r="M25" i="437" s="1"/>
  <c r="N25" i="437" s="1"/>
  <c r="Q25" i="437" s="1"/>
  <c r="F36" i="437"/>
  <c r="F28" i="437"/>
  <c r="F20" i="437"/>
  <c r="F23" i="437"/>
  <c r="F31" i="437"/>
  <c r="F39" i="437"/>
  <c r="F47" i="437"/>
  <c r="F55" i="437"/>
  <c r="F42" i="437"/>
  <c r="F50" i="437"/>
  <c r="F57" i="437"/>
  <c r="F65" i="437"/>
  <c r="F77" i="437"/>
  <c r="F49" i="437"/>
  <c r="F59" i="437"/>
  <c r="F40" i="437"/>
  <c r="F48" i="437"/>
  <c r="F56" i="437"/>
  <c r="F62" i="437"/>
  <c r="F69" i="437"/>
  <c r="F74" i="437"/>
  <c r="F81" i="437"/>
  <c r="F67" i="437"/>
  <c r="F75" i="437"/>
  <c r="F83" i="437"/>
  <c r="F91" i="437"/>
  <c r="F82" i="437"/>
  <c r="F90" i="437"/>
  <c r="F96" i="437"/>
  <c r="F85" i="437"/>
  <c r="F93" i="437"/>
  <c r="F72" i="437"/>
  <c r="F80" i="437"/>
  <c r="F88" i="437"/>
  <c r="F100" i="437"/>
  <c r="F98" i="437"/>
  <c r="F109" i="437"/>
  <c r="F108" i="437"/>
  <c r="F99" i="437"/>
  <c r="F106" i="437"/>
  <c r="H116" i="437"/>
  <c r="H112" i="437"/>
  <c r="L112" i="437"/>
  <c r="H114" i="437"/>
  <c r="N114" i="437" s="1"/>
  <c r="Q114" i="437" s="1"/>
  <c r="L116" i="437"/>
  <c r="M116" i="437" s="1"/>
  <c r="C4" i="438"/>
  <c r="F3" i="438" s="1"/>
  <c r="E10" i="417"/>
  <c r="G10" i="417" s="1"/>
  <c r="M12" i="443"/>
  <c r="N12" i="443" s="1"/>
  <c r="O11" i="443"/>
  <c r="J62" i="443"/>
  <c r="H114" i="443"/>
  <c r="H116" i="443"/>
  <c r="O118" i="445"/>
  <c r="O116" i="445"/>
  <c r="P116" i="445"/>
  <c r="F58" i="445"/>
  <c r="F42" i="445"/>
  <c r="F56" i="445"/>
  <c r="F48" i="445"/>
  <c r="F73" i="445"/>
  <c r="F54" i="445"/>
  <c r="F61" i="445"/>
  <c r="F53" i="445"/>
  <c r="F45" i="445"/>
  <c r="F37" i="445"/>
  <c r="F29" i="445"/>
  <c r="F21" i="445"/>
  <c r="F35" i="445"/>
  <c r="F43" i="445"/>
  <c r="F51" i="445"/>
  <c r="F59" i="445"/>
  <c r="F70" i="445"/>
  <c r="F79" i="445"/>
  <c r="F87" i="445"/>
  <c r="F105" i="445"/>
  <c r="F89" i="445"/>
  <c r="F68" i="445"/>
  <c r="F84" i="445"/>
  <c r="F71" i="445"/>
  <c r="F94" i="445"/>
  <c r="J11" i="445"/>
  <c r="M13" i="445"/>
  <c r="N13" i="445" s="1"/>
  <c r="R60" i="379"/>
  <c r="U60" i="379" s="1"/>
  <c r="J88" i="392"/>
  <c r="J87" i="392"/>
  <c r="R13" i="380"/>
  <c r="S13" i="380" s="1"/>
  <c r="U123" i="377"/>
  <c r="S16" i="379"/>
  <c r="N25" i="377"/>
  <c r="Q25" i="377" s="1"/>
  <c r="V19" i="325"/>
  <c r="U19" i="325" s="1"/>
  <c r="N90" i="377"/>
  <c r="Q90" i="377" s="1"/>
  <c r="R90" i="377" s="1"/>
  <c r="S90" i="377" s="1"/>
  <c r="P31" i="325"/>
  <c r="N34" i="377"/>
  <c r="Q34" i="377" s="1"/>
  <c r="AO93" i="266"/>
  <c r="L104" i="379"/>
  <c r="H104" i="379"/>
  <c r="H75" i="379"/>
  <c r="L75" i="379"/>
  <c r="M75" i="379" s="1"/>
  <c r="H43" i="379"/>
  <c r="L43" i="379"/>
  <c r="M43" i="379" s="1"/>
  <c r="N25" i="443"/>
  <c r="Q25" i="443" s="1"/>
  <c r="R25" i="443" s="1"/>
  <c r="N45" i="443"/>
  <c r="Q45" i="443" s="1"/>
  <c r="R45" i="443" s="1"/>
  <c r="U45" i="443" s="1"/>
  <c r="N73" i="443"/>
  <c r="Q73" i="443" s="1"/>
  <c r="R73" i="443" s="1"/>
  <c r="T73" i="443" s="1"/>
  <c r="L66" i="379"/>
  <c r="M66" i="379" s="1"/>
  <c r="H66" i="379"/>
  <c r="H62" i="379"/>
  <c r="L62" i="379"/>
  <c r="M62" i="379" s="1"/>
  <c r="AC23" i="266"/>
  <c r="BG23" i="266"/>
  <c r="BI23" i="266" s="1"/>
  <c r="AK76" i="266"/>
  <c r="AO76" i="266"/>
  <c r="AV20" i="266"/>
  <c r="AT20" i="266"/>
  <c r="AT94" i="266"/>
  <c r="AV94" i="266"/>
  <c r="V16" i="325"/>
  <c r="U16" i="325" s="1"/>
  <c r="BI19" i="266"/>
  <c r="BH14" i="266"/>
  <c r="AO78" i="266"/>
  <c r="H5" i="143"/>
  <c r="L78" i="377"/>
  <c r="BH94" i="266"/>
  <c r="K92" i="394"/>
  <c r="L38" i="377"/>
  <c r="M38" i="377" s="1"/>
  <c r="N38" i="377" s="1"/>
  <c r="Q38" i="377" s="1"/>
  <c r="BM19" i="356"/>
  <c r="BN19" i="356" s="1"/>
  <c r="V20" i="325"/>
  <c r="U20" i="325" s="1"/>
  <c r="P35" i="325"/>
  <c r="M92" i="393"/>
  <c r="L18" i="379"/>
  <c r="M18" i="379" s="1"/>
  <c r="N18" i="379" s="1"/>
  <c r="Q18" i="379" s="1"/>
  <c r="R18" i="379" s="1"/>
  <c r="T18" i="379" s="1"/>
  <c r="N20" i="402"/>
  <c r="N21" i="402" s="1"/>
  <c r="H41" i="379"/>
  <c r="H58" i="379"/>
  <c r="N58" i="379" s="1"/>
  <c r="Q58" i="379" s="1"/>
  <c r="BC31" i="335"/>
  <c r="K98" i="393"/>
  <c r="S323" i="405"/>
  <c r="T323" i="405" s="1"/>
  <c r="W32" i="266"/>
  <c r="AB30" i="266"/>
  <c r="T42" i="266"/>
  <c r="T43" i="266" s="1"/>
  <c r="T44" i="266" s="1"/>
  <c r="M118" i="380"/>
  <c r="N118" i="380" s="1"/>
  <c r="Q118" i="380" s="1"/>
  <c r="W118" i="380" s="1"/>
  <c r="F106" i="380"/>
  <c r="F62" i="380"/>
  <c r="M118" i="379"/>
  <c r="M117" i="379"/>
  <c r="N117" i="379" s="1"/>
  <c r="Q117" i="379" s="1"/>
  <c r="W117" i="379" s="1"/>
  <c r="M127" i="377"/>
  <c r="N127" i="377" s="1"/>
  <c r="Q127" i="377" s="1"/>
  <c r="M126" i="377"/>
  <c r="N126" i="377" s="1"/>
  <c r="Q126" i="377" s="1"/>
  <c r="M125" i="377"/>
  <c r="N125" i="377" s="1"/>
  <c r="Q125" i="377" s="1"/>
  <c r="J21" i="199"/>
  <c r="AR38" i="335"/>
  <c r="BC38" i="335" s="1"/>
  <c r="H10" i="392"/>
  <c r="H90" i="394"/>
  <c r="F167" i="393"/>
  <c r="F155" i="393"/>
  <c r="G32" i="144"/>
  <c r="I22" i="247"/>
  <c r="I20" i="247"/>
  <c r="I18" i="247"/>
  <c r="I16" i="139"/>
  <c r="J16" i="139" s="1"/>
  <c r="K16" i="139" s="1"/>
  <c r="I13" i="139"/>
  <c r="J13" i="139" s="1"/>
  <c r="K13" i="139" s="1"/>
  <c r="G83" i="372"/>
  <c r="G51" i="409"/>
  <c r="K51" i="409" s="1"/>
  <c r="R37" i="413"/>
  <c r="R10" i="425"/>
  <c r="T10" i="425" s="1"/>
  <c r="M129" i="437"/>
  <c r="N129" i="437" s="1"/>
  <c r="Q129" i="437" s="1"/>
  <c r="M121" i="443"/>
  <c r="F72" i="445"/>
  <c r="F83" i="445"/>
  <c r="F91" i="445"/>
  <c r="F67" i="445"/>
  <c r="F77" i="445"/>
  <c r="F78" i="445"/>
  <c r="F102" i="445"/>
  <c r="N69" i="443"/>
  <c r="Q69" i="443" s="1"/>
  <c r="F195" i="393"/>
  <c r="G196" i="393"/>
  <c r="AT84" i="266"/>
  <c r="AV84" i="266"/>
  <c r="R12" i="377"/>
  <c r="U12" i="377" s="1"/>
  <c r="N78" i="443"/>
  <c r="Q78" i="443" s="1"/>
  <c r="R78" i="443" s="1"/>
  <c r="T78" i="443" s="1"/>
  <c r="N56" i="443"/>
  <c r="Q56" i="443" s="1"/>
  <c r="R56" i="443" s="1"/>
  <c r="S56" i="443" s="1"/>
  <c r="H48" i="443"/>
  <c r="H27" i="443"/>
  <c r="N27" i="443" s="1"/>
  <c r="Q27" i="443" s="1"/>
  <c r="N87" i="443"/>
  <c r="Q87" i="443" s="1"/>
  <c r="R87" i="443" s="1"/>
  <c r="U87" i="443" s="1"/>
  <c r="H39" i="443"/>
  <c r="N39" i="443" s="1"/>
  <c r="Q39" i="443" s="1"/>
  <c r="R39" i="443" s="1"/>
  <c r="S39" i="443" s="1"/>
  <c r="N34" i="443"/>
  <c r="Q34" i="443" s="1"/>
  <c r="R34" i="443" s="1"/>
  <c r="U34" i="443" s="1"/>
  <c r="N43" i="437"/>
  <c r="Q43" i="437" s="1"/>
  <c r="R43" i="437" s="1"/>
  <c r="S43" i="437" s="1"/>
  <c r="V13" i="325"/>
  <c r="U13" i="325" s="1"/>
  <c r="M15" i="285"/>
  <c r="N15" i="285" s="1"/>
  <c r="AT14" i="266"/>
  <c r="AV14" i="266"/>
  <c r="V18" i="410"/>
  <c r="X18" i="410"/>
  <c r="T18" i="410"/>
  <c r="R18" i="410"/>
  <c r="P18" i="410"/>
  <c r="BI33" i="266"/>
  <c r="N44" i="379"/>
  <c r="Q44" i="379" s="1"/>
  <c r="N79" i="379"/>
  <c r="Q79" i="379" s="1"/>
  <c r="R79" i="379" s="1"/>
  <c r="T79" i="379" s="1"/>
  <c r="P28" i="325"/>
  <c r="BC15" i="335"/>
  <c r="N95" i="379"/>
  <c r="Q95" i="379" s="1"/>
  <c r="R95" i="379" s="1"/>
  <c r="S95" i="379" s="1"/>
  <c r="BI67" i="266"/>
  <c r="S240" i="346"/>
  <c r="T240" i="346" s="1"/>
  <c r="S229" i="346"/>
  <c r="T229" i="346" s="1"/>
  <c r="N19" i="377"/>
  <c r="Q19" i="377" s="1"/>
  <c r="N73" i="377"/>
  <c r="Q73" i="377" s="1"/>
  <c r="N41" i="377"/>
  <c r="Q41" i="377" s="1"/>
  <c r="R41" i="377" s="1"/>
  <c r="U41" i="377" s="1"/>
  <c r="N91" i="377"/>
  <c r="Q91" i="377" s="1"/>
  <c r="N37" i="377"/>
  <c r="Q37" i="377" s="1"/>
  <c r="K10" i="394"/>
  <c r="L10" i="394" s="1"/>
  <c r="M10" i="394" s="1"/>
  <c r="N100" i="379"/>
  <c r="Q100" i="379" s="1"/>
  <c r="F101" i="379"/>
  <c r="S157" i="346"/>
  <c r="T157" i="346" s="1"/>
  <c r="S327" i="405"/>
  <c r="T327" i="405" s="1"/>
  <c r="AB29" i="266"/>
  <c r="AB17" i="266"/>
  <c r="M116" i="380"/>
  <c r="N116" i="380" s="1"/>
  <c r="K19" i="392"/>
  <c r="D121" i="394"/>
  <c r="K121" i="394" s="1"/>
  <c r="D143" i="394"/>
  <c r="D96" i="394" s="1"/>
  <c r="H86" i="394"/>
  <c r="S69" i="406"/>
  <c r="T69" i="406" s="1"/>
  <c r="J86" i="393"/>
  <c r="C45" i="226"/>
  <c r="H10" i="381"/>
  <c r="M125" i="380"/>
  <c r="N125" i="380" s="1"/>
  <c r="Q125" i="380" s="1"/>
  <c r="W125" i="380" s="1"/>
  <c r="M15" i="380"/>
  <c r="N15" i="380" s="1"/>
  <c r="Q15" i="380" s="1"/>
  <c r="R15" i="380" s="1"/>
  <c r="T15" i="380" s="1"/>
  <c r="M122" i="379"/>
  <c r="M121" i="379"/>
  <c r="N121" i="379" s="1"/>
  <c r="Q121" i="379" s="1"/>
  <c r="W121" i="379" s="1"/>
  <c r="M116" i="377"/>
  <c r="P32" i="384"/>
  <c r="T32" i="384" s="1"/>
  <c r="V32" i="384" s="1"/>
  <c r="W32" i="384" s="1"/>
  <c r="X32" i="384" s="1"/>
  <c r="O20" i="403"/>
  <c r="J155" i="393"/>
  <c r="F122" i="393"/>
  <c r="F98" i="393"/>
  <c r="G15" i="393"/>
  <c r="G10" i="393" s="1"/>
  <c r="I92" i="404"/>
  <c r="J92" i="404" s="1"/>
  <c r="I60" i="404"/>
  <c r="J60" i="404" s="1"/>
  <c r="H72" i="404" s="1"/>
  <c r="I72" i="404" s="1"/>
  <c r="L72" i="404" s="1"/>
  <c r="M72" i="404" s="1"/>
  <c r="H13" i="152"/>
  <c r="G12" i="144"/>
  <c r="H12" i="144" s="1"/>
  <c r="AH23" i="373"/>
  <c r="AU20" i="373"/>
  <c r="AZ20" i="373" s="1"/>
  <c r="BA20" i="373" s="1"/>
  <c r="I22" i="139"/>
  <c r="J22" i="139" s="1"/>
  <c r="K22" i="139" s="1"/>
  <c r="I21" i="139"/>
  <c r="J21" i="139" s="1"/>
  <c r="K21" i="139" s="1"/>
  <c r="I20" i="139"/>
  <c r="J20" i="139" s="1"/>
  <c r="K20" i="139" s="1"/>
  <c r="I17" i="139"/>
  <c r="J17" i="139" s="1"/>
  <c r="K17" i="139" s="1"/>
  <c r="I9" i="383"/>
  <c r="I28" i="383" s="1"/>
  <c r="I92" i="285"/>
  <c r="J92" i="285" s="1"/>
  <c r="J24" i="199"/>
  <c r="J15" i="199"/>
  <c r="J11" i="199" s="1"/>
  <c r="J35" i="254"/>
  <c r="AR37" i="335"/>
  <c r="AK21" i="356"/>
  <c r="AL21" i="356" s="1"/>
  <c r="M9" i="191"/>
  <c r="N9" i="191" s="1"/>
  <c r="AU21" i="373"/>
  <c r="AZ21" i="373" s="1"/>
  <c r="BA21" i="373" s="1"/>
  <c r="AH13" i="373"/>
  <c r="G14" i="409"/>
  <c r="K14" i="409" s="1"/>
  <c r="G16" i="409"/>
  <c r="K16" i="409" s="1"/>
  <c r="G17" i="409"/>
  <c r="K17" i="409" s="1"/>
  <c r="G18" i="409"/>
  <c r="K18" i="409" s="1"/>
  <c r="G37" i="409"/>
  <c r="K37" i="409" s="1"/>
  <c r="G38" i="409"/>
  <c r="K38" i="409" s="1"/>
  <c r="X201" i="412"/>
  <c r="Y201" i="412" s="1"/>
  <c r="AA201" i="412" s="1"/>
  <c r="R15" i="425"/>
  <c r="T15" i="425" s="1"/>
  <c r="O10" i="381"/>
  <c r="O9" i="381" s="1"/>
  <c r="F32" i="437"/>
  <c r="H113" i="377"/>
  <c r="AE285" i="412"/>
  <c r="P10" i="381"/>
  <c r="P9" i="381" s="1"/>
  <c r="M124" i="437"/>
  <c r="N124" i="437" s="1"/>
  <c r="Q124" i="437" s="1"/>
  <c r="R124" i="437" s="1"/>
  <c r="T124" i="437" s="1"/>
  <c r="M126" i="437"/>
  <c r="F75" i="445"/>
  <c r="F85" i="445"/>
  <c r="F96" i="445"/>
  <c r="F86" i="445"/>
  <c r="F103" i="445"/>
  <c r="F100" i="445"/>
  <c r="H110" i="445"/>
  <c r="H115" i="445"/>
  <c r="O117" i="445"/>
  <c r="N103" i="443"/>
  <c r="Q103" i="443" s="1"/>
  <c r="R103" i="443" s="1"/>
  <c r="T103" i="443" s="1"/>
  <c r="N69" i="445"/>
  <c r="Q69" i="445" s="1"/>
  <c r="R69" i="445" s="1"/>
  <c r="T69" i="445" s="1"/>
  <c r="T71" i="379"/>
  <c r="S71" i="379"/>
  <c r="R54" i="379"/>
  <c r="S54" i="379" s="1"/>
  <c r="R97" i="380"/>
  <c r="S97" i="380" s="1"/>
  <c r="R129" i="379"/>
  <c r="T129" i="379" s="1"/>
  <c r="R125" i="377"/>
  <c r="U125" i="377" s="1"/>
  <c r="M76" i="379"/>
  <c r="R56" i="377"/>
  <c r="S56" i="377" s="1"/>
  <c r="K87" i="394"/>
  <c r="G16" i="401"/>
  <c r="F15" i="401"/>
  <c r="K88" i="392"/>
  <c r="M88" i="392" s="1"/>
  <c r="J97" i="392"/>
  <c r="R121" i="380"/>
  <c r="U121" i="380" s="1"/>
  <c r="G16" i="396"/>
  <c r="F15" i="396"/>
  <c r="J18" i="144"/>
  <c r="I18" i="144"/>
  <c r="K11" i="139"/>
  <c r="L18" i="285"/>
  <c r="L14" i="285"/>
  <c r="R121" i="377"/>
  <c r="U121" i="377" s="1"/>
  <c r="AK33" i="266"/>
  <c r="AI33" i="266"/>
  <c r="AO33" i="266"/>
  <c r="L13" i="399"/>
  <c r="M11" i="399"/>
  <c r="N11" i="399" s="1"/>
  <c r="N13" i="399" s="1"/>
  <c r="N22" i="399" s="1"/>
  <c r="M10" i="404"/>
  <c r="N10" i="404" s="1"/>
  <c r="M73" i="285"/>
  <c r="N73" i="285" s="1"/>
  <c r="L18" i="404"/>
  <c r="M16" i="404"/>
  <c r="N16" i="404" s="1"/>
  <c r="L14" i="404"/>
  <c r="J130" i="392"/>
  <c r="N92" i="443"/>
  <c r="Q92" i="443" s="1"/>
  <c r="R92" i="443" s="1"/>
  <c r="U92" i="443" s="1"/>
  <c r="N26" i="443"/>
  <c r="Q26" i="443" s="1"/>
  <c r="BB96" i="266"/>
  <c r="R25" i="377"/>
  <c r="U25" i="377" s="1"/>
  <c r="J95" i="392"/>
  <c r="K86" i="392"/>
  <c r="M86" i="392" s="1"/>
  <c r="M77" i="285"/>
  <c r="N77" i="285" s="1"/>
  <c r="AV80" i="266"/>
  <c r="AT80" i="266"/>
  <c r="R124" i="377"/>
  <c r="T124" i="377" s="1"/>
  <c r="L75" i="285"/>
  <c r="M72" i="285"/>
  <c r="J129" i="392"/>
  <c r="R125" i="379"/>
  <c r="U125" i="379" s="1"/>
  <c r="AV22" i="266"/>
  <c r="AT22" i="266"/>
  <c r="AE22" i="266"/>
  <c r="W37" i="384"/>
  <c r="X37" i="384" s="1"/>
  <c r="T21" i="406"/>
  <c r="J108" i="392"/>
  <c r="J107" i="392" s="1"/>
  <c r="N37" i="443"/>
  <c r="Q37" i="443" s="1"/>
  <c r="R37" i="443" s="1"/>
  <c r="T37" i="443" s="1"/>
  <c r="N77" i="443"/>
  <c r="Q77" i="443" s="1"/>
  <c r="R77" i="443" s="1"/>
  <c r="U77" i="443" s="1"/>
  <c r="N91" i="443"/>
  <c r="Q91" i="443" s="1"/>
  <c r="R91" i="443" s="1"/>
  <c r="S91" i="443" s="1"/>
  <c r="N105" i="443"/>
  <c r="Q105" i="443" s="1"/>
  <c r="N80" i="443"/>
  <c r="Q80" i="443" s="1"/>
  <c r="R80" i="443" s="1"/>
  <c r="U80" i="443" s="1"/>
  <c r="U71" i="379"/>
  <c r="U12" i="380"/>
  <c r="V12" i="380" s="1"/>
  <c r="U24" i="377"/>
  <c r="U70" i="377"/>
  <c r="L17" i="381"/>
  <c r="L9" i="381" s="1"/>
  <c r="U14" i="379"/>
  <c r="N92" i="379"/>
  <c r="Q92" i="379" s="1"/>
  <c r="R92" i="379" s="1"/>
  <c r="U92" i="379" s="1"/>
  <c r="N37" i="379"/>
  <c r="Q37" i="379" s="1"/>
  <c r="N61" i="379"/>
  <c r="Q61" i="379" s="1"/>
  <c r="R61" i="379" s="1"/>
  <c r="T61" i="379" s="1"/>
  <c r="L21" i="325"/>
  <c r="F134" i="394"/>
  <c r="M91" i="393"/>
  <c r="AY89" i="266"/>
  <c r="BB89" i="266" s="1"/>
  <c r="AY92" i="266"/>
  <c r="BB92" i="266" s="1"/>
  <c r="AY70" i="266"/>
  <c r="N62" i="377"/>
  <c r="Q62" i="377" s="1"/>
  <c r="N61" i="377"/>
  <c r="Q61" i="377" s="1"/>
  <c r="N35" i="377"/>
  <c r="Q35" i="377" s="1"/>
  <c r="R35" i="377" s="1"/>
  <c r="S35" i="377" s="1"/>
  <c r="N47" i="377"/>
  <c r="Q47" i="377" s="1"/>
  <c r="N49" i="377"/>
  <c r="Q49" i="377" s="1"/>
  <c r="R49" i="377" s="1"/>
  <c r="U49" i="377" s="1"/>
  <c r="N93" i="377"/>
  <c r="Q93" i="377" s="1"/>
  <c r="R93" i="377" s="1"/>
  <c r="S93" i="377" s="1"/>
  <c r="N95" i="377"/>
  <c r="Q95" i="377" s="1"/>
  <c r="N83" i="377"/>
  <c r="Q83" i="377" s="1"/>
  <c r="N85" i="377"/>
  <c r="Q85" i="377" s="1"/>
  <c r="N45" i="377"/>
  <c r="Q45" i="377" s="1"/>
  <c r="R45" i="377" s="1"/>
  <c r="T45" i="377" s="1"/>
  <c r="N31" i="377"/>
  <c r="Q31" i="377" s="1"/>
  <c r="N59" i="377"/>
  <c r="Q59" i="377" s="1"/>
  <c r="R59" i="377" s="1"/>
  <c r="T59" i="377" s="1"/>
  <c r="N84" i="377"/>
  <c r="Q84" i="377" s="1"/>
  <c r="K88" i="394"/>
  <c r="N105" i="377"/>
  <c r="Q105" i="377" s="1"/>
  <c r="N46" i="377"/>
  <c r="Q46" i="377" s="1"/>
  <c r="R46" i="377" s="1"/>
  <c r="BI78" i="266"/>
  <c r="AA234" i="412"/>
  <c r="N52" i="377"/>
  <c r="Q52" i="377" s="1"/>
  <c r="T311" i="408"/>
  <c r="T135" i="408"/>
  <c r="K120" i="394"/>
  <c r="N118" i="379"/>
  <c r="Q118" i="379" s="1"/>
  <c r="W118" i="379" s="1"/>
  <c r="S201" i="346"/>
  <c r="T201" i="346" s="1"/>
  <c r="S24" i="346"/>
  <c r="T24" i="346" s="1"/>
  <c r="J81" i="396"/>
  <c r="M11" i="402"/>
  <c r="N11" i="402" s="1"/>
  <c r="I67" i="397"/>
  <c r="I68" i="397"/>
  <c r="I66" i="397"/>
  <c r="S363" i="388"/>
  <c r="T363" i="388" s="1"/>
  <c r="S355" i="388"/>
  <c r="T355" i="388" s="1"/>
  <c r="S343" i="388"/>
  <c r="T343" i="388" s="1"/>
  <c r="S334" i="388"/>
  <c r="T334" i="388" s="1"/>
  <c r="S331" i="388"/>
  <c r="T331" i="388" s="1"/>
  <c r="S310" i="388"/>
  <c r="T310" i="388" s="1"/>
  <c r="S305" i="388"/>
  <c r="T305" i="388" s="1"/>
  <c r="S296" i="388"/>
  <c r="T296" i="388" s="1"/>
  <c r="S71" i="388"/>
  <c r="T71" i="388" s="1"/>
  <c r="S63" i="388"/>
  <c r="T55" i="388"/>
  <c r="T47" i="388"/>
  <c r="T17" i="388"/>
  <c r="K33" i="144"/>
  <c r="I33" i="144"/>
  <c r="J22" i="144"/>
  <c r="I22" i="144"/>
  <c r="S59" i="408"/>
  <c r="T59" i="408" s="1"/>
  <c r="S67" i="408"/>
  <c r="T67" i="408" s="1"/>
  <c r="S306" i="408"/>
  <c r="T306" i="408" s="1"/>
  <c r="S360" i="408"/>
  <c r="T360" i="408" s="1"/>
  <c r="N70" i="443"/>
  <c r="Q70" i="443" s="1"/>
  <c r="R70" i="443" s="1"/>
  <c r="T70" i="443" s="1"/>
  <c r="N32" i="443"/>
  <c r="Q32" i="443" s="1"/>
  <c r="R32" i="443" s="1"/>
  <c r="S32" i="443" s="1"/>
  <c r="N48" i="443"/>
  <c r="Q48" i="443" s="1"/>
  <c r="F62" i="443"/>
  <c r="N33" i="443"/>
  <c r="Q33" i="443" s="1"/>
  <c r="R33" i="443" s="1"/>
  <c r="T33" i="443" s="1"/>
  <c r="BU19" i="458"/>
  <c r="D19" i="458" s="1"/>
  <c r="BL19" i="458" s="1"/>
  <c r="N36" i="379"/>
  <c r="Q36" i="379" s="1"/>
  <c r="R36" i="379" s="1"/>
  <c r="U36" i="379" s="1"/>
  <c r="M96" i="393"/>
  <c r="N65" i="379"/>
  <c r="Q65" i="379" s="1"/>
  <c r="N99" i="379"/>
  <c r="Q99" i="379" s="1"/>
  <c r="BU20" i="465"/>
  <c r="BU20" i="458"/>
  <c r="N71" i="377"/>
  <c r="Q71" i="377" s="1"/>
  <c r="R71" i="377" s="1"/>
  <c r="U71" i="377" s="1"/>
  <c r="N39" i="377"/>
  <c r="Q39" i="377" s="1"/>
  <c r="N68" i="377"/>
  <c r="Q68" i="377" s="1"/>
  <c r="R68" i="377" s="1"/>
  <c r="S68" i="377" s="1"/>
  <c r="N94" i="379"/>
  <c r="Q94" i="379" s="1"/>
  <c r="N27" i="379"/>
  <c r="Q27" i="379" s="1"/>
  <c r="M95" i="393"/>
  <c r="L135" i="393"/>
  <c r="L137" i="393"/>
  <c r="M137" i="393" s="1"/>
  <c r="N26" i="377"/>
  <c r="Q26" i="377" s="1"/>
  <c r="N34" i="379"/>
  <c r="Q34" i="379" s="1"/>
  <c r="K12" i="284"/>
  <c r="BC24" i="335"/>
  <c r="G12" i="369"/>
  <c r="P29" i="325"/>
  <c r="H65" i="377"/>
  <c r="N85" i="379"/>
  <c r="Q85" i="379" s="1"/>
  <c r="T285" i="408"/>
  <c r="N13" i="391"/>
  <c r="N22" i="391" s="1"/>
  <c r="BA15" i="373"/>
  <c r="J102" i="393"/>
  <c r="T155" i="408"/>
  <c r="T119" i="408"/>
  <c r="T102" i="406"/>
  <c r="N112" i="379"/>
  <c r="S205" i="346"/>
  <c r="T205" i="346" s="1"/>
  <c r="S33" i="284"/>
  <c r="S57" i="284" s="1"/>
  <c r="Q57" i="284"/>
  <c r="S370" i="388"/>
  <c r="T370" i="388" s="1"/>
  <c r="S360" i="388"/>
  <c r="S328" i="388"/>
  <c r="T328" i="388" s="1"/>
  <c r="S318" i="388"/>
  <c r="T318" i="388" s="1"/>
  <c r="S304" i="388"/>
  <c r="T304" i="388" s="1"/>
  <c r="S297" i="388"/>
  <c r="T297" i="388" s="1"/>
  <c r="S295" i="388"/>
  <c r="T295" i="388" s="1"/>
  <c r="S67" i="388"/>
  <c r="T67" i="388" s="1"/>
  <c r="T59" i="388"/>
  <c r="T51" i="388"/>
  <c r="T35" i="388"/>
  <c r="H25" i="365"/>
  <c r="S118" i="408"/>
  <c r="T118" i="408" s="1"/>
  <c r="S120" i="408"/>
  <c r="T120" i="408" s="1"/>
  <c r="S309" i="408"/>
  <c r="T309" i="408" s="1"/>
  <c r="S352" i="408"/>
  <c r="T352" i="408" s="1"/>
  <c r="D23" i="226"/>
  <c r="AB87" i="266"/>
  <c r="W85" i="266"/>
  <c r="AB79" i="266"/>
  <c r="AB71" i="266"/>
  <c r="AB38" i="266"/>
  <c r="AB35" i="266"/>
  <c r="W27" i="266"/>
  <c r="W18" i="266"/>
  <c r="AB15" i="266"/>
  <c r="W15" i="266"/>
  <c r="AX42" i="266"/>
  <c r="AX44" i="266" s="1"/>
  <c r="M126" i="379"/>
  <c r="N126" i="379" s="1"/>
  <c r="Q126" i="379" s="1"/>
  <c r="W126" i="379" s="1"/>
  <c r="P110" i="379"/>
  <c r="P9" i="379" s="1"/>
  <c r="Q118" i="377"/>
  <c r="O10" i="377"/>
  <c r="P31" i="384"/>
  <c r="T31" i="384" s="1"/>
  <c r="V31" i="384" s="1"/>
  <c r="P30" i="384"/>
  <c r="T30" i="384" s="1"/>
  <c r="V30" i="384" s="1"/>
  <c r="W30" i="384" s="1"/>
  <c r="X30" i="384" s="1"/>
  <c r="P26" i="384"/>
  <c r="T26" i="384" s="1"/>
  <c r="V26" i="384" s="1"/>
  <c r="W26" i="384" s="1"/>
  <c r="X26" i="384" s="1"/>
  <c r="P25" i="384"/>
  <c r="T25" i="384" s="1"/>
  <c r="V25" i="384" s="1"/>
  <c r="P22" i="384"/>
  <c r="T22" i="384" s="1"/>
  <c r="V22" i="384" s="1"/>
  <c r="P19" i="384"/>
  <c r="T19" i="384" s="1"/>
  <c r="V19" i="384" s="1"/>
  <c r="W19" i="384" s="1"/>
  <c r="X19" i="384" s="1"/>
  <c r="P12" i="384"/>
  <c r="M9" i="400"/>
  <c r="U33" i="284"/>
  <c r="F16" i="284" s="1"/>
  <c r="G16" i="284" s="1"/>
  <c r="H16" i="284" s="1"/>
  <c r="K16" i="284" s="1"/>
  <c r="F123" i="392"/>
  <c r="G11" i="394"/>
  <c r="G10" i="394" s="1"/>
  <c r="F10" i="394"/>
  <c r="B45" i="401"/>
  <c r="F12" i="401" s="1"/>
  <c r="C94" i="399"/>
  <c r="F220" i="393"/>
  <c r="F201" i="393" s="1"/>
  <c r="G201" i="393" s="1"/>
  <c r="H201" i="393" s="1"/>
  <c r="K201" i="393" s="1"/>
  <c r="H102" i="393"/>
  <c r="F90" i="393"/>
  <c r="P91" i="404"/>
  <c r="I61" i="404"/>
  <c r="J61" i="404" s="1"/>
  <c r="H77" i="404" s="1"/>
  <c r="I77" i="404" s="1"/>
  <c r="L77" i="404" s="1"/>
  <c r="F15" i="369"/>
  <c r="Q107" i="402"/>
  <c r="P107" i="402"/>
  <c r="I76" i="402"/>
  <c r="J76" i="402" s="1"/>
  <c r="H88" i="402" s="1"/>
  <c r="I88" i="402" s="1"/>
  <c r="L88" i="402" s="1"/>
  <c r="Q43" i="397"/>
  <c r="H12" i="397" s="1"/>
  <c r="I12" i="397" s="1"/>
  <c r="L12" i="397" s="1"/>
  <c r="D10" i="398"/>
  <c r="H22" i="152"/>
  <c r="H20" i="152"/>
  <c r="AR42" i="335"/>
  <c r="BC42" i="335" s="1"/>
  <c r="AE33" i="335"/>
  <c r="BC33" i="335" s="1"/>
  <c r="AE30" i="335"/>
  <c r="BC30" i="335" s="1"/>
  <c r="AE26" i="335"/>
  <c r="BC26" i="335" s="1"/>
  <c r="AR21" i="335"/>
  <c r="BC21" i="335" s="1"/>
  <c r="AR18" i="335"/>
  <c r="BC18" i="335" s="1"/>
  <c r="AR17" i="335"/>
  <c r="AK28" i="356"/>
  <c r="AA27" i="356"/>
  <c r="AB27" i="356" s="1"/>
  <c r="AK26" i="356"/>
  <c r="AL26" i="356" s="1"/>
  <c r="AK25" i="356"/>
  <c r="AL25" i="356" s="1"/>
  <c r="AK24" i="356"/>
  <c r="AL24" i="356" s="1"/>
  <c r="AY11" i="356"/>
  <c r="AY10" i="356" s="1"/>
  <c r="AK17" i="356"/>
  <c r="AL17" i="356" s="1"/>
  <c r="AA16" i="356"/>
  <c r="G14" i="144"/>
  <c r="M12" i="191"/>
  <c r="N12" i="191" s="1"/>
  <c r="M10" i="191"/>
  <c r="N10" i="191" s="1"/>
  <c r="U13" i="373"/>
  <c r="I14" i="247"/>
  <c r="I12" i="247"/>
  <c r="F44" i="372"/>
  <c r="Q9" i="408"/>
  <c r="AI13" i="405"/>
  <c r="AJ13" i="405" s="1"/>
  <c r="M13" i="405" s="1"/>
  <c r="M9" i="405" s="1"/>
  <c r="AH14" i="406"/>
  <c r="AI14" i="406" s="1"/>
  <c r="AE16" i="408"/>
  <c r="M16" i="408" s="1"/>
  <c r="M9" i="408" s="1"/>
  <c r="G20" i="409"/>
  <c r="K20" i="409" s="1"/>
  <c r="G21" i="409"/>
  <c r="K21" i="409" s="1"/>
  <c r="G25" i="409"/>
  <c r="K25" i="409" s="1"/>
  <c r="G28" i="409"/>
  <c r="K28" i="409" s="1"/>
  <c r="G30" i="409"/>
  <c r="K30" i="409" s="1"/>
  <c r="G31" i="409"/>
  <c r="K31" i="409" s="1"/>
  <c r="G33" i="409"/>
  <c r="K33" i="409" s="1"/>
  <c r="G35" i="409"/>
  <c r="K35" i="409" s="1"/>
  <c r="G43" i="409"/>
  <c r="K43" i="409" s="1"/>
  <c r="G45" i="409"/>
  <c r="K45" i="409" s="1"/>
  <c r="G46" i="409"/>
  <c r="K46" i="409" s="1"/>
  <c r="AD11" i="418"/>
  <c r="Z11" i="418"/>
  <c r="R14" i="425"/>
  <c r="T14" i="425" s="1"/>
  <c r="AB10" i="430"/>
  <c r="X10" i="430"/>
  <c r="Y20" i="411"/>
  <c r="F17" i="437"/>
  <c r="F26" i="437"/>
  <c r="BG12" i="463"/>
  <c r="P113" i="437"/>
  <c r="AB12" i="441"/>
  <c r="AD12" i="441" s="1"/>
  <c r="X12" i="441"/>
  <c r="Z12" i="441" s="1"/>
  <c r="V12" i="441"/>
  <c r="M13" i="443"/>
  <c r="N13" i="443" s="1"/>
  <c r="Q13" i="443" s="1"/>
  <c r="H115" i="443"/>
  <c r="M126" i="443"/>
  <c r="N126" i="443" s="1"/>
  <c r="F95" i="445"/>
  <c r="F106" i="445"/>
  <c r="F82" i="445"/>
  <c r="F90" i="445"/>
  <c r="F98" i="445"/>
  <c r="F101" i="445"/>
  <c r="F97" i="445"/>
  <c r="F104" i="445"/>
  <c r="F107" i="445"/>
  <c r="M113" i="445"/>
  <c r="M121" i="445"/>
  <c r="C42" i="226"/>
  <c r="W92" i="266"/>
  <c r="W83" i="266"/>
  <c r="W82" i="266"/>
  <c r="W80" i="266"/>
  <c r="AB73" i="266"/>
  <c r="BF98" i="266"/>
  <c r="BF99" i="266" s="1"/>
  <c r="BF100" i="266" s="1"/>
  <c r="AB69" i="266"/>
  <c r="T98" i="266"/>
  <c r="T99" i="266" s="1"/>
  <c r="T100" i="266" s="1"/>
  <c r="AB40" i="266"/>
  <c r="W38" i="266"/>
  <c r="W37" i="266"/>
  <c r="W36" i="266"/>
  <c r="W35" i="266"/>
  <c r="W31" i="266"/>
  <c r="W29" i="266"/>
  <c r="AB28" i="266"/>
  <c r="AB27" i="266"/>
  <c r="W25" i="266"/>
  <c r="AB24" i="266"/>
  <c r="AB16" i="266"/>
  <c r="AM42" i="266"/>
  <c r="AM44" i="266" s="1"/>
  <c r="M122" i="380"/>
  <c r="N122" i="380" s="1"/>
  <c r="Q122" i="380" s="1"/>
  <c r="W122" i="380" s="1"/>
  <c r="M117" i="380"/>
  <c r="N117" i="380" s="1"/>
  <c r="Q117" i="380" s="1"/>
  <c r="W117" i="380" s="1"/>
  <c r="M14" i="380"/>
  <c r="N14" i="380" s="1"/>
  <c r="Q14" i="380" s="1"/>
  <c r="M127" i="379"/>
  <c r="N127" i="379" s="1"/>
  <c r="M120" i="379"/>
  <c r="N120" i="379" s="1"/>
  <c r="Q120" i="379" s="1"/>
  <c r="W120" i="379" s="1"/>
  <c r="M119" i="379"/>
  <c r="N119" i="379" s="1"/>
  <c r="Q119" i="379" s="1"/>
  <c r="O110" i="379"/>
  <c r="M15" i="379"/>
  <c r="N15" i="379" s="1"/>
  <c r="Q15" i="379" s="1"/>
  <c r="R15" i="379" s="1"/>
  <c r="M129" i="377"/>
  <c r="N129" i="377" s="1"/>
  <c r="M114" i="377"/>
  <c r="J101" i="377"/>
  <c r="M16" i="377"/>
  <c r="N16" i="377" s="1"/>
  <c r="Q16" i="377" s="1"/>
  <c r="M15" i="377"/>
  <c r="N15" i="377" s="1"/>
  <c r="Q15" i="377" s="1"/>
  <c r="P10" i="377"/>
  <c r="J13" i="376"/>
  <c r="J10" i="376" s="1"/>
  <c r="T15" i="384"/>
  <c r="V15" i="384" s="1"/>
  <c r="W15" i="384" s="1"/>
  <c r="X15" i="384" s="1"/>
  <c r="O19" i="403"/>
  <c r="K15" i="392"/>
  <c r="K10" i="392" s="1"/>
  <c r="L10" i="392" s="1"/>
  <c r="M10" i="392" s="1"/>
  <c r="B46" i="401"/>
  <c r="F13" i="401" s="1"/>
  <c r="G13" i="401" s="1"/>
  <c r="H13" i="401" s="1"/>
  <c r="K13" i="401" s="1"/>
  <c r="J159" i="393"/>
  <c r="P61" i="285"/>
  <c r="H78" i="285" s="1"/>
  <c r="I78" i="285" s="1"/>
  <c r="L78" i="285" s="1"/>
  <c r="L80" i="285" s="1"/>
  <c r="I91" i="404"/>
  <c r="J91" i="404" s="1"/>
  <c r="J26" i="199"/>
  <c r="J23" i="199"/>
  <c r="J16" i="199" s="1"/>
  <c r="L11" i="199"/>
  <c r="L9" i="199" s="1"/>
  <c r="L36" i="352"/>
  <c r="L34" i="352"/>
  <c r="L26" i="352"/>
  <c r="L25" i="352"/>
  <c r="L22" i="352"/>
  <c r="L17" i="352"/>
  <c r="L16" i="352"/>
  <c r="L11" i="352"/>
  <c r="L10" i="352"/>
  <c r="R107" i="402"/>
  <c r="I12" i="402"/>
  <c r="L12" i="402" s="1"/>
  <c r="I43" i="397"/>
  <c r="D16" i="398"/>
  <c r="H16" i="398" s="1"/>
  <c r="I16" i="398" s="1"/>
  <c r="L16" i="398" s="1"/>
  <c r="L18" i="398" s="1"/>
  <c r="D15" i="398"/>
  <c r="H15" i="398" s="1"/>
  <c r="I15" i="398" s="1"/>
  <c r="L15" i="398" s="1"/>
  <c r="D11" i="398"/>
  <c r="H11" i="398" s="1"/>
  <c r="I11" i="398" s="1"/>
  <c r="L11" i="398" s="1"/>
  <c r="H16" i="152"/>
  <c r="AR49" i="335"/>
  <c r="BC49" i="335" s="1"/>
  <c r="AR29" i="335"/>
  <c r="AR28" i="335"/>
  <c r="BC28" i="335" s="1"/>
  <c r="AR23" i="335"/>
  <c r="BC23" i="335" s="1"/>
  <c r="AE19" i="335"/>
  <c r="BC19" i="335" s="1"/>
  <c r="AE17" i="335"/>
  <c r="AR14" i="335"/>
  <c r="AJ11" i="356"/>
  <c r="AJ10" i="356" s="1"/>
  <c r="AK12" i="356"/>
  <c r="M13" i="191"/>
  <c r="N13" i="191" s="1"/>
  <c r="AU23" i="373"/>
  <c r="AZ23" i="373" s="1"/>
  <c r="BA23" i="373" s="1"/>
  <c r="AU22" i="373"/>
  <c r="AZ22" i="373" s="1"/>
  <c r="BA22" i="373" s="1"/>
  <c r="AU17" i="373"/>
  <c r="AU11" i="373"/>
  <c r="I14" i="139"/>
  <c r="J14" i="139" s="1"/>
  <c r="K14" i="139" s="1"/>
  <c r="M6" i="372"/>
  <c r="R86" i="407"/>
  <c r="AD12" i="418"/>
  <c r="Z12" i="418"/>
  <c r="V10" i="422"/>
  <c r="X10" i="422" s="1"/>
  <c r="Z10" i="422"/>
  <c r="AB10" i="422" s="1"/>
  <c r="AB11" i="430"/>
  <c r="X11" i="430"/>
  <c r="F38" i="437"/>
  <c r="F34" i="437"/>
  <c r="F30" i="437"/>
  <c r="F18" i="437"/>
  <c r="F41" i="437"/>
  <c r="P10" i="437"/>
  <c r="M12" i="437"/>
  <c r="N12" i="437" s="1"/>
  <c r="Q12" i="437" s="1"/>
  <c r="R12" i="437" s="1"/>
  <c r="O113" i="377"/>
  <c r="H128" i="437"/>
  <c r="N128" i="437" s="1"/>
  <c r="P128" i="437"/>
  <c r="O15" i="376"/>
  <c r="O13" i="376" s="1"/>
  <c r="O10" i="376" s="1"/>
  <c r="V11" i="422"/>
  <c r="X11" i="422" s="1"/>
  <c r="Z11" i="422"/>
  <c r="AB11" i="422" s="1"/>
  <c r="P112" i="443"/>
  <c r="K54" i="124"/>
  <c r="K55" i="124" s="1"/>
  <c r="G53" i="124"/>
  <c r="K50" i="124"/>
  <c r="K48" i="124"/>
  <c r="Q11" i="381"/>
  <c r="R11" i="381" s="1"/>
  <c r="H9" i="381"/>
  <c r="M13" i="381"/>
  <c r="N13" i="381" s="1"/>
  <c r="Q13" i="381" s="1"/>
  <c r="R13" i="381" s="1"/>
  <c r="T13" i="381" s="1"/>
  <c r="H117" i="445"/>
  <c r="P9" i="421"/>
  <c r="R10" i="421"/>
  <c r="X10" i="428"/>
  <c r="X12" i="428"/>
  <c r="X13" i="428"/>
  <c r="N113" i="437"/>
  <c r="X11" i="428"/>
  <c r="Z12" i="422"/>
  <c r="V12" i="422"/>
  <c r="P123" i="443"/>
  <c r="M117" i="443"/>
  <c r="P125" i="443"/>
  <c r="O123" i="443"/>
  <c r="M116" i="443"/>
  <c r="M110" i="443"/>
  <c r="O122" i="443"/>
  <c r="M123" i="445"/>
  <c r="O124" i="445"/>
  <c r="M122" i="445"/>
  <c r="M116" i="445"/>
  <c r="H119" i="445"/>
  <c r="P114" i="445"/>
  <c r="H123" i="445"/>
  <c r="V58" i="426"/>
  <c r="V62" i="426"/>
  <c r="V96" i="426"/>
  <c r="V19" i="426"/>
  <c r="V52" i="426"/>
  <c r="V83" i="426"/>
  <c r="V93" i="426"/>
  <c r="V74" i="426"/>
  <c r="V29" i="426"/>
  <c r="V117" i="426"/>
  <c r="R17" i="424"/>
  <c r="T17" i="424" s="1"/>
  <c r="R18" i="424"/>
  <c r="T18" i="424" s="1"/>
  <c r="R15" i="424"/>
  <c r="T15" i="424" s="1"/>
  <c r="R15" i="419"/>
  <c r="T15" i="419" s="1"/>
  <c r="R17" i="419"/>
  <c r="T17" i="419" s="1"/>
  <c r="T42" i="442"/>
  <c r="V42" i="442" s="1"/>
  <c r="N17" i="376"/>
  <c r="Q17" i="376" s="1"/>
  <c r="W17" i="376" s="1"/>
  <c r="M112" i="445"/>
  <c r="D9" i="380"/>
  <c r="BK19" i="461"/>
  <c r="P126" i="445"/>
  <c r="M113" i="443"/>
  <c r="P113" i="443"/>
  <c r="R114" i="437"/>
  <c r="T114" i="437" s="1"/>
  <c r="O112" i="445"/>
  <c r="H112" i="445"/>
  <c r="P115" i="445"/>
  <c r="H117" i="443"/>
  <c r="P115" i="443"/>
  <c r="P116" i="443"/>
  <c r="O115" i="445"/>
  <c r="O125" i="443"/>
  <c r="M114" i="445"/>
  <c r="O110" i="445"/>
  <c r="O126" i="445"/>
  <c r="P110" i="445"/>
  <c r="H113" i="445"/>
  <c r="H114" i="445"/>
  <c r="M119" i="445"/>
  <c r="M126" i="445"/>
  <c r="O113" i="443"/>
  <c r="P114" i="443"/>
  <c r="O113" i="445"/>
  <c r="BJ19" i="461"/>
  <c r="BJ19" i="459"/>
  <c r="D19" i="459" s="1"/>
  <c r="V39" i="442"/>
  <c r="V32" i="426"/>
  <c r="V104" i="426"/>
  <c r="V28" i="426"/>
  <c r="V48" i="426"/>
  <c r="G39" i="124"/>
  <c r="G41" i="124" s="1"/>
  <c r="K47" i="124"/>
  <c r="G59" i="124"/>
  <c r="T10" i="422"/>
  <c r="V27" i="442"/>
  <c r="P9" i="422"/>
  <c r="R12" i="422"/>
  <c r="R9" i="422" s="1"/>
  <c r="N15" i="443"/>
  <c r="Q15" i="443" s="1"/>
  <c r="R98" i="443"/>
  <c r="U98" i="443" s="1"/>
  <c r="R18" i="443"/>
  <c r="U18" i="443" s="1"/>
  <c r="R27" i="443"/>
  <c r="U27" i="443" s="1"/>
  <c r="R105" i="443"/>
  <c r="T105" i="443" s="1"/>
  <c r="R66" i="443"/>
  <c r="S66" i="443" s="1"/>
  <c r="R40" i="443"/>
  <c r="S40" i="443" s="1"/>
  <c r="R22" i="443"/>
  <c r="U22" i="443" s="1"/>
  <c r="R26" i="443"/>
  <c r="T26" i="443" s="1"/>
  <c r="R48" i="443"/>
  <c r="U48" i="443" s="1"/>
  <c r="M71" i="443"/>
  <c r="N71" i="443" s="1"/>
  <c r="Q71" i="443" s="1"/>
  <c r="R97" i="443"/>
  <c r="T97" i="443" s="1"/>
  <c r="T34" i="443"/>
  <c r="F11" i="443"/>
  <c r="M120" i="443"/>
  <c r="L82" i="443"/>
  <c r="M82" i="443" s="1"/>
  <c r="N82" i="443" s="1"/>
  <c r="Q82" i="443" s="1"/>
  <c r="H68" i="443"/>
  <c r="H41" i="443"/>
  <c r="N41" i="443" s="1"/>
  <c r="Q41" i="443" s="1"/>
  <c r="H58" i="443"/>
  <c r="N58" i="443" s="1"/>
  <c r="Q58" i="443" s="1"/>
  <c r="H51" i="443"/>
  <c r="N51" i="443" s="1"/>
  <c r="Q51" i="443" s="1"/>
  <c r="L16" i="443"/>
  <c r="M16" i="443" s="1"/>
  <c r="N16" i="443" s="1"/>
  <c r="Q16" i="443" s="1"/>
  <c r="L23" i="443"/>
  <c r="M23" i="443" s="1"/>
  <c r="N23" i="443" s="1"/>
  <c r="Q23" i="443" s="1"/>
  <c r="T28" i="377"/>
  <c r="R14" i="380"/>
  <c r="U14" i="380" s="1"/>
  <c r="R44" i="377"/>
  <c r="U44" i="377" s="1"/>
  <c r="R20" i="376"/>
  <c r="U20" i="376" s="1"/>
  <c r="R19" i="381"/>
  <c r="T19" i="381" s="1"/>
  <c r="R115" i="379"/>
  <c r="S115" i="379" s="1"/>
  <c r="R48" i="377"/>
  <c r="T48" i="377" s="1"/>
  <c r="R32" i="377"/>
  <c r="S32" i="377" s="1"/>
  <c r="R21" i="381"/>
  <c r="U21" i="381" s="1"/>
  <c r="R16" i="381"/>
  <c r="S16" i="381" s="1"/>
  <c r="R113" i="379"/>
  <c r="S113" i="379" s="1"/>
  <c r="R37" i="379"/>
  <c r="T37" i="379" s="1"/>
  <c r="R57" i="377"/>
  <c r="T57" i="377" s="1"/>
  <c r="S34" i="443"/>
  <c r="U28" i="377"/>
  <c r="S28" i="377"/>
  <c r="R79" i="377"/>
  <c r="S79" i="377" s="1"/>
  <c r="R21" i="376"/>
  <c r="T21" i="376" s="1"/>
  <c r="R20" i="381"/>
  <c r="S20" i="381" s="1"/>
  <c r="R72" i="379"/>
  <c r="U72" i="379" s="1"/>
  <c r="R120" i="380"/>
  <c r="S120" i="380" s="1"/>
  <c r="R107" i="377"/>
  <c r="T107" i="377" s="1"/>
  <c r="Q14" i="381"/>
  <c r="R15" i="381"/>
  <c r="S15" i="381" s="1"/>
  <c r="M17" i="381"/>
  <c r="N18" i="381"/>
  <c r="R81" i="377"/>
  <c r="S81" i="377" s="1"/>
  <c r="U124" i="437"/>
  <c r="S86" i="379"/>
  <c r="AI12" i="266"/>
  <c r="AK12" i="266"/>
  <c r="BB70" i="266"/>
  <c r="R83" i="377"/>
  <c r="T83" i="377" s="1"/>
  <c r="M17" i="397"/>
  <c r="N17" i="397" s="1"/>
  <c r="M12" i="285"/>
  <c r="N12" i="285" s="1"/>
  <c r="J96" i="392"/>
  <c r="M78" i="404"/>
  <c r="N78" i="404" s="1"/>
  <c r="G193" i="393"/>
  <c r="F191" i="393"/>
  <c r="H20" i="396"/>
  <c r="U77" i="379"/>
  <c r="S77" i="379"/>
  <c r="R70" i="379"/>
  <c r="T70" i="379" s="1"/>
  <c r="T86" i="379"/>
  <c r="V86" i="379" s="1"/>
  <c r="N29" i="377"/>
  <c r="Q29" i="377" s="1"/>
  <c r="N106" i="377"/>
  <c r="Q106" i="377" s="1"/>
  <c r="M15" i="398"/>
  <c r="M15" i="402"/>
  <c r="N15" i="402" s="1"/>
  <c r="M74" i="404"/>
  <c r="N74" i="404" s="1"/>
  <c r="R31" i="377"/>
  <c r="T31" i="377" s="1"/>
  <c r="G20" i="401"/>
  <c r="F19" i="401"/>
  <c r="M72" i="399"/>
  <c r="N72" i="399" s="1"/>
  <c r="M73" i="404"/>
  <c r="N73" i="404" s="1"/>
  <c r="W38" i="384"/>
  <c r="X38" i="384" s="1"/>
  <c r="W18" i="384"/>
  <c r="AO12" i="266"/>
  <c r="R75" i="377"/>
  <c r="U75" i="377" s="1"/>
  <c r="M90" i="393"/>
  <c r="L13" i="285"/>
  <c r="M10" i="285"/>
  <c r="G200" i="393"/>
  <c r="R34" i="377"/>
  <c r="S34" i="377" s="1"/>
  <c r="H151" i="393"/>
  <c r="N94" i="402"/>
  <c r="L13" i="404"/>
  <c r="AT37" i="266"/>
  <c r="AY37" i="266" s="1"/>
  <c r="C44" i="400"/>
  <c r="S30" i="408"/>
  <c r="C43" i="400"/>
  <c r="J120" i="392"/>
  <c r="J119" i="392" s="1"/>
  <c r="S106" i="413"/>
  <c r="S95" i="413" s="1"/>
  <c r="AT82" i="266"/>
  <c r="AY82" i="266" s="1"/>
  <c r="L10" i="393"/>
  <c r="M10" i="393" s="1"/>
  <c r="AK40" i="266"/>
  <c r="M16" i="285"/>
  <c r="N16" i="285" s="1"/>
  <c r="C40" i="400"/>
  <c r="N102" i="379"/>
  <c r="AO20" i="266"/>
  <c r="AP20" i="266" s="1"/>
  <c r="AE20" i="266"/>
  <c r="N20" i="377"/>
  <c r="Q20" i="377" s="1"/>
  <c r="AK17" i="266"/>
  <c r="AB141" i="412"/>
  <c r="AC141" i="412" s="1"/>
  <c r="AA139" i="412"/>
  <c r="AA137" i="412"/>
  <c r="L93" i="380"/>
  <c r="M93" i="380" s="1"/>
  <c r="N93" i="380" s="1"/>
  <c r="Q93" i="380" s="1"/>
  <c r="W42" i="384"/>
  <c r="X42" i="384" s="1"/>
  <c r="N60" i="377"/>
  <c r="Q60" i="377" s="1"/>
  <c r="H18" i="377"/>
  <c r="L18" i="377"/>
  <c r="J20" i="144"/>
  <c r="I20" i="144"/>
  <c r="H102" i="377"/>
  <c r="L102" i="377"/>
  <c r="M12" i="404"/>
  <c r="X16" i="384"/>
  <c r="T157" i="408"/>
  <c r="T144" i="408"/>
  <c r="T111" i="406"/>
  <c r="T357" i="346"/>
  <c r="T313" i="346"/>
  <c r="T303" i="346"/>
  <c r="T297" i="346"/>
  <c r="S169" i="346"/>
  <c r="T169" i="346" s="1"/>
  <c r="T139" i="346"/>
  <c r="T131" i="346"/>
  <c r="M13" i="391"/>
  <c r="M22" i="391" s="1"/>
  <c r="S38" i="413"/>
  <c r="N122" i="379"/>
  <c r="T365" i="346"/>
  <c r="T359" i="346"/>
  <c r="T336" i="346"/>
  <c r="T288" i="346"/>
  <c r="T195" i="346"/>
  <c r="S168" i="346"/>
  <c r="T168" i="346" s="1"/>
  <c r="T150" i="346"/>
  <c r="S111" i="346"/>
  <c r="T111" i="346" s="1"/>
  <c r="S108" i="346"/>
  <c r="T108" i="346" s="1"/>
  <c r="S95" i="346"/>
  <c r="T95" i="346" s="1"/>
  <c r="T84" i="346"/>
  <c r="T45" i="346"/>
  <c r="N13" i="377"/>
  <c r="T282" i="346"/>
  <c r="T179" i="346"/>
  <c r="T127" i="346"/>
  <c r="S110" i="346"/>
  <c r="T110" i="346" s="1"/>
  <c r="T35" i="346"/>
  <c r="T16" i="346"/>
  <c r="AV36" i="266"/>
  <c r="AY36" i="266" s="1"/>
  <c r="Q127" i="380"/>
  <c r="W127" i="380" s="1"/>
  <c r="T268" i="346"/>
  <c r="S260" i="346"/>
  <c r="T260" i="346" s="1"/>
  <c r="S239" i="346"/>
  <c r="T239" i="346" s="1"/>
  <c r="T236" i="346"/>
  <c r="T210" i="346"/>
  <c r="S202" i="346"/>
  <c r="T202" i="346" s="1"/>
  <c r="S181" i="346"/>
  <c r="T181" i="346" s="1"/>
  <c r="T156" i="346"/>
  <c r="T145" i="346"/>
  <c r="S117" i="346"/>
  <c r="T117" i="346" s="1"/>
  <c r="T336" i="405"/>
  <c r="O14" i="403"/>
  <c r="C31" i="226"/>
  <c r="F69" i="380"/>
  <c r="F66" i="380"/>
  <c r="F46" i="380"/>
  <c r="F57" i="379"/>
  <c r="S182" i="346"/>
  <c r="T182" i="346" s="1"/>
  <c r="R15" i="400"/>
  <c r="L79" i="396"/>
  <c r="F13" i="396" s="1"/>
  <c r="C35" i="226"/>
  <c r="F77" i="380"/>
  <c r="F74" i="380"/>
  <c r="M10" i="400"/>
  <c r="V55" i="284"/>
  <c r="F21" i="284" s="1"/>
  <c r="U55" i="284"/>
  <c r="F17" i="284" s="1"/>
  <c r="C17" i="225"/>
  <c r="J30" i="226"/>
  <c r="J21" i="226" s="1"/>
  <c r="D178" i="393"/>
  <c r="O27" i="325"/>
  <c r="O36" i="325" s="1"/>
  <c r="R17" i="325"/>
  <c r="P14" i="325"/>
  <c r="Q127" i="437"/>
  <c r="W31" i="411"/>
  <c r="V11" i="426"/>
  <c r="N126" i="437"/>
  <c r="F14" i="438"/>
  <c r="F13" i="438"/>
  <c r="M11" i="437"/>
  <c r="F22" i="437"/>
  <c r="F24" i="437"/>
  <c r="D111" i="445"/>
  <c r="P111" i="445" s="1"/>
  <c r="D111" i="443"/>
  <c r="D108" i="443" s="1"/>
  <c r="D10" i="443" s="1"/>
  <c r="H110" i="443"/>
  <c r="O112" i="443"/>
  <c r="P118" i="443"/>
  <c r="O119" i="443"/>
  <c r="O121" i="443"/>
  <c r="H112" i="443"/>
  <c r="N112" i="443" s="1"/>
  <c r="O114" i="443"/>
  <c r="O116" i="443"/>
  <c r="M119" i="443"/>
  <c r="H119" i="443"/>
  <c r="H121" i="443"/>
  <c r="P121" i="443"/>
  <c r="N14" i="445"/>
  <c r="Q14" i="445" s="1"/>
  <c r="M118" i="443"/>
  <c r="M124" i="443"/>
  <c r="N124" i="443" s="1"/>
  <c r="Q124" i="443" s="1"/>
  <c r="F26" i="445"/>
  <c r="F33" i="445"/>
  <c r="O122" i="445"/>
  <c r="P124" i="445"/>
  <c r="F24" i="445"/>
  <c r="F27" i="445"/>
  <c r="F32" i="445"/>
  <c r="F34" i="445"/>
  <c r="M118" i="445"/>
  <c r="N118" i="445" s="1"/>
  <c r="H122" i="445"/>
  <c r="H124" i="445"/>
  <c r="O125" i="445"/>
  <c r="F16" i="445"/>
  <c r="F20" i="445"/>
  <c r="F22" i="445"/>
  <c r="F41" i="445"/>
  <c r="P118" i="445"/>
  <c r="F15" i="445"/>
  <c r="F18" i="445"/>
  <c r="F19" i="445"/>
  <c r="F23" i="445"/>
  <c r="F28" i="445"/>
  <c r="F30" i="445"/>
  <c r="F31" i="445"/>
  <c r="F38" i="445"/>
  <c r="F40" i="445"/>
  <c r="T16" i="424"/>
  <c r="T16" i="419"/>
  <c r="V163" i="429"/>
  <c r="V7" i="429" s="1"/>
  <c r="V118" i="426"/>
  <c r="T166" i="417"/>
  <c r="T9" i="417" s="1"/>
  <c r="R5" i="417" s="1"/>
  <c r="C43" i="226"/>
  <c r="C28" i="226"/>
  <c r="C85" i="225"/>
  <c r="G47" i="226"/>
  <c r="C38" i="226"/>
  <c r="C72" i="225"/>
  <c r="C39" i="226"/>
  <c r="C62" i="225"/>
  <c r="G53" i="226"/>
  <c r="E48" i="226"/>
  <c r="E51" i="226" s="1"/>
  <c r="C32" i="226"/>
  <c r="E16" i="226"/>
  <c r="C17" i="226"/>
  <c r="C16" i="226" s="1"/>
  <c r="J17" i="226"/>
  <c r="L16" i="226"/>
  <c r="J16" i="226" s="1"/>
  <c r="N118" i="443" l="1"/>
  <c r="N115" i="443"/>
  <c r="Q115" i="443" s="1"/>
  <c r="O6" i="437"/>
  <c r="M15" i="399"/>
  <c r="N15" i="399" s="1"/>
  <c r="N18" i="399" s="1"/>
  <c r="L14" i="399"/>
  <c r="L18" i="399"/>
  <c r="S201" i="406"/>
  <c r="T201" i="406" s="1"/>
  <c r="S31" i="407"/>
  <c r="T31" i="407" s="1"/>
  <c r="T10" i="407" s="1"/>
  <c r="S81" i="406"/>
  <c r="T81" i="406"/>
  <c r="H15" i="397"/>
  <c r="I15" i="397" s="1"/>
  <c r="L15" i="397" s="1"/>
  <c r="J44" i="397"/>
  <c r="L19" i="437"/>
  <c r="M19" i="437" s="1"/>
  <c r="H19" i="437"/>
  <c r="H33" i="437"/>
  <c r="L33" i="437"/>
  <c r="M33" i="437" s="1"/>
  <c r="H29" i="379"/>
  <c r="L29" i="379"/>
  <c r="M29" i="379" s="1"/>
  <c r="AV19" i="266"/>
  <c r="AT19" i="266"/>
  <c r="AY19" i="266" s="1"/>
  <c r="BB19" i="266" s="1"/>
  <c r="BK19" i="266" s="1"/>
  <c r="BQ19" i="266" s="1"/>
  <c r="BS19" i="266" s="1"/>
  <c r="L58" i="380"/>
  <c r="M58" i="380" s="1"/>
  <c r="H58" i="380"/>
  <c r="L86" i="380"/>
  <c r="M86" i="380" s="1"/>
  <c r="H86" i="380"/>
  <c r="N86" i="380" s="1"/>
  <c r="Q86" i="380" s="1"/>
  <c r="L81" i="380"/>
  <c r="M81" i="380" s="1"/>
  <c r="H81" i="380"/>
  <c r="H78" i="380"/>
  <c r="L78" i="380"/>
  <c r="M78" i="380" s="1"/>
  <c r="L41" i="380"/>
  <c r="M41" i="380" s="1"/>
  <c r="H41" i="380"/>
  <c r="P32" i="325"/>
  <c r="N82" i="404"/>
  <c r="N83" i="404" s="1"/>
  <c r="BA19" i="373"/>
  <c r="S283" i="408"/>
  <c r="T283" i="408" s="1"/>
  <c r="S307" i="408"/>
  <c r="T307" i="408" s="1"/>
  <c r="H58" i="437"/>
  <c r="N58" i="437" s="1"/>
  <c r="Q58" i="437" s="1"/>
  <c r="R58" i="437" s="1"/>
  <c r="U58" i="437" s="1"/>
  <c r="L58" i="437"/>
  <c r="M58" i="437" s="1"/>
  <c r="S57" i="346"/>
  <c r="T57" i="346" s="1"/>
  <c r="L93" i="379"/>
  <c r="M93" i="379" s="1"/>
  <c r="N93" i="379" s="1"/>
  <c r="Q93" i="379" s="1"/>
  <c r="H93" i="379"/>
  <c r="L89" i="379"/>
  <c r="M89" i="379" s="1"/>
  <c r="H89" i="379"/>
  <c r="T99" i="407"/>
  <c r="T95" i="407" s="1"/>
  <c r="BM18" i="356"/>
  <c r="BN18" i="356" s="1"/>
  <c r="L49" i="380"/>
  <c r="M49" i="380" s="1"/>
  <c r="H49" i="380"/>
  <c r="L109" i="380"/>
  <c r="M109" i="380" s="1"/>
  <c r="N109" i="380" s="1"/>
  <c r="Q109" i="380" s="1"/>
  <c r="H109" i="380"/>
  <c r="L138" i="393"/>
  <c r="M138" i="393" s="1"/>
  <c r="S216" i="408"/>
  <c r="T216" i="408"/>
  <c r="S100" i="408"/>
  <c r="T100" i="408"/>
  <c r="S94" i="406"/>
  <c r="T94" i="406"/>
  <c r="S255" i="408"/>
  <c r="T255" i="408"/>
  <c r="S28" i="408"/>
  <c r="T28" i="408"/>
  <c r="H29" i="437"/>
  <c r="L29" i="437"/>
  <c r="M29" i="437" s="1"/>
  <c r="S226" i="405"/>
  <c r="T226" i="405"/>
  <c r="S354" i="346"/>
  <c r="T354" i="346"/>
  <c r="H73" i="379"/>
  <c r="L73" i="379"/>
  <c r="M73" i="379" s="1"/>
  <c r="L81" i="379"/>
  <c r="M81" i="379" s="1"/>
  <c r="H81" i="379"/>
  <c r="N81" i="379" s="1"/>
  <c r="Q81" i="379" s="1"/>
  <c r="R81" i="379" s="1"/>
  <c r="U81" i="379" s="1"/>
  <c r="S33" i="394"/>
  <c r="S57" i="394" s="1"/>
  <c r="Q57" i="394"/>
  <c r="F12" i="369"/>
  <c r="N50" i="377"/>
  <c r="Q50" i="377" s="1"/>
  <c r="R50" i="377" s="1"/>
  <c r="U50" i="377" s="1"/>
  <c r="S210" i="408"/>
  <c r="T210" i="408" s="1"/>
  <c r="S60" i="408"/>
  <c r="T60" i="408" s="1"/>
  <c r="S107" i="406"/>
  <c r="T107" i="406" s="1"/>
  <c r="H79" i="437"/>
  <c r="N79" i="437" s="1"/>
  <c r="Q79" i="437" s="1"/>
  <c r="R79" i="437" s="1"/>
  <c r="T79" i="437" s="1"/>
  <c r="L79" i="437"/>
  <c r="M79" i="437" s="1"/>
  <c r="S49" i="346"/>
  <c r="T49" i="346" s="1"/>
  <c r="H68" i="379"/>
  <c r="N68" i="379" s="1"/>
  <c r="L68" i="379"/>
  <c r="M68" i="379" s="1"/>
  <c r="H31" i="379"/>
  <c r="L31" i="379"/>
  <c r="M31" i="379" s="1"/>
  <c r="AD97" i="266"/>
  <c r="BH97" i="266"/>
  <c r="W119" i="380"/>
  <c r="R119" i="380"/>
  <c r="W116" i="379"/>
  <c r="R116" i="379"/>
  <c r="H90" i="380"/>
  <c r="N90" i="380" s="1"/>
  <c r="Q90" i="380" s="1"/>
  <c r="L90" i="380"/>
  <c r="M90" i="380" s="1"/>
  <c r="BG10" i="266"/>
  <c r="BI10" i="266" s="1"/>
  <c r="AC10" i="266"/>
  <c r="M20" i="404"/>
  <c r="L21" i="404"/>
  <c r="N126" i="445"/>
  <c r="Q126" i="445" s="1"/>
  <c r="R126" i="445" s="1"/>
  <c r="S126" i="445" s="1"/>
  <c r="N125" i="443"/>
  <c r="S129" i="406"/>
  <c r="T129" i="406" s="1"/>
  <c r="L50" i="380"/>
  <c r="M50" i="380" s="1"/>
  <c r="L14" i="402"/>
  <c r="R122" i="380"/>
  <c r="T122" i="380" s="1"/>
  <c r="BC29" i="335"/>
  <c r="O9" i="379"/>
  <c r="H75" i="399"/>
  <c r="I75" i="399" s="1"/>
  <c r="L75" i="399" s="1"/>
  <c r="M75" i="399" s="1"/>
  <c r="N75" i="399" s="1"/>
  <c r="L99" i="443"/>
  <c r="AI17" i="266"/>
  <c r="R10" i="388"/>
  <c r="S13" i="437"/>
  <c r="N86" i="443"/>
  <c r="Q86" i="443" s="1"/>
  <c r="N46" i="443"/>
  <c r="Q46" i="443" s="1"/>
  <c r="R46" i="443" s="1"/>
  <c r="U46" i="443" s="1"/>
  <c r="N36" i="443"/>
  <c r="Q36" i="443" s="1"/>
  <c r="R36" i="443" s="1"/>
  <c r="T36" i="443" s="1"/>
  <c r="AO21" i="266"/>
  <c r="AP21" i="266" s="1"/>
  <c r="BA21" i="266" s="1"/>
  <c r="BJ21" i="266" s="1"/>
  <c r="AV31" i="266"/>
  <c r="N24" i="379"/>
  <c r="Q24" i="379" s="1"/>
  <c r="R24" i="379" s="1"/>
  <c r="T24" i="379" s="1"/>
  <c r="L43" i="380"/>
  <c r="M43" i="380" s="1"/>
  <c r="N43" i="380" s="1"/>
  <c r="Q43" i="380" s="1"/>
  <c r="AP26" i="266"/>
  <c r="BA26" i="266" s="1"/>
  <c r="BJ26" i="266" s="1"/>
  <c r="U13" i="437"/>
  <c r="BG14" i="266"/>
  <c r="AC14" i="266"/>
  <c r="AD26" i="266"/>
  <c r="BH26" i="266"/>
  <c r="N115" i="377"/>
  <c r="Q115" i="377" s="1"/>
  <c r="R115" i="377" s="1"/>
  <c r="U115" i="377" s="1"/>
  <c r="BD11" i="356"/>
  <c r="BD10" i="356" s="1"/>
  <c r="AP13" i="266"/>
  <c r="S50" i="346"/>
  <c r="T50" i="346" s="1"/>
  <c r="S80" i="408"/>
  <c r="T80" i="408" s="1"/>
  <c r="AC24" i="266"/>
  <c r="BG24" i="266"/>
  <c r="T249" i="346"/>
  <c r="N18" i="402"/>
  <c r="N116" i="445"/>
  <c r="AZ17" i="373"/>
  <c r="BA17" i="373" s="1"/>
  <c r="S50" i="377"/>
  <c r="AK78" i="266"/>
  <c r="S70" i="377"/>
  <c r="X43" i="384"/>
  <c r="L71" i="380"/>
  <c r="M71" i="380" s="1"/>
  <c r="AC42" i="266"/>
  <c r="AC43" i="266" s="1"/>
  <c r="BA43" i="266" s="1"/>
  <c r="AC75" i="266"/>
  <c r="S38" i="407"/>
  <c r="T38" i="407"/>
  <c r="S95" i="406"/>
  <c r="T95" i="406" s="1"/>
  <c r="S324" i="405"/>
  <c r="T324" i="405" s="1"/>
  <c r="AC30" i="266"/>
  <c r="BG30" i="266"/>
  <c r="C48" i="400"/>
  <c r="C49" i="400"/>
  <c r="AP17" i="266"/>
  <c r="L18" i="402"/>
  <c r="N120" i="443"/>
  <c r="Q120" i="443" s="1"/>
  <c r="L84" i="285"/>
  <c r="T14" i="388"/>
  <c r="T50" i="377"/>
  <c r="S96" i="377"/>
  <c r="T96" i="377"/>
  <c r="L89" i="380"/>
  <c r="M89" i="380" s="1"/>
  <c r="N89" i="380" s="1"/>
  <c r="Q89" i="380" s="1"/>
  <c r="R89" i="380" s="1"/>
  <c r="T89" i="380" s="1"/>
  <c r="AT13" i="266"/>
  <c r="AY13" i="266" s="1"/>
  <c r="BB13" i="266" s="1"/>
  <c r="AE78" i="266"/>
  <c r="AP95" i="266"/>
  <c r="BA95" i="266" s="1"/>
  <c r="BJ95" i="266" s="1"/>
  <c r="BM95" i="266" s="1"/>
  <c r="BP95" i="266" s="1"/>
  <c r="N59" i="379"/>
  <c r="Q59" i="379" s="1"/>
  <c r="AT33" i="266"/>
  <c r="AY33" i="266" s="1"/>
  <c r="BB33" i="266" s="1"/>
  <c r="BK33" i="266" s="1"/>
  <c r="BQ33" i="266" s="1"/>
  <c r="N36" i="380"/>
  <c r="Q36" i="380" s="1"/>
  <c r="R36" i="380" s="1"/>
  <c r="T36" i="380" s="1"/>
  <c r="N108" i="377"/>
  <c r="Q108" i="377" s="1"/>
  <c r="R108" i="377" s="1"/>
  <c r="T108" i="377" s="1"/>
  <c r="N115" i="437"/>
  <c r="Q115" i="437" s="1"/>
  <c r="R115" i="437" s="1"/>
  <c r="S115" i="437" s="1"/>
  <c r="BG90" i="266"/>
  <c r="N15" i="376"/>
  <c r="J43" i="402"/>
  <c r="J45" i="402" s="1"/>
  <c r="BI26" i="266"/>
  <c r="N114" i="443"/>
  <c r="CH19" i="456"/>
  <c r="N113" i="443"/>
  <c r="N124" i="445"/>
  <c r="Q124" i="445" s="1"/>
  <c r="W119" i="379"/>
  <c r="R119" i="379"/>
  <c r="T119" i="379" s="1"/>
  <c r="R13" i="443"/>
  <c r="T13" i="443" s="1"/>
  <c r="BG68" i="266"/>
  <c r="AC68" i="266"/>
  <c r="AO68" i="266" s="1"/>
  <c r="R88" i="379"/>
  <c r="S88" i="379" s="1"/>
  <c r="R86" i="443"/>
  <c r="T86" i="443"/>
  <c r="M135" i="393"/>
  <c r="J125" i="392"/>
  <c r="J123" i="392" s="1"/>
  <c r="K121" i="392"/>
  <c r="L121" i="392" s="1"/>
  <c r="M16" i="376"/>
  <c r="M13" i="376" s="1"/>
  <c r="M10" i="376" s="1"/>
  <c r="L13" i="376"/>
  <c r="L10" i="376" s="1"/>
  <c r="L102" i="380"/>
  <c r="M102" i="380" s="1"/>
  <c r="N88" i="443"/>
  <c r="Q88" i="443" s="1"/>
  <c r="R88" i="443" s="1"/>
  <c r="S88" i="443" s="1"/>
  <c r="N30" i="443"/>
  <c r="Q30" i="443" s="1"/>
  <c r="R30" i="443" s="1"/>
  <c r="U30" i="443" s="1"/>
  <c r="N106" i="443"/>
  <c r="Q106" i="443" s="1"/>
  <c r="R106" i="443" s="1"/>
  <c r="T106" i="443" s="1"/>
  <c r="H99" i="443"/>
  <c r="M77" i="404"/>
  <c r="N77" i="404" s="1"/>
  <c r="L80" i="404"/>
  <c r="C23" i="226"/>
  <c r="D21" i="226"/>
  <c r="AD77" i="266"/>
  <c r="BH77" i="266"/>
  <c r="R74" i="377"/>
  <c r="T74" i="377" s="1"/>
  <c r="L48" i="380"/>
  <c r="M48" i="380" s="1"/>
  <c r="H48" i="380"/>
  <c r="L19" i="380"/>
  <c r="M19" i="380" s="1"/>
  <c r="H19" i="380"/>
  <c r="AO34" i="266"/>
  <c r="AP34" i="266" s="1"/>
  <c r="BA34" i="266" s="1"/>
  <c r="AK34" i="266"/>
  <c r="M99" i="443"/>
  <c r="N104" i="443"/>
  <c r="Q104" i="443" s="1"/>
  <c r="R104" i="443" s="1"/>
  <c r="U104" i="443" s="1"/>
  <c r="BG81" i="266"/>
  <c r="BI81" i="266" s="1"/>
  <c r="AC81" i="266"/>
  <c r="AE81" i="266" s="1"/>
  <c r="BI89" i="266"/>
  <c r="R86" i="377"/>
  <c r="N92" i="377"/>
  <c r="Q92" i="377" s="1"/>
  <c r="R92" i="377" s="1"/>
  <c r="T92" i="377" s="1"/>
  <c r="E79" i="509"/>
  <c r="X79" i="509" s="1"/>
  <c r="C79" i="509"/>
  <c r="AK19" i="266"/>
  <c r="AI19" i="266"/>
  <c r="N115" i="445"/>
  <c r="AY94" i="266"/>
  <c r="BB94" i="266" s="1"/>
  <c r="BK94" i="266" s="1"/>
  <c r="N121" i="443"/>
  <c r="J94" i="392"/>
  <c r="K122" i="392"/>
  <c r="L122" i="392" s="1"/>
  <c r="BI94" i="266"/>
  <c r="M123" i="379"/>
  <c r="AE75" i="266"/>
  <c r="N21" i="379"/>
  <c r="Q21" i="379" s="1"/>
  <c r="R21" i="379" s="1"/>
  <c r="U21" i="379" s="1"/>
  <c r="N91" i="379"/>
  <c r="Q91" i="379" s="1"/>
  <c r="R91" i="379" s="1"/>
  <c r="S91" i="379" s="1"/>
  <c r="N19" i="379"/>
  <c r="Q19" i="379" s="1"/>
  <c r="AP67" i="266"/>
  <c r="BA67" i="266" s="1"/>
  <c r="AK11" i="266"/>
  <c r="N48" i="379"/>
  <c r="Q48" i="379" s="1"/>
  <c r="R48" i="379" s="1"/>
  <c r="S48" i="379" s="1"/>
  <c r="N30" i="377"/>
  <c r="Q30" i="377" s="1"/>
  <c r="R30" i="377" s="1"/>
  <c r="T30" i="377" s="1"/>
  <c r="BG97" i="266"/>
  <c r="BI97" i="266" s="1"/>
  <c r="D19" i="456"/>
  <c r="CY19" i="456"/>
  <c r="D18" i="456"/>
  <c r="AE19" i="266"/>
  <c r="J53" i="226"/>
  <c r="N122" i="445"/>
  <c r="Q122" i="445" s="1"/>
  <c r="R122" i="445" s="1"/>
  <c r="U122" i="445" s="1"/>
  <c r="M13" i="404"/>
  <c r="AE12" i="266"/>
  <c r="N116" i="443"/>
  <c r="AB14" i="416"/>
  <c r="BK89" i="266"/>
  <c r="BQ89" i="266" s="1"/>
  <c r="BS89" i="266" s="1"/>
  <c r="AC44" i="266"/>
  <c r="BC37" i="335"/>
  <c r="N41" i="379"/>
  <c r="Q41" i="379" s="1"/>
  <c r="N47" i="379"/>
  <c r="Q47" i="379" s="1"/>
  <c r="R47" i="379" s="1"/>
  <c r="U47" i="379" s="1"/>
  <c r="N87" i="380"/>
  <c r="Q87" i="380" s="1"/>
  <c r="R87" i="380" s="1"/>
  <c r="T87" i="380" s="1"/>
  <c r="BI20" i="266"/>
  <c r="BI86" i="266"/>
  <c r="CZ19" i="456"/>
  <c r="P13" i="376"/>
  <c r="P10" i="376" s="1"/>
  <c r="C38" i="509"/>
  <c r="R58" i="379"/>
  <c r="T58" i="379" s="1"/>
  <c r="L76" i="285"/>
  <c r="S120" i="437"/>
  <c r="Q116" i="445"/>
  <c r="R116" i="445" s="1"/>
  <c r="U116" i="445" s="1"/>
  <c r="M14" i="406"/>
  <c r="M9" i="406" s="1"/>
  <c r="H134" i="393"/>
  <c r="H134" i="394"/>
  <c r="D98" i="392"/>
  <c r="D135" i="392" s="1"/>
  <c r="K87" i="392"/>
  <c r="AE77" i="266"/>
  <c r="AC86" i="266"/>
  <c r="AE86" i="266" s="1"/>
  <c r="AK41" i="266"/>
  <c r="BG77" i="266"/>
  <c r="N16" i="376"/>
  <c r="N13" i="376" s="1"/>
  <c r="N10" i="376" s="1"/>
  <c r="H13" i="376"/>
  <c r="H10" i="376" s="1"/>
  <c r="Q112" i="380"/>
  <c r="E21" i="226"/>
  <c r="C21" i="226" s="1"/>
  <c r="L22" i="399"/>
  <c r="M78" i="285"/>
  <c r="N78" i="285" s="1"/>
  <c r="T35" i="377"/>
  <c r="S124" i="437"/>
  <c r="N123" i="445"/>
  <c r="Q123" i="445" s="1"/>
  <c r="T11" i="377"/>
  <c r="T120" i="437"/>
  <c r="R59" i="380"/>
  <c r="U59" i="380" s="1"/>
  <c r="J103" i="392"/>
  <c r="G103" i="392" s="1"/>
  <c r="H103" i="392" s="1"/>
  <c r="R9" i="388"/>
  <c r="T207" i="406"/>
  <c r="N80" i="379"/>
  <c r="Q80" i="379" s="1"/>
  <c r="R80" i="379" s="1"/>
  <c r="S80" i="379" s="1"/>
  <c r="P110" i="380"/>
  <c r="P9" i="380" s="1"/>
  <c r="L22" i="404"/>
  <c r="U35" i="377"/>
  <c r="S59" i="443"/>
  <c r="K9" i="139"/>
  <c r="AI41" i="266"/>
  <c r="BU19" i="456"/>
  <c r="BW19" i="458" s="1"/>
  <c r="BU19" i="466"/>
  <c r="BU19" i="465"/>
  <c r="M10" i="381"/>
  <c r="X9" i="428"/>
  <c r="AB12" i="416" s="1"/>
  <c r="P110" i="437"/>
  <c r="P9" i="437" s="1"/>
  <c r="N83" i="379"/>
  <c r="Q83" i="379" s="1"/>
  <c r="R83" i="379" s="1"/>
  <c r="T83" i="379" s="1"/>
  <c r="R333" i="408"/>
  <c r="R126" i="380"/>
  <c r="U126" i="380" s="1"/>
  <c r="N67" i="379"/>
  <c r="Q67" i="379" s="1"/>
  <c r="R67" i="379" s="1"/>
  <c r="U67" i="379" s="1"/>
  <c r="N98" i="379"/>
  <c r="Q98" i="379" s="1"/>
  <c r="N97" i="377"/>
  <c r="Q97" i="377" s="1"/>
  <c r="N109" i="377"/>
  <c r="Q109" i="377" s="1"/>
  <c r="R109" i="377" s="1"/>
  <c r="U109" i="377" s="1"/>
  <c r="N35" i="379"/>
  <c r="Q35" i="379" s="1"/>
  <c r="R35" i="379" s="1"/>
  <c r="T35" i="379" s="1"/>
  <c r="N30" i="379"/>
  <c r="Q30" i="379" s="1"/>
  <c r="N88" i="377"/>
  <c r="N42" i="377"/>
  <c r="Q42" i="377" s="1"/>
  <c r="R42" i="377" s="1"/>
  <c r="U42" i="377" s="1"/>
  <c r="K94" i="394"/>
  <c r="AY78" i="266"/>
  <c r="BB78" i="266" s="1"/>
  <c r="BK78" i="266" s="1"/>
  <c r="R130" i="380"/>
  <c r="T130" i="380" s="1"/>
  <c r="P110" i="377"/>
  <c r="P9" i="377" s="1"/>
  <c r="D48" i="226"/>
  <c r="R124" i="379"/>
  <c r="S124" i="379" s="1"/>
  <c r="N99" i="443"/>
  <c r="R19" i="376"/>
  <c r="R129" i="380"/>
  <c r="R17" i="376"/>
  <c r="R120" i="379"/>
  <c r="T120" i="379" s="1"/>
  <c r="N18" i="404"/>
  <c r="R121" i="379"/>
  <c r="T121" i="379" s="1"/>
  <c r="R115" i="380"/>
  <c r="S115" i="380" s="1"/>
  <c r="J99" i="392"/>
  <c r="G99" i="392" s="1"/>
  <c r="H99" i="392" s="1"/>
  <c r="J9" i="380"/>
  <c r="Q113" i="380"/>
  <c r="W113" i="380" s="1"/>
  <c r="AG13" i="428"/>
  <c r="AI13" i="428"/>
  <c r="AK13" i="428" s="1"/>
  <c r="AG12" i="428"/>
  <c r="AI12" i="428"/>
  <c r="AJ12" i="428"/>
  <c r="C80" i="448"/>
  <c r="V13" i="418"/>
  <c r="V9" i="418" s="1"/>
  <c r="D19" i="466"/>
  <c r="BL19" i="466" s="1"/>
  <c r="CW20" i="456"/>
  <c r="R22" i="380"/>
  <c r="S22" i="380" s="1"/>
  <c r="R38" i="443"/>
  <c r="T38" i="443" s="1"/>
  <c r="L76" i="404"/>
  <c r="T54" i="377"/>
  <c r="S71" i="377"/>
  <c r="T71" i="377"/>
  <c r="Q100" i="443"/>
  <c r="U25" i="443"/>
  <c r="Q113" i="437"/>
  <c r="R113" i="437" s="1"/>
  <c r="N121" i="445"/>
  <c r="Q121" i="445" s="1"/>
  <c r="R121" i="445" s="1"/>
  <c r="S121" i="445" s="1"/>
  <c r="F135" i="392"/>
  <c r="L99" i="392"/>
  <c r="M99" i="392" s="1"/>
  <c r="R20" i="443"/>
  <c r="U20" i="443" s="1"/>
  <c r="S14" i="377"/>
  <c r="R43" i="346"/>
  <c r="R34" i="408"/>
  <c r="V77" i="379"/>
  <c r="N99" i="380"/>
  <c r="Q99" i="380" s="1"/>
  <c r="AD74" i="266"/>
  <c r="AT74" i="266" s="1"/>
  <c r="BH83" i="266"/>
  <c r="AD83" i="266"/>
  <c r="T67" i="509"/>
  <c r="W67" i="509"/>
  <c r="F199" i="393"/>
  <c r="L22" i="285"/>
  <c r="T49" i="377"/>
  <c r="G19" i="396"/>
  <c r="S49" i="377"/>
  <c r="S340" i="408"/>
  <c r="T340" i="408" s="1"/>
  <c r="T21" i="377"/>
  <c r="AE33" i="266"/>
  <c r="V71" i="379"/>
  <c r="C33" i="226"/>
  <c r="AY75" i="266"/>
  <c r="N107" i="379"/>
  <c r="Q107" i="379" s="1"/>
  <c r="AI81" i="266"/>
  <c r="BG42" i="266"/>
  <c r="BG43" i="266" s="1"/>
  <c r="BJ43" i="266" s="1"/>
  <c r="AC96" i="266"/>
  <c r="AE96" i="266" s="1"/>
  <c r="AC89" i="266"/>
  <c r="E81" i="448"/>
  <c r="N11" i="447" s="1"/>
  <c r="O11" i="447" s="1"/>
  <c r="F81" i="448"/>
  <c r="Q11" i="447" s="1"/>
  <c r="R11" i="447" s="1"/>
  <c r="C81" i="448"/>
  <c r="BH76" i="266"/>
  <c r="BI76" i="266" s="1"/>
  <c r="AD76" i="266"/>
  <c r="AC84" i="266"/>
  <c r="BG84" i="266"/>
  <c r="BI84" i="266" s="1"/>
  <c r="R117" i="437"/>
  <c r="S117" i="437" s="1"/>
  <c r="K49" i="124"/>
  <c r="K51" i="124" s="1"/>
  <c r="F80" i="448"/>
  <c r="Q10" i="447" s="1"/>
  <c r="E80" i="448"/>
  <c r="N10" i="447" s="1"/>
  <c r="T334" i="405"/>
  <c r="AO40" i="266"/>
  <c r="S54" i="377"/>
  <c r="S58" i="379"/>
  <c r="K11" i="284"/>
  <c r="J31" i="254"/>
  <c r="S10" i="407"/>
  <c r="S21" i="377"/>
  <c r="R207" i="406"/>
  <c r="V14" i="379"/>
  <c r="AO81" i="266"/>
  <c r="BI75" i="266"/>
  <c r="AK81" i="266"/>
  <c r="H30" i="380"/>
  <c r="N30" i="380" s="1"/>
  <c r="Q30" i="380" s="1"/>
  <c r="J131" i="392"/>
  <c r="G131" i="392" s="1"/>
  <c r="H131" i="392" s="1"/>
  <c r="BH66" i="266"/>
  <c r="BI66" i="266" s="1"/>
  <c r="AD66" i="266"/>
  <c r="AE66" i="266" s="1"/>
  <c r="AD72" i="266"/>
  <c r="BH72" i="266"/>
  <c r="BI72" i="266" s="1"/>
  <c r="BU20" i="456"/>
  <c r="CH20" i="456"/>
  <c r="I51" i="124"/>
  <c r="Q122" i="443"/>
  <c r="N110" i="445"/>
  <c r="Q110" i="445" s="1"/>
  <c r="R110" i="445" s="1"/>
  <c r="U110" i="445" s="1"/>
  <c r="N20" i="380"/>
  <c r="Q20" i="380" s="1"/>
  <c r="R20" i="380" s="1"/>
  <c r="T20" i="380" s="1"/>
  <c r="N95" i="380"/>
  <c r="Q95" i="380" s="1"/>
  <c r="R95" i="380" s="1"/>
  <c r="U95" i="380" s="1"/>
  <c r="N80" i="377"/>
  <c r="Q80" i="377" s="1"/>
  <c r="N51" i="379"/>
  <c r="Q51" i="379" s="1"/>
  <c r="R51" i="379" s="1"/>
  <c r="S51" i="379" s="1"/>
  <c r="R15" i="437"/>
  <c r="S15" i="437" s="1"/>
  <c r="BH21" i="266"/>
  <c r="BI21" i="266" s="1"/>
  <c r="AD21" i="266"/>
  <c r="BH68" i="266"/>
  <c r="BI68" i="266" s="1"/>
  <c r="AD68" i="266"/>
  <c r="L44" i="380"/>
  <c r="M44" i="380" s="1"/>
  <c r="H44" i="380"/>
  <c r="L96" i="380"/>
  <c r="M96" i="380" s="1"/>
  <c r="H96" i="380"/>
  <c r="H61" i="380"/>
  <c r="L61" i="380"/>
  <c r="M61" i="380" s="1"/>
  <c r="H47" i="380"/>
  <c r="L47" i="380"/>
  <c r="M47" i="380" s="1"/>
  <c r="L92" i="380"/>
  <c r="M92" i="380" s="1"/>
  <c r="H92" i="380"/>
  <c r="L56" i="380"/>
  <c r="M56" i="380" s="1"/>
  <c r="H56" i="380"/>
  <c r="L18" i="380"/>
  <c r="M18" i="380" s="1"/>
  <c r="H18" i="380"/>
  <c r="H105" i="380"/>
  <c r="L105" i="380"/>
  <c r="M105" i="380" s="1"/>
  <c r="L75" i="380"/>
  <c r="M75" i="380" s="1"/>
  <c r="H75" i="380"/>
  <c r="H32" i="380"/>
  <c r="L32" i="380"/>
  <c r="M32" i="380" s="1"/>
  <c r="L29" i="380"/>
  <c r="M29" i="380" s="1"/>
  <c r="H29" i="380"/>
  <c r="AK90" i="266"/>
  <c r="AI90" i="266"/>
  <c r="L70" i="380"/>
  <c r="M70" i="380" s="1"/>
  <c r="H70" i="380"/>
  <c r="N33" i="380"/>
  <c r="Q33" i="380" s="1"/>
  <c r="R33" i="380" s="1"/>
  <c r="S33" i="380" s="1"/>
  <c r="N98" i="377"/>
  <c r="Q98" i="377" s="1"/>
  <c r="R98" i="377" s="1"/>
  <c r="T98" i="377" s="1"/>
  <c r="AT86" i="266"/>
  <c r="AV86" i="266"/>
  <c r="AP78" i="266"/>
  <c r="AD25" i="266"/>
  <c r="BH25" i="266"/>
  <c r="BG88" i="266"/>
  <c r="BI88" i="266" s="1"/>
  <c r="AC88" i="266"/>
  <c r="H57" i="380"/>
  <c r="L57" i="380"/>
  <c r="M57" i="380" s="1"/>
  <c r="L54" i="380"/>
  <c r="M54" i="380" s="1"/>
  <c r="H54" i="380"/>
  <c r="H88" i="380"/>
  <c r="L88" i="380"/>
  <c r="M88" i="380" s="1"/>
  <c r="L23" i="380"/>
  <c r="M23" i="380" s="1"/>
  <c r="H23" i="380"/>
  <c r="H55" i="380"/>
  <c r="L55" i="380"/>
  <c r="M55" i="380" s="1"/>
  <c r="L84" i="380"/>
  <c r="M84" i="380" s="1"/>
  <c r="H84" i="380"/>
  <c r="L42" i="380"/>
  <c r="M42" i="380" s="1"/>
  <c r="H42" i="380"/>
  <c r="H98" i="380"/>
  <c r="L98" i="380"/>
  <c r="M98" i="380" s="1"/>
  <c r="H67" i="380"/>
  <c r="L67" i="380"/>
  <c r="M67" i="380" s="1"/>
  <c r="L24" i="380"/>
  <c r="M24" i="380" s="1"/>
  <c r="H24" i="380"/>
  <c r="L37" i="380"/>
  <c r="M37" i="380" s="1"/>
  <c r="H37" i="380"/>
  <c r="AI66" i="266"/>
  <c r="AK66" i="266"/>
  <c r="AO66" i="266"/>
  <c r="AO97" i="266"/>
  <c r="AI97" i="266"/>
  <c r="AK97" i="266"/>
  <c r="AE97" i="266"/>
  <c r="AV10" i="266"/>
  <c r="AT10" i="266"/>
  <c r="AV74" i="266"/>
  <c r="N79" i="380"/>
  <c r="Q79" i="380" s="1"/>
  <c r="N85" i="380"/>
  <c r="Q85" i="380" s="1"/>
  <c r="N60" i="380"/>
  <c r="Q60" i="380" s="1"/>
  <c r="N72" i="377"/>
  <c r="Q72" i="377" s="1"/>
  <c r="R72" i="377" s="1"/>
  <c r="S72" i="377" s="1"/>
  <c r="N43" i="377"/>
  <c r="Q43" i="377" s="1"/>
  <c r="R43" i="377" s="1"/>
  <c r="U43" i="377" s="1"/>
  <c r="N99" i="377"/>
  <c r="Q99" i="377" s="1"/>
  <c r="N96" i="379"/>
  <c r="Q96" i="379" s="1"/>
  <c r="R96" i="379" s="1"/>
  <c r="U96" i="379" s="1"/>
  <c r="AD34" i="266"/>
  <c r="BH34" i="266"/>
  <c r="BI34" i="266" s="1"/>
  <c r="AC91" i="266"/>
  <c r="AE91" i="266" s="1"/>
  <c r="BG91" i="266"/>
  <c r="BI91" i="266" s="1"/>
  <c r="L25" i="380"/>
  <c r="M25" i="380" s="1"/>
  <c r="H25" i="380"/>
  <c r="H123" i="380"/>
  <c r="H110" i="380" s="1"/>
  <c r="L80" i="380"/>
  <c r="M80" i="380" s="1"/>
  <c r="H80" i="380"/>
  <c r="H38" i="380"/>
  <c r="L38" i="380"/>
  <c r="M38" i="380" s="1"/>
  <c r="L31" i="380"/>
  <c r="M31" i="380" s="1"/>
  <c r="H31" i="380"/>
  <c r="H107" i="380"/>
  <c r="L107" i="380"/>
  <c r="M107" i="380" s="1"/>
  <c r="H76" i="380"/>
  <c r="L76" i="380"/>
  <c r="M76" i="380" s="1"/>
  <c r="H34" i="380"/>
  <c r="L34" i="380"/>
  <c r="M34" i="380" s="1"/>
  <c r="L27" i="380"/>
  <c r="M27" i="380" s="1"/>
  <c r="H27" i="380"/>
  <c r="H52" i="380"/>
  <c r="L52" i="380"/>
  <c r="M52" i="380" s="1"/>
  <c r="L17" i="380"/>
  <c r="M17" i="380" s="1"/>
  <c r="H17" i="380"/>
  <c r="L45" i="380"/>
  <c r="M45" i="380" s="1"/>
  <c r="H45" i="380"/>
  <c r="AT95" i="266"/>
  <c r="AY95" i="266" s="1"/>
  <c r="AE95" i="266"/>
  <c r="N55" i="379"/>
  <c r="Q55" i="379" s="1"/>
  <c r="Q57" i="396"/>
  <c r="W98" i="266"/>
  <c r="W99" i="266" s="1"/>
  <c r="W100" i="266" s="1"/>
  <c r="AK16" i="266"/>
  <c r="AO16" i="266"/>
  <c r="T96" i="443"/>
  <c r="AY81" i="266"/>
  <c r="BB81" i="266" s="1"/>
  <c r="N74" i="443"/>
  <c r="Q74" i="443" s="1"/>
  <c r="R74" i="443" s="1"/>
  <c r="N75" i="443"/>
  <c r="Q75" i="443" s="1"/>
  <c r="R75" i="443" s="1"/>
  <c r="U75" i="443" s="1"/>
  <c r="P10" i="345"/>
  <c r="Q11" i="345"/>
  <c r="Q10" i="345" s="1"/>
  <c r="J9" i="293"/>
  <c r="K9" i="293" s="1"/>
  <c r="L9" i="293" s="1"/>
  <c r="AT18" i="266"/>
  <c r="AV18" i="266"/>
  <c r="L103" i="380"/>
  <c r="M103" i="380" s="1"/>
  <c r="H103" i="380"/>
  <c r="H72" i="380"/>
  <c r="L72" i="380"/>
  <c r="M72" i="380" s="1"/>
  <c r="H39" i="380"/>
  <c r="L39" i="380"/>
  <c r="M39" i="380" s="1"/>
  <c r="H100" i="380"/>
  <c r="L100" i="380"/>
  <c r="M100" i="380" s="1"/>
  <c r="H68" i="380"/>
  <c r="L68" i="380"/>
  <c r="M68" i="380" s="1"/>
  <c r="L26" i="380"/>
  <c r="M26" i="380" s="1"/>
  <c r="H26" i="380"/>
  <c r="H35" i="380"/>
  <c r="L35" i="380"/>
  <c r="M35" i="380" s="1"/>
  <c r="H63" i="380"/>
  <c r="L63" i="380"/>
  <c r="M63" i="380" s="1"/>
  <c r="L83" i="380"/>
  <c r="M83" i="380" s="1"/>
  <c r="H83" i="380"/>
  <c r="L40" i="380"/>
  <c r="M40" i="380" s="1"/>
  <c r="H40" i="380"/>
  <c r="L21" i="380"/>
  <c r="M21" i="380" s="1"/>
  <c r="H21" i="380"/>
  <c r="L53" i="380"/>
  <c r="M53" i="380" s="1"/>
  <c r="H53" i="380"/>
  <c r="E17" i="237"/>
  <c r="F6" i="237"/>
  <c r="AV67" i="266"/>
  <c r="AT67" i="266"/>
  <c r="AE67" i="266"/>
  <c r="N82" i="380"/>
  <c r="Q82" i="380" s="1"/>
  <c r="AK72" i="266"/>
  <c r="AI72" i="266"/>
  <c r="AO72" i="266"/>
  <c r="S57" i="396"/>
  <c r="AK87" i="266"/>
  <c r="AO87" i="266"/>
  <c r="AI87" i="266"/>
  <c r="BA70" i="266"/>
  <c r="BJ70" i="266" s="1"/>
  <c r="AZ70" i="266"/>
  <c r="R77" i="377"/>
  <c r="T77" i="377" s="1"/>
  <c r="H63" i="437"/>
  <c r="L63" i="437"/>
  <c r="M63" i="437" s="1"/>
  <c r="H21" i="437"/>
  <c r="L21" i="437"/>
  <c r="M21" i="437" s="1"/>
  <c r="S344" i="408"/>
  <c r="T344" i="408" s="1"/>
  <c r="T333" i="408" s="1"/>
  <c r="S300" i="408"/>
  <c r="T300" i="408" s="1"/>
  <c r="J10" i="144"/>
  <c r="I10" i="144"/>
  <c r="W49" i="384"/>
  <c r="X49" i="384" s="1"/>
  <c r="H104" i="380"/>
  <c r="L104" i="380"/>
  <c r="M104" i="380" s="1"/>
  <c r="M123" i="380"/>
  <c r="AC28" i="266"/>
  <c r="BG28" i="266"/>
  <c r="BH39" i="266"/>
  <c r="AD39" i="266"/>
  <c r="BG74" i="266"/>
  <c r="BI74" i="266" s="1"/>
  <c r="AC74" i="266"/>
  <c r="AD85" i="266"/>
  <c r="BH85" i="266"/>
  <c r="AD93" i="266"/>
  <c r="BH93" i="266"/>
  <c r="BI93" i="266" s="1"/>
  <c r="N12" i="404"/>
  <c r="N117" i="443"/>
  <c r="Q117" i="443" s="1"/>
  <c r="R117" i="443" s="1"/>
  <c r="T113" i="437"/>
  <c r="D134" i="394"/>
  <c r="AP93" i="266"/>
  <c r="BA93" i="266" s="1"/>
  <c r="N17" i="379"/>
  <c r="Q17" i="379" s="1"/>
  <c r="N125" i="445"/>
  <c r="Q125" i="445" s="1"/>
  <c r="R125" i="445" s="1"/>
  <c r="U125" i="445" s="1"/>
  <c r="T10" i="408"/>
  <c r="N19" i="380"/>
  <c r="Q19" i="380" s="1"/>
  <c r="R19" i="380" s="1"/>
  <c r="N116" i="377"/>
  <c r="Q116" i="377" s="1"/>
  <c r="R116" i="377" s="1"/>
  <c r="U116" i="377" s="1"/>
  <c r="Q112" i="377"/>
  <c r="N39" i="379"/>
  <c r="Q39" i="379" s="1"/>
  <c r="N56" i="379"/>
  <c r="Q56" i="379" s="1"/>
  <c r="R56" i="379" s="1"/>
  <c r="U56" i="379" s="1"/>
  <c r="N73" i="380"/>
  <c r="Q73" i="380" s="1"/>
  <c r="R73" i="380" s="1"/>
  <c r="U73" i="380" s="1"/>
  <c r="N94" i="380"/>
  <c r="Q94" i="380" s="1"/>
  <c r="R94" i="380" s="1"/>
  <c r="T94" i="380" s="1"/>
  <c r="U14" i="377"/>
  <c r="N93" i="443"/>
  <c r="Q93" i="443" s="1"/>
  <c r="R93" i="443" s="1"/>
  <c r="S93" i="443" s="1"/>
  <c r="N67" i="443"/>
  <c r="Q67" i="443" s="1"/>
  <c r="R67" i="443" s="1"/>
  <c r="S67" i="443" s="1"/>
  <c r="K11" i="143"/>
  <c r="K12" i="143" s="1"/>
  <c r="L36" i="445"/>
  <c r="M36" i="445" s="1"/>
  <c r="H36" i="445"/>
  <c r="H66" i="437"/>
  <c r="L66" i="437"/>
  <c r="M66" i="437" s="1"/>
  <c r="H27" i="437"/>
  <c r="L27" i="437"/>
  <c r="M27" i="437" s="1"/>
  <c r="L37" i="437"/>
  <c r="M37" i="437" s="1"/>
  <c r="H37" i="437"/>
  <c r="S211" i="408"/>
  <c r="T211" i="408" s="1"/>
  <c r="W20" i="384"/>
  <c r="X20" i="384" s="1"/>
  <c r="W39" i="384"/>
  <c r="X39" i="384" s="1"/>
  <c r="W41" i="384"/>
  <c r="X41" i="384" s="1"/>
  <c r="AO96" i="266"/>
  <c r="AI96" i="266"/>
  <c r="AK96" i="266"/>
  <c r="R125" i="437"/>
  <c r="BH11" i="266"/>
  <c r="BI11" i="266" s="1"/>
  <c r="AD11" i="266"/>
  <c r="BG39" i="266"/>
  <c r="AC39" i="266"/>
  <c r="AD90" i="266"/>
  <c r="BH90" i="266"/>
  <c r="BI90" i="266" s="1"/>
  <c r="AI77" i="266"/>
  <c r="AO77" i="266"/>
  <c r="K118" i="393"/>
  <c r="K89" i="392"/>
  <c r="S58" i="437"/>
  <c r="AP41" i="266"/>
  <c r="BA41" i="266" s="1"/>
  <c r="BJ41" i="266" s="1"/>
  <c r="AP11" i="266"/>
  <c r="O6" i="380"/>
  <c r="S13" i="379"/>
  <c r="U13" i="379"/>
  <c r="V13" i="379" s="1"/>
  <c r="R41" i="379"/>
  <c r="S41" i="379" s="1"/>
  <c r="R114" i="380"/>
  <c r="T114" i="380" s="1"/>
  <c r="R85" i="380"/>
  <c r="U85" i="380" s="1"/>
  <c r="M21" i="285"/>
  <c r="N20" i="285"/>
  <c r="N21" i="285" s="1"/>
  <c r="R51" i="380"/>
  <c r="S51" i="380" s="1"/>
  <c r="R124" i="380"/>
  <c r="U124" i="380" s="1"/>
  <c r="N72" i="404"/>
  <c r="M13" i="399"/>
  <c r="M22" i="399" s="1"/>
  <c r="S10" i="408"/>
  <c r="D134" i="393"/>
  <c r="D168" i="393" s="1"/>
  <c r="T55" i="377"/>
  <c r="U120" i="377"/>
  <c r="T25" i="443"/>
  <c r="F134" i="393"/>
  <c r="F168" i="393" s="1"/>
  <c r="S12" i="377"/>
  <c r="R31" i="443"/>
  <c r="U31" i="443" s="1"/>
  <c r="L64" i="379"/>
  <c r="T88" i="379"/>
  <c r="S165" i="408"/>
  <c r="T165" i="408" s="1"/>
  <c r="S52" i="407"/>
  <c r="T52" i="407" s="1"/>
  <c r="S129" i="408"/>
  <c r="T129" i="408" s="1"/>
  <c r="J48" i="285"/>
  <c r="J50" i="285" s="1"/>
  <c r="I50" i="285"/>
  <c r="AV77" i="266"/>
  <c r="AT77" i="266"/>
  <c r="BG98" i="266"/>
  <c r="BG99" i="266" s="1"/>
  <c r="BG100" i="266" s="1"/>
  <c r="BI70" i="266"/>
  <c r="N71" i="380"/>
  <c r="Q71" i="380" s="1"/>
  <c r="AT41" i="266"/>
  <c r="AY41" i="266" s="1"/>
  <c r="AE41" i="266"/>
  <c r="R122" i="377"/>
  <c r="U122" i="377" s="1"/>
  <c r="U55" i="377"/>
  <c r="M87" i="392"/>
  <c r="T109" i="377"/>
  <c r="U97" i="443"/>
  <c r="U15" i="379"/>
  <c r="S12" i="379"/>
  <c r="S25" i="443"/>
  <c r="S123" i="377"/>
  <c r="U88" i="379"/>
  <c r="R25" i="406"/>
  <c r="R27" i="405"/>
  <c r="S127" i="406"/>
  <c r="T127" i="406" s="1"/>
  <c r="S13" i="405"/>
  <c r="R10" i="405"/>
  <c r="S33" i="346"/>
  <c r="T33" i="346" s="1"/>
  <c r="S45" i="407"/>
  <c r="T45" i="407" s="1"/>
  <c r="S382" i="346"/>
  <c r="T382" i="346" s="1"/>
  <c r="T344" i="346" s="1"/>
  <c r="R344" i="346"/>
  <c r="S12" i="406"/>
  <c r="R10" i="406"/>
  <c r="AO86" i="266"/>
  <c r="AI86" i="266"/>
  <c r="R60" i="380"/>
  <c r="T60" i="380" s="1"/>
  <c r="AI79" i="266"/>
  <c r="AO79" i="266"/>
  <c r="M96" i="402"/>
  <c r="M92" i="402"/>
  <c r="N92" i="402" s="1"/>
  <c r="T65" i="380"/>
  <c r="AY31" i="266"/>
  <c r="BB31" i="266" s="1"/>
  <c r="BK31" i="266" s="1"/>
  <c r="AI94" i="266"/>
  <c r="AK94" i="266"/>
  <c r="AO94" i="266"/>
  <c r="AE94" i="266"/>
  <c r="AP69" i="266"/>
  <c r="BA69" i="266" s="1"/>
  <c r="BJ69" i="266" s="1"/>
  <c r="BM69" i="266" s="1"/>
  <c r="BP69" i="266" s="1"/>
  <c r="S169" i="408"/>
  <c r="T169" i="408" s="1"/>
  <c r="S152" i="408"/>
  <c r="T152" i="408" s="1"/>
  <c r="S245" i="408"/>
  <c r="T245" i="408" s="1"/>
  <c r="S15" i="346"/>
  <c r="R10" i="346"/>
  <c r="S209" i="408"/>
  <c r="T209" i="408" s="1"/>
  <c r="M13" i="285"/>
  <c r="L75" i="404"/>
  <c r="S55" i="377"/>
  <c r="U29" i="443"/>
  <c r="T12" i="379"/>
  <c r="V12" i="379" s="1"/>
  <c r="U59" i="443"/>
  <c r="U113" i="437"/>
  <c r="N117" i="445"/>
  <c r="Q117" i="445" s="1"/>
  <c r="H9" i="152"/>
  <c r="O10" i="403"/>
  <c r="O22" i="403" s="1"/>
  <c r="S11" i="377"/>
  <c r="H101" i="379"/>
  <c r="N123" i="379"/>
  <c r="Q123" i="379" s="1"/>
  <c r="W123" i="379" s="1"/>
  <c r="S207" i="406"/>
  <c r="S173" i="408"/>
  <c r="T173" i="408" s="1"/>
  <c r="S68" i="407"/>
  <c r="T68" i="407" s="1"/>
  <c r="S14" i="406"/>
  <c r="T14" i="406" s="1"/>
  <c r="S69" i="408"/>
  <c r="T69" i="408" s="1"/>
  <c r="L108" i="380"/>
  <c r="M108" i="380" s="1"/>
  <c r="H108" i="380"/>
  <c r="N91" i="380"/>
  <c r="Q91" i="380" s="1"/>
  <c r="E42" i="237"/>
  <c r="F36" i="237"/>
  <c r="AV91" i="266"/>
  <c r="AT91" i="266"/>
  <c r="L110" i="377"/>
  <c r="R10" i="408"/>
  <c r="N102" i="380"/>
  <c r="Q102" i="380" s="1"/>
  <c r="R10" i="407"/>
  <c r="N93" i="402"/>
  <c r="N96" i="402" s="1"/>
  <c r="AO71" i="266"/>
  <c r="AK71" i="266"/>
  <c r="AI71" i="266"/>
  <c r="U65" i="380"/>
  <c r="N40" i="379"/>
  <c r="Q40" i="379" s="1"/>
  <c r="AT32" i="266"/>
  <c r="AV32" i="266"/>
  <c r="J86" i="392"/>
  <c r="G86" i="392" s="1"/>
  <c r="L80" i="445"/>
  <c r="M80" i="445" s="1"/>
  <c r="H80" i="445"/>
  <c r="L76" i="437"/>
  <c r="M76" i="437" s="1"/>
  <c r="H76" i="437"/>
  <c r="L45" i="437"/>
  <c r="M45" i="437" s="1"/>
  <c r="H45" i="437"/>
  <c r="H51" i="437"/>
  <c r="L51" i="437"/>
  <c r="M51" i="437" s="1"/>
  <c r="R63" i="377"/>
  <c r="S63" i="377" s="1"/>
  <c r="R46" i="445"/>
  <c r="T46" i="445" s="1"/>
  <c r="L61" i="437"/>
  <c r="M61" i="437" s="1"/>
  <c r="H61" i="437"/>
  <c r="L46" i="437"/>
  <c r="M46" i="437" s="1"/>
  <c r="H46" i="437"/>
  <c r="H35" i="437"/>
  <c r="L35" i="437"/>
  <c r="M35" i="437" s="1"/>
  <c r="T25" i="377"/>
  <c r="U108" i="377"/>
  <c r="U51" i="377"/>
  <c r="H64" i="379"/>
  <c r="N116" i="437"/>
  <c r="Q116" i="437" s="1"/>
  <c r="R116" i="437" s="1"/>
  <c r="T116" i="437" s="1"/>
  <c r="K120" i="392"/>
  <c r="L120" i="392" s="1"/>
  <c r="L47" i="445"/>
  <c r="M47" i="445" s="1"/>
  <c r="H47" i="445"/>
  <c r="H57" i="445"/>
  <c r="L57" i="445"/>
  <c r="M57" i="445" s="1"/>
  <c r="L94" i="437"/>
  <c r="M94" i="437" s="1"/>
  <c r="H94" i="437"/>
  <c r="H44" i="437"/>
  <c r="L44" i="437"/>
  <c r="M44" i="437" s="1"/>
  <c r="L73" i="437"/>
  <c r="M73" i="437" s="1"/>
  <c r="H73" i="437"/>
  <c r="H76" i="445"/>
  <c r="L76" i="445"/>
  <c r="M76" i="445" s="1"/>
  <c r="H63" i="445"/>
  <c r="L63" i="445"/>
  <c r="M63" i="445" s="1"/>
  <c r="H105" i="437"/>
  <c r="L105" i="437"/>
  <c r="M105" i="437" s="1"/>
  <c r="H70" i="437"/>
  <c r="L70" i="437"/>
  <c r="M70" i="437" s="1"/>
  <c r="L53" i="437"/>
  <c r="M53" i="437" s="1"/>
  <c r="H53" i="437"/>
  <c r="L54" i="437"/>
  <c r="M54" i="437" s="1"/>
  <c r="H54" i="437"/>
  <c r="R17" i="379"/>
  <c r="T17" i="379" s="1"/>
  <c r="S11" i="379"/>
  <c r="T11" i="379"/>
  <c r="V11" i="379" s="1"/>
  <c r="S15" i="379"/>
  <c r="N103" i="379"/>
  <c r="Q103" i="379" s="1"/>
  <c r="Q116" i="443"/>
  <c r="R116" i="443" s="1"/>
  <c r="T116" i="443" s="1"/>
  <c r="U3" i="429"/>
  <c r="Q114" i="443"/>
  <c r="R114" i="443" s="1"/>
  <c r="T114" i="443" s="1"/>
  <c r="N113" i="445"/>
  <c r="BK19" i="459"/>
  <c r="Q126" i="443"/>
  <c r="R126" i="443" s="1"/>
  <c r="S126" i="443" s="1"/>
  <c r="T15" i="379"/>
  <c r="V15" i="379" s="1"/>
  <c r="T33" i="380"/>
  <c r="U33" i="380"/>
  <c r="R93" i="379"/>
  <c r="T93" i="379" s="1"/>
  <c r="R38" i="379"/>
  <c r="U38" i="379" s="1"/>
  <c r="R32" i="379"/>
  <c r="S32" i="379" s="1"/>
  <c r="T26" i="379"/>
  <c r="V26" i="379" s="1"/>
  <c r="U22" i="379"/>
  <c r="N112" i="445"/>
  <c r="R119" i="437"/>
  <c r="T119" i="437" s="1"/>
  <c r="L93" i="445"/>
  <c r="M93" i="445" s="1"/>
  <c r="H93" i="445"/>
  <c r="L66" i="445"/>
  <c r="M66" i="445" s="1"/>
  <c r="H66" i="445"/>
  <c r="L52" i="445"/>
  <c r="M52" i="445" s="1"/>
  <c r="H52" i="445"/>
  <c r="L49" i="445"/>
  <c r="M49" i="445" s="1"/>
  <c r="H49" i="445"/>
  <c r="R122" i="437"/>
  <c r="S122" i="437" s="1"/>
  <c r="L107" i="437"/>
  <c r="M107" i="437" s="1"/>
  <c r="H107" i="437"/>
  <c r="L89" i="437"/>
  <c r="M89" i="437" s="1"/>
  <c r="H89" i="437"/>
  <c r="L60" i="437"/>
  <c r="M60" i="437" s="1"/>
  <c r="H60" i="437"/>
  <c r="L52" i="437"/>
  <c r="M52" i="437" s="1"/>
  <c r="H52" i="437"/>
  <c r="R69" i="379"/>
  <c r="S69" i="379" s="1"/>
  <c r="T195" i="405"/>
  <c r="T27" i="405" s="1"/>
  <c r="S27" i="405"/>
  <c r="U81" i="377"/>
  <c r="S27" i="377"/>
  <c r="U15" i="380"/>
  <c r="V15" i="380" s="1"/>
  <c r="T63" i="379"/>
  <c r="U13" i="380"/>
  <c r="BO19" i="461"/>
  <c r="L81" i="445"/>
  <c r="M81" i="445" s="1"/>
  <c r="H81" i="445"/>
  <c r="L17" i="445"/>
  <c r="M17" i="445" s="1"/>
  <c r="H17" i="445"/>
  <c r="L65" i="445"/>
  <c r="M65" i="445" s="1"/>
  <c r="H65" i="445"/>
  <c r="H50" i="445"/>
  <c r="L50" i="445"/>
  <c r="M50" i="445" s="1"/>
  <c r="R118" i="437"/>
  <c r="T118" i="437" s="1"/>
  <c r="H92" i="437"/>
  <c r="L92" i="437"/>
  <c r="M92" i="437" s="1"/>
  <c r="H95" i="437"/>
  <c r="L95" i="437"/>
  <c r="M95" i="437" s="1"/>
  <c r="H68" i="437"/>
  <c r="L68" i="437"/>
  <c r="M68" i="437" s="1"/>
  <c r="R128" i="380"/>
  <c r="T128" i="380" s="1"/>
  <c r="BQ78" i="266"/>
  <c r="BS78" i="266" s="1"/>
  <c r="T121" i="377"/>
  <c r="S60" i="379"/>
  <c r="T60" i="379"/>
  <c r="V60" i="379" s="1"/>
  <c r="S67" i="377"/>
  <c r="H102" i="437"/>
  <c r="L102" i="437"/>
  <c r="M102" i="437" s="1"/>
  <c r="L103" i="437"/>
  <c r="M103" i="437" s="1"/>
  <c r="H103" i="437"/>
  <c r="H97" i="437"/>
  <c r="L97" i="437"/>
  <c r="M97" i="437" s="1"/>
  <c r="L86" i="437"/>
  <c r="M86" i="437" s="1"/>
  <c r="H86" i="437"/>
  <c r="H71" i="437"/>
  <c r="L71" i="437"/>
  <c r="M71" i="437" s="1"/>
  <c r="L92" i="445"/>
  <c r="M92" i="445" s="1"/>
  <c r="H92" i="445"/>
  <c r="L88" i="445"/>
  <c r="M88" i="445" s="1"/>
  <c r="H88" i="445"/>
  <c r="H55" i="445"/>
  <c r="L55" i="445"/>
  <c r="M55" i="445" s="1"/>
  <c r="L25" i="445"/>
  <c r="M25" i="445" s="1"/>
  <c r="H25" i="445"/>
  <c r="L60" i="445"/>
  <c r="M60" i="445" s="1"/>
  <c r="H60" i="445"/>
  <c r="R121" i="437"/>
  <c r="T121" i="437" s="1"/>
  <c r="S56" i="379"/>
  <c r="U57" i="377"/>
  <c r="S45" i="443"/>
  <c r="T93" i="443"/>
  <c r="T72" i="443"/>
  <c r="H123" i="437"/>
  <c r="L123" i="437"/>
  <c r="M123" i="437" s="1"/>
  <c r="F110" i="437"/>
  <c r="H84" i="437"/>
  <c r="L84" i="437"/>
  <c r="M84" i="437" s="1"/>
  <c r="H104" i="437"/>
  <c r="L104" i="437"/>
  <c r="M104" i="437" s="1"/>
  <c r="H87" i="437"/>
  <c r="L87" i="437"/>
  <c r="M87" i="437" s="1"/>
  <c r="H78" i="437"/>
  <c r="L78" i="437"/>
  <c r="M78" i="437" s="1"/>
  <c r="R59" i="379"/>
  <c r="T59" i="379" s="1"/>
  <c r="L120" i="445"/>
  <c r="F108" i="445"/>
  <c r="H120" i="445"/>
  <c r="H64" i="445"/>
  <c r="L64" i="445"/>
  <c r="M64" i="445" s="1"/>
  <c r="L74" i="445"/>
  <c r="M74" i="445" s="1"/>
  <c r="H74" i="445"/>
  <c r="H39" i="445"/>
  <c r="L39" i="445"/>
  <c r="M39" i="445" s="1"/>
  <c r="L44" i="445"/>
  <c r="M44" i="445" s="1"/>
  <c r="H44" i="445"/>
  <c r="R14" i="437"/>
  <c r="S14" i="437" s="1"/>
  <c r="J114" i="392"/>
  <c r="J111" i="392" s="1"/>
  <c r="G111" i="392" s="1"/>
  <c r="H111" i="392" s="1"/>
  <c r="L101" i="392"/>
  <c r="M101" i="392" s="1"/>
  <c r="Q116" i="380"/>
  <c r="W116" i="380" s="1"/>
  <c r="G123" i="392"/>
  <c r="H123" i="392" s="1"/>
  <c r="S87" i="379"/>
  <c r="T68" i="377"/>
  <c r="T13" i="380"/>
  <c r="H71" i="445"/>
  <c r="L71" i="445"/>
  <c r="M71" i="445" s="1"/>
  <c r="L68" i="445"/>
  <c r="M68" i="445" s="1"/>
  <c r="H68" i="445"/>
  <c r="H105" i="445"/>
  <c r="L105" i="445"/>
  <c r="M105" i="445" s="1"/>
  <c r="L79" i="445"/>
  <c r="M79" i="445" s="1"/>
  <c r="H79" i="445"/>
  <c r="L59" i="445"/>
  <c r="M59" i="445" s="1"/>
  <c r="H59" i="445"/>
  <c r="H43" i="445"/>
  <c r="L43" i="445"/>
  <c r="M43" i="445" s="1"/>
  <c r="L21" i="445"/>
  <c r="M21" i="445" s="1"/>
  <c r="H21" i="445"/>
  <c r="H37" i="445"/>
  <c r="L37" i="445"/>
  <c r="M37" i="445" s="1"/>
  <c r="H53" i="445"/>
  <c r="L53" i="445"/>
  <c r="M53" i="445" s="1"/>
  <c r="L54" i="445"/>
  <c r="M54" i="445" s="1"/>
  <c r="H54" i="445"/>
  <c r="H48" i="445"/>
  <c r="L48" i="445"/>
  <c r="M48" i="445" s="1"/>
  <c r="H42" i="445"/>
  <c r="L42" i="445"/>
  <c r="M42" i="445" s="1"/>
  <c r="M112" i="437"/>
  <c r="H99" i="437"/>
  <c r="L99" i="437"/>
  <c r="M99" i="437" s="1"/>
  <c r="H109" i="437"/>
  <c r="L109" i="437"/>
  <c r="M109" i="437" s="1"/>
  <c r="H100" i="437"/>
  <c r="L100" i="437"/>
  <c r="M100" i="437" s="1"/>
  <c r="L80" i="437"/>
  <c r="M80" i="437" s="1"/>
  <c r="H80" i="437"/>
  <c r="H93" i="437"/>
  <c r="L93" i="437"/>
  <c r="M93" i="437" s="1"/>
  <c r="L96" i="437"/>
  <c r="M96" i="437" s="1"/>
  <c r="H96" i="437"/>
  <c r="H82" i="437"/>
  <c r="L82" i="437"/>
  <c r="M82" i="437" s="1"/>
  <c r="L83" i="437"/>
  <c r="M83" i="437" s="1"/>
  <c r="H83" i="437"/>
  <c r="L67" i="437"/>
  <c r="M67" i="437" s="1"/>
  <c r="H67" i="437"/>
  <c r="H74" i="437"/>
  <c r="L74" i="437"/>
  <c r="M74" i="437" s="1"/>
  <c r="H62" i="437"/>
  <c r="L62" i="437"/>
  <c r="M62" i="437" s="1"/>
  <c r="H48" i="437"/>
  <c r="L48" i="437"/>
  <c r="M48" i="437" s="1"/>
  <c r="H59" i="437"/>
  <c r="L59" i="437"/>
  <c r="M59" i="437" s="1"/>
  <c r="L77" i="437"/>
  <c r="M77" i="437" s="1"/>
  <c r="H77" i="437"/>
  <c r="L57" i="437"/>
  <c r="M57" i="437" s="1"/>
  <c r="H57" i="437"/>
  <c r="H42" i="437"/>
  <c r="L42" i="437"/>
  <c r="M42" i="437" s="1"/>
  <c r="H47" i="437"/>
  <c r="L47" i="437"/>
  <c r="M47" i="437" s="1"/>
  <c r="L31" i="437"/>
  <c r="M31" i="437" s="1"/>
  <c r="H31" i="437"/>
  <c r="H20" i="437"/>
  <c r="L20" i="437"/>
  <c r="M20" i="437" s="1"/>
  <c r="H36" i="437"/>
  <c r="L36" i="437"/>
  <c r="M36" i="437" s="1"/>
  <c r="J117" i="392"/>
  <c r="J115" i="392" s="1"/>
  <c r="G115" i="392" s="1"/>
  <c r="H115" i="392" s="1"/>
  <c r="L100" i="392"/>
  <c r="M100" i="392" s="1"/>
  <c r="H34" i="144"/>
  <c r="K34" i="144" s="1"/>
  <c r="I34" i="144"/>
  <c r="J34" i="144"/>
  <c r="R53" i="377"/>
  <c r="U53" i="377" s="1"/>
  <c r="T75" i="377"/>
  <c r="BR19" i="266"/>
  <c r="T81" i="377"/>
  <c r="T25" i="379"/>
  <c r="U119" i="379"/>
  <c r="V119" i="379" s="1"/>
  <c r="S21" i="376"/>
  <c r="U16" i="381"/>
  <c r="S103" i="443"/>
  <c r="T44" i="443"/>
  <c r="U42" i="443"/>
  <c r="S72" i="443"/>
  <c r="S37" i="443"/>
  <c r="T21" i="443"/>
  <c r="S35" i="443"/>
  <c r="U56" i="443"/>
  <c r="S92" i="443"/>
  <c r="T18" i="443"/>
  <c r="U88" i="443"/>
  <c r="T39" i="443"/>
  <c r="S69" i="445"/>
  <c r="T10" i="388"/>
  <c r="S357" i="388"/>
  <c r="T357" i="388" s="1"/>
  <c r="AY22" i="266"/>
  <c r="T11" i="380"/>
  <c r="U11" i="380"/>
  <c r="T28" i="379"/>
  <c r="V28" i="379" s="1"/>
  <c r="U30" i="377"/>
  <c r="AP33" i="266"/>
  <c r="AZ33" i="266" s="1"/>
  <c r="S121" i="377"/>
  <c r="T125" i="377"/>
  <c r="U76" i="377"/>
  <c r="U129" i="379"/>
  <c r="V129" i="379" s="1"/>
  <c r="U130" i="380"/>
  <c r="V130" i="380" s="1"/>
  <c r="AP76" i="266"/>
  <c r="BA76" i="266" s="1"/>
  <c r="N43" i="379"/>
  <c r="Q43" i="379" s="1"/>
  <c r="N75" i="379"/>
  <c r="Q75" i="379" s="1"/>
  <c r="R75" i="379" s="1"/>
  <c r="U75" i="379" s="1"/>
  <c r="L94" i="445"/>
  <c r="M94" i="445" s="1"/>
  <c r="H94" i="445"/>
  <c r="H84" i="445"/>
  <c r="L84" i="445"/>
  <c r="M84" i="445" s="1"/>
  <c r="L89" i="445"/>
  <c r="M89" i="445" s="1"/>
  <c r="H89" i="445"/>
  <c r="L87" i="445"/>
  <c r="M87" i="445" s="1"/>
  <c r="H87" i="445"/>
  <c r="L70" i="445"/>
  <c r="M70" i="445" s="1"/>
  <c r="H70" i="445"/>
  <c r="H51" i="445"/>
  <c r="L51" i="445"/>
  <c r="M51" i="445" s="1"/>
  <c r="H35" i="445"/>
  <c r="L35" i="445"/>
  <c r="M35" i="445" s="1"/>
  <c r="L29" i="445"/>
  <c r="M29" i="445" s="1"/>
  <c r="H29" i="445"/>
  <c r="H45" i="445"/>
  <c r="L45" i="445"/>
  <c r="M45" i="445" s="1"/>
  <c r="H61" i="445"/>
  <c r="L61" i="445"/>
  <c r="M61" i="445" s="1"/>
  <c r="L73" i="445"/>
  <c r="M73" i="445" s="1"/>
  <c r="H73" i="445"/>
  <c r="L56" i="445"/>
  <c r="M56" i="445" s="1"/>
  <c r="H56" i="445"/>
  <c r="L58" i="445"/>
  <c r="M58" i="445" s="1"/>
  <c r="H58" i="445"/>
  <c r="F101" i="437"/>
  <c r="L106" i="437"/>
  <c r="H106" i="437"/>
  <c r="L108" i="437"/>
  <c r="M108" i="437" s="1"/>
  <c r="H108" i="437"/>
  <c r="L98" i="437"/>
  <c r="M98" i="437" s="1"/>
  <c r="H98" i="437"/>
  <c r="H88" i="437"/>
  <c r="L88" i="437"/>
  <c r="M88" i="437" s="1"/>
  <c r="L72" i="437"/>
  <c r="M72" i="437" s="1"/>
  <c r="H72" i="437"/>
  <c r="L85" i="437"/>
  <c r="M85" i="437" s="1"/>
  <c r="H85" i="437"/>
  <c r="L90" i="437"/>
  <c r="M90" i="437" s="1"/>
  <c r="H90" i="437"/>
  <c r="H91" i="437"/>
  <c r="L91" i="437"/>
  <c r="M91" i="437" s="1"/>
  <c r="H75" i="437"/>
  <c r="L75" i="437"/>
  <c r="M75" i="437" s="1"/>
  <c r="L81" i="437"/>
  <c r="M81" i="437" s="1"/>
  <c r="H81" i="437"/>
  <c r="H69" i="437"/>
  <c r="L69" i="437"/>
  <c r="M69" i="437" s="1"/>
  <c r="H56" i="437"/>
  <c r="L56" i="437"/>
  <c r="M56" i="437" s="1"/>
  <c r="L40" i="437"/>
  <c r="M40" i="437" s="1"/>
  <c r="H40" i="437"/>
  <c r="L49" i="437"/>
  <c r="M49" i="437" s="1"/>
  <c r="H49" i="437"/>
  <c r="H65" i="437"/>
  <c r="L65" i="437"/>
  <c r="F64" i="437"/>
  <c r="H50" i="437"/>
  <c r="L50" i="437"/>
  <c r="M50" i="437" s="1"/>
  <c r="L55" i="437"/>
  <c r="M55" i="437" s="1"/>
  <c r="H55" i="437"/>
  <c r="L39" i="437"/>
  <c r="M39" i="437" s="1"/>
  <c r="H39" i="437"/>
  <c r="H23" i="437"/>
  <c r="L23" i="437"/>
  <c r="M23" i="437" s="1"/>
  <c r="H28" i="437"/>
  <c r="L28" i="437"/>
  <c r="M28" i="437" s="1"/>
  <c r="I46" i="399"/>
  <c r="I48" i="399" s="1"/>
  <c r="H48" i="399"/>
  <c r="U67" i="377"/>
  <c r="BM43" i="266"/>
  <c r="BO43" i="266" s="1"/>
  <c r="N18" i="285"/>
  <c r="T87" i="379"/>
  <c r="V87" i="379" s="1"/>
  <c r="T105" i="379"/>
  <c r="S107" i="377"/>
  <c r="S52" i="379"/>
  <c r="S57" i="377"/>
  <c r="U83" i="379"/>
  <c r="V83" i="379" s="1"/>
  <c r="S37" i="379"/>
  <c r="T16" i="381"/>
  <c r="U103" i="443"/>
  <c r="U33" i="443"/>
  <c r="S48" i="443"/>
  <c r="U32" i="443"/>
  <c r="U53" i="443"/>
  <c r="S87" i="443"/>
  <c r="S70" i="443"/>
  <c r="U26" i="443"/>
  <c r="S22" i="443"/>
  <c r="T19" i="443"/>
  <c r="T101" i="443"/>
  <c r="T89" i="443"/>
  <c r="U43" i="443"/>
  <c r="S43" i="443"/>
  <c r="S55" i="443"/>
  <c r="T55" i="443"/>
  <c r="U69" i="445"/>
  <c r="S125" i="379"/>
  <c r="U18" i="379"/>
  <c r="V18" i="379" s="1"/>
  <c r="AY80" i="266"/>
  <c r="BB80" i="266" s="1"/>
  <c r="BK80" i="266" s="1"/>
  <c r="S84" i="379"/>
  <c r="U46" i="379"/>
  <c r="V46" i="379" s="1"/>
  <c r="U24" i="379"/>
  <c r="V24" i="379" s="1"/>
  <c r="S129" i="379"/>
  <c r="T97" i="380"/>
  <c r="U54" i="379"/>
  <c r="H11" i="447"/>
  <c r="AY84" i="266"/>
  <c r="BB84" i="266" s="1"/>
  <c r="L102" i="445"/>
  <c r="M102" i="445" s="1"/>
  <c r="H102" i="445"/>
  <c r="L77" i="445"/>
  <c r="M77" i="445" s="1"/>
  <c r="H77" i="445"/>
  <c r="H91" i="445"/>
  <c r="L91" i="445"/>
  <c r="M91" i="445" s="1"/>
  <c r="H72" i="445"/>
  <c r="L72" i="445"/>
  <c r="M72" i="445" s="1"/>
  <c r="R129" i="437"/>
  <c r="T129" i="437" s="1"/>
  <c r="S37" i="413"/>
  <c r="T37" i="413" s="1"/>
  <c r="R10" i="413"/>
  <c r="R9" i="413" s="1"/>
  <c r="J32" i="144"/>
  <c r="H32" i="144"/>
  <c r="I32" i="144"/>
  <c r="G37" i="144"/>
  <c r="L62" i="380"/>
  <c r="M62" i="380" s="1"/>
  <c r="H62" i="380"/>
  <c r="BH30" i="266"/>
  <c r="BI30" i="266" s="1"/>
  <c r="AD30" i="266"/>
  <c r="AY20" i="266"/>
  <c r="BB20" i="266" s="1"/>
  <c r="BK20" i="266" s="1"/>
  <c r="N62" i="379"/>
  <c r="Q62" i="379" s="1"/>
  <c r="N66" i="379"/>
  <c r="Q66" i="379" s="1"/>
  <c r="BN95" i="266"/>
  <c r="S40" i="377"/>
  <c r="T40" i="377"/>
  <c r="N80" i="285"/>
  <c r="Q125" i="443"/>
  <c r="R125" i="443" s="1"/>
  <c r="T125" i="443" s="1"/>
  <c r="I9" i="247"/>
  <c r="T22" i="379"/>
  <c r="V22" i="379" s="1"/>
  <c r="T109" i="379"/>
  <c r="V109" i="379" s="1"/>
  <c r="L78" i="445"/>
  <c r="M78" i="445" s="1"/>
  <c r="H78" i="445"/>
  <c r="H67" i="445"/>
  <c r="L67" i="445"/>
  <c r="M67" i="445" s="1"/>
  <c r="L83" i="445"/>
  <c r="M83" i="445" s="1"/>
  <c r="H83" i="445"/>
  <c r="H106" i="380"/>
  <c r="L106" i="380"/>
  <c r="F101" i="380"/>
  <c r="AC32" i="266"/>
  <c r="BG32" i="266"/>
  <c r="BI32" i="266" s="1"/>
  <c r="AE68" i="266"/>
  <c r="M78" i="377"/>
  <c r="L64" i="377"/>
  <c r="BI14" i="266"/>
  <c r="AK23" i="266"/>
  <c r="AE23" i="266"/>
  <c r="AI23" i="266"/>
  <c r="AO23" i="266"/>
  <c r="R43" i="379"/>
  <c r="S43" i="379" s="1"/>
  <c r="M104" i="379"/>
  <c r="L101" i="379"/>
  <c r="S130" i="380"/>
  <c r="BR23" i="266"/>
  <c r="U16" i="380"/>
  <c r="U108" i="379"/>
  <c r="U25" i="379"/>
  <c r="U80" i="379"/>
  <c r="U52" i="379"/>
  <c r="V52" i="379" s="1"/>
  <c r="U20" i="381"/>
  <c r="U79" i="377"/>
  <c r="S79" i="379"/>
  <c r="U79" i="379"/>
  <c r="V79" i="379" s="1"/>
  <c r="U13" i="381"/>
  <c r="T32" i="377"/>
  <c r="T27" i="377"/>
  <c r="U48" i="377"/>
  <c r="U63" i="379"/>
  <c r="S81" i="379"/>
  <c r="U28" i="443"/>
  <c r="S33" i="443"/>
  <c r="S94" i="443"/>
  <c r="T22" i="443"/>
  <c r="U93" i="443"/>
  <c r="U107" i="443"/>
  <c r="U19" i="443"/>
  <c r="T40" i="443"/>
  <c r="T66" i="443"/>
  <c r="U96" i="443"/>
  <c r="S42" i="443"/>
  <c r="U60" i="443"/>
  <c r="T92" i="443"/>
  <c r="S18" i="443"/>
  <c r="S98" i="443"/>
  <c r="U89" i="443"/>
  <c r="S63" i="443"/>
  <c r="U63" i="443"/>
  <c r="S73" i="443"/>
  <c r="T91" i="443"/>
  <c r="U49" i="443"/>
  <c r="N119" i="445"/>
  <c r="Q119" i="445" s="1"/>
  <c r="R119" i="445" s="1"/>
  <c r="S119" i="445" s="1"/>
  <c r="J9" i="199"/>
  <c r="N16" i="191"/>
  <c r="S45" i="388"/>
  <c r="U36" i="380"/>
  <c r="V36" i="380" s="1"/>
  <c r="U35" i="379"/>
  <c r="V35" i="379" s="1"/>
  <c r="T120" i="377"/>
  <c r="S125" i="377"/>
  <c r="T54" i="379"/>
  <c r="V54" i="379" s="1"/>
  <c r="L100" i="445"/>
  <c r="M100" i="445" s="1"/>
  <c r="H100" i="445"/>
  <c r="H86" i="445"/>
  <c r="L86" i="445"/>
  <c r="M86" i="445" s="1"/>
  <c r="H85" i="445"/>
  <c r="L85" i="445"/>
  <c r="M85" i="445" s="1"/>
  <c r="H10" i="447"/>
  <c r="H110" i="377"/>
  <c r="N113" i="377"/>
  <c r="Q113" i="377" s="1"/>
  <c r="H32" i="437"/>
  <c r="L32" i="437"/>
  <c r="M32" i="437" s="1"/>
  <c r="G155" i="393"/>
  <c r="H155" i="393" s="1"/>
  <c r="BH29" i="266"/>
  <c r="AD29" i="266"/>
  <c r="R97" i="379"/>
  <c r="U97" i="379" s="1"/>
  <c r="R91" i="377"/>
  <c r="T91" i="377" s="1"/>
  <c r="R73" i="377"/>
  <c r="T73" i="377" s="1"/>
  <c r="T95" i="380"/>
  <c r="V95" i="380" s="1"/>
  <c r="AY14" i="266"/>
  <c r="T12" i="377"/>
  <c r="N10" i="381"/>
  <c r="U94" i="380"/>
  <c r="T58" i="437"/>
  <c r="T20" i="443"/>
  <c r="BA17" i="266"/>
  <c r="BJ17" i="266" s="1"/>
  <c r="S75" i="377"/>
  <c r="T115" i="380"/>
  <c r="Q10" i="381"/>
  <c r="Q128" i="437"/>
  <c r="R128" i="437" s="1"/>
  <c r="T128" i="437" s="1"/>
  <c r="T63" i="388"/>
  <c r="T45" i="388" s="1"/>
  <c r="T125" i="379"/>
  <c r="V125" i="379" s="1"/>
  <c r="S18" i="379"/>
  <c r="S46" i="379"/>
  <c r="S30" i="377"/>
  <c r="S25" i="377"/>
  <c r="S108" i="377"/>
  <c r="T51" i="377"/>
  <c r="T58" i="377"/>
  <c r="S58" i="377"/>
  <c r="S24" i="379"/>
  <c r="T42" i="377"/>
  <c r="S26" i="379"/>
  <c r="T43" i="377"/>
  <c r="H103" i="445"/>
  <c r="L103" i="445"/>
  <c r="M103" i="445" s="1"/>
  <c r="L96" i="445"/>
  <c r="M96" i="445" s="1"/>
  <c r="H96" i="445"/>
  <c r="H75" i="445"/>
  <c r="L75" i="445"/>
  <c r="M75" i="445" s="1"/>
  <c r="AZ13" i="373"/>
  <c r="AH24" i="373"/>
  <c r="J12" i="144"/>
  <c r="I12" i="144"/>
  <c r="R125" i="380"/>
  <c r="T125" i="380" s="1"/>
  <c r="R30" i="380"/>
  <c r="S30" i="380" s="1"/>
  <c r="W40" i="384"/>
  <c r="X40" i="384" s="1"/>
  <c r="R126" i="377"/>
  <c r="U126" i="377" s="1"/>
  <c r="BH17" i="266"/>
  <c r="BI17" i="266" s="1"/>
  <c r="AD17" i="266"/>
  <c r="R107" i="379"/>
  <c r="R100" i="379"/>
  <c r="U100" i="379" s="1"/>
  <c r="R37" i="377"/>
  <c r="S37" i="377" s="1"/>
  <c r="R19" i="377"/>
  <c r="BM21" i="356"/>
  <c r="BN21" i="356" s="1"/>
  <c r="R44" i="379"/>
  <c r="U44" i="379" s="1"/>
  <c r="R38" i="377"/>
  <c r="T38" i="377" s="1"/>
  <c r="G195" i="393"/>
  <c r="H196" i="393"/>
  <c r="R69" i="443"/>
  <c r="S69" i="443" s="1"/>
  <c r="K94" i="392"/>
  <c r="O6" i="376"/>
  <c r="U17" i="376"/>
  <c r="T17" i="376"/>
  <c r="O6" i="379"/>
  <c r="BQ80" i="266"/>
  <c r="BR80" i="266" s="1"/>
  <c r="N50" i="380"/>
  <c r="Q50" i="380" s="1"/>
  <c r="R50" i="380" s="1"/>
  <c r="S50" i="380" s="1"/>
  <c r="T106" i="413"/>
  <c r="T95" i="413" s="1"/>
  <c r="BS33" i="266"/>
  <c r="BT23" i="266"/>
  <c r="F190" i="393"/>
  <c r="U59" i="377"/>
  <c r="S59" i="377"/>
  <c r="U61" i="379"/>
  <c r="V61" i="379" s="1"/>
  <c r="S21" i="379"/>
  <c r="T21" i="379"/>
  <c r="V21" i="379" s="1"/>
  <c r="T92" i="379"/>
  <c r="V92" i="379" s="1"/>
  <c r="T21" i="381"/>
  <c r="T54" i="443"/>
  <c r="U79" i="443"/>
  <c r="U95" i="443"/>
  <c r="T64" i="443"/>
  <c r="T61" i="443"/>
  <c r="T90" i="443"/>
  <c r="S102" i="443"/>
  <c r="I55" i="124"/>
  <c r="R14" i="443"/>
  <c r="U14" i="443" s="1"/>
  <c r="L18" i="437"/>
  <c r="M18" i="437" s="1"/>
  <c r="H18" i="437"/>
  <c r="L34" i="437"/>
  <c r="M34" i="437" s="1"/>
  <c r="H34" i="437"/>
  <c r="AZ11" i="373"/>
  <c r="AU24" i="373"/>
  <c r="AE53" i="335"/>
  <c r="BC17" i="335"/>
  <c r="J43" i="397"/>
  <c r="H10" i="397"/>
  <c r="I10" i="397" s="1"/>
  <c r="L10" i="397" s="1"/>
  <c r="R16" i="377"/>
  <c r="U16" i="377" s="1"/>
  <c r="N114" i="377"/>
  <c r="M110" i="377"/>
  <c r="R117" i="379"/>
  <c r="S117" i="379" s="1"/>
  <c r="R117" i="380"/>
  <c r="S117" i="380" s="1"/>
  <c r="BH16" i="266"/>
  <c r="BI16" i="266" s="1"/>
  <c r="AD16" i="266"/>
  <c r="BG25" i="266"/>
  <c r="AC25" i="266"/>
  <c r="BH28" i="266"/>
  <c r="BI28" i="266" s="1"/>
  <c r="AD28" i="266"/>
  <c r="AC31" i="266"/>
  <c r="BG31" i="266"/>
  <c r="BI31" i="266" s="1"/>
  <c r="AC36" i="266"/>
  <c r="BG36" i="266"/>
  <c r="BI36" i="266" s="1"/>
  <c r="BG38" i="266"/>
  <c r="AC38" i="266"/>
  <c r="BG80" i="266"/>
  <c r="BI80" i="266" s="1"/>
  <c r="AC80" i="266"/>
  <c r="AC83" i="266"/>
  <c r="BG83" i="266"/>
  <c r="BI83" i="266" s="1"/>
  <c r="L107" i="445"/>
  <c r="M107" i="445" s="1"/>
  <c r="H107" i="445"/>
  <c r="H97" i="445"/>
  <c r="L97" i="445"/>
  <c r="M97" i="445" s="1"/>
  <c r="L98" i="445"/>
  <c r="M98" i="445" s="1"/>
  <c r="H98" i="445"/>
  <c r="L82" i="445"/>
  <c r="F62" i="445"/>
  <c r="H82" i="445"/>
  <c r="L95" i="445"/>
  <c r="M95" i="445" s="1"/>
  <c r="H95" i="445"/>
  <c r="H17" i="437"/>
  <c r="L17" i="437"/>
  <c r="M17" i="437" s="1"/>
  <c r="R25" i="437"/>
  <c r="S25" i="437" s="1"/>
  <c r="BA13" i="373"/>
  <c r="U24" i="373"/>
  <c r="AB16" i="356"/>
  <c r="AB11" i="356" s="1"/>
  <c r="AB10" i="356" s="1"/>
  <c r="AA11" i="356"/>
  <c r="AA10" i="356" s="1"/>
  <c r="M12" i="397"/>
  <c r="N12" i="397" s="1"/>
  <c r="H71" i="399"/>
  <c r="I71" i="399" s="1"/>
  <c r="L71" i="399" s="1"/>
  <c r="H76" i="399"/>
  <c r="I76" i="399" s="1"/>
  <c r="L76" i="399" s="1"/>
  <c r="Q24" i="400"/>
  <c r="L24" i="400"/>
  <c r="J17" i="400"/>
  <c r="G17" i="400"/>
  <c r="P24" i="400"/>
  <c r="R24" i="400"/>
  <c r="B17" i="400"/>
  <c r="F17" i="400"/>
  <c r="S24" i="400"/>
  <c r="N24" i="400"/>
  <c r="L17" i="400"/>
  <c r="I17" i="400"/>
  <c r="E17" i="400"/>
  <c r="D17" i="400"/>
  <c r="C17" i="400"/>
  <c r="M24" i="400"/>
  <c r="K17" i="400"/>
  <c r="H17" i="400"/>
  <c r="O24" i="400"/>
  <c r="W25" i="384"/>
  <c r="X25" i="384" s="1"/>
  <c r="R118" i="377"/>
  <c r="T118" i="377" s="1"/>
  <c r="BH15" i="266"/>
  <c r="AD15" i="266"/>
  <c r="BG27" i="266"/>
  <c r="AC27" i="266"/>
  <c r="BH38" i="266"/>
  <c r="AD38" i="266"/>
  <c r="BH79" i="266"/>
  <c r="BI79" i="266" s="1"/>
  <c r="AD79" i="266"/>
  <c r="AD87" i="266"/>
  <c r="BH87" i="266"/>
  <c r="BI87" i="266" s="1"/>
  <c r="T360" i="388"/>
  <c r="M110" i="379"/>
  <c r="BM17" i="356"/>
  <c r="BN17" i="356" s="1"/>
  <c r="R85" i="379"/>
  <c r="S85" i="379" s="1"/>
  <c r="BA11" i="266"/>
  <c r="R100" i="377"/>
  <c r="T100" i="377" s="1"/>
  <c r="BB75" i="266"/>
  <c r="R90" i="379"/>
  <c r="S90" i="379" s="1"/>
  <c r="R39" i="379"/>
  <c r="S39" i="379" s="1"/>
  <c r="R26" i="377"/>
  <c r="U26" i="377" s="1"/>
  <c r="R103" i="377"/>
  <c r="T103" i="377" s="1"/>
  <c r="R30" i="379"/>
  <c r="T30" i="379" s="1"/>
  <c r="R27" i="379"/>
  <c r="T27" i="379" s="1"/>
  <c r="R22" i="377"/>
  <c r="U22" i="377" s="1"/>
  <c r="M16" i="191"/>
  <c r="R39" i="377"/>
  <c r="U39" i="377" s="1"/>
  <c r="R99" i="379"/>
  <c r="T99" i="379" s="1"/>
  <c r="S333" i="408"/>
  <c r="H50" i="397"/>
  <c r="I50" i="397" s="1"/>
  <c r="L50" i="397" s="1"/>
  <c r="H55" i="397"/>
  <c r="I55" i="397" s="1"/>
  <c r="L55" i="397" s="1"/>
  <c r="H56" i="397"/>
  <c r="I56" i="397" s="1"/>
  <c r="L56" i="397" s="1"/>
  <c r="H51" i="397"/>
  <c r="I51" i="397" s="1"/>
  <c r="L51" i="397" s="1"/>
  <c r="R52" i="377"/>
  <c r="T52" i="377" s="1"/>
  <c r="BQ94" i="266"/>
  <c r="BS94" i="266" s="1"/>
  <c r="R45" i="379"/>
  <c r="U45" i="379" s="1"/>
  <c r="R90" i="380"/>
  <c r="T90" i="380" s="1"/>
  <c r="R105" i="377"/>
  <c r="U105" i="377" s="1"/>
  <c r="R85" i="377"/>
  <c r="U85" i="377" s="1"/>
  <c r="R47" i="377"/>
  <c r="U47" i="377" s="1"/>
  <c r="R61" i="377"/>
  <c r="U61" i="377" s="1"/>
  <c r="R62" i="377"/>
  <c r="S62" i="377" s="1"/>
  <c r="R19" i="379"/>
  <c r="S19" i="379" s="1"/>
  <c r="G107" i="392"/>
  <c r="H107" i="392" s="1"/>
  <c r="S36" i="380"/>
  <c r="U124" i="377"/>
  <c r="S124" i="377"/>
  <c r="T84" i="379"/>
  <c r="V84" i="379" s="1"/>
  <c r="T48" i="379"/>
  <c r="U51" i="379"/>
  <c r="T51" i="379"/>
  <c r="S28" i="379"/>
  <c r="T50" i="379"/>
  <c r="V50" i="379" s="1"/>
  <c r="S50" i="379"/>
  <c r="BK96" i="266"/>
  <c r="BM27" i="356"/>
  <c r="BN27" i="356" s="1"/>
  <c r="U33" i="379"/>
  <c r="V33" i="379" s="1"/>
  <c r="S33" i="379"/>
  <c r="J9" i="139"/>
  <c r="S74" i="379"/>
  <c r="BK88" i="266"/>
  <c r="S121" i="380"/>
  <c r="H16" i="401"/>
  <c r="G15" i="401"/>
  <c r="T41" i="377"/>
  <c r="R69" i="377"/>
  <c r="U69" i="377" s="1"/>
  <c r="N13" i="404"/>
  <c r="AP40" i="266"/>
  <c r="N10" i="285"/>
  <c r="BR89" i="266"/>
  <c r="BR33" i="266"/>
  <c r="N15" i="398"/>
  <c r="BT19" i="266"/>
  <c r="T16" i="380"/>
  <c r="S61" i="379"/>
  <c r="U105" i="379"/>
  <c r="U107" i="377"/>
  <c r="U115" i="380"/>
  <c r="T108" i="379"/>
  <c r="V108" i="379" s="1"/>
  <c r="T80" i="379"/>
  <c r="T20" i="381"/>
  <c r="U21" i="376"/>
  <c r="V21" i="376" s="1"/>
  <c r="U36" i="377"/>
  <c r="T79" i="377"/>
  <c r="T56" i="379"/>
  <c r="V56" i="379" s="1"/>
  <c r="S83" i="379"/>
  <c r="S92" i="379"/>
  <c r="U42" i="379"/>
  <c r="S21" i="381"/>
  <c r="S48" i="377"/>
  <c r="S47" i="379"/>
  <c r="T47" i="379"/>
  <c r="V47" i="379" s="1"/>
  <c r="T23" i="377"/>
  <c r="S28" i="443"/>
  <c r="U94" i="443"/>
  <c r="T48" i="443"/>
  <c r="T32" i="443"/>
  <c r="S54" i="443"/>
  <c r="U70" i="443"/>
  <c r="S26" i="443"/>
  <c r="T45" i="443"/>
  <c r="U40" i="443"/>
  <c r="S83" i="443"/>
  <c r="M62" i="443"/>
  <c r="U101" i="443"/>
  <c r="U50" i="443"/>
  <c r="U66" i="443"/>
  <c r="T79" i="443"/>
  <c r="S60" i="443"/>
  <c r="T95" i="443"/>
  <c r="U37" i="443"/>
  <c r="U21" i="443"/>
  <c r="U35" i="443"/>
  <c r="T56" i="443"/>
  <c r="S85" i="443"/>
  <c r="S46" i="443"/>
  <c r="T88" i="443"/>
  <c r="U78" i="443"/>
  <c r="U64" i="443"/>
  <c r="S104" i="443"/>
  <c r="U73" i="443"/>
  <c r="T24" i="443"/>
  <c r="U61" i="443"/>
  <c r="S76" i="443"/>
  <c r="U90" i="443"/>
  <c r="U102" i="443"/>
  <c r="U91" i="443"/>
  <c r="S49" i="443"/>
  <c r="Q15" i="376"/>
  <c r="O110" i="377"/>
  <c r="O9" i="377" s="1"/>
  <c r="H41" i="437"/>
  <c r="L41" i="437"/>
  <c r="M41" i="437" s="1"/>
  <c r="L30" i="437"/>
  <c r="M30" i="437" s="1"/>
  <c r="H30" i="437"/>
  <c r="L38" i="437"/>
  <c r="M38" i="437" s="1"/>
  <c r="H38" i="437"/>
  <c r="R41" i="407"/>
  <c r="R9" i="407" s="1"/>
  <c r="S86" i="407"/>
  <c r="AL12" i="356"/>
  <c r="BM12" i="356" s="1"/>
  <c r="AR53" i="335"/>
  <c r="BC14" i="335"/>
  <c r="M11" i="398"/>
  <c r="M16" i="398"/>
  <c r="M18" i="398" s="1"/>
  <c r="M12" i="402"/>
  <c r="N12" i="402" s="1"/>
  <c r="N13" i="402" s="1"/>
  <c r="N22" i="402" s="1"/>
  <c r="L13" i="402"/>
  <c r="L22" i="402" s="1"/>
  <c r="L40" i="352"/>
  <c r="G159" i="393"/>
  <c r="R15" i="377"/>
  <c r="T15" i="377" s="1"/>
  <c r="Q127" i="379"/>
  <c r="W127" i="379" s="1"/>
  <c r="R118" i="380"/>
  <c r="U118" i="380" s="1"/>
  <c r="BH24" i="266"/>
  <c r="BI24" i="266" s="1"/>
  <c r="AD24" i="266"/>
  <c r="AD27" i="266"/>
  <c r="BH27" i="266"/>
  <c r="AC29" i="266"/>
  <c r="BG29" i="266"/>
  <c r="AC35" i="266"/>
  <c r="BG35" i="266"/>
  <c r="AC37" i="266"/>
  <c r="BG37" i="266"/>
  <c r="BI37" i="266" s="1"/>
  <c r="AD40" i="266"/>
  <c r="BH40" i="266"/>
  <c r="BI40" i="266" s="1"/>
  <c r="AD69" i="266"/>
  <c r="BH69" i="266"/>
  <c r="AB98" i="266"/>
  <c r="AB99" i="266" s="1"/>
  <c r="AB100" i="266" s="1"/>
  <c r="AD73" i="266"/>
  <c r="BH73" i="266"/>
  <c r="BI73" i="266" s="1"/>
  <c r="AC82" i="266"/>
  <c r="BG82" i="266"/>
  <c r="BI82" i="266" s="1"/>
  <c r="AC92" i="266"/>
  <c r="BG92" i="266"/>
  <c r="BI92" i="266" s="1"/>
  <c r="R12" i="445"/>
  <c r="S12" i="445" s="1"/>
  <c r="L104" i="445"/>
  <c r="M104" i="445" s="1"/>
  <c r="H104" i="445"/>
  <c r="L101" i="445"/>
  <c r="F99" i="445"/>
  <c r="H101" i="445"/>
  <c r="L90" i="445"/>
  <c r="M90" i="445" s="1"/>
  <c r="H90" i="445"/>
  <c r="L106" i="445"/>
  <c r="M106" i="445" s="1"/>
  <c r="H106" i="445"/>
  <c r="L26" i="437"/>
  <c r="M26" i="437" s="1"/>
  <c r="H26" i="437"/>
  <c r="R16" i="437"/>
  <c r="U16" i="437" s="1"/>
  <c r="H14" i="144"/>
  <c r="G23" i="144"/>
  <c r="AL28" i="356"/>
  <c r="BM28" i="356" s="1"/>
  <c r="BN28" i="356" s="1"/>
  <c r="H10" i="398"/>
  <c r="I10" i="398" s="1"/>
  <c r="L10" i="398" s="1"/>
  <c r="M88" i="402"/>
  <c r="L91" i="402"/>
  <c r="L100" i="402" s="1"/>
  <c r="G12" i="401"/>
  <c r="F11" i="401"/>
  <c r="F10" i="401" s="1"/>
  <c r="T12" i="384"/>
  <c r="P11" i="384"/>
  <c r="W22" i="384"/>
  <c r="X22" i="384" s="1"/>
  <c r="W31" i="384"/>
  <c r="X31" i="384" s="1"/>
  <c r="R119" i="377"/>
  <c r="AC15" i="266"/>
  <c r="BG15" i="266"/>
  <c r="AC18" i="266"/>
  <c r="BG18" i="266"/>
  <c r="BI18" i="266" s="1"/>
  <c r="AD35" i="266"/>
  <c r="BH35" i="266"/>
  <c r="BH71" i="266"/>
  <c r="BI71" i="266" s="1"/>
  <c r="AD71" i="266"/>
  <c r="BG85" i="266"/>
  <c r="BI85" i="266" s="1"/>
  <c r="AC85" i="266"/>
  <c r="N110" i="379"/>
  <c r="Q112" i="379"/>
  <c r="W112" i="379" s="1"/>
  <c r="J168" i="393"/>
  <c r="BM26" i="356"/>
  <c r="BN26" i="356" s="1"/>
  <c r="H64" i="377"/>
  <c r="N65" i="377"/>
  <c r="Q65" i="377" s="1"/>
  <c r="R34" i="379"/>
  <c r="S34" i="379" s="1"/>
  <c r="R94" i="379"/>
  <c r="U94" i="379" s="1"/>
  <c r="D20" i="458"/>
  <c r="R65" i="379"/>
  <c r="S65" i="379" s="1"/>
  <c r="H52" i="397"/>
  <c r="I52" i="397" s="1"/>
  <c r="L52" i="397" s="1"/>
  <c r="H57" i="397"/>
  <c r="I57" i="397" s="1"/>
  <c r="L57" i="397" s="1"/>
  <c r="R118" i="379"/>
  <c r="S118" i="379" s="1"/>
  <c r="BA78" i="266"/>
  <c r="AZ78" i="266"/>
  <c r="R84" i="377"/>
  <c r="S84" i="377" s="1"/>
  <c r="AK11" i="356"/>
  <c r="AK10" i="356" s="1"/>
  <c r="R87" i="377"/>
  <c r="U87" i="377" s="1"/>
  <c r="R33" i="377"/>
  <c r="S33" i="377" s="1"/>
  <c r="R95" i="377"/>
  <c r="R99" i="377"/>
  <c r="T99" i="377" s="1"/>
  <c r="R98" i="379"/>
  <c r="U98" i="379" s="1"/>
  <c r="N72" i="285"/>
  <c r="N75" i="285" s="1"/>
  <c r="N84" i="285" s="1"/>
  <c r="M75" i="285"/>
  <c r="M84" i="285" s="1"/>
  <c r="BM25" i="356"/>
  <c r="BN25" i="356" s="1"/>
  <c r="J127" i="392"/>
  <c r="M18" i="404"/>
  <c r="M14" i="404"/>
  <c r="N14" i="404" s="1"/>
  <c r="BM24" i="356"/>
  <c r="BN24" i="356" s="1"/>
  <c r="U74" i="379"/>
  <c r="V74" i="379" s="1"/>
  <c r="S109" i="379"/>
  <c r="H16" i="396"/>
  <c r="G15" i="396"/>
  <c r="T121" i="380"/>
  <c r="V121" i="380" s="1"/>
  <c r="S41" i="377"/>
  <c r="S43" i="377"/>
  <c r="BK13" i="266"/>
  <c r="U56" i="377"/>
  <c r="T56" i="377"/>
  <c r="N76" i="379"/>
  <c r="Q76" i="379" s="1"/>
  <c r="M64" i="379"/>
  <c r="T76" i="377"/>
  <c r="S128" i="377"/>
  <c r="T128" i="377"/>
  <c r="U97" i="380"/>
  <c r="I57" i="124"/>
  <c r="K56" i="124"/>
  <c r="K57" i="124" s="1"/>
  <c r="I53" i="124"/>
  <c r="K52" i="124"/>
  <c r="K53" i="124" s="1"/>
  <c r="S11" i="381"/>
  <c r="O6" i="381"/>
  <c r="T11" i="381"/>
  <c r="U15" i="381"/>
  <c r="T15" i="381"/>
  <c r="S13" i="381"/>
  <c r="T117" i="443"/>
  <c r="U117" i="443"/>
  <c r="V9" i="441"/>
  <c r="T130" i="437"/>
  <c r="Q115" i="445"/>
  <c r="R115" i="445" s="1"/>
  <c r="T115" i="445" s="1"/>
  <c r="Q123" i="443"/>
  <c r="R123" i="443" s="1"/>
  <c r="T123" i="443" s="1"/>
  <c r="R122" i="443"/>
  <c r="U122" i="443" s="1"/>
  <c r="D13" i="461"/>
  <c r="D13" i="459"/>
  <c r="V9" i="416"/>
  <c r="R123" i="445"/>
  <c r="T123" i="445" s="1"/>
  <c r="AB12" i="422"/>
  <c r="AB9" i="422" s="1"/>
  <c r="Z9" i="422"/>
  <c r="BF18" i="463" s="1"/>
  <c r="Z9" i="441"/>
  <c r="X9" i="441"/>
  <c r="AB12" i="430"/>
  <c r="Z9" i="430"/>
  <c r="Z13" i="418"/>
  <c r="T10" i="421"/>
  <c r="X12" i="422"/>
  <c r="X9" i="422" s="1"/>
  <c r="V9" i="422"/>
  <c r="AB9" i="441"/>
  <c r="AD9" i="441"/>
  <c r="X12" i="430"/>
  <c r="X9" i="430" s="1"/>
  <c r="V9" i="430"/>
  <c r="AD13" i="418"/>
  <c r="R9" i="424"/>
  <c r="T9" i="424"/>
  <c r="S130" i="437"/>
  <c r="T116" i="377"/>
  <c r="S116" i="377"/>
  <c r="T115" i="377"/>
  <c r="S114" i="437"/>
  <c r="BF13" i="460"/>
  <c r="C13" i="460" s="1"/>
  <c r="BJ18" i="461"/>
  <c r="D18" i="461" s="1"/>
  <c r="T7" i="442"/>
  <c r="V7" i="442"/>
  <c r="V4" i="442" s="1"/>
  <c r="S17" i="376"/>
  <c r="R18" i="376"/>
  <c r="S18" i="376" s="1"/>
  <c r="T20" i="376"/>
  <c r="V20" i="376" s="1"/>
  <c r="U115" i="437"/>
  <c r="Q113" i="443"/>
  <c r="R113" i="443" s="1"/>
  <c r="T113" i="443" s="1"/>
  <c r="Q112" i="445"/>
  <c r="R112" i="445" s="1"/>
  <c r="U112" i="445" s="1"/>
  <c r="U114" i="437"/>
  <c r="O111" i="445"/>
  <c r="O108" i="445" s="1"/>
  <c r="O10" i="445" s="1"/>
  <c r="Q113" i="445"/>
  <c r="R113" i="445" s="1"/>
  <c r="S113" i="445" s="1"/>
  <c r="P108" i="445"/>
  <c r="P10" i="445" s="1"/>
  <c r="S117" i="443"/>
  <c r="N114" i="445"/>
  <c r="Q114" i="445" s="1"/>
  <c r="Q118" i="445"/>
  <c r="R118" i="445" s="1"/>
  <c r="T118" i="445" s="1"/>
  <c r="R117" i="445"/>
  <c r="T117" i="445" s="1"/>
  <c r="D19" i="461"/>
  <c r="I59" i="124"/>
  <c r="K58" i="124"/>
  <c r="T12" i="422"/>
  <c r="T9" i="422" s="1"/>
  <c r="BA40" i="266"/>
  <c r="R82" i="443"/>
  <c r="T82" i="443" s="1"/>
  <c r="R71" i="443"/>
  <c r="U71" i="443" s="1"/>
  <c r="R124" i="443"/>
  <c r="S124" i="443" s="1"/>
  <c r="R23" i="443"/>
  <c r="S23" i="443" s="1"/>
  <c r="R16" i="443"/>
  <c r="U16" i="443" s="1"/>
  <c r="H15" i="445"/>
  <c r="L15" i="445"/>
  <c r="F11" i="445"/>
  <c r="L32" i="445"/>
  <c r="M32" i="445" s="1"/>
  <c r="H32" i="445"/>
  <c r="R14" i="445"/>
  <c r="U14" i="445" s="1"/>
  <c r="F15" i="438"/>
  <c r="G3" i="438" s="1"/>
  <c r="R127" i="377"/>
  <c r="S127" i="377" s="1"/>
  <c r="L69" i="380"/>
  <c r="M69" i="380" s="1"/>
  <c r="H69" i="380"/>
  <c r="R127" i="380"/>
  <c r="T127" i="380" s="1"/>
  <c r="H23" i="445"/>
  <c r="L23" i="445"/>
  <c r="M23" i="445" s="1"/>
  <c r="L16" i="445"/>
  <c r="M16" i="445" s="1"/>
  <c r="H16" i="445"/>
  <c r="L27" i="445"/>
  <c r="M27" i="445" s="1"/>
  <c r="H27" i="445"/>
  <c r="Q13" i="445"/>
  <c r="T12" i="437"/>
  <c r="U12" i="437"/>
  <c r="V14" i="325"/>
  <c r="P21" i="325"/>
  <c r="R17" i="400"/>
  <c r="D24" i="400"/>
  <c r="F24" i="400"/>
  <c r="K24" i="400"/>
  <c r="M17" i="400"/>
  <c r="I24" i="400"/>
  <c r="J24" i="400"/>
  <c r="N17" i="400"/>
  <c r="O17" i="400"/>
  <c r="S17" i="400"/>
  <c r="B24" i="400"/>
  <c r="G24" i="400"/>
  <c r="E24" i="400"/>
  <c r="P17" i="400"/>
  <c r="C24" i="400"/>
  <c r="H24" i="400"/>
  <c r="Q17" i="400"/>
  <c r="H31" i="445"/>
  <c r="L31" i="445"/>
  <c r="M31" i="445" s="1"/>
  <c r="L41" i="445"/>
  <c r="M41" i="445" s="1"/>
  <c r="H41" i="445"/>
  <c r="H24" i="445"/>
  <c r="L24" i="445"/>
  <c r="M24" i="445" s="1"/>
  <c r="L33" i="445"/>
  <c r="M33" i="445" s="1"/>
  <c r="H33" i="445"/>
  <c r="Q118" i="443"/>
  <c r="Q121" i="443"/>
  <c r="N110" i="443"/>
  <c r="H24" i="437"/>
  <c r="L24" i="437"/>
  <c r="M24" i="437" s="1"/>
  <c r="S12" i="437"/>
  <c r="V17" i="325"/>
  <c r="U17" i="325" s="1"/>
  <c r="R21" i="325"/>
  <c r="H74" i="380"/>
  <c r="L74" i="380"/>
  <c r="M74" i="380" s="1"/>
  <c r="F10" i="380"/>
  <c r="L46" i="380"/>
  <c r="H46" i="380"/>
  <c r="R126" i="379"/>
  <c r="S126" i="379" s="1"/>
  <c r="H10" i="377"/>
  <c r="P27" i="325"/>
  <c r="P36" i="325" s="1"/>
  <c r="BB37" i="266"/>
  <c r="Q88" i="377"/>
  <c r="U46" i="377"/>
  <c r="T46" i="377"/>
  <c r="T34" i="377"/>
  <c r="U90" i="377"/>
  <c r="T90" i="377"/>
  <c r="BR12" i="266"/>
  <c r="M75" i="404"/>
  <c r="M84" i="404" s="1"/>
  <c r="G19" i="401"/>
  <c r="H20" i="401"/>
  <c r="M76" i="404"/>
  <c r="N76" i="404" s="1"/>
  <c r="M80" i="404"/>
  <c r="S31" i="377"/>
  <c r="S45" i="377"/>
  <c r="BM22" i="266"/>
  <c r="BP22" i="266" s="1"/>
  <c r="BJ67" i="266"/>
  <c r="U17" i="377"/>
  <c r="S83" i="377"/>
  <c r="U93" i="377"/>
  <c r="R14" i="381"/>
  <c r="U14" i="381" s="1"/>
  <c r="T82" i="377"/>
  <c r="S122" i="380"/>
  <c r="S53" i="379"/>
  <c r="S82" i="379"/>
  <c r="T36" i="377"/>
  <c r="U37" i="379"/>
  <c r="V37" i="379" s="1"/>
  <c r="T113" i="379"/>
  <c r="T42" i="379"/>
  <c r="V42" i="379" s="1"/>
  <c r="U32" i="377"/>
  <c r="S15" i="380"/>
  <c r="U89" i="380"/>
  <c r="V89" i="380" s="1"/>
  <c r="T106" i="379"/>
  <c r="V106" i="379" s="1"/>
  <c r="T115" i="379"/>
  <c r="T81" i="379"/>
  <c r="V81" i="379" s="1"/>
  <c r="T36" i="379"/>
  <c r="V36" i="379" s="1"/>
  <c r="T95" i="379"/>
  <c r="U120" i="379"/>
  <c r="V120" i="379" s="1"/>
  <c r="S19" i="381"/>
  <c r="T89" i="377"/>
  <c r="U23" i="377"/>
  <c r="S44" i="377"/>
  <c r="T78" i="379"/>
  <c r="V78" i="379" s="1"/>
  <c r="R51" i="443"/>
  <c r="S51" i="443" s="1"/>
  <c r="U106" i="443"/>
  <c r="R17" i="443"/>
  <c r="T17" i="443" s="1"/>
  <c r="L62" i="443"/>
  <c r="T126" i="443"/>
  <c r="U47" i="443"/>
  <c r="S53" i="443"/>
  <c r="T87" i="443"/>
  <c r="S52" i="443"/>
  <c r="T107" i="443"/>
  <c r="T83" i="443"/>
  <c r="S50" i="443"/>
  <c r="S44" i="443"/>
  <c r="T80" i="443"/>
  <c r="S105" i="443"/>
  <c r="S27" i="443"/>
  <c r="T77" i="443"/>
  <c r="T98" i="443"/>
  <c r="T85" i="443"/>
  <c r="T46" i="443"/>
  <c r="S78" i="443"/>
  <c r="U39" i="443"/>
  <c r="T104" i="443"/>
  <c r="U36" i="443"/>
  <c r="S24" i="443"/>
  <c r="U76" i="443"/>
  <c r="U81" i="443"/>
  <c r="S97" i="443"/>
  <c r="S75" i="443"/>
  <c r="M11" i="443"/>
  <c r="L28" i="445"/>
  <c r="M28" i="445" s="1"/>
  <c r="H28" i="445"/>
  <c r="R127" i="437"/>
  <c r="U127" i="437" s="1"/>
  <c r="C23" i="225"/>
  <c r="H57" i="379"/>
  <c r="L57" i="379"/>
  <c r="F10" i="379"/>
  <c r="H19" i="445"/>
  <c r="L19" i="445"/>
  <c r="M19" i="445" s="1"/>
  <c r="H30" i="445"/>
  <c r="L30" i="445"/>
  <c r="M30" i="445" s="1"/>
  <c r="H18" i="445"/>
  <c r="L18" i="445"/>
  <c r="M18" i="445" s="1"/>
  <c r="L22" i="445"/>
  <c r="M22" i="445" s="1"/>
  <c r="H22" i="445"/>
  <c r="L34" i="445"/>
  <c r="M34" i="445" s="1"/>
  <c r="H34" i="445"/>
  <c r="L26" i="445"/>
  <c r="M26" i="445" s="1"/>
  <c r="H26" i="445"/>
  <c r="N119" i="443"/>
  <c r="Q119" i="443" s="1"/>
  <c r="Q112" i="443"/>
  <c r="Q12" i="443"/>
  <c r="O111" i="443"/>
  <c r="O108" i="443" s="1"/>
  <c r="O10" i="443" s="1"/>
  <c r="O6" i="443" s="1"/>
  <c r="H111" i="443"/>
  <c r="P111" i="443"/>
  <c r="P108" i="443" s="1"/>
  <c r="P10" i="443" s="1"/>
  <c r="M111" i="443"/>
  <c r="M108" i="443" s="1"/>
  <c r="L22" i="437"/>
  <c r="H22" i="437"/>
  <c r="F10" i="437"/>
  <c r="BG12" i="460"/>
  <c r="G17" i="284"/>
  <c r="F15" i="284"/>
  <c r="H77" i="380"/>
  <c r="L77" i="380"/>
  <c r="M77" i="380" s="1"/>
  <c r="H66" i="380"/>
  <c r="L66" i="380"/>
  <c r="F64" i="380"/>
  <c r="Q129" i="377"/>
  <c r="S43" i="346"/>
  <c r="M102" i="377"/>
  <c r="M101" i="377" s="1"/>
  <c r="L101" i="377"/>
  <c r="R28" i="380"/>
  <c r="S28" i="380" s="1"/>
  <c r="R20" i="377"/>
  <c r="T20" i="377" s="1"/>
  <c r="BA20" i="266"/>
  <c r="T30" i="408"/>
  <c r="S46" i="377"/>
  <c r="U34" i="377"/>
  <c r="U68" i="377"/>
  <c r="S104" i="377"/>
  <c r="BS12" i="266"/>
  <c r="BT89" i="266"/>
  <c r="M76" i="285"/>
  <c r="N76" i="285" s="1"/>
  <c r="M80" i="285"/>
  <c r="BT33" i="266"/>
  <c r="U31" i="377"/>
  <c r="U45" i="377"/>
  <c r="S17" i="377"/>
  <c r="U83" i="377"/>
  <c r="T93" i="377"/>
  <c r="N70" i="399"/>
  <c r="AP12" i="266"/>
  <c r="U70" i="379"/>
  <c r="V70" i="379" s="1"/>
  <c r="U11" i="381"/>
  <c r="N17" i="381"/>
  <c r="N9" i="381" s="1"/>
  <c r="Q18" i="381"/>
  <c r="Q17" i="381" s="1"/>
  <c r="S82" i="377"/>
  <c r="U122" i="380"/>
  <c r="V122" i="380" s="1"/>
  <c r="U120" i="380"/>
  <c r="S72" i="379"/>
  <c r="T72" i="379"/>
  <c r="V72" i="379" s="1"/>
  <c r="T82" i="379"/>
  <c r="V82" i="379" s="1"/>
  <c r="S70" i="379"/>
  <c r="S115" i="377"/>
  <c r="S79" i="437"/>
  <c r="Q99" i="443"/>
  <c r="R100" i="443"/>
  <c r="R99" i="443" s="1"/>
  <c r="S89" i="380"/>
  <c r="S106" i="379"/>
  <c r="U115" i="379"/>
  <c r="T53" i="379"/>
  <c r="V53" i="379" s="1"/>
  <c r="S36" i="379"/>
  <c r="U95" i="379"/>
  <c r="S120" i="379"/>
  <c r="U19" i="381"/>
  <c r="S20" i="376"/>
  <c r="U89" i="377"/>
  <c r="T44" i="377"/>
  <c r="S78" i="379"/>
  <c r="R58" i="443"/>
  <c r="T58" i="443" s="1"/>
  <c r="R120" i="443"/>
  <c r="U120" i="443" s="1"/>
  <c r="S106" i="443"/>
  <c r="R65" i="443"/>
  <c r="U65" i="443" s="1"/>
  <c r="T47" i="443"/>
  <c r="T52" i="443"/>
  <c r="S80" i="443"/>
  <c r="U105" i="443"/>
  <c r="T27" i="443"/>
  <c r="S77" i="443"/>
  <c r="T29" i="443"/>
  <c r="S36" i="443"/>
  <c r="S81" i="443"/>
  <c r="R15" i="443"/>
  <c r="T15" i="443" s="1"/>
  <c r="H20" i="445"/>
  <c r="L20" i="445"/>
  <c r="M20" i="445" s="1"/>
  <c r="Q126" i="437"/>
  <c r="G21" i="284"/>
  <c r="F19" i="284"/>
  <c r="R93" i="380"/>
  <c r="U93" i="380" s="1"/>
  <c r="Q102" i="379"/>
  <c r="M18" i="285"/>
  <c r="M14" i="285"/>
  <c r="N14" i="285" s="1"/>
  <c r="H200" i="393"/>
  <c r="G199" i="393"/>
  <c r="N13" i="285"/>
  <c r="N22" i="285" s="1"/>
  <c r="BK92" i="266"/>
  <c r="M14" i="402"/>
  <c r="M18" i="402"/>
  <c r="Q68" i="379"/>
  <c r="R106" i="377"/>
  <c r="T106" i="377" s="1"/>
  <c r="R97" i="377"/>
  <c r="U97" i="377" s="1"/>
  <c r="R49" i="379"/>
  <c r="T49" i="379" s="1"/>
  <c r="G94" i="392"/>
  <c r="H94" i="392" s="1"/>
  <c r="U43" i="437"/>
  <c r="T43" i="437"/>
  <c r="R20" i="379"/>
  <c r="S20" i="379" s="1"/>
  <c r="R23" i="379"/>
  <c r="T23" i="379" s="1"/>
  <c r="S14" i="380"/>
  <c r="R41" i="443"/>
  <c r="U41" i="443" s="1"/>
  <c r="L11" i="443"/>
  <c r="R84" i="443"/>
  <c r="U84" i="443" s="1"/>
  <c r="H11" i="443"/>
  <c r="H40" i="445"/>
  <c r="L40" i="445"/>
  <c r="M40" i="445" s="1"/>
  <c r="N11" i="437"/>
  <c r="H101" i="377"/>
  <c r="H38" i="445"/>
  <c r="L38" i="445"/>
  <c r="M38" i="445" s="1"/>
  <c r="H111" i="445"/>
  <c r="D108" i="445"/>
  <c r="D10" i="445" s="1"/>
  <c r="M111" i="445"/>
  <c r="G13" i="396"/>
  <c r="F11" i="396"/>
  <c r="F10" i="396" s="1"/>
  <c r="BB36" i="266"/>
  <c r="Q13" i="377"/>
  <c r="Q122" i="379"/>
  <c r="W122" i="379" s="1"/>
  <c r="M18" i="377"/>
  <c r="M10" i="377" s="1"/>
  <c r="L10" i="377"/>
  <c r="T38" i="413"/>
  <c r="T10" i="413" s="1"/>
  <c r="T9" i="413" s="1"/>
  <c r="R60" i="377"/>
  <c r="T60" i="377" s="1"/>
  <c r="N75" i="404"/>
  <c r="N84" i="404" s="1"/>
  <c r="BB82" i="266"/>
  <c r="G119" i="392"/>
  <c r="H119" i="392" s="1"/>
  <c r="BJ73" i="266"/>
  <c r="T104" i="377"/>
  <c r="X18" i="384"/>
  <c r="N80" i="404"/>
  <c r="R29" i="377"/>
  <c r="T29" i="377" s="1"/>
  <c r="H19" i="396"/>
  <c r="K20" i="396"/>
  <c r="K19" i="396" s="1"/>
  <c r="G191" i="393"/>
  <c r="H193" i="393"/>
  <c r="BK70" i="266"/>
  <c r="M9" i="381"/>
  <c r="T120" i="380"/>
  <c r="V120" i="380" s="1"/>
  <c r="U79" i="437"/>
  <c r="U113" i="379"/>
  <c r="T14" i="380"/>
  <c r="V14" i="380" s="1"/>
  <c r="N68" i="443"/>
  <c r="H62" i="443"/>
  <c r="R57" i="443"/>
  <c r="S57" i="443" s="1"/>
  <c r="C124" i="225"/>
  <c r="C126" i="225" s="1"/>
  <c r="C128" i="225" s="1"/>
  <c r="C48" i="226"/>
  <c r="C51" i="226" s="1"/>
  <c r="C53" i="226" s="1"/>
  <c r="U126" i="443" l="1"/>
  <c r="AT97" i="266"/>
  <c r="AV97" i="266"/>
  <c r="R86" i="380"/>
  <c r="T86" i="380" s="1"/>
  <c r="N33" i="437"/>
  <c r="Q33" i="437" s="1"/>
  <c r="R33" i="437" s="1"/>
  <c r="T33" i="437" s="1"/>
  <c r="U121" i="437"/>
  <c r="T119" i="380"/>
  <c r="S119" i="380"/>
  <c r="U119" i="380"/>
  <c r="V119" i="380" s="1"/>
  <c r="N31" i="379"/>
  <c r="Q31" i="379" s="1"/>
  <c r="N29" i="437"/>
  <c r="Q29" i="437" s="1"/>
  <c r="N78" i="380"/>
  <c r="Q78" i="380" s="1"/>
  <c r="M15" i="397"/>
  <c r="L18" i="397"/>
  <c r="S38" i="443"/>
  <c r="M21" i="404"/>
  <c r="M22" i="404" s="1"/>
  <c r="N20" i="404"/>
  <c r="N21" i="404" s="1"/>
  <c r="N22" i="404" s="1"/>
  <c r="R109" i="380"/>
  <c r="T109" i="380" s="1"/>
  <c r="S109" i="380"/>
  <c r="U109" i="380"/>
  <c r="V109" i="380" s="1"/>
  <c r="N41" i="380"/>
  <c r="Q41" i="380" s="1"/>
  <c r="N81" i="380"/>
  <c r="Q81" i="380" s="1"/>
  <c r="N58" i="380"/>
  <c r="Q58" i="380" s="1"/>
  <c r="N19" i="437"/>
  <c r="Q19" i="437" s="1"/>
  <c r="T43" i="346"/>
  <c r="AO10" i="266"/>
  <c r="AK10" i="266"/>
  <c r="AE10" i="266"/>
  <c r="AI10" i="266"/>
  <c r="T116" i="379"/>
  <c r="U116" i="379"/>
  <c r="S116" i="379"/>
  <c r="N73" i="379"/>
  <c r="Q73" i="379" s="1"/>
  <c r="N49" i="380"/>
  <c r="Q49" i="380" s="1"/>
  <c r="N89" i="379"/>
  <c r="Q89" i="379" s="1"/>
  <c r="N29" i="379"/>
  <c r="Q29" i="379" s="1"/>
  <c r="R29" i="379" s="1"/>
  <c r="U29" i="379" s="1"/>
  <c r="M14" i="399"/>
  <c r="N14" i="399" s="1"/>
  <c r="M18" i="399"/>
  <c r="V48" i="379"/>
  <c r="T75" i="379"/>
  <c r="V75" i="379" s="1"/>
  <c r="T72" i="377"/>
  <c r="S73" i="380"/>
  <c r="AI68" i="266"/>
  <c r="BG44" i="266"/>
  <c r="T73" i="380"/>
  <c r="V73" i="380" s="1"/>
  <c r="U48" i="379"/>
  <c r="T25" i="406"/>
  <c r="BI77" i="266"/>
  <c r="U74" i="377"/>
  <c r="AK14" i="266"/>
  <c r="AK42" i="266" s="1"/>
  <c r="AK44" i="266" s="1"/>
  <c r="AE14" i="266"/>
  <c r="AI14" i="266"/>
  <c r="AO14" i="266"/>
  <c r="AO42" i="266" s="1"/>
  <c r="AO44" i="266" s="1"/>
  <c r="R43" i="380"/>
  <c r="U43" i="380" s="1"/>
  <c r="BA13" i="266"/>
  <c r="AZ13" i="266"/>
  <c r="AV26" i="266"/>
  <c r="AE26" i="266"/>
  <c r="AT26" i="266"/>
  <c r="N14" i="402"/>
  <c r="S96" i="379"/>
  <c r="U72" i="377"/>
  <c r="N11" i="443"/>
  <c r="T67" i="443"/>
  <c r="T96" i="379"/>
  <c r="V96" i="379" s="1"/>
  <c r="S98" i="377"/>
  <c r="AK68" i="266"/>
  <c r="AK98" i="266" s="1"/>
  <c r="AK100" i="266" s="1"/>
  <c r="S113" i="437"/>
  <c r="U58" i="379"/>
  <c r="V58" i="379" s="1"/>
  <c r="S74" i="377"/>
  <c r="U67" i="443"/>
  <c r="U98" i="377"/>
  <c r="S75" i="379"/>
  <c r="T115" i="437"/>
  <c r="M54" i="124"/>
  <c r="N110" i="377"/>
  <c r="T30" i="443"/>
  <c r="S119" i="379"/>
  <c r="AC98" i="266"/>
  <c r="AC99" i="266" s="1"/>
  <c r="BO95" i="266"/>
  <c r="S30" i="443"/>
  <c r="L84" i="404"/>
  <c r="AP19" i="266"/>
  <c r="AI30" i="266"/>
  <c r="AK30" i="266"/>
  <c r="AO30" i="266"/>
  <c r="AK75" i="266"/>
  <c r="AO75" i="266"/>
  <c r="AI75" i="266"/>
  <c r="AK24" i="266"/>
  <c r="AI24" i="266"/>
  <c r="AO24" i="266"/>
  <c r="T116" i="445"/>
  <c r="BW19" i="465"/>
  <c r="Z79" i="509"/>
  <c r="AZ19" i="266"/>
  <c r="BA19" i="266"/>
  <c r="G14" i="438"/>
  <c r="S124" i="380"/>
  <c r="S86" i="377"/>
  <c r="T86" i="377"/>
  <c r="V13" i="380"/>
  <c r="N48" i="380"/>
  <c r="Q48" i="380" s="1"/>
  <c r="S13" i="443"/>
  <c r="U13" i="443"/>
  <c r="W110" i="379"/>
  <c r="W9" i="379" s="1"/>
  <c r="AY86" i="266"/>
  <c r="BB86" i="266" s="1"/>
  <c r="BK86" i="266" s="1"/>
  <c r="AP81" i="266"/>
  <c r="AZ81" i="266" s="1"/>
  <c r="U86" i="377"/>
  <c r="S86" i="443"/>
  <c r="U86" i="443"/>
  <c r="E38" i="509"/>
  <c r="Y38" i="509"/>
  <c r="BM70" i="266"/>
  <c r="BP70" i="266" s="1"/>
  <c r="T74" i="443"/>
  <c r="U74" i="443"/>
  <c r="BA81" i="266"/>
  <c r="BJ81" i="266" s="1"/>
  <c r="W15" i="376"/>
  <c r="R15" i="376"/>
  <c r="S15" i="376" s="1"/>
  <c r="T75" i="443"/>
  <c r="BC70" i="266"/>
  <c r="BS80" i="266"/>
  <c r="S20" i="380"/>
  <c r="Q16" i="376"/>
  <c r="W16" i="376" s="1"/>
  <c r="W10" i="376" s="1"/>
  <c r="BI15" i="266"/>
  <c r="V80" i="379"/>
  <c r="U124" i="379"/>
  <c r="BI25" i="266"/>
  <c r="BH42" i="266"/>
  <c r="BH43" i="266" s="1"/>
  <c r="BH44" i="266" s="1"/>
  <c r="S95" i="380"/>
  <c r="S116" i="445"/>
  <c r="S42" i="377"/>
  <c r="R9" i="408"/>
  <c r="M22" i="285"/>
  <c r="AK86" i="266"/>
  <c r="U121" i="445"/>
  <c r="AP90" i="266"/>
  <c r="BA90" i="266" s="1"/>
  <c r="N32" i="380"/>
  <c r="Q32" i="380" s="1"/>
  <c r="N105" i="380"/>
  <c r="Q105" i="380" s="1"/>
  <c r="R105" i="380" s="1"/>
  <c r="T105" i="380" s="1"/>
  <c r="W112" i="380"/>
  <c r="R112" i="380"/>
  <c r="U112" i="380" s="1"/>
  <c r="R116" i="380"/>
  <c r="U116" i="380" s="1"/>
  <c r="V16" i="380"/>
  <c r="S344" i="346"/>
  <c r="T124" i="379"/>
  <c r="U20" i="380"/>
  <c r="V20" i="380" s="1"/>
  <c r="N64" i="379"/>
  <c r="BO69" i="266"/>
  <c r="BN69" i="266"/>
  <c r="K18" i="400"/>
  <c r="S59" i="380"/>
  <c r="U93" i="379"/>
  <c r="BC53" i="335"/>
  <c r="T121" i="445"/>
  <c r="S35" i="379"/>
  <c r="S94" i="380"/>
  <c r="BI42" i="266"/>
  <c r="BI43" i="266" s="1"/>
  <c r="BI44" i="266" s="1"/>
  <c r="AO98" i="266"/>
  <c r="AO100" i="266" s="1"/>
  <c r="N45" i="437"/>
  <c r="Q45" i="437" s="1"/>
  <c r="S109" i="377"/>
  <c r="AY67" i="266"/>
  <c r="U38" i="443"/>
  <c r="T59" i="380"/>
  <c r="V59" i="380" s="1"/>
  <c r="BJ23" i="460"/>
  <c r="AK12" i="428"/>
  <c r="V88" i="379"/>
  <c r="AP72" i="266"/>
  <c r="BA72" i="266" s="1"/>
  <c r="BJ72" i="266" s="1"/>
  <c r="BM72" i="266" s="1"/>
  <c r="N53" i="380"/>
  <c r="Q53" i="380" s="1"/>
  <c r="N40" i="380"/>
  <c r="Q40" i="380" s="1"/>
  <c r="R40" i="380" s="1"/>
  <c r="U40" i="380" s="1"/>
  <c r="N26" i="380"/>
  <c r="Q26" i="380" s="1"/>
  <c r="R26" i="380" s="1"/>
  <c r="U26" i="380" s="1"/>
  <c r="N72" i="380"/>
  <c r="Q72" i="380" s="1"/>
  <c r="N31" i="380"/>
  <c r="Q31" i="380" s="1"/>
  <c r="T22" i="380"/>
  <c r="R113" i="380"/>
  <c r="T113" i="380" s="1"/>
  <c r="S129" i="380"/>
  <c r="T129" i="380"/>
  <c r="U129" i="380"/>
  <c r="V11" i="380"/>
  <c r="N61" i="380"/>
  <c r="Q61" i="380" s="1"/>
  <c r="V17" i="376"/>
  <c r="N35" i="437"/>
  <c r="Q35" i="437" s="1"/>
  <c r="R35" i="437" s="1"/>
  <c r="N76" i="437"/>
  <c r="Q76" i="437" s="1"/>
  <c r="R76" i="437" s="1"/>
  <c r="S76" i="437" s="1"/>
  <c r="V65" i="380"/>
  <c r="N21" i="380"/>
  <c r="Q21" i="380" s="1"/>
  <c r="N83" i="380"/>
  <c r="Q83" i="380" s="1"/>
  <c r="N39" i="380"/>
  <c r="Q39" i="380" s="1"/>
  <c r="R39" i="380" s="1"/>
  <c r="N103" i="380"/>
  <c r="Q103" i="380" s="1"/>
  <c r="R103" i="380" s="1"/>
  <c r="U103" i="380" s="1"/>
  <c r="N34" i="380"/>
  <c r="Q34" i="380" s="1"/>
  <c r="N107" i="380"/>
  <c r="Q107" i="380" s="1"/>
  <c r="R107" i="380" s="1"/>
  <c r="U107" i="380" s="1"/>
  <c r="N38" i="380"/>
  <c r="Q38" i="380" s="1"/>
  <c r="S121" i="379"/>
  <c r="U121" i="379"/>
  <c r="V121" i="379" s="1"/>
  <c r="S19" i="376"/>
  <c r="U19" i="376"/>
  <c r="T19" i="376"/>
  <c r="R123" i="379"/>
  <c r="S126" i="380"/>
  <c r="T126" i="380"/>
  <c r="V126" i="380" s="1"/>
  <c r="BL19" i="456"/>
  <c r="CW19" i="456"/>
  <c r="AL15" i="428"/>
  <c r="BU20" i="466"/>
  <c r="F9" i="380"/>
  <c r="N123" i="380"/>
  <c r="M110" i="380"/>
  <c r="BW20" i="465"/>
  <c r="BW20" i="458"/>
  <c r="V95" i="379"/>
  <c r="V113" i="379"/>
  <c r="V51" i="379"/>
  <c r="V25" i="379"/>
  <c r="V63" i="379"/>
  <c r="V93" i="379"/>
  <c r="AP16" i="266"/>
  <c r="BA16" i="266" s="1"/>
  <c r="BJ16" i="266" s="1"/>
  <c r="BM16" i="266" s="1"/>
  <c r="BN16" i="266" s="1"/>
  <c r="AY74" i="266"/>
  <c r="BB74" i="266" s="1"/>
  <c r="BK74" i="266" s="1"/>
  <c r="BQ74" i="266" s="1"/>
  <c r="BR74" i="266" s="1"/>
  <c r="N67" i="380"/>
  <c r="Q67" i="380" s="1"/>
  <c r="R67" i="380" s="1"/>
  <c r="U67" i="380" s="1"/>
  <c r="N55" i="380"/>
  <c r="Q55" i="380" s="1"/>
  <c r="R55" i="380" s="1"/>
  <c r="T55" i="380" s="1"/>
  <c r="N57" i="380"/>
  <c r="Q57" i="380" s="1"/>
  <c r="U15" i="437"/>
  <c r="AI89" i="266"/>
  <c r="AO89" i="266"/>
  <c r="AK89" i="266"/>
  <c r="AE89" i="266"/>
  <c r="AV83" i="266"/>
  <c r="AT83" i="266"/>
  <c r="R99" i="380"/>
  <c r="S99" i="380" s="1"/>
  <c r="U22" i="380"/>
  <c r="V22" i="380" s="1"/>
  <c r="V115" i="380"/>
  <c r="V94" i="380"/>
  <c r="O10" i="447"/>
  <c r="O12" i="447" s="1"/>
  <c r="O18" i="447" s="1"/>
  <c r="N12" i="447"/>
  <c r="T77" i="509" s="1"/>
  <c r="S77" i="509" s="1"/>
  <c r="V97" i="380"/>
  <c r="N71" i="437"/>
  <c r="Q71" i="437" s="1"/>
  <c r="R71" i="437" s="1"/>
  <c r="S71" i="437" s="1"/>
  <c r="N97" i="437"/>
  <c r="Q97" i="437" s="1"/>
  <c r="R97" i="437" s="1"/>
  <c r="U97" i="437" s="1"/>
  <c r="N102" i="437"/>
  <c r="Q102" i="437" s="1"/>
  <c r="R102" i="437" s="1"/>
  <c r="U102" i="437" s="1"/>
  <c r="U41" i="379"/>
  <c r="AP77" i="266"/>
  <c r="BA77" i="266" s="1"/>
  <c r="BJ77" i="266" s="1"/>
  <c r="BM77" i="266" s="1"/>
  <c r="BI39" i="266"/>
  <c r="N98" i="380"/>
  <c r="Q98" i="380" s="1"/>
  <c r="R98" i="380" s="1"/>
  <c r="S98" i="380" s="1"/>
  <c r="N23" i="380"/>
  <c r="Q23" i="380" s="1"/>
  <c r="R23" i="380" s="1"/>
  <c r="T23" i="380" s="1"/>
  <c r="AE72" i="266"/>
  <c r="AV72" i="266"/>
  <c r="AT72" i="266"/>
  <c r="AI84" i="266"/>
  <c r="AO84" i="266"/>
  <c r="AK84" i="266"/>
  <c r="AE84" i="266"/>
  <c r="S20" i="443"/>
  <c r="V115" i="379"/>
  <c r="V105" i="379"/>
  <c r="J46" i="399"/>
  <c r="J48" i="399" s="1"/>
  <c r="V33" i="380"/>
  <c r="AV66" i="266"/>
  <c r="AT66" i="266"/>
  <c r="R10" i="447"/>
  <c r="R12" i="447" s="1"/>
  <c r="R18" i="447" s="1"/>
  <c r="Q12" i="447"/>
  <c r="W77" i="509" s="1"/>
  <c r="V77" i="509" s="1"/>
  <c r="T117" i="437"/>
  <c r="U117" i="437"/>
  <c r="AE76" i="266"/>
  <c r="AV76" i="266"/>
  <c r="AT76" i="266"/>
  <c r="K11" i="447"/>
  <c r="J11" i="447"/>
  <c r="K10" i="447"/>
  <c r="J10" i="447"/>
  <c r="S19" i="380"/>
  <c r="U19" i="380"/>
  <c r="N102" i="377"/>
  <c r="N101" i="377" s="1"/>
  <c r="G13" i="438"/>
  <c r="S73" i="377"/>
  <c r="L110" i="437"/>
  <c r="AP79" i="266"/>
  <c r="BA79" i="266" s="1"/>
  <c r="BJ79" i="266" s="1"/>
  <c r="BM79" i="266" s="1"/>
  <c r="BN79" i="266" s="1"/>
  <c r="T122" i="377"/>
  <c r="N37" i="437"/>
  <c r="Q37" i="437" s="1"/>
  <c r="AP87" i="266"/>
  <c r="BA87" i="266" s="1"/>
  <c r="BJ87" i="266" s="1"/>
  <c r="BM87" i="266" s="1"/>
  <c r="N35" i="380"/>
  <c r="Q35" i="380" s="1"/>
  <c r="N68" i="380"/>
  <c r="Q68" i="380" s="1"/>
  <c r="N17" i="380"/>
  <c r="Q17" i="380" s="1"/>
  <c r="R17" i="380" s="1"/>
  <c r="S17" i="380" s="1"/>
  <c r="N27" i="380"/>
  <c r="Q27" i="380" s="1"/>
  <c r="R27" i="380" s="1"/>
  <c r="U27" i="380" s="1"/>
  <c r="N76" i="380"/>
  <c r="Q76" i="380" s="1"/>
  <c r="N80" i="380"/>
  <c r="Q80" i="380" s="1"/>
  <c r="N25" i="380"/>
  <c r="Q25" i="380" s="1"/>
  <c r="N37" i="380"/>
  <c r="Q37" i="380" s="1"/>
  <c r="N42" i="380"/>
  <c r="Q42" i="380" s="1"/>
  <c r="N88" i="380"/>
  <c r="Q88" i="380" s="1"/>
  <c r="N70" i="380"/>
  <c r="Q70" i="380" s="1"/>
  <c r="N29" i="380"/>
  <c r="Q29" i="380" s="1"/>
  <c r="N75" i="380"/>
  <c r="Q75" i="380" s="1"/>
  <c r="N18" i="380"/>
  <c r="Q18" i="380" s="1"/>
  <c r="R18" i="380" s="1"/>
  <c r="T18" i="380" s="1"/>
  <c r="N92" i="380"/>
  <c r="Q92" i="380" s="1"/>
  <c r="N44" i="380"/>
  <c r="Q44" i="380" s="1"/>
  <c r="R44" i="380" s="1"/>
  <c r="U44" i="380" s="1"/>
  <c r="AT21" i="266"/>
  <c r="AV21" i="266"/>
  <c r="AE21" i="266"/>
  <c r="T15" i="437"/>
  <c r="S31" i="443"/>
  <c r="BB67" i="266"/>
  <c r="AZ67" i="266"/>
  <c r="BB95" i="266"/>
  <c r="AZ95" i="266"/>
  <c r="AV34" i="266"/>
  <c r="AT34" i="266"/>
  <c r="AE34" i="266"/>
  <c r="R57" i="380"/>
  <c r="U57" i="380" s="1"/>
  <c r="AV25" i="266"/>
  <c r="AT25" i="266"/>
  <c r="T14" i="445"/>
  <c r="S91" i="377"/>
  <c r="U51" i="380"/>
  <c r="N36" i="445"/>
  <c r="Q36" i="445" s="1"/>
  <c r="N104" i="380"/>
  <c r="Q104" i="380" s="1"/>
  <c r="S77" i="377"/>
  <c r="N63" i="380"/>
  <c r="Q63" i="380" s="1"/>
  <c r="N100" i="380"/>
  <c r="Q100" i="380" s="1"/>
  <c r="AY18" i="266"/>
  <c r="BB18" i="266" s="1"/>
  <c r="BK18" i="266" s="1"/>
  <c r="BQ18" i="266" s="1"/>
  <c r="BR18" i="266" s="1"/>
  <c r="N45" i="380"/>
  <c r="Q45" i="380" s="1"/>
  <c r="N52" i="380"/>
  <c r="Q52" i="380" s="1"/>
  <c r="AY10" i="266"/>
  <c r="AP97" i="266"/>
  <c r="AP66" i="266"/>
  <c r="N24" i="380"/>
  <c r="Q24" i="380" s="1"/>
  <c r="N84" i="380"/>
  <c r="Q84" i="380" s="1"/>
  <c r="N54" i="380"/>
  <c r="Q54" i="380" s="1"/>
  <c r="AO88" i="266"/>
  <c r="AI88" i="266"/>
  <c r="AK88" i="266"/>
  <c r="AE88" i="266"/>
  <c r="N56" i="380"/>
  <c r="Q56" i="380" s="1"/>
  <c r="R56" i="380" s="1"/>
  <c r="U56" i="380" s="1"/>
  <c r="N47" i="380"/>
  <c r="Q47" i="380" s="1"/>
  <c r="N96" i="380"/>
  <c r="Q96" i="380" s="1"/>
  <c r="R96" i="380" s="1"/>
  <c r="S96" i="380" s="1"/>
  <c r="AV68" i="266"/>
  <c r="AT68" i="266"/>
  <c r="R82" i="380"/>
  <c r="S82" i="380" s="1"/>
  <c r="G6" i="237"/>
  <c r="G17" i="237" s="1"/>
  <c r="F17" i="237"/>
  <c r="F18" i="237" s="1"/>
  <c r="R21" i="380"/>
  <c r="T21" i="380" s="1"/>
  <c r="R55" i="379"/>
  <c r="R38" i="380"/>
  <c r="S38" i="380" s="1"/>
  <c r="AI91" i="266"/>
  <c r="AO91" i="266"/>
  <c r="AK91" i="266"/>
  <c r="R79" i="380"/>
  <c r="R80" i="377"/>
  <c r="U80" i="377" s="1"/>
  <c r="AV90" i="266"/>
  <c r="AE90" i="266"/>
  <c r="AT90" i="266"/>
  <c r="T125" i="437"/>
  <c r="U125" i="437"/>
  <c r="AE74" i="266"/>
  <c r="AI74" i="266"/>
  <c r="AK74" i="266"/>
  <c r="AO74" i="266"/>
  <c r="AT39" i="266"/>
  <c r="AV39" i="266"/>
  <c r="U129" i="437"/>
  <c r="S128" i="380"/>
  <c r="AO39" i="266"/>
  <c r="AI39" i="266"/>
  <c r="AE39" i="266"/>
  <c r="AK39" i="266"/>
  <c r="AT11" i="266"/>
  <c r="AV11" i="266"/>
  <c r="AV42" i="266" s="1"/>
  <c r="AV44" i="266" s="1"/>
  <c r="AD42" i="266"/>
  <c r="AE11" i="266"/>
  <c r="AE42" i="266" s="1"/>
  <c r="AE43" i="266" s="1"/>
  <c r="AE44" i="266" s="1"/>
  <c r="R112" i="377"/>
  <c r="AV93" i="266"/>
  <c r="AT93" i="266"/>
  <c r="AE93" i="266"/>
  <c r="AV85" i="266"/>
  <c r="AT85" i="266"/>
  <c r="AO28" i="266"/>
  <c r="AI28" i="266"/>
  <c r="AK28" i="266"/>
  <c r="T34" i="408"/>
  <c r="R9" i="406"/>
  <c r="T19" i="380"/>
  <c r="S122" i="377"/>
  <c r="T124" i="380"/>
  <c r="V124" i="380" s="1"/>
  <c r="T85" i="380"/>
  <c r="V85" i="380" s="1"/>
  <c r="T41" i="379"/>
  <c r="S125" i="437"/>
  <c r="AP96" i="266"/>
  <c r="N27" i="437"/>
  <c r="Q27" i="437" s="1"/>
  <c r="N66" i="437"/>
  <c r="Q66" i="437" s="1"/>
  <c r="N21" i="437"/>
  <c r="Q21" i="437" s="1"/>
  <c r="N63" i="437"/>
  <c r="Q63" i="437" s="1"/>
  <c r="U77" i="377"/>
  <c r="AZ41" i="266"/>
  <c r="BB41" i="266"/>
  <c r="BJ76" i="266"/>
  <c r="BM76" i="266" s="1"/>
  <c r="BO76" i="266" s="1"/>
  <c r="R40" i="379"/>
  <c r="S40" i="379" s="1"/>
  <c r="T39" i="380"/>
  <c r="U39" i="380"/>
  <c r="R71" i="380"/>
  <c r="T71" i="380" s="1"/>
  <c r="S35" i="437"/>
  <c r="L102" i="392"/>
  <c r="M102" i="392" s="1"/>
  <c r="BT78" i="266"/>
  <c r="U128" i="380"/>
  <c r="V128" i="380" s="1"/>
  <c r="U118" i="437"/>
  <c r="T122" i="437"/>
  <c r="S38" i="379"/>
  <c r="S116" i="437"/>
  <c r="N108" i="380"/>
  <c r="Q108" i="380" s="1"/>
  <c r="R108" i="380" s="1"/>
  <c r="AP94" i="266"/>
  <c r="U60" i="380"/>
  <c r="V60" i="380" s="1"/>
  <c r="AP86" i="266"/>
  <c r="S103" i="380"/>
  <c r="S85" i="380"/>
  <c r="U114" i="380"/>
  <c r="V114" i="380" s="1"/>
  <c r="S74" i="443"/>
  <c r="R91" i="380"/>
  <c r="U91" i="380" s="1"/>
  <c r="G190" i="393"/>
  <c r="T35" i="437"/>
  <c r="H86" i="392"/>
  <c r="U71" i="437"/>
  <c r="S34" i="408"/>
  <c r="S9" i="408" s="1"/>
  <c r="S114" i="380"/>
  <c r="AP71" i="266"/>
  <c r="BA71" i="266" s="1"/>
  <c r="BJ71" i="266" s="1"/>
  <c r="BM71" i="266" s="1"/>
  <c r="G36" i="237"/>
  <c r="G42" i="237" s="1"/>
  <c r="F42" i="237"/>
  <c r="F43" i="237" s="1"/>
  <c r="T15" i="346"/>
  <c r="T10" i="346" s="1"/>
  <c r="T9" i="346" s="1"/>
  <c r="S10" i="346"/>
  <c r="S9" i="346" s="1"/>
  <c r="BQ31" i="266"/>
  <c r="BS31" i="266" s="1"/>
  <c r="S60" i="380"/>
  <c r="T12" i="406"/>
  <c r="T10" i="406" s="1"/>
  <c r="S10" i="406"/>
  <c r="T13" i="405"/>
  <c r="T10" i="405" s="1"/>
  <c r="S10" i="405"/>
  <c r="S25" i="406"/>
  <c r="U35" i="437"/>
  <c r="BT80" i="266"/>
  <c r="BN70" i="266"/>
  <c r="U125" i="443"/>
  <c r="S125" i="443"/>
  <c r="S41" i="407"/>
  <c r="S9" i="407" s="1"/>
  <c r="S93" i="379"/>
  <c r="AY32" i="266"/>
  <c r="BB32" i="266" s="1"/>
  <c r="BK32" i="266" s="1"/>
  <c r="R102" i="380"/>
  <c r="T102" i="380" s="1"/>
  <c r="AY91" i="266"/>
  <c r="S39" i="380"/>
  <c r="AY77" i="266"/>
  <c r="S23" i="380"/>
  <c r="T51" i="380"/>
  <c r="T31" i="443"/>
  <c r="T40" i="380"/>
  <c r="V40" i="380" s="1"/>
  <c r="I37" i="144"/>
  <c r="S53" i="377"/>
  <c r="U69" i="379"/>
  <c r="T69" i="379"/>
  <c r="N52" i="437"/>
  <c r="Q52" i="437" s="1"/>
  <c r="U122" i="437"/>
  <c r="N49" i="445"/>
  <c r="Q49" i="445" s="1"/>
  <c r="N52" i="445"/>
  <c r="Q52" i="445" s="1"/>
  <c r="R52" i="445" s="1"/>
  <c r="U52" i="445" s="1"/>
  <c r="N66" i="445"/>
  <c r="Q66" i="445" s="1"/>
  <c r="R66" i="445" s="1"/>
  <c r="S66" i="445" s="1"/>
  <c r="N93" i="445"/>
  <c r="Q93" i="445" s="1"/>
  <c r="U119" i="437"/>
  <c r="S119" i="437"/>
  <c r="N70" i="437"/>
  <c r="Q70" i="437" s="1"/>
  <c r="N105" i="437"/>
  <c r="Q105" i="437" s="1"/>
  <c r="N63" i="445"/>
  <c r="Q63" i="445" s="1"/>
  <c r="R63" i="445" s="1"/>
  <c r="T63" i="445" s="1"/>
  <c r="N76" i="445"/>
  <c r="Q76" i="445" s="1"/>
  <c r="R76" i="445" s="1"/>
  <c r="U76" i="445" s="1"/>
  <c r="N44" i="437"/>
  <c r="Q44" i="437" s="1"/>
  <c r="N57" i="445"/>
  <c r="Q57" i="445" s="1"/>
  <c r="N46" i="437"/>
  <c r="Q46" i="437" s="1"/>
  <c r="N61" i="437"/>
  <c r="Q61" i="437" s="1"/>
  <c r="S46" i="445"/>
  <c r="U46" i="445"/>
  <c r="T63" i="377"/>
  <c r="U63" i="377"/>
  <c r="N51" i="437"/>
  <c r="Q51" i="437" s="1"/>
  <c r="N80" i="445"/>
  <c r="Q80" i="445" s="1"/>
  <c r="U116" i="437"/>
  <c r="U17" i="379"/>
  <c r="V17" i="379" s="1"/>
  <c r="N54" i="437"/>
  <c r="Q54" i="437" s="1"/>
  <c r="N53" i="437"/>
  <c r="Q53" i="437" s="1"/>
  <c r="N73" i="437"/>
  <c r="Q73" i="437" s="1"/>
  <c r="R73" i="437" s="1"/>
  <c r="U73" i="437" s="1"/>
  <c r="N94" i="437"/>
  <c r="Q94" i="437" s="1"/>
  <c r="N47" i="445"/>
  <c r="Q47" i="445" s="1"/>
  <c r="CK20" i="456"/>
  <c r="N50" i="445"/>
  <c r="Q50" i="445" s="1"/>
  <c r="CK19" i="456"/>
  <c r="R103" i="379"/>
  <c r="T103" i="379" s="1"/>
  <c r="S17" i="379"/>
  <c r="T38" i="379"/>
  <c r="V38" i="379" s="1"/>
  <c r="T32" i="379"/>
  <c r="U32" i="379"/>
  <c r="U59" i="379"/>
  <c r="V59" i="379" s="1"/>
  <c r="S112" i="445"/>
  <c r="R52" i="437"/>
  <c r="S52" i="437" s="1"/>
  <c r="T71" i="437"/>
  <c r="U10" i="381"/>
  <c r="AZ20" i="266"/>
  <c r="K25" i="400"/>
  <c r="S87" i="380"/>
  <c r="V10" i="416"/>
  <c r="AB9" i="430"/>
  <c r="BI29" i="266"/>
  <c r="G168" i="393"/>
  <c r="BA33" i="266"/>
  <c r="BC33" i="266" s="1"/>
  <c r="T9" i="408"/>
  <c r="T9" i="388"/>
  <c r="U73" i="377"/>
  <c r="U91" i="377"/>
  <c r="C82" i="448"/>
  <c r="N85" i="445"/>
  <c r="Q85" i="445" s="1"/>
  <c r="N86" i="445"/>
  <c r="Q86" i="445" s="1"/>
  <c r="N100" i="445"/>
  <c r="Q100" i="445" s="1"/>
  <c r="R100" i="445" s="1"/>
  <c r="S100" i="445" s="1"/>
  <c r="S9" i="388"/>
  <c r="U66" i="445"/>
  <c r="S29" i="379"/>
  <c r="J37" i="144"/>
  <c r="N28" i="437"/>
  <c r="Q28" i="437" s="1"/>
  <c r="N39" i="437"/>
  <c r="Q39" i="437" s="1"/>
  <c r="R39" i="437" s="1"/>
  <c r="T39" i="437" s="1"/>
  <c r="N55" i="437"/>
  <c r="Q55" i="437" s="1"/>
  <c r="R55" i="437" s="1"/>
  <c r="U55" i="437" s="1"/>
  <c r="N69" i="437"/>
  <c r="Q69" i="437" s="1"/>
  <c r="N75" i="437"/>
  <c r="Q75" i="437" s="1"/>
  <c r="N91" i="437"/>
  <c r="Q91" i="437" s="1"/>
  <c r="N56" i="445"/>
  <c r="Q56" i="445" s="1"/>
  <c r="N73" i="445"/>
  <c r="Q73" i="445" s="1"/>
  <c r="N29" i="445"/>
  <c r="Q29" i="445" s="1"/>
  <c r="N70" i="445"/>
  <c r="Q70" i="445" s="1"/>
  <c r="N87" i="445"/>
  <c r="Q87" i="445" s="1"/>
  <c r="N89" i="445"/>
  <c r="Q89" i="445" s="1"/>
  <c r="N94" i="445"/>
  <c r="Q94" i="445" s="1"/>
  <c r="T66" i="445"/>
  <c r="T53" i="377"/>
  <c r="N31" i="437"/>
  <c r="Q31" i="437" s="1"/>
  <c r="N42" i="437"/>
  <c r="Q42" i="437" s="1"/>
  <c r="N57" i="437"/>
  <c r="Q57" i="437" s="1"/>
  <c r="N77" i="437"/>
  <c r="Q77" i="437" s="1"/>
  <c r="N48" i="437"/>
  <c r="Q48" i="437" s="1"/>
  <c r="R48" i="437" s="1"/>
  <c r="U48" i="437" s="1"/>
  <c r="N74" i="437"/>
  <c r="Q74" i="437" s="1"/>
  <c r="N67" i="437"/>
  <c r="Q67" i="437" s="1"/>
  <c r="N96" i="437"/>
  <c r="Q96" i="437" s="1"/>
  <c r="R96" i="437" s="1"/>
  <c r="U96" i="437" s="1"/>
  <c r="N80" i="437"/>
  <c r="Q80" i="437" s="1"/>
  <c r="N109" i="437"/>
  <c r="Q109" i="437" s="1"/>
  <c r="N44" i="445"/>
  <c r="Q44" i="445" s="1"/>
  <c r="N74" i="445"/>
  <c r="Q74" i="445" s="1"/>
  <c r="N78" i="437"/>
  <c r="Q78" i="437" s="1"/>
  <c r="N87" i="437"/>
  <c r="Q87" i="437" s="1"/>
  <c r="N104" i="437"/>
  <c r="Q104" i="437" s="1"/>
  <c r="R104" i="437" s="1"/>
  <c r="T104" i="437" s="1"/>
  <c r="N84" i="437"/>
  <c r="Q84" i="437" s="1"/>
  <c r="R84" i="437" s="1"/>
  <c r="T84" i="437" s="1"/>
  <c r="S121" i="437"/>
  <c r="N60" i="445"/>
  <c r="Q60" i="445" s="1"/>
  <c r="N25" i="445"/>
  <c r="Q25" i="445" s="1"/>
  <c r="N88" i="445"/>
  <c r="Q88" i="445" s="1"/>
  <c r="N92" i="445"/>
  <c r="Q92" i="445" s="1"/>
  <c r="BM17" i="461"/>
  <c r="N68" i="437"/>
  <c r="Q68" i="437" s="1"/>
  <c r="N95" i="437"/>
  <c r="Q95" i="437" s="1"/>
  <c r="R95" i="437" s="1"/>
  <c r="U95" i="437" s="1"/>
  <c r="N92" i="437"/>
  <c r="Q92" i="437" s="1"/>
  <c r="S118" i="437"/>
  <c r="N65" i="445"/>
  <c r="Q65" i="445" s="1"/>
  <c r="N17" i="445"/>
  <c r="Q17" i="445" s="1"/>
  <c r="N81" i="445"/>
  <c r="Q81" i="445" s="1"/>
  <c r="BO18" i="461"/>
  <c r="N60" i="437"/>
  <c r="Q60" i="437" s="1"/>
  <c r="N89" i="437"/>
  <c r="Q89" i="437" s="1"/>
  <c r="N107" i="437"/>
  <c r="Q107" i="437" s="1"/>
  <c r="AB4" i="417"/>
  <c r="S58" i="443"/>
  <c r="T118" i="379"/>
  <c r="T16" i="437"/>
  <c r="T118" i="380"/>
  <c r="V118" i="380" s="1"/>
  <c r="S118" i="380"/>
  <c r="T117" i="379"/>
  <c r="S16" i="377"/>
  <c r="U69" i="443"/>
  <c r="S126" i="377"/>
  <c r="N42" i="445"/>
  <c r="Q42" i="445" s="1"/>
  <c r="N37" i="445"/>
  <c r="Q37" i="445" s="1"/>
  <c r="N21" i="445"/>
  <c r="Q21" i="445" s="1"/>
  <c r="N59" i="445"/>
  <c r="Q59" i="445" s="1"/>
  <c r="N105" i="445"/>
  <c r="Q105" i="445" s="1"/>
  <c r="R105" i="445" s="1"/>
  <c r="T105" i="445" s="1"/>
  <c r="N68" i="445"/>
  <c r="Q68" i="445" s="1"/>
  <c r="R68" i="445" s="1"/>
  <c r="S68" i="445" s="1"/>
  <c r="N39" i="445"/>
  <c r="Q39" i="445" s="1"/>
  <c r="N64" i="445"/>
  <c r="Q64" i="445" s="1"/>
  <c r="S59" i="379"/>
  <c r="N123" i="437"/>
  <c r="Q123" i="437" s="1"/>
  <c r="H110" i="437"/>
  <c r="N55" i="445"/>
  <c r="Q55" i="445" s="1"/>
  <c r="N86" i="437"/>
  <c r="Q86" i="437" s="1"/>
  <c r="N103" i="437"/>
  <c r="Q103" i="437" s="1"/>
  <c r="BR78" i="266"/>
  <c r="T69" i="377"/>
  <c r="U85" i="379"/>
  <c r="N62" i="380"/>
  <c r="Q62" i="380" s="1"/>
  <c r="S129" i="437"/>
  <c r="N77" i="445"/>
  <c r="Q77" i="445" s="1"/>
  <c r="N102" i="445"/>
  <c r="Q102" i="445" s="1"/>
  <c r="BN43" i="266"/>
  <c r="T14" i="437"/>
  <c r="U14" i="437"/>
  <c r="L108" i="445"/>
  <c r="M120" i="445"/>
  <c r="N120" i="445" s="1"/>
  <c r="Q120" i="445" s="1"/>
  <c r="U29" i="377"/>
  <c r="U20" i="377"/>
  <c r="AP23" i="266"/>
  <c r="BA23" i="266" s="1"/>
  <c r="N83" i="445"/>
  <c r="Q83" i="445" s="1"/>
  <c r="R83" i="445" s="1"/>
  <c r="U83" i="445" s="1"/>
  <c r="N67" i="445"/>
  <c r="Q67" i="445" s="1"/>
  <c r="R67" i="445" s="1"/>
  <c r="T67" i="445" s="1"/>
  <c r="N78" i="445"/>
  <c r="Q78" i="445" s="1"/>
  <c r="N23" i="437"/>
  <c r="Q23" i="437" s="1"/>
  <c r="N50" i="437"/>
  <c r="Q50" i="437" s="1"/>
  <c r="L64" i="437"/>
  <c r="M65" i="437"/>
  <c r="M64" i="437" s="1"/>
  <c r="N49" i="437"/>
  <c r="Q49" i="437" s="1"/>
  <c r="R49" i="437" s="1"/>
  <c r="U49" i="437" s="1"/>
  <c r="N40" i="437"/>
  <c r="Q40" i="437" s="1"/>
  <c r="N56" i="437"/>
  <c r="Q56" i="437" s="1"/>
  <c r="N81" i="437"/>
  <c r="Q81" i="437" s="1"/>
  <c r="N90" i="437"/>
  <c r="Q90" i="437" s="1"/>
  <c r="N85" i="437"/>
  <c r="Q85" i="437" s="1"/>
  <c r="N72" i="437"/>
  <c r="Q72" i="437" s="1"/>
  <c r="N88" i="437"/>
  <c r="Q88" i="437" s="1"/>
  <c r="N98" i="437"/>
  <c r="Q98" i="437" s="1"/>
  <c r="N108" i="437"/>
  <c r="Q108" i="437" s="1"/>
  <c r="H101" i="437"/>
  <c r="N58" i="445"/>
  <c r="Q58" i="445" s="1"/>
  <c r="N61" i="445"/>
  <c r="Q61" i="445" s="1"/>
  <c r="N45" i="445"/>
  <c r="Q45" i="445" s="1"/>
  <c r="N35" i="445"/>
  <c r="Q35" i="445" s="1"/>
  <c r="N51" i="445"/>
  <c r="Q51" i="445" s="1"/>
  <c r="N84" i="445"/>
  <c r="Q84" i="445" s="1"/>
  <c r="BB22" i="266"/>
  <c r="AZ22" i="266"/>
  <c r="N36" i="437"/>
  <c r="Q36" i="437" s="1"/>
  <c r="N20" i="437"/>
  <c r="Q20" i="437" s="1"/>
  <c r="N47" i="437"/>
  <c r="Q47" i="437" s="1"/>
  <c r="N59" i="437"/>
  <c r="Q59" i="437" s="1"/>
  <c r="R59" i="437" s="1"/>
  <c r="T59" i="437" s="1"/>
  <c r="N62" i="437"/>
  <c r="Q62" i="437" s="1"/>
  <c r="N83" i="437"/>
  <c r="Q83" i="437" s="1"/>
  <c r="N82" i="437"/>
  <c r="Q82" i="437" s="1"/>
  <c r="R82" i="437" s="1"/>
  <c r="T82" i="437" s="1"/>
  <c r="N93" i="437"/>
  <c r="Q93" i="437" s="1"/>
  <c r="N100" i="437"/>
  <c r="Q100" i="437" s="1"/>
  <c r="N99" i="437"/>
  <c r="Q99" i="437" s="1"/>
  <c r="N112" i="437"/>
  <c r="M110" i="437"/>
  <c r="N48" i="445"/>
  <c r="Q48" i="445" s="1"/>
  <c r="N54" i="445"/>
  <c r="Q54" i="445" s="1"/>
  <c r="N53" i="445"/>
  <c r="Q53" i="445" s="1"/>
  <c r="N43" i="445"/>
  <c r="Q43" i="445" s="1"/>
  <c r="N79" i="445"/>
  <c r="Q79" i="445" s="1"/>
  <c r="N71" i="445"/>
  <c r="Q71" i="445" s="1"/>
  <c r="BF12" i="457"/>
  <c r="U23" i="443"/>
  <c r="S71" i="443"/>
  <c r="S82" i="443"/>
  <c r="S123" i="445"/>
  <c r="S99" i="377"/>
  <c r="S87" i="377"/>
  <c r="U118" i="379"/>
  <c r="T65" i="379"/>
  <c r="U34" i="379"/>
  <c r="U90" i="380"/>
  <c r="V90" i="380" s="1"/>
  <c r="BR94" i="266"/>
  <c r="T39" i="379"/>
  <c r="T85" i="379"/>
  <c r="S40" i="380"/>
  <c r="N96" i="445"/>
  <c r="Q96" i="445" s="1"/>
  <c r="N103" i="445"/>
  <c r="Q103" i="445" s="1"/>
  <c r="R103" i="445" s="1"/>
  <c r="S103" i="445" s="1"/>
  <c r="R28" i="437"/>
  <c r="H64" i="437"/>
  <c r="N65" i="437"/>
  <c r="M106" i="437"/>
  <c r="M101" i="437" s="1"/>
  <c r="L101" i="437"/>
  <c r="R87" i="445"/>
  <c r="R94" i="445"/>
  <c r="R42" i="437"/>
  <c r="T42" i="437" s="1"/>
  <c r="R74" i="437"/>
  <c r="T74" i="437" s="1"/>
  <c r="R80" i="437"/>
  <c r="S80" i="437" s="1"/>
  <c r="S20" i="377"/>
  <c r="N27" i="445"/>
  <c r="Q27" i="445" s="1"/>
  <c r="R27" i="445" s="1"/>
  <c r="U27" i="445" s="1"/>
  <c r="U87" i="380"/>
  <c r="V87" i="380" s="1"/>
  <c r="U127" i="380"/>
  <c r="V127" i="380" s="1"/>
  <c r="BO77" i="266"/>
  <c r="T84" i="377"/>
  <c r="U12" i="445"/>
  <c r="U19" i="379"/>
  <c r="S47" i="377"/>
  <c r="T105" i="377"/>
  <c r="T39" i="377"/>
  <c r="U27" i="379"/>
  <c r="V27" i="379" s="1"/>
  <c r="S30" i="379"/>
  <c r="S26" i="377"/>
  <c r="BM16" i="356"/>
  <c r="BN16" i="356" s="1"/>
  <c r="N17" i="437"/>
  <c r="Q17" i="437" s="1"/>
  <c r="R17" i="437" s="1"/>
  <c r="N98" i="445"/>
  <c r="Q98" i="445" s="1"/>
  <c r="T14" i="443"/>
  <c r="T69" i="443"/>
  <c r="T76" i="437"/>
  <c r="U76" i="437"/>
  <c r="U37" i="377"/>
  <c r="T100" i="379"/>
  <c r="V100" i="379" s="1"/>
  <c r="T126" i="377"/>
  <c r="U30" i="380"/>
  <c r="S125" i="380"/>
  <c r="BJ93" i="266"/>
  <c r="N104" i="379"/>
  <c r="M101" i="379"/>
  <c r="U43" i="379"/>
  <c r="T29" i="379"/>
  <c r="V29" i="379" s="1"/>
  <c r="AC100" i="266"/>
  <c r="BA99" i="266"/>
  <c r="BJ99" i="266" s="1"/>
  <c r="AI98" i="266"/>
  <c r="AI100" i="266" s="1"/>
  <c r="AP68" i="266"/>
  <c r="H101" i="380"/>
  <c r="R62" i="379"/>
  <c r="U62" i="379" s="1"/>
  <c r="S18" i="380"/>
  <c r="U18" i="380"/>
  <c r="K32" i="144"/>
  <c r="K37" i="144" s="1"/>
  <c r="H37" i="144"/>
  <c r="N72" i="445"/>
  <c r="Q72" i="445" s="1"/>
  <c r="N91" i="445"/>
  <c r="Q91" i="445" s="1"/>
  <c r="BP43" i="266"/>
  <c r="U50" i="380"/>
  <c r="S63" i="445"/>
  <c r="U17" i="380"/>
  <c r="S49" i="379"/>
  <c r="U58" i="443"/>
  <c r="U18" i="376"/>
  <c r="T18" i="376"/>
  <c r="T43" i="379"/>
  <c r="N78" i="377"/>
  <c r="M64" i="377"/>
  <c r="M9" i="377" s="1"/>
  <c r="AK32" i="266"/>
  <c r="AO32" i="266"/>
  <c r="AI32" i="266"/>
  <c r="AE32" i="266"/>
  <c r="M106" i="380"/>
  <c r="M101" i="380" s="1"/>
  <c r="L101" i="380"/>
  <c r="R66" i="379"/>
  <c r="T66" i="379" s="1"/>
  <c r="BQ20" i="266"/>
  <c r="BT20" i="266" s="1"/>
  <c r="AV30" i="266"/>
  <c r="AE30" i="266"/>
  <c r="AT30" i="266"/>
  <c r="S10" i="413"/>
  <c r="S9" i="413" s="1"/>
  <c r="S127" i="380"/>
  <c r="U63" i="445"/>
  <c r="T41" i="443"/>
  <c r="T112" i="380"/>
  <c r="U49" i="379"/>
  <c r="V49" i="379" s="1"/>
  <c r="S106" i="377"/>
  <c r="S15" i="443"/>
  <c r="N26" i="445"/>
  <c r="Q26" i="445" s="1"/>
  <c r="N34" i="445"/>
  <c r="Q34" i="445" s="1"/>
  <c r="R34" i="445" s="1"/>
  <c r="U34" i="445" s="1"/>
  <c r="N30" i="445"/>
  <c r="Q30" i="445" s="1"/>
  <c r="R30" i="445" s="1"/>
  <c r="T30" i="445" s="1"/>
  <c r="N28" i="445"/>
  <c r="Q28" i="445" s="1"/>
  <c r="R28" i="445" s="1"/>
  <c r="T28" i="445" s="1"/>
  <c r="T126" i="379"/>
  <c r="S33" i="437"/>
  <c r="T71" i="443"/>
  <c r="U82" i="443"/>
  <c r="K196" i="393"/>
  <c r="K195" i="393" s="1"/>
  <c r="H195" i="393"/>
  <c r="S19" i="377"/>
  <c r="U19" i="377"/>
  <c r="S107" i="379"/>
  <c r="T107" i="379"/>
  <c r="AV17" i="266"/>
  <c r="AT17" i="266"/>
  <c r="AE17" i="266"/>
  <c r="AT29" i="266"/>
  <c r="AV29" i="266"/>
  <c r="U33" i="437"/>
  <c r="U123" i="445"/>
  <c r="U91" i="379"/>
  <c r="U84" i="377"/>
  <c r="T96" i="380"/>
  <c r="S56" i="380"/>
  <c r="U65" i="379"/>
  <c r="T94" i="379"/>
  <c r="V94" i="379" s="1"/>
  <c r="T67" i="379"/>
  <c r="V67" i="379" s="1"/>
  <c r="N90" i="445"/>
  <c r="Q90" i="445" s="1"/>
  <c r="R90" i="445" s="1"/>
  <c r="S90" i="445" s="1"/>
  <c r="T12" i="445"/>
  <c r="H159" i="393"/>
  <c r="H168" i="393" s="1"/>
  <c r="N16" i="398"/>
  <c r="N18" i="398" s="1"/>
  <c r="N30" i="437"/>
  <c r="Q30" i="437" s="1"/>
  <c r="S69" i="377"/>
  <c r="T47" i="377"/>
  <c r="T85" i="377"/>
  <c r="S105" i="377"/>
  <c r="BT94" i="266"/>
  <c r="S92" i="377"/>
  <c r="U52" i="377"/>
  <c r="S39" i="377"/>
  <c r="S27" i="379"/>
  <c r="U30" i="379"/>
  <c r="V30" i="379" s="1"/>
  <c r="U39" i="379"/>
  <c r="U100" i="377"/>
  <c r="S100" i="377"/>
  <c r="N25" i="400"/>
  <c r="E18" i="400"/>
  <c r="U117" i="379"/>
  <c r="T16" i="377"/>
  <c r="N18" i="437"/>
  <c r="Q18" i="437" s="1"/>
  <c r="R18" i="437" s="1"/>
  <c r="S18" i="437" s="1"/>
  <c r="BK84" i="266"/>
  <c r="U38" i="377"/>
  <c r="S38" i="377"/>
  <c r="T44" i="379"/>
  <c r="V44" i="379" s="1"/>
  <c r="S44" i="379"/>
  <c r="T19" i="377"/>
  <c r="T37" i="377"/>
  <c r="S100" i="379"/>
  <c r="U107" i="379"/>
  <c r="T30" i="380"/>
  <c r="V30" i="380" s="1"/>
  <c r="U125" i="380"/>
  <c r="V125" i="380" s="1"/>
  <c r="N75" i="445"/>
  <c r="Q75" i="445" s="1"/>
  <c r="Q9" i="381"/>
  <c r="BB14" i="266"/>
  <c r="T97" i="379"/>
  <c r="V97" i="379" s="1"/>
  <c r="S97" i="379"/>
  <c r="N32" i="437"/>
  <c r="Q32" i="437" s="1"/>
  <c r="R32" i="437" s="1"/>
  <c r="S32" i="437" s="1"/>
  <c r="O6" i="377"/>
  <c r="M10" i="398"/>
  <c r="N10" i="398" s="1"/>
  <c r="L13" i="398"/>
  <c r="L22" i="398" s="1"/>
  <c r="T57" i="443"/>
  <c r="S29" i="377"/>
  <c r="S23" i="379"/>
  <c r="U20" i="379"/>
  <c r="T20" i="379"/>
  <c r="T100" i="443"/>
  <c r="T99" i="443" s="1"/>
  <c r="U51" i="443"/>
  <c r="N18" i="400"/>
  <c r="BG13" i="463"/>
  <c r="R76" i="379"/>
  <c r="S76" i="379" s="1"/>
  <c r="BQ13" i="266"/>
  <c r="BR13" i="266" s="1"/>
  <c r="K16" i="396"/>
  <c r="K15" i="396" s="1"/>
  <c r="H15" i="396"/>
  <c r="G127" i="392"/>
  <c r="G135" i="392" s="1"/>
  <c r="T98" i="379"/>
  <c r="V98" i="379" s="1"/>
  <c r="S95" i="377"/>
  <c r="T95" i="377"/>
  <c r="U33" i="377"/>
  <c r="T108" i="380"/>
  <c r="S108" i="380"/>
  <c r="M52" i="397"/>
  <c r="N52" i="397" s="1"/>
  <c r="Q110" i="379"/>
  <c r="R112" i="379"/>
  <c r="U112" i="379" s="1"/>
  <c r="AV35" i="266"/>
  <c r="AT35" i="266"/>
  <c r="AO18" i="266"/>
  <c r="AI18" i="266"/>
  <c r="AK18" i="266"/>
  <c r="AE18" i="266"/>
  <c r="AI15" i="266"/>
  <c r="AO15" i="266"/>
  <c r="AK15" i="266"/>
  <c r="AE15" i="266"/>
  <c r="T119" i="377"/>
  <c r="S119" i="377"/>
  <c r="S16" i="437"/>
  <c r="N26" i="437"/>
  <c r="Q26" i="437" s="1"/>
  <c r="N106" i="445"/>
  <c r="Q106" i="445" s="1"/>
  <c r="H99" i="445"/>
  <c r="L99" i="445"/>
  <c r="M101" i="445"/>
  <c r="M99" i="445" s="1"/>
  <c r="N104" i="445"/>
  <c r="Q104" i="445" s="1"/>
  <c r="AO92" i="266"/>
  <c r="AE92" i="266"/>
  <c r="AK92" i="266"/>
  <c r="AI92" i="266"/>
  <c r="AK82" i="266"/>
  <c r="AO82" i="266"/>
  <c r="AI82" i="266"/>
  <c r="AE82" i="266"/>
  <c r="AV73" i="266"/>
  <c r="AT73" i="266"/>
  <c r="AE73" i="266"/>
  <c r="BH98" i="266"/>
  <c r="BI69" i="266"/>
  <c r="BI98" i="266" s="1"/>
  <c r="BI99" i="266" s="1"/>
  <c r="BI100" i="266" s="1"/>
  <c r="BI35" i="266"/>
  <c r="AT24" i="266"/>
  <c r="AV24" i="266"/>
  <c r="AE24" i="266"/>
  <c r="M13" i="398"/>
  <c r="M22" i="398" s="1"/>
  <c r="AL11" i="356"/>
  <c r="AL10" i="356" s="1"/>
  <c r="R30" i="437"/>
  <c r="S30" i="437" s="1"/>
  <c r="H15" i="401"/>
  <c r="K16" i="401"/>
  <c r="K15" i="401" s="1"/>
  <c r="BQ96" i="266"/>
  <c r="BT96" i="266" s="1"/>
  <c r="BC81" i="266"/>
  <c r="BK81" i="266"/>
  <c r="T19" i="379"/>
  <c r="V19" i="379" s="1"/>
  <c r="U62" i="377"/>
  <c r="T62" i="377"/>
  <c r="T61" i="377"/>
  <c r="S61" i="377"/>
  <c r="S85" i="377"/>
  <c r="S90" i="380"/>
  <c r="S45" i="379"/>
  <c r="T45" i="379"/>
  <c r="V45" i="379" s="1"/>
  <c r="U92" i="377"/>
  <c r="S52" i="377"/>
  <c r="M13" i="402"/>
  <c r="M22" i="402" s="1"/>
  <c r="M56" i="397"/>
  <c r="N56" i="397" s="1"/>
  <c r="M50" i="397"/>
  <c r="N50" i="397" s="1"/>
  <c r="L53" i="397"/>
  <c r="U99" i="379"/>
  <c r="V99" i="379" s="1"/>
  <c r="S99" i="379"/>
  <c r="S22" i="377"/>
  <c r="T22" i="377"/>
  <c r="T26" i="377"/>
  <c r="T90" i="379"/>
  <c r="U90" i="379"/>
  <c r="BK75" i="266"/>
  <c r="AV87" i="266"/>
  <c r="AE87" i="266"/>
  <c r="AT87" i="266"/>
  <c r="BI27" i="266"/>
  <c r="S118" i="377"/>
  <c r="H18" i="400"/>
  <c r="M76" i="399"/>
  <c r="N76" i="399" s="1"/>
  <c r="N78" i="399" s="1"/>
  <c r="L78" i="399"/>
  <c r="L74" i="399"/>
  <c r="U25" i="437"/>
  <c r="N95" i="445"/>
  <c r="Q95" i="445" s="1"/>
  <c r="H62" i="445"/>
  <c r="M82" i="445"/>
  <c r="L62" i="445"/>
  <c r="N97" i="445"/>
  <c r="Q97" i="445" s="1"/>
  <c r="N107" i="445"/>
  <c r="Q107" i="445" s="1"/>
  <c r="AE83" i="266"/>
  <c r="AI83" i="266"/>
  <c r="AO83" i="266"/>
  <c r="AK83" i="266"/>
  <c r="BI38" i="266"/>
  <c r="AK36" i="266"/>
  <c r="AO36" i="266"/>
  <c r="AI36" i="266"/>
  <c r="AE36" i="266"/>
  <c r="AI31" i="266"/>
  <c r="AO31" i="266"/>
  <c r="AK31" i="266"/>
  <c r="AE31" i="266"/>
  <c r="T117" i="380"/>
  <c r="U117" i="380"/>
  <c r="Q114" i="377"/>
  <c r="M10" i="397"/>
  <c r="M13" i="397" s="1"/>
  <c r="M22" i="397" s="1"/>
  <c r="L13" i="397"/>
  <c r="L22" i="397" s="1"/>
  <c r="N34" i="437"/>
  <c r="Q34" i="437" s="1"/>
  <c r="S14" i="443"/>
  <c r="U57" i="443"/>
  <c r="N38" i="445"/>
  <c r="Q38" i="445" s="1"/>
  <c r="T84" i="443"/>
  <c r="U23" i="379"/>
  <c r="V23" i="379" s="1"/>
  <c r="T17" i="380"/>
  <c r="S112" i="380"/>
  <c r="T97" i="377"/>
  <c r="U106" i="377"/>
  <c r="BT74" i="266"/>
  <c r="T93" i="380"/>
  <c r="V93" i="380" s="1"/>
  <c r="U15" i="443"/>
  <c r="S82" i="437"/>
  <c r="S100" i="443"/>
  <c r="S99" i="443" s="1"/>
  <c r="U100" i="443"/>
  <c r="N77" i="380"/>
  <c r="Q77" i="380" s="1"/>
  <c r="R77" i="380" s="1"/>
  <c r="U77" i="380" s="1"/>
  <c r="T51" i="443"/>
  <c r="U126" i="379"/>
  <c r="N24" i="437"/>
  <c r="Q24" i="437" s="1"/>
  <c r="T23" i="443"/>
  <c r="U119" i="445"/>
  <c r="T112" i="445"/>
  <c r="S122" i="443"/>
  <c r="T91" i="379"/>
  <c r="S96" i="437"/>
  <c r="S98" i="379"/>
  <c r="U99" i="377"/>
  <c r="U95" i="377"/>
  <c r="T33" i="377"/>
  <c r="T87" i="377"/>
  <c r="BJ78" i="266"/>
  <c r="BC78" i="266"/>
  <c r="U96" i="380"/>
  <c r="U108" i="380"/>
  <c r="T56" i="380"/>
  <c r="V56" i="380" s="1"/>
  <c r="M57" i="397"/>
  <c r="N57" i="397" s="1"/>
  <c r="U98" i="380"/>
  <c r="S94" i="379"/>
  <c r="S67" i="379"/>
  <c r="T34" i="379"/>
  <c r="V34" i="379" s="1"/>
  <c r="R65" i="377"/>
  <c r="S65" i="377" s="1"/>
  <c r="AK85" i="266"/>
  <c r="AE85" i="266"/>
  <c r="AO85" i="266"/>
  <c r="AI85" i="266"/>
  <c r="AT71" i="266"/>
  <c r="AV71" i="266"/>
  <c r="AE71" i="266"/>
  <c r="U119" i="377"/>
  <c r="V12" i="384"/>
  <c r="T11" i="384"/>
  <c r="H12" i="401"/>
  <c r="G11" i="401"/>
  <c r="G10" i="401" s="1"/>
  <c r="N88" i="402"/>
  <c r="N91" i="402" s="1"/>
  <c r="N100" i="402" s="1"/>
  <c r="M91" i="402"/>
  <c r="M100" i="402" s="1"/>
  <c r="J14" i="144"/>
  <c r="J23" i="144" s="1"/>
  <c r="I14" i="144"/>
  <c r="I23" i="144" s="1"/>
  <c r="H23" i="144"/>
  <c r="AV69" i="266"/>
  <c r="AE69" i="266"/>
  <c r="AE98" i="266" s="1"/>
  <c r="AE99" i="266" s="1"/>
  <c r="AE100" i="266" s="1"/>
  <c r="AD98" i="266"/>
  <c r="AD99" i="266" s="1"/>
  <c r="AT69" i="266"/>
  <c r="AV40" i="266"/>
  <c r="AT40" i="266"/>
  <c r="AE40" i="266"/>
  <c r="AO37" i="266"/>
  <c r="AI37" i="266"/>
  <c r="AK37" i="266"/>
  <c r="AE37" i="266"/>
  <c r="AK35" i="266"/>
  <c r="AI35" i="266"/>
  <c r="AE35" i="266"/>
  <c r="AO35" i="266"/>
  <c r="AE29" i="266"/>
  <c r="AK29" i="266"/>
  <c r="AO29" i="266"/>
  <c r="AI29" i="266"/>
  <c r="AV27" i="266"/>
  <c r="AT27" i="266"/>
  <c r="R127" i="379"/>
  <c r="U127" i="379" s="1"/>
  <c r="S15" i="377"/>
  <c r="U15" i="377"/>
  <c r="N11" i="398"/>
  <c r="BN12" i="356"/>
  <c r="T86" i="407"/>
  <c r="T41" i="407" s="1"/>
  <c r="T9" i="407" s="1"/>
  <c r="N38" i="437"/>
  <c r="Q38" i="437" s="1"/>
  <c r="N41" i="437"/>
  <c r="Q41" i="437" s="1"/>
  <c r="R113" i="377"/>
  <c r="U113" i="377" s="1"/>
  <c r="BQ88" i="266"/>
  <c r="BS88" i="266" s="1"/>
  <c r="S55" i="437"/>
  <c r="T55" i="437"/>
  <c r="M51" i="397"/>
  <c r="N51" i="397" s="1"/>
  <c r="M55" i="397"/>
  <c r="N55" i="397" s="1"/>
  <c r="L58" i="397"/>
  <c r="BJ24" i="460"/>
  <c r="BO16" i="266"/>
  <c r="S103" i="377"/>
  <c r="U103" i="377"/>
  <c r="BJ11" i="266"/>
  <c r="AV79" i="266"/>
  <c r="AE79" i="266"/>
  <c r="AT79" i="266"/>
  <c r="AT38" i="266"/>
  <c r="AV38" i="266"/>
  <c r="AK27" i="266"/>
  <c r="AE27" i="266"/>
  <c r="AI27" i="266"/>
  <c r="AO27" i="266"/>
  <c r="AV15" i="266"/>
  <c r="AT15" i="266"/>
  <c r="U118" i="377"/>
  <c r="B18" i="400"/>
  <c r="Q25" i="400"/>
  <c r="M71" i="399"/>
  <c r="M73" i="399" s="1"/>
  <c r="M82" i="399" s="1"/>
  <c r="L73" i="399"/>
  <c r="T25" i="437"/>
  <c r="R98" i="445"/>
  <c r="T98" i="445" s="1"/>
  <c r="AO80" i="266"/>
  <c r="AI80" i="266"/>
  <c r="AK80" i="266"/>
  <c r="AE80" i="266"/>
  <c r="AI38" i="266"/>
  <c r="AK38" i="266"/>
  <c r="AO38" i="266"/>
  <c r="AE38" i="266"/>
  <c r="AV28" i="266"/>
  <c r="AT28" i="266"/>
  <c r="AE28" i="266"/>
  <c r="AO25" i="266"/>
  <c r="AK25" i="266"/>
  <c r="AI25" i="266"/>
  <c r="AE25" i="266"/>
  <c r="AV16" i="266"/>
  <c r="AE16" i="266"/>
  <c r="AT16" i="266"/>
  <c r="AZ24" i="373"/>
  <c r="BA11" i="373"/>
  <c r="BA24" i="373" s="1"/>
  <c r="U128" i="437"/>
  <c r="S128" i="437"/>
  <c r="J135" i="392"/>
  <c r="BV18" i="456"/>
  <c r="T14" i="381"/>
  <c r="T10" i="381" s="1"/>
  <c r="R10" i="381"/>
  <c r="T122" i="445"/>
  <c r="T119" i="445"/>
  <c r="T122" i="443"/>
  <c r="U123" i="443"/>
  <c r="BF18" i="460"/>
  <c r="C18" i="460" s="1"/>
  <c r="BJ18" i="459"/>
  <c r="D18" i="459" s="1"/>
  <c r="BH18" i="463"/>
  <c r="C18" i="463" s="1"/>
  <c r="V5" i="420"/>
  <c r="BG18" i="463"/>
  <c r="BJ13" i="459"/>
  <c r="BJ13" i="461"/>
  <c r="S122" i="445"/>
  <c r="S123" i="443"/>
  <c r="BU18" i="466"/>
  <c r="BV18" i="466"/>
  <c r="BU18" i="465"/>
  <c r="D18" i="465"/>
  <c r="BL18" i="465" s="1"/>
  <c r="BZ18" i="465"/>
  <c r="BK18" i="461"/>
  <c r="BK18" i="459"/>
  <c r="R16" i="376"/>
  <c r="BG13" i="460"/>
  <c r="U114" i="443"/>
  <c r="BG18" i="460"/>
  <c r="U115" i="445"/>
  <c r="T124" i="443"/>
  <c r="U118" i="445"/>
  <c r="U117" i="445"/>
  <c r="U124" i="443"/>
  <c r="S118" i="445"/>
  <c r="U113" i="443"/>
  <c r="R115" i="443"/>
  <c r="T115" i="443" s="1"/>
  <c r="T110" i="445"/>
  <c r="N111" i="443"/>
  <c r="Q111" i="443" s="1"/>
  <c r="R111" i="443" s="1"/>
  <c r="U111" i="443" s="1"/>
  <c r="M10" i="443"/>
  <c r="S113" i="443"/>
  <c r="S115" i="445"/>
  <c r="U126" i="445"/>
  <c r="S125" i="445"/>
  <c r="U113" i="445"/>
  <c r="R114" i="445"/>
  <c r="U114" i="445" s="1"/>
  <c r="S110" i="445"/>
  <c r="T125" i="445"/>
  <c r="T113" i="445"/>
  <c r="T126" i="445"/>
  <c r="BU18" i="458"/>
  <c r="S117" i="445"/>
  <c r="BU18" i="456"/>
  <c r="K59" i="124"/>
  <c r="BQ70" i="266"/>
  <c r="BU70" i="266" s="1"/>
  <c r="BL70" i="266"/>
  <c r="BM73" i="266"/>
  <c r="BN73" i="266" s="1"/>
  <c r="U60" i="377"/>
  <c r="R122" i="379"/>
  <c r="R13" i="377"/>
  <c r="T13" i="377" s="1"/>
  <c r="T50" i="380"/>
  <c r="V50" i="380" s="1"/>
  <c r="Q11" i="437"/>
  <c r="S84" i="443"/>
  <c r="S41" i="443"/>
  <c r="R66" i="437"/>
  <c r="S97" i="377"/>
  <c r="R68" i="379"/>
  <c r="Q64" i="379"/>
  <c r="BS74" i="266"/>
  <c r="S93" i="380"/>
  <c r="H21" i="284"/>
  <c r="G19" i="284"/>
  <c r="N20" i="445"/>
  <c r="Q20" i="445" s="1"/>
  <c r="T65" i="443"/>
  <c r="T120" i="443"/>
  <c r="S102" i="437"/>
  <c r="AZ12" i="266"/>
  <c r="BA12" i="266"/>
  <c r="BM26" i="266"/>
  <c r="T28" i="380"/>
  <c r="R129" i="377"/>
  <c r="BH12" i="463"/>
  <c r="N22" i="445"/>
  <c r="Q22" i="445" s="1"/>
  <c r="T127" i="437"/>
  <c r="O6" i="445"/>
  <c r="S17" i="443"/>
  <c r="S14" i="381"/>
  <c r="S10" i="381" s="1"/>
  <c r="BM21" i="266"/>
  <c r="BQ86" i="266"/>
  <c r="H19" i="401"/>
  <c r="K20" i="401"/>
  <c r="K19" i="401" s="1"/>
  <c r="H108" i="443"/>
  <c r="H10" i="443" s="1"/>
  <c r="N33" i="445"/>
  <c r="Q33" i="445" s="1"/>
  <c r="N41" i="445"/>
  <c r="Q41" i="445" s="1"/>
  <c r="Q18" i="400"/>
  <c r="E25" i="400"/>
  <c r="N16" i="445"/>
  <c r="Q16" i="445" s="1"/>
  <c r="U127" i="377"/>
  <c r="S14" i="445"/>
  <c r="M15" i="445"/>
  <c r="M11" i="445" s="1"/>
  <c r="L11" i="445"/>
  <c r="S16" i="443"/>
  <c r="S114" i="443"/>
  <c r="BJ19" i="266"/>
  <c r="BC19" i="266"/>
  <c r="BJ90" i="266"/>
  <c r="U116" i="443"/>
  <c r="M108" i="445"/>
  <c r="R38" i="445"/>
  <c r="S38" i="445" s="1"/>
  <c r="BQ92" i="266"/>
  <c r="BS92" i="266" s="1"/>
  <c r="H199" i="393"/>
  <c r="K200" i="393"/>
  <c r="K199" i="393" s="1"/>
  <c r="R102" i="379"/>
  <c r="U99" i="443"/>
  <c r="H10" i="437"/>
  <c r="R112" i="443"/>
  <c r="S112" i="443" s="1"/>
  <c r="M57" i="379"/>
  <c r="M10" i="379" s="1"/>
  <c r="M9" i="379" s="1"/>
  <c r="L10" i="379"/>
  <c r="BM67" i="266"/>
  <c r="BO67" i="266" s="1"/>
  <c r="BK37" i="266"/>
  <c r="N18" i="377"/>
  <c r="Q110" i="443"/>
  <c r="H25" i="400"/>
  <c r="R13" i="445"/>
  <c r="U13" i="445" s="1"/>
  <c r="N69" i="380"/>
  <c r="Q69" i="380" s="1"/>
  <c r="T127" i="377"/>
  <c r="N32" i="445"/>
  <c r="Q32" i="445" s="1"/>
  <c r="H11" i="445"/>
  <c r="T16" i="443"/>
  <c r="Q68" i="443"/>
  <c r="N62" i="443"/>
  <c r="BK82" i="266"/>
  <c r="S60" i="377"/>
  <c r="BK36" i="266"/>
  <c r="H13" i="396"/>
  <c r="G11" i="396"/>
  <c r="G10" i="396" s="1"/>
  <c r="N40" i="445"/>
  <c r="Q40" i="445" s="1"/>
  <c r="BM17" i="266"/>
  <c r="BO17" i="266" s="1"/>
  <c r="R126" i="437"/>
  <c r="S65" i="443"/>
  <c r="S120" i="443"/>
  <c r="R18" i="381"/>
  <c r="R17" i="381" s="1"/>
  <c r="BJ34" i="266"/>
  <c r="U28" i="380"/>
  <c r="M66" i="380"/>
  <c r="M64" i="380" s="1"/>
  <c r="L64" i="380"/>
  <c r="F10" i="284"/>
  <c r="L10" i="437"/>
  <c r="M22" i="437"/>
  <c r="M10" i="437" s="1"/>
  <c r="R119" i="443"/>
  <c r="T119" i="443" s="1"/>
  <c r="H10" i="379"/>
  <c r="H9" i="379" s="1"/>
  <c r="S127" i="437"/>
  <c r="U17" i="443"/>
  <c r="BO22" i="266"/>
  <c r="R88" i="377"/>
  <c r="H9" i="377"/>
  <c r="H10" i="380"/>
  <c r="R24" i="437"/>
  <c r="S24" i="437" s="1"/>
  <c r="R121" i="443"/>
  <c r="S121" i="443" s="1"/>
  <c r="B25" i="400"/>
  <c r="U14" i="325"/>
  <c r="V21" i="325"/>
  <c r="BJ40" i="266"/>
  <c r="S116" i="443"/>
  <c r="H191" i="393"/>
  <c r="K193" i="393"/>
  <c r="K191" i="393" s="1"/>
  <c r="N111" i="445"/>
  <c r="H108" i="445"/>
  <c r="Q102" i="377"/>
  <c r="T102" i="437"/>
  <c r="BJ20" i="266"/>
  <c r="BC20" i="266"/>
  <c r="H64" i="380"/>
  <c r="H17" i="284"/>
  <c r="G15" i="284"/>
  <c r="G10" i="284" s="1"/>
  <c r="R12" i="443"/>
  <c r="R11" i="443" s="1"/>
  <c r="Q11" i="443"/>
  <c r="R26" i="445"/>
  <c r="T26" i="445" s="1"/>
  <c r="R124" i="445"/>
  <c r="U124" i="445" s="1"/>
  <c r="N18" i="445"/>
  <c r="Q18" i="445" s="1"/>
  <c r="N19" i="445"/>
  <c r="Q19" i="445" s="1"/>
  <c r="BN22" i="266"/>
  <c r="BM41" i="266"/>
  <c r="BP41" i="266" s="1"/>
  <c r="L10" i="380"/>
  <c r="M46" i="380"/>
  <c r="M10" i="380" s="1"/>
  <c r="N74" i="380"/>
  <c r="Q74" i="380" s="1"/>
  <c r="R118" i="443"/>
  <c r="S118" i="443" s="1"/>
  <c r="N24" i="445"/>
  <c r="Q24" i="445" s="1"/>
  <c r="N31" i="445"/>
  <c r="Q31" i="445" s="1"/>
  <c r="N23" i="445"/>
  <c r="Q23" i="445" s="1"/>
  <c r="G9" i="438"/>
  <c r="G11" i="438"/>
  <c r="G10" i="438"/>
  <c r="G12" i="438"/>
  <c r="AY83" i="266" l="1"/>
  <c r="BB83" i="266" s="1"/>
  <c r="BK83" i="266" s="1"/>
  <c r="R49" i="380"/>
  <c r="U49" i="380" s="1"/>
  <c r="T49" i="380"/>
  <c r="V49" i="380" s="1"/>
  <c r="R81" i="380"/>
  <c r="T81" i="380" s="1"/>
  <c r="R78" i="380"/>
  <c r="U78" i="380" s="1"/>
  <c r="T78" i="380"/>
  <c r="V78" i="380" s="1"/>
  <c r="S78" i="380"/>
  <c r="U86" i="380"/>
  <c r="V86" i="380" s="1"/>
  <c r="R73" i="379"/>
  <c r="T73" i="379" s="1"/>
  <c r="AP10" i="266"/>
  <c r="BA10" i="266" s="1"/>
  <c r="BJ10" i="266" s="1"/>
  <c r="BM10" i="266" s="1"/>
  <c r="R41" i="380"/>
  <c r="S41" i="380" s="1"/>
  <c r="T41" i="380"/>
  <c r="U41" i="380"/>
  <c r="R29" i="437"/>
  <c r="T29" i="437" s="1"/>
  <c r="U29" i="437"/>
  <c r="S86" i="380"/>
  <c r="AY97" i="266"/>
  <c r="BB97" i="266" s="1"/>
  <c r="BK97" i="266" s="1"/>
  <c r="BQ97" i="266" s="1"/>
  <c r="AY26" i="266"/>
  <c r="R19" i="437"/>
  <c r="T19" i="437" s="1"/>
  <c r="U19" i="437"/>
  <c r="R31" i="379"/>
  <c r="S31" i="379" s="1"/>
  <c r="AP30" i="266"/>
  <c r="BA30" i="266" s="1"/>
  <c r="BJ30" i="266" s="1"/>
  <c r="BM30" i="266" s="1"/>
  <c r="BN30" i="266" s="1"/>
  <c r="R89" i="379"/>
  <c r="S89" i="379" s="1"/>
  <c r="V116" i="379"/>
  <c r="R58" i="380"/>
  <c r="U58" i="380" s="1"/>
  <c r="T58" i="380"/>
  <c r="V58" i="380" s="1"/>
  <c r="S58" i="380"/>
  <c r="N15" i="397"/>
  <c r="N18" i="397" s="1"/>
  <c r="M18" i="397"/>
  <c r="AV98" i="266"/>
  <c r="AV100" i="266" s="1"/>
  <c r="BP16" i="266"/>
  <c r="T9" i="406"/>
  <c r="T103" i="380"/>
  <c r="V103" i="380" s="1"/>
  <c r="BO70" i="266"/>
  <c r="T43" i="380"/>
  <c r="V43" i="380" s="1"/>
  <c r="BJ13" i="266"/>
  <c r="BC13" i="266"/>
  <c r="L9" i="380"/>
  <c r="V91" i="379"/>
  <c r="V43" i="379"/>
  <c r="V124" i="379"/>
  <c r="AP75" i="266"/>
  <c r="S43" i="380"/>
  <c r="AP14" i="266"/>
  <c r="AI42" i="266"/>
  <c r="AI44" i="266" s="1"/>
  <c r="BM11" i="356"/>
  <c r="BN11" i="356" s="1"/>
  <c r="V41" i="379"/>
  <c r="U23" i="380"/>
  <c r="AP24" i="266"/>
  <c r="BA24" i="266" s="1"/>
  <c r="BJ24" i="266" s="1"/>
  <c r="BM24" i="266" s="1"/>
  <c r="BK23" i="460"/>
  <c r="E19" i="509"/>
  <c r="E21" i="509"/>
  <c r="BX19" i="458"/>
  <c r="BY19" i="458" s="1"/>
  <c r="BX19" i="465"/>
  <c r="BY19" i="465" s="1"/>
  <c r="AY79" i="266"/>
  <c r="BB79" i="266" s="1"/>
  <c r="N13" i="398"/>
  <c r="N22" i="398" s="1"/>
  <c r="V51" i="380"/>
  <c r="R48" i="380"/>
  <c r="U48" i="380" s="1"/>
  <c r="V32" i="379"/>
  <c r="L82" i="399"/>
  <c r="T98" i="380"/>
  <c r="T96" i="437"/>
  <c r="U82" i="437"/>
  <c r="V112" i="380"/>
  <c r="Z38" i="509"/>
  <c r="H9" i="380"/>
  <c r="S27" i="380"/>
  <c r="BJ33" i="266"/>
  <c r="S44" i="380"/>
  <c r="T49" i="437"/>
  <c r="T26" i="380"/>
  <c r="V26" i="380" s="1"/>
  <c r="BP77" i="266"/>
  <c r="U55" i="380"/>
  <c r="R45" i="437"/>
  <c r="S45" i="437" s="1"/>
  <c r="T116" i="380"/>
  <c r="V116" i="380" s="1"/>
  <c r="S49" i="437"/>
  <c r="V17" i="380"/>
  <c r="Q13" i="376"/>
  <c r="T27" i="380"/>
  <c r="V27" i="380" s="1"/>
  <c r="S113" i="380"/>
  <c r="R32" i="380"/>
  <c r="U32" i="380" s="1"/>
  <c r="S116" i="380"/>
  <c r="T44" i="380"/>
  <c r="V44" i="380" s="1"/>
  <c r="BN77" i="266"/>
  <c r="V85" i="379"/>
  <c r="S26" i="380"/>
  <c r="S55" i="380"/>
  <c r="V19" i="380"/>
  <c r="T82" i="380"/>
  <c r="V129" i="380"/>
  <c r="U113" i="380"/>
  <c r="V113" i="380" s="1"/>
  <c r="W13" i="376"/>
  <c r="BM81" i="266"/>
  <c r="BN81" i="266" s="1"/>
  <c r="CR13" i="456"/>
  <c r="D13" i="458"/>
  <c r="BL13" i="458" s="1"/>
  <c r="U67" i="509"/>
  <c r="S67" i="509" s="1"/>
  <c r="T80" i="437"/>
  <c r="U71" i="380"/>
  <c r="R31" i="380"/>
  <c r="T31" i="380" s="1"/>
  <c r="AY76" i="266"/>
  <c r="AP84" i="266"/>
  <c r="R61" i="380"/>
  <c r="S61" i="380" s="1"/>
  <c r="R53" i="380"/>
  <c r="U53" i="380" s="1"/>
  <c r="AY39" i="266"/>
  <c r="BB39" i="266" s="1"/>
  <c r="BK39" i="266" s="1"/>
  <c r="BQ39" i="266" s="1"/>
  <c r="BR39" i="266" s="1"/>
  <c r="R83" i="380"/>
  <c r="S83" i="380" s="1"/>
  <c r="R72" i="380"/>
  <c r="T72" i="380" s="1"/>
  <c r="V107" i="379"/>
  <c r="AY30" i="266"/>
  <c r="BB30" i="266" s="1"/>
  <c r="M9" i="380"/>
  <c r="T123" i="379"/>
  <c r="U123" i="379"/>
  <c r="S123" i="379"/>
  <c r="V19" i="376"/>
  <c r="R34" i="380"/>
  <c r="T34" i="380" s="1"/>
  <c r="AL16" i="428"/>
  <c r="CW13" i="456"/>
  <c r="BU13" i="458"/>
  <c r="V18" i="376"/>
  <c r="Q10" i="376"/>
  <c r="Q123" i="380"/>
  <c r="N110" i="380"/>
  <c r="V90" i="379"/>
  <c r="V96" i="380"/>
  <c r="V39" i="380"/>
  <c r="T57" i="380"/>
  <c r="V57" i="380" s="1"/>
  <c r="AY66" i="266"/>
  <c r="BB66" i="266" s="1"/>
  <c r="BK66" i="266" s="1"/>
  <c r="AY72" i="266"/>
  <c r="V108" i="380"/>
  <c r="V98" i="380"/>
  <c r="V39" i="379"/>
  <c r="N18" i="447"/>
  <c r="CQ21" i="456" s="1"/>
  <c r="BQ83" i="266"/>
  <c r="BR83" i="266" s="1"/>
  <c r="V117" i="380"/>
  <c r="V20" i="379"/>
  <c r="V126" i="379"/>
  <c r="V65" i="379"/>
  <c r="V117" i="379"/>
  <c r="V118" i="379"/>
  <c r="V71" i="380"/>
  <c r="AY85" i="266"/>
  <c r="BB85" i="266" s="1"/>
  <c r="BK85" i="266" s="1"/>
  <c r="BQ85" i="266" s="1"/>
  <c r="BT85" i="266" s="1"/>
  <c r="T38" i="380"/>
  <c r="AY25" i="266"/>
  <c r="BB25" i="266" s="1"/>
  <c r="BK25" i="266" s="1"/>
  <c r="T67" i="380"/>
  <c r="V67" i="380" s="1"/>
  <c r="Q18" i="447"/>
  <c r="CR21" i="456" s="1"/>
  <c r="AP89" i="266"/>
  <c r="V55" i="380"/>
  <c r="V28" i="380"/>
  <c r="V69" i="379"/>
  <c r="V18" i="380"/>
  <c r="V23" i="380"/>
  <c r="T99" i="380"/>
  <c r="U99" i="380"/>
  <c r="D13" i="465"/>
  <c r="BZ13" i="465" s="1"/>
  <c r="BT31" i="266"/>
  <c r="S91" i="380"/>
  <c r="T79" i="380"/>
  <c r="S79" i="380"/>
  <c r="T55" i="379"/>
  <c r="V55" i="379" s="1"/>
  <c r="U55" i="379"/>
  <c r="R47" i="380"/>
  <c r="T47" i="380" s="1"/>
  <c r="AP88" i="266"/>
  <c r="R24" i="380"/>
  <c r="T24" i="380" s="1"/>
  <c r="R52" i="380"/>
  <c r="S52" i="380" s="1"/>
  <c r="R63" i="380"/>
  <c r="S63" i="380" s="1"/>
  <c r="R88" i="380"/>
  <c r="T88" i="380" s="1"/>
  <c r="R80" i="380"/>
  <c r="T80" i="380" s="1"/>
  <c r="R68" i="380"/>
  <c r="U68" i="380" s="1"/>
  <c r="R37" i="437"/>
  <c r="S37" i="437" s="1"/>
  <c r="U102" i="380"/>
  <c r="V102" i="380" s="1"/>
  <c r="S80" i="377"/>
  <c r="U79" i="380"/>
  <c r="AP91" i="266"/>
  <c r="BA91" i="266" s="1"/>
  <c r="BJ91" i="266" s="1"/>
  <c r="BM91" i="266" s="1"/>
  <c r="T107" i="380"/>
  <c r="V107" i="380" s="1"/>
  <c r="S55" i="379"/>
  <c r="AY68" i="266"/>
  <c r="BB68" i="266" s="1"/>
  <c r="BK68" i="266" s="1"/>
  <c r="BA66" i="266"/>
  <c r="R45" i="380"/>
  <c r="S45" i="380" s="1"/>
  <c r="S67" i="380"/>
  <c r="BC95" i="266"/>
  <c r="BK95" i="266"/>
  <c r="AY21" i="266"/>
  <c r="R75" i="380"/>
  <c r="S75" i="380" s="1"/>
  <c r="R42" i="380"/>
  <c r="S42" i="380" s="1"/>
  <c r="R76" i="380"/>
  <c r="T76" i="380" s="1"/>
  <c r="R35" i="380"/>
  <c r="T35" i="380" s="1"/>
  <c r="S102" i="380"/>
  <c r="AY90" i="266"/>
  <c r="BB90" i="266" s="1"/>
  <c r="T80" i="377"/>
  <c r="U38" i="380"/>
  <c r="S107" i="380"/>
  <c r="U21" i="380"/>
  <c r="V21" i="380" s="1"/>
  <c r="U82" i="380"/>
  <c r="V82" i="380" s="1"/>
  <c r="R54" i="380"/>
  <c r="S54" i="380" s="1"/>
  <c r="BA97" i="266"/>
  <c r="AZ97" i="266"/>
  <c r="R104" i="380"/>
  <c r="U104" i="380" s="1"/>
  <c r="S57" i="380"/>
  <c r="AY34" i="266"/>
  <c r="R29" i="380"/>
  <c r="T29" i="380" s="1"/>
  <c r="R37" i="380"/>
  <c r="U37" i="380" s="1"/>
  <c r="R84" i="380"/>
  <c r="T84" i="380" s="1"/>
  <c r="BB10" i="266"/>
  <c r="AZ10" i="266"/>
  <c r="R100" i="380"/>
  <c r="U100" i="380" s="1"/>
  <c r="R36" i="445"/>
  <c r="U36" i="445" s="1"/>
  <c r="BK67" i="266"/>
  <c r="BC67" i="266"/>
  <c r="R92" i="380"/>
  <c r="T92" i="380" s="1"/>
  <c r="R70" i="380"/>
  <c r="S70" i="380" s="1"/>
  <c r="R25" i="380"/>
  <c r="T25" i="380" s="1"/>
  <c r="S21" i="380"/>
  <c r="R21" i="437"/>
  <c r="S21" i="437" s="1"/>
  <c r="R27" i="437"/>
  <c r="U27" i="437" s="1"/>
  <c r="U112" i="377"/>
  <c r="S112" i="377"/>
  <c r="AD43" i="266"/>
  <c r="BB43" i="266" s="1"/>
  <c r="AY11" i="266"/>
  <c r="AT42" i="266"/>
  <c r="AT44" i="266" s="1"/>
  <c r="S71" i="380"/>
  <c r="AP74" i="266"/>
  <c r="R63" i="437"/>
  <c r="T63" i="437" s="1"/>
  <c r="BA96" i="266"/>
  <c r="AZ96" i="266"/>
  <c r="N66" i="380"/>
  <c r="AP28" i="266"/>
  <c r="BA28" i="266" s="1"/>
  <c r="BJ28" i="266" s="1"/>
  <c r="BM28" i="266" s="1"/>
  <c r="BP28" i="266" s="1"/>
  <c r="AY93" i="266"/>
  <c r="T112" i="377"/>
  <c r="AP39" i="266"/>
  <c r="U17" i="437"/>
  <c r="S17" i="437"/>
  <c r="M9" i="437"/>
  <c r="S95" i="437"/>
  <c r="H9" i="437"/>
  <c r="U59" i="437"/>
  <c r="BB77" i="266"/>
  <c r="AZ77" i="266"/>
  <c r="S9" i="406"/>
  <c r="BR31" i="266"/>
  <c r="BA94" i="266"/>
  <c r="AZ94" i="266"/>
  <c r="BQ32" i="266"/>
  <c r="BR32" i="266" s="1"/>
  <c r="BN21" i="266"/>
  <c r="T95" i="437"/>
  <c r="T73" i="437"/>
  <c r="AZ23" i="266"/>
  <c r="S52" i="445"/>
  <c r="T40" i="379"/>
  <c r="BK41" i="266"/>
  <c r="BC41" i="266"/>
  <c r="BR96" i="266"/>
  <c r="S73" i="437"/>
  <c r="S59" i="437"/>
  <c r="T52" i="445"/>
  <c r="BB91" i="266"/>
  <c r="T91" i="380"/>
  <c r="V91" i="380" s="1"/>
  <c r="BA86" i="266"/>
  <c r="AZ86" i="266"/>
  <c r="U40" i="379"/>
  <c r="T32" i="437"/>
  <c r="U52" i="437"/>
  <c r="R51" i="437"/>
  <c r="U51" i="437" s="1"/>
  <c r="R46" i="437"/>
  <c r="S46" i="437" s="1"/>
  <c r="R44" i="437"/>
  <c r="S44" i="437" s="1"/>
  <c r="R70" i="437"/>
  <c r="U70" i="437" s="1"/>
  <c r="R93" i="445"/>
  <c r="U93" i="445" s="1"/>
  <c r="R80" i="445"/>
  <c r="S80" i="445" s="1"/>
  <c r="R61" i="437"/>
  <c r="U61" i="437" s="1"/>
  <c r="R57" i="445"/>
  <c r="T57" i="445" s="1"/>
  <c r="R105" i="437"/>
  <c r="U105" i="437" s="1"/>
  <c r="R49" i="445"/>
  <c r="S49" i="445" s="1"/>
  <c r="U39" i="437"/>
  <c r="R94" i="437"/>
  <c r="U94" i="437" s="1"/>
  <c r="R53" i="437"/>
  <c r="S53" i="437" s="1"/>
  <c r="BR92" i="266"/>
  <c r="R13" i="376"/>
  <c r="R10" i="376" s="1"/>
  <c r="T52" i="437"/>
  <c r="T76" i="445"/>
  <c r="S76" i="445"/>
  <c r="R50" i="445"/>
  <c r="S50" i="445" s="1"/>
  <c r="R47" i="445"/>
  <c r="U47" i="445" s="1"/>
  <c r="R54" i="437"/>
  <c r="S54" i="437" s="1"/>
  <c r="U103" i="379"/>
  <c r="V103" i="379" s="1"/>
  <c r="S103" i="379"/>
  <c r="N57" i="379"/>
  <c r="R64" i="379"/>
  <c r="S66" i="379"/>
  <c r="R107" i="437"/>
  <c r="T107" i="437" s="1"/>
  <c r="R60" i="437"/>
  <c r="S60" i="437" s="1"/>
  <c r="R17" i="445"/>
  <c r="U17" i="445" s="1"/>
  <c r="R92" i="445"/>
  <c r="T92" i="445" s="1"/>
  <c r="R25" i="445"/>
  <c r="T25" i="445" s="1"/>
  <c r="R78" i="437"/>
  <c r="T78" i="437" s="1"/>
  <c r="R44" i="445"/>
  <c r="U44" i="445" s="1"/>
  <c r="R109" i="437"/>
  <c r="S109" i="437" s="1"/>
  <c r="R77" i="437"/>
  <c r="U77" i="437" s="1"/>
  <c r="R89" i="445"/>
  <c r="T89" i="445" s="1"/>
  <c r="R70" i="445"/>
  <c r="S70" i="445" s="1"/>
  <c r="R73" i="445"/>
  <c r="U73" i="445" s="1"/>
  <c r="R91" i="437"/>
  <c r="S91" i="437" s="1"/>
  <c r="R69" i="437"/>
  <c r="T69" i="437" s="1"/>
  <c r="R86" i="445"/>
  <c r="S86" i="445" s="1"/>
  <c r="BP76" i="266"/>
  <c r="U66" i="379"/>
  <c r="V66" i="379" s="1"/>
  <c r="R89" i="437"/>
  <c r="T89" i="437" s="1"/>
  <c r="R81" i="445"/>
  <c r="S81" i="445" s="1"/>
  <c r="R65" i="445"/>
  <c r="U65" i="445" s="1"/>
  <c r="R92" i="437"/>
  <c r="U92" i="437" s="1"/>
  <c r="R68" i="437"/>
  <c r="U68" i="437" s="1"/>
  <c r="R88" i="445"/>
  <c r="S88" i="445" s="1"/>
  <c r="R60" i="445"/>
  <c r="T60" i="445" s="1"/>
  <c r="R87" i="437"/>
  <c r="T87" i="437" s="1"/>
  <c r="R74" i="445"/>
  <c r="U74" i="445" s="1"/>
  <c r="R67" i="437"/>
  <c r="U67" i="437" s="1"/>
  <c r="R57" i="437"/>
  <c r="T57" i="437" s="1"/>
  <c r="R31" i="437"/>
  <c r="U31" i="437" s="1"/>
  <c r="R29" i="445"/>
  <c r="U29" i="445" s="1"/>
  <c r="R56" i="445"/>
  <c r="T56" i="445" s="1"/>
  <c r="R75" i="437"/>
  <c r="U75" i="437" s="1"/>
  <c r="R85" i="445"/>
  <c r="S85" i="445" s="1"/>
  <c r="U100" i="445"/>
  <c r="U80" i="437"/>
  <c r="S74" i="437"/>
  <c r="U74" i="437"/>
  <c r="S104" i="437"/>
  <c r="R120" i="445"/>
  <c r="T120" i="445" s="1"/>
  <c r="AY29" i="266"/>
  <c r="BB29" i="266" s="1"/>
  <c r="BK29" i="266" s="1"/>
  <c r="BN76" i="266"/>
  <c r="S105" i="445"/>
  <c r="R77" i="445"/>
  <c r="T77" i="445" s="1"/>
  <c r="R62" i="380"/>
  <c r="S62" i="380" s="1"/>
  <c r="R103" i="437"/>
  <c r="T103" i="437" s="1"/>
  <c r="R39" i="445"/>
  <c r="U39" i="445" s="1"/>
  <c r="R59" i="445"/>
  <c r="S59" i="445" s="1"/>
  <c r="R37" i="445"/>
  <c r="T37" i="445" s="1"/>
  <c r="S26" i="445"/>
  <c r="BT92" i="266"/>
  <c r="T68" i="445"/>
  <c r="U68" i="445"/>
  <c r="U105" i="445"/>
  <c r="S48" i="437"/>
  <c r="S97" i="437"/>
  <c r="T97" i="437"/>
  <c r="S84" i="437"/>
  <c r="U84" i="437"/>
  <c r="U104" i="437"/>
  <c r="R102" i="445"/>
  <c r="S102" i="445" s="1"/>
  <c r="R86" i="437"/>
  <c r="T86" i="437" s="1"/>
  <c r="R55" i="445"/>
  <c r="T55" i="445" s="1"/>
  <c r="R123" i="437"/>
  <c r="T123" i="437" s="1"/>
  <c r="R64" i="445"/>
  <c r="U64" i="445" s="1"/>
  <c r="R21" i="445"/>
  <c r="U21" i="445" s="1"/>
  <c r="R42" i="445"/>
  <c r="U42" i="445" s="1"/>
  <c r="U65" i="377"/>
  <c r="T94" i="445"/>
  <c r="U94" i="445"/>
  <c r="S87" i="445"/>
  <c r="T87" i="445"/>
  <c r="Q65" i="437"/>
  <c r="N64" i="437"/>
  <c r="U28" i="437"/>
  <c r="S28" i="437"/>
  <c r="R96" i="445"/>
  <c r="S96" i="445" s="1"/>
  <c r="R71" i="445"/>
  <c r="T71" i="445" s="1"/>
  <c r="R43" i="445"/>
  <c r="T43" i="445" s="1"/>
  <c r="R54" i="445"/>
  <c r="T54" i="445" s="1"/>
  <c r="R99" i="437"/>
  <c r="U99" i="437" s="1"/>
  <c r="R93" i="437"/>
  <c r="T93" i="437" s="1"/>
  <c r="R83" i="437"/>
  <c r="T83" i="437" s="1"/>
  <c r="R20" i="437"/>
  <c r="S20" i="437" s="1"/>
  <c r="R84" i="445"/>
  <c r="T84" i="445" s="1"/>
  <c r="R35" i="445"/>
  <c r="T35" i="445" s="1"/>
  <c r="R61" i="445"/>
  <c r="T61" i="445" s="1"/>
  <c r="R108" i="437"/>
  <c r="T108" i="437" s="1"/>
  <c r="R88" i="437"/>
  <c r="T88" i="437" s="1"/>
  <c r="R85" i="437"/>
  <c r="S85" i="437" s="1"/>
  <c r="R81" i="437"/>
  <c r="S81" i="437" s="1"/>
  <c r="R40" i="437"/>
  <c r="T40" i="437" s="1"/>
  <c r="R50" i="437"/>
  <c r="S50" i="437" s="1"/>
  <c r="AY28" i="266"/>
  <c r="AP82" i="266"/>
  <c r="AZ82" i="266" s="1"/>
  <c r="AY35" i="266"/>
  <c r="BB35" i="266" s="1"/>
  <c r="BK35" i="266" s="1"/>
  <c r="BQ35" i="266" s="1"/>
  <c r="BR35" i="266" s="1"/>
  <c r="T112" i="379"/>
  <c r="V112" i="379" s="1"/>
  <c r="BS20" i="266"/>
  <c r="T48" i="437"/>
  <c r="U42" i="437"/>
  <c r="S42" i="437"/>
  <c r="S94" i="445"/>
  <c r="U87" i="445"/>
  <c r="S39" i="437"/>
  <c r="T28" i="437"/>
  <c r="R79" i="445"/>
  <c r="S79" i="445" s="1"/>
  <c r="R53" i="445"/>
  <c r="U53" i="445" s="1"/>
  <c r="R48" i="445"/>
  <c r="U48" i="445" s="1"/>
  <c r="Q112" i="437"/>
  <c r="N110" i="437"/>
  <c r="R100" i="437"/>
  <c r="T100" i="437" s="1"/>
  <c r="R62" i="437"/>
  <c r="U62" i="437" s="1"/>
  <c r="R47" i="437"/>
  <c r="T47" i="437" s="1"/>
  <c r="R36" i="437"/>
  <c r="T36" i="437" s="1"/>
  <c r="BK22" i="266"/>
  <c r="BC22" i="266"/>
  <c r="R51" i="445"/>
  <c r="T51" i="445" s="1"/>
  <c r="R45" i="445"/>
  <c r="S45" i="445" s="1"/>
  <c r="R58" i="445"/>
  <c r="U58" i="445" s="1"/>
  <c r="N106" i="437"/>
  <c r="R98" i="437"/>
  <c r="S98" i="437" s="1"/>
  <c r="R72" i="437"/>
  <c r="S72" i="437" s="1"/>
  <c r="R90" i="437"/>
  <c r="T90" i="437" s="1"/>
  <c r="R56" i="437"/>
  <c r="S56" i="437" s="1"/>
  <c r="R23" i="437"/>
  <c r="S23" i="437" s="1"/>
  <c r="R78" i="445"/>
  <c r="U78" i="445" s="1"/>
  <c r="BN72" i="266"/>
  <c r="S126" i="437"/>
  <c r="T100" i="445"/>
  <c r="T18" i="437"/>
  <c r="U18" i="437"/>
  <c r="T65" i="377"/>
  <c r="U76" i="379"/>
  <c r="U32" i="437"/>
  <c r="BR20" i="266"/>
  <c r="S83" i="445"/>
  <c r="T83" i="445"/>
  <c r="AP32" i="266"/>
  <c r="R72" i="445"/>
  <c r="S72" i="445" s="1"/>
  <c r="N106" i="380"/>
  <c r="AZ68" i="266"/>
  <c r="BA68" i="266"/>
  <c r="AP98" i="266"/>
  <c r="AP100" i="266" s="1"/>
  <c r="BM99" i="266"/>
  <c r="BN99" i="266" s="1"/>
  <c r="U28" i="445"/>
  <c r="U67" i="445"/>
  <c r="S67" i="445"/>
  <c r="Q78" i="377"/>
  <c r="N64" i="377"/>
  <c r="BC23" i="266"/>
  <c r="BJ23" i="266"/>
  <c r="R91" i="445"/>
  <c r="U91" i="445" s="1"/>
  <c r="T62" i="379"/>
  <c r="V62" i="379" s="1"/>
  <c r="S62" i="379"/>
  <c r="Q104" i="379"/>
  <c r="N101" i="379"/>
  <c r="BM93" i="266"/>
  <c r="BO41" i="266"/>
  <c r="BN41" i="266"/>
  <c r="U88" i="377"/>
  <c r="S88" i="377"/>
  <c r="BO72" i="266"/>
  <c r="BT97" i="266"/>
  <c r="BP17" i="266"/>
  <c r="U30" i="445"/>
  <c r="T102" i="379"/>
  <c r="S102" i="379"/>
  <c r="BO91" i="266"/>
  <c r="BO79" i="266"/>
  <c r="S98" i="445"/>
  <c r="N71" i="399"/>
  <c r="N73" i="399" s="1"/>
  <c r="N82" i="399" s="1"/>
  <c r="C29" i="400"/>
  <c r="I29" i="400" s="1"/>
  <c r="AY15" i="266"/>
  <c r="BB15" i="266" s="1"/>
  <c r="BK15" i="266" s="1"/>
  <c r="BQ15" i="266" s="1"/>
  <c r="BT15" i="266" s="1"/>
  <c r="AP27" i="266"/>
  <c r="BA27" i="266" s="1"/>
  <c r="U15" i="376"/>
  <c r="BK14" i="266"/>
  <c r="R75" i="445"/>
  <c r="T75" i="445" s="1"/>
  <c r="BQ84" i="266"/>
  <c r="BR84" i="266" s="1"/>
  <c r="T103" i="445"/>
  <c r="U103" i="445"/>
  <c r="AY17" i="266"/>
  <c r="T127" i="379"/>
  <c r="V127" i="379" s="1"/>
  <c r="AP29" i="266"/>
  <c r="AP85" i="266"/>
  <c r="AZ85" i="266" s="1"/>
  <c r="AP36" i="266"/>
  <c r="T15" i="376"/>
  <c r="AY73" i="266"/>
  <c r="AZ73" i="266" s="1"/>
  <c r="AP92" i="266"/>
  <c r="AZ92" i="266" s="1"/>
  <c r="N101" i="445"/>
  <c r="Q101" i="445" s="1"/>
  <c r="AP15" i="266"/>
  <c r="BA15" i="266" s="1"/>
  <c r="BJ15" i="266" s="1"/>
  <c r="H127" i="392"/>
  <c r="H135" i="392" s="1"/>
  <c r="BQ29" i="266"/>
  <c r="BT29" i="266" s="1"/>
  <c r="T113" i="377"/>
  <c r="R9" i="381"/>
  <c r="S113" i="377"/>
  <c r="U26" i="445"/>
  <c r="T24" i="437"/>
  <c r="T88" i="377"/>
  <c r="BS97" i="266"/>
  <c r="BR97" i="266"/>
  <c r="BN17" i="266"/>
  <c r="BN67" i="266"/>
  <c r="BP67" i="266"/>
  <c r="S28" i="445"/>
  <c r="S77" i="380"/>
  <c r="T77" i="380"/>
  <c r="V77" i="380" s="1"/>
  <c r="BO21" i="266"/>
  <c r="BP21" i="266"/>
  <c r="T68" i="379"/>
  <c r="U68" i="379"/>
  <c r="U66" i="437"/>
  <c r="BP73" i="266"/>
  <c r="BT70" i="266"/>
  <c r="BX70" i="266" s="1"/>
  <c r="AY16" i="266"/>
  <c r="AP25" i="266"/>
  <c r="AP38" i="266"/>
  <c r="AP80" i="266"/>
  <c r="U98" i="445"/>
  <c r="T17" i="437"/>
  <c r="AY38" i="266"/>
  <c r="BB38" i="266" s="1"/>
  <c r="BK38" i="266" s="1"/>
  <c r="BP10" i="266"/>
  <c r="BN10" i="266"/>
  <c r="BR88" i="266"/>
  <c r="BT88" i="266"/>
  <c r="R38" i="437"/>
  <c r="T38" i="437" s="1"/>
  <c r="S127" i="379"/>
  <c r="AY27" i="266"/>
  <c r="BB27" i="266" s="1"/>
  <c r="BK27" i="266" s="1"/>
  <c r="AP35" i="266"/>
  <c r="AP37" i="266"/>
  <c r="AY40" i="266"/>
  <c r="AY69" i="266"/>
  <c r="AT98" i="266"/>
  <c r="AT100" i="266" s="1"/>
  <c r="K12" i="401"/>
  <c r="K11" i="401" s="1"/>
  <c r="K10" i="401" s="1"/>
  <c r="L10" i="401" s="1"/>
  <c r="M10" i="401" s="1"/>
  <c r="H11" i="401"/>
  <c r="H10" i="401" s="1"/>
  <c r="W12" i="384"/>
  <c r="W11" i="384" s="1"/>
  <c r="V11" i="384"/>
  <c r="AY71" i="266"/>
  <c r="M58" i="397"/>
  <c r="BM78" i="266"/>
  <c r="BU78" i="266" s="1"/>
  <c r="BL78" i="266"/>
  <c r="S105" i="380"/>
  <c r="U105" i="380"/>
  <c r="V105" i="380" s="1"/>
  <c r="R34" i="437"/>
  <c r="U34" i="437" s="1"/>
  <c r="N10" i="397"/>
  <c r="N13" i="397" s="1"/>
  <c r="N22" i="397" s="1"/>
  <c r="BO12" i="461"/>
  <c r="AP31" i="266"/>
  <c r="AP83" i="266"/>
  <c r="R107" i="445"/>
  <c r="U107" i="445" s="1"/>
  <c r="AY87" i="266"/>
  <c r="BQ75" i="266"/>
  <c r="BT75" i="266" s="1"/>
  <c r="L62" i="397"/>
  <c r="BQ81" i="266"/>
  <c r="BL81" i="266"/>
  <c r="AY24" i="266"/>
  <c r="R106" i="445"/>
  <c r="T106" i="445" s="1"/>
  <c r="AP18" i="266"/>
  <c r="BT13" i="266"/>
  <c r="BS13" i="266"/>
  <c r="T76" i="379"/>
  <c r="N22" i="437"/>
  <c r="C30" i="400"/>
  <c r="K37" i="400" s="1"/>
  <c r="J37" i="400"/>
  <c r="BJ27" i="266"/>
  <c r="BM11" i="266"/>
  <c r="BN11" i="266" s="1"/>
  <c r="BO10" i="266"/>
  <c r="R41" i="437"/>
  <c r="S41" i="437" s="1"/>
  <c r="AD100" i="266"/>
  <c r="BB99" i="266"/>
  <c r="BC99" i="266" s="1"/>
  <c r="T90" i="445"/>
  <c r="U90" i="445"/>
  <c r="N58" i="397"/>
  <c r="R114" i="377"/>
  <c r="T114" i="377" s="1"/>
  <c r="Q110" i="377"/>
  <c r="R97" i="445"/>
  <c r="S97" i="445" s="1"/>
  <c r="N82" i="445"/>
  <c r="M62" i="445"/>
  <c r="M10" i="445" s="1"/>
  <c r="R95" i="445"/>
  <c r="U95" i="445" s="1"/>
  <c r="M78" i="399"/>
  <c r="M74" i="399"/>
  <c r="N74" i="399" s="1"/>
  <c r="N53" i="397"/>
  <c r="N62" i="397" s="1"/>
  <c r="M53" i="397"/>
  <c r="M62" i="397" s="1"/>
  <c r="BS96" i="266"/>
  <c r="BM33" i="266"/>
  <c r="BU33" i="266" s="1"/>
  <c r="BL33" i="266"/>
  <c r="BP87" i="266"/>
  <c r="BN87" i="266"/>
  <c r="BO87" i="266"/>
  <c r="U30" i="437"/>
  <c r="T30" i="437"/>
  <c r="BH99" i="266"/>
  <c r="BH100" i="266" s="1"/>
  <c r="BB73" i="266"/>
  <c r="R104" i="445"/>
  <c r="S104" i="445" s="1"/>
  <c r="R26" i="437"/>
  <c r="T26" i="437" s="1"/>
  <c r="S112" i="379"/>
  <c r="R110" i="379"/>
  <c r="BW18" i="465"/>
  <c r="BF13" i="457"/>
  <c r="C13" i="457"/>
  <c r="T121" i="443"/>
  <c r="U121" i="443"/>
  <c r="BX20" i="458"/>
  <c r="BY20" i="458" s="1"/>
  <c r="BK24" i="460"/>
  <c r="BX20" i="465"/>
  <c r="BY20" i="465" s="1"/>
  <c r="BJ18" i="460"/>
  <c r="D18" i="458"/>
  <c r="BL18" i="458" s="1"/>
  <c r="T16" i="376"/>
  <c r="S16" i="376"/>
  <c r="S13" i="376" s="1"/>
  <c r="S10" i="376" s="1"/>
  <c r="U16" i="376"/>
  <c r="BF12" i="460"/>
  <c r="C12" i="460" s="1"/>
  <c r="U118" i="443"/>
  <c r="U112" i="443"/>
  <c r="T114" i="445"/>
  <c r="S115" i="443"/>
  <c r="S119" i="443"/>
  <c r="N108" i="443"/>
  <c r="N10" i="443" s="1"/>
  <c r="T112" i="443"/>
  <c r="S124" i="445"/>
  <c r="S114" i="445"/>
  <c r="U115" i="443"/>
  <c r="T118" i="443"/>
  <c r="T124" i="445"/>
  <c r="U119" i="443"/>
  <c r="BW18" i="458"/>
  <c r="R23" i="445"/>
  <c r="U23" i="445" s="1"/>
  <c r="H10" i="445"/>
  <c r="R22" i="445"/>
  <c r="T22" i="445" s="1"/>
  <c r="BC12" i="266"/>
  <c r="BJ12" i="266"/>
  <c r="S12" i="443"/>
  <c r="S11" i="443" s="1"/>
  <c r="BL20" i="266"/>
  <c r="BM20" i="266"/>
  <c r="BU20" i="266" s="1"/>
  <c r="T18" i="381"/>
  <c r="T17" i="381" s="1"/>
  <c r="T9" i="381" s="1"/>
  <c r="R68" i="443"/>
  <c r="R62" i="443" s="1"/>
  <c r="Q62" i="443"/>
  <c r="K21" i="284"/>
  <c r="K19" i="284" s="1"/>
  <c r="H19" i="284"/>
  <c r="R31" i="445"/>
  <c r="T31" i="445" s="1"/>
  <c r="R74" i="380"/>
  <c r="U74" i="380" s="1"/>
  <c r="BN71" i="266"/>
  <c r="U12" i="443"/>
  <c r="U11" i="443" s="1"/>
  <c r="R102" i="377"/>
  <c r="R101" i="377" s="1"/>
  <c r="Q101" i="377"/>
  <c r="S27" i="445"/>
  <c r="Q57" i="379"/>
  <c r="N10" i="379"/>
  <c r="U18" i="381"/>
  <c r="U17" i="381" s="1"/>
  <c r="U9" i="381" s="1"/>
  <c r="R40" i="445"/>
  <c r="T40" i="445" s="1"/>
  <c r="BQ36" i="266"/>
  <c r="N15" i="445"/>
  <c r="BQ37" i="266"/>
  <c r="BR37" i="266" s="1"/>
  <c r="S34" i="445"/>
  <c r="S111" i="443"/>
  <c r="BP24" i="266"/>
  <c r="U38" i="445"/>
  <c r="BM90" i="266"/>
  <c r="BT86" i="266"/>
  <c r="T129" i="377"/>
  <c r="BN26" i="266"/>
  <c r="R11" i="437"/>
  <c r="S122" i="379"/>
  <c r="R24" i="445"/>
  <c r="U24" i="445" s="1"/>
  <c r="BO71" i="266"/>
  <c r="R19" i="445"/>
  <c r="T19" i="445" s="1"/>
  <c r="T12" i="443"/>
  <c r="T11" i="443" s="1"/>
  <c r="K17" i="284"/>
  <c r="K15" i="284" s="1"/>
  <c r="H15" i="284"/>
  <c r="K190" i="393"/>
  <c r="T27" i="445"/>
  <c r="U24" i="437"/>
  <c r="BS18" i="266"/>
  <c r="S18" i="381"/>
  <c r="S17" i="381" s="1"/>
  <c r="S9" i="381" s="1"/>
  <c r="T126" i="437"/>
  <c r="BQ82" i="266"/>
  <c r="BR82" i="266" s="1"/>
  <c r="R32" i="445"/>
  <c r="T32" i="445" s="1"/>
  <c r="S13" i="445"/>
  <c r="Q108" i="443"/>
  <c r="R110" i="443"/>
  <c r="R108" i="443" s="1"/>
  <c r="S30" i="445"/>
  <c r="T34" i="445"/>
  <c r="T111" i="443"/>
  <c r="T38" i="445"/>
  <c r="R41" i="445"/>
  <c r="U41" i="445" s="1"/>
  <c r="U129" i="377"/>
  <c r="R20" i="445"/>
  <c r="U20" i="445" s="1"/>
  <c r="BN28" i="266"/>
  <c r="T66" i="437"/>
  <c r="S13" i="377"/>
  <c r="T122" i="379"/>
  <c r="BS70" i="266"/>
  <c r="BW70" i="266" s="1"/>
  <c r="BP71" i="266"/>
  <c r="R18" i="445"/>
  <c r="S18" i="445" s="1"/>
  <c r="Q111" i="445"/>
  <c r="N108" i="445"/>
  <c r="H190" i="393"/>
  <c r="BM40" i="266"/>
  <c r="BN40" i="266" s="1"/>
  <c r="N46" i="380"/>
  <c r="BR85" i="266"/>
  <c r="BP72" i="266"/>
  <c r="BT18" i="266"/>
  <c r="U126" i="437"/>
  <c r="K13" i="396"/>
  <c r="K11" i="396" s="1"/>
  <c r="K10" i="396" s="1"/>
  <c r="H11" i="396"/>
  <c r="H10" i="396" s="1"/>
  <c r="T13" i="445"/>
  <c r="Q18" i="377"/>
  <c r="N10" i="377"/>
  <c r="N9" i="377" s="1"/>
  <c r="BN24" i="266"/>
  <c r="U102" i="379"/>
  <c r="R33" i="445"/>
  <c r="U33" i="445" s="1"/>
  <c r="BR86" i="266"/>
  <c r="BS86" i="266"/>
  <c r="S129" i="377"/>
  <c r="BP91" i="266"/>
  <c r="BP26" i="266"/>
  <c r="BO26" i="266"/>
  <c r="BP79" i="266"/>
  <c r="BO28" i="266"/>
  <c r="S68" i="379"/>
  <c r="S66" i="437"/>
  <c r="U13" i="377"/>
  <c r="U122" i="379"/>
  <c r="BO73" i="266"/>
  <c r="C13" i="463"/>
  <c r="BF13" i="463" s="1"/>
  <c r="BR70" i="266"/>
  <c r="Q66" i="380"/>
  <c r="N64" i="380"/>
  <c r="BM34" i="266"/>
  <c r="R69" i="380"/>
  <c r="U69" i="380" s="1"/>
  <c r="BL19" i="266"/>
  <c r="BM19" i="266"/>
  <c r="BU19" i="266" s="1"/>
  <c r="R16" i="445"/>
  <c r="S16" i="445" s="1"/>
  <c r="AZ79" i="266" l="1"/>
  <c r="BS85" i="266"/>
  <c r="S72" i="380"/>
  <c r="BO30" i="266"/>
  <c r="T89" i="379"/>
  <c r="U31" i="379"/>
  <c r="S19" i="437"/>
  <c r="V41" i="380"/>
  <c r="S81" i="380"/>
  <c r="S49" i="380"/>
  <c r="N9" i="379"/>
  <c r="BM10" i="356"/>
  <c r="BN10" i="356" s="1"/>
  <c r="V15" i="376"/>
  <c r="U89" i="379"/>
  <c r="T31" i="379"/>
  <c r="V31" i="379" s="1"/>
  <c r="AZ26" i="266"/>
  <c r="BB26" i="266"/>
  <c r="S29" i="437"/>
  <c r="S73" i="379"/>
  <c r="U81" i="380"/>
  <c r="V81" i="380" s="1"/>
  <c r="U73" i="379"/>
  <c r="V73" i="379" s="1"/>
  <c r="BO24" i="266"/>
  <c r="I30" i="400"/>
  <c r="F42" i="400" s="1"/>
  <c r="AZ91" i="266"/>
  <c r="U83" i="380"/>
  <c r="U31" i="380"/>
  <c r="V31" i="380" s="1"/>
  <c r="T45" i="437"/>
  <c r="BA75" i="266"/>
  <c r="AZ75" i="266"/>
  <c r="BA85" i="266"/>
  <c r="BN91" i="266"/>
  <c r="AZ66" i="266"/>
  <c r="T53" i="380"/>
  <c r="V53" i="380" s="1"/>
  <c r="U61" i="380"/>
  <c r="T48" i="380"/>
  <c r="V48" i="380" s="1"/>
  <c r="BP30" i="266"/>
  <c r="BA14" i="266"/>
  <c r="AZ14" i="266"/>
  <c r="AP42" i="266"/>
  <c r="AP44" i="266" s="1"/>
  <c r="BM13" i="266"/>
  <c r="BP13" i="266" s="1"/>
  <c r="BX13" i="266" s="1"/>
  <c r="BL13" i="266"/>
  <c r="D13" i="466"/>
  <c r="BX13" i="466" s="1"/>
  <c r="E23" i="509"/>
  <c r="O23" i="509" s="1"/>
  <c r="R23" i="509" s="1"/>
  <c r="BM14" i="458"/>
  <c r="BN14" i="458" s="1"/>
  <c r="BO14" i="458" s="1"/>
  <c r="BL37" i="458" s="1"/>
  <c r="H10" i="284"/>
  <c r="BT39" i="266"/>
  <c r="N99" i="445"/>
  <c r="AZ27" i="266"/>
  <c r="AD44" i="266"/>
  <c r="S27" i="437"/>
  <c r="S100" i="380"/>
  <c r="T32" i="380"/>
  <c r="V32" i="380" s="1"/>
  <c r="K42" i="400"/>
  <c r="BS39" i="266"/>
  <c r="S92" i="380"/>
  <c r="S36" i="445"/>
  <c r="U29" i="380"/>
  <c r="V29" i="380" s="1"/>
  <c r="S53" i="380"/>
  <c r="S48" i="380"/>
  <c r="U110" i="379"/>
  <c r="S32" i="380"/>
  <c r="U66" i="509"/>
  <c r="E66" i="509"/>
  <c r="O21" i="509"/>
  <c r="R21" i="509" s="1"/>
  <c r="U21" i="509"/>
  <c r="U19" i="509"/>
  <c r="O19" i="509"/>
  <c r="W123" i="380"/>
  <c r="W110" i="380" s="1"/>
  <c r="Q110" i="380"/>
  <c r="K43" i="400"/>
  <c r="J45" i="400"/>
  <c r="V76" i="379"/>
  <c r="AZ28" i="266"/>
  <c r="AZ90" i="266"/>
  <c r="V123" i="379"/>
  <c r="T83" i="380"/>
  <c r="V83" i="380" s="1"/>
  <c r="U45" i="437"/>
  <c r="AZ30" i="266"/>
  <c r="BP81" i="266"/>
  <c r="V79" i="380"/>
  <c r="S64" i="379"/>
  <c r="BA82" i="266"/>
  <c r="BJ82" i="266" s="1"/>
  <c r="U37" i="437"/>
  <c r="BO81" i="266"/>
  <c r="CQ13" i="456"/>
  <c r="V16" i="376"/>
  <c r="S64" i="445"/>
  <c r="U55" i="445"/>
  <c r="T102" i="445"/>
  <c r="U35" i="380"/>
  <c r="U75" i="380"/>
  <c r="S68" i="380"/>
  <c r="S88" i="380"/>
  <c r="V99" i="380"/>
  <c r="BS83" i="266"/>
  <c r="BU13" i="465"/>
  <c r="S21" i="445"/>
  <c r="S123" i="437"/>
  <c r="U86" i="437"/>
  <c r="U70" i="445"/>
  <c r="T45" i="380"/>
  <c r="S80" i="380"/>
  <c r="U88" i="380"/>
  <c r="V88" i="380" s="1"/>
  <c r="S34" i="380"/>
  <c r="U34" i="380"/>
  <c r="V34" i="380" s="1"/>
  <c r="U72" i="380"/>
  <c r="V72" i="380" s="1"/>
  <c r="T61" i="380"/>
  <c r="V61" i="380" s="1"/>
  <c r="AZ84" i="266"/>
  <c r="BA84" i="266"/>
  <c r="S31" i="380"/>
  <c r="T68" i="380"/>
  <c r="V68" i="380" s="1"/>
  <c r="BB76" i="266"/>
  <c r="AZ76" i="266"/>
  <c r="CH13" i="456"/>
  <c r="BM14" i="456"/>
  <c r="BN14" i="456" s="1"/>
  <c r="BO14" i="456" s="1"/>
  <c r="BL13" i="456"/>
  <c r="R123" i="380"/>
  <c r="S123" i="380" s="1"/>
  <c r="S110" i="380" s="1"/>
  <c r="BL13" i="465"/>
  <c r="BM14" i="465"/>
  <c r="BM23" i="465" s="1"/>
  <c r="BM24" i="465" s="1"/>
  <c r="BM27" i="465" s="1"/>
  <c r="K18" i="447"/>
  <c r="T110" i="379"/>
  <c r="V110" i="379" s="1"/>
  <c r="V122" i="379"/>
  <c r="K44" i="400"/>
  <c r="J44" i="400"/>
  <c r="J39" i="400"/>
  <c r="V68" i="379"/>
  <c r="S56" i="445"/>
  <c r="T86" i="445"/>
  <c r="T46" i="437"/>
  <c r="U70" i="380"/>
  <c r="S37" i="380"/>
  <c r="S104" i="380"/>
  <c r="T54" i="380"/>
  <c r="U63" i="380"/>
  <c r="J18" i="447"/>
  <c r="AZ89" i="266"/>
  <c r="BA89" i="266"/>
  <c r="BQ25" i="266"/>
  <c r="BR25" i="266" s="1"/>
  <c r="BB72" i="266"/>
  <c r="AZ72" i="266"/>
  <c r="BQ66" i="266"/>
  <c r="BS66" i="266" s="1"/>
  <c r="K47" i="400"/>
  <c r="K40" i="400"/>
  <c r="J36" i="400"/>
  <c r="J38" i="400" s="1"/>
  <c r="V102" i="379"/>
  <c r="S75" i="437"/>
  <c r="S29" i="445"/>
  <c r="S44" i="445"/>
  <c r="U92" i="380"/>
  <c r="V92" i="380" s="1"/>
  <c r="T100" i="380"/>
  <c r="V100" i="380" s="1"/>
  <c r="S29" i="380"/>
  <c r="S35" i="380"/>
  <c r="T75" i="380"/>
  <c r="U45" i="380"/>
  <c r="T37" i="437"/>
  <c r="U52" i="380"/>
  <c r="S47" i="380"/>
  <c r="V38" i="380"/>
  <c r="BT83" i="266"/>
  <c r="V40" i="379"/>
  <c r="T37" i="380"/>
  <c r="V37" i="380" s="1"/>
  <c r="T104" i="380"/>
  <c r="V104" i="380" s="1"/>
  <c r="V35" i="380"/>
  <c r="S51" i="445"/>
  <c r="U36" i="437"/>
  <c r="S65" i="445"/>
  <c r="U86" i="445"/>
  <c r="U91" i="437"/>
  <c r="T70" i="445"/>
  <c r="T77" i="437"/>
  <c r="T44" i="445"/>
  <c r="S25" i="445"/>
  <c r="T60" i="437"/>
  <c r="BK10" i="266"/>
  <c r="BC10" i="266"/>
  <c r="T42" i="380"/>
  <c r="U24" i="380"/>
  <c r="V24" i="380" s="1"/>
  <c r="S100" i="437"/>
  <c r="S63" i="437"/>
  <c r="T21" i="437"/>
  <c r="U25" i="380"/>
  <c r="V25" i="380" s="1"/>
  <c r="T70" i="380"/>
  <c r="T36" i="445"/>
  <c r="U84" i="380"/>
  <c r="V84" i="380" s="1"/>
  <c r="BB34" i="266"/>
  <c r="AZ34" i="266"/>
  <c r="U54" i="380"/>
  <c r="S76" i="380"/>
  <c r="U42" i="380"/>
  <c r="T52" i="380"/>
  <c r="BA88" i="266"/>
  <c r="AZ88" i="266"/>
  <c r="U47" i="437"/>
  <c r="U100" i="437"/>
  <c r="T48" i="445"/>
  <c r="T92" i="437"/>
  <c r="S69" i="437"/>
  <c r="S89" i="445"/>
  <c r="S78" i="437"/>
  <c r="S107" i="437"/>
  <c r="S94" i="437"/>
  <c r="BS32" i="266"/>
  <c r="U63" i="437"/>
  <c r="U21" i="437"/>
  <c r="S25" i="380"/>
  <c r="S84" i="380"/>
  <c r="U76" i="380"/>
  <c r="V76" i="380" s="1"/>
  <c r="BB21" i="266"/>
  <c r="AZ21" i="266"/>
  <c r="BC66" i="266"/>
  <c r="BJ66" i="266"/>
  <c r="U80" i="380"/>
  <c r="V80" i="380" s="1"/>
  <c r="T63" i="380"/>
  <c r="S24" i="380"/>
  <c r="U47" i="380"/>
  <c r="V47" i="380" s="1"/>
  <c r="BQ67" i="266"/>
  <c r="BR67" i="266" s="1"/>
  <c r="BV67" i="266" s="1"/>
  <c r="BL67" i="266"/>
  <c r="BJ97" i="266"/>
  <c r="BC97" i="266"/>
  <c r="BL95" i="266"/>
  <c r="BQ95" i="266"/>
  <c r="BQ68" i="266"/>
  <c r="BR68" i="266" s="1"/>
  <c r="BK90" i="266"/>
  <c r="BC90" i="266"/>
  <c r="BB11" i="266"/>
  <c r="AZ11" i="266"/>
  <c r="AZ42" i="266" s="1"/>
  <c r="AZ44" i="266" s="1"/>
  <c r="AY42" i="266"/>
  <c r="AY44" i="266" s="1"/>
  <c r="BK43" i="266"/>
  <c r="BC43" i="266"/>
  <c r="S58" i="445"/>
  <c r="S48" i="445"/>
  <c r="T53" i="445"/>
  <c r="U79" i="445"/>
  <c r="S88" i="437"/>
  <c r="U108" i="437"/>
  <c r="U37" i="445"/>
  <c r="S77" i="445"/>
  <c r="BS29" i="266"/>
  <c r="U60" i="445"/>
  <c r="U54" i="437"/>
  <c r="T47" i="445"/>
  <c r="T53" i="437"/>
  <c r="U53" i="437"/>
  <c r="T94" i="437"/>
  <c r="T61" i="437"/>
  <c r="U80" i="445"/>
  <c r="T93" i="445"/>
  <c r="T70" i="437"/>
  <c r="U46" i="437"/>
  <c r="S51" i="437"/>
  <c r="BT32" i="266"/>
  <c r="T27" i="437"/>
  <c r="BA39" i="266"/>
  <c r="AZ39" i="266"/>
  <c r="BB93" i="266"/>
  <c r="AZ93" i="266"/>
  <c r="BJ96" i="266"/>
  <c r="BC96" i="266"/>
  <c r="AZ74" i="266"/>
  <c r="BA74" i="266"/>
  <c r="BK91" i="266"/>
  <c r="BC91" i="266"/>
  <c r="K10" i="284"/>
  <c r="L10" i="284" s="1"/>
  <c r="M10" i="284" s="1"/>
  <c r="K41" i="400"/>
  <c r="K39" i="400"/>
  <c r="K45" i="400"/>
  <c r="K48" i="400" s="1"/>
  <c r="BB28" i="266"/>
  <c r="U20" i="437"/>
  <c r="S74" i="445"/>
  <c r="S60" i="445"/>
  <c r="U57" i="445"/>
  <c r="S70" i="437"/>
  <c r="BJ86" i="266"/>
  <c r="BC86" i="266"/>
  <c r="AZ29" i="266"/>
  <c r="S105" i="437"/>
  <c r="BL41" i="266"/>
  <c r="BQ41" i="266"/>
  <c r="BJ94" i="266"/>
  <c r="BC94" i="266"/>
  <c r="BK77" i="266"/>
  <c r="BC77" i="266"/>
  <c r="BN34" i="266"/>
  <c r="BC15" i="266"/>
  <c r="BO11" i="266"/>
  <c r="BR29" i="266"/>
  <c r="Q10" i="443"/>
  <c r="C31" i="400"/>
  <c r="K36" i="400"/>
  <c r="K38" i="400" s="1"/>
  <c r="BP33" i="266"/>
  <c r="BX33" i="266" s="1"/>
  <c r="T34" i="437"/>
  <c r="U38" i="437"/>
  <c r="U51" i="445"/>
  <c r="U83" i="437"/>
  <c r="T21" i="445"/>
  <c r="T75" i="437"/>
  <c r="T88" i="445"/>
  <c r="S92" i="437"/>
  <c r="T54" i="437"/>
  <c r="T105" i="437"/>
  <c r="S61" i="437"/>
  <c r="T44" i="437"/>
  <c r="U22" i="445"/>
  <c r="BP99" i="266"/>
  <c r="T23" i="437"/>
  <c r="S40" i="437"/>
  <c r="U81" i="437"/>
  <c r="U88" i="437"/>
  <c r="S108" i="437"/>
  <c r="S61" i="445"/>
  <c r="U35" i="445"/>
  <c r="T20" i="437"/>
  <c r="S83" i="437"/>
  <c r="U93" i="437"/>
  <c r="T99" i="437"/>
  <c r="S71" i="445"/>
  <c r="U96" i="445"/>
  <c r="T29" i="445"/>
  <c r="T31" i="437"/>
  <c r="S57" i="437"/>
  <c r="T74" i="445"/>
  <c r="U87" i="437"/>
  <c r="S68" i="437"/>
  <c r="S47" i="445"/>
  <c r="S57" i="445"/>
  <c r="T80" i="445"/>
  <c r="S93" i="445"/>
  <c r="U44" i="437"/>
  <c r="T51" i="437"/>
  <c r="T49" i="445"/>
  <c r="U49" i="445"/>
  <c r="BP34" i="266"/>
  <c r="U68" i="443"/>
  <c r="U62" i="443" s="1"/>
  <c r="T13" i="376"/>
  <c r="T10" i="376" s="1"/>
  <c r="U13" i="376"/>
  <c r="U90" i="437"/>
  <c r="U40" i="437"/>
  <c r="T81" i="437"/>
  <c r="U85" i="437"/>
  <c r="T42" i="445"/>
  <c r="S37" i="445"/>
  <c r="U59" i="445"/>
  <c r="T39" i="445"/>
  <c r="S103" i="437"/>
  <c r="U77" i="445"/>
  <c r="T85" i="445"/>
  <c r="U56" i="445"/>
  <c r="U57" i="437"/>
  <c r="T67" i="437"/>
  <c r="S87" i="437"/>
  <c r="U88" i="445"/>
  <c r="T68" i="437"/>
  <c r="T65" i="445"/>
  <c r="U81" i="445"/>
  <c r="T91" i="437"/>
  <c r="S73" i="445"/>
  <c r="S77" i="437"/>
  <c r="U109" i="437"/>
  <c r="U25" i="445"/>
  <c r="U92" i="445"/>
  <c r="U107" i="437"/>
  <c r="T50" i="445"/>
  <c r="U50" i="445"/>
  <c r="S120" i="445"/>
  <c r="BQ11" i="457"/>
  <c r="U123" i="437"/>
  <c r="T81" i="445"/>
  <c r="S89" i="437"/>
  <c r="U89" i="437"/>
  <c r="C12" i="457"/>
  <c r="BH32" i="457" s="1"/>
  <c r="BQ12" i="457"/>
  <c r="BQ14" i="457"/>
  <c r="U23" i="437"/>
  <c r="T56" i="437"/>
  <c r="U56" i="437"/>
  <c r="S90" i="437"/>
  <c r="U72" i="437"/>
  <c r="U98" i="437"/>
  <c r="T85" i="437"/>
  <c r="S86" i="437"/>
  <c r="U103" i="437"/>
  <c r="T62" i="380"/>
  <c r="U85" i="445"/>
  <c r="S31" i="437"/>
  <c r="S67" i="437"/>
  <c r="U69" i="437"/>
  <c r="T73" i="445"/>
  <c r="U89" i="445"/>
  <c r="T109" i="437"/>
  <c r="U78" i="437"/>
  <c r="S92" i="445"/>
  <c r="T17" i="445"/>
  <c r="S17" i="445"/>
  <c r="U60" i="437"/>
  <c r="S41" i="445"/>
  <c r="T104" i="445"/>
  <c r="T97" i="445"/>
  <c r="T41" i="437"/>
  <c r="BR15" i="266"/>
  <c r="BP93" i="266"/>
  <c r="BO93" i="266"/>
  <c r="BO99" i="266"/>
  <c r="U72" i="445"/>
  <c r="T78" i="445"/>
  <c r="T98" i="437"/>
  <c r="T58" i="445"/>
  <c r="T45" i="445"/>
  <c r="S47" i="437"/>
  <c r="S62" i="437"/>
  <c r="T79" i="445"/>
  <c r="S35" i="445"/>
  <c r="U84" i="445"/>
  <c r="S99" i="437"/>
  <c r="U54" i="445"/>
  <c r="T96" i="445"/>
  <c r="S42" i="445"/>
  <c r="T64" i="445"/>
  <c r="S55" i="445"/>
  <c r="U102" i="445"/>
  <c r="T59" i="445"/>
  <c r="S39" i="445"/>
  <c r="U62" i="380"/>
  <c r="U120" i="445"/>
  <c r="U19" i="445"/>
  <c r="U104" i="445"/>
  <c r="BS75" i="266"/>
  <c r="BS84" i="266"/>
  <c r="S75" i="445"/>
  <c r="BC27" i="266"/>
  <c r="S78" i="445"/>
  <c r="T72" i="437"/>
  <c r="U45" i="445"/>
  <c r="BQ22" i="266"/>
  <c r="BS22" i="266" s="1"/>
  <c r="BW22" i="266" s="1"/>
  <c r="BL22" i="266"/>
  <c r="S36" i="437"/>
  <c r="T62" i="437"/>
  <c r="R112" i="437"/>
  <c r="T112" i="437" s="1"/>
  <c r="T110" i="437" s="1"/>
  <c r="Q110" i="437"/>
  <c r="S53" i="445"/>
  <c r="T50" i="437"/>
  <c r="U50" i="437"/>
  <c r="U61" i="445"/>
  <c r="S84" i="445"/>
  <c r="S93" i="437"/>
  <c r="S54" i="445"/>
  <c r="U43" i="445"/>
  <c r="S43" i="445"/>
  <c r="U71" i="445"/>
  <c r="R65" i="437"/>
  <c r="S65" i="437" s="1"/>
  <c r="Q64" i="437"/>
  <c r="T110" i="377"/>
  <c r="Q106" i="437"/>
  <c r="N101" i="437"/>
  <c r="C12" i="463"/>
  <c r="BF12" i="463" s="1"/>
  <c r="BF23" i="463" s="1"/>
  <c r="BF24" i="463" s="1"/>
  <c r="BF27" i="463" s="1"/>
  <c r="R104" i="379"/>
  <c r="U104" i="379" s="1"/>
  <c r="U101" i="379" s="1"/>
  <c r="Q101" i="379"/>
  <c r="S91" i="445"/>
  <c r="R78" i="377"/>
  <c r="T78" i="377" s="1"/>
  <c r="T64" i="377" s="1"/>
  <c r="Q64" i="377"/>
  <c r="BC30" i="266"/>
  <c r="BK30" i="266"/>
  <c r="S40" i="445"/>
  <c r="AZ15" i="266"/>
  <c r="BK99" i="266"/>
  <c r="BL99" i="266" s="1"/>
  <c r="BN33" i="266"/>
  <c r="BV33" i="266" s="1"/>
  <c r="U41" i="437"/>
  <c r="BS15" i="266"/>
  <c r="J43" i="400"/>
  <c r="J40" i="400"/>
  <c r="J47" i="400"/>
  <c r="J42" i="400"/>
  <c r="J41" i="400"/>
  <c r="U106" i="445"/>
  <c r="BA92" i="266"/>
  <c r="BJ92" i="266" s="1"/>
  <c r="T107" i="445"/>
  <c r="BO78" i="266"/>
  <c r="BW78" i="266" s="1"/>
  <c r="BA29" i="266"/>
  <c r="BJ29" i="266" s="1"/>
  <c r="U64" i="379"/>
  <c r="BN93" i="266"/>
  <c r="T91" i="445"/>
  <c r="BM23" i="266"/>
  <c r="BU23" i="266" s="1"/>
  <c r="BL23" i="266"/>
  <c r="BJ68" i="266"/>
  <c r="BC68" i="266"/>
  <c r="BA98" i="266"/>
  <c r="BA100" i="266" s="1"/>
  <c r="Q106" i="380"/>
  <c r="N101" i="380"/>
  <c r="T72" i="445"/>
  <c r="AZ32" i="266"/>
  <c r="BA32" i="266"/>
  <c r="S33" i="445"/>
  <c r="T33" i="445"/>
  <c r="T74" i="380"/>
  <c r="V74" i="380" s="1"/>
  <c r="U31" i="445"/>
  <c r="T68" i="443"/>
  <c r="T62" i="443" s="1"/>
  <c r="BN20" i="266"/>
  <c r="BV20" i="266" s="1"/>
  <c r="T23" i="445"/>
  <c r="T95" i="445"/>
  <c r="C14" i="457"/>
  <c r="BJ28" i="457" s="1"/>
  <c r="BB17" i="266"/>
  <c r="AZ17" i="266"/>
  <c r="BT84" i="266"/>
  <c r="U75" i="445"/>
  <c r="BS35" i="266"/>
  <c r="S106" i="445"/>
  <c r="S107" i="445"/>
  <c r="S34" i="437"/>
  <c r="S38" i="437"/>
  <c r="AZ36" i="266"/>
  <c r="BA36" i="266"/>
  <c r="BQ14" i="266"/>
  <c r="BT14" i="266" s="1"/>
  <c r="S114" i="377"/>
  <c r="S110" i="377" s="1"/>
  <c r="U16" i="445"/>
  <c r="T16" i="445"/>
  <c r="T18" i="445"/>
  <c r="T20" i="445"/>
  <c r="U32" i="445"/>
  <c r="S32" i="445"/>
  <c r="S19" i="445"/>
  <c r="T11" i="437"/>
  <c r="BT37" i="266"/>
  <c r="S74" i="380"/>
  <c r="S31" i="445"/>
  <c r="S110" i="379"/>
  <c r="U26" i="437"/>
  <c r="R101" i="445"/>
  <c r="R99" i="445" s="1"/>
  <c r="Q99" i="445"/>
  <c r="BK79" i="266"/>
  <c r="BC79" i="266"/>
  <c r="E39" i="400"/>
  <c r="E36" i="400"/>
  <c r="E47" i="400"/>
  <c r="E41" i="400"/>
  <c r="E40" i="400"/>
  <c r="E42" i="400"/>
  <c r="E37" i="400"/>
  <c r="E45" i="400"/>
  <c r="E44" i="400"/>
  <c r="E43" i="400"/>
  <c r="BF14" i="457"/>
  <c r="AZ18" i="266"/>
  <c r="BA18" i="266"/>
  <c r="BB24" i="266"/>
  <c r="AZ24" i="266"/>
  <c r="BR81" i="266"/>
  <c r="BV81" i="266" s="1"/>
  <c r="BU81" i="266"/>
  <c r="BT81" i="266"/>
  <c r="BS81" i="266"/>
  <c r="AZ87" i="266"/>
  <c r="BB87" i="266"/>
  <c r="AZ83" i="266"/>
  <c r="BA83" i="266"/>
  <c r="BJ85" i="266"/>
  <c r="BC85" i="266"/>
  <c r="BB69" i="266"/>
  <c r="AZ69" i="266"/>
  <c r="AY98" i="266"/>
  <c r="AY100" i="266" s="1"/>
  <c r="BA37" i="266"/>
  <c r="AZ37" i="266"/>
  <c r="BQ38" i="266"/>
  <c r="BR38" i="266" s="1"/>
  <c r="BA38" i="266"/>
  <c r="AZ38" i="266"/>
  <c r="AZ16" i="266"/>
  <c r="BB16" i="266"/>
  <c r="BP20" i="266"/>
  <c r="BX20" i="266" s="1"/>
  <c r="S22" i="445"/>
  <c r="BT35" i="266"/>
  <c r="BM15" i="266"/>
  <c r="BU15" i="266" s="1"/>
  <c r="BL15" i="266"/>
  <c r="S26" i="437"/>
  <c r="BK73" i="266"/>
  <c r="BC73" i="266"/>
  <c r="BQ99" i="266"/>
  <c r="BU99" i="266" s="1"/>
  <c r="BO33" i="266"/>
  <c r="BW33" i="266" s="1"/>
  <c r="S95" i="445"/>
  <c r="Q82" i="445"/>
  <c r="N62" i="445"/>
  <c r="U97" i="445"/>
  <c r="U114" i="377"/>
  <c r="U110" i="377" s="1"/>
  <c r="BP11" i="266"/>
  <c r="BL27" i="266"/>
  <c r="BM27" i="266"/>
  <c r="BO27" i="266" s="1"/>
  <c r="J48" i="400"/>
  <c r="J49" i="400"/>
  <c r="Q22" i="437"/>
  <c r="N10" i="437"/>
  <c r="BR75" i="266"/>
  <c r="AZ31" i="266"/>
  <c r="BA31" i="266"/>
  <c r="BJ12" i="461"/>
  <c r="BJ12" i="459"/>
  <c r="BP78" i="266"/>
  <c r="BX78" i="266" s="1"/>
  <c r="BN78" i="266"/>
  <c r="BV78" i="266" s="1"/>
  <c r="BB71" i="266"/>
  <c r="AZ71" i="266"/>
  <c r="X12" i="384"/>
  <c r="X11" i="384" s="1"/>
  <c r="AZ40" i="266"/>
  <c r="BB40" i="266"/>
  <c r="AZ35" i="266"/>
  <c r="BA35" i="266"/>
  <c r="BQ27" i="266"/>
  <c r="BS27" i="266" s="1"/>
  <c r="AZ80" i="266"/>
  <c r="BA80" i="266"/>
  <c r="AZ25" i="266"/>
  <c r="BA25" i="266"/>
  <c r="T64" i="379"/>
  <c r="R110" i="377"/>
  <c r="BF11" i="457"/>
  <c r="BG11" i="457"/>
  <c r="C11" i="457"/>
  <c r="BI28" i="457"/>
  <c r="BI29" i="457"/>
  <c r="BI30" i="457"/>
  <c r="BI32" i="457"/>
  <c r="BI31" i="457"/>
  <c r="BI27" i="457"/>
  <c r="BJ13" i="460"/>
  <c r="BM14" i="466"/>
  <c r="BN14" i="466" s="1"/>
  <c r="BO14" i="466" s="1"/>
  <c r="R10" i="443"/>
  <c r="BN19" i="266"/>
  <c r="BV19" i="266" s="1"/>
  <c r="T69" i="380"/>
  <c r="V69" i="380" s="1"/>
  <c r="BO34" i="266"/>
  <c r="BP40" i="266"/>
  <c r="U18" i="445"/>
  <c r="S20" i="445"/>
  <c r="T41" i="445"/>
  <c r="BT82" i="266"/>
  <c r="L190" i="393"/>
  <c r="M190" i="393" s="1"/>
  <c r="S24" i="445"/>
  <c r="U11" i="437"/>
  <c r="BO90" i="266"/>
  <c r="BP90" i="266"/>
  <c r="BS37" i="266"/>
  <c r="Q15" i="445"/>
  <c r="N11" i="445"/>
  <c r="U40" i="445"/>
  <c r="T102" i="377"/>
  <c r="T101" i="377" s="1"/>
  <c r="S102" i="377"/>
  <c r="S101" i="377" s="1"/>
  <c r="S68" i="443"/>
  <c r="S62" i="443" s="1"/>
  <c r="BO20" i="266"/>
  <c r="BW20" i="266" s="1"/>
  <c r="S23" i="445"/>
  <c r="F43" i="400"/>
  <c r="F44" i="400"/>
  <c r="BP19" i="266"/>
  <c r="BX19" i="266" s="1"/>
  <c r="R18" i="377"/>
  <c r="R10" i="377" s="1"/>
  <c r="Q10" i="377"/>
  <c r="Q46" i="380"/>
  <c r="N10" i="380"/>
  <c r="R111" i="445"/>
  <c r="R108" i="445" s="1"/>
  <c r="Q108" i="445"/>
  <c r="S110" i="443"/>
  <c r="S108" i="443" s="1"/>
  <c r="T24" i="445"/>
  <c r="S11" i="437"/>
  <c r="BT36" i="266"/>
  <c r="BS36" i="266"/>
  <c r="K49" i="400"/>
  <c r="R66" i="380"/>
  <c r="R64" i="380" s="1"/>
  <c r="Q64" i="380"/>
  <c r="BO19" i="266"/>
  <c r="BW19" i="266" s="1"/>
  <c r="S69" i="380"/>
  <c r="BV70" i="266"/>
  <c r="BO40" i="266"/>
  <c r="T110" i="443"/>
  <c r="T108" i="443" s="1"/>
  <c r="BS82" i="266"/>
  <c r="BN90" i="266"/>
  <c r="BR36" i="266"/>
  <c r="R57" i="379"/>
  <c r="R10" i="379" s="1"/>
  <c r="Q10" i="379"/>
  <c r="U102" i="377"/>
  <c r="U101" i="377" s="1"/>
  <c r="L10" i="396"/>
  <c r="M10" i="396" s="1"/>
  <c r="U110" i="443"/>
  <c r="U108" i="443" s="1"/>
  <c r="U10" i="443" s="1"/>
  <c r="BM12" i="266"/>
  <c r="BP12" i="266" s="1"/>
  <c r="BL12" i="266"/>
  <c r="I37" i="400"/>
  <c r="I47" i="400"/>
  <c r="I39" i="400"/>
  <c r="I45" i="400"/>
  <c r="I41" i="400"/>
  <c r="I40" i="400"/>
  <c r="I42" i="400"/>
  <c r="I36" i="400"/>
  <c r="I44" i="400"/>
  <c r="I43" i="400"/>
  <c r="BL13" i="466" l="1"/>
  <c r="I31" i="400"/>
  <c r="F45" i="400"/>
  <c r="F36" i="400"/>
  <c r="BN13" i="266"/>
  <c r="BV13" i="266" s="1"/>
  <c r="Q9" i="377"/>
  <c r="F39" i="400"/>
  <c r="F37" i="400"/>
  <c r="F41" i="400"/>
  <c r="AZ98" i="266"/>
  <c r="AZ100" i="266" s="1"/>
  <c r="F47" i="400"/>
  <c r="F40" i="400"/>
  <c r="V70" i="380"/>
  <c r="BK26" i="266"/>
  <c r="BC26" i="266"/>
  <c r="V89" i="379"/>
  <c r="BJ14" i="266"/>
  <c r="BA42" i="266"/>
  <c r="BA44" i="266" s="1"/>
  <c r="BC14" i="266"/>
  <c r="Q9" i="379"/>
  <c r="BO13" i="266"/>
  <c r="BW13" i="266" s="1"/>
  <c r="BU13" i="266"/>
  <c r="N9" i="380"/>
  <c r="BJ75" i="266"/>
  <c r="BC75" i="266"/>
  <c r="BC82" i="266"/>
  <c r="E67" i="509"/>
  <c r="O67" i="509" s="1"/>
  <c r="R67" i="509" s="1"/>
  <c r="U23" i="509"/>
  <c r="X23" i="509" s="1"/>
  <c r="X67" i="509"/>
  <c r="V67" i="509" s="1"/>
  <c r="BW81" i="266"/>
  <c r="V52" i="380"/>
  <c r="N10" i="445"/>
  <c r="BX81" i="266"/>
  <c r="K46" i="400"/>
  <c r="V63" i="380"/>
  <c r="D12" i="456"/>
  <c r="O66" i="509"/>
  <c r="U65" i="509"/>
  <c r="X66" i="509"/>
  <c r="R19" i="509"/>
  <c r="X19" i="509"/>
  <c r="X21" i="509"/>
  <c r="W9" i="380"/>
  <c r="E30" i="509" s="1"/>
  <c r="O48" i="400"/>
  <c r="BU13" i="456"/>
  <c r="BW13" i="458" s="1"/>
  <c r="V64" i="379"/>
  <c r="BC92" i="266"/>
  <c r="V45" i="380"/>
  <c r="BT25" i="266"/>
  <c r="V75" i="380"/>
  <c r="BS25" i="266"/>
  <c r="CY13" i="456"/>
  <c r="BJ84" i="266"/>
  <c r="BC84" i="266"/>
  <c r="BS67" i="266"/>
  <c r="BW67" i="266" s="1"/>
  <c r="BK76" i="266"/>
  <c r="BC76" i="266"/>
  <c r="BU13" i="466"/>
  <c r="BN14" i="465"/>
  <c r="BN23" i="465" s="1"/>
  <c r="BN24" i="465" s="1"/>
  <c r="BN27" i="465" s="1"/>
  <c r="U10" i="376"/>
  <c r="T123" i="380"/>
  <c r="T110" i="380" s="1"/>
  <c r="U123" i="380"/>
  <c r="U110" i="380" s="1"/>
  <c r="R110" i="380"/>
  <c r="CH21" i="456"/>
  <c r="D21" i="466"/>
  <c r="BU21" i="466"/>
  <c r="BX21" i="466"/>
  <c r="BU21" i="456"/>
  <c r="D21" i="456"/>
  <c r="CW21" i="456" s="1"/>
  <c r="V62" i="380"/>
  <c r="V13" i="376"/>
  <c r="V10" i="376" s="1"/>
  <c r="BR66" i="266"/>
  <c r="BK72" i="266"/>
  <c r="BC72" i="266"/>
  <c r="V54" i="380"/>
  <c r="BT66" i="266"/>
  <c r="J46" i="400"/>
  <c r="BT68" i="266"/>
  <c r="V42" i="380"/>
  <c r="BJ89" i="266"/>
  <c r="BC89" i="266"/>
  <c r="CY12" i="456"/>
  <c r="BH29" i="457"/>
  <c r="BS68" i="266"/>
  <c r="BJ88" i="266"/>
  <c r="BC88" i="266"/>
  <c r="N9" i="437"/>
  <c r="BM97" i="266"/>
  <c r="BO97" i="266" s="1"/>
  <c r="BW97" i="266" s="1"/>
  <c r="BL97" i="266"/>
  <c r="BT67" i="266"/>
  <c r="BX67" i="266" s="1"/>
  <c r="BU67" i="266"/>
  <c r="BK21" i="266"/>
  <c r="BC21" i="266"/>
  <c r="BQ10" i="266"/>
  <c r="BR10" i="266" s="1"/>
  <c r="BV10" i="266" s="1"/>
  <c r="BL10" i="266"/>
  <c r="BU95" i="266"/>
  <c r="BR95" i="266"/>
  <c r="BV95" i="266" s="1"/>
  <c r="BS95" i="266"/>
  <c r="BW95" i="266" s="1"/>
  <c r="BT95" i="266"/>
  <c r="BX95" i="266" s="1"/>
  <c r="BL66" i="266"/>
  <c r="BM66" i="266"/>
  <c r="BU66" i="266" s="1"/>
  <c r="BK34" i="266"/>
  <c r="BC34" i="266"/>
  <c r="BJ74" i="266"/>
  <c r="BC74" i="266"/>
  <c r="BK11" i="266"/>
  <c r="BC11" i="266"/>
  <c r="BB42" i="266"/>
  <c r="BB44" i="266" s="1"/>
  <c r="BQ90" i="266"/>
  <c r="BT90" i="266" s="1"/>
  <c r="BX90" i="266" s="1"/>
  <c r="BL90" i="266"/>
  <c r="BM96" i="266"/>
  <c r="BN96" i="266" s="1"/>
  <c r="BV96" i="266" s="1"/>
  <c r="BL96" i="266"/>
  <c r="BK93" i="266"/>
  <c r="BC93" i="266"/>
  <c r="BJ39" i="266"/>
  <c r="BC39" i="266"/>
  <c r="BQ43" i="266"/>
  <c r="BU43" i="266" s="1"/>
  <c r="BL43" i="266"/>
  <c r="BQ77" i="266"/>
  <c r="BS77" i="266" s="1"/>
  <c r="BW77" i="266" s="1"/>
  <c r="BL77" i="266"/>
  <c r="BC29" i="266"/>
  <c r="BT41" i="266"/>
  <c r="BX41" i="266" s="1"/>
  <c r="BU41" i="266"/>
  <c r="BQ91" i="266"/>
  <c r="BR91" i="266" s="1"/>
  <c r="BV91" i="266" s="1"/>
  <c r="BL91" i="266"/>
  <c r="BM86" i="266"/>
  <c r="BN86" i="266" s="1"/>
  <c r="BV86" i="266" s="1"/>
  <c r="BL86" i="266"/>
  <c r="BC28" i="266"/>
  <c r="BK28" i="266"/>
  <c r="BJ30" i="457"/>
  <c r="BN23" i="266"/>
  <c r="BV23" i="266" s="1"/>
  <c r="S64" i="437"/>
  <c r="S112" i="437"/>
  <c r="S110" i="437" s="1"/>
  <c r="BR41" i="266"/>
  <c r="BV41" i="266" s="1"/>
  <c r="BM94" i="266"/>
  <c r="BU94" i="266" s="1"/>
  <c r="BL94" i="266"/>
  <c r="BS41" i="266"/>
  <c r="BW41" i="266" s="1"/>
  <c r="BO23" i="266"/>
  <c r="BW23" i="266" s="1"/>
  <c r="BP23" i="266"/>
  <c r="BX23" i="266" s="1"/>
  <c r="U65" i="437"/>
  <c r="U64" i="437" s="1"/>
  <c r="S104" i="379"/>
  <c r="S101" i="379" s="1"/>
  <c r="C25" i="457"/>
  <c r="C26" i="457" s="1"/>
  <c r="C34" i="457" s="1"/>
  <c r="BH30" i="457"/>
  <c r="BH31" i="457"/>
  <c r="BH28" i="457"/>
  <c r="BH27" i="457"/>
  <c r="BS99" i="266"/>
  <c r="BW99" i="266" s="1"/>
  <c r="BT99" i="266"/>
  <c r="BX99" i="266" s="1"/>
  <c r="BP15" i="266"/>
  <c r="BX15" i="266" s="1"/>
  <c r="U78" i="377"/>
  <c r="U64" i="377" s="1"/>
  <c r="BT22" i="266"/>
  <c r="BX22" i="266" s="1"/>
  <c r="BJ27" i="457"/>
  <c r="BJ31" i="457"/>
  <c r="BO12" i="266"/>
  <c r="BJ32" i="457"/>
  <c r="BJ29" i="457"/>
  <c r="BS14" i="266"/>
  <c r="S57" i="379"/>
  <c r="S10" i="379" s="1"/>
  <c r="U66" i="380"/>
  <c r="U64" i="380" s="1"/>
  <c r="S10" i="443"/>
  <c r="BT27" i="266"/>
  <c r="BS38" i="266"/>
  <c r="R106" i="437"/>
  <c r="R101" i="437" s="1"/>
  <c r="Q101" i="437"/>
  <c r="T65" i="437"/>
  <c r="T64" i="437" s="1"/>
  <c r="R64" i="437"/>
  <c r="U112" i="437"/>
  <c r="U110" i="437" s="1"/>
  <c r="R110" i="437"/>
  <c r="BR22" i="266"/>
  <c r="BV22" i="266" s="1"/>
  <c r="BU22" i="266"/>
  <c r="N48" i="400"/>
  <c r="BJ32" i="266"/>
  <c r="BC32" i="266"/>
  <c r="R106" i="380"/>
  <c r="T106" i="380" s="1"/>
  <c r="Q101" i="380"/>
  <c r="T10" i="443"/>
  <c r="W10" i="443" s="1"/>
  <c r="U18" i="377"/>
  <c r="U10" i="377" s="1"/>
  <c r="BL68" i="266"/>
  <c r="BM68" i="266"/>
  <c r="BP68" i="266" s="1"/>
  <c r="BJ98" i="266"/>
  <c r="BJ100" i="266" s="1"/>
  <c r="BL30" i="266"/>
  <c r="BQ30" i="266"/>
  <c r="BS30" i="266" s="1"/>
  <c r="BW30" i="266" s="1"/>
  <c r="S78" i="377"/>
  <c r="S64" i="377" s="1"/>
  <c r="R64" i="377"/>
  <c r="R9" i="377" s="1"/>
  <c r="T104" i="379"/>
  <c r="R101" i="379"/>
  <c r="R9" i="379" s="1"/>
  <c r="BK17" i="266"/>
  <c r="BC17" i="266"/>
  <c r="T57" i="379"/>
  <c r="S66" i="380"/>
  <c r="S64" i="380" s="1"/>
  <c r="T66" i="380"/>
  <c r="BR27" i="266"/>
  <c r="BT38" i="266"/>
  <c r="S101" i="445"/>
  <c r="S99" i="445" s="1"/>
  <c r="BR14" i="266"/>
  <c r="BJ36" i="266"/>
  <c r="BC36" i="266"/>
  <c r="C56" i="457"/>
  <c r="BJ25" i="266"/>
  <c r="BC25" i="266"/>
  <c r="BC80" i="266"/>
  <c r="BJ80" i="266"/>
  <c r="BJ35" i="266"/>
  <c r="BC35" i="266"/>
  <c r="BK40" i="266"/>
  <c r="BC40" i="266"/>
  <c r="BK71" i="266"/>
  <c r="BC71" i="266"/>
  <c r="D12" i="461"/>
  <c r="D12" i="459"/>
  <c r="BC31" i="266"/>
  <c r="BJ31" i="266"/>
  <c r="R22" i="437"/>
  <c r="Q10" i="437"/>
  <c r="BW27" i="266"/>
  <c r="BU27" i="266"/>
  <c r="R82" i="445"/>
  <c r="U82" i="445" s="1"/>
  <c r="U62" i="445" s="1"/>
  <c r="Q62" i="445"/>
  <c r="BQ73" i="266"/>
  <c r="BT73" i="266" s="1"/>
  <c r="BX73" i="266" s="1"/>
  <c r="BL73" i="266"/>
  <c r="BJ38" i="266"/>
  <c r="BC38" i="266"/>
  <c r="BJ37" i="266"/>
  <c r="BC37" i="266"/>
  <c r="BC83" i="266"/>
  <c r="BJ83" i="266"/>
  <c r="BK87" i="266"/>
  <c r="BC87" i="266"/>
  <c r="BJ18" i="266"/>
  <c r="BC18" i="266"/>
  <c r="BQ79" i="266"/>
  <c r="BR79" i="266" s="1"/>
  <c r="BV79" i="266" s="1"/>
  <c r="BL79" i="266"/>
  <c r="F38" i="400"/>
  <c r="F46" i="400" s="1"/>
  <c r="BM82" i="266"/>
  <c r="BU82" i="266" s="1"/>
  <c r="BL82" i="266"/>
  <c r="BP27" i="266"/>
  <c r="BN27" i="266"/>
  <c r="BR99" i="266"/>
  <c r="BV99" i="266" s="1"/>
  <c r="BO15" i="266"/>
  <c r="BW15" i="266" s="1"/>
  <c r="BN15" i="266"/>
  <c r="BV15" i="266" s="1"/>
  <c r="BK16" i="266"/>
  <c r="BC16" i="266"/>
  <c r="BL29" i="266"/>
  <c r="BM29" i="266"/>
  <c r="BU29" i="266" s="1"/>
  <c r="BK69" i="266"/>
  <c r="BC69" i="266"/>
  <c r="BC98" i="266" s="1"/>
  <c r="BC100" i="266" s="1"/>
  <c r="BB98" i="266"/>
  <c r="BB100" i="266" s="1"/>
  <c r="BM85" i="266"/>
  <c r="BU85" i="266" s="1"/>
  <c r="BL85" i="266"/>
  <c r="BK24" i="266"/>
  <c r="BC24" i="266"/>
  <c r="BM92" i="266"/>
  <c r="BP92" i="266" s="1"/>
  <c r="BX92" i="266" s="1"/>
  <c r="BL92" i="266"/>
  <c r="E48" i="400"/>
  <c r="E49" i="400"/>
  <c r="E38" i="400"/>
  <c r="E46" i="400" s="1"/>
  <c r="T101" i="445"/>
  <c r="T99" i="445" s="1"/>
  <c r="U101" i="445"/>
  <c r="U99" i="445" s="1"/>
  <c r="BG30" i="457"/>
  <c r="BG28" i="457"/>
  <c r="BG27" i="457"/>
  <c r="BG32" i="457"/>
  <c r="BG31" i="457"/>
  <c r="BG29" i="457"/>
  <c r="BX12" i="266"/>
  <c r="BU12" i="266"/>
  <c r="BN12" i="266"/>
  <c r="U57" i="379"/>
  <c r="U10" i="379" s="1"/>
  <c r="U9" i="379" s="1"/>
  <c r="U111" i="445"/>
  <c r="U108" i="445" s="1"/>
  <c r="R46" i="380"/>
  <c r="R10" i="380" s="1"/>
  <c r="Q10" i="380"/>
  <c r="T18" i="377"/>
  <c r="T10" i="377" s="1"/>
  <c r="T9" i="377" s="1"/>
  <c r="BW12" i="266"/>
  <c r="I38" i="400"/>
  <c r="I46" i="400" s="1"/>
  <c r="T111" i="445"/>
  <c r="T108" i="445" s="1"/>
  <c r="D41" i="400"/>
  <c r="D39" i="400"/>
  <c r="D42" i="400"/>
  <c r="D40" i="400"/>
  <c r="D43" i="400"/>
  <c r="N44" i="400" s="1"/>
  <c r="D44" i="400"/>
  <c r="D47" i="400"/>
  <c r="P44" i="400" s="1"/>
  <c r="D36" i="400"/>
  <c r="D37" i="400"/>
  <c r="D45" i="400"/>
  <c r="F49" i="400"/>
  <c r="F48" i="400"/>
  <c r="I49" i="400"/>
  <c r="I48" i="400"/>
  <c r="S111" i="445"/>
  <c r="S108" i="445" s="1"/>
  <c r="S18" i="377"/>
  <c r="S10" i="377" s="1"/>
  <c r="R15" i="445"/>
  <c r="R11" i="445" s="1"/>
  <c r="Q11" i="445"/>
  <c r="Q10" i="445" s="1"/>
  <c r="S9" i="377" l="1"/>
  <c r="BC42" i="266"/>
  <c r="BC44" i="266" s="1"/>
  <c r="BL26" i="266"/>
  <c r="BQ26" i="266"/>
  <c r="BU26" i="266" s="1"/>
  <c r="BM75" i="266"/>
  <c r="BL75" i="266"/>
  <c r="BM14" i="266"/>
  <c r="BP14" i="266" s="1"/>
  <c r="BL14" i="266"/>
  <c r="BJ42" i="266"/>
  <c r="BJ44" i="266" s="1"/>
  <c r="E65" i="509"/>
  <c r="C67" i="509"/>
  <c r="Z67" i="509" s="1"/>
  <c r="H98" i="490"/>
  <c r="H99" i="490" s="1"/>
  <c r="BK25" i="460"/>
  <c r="BX13" i="458"/>
  <c r="BY13" i="458" s="1"/>
  <c r="X65" i="509"/>
  <c r="BW13" i="465"/>
  <c r="BV27" i="266"/>
  <c r="O65" i="509"/>
  <c r="R66" i="509"/>
  <c r="R65" i="509" s="1"/>
  <c r="O30" i="509"/>
  <c r="R30" i="509" s="1"/>
  <c r="U30" i="509"/>
  <c r="BK13" i="460"/>
  <c r="Q9" i="380"/>
  <c r="BO68" i="266"/>
  <c r="BR77" i="266"/>
  <c r="BV77" i="266" s="1"/>
  <c r="BQ76" i="266"/>
  <c r="BU76" i="266" s="1"/>
  <c r="BL76" i="266"/>
  <c r="BL84" i="266"/>
  <c r="BM84" i="266"/>
  <c r="BO84" i="266" s="1"/>
  <c r="BW84" i="266" s="1"/>
  <c r="BO14" i="465"/>
  <c r="BL37" i="465" s="1"/>
  <c r="V123" i="380"/>
  <c r="V110" i="380" s="1"/>
  <c r="BJ25" i="460"/>
  <c r="CK21" i="456"/>
  <c r="BN29" i="266"/>
  <c r="BV29" i="266" s="1"/>
  <c r="T64" i="380"/>
  <c r="V64" i="380" s="1"/>
  <c r="V66" i="380"/>
  <c r="T101" i="380"/>
  <c r="S9" i="379"/>
  <c r="BP86" i="266"/>
  <c r="BX86" i="266" s="1"/>
  <c r="BQ72" i="266"/>
  <c r="BT72" i="266" s="1"/>
  <c r="BX72" i="266" s="1"/>
  <c r="BL72" i="266"/>
  <c r="BL89" i="266"/>
  <c r="BM89" i="266"/>
  <c r="T10" i="379"/>
  <c r="V57" i="379"/>
  <c r="T101" i="379"/>
  <c r="V101" i="379" s="1"/>
  <c r="V104" i="379"/>
  <c r="BS90" i="266"/>
  <c r="BW90" i="266" s="1"/>
  <c r="BU12" i="466"/>
  <c r="CW12" i="456"/>
  <c r="BU12" i="456"/>
  <c r="BF25" i="457"/>
  <c r="U9" i="377"/>
  <c r="BP66" i="266"/>
  <c r="BX66" i="266" s="1"/>
  <c r="BS10" i="266"/>
  <c r="BW10" i="266" s="1"/>
  <c r="BU10" i="266"/>
  <c r="BP97" i="266"/>
  <c r="BX97" i="266" s="1"/>
  <c r="BU97" i="266"/>
  <c r="BS43" i="266"/>
  <c r="BW43" i="266" s="1"/>
  <c r="BQ34" i="266"/>
  <c r="BS34" i="266" s="1"/>
  <c r="BW34" i="266" s="1"/>
  <c r="BL34" i="266"/>
  <c r="BQ21" i="266"/>
  <c r="BR21" i="266" s="1"/>
  <c r="BV21" i="266" s="1"/>
  <c r="BL21" i="266"/>
  <c r="BN68" i="266"/>
  <c r="BV68" i="266" s="1"/>
  <c r="BP94" i="266"/>
  <c r="BX94" i="266" s="1"/>
  <c r="BR43" i="266"/>
  <c r="BV43" i="266" s="1"/>
  <c r="BP96" i="266"/>
  <c r="BX96" i="266" s="1"/>
  <c r="BO66" i="266"/>
  <c r="BW66" i="266" s="1"/>
  <c r="BN66" i="266"/>
  <c r="BV66" i="266" s="1"/>
  <c r="BT10" i="266"/>
  <c r="BX10" i="266" s="1"/>
  <c r="BN97" i="266"/>
  <c r="BV97" i="266" s="1"/>
  <c r="BM88" i="266"/>
  <c r="BP88" i="266" s="1"/>
  <c r="BX88" i="266" s="1"/>
  <c r="BL88" i="266"/>
  <c r="BQ11" i="266"/>
  <c r="BR11" i="266" s="1"/>
  <c r="BL11" i="266"/>
  <c r="BL42" i="266" s="1"/>
  <c r="BL44" i="266" s="1"/>
  <c r="BK42" i="266"/>
  <c r="BK44" i="266" s="1"/>
  <c r="BM74" i="266"/>
  <c r="BP74" i="266" s="1"/>
  <c r="BX74" i="266" s="1"/>
  <c r="BL74" i="266"/>
  <c r="BT43" i="266"/>
  <c r="BX43" i="266" s="1"/>
  <c r="BL39" i="266"/>
  <c r="BM39" i="266"/>
  <c r="BP39" i="266" s="1"/>
  <c r="BX39" i="266" s="1"/>
  <c r="BQ93" i="266"/>
  <c r="BR93" i="266" s="1"/>
  <c r="BV93" i="266" s="1"/>
  <c r="BL93" i="266"/>
  <c r="BO96" i="266"/>
  <c r="BW96" i="266" s="1"/>
  <c r="BU96" i="266"/>
  <c r="BR90" i="266"/>
  <c r="BV90" i="266" s="1"/>
  <c r="BU90" i="266"/>
  <c r="D26" i="457"/>
  <c r="BO94" i="266"/>
  <c r="BW94" i="266" s="1"/>
  <c r="BO86" i="266"/>
  <c r="BW86" i="266" s="1"/>
  <c r="BU86" i="266"/>
  <c r="BL28" i="266"/>
  <c r="BQ28" i="266"/>
  <c r="BT28" i="266" s="1"/>
  <c r="BX28" i="266" s="1"/>
  <c r="BT91" i="266"/>
  <c r="BX91" i="266" s="1"/>
  <c r="BU91" i="266"/>
  <c r="BN94" i="266"/>
  <c r="BV94" i="266" s="1"/>
  <c r="BS91" i="266"/>
  <c r="BW91" i="266" s="1"/>
  <c r="BT77" i="266"/>
  <c r="BX77" i="266" s="1"/>
  <c r="BU77" i="266"/>
  <c r="BO14" i="461"/>
  <c r="BN85" i="266"/>
  <c r="BV85" i="266" s="1"/>
  <c r="BX27" i="266"/>
  <c r="BS79" i="266"/>
  <c r="BW79" i="266" s="1"/>
  <c r="T82" i="445"/>
  <c r="T62" i="445" s="1"/>
  <c r="Q9" i="437"/>
  <c r="C14" i="460" s="1"/>
  <c r="T106" i="437"/>
  <c r="T101" i="437" s="1"/>
  <c r="BP85" i="266"/>
  <c r="BX85" i="266" s="1"/>
  <c r="BO85" i="266"/>
  <c r="BW85" i="266" s="1"/>
  <c r="BP29" i="266"/>
  <c r="BX29" i="266" s="1"/>
  <c r="S106" i="437"/>
  <c r="S101" i="437" s="1"/>
  <c r="U106" i="437"/>
  <c r="U101" i="437" s="1"/>
  <c r="BR30" i="266"/>
  <c r="BV30" i="266" s="1"/>
  <c r="BU30" i="266"/>
  <c r="BW68" i="266"/>
  <c r="U106" i="380"/>
  <c r="U101" i="380" s="1"/>
  <c r="R101" i="380"/>
  <c r="R9" i="380" s="1"/>
  <c r="BL32" i="266"/>
  <c r="BM32" i="266"/>
  <c r="U15" i="445"/>
  <c r="U11" i="445" s="1"/>
  <c r="U10" i="445" s="1"/>
  <c r="BN82" i="266"/>
  <c r="BV82" i="266" s="1"/>
  <c r="BT30" i="266"/>
  <c r="BX30" i="266" s="1"/>
  <c r="BX68" i="266"/>
  <c r="BP98" i="266"/>
  <c r="BP100" i="266" s="1"/>
  <c r="BU68" i="266"/>
  <c r="BM98" i="266"/>
  <c r="BM100" i="266" s="1"/>
  <c r="S106" i="380"/>
  <c r="S101" i="380" s="1"/>
  <c r="S46" i="380"/>
  <c r="S10" i="380" s="1"/>
  <c r="BM36" i="266"/>
  <c r="BO36" i="266" s="1"/>
  <c r="BW36" i="266" s="1"/>
  <c r="BL36" i="266"/>
  <c r="BQ17" i="266"/>
  <c r="BS17" i="266" s="1"/>
  <c r="BW17" i="266" s="1"/>
  <c r="BL17" i="266"/>
  <c r="BN92" i="266"/>
  <c r="BV92" i="266" s="1"/>
  <c r="BP82" i="266"/>
  <c r="BX82" i="266" s="1"/>
  <c r="BO82" i="266"/>
  <c r="BW82" i="266" s="1"/>
  <c r="BO29" i="266"/>
  <c r="BW29" i="266" s="1"/>
  <c r="BQ16" i="266"/>
  <c r="BU16" i="266" s="1"/>
  <c r="BL16" i="266"/>
  <c r="BM18" i="266"/>
  <c r="BP18" i="266" s="1"/>
  <c r="BX18" i="266" s="1"/>
  <c r="BL18" i="266"/>
  <c r="BQ87" i="266"/>
  <c r="BT87" i="266" s="1"/>
  <c r="BX87" i="266" s="1"/>
  <c r="BL87" i="266"/>
  <c r="BM37" i="266"/>
  <c r="BU37" i="266" s="1"/>
  <c r="BL37" i="266"/>
  <c r="BM38" i="266"/>
  <c r="BU38" i="266" s="1"/>
  <c r="BL38" i="266"/>
  <c r="BR73" i="266"/>
  <c r="BV73" i="266" s="1"/>
  <c r="S82" i="445"/>
  <c r="S62" i="445" s="1"/>
  <c r="R62" i="445"/>
  <c r="R10" i="445" s="1"/>
  <c r="T22" i="437"/>
  <c r="T10" i="437" s="1"/>
  <c r="T9" i="437" s="1"/>
  <c r="U22" i="437"/>
  <c r="U10" i="437" s="1"/>
  <c r="R10" i="437"/>
  <c r="R9" i="437" s="1"/>
  <c r="S22" i="437"/>
  <c r="S10" i="437" s="1"/>
  <c r="S9" i="437" s="1"/>
  <c r="BM80" i="266"/>
  <c r="BU80" i="266" s="1"/>
  <c r="BL80" i="266"/>
  <c r="BO92" i="266"/>
  <c r="BW92" i="266" s="1"/>
  <c r="BU92" i="266"/>
  <c r="BQ24" i="266"/>
  <c r="BU24" i="266" s="1"/>
  <c r="BL24" i="266"/>
  <c r="BQ69" i="266"/>
  <c r="BR69" i="266" s="1"/>
  <c r="BL69" i="266"/>
  <c r="BL98" i="266" s="1"/>
  <c r="BL100" i="266" s="1"/>
  <c r="BK98" i="266"/>
  <c r="BK100" i="266" s="1"/>
  <c r="BT79" i="266"/>
  <c r="BX79" i="266" s="1"/>
  <c r="BU79" i="266"/>
  <c r="BL83" i="266"/>
  <c r="BM83" i="266"/>
  <c r="BU83" i="266" s="1"/>
  <c r="BS73" i="266"/>
  <c r="BW73" i="266" s="1"/>
  <c r="BU73" i="266"/>
  <c r="BM31" i="266"/>
  <c r="BU31" i="266" s="1"/>
  <c r="BL31" i="266"/>
  <c r="BQ71" i="266"/>
  <c r="BU71" i="266" s="1"/>
  <c r="BL71" i="266"/>
  <c r="BQ40" i="266"/>
  <c r="BU40" i="266" s="1"/>
  <c r="BL40" i="266"/>
  <c r="BM35" i="266"/>
  <c r="BU35" i="266" s="1"/>
  <c r="BL35" i="266"/>
  <c r="BM25" i="266"/>
  <c r="BU25" i="266" s="1"/>
  <c r="BL25" i="266"/>
  <c r="BK12" i="460"/>
  <c r="D30" i="466"/>
  <c r="D28" i="465"/>
  <c r="C28" i="463"/>
  <c r="BJ14" i="459"/>
  <c r="BJ14" i="461"/>
  <c r="BJ11" i="461"/>
  <c r="D11" i="461"/>
  <c r="C28" i="460"/>
  <c r="C35" i="457"/>
  <c r="C36" i="457" s="1"/>
  <c r="D32" i="459"/>
  <c r="D28" i="458"/>
  <c r="S15" i="445"/>
  <c r="S11" i="445" s="1"/>
  <c r="D38" i="400"/>
  <c r="D46" i="400" s="1"/>
  <c r="L51" i="400" s="1"/>
  <c r="U46" i="380"/>
  <c r="U10" i="380" s="1"/>
  <c r="BV12" i="266"/>
  <c r="D49" i="400"/>
  <c r="O44" i="400"/>
  <c r="D48" i="400"/>
  <c r="T46" i="380"/>
  <c r="T15" i="445"/>
  <c r="T11" i="445" s="1"/>
  <c r="M67" i="509" l="1"/>
  <c r="P67" i="509" s="1"/>
  <c r="BT26" i="266"/>
  <c r="BX26" i="266" s="1"/>
  <c r="BS26" i="266"/>
  <c r="BW26" i="266" s="1"/>
  <c r="BR26" i="266"/>
  <c r="BV26" i="266" s="1"/>
  <c r="BX14" i="266"/>
  <c r="BP42" i="266"/>
  <c r="BP44" i="266" s="1"/>
  <c r="BN75" i="266"/>
  <c r="BV75" i="266" s="1"/>
  <c r="BU75" i="266"/>
  <c r="BO75" i="266"/>
  <c r="BW75" i="266" s="1"/>
  <c r="BN14" i="266"/>
  <c r="BU14" i="266"/>
  <c r="BM42" i="266"/>
  <c r="BM44" i="266" s="1"/>
  <c r="U9" i="380"/>
  <c r="BO98" i="266"/>
  <c r="BO100" i="266" s="1"/>
  <c r="BS76" i="266"/>
  <c r="BW76" i="266" s="1"/>
  <c r="BO14" i="266"/>
  <c r="BP75" i="266"/>
  <c r="BX75" i="266" s="1"/>
  <c r="I98" i="490"/>
  <c r="I99" i="490" s="1"/>
  <c r="CK13" i="456"/>
  <c r="BT76" i="266"/>
  <c r="BX76" i="266" s="1"/>
  <c r="U9" i="437"/>
  <c r="BF11" i="460" s="1"/>
  <c r="X30" i="509"/>
  <c r="BK11" i="461"/>
  <c r="BN98" i="266"/>
  <c r="BN100" i="266" s="1"/>
  <c r="BO11" i="461"/>
  <c r="BS72" i="266"/>
  <c r="BW72" i="266" s="1"/>
  <c r="BR76" i="266"/>
  <c r="BV76" i="266" s="1"/>
  <c r="S9" i="380"/>
  <c r="BX13" i="465"/>
  <c r="BY13" i="465" s="1"/>
  <c r="BN84" i="266"/>
  <c r="BV84" i="266" s="1"/>
  <c r="BU84" i="266"/>
  <c r="BS93" i="266"/>
  <c r="BW93" i="266" s="1"/>
  <c r="BN74" i="266"/>
  <c r="BV74" i="266" s="1"/>
  <c r="BP84" i="266"/>
  <c r="BX84" i="266" s="1"/>
  <c r="BO23" i="465"/>
  <c r="BO24" i="465" s="1"/>
  <c r="BO27" i="465" s="1"/>
  <c r="BO29" i="465" s="1"/>
  <c r="BO30" i="465" s="1"/>
  <c r="BO31" i="465" s="1"/>
  <c r="BO32" i="465" s="1"/>
  <c r="BO33" i="465" s="1"/>
  <c r="T10" i="380"/>
  <c r="T9" i="380" s="1"/>
  <c r="V46" i="380"/>
  <c r="BN35" i="266"/>
  <c r="BV35" i="266" s="1"/>
  <c r="BT11" i="266"/>
  <c r="BR72" i="266"/>
  <c r="BV72" i="266" s="1"/>
  <c r="BU72" i="266"/>
  <c r="V106" i="380"/>
  <c r="BP35" i="266"/>
  <c r="BX35" i="266" s="1"/>
  <c r="T9" i="379"/>
  <c r="V9" i="379" s="1"/>
  <c r="V10" i="379"/>
  <c r="V101" i="380"/>
  <c r="BU89" i="266"/>
  <c r="BP89" i="266"/>
  <c r="BX89" i="266" s="1"/>
  <c r="BO89" i="266"/>
  <c r="BW89" i="266" s="1"/>
  <c r="BN89" i="266"/>
  <c r="BV89" i="266" s="1"/>
  <c r="CR12" i="456"/>
  <c r="CQ12" i="456"/>
  <c r="D14" i="459"/>
  <c r="CH12" i="456"/>
  <c r="CI12" i="456" s="1"/>
  <c r="BL12" i="456"/>
  <c r="D12" i="466"/>
  <c r="BH14" i="463"/>
  <c r="D14" i="461"/>
  <c r="D11" i="459"/>
  <c r="D24" i="459" s="1"/>
  <c r="D25" i="459" s="1"/>
  <c r="D31" i="459" s="1"/>
  <c r="D33" i="459" s="1"/>
  <c r="D34" i="459" s="1"/>
  <c r="D35" i="459" s="1"/>
  <c r="D36" i="459" s="1"/>
  <c r="D38" i="459" s="1"/>
  <c r="BJ11" i="459"/>
  <c r="BV11" i="266"/>
  <c r="BR42" i="266"/>
  <c r="BR44" i="266" s="1"/>
  <c r="BS21" i="266"/>
  <c r="BW21" i="266" s="1"/>
  <c r="BU21" i="266"/>
  <c r="BT34" i="266"/>
  <c r="BX34" i="266" s="1"/>
  <c r="BU34" i="266"/>
  <c r="BO88" i="266"/>
  <c r="BW88" i="266" s="1"/>
  <c r="BU88" i="266"/>
  <c r="BN88" i="266"/>
  <c r="BV88" i="266" s="1"/>
  <c r="BT21" i="266"/>
  <c r="BX21" i="266" s="1"/>
  <c r="BR34" i="266"/>
  <c r="BV34" i="266" s="1"/>
  <c r="BO74" i="266"/>
  <c r="BW74" i="266" s="1"/>
  <c r="BU74" i="266"/>
  <c r="BS11" i="266"/>
  <c r="BU11" i="266"/>
  <c r="BU42" i="266" s="1"/>
  <c r="BU44" i="266" s="1"/>
  <c r="BQ42" i="266"/>
  <c r="BQ44" i="266" s="1"/>
  <c r="BT93" i="266"/>
  <c r="BX93" i="266" s="1"/>
  <c r="BU93" i="266"/>
  <c r="BN39" i="266"/>
  <c r="BV39" i="266" s="1"/>
  <c r="BU39" i="266"/>
  <c r="BX11" i="266"/>
  <c r="BX42" i="266" s="1"/>
  <c r="BX44" i="266" s="1"/>
  <c r="BT42" i="266"/>
  <c r="BT44" i="266" s="1"/>
  <c r="BO39" i="266"/>
  <c r="BW39" i="266" s="1"/>
  <c r="BR28" i="266"/>
  <c r="BV28" i="266" s="1"/>
  <c r="BN36" i="266"/>
  <c r="BV36" i="266" s="1"/>
  <c r="BU28" i="266"/>
  <c r="BS28" i="266"/>
  <c r="BW28" i="266" s="1"/>
  <c r="BU14" i="465"/>
  <c r="BT17" i="266"/>
  <c r="BX17" i="266" s="1"/>
  <c r="BG14" i="460"/>
  <c r="BF14" i="460"/>
  <c r="BU14" i="458"/>
  <c r="BG11" i="460"/>
  <c r="BO35" i="266"/>
  <c r="BW35" i="266" s="1"/>
  <c r="BT24" i="266"/>
  <c r="BX24" i="266" s="1"/>
  <c r="BN80" i="266"/>
  <c r="BV80" i="266" s="1"/>
  <c r="BN37" i="266"/>
  <c r="BV37" i="266" s="1"/>
  <c r="BP32" i="266"/>
  <c r="BX32" i="266" s="1"/>
  <c r="BU32" i="266"/>
  <c r="BN32" i="266"/>
  <c r="BV32" i="266" s="1"/>
  <c r="H117" i="490"/>
  <c r="H118" i="490" s="1"/>
  <c r="BN31" i="266"/>
  <c r="BV31" i="266" s="1"/>
  <c r="BO37" i="266"/>
  <c r="BW37" i="266" s="1"/>
  <c r="BP37" i="266"/>
  <c r="BX37" i="266" s="1"/>
  <c r="BO32" i="266"/>
  <c r="BW32" i="266" s="1"/>
  <c r="BP25" i="266"/>
  <c r="BX25" i="266" s="1"/>
  <c r="BN25" i="266"/>
  <c r="BV25" i="266" s="1"/>
  <c r="BR40" i="266"/>
  <c r="BV40" i="266" s="1"/>
  <c r="BS24" i="266"/>
  <c r="BW24" i="266" s="1"/>
  <c r="BR24" i="266"/>
  <c r="BV24" i="266" s="1"/>
  <c r="BO80" i="266"/>
  <c r="BW80" i="266" s="1"/>
  <c r="BP80" i="266"/>
  <c r="BX80" i="266" s="1"/>
  <c r="BH11" i="463"/>
  <c r="BN18" i="266"/>
  <c r="BV18" i="266" s="1"/>
  <c r="BR16" i="266"/>
  <c r="BV16" i="266" s="1"/>
  <c r="BR17" i="266"/>
  <c r="BV17" i="266" s="1"/>
  <c r="BU17" i="266"/>
  <c r="BP36" i="266"/>
  <c r="BX36" i="266" s="1"/>
  <c r="BU36" i="266"/>
  <c r="BR71" i="266"/>
  <c r="BV71" i="266" s="1"/>
  <c r="BN83" i="266"/>
  <c r="BV83" i="266" s="1"/>
  <c r="BV69" i="266"/>
  <c r="BV98" i="266" s="1"/>
  <c r="BV100" i="266" s="1"/>
  <c r="BR98" i="266"/>
  <c r="BR100" i="266" s="1"/>
  <c r="BT69" i="266"/>
  <c r="BU69" i="266"/>
  <c r="BU98" i="266" s="1"/>
  <c r="BU100" i="266" s="1"/>
  <c r="BQ98" i="266"/>
  <c r="BQ100" i="266" s="1"/>
  <c r="BP38" i="266"/>
  <c r="BX38" i="266" s="1"/>
  <c r="BS87" i="266"/>
  <c r="BW87" i="266" s="1"/>
  <c r="BU87" i="266"/>
  <c r="BO25" i="266"/>
  <c r="BW25" i="266" s="1"/>
  <c r="BS40" i="266"/>
  <c r="BW40" i="266" s="1"/>
  <c r="BT40" i="266"/>
  <c r="BX40" i="266" s="1"/>
  <c r="BS71" i="266"/>
  <c r="BW71" i="266" s="1"/>
  <c r="BT71" i="266"/>
  <c r="BX71" i="266" s="1"/>
  <c r="BP31" i="266"/>
  <c r="BX31" i="266" s="1"/>
  <c r="BO31" i="266"/>
  <c r="BW31" i="266" s="1"/>
  <c r="BP83" i="266"/>
  <c r="BX83" i="266" s="1"/>
  <c r="BO83" i="266"/>
  <c r="BW83" i="266" s="1"/>
  <c r="BS69" i="266"/>
  <c r="BO38" i="266"/>
  <c r="BW38" i="266" s="1"/>
  <c r="BN38" i="266"/>
  <c r="BV38" i="266" s="1"/>
  <c r="BR87" i="266"/>
  <c r="BV87" i="266" s="1"/>
  <c r="BO18" i="266"/>
  <c r="BW18" i="266" s="1"/>
  <c r="BU18" i="266"/>
  <c r="BS16" i="266"/>
  <c r="BW16" i="266" s="1"/>
  <c r="BT16" i="266"/>
  <c r="BX16" i="266" s="1"/>
  <c r="D24" i="461"/>
  <c r="BF28" i="463"/>
  <c r="BU28" i="465"/>
  <c r="BZ28" i="465"/>
  <c r="BN28" i="465"/>
  <c r="BN29" i="465" s="1"/>
  <c r="BN30" i="465" s="1"/>
  <c r="BN31" i="465" s="1"/>
  <c r="BN32" i="465" s="1"/>
  <c r="BN33" i="465" s="1"/>
  <c r="BL28" i="465"/>
  <c r="BL30" i="466"/>
  <c r="BX30" i="466"/>
  <c r="BU30" i="466"/>
  <c r="BN30" i="466"/>
  <c r="C23" i="463"/>
  <c r="C24" i="463" s="1"/>
  <c r="C27" i="463" s="1"/>
  <c r="C29" i="463" s="1"/>
  <c r="BN30" i="456"/>
  <c r="BU30" i="456"/>
  <c r="BL30" i="456"/>
  <c r="BN28" i="458"/>
  <c r="BL28" i="458"/>
  <c r="BU28" i="458"/>
  <c r="C37" i="457"/>
  <c r="C38" i="457" s="1"/>
  <c r="C53" i="457" s="1"/>
  <c r="BF36" i="457"/>
  <c r="BN36" i="457"/>
  <c r="BI25" i="457"/>
  <c r="S10" i="445"/>
  <c r="T10" i="445"/>
  <c r="C11" i="460" l="1"/>
  <c r="C23" i="460" s="1"/>
  <c r="C24" i="460" s="1"/>
  <c r="C27" i="460" s="1"/>
  <c r="C29" i="460" s="1"/>
  <c r="C30" i="460" s="1"/>
  <c r="C31" i="460" s="1"/>
  <c r="BO42" i="266"/>
  <c r="BO44" i="266" s="1"/>
  <c r="BW14" i="266"/>
  <c r="BV14" i="266"/>
  <c r="BV42" i="266" s="1"/>
  <c r="BV44" i="266" s="1"/>
  <c r="BN42" i="266"/>
  <c r="BN44" i="266" s="1"/>
  <c r="H136" i="490"/>
  <c r="I136" i="490" s="1"/>
  <c r="I137" i="490" s="1"/>
  <c r="H62" i="490"/>
  <c r="D11" i="456"/>
  <c r="BU11" i="466"/>
  <c r="V10" i="380"/>
  <c r="V9" i="380" s="1"/>
  <c r="CY11" i="456" s="1"/>
  <c r="BX12" i="466"/>
  <c r="BL12" i="466"/>
  <c r="BW11" i="266"/>
  <c r="BW42" i="266" s="1"/>
  <c r="BW44" i="266" s="1"/>
  <c r="BS42" i="266"/>
  <c r="BS44" i="266" s="1"/>
  <c r="BU11" i="456"/>
  <c r="D14" i="458"/>
  <c r="BL14" i="458" s="1"/>
  <c r="D14" i="465"/>
  <c r="BL14" i="465" s="1"/>
  <c r="I117" i="490"/>
  <c r="I118" i="490" s="1"/>
  <c r="H137" i="490"/>
  <c r="D25" i="461"/>
  <c r="D31" i="461" s="1"/>
  <c r="D33" i="461" s="1"/>
  <c r="BW69" i="266"/>
  <c r="BW98" i="266" s="1"/>
  <c r="BW100" i="266" s="1"/>
  <c r="BS98" i="266"/>
  <c r="BS100" i="266" s="1"/>
  <c r="BX69" i="266"/>
  <c r="BX98" i="266" s="1"/>
  <c r="BX100" i="266" s="1"/>
  <c r="BT98" i="266"/>
  <c r="BT100" i="266" s="1"/>
  <c r="BM30" i="466"/>
  <c r="BM28" i="458"/>
  <c r="BU14" i="466"/>
  <c r="D14" i="466"/>
  <c r="D24" i="460"/>
  <c r="BM28" i="465"/>
  <c r="BM29" i="465" s="1"/>
  <c r="BM30" i="465" s="1"/>
  <c r="BM31" i="465" s="1"/>
  <c r="BM32" i="465" s="1"/>
  <c r="BM33" i="465" s="1"/>
  <c r="BF46" i="463"/>
  <c r="BF29" i="463"/>
  <c r="BF30" i="463" s="1"/>
  <c r="BF31" i="463" s="1"/>
  <c r="BF48" i="463"/>
  <c r="BF47" i="463"/>
  <c r="D24" i="463"/>
  <c r="C30" i="463"/>
  <c r="C31" i="463" s="1"/>
  <c r="C32" i="463" s="1"/>
  <c r="D37" i="459"/>
  <c r="D39" i="459" s="1"/>
  <c r="BM30" i="456"/>
  <c r="BO36" i="457"/>
  <c r="BN37" i="457"/>
  <c r="BU14" i="456"/>
  <c r="C32" i="460"/>
  <c r="C33" i="460" s="1"/>
  <c r="W10" i="445"/>
  <c r="CW11" i="456" l="1"/>
  <c r="CY14" i="456"/>
  <c r="CW14" i="456"/>
  <c r="D11" i="466"/>
  <c r="BL11" i="466" s="1"/>
  <c r="BW11" i="456"/>
  <c r="CH11" i="456"/>
  <c r="I62" i="490"/>
  <c r="I63" i="490" s="1"/>
  <c r="H63" i="490"/>
  <c r="BZ14" i="465"/>
  <c r="D34" i="461"/>
  <c r="D35" i="461" s="1"/>
  <c r="BW14" i="458"/>
  <c r="BW14" i="465"/>
  <c r="BX14" i="466"/>
  <c r="BL14" i="466"/>
  <c r="E14" i="467"/>
  <c r="BF32" i="463"/>
  <c r="BF33" i="463" s="1"/>
  <c r="BF49" i="463"/>
  <c r="C33" i="463"/>
  <c r="D14" i="467"/>
  <c r="BO37" i="457"/>
  <c r="BN38" i="457"/>
  <c r="CR14" i="456" l="1"/>
  <c r="BL14" i="456"/>
  <c r="CQ14" i="456"/>
  <c r="CH14" i="456"/>
  <c r="CI14" i="456" s="1"/>
  <c r="BJ14" i="460"/>
  <c r="CR11" i="456"/>
  <c r="BX11" i="466"/>
  <c r="I11" i="466"/>
  <c r="I23" i="466" s="1"/>
  <c r="I24" i="466" s="1"/>
  <c r="I29" i="466" s="1"/>
  <c r="I32" i="466" s="1"/>
  <c r="I33" i="466" s="1"/>
  <c r="I36" i="466" s="1"/>
  <c r="I11" i="456"/>
  <c r="I23" i="456" s="1"/>
  <c r="I24" i="456" s="1"/>
  <c r="I29" i="456" s="1"/>
  <c r="I32" i="456" s="1"/>
  <c r="I33" i="456" s="1"/>
  <c r="CI11" i="456"/>
  <c r="CQ11" i="456"/>
  <c r="BL11" i="456"/>
  <c r="D37" i="461"/>
  <c r="D39" i="461" s="1"/>
  <c r="D13" i="467"/>
  <c r="D36" i="461"/>
  <c r="D38" i="461" s="1"/>
  <c r="BN39" i="457"/>
  <c r="BO38" i="457"/>
  <c r="I37" i="466" l="1"/>
  <c r="I35" i="466" s="1"/>
  <c r="C35" i="466" s="1"/>
  <c r="C11" i="466"/>
  <c r="C50" i="466" s="1"/>
  <c r="C51" i="466" s="1"/>
  <c r="C52" i="466" s="1"/>
  <c r="C11" i="456"/>
  <c r="C50" i="456" s="1"/>
  <c r="C51" i="456" s="1"/>
  <c r="C52" i="456" s="1"/>
  <c r="I34" i="466"/>
  <c r="C34" i="466" s="1"/>
  <c r="C36" i="466"/>
  <c r="BO39" i="457"/>
  <c r="BN40" i="457"/>
  <c r="I37" i="456"/>
  <c r="I36" i="456"/>
  <c r="C37" i="466" l="1"/>
  <c r="C48" i="466" s="1"/>
  <c r="C49" i="466" s="1"/>
  <c r="I47" i="466"/>
  <c r="C23" i="466"/>
  <c r="C24" i="466" s="1"/>
  <c r="C23" i="456"/>
  <c r="C24" i="456" s="1"/>
  <c r="BN41" i="457"/>
  <c r="BO41" i="457" s="1"/>
  <c r="BO40" i="457"/>
  <c r="I35" i="456"/>
  <c r="C35" i="456" s="1"/>
  <c r="C37" i="456"/>
  <c r="I34" i="456"/>
  <c r="C34" i="456" s="1"/>
  <c r="C36" i="456"/>
  <c r="I47" i="456"/>
  <c r="J24" i="466" l="1"/>
  <c r="C47" i="466"/>
  <c r="J24" i="456"/>
  <c r="C47" i="456"/>
  <c r="C48" i="456"/>
  <c r="C49" i="456" s="1"/>
  <c r="BO42" i="457"/>
  <c r="BO43" i="457" s="1"/>
  <c r="C25" i="461" l="1"/>
  <c r="H25" i="461"/>
  <c r="C22" i="459"/>
  <c r="C50" i="459" s="1"/>
  <c r="C22" i="461"/>
  <c r="C50" i="461" s="1"/>
  <c r="C23" i="461"/>
  <c r="G24" i="461"/>
  <c r="G25" i="461" s="1"/>
  <c r="G31" i="461" s="1"/>
  <c r="G34" i="461" s="1"/>
  <c r="G35" i="461" s="1"/>
  <c r="G37" i="461" l="1"/>
  <c r="G39" i="461"/>
  <c r="C39" i="461" s="1"/>
  <c r="C23" i="459"/>
  <c r="C24" i="459" s="1"/>
  <c r="G24" i="459"/>
  <c r="G25" i="459" s="1"/>
  <c r="G31" i="459" s="1"/>
  <c r="G34" i="459" s="1"/>
  <c r="G35" i="459" s="1"/>
  <c r="G37" i="459" l="1"/>
  <c r="C37" i="459" s="1"/>
  <c r="G39" i="459"/>
  <c r="C39" i="459" s="1"/>
  <c r="C25" i="459"/>
  <c r="H25" i="459"/>
  <c r="R9" i="405"/>
  <c r="S9" i="405"/>
  <c r="T9" i="405"/>
  <c r="E20" i="509" l="1"/>
  <c r="O20" i="509" l="1"/>
  <c r="C20" i="509"/>
  <c r="M20" i="509" l="1"/>
  <c r="Z20" i="509"/>
  <c r="R20" i="509"/>
  <c r="P20" i="509" l="1"/>
  <c r="E26" i="509" l="1"/>
  <c r="E27" i="509" l="1"/>
  <c r="U27" i="509" s="1"/>
  <c r="X27" i="509" s="1"/>
  <c r="O26" i="509"/>
  <c r="U26" i="509"/>
  <c r="O27" i="509" l="1"/>
  <c r="R27" i="509" s="1"/>
  <c r="E18" i="509"/>
  <c r="E29" i="509"/>
  <c r="E28" i="509" s="1"/>
  <c r="X26" i="509"/>
  <c r="U18" i="509"/>
  <c r="R26" i="509"/>
  <c r="R18" i="509" s="1"/>
  <c r="O18" i="509"/>
  <c r="O29" i="509" l="1"/>
  <c r="R29" i="509" s="1"/>
  <c r="R28" i="509" s="1"/>
  <c r="R17" i="509" s="1"/>
  <c r="R94" i="509" s="1"/>
  <c r="U29" i="509"/>
  <c r="X29" i="509" s="1"/>
  <c r="X18" i="509"/>
  <c r="O28" i="509" l="1"/>
  <c r="O17" i="509" s="1"/>
  <c r="O94" i="509" s="1"/>
  <c r="U28" i="509"/>
  <c r="U17" i="509" s="1"/>
  <c r="U94" i="509" s="1"/>
  <c r="X28" i="509"/>
  <c r="BK14" i="460" l="1"/>
  <c r="CK14" i="456" l="1"/>
  <c r="BX14" i="465" l="1"/>
  <c r="BY14" i="465" s="1"/>
  <c r="BX14" i="458"/>
  <c r="BY14" i="458" s="1"/>
  <c r="AG9" i="496" l="1"/>
  <c r="AC9" i="496"/>
  <c r="AA9" i="496"/>
  <c r="AE9" i="496" l="1"/>
  <c r="F155" i="497" l="1"/>
  <c r="F154" i="497" s="1"/>
  <c r="F153" i="497" s="1"/>
  <c r="F152" i="497" s="1"/>
  <c r="F151" i="497" s="1"/>
  <c r="F150" i="497" s="1"/>
  <c r="F149" i="497" s="1"/>
  <c r="F148" i="497" s="1"/>
  <c r="F147" i="497" s="1"/>
  <c r="F146" i="497" s="1"/>
  <c r="F145" i="497" s="1"/>
  <c r="F144" i="497" s="1"/>
  <c r="F143" i="497" s="1"/>
  <c r="F141" i="497" s="1"/>
  <c r="F140" i="497" s="1"/>
  <c r="F139" i="497" s="1"/>
  <c r="F138" i="497" s="1"/>
  <c r="F137" i="497" s="1"/>
  <c r="F136" i="497" s="1"/>
  <c r="F135" i="497" s="1"/>
  <c r="F134" i="497" s="1"/>
  <c r="F133" i="497" s="1"/>
  <c r="F132" i="497" s="1"/>
  <c r="F131" i="497" s="1"/>
  <c r="F130" i="497" s="1"/>
  <c r="F129" i="497" s="1"/>
  <c r="F128" i="497" s="1"/>
  <c r="F127" i="497" s="1"/>
  <c r="F126" i="497" s="1"/>
  <c r="F125" i="497" s="1"/>
  <c r="F124" i="497" s="1"/>
  <c r="F123" i="497" s="1"/>
  <c r="F122" i="497" s="1"/>
  <c r="F121" i="497" s="1"/>
  <c r="F120" i="497" s="1"/>
  <c r="F119" i="497" s="1"/>
  <c r="F117" i="497" s="1"/>
  <c r="F116" i="497" s="1"/>
  <c r="F113" i="497" s="1"/>
  <c r="F112" i="497" s="1"/>
  <c r="F111" i="497" s="1"/>
  <c r="F110" i="497" s="1"/>
  <c r="F109" i="497" s="1"/>
  <c r="F108" i="497" s="1"/>
  <c r="F107" i="497" s="1"/>
  <c r="F106" i="497" s="1"/>
  <c r="F105" i="497" s="1"/>
  <c r="F104" i="497" s="1"/>
  <c r="F103" i="497" s="1"/>
  <c r="F102" i="497" s="1"/>
  <c r="F101" i="497" s="1"/>
  <c r="F100" i="497" s="1"/>
  <c r="F99" i="497" s="1"/>
  <c r="F98" i="497" s="1"/>
  <c r="F97" i="497" s="1"/>
  <c r="F96" i="497" s="1"/>
  <c r="F95" i="497" s="1"/>
  <c r="F94" i="497" s="1"/>
  <c r="F93" i="497" s="1"/>
  <c r="F92" i="497" s="1"/>
  <c r="F91" i="497" s="1"/>
  <c r="F90" i="497" s="1"/>
  <c r="F89" i="497" s="1"/>
  <c r="F88" i="497" s="1"/>
  <c r="F87" i="497" s="1"/>
  <c r="F86" i="497" s="1"/>
  <c r="F85" i="497" s="1"/>
  <c r="F84" i="497" s="1"/>
  <c r="F83" i="497" s="1"/>
  <c r="F82" i="497" s="1"/>
  <c r="F81" i="497" s="1"/>
  <c r="F80" i="497" s="1"/>
  <c r="F79" i="497" s="1"/>
  <c r="F78" i="497" s="1"/>
  <c r="F77" i="497" s="1"/>
  <c r="F76" i="497" s="1"/>
  <c r="F75" i="497" s="1"/>
  <c r="F74" i="497" s="1"/>
  <c r="F73" i="497" s="1"/>
  <c r="F72" i="497" s="1"/>
  <c r="F71" i="497" s="1"/>
  <c r="F70" i="497" s="1"/>
  <c r="F69" i="497" s="1"/>
  <c r="F68" i="497" s="1"/>
  <c r="F67" i="497" s="1"/>
  <c r="F66" i="497" s="1"/>
  <c r="F65" i="497" s="1"/>
  <c r="F64" i="497" s="1"/>
  <c r="F63" i="497" s="1"/>
  <c r="F62" i="497" s="1"/>
  <c r="F61" i="497" s="1"/>
  <c r="F60" i="497" s="1"/>
  <c r="F59" i="497" s="1"/>
  <c r="F58" i="497" s="1"/>
  <c r="F57" i="497" s="1"/>
  <c r="F56" i="497" s="1"/>
  <c r="F55" i="497" s="1"/>
  <c r="F54" i="497" s="1"/>
  <c r="F53" i="497" s="1"/>
  <c r="F52" i="497" s="1"/>
  <c r="F51" i="497" s="1"/>
  <c r="F50" i="497" s="1"/>
  <c r="F49" i="497" s="1"/>
  <c r="F48" i="497" s="1"/>
  <c r="F47" i="497" s="1"/>
  <c r="F46" i="497" s="1"/>
  <c r="F45" i="497" s="1"/>
  <c r="F44" i="497" s="1"/>
  <c r="F43" i="497" s="1"/>
  <c r="F42" i="497" s="1"/>
  <c r="F41" i="497" s="1"/>
  <c r="F40" i="497" s="1"/>
  <c r="F39" i="497" s="1"/>
  <c r="F38" i="497" s="1"/>
  <c r="F37" i="497" s="1"/>
  <c r="F36" i="497" s="1"/>
  <c r="F35" i="497" s="1"/>
  <c r="F34" i="497" s="1"/>
  <c r="F33" i="497" s="1"/>
  <c r="F32" i="497" s="1"/>
  <c r="F31" i="497" s="1"/>
  <c r="F30" i="497" s="1"/>
  <c r="F29" i="497" s="1"/>
  <c r="F28" i="497" s="1"/>
  <c r="F27" i="497" s="1"/>
  <c r="F26" i="497" s="1"/>
  <c r="F25" i="497" s="1"/>
  <c r="F24" i="497" s="1"/>
  <c r="F23" i="497" s="1"/>
  <c r="F22" i="497" s="1"/>
  <c r="F21" i="497" s="1"/>
  <c r="F20" i="497" s="1"/>
  <c r="F19" i="497" s="1"/>
  <c r="F18" i="497" s="1"/>
  <c r="F17" i="497" s="1"/>
  <c r="F16" i="497" s="1"/>
  <c r="F15" i="497" s="1"/>
  <c r="F14" i="497" s="1"/>
  <c r="F13" i="497" s="1"/>
  <c r="F12" i="497" s="1"/>
  <c r="F11" i="497" s="1"/>
  <c r="F10" i="497" s="1"/>
  <c r="F9" i="497" s="1"/>
  <c r="W10" i="418" l="1"/>
  <c r="AA10" i="418" s="1"/>
  <c r="AB10" i="418" s="1"/>
  <c r="AD10" i="418" l="1"/>
  <c r="AD9" i="418" s="1"/>
  <c r="AB9" i="418"/>
  <c r="X10" i="418"/>
  <c r="R39" i="509" l="1"/>
  <c r="P39" i="509" s="1"/>
  <c r="X39" i="509"/>
  <c r="CH18" i="456"/>
  <c r="D18" i="466"/>
  <c r="CR18" i="456"/>
  <c r="CR23" i="456" s="1"/>
  <c r="CR24" i="456" s="1"/>
  <c r="CR29" i="456" s="1"/>
  <c r="CR31" i="456" s="1"/>
  <c r="CR32" i="456" s="1"/>
  <c r="CR33" i="456" s="1"/>
  <c r="BX18" i="466"/>
  <c r="Z10" i="418"/>
  <c r="Z9" i="418" s="1"/>
  <c r="X9" i="418"/>
  <c r="M39" i="509" l="1"/>
  <c r="O39" i="509" s="1"/>
  <c r="U39" i="509"/>
  <c r="S39" i="509" s="1"/>
  <c r="X31" i="509"/>
  <c r="X17" i="509" s="1"/>
  <c r="X94" i="509" s="1"/>
  <c r="V39" i="509"/>
  <c r="V31" i="509" s="1"/>
  <c r="BX23" i="466"/>
  <c r="BX24" i="466" s="1"/>
  <c r="BX29" i="466" s="1"/>
  <c r="BX31" i="466" s="1"/>
  <c r="BX32" i="466" s="1"/>
  <c r="BX33" i="466" s="1"/>
  <c r="BL18" i="456"/>
  <c r="CW18" i="456"/>
  <c r="CI18" i="456"/>
  <c r="D23" i="456"/>
  <c r="CQ18" i="456"/>
  <c r="CQ23" i="456" s="1"/>
  <c r="CQ24" i="456" s="1"/>
  <c r="CQ29" i="456" s="1"/>
  <c r="CQ31" i="456" s="1"/>
  <c r="CQ32" i="456" s="1"/>
  <c r="CQ33" i="456" s="1"/>
  <c r="CR35" i="456"/>
  <c r="CR37" i="456" s="1"/>
  <c r="CR34" i="456"/>
  <c r="CR36" i="456" s="1"/>
  <c r="BL18" i="466"/>
  <c r="D23" i="466"/>
  <c r="CW23" i="456" l="1"/>
  <c r="BL23" i="456"/>
  <c r="BM23" i="456" s="1"/>
  <c r="D24" i="456"/>
  <c r="BX35" i="466"/>
  <c r="BX37" i="466" s="1"/>
  <c r="E11" i="467"/>
  <c r="BX34" i="466"/>
  <c r="BX36" i="466" s="1"/>
  <c r="BL23" i="466"/>
  <c r="BM23" i="466" s="1"/>
  <c r="D24" i="466"/>
  <c r="CQ35" i="456"/>
  <c r="CQ37" i="456" s="1"/>
  <c r="CQ34" i="456"/>
  <c r="CQ36" i="456" s="1"/>
  <c r="BU29" i="456" l="1"/>
  <c r="BU31" i="456" s="1"/>
  <c r="D29" i="456"/>
  <c r="BU29" i="466"/>
  <c r="BU31" i="466" s="1"/>
  <c r="D29" i="466"/>
  <c r="BL29" i="466" l="1"/>
  <c r="D31" i="466"/>
  <c r="BL29" i="456"/>
  <c r="D31" i="456"/>
  <c r="D32" i="456" s="1"/>
  <c r="BU32" i="456"/>
  <c r="BU33" i="456" s="1"/>
  <c r="BU32" i="466"/>
  <c r="BU33" i="466" s="1"/>
  <c r="H44" i="490" l="1"/>
  <c r="BN33" i="456"/>
  <c r="D33" i="456"/>
  <c r="BN33" i="466"/>
  <c r="D32" i="466"/>
  <c r="D33" i="466" s="1"/>
  <c r="D35" i="456" l="1"/>
  <c r="D37" i="456" s="1"/>
  <c r="D34" i="456"/>
  <c r="D36" i="456" s="1"/>
  <c r="BU34" i="456"/>
  <c r="CW33" i="456"/>
  <c r="BL33" i="456"/>
  <c r="BM33" i="456" s="1"/>
  <c r="BU35" i="456"/>
  <c r="BL38" i="456"/>
  <c r="D35" i="466"/>
  <c r="D37" i="466" s="1"/>
  <c r="BU34" i="466"/>
  <c r="BL33" i="466"/>
  <c r="BM33" i="466" s="1"/>
  <c r="D11" i="467"/>
  <c r="BU35" i="466"/>
  <c r="BL38" i="466"/>
  <c r="D34" i="466"/>
  <c r="D36" i="466" s="1"/>
  <c r="H45" i="490"/>
  <c r="I44" i="490"/>
  <c r="I45" i="490" s="1"/>
  <c r="BL36" i="456" l="1"/>
  <c r="BR37" i="456" s="1"/>
  <c r="BL39" i="456"/>
  <c r="BL40" i="456" s="1"/>
  <c r="BL41" i="456" s="1"/>
  <c r="BL39" i="466"/>
  <c r="BL40" i="466" s="1"/>
  <c r="BL41" i="466" s="1"/>
  <c r="BL36" i="466"/>
  <c r="BR37" i="466" s="1"/>
  <c r="H26" i="490" l="1"/>
  <c r="CH16" i="456"/>
  <c r="I26" i="490" l="1"/>
  <c r="I27" i="490" s="1"/>
  <c r="H27" i="490"/>
  <c r="CH23" i="456"/>
  <c r="CH24" i="456" s="1"/>
  <c r="CH29" i="456" s="1"/>
  <c r="CN23" i="456"/>
  <c r="CN24" i="456" s="1"/>
  <c r="CN33" i="456" s="1"/>
  <c r="CN34" i="456" l="1"/>
  <c r="CN36" i="456" s="1"/>
  <c r="CN35" i="456"/>
  <c r="CN37" i="456" s="1"/>
  <c r="CH34" i="456"/>
  <c r="CH36" i="456" s="1"/>
  <c r="CH35" i="456"/>
  <c r="CH37" i="456" s="1"/>
  <c r="CJ37" i="456" s="1"/>
  <c r="CN38" i="456" l="1"/>
  <c r="D21" i="509" l="1"/>
  <c r="D19" i="509"/>
  <c r="C21" i="509" l="1"/>
  <c r="N21" i="509"/>
  <c r="Q21" i="509" s="1"/>
  <c r="T21" i="509"/>
  <c r="W21" i="509" s="1"/>
  <c r="V21" i="509" s="1"/>
  <c r="D23" i="509"/>
  <c r="T19" i="509"/>
  <c r="N19" i="509"/>
  <c r="C19" i="509"/>
  <c r="S21" i="509" l="1"/>
  <c r="W19" i="509"/>
  <c r="S19" i="509"/>
  <c r="C23" i="509"/>
  <c r="M21" i="509"/>
  <c r="P21" i="509" s="1"/>
  <c r="Z21" i="509"/>
  <c r="T23" i="509"/>
  <c r="N23" i="509"/>
  <c r="Q23" i="509" s="1"/>
  <c r="Z19" i="509"/>
  <c r="M19" i="509"/>
  <c r="Q19" i="509"/>
  <c r="P19" i="509" l="1"/>
  <c r="S23" i="509"/>
  <c r="W23" i="509"/>
  <c r="V23" i="509" s="1"/>
  <c r="M23" i="509"/>
  <c r="P23" i="509" s="1"/>
  <c r="Z23" i="509"/>
  <c r="T66" i="509"/>
  <c r="D66" i="509"/>
  <c r="V19" i="509"/>
  <c r="T65" i="509" l="1"/>
  <c r="S65" i="509" s="1"/>
  <c r="S66" i="509"/>
  <c r="W66" i="509"/>
  <c r="D30" i="509"/>
  <c r="N66" i="509"/>
  <c r="D65" i="509"/>
  <c r="C65" i="509" s="1"/>
  <c r="C66" i="509"/>
  <c r="BU12" i="458"/>
  <c r="BW12" i="458" s="1"/>
  <c r="BU12" i="465"/>
  <c r="BW12" i="465" s="1"/>
  <c r="D26" i="509" l="1"/>
  <c r="Q66" i="509"/>
  <c r="Q65" i="509" s="1"/>
  <c r="N65" i="509"/>
  <c r="F65" i="509"/>
  <c r="Z65" i="509"/>
  <c r="T30" i="509"/>
  <c r="N30" i="509"/>
  <c r="Q30" i="509" s="1"/>
  <c r="C30" i="509"/>
  <c r="D27" i="509"/>
  <c r="D12" i="465"/>
  <c r="D12" i="458"/>
  <c r="W65" i="509"/>
  <c r="V66" i="509"/>
  <c r="V65" i="509" s="1"/>
  <c r="Z66" i="509"/>
  <c r="M66" i="509"/>
  <c r="D29" i="509" l="1"/>
  <c r="T29" i="509" s="1"/>
  <c r="C27" i="509"/>
  <c r="S30" i="509"/>
  <c r="W30" i="509"/>
  <c r="V30" i="509" s="1"/>
  <c r="T26" i="509"/>
  <c r="N26" i="509"/>
  <c r="D18" i="509"/>
  <c r="BJ12" i="460"/>
  <c r="BL12" i="458"/>
  <c r="C29" i="509"/>
  <c r="BX11" i="465"/>
  <c r="BX11" i="458"/>
  <c r="M65" i="509"/>
  <c r="P66" i="509"/>
  <c r="P65" i="509" s="1"/>
  <c r="BL12" i="465"/>
  <c r="BZ12" i="465"/>
  <c r="T27" i="509"/>
  <c r="N27" i="509"/>
  <c r="Q27" i="509" s="1"/>
  <c r="M30" i="509"/>
  <c r="P30" i="509" s="1"/>
  <c r="Z30" i="509"/>
  <c r="C26" i="509"/>
  <c r="CK12" i="456"/>
  <c r="D28" i="509" l="1"/>
  <c r="N29" i="509"/>
  <c r="Q29" i="509" s="1"/>
  <c r="Q28" i="509" s="1"/>
  <c r="S29" i="509"/>
  <c r="S28" i="509" s="1"/>
  <c r="T28" i="509"/>
  <c r="W29" i="509"/>
  <c r="Z26" i="509"/>
  <c r="M26" i="509"/>
  <c r="C18" i="509"/>
  <c r="Z27" i="509"/>
  <c r="M27" i="509"/>
  <c r="P27" i="509" s="1"/>
  <c r="BX12" i="458"/>
  <c r="BY12" i="458" s="1"/>
  <c r="BX12" i="465"/>
  <c r="BY12" i="465" s="1"/>
  <c r="D11" i="458"/>
  <c r="CA11" i="458"/>
  <c r="BU11" i="465"/>
  <c r="BU11" i="458"/>
  <c r="BW11" i="458" s="1"/>
  <c r="D11" i="465"/>
  <c r="S27" i="509"/>
  <c r="W27" i="509"/>
  <c r="V27" i="509" s="1"/>
  <c r="M29" i="509"/>
  <c r="Z29" i="509"/>
  <c r="C28" i="509"/>
  <c r="Q26" i="509"/>
  <c r="Q18" i="509" s="1"/>
  <c r="N18" i="509"/>
  <c r="S26" i="509"/>
  <c r="W26" i="509"/>
  <c r="T18" i="509"/>
  <c r="N28" i="509" l="1"/>
  <c r="S18" i="509"/>
  <c r="Z28" i="509"/>
  <c r="P29" i="509"/>
  <c r="P28" i="509" s="1"/>
  <c r="M28" i="509"/>
  <c r="BY11" i="458"/>
  <c r="BW21" i="458"/>
  <c r="V26" i="509"/>
  <c r="V18" i="509" s="1"/>
  <c r="W18" i="509"/>
  <c r="CK11" i="456"/>
  <c r="BL11" i="458"/>
  <c r="I11" i="458"/>
  <c r="BJ11" i="460"/>
  <c r="BK11" i="460" s="1"/>
  <c r="D23" i="458"/>
  <c r="I11" i="465"/>
  <c r="BL11" i="465"/>
  <c r="BL23" i="465" s="1"/>
  <c r="BL24" i="465" s="1"/>
  <c r="BL27" i="465" s="1"/>
  <c r="BL29" i="465" s="1"/>
  <c r="BL30" i="465" s="1"/>
  <c r="BL31" i="465" s="1"/>
  <c r="BL32" i="465" s="1"/>
  <c r="BL33" i="465" s="1"/>
  <c r="D23" i="465"/>
  <c r="D24" i="465" s="1"/>
  <c r="D27" i="465" s="1"/>
  <c r="D29" i="465" s="1"/>
  <c r="D30" i="465" s="1"/>
  <c r="D31" i="465" s="1"/>
  <c r="BZ11" i="465"/>
  <c r="W28" i="509"/>
  <c r="V29" i="509"/>
  <c r="V28" i="509" s="1"/>
  <c r="Z18" i="509"/>
  <c r="BU23" i="465"/>
  <c r="BU24" i="465" s="1"/>
  <c r="BU27" i="465" s="1"/>
  <c r="BU29" i="465" s="1"/>
  <c r="BU30" i="465" s="1"/>
  <c r="BU31" i="465" s="1"/>
  <c r="BU32" i="465" s="1"/>
  <c r="BU33" i="465" s="1"/>
  <c r="BW11" i="465"/>
  <c r="P26" i="509"/>
  <c r="P18" i="509" s="1"/>
  <c r="M18" i="509"/>
  <c r="C11" i="465" l="1"/>
  <c r="I23" i="465"/>
  <c r="BW21" i="465"/>
  <c r="BW23" i="465"/>
  <c r="BW24" i="465" s="1"/>
  <c r="BW27" i="465" s="1"/>
  <c r="BW29" i="465" s="1"/>
  <c r="BW30" i="465" s="1"/>
  <c r="BW31" i="465" s="1"/>
  <c r="BW32" i="465" s="1"/>
  <c r="BW33" i="465" s="1"/>
  <c r="BY11" i="465"/>
  <c r="D12" i="467"/>
  <c r="BL34" i="465"/>
  <c r="D32" i="465"/>
  <c r="D33" i="465" s="1"/>
  <c r="C11" i="458"/>
  <c r="I23" i="458"/>
  <c r="BL23" i="458"/>
  <c r="BM23" i="458" s="1"/>
  <c r="D24" i="458"/>
  <c r="BF44" i="463"/>
  <c r="BZ23" i="465"/>
  <c r="BZ24" i="465" s="1"/>
  <c r="BZ27" i="465" s="1"/>
  <c r="BZ29" i="465" s="1"/>
  <c r="BZ30" i="465" s="1"/>
  <c r="BZ31" i="465" s="1"/>
  <c r="BU27" i="458" l="1"/>
  <c r="BU29" i="458" s="1"/>
  <c r="D27" i="458"/>
  <c r="BZ32" i="465"/>
  <c r="BZ33" i="465" s="1"/>
  <c r="E12" i="467"/>
  <c r="I43" i="465"/>
  <c r="I24" i="465"/>
  <c r="I27" i="465" s="1"/>
  <c r="I29" i="465" s="1"/>
  <c r="I30" i="465" s="1"/>
  <c r="I31" i="465" s="1"/>
  <c r="I32" i="465" s="1"/>
  <c r="I33" i="465" s="1"/>
  <c r="I43" i="458"/>
  <c r="I24" i="458"/>
  <c r="I27" i="458" s="1"/>
  <c r="I30" i="458" s="1"/>
  <c r="I31" i="458" s="1"/>
  <c r="C46" i="465"/>
  <c r="C23" i="465"/>
  <c r="C46" i="458"/>
  <c r="C23" i="458"/>
  <c r="C43" i="465" l="1"/>
  <c r="C24" i="465"/>
  <c r="BL27" i="458"/>
  <c r="D29" i="458"/>
  <c r="C24" i="458"/>
  <c r="J24" i="458"/>
  <c r="C43" i="458"/>
  <c r="BU30" i="458"/>
  <c r="BU31" i="458" s="1"/>
  <c r="BN31" i="458" l="1"/>
  <c r="D30" i="458"/>
  <c r="D31" i="458" s="1"/>
  <c r="BL34" i="458" l="1"/>
  <c r="BU32" i="458"/>
  <c r="BL31" i="458"/>
  <c r="BM31" i="458" s="1"/>
  <c r="D32" i="458"/>
  <c r="D33" i="458" s="1"/>
  <c r="BF35" i="460" s="1"/>
  <c r="BF37" i="460" s="1"/>
  <c r="W76" i="509" l="1"/>
  <c r="T76" i="509"/>
  <c r="W74" i="509" l="1"/>
  <c r="W17" i="509" s="1"/>
  <c r="W94" i="509" s="1"/>
  <c r="V76" i="509"/>
  <c r="V74" i="509" s="1"/>
  <c r="V17" i="509" s="1"/>
  <c r="S76" i="509"/>
  <c r="S74" i="509" s="1"/>
  <c r="S17" i="509" s="1"/>
  <c r="T74" i="509"/>
  <c r="T17" i="509" s="1"/>
  <c r="T94" i="509" s="1"/>
  <c r="S94" i="509" l="1"/>
  <c r="S13" i="509"/>
  <c r="U13" i="509" s="1"/>
  <c r="U15" i="509"/>
  <c r="S15" i="509" s="1"/>
  <c r="X15" i="509"/>
  <c r="V15" i="509" s="1"/>
  <c r="V94" i="509"/>
  <c r="V13" i="509"/>
  <c r="X13" i="509" s="1"/>
  <c r="AR76" i="496" l="1"/>
  <c r="L76" i="496"/>
  <c r="L9" i="496" s="1"/>
  <c r="BB76" i="496"/>
  <c r="BC76" i="496" s="1"/>
  <c r="BB9" i="496"/>
  <c r="P76" i="496" l="1"/>
  <c r="AV76" i="496" s="1"/>
  <c r="BC9" i="496"/>
  <c r="P9" i="496"/>
  <c r="U76" i="496"/>
  <c r="AX76" i="496"/>
  <c r="W76" i="496" l="1"/>
  <c r="W9" i="496" s="1"/>
  <c r="BD76" i="496"/>
  <c r="AX9" i="496"/>
  <c r="AX3" i="496" l="1"/>
  <c r="V4" i="496"/>
  <c r="CT18" i="456"/>
  <c r="CU18" i="456" s="1"/>
  <c r="W5" i="496"/>
  <c r="Z5" i="496" s="1"/>
  <c r="AA5" i="496" s="1"/>
  <c r="AE4" i="496"/>
  <c r="U3" i="496"/>
  <c r="U4" i="496" s="1"/>
  <c r="U5" i="496"/>
  <c r="CH41" i="456" l="1"/>
  <c r="CH43" i="456" s="1"/>
  <c r="H80" i="490" l="1"/>
  <c r="H81" i="490" s="1"/>
  <c r="D76" i="509"/>
  <c r="N76" i="509" s="1"/>
  <c r="Q76" i="509" s="1"/>
  <c r="C76" i="509" l="1"/>
  <c r="Z76" i="509" s="1"/>
  <c r="I80" i="490"/>
  <c r="I81" i="490" s="1"/>
  <c r="C74" i="509" l="1"/>
  <c r="M76" i="509"/>
  <c r="P76" i="509" l="1"/>
  <c r="P74" i="509" s="1"/>
  <c r="M74" i="509"/>
  <c r="D74" i="509"/>
  <c r="D17" i="509" s="1"/>
  <c r="D94" i="509" s="1"/>
  <c r="Z74" i="509" l="1"/>
  <c r="M17" i="509"/>
  <c r="N74" i="509"/>
  <c r="N17" i="509" s="1"/>
  <c r="N94" i="509" s="1"/>
  <c r="Q74" i="509"/>
  <c r="Q17" i="509" s="1"/>
  <c r="Q94" i="509" s="1"/>
  <c r="P17" i="509"/>
  <c r="P94" i="509" l="1"/>
  <c r="P13" i="509"/>
  <c r="R13" i="509" s="1"/>
  <c r="M94" i="509"/>
  <c r="M13" i="509"/>
  <c r="O13" i="509" s="1"/>
  <c r="BK18" i="460" l="1"/>
  <c r="DA18" i="456"/>
  <c r="AL2" i="496"/>
  <c r="C41" i="509"/>
  <c r="V5" i="426"/>
  <c r="C39" i="509"/>
  <c r="AX120" i="496"/>
  <c r="DD18" i="456"/>
  <c r="AE8" i="441"/>
  <c r="AH8" i="441" s="1"/>
  <c r="V41" i="509" l="1"/>
  <c r="E41" i="509"/>
  <c r="X41" i="509" s="1"/>
  <c r="Y39" i="509"/>
  <c r="C31" i="509"/>
  <c r="E39" i="509"/>
  <c r="F41" i="509" s="1"/>
  <c r="Z39" i="509" l="1"/>
  <c r="C17" i="509"/>
  <c r="Y31" i="509"/>
  <c r="G39" i="509"/>
  <c r="G31" i="509" s="1"/>
  <c r="E31" i="509"/>
  <c r="E17" i="509" s="1"/>
  <c r="E94" i="509" s="1"/>
  <c r="I39" i="509"/>
  <c r="I31" i="509" s="1"/>
  <c r="I41" i="509"/>
  <c r="Z41" i="509"/>
  <c r="Z31" i="509" l="1"/>
  <c r="C94" i="509"/>
  <c r="Z17" i="509"/>
  <c r="F17" i="509"/>
  <c r="C103" i="509" l="1"/>
  <c r="Z94" i="509"/>
  <c r="CZ18" i="456" l="1"/>
  <c r="DB18" i="456" s="1"/>
  <c r="CK18" i="456"/>
  <c r="BX18" i="465" l="1"/>
  <c r="BX18" i="458"/>
  <c r="BY18" i="458" s="1"/>
  <c r="E15" i="509" l="1"/>
  <c r="BY18" i="465"/>
  <c r="BY23" i="465" s="1"/>
  <c r="BY24" i="465" s="1"/>
  <c r="BY27" i="465" s="1"/>
  <c r="BY29" i="465" s="1"/>
  <c r="BY30" i="465" s="1"/>
  <c r="BY31" i="465" s="1"/>
  <c r="BY32" i="465" s="1"/>
  <c r="BY33" i="465" s="1"/>
  <c r="BX23" i="465"/>
  <c r="BX24" i="465" s="1"/>
  <c r="BX27" i="465" s="1"/>
  <c r="BX29" i="465" s="1"/>
  <c r="BX30" i="465" s="1"/>
  <c r="BX31" i="465" s="1"/>
  <c r="BX32" i="465" s="1"/>
  <c r="BX33" i="465" s="1"/>
  <c r="C15" i="509" l="1"/>
  <c r="Z15" i="509" s="1"/>
  <c r="E13" i="509"/>
  <c r="C13" i="509" s="1"/>
</calcChain>
</file>

<file path=xl/sharedStrings.xml><?xml version="1.0" encoding="utf-8"?>
<sst xmlns="http://schemas.openxmlformats.org/spreadsheetml/2006/main" count="24018" uniqueCount="5221">
  <si>
    <t>Филиал АОО "Назарбаев Интеллектуальные школы" г. Астана 2013 г.</t>
  </si>
  <si>
    <t xml:space="preserve">Текущий ремонт и обслуживание спец. технического оборудования, устройств приборов  на 2013 год </t>
  </si>
  <si>
    <t>№</t>
  </si>
  <si>
    <t>Заправка и ремонт картриджей</t>
  </si>
  <si>
    <t>кол-во</t>
  </si>
  <si>
    <t>цена</t>
  </si>
  <si>
    <t>сумма</t>
  </si>
  <si>
    <t>АУП</t>
  </si>
  <si>
    <t>ПП</t>
  </si>
  <si>
    <t xml:space="preserve">заправка картриджей </t>
  </si>
  <si>
    <t>заправка картриджей Canon IR2520</t>
  </si>
  <si>
    <t>Замена барабана</t>
  </si>
  <si>
    <t>замена термопленки Canon IR2520</t>
  </si>
  <si>
    <t>Замена резинового вала</t>
  </si>
  <si>
    <t>Замена ракеля</t>
  </si>
  <si>
    <t>Замена магнитного вала</t>
  </si>
  <si>
    <t xml:space="preserve">замена термопленки </t>
  </si>
  <si>
    <t>замена прижимного вала</t>
  </si>
  <si>
    <t>техническое обслуживание</t>
  </si>
  <si>
    <t>техническое обслуживание IR2520</t>
  </si>
  <si>
    <t>Итого</t>
  </si>
  <si>
    <t>в т.ч</t>
  </si>
  <si>
    <t>интернат</t>
  </si>
  <si>
    <t>Директор</t>
  </si>
  <si>
    <t>Жангозин А.К.</t>
  </si>
  <si>
    <t>Главный бухгалтер</t>
  </si>
  <si>
    <t>Жумабаева Б.Х.</t>
  </si>
  <si>
    <t>Экономист</t>
  </si>
  <si>
    <t>Доспаева С.Ж.</t>
  </si>
  <si>
    <t xml:space="preserve">Утверждаю Председатель Правления </t>
  </si>
  <si>
    <t>АОО "Назарбаев Интеллектуальные школы"</t>
  </si>
  <si>
    <t>_____________ К.Шамшидинова</t>
  </si>
  <si>
    <t>"_____"______________2012 г.</t>
  </si>
  <si>
    <t>Утвержденный  бюджет филиала "Назарбаев Интеллектуальная школа города Астаны " на 2013 год.</t>
  </si>
  <si>
    <t>№ п/п</t>
  </si>
  <si>
    <t>Наименование статей</t>
  </si>
  <si>
    <t>НИШ г. Астана 2013 год, ВСЕГО</t>
  </si>
  <si>
    <t>I</t>
  </si>
  <si>
    <t>Остаток средств на начало года</t>
  </si>
  <si>
    <t>II</t>
  </si>
  <si>
    <t>Доходы, всего</t>
  </si>
  <si>
    <t>III</t>
  </si>
  <si>
    <t>Расходы, всего</t>
  </si>
  <si>
    <t>Оплата труда</t>
  </si>
  <si>
    <t>Отчисления от оплаты труда</t>
  </si>
  <si>
    <t>Запасы</t>
  </si>
  <si>
    <t>Коммунальные услуги</t>
  </si>
  <si>
    <t>Связь</t>
  </si>
  <si>
    <t>Командировочные расходы</t>
  </si>
  <si>
    <t>Оплата работ (услуг) произведенных подрядчиками (юридические и физические лица)</t>
  </si>
  <si>
    <t>Страхование</t>
  </si>
  <si>
    <t>9</t>
  </si>
  <si>
    <t>Медицинское обслуживание</t>
  </si>
  <si>
    <t>10</t>
  </si>
  <si>
    <t>Услуги почты</t>
  </si>
  <si>
    <t>11</t>
  </si>
  <si>
    <t>Услуги по охране</t>
  </si>
  <si>
    <t>14</t>
  </si>
  <si>
    <t>Информационные услуги</t>
  </si>
  <si>
    <t>16</t>
  </si>
  <si>
    <t>Банковские услуги</t>
  </si>
  <si>
    <t>20</t>
  </si>
  <si>
    <t>Транспортные услуги</t>
  </si>
  <si>
    <t>21</t>
  </si>
  <si>
    <t>Периодические печатные издания</t>
  </si>
  <si>
    <t>22</t>
  </si>
  <si>
    <t>Налоги и другие обязательные платежи в бюджет</t>
  </si>
  <si>
    <t>Операционная аренда</t>
  </si>
  <si>
    <t>Противопожарная охрана и затраты, связанные с соблюдением специальных требований</t>
  </si>
  <si>
    <t>Обучение и повышение квалификации персонала</t>
  </si>
  <si>
    <t>26</t>
  </si>
  <si>
    <t>Дополнительные образовательные услуги в ИШПП</t>
  </si>
  <si>
    <t>Расходы на участие и проведение семинаров, круглых столов, конференций и т.п.</t>
  </si>
  <si>
    <t>Расходы на социальную сферу</t>
  </si>
  <si>
    <t>Прочие</t>
  </si>
  <si>
    <t>Приобретение оборудования и других основных средств (ОС)</t>
  </si>
  <si>
    <t xml:space="preserve">Приобретение прочих фиксированных активов </t>
  </si>
  <si>
    <t>Амортизация и износ основных средств</t>
  </si>
  <si>
    <t>Итого расходов</t>
  </si>
  <si>
    <t>Закрытие обязательств прошлых лет</t>
  </si>
  <si>
    <t>Курсовая разница</t>
  </si>
  <si>
    <t>Накладные расходы</t>
  </si>
  <si>
    <t xml:space="preserve">Всего расходов </t>
  </si>
  <si>
    <t>Резервный фонд</t>
  </si>
  <si>
    <t>Остаток на конец периода</t>
  </si>
  <si>
    <t>Заместитель Председателя Правления                                                                                                                    Ш.Муратбаева</t>
  </si>
  <si>
    <t>Директор Департамента экономики и планирования                                                                                            Л.Шарипова</t>
  </si>
  <si>
    <t>Директор                                                                                                                                                                          А. Жангозин</t>
  </si>
  <si>
    <t xml:space="preserve"> Главный бухгалтер                                                                                                                                                      Б. Жумабаева       </t>
  </si>
  <si>
    <t xml:space="preserve">Экономист                                                                                                                                                                     С.Доспаева                     </t>
  </si>
  <si>
    <t>Утвержденныый бюджет филиала "Назарбаев Интеллектуальная школа города Астаны " на 2013 год.</t>
  </si>
  <si>
    <t>НИШ г. Астана 2012 год, ВСЕГО</t>
  </si>
  <si>
    <t>Плата за образовательные услуги</t>
  </si>
  <si>
    <t>1.1</t>
  </si>
  <si>
    <t>За счёт средств республиканского бюджета</t>
  </si>
  <si>
    <t>3</t>
  </si>
  <si>
    <t>Проведение мероприятий, связанных с деятельностью образовательных комплексов</t>
  </si>
  <si>
    <t>Прочий доход</t>
  </si>
  <si>
    <t>5.2.4</t>
  </si>
  <si>
    <t>прочие доходы</t>
  </si>
  <si>
    <t>Заработная плата</t>
  </si>
  <si>
    <t>1.2</t>
  </si>
  <si>
    <t>Доплаты и надбавки к заработной плате</t>
  </si>
  <si>
    <t>1.3</t>
  </si>
  <si>
    <t>Премии по итогам работы</t>
  </si>
  <si>
    <t>1.4</t>
  </si>
  <si>
    <t>Премии к праздникам</t>
  </si>
  <si>
    <t>1.5</t>
  </si>
  <si>
    <t>Лечебное пособие к отпуску</t>
  </si>
  <si>
    <t>1.6</t>
  </si>
  <si>
    <t>Материальная помощь</t>
  </si>
  <si>
    <t>1.7</t>
  </si>
  <si>
    <t>Индивидуальный подоходный налог</t>
  </si>
  <si>
    <t>1.8</t>
  </si>
  <si>
    <t>Выплаты в накопительный пенсионный фонд</t>
  </si>
  <si>
    <t>2.1</t>
  </si>
  <si>
    <t>Социальный налог</t>
  </si>
  <si>
    <t>2.2</t>
  </si>
  <si>
    <t>Социальное страхование</t>
  </si>
  <si>
    <t>3.1</t>
  </si>
  <si>
    <t xml:space="preserve">Комплектующие части </t>
  </si>
  <si>
    <t>3.1.1</t>
  </si>
  <si>
    <t>к оборудованию</t>
  </si>
  <si>
    <t>3.1.2</t>
  </si>
  <si>
    <t>к автомобилям</t>
  </si>
  <si>
    <t>3.2</t>
  </si>
  <si>
    <t>ГСМ</t>
  </si>
  <si>
    <t>3.3</t>
  </si>
  <si>
    <t>Канцелярские товары</t>
  </si>
  <si>
    <t>3.4</t>
  </si>
  <si>
    <t>Медикаменты</t>
  </si>
  <si>
    <t>3.5</t>
  </si>
  <si>
    <t>Моющие товары</t>
  </si>
  <si>
    <t>3.6</t>
  </si>
  <si>
    <t>Хозяйственные товары</t>
  </si>
  <si>
    <t>3.7</t>
  </si>
  <si>
    <t>Затраты на типографскую и полиграфическую продукцию</t>
  </si>
  <si>
    <t>3.7.1</t>
  </si>
  <si>
    <t>бланки строгой отчетности</t>
  </si>
  <si>
    <t>3.7.3</t>
  </si>
  <si>
    <t>прочая продукция</t>
  </si>
  <si>
    <t>3.8</t>
  </si>
  <si>
    <t>Прочие ТМЦ</t>
  </si>
  <si>
    <t>3.8.2</t>
  </si>
  <si>
    <t>питьевая вода</t>
  </si>
  <si>
    <t>3.8.3</t>
  </si>
  <si>
    <t>прочие запасы</t>
  </si>
  <si>
    <t>3.9</t>
  </si>
  <si>
    <t>Прочие запасы</t>
  </si>
  <si>
    <t>4.1</t>
  </si>
  <si>
    <t>Тепловая энергия</t>
  </si>
  <si>
    <t>4.2</t>
  </si>
  <si>
    <t>Электрическая энергия</t>
  </si>
  <si>
    <t>4.3</t>
  </si>
  <si>
    <t>Водоснабжение и канализация</t>
  </si>
  <si>
    <t>31.2</t>
  </si>
  <si>
    <t>Вывоз мусора (ТБО)</t>
  </si>
  <si>
    <t>5.1</t>
  </si>
  <si>
    <t>Абонентная плата</t>
  </si>
  <si>
    <t>5.2</t>
  </si>
  <si>
    <t>Услуги междугородней и международной связи</t>
  </si>
  <si>
    <t>5.3</t>
  </si>
  <si>
    <t>Услуги Интернет</t>
  </si>
  <si>
    <t>5.5</t>
  </si>
  <si>
    <t>Прочие расходы по услугам связи</t>
  </si>
  <si>
    <t>6.1</t>
  </si>
  <si>
    <t>Командировочные на территории РК</t>
  </si>
  <si>
    <t>6.1.1</t>
  </si>
  <si>
    <t>проезд</t>
  </si>
  <si>
    <t>6.1.2</t>
  </si>
  <si>
    <t>проживание</t>
  </si>
  <si>
    <t>6.1.3</t>
  </si>
  <si>
    <t>суточные</t>
  </si>
  <si>
    <t>6.2</t>
  </si>
  <si>
    <t>Командировочные за пределами РК</t>
  </si>
  <si>
    <t>6.2.1</t>
  </si>
  <si>
    <t>6.2.2</t>
  </si>
  <si>
    <t>6.2.3</t>
  </si>
  <si>
    <t>6.2.4</t>
  </si>
  <si>
    <t>прочие расходы(медстрахование, оформление визы и т.д.)</t>
  </si>
  <si>
    <t>7.1</t>
  </si>
  <si>
    <t>Услуги по созданию фиксированных активов (ФА)</t>
  </si>
  <si>
    <t>7.1.3</t>
  </si>
  <si>
    <t>Методологическое сопровождение</t>
  </si>
  <si>
    <t>7.1.3.2</t>
  </si>
  <si>
    <t xml:space="preserve">внедрение и авторизация программ Международного Бакалавриата (International Baccalaureate) </t>
  </si>
  <si>
    <t>7.2</t>
  </si>
  <si>
    <t>Обслуживание НМА</t>
  </si>
  <si>
    <t>7.2.2</t>
  </si>
  <si>
    <t>Сопровождение программного обеспечения</t>
  </si>
  <si>
    <t>7.3</t>
  </si>
  <si>
    <t>Обслуживание ОС</t>
  </si>
  <si>
    <t>7.3.1</t>
  </si>
  <si>
    <t>Текущий ремонт и обслуживание автомобилей</t>
  </si>
  <si>
    <t>7.3.2</t>
  </si>
  <si>
    <t>Текущий ремонт и обслуживание специального технического оборудования, устройств, приборов</t>
  </si>
  <si>
    <t>7.8</t>
  </si>
  <si>
    <t>Прочие услуги</t>
  </si>
  <si>
    <t>7.8.1</t>
  </si>
  <si>
    <t>Услуги питания учащихся и воспитанников</t>
  </si>
  <si>
    <t>7.8.2</t>
  </si>
  <si>
    <t>Привлечение специалистов для участия в апелляционной  комиссии по отбору учащихся ИШПП</t>
  </si>
  <si>
    <t>7.8.6</t>
  </si>
  <si>
    <t>8.1</t>
  </si>
  <si>
    <t>Обязательное страхование ГПО работодателя за причинение вреда жизни и здоровью работника при исполнении им трудовых (служебных) обязанностей</t>
  </si>
  <si>
    <t>8.2</t>
  </si>
  <si>
    <t>Обязательное страхование гражданско-правовой ответственности владельцев транспортных средств</t>
  </si>
  <si>
    <t>8.4</t>
  </si>
  <si>
    <t>Медицинское страхование</t>
  </si>
  <si>
    <t>22.3</t>
  </si>
  <si>
    <t>Налог на транспортные средства</t>
  </si>
  <si>
    <t>22.7</t>
  </si>
  <si>
    <t>Плата за загрязнение окружающей среды</t>
  </si>
  <si>
    <t>22.10</t>
  </si>
  <si>
    <t>НДС</t>
  </si>
  <si>
    <t>22.12</t>
  </si>
  <si>
    <t>Прочие платежи в бюджет</t>
  </si>
  <si>
    <t>23.1</t>
  </si>
  <si>
    <t>здания и сооружения</t>
  </si>
  <si>
    <t>23.2</t>
  </si>
  <si>
    <t>аренда земли</t>
  </si>
  <si>
    <t>25.2</t>
  </si>
  <si>
    <t>Повышение квалификации учителей ИШПП внутри страны</t>
  </si>
  <si>
    <t>25.3</t>
  </si>
  <si>
    <t>Повышение квалификации администрации ИШПП за рубежом</t>
  </si>
  <si>
    <t>26.1</t>
  </si>
  <si>
    <t>Элективные курсы, летний лагерь, виртуальная и летняя школы</t>
  </si>
  <si>
    <t>26.6</t>
  </si>
  <si>
    <t>Прочие внешкольные мероприятия</t>
  </si>
  <si>
    <t>28.7</t>
  </si>
  <si>
    <t>Взнос за участие</t>
  </si>
  <si>
    <t>29.2</t>
  </si>
  <si>
    <t>Прочие мероприятия</t>
  </si>
  <si>
    <t>31.1</t>
  </si>
  <si>
    <t>Дератизация и дезинфекция</t>
  </si>
  <si>
    <t>31.5</t>
  </si>
  <si>
    <t>Нотариальные услуги</t>
  </si>
  <si>
    <t>31.15</t>
  </si>
  <si>
    <t>Прочие непредвиденные расходы</t>
  </si>
  <si>
    <t>32.9</t>
  </si>
  <si>
    <t>Приобретение учебно-методической литературы</t>
  </si>
  <si>
    <t>33.1</t>
  </si>
  <si>
    <t>Нематериальные активы (НМА)</t>
  </si>
  <si>
    <t xml:space="preserve">Заместитель Председателя Правления                                                      </t>
  </si>
  <si>
    <t xml:space="preserve">    Ш.Муратбаева</t>
  </si>
  <si>
    <t xml:space="preserve">Директор Департамента экономики и планирования                                                                                                                                                                     </t>
  </si>
  <si>
    <t xml:space="preserve">                Л.Шарипова</t>
  </si>
  <si>
    <t xml:space="preserve">Директор                                                                                                             </t>
  </si>
  <si>
    <t xml:space="preserve">               А. Жангозин</t>
  </si>
  <si>
    <t xml:space="preserve">Заместитель директора по ФАР                                                                              </t>
  </si>
  <si>
    <t xml:space="preserve">                                                                           Б. Жумабаева      </t>
  </si>
  <si>
    <t xml:space="preserve">Экономист                                                                                                                  </t>
  </si>
  <si>
    <t xml:space="preserve">               С.Доспаева </t>
  </si>
  <si>
    <t>Утвержденный бюджет филиала "Назарбаев Интеллектуальная школа города Астаны " на 2013 год.</t>
  </si>
  <si>
    <t>тенге</t>
  </si>
  <si>
    <t>в том числе:</t>
  </si>
  <si>
    <t>АОН</t>
  </si>
  <si>
    <t>ПР</t>
  </si>
  <si>
    <t>из них:</t>
  </si>
  <si>
    <t xml:space="preserve">Разработка, внедрение и авторизация программ Международного Бакалавриата </t>
  </si>
  <si>
    <t>НИШ г. Астана (школа)</t>
  </si>
  <si>
    <t>НИШ г. Астана (интернат)</t>
  </si>
  <si>
    <t>Обучение в 7-11 классах</t>
  </si>
  <si>
    <t>Заместитель Председателя Правления                                                                                                                 Ш.Муратбаева</t>
  </si>
  <si>
    <t>Директор                                                                                                                                                                           А. Жангозин</t>
  </si>
  <si>
    <t xml:space="preserve">Заместитель директора по ФАР                                                                                                                                 Б. Жумабаева      </t>
  </si>
  <si>
    <t xml:space="preserve">Экономист                                                                                                                                                                          С.Доспаева                     </t>
  </si>
  <si>
    <t>Код строки</t>
  </si>
  <si>
    <t>2.01.</t>
  </si>
  <si>
    <t>Тарификация филиала "Назарбаев Интеллектуальная школа __________" на _________ учебный год</t>
  </si>
  <si>
    <t>размер  МРП</t>
  </si>
  <si>
    <t xml:space="preserve"> </t>
  </si>
  <si>
    <t>размер МЗП</t>
  </si>
  <si>
    <t>с 01.01..-  31.08</t>
  </si>
  <si>
    <t>201…г</t>
  </si>
  <si>
    <t>кол-во премий</t>
  </si>
  <si>
    <t>Вписать формулой</t>
  </si>
  <si>
    <t>Ф.И.О.</t>
  </si>
  <si>
    <t>Должность (уч/предметник)</t>
  </si>
  <si>
    <t>Уровень педагогического мастерства</t>
  </si>
  <si>
    <t>Базовая ставка за 1 час</t>
  </si>
  <si>
    <t>Учебная нагрузка 1-6 классы</t>
  </si>
  <si>
    <t>Учебная нагрузка 7-12 классы</t>
  </si>
  <si>
    <t>Базовый оклад в месяц 1-6 классы</t>
  </si>
  <si>
    <t>Базовый оклад в месяц 7-12 классы</t>
  </si>
  <si>
    <t>Должностной оклад по 1-6 классам</t>
  </si>
  <si>
    <t>Должностной оклад по 7-12 классам</t>
  </si>
  <si>
    <t>Всего должностной оклад в месяц</t>
  </si>
  <si>
    <t>Доплаты по 1-6 классам</t>
  </si>
  <si>
    <t>Итого доплаты и надбавки в месяц, тенге</t>
  </si>
  <si>
    <t>Доплаты по 7-12 классам</t>
  </si>
  <si>
    <t>Всего доплаты и надбавки в месяц, тенге</t>
  </si>
  <si>
    <t>Заработная плата в месяц с доплатами и надбавками 1-6 класс</t>
  </si>
  <si>
    <t>Заработная плата в месяц с доплатами и надбавками 7-12 класс</t>
  </si>
  <si>
    <t xml:space="preserve">Итого Заработная плата в месяц </t>
  </si>
  <si>
    <t>Лечебное пособие 1-6 классы</t>
  </si>
  <si>
    <t>Лечебное пособие 7-12 классы</t>
  </si>
  <si>
    <t>Итого Лечебное пособие</t>
  </si>
  <si>
    <t>Премия 1-6 классы</t>
  </si>
  <si>
    <t>Премия 7-12 классы</t>
  </si>
  <si>
    <t>Итого Премия</t>
  </si>
  <si>
    <t>ФОТ,  1-6 классы в год</t>
  </si>
  <si>
    <t>ФОТ 7-12 классы в год</t>
  </si>
  <si>
    <t>ФОТ, всего, тенге</t>
  </si>
  <si>
    <t>1-6 классы</t>
  </si>
  <si>
    <t>7-12 классы</t>
  </si>
  <si>
    <t>Всего</t>
  </si>
  <si>
    <t xml:space="preserve">Заведование учебными кабинетами </t>
  </si>
  <si>
    <t>Руководство методическим объединением</t>
  </si>
  <si>
    <t>За проверку тетрадей</t>
  </si>
  <si>
    <t>Доплата за  проживание в зонах экологического бедствия</t>
  </si>
  <si>
    <t>Доплата за  проживание на территориях радиационного риска</t>
  </si>
  <si>
    <t xml:space="preserve">за кураторскую работу в 1-4 классах </t>
  </si>
  <si>
    <t>Выплаты в пенсионный фонд (10%)</t>
  </si>
  <si>
    <t>ИПН (10%)</t>
  </si>
  <si>
    <t>Соц.страхование</t>
  </si>
  <si>
    <t>АЧ</t>
  </si>
  <si>
    <t>ЭК</t>
  </si>
  <si>
    <t>РУ</t>
  </si>
  <si>
    <t>КР</t>
  </si>
  <si>
    <t>Сумма, тенге</t>
  </si>
  <si>
    <t>Размер 7%</t>
  </si>
  <si>
    <t>Размер 30%</t>
  </si>
  <si>
    <t>Размер 1,5 МРП</t>
  </si>
  <si>
    <t>Размер 50% от ДО</t>
  </si>
  <si>
    <t>Размер %</t>
  </si>
  <si>
    <t>1,5 МРП</t>
  </si>
  <si>
    <t>…</t>
  </si>
  <si>
    <t>Замена часов (10% от итога)</t>
  </si>
  <si>
    <t>Руководитель</t>
  </si>
  <si>
    <t>Заместитель руководителя</t>
  </si>
  <si>
    <t xml:space="preserve">по учебной части (школы) </t>
  </si>
  <si>
    <t xml:space="preserve">по финансово-административной работе </t>
  </si>
  <si>
    <t xml:space="preserve">Экономист </t>
  </si>
  <si>
    <t>с 01.09..-  31.12</t>
  </si>
  <si>
    <t>ФОТ, всего 1-6 классы</t>
  </si>
  <si>
    <t>ФОТ 7-12 классы</t>
  </si>
  <si>
    <t>"Утверждаю"</t>
  </si>
  <si>
    <t xml:space="preserve">Директор ЧУ "Дирекция строящихся </t>
  </si>
  <si>
    <t>Назарбаев Интеллектуальных школ"</t>
  </si>
  <si>
    <t>____________________________ Ш. Риаханов</t>
  </si>
  <si>
    <t>"____" ________________________ 2014 года</t>
  </si>
  <si>
    <t xml:space="preserve">Калькуляция стоимости услуг по сервисному и хозяйственно-бытовому обслуживанию Объекта, расположенного по ул.Орынбор </t>
  </si>
  <si>
    <t xml:space="preserve">на 2016 год </t>
  </si>
  <si>
    <t>Показатель</t>
  </si>
  <si>
    <t>Сумма</t>
  </si>
  <si>
    <t>ФОТ с отчислениями</t>
  </si>
  <si>
    <t>Страхование ГПО работодателя без НДС</t>
  </si>
  <si>
    <t>Медицинское страхование без НДС</t>
  </si>
  <si>
    <t>Услуги банка без НДС</t>
  </si>
  <si>
    <t>Расходы на соц.сферу без НДС</t>
  </si>
  <si>
    <t>Услуги по обслуживанию зданий и сооружений без НДС</t>
  </si>
  <si>
    <t>Коммунальные услуги без НДС</t>
  </si>
  <si>
    <t>Запасы без НДС</t>
  </si>
  <si>
    <t>Услуги по обучению тех персонала без НДС</t>
  </si>
  <si>
    <t>Услуги по сервисному обслуживанию пожарной сигнализации, без НДС</t>
  </si>
  <si>
    <t>Услуги дератизации и утилизации, нотариальные услуги без НДС</t>
  </si>
  <si>
    <t>КПН по безвозмездно полученному имуществу (без НДС)</t>
  </si>
  <si>
    <t>ИТОГО без НДС 2016 года)</t>
  </si>
  <si>
    <t>ИТОГО без НДС (в месяц)</t>
  </si>
  <si>
    <t xml:space="preserve">Площадь здания по ул.Орынбор </t>
  </si>
  <si>
    <t>Итого полезная площадь объектов</t>
  </si>
  <si>
    <t>Цена за 1 кв.м. без НДС</t>
  </si>
  <si>
    <t xml:space="preserve">НДС </t>
  </si>
  <si>
    <t>Цена с НДС за 1 кв.м.</t>
  </si>
  <si>
    <t>за 1 кв.м. у фмн и хбн</t>
  </si>
  <si>
    <t>Сумма расходов на Международную школу (в месяц)</t>
  </si>
  <si>
    <t>Сумма расходов на Международную школу (2016 год)</t>
  </si>
  <si>
    <t xml:space="preserve">Руководитель службы оранизации </t>
  </si>
  <si>
    <t>Н. Сакенов</t>
  </si>
  <si>
    <t>обслуживания комплекса в г. Астана</t>
  </si>
  <si>
    <t>С. Алимханов</t>
  </si>
  <si>
    <t>Старший менеджер-экономист</t>
  </si>
  <si>
    <t>А. Алькеева</t>
  </si>
  <si>
    <t>М. Баянжанова</t>
  </si>
  <si>
    <t>Исполнитель</t>
  </si>
  <si>
    <t xml:space="preserve">А. Какимова </t>
  </si>
  <si>
    <t>А. Какимова</t>
  </si>
  <si>
    <t xml:space="preserve">на 2017-2018 год </t>
  </si>
  <si>
    <t>Сумма 2017 год</t>
  </si>
  <si>
    <t>Сумма 2018 год</t>
  </si>
  <si>
    <t>Обучение техперсонала</t>
  </si>
  <si>
    <t>Сумма расходов на Международную школу (2017-2018 год)</t>
  </si>
  <si>
    <t>Калькуляция стоимости услуг по сервисному и хозяйственно-бытовому обслуживанию Объекта в г. Астана, расположенного адресу: г. Астана ул.Туркестан, 2</t>
  </si>
  <si>
    <t>на 2016 год</t>
  </si>
  <si>
    <t>калькуляция стоимости по общим расходам для школы</t>
  </si>
  <si>
    <t xml:space="preserve">калькуляция на доп.затраты </t>
  </si>
  <si>
    <t>калькуляция на доп.затраты по Международной школе</t>
  </si>
  <si>
    <t>Услуги по обучению без НДС</t>
  </si>
  <si>
    <t>Прочие услуги, без НДС</t>
  </si>
  <si>
    <t>Обслуживание зданий (фильтры, счетчики) (без НДС)</t>
  </si>
  <si>
    <t>ИТОГО без НДС (2016 год)</t>
  </si>
  <si>
    <t>Площадь здания на Туркистан (2016 год)</t>
  </si>
  <si>
    <t>-Интеллектуальная школа в г.Астана (ФМН)</t>
  </si>
  <si>
    <t>-Международная школа в г. Астана</t>
  </si>
  <si>
    <t>Сумма расходов на Интеллектуальную школу в г.Астана (ФМН) (в месяц)</t>
  </si>
  <si>
    <t>за 1 кв.м. у Туркистан</t>
  </si>
  <si>
    <t>Сумма расходов на Интеллектуальной школы в г.Астана (ФМН) (2016 год)</t>
  </si>
  <si>
    <t>итого на фмн</t>
  </si>
  <si>
    <t>Калькуляция стоимости услуг по сервисному и хозяйственно-бытовому обслуживанию Объектов,                                                                                                              расположенным по адресу: г. Астана, ул. 31, д. 37а</t>
  </si>
  <si>
    <t>калькуляция стоимости услуг для спального корпуса в г. Астана</t>
  </si>
  <si>
    <t>калькуляция стоимости по общим расходам для НИШ в г. Астана</t>
  </si>
  <si>
    <t>калькуляция на доп.затраты по ФМН</t>
  </si>
  <si>
    <t>калькуляция на доп.затраты по МБ</t>
  </si>
  <si>
    <t>калькуляция на доп.затраты по спальному корпусу</t>
  </si>
  <si>
    <t>Услуги и обучению без НДС</t>
  </si>
  <si>
    <t>Услуги дератизации и утилизации</t>
  </si>
  <si>
    <t>31 ул.</t>
  </si>
  <si>
    <t>турк</t>
  </si>
  <si>
    <t>орынб</t>
  </si>
  <si>
    <t>с НДС</t>
  </si>
  <si>
    <t>без НДС</t>
  </si>
  <si>
    <t>ИТОГО без НДС (январь-декабрь 2016 года)</t>
  </si>
  <si>
    <t>Площадь Адм.блока</t>
  </si>
  <si>
    <t>(надо откорректировать при корректировке)</t>
  </si>
  <si>
    <t>Цена за 1 кв.м. в месяц без НДС</t>
  </si>
  <si>
    <t>Цена за 1 кв.м. в месяц без НДС (Административные расходы)</t>
  </si>
  <si>
    <t>ИТОГО Цена за 1 кв.м. без НДС</t>
  </si>
  <si>
    <t>ИТОГО Цена за 1 кв.м. в месяц с НДС</t>
  </si>
  <si>
    <t>Сумма расходов на Адм.блок в г.Астана (МБ) (в месяц)</t>
  </si>
  <si>
    <t>Сумма расходов на Адм.блок в г.Астана (январь-декабрь 2016 года)</t>
  </si>
  <si>
    <t>Приложение_____</t>
  </si>
  <si>
    <t>к Протоколу заседания Правления</t>
  </si>
  <si>
    <t>от ____ _______________2016 года</t>
  </si>
  <si>
    <t>Сравнительная таблица калькуляции стоимости услуг по сервисному и хозяйственно-бытовому обслуживанию Объектов,  расположенным по адресу: г. Астана, г. Астана, ул. 31, д. 35, 35а, 37</t>
  </si>
  <si>
    <t>на 2018 гг</t>
  </si>
  <si>
    <t>Сумма 2019 год</t>
  </si>
  <si>
    <t>% удорожания</t>
  </si>
  <si>
    <t>Комментарий</t>
  </si>
  <si>
    <t>ФОТ увеличен в связи с тем, что в 2017 году выплаты по ОСМС планировались с июля(6 месяцев), в 2018 году план предусмотрен на весь год (12 месяцев)</t>
  </si>
  <si>
    <t>ФЗП работников остался на уровне 2017 года</t>
  </si>
  <si>
    <t>На 2018 год не планируется</t>
  </si>
  <si>
    <t>Сумма расходов уменьшена, так как учитывается остаток на складе по ранее приобретенным хоз.товарам и мыломоющим средствам. Кроме того, некоторые позиции исключены в связи с отсутствием необходимости</t>
  </si>
  <si>
    <t>Расходы увеличены в связи с удорожанием услуг по ежегодной проверке знаний в области электробезопасности электриков и энергетиков  и планированием услуг по обучению слесарей (электрослесарь) КИПиА 2 разряд 2 х энергетиков школ для контролирования систем приточной вентиляции,систем  пожарно-охранной сигнализации, автоматики тепловых пунктов</t>
  </si>
  <si>
    <t xml:space="preserve"> В 2017 году предусмотрен ремонт спец.тех.оборудования (кусторезы, МКСМ, газонокосилки), в 2018 году планируется только ремонт 2х МКСМ</t>
  </si>
  <si>
    <t>Налог на транспорт</t>
  </si>
  <si>
    <t>На 2017 год расчет планировался на 1 МКСМ, в 2017 году ФМН г. Астаны передали 1 МКСМ на баланс Дирекции, в связи с чем рассчитан налог на транспорт на 2018 год на 2 МКСМ</t>
  </si>
  <si>
    <t>ИТОГО без НДС (январь-декабрь)</t>
  </si>
  <si>
    <t>расх в год</t>
  </si>
  <si>
    <t>в мес</t>
  </si>
  <si>
    <t>Площадь Интеллектуальной школы в г.Астана (ФМН)</t>
  </si>
  <si>
    <t>Площадь Интеллектуальной школы в г.Астана (МБ)</t>
  </si>
  <si>
    <t>Площадь Спального корпуса</t>
  </si>
  <si>
    <t>ИТОГО Цена за 1 кв.м. в месяц с НДС (январь-декабрь)</t>
  </si>
  <si>
    <t>Сумма расходов на Интеллектуальную школу в г.Астана (МБ) (в месяц)</t>
  </si>
  <si>
    <t>Сумма расходов на Интеллектуальной школы в г.Астана (ФМН) (январь-декабрь)</t>
  </si>
  <si>
    <t>Сумма расходов на Интеллектуальной школы в г.Астана (МБ) (январь-декабрь)</t>
  </si>
  <si>
    <t>итого на хбн</t>
  </si>
  <si>
    <t>Ш. Риаханов</t>
  </si>
  <si>
    <t>Заместитель директора</t>
  </si>
  <si>
    <t>М. Байжуменов</t>
  </si>
  <si>
    <t>Начальник УЭФ</t>
  </si>
  <si>
    <t>М. Мукашева</t>
  </si>
  <si>
    <t>А. Ашимханова</t>
  </si>
  <si>
    <t>Калькуляция стоимости услуг по сервисному и хозяйственно-бытовому обслуживанию Объекта, расположенного по адресу: АУП</t>
  </si>
  <si>
    <t>калькуляция стоимости услуг для Административного блока в г. Астана</t>
  </si>
  <si>
    <t>Услуги связи</t>
  </si>
  <si>
    <t>Услуги по пошиву одежды и обучению без НДС</t>
  </si>
  <si>
    <t>Обучение персонала</t>
  </si>
  <si>
    <t>Площадь здания по ул.31, д. 35</t>
  </si>
  <si>
    <t>Площадь здания по ул.31, д. 37</t>
  </si>
  <si>
    <t>Площадь здания по ул.31, д. 35А</t>
  </si>
  <si>
    <t>Площадь здания по ул.31, д. 37А</t>
  </si>
  <si>
    <t>Площадь здания по ул.Туркестан 2</t>
  </si>
  <si>
    <t>Площадь здания по ул.Орынбор</t>
  </si>
  <si>
    <t>Итого среднегодовая полезная площадь объектов</t>
  </si>
  <si>
    <t>площадь</t>
  </si>
  <si>
    <t>1 полуг</t>
  </si>
  <si>
    <t>2 полуг</t>
  </si>
  <si>
    <t>фмн</t>
  </si>
  <si>
    <t>Среднемесячная сумма расходов</t>
  </si>
  <si>
    <t>хбн</t>
  </si>
  <si>
    <t>Сумма расходов в год</t>
  </si>
  <si>
    <t>СК</t>
  </si>
  <si>
    <t>АБлок</t>
  </si>
  <si>
    <t>Турк</t>
  </si>
  <si>
    <t>Орынб</t>
  </si>
  <si>
    <t>Площадь зданий, используемая для расчета стоимости квадратного метра</t>
  </si>
  <si>
    <t>Наименование</t>
  </si>
  <si>
    <t>Общая площадь</t>
  </si>
  <si>
    <t>Площадь подвала</t>
  </si>
  <si>
    <t>Площаль чердака</t>
  </si>
  <si>
    <t>итого площадь для расчета по обслуж. Объекта</t>
  </si>
  <si>
    <t>в % от все площади</t>
  </si>
  <si>
    <t xml:space="preserve">Адм.корпус </t>
  </si>
  <si>
    <t>Гостиница (4,5,6,7 эт)</t>
  </si>
  <si>
    <t>4 эт</t>
  </si>
  <si>
    <t>5 эт</t>
  </si>
  <si>
    <t>6 эт</t>
  </si>
  <si>
    <t>7 эт</t>
  </si>
  <si>
    <t>подвал</t>
  </si>
  <si>
    <t>Школа ФМН</t>
  </si>
  <si>
    <t>Школа МБ</t>
  </si>
  <si>
    <t>Спальный корпус, в т.ч.:</t>
  </si>
  <si>
    <t>интернат фмн</t>
  </si>
  <si>
    <t>интернат мб</t>
  </si>
  <si>
    <t>итого площадь всех объектов</t>
  </si>
  <si>
    <t>данную площадь использовать для выведения стоимости кв.метра по обслуживанию объектов</t>
  </si>
  <si>
    <t>Руководитель службы</t>
  </si>
  <si>
    <t xml:space="preserve">Расчет по оплате труда штатной численности на 2016 год </t>
  </si>
  <si>
    <t>ЧУ "Дирекция строящихся Назарбаев Интеллектуальных школ" (Служба по организации обслуживания Комплексав г. Астана)</t>
  </si>
  <si>
    <t>МРП</t>
  </si>
  <si>
    <t>изменится</t>
  </si>
  <si>
    <t xml:space="preserve">                      </t>
  </si>
  <si>
    <t>БС</t>
  </si>
  <si>
    <t>неизменна</t>
  </si>
  <si>
    <t>МЗП</t>
  </si>
  <si>
    <t>Должность</t>
  </si>
  <si>
    <t>Шт. ед.</t>
  </si>
  <si>
    <t>Тариф. коэф</t>
  </si>
  <si>
    <t>Оклад</t>
  </si>
  <si>
    <t>Кол-во месяцев в год</t>
  </si>
  <si>
    <t>Должностой оклад в год, тенге</t>
  </si>
  <si>
    <t>Экологические доплаты и надбавки</t>
  </si>
  <si>
    <t>Прочие доплаты и надбавки</t>
  </si>
  <si>
    <t>Итог доплаты в год</t>
  </si>
  <si>
    <t>ФЗП год</t>
  </si>
  <si>
    <t>Лечебное пособие, тенге</t>
  </si>
  <si>
    <t>Премия, тенге</t>
  </si>
  <si>
    <t>Всего ФОТ, тенге</t>
  </si>
  <si>
    <t>Размер</t>
  </si>
  <si>
    <t>Административно- управленческий персонал:</t>
  </si>
  <si>
    <t>заместитель директора - руководитель проекта</t>
  </si>
  <si>
    <t>старший менеджер по орг.вопросам</t>
  </si>
  <si>
    <t xml:space="preserve">менеджер по HR </t>
  </si>
  <si>
    <t>Учебно-вспомогательный персонал</t>
  </si>
  <si>
    <t>….</t>
  </si>
  <si>
    <t>Медицинский персонал</t>
  </si>
  <si>
    <t>Технический персонал</t>
  </si>
  <si>
    <t>Хозяйственный блок</t>
  </si>
  <si>
    <t xml:space="preserve">Рабочий по компл обсл и ремонту зданий </t>
  </si>
  <si>
    <t xml:space="preserve">Уборщик служебных помещений </t>
  </si>
  <si>
    <t xml:space="preserve">Дворник </t>
  </si>
  <si>
    <t>Садовник</t>
  </si>
  <si>
    <t xml:space="preserve">Плотник </t>
  </si>
  <si>
    <t>Работник прачечной</t>
  </si>
  <si>
    <t>Комендант</t>
  </si>
  <si>
    <t>Кастелянша</t>
  </si>
  <si>
    <t>Заведующий хозяйством</t>
  </si>
  <si>
    <t>Кладовщик</t>
  </si>
  <si>
    <t>Блок энергетики и инженерных сетей</t>
  </si>
  <si>
    <t>Главный энергетик</t>
  </si>
  <si>
    <t>инженер</t>
  </si>
  <si>
    <t>инженер по ТБ</t>
  </si>
  <si>
    <t>Энергетик</t>
  </si>
  <si>
    <t>Электрик</t>
  </si>
  <si>
    <t xml:space="preserve">Слесарь-сантехник </t>
  </si>
  <si>
    <t xml:space="preserve">Начальник управления </t>
  </si>
  <si>
    <t>экономики и финансов</t>
  </si>
  <si>
    <t>Общая пощадь</t>
  </si>
  <si>
    <t xml:space="preserve">адм.корпус </t>
  </si>
  <si>
    <t>гостиница (4,5,6,7 эт)</t>
  </si>
  <si>
    <t>итого плащадь всех объектов</t>
  </si>
  <si>
    <t>Утверждено</t>
  </si>
  <si>
    <t>протоколом Попечительского совета</t>
  </si>
  <si>
    <t>_______________201__ год №______</t>
  </si>
  <si>
    <t xml:space="preserve">Бюджет ЧУ "Дирекция строящихся Назарбаев Интеллектуальные школы" (служба организации обслуживания Комплекса в г. Астана) </t>
  </si>
  <si>
    <t>Код строки бюджета</t>
  </si>
  <si>
    <t>Статья бюджета</t>
  </si>
  <si>
    <t>2018 год</t>
  </si>
  <si>
    <t>2017 год</t>
  </si>
  <si>
    <t>2019 год</t>
  </si>
  <si>
    <t>Начальный остаток</t>
  </si>
  <si>
    <t>1</t>
  </si>
  <si>
    <t>1.01.01.01</t>
  </si>
  <si>
    <t>Доход от сдачи в аренду</t>
  </si>
  <si>
    <t>1.03.01</t>
  </si>
  <si>
    <t>Оказание платных услуг (во)</t>
  </si>
  <si>
    <t>1.05.01.01</t>
  </si>
  <si>
    <t>Грант (проживание в интернате)</t>
  </si>
  <si>
    <t>2</t>
  </si>
  <si>
    <t>2.01</t>
  </si>
  <si>
    <t>2.01.01</t>
  </si>
  <si>
    <t>2.01.02</t>
  </si>
  <si>
    <t>2.01.03</t>
  </si>
  <si>
    <t>Премии</t>
  </si>
  <si>
    <t>2.01.05</t>
  </si>
  <si>
    <t>1.6.2</t>
  </si>
  <si>
    <t>материальная помощь (соц.поддержка, компенсации)</t>
  </si>
  <si>
    <t>2.01.07</t>
  </si>
  <si>
    <t>2.01.08</t>
  </si>
  <si>
    <t>2.02</t>
  </si>
  <si>
    <t>2.02.01</t>
  </si>
  <si>
    <t>2.02.02</t>
  </si>
  <si>
    <t>Обязательное медицинское страхование</t>
  </si>
  <si>
    <t>2.03</t>
  </si>
  <si>
    <t>2.03.01</t>
  </si>
  <si>
    <t>Комплектующие части</t>
  </si>
  <si>
    <t>2.03.01.01</t>
  </si>
  <si>
    <t>Комплектующие части к оборудованию</t>
  </si>
  <si>
    <t>2.03.01.02</t>
  </si>
  <si>
    <t>Комплектующие части к автомобилям</t>
  </si>
  <si>
    <t>2.03.02</t>
  </si>
  <si>
    <t>2.03.03</t>
  </si>
  <si>
    <t>Канц.товары</t>
  </si>
  <si>
    <t>2.03.04</t>
  </si>
  <si>
    <t>2.03.05</t>
  </si>
  <si>
    <t>Моющие средства</t>
  </si>
  <si>
    <t>2.03.06</t>
  </si>
  <si>
    <t>2.03.07</t>
  </si>
  <si>
    <t>Типографская продукция</t>
  </si>
  <si>
    <t>2.03.08</t>
  </si>
  <si>
    <t>2.03.09</t>
  </si>
  <si>
    <t>2.04</t>
  </si>
  <si>
    <t>2.04.01</t>
  </si>
  <si>
    <t>2.04.02</t>
  </si>
  <si>
    <t>2.04.03</t>
  </si>
  <si>
    <t>2.04.04</t>
  </si>
  <si>
    <t>Природный газ</t>
  </si>
  <si>
    <t>2.04.05</t>
  </si>
  <si>
    <t>Вывоз мусора</t>
  </si>
  <si>
    <t>2.05</t>
  </si>
  <si>
    <t>2.05.01</t>
  </si>
  <si>
    <t>Абоненская плата</t>
  </si>
  <si>
    <t>2.05.02</t>
  </si>
  <si>
    <t>2.05.03</t>
  </si>
  <si>
    <t>Услуги интернета</t>
  </si>
  <si>
    <t>2.05.06</t>
  </si>
  <si>
    <t>Установка телефонов</t>
  </si>
  <si>
    <t>2.05.07</t>
  </si>
  <si>
    <t>Хостинг</t>
  </si>
  <si>
    <t>2.06.</t>
  </si>
  <si>
    <t>2.07</t>
  </si>
  <si>
    <t>Оплата работ (услуг) производственных подрядчикам</t>
  </si>
  <si>
    <t>2.07.01.03.02</t>
  </si>
  <si>
    <t>внедрение и авторизация программ Международного Бакалавриата (International Bacc</t>
  </si>
  <si>
    <t>2.07.03</t>
  </si>
  <si>
    <t>2.07.03.01</t>
  </si>
  <si>
    <t>2.07.03.02</t>
  </si>
  <si>
    <t>Текущий ремонт и обслуживание спец. тех.оборудования</t>
  </si>
  <si>
    <t>2.07.04.</t>
  </si>
  <si>
    <t>Обслуживание зданий и сооружений</t>
  </si>
  <si>
    <t>2.07.08</t>
  </si>
  <si>
    <t>2.07.08.01</t>
  </si>
  <si>
    <t>2.07.08.06</t>
  </si>
  <si>
    <t xml:space="preserve">Прочие услуги </t>
  </si>
  <si>
    <t>2.08.</t>
  </si>
  <si>
    <t>2.08.01</t>
  </si>
  <si>
    <t>Обязательное страхование ГПО работодателя за причинение вреда</t>
  </si>
  <si>
    <t>2.08.04</t>
  </si>
  <si>
    <t>2.11</t>
  </si>
  <si>
    <t>Услуги  по охране</t>
  </si>
  <si>
    <t>2.14</t>
  </si>
  <si>
    <t>2.15.</t>
  </si>
  <si>
    <t>Консультационные  услуги (списание ОС)</t>
  </si>
  <si>
    <t>2.16</t>
  </si>
  <si>
    <t>2.20</t>
  </si>
  <si>
    <t>2.21</t>
  </si>
  <si>
    <t>2.22.</t>
  </si>
  <si>
    <t>Налоги</t>
  </si>
  <si>
    <t>2.22.03</t>
  </si>
  <si>
    <t>2.22.06</t>
  </si>
  <si>
    <t>2.22.07.02</t>
  </si>
  <si>
    <t>2.24</t>
  </si>
  <si>
    <t>Противопожарная охрана и затраты связанные с соблюдением специальных требований</t>
  </si>
  <si>
    <t>2.25.02</t>
  </si>
  <si>
    <t>Обучением и повышением квалификации администрации и обслуживающего персонала внутри страны</t>
  </si>
  <si>
    <t>план ндс 2015</t>
  </si>
  <si>
    <t>факт 2015</t>
  </si>
  <si>
    <t>остаток</t>
  </si>
  <si>
    <t>3 кв 2015 ндс</t>
  </si>
  <si>
    <t>ост на 2016 год</t>
  </si>
  <si>
    <t>2.27.</t>
  </si>
  <si>
    <t>Представительские расходы (раздат, сувенир)</t>
  </si>
  <si>
    <t>2.29.02</t>
  </si>
  <si>
    <t>2.31</t>
  </si>
  <si>
    <t>2.31.01</t>
  </si>
  <si>
    <t>2.31.14</t>
  </si>
  <si>
    <t>Утилизация ламп</t>
  </si>
  <si>
    <t>2.31.15</t>
  </si>
  <si>
    <t>2.32.</t>
  </si>
  <si>
    <t>2.33.</t>
  </si>
  <si>
    <t>Проибретение НМА</t>
  </si>
  <si>
    <t>2.31.14.</t>
  </si>
  <si>
    <t>Услуги утилизации</t>
  </si>
  <si>
    <t>Закрытие договоров прошлых лет</t>
  </si>
  <si>
    <t>Всего расходов</t>
  </si>
  <si>
    <t>ндс с учетом корректировки</t>
  </si>
  <si>
    <t>площадь 15941</t>
  </si>
  <si>
    <t xml:space="preserve">Расчет ставки арендной платы нежилых помещений: </t>
  </si>
  <si>
    <t>за год</t>
  </si>
  <si>
    <t>в месяц</t>
  </si>
  <si>
    <t>АП=Рбс*S*Кт*Кк*Кск*Кр*Квд*Копф</t>
  </si>
  <si>
    <t>Рбс (базовая ставка арендной платы за 1 кв.м., тенге в год)</t>
  </si>
  <si>
    <t>S (арендуемая площадь)</t>
  </si>
  <si>
    <t>Кт (коффициент, учитывающий тип строения)</t>
  </si>
  <si>
    <t>Кк (коффициент, учитывающий вид нежилого помещения)</t>
  </si>
  <si>
    <t>Кск (коффициент, учитывающий степень комфортности)</t>
  </si>
  <si>
    <t>Кр (коффициент, учитывающий территориальное расположение)</t>
  </si>
  <si>
    <t>Квд (коффициент, учитывающий вид деятельности Арендатора)</t>
  </si>
  <si>
    <t>Копф (коффициент, учитывающий организационно-правовую форму Арендатора)</t>
  </si>
  <si>
    <t>Расчет ставки арендной платы за оборудование:</t>
  </si>
  <si>
    <t>в год</t>
  </si>
  <si>
    <t>Ап=СхNam/Kn</t>
  </si>
  <si>
    <t>С*Nam, где С (первоначальная стоимость оборудования по данным бухгалтерского учета), Nam ( нормы амортизации)</t>
  </si>
  <si>
    <t xml:space="preserve">Kn (понижающий коэффициент при предоставлении смп для организации производственной деятельности и развития сферы услуг населения, за исключением торгово-посреднической деятельности) </t>
  </si>
  <si>
    <t>за 36 мес</t>
  </si>
  <si>
    <t>Расчет арендной ставки при предоставлении в наем столовой:</t>
  </si>
  <si>
    <t xml:space="preserve">Наименование оборудования </t>
  </si>
  <si>
    <t xml:space="preserve">Инвентарный номер </t>
  </si>
  <si>
    <t>Счет учета</t>
  </si>
  <si>
    <t>Стоимость по БУ</t>
  </si>
  <si>
    <t>Остаточная стоимость</t>
  </si>
  <si>
    <t>% износа</t>
  </si>
  <si>
    <t>дата принятия на учет</t>
  </si>
  <si>
    <t>срок износа</t>
  </si>
  <si>
    <t>год окончания износа</t>
  </si>
  <si>
    <t>Весы платформенные 150 кг/50гр,355*620*730,1ф.0,20кВт тип F15 h=1500</t>
  </si>
  <si>
    <t>Весы электронные    350*325*105,1ф.0,20кВт тип F15 h=1500</t>
  </si>
  <si>
    <t>Весы электронные, 350х325х105, 1ф. 0,20 кВт, тип F15 h=1500</t>
  </si>
  <si>
    <t>Водоразборный кран с душевым устройством 3 м,   х.г.в.  ∅1/2" тип А1h= 700</t>
  </si>
  <si>
    <t>Водоумягчитель 190х190х900 1ф. 0,1 кВт тип F29, h=50 х.в.  ∅ 1/2" тип А1h= 550, к.    ∅ 50мм. тип S2</t>
  </si>
  <si>
    <t>51 372,00</t>
  </si>
  <si>
    <t>6 727,39</t>
  </si>
  <si>
    <t>2 022</t>
  </si>
  <si>
    <t>Зонт вентиляционный островного типа 3600х2200х500, вытяжка 4500 м3/час, тип Е1h= 1900</t>
  </si>
  <si>
    <t>Камера 1960х2560х2200, толщина панелей 80 мм объем 8,81 м³</t>
  </si>
  <si>
    <t>Камера 2560х3160х2200, толщина панелей 80 мм объем 14,69 м³</t>
  </si>
  <si>
    <t>Камера 3160х2860х2200, толщина панелей 80 мм, объем 16,52 м³</t>
  </si>
  <si>
    <t>Камера 3160х3160х2200, толщина панелей 80 мм, объем 18,36 м³</t>
  </si>
  <si>
    <t>Картофелечистка, 10 кг. загрузка 360*480*800тип А1 h=900</t>
  </si>
  <si>
    <t>Куттер 3,5 л. 273х460х401, 1ф. 1,0 кВт тип F15 h=1500</t>
  </si>
  <si>
    <t>Кухонный комбайн в комплекте с насадками, 1ф. 0,77 кВт тип F15 h=1900</t>
  </si>
  <si>
    <t>Лифт</t>
  </si>
  <si>
    <t>Мармит электрический для вторых блюд 1668х835х1150, 1ф. 3,6 кВт тип F11 h=50</t>
  </si>
  <si>
    <t>Мармит электрический для первых блюд 1260х835х1150, 3ф. 3 кВт тип F11 h=50</t>
  </si>
  <si>
    <t>Механический формовщик котлет 250х320х500</t>
  </si>
  <si>
    <t>Мойка 1 раковина с душевым элементом (котломойка), 1000х900х860,</t>
  </si>
  <si>
    <t>Мойка 1 раковина со смесителем 700х700х850, х.г.в. ∅ 3/4" тип А1h= 440, к. ∅ 50мм тип S1 h=440</t>
  </si>
  <si>
    <t>Мойка 1 раковина со смесителем 700х700х850, х.г.в. ∅ 3/4" тип А1h= 440, к. ∅ 50мм тип S1 h=441</t>
  </si>
  <si>
    <t>Мойка 2 раковины со смесителем 1200х700х850, х.г.в. ∅ 3/4" тип А1h= 440, к. ∅ 50мм тип S1 h=440</t>
  </si>
  <si>
    <t>Мойка 2 раковины со смесителем 1200х700х850, х.г.в. ∅ 3/4" тип А1h= 440, к. ∅ 50мм тип S1 h=441</t>
  </si>
  <si>
    <t>Мойка 2 раковины со смесителем 1200х700х850, х.г.в. ∅ 3/4" тип А1h= 440, к. ∅ 50мм тип S1 h=442</t>
  </si>
  <si>
    <t>Мойка 2 раковины со смесителем 1200х700х850, х.г.в. ∅ 3/4" тип А1h= 440, к. ∅ 50мм тип S1 h=443</t>
  </si>
  <si>
    <t>Мойка 2 раковины со смесителем 1200х700х850, х.г.в. ∅ 3/4" тип А1h= 440, к. ∅ 50мм тип S1 h=444</t>
  </si>
  <si>
    <t>Моноблок среднетемпературный -6+6°С, 1 ф. 1,8 кВт тип F19 h=2300 (QBт 2393)</t>
  </si>
  <si>
    <t>Морозильник 400л. -20-10° C, 703х620х1755, 1ф. 0,64 кВт тип F15 h=1900</t>
  </si>
  <si>
    <t>Мясорубка 200 кг/час 380х220х440, 1ф. 0,75 кВт, тип F15 h=1500</t>
  </si>
  <si>
    <t>Нейтральный элемент 1668х835х1150</t>
  </si>
  <si>
    <t>Нейтральный элемент в комплекте с базой подставкой (400*900*875)</t>
  </si>
  <si>
    <t>Овощерезка 640*350*360 1ф.0,75 кВт тип F15 h=1500</t>
  </si>
  <si>
    <t>Пила для резки костей 510х380х820, 1ф. 0.75 кВт, тип F3 h=1500</t>
  </si>
  <si>
    <t>Планетарный миксер 10 л, 279х416х487, 1ф. 0,55 кВт тип F15 h=1300</t>
  </si>
  <si>
    <t>Планетарный миксер 5 л, 279х416х487, 1ф. 0,3 кВт тип F15 h=1300</t>
  </si>
  <si>
    <t>Платформенная тележка 970*600*900</t>
  </si>
  <si>
    <t>Посудомоечная машина купольного типа 668х756х1507 3ф. 10,6 кВт тип F29 h=100 г. в. ∅ 1/2", тип А1h=</t>
  </si>
  <si>
    <t>Пристенная вытяжка с лабиринтными фильтрами 1200x1200x500 м.о. 500 м3/час, тип Е2h= 1900, лампа по</t>
  </si>
  <si>
    <t>Пристенная вытяжка с лабиринтными фильтрами 1200x1400x400 м.о. 1200 м3/час, тип Е2 h= 1900, лампа п</t>
  </si>
  <si>
    <t>Раздатчик столовых приборов, подносов 1672х750х1900</t>
  </si>
  <si>
    <t>Рыбочистка электрическая 230х190х240, 1ф. 0,1 кВт тип F15 h=1500</t>
  </si>
  <si>
    <t>Сервисная тележка, 650*650*850</t>
  </si>
  <si>
    <t>Сервисная тележка, 650х650х850</t>
  </si>
  <si>
    <t>Сервисная тележка, 950х650х850</t>
  </si>
  <si>
    <t>Слайсер для нарезки хлеба, 600х600х750, 1ф. 0,30 кВт, тип F15 h=1500</t>
  </si>
  <si>
    <t>Слайсер, 600х600х750, 1ф. 0,30 кВт тип F15 h=1500</t>
  </si>
  <si>
    <t>Стерилизатор для ножей ультрафиолетовый, 520*160*670,1ф, 0,08 кВт тип F11 h=1800</t>
  </si>
  <si>
    <t>Телевизор ЖК в комплекте с настенным креплением 1ф. 1,2 кВт тип F15 h=1800</t>
  </si>
  <si>
    <t>Тестомес 40 л, производительность 100-150кг/час, 730х470х800, 3ф. 1,1 кВт тип F3 h=1500</t>
  </si>
  <si>
    <t>Холодильник 1400л. 0+8° C, 1400х804х2020, 1ф. 0,4 кВт тип F15 h=2100</t>
  </si>
  <si>
    <t>Холодильник 400л. +2+10° C, 703х620х1755, 1ф. 0,425 кВт тип F15 h=1900</t>
  </si>
  <si>
    <t>Холодильник 500л. +1+12° C, 697x620x2028, 1ф. 0,37 кВт тип F15 h=1900</t>
  </si>
  <si>
    <t>Холодильник 500л. 697*620*2028 тип F15 h=1900</t>
  </si>
  <si>
    <t>Холодильник для рыбы -6+6° C, 703х620х1755, 1ф. 0,425 кВт тип F15 h=1900</t>
  </si>
  <si>
    <t>Холодильный стол 0-8° C, 1796х700х850, 1ф. 0,31 кВт тип F15 h=1500</t>
  </si>
  <si>
    <t>Холодильный стол 0-8° C, 2200х700х850, 1ф. 0,45 кВт тип F15 h=1500</t>
  </si>
  <si>
    <t>Холодильный стол 1796*700*850 1ф.0,31 кВт.типF15 h=1500</t>
  </si>
  <si>
    <t>Холодильный элемент 0+10°C, 1668х835х1150, 1ф., 1,4 кВт тип F11 h=50</t>
  </si>
  <si>
    <t>Эл. 4-х конфорочная печь + духовка 800х900х875, 3ф. 18.9 кВт тип F11 h=50</t>
  </si>
  <si>
    <t>Эл. опрокидывающаяся 80 л. сковорода 1000х900х875,3ф. 10,8 кВт, тип F11 h=50, к. ∅ 50 мм. тип S3 h=0</t>
  </si>
  <si>
    <t>Эл. автоматический умягчитель для воды, 260х500х560, 1ф. 0,02 кВт, тип F11 h=50</t>
  </si>
  <si>
    <t>Эл. пароконвекционная печь 10GN 1/1,895х845х1080,3ф.17,3 кВт, типF11, h=50, х.в, ∅1/2"тип А31h= 350, к.∅ 50мм, тип S27 h=50</t>
  </si>
  <si>
    <t>Эл. пароконвекционная печь 10GN 1/1,895х845х1080,3ф.17,3 кВт, тип F11, х.в, ∅1/2"тип А31h= 350, к.∅ 50мм т</t>
  </si>
  <si>
    <t>Электрическая контактная сковорода гладкая+1/3 ребристая поверхность, 800х900х875, 3ф. 12 кВт</t>
  </si>
  <si>
    <t>Электрическая фритюрница 15+15л.  800х900х875, 3ф. 22,2 кВт тип F11 h=50</t>
  </si>
  <si>
    <t>Электрический варочный котел 100 л. 800х900х875, 3ф. 15 кВт тип F11 h=50, х.в. ∅ 1/2" тип А5 h= 50</t>
  </si>
  <si>
    <t>Электроловушка для насекомых    195*375,1ф.0,1кВт тип F15 h=1700мм.от уровня пола</t>
  </si>
  <si>
    <t xml:space="preserve">Электроловушка для насекомых, 195х375, 1ф. 0,1 кВт, тип F15 выключатель вывести на h=1700 мм </t>
  </si>
  <si>
    <t xml:space="preserve">Элемент предварительной мойки со смесителем 1400х800х900, х.г.в. ∅ 3/4" тип А1h= 440, к. ∅ 50мм </t>
  </si>
  <si>
    <t>Эл. раздатчик кипятка, 2Х20л, 1100х530х940, 3ф. 9 кВт, тип F8 h=700, х.в.  ∅ 1/2" тип А4 h= 700</t>
  </si>
  <si>
    <t>43 867,00</t>
  </si>
  <si>
    <t>5 744,21</t>
  </si>
  <si>
    <t>43 868,00</t>
  </si>
  <si>
    <t>5 744,48</t>
  </si>
  <si>
    <t>Загрузочно-разгрузочный стол 1200х600х910 (стол пристенный Iterma 430 CБ-211/1206)</t>
  </si>
  <si>
    <t>Кресло офисное на роликах</t>
  </si>
  <si>
    <t>Место кассира 1260х835х1150, 1ф. 0,35 кВт тип F11, h=50</t>
  </si>
  <si>
    <t>Рабочее место приемщика (стол, стул): Стол</t>
  </si>
  <si>
    <t>Рабочее место приемщика (стол, стул): Стул</t>
  </si>
  <si>
    <t>Скамья для переодевания 1200х3500х450</t>
  </si>
  <si>
    <t>Скамья для переодевания 1200х350х430</t>
  </si>
  <si>
    <t>11 731,00</t>
  </si>
  <si>
    <t>1 536,55</t>
  </si>
  <si>
    <t>Стеллаж 4 полки метал. 1200х500х1850</t>
  </si>
  <si>
    <t>Стеллаж 4 полки метал. 1500х600х1800</t>
  </si>
  <si>
    <t>Стеллаж 4 полки оцинк./ст. 1300х600х1800</t>
  </si>
  <si>
    <t>Стеллаж 4 полки оцинк./ст. 600х600х1800</t>
  </si>
  <si>
    <t>Стеллаж 4 полки оцинк./ст. 900х400х1800</t>
  </si>
  <si>
    <t>Стеллаж 4 полки оцинк./ст. 900х600х1800</t>
  </si>
  <si>
    <t>Стеллаж производственный передвижной 4 полки 625х400х1800</t>
  </si>
  <si>
    <t>Стеллаж 4 полки оцинк./ст. 1400х600х1800</t>
  </si>
  <si>
    <t>Стол метал. 600х600х850</t>
  </si>
  <si>
    <t>Стол нерж./ст. 1600х700х870</t>
  </si>
  <si>
    <t>Стол офисный 1-но тумбовый 1200х700х850</t>
  </si>
  <si>
    <t>Стол с бортиком нерж./ст. 1000х700х870</t>
  </si>
  <si>
    <t>Стол с бортиком нерж./ст. 1100х700х870</t>
  </si>
  <si>
    <t>Стол с бортиком нерж./ст. 1200х700х870</t>
  </si>
  <si>
    <t>Стол с бортиком нерж./ст. 1400х700х870</t>
  </si>
  <si>
    <t>Стол с бортиком нерж./ст. 1600х700х870</t>
  </si>
  <si>
    <t>Стол с бортиком нерж./ст. 1800х700х870</t>
  </si>
  <si>
    <t>Стол с бортиком нерж./ст. 800х700х870</t>
  </si>
  <si>
    <t>Стол с мойкой и смесителем нерж./ст. 1400х700х870, х.г.в. ∅ 3/4" тип А1h= 440, к. ∅ 50 мм.  тип S1 h</t>
  </si>
  <si>
    <t>Стол с мойкой и смесителем нерж./ст. 1400х700х870, х.г.в. ∅ 3/4" тип А1h= 440, к. ∅ 50 мм. тип S1 h</t>
  </si>
  <si>
    <t>Стол с мойкой и смесителем нерж./ст. 1800х700х870, х.г.в. ∅ 3/4" тип А1h= 440, к. ∅ 50 мм. тип S1 h</t>
  </si>
  <si>
    <t>Стол туалетный с зеркалом 600х600х1700</t>
  </si>
  <si>
    <t>Стол туалетный с зеркалом 800х600х1700</t>
  </si>
  <si>
    <t>Стол-тумба под оборудование 800х750х750</t>
  </si>
  <si>
    <t>Стол-шкаф с бортиком нерж./ст.1200х700х850</t>
  </si>
  <si>
    <t>Стол, рама метал. с мраморной столешницей 1400х700х870</t>
  </si>
  <si>
    <t>Стул п/мягкий</t>
  </si>
  <si>
    <t>5 596,00</t>
  </si>
  <si>
    <t>Шкаф для одежды 2-х створчатый 610х500х1800</t>
  </si>
  <si>
    <t>Шкаф многофункциональный 1200х450х2000</t>
  </si>
  <si>
    <t>Шкаф со скользящими дверьми нерж./ст. 1400х700х1540</t>
  </si>
  <si>
    <t>Доска маркерная с лотком в комплекте с маркерами 1200x700х30</t>
  </si>
  <si>
    <t>Сейф метал, 650х450х950</t>
  </si>
  <si>
    <t>Сейф металлический 600х600х900</t>
  </si>
  <si>
    <t>4-х местный комплект обеденной мебели: Стол обеденный на 4 места</t>
  </si>
  <si>
    <t>6-х местный комплект обеденной мебели: Стол обеденный на 6 мест</t>
  </si>
  <si>
    <t>Стол пластиковая столешница 1500*700*800 (столешница МДФ)</t>
  </si>
  <si>
    <t>Стол пластиковая столешница 1500х700х800</t>
  </si>
  <si>
    <t>Подтоварник 1200*800*150</t>
  </si>
  <si>
    <t>Подтоварник 1300х500х130</t>
  </si>
  <si>
    <t>Полка настенная с кронштейнами нерж./ст. 950х300</t>
  </si>
  <si>
    <t>Зеркало настенное</t>
  </si>
  <si>
    <t>4-х местный комплект обеденной мебели: Стул обеденный</t>
  </si>
  <si>
    <t>4-х местный комплект обеденной мебели: Стул обеденный</t>
  </si>
  <si>
    <t>3 497,00</t>
  </si>
  <si>
    <t>6-х местный комплект обеденной мебели: Стул обеденный</t>
  </si>
  <si>
    <t>6-х местный комплект обеденной мебели: Стул обеденный</t>
  </si>
  <si>
    <t>Старший менеджер:</t>
  </si>
  <si>
    <t>Арынгазина Р.Ж.</t>
  </si>
  <si>
    <t>Данные по площадям столовой для сдачи в аренду</t>
  </si>
  <si>
    <t>Площади столовой</t>
  </si>
  <si>
    <t>Загрузочная</t>
  </si>
  <si>
    <t>Моечная тары</t>
  </si>
  <si>
    <t>Помещение кладовщика</t>
  </si>
  <si>
    <t>Кладовая овощей</t>
  </si>
  <si>
    <t>Овощной цех</t>
  </si>
  <si>
    <t xml:space="preserve">Мясо-рыбный </t>
  </si>
  <si>
    <t>Кабинет заведующего</t>
  </si>
  <si>
    <t>Комната уборочного инвентаря</t>
  </si>
  <si>
    <t>45/47</t>
  </si>
  <si>
    <t>Сан/узел</t>
  </si>
  <si>
    <t>46/48</t>
  </si>
  <si>
    <t>Коридор</t>
  </si>
  <si>
    <t>Кладовая сухих продуктов</t>
  </si>
  <si>
    <t>Мучной цех</t>
  </si>
  <si>
    <t>Помещение для яиц</t>
  </si>
  <si>
    <t>Моечная кухонной утвари</t>
  </si>
  <si>
    <t>Электрощитовая</t>
  </si>
  <si>
    <t>Помещение для резки хлеба</t>
  </si>
  <si>
    <t>Моечная столовой посуды</t>
  </si>
  <si>
    <t>Сервизная</t>
  </si>
  <si>
    <t>Холодный цех</t>
  </si>
  <si>
    <t>Горячий цех</t>
  </si>
  <si>
    <t xml:space="preserve">Раздаточная </t>
  </si>
  <si>
    <t>Обеденный зал</t>
  </si>
  <si>
    <t>ИТОГО</t>
  </si>
  <si>
    <t>Первоначальная стоимость</t>
  </si>
  <si>
    <t xml:space="preserve">Весы электронные,  350х325х105, 1ф. 0,20 кВт, тип F15 h=1500 </t>
  </si>
  <si>
    <t>Водоразборный кран  с душевым устройством 3 м,   х.г.в. ∅ 1/2" тип А1 h= 700</t>
  </si>
  <si>
    <t>Водоумягчитель 190х190х900  1ф. 0,1 кВт тип F29, h=50 х.в. ∅ 1/2" тип А1 h= 550, , к. ∅ 50мм  тип S2</t>
  </si>
  <si>
    <t>Доска маркерная с лотком в комплекте с маркерами  1200x700х30</t>
  </si>
  <si>
    <t>Зонт вентиляционный островного типа 3600х2200х500, вытяжка 4500 м3/час,  тип Е1  h= 1900</t>
  </si>
  <si>
    <t>Куттер 3,5 л  273х460х401,  1ф. 1,0 кВт тип F15 h=1500</t>
  </si>
  <si>
    <t>Мармит электрический  для вторых блюд 1668х835х1150,  1ф. 3,6 кВт тип F11 h=50</t>
  </si>
  <si>
    <t>Мармит электрический  для первых блюд 1260х835х1150,  3ф. 3 кВт тип F11 h=50</t>
  </si>
  <si>
    <t>Место кассира 1260х835х1150,  1ф. 0,35 кВт тип F11, h=50</t>
  </si>
  <si>
    <t>Мойка 1 раковина со смесителем 700х700х850,  х.г.в. ∅ 3/4" тип А1 h= 440, к. ∅ 50мм тип S1 h=440</t>
  </si>
  <si>
    <t>Мойка 2 раковины со смесителем 1200х700х850,  х.г.в. ∅ 3/4" тип А1 h= 440, к. ∅ 50мм тип S1 h=440</t>
  </si>
  <si>
    <t>Моноблок среднетемператерный -6+6°С, 1 ф. 1,8 кВт тип  F19 h=2300 (Q Bт 2393)</t>
  </si>
  <si>
    <t>Морозильник 400л. -20-10° C,  703х620х1755, 1ф. 0,64 кВт тип F15 h=1900</t>
  </si>
  <si>
    <t>Мясорубка  200 кг/час 380х220х440, 1ф. 0,75 кВт, тип F15 h=1500</t>
  </si>
  <si>
    <t>Овощерезка 640*350*360 1ф.0,75 кВт.тип F15 h=1500</t>
  </si>
  <si>
    <t>Планетарный миксер 10 л,  279х416х487, 1ф. 0,55 кВт тип F15 h=1300</t>
  </si>
  <si>
    <t>Планетарный миксер 5 л,  279х416х487, 1ф. 0,3 кВт тип F15 h=1300</t>
  </si>
  <si>
    <t>Платформенная тележка 670*600*900</t>
  </si>
  <si>
    <t>Полка нестенная с кронштейнами нерж/ст. 950х300</t>
  </si>
  <si>
    <t>Посудомоечная машина купольного типа  668х756х1507 3ф. 10,6 кВт тип F29 h=100 г.в. ∅ 1/2", тип А1 h=</t>
  </si>
  <si>
    <t>Пристенная вытяжка с лабиринтными фильтрами 1200x1200x500 м.о. 500 м3/час, тип Е2  h= 1900, лампа по</t>
  </si>
  <si>
    <t>Пристенная вытяжка с лабиринтными фильтрами 1200x1400x400 м.о. 1200 м3/час, тип Е2  h= 1900, лампа п</t>
  </si>
  <si>
    <t>Сейф  метал, 650х450х950</t>
  </si>
  <si>
    <t>Сейф металлический  600х600х900</t>
  </si>
  <si>
    <t>Слайсер для нарезки хлеба,  600х600х750, 1ф. 0,30 кВт , тип F15 h=1500</t>
  </si>
  <si>
    <t>Слайсер,  600х600х750, 1ф. 0,30 кВт тип F15 h=1500</t>
  </si>
  <si>
    <t>Стеллаж 4 полки оцинк./ст. 1300х400х1800</t>
  </si>
  <si>
    <t>Стол офисный 1-но тумбовый</t>
  </si>
  <si>
    <t>Стол с мойкой и смесителем  нерж./ст. 1400х700х870, х.г.в. ∅ 3/4" тип А1 h= 440, к. ∅ 50мм  тип S1 h</t>
  </si>
  <si>
    <t>Стол с мойкой и смесителем  нерж./ст. 1800х700х870, х.г.в. ∅ 3/4" тип А1 h= 440, к. ∅ 50мм  тип S1 h</t>
  </si>
  <si>
    <t>Стол туалетный с зеркалом  600х600х1700</t>
  </si>
  <si>
    <t>Стол туалетный с зеркалом  800х600х1700</t>
  </si>
  <si>
    <t>Стол, рама метал.  с мраморной столешницей 1400х700х870</t>
  </si>
  <si>
    <t>Тестомес 40 л, производительность 100-150кг/час, 730х470х800, 3ф. 1,1 кВт тип F3  h=1500</t>
  </si>
  <si>
    <t>Холодильник 1400л. 0+8° C,  1400х804х2020,  1ф. 0,4 кВт тип F15 h=2100</t>
  </si>
  <si>
    <t>Холодильник 400л. +2+10° C,  703х620х1755, 1ф. 0,425 кВт тип F15 h=1900</t>
  </si>
  <si>
    <t>Холодильник 500л. +1+12° C,  697x620x2028, 1ф. 0,37 кВт тип F15 h=1900</t>
  </si>
  <si>
    <t>Холодильник для рыбы -6+6° C,  703х620х1755, 1ф. 0,425 кВт тип F15 h=1900</t>
  </si>
  <si>
    <t>Холодильный стол  0-8° C,  1796х700х850,  1ф. 0,31 кВт тип F15 h=1500</t>
  </si>
  <si>
    <t>Холодильный стол  0-8° C,  2200х700х850,  1ф. 0,45 кВт тип F15 h=1500</t>
  </si>
  <si>
    <t>Холодильный стол  1796*700*850 1ф.0,31 кВт.тип F15 h=1500</t>
  </si>
  <si>
    <t>Холодильный элемент 0+10°C, 1668х835х1150, 1ф. ,  1,4 кВт тип F11 h=50</t>
  </si>
  <si>
    <t>Эл. 4-х конфорочная печь+духовка 800х900х875, 3ф. 18.9 кВт тип F11 h=50</t>
  </si>
  <si>
    <t>Эл. опрокидывающаяся 80 л. сковорода 1000х900х875,3ф. 10,8 кВт тип F11 h=50, к. ∅ 50мм  тип S3 h=0</t>
  </si>
  <si>
    <t>Эл.автоматический умягчитель для воды , 260х500х560, 1ф. 0,02 кВт тип F11 h=50</t>
  </si>
  <si>
    <t>Эл.пароконвекционная печь 10GN 1/1,895х845х1080,3ф.17,3 кВт типF11,х.в,∅1/2"тип А31h= 350,к.∅ 50мм т</t>
  </si>
  <si>
    <t>Эл.раздатчик кипятка, 2Х20л, 1100х530х940, 3ф. 9 кВт, тип F8 h=700, х.в.  ∅ 1/2" тип А4 h= 700</t>
  </si>
  <si>
    <t>Электрический  варочный котел 100 л. 800х900х875, 3ф. 15 кВт тип F11 h=50,  х.в. ∅ 1/2" тип А5 h= 50</t>
  </si>
  <si>
    <t>Электроловушка для насекомых,  195х375, 1ф. 0,1 кВт, тип F15  выключатель  вывести на h=1700 мм от у</t>
  </si>
  <si>
    <t>Элемент предварительной мойки со смесителем 1400х800х900,  х.г.в. ∅ 3/4" тип А1 h= 440, к. ∅ 50мм ти</t>
  </si>
  <si>
    <t xml:space="preserve">Автономная организация образования "Назарбаев Интеллектуальные школы"
</t>
  </si>
  <si>
    <t>Наличие ОС в массажном кабинете</t>
  </si>
  <si>
    <t>Организация</t>
  </si>
  <si>
    <t>Количество</t>
  </si>
  <si>
    <t>Накопленный износ</t>
  </si>
  <si>
    <t>Нормы амортизации</t>
  </si>
  <si>
    <t>МОЛ</t>
  </si>
  <si>
    <t>Счет</t>
  </si>
  <si>
    <t>ОС</t>
  </si>
  <si>
    <t>Инвентарный номер</t>
  </si>
  <si>
    <t>Срок использования для вычисления амортизации</t>
  </si>
  <si>
    <t>Дата принятия к учету</t>
  </si>
  <si>
    <t>Местонахождение ОС</t>
  </si>
  <si>
    <t>Алдабергенова Бижамал Рахимбековна</t>
  </si>
  <si>
    <t>Лампа настольная, 1ф. 0,06 кВт тип F15 h=1500</t>
  </si>
  <si>
    <t>01.01.2016 0:00:00</t>
  </si>
  <si>
    <t>каб.№ 018 (Массажный)</t>
  </si>
  <si>
    <t>Светильник диагностический галогеновый передвижной 1ф.0,1 кВт тип F15 H=1500</t>
  </si>
  <si>
    <t>Комплект мебели руководителя № 1 (стол углового типа, кресло на роликах): Кресло на роликах</t>
  </si>
  <si>
    <t>28.01.2015 0:00:00</t>
  </si>
  <si>
    <t>Комплект мягкой мебели (два кресла, журнальный столик): Журнальный столик</t>
  </si>
  <si>
    <t>Комплект мягкой мебели (диван угл. типа большой, журн. столик): Диван углового типа большой</t>
  </si>
  <si>
    <t>Кушетка медицинская с регулируемым подголовником кож.зам. 1900х585х550</t>
  </si>
  <si>
    <t>Стул вращающийся (кож/зам) 490/660</t>
  </si>
  <si>
    <t>Шкаф медицинский 1-но створчатый метал. 530х440х1700</t>
  </si>
  <si>
    <t>Шкаф медицинский 1-но створчатый с сейфом 530х440х1700</t>
  </si>
  <si>
    <t>Ростомер для взрослых деревянный 550х350х2000</t>
  </si>
  <si>
    <t>Наличие ОС в буфете АОО НИШ</t>
  </si>
  <si>
    <t>2-х дверный холодильный стол -2° C, 1237х700х950, 1ф. 0,34 кВт тип F11 h=50</t>
  </si>
  <si>
    <t>каб.№ Кофебрейк</t>
  </si>
  <si>
    <t>Аппарат по производству горячего шоколада 1-5 л, 250х250х 200, 1ф. 1,3 кВт  тип  F15  h=1200</t>
  </si>
  <si>
    <t>Барная стаканомоечная машина 430х450х615,1ф.3,23 кВт типF15h=500, х.в.∅ 3/4"тип А1 h= 500, к. ∅ 50мм</t>
  </si>
  <si>
    <t>Блендер,  1ф. 0,6 кВт тип F15 h=1200</t>
  </si>
  <si>
    <t>Витрина охлаждаемая 2° C, 1500х900х1250, 1ф. 0,34 кВт тип F11 h=50</t>
  </si>
  <si>
    <t>Водоумягчитель 260х500х560  1ф. 0,02 кВт тип F29, h=50 х.в. ∅ 1/2" тип А1 h= 550, , к. ∅ 100мм  тип</t>
  </si>
  <si>
    <t>Кофемашина  2 гр.автомат, 750х500х510,  1ф. 3,2 кВт , тип F8 h=600 х.в. ∅ 3/4" тип А1 h= 440, к. ∅ 5</t>
  </si>
  <si>
    <t>Кофемолка  220х360х460,  1ф. 0,52 кВт тип F8 h=600</t>
  </si>
  <si>
    <t>Льдогенератор  345х400х595,  1ф. 0,32 кВт тип F5,  h=50 х.в. ∅ 3/4" тип А1 h= 500, к. ∅ 50мм тип S27</t>
  </si>
  <si>
    <t>Миксер для коктейлей,  1ф. 0,45кВт тип F15 h=1200</t>
  </si>
  <si>
    <t>Морозильный стол ,  1237х700х950, 1ф. 0,55 кВт тип F11 h=50</t>
  </si>
  <si>
    <t>Соковыжималка  510х280х460,  1ф. 0,52 кВт тип , F15 h=1200</t>
  </si>
  <si>
    <t>Диван мягкий кож.зам: Диван 3-х местный</t>
  </si>
  <si>
    <t>Комплект мягкой мебели (два кресла, журнальный столик): Кресло мягкое</t>
  </si>
  <si>
    <t>Комплект мягкой мебели (диван углового типа большой, журнальный столик): Журнальный столик</t>
  </si>
  <si>
    <t>Стеллаж 4 полки метал.1000х600х1800</t>
  </si>
  <si>
    <t>Стеллаж 4 полки оцинк./ст. 1000х600х1800</t>
  </si>
  <si>
    <t>Стеллаж 4 полки оцинк./ст. 1200х600х1800</t>
  </si>
  <si>
    <t>Микроволновая печь,  1ф. 2,1 кВт тип F15 h=1300</t>
  </si>
  <si>
    <t xml:space="preserve">ЧУ "Дирекция строящихся Назарбаев Интеллектуальных школ" (Служба по организации обслуживания Комплекса в г. Астана,  АУП </t>
  </si>
  <si>
    <t>и блок энергетики и инженерных сетей)</t>
  </si>
  <si>
    <t>руководитель службы по организации обслуживания Комплекса в г. Астана</t>
  </si>
  <si>
    <t>старший менеджер юрист</t>
  </si>
  <si>
    <t>старший менеджер-юрист</t>
  </si>
  <si>
    <t xml:space="preserve"> менеджер-экономист</t>
  </si>
  <si>
    <t xml:space="preserve">Расчет по оплате труда штатной численности на 2018 год </t>
  </si>
  <si>
    <t>ЧУ "Дирекция строящихся Назарбаев Интеллектуальных школ" (Служба по организации обслуживания Комплекса в г. Астана, персонал,</t>
  </si>
  <si>
    <t xml:space="preserve"> обслуживающий школу МБ по ул. 31)</t>
  </si>
  <si>
    <t>ОСМС</t>
  </si>
  <si>
    <t>старший менеджер бухгалтер</t>
  </si>
  <si>
    <t>менеджер экономист</t>
  </si>
  <si>
    <t>Флорист</t>
  </si>
  <si>
    <t>Оператор стиральных машин</t>
  </si>
  <si>
    <t>=</t>
  </si>
  <si>
    <t xml:space="preserve">ЧУ "Дирекция строящихся Назарбаев Интеллектуальных школ" (Служба по рганизации обслуживания Комплекса в г. Астана, персонал, </t>
  </si>
  <si>
    <t>обслуживающий школу ФМН по ул. 31)</t>
  </si>
  <si>
    <t xml:space="preserve">ЧУ "Дирекция строящихся Назарбаев Интеллектуальных школ" (Служба по организации обслуживания Комплекса в г. Астана, </t>
  </si>
  <si>
    <t>персонал, обслуживающий школу по ул. Туркестана 2/1)</t>
  </si>
  <si>
    <t>Оператор котельной</t>
  </si>
  <si>
    <t xml:space="preserve">ЧУ "Дирекция строящихся Назарбаев Интеллектуальных школ" (Служба по организации обслуживания Комплекса в г. Астана, персонал, </t>
  </si>
  <si>
    <t>обслуживающий школу по ул. Орынбор)</t>
  </si>
  <si>
    <t>ЧУ "Дирекция строящихся Назарбаев Интеллектуальных школ" (Комплекс) (персонал спального корпуса по ул. 31)</t>
  </si>
  <si>
    <t xml:space="preserve">                         (филиал, ЧУ, ТОО, ЦА)</t>
  </si>
  <si>
    <t>2.03.01.02.</t>
  </si>
  <si>
    <t>Расчет на приобретение комплектующих для МКСМ  на 2018 год</t>
  </si>
  <si>
    <t xml:space="preserve">    (комп.к оборудованию)</t>
  </si>
  <si>
    <t>по АОО "Назарбаев Интеллектуальная школа г. Астаны", АОО "Назарбаев Интеллектуальная школа ФМН г. Астаны"</t>
  </si>
  <si>
    <t>Характеристика</t>
  </si>
  <si>
    <t>Ед. изм.</t>
  </si>
  <si>
    <t>Кол-во ед. ОС</t>
  </si>
  <si>
    <t>Количество комплектующих</t>
  </si>
  <si>
    <t>Цена</t>
  </si>
  <si>
    <t>Итого цена с НДС и инф</t>
  </si>
  <si>
    <t>В том числе:</t>
  </si>
  <si>
    <t>ФМН</t>
  </si>
  <si>
    <t>Итого ФМН</t>
  </si>
  <si>
    <t>МБ</t>
  </si>
  <si>
    <t>Итого МБ</t>
  </si>
  <si>
    <t>инт</t>
  </si>
  <si>
    <t>итого инт</t>
  </si>
  <si>
    <t xml:space="preserve">АДМ </t>
  </si>
  <si>
    <t>итого адм</t>
  </si>
  <si>
    <t>Требуется</t>
  </si>
  <si>
    <t>Остаток на складе на  дату планирования</t>
  </si>
  <si>
    <t>Прогнозный остаток на 31.12.</t>
  </si>
  <si>
    <t>Итого к приобретению</t>
  </si>
  <si>
    <t xml:space="preserve">Масло гидравлическое </t>
  </si>
  <si>
    <t>Масло ВМГЗ гидравличиское МКСМ-800</t>
  </si>
  <si>
    <t>л</t>
  </si>
  <si>
    <t>Масло моторное</t>
  </si>
  <si>
    <t>Масло ZIC 5000 10w 40 на двигатель МКСМ-800</t>
  </si>
  <si>
    <t xml:space="preserve">Масло трансмиссионное </t>
  </si>
  <si>
    <t>Масло Тад-17Сибтэк трансмиссионное МКСМ-800</t>
  </si>
  <si>
    <t>Батарейка 6LR61/6LF229V Крона щелочная</t>
  </si>
  <si>
    <t>шт</t>
  </si>
  <si>
    <t>2.03.02.</t>
  </si>
  <si>
    <t>Расчет расходов на горюче-смазочные материалы на 2017 гг.</t>
  </si>
  <si>
    <t xml:space="preserve"> по АОО "Назарбаев Интеллектуальная школа г. Астаны",  АОО "Назарбаев Интеллектуальная школа ФМН г. Астаны"</t>
  </si>
  <si>
    <t xml:space="preserve">                         ( ЧУ)</t>
  </si>
  <si>
    <t>Годовая потребность :</t>
  </si>
  <si>
    <t>Наименование транспортного средства</t>
  </si>
  <si>
    <t>Тип ГСМ</t>
  </si>
  <si>
    <t>Двигатель (объем, см3)</t>
  </si>
  <si>
    <t>Базовая норма 
л/100 км</t>
  </si>
  <si>
    <t>Пробег автомобиля, 
км</t>
  </si>
  <si>
    <t>Суммарная оносительная поправка к расходу топлива, %</t>
  </si>
  <si>
    <t>Климатические условия</t>
  </si>
  <si>
    <t>Географические условия</t>
  </si>
  <si>
    <t>Города с населением от 600 тыс. до 1 млн. человек</t>
  </si>
  <si>
    <t>Установка климат - контроль</t>
  </si>
  <si>
    <t>QH = 0,01 х НБ х L х (1 + 0,01 х Ксумм), где</t>
  </si>
  <si>
    <t>НБ        -  базовая норма расхода топлива, л/100 км;</t>
  </si>
  <si>
    <t>L          - пробег автомобиля, км;</t>
  </si>
  <si>
    <t>Ксумм   - суммарная относительная поправка к расходу топлива, %</t>
  </si>
  <si>
    <t>На 100 км пробега:</t>
  </si>
  <si>
    <t xml:space="preserve">В зимний период: </t>
  </si>
  <si>
    <t>0,01 х 14 х 100 х (1 + 0,01 х 28) =</t>
  </si>
  <si>
    <t>литров</t>
  </si>
  <si>
    <t>В летний период:</t>
  </si>
  <si>
    <t>0,01 х 14 х 100 х (1 + 0,01 х 13) =</t>
  </si>
  <si>
    <r>
      <t xml:space="preserve">Примечание: </t>
    </r>
    <r>
      <rPr>
        <sz val="10"/>
        <rFont val="Times New Roman"/>
        <family val="1"/>
        <charset val="204"/>
      </rPr>
      <t>Расчеты норм, произведены с учетом норм  согласно Постановлению Правительства РК от 11 августа 2009 года №1210 "Об утверждении норм расходов горючесмазочных материалов и расходов на содержание автотранспорта"</t>
    </r>
  </si>
  <si>
    <t>Месяцы</t>
  </si>
  <si>
    <t>Кол-во раб дней</t>
  </si>
  <si>
    <t>Норма расх., л (100 км в день)</t>
  </si>
  <si>
    <t>Кол-во расход. топлива, л</t>
  </si>
  <si>
    <t>Цена за л, тенге</t>
  </si>
  <si>
    <t xml:space="preserve">Январь </t>
  </si>
  <si>
    <t>Февраль</t>
  </si>
  <si>
    <t>Март</t>
  </si>
  <si>
    <t xml:space="preserve">Апрель 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</si>
  <si>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</si>
  <si>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</si>
  <si>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</si>
  <si>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</si>
  <si>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</si>
  <si>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</si>
  <si>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</si>
  <si>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</si>
  <si>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Остаток на начало года</t>
  </si>
  <si>
    <t>Итого потребность</t>
  </si>
  <si>
    <t>мксм зима 5, лето 7</t>
  </si>
  <si>
    <t xml:space="preserve">Расчет ГСМ для газонокосилки и многоцелевой коммунально-строительной машины МКСМ-800 </t>
  </si>
  <si>
    <t xml:space="preserve">№ </t>
  </si>
  <si>
    <t>Наименование расходов</t>
  </si>
  <si>
    <t>Ед.изм.</t>
  </si>
  <si>
    <t>Расход в час л.</t>
  </si>
  <si>
    <t>Кол-во час. работы  в мес.</t>
  </si>
  <si>
    <t>кол-во мес.</t>
  </si>
  <si>
    <t>Расход  в год. л.</t>
  </si>
  <si>
    <t>Цена за ед.изм.</t>
  </si>
  <si>
    <t>Сумма 2017 года</t>
  </si>
  <si>
    <t>Дизельное топливо (летнее) (расчет по школе МБ ул.31)</t>
  </si>
  <si>
    <t>литр</t>
  </si>
  <si>
    <t>Дизельное топливо (зимнее)(расчет по школе МБ ул.31)</t>
  </si>
  <si>
    <t>Дизельное топливо (летнее) (расчет по школе ФМН ул. 31)</t>
  </si>
  <si>
    <t>Дизельное топливо (зимнее) (расчет по школе ФМН ул. 31)</t>
  </si>
  <si>
    <t>АИ-92 для снегоуборочной машины (школа ФМН  по ул. 31)</t>
  </si>
  <si>
    <t>АИ-92 для снегоуборочной машины (школа МБ по ул. 31)</t>
  </si>
  <si>
    <t>АИ-92 для газонокосилки(школа МБ по ул. 31)</t>
  </si>
  <si>
    <t>АИ-92 для газонокосилки (школа ФМН  по ул. 31)</t>
  </si>
  <si>
    <t>Всего потребность</t>
  </si>
  <si>
    <t>Расчет на приобретение канцелярских товаров на 2015 г.</t>
  </si>
  <si>
    <t xml:space="preserve"> по ЧУ "Дирекция строящихся Назарбаев Интеллектуальных школ"</t>
  </si>
  <si>
    <t>Код</t>
  </si>
  <si>
    <t>Кол-во чел.</t>
  </si>
  <si>
    <t>Утвержденная норма на 1-го в год</t>
  </si>
  <si>
    <t>Сотрудники ЧУ</t>
  </si>
  <si>
    <t>Структурное подразделение (СП)</t>
  </si>
  <si>
    <t>Контингент</t>
  </si>
  <si>
    <t>На 1 сотрудника</t>
  </si>
  <si>
    <t>На 1 СП</t>
  </si>
  <si>
    <t>По заявке</t>
  </si>
  <si>
    <t>Итого по норме</t>
  </si>
  <si>
    <t>Итого план</t>
  </si>
  <si>
    <t>Остаток на складе на  дату планирования (на 30.09.15)</t>
  </si>
  <si>
    <t>купим до конца 2014 года</t>
  </si>
  <si>
    <t>Для сотрудников ЧУ</t>
  </si>
  <si>
    <t>На школьные мероприятия</t>
  </si>
  <si>
    <t>16 (13или14+15)</t>
  </si>
  <si>
    <t>22(21/(5+6+9)*5)</t>
  </si>
  <si>
    <t>23 (21-22)</t>
  </si>
  <si>
    <t>Антистеплер</t>
  </si>
  <si>
    <t>универсальный</t>
  </si>
  <si>
    <t>Бейдж</t>
  </si>
  <si>
    <t>горизонтальный, плотный на шнурке (синий)</t>
  </si>
  <si>
    <t>Ежедневник</t>
  </si>
  <si>
    <t>А5, полудатированный</t>
  </si>
  <si>
    <t>Настольный набор (органайзер)</t>
  </si>
  <si>
    <t xml:space="preserve">16х9.5см </t>
  </si>
  <si>
    <t>Бумага офисная белая</t>
  </si>
  <si>
    <t xml:space="preserve"> формата А-4, плотностью 80 гр., 500 листов</t>
  </si>
  <si>
    <t>пачка</t>
  </si>
  <si>
    <t>формата А-3, пл.80 г.500 листов</t>
  </si>
  <si>
    <t xml:space="preserve">Бумага </t>
  </si>
  <si>
    <t>для заметок, 76*76 мм 100л, клейкий</t>
  </si>
  <si>
    <t xml:space="preserve">Дырокол </t>
  </si>
  <si>
    <t>на 20 листов, с линейкой, корпус метал.</t>
  </si>
  <si>
    <t>на  менее 40 листов, с линейкой, корпус метал.</t>
  </si>
  <si>
    <t xml:space="preserve">Зажим </t>
  </si>
  <si>
    <t>канцелярский, 19 мм, в пачке 12 шт.</t>
  </si>
  <si>
    <t>канцелярский, 32 мм, в пачке 12 шт.</t>
  </si>
  <si>
    <t>канцелярский, 51 мм, 12 шт. в пачке</t>
  </si>
  <si>
    <t xml:space="preserve">Индексы </t>
  </si>
  <si>
    <t>тонкие, пластиковые, клеющиеся и цветные 125 лист 5 цветов ,45*12 мм</t>
  </si>
  <si>
    <t>Калькулятор</t>
  </si>
  <si>
    <t>16разрядный</t>
  </si>
  <si>
    <t xml:space="preserve">Карандаш </t>
  </si>
  <si>
    <t>простой, заточенный HB</t>
  </si>
  <si>
    <t>Клей канцелярский</t>
  </si>
  <si>
    <t>карандаш 22 гр</t>
  </si>
  <si>
    <t>Журнал учета</t>
  </si>
  <si>
    <t>формат А4</t>
  </si>
  <si>
    <t>Конверт</t>
  </si>
  <si>
    <t xml:space="preserve"> 275х365 крафт б/окна декстрин 90гр. </t>
  </si>
  <si>
    <t>Корректор</t>
  </si>
  <si>
    <t>корректирующая жидкость с кисточкой, 20 мл, химическая основа</t>
  </si>
  <si>
    <t xml:space="preserve">Ластик </t>
  </si>
  <si>
    <t xml:space="preserve"> 20*30, не оставляет грязных следов</t>
  </si>
  <si>
    <r>
      <rPr>
        <sz val="10"/>
        <rFont val="Times New Roman"/>
        <family val="1"/>
        <charset val="204"/>
      </rPr>
      <t>Линейка</t>
    </r>
  </si>
  <si>
    <t>пластик, 20 см</t>
  </si>
  <si>
    <t>Лоток</t>
  </si>
  <si>
    <t>вертикальный,сборный , 3 секции</t>
  </si>
  <si>
    <t>горизонтальный , металлическ., 3-х ярусный</t>
  </si>
  <si>
    <t>Маркер</t>
  </si>
  <si>
    <t>текстовые в наборе по 4 шт , скошенный</t>
  </si>
  <si>
    <t>упаковка</t>
  </si>
  <si>
    <t xml:space="preserve">Ножницы </t>
  </si>
  <si>
    <t>16 см, нержавеющая сталь, пластик.эргономичные ручки в блистеры</t>
  </si>
  <si>
    <t xml:space="preserve">Регистратор </t>
  </si>
  <si>
    <t xml:space="preserve"> А 4, 80 мм , съемный арочно- рычажный прижимной механизм, плотный картон,на корешке карман со сменной этикеткой и кольцо с метал. Оконтовкой</t>
  </si>
  <si>
    <t xml:space="preserve">Папка с файлами </t>
  </si>
  <si>
    <t xml:space="preserve">60 файлов, плотная А 4 </t>
  </si>
  <si>
    <t xml:space="preserve">Скоросшиватель </t>
  </si>
  <si>
    <t>А 4,картонный,белый мелованныйВ-П)</t>
  </si>
  <si>
    <t>пластиковый,плотный,  с пластиковым сшивателем, прозрачная титульная обложка</t>
  </si>
  <si>
    <t xml:space="preserve">Разделитель </t>
  </si>
  <si>
    <t>пластиковый А 4, 20 цифр, цветные</t>
  </si>
  <si>
    <t xml:space="preserve">Ручка </t>
  </si>
  <si>
    <t>шариковая,автоматическая. мягкая зона грифа, толщина линии 0,5 мл., стержень цветной</t>
  </si>
  <si>
    <t>Скобы</t>
  </si>
  <si>
    <t>средние №24/6, стальные,в пачке 1000 шт</t>
  </si>
  <si>
    <t xml:space="preserve">Скобы </t>
  </si>
  <si>
    <t>большие,23/6, стальные ,1000 шт</t>
  </si>
  <si>
    <t xml:space="preserve">Скобы  </t>
  </si>
  <si>
    <t>маленькие №10,стальные, в пачке 1000 шт</t>
  </si>
  <si>
    <t xml:space="preserve">Скрепки </t>
  </si>
  <si>
    <t>32 мм, никель,в пачке 100 шт</t>
  </si>
  <si>
    <t xml:space="preserve">Степлер </t>
  </si>
  <si>
    <t>маленький, №10, 10 л</t>
  </si>
  <si>
    <t>Точилка</t>
  </si>
  <si>
    <t>Пластиковая, с контейнером для стружки</t>
  </si>
  <si>
    <t xml:space="preserve">Файл </t>
  </si>
  <si>
    <t>формата А-4,прозрачн., плотн. 50 мкр., корешок с универсальн. перфорацией</t>
  </si>
  <si>
    <t>шило</t>
  </si>
  <si>
    <t xml:space="preserve"> канцелярское, 3 мм</t>
  </si>
  <si>
    <t>Цена ТОО "АБДИ ЕКОН"</t>
  </si>
  <si>
    <t>Цена ИП "Нургалиев С.У."</t>
  </si>
  <si>
    <t>Цена ИП "Мустафа"</t>
  </si>
  <si>
    <t>Нить</t>
  </si>
  <si>
    <t>капроновая,толщиной 1,4 мм., бобина</t>
  </si>
  <si>
    <t>Расчет на приобретение моющих средств, пр. ТМЦ и хоз. товаров  на 2015 г.</t>
  </si>
  <si>
    <t xml:space="preserve">    (моющих, пр.ТМЦ  и хоз. товаров)</t>
  </si>
  <si>
    <t xml:space="preserve"> по  ЧУ "Дирекция строящихся Назарбаев Интеллектуальных школ" (Комплекс)</t>
  </si>
  <si>
    <t>Площадь</t>
  </si>
  <si>
    <t>Кол-во сан.ед. (унитаз, раковина, душ.кабина и т.п.)</t>
  </si>
  <si>
    <t>Численность</t>
  </si>
  <si>
    <t>По норме</t>
  </si>
  <si>
    <t>Итого моющие</t>
  </si>
  <si>
    <t>адм</t>
  </si>
  <si>
    <t>МШ</t>
  </si>
  <si>
    <t>Орын</t>
  </si>
  <si>
    <t xml:space="preserve"> Мистер Пропер </t>
  </si>
  <si>
    <t xml:space="preserve">Порошок </t>
  </si>
  <si>
    <t xml:space="preserve"> Мыло хозяйственное</t>
  </si>
  <si>
    <t>200 гр, концентрированное, натуральное, гипераллергенное, ароматизарованное, с глицерином, белое мыло в упаковке, для стирки детского белья</t>
  </si>
  <si>
    <t>штук</t>
  </si>
  <si>
    <t xml:space="preserve"> Средство  моющее для поломоющей машины</t>
  </si>
  <si>
    <t>на водно-спиртовой основе, не требующее смывания для твердых поверхностей, РН нейтральное, емкость 5 л</t>
  </si>
  <si>
    <t xml:space="preserve"> средство для удаления минеральных отложений</t>
  </si>
  <si>
    <t>для удаления минеральных, известковых отложений,оксидов, неорганических и органических типов загрязнений, запах ароматный, РН 1+/-0,5, растворимость в воде полная, емкость 5л</t>
  </si>
  <si>
    <t xml:space="preserve"> средство для полов концентрированное</t>
  </si>
  <si>
    <t>суперконцентрированное, щелочное, обезжиривающее, идеален для обезжиривания и чистки поверхностей, полов и оборудования, РН 13,04+/-0,3емкость 5 л</t>
  </si>
  <si>
    <t>Белизна</t>
  </si>
  <si>
    <t>Удаление пятен с льняных изделий. Мытье различных поверхностей. Дезинфекция. Расход 1/5 стакана на 10 л. воды.(отбеливатель для удаленния пятен, объем 1 литр)</t>
  </si>
  <si>
    <t xml:space="preserve">Дезинфицирующее средство для унитазов"Утенок", </t>
  </si>
  <si>
    <t>жидкое 500 гр</t>
  </si>
  <si>
    <t xml:space="preserve">Део Хлор </t>
  </si>
  <si>
    <t>дезинфицирующее средство, в упаковке 300 шт</t>
  </si>
  <si>
    <t xml:space="preserve">Зубная паста </t>
  </si>
  <si>
    <t>75 мл, профилактическая, антибактериальная,  рекоменованной Ассоциацией стоматологов Каз-на</t>
  </si>
  <si>
    <t>тюбик</t>
  </si>
  <si>
    <t>зубная щетка хоз</t>
  </si>
  <si>
    <t>Кондиционер для белья</t>
  </si>
  <si>
    <t>емкость 1л.</t>
  </si>
  <si>
    <t>мочалка банная хоз</t>
  </si>
  <si>
    <t xml:space="preserve">Мыло жидкое </t>
  </si>
  <si>
    <t>антибактериальное жидкое мыло-гель с глицерином, РН нейтральный, 5 литров</t>
  </si>
  <si>
    <t>Мыло туалетное</t>
  </si>
  <si>
    <t xml:space="preserve">мыло детское, антиаллергенное,  с увлажняющими компонентами, без красителей, 150 гр., </t>
  </si>
  <si>
    <t xml:space="preserve">Мыло хозяйственное  </t>
  </si>
  <si>
    <t>200 гр, 72%, экологически чистый безвредный продукт, в составе натриевые соли жирных кислот, без добавления красителей, консервантов</t>
  </si>
  <si>
    <t>Освежитель воздуха, Глейд. В хоз</t>
  </si>
  <si>
    <t>Полироль для ухода за мебелью</t>
  </si>
  <si>
    <t>Порошок стиральный</t>
  </si>
  <si>
    <t xml:space="preserve"> 9кг, автомат, в плотном пакете</t>
  </si>
  <si>
    <t>Пятновыводитель для белья</t>
  </si>
  <si>
    <t>не содержит хлор, емкость 1 л.</t>
  </si>
  <si>
    <t xml:space="preserve">Сода кальцинированная </t>
  </si>
  <si>
    <t>500гр.</t>
  </si>
  <si>
    <t xml:space="preserve">Сода пищевая </t>
  </si>
  <si>
    <t>500гр., натрий двууглекислый</t>
  </si>
  <si>
    <t>Средство для мытья полов</t>
  </si>
  <si>
    <t>Универсальное чистящее средство для пола, 400 гр</t>
  </si>
  <si>
    <t xml:space="preserve">Средство для общей чистки полов </t>
  </si>
  <si>
    <t>Универсальное жидкое моющее средство для пол и стен с дезенфицирующими свойствами, емкость 750 мл</t>
  </si>
  <si>
    <t>был МП 750 мл</t>
  </si>
  <si>
    <t xml:space="preserve">Средство для смягчения воды и предотвращения образования накипи </t>
  </si>
  <si>
    <t>порошок, 550 гр.</t>
  </si>
  <si>
    <t>Средство для очистки самых разнообразных напольных покрытий. Очищаемые поверхности ПВХ, полиуретан, покрытия на основе эпоксидной смолы,  гранит, кварцит, песчанник, сланец, различные виды мрамора, террацо, терракота, травертин, емк. 20 л</t>
  </si>
  <si>
    <t>Средство моющее для мытья посуды</t>
  </si>
  <si>
    <t>детское, 500 мл</t>
  </si>
  <si>
    <t>Средство чистящее для ковров</t>
  </si>
  <si>
    <t>емкость 750 мл, состав менее 5% кислородсодержащий отбеливатель,неионогенные и амионные ПАВ, поликарбоксилаты</t>
  </si>
  <si>
    <t>Средство чистящее для раковин</t>
  </si>
  <si>
    <t xml:space="preserve">состав абразивный компонент на меловой основе и хлоринол,емкость в банке 400 гр </t>
  </si>
  <si>
    <t>Средство чистящее для санузла</t>
  </si>
  <si>
    <t xml:space="preserve">Универсальный чистящий, дезинфицирующий гель, емкость 1 л. </t>
  </si>
  <si>
    <t>Средство чистящее для стекол</t>
  </si>
  <si>
    <t xml:space="preserve">из прозрачного пластика с распылителем, емк 0,5 литров </t>
  </si>
  <si>
    <t xml:space="preserve">Чистящее средство для труб </t>
  </si>
  <si>
    <t xml:space="preserve">Шампунь </t>
  </si>
  <si>
    <t>250 гр., для все типов волос, с кондиционером</t>
  </si>
  <si>
    <t>Итого хоз. товаров</t>
  </si>
  <si>
    <t xml:space="preserve"> Бумага туалетная  </t>
  </si>
  <si>
    <t>(150 м) 2хслойная,белая, экономичная</t>
  </si>
  <si>
    <t>рул</t>
  </si>
  <si>
    <t>Автоматические выключатели</t>
  </si>
  <si>
    <t>NM1-630S/3Р от 400A до 630А - 35кА</t>
  </si>
  <si>
    <t xml:space="preserve">Автоматический выключатель </t>
  </si>
  <si>
    <t>ВА88-35, 400В, 50Гц, 250 А</t>
  </si>
  <si>
    <t>шт.</t>
  </si>
  <si>
    <t>ВА88-34, 400В, 50Гц, 200 А</t>
  </si>
  <si>
    <t>ВА88-35, 400В, 50Гц, 125 А</t>
  </si>
  <si>
    <t>ВА88-32, 400В, 50Гц, 80 А</t>
  </si>
  <si>
    <t>ВА47-29М, С, 3-полюсный, ~400В, 20А</t>
  </si>
  <si>
    <t>Автоматический выключатель трехполюсный</t>
  </si>
  <si>
    <t>ВА47-29М, 400В, 25А</t>
  </si>
  <si>
    <t>ВА47-29М, С, 3-полюсный, ~400В, 32А</t>
  </si>
  <si>
    <t>ВА47-29М, С, 3-полюсный, ~400В, 40А</t>
  </si>
  <si>
    <t>ВА47-29М, С, 3-полюсный, ~400В, 63А</t>
  </si>
  <si>
    <t>ВА47-29М, В, 1-полюсный, ~230В, 16А</t>
  </si>
  <si>
    <t>ВА47-29М, В, 1-полюсный, ~230В, 20А</t>
  </si>
  <si>
    <t>ВА47-29М, В, 1-полюсный, ~230В, 25А</t>
  </si>
  <si>
    <t>ВА47-29М, В, 1-полюсный, ~230В, 32А</t>
  </si>
  <si>
    <t>Автоматический выключатель  однополюсный</t>
  </si>
  <si>
    <t>ВА47-29М, В, 230В, 40А</t>
  </si>
  <si>
    <t>ВА47-29М, В, 1-полюсный, ~230В, 63А</t>
  </si>
  <si>
    <t xml:space="preserve">Адаптер </t>
  </si>
  <si>
    <t>15, внутренний</t>
  </si>
  <si>
    <t>15, наружний</t>
  </si>
  <si>
    <t xml:space="preserve">Болт анкерный </t>
  </si>
  <si>
    <t xml:space="preserve">стальной </t>
  </si>
  <si>
    <t>упак</t>
  </si>
  <si>
    <t>стальной, разных размеров</t>
  </si>
  <si>
    <t>с шестигранной головкой, оцинкованный, 10х100 мм</t>
  </si>
  <si>
    <t>с шестигранной головкой, оцинкованный, 8х100 мм</t>
  </si>
  <si>
    <t xml:space="preserve">Батарейки </t>
  </si>
  <si>
    <t>аа, 1,5 В</t>
  </si>
  <si>
    <t>ааа, 1,5 В</t>
  </si>
  <si>
    <t>Батарейки для индикатора</t>
  </si>
  <si>
    <t xml:space="preserve"> AG13</t>
  </si>
  <si>
    <t>для фонарика, АА, пальчиковые</t>
  </si>
  <si>
    <t>Набор бит (набор насадок на шуруп у нас)</t>
  </si>
  <si>
    <t>набор для шуруповерта из 10-ти вставок с шестигранным хвостовиком 1/4"х25мм</t>
  </si>
  <si>
    <t>2000 цена</t>
  </si>
  <si>
    <t xml:space="preserve">Бумага туалетная  </t>
  </si>
  <si>
    <t>однослойная, диаметр рулона не менее 102 мм, длина рулона не менее 50 м, с перфорацией, со втулкой, неокрашенная</t>
  </si>
  <si>
    <t xml:space="preserve">Бур </t>
  </si>
  <si>
    <t>Ø 6, длина 110мм, с победитовой головкой</t>
  </si>
  <si>
    <t>Ø 8, длина 160мм, с победитовой головкой</t>
  </si>
  <si>
    <t>Бур</t>
  </si>
  <si>
    <t>Ø 10, длина 180мм, с победитовой головкой</t>
  </si>
  <si>
    <t xml:space="preserve">Валик </t>
  </si>
  <si>
    <t>малярный, меховой из меха ягненка, 250 мм</t>
  </si>
  <si>
    <t>Ванночка малярная</t>
  </si>
  <si>
    <t>пластиковая 330*350 мм</t>
  </si>
  <si>
    <t xml:space="preserve">Ведро </t>
  </si>
  <si>
    <t>пластмассовое, без крышки, 10 л</t>
  </si>
  <si>
    <t>пластмассовое с крышкой, 5л</t>
  </si>
  <si>
    <t>оцинкованное, 10 л</t>
  </si>
  <si>
    <t>Веник</t>
  </si>
  <si>
    <t>сорго, обвязанный в 4х местах</t>
  </si>
  <si>
    <t>Кран шаровый</t>
  </si>
  <si>
    <t>20 мм</t>
  </si>
  <si>
    <t xml:space="preserve">Кран шаровый </t>
  </si>
  <si>
    <t>15 мм</t>
  </si>
  <si>
    <t>веревка рулон</t>
  </si>
  <si>
    <t>компл.</t>
  </si>
  <si>
    <t>шпатлевка (ветонит)</t>
  </si>
  <si>
    <t>смесь сухая, водостойкая</t>
  </si>
  <si>
    <t>Ветошь</t>
  </si>
  <si>
    <t>обтирочная, хлопчатобумажная, нетканная, рулон 100 м</t>
  </si>
  <si>
    <t>Вилка силовая электрическая</t>
  </si>
  <si>
    <t xml:space="preserve"> 16А, 220 В, с заземлением, штепсельная</t>
  </si>
  <si>
    <t>25а, 220В, с заземлением, штепсельная</t>
  </si>
  <si>
    <t xml:space="preserve">Краска </t>
  </si>
  <si>
    <t>водоэмульсионная, 25 кг, моющаяся, матовая, для внутренних работ, плотность дисперсии не менее 1,4</t>
  </si>
  <si>
    <t>бан</t>
  </si>
  <si>
    <t>водоэмульсионная, 25 кг, моющаяся, матовая, для наружних работ, плотность дисперсии не менее 1,4</t>
  </si>
  <si>
    <t xml:space="preserve"> алкидная эмаль, ПФ-115, 3кг, цвет по согласованию, быстросохнущая, </t>
  </si>
  <si>
    <t>банка</t>
  </si>
  <si>
    <t xml:space="preserve">Вставка плавкая </t>
  </si>
  <si>
    <t>ППН-33-100А</t>
  </si>
  <si>
    <t>Выключатель</t>
  </si>
  <si>
    <t xml:space="preserve"> 4331-021, тит металлик-2 кл с подсв</t>
  </si>
  <si>
    <t xml:space="preserve">Выключатель </t>
  </si>
  <si>
    <t xml:space="preserve"> внутренний, цвет-белый, одноклавишный, 220В, 10А, с индикатором, степень защиты IP20;</t>
  </si>
  <si>
    <t>внутренний , цвет-белый, двухклавишный, 220В, 10А, с индикатором, степень защиты IP20;</t>
  </si>
  <si>
    <t xml:space="preserve">Выключатель  </t>
  </si>
  <si>
    <t>наружный, цвет-белый, одноклавишный, 220В, 10А, с индикатором, степень защиты IP20;</t>
  </si>
  <si>
    <t>наружный , цвет-белый, двухклавишный, 220В, 10А, с индикатором, степень защиты IP20;</t>
  </si>
  <si>
    <t xml:space="preserve">Гипсовая смесь </t>
  </si>
  <si>
    <t>белая, по 25 кг</t>
  </si>
  <si>
    <t>мешок</t>
  </si>
  <si>
    <t>серая,25 кг</t>
  </si>
  <si>
    <t xml:space="preserve">Гофра </t>
  </si>
  <si>
    <t>для соединения унитаза, из ПВХ, гофрированная, диаметр не менее 100мм,</t>
  </si>
  <si>
    <t xml:space="preserve">Грабли </t>
  </si>
  <si>
    <t>садовые, витые зубцы, не менее 12 зубьев, нержавеющая сталь толщиной 2 мм, с деревянным черенком</t>
  </si>
  <si>
    <t>Губка для мытья</t>
  </si>
  <si>
    <t>бытовые, размер 98*66*35, антимикробная, крепкий абразивный слой, с захватом</t>
  </si>
  <si>
    <t>Диск абразивный</t>
  </si>
  <si>
    <t xml:space="preserve"> отрезной, диам, 125*1,4*22</t>
  </si>
  <si>
    <t>Диск алмазный</t>
  </si>
  <si>
    <t>отрезной, по кафелю и стеклу</t>
  </si>
  <si>
    <t>шлифовальный</t>
  </si>
  <si>
    <t xml:space="preserve">Дроссель электронный </t>
  </si>
  <si>
    <t xml:space="preserve"> ЭПРА 1*36W OSRAM- </t>
  </si>
  <si>
    <t xml:space="preserve">Дроссель электронный  </t>
  </si>
  <si>
    <t>ЭПРА 1*36W OSRAM</t>
  </si>
  <si>
    <t xml:space="preserve">Дроссель, </t>
  </si>
  <si>
    <t>2х36Вт</t>
  </si>
  <si>
    <t>4х18Вт</t>
  </si>
  <si>
    <t xml:space="preserve">Дюбель- гвоздь </t>
  </si>
  <si>
    <t>8*60, металлические</t>
  </si>
  <si>
    <t xml:space="preserve">Емкость </t>
  </si>
  <si>
    <t>для разведения дезсредств, 20л, пластмассовая, с крышкой</t>
  </si>
  <si>
    <t xml:space="preserve">Земля </t>
  </si>
  <si>
    <t>почвосмесь, универсальная, в мешке, 50л</t>
  </si>
  <si>
    <t>Жидкие гвозди</t>
  </si>
  <si>
    <t>Замок</t>
  </si>
  <si>
    <t>врезной, для дверей</t>
  </si>
  <si>
    <t xml:space="preserve">Замок </t>
  </si>
  <si>
    <t>дверной, врезной, межкомнатный</t>
  </si>
  <si>
    <t>навесной</t>
  </si>
  <si>
    <t>дверн., накладн, для металл. Дверей</t>
  </si>
  <si>
    <t>мебельный, накладной</t>
  </si>
  <si>
    <t>накладной, для локеров( металлических шкафов, с цифров. номерами на ключе и замке)</t>
  </si>
  <si>
    <t>запаски для валика</t>
  </si>
  <si>
    <t>Запасная тряпка для швабры</t>
  </si>
  <si>
    <t xml:space="preserve"> материал шинил.   размеры: 39,5х9,5 см.</t>
  </si>
  <si>
    <t>зубило</t>
  </si>
  <si>
    <t>Зубная щетка</t>
  </si>
  <si>
    <t>средней жесткости, с подушечкой для чистки языка, рекоменованная Ассоциацией стоматологов Каз-на</t>
  </si>
  <si>
    <t>Игла цыганская</t>
  </si>
  <si>
    <t xml:space="preserve">Известь </t>
  </si>
  <si>
    <t>негашенная</t>
  </si>
  <si>
    <t>кг</t>
  </si>
  <si>
    <t xml:space="preserve">Изолента </t>
  </si>
  <si>
    <t>хб</t>
  </si>
  <si>
    <t>ПВХ</t>
  </si>
  <si>
    <t xml:space="preserve">Индикатор   </t>
  </si>
  <si>
    <t>ПИН-90 , 100- 500 Вт</t>
  </si>
  <si>
    <t>Инструмент для герметгеноз</t>
  </si>
  <si>
    <t xml:space="preserve"> зубчатый шток 320 мл</t>
  </si>
  <si>
    <t xml:space="preserve">Инструмент для снятия изоляции </t>
  </si>
  <si>
    <t>(для зачистки проводов 180мм) HWSP04</t>
  </si>
  <si>
    <t xml:space="preserve">Кабелерез </t>
  </si>
  <si>
    <t>10 HCCB0210</t>
  </si>
  <si>
    <t xml:space="preserve">Кабелерез усиленный </t>
  </si>
  <si>
    <t>240мм,ННССВ0210</t>
  </si>
  <si>
    <t>Кабель</t>
  </si>
  <si>
    <t xml:space="preserve"> ВВГ, 2,5х3, медный, трехжильный</t>
  </si>
  <si>
    <t>м</t>
  </si>
  <si>
    <t xml:space="preserve"> ВВГ, 4х5, медный, 5жильный</t>
  </si>
  <si>
    <t>кабель</t>
  </si>
  <si>
    <t>ТТР 4х10</t>
  </si>
  <si>
    <t>п/м</t>
  </si>
  <si>
    <t xml:space="preserve">Кабель </t>
  </si>
  <si>
    <t>ВВГ, 1,5х3, медный, трехжильный</t>
  </si>
  <si>
    <t xml:space="preserve">TTR, 3х2,5 </t>
  </si>
  <si>
    <t xml:space="preserve">кабель </t>
  </si>
  <si>
    <t>ВВГ 5х6, медный, пятижильный</t>
  </si>
  <si>
    <t xml:space="preserve">Кабель      </t>
  </si>
  <si>
    <t>ВВГ 2*2,5 , м, медный, трехжильный</t>
  </si>
  <si>
    <t xml:space="preserve">Кабель         </t>
  </si>
  <si>
    <t>КГ 2*2,5, м</t>
  </si>
  <si>
    <t xml:space="preserve">Кабель-канал </t>
  </si>
  <si>
    <t>40х40 мм</t>
  </si>
  <si>
    <t xml:space="preserve">Кабель-канал напольный </t>
  </si>
  <si>
    <t>не менеее 60х40 мм</t>
  </si>
  <si>
    <t>Муфта канализационная</t>
  </si>
  <si>
    <t>100*50, материал ПВХ</t>
  </si>
  <si>
    <t>Канцелярский нож в канцел</t>
  </si>
  <si>
    <t>158 мм (HKNS 1803)</t>
  </si>
  <si>
    <t xml:space="preserve">Канцелярский нож </t>
  </si>
  <si>
    <t>169 мм (HKNS 1805)</t>
  </si>
  <si>
    <t xml:space="preserve">Удлинитель </t>
  </si>
  <si>
    <t>50м, катушка, 4 розетки</t>
  </si>
  <si>
    <t>Кисть малярная</t>
  </si>
  <si>
    <t>деревянная ручка, ширина кисти 10-50 мм, щетина натуральная</t>
  </si>
  <si>
    <t>деревянная ручка, ширина кисти 50-100 мм, щетина натуральная</t>
  </si>
  <si>
    <t>Киянка</t>
  </si>
  <si>
    <t>деревянная</t>
  </si>
  <si>
    <t>Клапан смыва для писсуара</t>
  </si>
  <si>
    <t>материал из нержавеющей стали</t>
  </si>
  <si>
    <t>Клей</t>
  </si>
  <si>
    <t>для кафеля, 25 кг, в мешках</t>
  </si>
  <si>
    <t xml:space="preserve">Клемные колодки </t>
  </si>
  <si>
    <t>из специального теплостойкого ПВХ,контактная часть клеммы из латуни, диапазон сечения, 4 мм</t>
  </si>
  <si>
    <t>из  теплостойкого ПВХ,контактная часть клеммы из латуни, диапазон сечения, 10 мм</t>
  </si>
  <si>
    <t>Клещи электроизмерительные</t>
  </si>
  <si>
    <t>диапозон измерения до 1000 В, 750 А</t>
  </si>
  <si>
    <t xml:space="preserve">Клещи электроизмерительные </t>
  </si>
  <si>
    <t xml:space="preserve">Клещи-автомат, </t>
  </si>
  <si>
    <t>для снятия изоляции провода с сечением 0,2-6,0 мм2, оснащен удобными рукоятками с покрытием из ПВХ</t>
  </si>
  <si>
    <t>ключ газовый №1</t>
  </si>
  <si>
    <t xml:space="preserve"> для сантехнических работ</t>
  </si>
  <si>
    <t xml:space="preserve">ключ газовый №2 </t>
  </si>
  <si>
    <t>для сантехнических работ</t>
  </si>
  <si>
    <t xml:space="preserve">ключ газовый №3 </t>
  </si>
  <si>
    <t xml:space="preserve">ключ газовый №5 </t>
  </si>
  <si>
    <t xml:space="preserve">Коврик диэлектрический </t>
  </si>
  <si>
    <t>на прорезиненной основе</t>
  </si>
  <si>
    <t xml:space="preserve">Колер  </t>
  </si>
  <si>
    <t>универсальный концентрат для тонирования, 20 мл, разных цветов</t>
  </si>
  <si>
    <t xml:space="preserve">Компактная люминесцентная лампа </t>
  </si>
  <si>
    <t>цоколь-2D, 28Вт</t>
  </si>
  <si>
    <t>цоколь-2D, 21Вт</t>
  </si>
  <si>
    <t>цоколь-2D, 38Вт</t>
  </si>
  <si>
    <t>комплект для котельной</t>
  </si>
  <si>
    <t>Ерш для унитаза</t>
  </si>
  <si>
    <t>пластиковый, со стаканом</t>
  </si>
  <si>
    <t>Корзина для мусора</t>
  </si>
  <si>
    <t>пластмассовая, 10 л</t>
  </si>
  <si>
    <t xml:space="preserve">Кран </t>
  </si>
  <si>
    <t>диам 15, пластик</t>
  </si>
  <si>
    <t>кран шаровый, объединить</t>
  </si>
  <si>
    <t>кран шаровый</t>
  </si>
  <si>
    <t xml:space="preserve"> d=15</t>
  </si>
  <si>
    <t xml:space="preserve"> d=20</t>
  </si>
  <si>
    <t xml:space="preserve"> d=25</t>
  </si>
  <si>
    <t xml:space="preserve"> d=50</t>
  </si>
  <si>
    <t xml:space="preserve">кран шаровый </t>
  </si>
  <si>
    <t>d=32</t>
  </si>
  <si>
    <t>d=45</t>
  </si>
  <si>
    <t xml:space="preserve"> d=15, ПВХ, диам.20, сварной</t>
  </si>
  <si>
    <t>Крышка ревизии</t>
  </si>
  <si>
    <t>матер ПВХ, диам 100</t>
  </si>
  <si>
    <t>матер ПВХ, диам. 50</t>
  </si>
  <si>
    <t>Кувалда</t>
  </si>
  <si>
    <t>кованная, с деревянной ручкой</t>
  </si>
  <si>
    <t>Лампа люминесцентная</t>
  </si>
  <si>
    <t xml:space="preserve">L18/765 </t>
  </si>
  <si>
    <t xml:space="preserve">L36/765  </t>
  </si>
  <si>
    <t xml:space="preserve">Лампа  накаливания </t>
  </si>
  <si>
    <t xml:space="preserve">95 Вт E27 </t>
  </si>
  <si>
    <t>Лампа энергосберегающая</t>
  </si>
  <si>
    <t>E27 , не менее 20Вт</t>
  </si>
  <si>
    <t>E27  23 Вт</t>
  </si>
  <si>
    <t xml:space="preserve">Лампа газоразрядная </t>
  </si>
  <si>
    <t xml:space="preserve"> E40, 250Вт</t>
  </si>
  <si>
    <t>компактная, 26 Вт</t>
  </si>
  <si>
    <t>компактная, 18 Вт</t>
  </si>
  <si>
    <t xml:space="preserve">Лампа люминесцентная </t>
  </si>
  <si>
    <t>T8, 18Вт</t>
  </si>
  <si>
    <t xml:space="preserve"> T8, 36Вт</t>
  </si>
  <si>
    <t xml:space="preserve">E27  32 W </t>
  </si>
  <si>
    <t>Лампа ртутная</t>
  </si>
  <si>
    <t>ДРИ, 250Вт</t>
  </si>
  <si>
    <t>компактная, 58 вт</t>
  </si>
  <si>
    <t>лампа накаливания</t>
  </si>
  <si>
    <t xml:space="preserve"> Е 27, 60 вт</t>
  </si>
  <si>
    <t>Ледоруб</t>
  </si>
  <si>
    <t>металлический</t>
  </si>
  <si>
    <t>Лен сантехнический</t>
  </si>
  <si>
    <t>в катушке или косе</t>
  </si>
  <si>
    <t xml:space="preserve">Лом   </t>
  </si>
  <si>
    <t>двухсторонний, металлический</t>
  </si>
  <si>
    <t>Молоток</t>
  </si>
  <si>
    <t>с деревянной рукояткой, металлический</t>
  </si>
  <si>
    <t>Мочалка банная</t>
  </si>
  <si>
    <t>большая, с ручкой, синтетическая</t>
  </si>
  <si>
    <t xml:space="preserve">Мультиметр "Ручка" </t>
  </si>
  <si>
    <t>3-300V UT118B</t>
  </si>
  <si>
    <t>Набор ключей рожковых</t>
  </si>
  <si>
    <t>рожковые, набор 7-32 мм,  из хром-ванадиевой закаленной и отпущенной стали</t>
  </si>
  <si>
    <t>набор</t>
  </si>
  <si>
    <t xml:space="preserve">Набор отверток </t>
  </si>
  <si>
    <t>набор, 6 шт</t>
  </si>
  <si>
    <t>Набор отверток</t>
  </si>
  <si>
    <t xml:space="preserve"> изолированных</t>
  </si>
  <si>
    <t>Набор плотника</t>
  </si>
  <si>
    <t>в чемодане не менее 8 предметов</t>
  </si>
  <si>
    <t>Набор ручного инструмента</t>
  </si>
  <si>
    <t>8 предметов, в пластиковом чемодане</t>
  </si>
  <si>
    <t>шуруп</t>
  </si>
  <si>
    <t>саморез по металлу</t>
  </si>
  <si>
    <t>Набор стамесок</t>
  </si>
  <si>
    <t>в набор входит 7 предметов в пластиковом чемодане</t>
  </si>
  <si>
    <t>Набор электрика-эксплуатационщика</t>
  </si>
  <si>
    <t xml:space="preserve"> В набор входят 16 предметов</t>
  </si>
  <si>
    <t xml:space="preserve">Набор насадок </t>
  </si>
  <si>
    <t>для шуруповерта</t>
  </si>
  <si>
    <t>электрика</t>
  </si>
  <si>
    <t xml:space="preserve">Ножовка </t>
  </si>
  <si>
    <t>по дереву с крупными зубцами, 350 мм, 7-8 TPI, зуб 2D, калёный зуб, 2-х компонентная рукоятка</t>
  </si>
  <si>
    <t>по металлу, пластмассовая ручка, 300мм</t>
  </si>
  <si>
    <t>Бирка</t>
  </si>
  <si>
    <t>пластиковые (качественные) с никелированным кольцом и бумажной вставкой покрытой защитной пленкой. Размер: 52 х 22 мм (поле для надписи 31 х 14 мм)</t>
  </si>
  <si>
    <t>номерки для ключей в гардероб</t>
  </si>
  <si>
    <t xml:space="preserve">Окномойка </t>
  </si>
  <si>
    <t>3\1 длинная ручка</t>
  </si>
  <si>
    <t>Освежитель воздуха</t>
  </si>
  <si>
    <t xml:space="preserve"> аэрозоль, 300 мл</t>
  </si>
  <si>
    <t>Отвод водопроводный</t>
  </si>
  <si>
    <t>ПВХ,  диаметр 20</t>
  </si>
  <si>
    <t>Пакет для мусора</t>
  </si>
  <si>
    <t xml:space="preserve"> 60 л, в рулоне 20 шт</t>
  </si>
  <si>
    <t xml:space="preserve"> 30 л, в рулоне  20 шт</t>
  </si>
  <si>
    <t xml:space="preserve">Патрон </t>
  </si>
  <si>
    <t>электрический, керамический, Е27</t>
  </si>
  <si>
    <t>Пена монтажная</t>
  </si>
  <si>
    <t>всесезонная, профессиональная, 750 мл</t>
  </si>
  <si>
    <t>Перчатки</t>
  </si>
  <si>
    <t>хб, с резиновыми точками</t>
  </si>
  <si>
    <t>пары</t>
  </si>
  <si>
    <t>пар</t>
  </si>
  <si>
    <t xml:space="preserve">перчатки </t>
  </si>
  <si>
    <t>диэлектрические, бесшовные, латексные, до 10 кв</t>
  </si>
  <si>
    <t xml:space="preserve">Перчатки </t>
  </si>
  <si>
    <t xml:space="preserve"> хлопчатобумажные, с брезентовым налодонником, саржа 280 гр, подналодонник б/з 450гр на м3(для рабочих)</t>
  </si>
  <si>
    <t>резиновые, двуслойные, натуральный латекс , хлопковое напыление(для уборщиц)</t>
  </si>
  <si>
    <t>Перчатки сварочные</t>
  </si>
  <si>
    <t>без накладок, с длиной монжетой</t>
  </si>
  <si>
    <t xml:space="preserve">Плавкие вставки </t>
  </si>
  <si>
    <t>ППН-35, 250А; (предохранитель с наполнителем</t>
  </si>
  <si>
    <t xml:space="preserve">ППН-33, 100А;  (предохранитель с наполнителем) </t>
  </si>
  <si>
    <t>ПН-2, 400А;  (предохранитель с наполнителем)</t>
  </si>
  <si>
    <t>Плитка керамическая (кафель настенный)</t>
  </si>
  <si>
    <t>размер и цвет по согласованию</t>
  </si>
  <si>
    <t>кв.м</t>
  </si>
  <si>
    <t xml:space="preserve">Плоскогубцы диагональные </t>
  </si>
  <si>
    <t>пассатижи</t>
  </si>
  <si>
    <t>диэлектрические</t>
  </si>
  <si>
    <t xml:space="preserve">Плоскогубцы </t>
  </si>
  <si>
    <t>с изогнутыми губками, длина 220 мм</t>
  </si>
  <si>
    <t>Пленка полиэтиленовая</t>
  </si>
  <si>
    <t>двуслойная, ширина 1,5м, вес рулона от 22-40 кг</t>
  </si>
  <si>
    <t>рулон</t>
  </si>
  <si>
    <t xml:space="preserve">Полотенце </t>
  </si>
  <si>
    <t xml:space="preserve">вафельное, отбеленное, ширина 1 м </t>
  </si>
  <si>
    <t>метр</t>
  </si>
  <si>
    <t>Полотенце бумажное</t>
  </si>
  <si>
    <t>рулонные, двуслойные, белые, с перфорацией, 2 шт в упак</t>
  </si>
  <si>
    <t>цена за сколько?</t>
  </si>
  <si>
    <t>Раковина с ножкой</t>
  </si>
  <si>
    <t>цвет белый, керамическая</t>
  </si>
  <si>
    <t xml:space="preserve">Сгон </t>
  </si>
  <si>
    <t>стальные, разных размеров</t>
  </si>
  <si>
    <t>Фото-реле</t>
  </si>
  <si>
    <t>LХР 03 степень защиты IP-54 уровень освещенности LUX-2/100</t>
  </si>
  <si>
    <t>розетка штепсельная</t>
  </si>
  <si>
    <t>2Р+РЕ 16А 220В</t>
  </si>
  <si>
    <t xml:space="preserve"> (3*32А) 72 переносная</t>
  </si>
  <si>
    <t xml:space="preserve"> 16А 400В</t>
  </si>
  <si>
    <t xml:space="preserve">Розетки внутренние, </t>
  </si>
  <si>
    <t>Цвет-белый, 220В, 16А, одноместная, с заземляющими контактами, с защтными шторками, степень защиты IP20;</t>
  </si>
  <si>
    <t>Цвет-белый, 220В, 16А, двухместная, с заземляющими контактами, с защтными шторками, степень защиты IP20;</t>
  </si>
  <si>
    <t xml:space="preserve">Розетки внутренние </t>
  </si>
  <si>
    <t xml:space="preserve"> 220В, не менее 10А, с заземлением</t>
  </si>
  <si>
    <t xml:space="preserve">Розетки наружние, </t>
  </si>
  <si>
    <t xml:space="preserve">Рулетка </t>
  </si>
  <si>
    <t>с фиксатором, с обратным механизмом, 5 м</t>
  </si>
  <si>
    <t xml:space="preserve">Рулетка стекловолоконная </t>
  </si>
  <si>
    <t>10*12,5мм HFMT0110</t>
  </si>
  <si>
    <t xml:space="preserve">Савковый гарнитур </t>
  </si>
  <si>
    <t>с длинной ручкой, 3/1</t>
  </si>
  <si>
    <t xml:space="preserve">Шуруп </t>
  </si>
  <si>
    <t>саморез, размер 3,5х11(семечки)</t>
  </si>
  <si>
    <t xml:space="preserve">Сапоги </t>
  </si>
  <si>
    <t>резиновые, 45 разм</t>
  </si>
  <si>
    <t>сверла набор</t>
  </si>
  <si>
    <t>диаметр 6.8.10.12.16</t>
  </si>
  <si>
    <t>набор сверл</t>
  </si>
  <si>
    <t>по металлу</t>
  </si>
  <si>
    <t xml:space="preserve">Сверло по кафелю </t>
  </si>
  <si>
    <t>6 мм с двумя реж. Лезвиями</t>
  </si>
  <si>
    <t xml:space="preserve"> 8 мм с двумя реж. Лезвиями</t>
  </si>
  <si>
    <t>10 мм с двумя реж. Лезвиями</t>
  </si>
  <si>
    <t xml:space="preserve">Светильник    </t>
  </si>
  <si>
    <t>ЛСП 44-2*58-001</t>
  </si>
  <si>
    <t xml:space="preserve">Светильник      </t>
  </si>
  <si>
    <t>ЛПО 71-2*36-582 Верона</t>
  </si>
  <si>
    <t xml:space="preserve">светильник марс </t>
  </si>
  <si>
    <t>на аккумуляторной батарее</t>
  </si>
  <si>
    <t xml:space="preserve">Светильники  потолочные </t>
  </si>
  <si>
    <t>для люминесцентных ламп 2хТ8 18Вт, с опаловым рассеивателем, с ЭПРА, степень защиты IP20.</t>
  </si>
  <si>
    <t>Светильники аварийного освещенияс</t>
  </si>
  <si>
    <t>С аккумуляторной батареей Ni-Cd, 3,6В, не менее 350мА/ч, с светодиодными лампами, 3Вт</t>
  </si>
  <si>
    <t xml:space="preserve">Светильники бытового назначения </t>
  </si>
  <si>
    <t xml:space="preserve"> НТУ 06-100-01 "Шар"</t>
  </si>
  <si>
    <t xml:space="preserve">Светильники встраиваемые </t>
  </si>
  <si>
    <t>для люминесцентных ламп 4х18Вт, степень защиты IP20.</t>
  </si>
  <si>
    <t>для люминесцентных ламп 4хТ8 18Вт, с опаловым рассеивателем, с ЭПРА, степень защиты IP20.</t>
  </si>
  <si>
    <t xml:space="preserve">Светильники для оранжереи </t>
  </si>
  <si>
    <t>с газоразрядной лампой, 1хЕ40 250Вт, степень защиты IP23</t>
  </si>
  <si>
    <t>Светильники направленного света</t>
  </si>
  <si>
    <t xml:space="preserve"> с компактной люминесцентной лампой, 1хG24 q 18Вт, с ЭПРА, со степенью защиты IP20</t>
  </si>
  <si>
    <t xml:space="preserve">Светильники направленного света </t>
  </si>
  <si>
    <t>с компактной люминесцентной лампой, 1хG24 d 26Вт, с ЭПРА, со степенью защиты IP20</t>
  </si>
  <si>
    <t xml:space="preserve">Светильники настенный </t>
  </si>
  <si>
    <t>для компактных люминесцентных ламп 1хЕ27 23Вт, с опаловым рассеивателем, с ЭПРА, степень защиты IP65.</t>
  </si>
  <si>
    <t xml:space="preserve">Светильники подвесной </t>
  </si>
  <si>
    <t>для люминесцентных ламп 2хТ8 36Вт, с зеркальной параболической решеткой, с ЭПРА, степень защиты IP20.</t>
  </si>
  <si>
    <t>Светильники потолочная</t>
  </si>
  <si>
    <t xml:space="preserve"> для люминесцентных ламп 2х36Вт, с плафоном, степень защиты IP65.</t>
  </si>
  <si>
    <t xml:space="preserve">Светильники потолочные </t>
  </si>
  <si>
    <t>для люминесцентных ламп 1хТ8 36Вт, с плафоном, степень защиты IP54.</t>
  </si>
  <si>
    <t>для люминесцентных ламп 2хТ8 36Вт, с опаловым рассеивателем, с ЭПРА, степень защиты IP54.</t>
  </si>
  <si>
    <t>для люминесцентных ламп 4хТ8 36Вт, с зеркальной параболической решеткой, с ЭПРА, степень защиты IP20.</t>
  </si>
  <si>
    <t>для люминесцентных ламп 2хТ8 18Вт, с зеркальной параболической решеткой, с ЭПРА, степень защиты IP20.</t>
  </si>
  <si>
    <t>для компактных люминесцентных ламп, с куполаобразным плафоном, с цоколем 2D, 28Вт, IP65.</t>
  </si>
  <si>
    <t>для компактных люминесцентных ламп, с куполаобразным плафоном, с цоколем 2D, 21Вт, IP65.</t>
  </si>
  <si>
    <t>для компактных люминесцентных ламп, с цилиндрическим плафоном, с цоколем 2D, 38Вт, IP65.</t>
  </si>
  <si>
    <t xml:space="preserve">Светильники потолочные, </t>
  </si>
  <si>
    <t>для компактных люминесцентных ламп, с куполообразным плафоном, с цоколем Е27, IP54.</t>
  </si>
  <si>
    <t xml:space="preserve">Сердцевина </t>
  </si>
  <si>
    <t xml:space="preserve">для врезного замка, латунь </t>
  </si>
  <si>
    <t>для врезного замка</t>
  </si>
  <si>
    <t xml:space="preserve">Герметик силиконовый сантехнический </t>
  </si>
  <si>
    <t>универсальный, бесцветный, не менее 280  мл</t>
  </si>
  <si>
    <t xml:space="preserve">Скотч </t>
  </si>
  <si>
    <t>строительный, двусторонний, в рулоне</t>
  </si>
  <si>
    <t xml:space="preserve">рул </t>
  </si>
  <si>
    <t xml:space="preserve">Скребок </t>
  </si>
  <si>
    <t>для мытья окон с металлической ручкой</t>
  </si>
  <si>
    <t>Лопата</t>
  </si>
  <si>
    <t>снегоуборочная лопата широкая, пласмассовая,   в  ширину  около  100  см, с металлической ручкой.</t>
  </si>
  <si>
    <t>Сменный к автоматическому освежителю воздуха</t>
  </si>
  <si>
    <t>объем 269 мл</t>
  </si>
  <si>
    <t>хватает примерно на полгода</t>
  </si>
  <si>
    <t>Смеситель для мойки</t>
  </si>
  <si>
    <t>металлический, никелированный</t>
  </si>
  <si>
    <t xml:space="preserve">Соединительные изолирующие зажимы </t>
  </si>
  <si>
    <t>СИЗ-2</t>
  </si>
  <si>
    <t>СИЗ-3</t>
  </si>
  <si>
    <t>СИЗ-4</t>
  </si>
  <si>
    <t>СИЗ-5</t>
  </si>
  <si>
    <t>Соль таблетированная</t>
  </si>
  <si>
    <t>таблетированный для системы отопления</t>
  </si>
  <si>
    <t>Соль техническая</t>
  </si>
  <si>
    <t xml:space="preserve"> для зимнего периода</t>
  </si>
  <si>
    <t>Средство для прочистки канализационных труб</t>
  </si>
  <si>
    <t>состоит из гидроксита натрия, гидроксида калия, с наполнителем ЭДТА, порошок в пакете 80гр</t>
  </si>
  <si>
    <t>ценовик на порошок нужен</t>
  </si>
  <si>
    <t>Средство для чистки утюга</t>
  </si>
  <si>
    <t>карандаш для очистки подошвы утюга от загрязнений</t>
  </si>
  <si>
    <t>Стакан одноразовый убрать в школу</t>
  </si>
  <si>
    <t>0,2 л, прозрачн</t>
  </si>
  <si>
    <t xml:space="preserve">Стартер       </t>
  </si>
  <si>
    <t xml:space="preserve"> ЭПРА HF-S 136 TL-DII 220-240V</t>
  </si>
  <si>
    <t xml:space="preserve">Стартер        </t>
  </si>
  <si>
    <t xml:space="preserve"> ЭПРА HF-S 236 TL-DII 220-240V</t>
  </si>
  <si>
    <t xml:space="preserve">Стартер </t>
  </si>
  <si>
    <t xml:space="preserve"> 4-80Вт</t>
  </si>
  <si>
    <t xml:space="preserve">Тестер напряжениия </t>
  </si>
  <si>
    <t>напряжения ПИН</t>
  </si>
  <si>
    <t>Тройник сантехнический</t>
  </si>
  <si>
    <t>диаметр 20, ПВХ</t>
  </si>
  <si>
    <t>Труба гофра</t>
  </si>
  <si>
    <t>диаметр 25мм, с протяжкой, электрическая</t>
  </si>
  <si>
    <t>Труба водопроводная</t>
  </si>
  <si>
    <t>полиэтиленовая, диаметр-32мм</t>
  </si>
  <si>
    <t>Тряпка</t>
  </si>
  <si>
    <t xml:space="preserve"> для мытья окон и зеркал прорезиненная, 66*43*0,2 см, в пластиковом футляре</t>
  </si>
  <si>
    <t>дать все ценовку</t>
  </si>
  <si>
    <t xml:space="preserve"> для пыли, микрофибра, в упак 3 шт</t>
  </si>
  <si>
    <t>нужен ценовик, каждой техн по одной на год</t>
  </si>
  <si>
    <t>50 м, катушка, 4 розетки</t>
  </si>
  <si>
    <t xml:space="preserve">Указатель высокого напряжения </t>
  </si>
  <si>
    <t>Диапазон напряжения от 6 до 10 кВ, частота 50 (60) Гц</t>
  </si>
  <si>
    <t>Унитаз в комплекте</t>
  </si>
  <si>
    <t>цвет белый, санфаянс, с крышкой</t>
  </si>
  <si>
    <t>Фильтр для приточек</t>
  </si>
  <si>
    <t>угольный, для вентиляции, написать описание нашей вентиляции</t>
  </si>
  <si>
    <t>Фонарик</t>
  </si>
  <si>
    <t>аккумуляторный, ударонепроницаемый, ФАГ-Р (ЗР)</t>
  </si>
  <si>
    <t xml:space="preserve">Воздушная тепловая завеса  Тепловая завеса THC WT1 9M </t>
  </si>
  <si>
    <t>Преобразователь  частоты  FC 4</t>
  </si>
  <si>
    <t xml:space="preserve">Лента </t>
  </si>
  <si>
    <t xml:space="preserve">фум, для  сантехнических работ,  белая в рулоне </t>
  </si>
  <si>
    <t xml:space="preserve">Хомут </t>
  </si>
  <si>
    <t>пластиковый, 200х3,5мм, стяжной</t>
  </si>
  <si>
    <t xml:space="preserve">Швабра </t>
  </si>
  <si>
    <t xml:space="preserve"> с насадкой из шинила материал шинил, полипропилен. размеры: 39,5х9,5х130 см</t>
  </si>
  <si>
    <t>для мытья окон с поворотной телескопической ручкой, с насадкой из микрофибры и каучука</t>
  </si>
  <si>
    <t>деревянная, рабочая часть 60 см, длина ручки 1,4 м</t>
  </si>
  <si>
    <t xml:space="preserve">Подвод гибкий </t>
  </si>
  <si>
    <t>для бочка унитаза, длина не менее 60 см</t>
  </si>
  <si>
    <t>Подвод для раковины</t>
  </si>
  <si>
    <t>диаметр 15 мм, длина не менее 0,4 м</t>
  </si>
  <si>
    <t>Шпагат</t>
  </si>
  <si>
    <t>материал полипропилен</t>
  </si>
  <si>
    <t>Шпатель</t>
  </si>
  <si>
    <t>стальная пластина с ручкой (20,10 см.)</t>
  </si>
  <si>
    <t xml:space="preserve">Шурупы </t>
  </si>
  <si>
    <t>нагиль, 6х60</t>
  </si>
  <si>
    <t>диам 3,5х35 мм</t>
  </si>
  <si>
    <t>Щетка</t>
  </si>
  <si>
    <t xml:space="preserve"> утюжок, с полимерной щетиной средней жесткости</t>
  </si>
  <si>
    <t xml:space="preserve"> с совком, материал металл, пластик, пропиленовый ворс с длинной ручкой</t>
  </si>
  <si>
    <t xml:space="preserve">Щетка </t>
  </si>
  <si>
    <t xml:space="preserve"> поддоном</t>
  </si>
  <si>
    <t>уличная, твердый полиэт, ворс с длин ручкой</t>
  </si>
  <si>
    <t xml:space="preserve">Электроды </t>
  </si>
  <si>
    <t>диам 3мм, УОНИЙ, 5 кг в пачке</t>
  </si>
  <si>
    <t>Светильник ЭПРА</t>
  </si>
  <si>
    <t xml:space="preserve">Светильник ЭПРА </t>
  </si>
  <si>
    <t>Горшок пластиковый с поддоном</t>
  </si>
  <si>
    <t>емкость 30 литров</t>
  </si>
  <si>
    <t>емкость 20 литр</t>
  </si>
  <si>
    <t>емкость 10 литр</t>
  </si>
  <si>
    <t xml:space="preserve">Диспенсер </t>
  </si>
  <si>
    <t>для жидкого мыла</t>
  </si>
  <si>
    <t>в хоз</t>
  </si>
  <si>
    <t>для туалетной бумаги</t>
  </si>
  <si>
    <t>для жидкого мыла, ударопрочный пластик</t>
  </si>
  <si>
    <t>Итого ТМЦ</t>
  </si>
  <si>
    <t>Флаг</t>
  </si>
  <si>
    <t>государственный, СТ РК 988-2008 , уличный</t>
  </si>
  <si>
    <t>Доска "Флипчарт</t>
  </si>
  <si>
    <t xml:space="preserve"> Flip chart Date zone" 600 60* 90см</t>
  </si>
  <si>
    <t xml:space="preserve">Железная дверь </t>
  </si>
  <si>
    <t>склад химреактивов (прикурсоры)</t>
  </si>
  <si>
    <t>Зеркало для санузлов</t>
  </si>
  <si>
    <t xml:space="preserve">Тележка комбинированная   </t>
  </si>
  <si>
    <t>для комплексной уборки помещений, одноведерная уборочная тележка, выполненная из ударопрочного пластика тележка на четырех прорезиненных колесах, ведро с перегородкой, объемом 28 литров.2 контейнера объемом по 4 литра каждый, для перевозки аксессуаров,
держатель для мешка из прочной пластифицированной ткани (объем 50 литров)</t>
  </si>
  <si>
    <t xml:space="preserve">Кусторез </t>
  </si>
  <si>
    <t>садовый инструмент, сконструированный для подстригания кустарников на приусадебном участке или даче. Специальный экран защищает руку оператора при работе, а устройство на ноже защищает кусторез от поломок при столкновении с препятствием.Тип двигателя электрический,Число ходов на холостом ходу 3400 ход/мин, Тип ножа двусторонний,  Длина режущей части 60 см,  Диаметр срезаемых веток 16 мм.</t>
  </si>
  <si>
    <t>ширина 24 мм, черным на белом</t>
  </si>
  <si>
    <t>Ленточный принтер</t>
  </si>
  <si>
    <t>скорость печати 10 мм/сек, печать вертикальная и горизонтальная, разрешение 180 dpi, ширина ленты 6,9,12,28,24 мм, дисплей монитор комп-ра, печать до 7 строк</t>
  </si>
  <si>
    <t>Москитная сетка</t>
  </si>
  <si>
    <t>защита от проникновения мошкары и гнуса</t>
  </si>
  <si>
    <t>Наматрасник</t>
  </si>
  <si>
    <t>непромокаемый из двухслойной мембранной ткани, на молнии,обе рабочие поверхности без швов, размер 200*90*10 см</t>
  </si>
  <si>
    <t xml:space="preserve">резиновые перчатки </t>
  </si>
  <si>
    <t>медиц-е, разм М, L, для лаборантов</t>
  </si>
  <si>
    <t>Решетка для окон,</t>
  </si>
  <si>
    <t xml:space="preserve"> склад химреактивов (прикурсоры)</t>
  </si>
  <si>
    <t xml:space="preserve">Тачка </t>
  </si>
  <si>
    <t>садово-строительная, грузоподъемность 200 кг, 100 л</t>
  </si>
  <si>
    <t xml:space="preserve">Терминал сбора данных  </t>
  </si>
  <si>
    <t>автоинвентаризатор, процессор SHI, тип монохромный, память 4 Мв, скорость 100 сканирований в секунду, считывание штрих кодов 14 видов, питание 2 батареи АА</t>
  </si>
  <si>
    <t xml:space="preserve">Флаг </t>
  </si>
  <si>
    <t>корпоративный, флажной материал, дизайн и размер по согласованию</t>
  </si>
  <si>
    <t>с логотипом НИШ, фон бел</t>
  </si>
  <si>
    <t>с логотипом НИШ , фон зел</t>
  </si>
  <si>
    <t xml:space="preserve">Халаты для лаборантов </t>
  </si>
  <si>
    <t>белые, р-р 44-46</t>
  </si>
  <si>
    <t>белые, р-р 46-48</t>
  </si>
  <si>
    <t>Халаты для лаборантов,</t>
  </si>
  <si>
    <t xml:space="preserve"> синий, р-р 44-46</t>
  </si>
  <si>
    <t xml:space="preserve">Частотник </t>
  </si>
  <si>
    <t>под приточную вентиляцию</t>
  </si>
  <si>
    <t>Шары  для гели</t>
  </si>
  <si>
    <t xml:space="preserve"> (5видов)</t>
  </si>
  <si>
    <t>Сушилка для рук</t>
  </si>
  <si>
    <t>Крепежные шурупы и средства для чистки входят в комплект, долговечный электромотор, мощность 1500W, класс влагозащищенности IP23 - защищено от водяной пыли, крепежные шурупы и средства для чистки входят в комплект, долговечный электромотор</t>
  </si>
  <si>
    <t xml:space="preserve">Плечики </t>
  </si>
  <si>
    <t>пластмассовые</t>
  </si>
  <si>
    <t>Утюг бытовой</t>
  </si>
  <si>
    <t>электрический, мощн. 2200Вт, постоянная подача пара с регулировкой</t>
  </si>
  <si>
    <t xml:space="preserve">трос </t>
  </si>
  <si>
    <t>вибрационный, 6 п/м</t>
  </si>
  <si>
    <t>вибрационный ,17 п/м</t>
  </si>
  <si>
    <t xml:space="preserve">Стремянка </t>
  </si>
  <si>
    <t>складная конструкция, направляющая со ступенями, 2 стойки ставятся в противовес друг другу, 3м</t>
  </si>
  <si>
    <t>Утюг сантехнический</t>
  </si>
  <si>
    <t>паяльный для труб ПП, 1500 Вт, 20*40 мм</t>
  </si>
  <si>
    <t>Шуруповерт</t>
  </si>
  <si>
    <t>аккумуляторный, 1.3 А*ч, Li-Ion, 1250 об/мин, 28 Нм</t>
  </si>
  <si>
    <t>Дрель электрическая</t>
  </si>
  <si>
    <t>мощность не менее 500Вт, вес не более 1,5кг</t>
  </si>
  <si>
    <t xml:space="preserve">Перфоратор </t>
  </si>
  <si>
    <t>вес 5-7 кг, мощность 1200Вт</t>
  </si>
  <si>
    <t xml:space="preserve">Рация </t>
  </si>
  <si>
    <t>Пила циркулярная</t>
  </si>
  <si>
    <t>Напряжение: 220 В
Частота: 50 Гц 
Потребляемая мощность: 1350 Вт
Частота вращения: 5000 об/мин
Макс. диаметр диска 185мм
Диаметр посадочного отверстия: 16мм
Вес: 5 кг</t>
  </si>
  <si>
    <t xml:space="preserve">Лестница </t>
  </si>
  <si>
    <t>Трехсекционная металическая лестница с перекладинами. Может использоваться как выдвижная и приставная лестница и как стремянка, рабочая высота до 9м, длина в собранном виде до 3,5м, количество перекладин 3х12шт</t>
  </si>
  <si>
    <t>Спецодежда для уборщиков служебных помещений</t>
  </si>
  <si>
    <t xml:space="preserve">блуза: рукав ¾ с манжетой, накладные карманы, брюки на резинке  Ткань: смесовая, пл. 120 гр/м². </t>
  </si>
  <si>
    <t xml:space="preserve">Косынка  </t>
  </si>
  <si>
    <t>Косынка к костюму для уборщиц</t>
  </si>
  <si>
    <t>Спецодежда летняя для техперсонала</t>
  </si>
  <si>
    <t>удлиненная куртка, полукомбинезон с накладными карманами</t>
  </si>
  <si>
    <t>Корзина для белья</t>
  </si>
  <si>
    <t xml:space="preserve">Таз </t>
  </si>
  <si>
    <t>пластмассовый 10 л</t>
  </si>
  <si>
    <t>для комнат</t>
  </si>
  <si>
    <t>оцинкованный 20 л</t>
  </si>
  <si>
    <t>для замачивания в прачечной</t>
  </si>
  <si>
    <t xml:space="preserve">Лопата </t>
  </si>
  <si>
    <t>штыковая,  с черенком, антифрикционное покрытие</t>
  </si>
  <si>
    <t xml:space="preserve"> совковая, с черенком, антифрикционное покрытие</t>
  </si>
  <si>
    <t>Черенок</t>
  </si>
  <si>
    <t>деревянный</t>
  </si>
  <si>
    <t>снегоуборочная, пластмассовая, не менее 500*375 мм , трехбортная, с алюм. чер. и V-ручкой</t>
  </si>
  <si>
    <t>Лак</t>
  </si>
  <si>
    <t>по дереву, бесцветный, для наружных работ</t>
  </si>
  <si>
    <t xml:space="preserve">Лак  </t>
  </si>
  <si>
    <t>кузбасс лак, БТ-577</t>
  </si>
  <si>
    <t xml:space="preserve">Лента   </t>
  </si>
  <si>
    <t>малярная,  38мм х 50 м</t>
  </si>
  <si>
    <t>Метла</t>
  </si>
  <si>
    <t>чилижная с рукояткой</t>
  </si>
  <si>
    <t>Мешок для белья</t>
  </si>
  <si>
    <t>75*120, ткань водонепроницаемая</t>
  </si>
  <si>
    <t>ПВА</t>
  </si>
  <si>
    <t>сп</t>
  </si>
  <si>
    <t>мш</t>
  </si>
  <si>
    <t>мб</t>
  </si>
  <si>
    <t xml:space="preserve">Комбинированная   тележка </t>
  </si>
  <si>
    <t>Зеркало в тулетные комнаты</t>
  </si>
  <si>
    <t>Тележка садовая, для работы на улице</t>
  </si>
  <si>
    <t>Диспенсер для мыла</t>
  </si>
  <si>
    <t>Диспенсер туалетной бумаги</t>
  </si>
  <si>
    <t>tork</t>
  </si>
  <si>
    <t>Государственный флаг, размер 2*1</t>
  </si>
  <si>
    <t>Доска "Флипчарт" Flip chart "Date zone" 600 60* 90см</t>
  </si>
  <si>
    <t>Шары  для гели (5видов)</t>
  </si>
  <si>
    <t>Халаты для лаборантов, белые, р-р 44-46</t>
  </si>
  <si>
    <t>Халаты для лаборантов, белые, р-р 46-48</t>
  </si>
  <si>
    <t>Халаты для лаборантов, синий, р-р 44-46</t>
  </si>
  <si>
    <t>резиновые перчатки, медиц-е, разм М, L, для лаборантов</t>
  </si>
  <si>
    <t>Решетка для окон, склад химреактивов (прикурсоры)</t>
  </si>
  <si>
    <t>Железная дверь склад химреактивов (прикурсоры)</t>
  </si>
  <si>
    <t>Флаг с логотипом НИШ 3000*1050, фон зелен</t>
  </si>
  <si>
    <t>Флаг с логотипом НИШ 3000*1050, фон бел</t>
  </si>
  <si>
    <t>Флаг корпоративный</t>
  </si>
  <si>
    <t>столярный, 250 гр</t>
  </si>
  <si>
    <t>Утюг</t>
  </si>
  <si>
    <t>для варки швов линолеума</t>
  </si>
  <si>
    <t>Шпатлевка</t>
  </si>
  <si>
    <t>смесь сухая, растворимая</t>
  </si>
  <si>
    <t>Скотч</t>
  </si>
  <si>
    <t>строительный двусторонний в рулоне</t>
  </si>
  <si>
    <t>Ножницы сикаторные</t>
  </si>
  <si>
    <t>не менее 190 мм</t>
  </si>
  <si>
    <t>Ножницы садовые</t>
  </si>
  <si>
    <t>не менее 300 мм</t>
  </si>
  <si>
    <t>Ножницы сучкорез</t>
  </si>
  <si>
    <t>не менее 700 мм</t>
  </si>
  <si>
    <t>Лотки для рассады</t>
  </si>
  <si>
    <t>пластиковые, на 12 ячеек</t>
  </si>
  <si>
    <t>Опрыскиватель помповый</t>
  </si>
  <si>
    <t>пластиковый, емкость 2 л</t>
  </si>
  <si>
    <t>Опрыскиватель садовый</t>
  </si>
  <si>
    <t>рабочее давление 2-3 Бр,  размер 39*16*52 см, в комплекте шланг и насос, емкость не менее 6л</t>
  </si>
  <si>
    <t>Удобрение универсальное</t>
  </si>
  <si>
    <t>для комнатных растений</t>
  </si>
  <si>
    <t>Дренаж</t>
  </si>
  <si>
    <t>керамзит, садовый, декоративный в полиэтиленовой упаковке, объем 2 л</t>
  </si>
  <si>
    <t>Инсектициды</t>
  </si>
  <si>
    <t xml:space="preserve"> химический препараты из группы пестицидов для уничтожения вредителей</t>
  </si>
  <si>
    <t>Набор садовода для комнатных растений</t>
  </si>
  <si>
    <t>в набор входит: лопата, грабли, мотыга, трезубец</t>
  </si>
  <si>
    <t>Перлит</t>
  </si>
  <si>
    <t>разрыхлитель грунта, пакет 5 кг</t>
  </si>
  <si>
    <t>пакет</t>
  </si>
  <si>
    <t>Гофра для унитаза</t>
  </si>
  <si>
    <t>из ПВХ, диаметр не менее 100 мм</t>
  </si>
  <si>
    <t>включить, ценовик</t>
  </si>
  <si>
    <t>Арматура для смывного бочка в комплекте</t>
  </si>
  <si>
    <t>комплект</t>
  </si>
  <si>
    <t>Крышка для унитаза</t>
  </si>
  <si>
    <t>пластиковая</t>
  </si>
  <si>
    <t xml:space="preserve">Слив для раковины </t>
  </si>
  <si>
    <t>шланг гофрированный</t>
  </si>
  <si>
    <t xml:space="preserve">Ролик </t>
  </si>
  <si>
    <t>для дверей  душевой кабины</t>
  </si>
  <si>
    <t>Ручки</t>
  </si>
  <si>
    <t>для дверей душевой кабины, хромированные</t>
  </si>
  <si>
    <t xml:space="preserve">Смеситель </t>
  </si>
  <si>
    <t>для душа, с гибким шлангом,распылителем,  никелированный</t>
  </si>
  <si>
    <t>Шланг гибкий</t>
  </si>
  <si>
    <t>для душа, с металлической оплеткой, диам 15, длина не менее 1,5м</t>
  </si>
  <si>
    <t>Сифон для раковины</t>
  </si>
  <si>
    <t>с переливом, с выпуском и нержавеющей сеткой</t>
  </si>
  <si>
    <t>Сифон для душа</t>
  </si>
  <si>
    <t>гофрированный</t>
  </si>
  <si>
    <t>Ремкомплект для смесителя</t>
  </si>
  <si>
    <t>прокладки для клапана</t>
  </si>
  <si>
    <t>компп</t>
  </si>
  <si>
    <t>Прокладка</t>
  </si>
  <si>
    <t>для смесителя диам 15 мм</t>
  </si>
  <si>
    <t>резиновая, тепло-морозно-кислотно-щелочностойкая, диам 15-22 мм</t>
  </si>
  <si>
    <t>материал ПВХ</t>
  </si>
  <si>
    <t>крепление для унитаза</t>
  </si>
  <si>
    <t>комплект для унитаза, 4 шурупа, дюбеля, гайки, втулки</t>
  </si>
  <si>
    <t>комп</t>
  </si>
  <si>
    <t>Трап напольный</t>
  </si>
  <si>
    <t xml:space="preserve"> встраимаеваемый, горизонтальный слив воды</t>
  </si>
  <si>
    <t xml:space="preserve">компенасаторы резиновые муфтовые </t>
  </si>
  <si>
    <t>компенсаторы резиновые фланцевые</t>
  </si>
  <si>
    <t>Пистолет для герметика</t>
  </si>
  <si>
    <t>трос сантехнический</t>
  </si>
  <si>
    <t>материал стальной, длина не менее 50 м</t>
  </si>
  <si>
    <t>аккумуляторный, КМ -2610</t>
  </si>
  <si>
    <t>30 м, катушка, 4 розетки</t>
  </si>
  <si>
    <t>Удлинитель для валика</t>
  </si>
  <si>
    <t>телескопичекий стержень, металлический, 2 м</t>
  </si>
  <si>
    <t>Фильтр сетевой</t>
  </si>
  <si>
    <t>6 розеток, кабель 1,8 м, белый</t>
  </si>
  <si>
    <t>для интерната</t>
  </si>
  <si>
    <t>диам 20</t>
  </si>
  <si>
    <t>Труба канализационная</t>
  </si>
  <si>
    <t>длина 2 м</t>
  </si>
  <si>
    <t>Отвод канализационный</t>
  </si>
  <si>
    <t>диам 50, диам 110, диам 100</t>
  </si>
  <si>
    <t>ПВХ, с уплотнителем, диам, градус поворота?</t>
  </si>
  <si>
    <t>Отвод стальной</t>
  </si>
  <si>
    <t>Люк канализационный</t>
  </si>
  <si>
    <t>чугунная</t>
  </si>
  <si>
    <t>Сгоны стальные</t>
  </si>
  <si>
    <t>разных диаметров</t>
  </si>
  <si>
    <t>Тройник канализационный</t>
  </si>
  <si>
    <t>Накидная гайка</t>
  </si>
  <si>
    <t>для соедин труб, стальная, американка (п/м)</t>
  </si>
  <si>
    <t>Кран Маевского</t>
  </si>
  <si>
    <t>стальной, диам. 15-20</t>
  </si>
  <si>
    <t>Радиатор отопления</t>
  </si>
  <si>
    <t>Задвижка</t>
  </si>
  <si>
    <t>стальная</t>
  </si>
  <si>
    <t>Гайка</t>
  </si>
  <si>
    <t>стальные</t>
  </si>
  <si>
    <t>Контрагайки</t>
  </si>
  <si>
    <t>Фланец</t>
  </si>
  <si>
    <t>стальной</t>
  </si>
  <si>
    <t>Болт к фланцу</t>
  </si>
  <si>
    <t>Вентиль</t>
  </si>
  <si>
    <t>Набор звездочек</t>
  </si>
  <si>
    <t>металлические, 9 предметов</t>
  </si>
  <si>
    <t>Набор головок</t>
  </si>
  <si>
    <t>45 предметов, металлические</t>
  </si>
  <si>
    <t>Набор гаечных ключей</t>
  </si>
  <si>
    <t>Набор ключей шестигранных</t>
  </si>
  <si>
    <t>Нарукавники одноразовые</t>
  </si>
  <si>
    <t>Держатель для нождачной бумаги</t>
  </si>
  <si>
    <t>пластик, с ручкой</t>
  </si>
  <si>
    <t>Кафель напольный</t>
  </si>
  <si>
    <t>кв.м.</t>
  </si>
  <si>
    <t>Керамогранит</t>
  </si>
  <si>
    <t>Линолеум</t>
  </si>
  <si>
    <t>пм</t>
  </si>
  <si>
    <t>Плинтус</t>
  </si>
  <si>
    <t>пластиковый</t>
  </si>
  <si>
    <t>Уголок для плинтуса</t>
  </si>
  <si>
    <t>внурт</t>
  </si>
  <si>
    <t>наружн</t>
  </si>
  <si>
    <t xml:space="preserve">Уголок </t>
  </si>
  <si>
    <t>Фильтр кассетный</t>
  </si>
  <si>
    <t>угольный, для вентиляции</t>
  </si>
  <si>
    <t>Ремень для вентиляции</t>
  </si>
  <si>
    <t>Решетки для вентиляции</t>
  </si>
  <si>
    <t>набор надфилей</t>
  </si>
  <si>
    <t>10 предм</t>
  </si>
  <si>
    <t>набор напильников</t>
  </si>
  <si>
    <t>6 предм</t>
  </si>
  <si>
    <t>Набор сверл по дереву</t>
  </si>
  <si>
    <t>16 предметов</t>
  </si>
  <si>
    <t>Набор сверл по металлу</t>
  </si>
  <si>
    <t>25 предметов</t>
  </si>
  <si>
    <t>Набор шестигранников</t>
  </si>
  <si>
    <t>Напильник плоский</t>
  </si>
  <si>
    <t>Напильник треугольный</t>
  </si>
  <si>
    <t xml:space="preserve">Отвертка </t>
  </si>
  <si>
    <t>фигурные</t>
  </si>
  <si>
    <t>плоская</t>
  </si>
  <si>
    <t>Бокорезы</t>
  </si>
  <si>
    <t>Навесы</t>
  </si>
  <si>
    <t xml:space="preserve"> дверные, правый-левый</t>
  </si>
  <si>
    <t>накладной, дверной, для металл. Дверей</t>
  </si>
  <si>
    <t>Механизм запирания</t>
  </si>
  <si>
    <t>для металлопластиковых окон</t>
  </si>
  <si>
    <t>Заглушка для окон</t>
  </si>
  <si>
    <t>Фурнитура мебельная</t>
  </si>
  <si>
    <t>Ограничитель</t>
  </si>
  <si>
    <t>дверной, с резиновой вставкой</t>
  </si>
  <si>
    <t>Шланг поливочный</t>
  </si>
  <si>
    <t>гелевый</t>
  </si>
  <si>
    <t>Маска сварочная</t>
  </si>
  <si>
    <t>Очки противоосколочные</t>
  </si>
  <si>
    <t>слесарные, бесцветные</t>
  </si>
  <si>
    <t>Топор</t>
  </si>
  <si>
    <t>Степлер мебельный</t>
  </si>
  <si>
    <t>металлический корпус, диам от 4-14мм</t>
  </si>
  <si>
    <t>тмц</t>
  </si>
  <si>
    <t>для мебельного степлера, от 4-14 мм, 1000 шт в упаковке</t>
  </si>
  <si>
    <t>Цемент</t>
  </si>
  <si>
    <t>мешок 50 кг, М 400</t>
  </si>
  <si>
    <t xml:space="preserve">Полотно </t>
  </si>
  <si>
    <t>Стеклорез</t>
  </si>
  <si>
    <t>с алмазной головкой</t>
  </si>
  <si>
    <t>Уровень</t>
  </si>
  <si>
    <t xml:space="preserve">строительный </t>
  </si>
  <si>
    <t xml:space="preserve">Материал утеплительный </t>
  </si>
  <si>
    <t>стекловата</t>
  </si>
  <si>
    <t>Уплотнитель</t>
  </si>
  <si>
    <t>для дверей и окон, резиновые</t>
  </si>
  <si>
    <t>Гвоздодер</t>
  </si>
  <si>
    <t>Гипсокартон</t>
  </si>
  <si>
    <t>потолочный, 2,5* 1,2, толщина 9,5 мм, влагостойкий</t>
  </si>
  <si>
    <t>потолочный, 2,5* 1,2, толщина 12,5 мм, влагостойкий</t>
  </si>
  <si>
    <t>ЛДСП</t>
  </si>
  <si>
    <t>ламинированная, влагостойкая, 2620*1830*16 мм</t>
  </si>
  <si>
    <t>Фанера</t>
  </si>
  <si>
    <t>многослойная, размеры 1525*1525, толщ не менее 4 мм</t>
  </si>
  <si>
    <t>Заклепки</t>
  </si>
  <si>
    <t>алюминиевые, вытяжные, 50 шт в упаковке</t>
  </si>
  <si>
    <t>Заклепочник</t>
  </si>
  <si>
    <t>коорпус из литого сплава, механичекий</t>
  </si>
  <si>
    <t xml:space="preserve">Решетка </t>
  </si>
  <si>
    <t>радиаторная</t>
  </si>
  <si>
    <t xml:space="preserve">Проволока </t>
  </si>
  <si>
    <t>вязальная металлическая</t>
  </si>
  <si>
    <t>Доводчик</t>
  </si>
  <si>
    <t>для металлопластиковых дверей</t>
  </si>
  <si>
    <t>Пила круговая</t>
  </si>
  <si>
    <t>7 лезвий, каленный зуб, усиленный адаптер, для твердых пород древесины</t>
  </si>
  <si>
    <t>Полотно для лобзика</t>
  </si>
  <si>
    <t>10 пильных полотен, 124*107*123</t>
  </si>
  <si>
    <t xml:space="preserve">   </t>
  </si>
  <si>
    <t>Плитка потолочная</t>
  </si>
  <si>
    <t>армстронг</t>
  </si>
  <si>
    <t xml:space="preserve">Мастика битумная </t>
  </si>
  <si>
    <t>битумная</t>
  </si>
  <si>
    <t>Профиль</t>
  </si>
  <si>
    <t>направляющий, оцинкованный, под гипсокартон, 27*28 (3м)</t>
  </si>
  <si>
    <t>направляющий, оцинкованный, под гипсокартон, 60*27* (3м)</t>
  </si>
  <si>
    <t>Техпластина</t>
  </si>
  <si>
    <t>техническая, ТМКЩ</t>
  </si>
  <si>
    <t>Рубанок</t>
  </si>
  <si>
    <t>ручной</t>
  </si>
  <si>
    <t>Горшок</t>
  </si>
  <si>
    <t>цветочнй, керамический, диаметр и объем по согласованию</t>
  </si>
  <si>
    <t>Подставка для цветов</t>
  </si>
  <si>
    <t>кованная, форма и цвет по согласованию</t>
  </si>
  <si>
    <t>деревянная, форма и цвет по согласованию</t>
  </si>
  <si>
    <t>Вазон</t>
  </si>
  <si>
    <t>Термопушка</t>
  </si>
  <si>
    <t>регулировака мощности, уровень мощности 1000-2000 Вт, ТЕН напряжение 220, вентилятор</t>
  </si>
  <si>
    <t>Тачка</t>
  </si>
  <si>
    <t>малая, усиленная</t>
  </si>
  <si>
    <t>Тележка хозяйственная</t>
  </si>
  <si>
    <t>высота ручки 98 см, грузоподъемность 130 кг, вес 6-7 кг</t>
  </si>
  <si>
    <t>Гирлянда елочная</t>
  </si>
  <si>
    <t>длина не менее 4 м</t>
  </si>
  <si>
    <t>Дюролайт</t>
  </si>
  <si>
    <t>разных цветов</t>
  </si>
  <si>
    <t>Игрушка елочная</t>
  </si>
  <si>
    <t>разных форм и цветов</t>
  </si>
  <si>
    <t>Электрорубанок</t>
  </si>
  <si>
    <t>1100 Вт, 16000 оборотов в минуту, 110 мм</t>
  </si>
  <si>
    <t xml:space="preserve">         </t>
  </si>
  <si>
    <t>Машинка углошлефовальная</t>
  </si>
  <si>
    <t>230 мм, 2700 Вт</t>
  </si>
  <si>
    <t>Рация как комплектующие</t>
  </si>
  <si>
    <t xml:space="preserve">                \</t>
  </si>
  <si>
    <t>ТОО "ЭталонАвто</t>
  </si>
  <si>
    <t>ТОО "Торговый домФрегат</t>
  </si>
  <si>
    <t>ТОО АстанаРесурс</t>
  </si>
  <si>
    <t>ДТ</t>
  </si>
  <si>
    <t>Цена ИП "Platinum King"</t>
  </si>
  <si>
    <t>ИП "Макенов М.С."</t>
  </si>
  <si>
    <t>ИП "Нурбакыт"</t>
  </si>
  <si>
    <t>Цена ИП "Масакбаева А.Т."</t>
  </si>
  <si>
    <t>Цена ТОО "Сеним Инвест Компани"</t>
  </si>
  <si>
    <t>Цена ИП "Балахонов Е.Н."</t>
  </si>
  <si>
    <t>Цена ИП "Швец Т.Е."</t>
  </si>
  <si>
    <t>Цена ТОО "Аксу Сервис Астана"</t>
  </si>
  <si>
    <t>ТОО "HypeCube"</t>
  </si>
  <si>
    <t>ИП "Колесник Ю.В.</t>
  </si>
  <si>
    <t>ТОО "АЛСИ Сервис"</t>
  </si>
  <si>
    <t>ТОО "Орда"</t>
  </si>
  <si>
    <t>ТОО "Ак-Нур Астана"</t>
  </si>
  <si>
    <t>ИП "Тобылбаева Г.К"</t>
  </si>
  <si>
    <t>ТОО "Энергостан"</t>
  </si>
  <si>
    <t>ТОО "Азия"</t>
  </si>
  <si>
    <t>ТОО "Intra Trans"</t>
  </si>
  <si>
    <t>Степногорскэнергоремонт</t>
  </si>
  <si>
    <t>ИшиТехЭлектро</t>
  </si>
  <si>
    <t>школы</t>
  </si>
  <si>
    <t>с шестигранной головкой, оцинкованный, 8х45 мм</t>
  </si>
  <si>
    <t xml:space="preserve">шпаклевка </t>
  </si>
  <si>
    <t xml:space="preserve"> ПВХ, диам.15, сварной</t>
  </si>
  <si>
    <t>набор, 10 шт</t>
  </si>
  <si>
    <t>нагиль, 3,5х35</t>
  </si>
  <si>
    <t>емкость 20 литров</t>
  </si>
  <si>
    <t>емкость 5 литр</t>
  </si>
  <si>
    <t>ProfiClean</t>
  </si>
  <si>
    <t>ТОО "Жанорда"</t>
  </si>
  <si>
    <t>ТОО "North Star Company"</t>
  </si>
  <si>
    <t>"VistaCompany 2010</t>
  </si>
  <si>
    <t>ИП "Степанов А.В."</t>
  </si>
  <si>
    <t>ТОО Advante TechnologyGroup</t>
  </si>
  <si>
    <t>орын</t>
  </si>
  <si>
    <t>Средство  моющее для поломоющей машины</t>
  </si>
  <si>
    <t>Средство для полов концентрированное</t>
  </si>
  <si>
    <t>ТОО "Астра"</t>
  </si>
  <si>
    <t>ТОО "Левада ВВ"</t>
  </si>
  <si>
    <t>ИП "ИКЕА Каз-н"</t>
  </si>
  <si>
    <t>ТОО "Zhihaz01kz"</t>
  </si>
  <si>
    <t>ТОО "ИшимТехЭлектро"</t>
  </si>
  <si>
    <t>при генуборке</t>
  </si>
  <si>
    <t>Норма</t>
  </si>
  <si>
    <t>на год, в упак</t>
  </si>
  <si>
    <t>школ</t>
  </si>
  <si>
    <t>санузлов</t>
  </si>
  <si>
    <t>убор. инв</t>
  </si>
  <si>
    <t>при прот-ии</t>
  </si>
  <si>
    <t>при орошении</t>
  </si>
  <si>
    <t>генуборка 1 раз в мес</t>
  </si>
  <si>
    <t>итого</t>
  </si>
  <si>
    <t>Турк 2/1</t>
  </si>
  <si>
    <t>Адм.корп</t>
  </si>
  <si>
    <t>Площадь школ</t>
  </si>
  <si>
    <t>уч=к уборки</t>
  </si>
  <si>
    <t>на 1 школу</t>
  </si>
  <si>
    <t>на 2 школу</t>
  </si>
  <si>
    <t>норма</t>
  </si>
  <si>
    <t>мес</t>
  </si>
  <si>
    <t>год, емк</t>
  </si>
  <si>
    <t>итого на 2 школы, емк</t>
  </si>
  <si>
    <t>при протир</t>
  </si>
  <si>
    <t>при орошен</t>
  </si>
  <si>
    <t>на год,  в упак 300 табл</t>
  </si>
  <si>
    <t>санузлы</t>
  </si>
  <si>
    <t>при протиран</t>
  </si>
  <si>
    <t>итого до конца года</t>
  </si>
  <si>
    <t>итого, в упаковке</t>
  </si>
  <si>
    <t>убороч. Инвент</t>
  </si>
  <si>
    <t>итого на год</t>
  </si>
  <si>
    <t>итого в упак</t>
  </si>
  <si>
    <t>Мыло хозяйственное</t>
  </si>
  <si>
    <t>Средство для удаления минеральных отложений</t>
  </si>
  <si>
    <t>100при протир, 200 при орошен</t>
  </si>
  <si>
    <t>500гр на 1 уч-ся</t>
  </si>
  <si>
    <t>Подходит для обработки деревянных, стеклянных, мраморных, керамических и эмалированных поверхностей. Так же для чистки панелей телевизоров, видео-аудиоаппаратуры. Аэрозоль, 250мл</t>
  </si>
  <si>
    <t>240 дней</t>
  </si>
  <si>
    <t>10 гр=0,01кг</t>
  </si>
  <si>
    <t>2 спорт</t>
  </si>
  <si>
    <t>500гр</t>
  </si>
  <si>
    <t>12гр</t>
  </si>
  <si>
    <t>Универсальное жидкое моющее средство для пол и стен с дезенфицирующими свойствами, емкость750 мл</t>
  </si>
  <si>
    <t>21 день</t>
  </si>
  <si>
    <t>350=0,35</t>
  </si>
  <si>
    <t>16гр=0,016</t>
  </si>
  <si>
    <t>450гр=0,45гр</t>
  </si>
  <si>
    <t>500мл=0,5л</t>
  </si>
  <si>
    <t>разборный с наружной резьбой, d 15</t>
  </si>
  <si>
    <t>разборный с внутренней резьбой, d 15</t>
  </si>
  <si>
    <t>с шестигранной головкой, оцинкованный, 8х80 мм</t>
  </si>
  <si>
    <t>АА, 1,5 В</t>
  </si>
  <si>
    <t>ААА, 1,5 В</t>
  </si>
  <si>
    <t>1601 уч-ся, норма 2 в мес</t>
  </si>
  <si>
    <t>2 на 1 уборщ</t>
  </si>
  <si>
    <t>Шпаклевка</t>
  </si>
  <si>
    <t>год,м</t>
  </si>
  <si>
    <t>год, рул</t>
  </si>
  <si>
    <t>на 2 школы</t>
  </si>
  <si>
    <t>на 500 м2 6м</t>
  </si>
  <si>
    <t>2 на 1 двор,1рабоч</t>
  </si>
  <si>
    <t xml:space="preserve">Изолента  </t>
  </si>
  <si>
    <t>прорезинен. ХБ 150г.</t>
  </si>
  <si>
    <t>убрать</t>
  </si>
  <si>
    <t>М266F</t>
  </si>
  <si>
    <t xml:space="preserve"> d=15, ПВХ, сварной</t>
  </si>
  <si>
    <t>коса</t>
  </si>
  <si>
    <t>1 на 1 двор, 1 раб</t>
  </si>
  <si>
    <t>Набор отверток изолированных</t>
  </si>
  <si>
    <t>Набор ручного инструмента, набор стамесок</t>
  </si>
  <si>
    <t>7 предметов, в пластиковом чемодане</t>
  </si>
  <si>
    <t>номерки для ключей  в гард</t>
  </si>
  <si>
    <t>297 р.д.</t>
  </si>
  <si>
    <t>1 на 1 корз в день</t>
  </si>
  <si>
    <t>36 пар в год на техперсонал</t>
  </si>
  <si>
    <t>48 пар в год на 1 уборщ</t>
  </si>
  <si>
    <t>мес,м</t>
  </si>
  <si>
    <t>год,мес</t>
  </si>
  <si>
    <t>0,6 м в месяц на 500м2</t>
  </si>
  <si>
    <t>резьбы, стальные</t>
  </si>
  <si>
    <t xml:space="preserve">набор сверл </t>
  </si>
  <si>
    <t xml:space="preserve"> по металлу</t>
  </si>
  <si>
    <t>2 на 1 дворн, 1 раб</t>
  </si>
  <si>
    <t>1 на 1 уборщ</t>
  </si>
  <si>
    <t>1 на 1 двор,1 раб</t>
  </si>
  <si>
    <t>3 изделия на 1 год</t>
  </si>
  <si>
    <t>1 изд. на 1 год</t>
  </si>
  <si>
    <t>Расчет на приобретение моющих средств на 2018г.</t>
  </si>
  <si>
    <t xml:space="preserve"> по  АОО "Назарбаев Интеллектуальная школа г. Астаны"</t>
  </si>
  <si>
    <t>перевод в мл, кг итд</t>
  </si>
  <si>
    <t>Цена с индекс (1,06)</t>
  </si>
  <si>
    <t xml:space="preserve">цена с НДС </t>
  </si>
  <si>
    <t>Сумма 2018 года (С НДС)</t>
  </si>
  <si>
    <t>цена с НДС</t>
  </si>
  <si>
    <t>Сода кальцинированная</t>
  </si>
  <si>
    <t>Сода кальцинированная 500гр</t>
  </si>
  <si>
    <t>гр</t>
  </si>
  <si>
    <t>Сода пищевая</t>
  </si>
  <si>
    <t>Сода пищевая 500гр</t>
  </si>
  <si>
    <t>Мыло жидкое</t>
  </si>
  <si>
    <t>5 литров</t>
  </si>
  <si>
    <t>бутыль</t>
  </si>
  <si>
    <t>мл</t>
  </si>
  <si>
    <t>Мыло твердое хозяйственное</t>
  </si>
  <si>
    <t>Мыло твердое хозяйственное, 200гр, 72%</t>
  </si>
  <si>
    <t>Средство для отбеливания тканей</t>
  </si>
  <si>
    <t>Средство для отбеливания тканей, 1 литр</t>
  </si>
  <si>
    <t>Средство чистящее  гелееобразное для  раковин</t>
  </si>
  <si>
    <t xml:space="preserve"> Средство чистящее  гелееобразное для  раковин емкостью 1000 мл</t>
  </si>
  <si>
    <t>Чистящее средство для стекол</t>
  </si>
  <si>
    <t>Чистящее средство для стекол, 500 мл</t>
  </si>
  <si>
    <t xml:space="preserve"> по  АОО "Назарбаев Интеллектуальная школа ФМН г. Астаны"</t>
  </si>
  <si>
    <t>Цена без НДС</t>
  </si>
  <si>
    <t>Цена с НДС</t>
  </si>
  <si>
    <t>Сумма 2018 года с НДС</t>
  </si>
  <si>
    <t>Сумма 2018 года</t>
  </si>
  <si>
    <t>Сумма 2019 года</t>
  </si>
  <si>
    <t>Мыло твердое хозяйственное, 200гр</t>
  </si>
  <si>
    <t>02.03.06.</t>
  </si>
  <si>
    <t>Расчет на приобретение  хоз. товаров  на 2016 г.</t>
  </si>
  <si>
    <t xml:space="preserve"> по   АОО "Назарбаев Интеллектуальная школа ФМН г. Астаны"</t>
  </si>
  <si>
    <t>Сумма 2016 года</t>
  </si>
  <si>
    <t>Хомут металлический</t>
  </si>
  <si>
    <t>Д 20, червячный</t>
  </si>
  <si>
    <t>Д 25, червячный</t>
  </si>
  <si>
    <t>Д 32, червячный</t>
  </si>
  <si>
    <t>Д 45, червячный</t>
  </si>
  <si>
    <t xml:space="preserve">Паронит </t>
  </si>
  <si>
    <t>Плотность 2г/см3, толщина 3мм, размер листа 1000х1500 мм</t>
  </si>
  <si>
    <t>лен</t>
  </si>
  <si>
    <t>качество не ниже №14</t>
  </si>
  <si>
    <t>Пистолет для силикона</t>
  </si>
  <si>
    <t xml:space="preserve">пистолет имеет корпус из легких и прочных материалов с антикоррозийным покрытием, скелетный. </t>
  </si>
  <si>
    <t>Пистолет для монтажной пены</t>
  </si>
  <si>
    <t xml:space="preserve">пистолет имеет корпус из легких и прочных материалов с антикоррозийным покрытием. Конструкция пистолета предусматривает возможность разборки и промывки специальным очистителем. </t>
  </si>
  <si>
    <t>Щетка с металлическим ворсом</t>
  </si>
  <si>
    <t>Ручка деревянная, ворс стальной не более 20мм</t>
  </si>
  <si>
    <t>Наждачная бумага</t>
  </si>
  <si>
    <t>Р150, для оканчательной шлифовки</t>
  </si>
  <si>
    <t>м2</t>
  </si>
  <si>
    <t>Р60, для грубой работы</t>
  </si>
  <si>
    <t>Монтажный комплект</t>
  </si>
  <si>
    <t xml:space="preserve">Для панельных отопительных радиаторов </t>
  </si>
  <si>
    <t>комп.</t>
  </si>
  <si>
    <t>Ножницы труборезы</t>
  </si>
  <si>
    <t>Для резьбы пластиковых труб</t>
  </si>
  <si>
    <t>единичка</t>
  </si>
  <si>
    <t>Адаптер</t>
  </si>
  <si>
    <t>Д25, наружняя резьба</t>
  </si>
  <si>
    <t>Д20, наружняя резьба</t>
  </si>
  <si>
    <t>Д32, наружняя резьба</t>
  </si>
  <si>
    <t>Д40, наружняя резьба</t>
  </si>
  <si>
    <t>Муфта пластиковая</t>
  </si>
  <si>
    <t>Д32</t>
  </si>
  <si>
    <t>Д25</t>
  </si>
  <si>
    <t>Д40</t>
  </si>
  <si>
    <t>Д20</t>
  </si>
  <si>
    <t>Отвод пластиковый</t>
  </si>
  <si>
    <t>Тройник пластиковый</t>
  </si>
  <si>
    <t>32х20</t>
  </si>
  <si>
    <t>40х32</t>
  </si>
  <si>
    <t>32х25</t>
  </si>
  <si>
    <t>40х25</t>
  </si>
  <si>
    <t>Труба пластиковая</t>
  </si>
  <si>
    <t>Д 20, PN 20</t>
  </si>
  <si>
    <t xml:space="preserve">м </t>
  </si>
  <si>
    <t>Д 25, PN 25</t>
  </si>
  <si>
    <t>Д 32, PN 25</t>
  </si>
  <si>
    <t>Д 40, PN 25</t>
  </si>
  <si>
    <t>Д 100, 2-метровые с раструбом</t>
  </si>
  <si>
    <t>Д 50, 2-метровые с раструбом</t>
  </si>
  <si>
    <t>Труба стальная</t>
  </si>
  <si>
    <t>Целнотянутая, 57х3,5, бесшовная, ГОСТ 8732-78</t>
  </si>
  <si>
    <t>Целнотянутая, 32х3,5, бесшовная, ГОСТ 8732-78</t>
  </si>
  <si>
    <t>Бесшовный, крутоизогнутыйстальной, Ду 15, ГОСТ 17375</t>
  </si>
  <si>
    <t>Бесшовный, крутоизогнутый, стальной, Ду 25, ГОСТ 17375</t>
  </si>
  <si>
    <t>Бесшовный, крутоизогнутый, стальной, Ду 32, ГОСТ 17375</t>
  </si>
  <si>
    <t>Бесшовный, крутоизогнутый, стальной, Ду 40, ГОСТ 17375</t>
  </si>
  <si>
    <t>Бесшовный, крутоизогнутый, стальной, Ду 50, ГОСТ 17375</t>
  </si>
  <si>
    <t>Д 100, с уплотнительной резиной</t>
  </si>
  <si>
    <t>Д 50, с уплотнительной резиной</t>
  </si>
  <si>
    <t>Заглушки канализационные</t>
  </si>
  <si>
    <t>Подвод на смеситель</t>
  </si>
  <si>
    <t>Длина 60 см, гибкий</t>
  </si>
  <si>
    <t>подвод на унитаз</t>
  </si>
  <si>
    <t>Крышка унитаза</t>
  </si>
  <si>
    <t>пластиковая, цвет белый</t>
  </si>
  <si>
    <t>Арматура для смывного бочка</t>
  </si>
  <si>
    <t>Нижняя, с поплавком</t>
  </si>
  <si>
    <t>Термометр</t>
  </si>
  <si>
    <t>Биметалический ТБ-63, диапазон измерений 0-150С</t>
  </si>
  <si>
    <t>Манометр</t>
  </si>
  <si>
    <t>ДМ 05-МП-ЗУ</t>
  </si>
  <si>
    <t>комплект с гофрой уплотнителями и крепежными материалами, пластиковый</t>
  </si>
  <si>
    <t>Респиратор</t>
  </si>
  <si>
    <t>РПГ-67-А: пары органических соединений (бензол и его гомологи, керосин, бензин, спирты, эфиры, сероуглерод, анилин)</t>
  </si>
  <si>
    <t>Клапан для писуара</t>
  </si>
  <si>
    <t>никелированный, с автоматическим закрыванием</t>
  </si>
  <si>
    <t>Сгон стальной</t>
  </si>
  <si>
    <t>стальной, Ду 15, ГОСТ 8969-75</t>
  </si>
  <si>
    <t>стальной, Ду 25, ГОСТ 8969-75</t>
  </si>
  <si>
    <t>стальной, Ду 32, ГОСТ 8969-75</t>
  </si>
  <si>
    <t>стальной, Ду 40, ГОСТ 8969-75</t>
  </si>
  <si>
    <t>стальной, Ду 50, ГОСТ 8969-75</t>
  </si>
  <si>
    <t>Муфта стальная</t>
  </si>
  <si>
    <t>стальной, Ду 15, ГОСТ 8966-75</t>
  </si>
  <si>
    <t>стальной, Ду 25, ГОСТ 8966-75</t>
  </si>
  <si>
    <t>стальной, Ду 32, ГОСТ 8966-75</t>
  </si>
  <si>
    <t>стальной, Ду 40, ГОСТ 8966-75</t>
  </si>
  <si>
    <t>стальной, Ду 50, ГОСТ 8966-75</t>
  </si>
  <si>
    <t xml:space="preserve">Контрагайка стальная </t>
  </si>
  <si>
    <t>стальной, Ду 15, ГОСТ 8968-75</t>
  </si>
  <si>
    <t>стальной, Ду 25, ГОСТ 8968-75</t>
  </si>
  <si>
    <t>стальной, Ду 32, ГОСТ 8968-75</t>
  </si>
  <si>
    <t>стальной, Ду 40, ГОСТ 8968-75</t>
  </si>
  <si>
    <t>стальной, Ду 50, ГОСТ 8968-75</t>
  </si>
  <si>
    <t xml:space="preserve">Резьба стальная </t>
  </si>
  <si>
    <t>стальной, Ду 15, ГОСТ 3262-75</t>
  </si>
  <si>
    <t>стальной, Ду 25, ГОСТ 3262-75</t>
  </si>
  <si>
    <t>стальной, Ду 32, ГОСТ 3262-75</t>
  </si>
  <si>
    <t>стальной, Ду 40, ГОСТ 3262-75</t>
  </si>
  <si>
    <t>стальной, Ду 50, ГОСТ 3262-75</t>
  </si>
  <si>
    <t>размеры 8-32, с трещеткой, удленителем, усилителем</t>
  </si>
  <si>
    <t>Песок</t>
  </si>
  <si>
    <t>Мелкозернистый песок речной, чистый без примесей, в мешках по 50 кг.</t>
  </si>
  <si>
    <t>для строительных растворов, М-400</t>
  </si>
  <si>
    <t>Гипсовая смесь</t>
  </si>
  <si>
    <t>штукатурная,для отделочных работ</t>
  </si>
  <si>
    <t>Плитки подвесной потолок</t>
  </si>
  <si>
    <t>Размер одной плитки 600х600, тип армстронг, цвет по соглосованию с заказщиком</t>
  </si>
  <si>
    <t>финишная,для отделочных работ</t>
  </si>
  <si>
    <t>ВД-ВА-224 Массовая доля нелетучих веществ 53 - 59%, рН краски 6,8-8,2, Укрывистость высушенного покрытия ≤120 г/м2, Стойкость покрытия при t (20±2)°C к статическому воздействию воды 12 час, Морозостойкость краски 5 циклов, ГОСТ 28196-89, в ведре по 25кг, цвет белый</t>
  </si>
  <si>
    <t>Краска водно-дисперсионная (водоэмульсия)</t>
  </si>
  <si>
    <t>Эмалевая краска белая ПФ 115</t>
  </si>
  <si>
    <t>ПФ-115 первый сорт серый, массовая доля нелетучих веществ, %, не менее 62-68, ГОСТ 6465-76</t>
  </si>
  <si>
    <t>Плитка кафельная напольная</t>
  </si>
  <si>
    <t>Керамическая для полов основная квадратная 450*300 мм.</t>
  </si>
  <si>
    <t>Плитка кафельная стеновая</t>
  </si>
  <si>
    <t>облицовочная р-р 25х45</t>
  </si>
  <si>
    <t>Крестики для укладки кафеля</t>
  </si>
  <si>
    <t>Крестики для укладки кафеля 2,0-4,0 мм (уп.200шт.)</t>
  </si>
  <si>
    <t>упак.</t>
  </si>
  <si>
    <t>Клей кафельный</t>
  </si>
  <si>
    <t>стандартный, влагостойкий, морозостойкий, предназначен для настенной и напольной укладки всех видов плитки</t>
  </si>
  <si>
    <t>Лист гипсокартонный (гипсокартон)</t>
  </si>
  <si>
    <t>обычный (ГКЛ), размер 2100х1200х12,5 мм, ГОСТ 6266-97</t>
  </si>
  <si>
    <t>Клей ПВА</t>
  </si>
  <si>
    <t>марки Д 50Н, ГОСТ 18992-80</t>
  </si>
  <si>
    <t>Монтажная пена (пенополиуретановый герметик)</t>
  </si>
  <si>
    <t>однокомпонентная, всесезонная, в аэрозольной упаковке, бытовая</t>
  </si>
  <si>
    <t>Скотч бумажный</t>
  </si>
  <si>
    <t>широкий свыше 3-х см</t>
  </si>
  <si>
    <t>Лента оградительная</t>
  </si>
  <si>
    <t>сигнальная 50 мм</t>
  </si>
  <si>
    <t>Лента серпянка</t>
  </si>
  <si>
    <t>для внутр. отделочных работ</t>
  </si>
  <si>
    <t>Герметик силиконовый</t>
  </si>
  <si>
    <t>марки У-30М, ГОСТ 13489-79</t>
  </si>
  <si>
    <t>металлический, в наборе не менее 4 вида</t>
  </si>
  <si>
    <t>диаметром от 6 до 32, длина буров не менее 100мм</t>
  </si>
  <si>
    <t>Диски по металлу</t>
  </si>
  <si>
    <t>д 32 см</t>
  </si>
  <si>
    <t>Кисти малярные</t>
  </si>
  <si>
    <t>кисть маховая, предназначена для промывки, грунтовки, побелки и окраски поверхностей</t>
  </si>
  <si>
    <t>Кафелерезка</t>
  </si>
  <si>
    <t>для прямой и фигурной резки и разламывани керамической плитки</t>
  </si>
  <si>
    <t>Насадки для шуруповерта</t>
  </si>
  <si>
    <t>фигурные, плоские</t>
  </si>
  <si>
    <t>Топор плотнический</t>
  </si>
  <si>
    <t>плотнический топор весом до 600гр</t>
  </si>
  <si>
    <t>Гвоздедер</t>
  </si>
  <si>
    <t>Плоскогубцы</t>
  </si>
  <si>
    <t>Диэлектрические, 180мм</t>
  </si>
  <si>
    <t>ножницы для обработки металла</t>
  </si>
  <si>
    <t>ножницы для обработки металла листовые дисковые</t>
  </si>
  <si>
    <t xml:space="preserve">Состав:
Компонент 1 (адгезид): смола эпоксидно-диановая, минеральные наполнители.
Компонент 2 (отвердитель): модифицированный полиэтиленполиамин, целевые добавки, минеральные наполнители. 
</t>
  </si>
  <si>
    <t>Суперклей</t>
  </si>
  <si>
    <t>ОК 201</t>
  </si>
  <si>
    <t>Двухсторонний скотч</t>
  </si>
  <si>
    <t>В рулоне, ширина не менее 30мм</t>
  </si>
  <si>
    <t>Сверло по кафелю</t>
  </si>
  <si>
    <t>С алмазным наконечником, Д-6мм</t>
  </si>
  <si>
    <t>С алмазным наконечником, Д-10мм</t>
  </si>
  <si>
    <t>Шуруп</t>
  </si>
  <si>
    <t>3,5х25, стальной</t>
  </si>
  <si>
    <t>3,5х45, стальной</t>
  </si>
  <si>
    <t>3,5х50, стальной</t>
  </si>
  <si>
    <t>3,5х75, стальной</t>
  </si>
  <si>
    <t>3,5х100, стальной</t>
  </si>
  <si>
    <t>саморез по металлу, 3,5х13</t>
  </si>
  <si>
    <t>саморез по металлу, 3,5х20</t>
  </si>
  <si>
    <t>саморез по металлу, 3,5х50</t>
  </si>
  <si>
    <t>хромированный, 3,5х16</t>
  </si>
  <si>
    <t>Дюбель</t>
  </si>
  <si>
    <t>Нейлоновый, по гипсокартону, улитка</t>
  </si>
  <si>
    <t>Нейлоновый, по гипсокартону, бабочка</t>
  </si>
  <si>
    <t>Нагель-дюбель</t>
  </si>
  <si>
    <t>нагель, нейлоновый, 6х80</t>
  </si>
  <si>
    <t>нагель, нейлоновый, 6х40</t>
  </si>
  <si>
    <t>нагель, нейлоновый, 8х80</t>
  </si>
  <si>
    <t>Защитные очки</t>
  </si>
  <si>
    <t>Выполнено из прочного прозрачного пластика</t>
  </si>
  <si>
    <t>Уголки</t>
  </si>
  <si>
    <t>Мебельные металлические</t>
  </si>
  <si>
    <t>Болт</t>
  </si>
  <si>
    <t>М6, длина 80мм</t>
  </si>
  <si>
    <t>М6</t>
  </si>
  <si>
    <t>Потойной, М6, длина 80мм</t>
  </si>
  <si>
    <t>Штангенциркуль</t>
  </si>
  <si>
    <t>ГОСТ 166-89</t>
  </si>
  <si>
    <t>Габариты, мм: 272 x 57 x 120, ручной</t>
  </si>
  <si>
    <t>Электролобзик</t>
  </si>
  <si>
    <t>Мощность 450Вт
Частота 500-3100 об./мин.
Глубина пропила по стали до 6мм
Глубина пропила по дереву до 65 мм
Длина хода 18 мм
Рукоятка скобовидная, обрезиненная
Маятниковое движение 4 ступени
Подошва алюминевая, литая
Дополнительно возможно подключения пылесоса
Длина шнура 2 м
Питание от сети 220В да
Вес 1,9 кг</t>
  </si>
  <si>
    <t>Угло-шлифовальная машинка</t>
  </si>
  <si>
    <t>Питание-Сеть 220В
Дополнительная рукоятка
Макс. частота вращения диска-8500 об/мин
Резьба шпинделя-M14    Потребляемая мощность-2200 Вт     Диаметр диска 230мм</t>
  </si>
  <si>
    <t>Фен технический</t>
  </si>
  <si>
    <t>Регулировка температуры ступенчатая
Потребляемая мощность-1600
Объем воздуха не менее 500
Теплозащитный кожух 
Максимальная рабочая температура-480
Вес-1.8</t>
  </si>
  <si>
    <t>Степлер строительный</t>
  </si>
  <si>
    <t>Ручной, механический</t>
  </si>
  <si>
    <t>Для строительного степлера, 12мм</t>
  </si>
  <si>
    <t>Клепальник</t>
  </si>
  <si>
    <t>Ручной, механический, не менее 300мм</t>
  </si>
  <si>
    <t>Клепки</t>
  </si>
  <si>
    <t>3,2х10</t>
  </si>
  <si>
    <t>Бита</t>
  </si>
  <si>
    <t>Под конфирмат, Н4х50, хром-ванадиевая сталь Cr-V</t>
  </si>
  <si>
    <t>Линейка угловая</t>
  </si>
  <si>
    <t>50 см, алюминиевая, с уровнем, 90 градусов</t>
  </si>
  <si>
    <t>Вилы</t>
  </si>
  <si>
    <t>Для уборки сена и травы, с черенком, четырехрогая</t>
  </si>
  <si>
    <t>Уровень строительный</t>
  </si>
  <si>
    <t>1500 мм, в металлическом корпусе, ударопрочная</t>
  </si>
  <si>
    <t>600 мм, в металлическом корпусе, ударопрочная</t>
  </si>
  <si>
    <t>1000 мм, в металлическом корпусе, ударопрочная</t>
  </si>
  <si>
    <t>L-образные, не менее 9 предметов, хром-ванадиевая сталь Cr-V</t>
  </si>
  <si>
    <t>Дождевик</t>
  </si>
  <si>
    <t>ГОСТ 12.4.134-83
Материал: полиэфир - 100%, ПВХ покрытие; Плащ прямого силуэта с центральной бортовой застёжкой на кнопки. Полочки с боковыми накладнымикарманами с клапанами. В верхней части полочек под проймой - вентиляционные отверстия. Спинка с отлетной кокеткой, под кокеткой - сетка для воздухообмена. Рукава реглан. Низ рукавов регулируется по ширине с помощью кнопки. Капюшон по лицевому срезу стягивается шнуром. Все швы проклеены.</t>
  </si>
  <si>
    <t xml:space="preserve">Пояс монтажный </t>
  </si>
  <si>
    <t xml:space="preserve">Масса привязи, в зависимости от комплектации, от 1 до 3 кг.
Величина обхвата талии, обеспечиваемая ремнем, от 740 до 1350 мм
Статистическая разрывная нагрузка, кН (кгс) не менее 15 (1500)
Изготовлено по ТУ8786-001-25481800-2004
</t>
  </si>
  <si>
    <t>Каска строительная</t>
  </si>
  <si>
    <t>Каска защитная предназначена для защиты головы работающих при производстве строительных, строительно-монтажных работ и др. работ. Состоит из пластикового корпуса и внутренней оснастки с амортизирующим устройством.</t>
  </si>
  <si>
    <t>ВА47-29М, С, 400В, 40А</t>
  </si>
  <si>
    <t>Автоматический выключатель  трехполюсный</t>
  </si>
  <si>
    <t>ВА47-29М, С, 400В, 32А</t>
  </si>
  <si>
    <t>ВА47-29М, С, 400В, 63А</t>
  </si>
  <si>
    <t>Автоматический выключатель однополюсный</t>
  </si>
  <si>
    <t>ВА47-29М, В, 230В, 16А</t>
  </si>
  <si>
    <t>ВА47-29М, В, 230В, 25А</t>
  </si>
  <si>
    <t>ВА47-29М, В, 230В, 32А</t>
  </si>
  <si>
    <t>Т8, 18Вт</t>
  </si>
  <si>
    <t>Т8, 36Вт</t>
  </si>
  <si>
    <t>Розетки внутренние</t>
  </si>
  <si>
    <t>Розетки наружние</t>
  </si>
  <si>
    <t>Пускатель</t>
  </si>
  <si>
    <t>КМЭ(р) - 25</t>
  </si>
  <si>
    <t>КМЭ(р) - 12</t>
  </si>
  <si>
    <t>Кнопочный пост</t>
  </si>
  <si>
    <t>КП 1, с двухпозиционным переключателем</t>
  </si>
  <si>
    <t>Фурнитуры на туалетные кабинки</t>
  </si>
  <si>
    <t>Материал металл, для полотен ЛДСП 16-18мм, флажковый замок с индикатором, цвет:хром, комплектация: ножка опоры-2шт, уголки крепления панелей-12 шт, ручка цилиндр-1шт, замок флажковый-1шт, навесы-2 шт, крючок- 1шт</t>
  </si>
  <si>
    <t>Средство защиты от сорняков</t>
  </si>
  <si>
    <t>Общеистребительный гербицид, уничтожающий однолетние и многолетние злаковые и двудольные сорняки и нежелательную древесно-кустарниковую растительность при обработке в период вегетации, торнадо 5мл</t>
  </si>
  <si>
    <t>Гербицид избирательного действия Деметра к.э. 5л</t>
  </si>
  <si>
    <t>канистра</t>
  </si>
  <si>
    <t>Семена многолетнего газона</t>
  </si>
  <si>
    <t>в мешке 25 кг</t>
  </si>
  <si>
    <t>Бумага туалетная</t>
  </si>
  <si>
    <t>латексные</t>
  </si>
  <si>
    <t>пара</t>
  </si>
  <si>
    <t>Пакеты полиэтиленовые</t>
  </si>
  <si>
    <t>60л, в рулоне 20 шт</t>
  </si>
  <si>
    <t>35л, в рулоне 20 шт</t>
  </si>
  <si>
    <t>Ветошь для пола</t>
  </si>
  <si>
    <t>Полотенце</t>
  </si>
  <si>
    <t>Чернозем</t>
  </si>
  <si>
    <t>чернозем</t>
  </si>
  <si>
    <t>куб..м.</t>
  </si>
  <si>
    <t>Земля</t>
  </si>
  <si>
    <t>земля универсальная, 50л</t>
  </si>
  <si>
    <t>земля для "Ховея":дерновая земля -2части, листовая земля- 2 части, торф- 1 часть, компостная земля- 1 часть, песок- 1 часть</t>
  </si>
  <si>
    <t>Удобрение универсальное Фитоспорин</t>
  </si>
  <si>
    <t>удобрение Фитоспорин М в пачках</t>
  </si>
  <si>
    <t>Удобрение для лиственных</t>
  </si>
  <si>
    <t>удобрение для лиственных в бутылях, 200 гр</t>
  </si>
  <si>
    <t>Удобрение для декаротивнолиственных</t>
  </si>
  <si>
    <t>удобрение для комнатных растений в бутылях, 200гр</t>
  </si>
  <si>
    <t xml:space="preserve">Удобрение универсальное </t>
  </si>
  <si>
    <t>Удобрение универсальное жидкое в бутылях, 200гр</t>
  </si>
  <si>
    <t>Органоминеральные удобрения</t>
  </si>
  <si>
    <t>органоминеральные удобрения в бутылях, 200 гр</t>
  </si>
  <si>
    <t>Опора бамбук</t>
  </si>
  <si>
    <t>опора бамбук, 1м</t>
  </si>
  <si>
    <t>Опора с кокосовой стружкой</t>
  </si>
  <si>
    <t>высота, 1,5 м</t>
  </si>
  <si>
    <t xml:space="preserve">Зажимы </t>
  </si>
  <si>
    <t>зажимы разные</t>
  </si>
  <si>
    <t>Веревки</t>
  </si>
  <si>
    <t>500м</t>
  </si>
  <si>
    <t>по 2кг</t>
  </si>
  <si>
    <t>Горшки</t>
  </si>
  <si>
    <t>пластиковые 30 л с поддоном</t>
  </si>
  <si>
    <t>пластиковые, 20 л с поддоном</t>
  </si>
  <si>
    <t>Температурный датчик</t>
  </si>
  <si>
    <t>Предохранительное термореле</t>
  </si>
  <si>
    <t>Реле давления</t>
  </si>
  <si>
    <t>Соленойдный клапан с арматурой</t>
  </si>
  <si>
    <t>Термостойкте чехлы</t>
  </si>
  <si>
    <t>Замок двери  стиральной машины</t>
  </si>
  <si>
    <t>Аварийно-сбросное предохранительное реле</t>
  </si>
  <si>
    <t>Ремень стиральной машины</t>
  </si>
  <si>
    <t>Ремень сушильного барабана</t>
  </si>
  <si>
    <t>Смазочное масло</t>
  </si>
  <si>
    <t>Шланги подачи пара на утюги</t>
  </si>
  <si>
    <t>Кабель 4хжильный в мягкой оплетке</t>
  </si>
  <si>
    <t>Силиконовые коврики под утюги</t>
  </si>
  <si>
    <t>Сливные клапана стиральной машины</t>
  </si>
  <si>
    <t>Подшипники</t>
  </si>
  <si>
    <t>Контролер</t>
  </si>
  <si>
    <t>Мочалка</t>
  </si>
  <si>
    <t>аэрозоль, 300 мл</t>
  </si>
  <si>
    <t>Чаша Генуя</t>
  </si>
  <si>
    <t>Чаша Генуя чугунная эмалированная-напольный унитаз для санузлов общественных мест, строительных объектов, вокзалов, поликлиник, больниц, военных частей, общежитий, школ, производственных помещений. Комплектность: корпус чаши- 1шт, сифон-1 шт, водораспределительное устройство- 1 шт, контрогайка 32- 1 шт, патрубок- 1 шт, прокладка- 1 шт, шайба- 1 шт</t>
  </si>
  <si>
    <t>Стремянка алюминиевая</t>
  </si>
  <si>
    <t>стремянка алюминиевая, 5тиметровая. Характеристика: материал алюминий, максимальная нагрузка, кг: 150</t>
  </si>
  <si>
    <t>Автоматический выключатель</t>
  </si>
  <si>
    <t>Автомат ВА47-100 3Р 100А С</t>
  </si>
  <si>
    <t>Автомат ВА47-29 1Р 32А С</t>
  </si>
  <si>
    <t>Автомат ВА47-29 3Р 40А С</t>
  </si>
  <si>
    <t>Индикатор</t>
  </si>
  <si>
    <t>индикатор фазовый (прибор для определения фазы-0)</t>
  </si>
  <si>
    <t>Мультитестр</t>
  </si>
  <si>
    <t>мультитестр ДТ 830 (измерительный прибор для электротехники- цифровой)</t>
  </si>
  <si>
    <t>Набор инструментов</t>
  </si>
  <si>
    <t>набор инструментов с изол. Рукоятками, 1 РК-067 бокорезы 165 мм, 1 РК-709 длинногубцы 165 мм, 1РК-НО28 разводной ключ 0-25 мм, PN-086N раздвижные плоскогубцы, 9N-Р008 ключ "попугай" до 30 мм, 9 Z-PK2078 мягкая сумка с заклемками</t>
  </si>
  <si>
    <t>Ножовочное полотно</t>
  </si>
  <si>
    <t>Ножовочное полотно (по металлу)</t>
  </si>
  <si>
    <t>Сапоги болотные</t>
  </si>
  <si>
    <t>сапоги болотные резиновые, размер не менее 43</t>
  </si>
  <si>
    <t>сантехническмй</t>
  </si>
  <si>
    <t>Шестигранник</t>
  </si>
  <si>
    <t>тип ключа Lобразный, в наборе не менее 6 шт</t>
  </si>
  <si>
    <t>Налобный фонарик</t>
  </si>
  <si>
    <t>Размер 7*5,5*4см, удобное ношение на голове, низкое энергопотребление, регулируемый ремень, регулируемый наклон, работает на 3 батарейках ААА</t>
  </si>
  <si>
    <t>Лампа</t>
  </si>
  <si>
    <t>люминесцентная, Т8, 18 Вт</t>
  </si>
  <si>
    <t>люминесцентная, Т8, 36 Вт</t>
  </si>
  <si>
    <t>Электролампа</t>
  </si>
  <si>
    <t>энергосберегающая, 30 Вт, цоколь-Е27</t>
  </si>
  <si>
    <t>Е40, 250В, газоразрядная</t>
  </si>
  <si>
    <t>Вилка электрическая</t>
  </si>
  <si>
    <t>230 В, 16А, с боковым подводом провода, с заземлением</t>
  </si>
  <si>
    <t>Клещи-автомат</t>
  </si>
  <si>
    <t>для снятия изоляции провода с сечением 0,2-6,0 мм2, оснащенные удобными рукоятками с покрытием ПВХ</t>
  </si>
  <si>
    <t>Набор электрика- эксплуатационщика</t>
  </si>
  <si>
    <t>в набор входят 16 предметов: съемник изоляции, пассатижи, кусачки боковые, клуглогубцы, кабелерез, набор от отверток 9шт, тестер напряжения, сумка монтажника</t>
  </si>
  <si>
    <t>Кабельный канал</t>
  </si>
  <si>
    <t>напольный, применяется для прокладки всех видов силовых и слаботочных кабельных трасс, включая оптический кабель и информационную проводку высоких категорий для организации рабочих мест в офисных и административных зданиях</t>
  </si>
  <si>
    <t>Труба</t>
  </si>
  <si>
    <t>пластик, д25</t>
  </si>
  <si>
    <t>Хомут</t>
  </si>
  <si>
    <t>крепление, д 25</t>
  </si>
  <si>
    <t>Тройник</t>
  </si>
  <si>
    <t>д 25</t>
  </si>
  <si>
    <t>д 50</t>
  </si>
  <si>
    <t>ВВГ 5*6</t>
  </si>
  <si>
    <t>ВВГ 5*4</t>
  </si>
  <si>
    <t>гофрированная, д 32</t>
  </si>
  <si>
    <t>40*25</t>
  </si>
  <si>
    <t>Автоматы</t>
  </si>
  <si>
    <t>3хполюсные, 32А</t>
  </si>
  <si>
    <t>3хполюсные, 16А</t>
  </si>
  <si>
    <t>1нополюсные, 16А</t>
  </si>
  <si>
    <t>Пускатель пм</t>
  </si>
  <si>
    <t>12-160</t>
  </si>
  <si>
    <t>Переключатель трехпозиционный</t>
  </si>
  <si>
    <t>3951-30-02 2НЗ с фиксацией</t>
  </si>
  <si>
    <t>Фотореле</t>
  </si>
  <si>
    <t>PS-2</t>
  </si>
  <si>
    <t>Кабель  аввг</t>
  </si>
  <si>
    <t>2*10</t>
  </si>
  <si>
    <t>2*6</t>
  </si>
  <si>
    <t>Муфта</t>
  </si>
  <si>
    <t>концевая, термоусаживающая, пквт 10 мм</t>
  </si>
  <si>
    <t>концевая, термоусаживающая, пквт 16 мм</t>
  </si>
  <si>
    <t>S 15 w 6400r 220 в 50/60 гц</t>
  </si>
  <si>
    <t>днат 250 W CB8 HPI Plus</t>
  </si>
  <si>
    <t>Дроссель</t>
  </si>
  <si>
    <t>14 250 днат 46 Н 003 ухл-2</t>
  </si>
  <si>
    <t>энергосберегающая spiral/70 w/860 e40</t>
  </si>
  <si>
    <t>Зажимы</t>
  </si>
  <si>
    <t>орех, У733м Hegel</t>
  </si>
  <si>
    <t>Изолента ПВХ</t>
  </si>
  <si>
    <t>пвх</t>
  </si>
  <si>
    <t>руд</t>
  </si>
  <si>
    <t>Предохранитель</t>
  </si>
  <si>
    <t>EKF100A ППН 33 габарит 00С 220В-660</t>
  </si>
  <si>
    <t>EKF400A ППН 37 габарит 2-400 220В-661</t>
  </si>
  <si>
    <t>Автомат</t>
  </si>
  <si>
    <t>EKF 160A</t>
  </si>
  <si>
    <t>EKF250A ППН 35 габарит 2-220 В-660</t>
  </si>
  <si>
    <t>Основание под предохранитель</t>
  </si>
  <si>
    <t>ТПН 100А</t>
  </si>
  <si>
    <t>Пускатель пме с теплорасцепителем</t>
  </si>
  <si>
    <t>2 величины</t>
  </si>
  <si>
    <t>Патрон</t>
  </si>
  <si>
    <t>осветиттельный, Е-40, 220 В</t>
  </si>
  <si>
    <t>хозтовары для котельной</t>
  </si>
  <si>
    <t>МТП 100 10 атм</t>
  </si>
  <si>
    <t>Паронит</t>
  </si>
  <si>
    <t>д 3 мм</t>
  </si>
  <si>
    <t>Электроклапан</t>
  </si>
  <si>
    <t>PNO-10 b 230 b 18 b</t>
  </si>
  <si>
    <t>Асбест пластина</t>
  </si>
  <si>
    <t>Пускатель пмл с теплоэлементом</t>
  </si>
  <si>
    <t>3 величины</t>
  </si>
  <si>
    <t>Реле</t>
  </si>
  <si>
    <t>контроля фаз РКФН-11Л</t>
  </si>
  <si>
    <t>д 25, ру 30, Т5-120оС</t>
  </si>
  <si>
    <t>д 15, ру 30, Т5-120оС</t>
  </si>
  <si>
    <t>механический, биметаллический ТБ 63 диап. Изм 0-150 гр Ц</t>
  </si>
  <si>
    <t>д 32 ру 30, Т5-120оС</t>
  </si>
  <si>
    <t>NaCl</t>
  </si>
  <si>
    <t>ае 2040 IN 60a</t>
  </si>
  <si>
    <t>лб-38, 40 Вт цоколь 13</t>
  </si>
  <si>
    <t xml:space="preserve">Коврик </t>
  </si>
  <si>
    <t>диэлектрический 500*500 м</t>
  </si>
  <si>
    <t>Стартер</t>
  </si>
  <si>
    <t>S-2, S-6</t>
  </si>
  <si>
    <t>Краска</t>
  </si>
  <si>
    <t>эмаль, голубая, масляная</t>
  </si>
  <si>
    <t>Набор резьб, контргаек,муфт</t>
  </si>
  <si>
    <t>д 50мм</t>
  </si>
  <si>
    <t>Электроды</t>
  </si>
  <si>
    <t>д 3мм</t>
  </si>
  <si>
    <t>пач</t>
  </si>
  <si>
    <t>Литол 24</t>
  </si>
  <si>
    <t>ГОСТ 21150-87 PRO 504R</t>
  </si>
  <si>
    <t>Шприц</t>
  </si>
  <si>
    <t>для смазки, ГОСТ 21150-87 PRO 504R</t>
  </si>
  <si>
    <t>Рем. Комплект для котла</t>
  </si>
  <si>
    <t>Расчет на приобретение  хоз. товаров  на 2017 г.</t>
  </si>
  <si>
    <t>хоз.товары</t>
  </si>
  <si>
    <t xml:space="preserve"> по  административному корпусу,расположенному по ул.31</t>
  </si>
  <si>
    <t>Наименование товара</t>
  </si>
  <si>
    <t>Характеристика товара</t>
  </si>
  <si>
    <t>ХБН</t>
  </si>
  <si>
    <t>АОО</t>
  </si>
  <si>
    <t>Автоматический  выключатель однополюсный АЕ 2046 М 25А</t>
  </si>
  <si>
    <t xml:space="preserve">Автоматический  выключатель АЕ 2046 М 25А </t>
  </si>
  <si>
    <t>Автоматический  выключатель однополюсный АЕ 2046 М 40А</t>
  </si>
  <si>
    <t xml:space="preserve">Автоматический  выключатель АЕ 2046 М 40А </t>
  </si>
  <si>
    <t>Автоматический  выключатель однополюсный АЕ 2046 М 32А</t>
  </si>
  <si>
    <t>Автоматический  выключатель АЕ 2046 М 32А</t>
  </si>
  <si>
    <t>Автоматический  выключатель однополюсный АЕ 2046 М 16А</t>
  </si>
  <si>
    <t>Автоматический  выключатель АЕ 2046 М 16А</t>
  </si>
  <si>
    <t xml:space="preserve">Муфта комбинированная разъемная (ПП) d 20 мм.                                      на металл d 15мм. внутренняя резьба </t>
  </si>
  <si>
    <t xml:space="preserve">Муфта комбинированная разъемная (ПП) d 20 мм.                                      на металл d 15мм. наружная резьба </t>
  </si>
  <si>
    <t xml:space="preserve">Муфта комбинированная разъемная (ПП) d 25 мм.                                      на металл d 20мм. внутренняя резьба </t>
  </si>
  <si>
    <t xml:space="preserve">Муфта комбинированная разъемная (ПП) d 25 мм.                                      на металл d 20мм. наружная резьба </t>
  </si>
  <si>
    <t xml:space="preserve">Муфта комбинированная разъемная (ПП) d 32 мм.                                      на металл d 25мм. наружная резьба </t>
  </si>
  <si>
    <t xml:space="preserve">Муфта комбинированная разъемная (ПП) d 32 мм.                                      на металл d 25 мм. внутренняя резьба </t>
  </si>
  <si>
    <t xml:space="preserve">Муфта комбинированная разъемная (ПП) d 40 мм.                                      на металл d 32 мм. наружная резьба </t>
  </si>
  <si>
    <t xml:space="preserve">Муфта комбинированная разъемная (ПП) d 40 мм.                                      на металл d 32 мм. внутренняя резьба </t>
  </si>
  <si>
    <t xml:space="preserve">Муфта комбинированная разъемная (ПП) d 50 мм.                                      на металл d 40 мм. внутренняя резьба </t>
  </si>
  <si>
    <t xml:space="preserve">Муфта комбинированная разъемная (ПП) d 50 мм.                                      на металл d 40 мм. наружная резьба </t>
  </si>
  <si>
    <t>Батарейки АА, 1,5 В</t>
  </si>
  <si>
    <t>Болт мебельный с полусферической головкой 6*80мм</t>
  </si>
  <si>
    <t>болт  винт с гайкой с двумя шайбами комплект 4 на 25мм</t>
  </si>
  <si>
    <t>90,00</t>
  </si>
  <si>
    <t>болт винт со шляпкой м6 на 25мм</t>
  </si>
  <si>
    <t>100</t>
  </si>
  <si>
    <t>болт винт со шляпкой м6 на 50 мм</t>
  </si>
  <si>
    <t>80,00</t>
  </si>
  <si>
    <t>Болт стальной 6*40 мм.</t>
  </si>
  <si>
    <t>Бур по бетону № 22</t>
  </si>
  <si>
    <t>Бур по бетону №6</t>
  </si>
  <si>
    <t>Бур по бетону №8</t>
  </si>
  <si>
    <t>Гайка стальная М6</t>
  </si>
  <si>
    <t xml:space="preserve">Герметик силиконовый универсальный 260 мл </t>
  </si>
  <si>
    <t>Гипсокартонные листы  влагостойкие 2,5*1,2*9,5 мм</t>
  </si>
  <si>
    <t>Труба гофрированная d  20 мм</t>
  </si>
  <si>
    <t>Замок дверной, врезной, межкомнатный с ручкой</t>
  </si>
  <si>
    <t>диск по  металлу отрезной d 125 мм.</t>
  </si>
  <si>
    <t>1000</t>
  </si>
  <si>
    <t>диск по  металлу отрезной d 230 мм.</t>
  </si>
  <si>
    <t>1100,00</t>
  </si>
  <si>
    <t>Диски по бетону</t>
  </si>
  <si>
    <t>Диски по бетону отрезной d 230 мм.</t>
  </si>
  <si>
    <t>Диски по бетону отрезной d 125 мм.</t>
  </si>
  <si>
    <t>900</t>
  </si>
  <si>
    <t>Дроссель для люминисцент. ламп 2*36W</t>
  </si>
  <si>
    <t>для ламп 2*36В</t>
  </si>
  <si>
    <t>60,00</t>
  </si>
  <si>
    <t>Очиститель пены, универсальное средство</t>
  </si>
  <si>
    <t xml:space="preserve">Смывка для пены CL 500 (450мл) BUDFIX </t>
  </si>
  <si>
    <t>500</t>
  </si>
  <si>
    <t>заклепки алюминиевые вытяжные</t>
  </si>
  <si>
    <t>Замок навесной 50*70 мм.</t>
  </si>
  <si>
    <t>Известь</t>
  </si>
  <si>
    <t>кг.</t>
  </si>
  <si>
    <t xml:space="preserve">Набор инструментов электрика 12 предметов до 1000 В. </t>
  </si>
  <si>
    <t xml:space="preserve"> Набор диэлектрического инструмента "Электро-Эксперт" 12 предметов ЗУБР. Сертефицированный диэлектрический инструмент,предназначен для выполнения электромонтажных работ до 1000В</t>
  </si>
  <si>
    <t>Кабель ВВГ 3*2,5 медный 3-жильный</t>
  </si>
  <si>
    <t>Кабель ВВГ 5*4</t>
  </si>
  <si>
    <t>Кабель ВВГ 3*1,5</t>
  </si>
  <si>
    <t>Кабель канал  ПВХ 25*15</t>
  </si>
  <si>
    <t>кафель   стеновой  20*30</t>
  </si>
  <si>
    <t>кафель  напольный  30*30</t>
  </si>
  <si>
    <t>Клей для кафельной плитки 25 кг.</t>
  </si>
  <si>
    <t>Клей ПВА 0,9 кг.</t>
  </si>
  <si>
    <t>клей универсальный</t>
  </si>
  <si>
    <t xml:space="preserve">Коробка установочная СП 68*45 с пластиковыми лапками </t>
  </si>
  <si>
    <t>Коробка установочная СП 68*45 с пластиковыми лапками (подрозетник)</t>
  </si>
  <si>
    <t>коронка буровая d73мм</t>
  </si>
  <si>
    <t>коронка буровая d80мм</t>
  </si>
  <si>
    <t>Кран приварной шаровый d 25 мм</t>
  </si>
  <si>
    <t>1500</t>
  </si>
  <si>
    <t>Кран приварной шаровый d 50 мм</t>
  </si>
  <si>
    <t>14000</t>
  </si>
  <si>
    <t>Кран приварной шаровый d 80мм</t>
  </si>
  <si>
    <t>Кран приварной шаровый d 100мм</t>
  </si>
  <si>
    <t>16000</t>
  </si>
  <si>
    <t>15000</t>
  </si>
  <si>
    <t xml:space="preserve">кран шаровый муфтовый d 20 мм </t>
  </si>
  <si>
    <t>кран шаровый муфтовый d 20 мм  (спускной)</t>
  </si>
  <si>
    <t xml:space="preserve">кран шаровый муфтовый d 25 мм </t>
  </si>
  <si>
    <t>кран шаровый муфтовый d 25 мм (спускной)</t>
  </si>
  <si>
    <t>1100</t>
  </si>
  <si>
    <t xml:space="preserve">кран шаровый муфтовый d 32 мм </t>
  </si>
  <si>
    <t xml:space="preserve">кран шаровый муфтовый d 40 мм </t>
  </si>
  <si>
    <t>2000</t>
  </si>
  <si>
    <t xml:space="preserve">кран шаровый муфтовый d 50 мм </t>
  </si>
  <si>
    <t>2500</t>
  </si>
  <si>
    <t>краска грунтовая 20 кг. (цвет красно-бордовая)</t>
  </si>
  <si>
    <t>краска алкидная 3кг</t>
  </si>
  <si>
    <t xml:space="preserve">краска алкидная 3 кг </t>
  </si>
  <si>
    <t>крепления на жалюзи</t>
  </si>
  <si>
    <t>50,00</t>
  </si>
  <si>
    <t xml:space="preserve">Лампа бактерицидная </t>
  </si>
  <si>
    <t>Лампа газозарядная ДНаТ-150Вт Е-40</t>
  </si>
  <si>
    <t>Лампа энергосберегающие Е-27 20В</t>
  </si>
  <si>
    <t xml:space="preserve">Лом металлический  </t>
  </si>
  <si>
    <t>Лопата совковая с черенком</t>
  </si>
  <si>
    <t>Лопата снегоуборочная пластиковая</t>
  </si>
  <si>
    <t>Лопата снегоуборочная пластиковая (скрепер-движок) 700*530см.</t>
  </si>
  <si>
    <t>лопата штыковая с черенком</t>
  </si>
  <si>
    <t>молоток слесарный,с деревянной ручкой 600гр</t>
  </si>
  <si>
    <t>Муфта полипропилен d 32 мм</t>
  </si>
  <si>
    <t>Набор ключей рожковых - рожковые, набор 7-32 мм</t>
  </si>
  <si>
    <t>Набор</t>
  </si>
  <si>
    <t xml:space="preserve">Набор комбинированных ключей 6-27мм. 12 предметов </t>
  </si>
  <si>
    <t xml:space="preserve">Набор комбинированных ключей 6-27мм. 12 предметов. С трещеткой и головками. </t>
  </si>
  <si>
    <t>Сгон стальной в сборе d 25 мм.</t>
  </si>
  <si>
    <t>Сгон стальной в сборе d 25 мм.(2 контрогайки муфта, сгон)</t>
  </si>
  <si>
    <t>Сгон стальной в сборе d 32 мм.</t>
  </si>
  <si>
    <t>Сгон стальной в сборе d 32 мм.(2 контрогайки муфта, сгон)</t>
  </si>
  <si>
    <t>Сгон стальной в сборе d 40 мм.</t>
  </si>
  <si>
    <t>Сгон стальной в сборе d 40 мм.(2 контрогайки муфта, сгон)</t>
  </si>
  <si>
    <t>Сгон стальной в сборе d 50 мм.</t>
  </si>
  <si>
    <t>Сгон стальной в сборе d 50 мм.(2 контрогайки муфта, сгон)</t>
  </si>
  <si>
    <t xml:space="preserve">Перьевые сверла по дереву </t>
  </si>
  <si>
    <t>Перьевые сверла по дереву (12 предметов)</t>
  </si>
  <si>
    <t xml:space="preserve">плинтус пластиковый с уголками и заглушками </t>
  </si>
  <si>
    <t xml:space="preserve">шт </t>
  </si>
  <si>
    <t>плитка  для потолка Армстронг .</t>
  </si>
  <si>
    <t xml:space="preserve">Прокладка для смесителя d 15мм </t>
  </si>
  <si>
    <t>Прокладка для смесителя d 15мм (температурастойкая).</t>
  </si>
  <si>
    <t xml:space="preserve">Прокладка для смесителя d 50мм </t>
  </si>
  <si>
    <t>Прокладка паронитовая ПОН-Б, толщиной 2 мм</t>
  </si>
  <si>
    <t>Решетка вентиляционная</t>
  </si>
  <si>
    <t xml:space="preserve">Сверла 5мм для дрели </t>
  </si>
  <si>
    <t>Сверла 5мм для дрели по металлу (высокоуглеродистая)</t>
  </si>
  <si>
    <t xml:space="preserve">Сверла 6мм для дрели </t>
  </si>
  <si>
    <t>Сверла 6мм для дрели по металлу (высокоуглеродистая)</t>
  </si>
  <si>
    <t xml:space="preserve">Сверла 8мм для дрели </t>
  </si>
  <si>
    <t>Сверла 8мм для дрели по металлу (высокоуглеродистая)</t>
  </si>
  <si>
    <t>сердцевина замка (целиндр ) личинка сердечник 5 ключей комплект.</t>
  </si>
  <si>
    <t>Скобы для мебельного степлера 14мм. 1000шт.</t>
  </si>
  <si>
    <t>Соединительный изолирующий зажим (CИЗ) № 3</t>
  </si>
  <si>
    <t>Стартер 4-65W</t>
  </si>
  <si>
    <t>стартер 4*65w</t>
  </si>
  <si>
    <t xml:space="preserve">Трос сантехнический стальной, 15 м. с ручкой </t>
  </si>
  <si>
    <t>Трос сантехнический оборудован рукояткой типа коловорот,  ТУ 22-178-02-90
представляет собой конструкцию из послойно навитой стальной пружинной проволоки</t>
  </si>
  <si>
    <t>18000,00</t>
  </si>
  <si>
    <t>Профиль металлический 28*27 мм</t>
  </si>
  <si>
    <t>Цемент ПЦ-400</t>
  </si>
  <si>
    <t>для строительных растворов</t>
  </si>
  <si>
    <t>Шуруп  3,5*25 мм.</t>
  </si>
  <si>
    <t>Шуруп 4*16 металлические</t>
  </si>
  <si>
    <t>Шурупы для гипсокартона 3,5*50</t>
  </si>
  <si>
    <t>Шуруп для ГКЛ 3,5*40 мм.</t>
  </si>
  <si>
    <t xml:space="preserve">кг </t>
  </si>
  <si>
    <t>Шуруп саморез по металлу 4*30</t>
  </si>
  <si>
    <t>Шуруп саморез по металлу 4*50</t>
  </si>
  <si>
    <t>Шурупы анкерные с пластмассовым наконечником 6*40</t>
  </si>
  <si>
    <t>Шурупы анкерные с пластмассовым наконечником 8*120</t>
  </si>
  <si>
    <t>Краска акриловая 2,7 кг</t>
  </si>
  <si>
    <t xml:space="preserve">Фильтр воздушный </t>
  </si>
  <si>
    <t xml:space="preserve">фильтроэлемент ССН 302 СDI </t>
  </si>
  <si>
    <t xml:space="preserve">фильтроэлемент H22 62796211042201 </t>
  </si>
  <si>
    <t xml:space="preserve">Автомобильная шина летняя </t>
  </si>
  <si>
    <t>Автошина 10.0/75-15.3Ф 201 нс 10 МКСМ-800</t>
  </si>
  <si>
    <t>Трос</t>
  </si>
  <si>
    <t>Трос КМ 4322.01500 привод управления МКСМ-800 ORSCHELN</t>
  </si>
  <si>
    <t xml:space="preserve">Диск щеточный </t>
  </si>
  <si>
    <t>Диск щеточный п/п БП ДВН=120мм,Дн=550</t>
  </si>
  <si>
    <t xml:space="preserve">Фильтр маслянный </t>
  </si>
  <si>
    <t>Фильтр маслянный Н 40065301</t>
  </si>
  <si>
    <t xml:space="preserve">Фильтр топливный </t>
  </si>
  <si>
    <t>Фильтр топливный 50345700 Н</t>
  </si>
  <si>
    <t>Смеситель для душа</t>
  </si>
  <si>
    <t>смеситель для душа с лейкой, шланг с креплением</t>
  </si>
  <si>
    <t xml:space="preserve">Сетевой фильтр </t>
  </si>
  <si>
    <t>Сетевой фильтр Defender ES 1.8 99484, 5 розеток</t>
  </si>
  <si>
    <t>4000</t>
  </si>
  <si>
    <t>Аптечка индивидуальная АИ-92</t>
  </si>
  <si>
    <t>Перчатки трикотажные с точечным поливинилхлоридным покрытием</t>
  </si>
  <si>
    <t>Лак бесцветный</t>
  </si>
  <si>
    <t>лак бесцветный в банках по 0,5 литр.</t>
  </si>
  <si>
    <t>Муфта полипропилен d 50 мм</t>
  </si>
  <si>
    <t>Профиль потолочный НП 60-27</t>
  </si>
  <si>
    <t>450</t>
  </si>
  <si>
    <t>Пускатель ПМ 12-60</t>
  </si>
  <si>
    <t>Фотореле PS-2</t>
  </si>
  <si>
    <t xml:space="preserve">Переключатель трехпозиционный 3951-30-02 2НЗ с фиксацией </t>
  </si>
  <si>
    <t>Светильник диодный СДО 2-30-30 ВТ 220 В. IP 65</t>
  </si>
  <si>
    <t>Зажим орех У733м Hegel</t>
  </si>
  <si>
    <t>Пускатель ПМЕ 112. 380в 2-величины</t>
  </si>
  <si>
    <t xml:space="preserve">Утеплитель фольгированный ( рулон 21,6 м.кв.) </t>
  </si>
  <si>
    <t xml:space="preserve">Затвор дисковый поворотный Dn=300mm.  Pn=16bar. Tmax=120*C </t>
  </si>
  <si>
    <t xml:space="preserve">Кран шаровый стальной с ручным редуктором DN=300mm. PN=16. Tmax=200*C </t>
  </si>
  <si>
    <t>Люк ревизии пластик (белый) 25*30см</t>
  </si>
  <si>
    <t xml:space="preserve">Валик в наборе с ваночкой </t>
  </si>
  <si>
    <t>малярный, меховой , 240 мм</t>
  </si>
  <si>
    <t>Гипсовая смесь в мешках 25 кг.</t>
  </si>
  <si>
    <t>меш.</t>
  </si>
  <si>
    <t xml:space="preserve">Шпатлевка финишка </t>
  </si>
  <si>
    <t>Шпатлевка финишка ALIT-20 кг</t>
  </si>
  <si>
    <t>Клей жидкий гвоздь №96</t>
  </si>
  <si>
    <t>Клей жидкий гвоздь №96 под пистолет</t>
  </si>
  <si>
    <t xml:space="preserve">Колер  цветной </t>
  </si>
  <si>
    <t>Краска водоэмульсионная 25кг. для внутренних работ</t>
  </si>
  <si>
    <t>ВД-ВА-224 Массовая доля нелетучих веществ 53 - 59%, рН краски 6,8-8,2, Укрывистость высушенного покрытия ≤120 г/м2, Стойкость покрытия при t (20±2)°C к статическому воздействию воды 12 час, ГОСТ 28196-89, в ведре по 25кг, цвет белый</t>
  </si>
  <si>
    <t>Краска водоэмульсионная акриловая фасадная (для наружных работ)</t>
  </si>
  <si>
    <t>Краска водоэмульсионная акриловая фасадная (для наружных работ) 25кг</t>
  </si>
  <si>
    <t xml:space="preserve">Монтажная пена однокомпонентная </t>
  </si>
  <si>
    <t>Наждачная бумага №1</t>
  </si>
  <si>
    <t>п.м.</t>
  </si>
  <si>
    <t>Наждачная бумага №3</t>
  </si>
  <si>
    <t>наждачная бумага №4</t>
  </si>
  <si>
    <t>Скотч бумажный 60*25</t>
  </si>
  <si>
    <t>Шпатель фасадный 100мм</t>
  </si>
  <si>
    <t>Шпатель фасадный 300мм</t>
  </si>
  <si>
    <t xml:space="preserve">Кисти малярные </t>
  </si>
  <si>
    <t>Кисти малярные 60*100</t>
  </si>
  <si>
    <t>550</t>
  </si>
  <si>
    <t>Кисти малярные 10*50</t>
  </si>
  <si>
    <t>Терка для наждачной бумаги</t>
  </si>
  <si>
    <t>терка с зажимами для шлифовочной сетки 230*105мм</t>
  </si>
  <si>
    <t>800</t>
  </si>
  <si>
    <t>Стержень удлинитель для валика 130 см.</t>
  </si>
  <si>
    <t>стержень удлинитель для валика телескопический 130 см.</t>
  </si>
  <si>
    <t>Краска Теккурила (Гармония)</t>
  </si>
  <si>
    <t>25000</t>
  </si>
  <si>
    <t>Расчет на приобретение моющих средств  на 2018г.</t>
  </si>
  <si>
    <t xml:space="preserve"> по  спальному корпусу, расположенному по ул. 31</t>
  </si>
  <si>
    <t>объем</t>
  </si>
  <si>
    <t>Кондиционер для белья жидкий</t>
  </si>
  <si>
    <t>Кондиционер для белья жидкий,  5—15% катионные ПАВ, консерванты, бутылки из непрозрачного пластика емкостью  2 л, крышка-дозатор.</t>
  </si>
  <si>
    <t>Порошок для автоматической стирки одежды</t>
  </si>
  <si>
    <t>Порошок для автоматической стирки одежды,  5-15% анионные ПАВ; &lt;5% неионогенные ПАВ, кислородосодержащие отбеливатели, фосфаты, поликарбоксилаты; оптические отбеливатели, энзимы, ароматизирующие добавки, 9 кг.</t>
  </si>
  <si>
    <t>код строки</t>
  </si>
  <si>
    <t>2.03.06.</t>
  </si>
  <si>
    <t>2.01.01.</t>
  </si>
  <si>
    <t>Расчет на приобретение  хоз. товаров  на 2018г.</t>
  </si>
  <si>
    <t xml:space="preserve"> по   АОО "НИШ" (административный корпус)</t>
  </si>
  <si>
    <t>Цена с индекс</t>
  </si>
  <si>
    <t>Итого сумма 2018 года с НДС</t>
  </si>
  <si>
    <t>Итого сумма ФМН</t>
  </si>
  <si>
    <t>Итого сумма интернат</t>
  </si>
  <si>
    <t>Итого сумма ХБН</t>
  </si>
  <si>
    <t>Итого сумма АОО</t>
  </si>
  <si>
    <t>аоо</t>
  </si>
  <si>
    <t>внести в номенклатуру</t>
  </si>
  <si>
    <t>Аптечка медицинская</t>
  </si>
  <si>
    <t>Болт  винт с гайкой с двумя шайбами комплект 4 на 25мм</t>
  </si>
  <si>
    <t>Валик в наборе с ванночкой</t>
  </si>
  <si>
    <t>малярный,меховой ,240мм</t>
  </si>
  <si>
    <t>Гипсовая смесь в мешках,25 кг.</t>
  </si>
  <si>
    <t>штукатурная для отделочных работ</t>
  </si>
  <si>
    <t>Стартер  2*36 Вт</t>
  </si>
  <si>
    <t>Стартер для ламп 2*36В (стартер для лиминисцентных ламп)</t>
  </si>
  <si>
    <t>Клей жидкий гвоздь</t>
  </si>
  <si>
    <t>универсальный,№96</t>
  </si>
  <si>
    <t>Заглушка канализационная</t>
  </si>
  <si>
    <t>d 100 мм.  с уплотнительной резинкой</t>
  </si>
  <si>
    <t>Заклепки алюминиевые вытяжные</t>
  </si>
  <si>
    <t>Изолента ПВХ 15 мм</t>
  </si>
  <si>
    <t xml:space="preserve">изолента пвх 15 мм </t>
  </si>
  <si>
    <t xml:space="preserve">Кабель ВВГ 3*1,5 медный 3-х жильный </t>
  </si>
  <si>
    <t>Кисти малярные 10Х50</t>
  </si>
  <si>
    <t>Кисти малярные 60Х100</t>
  </si>
  <si>
    <t>Клапан обратный</t>
  </si>
  <si>
    <t>Угловой DN 15 1/2 GZх 1|2 GW</t>
  </si>
  <si>
    <t>Клапан терморегулирующий для радиаторов ДУ 15 мм</t>
  </si>
  <si>
    <t>Угловой DN 15 1/2 х GW 1/2</t>
  </si>
  <si>
    <t>Колер цветной</t>
  </si>
  <si>
    <t>универсальный концентрат для тонирования,20мл,разных цветов</t>
  </si>
  <si>
    <t xml:space="preserve">кран шаровый   d 20 мм </t>
  </si>
  <si>
    <t>кран шаровый  d 20 мм  внутренняя наружная резьба</t>
  </si>
  <si>
    <t>Краска акриловая 2,7 кг (для деревянных поверхностей)</t>
  </si>
  <si>
    <t>Грунтовка  10 л</t>
  </si>
  <si>
    <t>краска грунтовая 10 л(цвет красно-бордовая)</t>
  </si>
  <si>
    <t>Лампа 1225 6000Н 25Вт Е27</t>
  </si>
  <si>
    <t>Лампа 1225 60000Н 25 Вт Е27</t>
  </si>
  <si>
    <t>Фум лента 1мм*20м*0,2мм</t>
  </si>
  <si>
    <t>фум, для сантехнических работ,белая в рулонах</t>
  </si>
  <si>
    <t>Лента оградительная 75мм*х250м</t>
  </si>
  <si>
    <t xml:space="preserve">лента оградительная </t>
  </si>
  <si>
    <t>Скотч (лента клейкая), 50*100</t>
  </si>
  <si>
    <t>Для внутрених отделочных работ, бумажный</t>
  </si>
  <si>
    <t xml:space="preserve">Лом </t>
  </si>
  <si>
    <t>Лом металлическии</t>
  </si>
  <si>
    <t xml:space="preserve">Люк канализационный </t>
  </si>
  <si>
    <t xml:space="preserve">люк канализационный (Чугун) в комплекте </t>
  </si>
  <si>
    <t>Люк ревизии</t>
  </si>
  <si>
    <t>Люк ревизии пластиковый (белый) 25*30см</t>
  </si>
  <si>
    <t>Монтажная пена однокомпонентная полиуретановая</t>
  </si>
  <si>
    <t>однокомпонентная,всесезонная, в аэрозольной упаковке,бытовая</t>
  </si>
  <si>
    <t xml:space="preserve">Мультиметр цифровой </t>
  </si>
  <si>
    <t>(Токоизмерительные клещи) в Соответствии с сертификацией, серия "мастер электрик" М-830В TDM SQ1005-0001</t>
  </si>
  <si>
    <t>Муфта пластиковая d 100 мм</t>
  </si>
  <si>
    <t>Муфта пластиковая d 100 мм (канализационная)</t>
  </si>
  <si>
    <t>Муфта полипропилен d 50 мм ( канализационный)</t>
  </si>
  <si>
    <t>Наждачная бумага №0</t>
  </si>
  <si>
    <t>Наждачная бумага№1</t>
  </si>
  <si>
    <t>Ножовка по дереву с крупными зубцами 500мм</t>
  </si>
  <si>
    <t>Насадки крестообразные для дрели</t>
  </si>
  <si>
    <t>насадки крестообразные для дрели</t>
  </si>
  <si>
    <t>Нож канцелярский, 16см</t>
  </si>
  <si>
    <t>Пленка полиэтиленовая двуслойная плотная</t>
  </si>
  <si>
    <t>двухслоиная,ширина 1,5м,вес рулона от 22-40 кг</t>
  </si>
  <si>
    <t>Плинтус пластмассовый с уголками и заглушками</t>
  </si>
  <si>
    <t>плинтус пластиковый с уголками и заглушками, 5 м, цвет по согласованию с заказчиком</t>
  </si>
  <si>
    <t>Плита для потолка АРМСТРОНГ</t>
  </si>
  <si>
    <t>Плоскогубцы 180 мм</t>
  </si>
  <si>
    <t xml:space="preserve">диэлектрические </t>
  </si>
  <si>
    <t>Полотно для ножовки по металлу</t>
  </si>
  <si>
    <t>Полотно для ножовки по металлу (в комплекте 12 шт)</t>
  </si>
  <si>
    <t>Радиатор стальной 120 см</t>
  </si>
  <si>
    <t xml:space="preserve">Радиатор стальной h-500-1000 </t>
  </si>
  <si>
    <t>Растворитель 647</t>
  </si>
  <si>
    <t>Респиратор с угольным фильтром многоразовый</t>
  </si>
  <si>
    <t>РПГ-67-А ,пары органических соединении</t>
  </si>
  <si>
    <t>Розетка внутренняя одноместная закрытый кабель с заземлением 220В 16А</t>
  </si>
  <si>
    <t>220В,16А,Одноместная закрытый кабель с заземлением</t>
  </si>
  <si>
    <t>Розетка наружная 220, 250В номинальный ток 16А</t>
  </si>
  <si>
    <t>Рулетка 5 м с фиксатором и обратным механизмом</t>
  </si>
  <si>
    <t>инструмент для измерения длины,5метров</t>
  </si>
  <si>
    <t>Сердцевина замка (цилиндр)личинка сердечник 5 ключей комплект</t>
  </si>
  <si>
    <t>металлическии,никелерованный</t>
  </si>
  <si>
    <t>Соль техническая антигололедный реагент нейодированная</t>
  </si>
  <si>
    <t>Топор кованный с деревяной ручкой от 800гр до 1200гр</t>
  </si>
  <si>
    <t>Топор плотницкий</t>
  </si>
  <si>
    <t>Тройник  сантехнический d 20 мм, полипропиленовый</t>
  </si>
  <si>
    <t>Уайт-спирит 5 л,</t>
  </si>
  <si>
    <t>Уайт-спирит (5 литров)</t>
  </si>
  <si>
    <t>Фонарь светодиодный</t>
  </si>
  <si>
    <t>светодиодный,аккумуляторный 60лм/Вт.ТДМSQ0350-0022</t>
  </si>
  <si>
    <t>Цемент ПЦ-400 (50кг)</t>
  </si>
  <si>
    <t>Шланг гибкий в стальной оплетке, гайка из нержавеющей стали, вкрутки - латунь, 50см</t>
  </si>
  <si>
    <t>Шпатлевка финиш 25 кг</t>
  </si>
  <si>
    <t>ALIT-25 кг,шпатлевка финишная</t>
  </si>
  <si>
    <t>Шурупы саморез по металлу 4*30</t>
  </si>
  <si>
    <t>Шурупы саморез по металлу 4*50</t>
  </si>
  <si>
    <t>Электрод сварочный на 3 мм 5 кг</t>
  </si>
  <si>
    <t>переменного тока</t>
  </si>
  <si>
    <t>Бумага туалетная однослойная, диаметр рулона не менее 102 мм, длина рулона не менее 50 м, с перфорацией, со втулкой размером не менее 40 мм, неокрашенная</t>
  </si>
  <si>
    <t xml:space="preserve">двухслойная, диаметр рулона не менее 90 мм, длина рулона не менее 50 м,  со втулкой размером не менее 50 мм, неокрашенная, изготовленная из первичного экологически чистого  сырья  </t>
  </si>
  <si>
    <t>Освежитель воздуха, аэрозоль 300 мл</t>
  </si>
  <si>
    <t>Губка бытовая в упаковке 5 шт</t>
  </si>
  <si>
    <t>Губка бытовая в упаковке 5 шт для мытья поверхностей</t>
  </si>
  <si>
    <t>Очистительмонтажной  пены, универсальное средство, 500 мл</t>
  </si>
  <si>
    <t>Перчатки латексные (резиновые, хояйственные)</t>
  </si>
  <si>
    <t>Полотенце вафельное</t>
  </si>
  <si>
    <t>Полотенце вафельное плотное, ширина 0,5м*1м</t>
  </si>
  <si>
    <t>Салфетка универсальная  из микрофибры</t>
  </si>
  <si>
    <t>Салфетка универсальная  из микрофибры, 35*35см, 4 шт в упаковке универсальные</t>
  </si>
  <si>
    <t>Тряпка  МОП петельчатый, 50см</t>
  </si>
  <si>
    <t xml:space="preserve">Тряпка  МОП петельчатый, 50см.  Для уборки всех типов поверхностей.
Состав: 70 % хлопок, 30 % полиэстер. 
Цветовая кодировка: синий, красный, желтый, зеленый.
</t>
  </si>
  <si>
    <t>Мешки для мусора 35 л (20 шт в рулоне)</t>
  </si>
  <si>
    <t>Мешки для мусора 60 л (20 шт в рулоне)</t>
  </si>
  <si>
    <t>Мешки для мусора 100 л (10 шт в рулоне)</t>
  </si>
  <si>
    <t>Основание швабры (МОП)</t>
  </si>
  <si>
    <t xml:space="preserve">Основание швабры (МОП). Держатель МОПа, Цвет: Синий. 500 мм. * 123 мм. Сужение 110 мм. Крепежное основание красное, расположение петли соединения паралельное длине основания. Педаль сложения держателя красная с трехколечной пружиной   </t>
  </si>
  <si>
    <t>Рукоятка  швабры (МОП)</t>
  </si>
  <si>
    <t xml:space="preserve">Рукоятка  швабры (МОП). Рукоятка для держателя,  длина 140 мм, алюминиевая, диаметр 28 мм,  2-х уровневое крепление кольца фиксации. </t>
  </si>
  <si>
    <t>Фильтр - мешок для полотера</t>
  </si>
  <si>
    <t>Ерш для унитаза с подставкой</t>
  </si>
  <si>
    <t>Ерш для унитаза с подставкой. Подставка из пластика круглой формы.</t>
  </si>
  <si>
    <t>Ветошь шириной 1,8 м</t>
  </si>
  <si>
    <t>обтирочное полотно</t>
  </si>
  <si>
    <t>Старший менеджер по организационным вопросам отдела по обслуживанию комплекса в г. Астана</t>
  </si>
  <si>
    <t>Р. Маханова</t>
  </si>
  <si>
    <t>Начальник ОЭ и БУ</t>
  </si>
  <si>
    <t>Сумма 2017 года с НДС</t>
  </si>
  <si>
    <t>Губки</t>
  </si>
  <si>
    <t>Держатель МОПа</t>
  </si>
  <si>
    <t>зажимы разные (мягкие в пластиковой оплетке) в пачке по 50 шт.</t>
  </si>
  <si>
    <t xml:space="preserve">Зажим орех У733м </t>
  </si>
  <si>
    <t>сбросник воздуха автомат d 40 мм.</t>
  </si>
  <si>
    <t>Основание швабры МОП</t>
  </si>
  <si>
    <t>Лампа газозарядная ДНаТ-250Вт Е-41</t>
  </si>
  <si>
    <t>Лампа светодиодная GJDR GU5.3 220V 18 LED разные</t>
  </si>
  <si>
    <t>лампа энергосберегающая спираль 70 Вт 860 Е-40</t>
  </si>
  <si>
    <t xml:space="preserve">Лампа светодиодная </t>
  </si>
  <si>
    <t>4600</t>
  </si>
  <si>
    <t>пускатель ПМ 12-160</t>
  </si>
  <si>
    <t>опора бамбук диаметром 10см,  высотой 1,5 м</t>
  </si>
  <si>
    <t>Перчатки гелевые плотные, цвет желтый,  плотность 2,3 мм. Растягиваемость не более 45 мм. С теснением в зоне фаланг пальцев.</t>
  </si>
  <si>
    <t>Перчатки латексные</t>
  </si>
  <si>
    <t>Полотенце вафельное ширина 0,5 м</t>
  </si>
  <si>
    <t>Полиуретановая резина задняя для всасывающей балки 830 мм</t>
  </si>
  <si>
    <t>Полиуретановая резина передняя для всасывающей балки 830 мм</t>
  </si>
  <si>
    <t>Соль техническая  в мешках по 50 кг. для просыпки тратуаров против гололеда</t>
  </si>
  <si>
    <t>Рукоятка для держателя</t>
  </si>
  <si>
    <t>Салфетка универсальная  из микрофибры, Размер 400*400 мм. Плотность 320 гр. Микрофибра высокой впитываемости.</t>
  </si>
  <si>
    <t>фанера  влагостойкая ФСФ 20мм. 2440*1220мм.</t>
  </si>
  <si>
    <t>флажок с порядковым номером (краска красная номер синий) металл 3 мм. 100-100мм.  Основание катанка d 8 мм. L-250мм.</t>
  </si>
  <si>
    <t>фотореле PS-2</t>
  </si>
  <si>
    <t xml:space="preserve">Соль техническая </t>
  </si>
  <si>
    <t>Средство от болезней и ростоускорение  Фитоспорин -М, ПС (паста), быстрорастворимый. Реаниматор,природный биофунгицид - лекарство от грибковых и  бактериальных болезней: фитофроза, корневой гнили, парши, мучнистой росы, черной ножки, ржавчины и других, быстрая помощь при заболеваниях растений. Пастообразный состав в пачке 100 гр.</t>
  </si>
  <si>
    <t>Щетка 14,5*5 см с густым ворсом</t>
  </si>
  <si>
    <t>Средство от вредителей (Актеллик), для борьбы с тлями, щитовками,долгоносиками, пилильщиками, белокрылками,клещами и другими вредителями растений. В ампулах 2 мл.</t>
  </si>
  <si>
    <t>ампула</t>
  </si>
  <si>
    <t>Щетка дисковая для полотера</t>
  </si>
  <si>
    <t>Тряпки МОП 50см, петельчатый моп, прошитый плетением в 16 строк. Лента обрамления задней поверхности синего цвета прошитая в 2 строуи копроновой нитью.</t>
  </si>
  <si>
    <t>Удобрение для декоративно листовенных в бутылях 200 гр, концентрированное органо-минеральное удобрение, в составе 15 элементов питания+природный стимулятор роста</t>
  </si>
  <si>
    <t>Фильтр мешок матерчатый</t>
  </si>
  <si>
    <t>Щетка 14,5*5см с густым ворсом</t>
  </si>
  <si>
    <t xml:space="preserve"> Щетка дисковая 483 мм</t>
  </si>
  <si>
    <t>Мешки для мусора</t>
  </si>
  <si>
    <t>Спецодежда тех персонала (женс)</t>
  </si>
  <si>
    <t>Спецодежда тех персонала  мужская (зимняя)</t>
  </si>
  <si>
    <t>Спец одежда тех персонала мужская летняя</t>
  </si>
  <si>
    <t>Расчет на приобретение  основных средств  на 2017 г.</t>
  </si>
  <si>
    <t>УМТБ ЧУ дирекция</t>
  </si>
  <si>
    <t>02.32.11.</t>
  </si>
  <si>
    <t>основные средства</t>
  </si>
  <si>
    <t>Стол слесарный</t>
  </si>
  <si>
    <t>верстак PROFFI-112 Д 5. 870*1200*700мм</t>
  </si>
  <si>
    <t>65000</t>
  </si>
  <si>
    <t>стремянка алюминевая 5 ступеней</t>
  </si>
  <si>
    <t xml:space="preserve">стремянка алюминевая 5 ступеней </t>
  </si>
  <si>
    <t>10000</t>
  </si>
  <si>
    <t xml:space="preserve">Тисы </t>
  </si>
  <si>
    <t>Тисы Корпус и подвижная планка изготовлены из высококачественного чугуна марки СЧ-25Сменные губки выполнены из высококачественной инструментальной стали, закалены и отшлифованы</t>
  </si>
  <si>
    <t>12000,00</t>
  </si>
  <si>
    <t xml:space="preserve">Шуруповерт </t>
  </si>
  <si>
    <t>ручной электрический инструмент, обычно аккумуляторный. Предназначен для заворачивания или отворачивания шурупов, винтов и сверления отверстий.</t>
  </si>
  <si>
    <t>Перфоратор Crown 18048</t>
  </si>
  <si>
    <t>27500</t>
  </si>
  <si>
    <t>Ножницы кусторезные</t>
  </si>
  <si>
    <t>бензиновый, режущий элемент 60 см</t>
  </si>
  <si>
    <t xml:space="preserve">Электрический степлер 220 В </t>
  </si>
  <si>
    <t>Итого:</t>
  </si>
  <si>
    <t>Руководитель службы организации обслуживания комплекса в г. Астана</t>
  </si>
  <si>
    <t>Расчет на приобретение  хоз. товаров  на 2017г.</t>
  </si>
  <si>
    <t>Сумма 2017 год с НДС</t>
  </si>
  <si>
    <t xml:space="preserve">Зажим ответвительный У733м </t>
  </si>
  <si>
    <t>Клапан для радиатора (Сбросник воздуха автомат d 40 мм.)</t>
  </si>
  <si>
    <t>Лампа газоразрядная ДНаТ-250Вт Е-40</t>
  </si>
  <si>
    <t xml:space="preserve">фанера </t>
  </si>
  <si>
    <t>флажок с порядковым номером (краска красная номер синий)</t>
  </si>
  <si>
    <t>2.03.09.</t>
  </si>
  <si>
    <t>Расчет на приобретение  пр. запасы на 2018г.</t>
  </si>
  <si>
    <t xml:space="preserve">пр.ТМЦ </t>
  </si>
  <si>
    <t>Спецодежда тех персонала (женская)</t>
  </si>
  <si>
    <t>комплектация: костюм, брюки</t>
  </si>
  <si>
    <t xml:space="preserve">Спец одежда летняя для тех персонала </t>
  </si>
  <si>
    <t xml:space="preserve">Комплектация: куртка брюки .Ткань: смесовая &lt;&lt;Томбой&gt;&gt;пэ 67% , хлопок -33% . Застежка потойная на пуговицах. Накладки: налокотники,наколенники . Карманы накладные нагрудные и боковые карманы на брюках. ГОСТ 27575-87  Цвет по согласованию </t>
  </si>
  <si>
    <t xml:space="preserve">Спецодежда зимняя для тех персонала </t>
  </si>
  <si>
    <t xml:space="preserve">Ткань: смесовая (50% хлопка,50% ПЭ) ВО. Цвет темно синий с васильковым. Карманы: нагрудные и нижние с клапанами. Утиплитель:синтипон 350г/м2. Подклад 100%ПЭ. Куртка с отстегивающим капюшоном,ветрозащитным клапаном и напульсниками. По линии талии,рукавам СВП. ГОСТ29335-92 </t>
  </si>
  <si>
    <t>Спецодежда для техперсонала</t>
  </si>
  <si>
    <t>модель:куртка и брюки, ткань смесовая, состав ткани 50% хлопок, 50% полиэфир, плотность ткани 195 г/м2, наличие СОП, размеры с 44-46, по 60-62, рост 3-4, 5-6</t>
  </si>
  <si>
    <t>Удобрение органо-минеральное (прикорм, биостимулятор)</t>
  </si>
  <si>
    <t>Удобрение органо-минеральное (прикорм биостимулятор). Удобрение для декоративно лиственных в бутылях 200 гр, концентрированное органо-минеральное удобрение, в составе 15 элементов питания+природный стимулятор роста</t>
  </si>
  <si>
    <t>Удобрение неорганическое (прикорм  биостимулятор)</t>
  </si>
  <si>
    <t>Удобрение фитоспорин М неорганическое (прикорм  биостимулятор). Средство от болезней и ростоускорениеФитоспорин-М, ПС (паста), быстрорастворимый. Реаниматор, природный биофунгицид - лекарство от грибковых и  бактериальных болезней: фитофроза, корневой гнили, парши, мучнистой росы, черной ножки, ржавчины и других, быстрая помощь при заболеваниях растений. Пастообразный состав в пачке 100 гр.</t>
  </si>
  <si>
    <t>Удобрение "Актелик" 2 мл в ампулах (прикорм, биостимулятор)</t>
  </si>
  <si>
    <t>объем 10 л, крупный, для всех видов растений, обеспечивает влагоемкость и воздухопроницаемость, предотвращает загнивание корней</t>
  </si>
  <si>
    <t>Зеленое мыло</t>
  </si>
  <si>
    <t>Зеленое мыло объемом не менее 250 мл, защита от насекомых вредителей.</t>
  </si>
  <si>
    <t>Ящик, тара</t>
  </si>
  <si>
    <t>площадь школы  по ул. Туркестан 2/1</t>
  </si>
  <si>
    <t>Площадь школы по ул. Орынбор</t>
  </si>
  <si>
    <t>Норма, уч-к уборки</t>
  </si>
  <si>
    <t>Итого школа по ул. Туркестан 2/1</t>
  </si>
  <si>
    <t>Итого школа по ул. Орынбор</t>
  </si>
  <si>
    <t>итого, в мес, л, Турк 2/1</t>
  </si>
  <si>
    <t>итого, в мес, л, Орынб 2/1</t>
  </si>
  <si>
    <t>итого, год, л, туркестан2/1</t>
  </si>
  <si>
    <t>итого, год, л, Орынбор, 2/1</t>
  </si>
  <si>
    <t>итого, год, емк, туркестан2/1</t>
  </si>
  <si>
    <t>итого, год, емк, Орынбор, 2/1</t>
  </si>
  <si>
    <t>при протир, Турк</t>
  </si>
  <si>
    <t>при орошен, Турк</t>
  </si>
  <si>
    <t>при протир, Орынб</t>
  </si>
  <si>
    <t>при орошен, Орынб</t>
  </si>
  <si>
    <t>итого до конца года, школа по ул. Турк</t>
  </si>
  <si>
    <t>итого, в упаковке, Турк 2/1</t>
  </si>
  <si>
    <t>итого до конца года, школа по ул. Орынб</t>
  </si>
  <si>
    <t>итого, в упаковке, Орынб</t>
  </si>
  <si>
    <t>итого на год, турк 2/1</t>
  </si>
  <si>
    <t>итого в упак, Турк 2/1</t>
  </si>
  <si>
    <t>итого на год, Орынб</t>
  </si>
  <si>
    <t>итого в упак, Орынб</t>
  </si>
  <si>
    <t xml:space="preserve">Парфюмированное моющее средство </t>
  </si>
  <si>
    <t>Моющее дезинфицирующее средство для удаления минеральных отложений</t>
  </si>
  <si>
    <t>Моющее средство для полов</t>
  </si>
  <si>
    <t>500 гр</t>
  </si>
  <si>
    <t>450гр=0,45</t>
  </si>
  <si>
    <t>год,м, Турк 2/1</t>
  </si>
  <si>
    <t>год,рул</t>
  </si>
  <si>
    <t>год, м, Орынб</t>
  </si>
  <si>
    <t>год, рул, Орынб</t>
  </si>
  <si>
    <t xml:space="preserve">(для зачистки проводов 180мм) </t>
  </si>
  <si>
    <t>ВВГ 2*2,5, м, медный, трехжильный</t>
  </si>
  <si>
    <t>изолированные</t>
  </si>
  <si>
    <t xml:space="preserve"> диагональные </t>
  </si>
  <si>
    <t>Пассатижи</t>
  </si>
  <si>
    <t>шк, Турк2/1,мес</t>
  </si>
  <si>
    <t>шк, Турк2/1,год</t>
  </si>
  <si>
    <t>шк, Орын</t>
  </si>
  <si>
    <t>шк, Орын,год</t>
  </si>
  <si>
    <t>Рулетка</t>
  </si>
  <si>
    <t>стекловолоконная, 10*12,5 мм</t>
  </si>
  <si>
    <t>1 на 1 дворн, 1 раб</t>
  </si>
  <si>
    <t>код строки 2.03.09.</t>
  </si>
  <si>
    <t>2.03.08.</t>
  </si>
  <si>
    <t>Расчет на приобретение  пр. запасов на 2018г.</t>
  </si>
  <si>
    <t xml:space="preserve"> по   АОО "Назарбаев Интеллектуальная школа г. Астаны"</t>
  </si>
  <si>
    <t>к-во</t>
  </si>
  <si>
    <t>Спецодежда  тех персонала (женск)</t>
  </si>
  <si>
    <t>Расчет на приобретение моющих средств на 2016 г.</t>
  </si>
  <si>
    <t xml:space="preserve"> по филиалу " Международная школа г. Астаны"</t>
  </si>
  <si>
    <t>Универсальное моющее средство</t>
  </si>
  <si>
    <t>для мытья загрязненных поверхностей из любых материалов(нержавеющая сталь, алюминий и его сплавы, стекло, пластик, мрамор, резина, ПВХ, окрашенные и деревянные поверхности, текстильные материалы) вручную способом протирания, погружения и замачивания. рН 1%-го водного раствора 10.0, объем 10 л</t>
  </si>
  <si>
    <t>Средство чистящее для раковин и унитазов от ржавчин, 500 мл</t>
  </si>
  <si>
    <t>для удаления загрязнений, возникших при отложениях неорганического происхождения как водный, молочный и пивной камень, ржавчины. Для применения в пищевой промышленности, машиностроении, бассейнах, санитарных узлов и в других местах в повышенной влажностью, емкость объемом 6 литров.</t>
  </si>
  <si>
    <t>Чистящее средство для профессиональной очистки стекла и пластика</t>
  </si>
  <si>
    <t>концентрированное чистящее средство для профессиональной очистки предметов и поверхностей из пластика, керамики, эмали и стекла. Характеризуется блеском очищенной поверхности и приятным длительным ароматом. Цвет синий, объем 5 литров</t>
  </si>
  <si>
    <t>Расчет на приобретение хоз. товаров на 2016 г.</t>
  </si>
  <si>
    <t xml:space="preserve"> по филиалу " Международная школа г. Астаны", ул. Туркестан 2/1</t>
  </si>
  <si>
    <t>Кабель ВВГ3*2,5 (электрический)</t>
  </si>
  <si>
    <t>наружный, цвет белый, одноклавишный, 220 В,10 А, с индикатором, степень защиты IP20</t>
  </si>
  <si>
    <t>наружный, цвет белый, двухклавишный, 220 В,10 А, с индикатором, степень защиты IP20</t>
  </si>
  <si>
    <t>внутренний, цвет белый, одноклавишный, 220 В,10 А, с индикатором, степень защиты IP20</t>
  </si>
  <si>
    <t>внутренний, цвет белый, двуклавишный, 220 В,10 А, с индикатором, степень защиты IP20</t>
  </si>
  <si>
    <t>Розетки</t>
  </si>
  <si>
    <t>наружние, цвет белый, 220 В, 16А, одноместная, с заземляющими контактами, с защитными шторками, степень защиты IP20</t>
  </si>
  <si>
    <t>внутренние, цвет белый, 220 В, 16А, одноместная, с заземляющими контактами, с защитными шторками, степень защиты IP20</t>
  </si>
  <si>
    <t>наружние, цвет белый, 220 В, 16А, двухместная, с заземляющими контактами, с защитными шторками, степень защиты IP20</t>
  </si>
  <si>
    <t>внутренние, цвет белый, 220 В, 16А, двухместная, с заземляющими контактами, с защитными шторками, степень защиты IP20</t>
  </si>
  <si>
    <t>аэрозоль, 300мл</t>
  </si>
  <si>
    <t>Расчет на приобретение пр. ТМЦ  на 2016 г.</t>
  </si>
  <si>
    <t>пр. ТМЦ</t>
  </si>
  <si>
    <t xml:space="preserve"> по филиалу " Международная школа г. Астаны", расположенной по ул. Орынбор</t>
  </si>
  <si>
    <t>Расчет на приобретение пр. ТМЦ   на 2016 г.</t>
  </si>
  <si>
    <t xml:space="preserve"> пр.ТМЦ</t>
  </si>
  <si>
    <t>Сумма 2016 год</t>
  </si>
  <si>
    <t>Аптечка</t>
  </si>
  <si>
    <t>универсальная, для оказания первой медицинской помощи</t>
  </si>
  <si>
    <t xml:space="preserve">Рама </t>
  </si>
  <si>
    <t>формат А3, дерево, стекло, 30*40 см</t>
  </si>
  <si>
    <t>Площадь адм.корпуса</t>
  </si>
  <si>
    <t>Норма на 1 уч-к</t>
  </si>
  <si>
    <t>литры, на мес</t>
  </si>
  <si>
    <t>литры, на год</t>
  </si>
  <si>
    <t>в бут</t>
  </si>
  <si>
    <t>21 дней</t>
  </si>
  <si>
    <t>ВА47-29М, 400В, 20А</t>
  </si>
  <si>
    <t>ВА47-29М, В, 230В, 20А</t>
  </si>
  <si>
    <t>ВА47-29М, В, 230В, 63А</t>
  </si>
  <si>
    <t xml:space="preserve"> АА, 1,5 В</t>
  </si>
  <si>
    <t>на год, в м</t>
  </si>
  <si>
    <t>на год, рул</t>
  </si>
  <si>
    <t>16а, 220В, с заземлением, штепсельная</t>
  </si>
  <si>
    <t>Дюбель-гвоздь</t>
  </si>
  <si>
    <t>Изолента</t>
  </si>
  <si>
    <t>итого,мес</t>
  </si>
  <si>
    <t>итого,год</t>
  </si>
  <si>
    <t>Швабра</t>
  </si>
  <si>
    <t>для мытья окон, с поворотной телескопической  ручкой, с  насадками из микрофибры и каучука</t>
  </si>
  <si>
    <t>Республики Казахстан размер 1м-2 м, государственный,СТ РК 988-2008 , уличный</t>
  </si>
  <si>
    <t>водоотталкивающий наматрасник</t>
  </si>
  <si>
    <t>1 на 1 дворн,1 на 1 раб</t>
  </si>
  <si>
    <t>аккумуляторный</t>
  </si>
  <si>
    <t>3 комп на 1 год</t>
  </si>
  <si>
    <t>1 изд на 1 год</t>
  </si>
  <si>
    <t>Расчет на приобретение моющих средств  на 2016 г.</t>
  </si>
  <si>
    <t>Площадь инт</t>
  </si>
  <si>
    <t>норма на 2 мес</t>
  </si>
  <si>
    <t>норма на 1 мес, л</t>
  </si>
  <si>
    <t>на год,л</t>
  </si>
  <si>
    <t>на год, в бут</t>
  </si>
  <si>
    <t>на обе школы</t>
  </si>
  <si>
    <t>230 кв.м</t>
  </si>
  <si>
    <t>200 уч-ся</t>
  </si>
  <si>
    <t>1 тюбик в месяц</t>
  </si>
  <si>
    <t>Жидкое мыло</t>
  </si>
  <si>
    <t>детское, с увлажняющими компонентами, антиаллергенное, без красителей, 150 гр</t>
  </si>
  <si>
    <t>1 в 2 мес</t>
  </si>
  <si>
    <t>200 уч-чя</t>
  </si>
  <si>
    <t>320 гр=3,2кг</t>
  </si>
  <si>
    <t>12 гр</t>
  </si>
  <si>
    <t>Универсальное жидкое моющее средство для пол и стен с дезенфицирующими свойствами, емкость 750 л</t>
  </si>
  <si>
    <t>21дней</t>
  </si>
  <si>
    <t>500м2</t>
  </si>
  <si>
    <t>450=0,45</t>
  </si>
  <si>
    <t>1 в месяц</t>
  </si>
  <si>
    <t>ВА47-29М, 400В, 63А</t>
  </si>
  <si>
    <t>было по 20</t>
  </si>
  <si>
    <t>6*40, 6*60, 6*80 стальн</t>
  </si>
  <si>
    <t>10*75 с гайкой, пласт</t>
  </si>
  <si>
    <t xml:space="preserve"> 10*77 с гайкой, пласт</t>
  </si>
  <si>
    <t>для фонарика, D</t>
  </si>
  <si>
    <t>для фонарика, ААА, мизинчиковые</t>
  </si>
  <si>
    <t xml:space="preserve">Набор бит </t>
  </si>
  <si>
    <t xml:space="preserve"> с победитовой головкой, 6мм , длина до 300 мм</t>
  </si>
  <si>
    <t xml:space="preserve"> с победитовой головкой,  8мм, длина до 300 мм</t>
  </si>
  <si>
    <t xml:space="preserve"> с победитовой головкой, 10 мм, длина до 300 мм </t>
  </si>
  <si>
    <t>Валик малярный</t>
  </si>
  <si>
    <t>меховой из меха ягненка, 250 мм</t>
  </si>
  <si>
    <t>на год, м</t>
  </si>
  <si>
    <t>Ветонит</t>
  </si>
  <si>
    <t xml:space="preserve"> белый, 25 кг</t>
  </si>
  <si>
    <t>на 500м2 6 м ветоши</t>
  </si>
  <si>
    <t xml:space="preserve"> 16А, 220 В, с заземлением</t>
  </si>
  <si>
    <t xml:space="preserve">Вилка электрическая  </t>
  </si>
  <si>
    <t>было 25</t>
  </si>
  <si>
    <t>убрали</t>
  </si>
  <si>
    <t xml:space="preserve"> диам, 125*1,4*22</t>
  </si>
  <si>
    <t>отрезной алмазный по плите, диам 230*22*2,5</t>
  </si>
  <si>
    <t>шлефовальный</t>
  </si>
  <si>
    <t>Почвосмесь</t>
  </si>
  <si>
    <t>земля универсальная, в мешке, 50л</t>
  </si>
  <si>
    <t>Замок мебельный</t>
  </si>
  <si>
    <t>накладной</t>
  </si>
  <si>
    <t>1 в квартал</t>
  </si>
  <si>
    <t xml:space="preserve"> ВВГ, 4х5, медный, 4хжильный</t>
  </si>
  <si>
    <t>40х40мм</t>
  </si>
  <si>
    <t>не менеее 60*40мм</t>
  </si>
  <si>
    <t>из специального теплостойкого ПВХ,контактная часть клеммы из латуни, диапазон сечения - 2,5-4 мм2</t>
  </si>
  <si>
    <t>из  теплостойкого ПВХ,контактная часть клеммы из латуни, диапазон сечения - 4-6 мм2</t>
  </si>
  <si>
    <t xml:space="preserve">Клещи электороизмерительные </t>
  </si>
  <si>
    <t xml:space="preserve">Лампа люминесцентная  </t>
  </si>
  <si>
    <t xml:space="preserve"> компактная, цоколь-2D, 28Вт</t>
  </si>
  <si>
    <t>компактная, цоколь-2D, 21Вт</t>
  </si>
  <si>
    <t>компактная, цоколь-2D, 38Вт</t>
  </si>
  <si>
    <t>Ерш для унитазов</t>
  </si>
  <si>
    <t>Все продукты изготовлены их нержавеющих компонентов с использованием элементов из пластмассы со скрепками из нержавеющей стали для крепления щетинок.</t>
  </si>
  <si>
    <t>d=40</t>
  </si>
  <si>
    <t xml:space="preserve"> d=15, ПВХ</t>
  </si>
  <si>
    <t>L18/765 OSRAM (ЛД-18)</t>
  </si>
  <si>
    <t>L36/765  OSRAM (ЛД-36)</t>
  </si>
  <si>
    <t>Б-230-240 95 Вт E27 (154)</t>
  </si>
  <si>
    <t>с деревянной ручкой, металлический</t>
  </si>
  <si>
    <t>1 в год</t>
  </si>
  <si>
    <t>рожковый  комплект до р-ра 32</t>
  </si>
  <si>
    <t>6 предметов</t>
  </si>
  <si>
    <t xml:space="preserve"> 8 шт </t>
  </si>
  <si>
    <t xml:space="preserve">Набор сменных лезвий </t>
  </si>
  <si>
    <t xml:space="preserve">10 шт </t>
  </si>
  <si>
    <t>по дереву с деревянной ручкой</t>
  </si>
  <si>
    <t xml:space="preserve">Номерки </t>
  </si>
  <si>
    <t>для ключей в гардероб</t>
  </si>
  <si>
    <t>ПВХ,  диаметр 15</t>
  </si>
  <si>
    <t xml:space="preserve">Плоскогубцы диэлектрические </t>
  </si>
  <si>
    <t xml:space="preserve">Плоскогубцы с изогнутыми губками </t>
  </si>
  <si>
    <t>итого, мес, м</t>
  </si>
  <si>
    <t>итого, год,м</t>
  </si>
  <si>
    <t>резьбы</t>
  </si>
  <si>
    <t xml:space="preserve"> 220в</t>
  </si>
  <si>
    <t>для врезного замка, латунь 35*35 РН</t>
  </si>
  <si>
    <t>клейкий прозрачный, 48ммх66м</t>
  </si>
  <si>
    <t>Скребок снегоуборочный</t>
  </si>
  <si>
    <t>для уборки снега (скребок)</t>
  </si>
  <si>
    <t>диаметр 15, ПВХ</t>
  </si>
  <si>
    <t>диаметр 15 мм, длина не менее 0,4 м, с гайкой</t>
  </si>
  <si>
    <t>стальная пластина с ручкой</t>
  </si>
  <si>
    <t>нагиль,  диам 3,5*35 мм</t>
  </si>
  <si>
    <t xml:space="preserve">ЭПРА, </t>
  </si>
  <si>
    <t>Кусторез</t>
  </si>
  <si>
    <t>1 на 2 года на 1 дворн, рабоч</t>
  </si>
  <si>
    <t>3 изд на 1 год</t>
  </si>
  <si>
    <t>Расчет расходов на дизельное топливо по котельной   на 2015 г.</t>
  </si>
  <si>
    <t xml:space="preserve"> по комплексу по ул. 31 (административный корпус, спальный корпус, школа ФМН, школа МБ)</t>
  </si>
  <si>
    <t>Занимаемая площадь</t>
  </si>
  <si>
    <t>Кол-во котлов</t>
  </si>
  <si>
    <t xml:space="preserve">Кол-во отапливаемых суток </t>
  </si>
  <si>
    <r>
      <t>Среднесуточн. расход топлива на 1 котел в зимний период кг./сутки (для газ м</t>
    </r>
    <r>
      <rPr>
        <b/>
        <vertAlign val="superscript"/>
        <sz val="10"/>
        <rFont val="Times New Roman"/>
        <family val="1"/>
        <charset val="204"/>
      </rPr>
      <t>3)</t>
    </r>
  </si>
  <si>
    <t>Среднесуточн. расход топлива на 1 котел в летний период (кг./сутки)*</t>
  </si>
  <si>
    <t>Коэф. перевода топлива из объёмных единиц      (кг, м3) в ед.массы (л)*</t>
  </si>
  <si>
    <t>Среднесуточн.расход топлива в зимний период     л.  (для газ м3)**</t>
  </si>
  <si>
    <t>Среднесуточн.расход топлива в летний период       л.*</t>
  </si>
  <si>
    <t>Цена за 1 ед. топлива в зимний период тенге</t>
  </si>
  <si>
    <t>Цена за 1 ед. топлива в летний период тенге</t>
  </si>
  <si>
    <t>В зимний период</t>
  </si>
  <si>
    <t>В летний период</t>
  </si>
  <si>
    <t>Дизельное топливо адм. корпус</t>
  </si>
  <si>
    <t>ЦА АОО</t>
  </si>
  <si>
    <t>гостиничный корпус</t>
  </si>
  <si>
    <t>ЦПМ</t>
  </si>
  <si>
    <t>ЦПИ</t>
  </si>
  <si>
    <t>ЦОП</t>
  </si>
  <si>
    <t>ОРЦ</t>
  </si>
  <si>
    <t xml:space="preserve">Дизельное топливо, НИШ ФМН </t>
  </si>
  <si>
    <t>Дизельное топливо, МБ-школа</t>
  </si>
  <si>
    <t>Дизельное топливо, интернат</t>
  </si>
  <si>
    <t>*при газовом отоплении графы не запоняются</t>
  </si>
  <si>
    <t>**при газовом отоплении графа 7 равна 1</t>
  </si>
  <si>
    <t>Расчет расходов по оплате за центральное отопление  на 2015 г.</t>
  </si>
  <si>
    <t>30</t>
  </si>
  <si>
    <t xml:space="preserve"> по ___________________________________________________ МШ</t>
  </si>
  <si>
    <t>Период</t>
  </si>
  <si>
    <r>
      <t>Средний расход тепла в месяц на 1 м</t>
    </r>
    <r>
      <rPr>
        <b/>
        <vertAlign val="superscript"/>
        <sz val="12"/>
        <rFont val="Times New Roman"/>
        <family val="1"/>
        <charset val="204"/>
      </rPr>
      <t>2</t>
    </r>
    <r>
      <rPr>
        <b/>
        <sz val="12"/>
        <rFont val="Times New Roman"/>
        <family val="1"/>
        <charset val="204"/>
      </rPr>
      <t>, Гкалл</t>
    </r>
  </si>
  <si>
    <t>Всего за месяц, Гкалл</t>
  </si>
  <si>
    <t>Кол-во мес.</t>
  </si>
  <si>
    <t>Тариф, тенге</t>
  </si>
  <si>
    <t>01.01-15.04</t>
  </si>
  <si>
    <t>х</t>
  </si>
  <si>
    <t>факт 8 мес/3,5 мес</t>
  </si>
  <si>
    <t>15.10.-31.12.</t>
  </si>
  <si>
    <t>факт 4 мес /2,5</t>
  </si>
  <si>
    <t>я</t>
  </si>
  <si>
    <t>ф</t>
  </si>
  <si>
    <t>март</t>
  </si>
  <si>
    <t>апр</t>
  </si>
  <si>
    <t>май</t>
  </si>
  <si>
    <t>июнь</t>
  </si>
  <si>
    <t>июль</t>
  </si>
  <si>
    <t>авг</t>
  </si>
  <si>
    <t>сент</t>
  </si>
  <si>
    <t>окт</t>
  </si>
  <si>
    <t>нояб</t>
  </si>
  <si>
    <t>дек</t>
  </si>
  <si>
    <t>тариф</t>
  </si>
  <si>
    <t>Расчет расходов на дизельное топливо/ газ по котельной   на _________ г.</t>
  </si>
  <si>
    <t xml:space="preserve"> по ___________________________________________________ </t>
  </si>
  <si>
    <t>Дизельное топливо</t>
  </si>
  <si>
    <t>ЦА АОО "Назарбаев Интеллектуальные школы"</t>
  </si>
  <si>
    <t>Расход дизельного топлива по котельной Назарбаев Интеллектуальных школ (фмн и мб) в г. Астана со спальным корпусом, а также с административных корпусом на 2015 год</t>
  </si>
  <si>
    <t>Исходные данные:</t>
  </si>
  <si>
    <t>кол-во котлов</t>
  </si>
  <si>
    <t>среднесуточн.расход топлива в зимний период</t>
  </si>
  <si>
    <t>кг/сут</t>
  </si>
  <si>
    <t>л/сут</t>
  </si>
  <si>
    <t>среднесуточн.расход топлива в летний период</t>
  </si>
  <si>
    <t>коэф.перевода топлива из объёмных единиц (л, м3) в ед.массы (кг)</t>
  </si>
  <si>
    <t>кг/л</t>
  </si>
  <si>
    <t>январь 2015 года</t>
  </si>
  <si>
    <t>февраль 2015 года</t>
  </si>
  <si>
    <t>март 2015 года</t>
  </si>
  <si>
    <t>апрель 2015 год</t>
  </si>
  <si>
    <t>май 2015 года</t>
  </si>
  <si>
    <t>июнь 2015 года</t>
  </si>
  <si>
    <t>к-во дней</t>
  </si>
  <si>
    <t>Дизтопливо</t>
  </si>
  <si>
    <t>июль 2015 года</t>
  </si>
  <si>
    <t>август 2015 года</t>
  </si>
  <si>
    <t>сентябрь 2015 года</t>
  </si>
  <si>
    <t>октябрь 2015 года</t>
  </si>
  <si>
    <t>ноябрь 2015 года</t>
  </si>
  <si>
    <t>декабрь 2015 года</t>
  </si>
  <si>
    <r>
      <t xml:space="preserve">              </t>
    </r>
    <r>
      <rPr>
        <b/>
        <u/>
        <sz val="11"/>
        <color indexed="8"/>
        <rFont val="Times New Roman"/>
        <family val="1"/>
        <charset val="204"/>
      </rPr>
      <t>в 2015 году</t>
    </r>
  </si>
  <si>
    <t>зимний период</t>
  </si>
  <si>
    <t>летний период</t>
  </si>
  <si>
    <t>итого:</t>
  </si>
  <si>
    <t>Расчёт распределения расходов котельной АОО НИШ по филиалам/ объектам в 2015 году</t>
  </si>
  <si>
    <t>наименование</t>
  </si>
  <si>
    <t>площадь, м2</t>
  </si>
  <si>
    <t>доля, %</t>
  </si>
  <si>
    <t>сумма, тенге</t>
  </si>
  <si>
    <t>из них</t>
  </si>
  <si>
    <t>цена за 1 л ДТ, тенге</t>
  </si>
  <si>
    <t>к-во л ДТ</t>
  </si>
  <si>
    <t>итого ЦА:</t>
  </si>
  <si>
    <t xml:space="preserve">НИШ ФМН </t>
  </si>
  <si>
    <t>РАСХ дт мб,ФМН</t>
  </si>
  <si>
    <t>Инт</t>
  </si>
  <si>
    <t>АДМ</t>
  </si>
  <si>
    <t>IB-школа</t>
  </si>
  <si>
    <t>Всего:</t>
  </si>
  <si>
    <t>их них, адм корпус:</t>
  </si>
  <si>
    <t xml:space="preserve">интернат НИШ ФМН </t>
  </si>
  <si>
    <t>интернат НИШ мб</t>
  </si>
  <si>
    <t>Сакенов Н.А.</t>
  </si>
  <si>
    <t>Баянжанова М.</t>
  </si>
  <si>
    <t>финансов и экономики</t>
  </si>
  <si>
    <t>Какимова А.</t>
  </si>
  <si>
    <t>Расчет расходов по оплате электроэнергии   на 2015 г.</t>
  </si>
  <si>
    <t xml:space="preserve"> по АОО "Назарбаев Интеллектуальная школа МШ"</t>
  </si>
  <si>
    <t>Средний расход электроэнергии в месяц за предыдущий период, кВт</t>
  </si>
  <si>
    <t>Средний расход электроэнергии в месяц на 1 кв.м , кВт</t>
  </si>
  <si>
    <t>Всего за месяц, кВт</t>
  </si>
  <si>
    <t>Сумма в год</t>
  </si>
  <si>
    <t>01.01-31.03</t>
  </si>
  <si>
    <t>день</t>
  </si>
  <si>
    <t>вечер</t>
  </si>
  <si>
    <t>ночь</t>
  </si>
  <si>
    <t>01.04.-31.08</t>
  </si>
  <si>
    <t>01.09-31.12</t>
  </si>
  <si>
    <t>01.04-31.05</t>
  </si>
  <si>
    <t>факт МШ 2014 г</t>
  </si>
  <si>
    <t>01.01-31.03,МШ</t>
  </si>
  <si>
    <t>01.04-31.08</t>
  </si>
  <si>
    <t>тариф,без ндс</t>
  </si>
  <si>
    <t>тариф с НДС</t>
  </si>
  <si>
    <t>янв</t>
  </si>
  <si>
    <t>фев</t>
  </si>
  <si>
    <t>итого по МШ</t>
  </si>
  <si>
    <t>итого по 31 ул.</t>
  </si>
  <si>
    <t>итого ст-ть</t>
  </si>
  <si>
    <t>2-й вариант</t>
  </si>
  <si>
    <t>Расчет расходов по оплате электроэнергии   на _________г.</t>
  </si>
  <si>
    <t>Кол-во точек</t>
  </si>
  <si>
    <t>Установленная мощность</t>
  </si>
  <si>
    <t>Лампы</t>
  </si>
  <si>
    <t>веч</t>
  </si>
  <si>
    <t>тепло</t>
  </si>
  <si>
    <t>по 31 ул</t>
  </si>
  <si>
    <t>вода</t>
  </si>
  <si>
    <t>в</t>
  </si>
  <si>
    <t>школа по ул. Орынбор</t>
  </si>
  <si>
    <t>кан</t>
  </si>
  <si>
    <t>школа по ул. Орынбор с 01.06- 31.12</t>
  </si>
  <si>
    <t>сен-дек факт 13 года</t>
  </si>
  <si>
    <t xml:space="preserve"> по филиалам  АОО "Назарбаев интеллектуальные школы г. Астаны ФМН и МБ"</t>
  </si>
  <si>
    <t>как высчитать площадь увеличивается с июня до 22739</t>
  </si>
  <si>
    <t>факт ФМН, МБ по факту МШ</t>
  </si>
  <si>
    <t>Расчет расходов по оплате электроэнергии   на 2015 г. по пояснительной записке</t>
  </si>
  <si>
    <t xml:space="preserve"> по АОО "Назарбаев Интеллектуальная школа г. Астаны ФМН, МБ</t>
  </si>
  <si>
    <t>ЧУ "Дирекция строящихся Назарбаев Интеллектуальных школ" (Комплекс)</t>
  </si>
  <si>
    <t>Расчет потребления электроэнергии  на 2015 год по МБ</t>
  </si>
  <si>
    <t xml:space="preserve">W = P х t х k </t>
  </si>
  <si>
    <t>W - объем потребления электороэнергии (кВт х ч)</t>
  </si>
  <si>
    <t>P - расчетная мощность электроприемников (кВт)</t>
  </si>
  <si>
    <t>t - рабочее время школы в месяц (час)</t>
  </si>
  <si>
    <t>k - коэффициент</t>
  </si>
  <si>
    <t xml:space="preserve">летнее время </t>
  </si>
  <si>
    <t xml:space="preserve">зимнее время </t>
  </si>
  <si>
    <t>Месяц</t>
  </si>
  <si>
    <t>количество рабочих дней в месяце</t>
  </si>
  <si>
    <t>Потребление электроэнергии,  кВт (W)*</t>
  </si>
  <si>
    <t>Тариф, без НДС, тг</t>
  </si>
  <si>
    <t>Всего за мес, без НДС</t>
  </si>
  <si>
    <t>АУП,10%</t>
  </si>
  <si>
    <t>ПП,90%</t>
  </si>
  <si>
    <t>Тариф, с НДС, тг</t>
  </si>
  <si>
    <t>Всего за месяц , с НДС, тг</t>
  </si>
  <si>
    <t>1.</t>
  </si>
  <si>
    <t>январь</t>
  </si>
  <si>
    <t>2.</t>
  </si>
  <si>
    <t>февраль</t>
  </si>
  <si>
    <t>3.</t>
  </si>
  <si>
    <t>МБ с 01.04-31.08</t>
  </si>
  <si>
    <t>за мес</t>
  </si>
  <si>
    <t>4.</t>
  </si>
  <si>
    <t>апрель</t>
  </si>
  <si>
    <t>5.</t>
  </si>
  <si>
    <t>6.</t>
  </si>
  <si>
    <t>7.</t>
  </si>
  <si>
    <t>8.</t>
  </si>
  <si>
    <t>август</t>
  </si>
  <si>
    <t>9.</t>
  </si>
  <si>
    <t>сентябрь</t>
  </si>
  <si>
    <t>10.</t>
  </si>
  <si>
    <t>октябрь</t>
  </si>
  <si>
    <t>11.</t>
  </si>
  <si>
    <t>ноябрь</t>
  </si>
  <si>
    <t>12.</t>
  </si>
  <si>
    <t>декабрь</t>
  </si>
  <si>
    <t xml:space="preserve">Итого </t>
  </si>
  <si>
    <t xml:space="preserve"> по административному корпусу, расположенномк по ул. 31 г. Астана</t>
  </si>
  <si>
    <t>Расчет потребления электроэнергии  на 2015 год по адм. зданию</t>
  </si>
  <si>
    <t>кол-во раб-их дней в месяце</t>
  </si>
  <si>
    <t>Всего за м-ц ,без НДС, тг</t>
  </si>
  <si>
    <t>Фактический расход по электроэнергии за январь-август 2014 года и сентябрь-декабрь 2013 года</t>
  </si>
  <si>
    <t>Наименование услуг</t>
  </si>
  <si>
    <t>Кол-во кВТ, школа по ул. Туркестан2/1</t>
  </si>
  <si>
    <t>электроэнергия</t>
  </si>
  <si>
    <t xml:space="preserve"> март</t>
  </si>
  <si>
    <t>факт МШ</t>
  </si>
  <si>
    <t>факт адм корп по факту МШ</t>
  </si>
  <si>
    <t>Расчет расходов по оплате за водоснабжение и канализацию   на 2015 г.по паспорту</t>
  </si>
  <si>
    <t xml:space="preserve"> по спальному корпусу</t>
  </si>
  <si>
    <t>Площадь зеленых насаждений, га</t>
  </si>
  <si>
    <r>
      <t>Средний расход воды в месяц на 1 чел./ м</t>
    </r>
    <r>
      <rPr>
        <b/>
        <vertAlign val="superscript"/>
        <sz val="12"/>
        <rFont val="Times New Roman"/>
        <family val="1"/>
        <charset val="204"/>
      </rPr>
      <t>2</t>
    </r>
    <r>
      <rPr>
        <b/>
        <sz val="12"/>
        <rFont val="Times New Roman"/>
        <family val="1"/>
        <charset val="204"/>
      </rPr>
      <t>,                 м</t>
    </r>
    <r>
      <rPr>
        <b/>
        <vertAlign val="superscript"/>
        <sz val="12"/>
        <rFont val="Times New Roman"/>
        <family val="1"/>
        <charset val="204"/>
      </rPr>
      <t>3</t>
    </r>
  </si>
  <si>
    <r>
      <t>Всего за месяц, м</t>
    </r>
    <r>
      <rPr>
        <b/>
        <vertAlign val="superscript"/>
        <sz val="12"/>
        <rFont val="Times New Roman"/>
        <family val="1"/>
        <charset val="204"/>
      </rPr>
      <t>3</t>
    </r>
  </si>
  <si>
    <t>Конт-т</t>
  </si>
  <si>
    <t xml:space="preserve">Вода </t>
  </si>
  <si>
    <t>Канализация</t>
  </si>
  <si>
    <t>Полив зеленых насаждений</t>
  </si>
  <si>
    <t>01.05-30.09</t>
  </si>
  <si>
    <t>Расчет расходов на услуги водоснабжения и канализации на 2015 спальный корпус</t>
  </si>
  <si>
    <t>Кол-во дней в месяце</t>
  </si>
  <si>
    <t>Площадь влажной уборки</t>
  </si>
  <si>
    <t>Объем потребляемой воды в месяц</t>
  </si>
  <si>
    <t>Тариф, без НДС</t>
  </si>
  <si>
    <t>Сумма в месяц, без НДС</t>
  </si>
  <si>
    <t>Сумма, без НДС</t>
  </si>
  <si>
    <t>в т.ч.</t>
  </si>
  <si>
    <t>Тариф,с НДС</t>
  </si>
  <si>
    <t>Сумма, мес. с НДС</t>
  </si>
  <si>
    <t>Сумма, год с НДС</t>
  </si>
  <si>
    <t>Произв.</t>
  </si>
  <si>
    <t>126,1 с ндс на 2014 год</t>
  </si>
  <si>
    <t>Водоснабжение</t>
  </si>
  <si>
    <t>120,74 с ндс на 2014 год</t>
  </si>
  <si>
    <t>ИТОГО на 2015 год</t>
  </si>
  <si>
    <t>Примечание: Данные взяты с Общей пояснительной записки к Рабочему проекту</t>
  </si>
  <si>
    <t>расход:  вода - 101,42 м3/сут, канализация бытовая -33,02 м3/сут, производственная - 68,4 м3/сут</t>
  </si>
  <si>
    <t>количество рабочих дней - 245</t>
  </si>
  <si>
    <t>25,19 канал</t>
  </si>
  <si>
    <t>Расчет расходов по оплате за водоснабжение и канализацию   на 2015 г по факту Уральска</t>
  </si>
  <si>
    <t>Полив зеленных насаждений</t>
  </si>
  <si>
    <t>факт инт Уральск</t>
  </si>
  <si>
    <t>июн</t>
  </si>
  <si>
    <t>сен</t>
  </si>
  <si>
    <t>Уральск</t>
  </si>
  <si>
    <t>Астана</t>
  </si>
  <si>
    <t>0101-31.03</t>
  </si>
  <si>
    <t>было 1636676 по записке</t>
  </si>
  <si>
    <t xml:space="preserve"> по спальному блоку ( по записке, согласно трехтарифа Уральска)</t>
  </si>
  <si>
    <t>Расчет потребления электроэнергии  на 2015 год по спальн. корпус</t>
  </si>
  <si>
    <t>по записке</t>
  </si>
  <si>
    <t>кол-во раб-х дней в месяце</t>
  </si>
  <si>
    <t>Потреб-ие элек/энергии,  кВт (W)*</t>
  </si>
  <si>
    <t>Расчет расходов по оплате электроэнергии   на 2015 г. по факту Уральска</t>
  </si>
  <si>
    <t>факт интернат Уральск</t>
  </si>
  <si>
    <t>Астана по факту Уральска</t>
  </si>
  <si>
    <t>было  5168556 по одному тарифу</t>
  </si>
  <si>
    <t>марть</t>
  </si>
  <si>
    <t>Нормы расхода воды на полив  зеленых насаждений, территорий объектов (м3 в год) школа (на 1 учащегося)- 1,04   </t>
  </si>
  <si>
    <t xml:space="preserve">
</t>
  </si>
  <si>
    <t>а</t>
  </si>
  <si>
    <t>янв-март</t>
  </si>
  <si>
    <t>11,5л на 1 уч, 1 учителя в сутки</t>
  </si>
  <si>
    <t>Расчет расходов на услуги водоснабжения и канализации на 2015 МБ</t>
  </si>
  <si>
    <t>Сумма, мес., без НДС</t>
  </si>
  <si>
    <t>Сумма, год без НДС</t>
  </si>
  <si>
    <t>канализ</t>
  </si>
  <si>
    <t>факт МБ по факту МШ</t>
  </si>
  <si>
    <t>Расчет расходов по оплате за водоснабжение и канализацию   на 2015 г по факту МШ</t>
  </si>
  <si>
    <t>площадь школ</t>
  </si>
  <si>
    <t>канал</t>
  </si>
  <si>
    <t xml:space="preserve"> по АОО "Назарбаев Интеллектуальная школа г. Астаны, ФМН"</t>
  </si>
  <si>
    <t>Нормы расхода воды на полив зеленых насаждений, территорий объектов (м3 в год) школа (на 1 учащегося)- 1,04   </t>
  </si>
  <si>
    <t>Расчет расходов по услугам вывоза мусора  на 2015 г.</t>
  </si>
  <si>
    <t xml:space="preserve"> по административному корпусу, расположенному по ул. 31</t>
  </si>
  <si>
    <t>Кол-во куб. в месяц</t>
  </si>
  <si>
    <t>Тариф за 1 куб</t>
  </si>
  <si>
    <t>Итого вывоз мусора (ТБО)</t>
  </si>
  <si>
    <t>Примечание:</t>
  </si>
  <si>
    <t>4 контейнеров (объемом 1.1м3)*3 раза в неделю* 52 недели в году/12месяцев =57,2м3(средний показатель в месяц).</t>
  </si>
  <si>
    <t>Расчет расходов по услугам связи  на _________г.</t>
  </si>
  <si>
    <t>Кол-во номеров</t>
  </si>
  <si>
    <t>Лимит на 1 номер в месяц</t>
  </si>
  <si>
    <t>Тариф на 1 ед. в месяц</t>
  </si>
  <si>
    <t>Сумма в месяц</t>
  </si>
  <si>
    <t>Кол-во месяцев</t>
  </si>
  <si>
    <t>Итого в год</t>
  </si>
  <si>
    <t>Абонентская плата</t>
  </si>
  <si>
    <t>Услуги  международной связи</t>
  </si>
  <si>
    <t>Руководитель Правления</t>
  </si>
  <si>
    <t>Зам. руководителя Правления</t>
  </si>
  <si>
    <t>Руководитель филиала (ЧУ)</t>
  </si>
  <si>
    <t>Услуги междугородной  связи</t>
  </si>
  <si>
    <t>Заместитель руководителя, зав. Детским садом/ общежитием</t>
  </si>
  <si>
    <t>Директор департамента/ нач.управления(отдела)</t>
  </si>
  <si>
    <t>Специалист ЦА</t>
  </si>
  <si>
    <t>Установка (тел.номеров)</t>
  </si>
  <si>
    <t>Интернет</t>
  </si>
  <si>
    <t>2.06</t>
  </si>
  <si>
    <t>Расчет командировочных  на _________г.</t>
  </si>
  <si>
    <t>1. Расходы, связанные с поездкой за границу</t>
  </si>
  <si>
    <t>Перечень мероприятий</t>
  </si>
  <si>
    <t>Пункт назначения</t>
  </si>
  <si>
    <t>Курс</t>
  </si>
  <si>
    <t>Исходные данные</t>
  </si>
  <si>
    <t>За рубежом</t>
  </si>
  <si>
    <t>Всего, тенге</t>
  </si>
  <si>
    <t>Размер МРП, тенге</t>
  </si>
  <si>
    <t>Кол-во дней</t>
  </si>
  <si>
    <t>в т.ч. кол-во дней в пути</t>
  </si>
  <si>
    <t>Суточные, тенге</t>
  </si>
  <si>
    <t>Проживание</t>
  </si>
  <si>
    <t xml:space="preserve">Проезд в оба конца, тенге </t>
  </si>
  <si>
    <t>Виза</t>
  </si>
  <si>
    <t>Мед.страховка</t>
  </si>
  <si>
    <t>Валюта</t>
  </si>
  <si>
    <t>в $ на 1-го</t>
  </si>
  <si>
    <t>итого тенге</t>
  </si>
  <si>
    <t>на 1-го</t>
  </si>
  <si>
    <t>Всего :</t>
  </si>
  <si>
    <t>2. Расходы, связанные с поездкой  внутри страны</t>
  </si>
  <si>
    <t>Внутри РК</t>
  </si>
  <si>
    <t>норма МРП</t>
  </si>
  <si>
    <t>на одного</t>
  </si>
  <si>
    <t>Расчет расходов на обслуживание и ремонт автотранспорта  на _________г.</t>
  </si>
  <si>
    <t>Марка, госномер авто</t>
  </si>
  <si>
    <t>Год выпуска</t>
  </si>
  <si>
    <t>Норма пробега, в год</t>
  </si>
  <si>
    <t>Услуга</t>
  </si>
  <si>
    <t>Комплектующие к авто</t>
  </si>
  <si>
    <t>Сумма  всего</t>
  </si>
  <si>
    <t>ст-ть</t>
  </si>
  <si>
    <t>кол-во в год</t>
  </si>
  <si>
    <t xml:space="preserve">Мойка автобуса </t>
  </si>
  <si>
    <t>Платная стоянка авто</t>
  </si>
  <si>
    <t>Диагностика</t>
  </si>
  <si>
    <t>Демонтаж и монтаж шин с балансировкой на 6 колёса</t>
  </si>
  <si>
    <t>Замена антифриза</t>
  </si>
  <si>
    <t>Прокачка тормозов</t>
  </si>
  <si>
    <t>Замена масла (двигатель)</t>
  </si>
  <si>
    <t xml:space="preserve">замена задних подфарников </t>
  </si>
  <si>
    <t>Замена фильтров</t>
  </si>
  <si>
    <t>Замена амортизаторов</t>
  </si>
  <si>
    <t>Расчет расходов по услугам текущего ремонта и обслуживания ОС  на _________г.</t>
  </si>
  <si>
    <t>Ед. изм</t>
  </si>
  <si>
    <t>Краткое описание</t>
  </si>
  <si>
    <t>Кол-во ОС</t>
  </si>
  <si>
    <t>Кол-во раз в год</t>
  </si>
  <si>
    <t>текущий ремонт</t>
  </si>
  <si>
    <t>…….</t>
  </si>
  <si>
    <t>обслуживание</t>
  </si>
  <si>
    <t>……</t>
  </si>
  <si>
    <t>Расчет расходов на услуги водоснабжения и канализации на 2015 адм. здание</t>
  </si>
  <si>
    <t>Количество дней в месяце</t>
  </si>
  <si>
    <t>Сумма, в мес. без НДС</t>
  </si>
  <si>
    <t>Сумма, год, без НДС</t>
  </si>
  <si>
    <t xml:space="preserve">Расчет расходов по оплате за водоснабжение и канализацию   на 2015 г по факту МШ </t>
  </si>
  <si>
    <t xml:space="preserve"> по административному корпусу, расположенному по ул. 31 г. Астана</t>
  </si>
  <si>
    <t>факт АДМ по факту МШ</t>
  </si>
  <si>
    <t>Расчет расходов по оплате за водоснабжение и канализацию   на 2015 г. по факту МШ</t>
  </si>
  <si>
    <t>Расчет по норме со СНиП</t>
  </si>
  <si>
    <t>10 л на 1 уч, 1 учителя в средние сутки</t>
  </si>
  <si>
    <t>1л=0,001 м3</t>
  </si>
  <si>
    <t>к-во м3 в сутки на всех</t>
  </si>
  <si>
    <t>рабочие дни</t>
  </si>
  <si>
    <t>м3 на 1 уч и 1 уч в сутки</t>
  </si>
  <si>
    <t>м3</t>
  </si>
  <si>
    <t>12 л на 1 работающего в сутки</t>
  </si>
  <si>
    <t>м3 на все АУП</t>
  </si>
  <si>
    <t>м3 в сут на 1 работающего</t>
  </si>
  <si>
    <t>Расчет расходов по оплате за водоснабжение и канализацию   на _________г.</t>
  </si>
  <si>
    <t>Площадь зеленых насаждений, м2</t>
  </si>
  <si>
    <t>01.03-31.03</t>
  </si>
  <si>
    <t xml:space="preserve">Idrobrill-mela </t>
  </si>
  <si>
    <t>Spyder</t>
  </si>
  <si>
    <t>Viking</t>
  </si>
  <si>
    <r>
      <t>Удаление пятен с льняных изделий. Мытье различных поверхностей. Дезинфекция. Расход 1/5 стакана на 10 л. воды.</t>
    </r>
    <r>
      <rPr>
        <sz val="11"/>
        <color indexed="10"/>
        <rFont val="Times New Roman"/>
        <family val="1"/>
        <charset val="204"/>
      </rPr>
      <t>(отбеливатель для удаленния пятен, объем 1 литр)</t>
    </r>
  </si>
  <si>
    <t xml:space="preserve">мыло жидкое </t>
  </si>
  <si>
    <t>полироль для мебели, не берут</t>
  </si>
  <si>
    <t>Сода кальцинированная не надо</t>
  </si>
  <si>
    <t>Универсальное жидкое моющее средство для пол и стен с дезенфицирующими свойствами, емкость 5 л</t>
  </si>
  <si>
    <t>Средство для чистки полов</t>
  </si>
  <si>
    <t>Средство для чистки полов, емкостью 20 л</t>
  </si>
  <si>
    <t>ВА47-29М, С, С, 3-полюсный, ~400В, 25А</t>
  </si>
  <si>
    <t>ВА47-29М, В, 1-полюсный, ~230В, 40А</t>
  </si>
  <si>
    <t>Адаптер 15</t>
  </si>
  <si>
    <t>внутр</t>
  </si>
  <si>
    <t xml:space="preserve"> наруж.</t>
  </si>
  <si>
    <t xml:space="preserve">Анкера </t>
  </si>
  <si>
    <t>6*40, 6*60, 6*80 пластмас</t>
  </si>
  <si>
    <t>железные разные</t>
  </si>
  <si>
    <t>Анкерный болт</t>
  </si>
  <si>
    <t xml:space="preserve"> FSA B 12/10*75 с гайкой</t>
  </si>
  <si>
    <t xml:space="preserve">Анкерный болт </t>
  </si>
  <si>
    <t>10*77 с гайкой</t>
  </si>
  <si>
    <t>Батарейки для индикатора,</t>
  </si>
  <si>
    <t xml:space="preserve">Батарейки для фонарика, </t>
  </si>
  <si>
    <t>АА, пальчиковые</t>
  </si>
  <si>
    <t xml:space="preserve">Бита </t>
  </si>
  <si>
    <t>50 PH2 для шуруповерта</t>
  </si>
  <si>
    <t>однослойная, диаметр рулона 102 мм, длина рулона 50 м, с перфорацией, со втулкой, неокрашенная</t>
  </si>
  <si>
    <t>Бур по бетону</t>
  </si>
  <si>
    <t xml:space="preserve"> 6мм "Зубр"</t>
  </si>
  <si>
    <t xml:space="preserve">Бур по бетону </t>
  </si>
  <si>
    <t xml:space="preserve"> 8мм "Зубр"</t>
  </si>
  <si>
    <t>10 мм "Зубр"</t>
  </si>
  <si>
    <t>валик малярный</t>
  </si>
  <si>
    <t>пластмассовое, 10 л</t>
  </si>
  <si>
    <t>сорго, обвязанный в 4хместах</t>
  </si>
  <si>
    <t>Вентиль шаровый</t>
  </si>
  <si>
    <t xml:space="preserve">Вентиль шаровый </t>
  </si>
  <si>
    <t xml:space="preserve">Вилка </t>
  </si>
  <si>
    <t>В32-003</t>
  </si>
  <si>
    <t xml:space="preserve">Вилка электрическая 230В, 16А, </t>
  </si>
  <si>
    <t>с боковым подводом провода, с заземлением</t>
  </si>
  <si>
    <t xml:space="preserve">водоэмульсия </t>
  </si>
  <si>
    <t>белая в банке напр 16 кг</t>
  </si>
  <si>
    <t xml:space="preserve">ППН-33-Х3-00-100А-УХЛ4 </t>
  </si>
  <si>
    <t xml:space="preserve">Выкл. 4331-021 </t>
  </si>
  <si>
    <t>тит металлик-2 кл с подсв</t>
  </si>
  <si>
    <t xml:space="preserve">Выключатели  внутренние, </t>
  </si>
  <si>
    <t>Цвет-белый, одноклавишный, 220В, 10А, с индикатором, степень защиты IP20;</t>
  </si>
  <si>
    <t>Цвет-белый, двухклавишный, 220В, 10А, с индикатором, степень защиты IP20;</t>
  </si>
  <si>
    <t xml:space="preserve">Выключатели наружные, </t>
  </si>
  <si>
    <t>гофра с сифоном с гайкой</t>
  </si>
  <si>
    <t xml:space="preserve"> д 40</t>
  </si>
  <si>
    <t>Грабли с черенком</t>
  </si>
  <si>
    <t>бытовые, размер 98*66*35, крепкий абразивный слой, с захватом, антимикробная</t>
  </si>
  <si>
    <t xml:space="preserve"> 125*1,4*22ARLAN</t>
  </si>
  <si>
    <t>отрезной алмазный по плите 230*22*2,5</t>
  </si>
  <si>
    <t>диски обрезные</t>
  </si>
  <si>
    <t>дрель</t>
  </si>
  <si>
    <t xml:space="preserve">Дюбеля </t>
  </si>
  <si>
    <t>пластиковые чепики</t>
  </si>
  <si>
    <t xml:space="preserve">Живая земля </t>
  </si>
  <si>
    <t>универсальная, 50л</t>
  </si>
  <si>
    <t>Замки внутренние</t>
  </si>
  <si>
    <t>замки врезные</t>
  </si>
  <si>
    <t>Замки навесные</t>
  </si>
  <si>
    <t xml:space="preserve">Замок врезной </t>
  </si>
  <si>
    <t>для дверей</t>
  </si>
  <si>
    <t xml:space="preserve">Замок почтовый </t>
  </si>
  <si>
    <t>для металлических шкафов, с цифров. номерами на ключе и замке</t>
  </si>
  <si>
    <t>Земля живая</t>
  </si>
  <si>
    <t>Известь негашенная</t>
  </si>
  <si>
    <t>материал хб</t>
  </si>
  <si>
    <t>материал - ПВХ</t>
  </si>
  <si>
    <t xml:space="preserve">Индикатор  ПИН-90 переменного и постоянного </t>
  </si>
  <si>
    <t xml:space="preserve">для проверки наличия или отсутствия напряжения между неизолированными токоведущими частями в электроустановках </t>
  </si>
  <si>
    <t xml:space="preserve"> ВВГ, 2,5х3</t>
  </si>
  <si>
    <t xml:space="preserve"> ВВГ, 4х5</t>
  </si>
  <si>
    <t xml:space="preserve"> ттр 4х10</t>
  </si>
  <si>
    <t>ВВГ, 1,5х3</t>
  </si>
  <si>
    <t>ввг 5х6</t>
  </si>
  <si>
    <t>ВВГ 2*2,5 , м</t>
  </si>
  <si>
    <t xml:space="preserve">   КГ 2*2,5, м</t>
  </si>
  <si>
    <t>40х25мм, цвет белый</t>
  </si>
  <si>
    <t>не менеее 60х15мм, цвет серый</t>
  </si>
  <si>
    <t xml:space="preserve">Канализационный муфт </t>
  </si>
  <si>
    <t>100*50</t>
  </si>
  <si>
    <t xml:space="preserve">Катушка 50м 4*16-   </t>
  </si>
  <si>
    <t>с заземлением 4 м2</t>
  </si>
  <si>
    <t>кисти малярн</t>
  </si>
  <si>
    <t>киянка</t>
  </si>
  <si>
    <t>клапан смыва на писсуар</t>
  </si>
  <si>
    <t xml:space="preserve"> 25 кг</t>
  </si>
  <si>
    <t xml:space="preserve"> влагостойкий,25 кг</t>
  </si>
  <si>
    <t>Клещи токоизм</t>
  </si>
  <si>
    <t xml:space="preserve">Клещи электоризмерительные </t>
  </si>
  <si>
    <t>прибор для опредения силы тока на токоведуще части цепи</t>
  </si>
  <si>
    <t xml:space="preserve">коврик диэлектрический </t>
  </si>
  <si>
    <t>1 кв</t>
  </si>
  <si>
    <t xml:space="preserve">Колер  PUFAMIX №19 </t>
  </si>
  <si>
    <t xml:space="preserve">верблюж., №5 желтая,персиковая </t>
  </si>
  <si>
    <t>Комплект для унитаза (Ёрш)</t>
  </si>
  <si>
    <t>Корзина для бумаг</t>
  </si>
  <si>
    <t>Кран элемент</t>
  </si>
  <si>
    <t>диам 15, пласт</t>
  </si>
  <si>
    <t>Крышка ревизи</t>
  </si>
  <si>
    <t xml:space="preserve">Крышка ревизи </t>
  </si>
  <si>
    <t>кувалда</t>
  </si>
  <si>
    <t xml:space="preserve">Лампа </t>
  </si>
  <si>
    <t xml:space="preserve">Лампа E27 </t>
  </si>
  <si>
    <t>компактная люминесцентная  не менее 20Вт</t>
  </si>
  <si>
    <t xml:space="preserve">Лампа E27 23W </t>
  </si>
  <si>
    <t>компактная люминесцентная 23Вт</t>
  </si>
  <si>
    <t xml:space="preserve">Лампа E40 250W </t>
  </si>
  <si>
    <t>газоразрядная  250Вт, для оранжереи</t>
  </si>
  <si>
    <t xml:space="preserve">Лампа G24 d 26W </t>
  </si>
  <si>
    <t>компактная люминесцентная 26Вт</t>
  </si>
  <si>
    <t xml:space="preserve">Лампа G24 q 18W </t>
  </si>
  <si>
    <t>компактная люминесцентная  18Вт</t>
  </si>
  <si>
    <t xml:space="preserve">Лампа T8 18W </t>
  </si>
  <si>
    <t>люминесцентная 18Вт</t>
  </si>
  <si>
    <t xml:space="preserve">Лампа T8 36W </t>
  </si>
  <si>
    <t>люминесцентная 36Вт</t>
  </si>
  <si>
    <t xml:space="preserve">Лампа Tornadospiral </t>
  </si>
  <si>
    <t>32 W E27 CDL (энергосберег.)</t>
  </si>
  <si>
    <t xml:space="preserve">Лампа ДРИ, 250Вт, </t>
  </si>
  <si>
    <t>для освещения спортзала</t>
  </si>
  <si>
    <t>лампа люм 58 вт</t>
  </si>
  <si>
    <t xml:space="preserve"> 60 вт</t>
  </si>
  <si>
    <t>Лестница р</t>
  </si>
  <si>
    <t>Трехсекционная металическая лестница с перекладинами. Может использоваться как выдвижная и приставная лестница и как стремянка, абочая высота до 9м, длина в собранном виде до 3,5м, количество перекладин 3х12шт</t>
  </si>
  <si>
    <t xml:space="preserve">Лом двухсторонний  </t>
  </si>
  <si>
    <t>молоток</t>
  </si>
  <si>
    <t>набор ключей накидной</t>
  </si>
  <si>
    <t xml:space="preserve"> (AKISD1001)</t>
  </si>
  <si>
    <t xml:space="preserve"> (HKID0601)</t>
  </si>
  <si>
    <t>набор плотника</t>
  </si>
  <si>
    <t xml:space="preserve"> 8 шт HKTH10808</t>
  </si>
  <si>
    <t>10 шт HKNSB181</t>
  </si>
  <si>
    <t>набор стамесок</t>
  </si>
  <si>
    <t xml:space="preserve"> В набор входят (16 предметов): </t>
  </si>
  <si>
    <t>насадки для шуруповерта</t>
  </si>
  <si>
    <t>ножницы электрика</t>
  </si>
  <si>
    <t xml:space="preserve"> HES0107</t>
  </si>
  <si>
    <t>Ножовка по дереву с деревянной ручкой</t>
  </si>
  <si>
    <t>Ножовка по металлу</t>
  </si>
  <si>
    <t>Отвод,</t>
  </si>
  <si>
    <t xml:space="preserve"> диаметр 15, пластик</t>
  </si>
  <si>
    <t xml:space="preserve">Патрон Е 27 </t>
  </si>
  <si>
    <t>пластик с прижим. Кольцом</t>
  </si>
  <si>
    <t>пена монтажная</t>
  </si>
  <si>
    <t xml:space="preserve">перфоратор </t>
  </si>
  <si>
    <t>вес 5-7кг, мощность 1200Вт</t>
  </si>
  <si>
    <t xml:space="preserve"> хлопчатобумажные, с брезентовым налодонником, саржа 280 гр, подналодонник б/з 450гр на м3</t>
  </si>
  <si>
    <t xml:space="preserve">резиновые, двуслойные, натуральный латекс </t>
  </si>
  <si>
    <t>Перчатки гелевые, которые резин для техн</t>
  </si>
  <si>
    <t>Плечики пластмассовые</t>
  </si>
  <si>
    <t>Плитка керамическая</t>
  </si>
  <si>
    <t>HHDCP08180</t>
  </si>
  <si>
    <t>HICР01200</t>
  </si>
  <si>
    <t>HBNP08160</t>
  </si>
  <si>
    <t>полиэтилен</t>
  </si>
  <si>
    <t>Пчелка</t>
  </si>
  <si>
    <t>Раковина</t>
  </si>
  <si>
    <t xml:space="preserve">рация </t>
  </si>
  <si>
    <t>реле фотоэлектронное</t>
  </si>
  <si>
    <t>Розетка</t>
  </si>
  <si>
    <t xml:space="preserve"> 113 стац. 2Р+РЕ 16А 220В</t>
  </si>
  <si>
    <t xml:space="preserve">розетка </t>
  </si>
  <si>
    <t>3 фазная с вилкой турция</t>
  </si>
  <si>
    <t xml:space="preserve">Розетки встраиваемые, </t>
  </si>
  <si>
    <t>для установки в напольные лючки, 220В, не менее 10А, с заземлением</t>
  </si>
  <si>
    <t>5 м</t>
  </si>
  <si>
    <t xml:space="preserve">Саморезы </t>
  </si>
  <si>
    <t>размер 3,5х11(семечки)</t>
  </si>
  <si>
    <t>сапоги резиновые,</t>
  </si>
  <si>
    <t xml:space="preserve"> 45 разм</t>
  </si>
  <si>
    <t>сверла по металлу 6.8.10.5.3</t>
  </si>
  <si>
    <t>д6.8.10.12.16</t>
  </si>
  <si>
    <t xml:space="preserve">сверла под перфоратор </t>
  </si>
  <si>
    <t>Сверло для кафеля</t>
  </si>
  <si>
    <t>Зубр 6 мм с двумя реж. Лезвиями</t>
  </si>
  <si>
    <t>Зубр 8 мм с двумя реж. Лезвиями</t>
  </si>
  <si>
    <t>Зубр 10 мм с двумя реж. Лезвиями</t>
  </si>
  <si>
    <t xml:space="preserve">  ЛСП 44-2*58-001</t>
  </si>
  <si>
    <t>Сердечник для замков</t>
  </si>
  <si>
    <t xml:space="preserve"> 35*35 РН</t>
  </si>
  <si>
    <t>сердцевина под замок</t>
  </si>
  <si>
    <t xml:space="preserve">силикон </t>
  </si>
  <si>
    <t>белый.прозрачный.черный</t>
  </si>
  <si>
    <t>скотч большой</t>
  </si>
  <si>
    <t>Скребок для мытья окон с металлической ручкой</t>
  </si>
  <si>
    <t>Скребок для снега для уборки снега (скребок)</t>
  </si>
  <si>
    <t>смеситель разные</t>
  </si>
  <si>
    <t>Соль поваренная таблетированная</t>
  </si>
  <si>
    <t xml:space="preserve"> для тротуаров</t>
  </si>
  <si>
    <t xml:space="preserve">Стакан одноразовый </t>
  </si>
  <si>
    <t xml:space="preserve">Стартера, </t>
  </si>
  <si>
    <t>S10, 4-80Вт</t>
  </si>
  <si>
    <t>количество перекладин-8</t>
  </si>
  <si>
    <t xml:space="preserve">Напряжение, В: 12–220, </t>
  </si>
  <si>
    <t xml:space="preserve">Тройник </t>
  </si>
  <si>
    <t>диаметр 15, пластик</t>
  </si>
  <si>
    <t>трос вибрационный</t>
  </si>
  <si>
    <t xml:space="preserve"> 6 п/м</t>
  </si>
  <si>
    <t xml:space="preserve">трос вибрационный </t>
  </si>
  <si>
    <t>17 п/м</t>
  </si>
  <si>
    <t>Труба гофра d</t>
  </si>
  <si>
    <t>=25мм, с протяжкой</t>
  </si>
  <si>
    <t xml:space="preserve">труба полиэтиленовая </t>
  </si>
  <si>
    <t>водопроводная д 32 мм</t>
  </si>
  <si>
    <t xml:space="preserve">удлинитель катушечный </t>
  </si>
  <si>
    <t>50 м</t>
  </si>
  <si>
    <t>УВН-10</t>
  </si>
  <si>
    <t>Унитаз</t>
  </si>
  <si>
    <t>утюг сантехнический</t>
  </si>
  <si>
    <t>фильтр для приточек</t>
  </si>
  <si>
    <t xml:space="preserve"> G4</t>
  </si>
  <si>
    <t xml:space="preserve">Фонарики </t>
  </si>
  <si>
    <t>на аккумуляторной батарейке, с LED лампочками</t>
  </si>
  <si>
    <t>фум лента</t>
  </si>
  <si>
    <t xml:space="preserve">Хомут пластиковый (стяжной) </t>
  </si>
  <si>
    <t>200х3,5мм, цвет белый/черный</t>
  </si>
  <si>
    <t>Цветочные горшки</t>
  </si>
  <si>
    <t>5 литров, для цветов в оранжерее</t>
  </si>
  <si>
    <t xml:space="preserve">Цветочные горшки </t>
  </si>
  <si>
    <t>20 литр, для цветов в оранжерее</t>
  </si>
  <si>
    <t>10 литр, для цветов в оранжерее</t>
  </si>
  <si>
    <t>Шило</t>
  </si>
  <si>
    <t xml:space="preserve"> с деревянной ручкой для подшивки док-в</t>
  </si>
  <si>
    <t>шланги под гайку</t>
  </si>
  <si>
    <t xml:space="preserve"> на 15 длина 60 см</t>
  </si>
  <si>
    <t xml:space="preserve">шланги под смеситель </t>
  </si>
  <si>
    <t>длина 60 см</t>
  </si>
  <si>
    <t>шпатель</t>
  </si>
  <si>
    <t>3,5х50</t>
  </si>
  <si>
    <t>3,5х35</t>
  </si>
  <si>
    <t xml:space="preserve">Щетка металлическая </t>
  </si>
  <si>
    <t>для посуды</t>
  </si>
  <si>
    <t xml:space="preserve">Щетка уличная </t>
  </si>
  <si>
    <t>твердый полиэт, ворс с длин ручкой</t>
  </si>
  <si>
    <t xml:space="preserve">электроды </t>
  </si>
  <si>
    <t>д3</t>
  </si>
  <si>
    <t>Государственный флаг,</t>
  </si>
  <si>
    <t xml:space="preserve"> размер 2*1</t>
  </si>
  <si>
    <t>Дозатор для мыла TORK</t>
  </si>
  <si>
    <t xml:space="preserve">НАТТЛИГ </t>
  </si>
  <si>
    <t>Тележка садовая,</t>
  </si>
  <si>
    <t xml:space="preserve"> для работы на улице</t>
  </si>
  <si>
    <t>(автоинвентаризатор)</t>
  </si>
  <si>
    <t>Флаг с логотипом НИШ</t>
  </si>
  <si>
    <t xml:space="preserve"> 3000*1050, фон бел</t>
  </si>
  <si>
    <t xml:space="preserve">Флаг с логотипом НИШ </t>
  </si>
  <si>
    <t>3000*1050, фон зелен</t>
  </si>
  <si>
    <t>частотник под приточ.вент</t>
  </si>
  <si>
    <t>02.03.08.</t>
  </si>
  <si>
    <t>Расчет на приобретение  пр. ТМЦ   на 2017 г.</t>
  </si>
  <si>
    <t xml:space="preserve"> пр.ТМЦ </t>
  </si>
  <si>
    <t>Рама</t>
  </si>
  <si>
    <t>Бак пластмассовый с крышкой  65 л</t>
  </si>
  <si>
    <t>Бак пластмассовый с крышкой  65 л, для полива цветов в спальном блоке</t>
  </si>
  <si>
    <t xml:space="preserve">двухслойная, диаметр рулона не менее 90 мм, длина рулона не менее 150 м,  со втулкой размером не менее 50 мм, неокрашенная, изготовленная из первичного экологически чистого  сырья  </t>
  </si>
  <si>
    <t>Бумажное  полотенце 2-слойное 2 шт</t>
  </si>
  <si>
    <t>Бумажное  полотенце 2-слойное 2 шт, 100% целюллозы.   220 листов.</t>
  </si>
  <si>
    <t>Веник  с совком</t>
  </si>
  <si>
    <t xml:space="preserve">Веник  с совком,  веник 290 мм с черным ворсом 750 мм. Синяя рукоятка 800 мм. Закрывающийся савок черного цвета для сбора мусора.  </t>
  </si>
  <si>
    <t>Горшки пластиковые</t>
  </si>
  <si>
    <t>Горшки пластиковые 10л, с поддоном</t>
  </si>
  <si>
    <t xml:space="preserve">Держатель МОПа, Цвет: Синий. 500 мм. * 123 мм. Сужение 110 мм. Крепежное основание красное, расположение петли соединения паралельное длине основания. Педаль сложения держателя крассная с трехколечной пружиной   </t>
  </si>
  <si>
    <t>Ерш для унитаза с пластиковой подставкой</t>
  </si>
  <si>
    <t>зажимы разные в пачке по 50 шт</t>
  </si>
  <si>
    <t>Перчатки гелевые плотные, цвет желтые</t>
  </si>
  <si>
    <t xml:space="preserve">Рукоятка для держателя,  длина 140 мм, алюминиевая, диаметр 28 мм,  2-х уровневое крепление кольца фиксации. </t>
  </si>
  <si>
    <t>Средство от болезней и ростоускорение Фитоспорин-М, ПС (паста)</t>
  </si>
  <si>
    <t xml:space="preserve">Средство от вредителей </t>
  </si>
  <si>
    <t>Тряпки МОП 50см</t>
  </si>
  <si>
    <t>Удобрение жидкое</t>
  </si>
  <si>
    <t>Расчет на приобретение хоз. товаров  на 2017-2019 гг.</t>
  </si>
  <si>
    <t>Лен</t>
  </si>
  <si>
    <t>Монтажка слесарная</t>
  </si>
  <si>
    <t>клапан для писуара</t>
  </si>
  <si>
    <t>Расчет на приобретение хоз. товаров  на 2016 г.</t>
  </si>
  <si>
    <t xml:space="preserve"> по котельной и уличному освещению по ул. 31</t>
  </si>
  <si>
    <t>умтб</t>
  </si>
  <si>
    <t>Двигатель асинхронный</t>
  </si>
  <si>
    <t>3хфазный, 2,2 кВт</t>
  </si>
  <si>
    <t xml:space="preserve">Текущий ремонт и обслуживание спец. технического оборудования, устройств приборов  на 2015 год </t>
  </si>
  <si>
    <t xml:space="preserve"> по ЧУ "Дирекция строящихся Назарбаев Интеллектуальных школ" (Комплекс)</t>
  </si>
  <si>
    <t xml:space="preserve">                         (ЧУ)</t>
  </si>
  <si>
    <t>Кол-во услуг в год</t>
  </si>
  <si>
    <t xml:space="preserve">Заправка картриджей </t>
  </si>
  <si>
    <t>Заправка картриджей Canon IR2520</t>
  </si>
  <si>
    <t>Замена термопленки Canon IR2520</t>
  </si>
  <si>
    <t xml:space="preserve">Замена термопленки </t>
  </si>
  <si>
    <t>Замена прижимного вала</t>
  </si>
  <si>
    <t>2.07.05</t>
  </si>
  <si>
    <t>Расчет расходов по услугам текущего ремонта и обслуживания зданий и сооружений  на _________г.</t>
  </si>
  <si>
    <t>Площадь, подлеж. ремонту</t>
  </si>
  <si>
    <t>Расчет расходов по услугам питания  на _________г.</t>
  </si>
  <si>
    <t>Детский сад</t>
  </si>
  <si>
    <t>Прогноз стоимости 1 дня</t>
  </si>
  <si>
    <t>Кол-во детей</t>
  </si>
  <si>
    <t>Учебные дни</t>
  </si>
  <si>
    <t>Выходные и праздничные</t>
  </si>
  <si>
    <t>Летняя школа</t>
  </si>
  <si>
    <t>Летняя школа для уч-ся общеобразовательных школ</t>
  </si>
  <si>
    <t>Школа</t>
  </si>
  <si>
    <t xml:space="preserve"> 1-6 класс</t>
  </si>
  <si>
    <t xml:space="preserve"> 7-11 класс</t>
  </si>
  <si>
    <t>Кол-во уч-ся</t>
  </si>
  <si>
    <t>Интернат</t>
  </si>
  <si>
    <t>Расчет расходов на прочие услуги на __________год</t>
  </si>
  <si>
    <t>Кол-во</t>
  </si>
  <si>
    <t>Изготовление стендов по согласованным эскизам</t>
  </si>
  <si>
    <t>Проверка  прибора учета тепла</t>
  </si>
  <si>
    <t>услуга</t>
  </si>
  <si>
    <t>Поверка средств измерений в мед.пункте</t>
  </si>
  <si>
    <t>Поверка средств измерений отопительной системы</t>
  </si>
  <si>
    <t>Поверка холодильников в мед.пункте и кабинете стоматологии</t>
  </si>
  <si>
    <t>…..</t>
  </si>
  <si>
    <t>2.10</t>
  </si>
  <si>
    <t>Расчет расходов на услуги почты на ________г.</t>
  </si>
  <si>
    <t>Расчет расходов на услуги почты на 2014 год</t>
  </si>
  <si>
    <t>Кол-во кг./шт.</t>
  </si>
  <si>
    <t>Кол-во отправлений в месяц</t>
  </si>
  <si>
    <t>Кол-во мес. в год</t>
  </si>
  <si>
    <t>Посылка (наземным транспортом)</t>
  </si>
  <si>
    <t>Заказные письма</t>
  </si>
  <si>
    <t>ЕМS</t>
  </si>
  <si>
    <t>Расчет расходов по услугам охраны  на _________г.</t>
  </si>
  <si>
    <t>Кол-во дней в году</t>
  </si>
  <si>
    <t>Кол-во охраны (пост)</t>
  </si>
  <si>
    <t>Всего часов в сутки</t>
  </si>
  <si>
    <t>Всего, часов</t>
  </si>
  <si>
    <t xml:space="preserve">Тариф, в час </t>
  </si>
  <si>
    <t>Стоимость всего</t>
  </si>
  <si>
    <t xml:space="preserve">Охрана </t>
  </si>
  <si>
    <t>Расчет расходов на информационные  (прочие) услуги на 2015 г.</t>
  </si>
  <si>
    <t>Услуги доступа к базе данных (ключи доступа к законодательной электронной базе данных "Параграф" (пакет мастер)</t>
  </si>
  <si>
    <t>Услуги доступа к базе данных (ключи доступа к законодательной электронной базе данных "Параграф" (пакет бухгалтер+)</t>
  </si>
  <si>
    <t>Расчет расходов по налогам  на 2018г.</t>
  </si>
  <si>
    <t>Размер МРП</t>
  </si>
  <si>
    <t>по ЧУ "Дирекция строящихся Назарбаев Интеллектуальных школ"</t>
  </si>
  <si>
    <t>Ставка</t>
  </si>
  <si>
    <t>МРП, тенге</t>
  </si>
  <si>
    <t>Объем</t>
  </si>
  <si>
    <t xml:space="preserve">Коэф-т </t>
  </si>
  <si>
    <t>Объем с учетом пересчета</t>
  </si>
  <si>
    <t>Кол-во ТС</t>
  </si>
  <si>
    <t>Итого 2018 г</t>
  </si>
  <si>
    <t>Расчет</t>
  </si>
  <si>
    <t>Итого 2019 г</t>
  </si>
  <si>
    <r>
      <t xml:space="preserve"> 3 МРП * 2405, </t>
    </r>
    <r>
      <rPr>
        <b/>
        <sz val="12"/>
        <color indexed="8"/>
        <rFont val="Times New Roman"/>
        <family val="1"/>
        <charset val="204"/>
      </rPr>
      <t>2.22.03. "Налог на транспорт"</t>
    </r>
  </si>
  <si>
    <t>обоснование</t>
  </si>
  <si>
    <t>Итого 2.22.03.</t>
  </si>
  <si>
    <t>Плата за эмиссию (универсальная машина)</t>
  </si>
  <si>
    <r>
      <t xml:space="preserve">кол-во л/1000*0,769*0,63*2269мрп, </t>
    </r>
    <r>
      <rPr>
        <b/>
        <sz val="12"/>
        <color indexed="8"/>
        <rFont val="Times New Roman"/>
        <family val="1"/>
        <charset val="204"/>
      </rPr>
      <t>2.22.07.02. "Плата за загрязнение окружающей среды"</t>
    </r>
  </si>
  <si>
    <t>Плата за эмиссию (снегоуборочн.машина, газонокосилка)</t>
  </si>
  <si>
    <r>
      <t xml:space="preserve">кол л/1000*0,73*0,33*2269мрп, </t>
    </r>
    <r>
      <rPr>
        <b/>
        <sz val="12"/>
        <color indexed="8"/>
        <rFont val="Times New Roman"/>
        <family val="1"/>
        <charset val="204"/>
      </rPr>
      <t>2.22.07.02. "Плата за загрязнение окружающей среды"</t>
    </r>
  </si>
  <si>
    <t>Итого 2.22.07.02.</t>
  </si>
  <si>
    <t>4</t>
  </si>
  <si>
    <t>Госпошлина за госрегистрацию ТС(универсальная машина)</t>
  </si>
  <si>
    <t>2.22.07.03."Государственная пошлина"</t>
  </si>
  <si>
    <t>Итого 2.22.07.03.</t>
  </si>
  <si>
    <t>5</t>
  </si>
  <si>
    <t>Получение гос.паспорта</t>
  </si>
  <si>
    <t>2.22.08.03."Сбор за регистрацию механических ТС и прицепов"</t>
  </si>
  <si>
    <t>6</t>
  </si>
  <si>
    <t>Получение гос.номера</t>
  </si>
  <si>
    <t>Итого 2.22.08.03.</t>
  </si>
  <si>
    <t>2.20.01</t>
  </si>
  <si>
    <t>Расчет расходов по аренде транспорта  на _________г.</t>
  </si>
  <si>
    <t>Цель транспортной услуги</t>
  </si>
  <si>
    <t xml:space="preserve">Объем перевозок </t>
  </si>
  <si>
    <t>Ед. изм. (час/дн./мес.)</t>
  </si>
  <si>
    <t xml:space="preserve">Кол-во </t>
  </si>
  <si>
    <t>Стоимость за единицу</t>
  </si>
  <si>
    <t>Количество автотранспорта</t>
  </si>
  <si>
    <t>тн, груза</t>
  </si>
  <si>
    <t>к-во пассажиров</t>
  </si>
  <si>
    <t>Аренда автотранспорта</t>
  </si>
  <si>
    <t>вывоз строительного мусора,  грузоперевозки при переезде</t>
  </si>
  <si>
    <t>экскурсии</t>
  </si>
  <si>
    <t>……..</t>
  </si>
  <si>
    <t>Расчет расходов на приобретение периодических изданий  на _________г.</t>
  </si>
  <si>
    <t>Индекс</t>
  </si>
  <si>
    <t>Срок подписки (мес)</t>
  </si>
  <si>
    <t>Стоимость за 1 экз</t>
  </si>
  <si>
    <t>Кол-во экземпляров</t>
  </si>
  <si>
    <t>2.23</t>
  </si>
  <si>
    <t>Расчет расходов по услугам аренды  на _________г.</t>
  </si>
  <si>
    <t>Площадь помещения, кв.м.</t>
  </si>
  <si>
    <t>Стоимость за 1 кв.м.</t>
  </si>
  <si>
    <t>Срок аренды</t>
  </si>
  <si>
    <t xml:space="preserve">Аренда офисных помещений </t>
  </si>
  <si>
    <t>Аренда учебных классов</t>
  </si>
  <si>
    <t>Аренда прочих ОС</t>
  </si>
  <si>
    <t>Расчет расходов, связанные с соблюдением специальных требований на 2015 год</t>
  </si>
  <si>
    <t>по ЧУ "Дирекция строящихся Назарбаев Интеллектуальных школ" (Комплекс)</t>
  </si>
  <si>
    <t>Сервисное обслуживание пожарной системы сигнализации (здание спального корпуса)</t>
  </si>
  <si>
    <t>заложить от площади на ауп пп</t>
  </si>
  <si>
    <t>Содержание и обслуживание охрано-пожарной сигнализации (здание по ул. Туркестан 2/1, ул. Орынбор)</t>
  </si>
  <si>
    <t>Содержание и обслуживание охрано-пожарной сигнализации (школа ФМН и МБ по ул. 31)</t>
  </si>
  <si>
    <t>Сервисное обслуживание пожарной системы сигнализации (здание админист. корпуса)</t>
  </si>
  <si>
    <t>Знак "Опасность поражения электрическом током", самоклеющийся (80мм)</t>
  </si>
  <si>
    <t>Знак "телефон для использования при пожаре", самоклеющийся 34см*24.5см</t>
  </si>
  <si>
    <t>Знак "Опасность поражения электрическом током", треугольник самоклеющийся  с молнией=150мм</t>
  </si>
  <si>
    <t>Знак " Направляющая стрелка", картонный ламинированный с 2-х сторон  30*40см</t>
  </si>
  <si>
    <t>Инструктаж по пожарной безопасности, 1 плакат 42см*60см</t>
  </si>
  <si>
    <t xml:space="preserve"> Знак "Выход здесь", знак картонный ламинированный с 2-х сторон 30*40см</t>
  </si>
  <si>
    <t>Знак "Проход запрещен", знак картонный ламинированный с 2-х сторон, 30*40см</t>
  </si>
  <si>
    <t>Знак  "Запрещается курить", знак картонный лам-рованный с 2-х сторон, 30*40см</t>
  </si>
  <si>
    <t xml:space="preserve"> Знак "Внимание опасная зона", знак картонный лам-рованный с 2-х сторон, 30*40см</t>
  </si>
  <si>
    <t>плакат 42см*60см "Противопожарные мероприятия"</t>
  </si>
  <si>
    <t>Пожарный щит закрытый в комплекте</t>
  </si>
  <si>
    <t>Пожарный щит ллический открытый в комплекте</t>
  </si>
  <si>
    <t>2.25</t>
  </si>
  <si>
    <t>Расчет расходов на курсы проведения повышения квалификации, семинары, тренинги и т.п. на _________г.</t>
  </si>
  <si>
    <t xml:space="preserve">Наименование </t>
  </si>
  <si>
    <t>Участники (филиалы)</t>
  </si>
  <si>
    <t>Место проведения</t>
  </si>
  <si>
    <t>Ответ. департамент/лицо</t>
  </si>
  <si>
    <t>Кол-во дней командирования</t>
  </si>
  <si>
    <t>Кол-во дней проживания</t>
  </si>
  <si>
    <t>Приглашенные лица</t>
  </si>
  <si>
    <t>К-во участников, чел лекторов</t>
  </si>
  <si>
    <t>К-во слушателей, чел.</t>
  </si>
  <si>
    <t>Расходы лекторов</t>
  </si>
  <si>
    <t>ВСЕГО (гр.31+гр.44 +гр.46+.50+гр.54)</t>
  </si>
  <si>
    <t xml:space="preserve"> Валюта</t>
  </si>
  <si>
    <t>Оплата лекторов *</t>
  </si>
  <si>
    <t>Командировочные приглашенных лекторов</t>
  </si>
  <si>
    <t>Орг. взнос</t>
  </si>
  <si>
    <t>Типографские услуги</t>
  </si>
  <si>
    <t>Прочий раздаточный материал</t>
  </si>
  <si>
    <t>Сто-ть 1-го часа/дня 1-го лектора</t>
  </si>
  <si>
    <t>Дней/час</t>
  </si>
  <si>
    <t>Сумма оплаты услуги итого, тенге (гр14*гр10*гр15*гр.12)</t>
  </si>
  <si>
    <t>Налог РК 20% (10%)</t>
  </si>
  <si>
    <t>Сумма всего (гр16+гр17)</t>
  </si>
  <si>
    <t>Суточные</t>
  </si>
  <si>
    <t>Проезд в оба конца внутри РК</t>
  </si>
  <si>
    <t>Проезд в оба конца за пределы РК</t>
  </si>
  <si>
    <t>Визовые расходы</t>
  </si>
  <si>
    <t>Итого (гр.18+гр.20+гр.22+гр.24+гр.26+гр.28+гр30)</t>
  </si>
  <si>
    <t>Кофе-брейк, миниральная вода</t>
  </si>
  <si>
    <t>Транспортные расходы</t>
  </si>
  <si>
    <t>Трансфер</t>
  </si>
  <si>
    <t>Услуги переводчика</t>
  </si>
  <si>
    <t>Итого расходов (гр.34+гр.37+гр.40+гр.43)</t>
  </si>
  <si>
    <t>Цена за ед.</t>
  </si>
  <si>
    <t xml:space="preserve">Сумма итого, тенге
</t>
  </si>
  <si>
    <t>Страна</t>
  </si>
  <si>
    <t>Норма на 1-го в день</t>
  </si>
  <si>
    <t>Сумма итого, тенге (гр19*гр7*гр12)</t>
  </si>
  <si>
    <t>Сумма итого, тенге (гр21*гр 6* гр12)</t>
  </si>
  <si>
    <t>Норма на 1-го</t>
  </si>
  <si>
    <t>Сумма итого, тенге  (гр23*гр12)</t>
  </si>
  <si>
    <t>Сумма итого, тенге  (гр.25*гр.12)</t>
  </si>
  <si>
    <t xml:space="preserve">На 1-го </t>
  </si>
  <si>
    <t>Сумма итого, тенге (гр.27 *гр.10 *гр.12)</t>
  </si>
  <si>
    <t>На 1-го в день Норма в  валюте</t>
  </si>
  <si>
    <t>Сумма итого, тенге (гр. 29*гр10*гр12)</t>
  </si>
  <si>
    <t>На 1-го в день</t>
  </si>
  <si>
    <t>Кол-во проведений</t>
  </si>
  <si>
    <t>Сумма итого, тенге (гр.32* гр.33*гр.12) +(гр.32* гр.33*гр.13)</t>
  </si>
  <si>
    <t>За 1 час</t>
  </si>
  <si>
    <t>К-во час в день</t>
  </si>
  <si>
    <t>Сумма итого, тенге (гр.35*гр.36)</t>
  </si>
  <si>
    <t>Сумма итого, тенге (гр.38*гр.39)</t>
  </si>
  <si>
    <t>Цена за ед</t>
  </si>
  <si>
    <t>Сумма итого, тенге (гр 41* гр.42)</t>
  </si>
  <si>
    <t>На 1-го, валюта</t>
  </si>
  <si>
    <t>Итого (гр.45*гр.10*гр.13)</t>
  </si>
  <si>
    <t>*При расчете оплаты лекторам в тенге (в графе 10) ставить - 1</t>
  </si>
  <si>
    <t>2.26</t>
  </si>
  <si>
    <t>Расчет расходов на проведение элективных курсов, вирт.и каникул.школы, олимпиад и т.п. на _________г.</t>
  </si>
  <si>
    <t xml:space="preserve">Участники </t>
  </si>
  <si>
    <t>Филиалы</t>
  </si>
  <si>
    <t>Сроки проведения</t>
  </si>
  <si>
    <t>Место пребывания</t>
  </si>
  <si>
    <t>Кол-во чел</t>
  </si>
  <si>
    <t>Стоимость обучения/нахождения/Оргвзнос, тенге</t>
  </si>
  <si>
    <t>ЗА РУБЕЖОМ</t>
  </si>
  <si>
    <t>ИПН (10%)*</t>
  </si>
  <si>
    <t>ВНУТРИ СТРАНЫ</t>
  </si>
  <si>
    <t>Наградной  материал</t>
  </si>
  <si>
    <t>ИПН (10%)
(в случае если цена товара больше 5 МРП)**</t>
  </si>
  <si>
    <t>Оплата услуг жюри</t>
  </si>
  <si>
    <t>ВСЕГО, тенге (гр.27+гр.28+гр.37+гр.38+гр.41+гр.44+гр.47+гр.51+гр.55+гр.56+гр.60+гр.61+гр.64)</t>
  </si>
  <si>
    <t>Расход на1-го, тенге (гр.65/гр.7)</t>
  </si>
  <si>
    <t>Наименование мероприятия</t>
  </si>
  <si>
    <t>Кол-во дней командировки</t>
  </si>
  <si>
    <t>Компенсация/Суточные</t>
  </si>
  <si>
    <t xml:space="preserve">Компенсация/Проживание </t>
  </si>
  <si>
    <t>Проезд в оба конца, тенге</t>
  </si>
  <si>
    <t>Оформление визы, консульский сбор</t>
  </si>
  <si>
    <t>Прочие расходы</t>
  </si>
  <si>
    <t>Итого, тенге (гр.12+гр.15+гр18+гр.20+гр.22+гр.24+гр.26)</t>
  </si>
  <si>
    <t>Компенсация/ Суточные</t>
  </si>
  <si>
    <t>Проезд в оба конца</t>
  </si>
  <si>
    <t>Итого, тенге (гр.31+гр.34+гр.36)</t>
  </si>
  <si>
    <t>Кол-во судей</t>
  </si>
  <si>
    <t>Норма на 1-го, тенге</t>
  </si>
  <si>
    <t>Итого, Сумма (гр.62*гр.63)</t>
  </si>
  <si>
    <t>На 1-го</t>
  </si>
  <si>
    <t>Итого (гр.11*гр.10*гр.7)</t>
  </si>
  <si>
    <t>Норма на 1-го в сутки</t>
  </si>
  <si>
    <t>Сумма, тенге (гр.14*гр.13*гр.7)</t>
  </si>
  <si>
    <t xml:space="preserve">Кол-во дней </t>
  </si>
  <si>
    <t>Сумма, тенге (гр.16*гр.17*гр.7)</t>
  </si>
  <si>
    <t xml:space="preserve">на 1-го </t>
  </si>
  <si>
    <t>Сумма, тенге (гр.19*гр.7)</t>
  </si>
  <si>
    <t>Сумма, тенге (гр.21*гр.10*гр.7)</t>
  </si>
  <si>
    <t>Сумма, тенге (гр.23*гр.10*гр.17*гр.7)</t>
  </si>
  <si>
    <t>Сумма, тенге (гр25*гр.10*гр.7)</t>
  </si>
  <si>
    <t>Сумма, тенге (гр.29*гр.30*гр.7)</t>
  </si>
  <si>
    <t>Сумма, тенге (гр.32*гр.33*гр.7)</t>
  </si>
  <si>
    <t>Сумма, тенге (гр.35*гр.7)</t>
  </si>
  <si>
    <t xml:space="preserve">Сумма, тенге (гр.39* гр.40*гр.7) </t>
  </si>
  <si>
    <t>Стоим за 1 час</t>
  </si>
  <si>
    <t>К-во часов</t>
  </si>
  <si>
    <t>Сумма итого, тенге (гр.42*гр.43)</t>
  </si>
  <si>
    <t>Сумма итого, тенге (гр 45*гр.46)</t>
  </si>
  <si>
    <t>Учащиеся</t>
  </si>
  <si>
    <t>………</t>
  </si>
  <si>
    <t>* В соответствии с Кодексом РК от 10 декабря 2008 г. №99-IV "О налогах  и других обязательных платежах в бюджет"</t>
  </si>
  <si>
    <t>**Согласно ст. 155, п. 3 Кодекса РК от 10 декабря 2008 г. №99-IV "О налогах и других обязательных платежах в бюджет"</t>
  </si>
  <si>
    <t>2.26.05</t>
  </si>
  <si>
    <t>Расчет расходов на прочие внешкольные мероприятия на _________г.</t>
  </si>
  <si>
    <t>Мероприятия</t>
  </si>
  <si>
    <t>Кол-во учащихся</t>
  </si>
  <si>
    <t>Цена за единицу</t>
  </si>
  <si>
    <t>Кол-во посещений</t>
  </si>
  <si>
    <t>Расчет расходов на услуги водоснабжения и канализации с января по июль 2013 год</t>
  </si>
  <si>
    <t>Вода М3</t>
  </si>
  <si>
    <t>Тариф</t>
  </si>
  <si>
    <t>Всего за месяц</t>
  </si>
  <si>
    <t>из НИШ</t>
  </si>
  <si>
    <t>Вода</t>
  </si>
  <si>
    <t>Расчет расходов на услуги водоснабжения и канализации с сентября по декабрь 2013 год</t>
  </si>
  <si>
    <t>ШК</t>
  </si>
  <si>
    <t>Расчет расходов по вывозу мусора (ТБО) с января по сентябрь на 2013 год</t>
  </si>
  <si>
    <t>Кол-во контейнеров</t>
  </si>
  <si>
    <t>Цена за кол-во контейнеров</t>
  </si>
  <si>
    <t>Расчет расходов по вывозу мусора (ТБО) с сентября по декабрь на 2013 год</t>
  </si>
  <si>
    <t>Повышение квалификации сотрудников на 2013 год</t>
  </si>
  <si>
    <t>название курсов</t>
  </si>
  <si>
    <t>Суточные **</t>
  </si>
  <si>
    <t>Проживание **</t>
  </si>
  <si>
    <t>Итого, тенге</t>
  </si>
  <si>
    <t>норма на 1-го в сутки</t>
  </si>
  <si>
    <t>кол-во дней</t>
  </si>
  <si>
    <t>Сумма , тенге</t>
  </si>
  <si>
    <t>адм. расходы</t>
  </si>
  <si>
    <t>произв. расходы</t>
  </si>
  <si>
    <t>Искусство владеть с собой. Стресс менеджмент</t>
  </si>
  <si>
    <t>г. Алматы</t>
  </si>
  <si>
    <t>управление временем</t>
  </si>
  <si>
    <t>конфликтология и стрессоустойчивость менеджера</t>
  </si>
  <si>
    <t>основы управления персоналом</t>
  </si>
  <si>
    <t>управление человеческими ресурсами в современной организации</t>
  </si>
  <si>
    <t>секреты эффективной коммуникации</t>
  </si>
  <si>
    <t>практика использования современных технологий мотивации в целях эффективности персонала</t>
  </si>
  <si>
    <t>секреты эффективной PR</t>
  </si>
  <si>
    <t>применение Трудового Кодекса РК с учетом последних изменений</t>
  </si>
  <si>
    <t>г.Астана</t>
  </si>
  <si>
    <t xml:space="preserve">  ** Нормы по суточным и проживанию внутри страны согласно норм, утвержденных ППРК от 22.09.2000 г. № 1428 "Об утверждении Правил о служебных командировках в пределах Республики Казахстан работников государственных учреждений, содержащихся за счет средств государственного бюджета, а также депутатов Парламента Республики Казахстан";
     Нормы по суточным и проживанию за пределами страны согласно норм, утвержденных ППРК 6 февраля 2008 года № 108 "О возмещении государственным служащим расходов на служебные заграничные командировки за счет средств республиканского и местных бюджетов" (по отдельным странам нормы по проживанию указаны зарубежной страной).
</t>
  </si>
  <si>
    <t>Расчет расходов на оформление школьных мероприятий  на 2013 год</t>
  </si>
  <si>
    <t>Наименование праздников</t>
  </si>
  <si>
    <t>оформление</t>
  </si>
  <si>
    <t>"8 Марта"</t>
  </si>
  <si>
    <t>ламбрекены на перила</t>
  </si>
  <si>
    <t>плетенная арка из шаров с цветами</t>
  </si>
  <si>
    <t>арка из ткани и цветов</t>
  </si>
  <si>
    <t>гелиевые шары 300шт (250т)</t>
  </si>
  <si>
    <t>4 стойки (3000т)</t>
  </si>
  <si>
    <t>"Бал Олимпиадников"</t>
  </si>
  <si>
    <t>надпись на аракале</t>
  </si>
  <si>
    <t>гелиевые шары 200шт (250т)</t>
  </si>
  <si>
    <t>2 стойки из шаров</t>
  </si>
  <si>
    <t>гелевые переплеты 4шт (8000т)</t>
  </si>
  <si>
    <t>ламбрекены на перила с цветами</t>
  </si>
  <si>
    <t>"Наурыз"</t>
  </si>
  <si>
    <t>плетеная арка из шаров</t>
  </si>
  <si>
    <t>гелиевые шары 300 шт   (250т)</t>
  </si>
  <si>
    <t>плетенные переплеты из шаров 3шт (10000т)</t>
  </si>
  <si>
    <t>"9 мая"</t>
  </si>
  <si>
    <t>4 стойки (6000т)</t>
  </si>
  <si>
    <t>"Последний звонок"</t>
  </si>
  <si>
    <t>переплетенная арка из шаров</t>
  </si>
  <si>
    <t>гелиевые шары 350шт (250т)</t>
  </si>
  <si>
    <t>фигура из шаров "Колокольчик"</t>
  </si>
  <si>
    <t>2 шашу стойки из шаров</t>
  </si>
  <si>
    <t>"Открытие летнего лагеря"</t>
  </si>
  <si>
    <t>2 гелевых переплета</t>
  </si>
  <si>
    <t>гелиевые шары 150шт (250т)</t>
  </si>
  <si>
    <t>"Выпускной вечер"</t>
  </si>
  <si>
    <t>гелевые переплеты 5шт (8000т)</t>
  </si>
  <si>
    <t>гелиевые шары 100шт (250т)</t>
  </si>
  <si>
    <t>4 шашу стойки</t>
  </si>
  <si>
    <t>ламбрекены на перила с золотыми бантами</t>
  </si>
  <si>
    <t>"День конституции" парад</t>
  </si>
  <si>
    <t>эмблема из шаров</t>
  </si>
  <si>
    <t>"1 сентября"</t>
  </si>
  <si>
    <t>"Праздник Осени"</t>
  </si>
  <si>
    <t>5 гелиевых переплета (8000т)</t>
  </si>
  <si>
    <t>"День учителя"</t>
  </si>
  <si>
    <t>2 стойки из шаров с цветами</t>
  </si>
  <si>
    <t>"День Независимости РК"</t>
  </si>
  <si>
    <t>гелиевые переплеты 8шт (5000т)</t>
  </si>
  <si>
    <t>"Новый год"</t>
  </si>
  <si>
    <t>2 плетенные арки</t>
  </si>
  <si>
    <t>гирлянды 10шт (300т)</t>
  </si>
  <si>
    <t>фольгированные шары 5шт (1000т)</t>
  </si>
  <si>
    <t>2 фигуры из шаров "Снеговики"</t>
  </si>
  <si>
    <t>2 стойки шаров</t>
  </si>
  <si>
    <t>4 колокольчика (500)</t>
  </si>
  <si>
    <t>2.28</t>
  </si>
  <si>
    <t>Расчет расходов на проведение семинаров, круглых столов, конференций на _________г.</t>
  </si>
  <si>
    <t>Кол-во участников</t>
  </si>
  <si>
    <t>Взносы за участие</t>
  </si>
  <si>
    <t>Внутри страны</t>
  </si>
  <si>
    <t>Цель командировки</t>
  </si>
  <si>
    <t>Кол-во дней команд</t>
  </si>
  <si>
    <t>Страховка</t>
  </si>
  <si>
    <t>Аренда помещения</t>
  </si>
  <si>
    <t>Норма на 1 в валюте</t>
  </si>
  <si>
    <t>Сумма в тенге</t>
  </si>
  <si>
    <t>На одного в валюте</t>
  </si>
  <si>
    <t>Кол-во часов</t>
  </si>
  <si>
    <t>Цена за 1 час</t>
  </si>
  <si>
    <t>Проезд</t>
  </si>
  <si>
    <t>Кофе-брейк, мин. Вода</t>
  </si>
  <si>
    <t>Кол-во К-Б</t>
  </si>
  <si>
    <t>Норма на 1</t>
  </si>
  <si>
    <t>Кол-во рейсов</t>
  </si>
  <si>
    <t>Цена за 1 рейс</t>
  </si>
  <si>
    <t>Расчет расходов по услугам дез.обработки  на 2015 г.</t>
  </si>
  <si>
    <t>Прогнозная стоимость услуги за ед.</t>
  </si>
  <si>
    <t>Кол-во раз обработки в год</t>
  </si>
  <si>
    <t>Дератизация помещений профилактическая (комплекс по ул. 31)</t>
  </si>
  <si>
    <t>Дератизация открытых территорий(комплекс по ул. 31)</t>
  </si>
  <si>
    <t>га</t>
  </si>
  <si>
    <t>Дезинсекция помещений профилактическая (борьба с бытовыми насекомыми)(комплекс по ул. 31)</t>
  </si>
  <si>
    <t>Борьба с мухами в помещении профилактическая(комплекс по ул. 31)</t>
  </si>
  <si>
    <t>Дератизация помещений профилактическая (здание школы по ул. Туркестан 2/1)</t>
  </si>
  <si>
    <t>Дератизация открытых территорий(здание школы по ул. Туркестан 2/1)</t>
  </si>
  <si>
    <t>Дезинсекция помещений профилактическая (борьба с бытовыми насекомыми)(здание школы по ул. Туркестан 2/1)</t>
  </si>
  <si>
    <t>Борьба с мухами в помещении профилактическая(здание школы по ул. Туркестан 2/1)</t>
  </si>
  <si>
    <t>2.31.03</t>
  </si>
  <si>
    <t>Расчет расходов на услуги публикации объявлений в СМИ на _________г.</t>
  </si>
  <si>
    <t>Наименование услуги</t>
  </si>
  <si>
    <t xml:space="preserve">Объем объявления </t>
  </si>
  <si>
    <t>Стоимость за ед-цу (тенге)</t>
  </si>
  <si>
    <t>Кол-во объявлений в год</t>
  </si>
  <si>
    <t>в том числе</t>
  </si>
  <si>
    <t>Размещение статьи в газете "Время", либо "Казахстанская правда", либо "Экспресс К"</t>
  </si>
  <si>
    <t xml:space="preserve">Размещение статей в региональных газетах </t>
  </si>
  <si>
    <t>Размещение в справочниках</t>
  </si>
  <si>
    <t>Бегущая строка</t>
  </si>
  <si>
    <t>………….</t>
  </si>
  <si>
    <t>2.31.05</t>
  </si>
  <si>
    <t>Расчет расходов за нотариальные услуги на 2015 г.</t>
  </si>
  <si>
    <t>Кол-во страниц</t>
  </si>
  <si>
    <t>Кол-во услуг</t>
  </si>
  <si>
    <t>Стоимость от МРП</t>
  </si>
  <si>
    <t>Государственная пошлина</t>
  </si>
  <si>
    <t>Стоимость</t>
  </si>
  <si>
    <t>Кол-во МРП</t>
  </si>
  <si>
    <t>Ставка от МРП (%)</t>
  </si>
  <si>
    <t xml:space="preserve">За удостоверение прочих доверенностей для юр. лиц </t>
  </si>
  <si>
    <t>Засвидетельствование подлинности подписей на документах</t>
  </si>
  <si>
    <t>Засвидетельствование верности копии документов</t>
  </si>
  <si>
    <t>Расчет расходов на услуги утилизации медицинских отходов на 2015 г.</t>
  </si>
  <si>
    <t>Кол-во в год</t>
  </si>
  <si>
    <t>Цена за 1 услугу</t>
  </si>
  <si>
    <t>План расходов на год</t>
  </si>
  <si>
    <t>Утилизация ртутьсодержащих ламп (лампа Т8 18 Вт, Т8 36 Вт, Е 27 20 ВТ, ДРИ 250 Вт(школы), лампа Т8 18 Вт, Т8 36 Вт, Е 27 20 ВТ (адм. корпус, спальн. блок))</t>
  </si>
  <si>
    <t>усл.</t>
  </si>
  <si>
    <t>Утилизация (переработка) отработанных ртутьсодержащих ламп</t>
  </si>
  <si>
    <t>внести новую статью в 1С с КБК</t>
  </si>
  <si>
    <t>Расчет расходов на пошив формы на 2015 год</t>
  </si>
  <si>
    <t>Ед.изм</t>
  </si>
  <si>
    <t xml:space="preserve">блуза: рукав ¾ с манжетой, накладные карманы, брюки на резинке,  косынка либо бандана, обувь сабо  Ткань: смесовая, пл. 120 гр/м². </t>
  </si>
  <si>
    <t>Костюм мужской "Спектр"</t>
  </si>
  <si>
    <t>Костюм для операторов котельной</t>
  </si>
  <si>
    <t>Костюм "Титан"</t>
  </si>
  <si>
    <t>Расчет на приобретение  питьевой воды   на _________г.</t>
  </si>
  <si>
    <t>Норматив на 1-го на день * (л)</t>
  </si>
  <si>
    <t>В 1 бутыле (л)</t>
  </si>
  <si>
    <t>Кол-во бутылей</t>
  </si>
  <si>
    <t>*в среднем 0,5л на 1-го</t>
  </si>
  <si>
    <t>Расчет расходов на оплату взносов в Международные организации на _________г.</t>
  </si>
  <si>
    <t>Взносы</t>
  </si>
  <si>
    <t>валюта</t>
  </si>
  <si>
    <t>курс</t>
  </si>
  <si>
    <t>Цель</t>
  </si>
  <si>
    <t>Расчет расходов, связанных с привлечением экспертов на _________г.</t>
  </si>
  <si>
    <t>Лимит (МРП)</t>
  </si>
  <si>
    <t>Кофе-брейк</t>
  </si>
  <si>
    <t>2.29</t>
  </si>
  <si>
    <t>Расчет расходов на социальную сферу на 2015 год</t>
  </si>
  <si>
    <t>Приобретение новогодних подарков для детей сотрудников</t>
  </si>
  <si>
    <t>Новогодний набор конфет, сладостей и фруктов,весом не менее 1,5 кг</t>
  </si>
  <si>
    <t>чел</t>
  </si>
  <si>
    <t xml:space="preserve"> по ЧУ "Дирекция строящихся Назарбаев Интеллектуальных школ" (Комплекс) школа МБ</t>
  </si>
  <si>
    <t>Новогодний подарок должен быть упакован в короб с изображением символов нового года.
НОВОГОДНИЙ ПОДАРОК СОДЕРЖИТ : мягкая молочная карамель с орехами, покрытая молочным шоколадом(2 шт); конфета на основе молочного шоколада с добавлением хрустящих шариков, арахиса, изюма, вафельной крошки и кукурузных хлопьев(1 шт);конфета ассорти в форме матрешки из молочного шоколада с кремовой начинкой со вкусом карамелизированного сахара(3 шт);глазированные шоколадной глазурью желейные конфеты в форме зефира со вкусом клубники со сливками(1 шт); вафельная конфета с нежной кремовой начинкой посыпанная хрустящим шариками и шоколадной глазурью(1 шт); конфета ассорти в молочном или темном шоколаде, в форме в виде фигурок животных с начинкой на основе пралине, с добавлением цельного и дробленого ореха и рисовых шариков(2 шт); кокосовая начинка, покрытая натуральным молочным шоколадом(1 шт);шоколадно кокосовая начинка покрытая карамелью и двойным слоем шоколада(1 шт);нуга со вкусом киви, покрытая шоколадом(1 шт);шоколадная нуга, облаченная в двойной слой шоколада(1 шт);темная молочная помада с добавлением какао порошка и вкусом крем брюле, глазированная шоколадной глазурью(2 шт); конфета с хрустящей начинкой-дробленный рис и изюм. Нуга, карамель, орех(2 шт); мини батончик с цельными лесными орехами(1 шт);бисквитное пирожное в форме медвежонка с шоколадной начинкой внутри(1 шт); шоколадная конфета с нугой и молочной начинкой и хрустящим рисом(1 шт);воздушное суфле со сливочно-ванильным вкусом(1 шт);конфета со сливочной начинкой и цельным фундуком в хрустящей вафельке, покрытая белым шоколадом(3 шт);конфета сферической формы с молочно-кремовой или шоколадно-кремовой начинкой и цельным лесным орехом в хрустящей вафельке, покрытая молочным шоколадом(2 шт)конфета в форме елочной шишки с орехово-молочной начинкой(1 шт);конфета в форме яйца с шоколадно-молочной начинкой(2 шт);шоколадная конфета в форме дед мороза на палочке, с молочно-сливочной начинкой(1 шт); шоколадная конфета с шоколадно-кремовой помадкой в форме медвежонка (1 шт);конфета с кремовой начинкой со сливочным вкусом в тонкой вафельке, покрытая молочным шоколадом(1 шт);шоколадная конфета покрытая густым слоем глазури с добавлением фудук-пасты и шоколадно-орехового крема(1 шт);шоколадная конфета покрытая густым слоем глазури с добавлением крем-брюле какао и молочно железной начинки со вкусом варенной сгущенки(1 шт);конфета из молочно-помадной массы с начинкой из мягкого тоффи с добавлением с добавлением сливочного масла, покрытая шоколадной глазурью(1 шт);конфета со сливочно кремово-трюфельного наполнителя покрытая молочным или темным шоколадом(4 шт);конфета из воздушного-кремового суфле с желейной начинкой со вкусом малины или с карамельной начинкой покрытая слоем темной глазури(2 шт);глазированная конфета в форме медвежонка со сливочного суфле(2 шт);молочный шоколад с хрустящей вафлей(1 шт);шоколадная конфета со сливочно-сбивной начинкой в шоколадной глазури со вкусом сливок(1 шт);драже с арахисом и молочным шоколадом покрытые хрустящей разноцветной глазурью(1 шт); десерт из хрустящего вафельного корпуса, покрытый молочной глазурью, с добавлением миндаля. С начинкой из крема на  основе фундука(1 шт); конфета из нуги, карамели и ореха покрытая шоколадом(2 шт);грильяжные конфеты с миндалем(2 шт); вафельная конфета с шоколадно-пористой начинкой(1 шт); глазированная шоколадная конфета состоящая из нуги со вкусом лимона(1 шт);жевательная конфета со вкусом фруктов(3 шт); конфета в форме купола наполненная карамельно-шоколадной начинкой(1 шт); плитка молочного шоколада в форме слитка золота(1 шт);вафельная конфета с шоколадно-ореховой начинкой(1 шт); жевательная конфета с тягучей карамелью (2 шт);конфета ирис с добавлением дробленного ореха(1 шт);миндаль в шоколадной глазури(4 шт); фундук в шоколадной глазури(4 шт);молочный шоколад с дробленным орехом или фруктовой(1 шт); МЯГКАЯ ПЛЮШЕВАЯ ИГРУШКА В ВИДЕ СИМВОЛА НОВОГО ГОДА (1 шт); ИНТЕЛЛЕКТУАЛЬНАЯ ИГРА (1шт); Мандарин (1 шт); Вес новогоднего подарка должен состовлять не менее 1000 гр; Новогодний подарок упакован в короб из цветного гофрокартона с изображением символов нового года.</t>
  </si>
  <si>
    <t xml:space="preserve"> по ЧУ "Дирекция строящихся Назарбаев Интеллектуальных школ" (Комплекс) школа ФМН</t>
  </si>
  <si>
    <t xml:space="preserve"> по ЧУ "Дирекция строящихся Назарбаев Интеллектуальных школ" (Комплекс) школа МШ</t>
  </si>
  <si>
    <t xml:space="preserve"> по ЧУ "Дирекция строящихся Назарбаев Интеллектуальных школ" (Комплекс) школа спальный блок</t>
  </si>
  <si>
    <t xml:space="preserve"> по ЧУ "Дирекция строящихся Назарбаев Интеллектуальных школ" (Комплекс) школа адм. Блок</t>
  </si>
  <si>
    <t>Расчет расходов на проведение капитального ремонта зданий и сооружений на _________г.</t>
  </si>
  <si>
    <t>Наименование филиала</t>
  </si>
  <si>
    <t>Наименование объекта</t>
  </si>
  <si>
    <t>Срок ввода в эксплуатацию</t>
  </si>
  <si>
    <t>Срок эксплуатации до капитального ремонта</t>
  </si>
  <si>
    <t>Амортизац. стоимость</t>
  </si>
  <si>
    <t>Балансовая (Остаточная  стоимость)</t>
  </si>
  <si>
    <t>% амортизации</t>
  </si>
  <si>
    <t>Ед. измерения</t>
  </si>
  <si>
    <t>Примечание</t>
  </si>
  <si>
    <t>Расчет расходов на разработку ПСД капитального ремонта зданий и сооружений на _________г.</t>
  </si>
  <si>
    <t xml:space="preserve">Прогнозная стоимость </t>
  </si>
  <si>
    <t>Стоимость услуги по разработке ПСД</t>
  </si>
  <si>
    <t>Расчет расходов на оказание услуги авторского надзора на _________г.</t>
  </si>
  <si>
    <t>Стоимость СМР на проведение капитального ремонта</t>
  </si>
  <si>
    <t>% от СМР</t>
  </si>
  <si>
    <t>Стоимость услуги авторского надзора</t>
  </si>
  <si>
    <t>Расчет расходов на оказание услуги технического надзора на _________г.</t>
  </si>
  <si>
    <t>Стоимость услуги технического надзора</t>
  </si>
  <si>
    <t>Расчет расходов по прочим услугам  на _________г.</t>
  </si>
  <si>
    <t>Ед.измерения</t>
  </si>
  <si>
    <t>Расчет расходов на проведение строительно-монтажных работ  по проведению капитального ремонта на _________г.</t>
  </si>
  <si>
    <t>2.22</t>
  </si>
  <si>
    <t>Расчет расходов по налогам на 2016 г.(закрытие обязательств 2015 года)</t>
  </si>
  <si>
    <t>по ЧУ "Дирекция строящихся Назарбаев Интеллектуальных школ" (Служба)</t>
  </si>
  <si>
    <t>Расчет расходов по налогам на 2016 г.</t>
  </si>
  <si>
    <t>по ЧУ "Дирекция строящихся Назарбаев Интеллектуальных школ" (МБ)</t>
  </si>
  <si>
    <t>по ЧУ "Дирекция строящихся Назарбаев Интеллектуальных школ" (ФМН)</t>
  </si>
  <si>
    <t>по ЧУ "Дирекция строящихся Назарбаев Интеллектуальных школ" (спальный корпус)</t>
  </si>
  <si>
    <t>по ЧУ "Дирекция строящихся Назарбаев Интеллектуальных школ" (адм. корпус)</t>
  </si>
  <si>
    <t>по ЧУ "Дирекция строящихся Назарбаев Интеллектуальных школ" (ауп)</t>
  </si>
  <si>
    <t>по ЧУ "Дирекция строящихся Назарбаев Интеллектуальных школ" (Туркестан 2/1)</t>
  </si>
  <si>
    <t>по ЧУ "Дирекция строящихся Назарбаев Интеллектуальных школ" (Орынбор)</t>
  </si>
  <si>
    <t>Расчет расходов на горюче-смазочные материалы на 2017 год</t>
  </si>
  <si>
    <t xml:space="preserve"> по АОО "Назарбаев Интеллектуальная школа г. Астаны",  АОО "Назарбаев Интеллектуальная школа ФМН г. Астаны", филиалу " Международная школа г. Астаны"</t>
  </si>
  <si>
    <t>Дизельное топливо (летнее) (расчет по школе ул. Туркестан 2/1)</t>
  </si>
  <si>
    <t>Дизельное топливо (зимнее)(расчет по школе ул. Туркестан 2/1)</t>
  </si>
  <si>
    <t>Итого ДТ летнее</t>
  </si>
  <si>
    <t>Итого ДТ зимнее</t>
  </si>
  <si>
    <t>АИ-92 для снегоуборочной машины (школа по ул. Туркестан 2/1, ул. Орынбор)</t>
  </si>
  <si>
    <t>Итого Аи-92 для снегоуборочной машины</t>
  </si>
  <si>
    <t>АИ-92 для газонокосилки (школа по ул. Туркестан 2/1, ул. Орынбор)</t>
  </si>
  <si>
    <t>Итого Аи-92 для газонокосилки</t>
  </si>
  <si>
    <t>литры</t>
  </si>
  <si>
    <t>Итого ДТ летнее для МКСМ</t>
  </si>
  <si>
    <t>Итого ДТ зимнее для МКСМ</t>
  </si>
  <si>
    <t>Итого Аи-92 для снегоуб машины</t>
  </si>
  <si>
    <t>Плата за эмиссию</t>
  </si>
  <si>
    <t>МКСМ</t>
  </si>
  <si>
    <t>кол-во л/1000*0,769*0,63*2121мрп</t>
  </si>
  <si>
    <t>Аи-92 для газонок и снегоуб машины</t>
  </si>
  <si>
    <t>кол л/1000*0,73*0,33*2121мрп</t>
  </si>
  <si>
    <t xml:space="preserve">Расчет амортизации </t>
  </si>
  <si>
    <t>по ЧУ "Дирекция строящихся Назарбаев Интеллектуальных школ" (массажный кабинет)</t>
  </si>
  <si>
    <t>№№</t>
  </si>
  <si>
    <t>Общее кол-во</t>
  </si>
  <si>
    <t>Цена за 1 единицу, тенге</t>
  </si>
  <si>
    <t>Стоимость, тенге</t>
  </si>
  <si>
    <t>Норма амортизации</t>
  </si>
  <si>
    <t>Приобретение подрядчиком</t>
  </si>
  <si>
    <t>Офисная мебель</t>
  </si>
  <si>
    <t>Стол туалетный с зеркалом  1200х700х1700</t>
  </si>
  <si>
    <t>5.25</t>
  </si>
  <si>
    <t>5.27</t>
  </si>
  <si>
    <t>5.28</t>
  </si>
  <si>
    <t>Диван мягкий кож.зам.</t>
  </si>
  <si>
    <t>5.29</t>
  </si>
  <si>
    <t>Шкаф многофункциональный 915х458х1830</t>
  </si>
  <si>
    <t>5.30</t>
  </si>
  <si>
    <t>Шкаф многофункциональный 600х450х1800</t>
  </si>
  <si>
    <t>7.9</t>
  </si>
  <si>
    <t>Шкаф многофункциональный 1000х450х2000</t>
  </si>
  <si>
    <t>7.4</t>
  </si>
  <si>
    <t>7.5</t>
  </si>
  <si>
    <t>Стул п/мягкий (кож/зам) 400х350х750</t>
  </si>
  <si>
    <t>7.6</t>
  </si>
  <si>
    <t>Стол  1-тумбовый 1100х600х750</t>
  </si>
  <si>
    <t>7.10</t>
  </si>
  <si>
    <t>Холодильник бытовой 278 л.,  167х60х66,1ф. 0,8 кВт тип F15 h=1500</t>
  </si>
  <si>
    <t>7.14</t>
  </si>
  <si>
    <t>Облучатель – рециркулятор бактерицидный закрытого типа, настенный, 160х125х1190, 1ф. 0,06 кВт тип F15 h=2500, выключатель вывести на Н=1700 мм от пола</t>
  </si>
  <si>
    <t>5.13</t>
  </si>
  <si>
    <t>Ковер напольный 3000х4000</t>
  </si>
  <si>
    <t>5.15</t>
  </si>
  <si>
    <t>Музыкальный центр, 1ф. 0,5 кВт тип F15 h=1500</t>
  </si>
  <si>
    <t>5.23</t>
  </si>
  <si>
    <t>5.24</t>
  </si>
  <si>
    <t>ТМЦ (списание)</t>
  </si>
  <si>
    <t>Срок эксплуатации</t>
  </si>
  <si>
    <t>5.26</t>
  </si>
  <si>
    <t>Лампа настольная,  1ф. 0,1 кВт тип F 15 h=1200</t>
  </si>
  <si>
    <t>7.7</t>
  </si>
  <si>
    <t>5.4</t>
  </si>
  <si>
    <t>Фен электрический, 1ф. 0,25 кВт тип F15 h=1200</t>
  </si>
  <si>
    <t>5.33</t>
  </si>
  <si>
    <t>Фен электрический с настенным креплением, 1ф. 0,25 кВт тип F15 h=1200</t>
  </si>
  <si>
    <t>5.32</t>
  </si>
  <si>
    <t>Зеркало настенное с подсветкой  700х700, 1ф. 0,1 кВт , тип F 15 h=1200</t>
  </si>
  <si>
    <t>Светильник диагностический галогеновый передвижной 1ф. 0,1 кВт тип F15 H=1500</t>
  </si>
  <si>
    <t>7.11</t>
  </si>
  <si>
    <t>7.12</t>
  </si>
  <si>
    <t>Весы электронные медицинские до 200 кг., 550х400х135,1ф. 0,02 кВт тип F15 h=400</t>
  </si>
  <si>
    <t>7.13</t>
  </si>
  <si>
    <t>Корзина педальная, метал.</t>
  </si>
  <si>
    <t>Приобретение ОС по бюджету</t>
  </si>
  <si>
    <t>Прочие ОС</t>
  </si>
  <si>
    <t>Массажный стол</t>
  </si>
  <si>
    <t>Перегородки (ширма медицинская)</t>
  </si>
  <si>
    <t>Стоимость строительства здания без ТХ</t>
  </si>
  <si>
    <t>Полезная площадь адм.блока</t>
  </si>
  <si>
    <t>Стоимость 1кв.м. строит-ва</t>
  </si>
  <si>
    <t>Полезная площадь масссажного кабинета</t>
  </si>
  <si>
    <t>Стоимость строит-ва гостиницы, без ТХ</t>
  </si>
  <si>
    <t>Сводный расчет оплаты за аренду банкоматов и мультикасс</t>
  </si>
  <si>
    <t>Наименование статьи</t>
  </si>
  <si>
    <t>Стоимость в месяц, тенге</t>
  </si>
  <si>
    <t>Арендная плата согласно Правил  расчета ставки арендной платы при передаче нежилых помещений в имущественный наем (аренду), утвержденных Правлением АОО «Назарбаев Интеллектуальные школы» (банкомат)</t>
  </si>
  <si>
    <t>Арендная плата согласно Правил  расчета ставки арендной платы при передаче нежилых помещений в имущественный наем (аренду), утвержденных Правлением АОО «Назарбаев Интеллектуальные школы»(мультикасса)</t>
  </si>
  <si>
    <t>*Коммунальные услуги арендатором оплачиваются по фактическому потреблению.</t>
  </si>
  <si>
    <t>Заместитель  директора</t>
  </si>
  <si>
    <t>Расчет арендной платы согласно Правил расчета ставки арендной платы при передаче нежилых помещений в имущественный наем (аренду), утвержденных Правлением АОО «Назарбаев Интеллектуальные школы»</t>
  </si>
  <si>
    <t>Ап=СхNam/100*Kn</t>
  </si>
  <si>
    <t>С (остаточная стоимость оборудования по данным бухгалтерского учета)</t>
  </si>
  <si>
    <t>Nam (предельные нормы амортизации)</t>
  </si>
  <si>
    <t>Оборотно-сальдовая ведомость по счету 2420 за Октябрь 2015 г.</t>
  </si>
  <si>
    <t>Выводимые данные:</t>
  </si>
  <si>
    <t>БУ (данные бухгалтерского учета)</t>
  </si>
  <si>
    <t>Отбор:</t>
  </si>
  <si>
    <t>Основные средства.Код КОФ Равно "Столовая"</t>
  </si>
  <si>
    <t>Сальдо на начало периода</t>
  </si>
  <si>
    <t>Обороты за период</t>
  </si>
  <si>
    <t>Сальдо на конец периода</t>
  </si>
  <si>
    <t>Основные средства</t>
  </si>
  <si>
    <t>Дебет</t>
  </si>
  <si>
    <t>Кредит</t>
  </si>
  <si>
    <t>АОО НИШ</t>
  </si>
  <si>
    <t>Инструмент производственный и хозяйственный инвентарь</t>
  </si>
  <si>
    <t>Мебель</t>
  </si>
  <si>
    <t>Рабочее место работника (стол офисный, кресло): Кресло</t>
  </si>
  <si>
    <t>Рабочее место работника (стол офисный, кресло): Стол офисный</t>
  </si>
  <si>
    <t>Скамья для переодевания 1200х300х400</t>
  </si>
  <si>
    <t>Стеллаж 4 полки метал. 1000х600х1800</t>
  </si>
  <si>
    <t>Стеллаж 4 полки метал. 600х600х1800</t>
  </si>
  <si>
    <t>Стеллаж 4 полки метал. 900х600х1800</t>
  </si>
  <si>
    <t>Стеллаж передвижной 4 полки метал. 600х600х1800</t>
  </si>
  <si>
    <t>Стеллаж передвижной 4 полки оцинк./ст. 1000х600х1800</t>
  </si>
  <si>
    <t>Стеллаж передвижной 4 полки оцинк./ст. 900х600х1800</t>
  </si>
  <si>
    <t>Стол 1200х700х850</t>
  </si>
  <si>
    <t>Стол нерж./ст. 1400х700х870</t>
  </si>
  <si>
    <t>Стол с бортиком нерж./ст. 500х700х870</t>
  </si>
  <si>
    <t>Стол туалетный с зеркалом  1200х600х1700</t>
  </si>
  <si>
    <t>Стол-тумба под аппаратуру</t>
  </si>
  <si>
    <t>Шкаф многофункциональный 1000х450х1800</t>
  </si>
  <si>
    <t>Шкаф-стеллаж  900х600х1680</t>
  </si>
  <si>
    <t>Прочией хоз.инвентарь - офисные принадлежности</t>
  </si>
  <si>
    <t>Сейф 600*600*900</t>
  </si>
  <si>
    <t>Машины и оборудование</t>
  </si>
  <si>
    <t>Периферийное устройство и устройство обработки информации</t>
  </si>
  <si>
    <t>Аппарат мнофункциональный - ксерокс-принтер 1ф. 1,5 кВт тип F15 h=1500</t>
  </si>
  <si>
    <t>Прочие машины и оборудование</t>
  </si>
  <si>
    <t>Весы электронные,  350х325х105, 1ф. 0,20 кВт, тип F15 h=1500</t>
  </si>
  <si>
    <t>Холодильник бытовой, 1ф. 0,425 кВт тип F15 h=1900</t>
  </si>
  <si>
    <t>Оборудование и мебель столовой на 200 пасадочных мест АОО НИШ</t>
  </si>
  <si>
    <t>от 28 января 2015 года</t>
  </si>
  <si>
    <t>Описание</t>
  </si>
  <si>
    <t>Кол-во в 1 кабинете</t>
  </si>
  <si>
    <t>Кол-во кабинетов</t>
  </si>
  <si>
    <t>Цена, тенге</t>
  </si>
  <si>
    <t>цена, тенге (альтер)</t>
  </si>
  <si>
    <t>Согласовано на сумму</t>
  </si>
  <si>
    <t>Согласовано в количестве</t>
  </si>
  <si>
    <t>%</t>
  </si>
  <si>
    <t>Принято на сумму</t>
  </si>
  <si>
    <t>Принято в количестве</t>
  </si>
  <si>
    <t>Остаток в количестве</t>
  </si>
  <si>
    <t>СТОЛОВАЯ  НА 200 ПОСАДОЧНЫХ МЕСТ</t>
  </si>
  <si>
    <t>ЗАГРУЗОЧНАЯ</t>
  </si>
  <si>
    <t xml:space="preserve">  1.1</t>
  </si>
  <si>
    <t>Весы платформенные 150 кг/50гр, 355х620х730, 1ф. 0,20 кВт тип F15 h=1500</t>
  </si>
  <si>
    <t xml:space="preserve">  1.2</t>
  </si>
  <si>
    <t>Платформенная тележка 970х600х900</t>
  </si>
  <si>
    <t xml:space="preserve">  1.3</t>
  </si>
  <si>
    <t>Платформенная тележка 670х600х900</t>
  </si>
  <si>
    <t>ПОМЕЩЕНИЕ КЛАДОВЩИКА</t>
  </si>
  <si>
    <t xml:space="preserve">  1.8</t>
  </si>
  <si>
    <t>Сейф  600х600х900</t>
  </si>
  <si>
    <t xml:space="preserve">  1.5</t>
  </si>
  <si>
    <t xml:space="preserve">  1.7</t>
  </si>
  <si>
    <t xml:space="preserve">  1.9</t>
  </si>
  <si>
    <t xml:space="preserve">  1.10</t>
  </si>
  <si>
    <t xml:space="preserve">  1.11</t>
  </si>
  <si>
    <t>КЛАДОВАЯ ОВОЩЕЙ</t>
  </si>
  <si>
    <t xml:space="preserve">  1.12</t>
  </si>
  <si>
    <t>Подтоварник 1200х800х150</t>
  </si>
  <si>
    <t xml:space="preserve">  1.13</t>
  </si>
  <si>
    <t>ОВОЩНОЙ ЦЕХ</t>
  </si>
  <si>
    <t xml:space="preserve">  1.14</t>
  </si>
  <si>
    <t>Холодильник 500л. +1+12° C,  697x620x2028, 1ф. 0,3 кВт тип F15 h=1900</t>
  </si>
  <si>
    <t xml:space="preserve">  1.15</t>
  </si>
  <si>
    <t xml:space="preserve">  1.16</t>
  </si>
  <si>
    <t xml:space="preserve">Картофелечистка, 10 кг загрузка 360х480х800, 3ф. 0,60 кВт тип F15 h=1500, х.в. ∅ 1/2" тип  А1 h= 900, к. ∅ 100мм тип S3 </t>
  </si>
  <si>
    <t xml:space="preserve">  1.17</t>
  </si>
  <si>
    <t xml:space="preserve">  1.18</t>
  </si>
  <si>
    <t xml:space="preserve">  1.19</t>
  </si>
  <si>
    <t>Овощерезка 640х350х360,  1ф. 0,75 кВт тип F15 h=1500</t>
  </si>
  <si>
    <t>в комплекте с набором дисков</t>
  </si>
  <si>
    <t xml:space="preserve">  1.21</t>
  </si>
  <si>
    <t xml:space="preserve">  1.22</t>
  </si>
  <si>
    <t xml:space="preserve">  1.23</t>
  </si>
  <si>
    <t>Весы электронные,  350х325х105, 1ф. 0,20 кВт тип F15 h=1500</t>
  </si>
  <si>
    <t xml:space="preserve">  1.24</t>
  </si>
  <si>
    <t>Электроловушка для насекомых,  195х375, 1ф. 0,1 кВт , тип F15  выключатель  вывести на h=1700 мм от уровня пола</t>
  </si>
  <si>
    <t>МЯСО-РЫБНЫЙ ЦЕХ</t>
  </si>
  <si>
    <t xml:space="preserve">  1.25</t>
  </si>
  <si>
    <t xml:space="preserve">  1.26</t>
  </si>
  <si>
    <t xml:space="preserve">  1.27</t>
  </si>
  <si>
    <t xml:space="preserve">  1.28</t>
  </si>
  <si>
    <t>Стерилизатор для ножей ультрафиолетовый, 520х160х670, 1ф. 0,08 кВт тип F11 h=1800</t>
  </si>
  <si>
    <t xml:space="preserve">  1.29</t>
  </si>
  <si>
    <t xml:space="preserve">  1.30</t>
  </si>
  <si>
    <t xml:space="preserve">Пила для резки костей 510х380х820, 1ф. 0.75 кВт, тип F3 h=1500 </t>
  </si>
  <si>
    <t xml:space="preserve">  1.31</t>
  </si>
  <si>
    <t xml:space="preserve">  1.32</t>
  </si>
  <si>
    <t xml:space="preserve">  1.33</t>
  </si>
  <si>
    <t xml:space="preserve">  1.34</t>
  </si>
  <si>
    <t xml:space="preserve">  1.35</t>
  </si>
  <si>
    <t xml:space="preserve">  1.36</t>
  </si>
  <si>
    <t xml:space="preserve">  1.37</t>
  </si>
  <si>
    <t xml:space="preserve">  1.38</t>
  </si>
  <si>
    <t xml:space="preserve">  1.39</t>
  </si>
  <si>
    <t>Электроловушка для насекомых,  195х375, 1ф. 0,1 кВт, тип F15  выключатель  вывести на h=1700 мм от уровня  пола</t>
  </si>
  <si>
    <t>КАБИНЕТ ЗАВЕДУЮЩЕГО</t>
  </si>
  <si>
    <t xml:space="preserve">  1.40</t>
  </si>
  <si>
    <t xml:space="preserve">  1.41</t>
  </si>
  <si>
    <t xml:space="preserve">  1.42</t>
  </si>
  <si>
    <t xml:space="preserve">  1.44</t>
  </si>
  <si>
    <t xml:space="preserve">  1.46</t>
  </si>
  <si>
    <t>ПОМЕЩЕНИЕ ХРАНЕНИЯ И МОЙКИ ЯИЦ</t>
  </si>
  <si>
    <t xml:space="preserve">  1.47</t>
  </si>
  <si>
    <t xml:space="preserve">  1.53</t>
  </si>
  <si>
    <t>Бактерицидная лампа закрытого типа (рециркулятор) 85х82х650мм, 1ф. 0,036 кВт тип F15 h=2500, выключатель  вывести на h=1700 мм от уровня пола</t>
  </si>
  <si>
    <t xml:space="preserve">  1.48</t>
  </si>
  <si>
    <t xml:space="preserve">  1.49</t>
  </si>
  <si>
    <t xml:space="preserve">  1.50</t>
  </si>
  <si>
    <t xml:space="preserve">  1.51</t>
  </si>
  <si>
    <t xml:space="preserve">  1.52</t>
  </si>
  <si>
    <t>МУЧНОЙ ЦЕХ</t>
  </si>
  <si>
    <t xml:space="preserve">  1.54</t>
  </si>
  <si>
    <t xml:space="preserve">Электроловушка для насекомых,  195х375, 1ф. 0,1 кВт, тип F15  выключатель  вывести на h=1700 мм от уровня пола </t>
  </si>
  <si>
    <t xml:space="preserve">  1.55</t>
  </si>
  <si>
    <t xml:space="preserve">  1.56</t>
  </si>
  <si>
    <t xml:space="preserve">  1.57</t>
  </si>
  <si>
    <t>Стол с мойкой и смесителем  нерж./ст. 1400х700х870, х.г.в. ∅ 3/4" тип А1 h= 440, к. ∅ 50мм  тип S1 h=440</t>
  </si>
  <si>
    <t xml:space="preserve">  1.58</t>
  </si>
  <si>
    <t xml:space="preserve">  1.59</t>
  </si>
  <si>
    <t xml:space="preserve">  1.60</t>
  </si>
  <si>
    <t xml:space="preserve">  1.61</t>
  </si>
  <si>
    <t xml:space="preserve">  1.62</t>
  </si>
  <si>
    <r>
      <t xml:space="preserve">Эл.пароконвекционная печь </t>
    </r>
    <r>
      <rPr>
        <sz val="8"/>
        <color indexed="8"/>
        <rFont val="Times New Roman"/>
        <family val="1"/>
        <charset val="204"/>
      </rPr>
      <t>10GN 1/1,895х845х1080,3ф.17,3 кВт типF11,х.в,∅1/2"тип А31h= 350,к.∅ 50мм тип S27h=50</t>
    </r>
  </si>
  <si>
    <t>с подставкой для пароконвектомата</t>
  </si>
  <si>
    <t xml:space="preserve">  1.64</t>
  </si>
  <si>
    <t xml:space="preserve">  1.65</t>
  </si>
  <si>
    <t>Пристенная вытяжка с лабиринтными фильтрами 1200x1400x400 м.о. 1200 м3/час, тип Е2  h= 1900, лампа подсветки  1 шт./1ф. 0,027 кВт тип F23 h=2600</t>
  </si>
  <si>
    <t xml:space="preserve">  1.66</t>
  </si>
  <si>
    <t xml:space="preserve">  1.67</t>
  </si>
  <si>
    <t xml:space="preserve">  1.68</t>
  </si>
  <si>
    <t>КЛАДОВАЯ СУХИХ ПРОДУКТОВ</t>
  </si>
  <si>
    <t xml:space="preserve">  1.69</t>
  </si>
  <si>
    <t xml:space="preserve">  1.70</t>
  </si>
  <si>
    <t xml:space="preserve">  1.71</t>
  </si>
  <si>
    <t>ХОЛОДИЛЬНЫЕ КАМЕРЫ</t>
  </si>
  <si>
    <t xml:space="preserve">  1.72</t>
  </si>
  <si>
    <t xml:space="preserve">  1.73</t>
  </si>
  <si>
    <t xml:space="preserve">  1.74</t>
  </si>
  <si>
    <t xml:space="preserve">  1.75</t>
  </si>
  <si>
    <t xml:space="preserve">  1.76</t>
  </si>
  <si>
    <t xml:space="preserve">  1.77</t>
  </si>
  <si>
    <t xml:space="preserve">  1.79</t>
  </si>
  <si>
    <t xml:space="preserve">  1.80</t>
  </si>
  <si>
    <t xml:space="preserve">  1.81</t>
  </si>
  <si>
    <t xml:space="preserve">  1.82</t>
  </si>
  <si>
    <t xml:space="preserve">  1.83</t>
  </si>
  <si>
    <t>МОЕЧНАЯ ОБОРОТНОЙ ТАРЫ, ТАРНАЯ</t>
  </si>
  <si>
    <t xml:space="preserve">  1.85</t>
  </si>
  <si>
    <t>МЕСТО МОЙКИ ПИЩЕВЫХ БАЧКОВ</t>
  </si>
  <si>
    <t xml:space="preserve">  1.86</t>
  </si>
  <si>
    <t>МОЕЧНАЯ СТОЛОВОЙ ПОСУДЫ</t>
  </si>
  <si>
    <t xml:space="preserve">  1.87</t>
  </si>
  <si>
    <t xml:space="preserve">  1.88</t>
  </si>
  <si>
    <t>Загрузочно-разгрузочный стол 1200х600х910</t>
  </si>
  <si>
    <t>Стол пристенный Iterma 430 CБ-211/1206</t>
  </si>
  <si>
    <t xml:space="preserve">  1.89</t>
  </si>
  <si>
    <t xml:space="preserve">Посудомоечная машина купольного типа  668х756х1507 3ф. 10,6 кВт тип F29 h=100 г.в. ∅ 1/2", тип А1 h= 300, к. ∅ 50мм тип S27 h=50  </t>
  </si>
  <si>
    <t xml:space="preserve">  1.90</t>
  </si>
  <si>
    <t>Водоумягчитель 190х190х900  1ф. 0,1 кВт тип F29, h=50 х.в. ∅ 1/2" тип А1 h= 550, , к. ∅ 50мм  тип S27 , h=50</t>
  </si>
  <si>
    <t xml:space="preserve">  1.91</t>
  </si>
  <si>
    <t>Пристенная вытяжка с лабиринтными фильтрами 1200x1200x500 м.о. 500 м3/час, тип Е2  h= 1900, лампа подсветки  1 шт./1ф. 0,027 кВт тип F23 h=2600</t>
  </si>
  <si>
    <t xml:space="preserve">  1.92</t>
  </si>
  <si>
    <t>Элемент предварительной мойки со смесителем 1400х800х900,  х.г.в. ∅ 3/4" тип А1 h= 440, к. ∅ 50мм тип S1 h=440</t>
  </si>
  <si>
    <t xml:space="preserve">  1.93</t>
  </si>
  <si>
    <t>Передвижной 60-ти л. бак для пищевых отходов, 450х450х640</t>
  </si>
  <si>
    <t xml:space="preserve">  1.94</t>
  </si>
  <si>
    <t xml:space="preserve">  1.95</t>
  </si>
  <si>
    <t xml:space="preserve">  1.96</t>
  </si>
  <si>
    <t>СЕРВИЗНАЯ</t>
  </si>
  <si>
    <t xml:space="preserve">  1.97</t>
  </si>
  <si>
    <t xml:space="preserve">  1.98</t>
  </si>
  <si>
    <t>ПОМЕЩЕНИЕ ДЛЯ РЕЗКИ ХЛЕБА</t>
  </si>
  <si>
    <t xml:space="preserve">  1.99</t>
  </si>
  <si>
    <t>Электроловушка для насекомых,  195х375, 1ф. 0,1 кВт ,тип F15  выключатель  вывести на h=1700 мм от уровня пола</t>
  </si>
  <si>
    <t xml:space="preserve">  1.100</t>
  </si>
  <si>
    <t xml:space="preserve">  1.101</t>
  </si>
  <si>
    <t xml:space="preserve">  1.102</t>
  </si>
  <si>
    <t xml:space="preserve">  1.103</t>
  </si>
  <si>
    <t>ХОЛОДНЫЙ ЦЕХ</t>
  </si>
  <si>
    <t xml:space="preserve">  1.105</t>
  </si>
  <si>
    <t xml:space="preserve">  1.104</t>
  </si>
  <si>
    <t xml:space="preserve">  1.106</t>
  </si>
  <si>
    <t xml:space="preserve">  1.107</t>
  </si>
  <si>
    <t xml:space="preserve">  1.108</t>
  </si>
  <si>
    <t xml:space="preserve">  1.109</t>
  </si>
  <si>
    <t xml:space="preserve">  1.110</t>
  </si>
  <si>
    <t xml:space="preserve">  1.111</t>
  </si>
  <si>
    <t xml:space="preserve">  1.112</t>
  </si>
  <si>
    <t xml:space="preserve">  1.113</t>
  </si>
  <si>
    <t xml:space="preserve">ГОРЯЧИЙ ЦЕХ </t>
  </si>
  <si>
    <t xml:space="preserve">  1.114</t>
  </si>
  <si>
    <t xml:space="preserve">  1.115</t>
  </si>
  <si>
    <t xml:space="preserve">  1.116</t>
  </si>
  <si>
    <t xml:space="preserve">  1.117</t>
  </si>
  <si>
    <t xml:space="preserve">  1.118</t>
  </si>
  <si>
    <t xml:space="preserve">  1.119</t>
  </si>
  <si>
    <t>В комплекте с набором дисков</t>
  </si>
  <si>
    <t xml:space="preserve">  1.121</t>
  </si>
  <si>
    <t xml:space="preserve">  1.122</t>
  </si>
  <si>
    <t xml:space="preserve">  1.125</t>
  </si>
  <si>
    <t xml:space="preserve">  1.126</t>
  </si>
  <si>
    <t xml:space="preserve">  1.127</t>
  </si>
  <si>
    <t xml:space="preserve">  1.128</t>
  </si>
  <si>
    <t xml:space="preserve">  1.129</t>
  </si>
  <si>
    <t xml:space="preserve">  1.130</t>
  </si>
  <si>
    <t xml:space="preserve">  1.131</t>
  </si>
  <si>
    <t xml:space="preserve">  1.132</t>
  </si>
  <si>
    <t>Электрический  варочный котел 100 л. 800х900х875, 3ф. 15 кВт тип F11 h=50,  х.в. ∅ 1/2" тип А5 h= 50,  к. ∅ 50мм  тип S3 h=0</t>
  </si>
  <si>
    <t xml:space="preserve">  1.133</t>
  </si>
  <si>
    <t xml:space="preserve">  1.134</t>
  </si>
  <si>
    <t xml:space="preserve">Нейтральный элемент в комплекте с базой подставкой, 400х900х875 </t>
  </si>
  <si>
    <t xml:space="preserve">  1.135</t>
  </si>
  <si>
    <t xml:space="preserve">  1.136</t>
  </si>
  <si>
    <t xml:space="preserve">  1.137</t>
  </si>
  <si>
    <t xml:space="preserve">  1.138</t>
  </si>
  <si>
    <t xml:space="preserve">  1.139</t>
  </si>
  <si>
    <t>Стол с мойкой и смесителем  нерж./ст. 1800х700х870, х.г.в. ∅ 3/4" тип А1 h= 440, к. ∅ 50мм  тип S1 h=440</t>
  </si>
  <si>
    <t xml:space="preserve">  1.140</t>
  </si>
  <si>
    <t>Электрическая контактная сковорода гладкая+1/3 ребристая поверхность, 800х900х875, 3ф. 12 кВт тип F11 h=50</t>
  </si>
  <si>
    <t>МОЕЧНАЯ КУХОННОЙ УТВАРИ</t>
  </si>
  <si>
    <t xml:space="preserve">  1.141</t>
  </si>
  <si>
    <t xml:space="preserve">  1.142</t>
  </si>
  <si>
    <t xml:space="preserve">Мойка 1 раковина с душевым элементом (котломойка), 1000х900х860,  х.г.в. ∅ 3/4" тип А1 h= 440, к. ∅ 50мм, тип S1 h=440 </t>
  </si>
  <si>
    <t xml:space="preserve">  1.143</t>
  </si>
  <si>
    <t>РАЗДАТОЧНАЯ</t>
  </si>
  <si>
    <t xml:space="preserve">  1.144</t>
  </si>
  <si>
    <t xml:space="preserve">  1.145</t>
  </si>
  <si>
    <t xml:space="preserve">  1.146</t>
  </si>
  <si>
    <t xml:space="preserve">  1.147</t>
  </si>
  <si>
    <t xml:space="preserve">  1.148</t>
  </si>
  <si>
    <t>Холодильник 1400л. 0+8° C,  1400х804х2020, 1ф. 0,4 кВт тип F15 h=2100</t>
  </si>
  <si>
    <t xml:space="preserve">  1.149</t>
  </si>
  <si>
    <t>ЛИНИЯ РАЗДАТОЧНАЯ САМООБСЛУЖИВАНИЯ</t>
  </si>
  <si>
    <t xml:space="preserve">  1.150</t>
  </si>
  <si>
    <t xml:space="preserve">  1.152</t>
  </si>
  <si>
    <t xml:space="preserve">  1.153</t>
  </si>
  <si>
    <t xml:space="preserve">  1.154</t>
  </si>
  <si>
    <t>Мармит электрический  для первых блюд 1260х835х1150,  3ф. 3 кВт тип F11 h=50, подсветка полки витрины,  1ф. 0,036 кВт тип F26 h=250</t>
  </si>
  <si>
    <t xml:space="preserve">  1.155</t>
  </si>
  <si>
    <t>Мармит электрический  для вторых блюд 1668х835х1150,  1ф. 3,6 кВт тип F11 h=50, подсветка полки витрины,  1ф. 0,036 кВт тип F26 h=250, г.в.  ∅ 1/2" тип А3 h= 450, к. ∅ 50мм тип S27 h=50</t>
  </si>
  <si>
    <t xml:space="preserve">  1.156</t>
  </si>
  <si>
    <t>Холодильный элемент 0+10°C, 1668х835х1150, 1ф. ,  1,4 кВт тип F11 h=50, подсветка полки витрины, 1ф. , 0,036 кВт тип F26 h=250</t>
  </si>
  <si>
    <t xml:space="preserve">  1.157</t>
  </si>
  <si>
    <t>МЕСТО СБОРА ГРЯЗНОЙ ПОСУДЫ</t>
  </si>
  <si>
    <t xml:space="preserve">  1.158</t>
  </si>
  <si>
    <t xml:space="preserve">  1.159</t>
  </si>
  <si>
    <t>ОБЕДЕННЫЙ ЗАЛ СТОЛОВОЙ НА 200 ПОСАДОЧНЫХ МЕСТ</t>
  </si>
  <si>
    <t>ЦОКОЛЬНЫЙ ЭТАЖ. ГАРДЕРОБ ПЕРСОНАЛА СТОЛОВОЙ</t>
  </si>
  <si>
    <t xml:space="preserve">  1.163</t>
  </si>
  <si>
    <t xml:space="preserve">  1.160</t>
  </si>
  <si>
    <t xml:space="preserve">6-х местный комплект обеденной мебели: Стол обеденный на 6 мест
</t>
  </si>
  <si>
    <t xml:space="preserve">  1.161</t>
  </si>
  <si>
    <t xml:space="preserve">  1.162</t>
  </si>
  <si>
    <t xml:space="preserve">  1.165</t>
  </si>
  <si>
    <t xml:space="preserve">  1.164</t>
  </si>
  <si>
    <t>КОМНАТА ПЕРСОНАЛА СТОЛОВОЙ</t>
  </si>
  <si>
    <t xml:space="preserve">  1.166</t>
  </si>
  <si>
    <t xml:space="preserve">  1.169</t>
  </si>
  <si>
    <t xml:space="preserve">  1.170</t>
  </si>
  <si>
    <t>Эл. чайник 1,7л. 1ф. 2,50 кВт тип F15 h=1200</t>
  </si>
  <si>
    <t xml:space="preserve">  1.171</t>
  </si>
  <si>
    <t>КЛАДОВАЯ ЧИСТОГО БЕЛЬЯ</t>
  </si>
  <si>
    <t xml:space="preserve">  1.172</t>
  </si>
  <si>
    <t>КЛАДОВАЯ ГРЯЗНОГО БЕЛЬЯ</t>
  </si>
  <si>
    <t xml:space="preserve">  1.173</t>
  </si>
  <si>
    <t>Передвижная корзина-бак с крышкой для белья</t>
  </si>
  <si>
    <t xml:space="preserve">  1.174</t>
  </si>
  <si>
    <t xml:space="preserve">  1.175</t>
  </si>
  <si>
    <t xml:space="preserve">Комплект кухонной утвари для столовой </t>
  </si>
  <si>
    <t xml:space="preserve">  1.176</t>
  </si>
  <si>
    <t>Комплект столовой посуды для столовой на 200 посадочных мест</t>
  </si>
  <si>
    <t xml:space="preserve">  1.177</t>
  </si>
  <si>
    <t>Подносы пластиковый</t>
  </si>
  <si>
    <t xml:space="preserve">  1.179</t>
  </si>
  <si>
    <t>Диспенсер для дезинфицирующего средства</t>
  </si>
  <si>
    <t xml:space="preserve">  1.186</t>
  </si>
  <si>
    <t>Настенная аптечка со стандартным набором медикаментов</t>
  </si>
  <si>
    <t xml:space="preserve">  1.178</t>
  </si>
  <si>
    <t xml:space="preserve">Корзина педальная, метал. </t>
  </si>
  <si>
    <t xml:space="preserve">  1.180</t>
  </si>
  <si>
    <t xml:space="preserve">  1.181</t>
  </si>
  <si>
    <t xml:space="preserve">Диспенсер для полотенец </t>
  </si>
  <si>
    <t xml:space="preserve">  1.182</t>
  </si>
  <si>
    <t xml:space="preserve">Диспенсер для щеток, стальн. нерж.  </t>
  </si>
  <si>
    <t xml:space="preserve">  1.183</t>
  </si>
  <si>
    <t xml:space="preserve">Диспенсер для туалетной бумаги, металлический </t>
  </si>
  <si>
    <t xml:space="preserve">  1.184</t>
  </si>
  <si>
    <t>Комплект противопожарного инвентаря</t>
  </si>
  <si>
    <t xml:space="preserve">КОФЕ-БАР. Производственная мощность 180 условных блюд/сутки, в час -30. </t>
  </si>
  <si>
    <t xml:space="preserve"> 2.1</t>
  </si>
  <si>
    <t xml:space="preserve"> 2.2</t>
  </si>
  <si>
    <t xml:space="preserve"> 2.3</t>
  </si>
  <si>
    <t xml:space="preserve"> 2.4</t>
  </si>
  <si>
    <t>Кофемашина  2 гр.автомат, 750х500х510,  1ф. 3,2 кВт , тип F8 h=600 х.в. ∅ 3/4" тип А1 h= 440, к. ∅ 50мм , тип S1 h=440</t>
  </si>
  <si>
    <t xml:space="preserve"> 2.5</t>
  </si>
  <si>
    <t>Льдогенератор  345х400х595,  1ф. 0,32 кВт тип F5,  h=50 х.в. ∅ 3/4" тип А1 h= 500, к. ∅ 50мм тип S27 h=50</t>
  </si>
  <si>
    <t xml:space="preserve"> 2.6</t>
  </si>
  <si>
    <t>Барная стаканомоечная машина 430х450х615,1ф.3,23 кВт типF15h=500, х.в.∅ 3/4"тип А1 h= 500, к. ∅ 50мм тип S27h=50</t>
  </si>
  <si>
    <t xml:space="preserve"> 2.7</t>
  </si>
  <si>
    <t>Водоумягчитель 260х500х560  1ф. 0,02 кВт тип F29, h=50 х.в. ∅ 1/2" тип А1 h= 550, , к. ∅ 100мм  тип S27 h=50</t>
  </si>
  <si>
    <t xml:space="preserve"> 2.8</t>
  </si>
  <si>
    <t xml:space="preserve"> 2.9</t>
  </si>
  <si>
    <t xml:space="preserve"> 2.10</t>
  </si>
  <si>
    <t xml:space="preserve"> 2.11</t>
  </si>
  <si>
    <t xml:space="preserve"> 2.12</t>
  </si>
  <si>
    <t xml:space="preserve"> 2.13</t>
  </si>
  <si>
    <t>ПОДСОБНАЯ</t>
  </si>
  <si>
    <t xml:space="preserve"> 2.14</t>
  </si>
  <si>
    <t xml:space="preserve"> 2.15</t>
  </si>
  <si>
    <t xml:space="preserve"> 2.16</t>
  </si>
  <si>
    <t xml:space="preserve"> 2.17</t>
  </si>
  <si>
    <t xml:space="preserve"> 2.18</t>
  </si>
  <si>
    <t>Комплект столовой посуды для кофе-бара</t>
  </si>
  <si>
    <t>начальная стоимость</t>
  </si>
  <si>
    <t>мес амортиз</t>
  </si>
  <si>
    <t>итого остат стоим</t>
  </si>
  <si>
    <t>Помещения столовой (площади по техпаспорту)</t>
  </si>
  <si>
    <t>Наименование помещений</t>
  </si>
  <si>
    <t>Площадь, кв.м.</t>
  </si>
  <si>
    <t>1-ый этаж</t>
  </si>
  <si>
    <t>Обед зал, включая место сбора грязной посуды</t>
  </si>
  <si>
    <t>Санузел для инвалидов</t>
  </si>
  <si>
    <t>Санузел муж</t>
  </si>
  <si>
    <t>Санузел жен</t>
  </si>
  <si>
    <t>умывальная</t>
  </si>
  <si>
    <t xml:space="preserve">умывальная </t>
  </si>
  <si>
    <t>Раздатка</t>
  </si>
  <si>
    <t>место сбора гр посуды</t>
  </si>
  <si>
    <t>Хлеборезка</t>
  </si>
  <si>
    <t xml:space="preserve"> Мочная кух посуды</t>
  </si>
  <si>
    <t>Яичная</t>
  </si>
  <si>
    <t>Кладовая сухих прод</t>
  </si>
  <si>
    <t>Холодильная</t>
  </si>
  <si>
    <t>Комн убор инвентаря</t>
  </si>
  <si>
    <t>Помещ кладовщика</t>
  </si>
  <si>
    <t>Мясо рыбный цех</t>
  </si>
  <si>
    <t>Кабинет завед</t>
  </si>
  <si>
    <t>Комн убор инвентаря кухни</t>
  </si>
  <si>
    <t>Сан узел</t>
  </si>
  <si>
    <t>Лестница</t>
  </si>
  <si>
    <t>2-ой этаж</t>
  </si>
  <si>
    <t>Сервировочная</t>
  </si>
  <si>
    <t>Бар и зона кофе-брейка</t>
  </si>
  <si>
    <t>Гардеробная персонала жен</t>
  </si>
  <si>
    <t>Гардеробная персонала муж</t>
  </si>
  <si>
    <t xml:space="preserve">Комната отдыха перс столовой </t>
  </si>
  <si>
    <t>офис</t>
  </si>
  <si>
    <t>Комната личной гигиены</t>
  </si>
  <si>
    <t>Хоз помещения</t>
  </si>
  <si>
    <t>Кладовая чистого белья</t>
  </si>
  <si>
    <t>Кладовая грязного белья</t>
  </si>
  <si>
    <t>без обед.зала и кофе бара</t>
  </si>
  <si>
    <t>без обед.зала, кофе бара и подвала</t>
  </si>
  <si>
    <t xml:space="preserve">Расшифровка стоимости аренды столовой, согласно Правилам расчета ставки арендной платы </t>
  </si>
  <si>
    <t>при передаче нежилых помещений в имущественный наем (аренду)</t>
  </si>
  <si>
    <t>АП = Рбс х S х Кт х Кк х Кск х Кр х Квд х Копф</t>
  </si>
  <si>
    <t>где:</t>
  </si>
  <si>
    <t xml:space="preserve">АП – </t>
  </si>
  <si>
    <t>ставка арендной платы объектов Арендодателя;</t>
  </si>
  <si>
    <t xml:space="preserve">Рбс – </t>
  </si>
  <si>
    <t>базовая ставка арендной платы за 1 квадратный метр=2,5 МРП или  2,5*1 982 тенге в год;</t>
  </si>
  <si>
    <t xml:space="preserve">S – </t>
  </si>
  <si>
    <t>арендуемая площадь;</t>
  </si>
  <si>
    <t xml:space="preserve">Кт – </t>
  </si>
  <si>
    <t>коэффициент, учитывающий тип строения;</t>
  </si>
  <si>
    <t xml:space="preserve">Кк – </t>
  </si>
  <si>
    <t>коэффициент, учитывающий вид нежилого помещения;</t>
  </si>
  <si>
    <t xml:space="preserve">Кск – </t>
  </si>
  <si>
    <t>коэффициент, учитывающий степень комфортности;</t>
  </si>
  <si>
    <t>Кр –</t>
  </si>
  <si>
    <t xml:space="preserve"> коэффициент, учитывающий территориальное расположение;</t>
  </si>
  <si>
    <t xml:space="preserve">Квд – </t>
  </si>
  <si>
    <t>коэффициент, учитывающий вид деятельности Арендатора;</t>
  </si>
  <si>
    <t>Копф –</t>
  </si>
  <si>
    <t xml:space="preserve"> коэффициент, учитывающий организационно-правовую форму Арендатора.</t>
  </si>
  <si>
    <t>Кт =</t>
  </si>
  <si>
    <t>Кк=</t>
  </si>
  <si>
    <t>Кск=</t>
  </si>
  <si>
    <t>Кр=</t>
  </si>
  <si>
    <t>Квд=</t>
  </si>
  <si>
    <t>Копф=</t>
  </si>
  <si>
    <t>АП=2,5*1982*1536,6*0,8*0,9*1*3*0,5*0,9= 7 400 665</t>
  </si>
  <si>
    <t>площадь столовой с обеденным залом</t>
  </si>
  <si>
    <t>АП =2,5*1982*984,1*0,8*0,9*1*3*0,5*0,9= 4 739 681</t>
  </si>
  <si>
    <t xml:space="preserve">площадь столовой без учета обеденного зала </t>
  </si>
  <si>
    <t>и зоны кофе-брейка</t>
  </si>
  <si>
    <t>АП =2,5*1982*780,2*0,8*0,9*1*3*0,5*0,9=3 757 646</t>
  </si>
  <si>
    <t xml:space="preserve">площадь столовой без учета обеденного зала, </t>
  </si>
  <si>
    <t>зоны кофе-брейка и подвала</t>
  </si>
  <si>
    <t>Расчет ставки годовой аренды при предоставлении в имущественный наем (аренду) оборудования</t>
  </si>
  <si>
    <t>АП=С*Nam/100*Kп, где</t>
  </si>
  <si>
    <t>Ап- ставка арендной платы за оборудование, ТС и другие непотребляемые вещи в год</t>
  </si>
  <si>
    <t>С- остаточная стоимость оборудования по данным бухгалтерского учета</t>
  </si>
  <si>
    <t xml:space="preserve">Nam- предельные нормы амортизации </t>
  </si>
  <si>
    <t>Kп- понижающий коэффициент =0,5</t>
  </si>
  <si>
    <t>Ап= 4 535 052,31*0,5= 2 267 526,16</t>
  </si>
  <si>
    <t>ставка годовой аренды оборудования при предоставлении в наем</t>
  </si>
  <si>
    <t>Ап= 5 906 947*0,5= 2 953 473,5</t>
  </si>
  <si>
    <t>ставка годовой аренды тмц при предоставлении в наем</t>
  </si>
  <si>
    <t>итого в месяц</t>
  </si>
  <si>
    <t>* оборудование принято для расчета за исключением мебели в обеденном зале, ТМЦ- за исключением позиций неиспользуемых в производственом процессе</t>
  </si>
  <si>
    <t>* амортизация оборудования рассчитана в соответствии с положениями гл. "Начисление износа объектов основных средств" Учетной политики АОО "НИШ",</t>
  </si>
  <si>
    <t>где норма амортизации определена в пределах от 8-15%</t>
  </si>
  <si>
    <t xml:space="preserve">Расходы на коммунальные услуги </t>
  </si>
  <si>
    <t>Итого, в год</t>
  </si>
  <si>
    <t>Итого, в месяц</t>
  </si>
  <si>
    <t>Электроэнергия</t>
  </si>
  <si>
    <t>* расходы на коммунальные услуги посчитаны относительно площади, занимаемой столовой без учета площадей обеденного зала, зоны кофе-брейка и подвала</t>
  </si>
  <si>
    <t>итого расходы на аренду столовой, аренду оборудования столовой и коммунальные услуги в год</t>
  </si>
  <si>
    <t>аренда столовой, оборудования столовой и расходы на коммунальные услуги  с учетом площади обеденного зала, в год</t>
  </si>
  <si>
    <t>аренда столовой, оборудования столовой и расходы на коммуннальные услуги без учета обеденного зала и зоны кофе-брейка, в год</t>
  </si>
  <si>
    <t>аренда столовой, оборудования столовой, расходы на коммунальные услуги без учета обеденного зала, зоны кофе-брейка и подвала, в год</t>
  </si>
  <si>
    <t>стоим-ть</t>
  </si>
  <si>
    <t>амортизация,%</t>
  </si>
  <si>
    <t>итого амортизация</t>
  </si>
  <si>
    <t xml:space="preserve">  1.4</t>
  </si>
  <si>
    <t>Рабочее место работника (стол офисный, кресло)</t>
  </si>
  <si>
    <t xml:space="preserve">  1.45</t>
  </si>
  <si>
    <t>хозинвентарь</t>
  </si>
  <si>
    <t>прочие</t>
  </si>
  <si>
    <t>6-и местный комплект обеденной мебели</t>
  </si>
  <si>
    <t>Машины и оборудование торговли и общественного питания</t>
  </si>
  <si>
    <t>4-х местный комплект обеденной мебели</t>
  </si>
  <si>
    <t>Стол- шкаф  1600х700х1000</t>
  </si>
  <si>
    <t xml:space="preserve">  1.167</t>
  </si>
  <si>
    <t>Настенный шкаф с дверьми   1600х300х500</t>
  </si>
  <si>
    <t xml:space="preserve">  1.168</t>
  </si>
  <si>
    <t>Стоим-ть</t>
  </si>
  <si>
    <t>Амортизация,%</t>
  </si>
  <si>
    <t>Итого, амотриз</t>
  </si>
  <si>
    <t>Измерительные и регулирующие приборы и устройства, лабораторное оборудование, в том числе:</t>
  </si>
  <si>
    <t>Цифровое электронное оборудование</t>
  </si>
  <si>
    <t xml:space="preserve">  1.6</t>
  </si>
  <si>
    <t>Компьютер тип 1</t>
  </si>
  <si>
    <t>хозинв</t>
  </si>
  <si>
    <t>Инструменты, производственный и хозяйственный инвентарь и принадлежности</t>
  </si>
  <si>
    <t>обор.общ.пит.</t>
  </si>
  <si>
    <t xml:space="preserve">  1.43</t>
  </si>
  <si>
    <t>Эл.пароконвекционная печь 10 GN 1/1, 895х845х1080, 3ф. 17,3 кВт тип F11 h=50,  х.в. ∅ 1/2" тип А31 h= 350, к. ∅ 50мм тип S27 h=50</t>
  </si>
  <si>
    <t>Подставка д/пароконвект 891х762х803</t>
  </si>
  <si>
    <t xml:space="preserve">  1.63</t>
  </si>
  <si>
    <t>Камера без пэн обогрева и клапана</t>
  </si>
  <si>
    <t xml:space="preserve">  1.78</t>
  </si>
  <si>
    <t>Камера 1960х2560х2200, толщина панелей 80 мм, объем 8,81 м³</t>
  </si>
  <si>
    <t xml:space="preserve">  1.84</t>
  </si>
  <si>
    <t xml:space="preserve">  1.123</t>
  </si>
  <si>
    <t>Подставка д/пароконвектомат 891х762х803</t>
  </si>
  <si>
    <t xml:space="preserve">  1.124</t>
  </si>
  <si>
    <t>Кассовый аппарат,  1ф. 0,7 кВт тип F8 h=700</t>
  </si>
  <si>
    <t xml:space="preserve">  1.151</t>
  </si>
  <si>
    <t>Барная стаканомоечная машина 430х450х615,  1ф. 3,23 кВт тип F15 h=500, х.в. ∅ 3/4" тип А1 h= 500, к. ∅ 50мм тип S27 h=50</t>
  </si>
  <si>
    <t>перенос ст-ти на срок износа</t>
  </si>
  <si>
    <t>примечание</t>
  </si>
  <si>
    <t>5 лет</t>
  </si>
  <si>
    <t xml:space="preserve">Набор дисков </t>
  </si>
  <si>
    <t xml:space="preserve">  1.20</t>
  </si>
  <si>
    <t xml:space="preserve">  1.120</t>
  </si>
  <si>
    <t>1 год</t>
  </si>
  <si>
    <t>Подносы</t>
  </si>
  <si>
    <t>Часы настенные электронные</t>
  </si>
  <si>
    <t xml:space="preserve">  1.185</t>
  </si>
  <si>
    <t>2016 год</t>
  </si>
  <si>
    <t>Расчет для моющих</t>
  </si>
  <si>
    <t>Убираемая площадь (без столовой и подвала)</t>
  </si>
  <si>
    <t>Кол-дней/Месяц</t>
  </si>
  <si>
    <t>Норма на 500 м2, гр</t>
  </si>
  <si>
    <t>Кол-во, гр</t>
  </si>
  <si>
    <t>Вес в упаковке</t>
  </si>
  <si>
    <t>Чистящее средство для раковин</t>
  </si>
  <si>
    <t>Чистящее средство для санузлов</t>
  </si>
  <si>
    <t>Моющее  средство для полов</t>
  </si>
  <si>
    <t>кол-во дней для школы 297, для интерната 254</t>
  </si>
  <si>
    <t>Хозяйственное мыло</t>
  </si>
  <si>
    <t>кол-во спорт.залов*10 мес.* 500 гр./вес упаковки</t>
  </si>
  <si>
    <t>кол-во диспенсеров*4 квартала*12 грамм/вес упаковки</t>
  </si>
  <si>
    <t>Универсальное моющее  средство, 10 л</t>
  </si>
  <si>
    <t>200 детей</t>
  </si>
  <si>
    <t>Зубная паста</t>
  </si>
  <si>
    <t>1 тюб в мес</t>
  </si>
  <si>
    <t>75мл</t>
  </si>
  <si>
    <t>Средство для смягчения воды</t>
  </si>
  <si>
    <t>3316 закладок в год</t>
  </si>
  <si>
    <t>шампунь</t>
  </si>
  <si>
    <t>школы по ул.31 МБ</t>
  </si>
  <si>
    <t>Убираемая площадь (без столовой и подвала) одной школы</t>
  </si>
  <si>
    <t>Кол-дней/Месяц, Конт-т</t>
  </si>
  <si>
    <t>На 2 школы</t>
  </si>
  <si>
    <t>Средство  моющее для поломоющей машины 5л</t>
  </si>
  <si>
    <t>Средство для полов концентрированное 5л</t>
  </si>
  <si>
    <t>универсальное  моющее средство 10 л</t>
  </si>
  <si>
    <t>Средство для общей чистки полов  20 л</t>
  </si>
  <si>
    <t>пополам от площади</t>
  </si>
  <si>
    <t>58мб</t>
  </si>
  <si>
    <t>102фмн</t>
  </si>
  <si>
    <t>Школа по ул. 31 ФМН</t>
  </si>
  <si>
    <t>Моющее  средство для полов, 10 л</t>
  </si>
  <si>
    <t>20л</t>
  </si>
  <si>
    <t>750гр,в граммах</t>
  </si>
  <si>
    <t>Моющее  средство для полов, в т.ч.:</t>
  </si>
  <si>
    <t>Средство для общей чистки полов 750мл</t>
  </si>
  <si>
    <t>универсальное  моющее средство</t>
  </si>
  <si>
    <t>еще можно заказ</t>
  </si>
  <si>
    <t>адм.корпус</t>
  </si>
  <si>
    <t>Площ. Столовой</t>
  </si>
  <si>
    <t>Площ. Подв</t>
  </si>
  <si>
    <t>ФМН 27316,5</t>
  </si>
  <si>
    <t>МБ 27316,5</t>
  </si>
  <si>
    <t>МШ 12100</t>
  </si>
  <si>
    <t>МШ Орынб 22739</t>
  </si>
  <si>
    <t>инт 7275,4</t>
  </si>
  <si>
    <t>адм.корп 16567</t>
  </si>
  <si>
    <t xml:space="preserve">Расчет потребности в  дезинфицирующих средствах </t>
  </si>
  <si>
    <t>Кол-во рабочего раствора на 500 м2 на одну обработку  (замачивание ветоши)</t>
  </si>
  <si>
    <t>Кол-во рабочего раствора мл/м2 на одну обработку (протирание)</t>
  </si>
  <si>
    <t>Кол-во рабочего раствора мл/м2 на одну обработку (орошение</t>
  </si>
  <si>
    <t>ШКОЛА</t>
  </si>
  <si>
    <t>ОБЩЕЖИТИЕ</t>
  </si>
  <si>
    <t>Ориент. кол-во раз в году</t>
  </si>
  <si>
    <t>Кол-во ед. сантехники</t>
  </si>
  <si>
    <t>Кол-во кв.м всего</t>
  </si>
  <si>
    <t>Кол-во раствора, мл</t>
  </si>
  <si>
    <t>Кол-во таблеток для  раствора (1 табл на 10 литров воды), шт*</t>
  </si>
  <si>
    <t>Кол-во банок дезсредства (300 шт в банке)</t>
  </si>
  <si>
    <t>Поверхности в помещениях, жесткая мебель</t>
  </si>
  <si>
    <t>Санузлы</t>
  </si>
  <si>
    <t>Сантехническое оборудование (раковины, унитазы - по 1 м2)</t>
  </si>
  <si>
    <t>Сантехническое оборудование (душевые кабины - 6 м2)</t>
  </si>
  <si>
    <t xml:space="preserve">Уборочный инвентарь </t>
  </si>
  <si>
    <t>Обработка школы и общежития при генеральной уборке</t>
  </si>
  <si>
    <t>ШКОЛА по ул.31</t>
  </si>
  <si>
    <t>ШКОЛА МШ</t>
  </si>
  <si>
    <t>ШКОЛА Орынб</t>
  </si>
  <si>
    <t>2.07.04</t>
  </si>
  <si>
    <t>Расчет расходов на обслуживание зданий и сооружений на 2015 год</t>
  </si>
  <si>
    <t>Обслуживание и ремонт прачечного оборудования (спальный корпус)</t>
  </si>
  <si>
    <t>стиральная машина 11 кг -2шт, стиральная машина 5,5 кг-1шт, сушильный барабан 11 кг-1шт, сушильный барабан 5,5 кг-1 шт, каток гладильный -1шт</t>
  </si>
  <si>
    <t>Профилактические испытания электроустановок (спальный корпус)</t>
  </si>
  <si>
    <t>замер сопротивления изоляции электропроводок, измерение сопротивления "петли-фаза-нуль", металлосвязка, заземляющих устройств, молниезащиты, проверка работы автоматических выключателей</t>
  </si>
  <si>
    <t>Обслуживание лифтов (спальный корпус)</t>
  </si>
  <si>
    <t>обслуживание 1 пассажирского, 1 грузового лифта в спальном корпусе</t>
  </si>
  <si>
    <t>Обслуживание приточных установок(спальный корпус)</t>
  </si>
  <si>
    <t>Обслуживание приточных вентиляционных установок</t>
  </si>
  <si>
    <t>Услуги ассенизаторской машины (комплекс по ул. 31)</t>
  </si>
  <si>
    <t>Ас машина, 5 кубов, откачка 2 раза в неделю</t>
  </si>
  <si>
    <t>Замена фильтров на приточных установках (школы по ул. 31, ФМН, МБ)</t>
  </si>
  <si>
    <t>Карманный фильтр 592*592, Карманный фильтр 592*287, Карманный фильтр 428*428, Карманный фильтр 428*287, панельный фильтр 572*272, панельный фильтр 712*302</t>
  </si>
  <si>
    <t>Сервисное обслуживание приточных установок (школа ФМН, МБ, адм. корпус по ул. 31)</t>
  </si>
  <si>
    <t>Общий осмотр установок, настройка и проверка всех систем, периодическая чистка воздушных фильтров и их замена, сезонная профилактика оборудования</t>
  </si>
  <si>
    <t>Профилактические испытания электроустановок (школа ФМН, МБпо ул. 31)</t>
  </si>
  <si>
    <t>(замер сопротивления изоляции электропроводок, измерение сопротивления "петли-фаза-нуль", металлосвязи, заземление устройств, молниезащиты, проверка работы автоматических выключателей)</t>
  </si>
  <si>
    <t>Обслуживание лифтов</t>
  </si>
  <si>
    <t>Обслуживание 2 пассажирских и 4х грузовых лифтов(школа ФМН и МБ по ул.31)</t>
  </si>
  <si>
    <t>Обслуживание 4 пассажирских (адм. корпус по ул.31)</t>
  </si>
  <si>
    <t>обслуживание лифтов</t>
  </si>
  <si>
    <t>Подключение к системе дистанционного контроля за системой вентиляции (школа ФМН и МБ по ул.31)</t>
  </si>
  <si>
    <t>Станция оператора с лицензионной Windows 7 PRO, монитором 24, блоком бесперебойного питания, программного обеспеченияMaster Scada, коммунатор на 8 портов, кабель FTP 5е, монтажные материалы, подключение к системе диспетчеризации, программирование SCADA системы</t>
  </si>
  <si>
    <t>Промывка теплообменников (школа ФМН и МБ по ул.31)</t>
  </si>
  <si>
    <t>сервисное обслуживание теплообменников</t>
  </si>
  <si>
    <t>Сервисное обслуживание оборудования котельной по ул. 31</t>
  </si>
  <si>
    <t>Ежемесячная ревизия основногооборудования котельной (котлоагрегаты, жидкотопливные горелки, расширительные баки, насосы, хиводоподготовка) и вспомогательного оборудования котельной (топливные емкости, насосная, топливоподачи, дымовые трубы и т.д.)</t>
  </si>
  <si>
    <t>Обслуживание канализационной насосной станции по ул. 31</t>
  </si>
  <si>
    <t>система автоматики КНС</t>
  </si>
  <si>
    <t>Пусконаладочные работы на приточных установках системы VTS-4 (школа по ул. Туркестан 2/1)</t>
  </si>
  <si>
    <t>переустановка программного обеспечения модуля контролера</t>
  </si>
  <si>
    <t>Сервисное обслуживание приточных установок системы VTS-4 (школа по ул. Туркестан 2/1)</t>
  </si>
  <si>
    <t>внешний осмотр, проверка правильности размещения, проверка затяжных крепежных болтов и т.д.</t>
  </si>
  <si>
    <t>Замена комплекта фильтров на приточных установках системы VTS-4 (школа по ул. Туркестан 2/1)</t>
  </si>
  <si>
    <t>Замена фильтров на приточных установках</t>
  </si>
  <si>
    <t>Подготовка к отопительному сезону (школа по ул. Туркестан 2/1)</t>
  </si>
  <si>
    <t>включает опрессовку, промывку оборудования, устранение выявленных неисправностей и т.д.</t>
  </si>
  <si>
    <t>Обслуживание 1 пассажирского и 2х грузовых лифтов (школа по ул. Туркестан 2/1)</t>
  </si>
  <si>
    <t>Расчет расходов на посадку цветов</t>
  </si>
  <si>
    <t>Рассада однолетних цветов</t>
  </si>
  <si>
    <t>приобретение рассады однолетних цветов</t>
  </si>
  <si>
    <t>на 2017-2018 гг</t>
  </si>
  <si>
    <t>"Утверждено"</t>
  </si>
  <si>
    <t xml:space="preserve">Правление АОО "Назарбаев </t>
  </si>
  <si>
    <t xml:space="preserve">Интеллектуальные школы" </t>
  </si>
  <si>
    <t>№_____ от "____" __________ 2016 года</t>
  </si>
  <si>
    <t>Прейскурант цен</t>
  </si>
  <si>
    <t>по услугам, оказываемым ЧУ "Дирекция строящихся НИШ" на  2017-2018 гг</t>
  </si>
  <si>
    <t>Стоимость на 2017 год в месяц, тенге с НДС</t>
  </si>
  <si>
    <t>Стоимость на 2018 год в месяц, тенге с НДС</t>
  </si>
  <si>
    <t>Услуги по сервисному и хозяйственно-бытовому обслуживанию объектов АОО в г. Астана (здания по ул. 31, д. 35, 37, 35А)</t>
  </si>
  <si>
    <t>1 кв.м.</t>
  </si>
  <si>
    <t>Услуги по сервисному и хозяйственно-бытовому обслуживанию объектов АОО в г. Астана (здания по ул. 31, д. 37А)</t>
  </si>
  <si>
    <t>Услуги по сервисному и хозяйственно-бытовому обслуживанию объекта АОО в г. Астана (здание по ул. Туркестан, д.2)</t>
  </si>
  <si>
    <t>Услуги по сервисному и хозяйственно-бытовому обслуживанию объекта АОО в г. Астана (здание по ул. Орынбор)</t>
  </si>
  <si>
    <t>Калькуляция стоимости услуг по сервисному и хозяйственно-бытовому обслуживанию Объектов,                                                                                                              расположенным по адресу: г. Астана, ул. 31, д. 35, 35а, 37, 37а</t>
  </si>
  <si>
    <t>на 2017-2018 год</t>
  </si>
  <si>
    <t>ИТОГО без НДС (январь-декабрь 2016года)</t>
  </si>
  <si>
    <t>Сумма расходов на Интеллектуальной школы в г.Астана (ФМН) (январь-декабрь 2016 года)</t>
  </si>
  <si>
    <t>Сумма расходов на Интеллектуальной школы в г.Астана (МБ) (январь-декабрь 2016 года)</t>
  </si>
  <si>
    <t>на ремонт</t>
  </si>
  <si>
    <t>Шланг гибкий в стальной оплетке, гайка из нержавеющей стали, вкрутки - латунь, 80см</t>
  </si>
  <si>
    <t>Лампа энергосберегающая  Е27, 11Вт</t>
  </si>
  <si>
    <t>Набор инструментов электрика</t>
  </si>
  <si>
    <t>Светодиодная панель круглая  накладная</t>
  </si>
  <si>
    <t>Светодиодная панель круглая  накладная 460 SRP-18, d=225 18W/1440 Lm 6400K</t>
  </si>
  <si>
    <t>Светодиодный светильник</t>
  </si>
  <si>
    <t>Светодиодный светильник офисный встраиваемый 595*595*40, 25-50Вт,3500-6000Лм, 5000К</t>
  </si>
  <si>
    <t>моток</t>
  </si>
  <si>
    <t xml:space="preserve">Шуруповерт аккумуляторный </t>
  </si>
  <si>
    <t>Набор насадок для шуруповерта</t>
  </si>
  <si>
    <t>Набор восьмигранников</t>
  </si>
  <si>
    <t>Арматура сливного бочка с нижней подводкой</t>
  </si>
  <si>
    <t xml:space="preserve">Вантус </t>
  </si>
  <si>
    <t>Крепление для унитазов</t>
  </si>
  <si>
    <t xml:space="preserve"> Кран шаровый приварной</t>
  </si>
  <si>
    <t xml:space="preserve"> Краны шаровый приварной  d=65 </t>
  </si>
  <si>
    <t xml:space="preserve"> Краны шаровый приварной d=50</t>
  </si>
  <si>
    <t xml:space="preserve"> Краны шаровый приварной d=40</t>
  </si>
  <si>
    <t xml:space="preserve"> Кран шаровый с внутренней резьбой</t>
  </si>
  <si>
    <t xml:space="preserve"> Кран шаровый с внутренней резьбой d=20</t>
  </si>
  <si>
    <t xml:space="preserve"> Кран шаровый с внутренней резьбой d=32</t>
  </si>
  <si>
    <t xml:space="preserve"> Кран шаровый с внутренней резьбой d=40</t>
  </si>
  <si>
    <t xml:space="preserve"> Кран шаровый с внутренней резьбой d=50</t>
  </si>
  <si>
    <t>Паяльник утюг для пластиковых труб</t>
  </si>
  <si>
    <t xml:space="preserve">труба канализационная </t>
  </si>
  <si>
    <t>труба канализационная  d=50</t>
  </si>
  <si>
    <t xml:space="preserve">отводы </t>
  </si>
  <si>
    <t>отводы канализационные d=50</t>
  </si>
  <si>
    <t>тройники</t>
  </si>
  <si>
    <t>тройники канализационные d=50</t>
  </si>
  <si>
    <t xml:space="preserve">Утеплитель  </t>
  </si>
  <si>
    <r>
      <t>Утеплитель</t>
    </r>
    <r>
      <rPr>
        <i/>
        <sz val="10"/>
        <rFont val="Times New Roman"/>
        <family val="1"/>
        <charset val="204"/>
      </rPr>
      <t xml:space="preserve"> (в рулоне  15 кв.м.)</t>
    </r>
  </si>
  <si>
    <t>Шурупы для ГКЛ 3,5*26</t>
  </si>
  <si>
    <t>профиль 60*27</t>
  </si>
  <si>
    <t>профиль 28*27</t>
  </si>
  <si>
    <t>лента армирующая</t>
  </si>
  <si>
    <t>Пенопласт</t>
  </si>
  <si>
    <t>Пенопласт (1*2) толщина 50 мм</t>
  </si>
  <si>
    <t>листы</t>
  </si>
  <si>
    <t>№п/п</t>
  </si>
  <si>
    <t>Наименование ОС</t>
  </si>
  <si>
    <t>010003382</t>
  </si>
  <si>
    <t>010003383</t>
  </si>
  <si>
    <t>010003384</t>
  </si>
  <si>
    <t>010003385</t>
  </si>
  <si>
    <t>010003386</t>
  </si>
  <si>
    <t>010003199</t>
  </si>
  <si>
    <t>Комплект меб. рук. № 3 (стол угл. типа;для засед. на 12 крес; кресло на рол): Кресло для заседаний</t>
  </si>
  <si>
    <t>010007390</t>
  </si>
  <si>
    <t>010007391</t>
  </si>
  <si>
    <t>Стоимость первоначальная</t>
  </si>
  <si>
    <t>Сумма для аренды платежей</t>
  </si>
  <si>
    <t>Площадь, м2</t>
  </si>
  <si>
    <t xml:space="preserve">№ помещений по техпаспорту </t>
  </si>
  <si>
    <t>Кт (коэффициент, учитывающий тип строения)</t>
  </si>
  <si>
    <t>Кк (коэффициент, учитывающий вид нежилого помещения)</t>
  </si>
  <si>
    <t>Кр (коэффициент, учитывающий территориальное расположение)</t>
  </si>
  <si>
    <t>Квд (коэффициент, учитывающий вид деятельности Арендатора)</t>
  </si>
  <si>
    <t>Копф (коэффициент, учитывающий организационно-правовую форму Арендатора)</t>
  </si>
  <si>
    <t>Расчет арендной  платы согласно Правил расчета ставки арендной платы при передаче нежилых помещений в имущественный наем (аренду), утвержденных Правлением АОО «Назарбаев Интеллектуальные школы» на 14.09.2026 год.</t>
  </si>
  <si>
    <t>по состоянию на 14.09.2026 г.</t>
  </si>
  <si>
    <t>Перечень и стоимость оборудования столовой на 14.09.2026г.</t>
  </si>
  <si>
    <t>2416</t>
  </si>
  <si>
    <t>2417</t>
  </si>
  <si>
    <t>2418</t>
  </si>
  <si>
    <t xml:space="preserve">Мойка 1 раковина с душевым элементом (котломойка), 1000х900х860, </t>
  </si>
  <si>
    <t xml:space="preserve">Телевизор ЖК в комплекте с настенным креплением 1ф. 1,2 кВт тип F15 h=1800 </t>
  </si>
  <si>
    <t xml:space="preserve">Комплект меб. рук № 2 (стол угл. тип; для зас. на 8 мес; крес. на рол): Кресло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</si>
</sst>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9">
    <numFmt numFmtId="43" formatCode="_-* #,##0.00_-;\-* #,##0.00_-;_-* &quot;-&quot;??_-;_-@_-"/>
    <numFmt numFmtId="164" formatCode="&quot;Т&quot;#,##0;\-&quot;Т&quot;#,##0"/>
    <numFmt numFmtId="165" formatCode="&quot;Т&quot;#,##0;[Red]\-&quot;Т&quot;#,##0"/>
    <numFmt numFmtId="166" formatCode="_-&quot;Т&quot;* #,##0_-;\-&quot;Т&quot;* #,##0_-;_-&quot;Т&quot;* &quot;-&quot;_-;_-@_-"/>
    <numFmt numFmtId="167" formatCode="_-&quot;Т&quot;* #,##0.00_-;\-&quot;Т&quot;* #,##0.00_-;_-&quot;Т&quot;* &quot;-&quot;??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_-* #,##0.00_р_._-;\-* #,##0.00_р_._-;_-* &quot;-&quot;??_р_._-;_-@_-"/>
    <numFmt numFmtId="171" formatCode="#,##0.000"/>
    <numFmt numFmtId="172" formatCode="#,##0.0"/>
    <numFmt numFmtId="173" formatCode="000"/>
    <numFmt numFmtId="174" formatCode="00"/>
    <numFmt numFmtId="175" formatCode="#,##0_ ;\-#,##0\ "/>
    <numFmt numFmtId="176" formatCode="_-* #,##0_р_._-;\-* #,##0_р_._-;_-* &quot;-&quot;??_р_._-;_-@_-"/>
    <numFmt numFmtId="177" formatCode="_-[$€-2]\ * #,##0.00_-;\-[$€-2]\ * #,##0.00_-;_-[$€-2]\ * &quot;-&quot;??_-;_-@_-"/>
    <numFmt numFmtId="178" formatCode="_-* #,##0.0_р_._-;\-* #,##0.0_р_._-;_-* &quot;-&quot;??_р_._-;_-@_-"/>
    <numFmt numFmtId="179" formatCode="0.0"/>
    <numFmt numFmtId="180" formatCode="_-* #,##0.000_р_._-;\-* #,##0.000_р_._-;_-* &quot;-&quot;??_р_._-;_-@_-"/>
    <numFmt numFmtId="181" formatCode="#,##0.00_ ;\-#,##0.00\ "/>
    <numFmt numFmtId="182" formatCode="#,##0.0_ ;\-#,##0.0\ "/>
    <numFmt numFmtId="183" formatCode="_-[$€-2]\ * #,##0.00_-;\-[$€-2]\ * #,##0.00_-;_-[$€-2]\ * \-??_-;_-@_-"/>
    <numFmt numFmtId="184" formatCode="_(* #,##0.00_);_(* \(#,##0.00\);_(* &quot;-&quot;??_);_(@_)"/>
    <numFmt numFmtId="185" formatCode="#,##0_ ;[Red]\-#,##0\ "/>
    <numFmt numFmtId="186" formatCode="_-* #,##0.000000_р_._-;\-* #,##0.000000_р_._-;_-* &quot;-&quot;??????_р_._-;_-@_-"/>
    <numFmt numFmtId="187" formatCode="_-* #,##0.0000_р_._-;\-* #,##0.0000_р_._-;_-* &quot;-&quot;??_р_._-;_-@_-"/>
    <numFmt numFmtId="188" formatCode="_-* #,##0.00000_р_._-;\-* #,##0.00000_р_._-;_-* &quot;-&quot;??_р_._-;_-@_-"/>
    <numFmt numFmtId="189" formatCode="0.000"/>
    <numFmt numFmtId="190" formatCode="#,##0.00_р_."/>
    <numFmt numFmtId="191" formatCode="\ #,##0.00&quot;р. &quot;;\-#,##0.00&quot;р. &quot;;&quot; -&quot;#&quot;р. &quot;;@\ "/>
    <numFmt numFmtId="192" formatCode="#,##0.00_ ;[Red]\-#,##0.00\ "/>
    <numFmt numFmtId="193" formatCode="_-* #,##0.0000_р_._-;\-* #,##0.0000_р_._-;_-* &quot;-&quot;????_р_._-;_-@_-"/>
    <numFmt numFmtId="194" formatCode="_-* #,##0.0000_-;\-* #,##0.0000_-;_-* &quot;-&quot;????_-;_-@_-"/>
    <numFmt numFmtId="195" formatCode="_-* #,##0.000_р_._-;\-* #,##0.000_р_._-;_-* &quot;-&quot;_р_._-;_-@_-"/>
    <numFmt numFmtId="196" formatCode="_-* #,##0.00_р_._-;\-* #,##0.00_р_._-;_-* &quot;-&quot;_р_._-;_-@_-"/>
    <numFmt numFmtId="197" formatCode="_(* #,##0.0_);_(* \(#,##0.00\);_(* &quot;-&quot;??_);_(@_)"/>
    <numFmt numFmtId="198" formatCode="General_)"/>
    <numFmt numFmtId="199" formatCode="#,##0.0_);\(#,##0.0\)"/>
    <numFmt numFmtId="200" formatCode="#,##0.000_);\(#,##0.000\)"/>
    <numFmt numFmtId="201" formatCode="&quot;$&quot;#,\);\(&quot;$&quot;#,##0\)"/>
    <numFmt numFmtId="202" formatCode="\60\4\7\:"/>
    <numFmt numFmtId="203" formatCode="&quot;$&quot;#,##0_);[Red]\(&quot;$&quot;#,##0\)"/>
    <numFmt numFmtId="204" formatCode="[$-409]d\-mmm\-yy;@"/>
    <numFmt numFmtId="205" formatCode="[$-409]d\-mmm;@"/>
    <numFmt numFmtId="206" formatCode="_(#,##0;\(#,##0\);\-;&quot;  &quot;@"/>
    <numFmt numFmtId="207" formatCode="#,##0.00&quot; $&quot;;[Red]\-#,##0.00&quot; $&quot;"/>
    <numFmt numFmtId="208" formatCode="_(* #,##0,_);_(* \(#,##0,\);_(* &quot;-&quot;_);_(@_)"/>
    <numFmt numFmtId="209" formatCode="0%_);\(0%\)"/>
    <numFmt numFmtId="210" formatCode="&quot;$&quot;#,\);\(&quot;$&quot;#,\)"/>
    <numFmt numFmtId="211" formatCode="\+0.0;\-0.0"/>
    <numFmt numFmtId="212" formatCode="\+0.0%;\-0.0%"/>
    <numFmt numFmtId="213" formatCode="&quot;$&quot;#,##0"/>
    <numFmt numFmtId="214" formatCode="&quot;$&quot;#,;\(&quot;$&quot;#,\)"/>
    <numFmt numFmtId="215" formatCode="_(&quot;$&quot;* #,##0.00_);_(&quot;$&quot;* \(#,##0.00\);_(&quot;$&quot;* &quot;-&quot;??_);_(@_)"/>
    <numFmt numFmtId="216" formatCode="_-* #,##0.0_-;\-* #,##0.0_-;_-* &quot;-&quot;?_-;_-@_-"/>
    <numFmt numFmtId="217" formatCode="#,##0.00000_ ;\-#,##0.00000\ "/>
    <numFmt numFmtId="218" formatCode="0.0000"/>
    <numFmt numFmtId="219" formatCode="000000000"/>
    <numFmt numFmtId="220" formatCode="_-* #,##0.00\ _₽_-;\-* #,##0.00\ _₽_-;_-* &quot;-&quot;??\ _₽_-;_-@_-"/>
    <numFmt numFmtId="221" formatCode="000000"/>
  </numFmts>
  <fonts count="27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8"/>
      <name val="Tahoma"/>
      <family val="2"/>
      <charset val="204"/>
    </font>
    <font>
      <sz val="9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0"/>
      <name val="Arial"/>
      <family val="2"/>
      <charset val="204"/>
    </font>
    <font>
      <sz val="12"/>
      <name val="KZ Times New Roman"/>
      <family val="1"/>
      <charset val="204"/>
    </font>
    <font>
      <sz val="11"/>
      <color indexed="8"/>
      <name val="Calibri"/>
      <family val="2"/>
    </font>
    <font>
      <b/>
      <sz val="12"/>
      <name val="KZ Times New Roman"/>
      <family val="1"/>
      <charset val="204"/>
    </font>
    <font>
      <sz val="10"/>
      <name val="Arial"/>
      <family val="2"/>
    </font>
    <font>
      <sz val="12"/>
      <color indexed="9"/>
      <name val="KZ 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10"/>
      <name val="Helv"/>
      <charset val="204"/>
    </font>
    <font>
      <b/>
      <sz val="8"/>
      <name val="Tahoma"/>
      <family val="2"/>
      <charset val="204"/>
    </font>
    <font>
      <sz val="10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i/>
      <sz val="11"/>
      <color indexed="8"/>
      <name val="Times New Roman"/>
      <family val="1"/>
      <charset val="204"/>
    </font>
    <font>
      <sz val="10"/>
      <color indexed="8"/>
      <name val="Tahoma"/>
      <family val="2"/>
      <charset val="204"/>
    </font>
    <font>
      <sz val="12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8"/>
      <name val="Arial"/>
      <family val="2"/>
    </font>
    <font>
      <b/>
      <sz val="8"/>
      <name val="Times New Roman"/>
      <family val="1"/>
      <charset val="204"/>
    </font>
    <font>
      <sz val="10"/>
      <name val="MS Sans Serif"/>
      <family val="2"/>
      <charset val="204"/>
    </font>
    <font>
      <b/>
      <i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Calibri"/>
      <family val="2"/>
      <charset val="204"/>
    </font>
    <font>
      <i/>
      <sz val="10"/>
      <name val="Calibri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i/>
      <sz val="12"/>
      <color indexed="8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name val="Tahoma"/>
      <family val="2"/>
      <charset val="204"/>
    </font>
    <font>
      <b/>
      <sz val="12"/>
      <color indexed="9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10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1"/>
      <color indexed="9"/>
      <name val="Times New Roman"/>
      <family val="1"/>
      <charset val="204"/>
    </font>
    <font>
      <b/>
      <sz val="10"/>
      <color indexed="9"/>
      <name val="Times New Roman"/>
      <family val="1"/>
      <charset val="204"/>
    </font>
    <font>
      <b/>
      <sz val="11"/>
      <color indexed="9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i/>
      <sz val="11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1"/>
      <color indexed="8"/>
      <name val="Calibri"/>
      <family val="2"/>
    </font>
    <font>
      <b/>
      <u/>
      <sz val="12"/>
      <color indexed="60"/>
      <name val="Times New Roman"/>
      <family val="1"/>
      <charset val="204"/>
    </font>
    <font>
      <sz val="12"/>
      <name val="Arial"/>
      <family val="2"/>
    </font>
    <font>
      <b/>
      <vertAlign val="superscript"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i/>
      <sz val="10"/>
      <color indexed="8"/>
      <name val="Tahoma"/>
      <family val="2"/>
      <charset val="204"/>
    </font>
    <font>
      <b/>
      <i/>
      <sz val="10"/>
      <color indexed="8"/>
      <name val="Times New Roman"/>
      <family val="1"/>
      <charset val="204"/>
    </font>
    <font>
      <sz val="8"/>
      <color indexed="8"/>
      <name val="Tahoma"/>
      <family val="2"/>
      <charset val="204"/>
    </font>
    <font>
      <b/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i/>
      <sz val="11"/>
      <name val="Times New Roman"/>
      <family val="1"/>
    </font>
    <font>
      <b/>
      <i/>
      <sz val="10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4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1"/>
      <color rgb="FFFF0000"/>
      <name val="Calibri"/>
      <family val="2"/>
      <charset val="204"/>
    </font>
    <font>
      <i/>
      <sz val="12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9"/>
      <color theme="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rgb="FFFF0000"/>
      <name val="Times New Roman"/>
      <family val="1"/>
      <charset val="204"/>
    </font>
    <font>
      <i/>
      <sz val="7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8"/>
      <color theme="1"/>
      <name val="Sylfae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theme="1"/>
      <name val="Sylfaen"/>
      <family val="1"/>
      <charset val="204"/>
    </font>
    <font>
      <b/>
      <sz val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b/>
      <i/>
      <sz val="10"/>
      <color theme="1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i/>
      <sz val="12"/>
      <name val="KZ Times New Roman"/>
      <family val="1"/>
      <charset val="204"/>
    </font>
    <font>
      <sz val="10"/>
      <name val="KZ Times New Roman"/>
      <family val="1"/>
      <charset val="204"/>
    </font>
    <font>
      <b/>
      <sz val="14"/>
      <name val="KZ Times New Roman"/>
      <family val="1"/>
      <charset val="204"/>
    </font>
    <font>
      <b/>
      <sz val="11"/>
      <color theme="5" tint="-0.2499465926084170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name val="Times New Roman Cyr"/>
      <family val="1"/>
      <charset val="204"/>
    </font>
    <font>
      <sz val="12"/>
      <color rgb="FF9C0006"/>
      <name val="Times New Roman"/>
      <family val="2"/>
      <charset val="204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2"/>
      <color theme="1"/>
      <name val="Times New Roman"/>
      <family val="2"/>
      <charset val="204"/>
    </font>
    <font>
      <sz val="11"/>
      <color rgb="FF000000"/>
      <name val="Calibri"/>
      <family val="2"/>
    </font>
    <font>
      <b/>
      <i/>
      <sz val="11"/>
      <color theme="0"/>
      <name val="Times New Roman"/>
      <family val="1"/>
      <charset val="204"/>
    </font>
    <font>
      <b/>
      <sz val="10"/>
      <name val="Times New Roman"/>
      <family val="1"/>
    </font>
    <font>
      <sz val="11"/>
      <color rgb="FFFF0000"/>
      <name val="Calibri"/>
      <family val="2"/>
      <charset val="204"/>
      <scheme val="minor"/>
    </font>
    <font>
      <b/>
      <i/>
      <sz val="11"/>
      <color rgb="FFFF0000"/>
      <name val="Times New Roman"/>
      <family val="1"/>
      <charset val="204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9C65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sz val="14"/>
      <color theme="1"/>
      <name val="Calibri"/>
      <family val="2"/>
      <charset val="204"/>
      <scheme val="minor"/>
    </font>
    <font>
      <sz val="14"/>
      <color theme="0"/>
      <name val="Calibri"/>
      <family val="2"/>
      <charset val="204"/>
      <scheme val="minor"/>
    </font>
    <font>
      <b/>
      <sz val="10"/>
      <color theme="1"/>
      <name val="Times New Roman"/>
      <family val="1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0"/>
      <color indexed="8"/>
      <name val="MS Sans Serif"/>
      <family val="2"/>
      <charset val="204"/>
    </font>
    <font>
      <sz val="10"/>
      <name val="Helv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9"/>
      <name val="Times New Roman"/>
      <family val="1"/>
    </font>
    <font>
      <sz val="10"/>
      <name val="Courier"/>
      <family val="1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8"/>
      <name val="Arial"/>
      <family val="2"/>
    </font>
    <font>
      <sz val="12"/>
      <name val="Tms Rmn"/>
      <charset val="204"/>
    </font>
    <font>
      <i/>
      <sz val="11"/>
      <color indexed="23"/>
      <name val="Calibri"/>
      <family val="2"/>
      <charset val="204"/>
    </font>
    <font>
      <sz val="10"/>
      <color indexed="62"/>
      <name val="Arial"/>
      <family val="2"/>
    </font>
    <font>
      <sz val="11"/>
      <color indexed="17"/>
      <name val="Calibri"/>
      <family val="2"/>
      <charset val="204"/>
    </font>
    <font>
      <b/>
      <sz val="12"/>
      <name val="Arial"/>
      <family val="2"/>
    </font>
    <font>
      <b/>
      <sz val="10"/>
      <name val="Arial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1"/>
      <color indexed="62"/>
      <name val="Calibri"/>
      <family val="2"/>
      <charset val="204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sz val="11"/>
      <name val="Times New Roman"/>
      <family val="1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8"/>
      <name val="Helv"/>
      <charset val="204"/>
    </font>
    <font>
      <b/>
      <sz val="11"/>
      <color indexed="63"/>
      <name val="Calibri"/>
      <family val="2"/>
      <charset val="204"/>
    </font>
    <font>
      <sz val="12"/>
      <color indexed="8"/>
      <name val="Times New Roman"/>
      <family val="1"/>
    </font>
    <font>
      <sz val="8"/>
      <name val="Helv"/>
    </font>
    <font>
      <sz val="10"/>
      <name val="NTHelvetica/Cyrillic"/>
      <charset val="204"/>
    </font>
    <font>
      <b/>
      <sz val="10"/>
      <color indexed="10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b/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9"/>
      <color rgb="FFFF0000"/>
      <name val="Times New Roman"/>
      <family val="1"/>
      <charset val="204"/>
    </font>
    <font>
      <sz val="10"/>
      <color rgb="FF3C4649"/>
      <name val="Times New Roman"/>
      <family val="1"/>
      <charset val="204"/>
    </font>
    <font>
      <sz val="8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8"/>
      <color theme="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b/>
      <sz val="9"/>
      <color theme="1"/>
      <name val="Times New Roman"/>
      <family val="1"/>
    </font>
    <font>
      <i/>
      <sz val="12"/>
      <color theme="1"/>
      <name val="Times New Roman"/>
      <family val="1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theme="1"/>
      <name val="Times New Roman"/>
      <family val="1"/>
    </font>
    <font>
      <sz val="9"/>
      <color indexed="8"/>
      <name val="Times New Roman"/>
      <family val="1"/>
    </font>
    <font>
      <b/>
      <sz val="9"/>
      <name val="Times New Roman"/>
      <family val="1"/>
    </font>
    <font>
      <sz val="8"/>
      <color indexed="8"/>
      <name val="Arial"/>
      <family val="2"/>
    </font>
    <font>
      <sz val="8"/>
      <name val="Arial"/>
      <family val="2"/>
      <charset val="204"/>
    </font>
    <font>
      <b/>
      <sz val="10"/>
      <color rgb="FF003F2F"/>
      <name val="Arial"/>
      <family val="2"/>
    </font>
    <font>
      <b/>
      <sz val="8"/>
      <color rgb="FF003F2F"/>
      <name val="Arial"/>
      <family val="2"/>
    </font>
    <font>
      <b/>
      <sz val="9"/>
      <color rgb="FF003F2F"/>
      <name val="Arial"/>
      <family val="2"/>
    </font>
    <font>
      <b/>
      <sz val="8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8"/>
      <name val="Arial"/>
      <family val="2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7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4ECC5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rgb="FFFBF9EC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D6E5CB"/>
      </patternFill>
    </fill>
    <fill>
      <patternFill patternType="solid">
        <fgColor rgb="FFE4F0DD"/>
      </patternFill>
    </fill>
    <fill>
      <patternFill patternType="solid">
        <fgColor rgb="FFF0F6EF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99FF"/>
        <bgColor indexed="64"/>
      </patternFill>
    </fill>
  </fills>
  <borders count="87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/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  <border>
      <left style="thin">
        <color rgb="FFB3AC86"/>
      </left>
      <right style="thin">
        <color rgb="FFB3AC86"/>
      </right>
      <top style="thin">
        <color rgb="FFB3AC86"/>
      </top>
      <bottom/>
      <diagonal/>
    </border>
    <border>
      <left style="thin">
        <color rgb="FFB3AC86"/>
      </left>
      <right style="thin">
        <color rgb="FFB3AC86"/>
      </right>
      <top/>
      <bottom/>
      <diagonal/>
    </border>
    <border>
      <left style="thin">
        <color rgb="FFB3AC86"/>
      </left>
      <right style="thin">
        <color rgb="FFB3AC86"/>
      </right>
      <top/>
      <bottom style="thin">
        <color rgb="FFB3AC86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rgb="FFACC8BD"/>
      </left>
      <right/>
      <top style="thin">
        <color rgb="FFACC8BD"/>
      </top>
      <bottom style="thin">
        <color rgb="FFACC8BD"/>
      </bottom>
      <diagonal/>
    </border>
    <border>
      <left style="thin">
        <color rgb="FFB3AC86"/>
      </left>
      <right/>
      <top style="thin">
        <color rgb="FFB3AC86"/>
      </top>
      <bottom style="thin">
        <color rgb="FFB3AC86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/>
      <diagonal/>
    </border>
  </borders>
  <cellStyleXfs count="4847">
    <xf numFmtId="0" fontId="0" fillId="0" borderId="0"/>
    <xf numFmtId="0" fontId="16" fillId="0" borderId="0" applyNumberFormat="0" applyFill="0" applyBorder="0" applyAlignment="0" applyProtection="0"/>
    <xf numFmtId="0" fontId="17" fillId="0" borderId="1">
      <alignment horizontal="left" vertical="top" wrapText="1"/>
    </xf>
    <xf numFmtId="173" fontId="17" fillId="0" borderId="1">
      <alignment horizontal="center" vertical="top" wrapText="1"/>
    </xf>
    <xf numFmtId="0" fontId="18" fillId="0" borderId="0"/>
    <xf numFmtId="0" fontId="19" fillId="0" borderId="1">
      <alignment horizontal="left" vertical="top" wrapText="1"/>
    </xf>
    <xf numFmtId="0" fontId="16" fillId="0" borderId="0">
      <alignment horizontal="center"/>
    </xf>
    <xf numFmtId="0" fontId="12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183" fontId="99" fillId="0" borderId="0"/>
    <xf numFmtId="1" fontId="21" fillId="0" borderId="0">
      <alignment horizontal="center" vertical="top" wrapText="1"/>
    </xf>
    <xf numFmtId="174" fontId="21" fillId="0" borderId="1">
      <alignment horizontal="center" vertical="top" wrapText="1"/>
    </xf>
    <xf numFmtId="173" fontId="21" fillId="0" borderId="1">
      <alignment horizontal="center" vertical="top" wrapText="1"/>
    </xf>
    <xf numFmtId="173" fontId="21" fillId="0" borderId="1">
      <alignment horizontal="center" vertical="top" wrapText="1"/>
    </xf>
    <xf numFmtId="0" fontId="100" fillId="0" borderId="0" applyNumberFormat="0" applyFill="0" applyBorder="0" applyAlignment="0" applyProtection="0"/>
    <xf numFmtId="169" fontId="73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46" fillId="0" borderId="0"/>
    <xf numFmtId="0" fontId="46" fillId="0" borderId="0"/>
    <xf numFmtId="177" fontId="22" fillId="0" borderId="0"/>
    <xf numFmtId="177" fontId="22" fillId="0" borderId="0"/>
    <xf numFmtId="0" fontId="16" fillId="0" borderId="0"/>
    <xf numFmtId="0" fontId="16" fillId="0" borderId="0"/>
    <xf numFmtId="0" fontId="16" fillId="0" borderId="0"/>
    <xf numFmtId="177" fontId="48" fillId="0" borderId="0"/>
    <xf numFmtId="0" fontId="22" fillId="0" borderId="0"/>
    <xf numFmtId="0" fontId="16" fillId="0" borderId="0"/>
    <xf numFmtId="0" fontId="97" fillId="0" borderId="0"/>
    <xf numFmtId="0" fontId="102" fillId="0" borderId="0"/>
    <xf numFmtId="0" fontId="22" fillId="0" borderId="0"/>
    <xf numFmtId="0" fontId="97" fillId="0" borderId="0"/>
    <xf numFmtId="177" fontId="97" fillId="0" borderId="0"/>
    <xf numFmtId="0" fontId="97" fillId="0" borderId="0"/>
    <xf numFmtId="0" fontId="97" fillId="0" borderId="0"/>
    <xf numFmtId="0" fontId="97" fillId="0" borderId="0"/>
    <xf numFmtId="0" fontId="1" fillId="0" borderId="0"/>
    <xf numFmtId="0" fontId="1" fillId="0" borderId="0"/>
    <xf numFmtId="0" fontId="16" fillId="0" borderId="0"/>
    <xf numFmtId="0" fontId="22" fillId="0" borderId="0"/>
    <xf numFmtId="0" fontId="23" fillId="0" borderId="0"/>
    <xf numFmtId="0" fontId="4" fillId="0" borderId="0"/>
    <xf numFmtId="177" fontId="24" fillId="0" borderId="0">
      <alignment horizontal="left"/>
    </xf>
    <xf numFmtId="0" fontId="22" fillId="0" borderId="0"/>
    <xf numFmtId="177" fontId="48" fillId="0" borderId="0"/>
    <xf numFmtId="177" fontId="48" fillId="0" borderId="0"/>
    <xf numFmtId="177" fontId="48" fillId="0" borderId="0"/>
    <xf numFmtId="177" fontId="48" fillId="0" borderId="0"/>
    <xf numFmtId="177" fontId="48" fillId="0" borderId="0"/>
    <xf numFmtId="177" fontId="48" fillId="0" borderId="0"/>
    <xf numFmtId="177" fontId="48" fillId="0" borderId="0"/>
    <xf numFmtId="177" fontId="48" fillId="0" borderId="0"/>
    <xf numFmtId="177" fontId="48" fillId="0" borderId="0"/>
    <xf numFmtId="177" fontId="48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177" fontId="48" fillId="0" borderId="0"/>
    <xf numFmtId="177" fontId="48" fillId="0" borderId="0"/>
    <xf numFmtId="0" fontId="97" fillId="0" borderId="0"/>
    <xf numFmtId="0" fontId="97" fillId="0" borderId="0"/>
    <xf numFmtId="0" fontId="22" fillId="0" borderId="0"/>
    <xf numFmtId="0" fontId="97" fillId="0" borderId="0"/>
    <xf numFmtId="0" fontId="97" fillId="0" borderId="0"/>
    <xf numFmtId="0" fontId="97" fillId="0" borderId="0"/>
    <xf numFmtId="0" fontId="46" fillId="0" borderId="0"/>
    <xf numFmtId="0" fontId="97" fillId="0" borderId="0"/>
    <xf numFmtId="0" fontId="103" fillId="0" borderId="0"/>
    <xf numFmtId="0" fontId="22" fillId="0" borderId="0"/>
    <xf numFmtId="0" fontId="97" fillId="0" borderId="0"/>
    <xf numFmtId="0" fontId="97" fillId="0" borderId="0"/>
    <xf numFmtId="0" fontId="1" fillId="0" borderId="0"/>
    <xf numFmtId="0" fontId="23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97" fillId="0" borderId="0"/>
    <xf numFmtId="0" fontId="97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97" fillId="0" borderId="0"/>
    <xf numFmtId="0" fontId="97" fillId="0" borderId="0"/>
    <xf numFmtId="0" fontId="18" fillId="0" borderId="0"/>
    <xf numFmtId="0" fontId="22" fillId="0" borderId="0"/>
    <xf numFmtId="0" fontId="22" fillId="0" borderId="0"/>
    <xf numFmtId="0" fontId="22" fillId="0" borderId="0"/>
    <xf numFmtId="0" fontId="97" fillId="0" borderId="0"/>
    <xf numFmtId="0" fontId="97" fillId="0" borderId="0"/>
    <xf numFmtId="0" fontId="16" fillId="0" borderId="0"/>
    <xf numFmtId="0" fontId="97" fillId="0" borderId="0"/>
    <xf numFmtId="0" fontId="97" fillId="0" borderId="0"/>
    <xf numFmtId="0" fontId="23" fillId="0" borderId="0"/>
    <xf numFmtId="0" fontId="104" fillId="0" borderId="0"/>
    <xf numFmtId="0" fontId="97" fillId="0" borderId="0"/>
    <xf numFmtId="0" fontId="16" fillId="0" borderId="0"/>
    <xf numFmtId="0" fontId="97" fillId="0" borderId="0"/>
    <xf numFmtId="0" fontId="16" fillId="0" borderId="0"/>
    <xf numFmtId="0" fontId="97" fillId="0" borderId="0"/>
    <xf numFmtId="0" fontId="16" fillId="0" borderId="0"/>
    <xf numFmtId="0" fontId="46" fillId="0" borderId="0"/>
    <xf numFmtId="9" fontId="22" fillId="0" borderId="0" applyFont="0" applyFill="0" applyBorder="0" applyAlignment="0" applyProtection="0"/>
    <xf numFmtId="0" fontId="25" fillId="0" borderId="0"/>
    <xf numFmtId="0" fontId="25" fillId="0" borderId="0"/>
    <xf numFmtId="170" fontId="45" fillId="0" borderId="0" applyFont="0" applyFill="0" applyBorder="0" applyAlignment="0" applyProtection="0"/>
    <xf numFmtId="170" fontId="10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9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04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41" fillId="0" borderId="0" applyFont="0" applyFill="0" applyBorder="0" applyAlignment="0" applyProtection="0"/>
    <xf numFmtId="184" fontId="16" fillId="0" borderId="0" applyFont="0" applyFill="0" applyBorder="0" applyAlignment="0" applyProtection="0"/>
    <xf numFmtId="170" fontId="46" fillId="0" borderId="0" applyFont="0" applyFill="0" applyBorder="0" applyAlignment="0" applyProtection="0"/>
    <xf numFmtId="164" fontId="97" fillId="0" borderId="0" applyFont="0" applyFill="0" applyBorder="0" applyAlignment="0" applyProtection="0"/>
    <xf numFmtId="164" fontId="97" fillId="0" borderId="0" applyFont="0" applyFill="0" applyBorder="0" applyAlignment="0" applyProtection="0"/>
    <xf numFmtId="170" fontId="2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22" fillId="0" borderId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4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36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3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5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97" fillId="37" borderId="0" applyNumberFormat="0" applyBorder="0" applyAlignment="0" applyProtection="0"/>
    <xf numFmtId="0" fontId="17" fillId="0" borderId="1">
      <alignment horizontal="left" vertical="top" wrapText="1"/>
    </xf>
    <xf numFmtId="1" fontId="17" fillId="0" borderId="0">
      <alignment horizontal="center" vertical="top" wrapText="1"/>
    </xf>
    <xf numFmtId="174" fontId="17" fillId="0" borderId="22">
      <alignment horizontal="center" vertical="top" wrapText="1"/>
    </xf>
    <xf numFmtId="173" fontId="17" fillId="0" borderId="22">
      <alignment horizontal="center" vertical="top" wrapText="1"/>
    </xf>
    <xf numFmtId="173" fontId="17" fillId="0" borderId="22">
      <alignment horizontal="center" vertical="top" wrapText="1"/>
    </xf>
    <xf numFmtId="173" fontId="17" fillId="0" borderId="22">
      <alignment horizontal="center" vertical="top" wrapText="1"/>
    </xf>
    <xf numFmtId="1" fontId="17" fillId="0" borderId="0">
      <alignment horizontal="center" vertical="top" wrapText="1"/>
    </xf>
    <xf numFmtId="174" fontId="17" fillId="0" borderId="0">
      <alignment horizontal="center" vertical="top" wrapText="1"/>
    </xf>
    <xf numFmtId="173" fontId="17" fillId="0" borderId="0">
      <alignment horizontal="center" vertical="top" wrapText="1"/>
    </xf>
    <xf numFmtId="173" fontId="17" fillId="0" borderId="0">
      <alignment horizontal="center" vertical="top" wrapText="1"/>
    </xf>
    <xf numFmtId="173" fontId="17" fillId="0" borderId="0">
      <alignment horizontal="center" vertical="top" wrapText="1"/>
    </xf>
    <xf numFmtId="0" fontId="17" fillId="0" borderId="0">
      <alignment horizontal="left" vertical="top" wrapText="1"/>
    </xf>
    <xf numFmtId="0" fontId="17" fillId="0" borderId="0">
      <alignment horizontal="left" vertical="top" wrapText="1"/>
    </xf>
    <xf numFmtId="0" fontId="18" fillId="0" borderId="0"/>
    <xf numFmtId="0" fontId="1" fillId="38" borderId="0" applyNumberFormat="0" applyBorder="0" applyAlignment="0" applyProtection="0"/>
    <xf numFmtId="0" fontId="17" fillId="0" borderId="22">
      <alignment horizontal="left" vertical="top"/>
    </xf>
    <xf numFmtId="0" fontId="17" fillId="0" borderId="24">
      <alignment horizontal="center" vertical="top" wrapText="1"/>
    </xf>
    <xf numFmtId="0" fontId="17" fillId="0" borderId="0">
      <alignment horizontal="left" vertical="top"/>
    </xf>
    <xf numFmtId="0" fontId="17" fillId="0" borderId="3">
      <alignment horizontal="left" vertical="top"/>
    </xf>
    <xf numFmtId="0" fontId="166" fillId="4" borderId="22">
      <alignment horizontal="left" vertical="top" wrapText="1"/>
    </xf>
    <xf numFmtId="0" fontId="166" fillId="4" borderId="22">
      <alignment horizontal="left" vertical="top" wrapText="1"/>
    </xf>
    <xf numFmtId="0" fontId="19" fillId="0" borderId="22">
      <alignment horizontal="left" vertical="top" wrapText="1"/>
    </xf>
    <xf numFmtId="0" fontId="17" fillId="0" borderId="22">
      <alignment horizontal="left" vertical="top" wrapText="1"/>
    </xf>
    <xf numFmtId="0" fontId="167" fillId="0" borderId="22">
      <alignment horizontal="left" vertical="top" wrapText="1"/>
    </xf>
    <xf numFmtId="0" fontId="16" fillId="0" borderId="0">
      <alignment horizontal="center"/>
    </xf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168" fillId="0" borderId="0">
      <alignment horizontal="center" vertical="top"/>
    </xf>
    <xf numFmtId="0" fontId="17" fillId="0" borderId="48">
      <alignment horizontal="center" textRotation="90" wrapText="1"/>
    </xf>
    <xf numFmtId="0" fontId="17" fillId="0" borderId="48">
      <alignment horizontal="center" vertical="center" wrapText="1"/>
    </xf>
    <xf numFmtId="174" fontId="21" fillId="0" borderId="22">
      <alignment horizontal="center" vertical="top" wrapText="1"/>
    </xf>
    <xf numFmtId="173" fontId="21" fillId="0" borderId="22">
      <alignment horizontal="center" vertical="top" wrapText="1"/>
    </xf>
    <xf numFmtId="173" fontId="21" fillId="0" borderId="22">
      <alignment horizontal="center" vertical="top" wrapText="1"/>
    </xf>
    <xf numFmtId="173" fontId="21" fillId="0" borderId="22">
      <alignment horizontal="center" vertical="top" wrapText="1"/>
    </xf>
    <xf numFmtId="0" fontId="110" fillId="19" borderId="2"/>
    <xf numFmtId="0" fontId="117" fillId="0" borderId="2"/>
    <xf numFmtId="0" fontId="110" fillId="0" borderId="2">
      <alignment horizontal="center" vertical="center"/>
    </xf>
    <xf numFmtId="0" fontId="110" fillId="0" borderId="0" applyFill="0" applyBorder="0">
      <alignment horizontal="center" vertical="center" wrapText="1"/>
    </xf>
    <xf numFmtId="0" fontId="169" fillId="0" borderId="49"/>
    <xf numFmtId="0" fontId="170" fillId="0" borderId="0" applyNumberFormat="0" applyFill="0" applyBorder="0" applyAlignment="0" applyProtection="0">
      <alignment vertical="top"/>
      <protection locked="0"/>
    </xf>
    <xf numFmtId="173" fontId="171" fillId="0" borderId="0" applyFill="0" applyBorder="0" applyAlignment="0" applyProtection="0"/>
    <xf numFmtId="191" fontId="171" fillId="0" borderId="0" applyFill="0" applyBorder="0" applyAlignment="0" applyProtection="0"/>
    <xf numFmtId="191" fontId="171" fillId="0" borderId="0" applyFill="0" applyBorder="0" applyAlignment="0" applyProtection="0"/>
    <xf numFmtId="191" fontId="171" fillId="0" borderId="0" applyFill="0" applyBorder="0" applyAlignment="0" applyProtection="0"/>
    <xf numFmtId="191" fontId="171" fillId="0" borderId="0" applyFill="0" applyBorder="0" applyAlignment="0" applyProtection="0"/>
    <xf numFmtId="191" fontId="171" fillId="0" borderId="0" applyFill="0" applyBorder="0" applyAlignment="0" applyProtection="0"/>
    <xf numFmtId="0" fontId="97" fillId="0" borderId="0"/>
    <xf numFmtId="0" fontId="97" fillId="0" borderId="0"/>
    <xf numFmtId="0" fontId="16" fillId="0" borderId="0"/>
    <xf numFmtId="0" fontId="16" fillId="0" borderId="0"/>
    <xf numFmtId="0" fontId="16" fillId="0" borderId="0"/>
    <xf numFmtId="0" fontId="24" fillId="0" borderId="0">
      <alignment horizontal="left"/>
    </xf>
    <xf numFmtId="177" fontId="97" fillId="0" borderId="0"/>
    <xf numFmtId="0" fontId="22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48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22" fillId="0" borderId="0"/>
    <xf numFmtId="0" fontId="18" fillId="0" borderId="0"/>
    <xf numFmtId="177" fontId="22" fillId="0" borderId="0"/>
    <xf numFmtId="177" fontId="97" fillId="0" borderId="0"/>
    <xf numFmtId="0" fontId="97" fillId="0" borderId="0"/>
    <xf numFmtId="0" fontId="22" fillId="0" borderId="0"/>
    <xf numFmtId="177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16" fillId="0" borderId="0"/>
    <xf numFmtId="0" fontId="97" fillId="0" borderId="0"/>
    <xf numFmtId="0" fontId="97" fillId="0" borderId="0"/>
    <xf numFmtId="0" fontId="97" fillId="0" borderId="0"/>
    <xf numFmtId="177" fontId="22" fillId="0" borderId="0"/>
    <xf numFmtId="0" fontId="22" fillId="0" borderId="0"/>
    <xf numFmtId="0" fontId="23" fillId="0" borderId="0"/>
    <xf numFmtId="0" fontId="23" fillId="0" borderId="0"/>
    <xf numFmtId="0" fontId="4" fillId="0" borderId="0"/>
    <xf numFmtId="0" fontId="22" fillId="0" borderId="0"/>
    <xf numFmtId="0" fontId="97" fillId="0" borderId="0"/>
    <xf numFmtId="0" fontId="23" fillId="0" borderId="0"/>
    <xf numFmtId="0" fontId="104" fillId="0" borderId="0"/>
    <xf numFmtId="0" fontId="10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97" fillId="0" borderId="0"/>
    <xf numFmtId="0" fontId="16" fillId="0" borderId="0"/>
    <xf numFmtId="0" fontId="1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48" fillId="0" borderId="0"/>
    <xf numFmtId="0" fontId="48" fillId="0" borderId="0"/>
    <xf numFmtId="0" fontId="24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24" fillId="0" borderId="0"/>
    <xf numFmtId="0" fontId="24" fillId="0" borderId="0"/>
    <xf numFmtId="0" fontId="103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23" fillId="0" borderId="0"/>
    <xf numFmtId="0" fontId="97" fillId="0" borderId="0"/>
    <xf numFmtId="0" fontId="103" fillId="0" borderId="0"/>
    <xf numFmtId="0" fontId="103" fillId="0" borderId="0"/>
    <xf numFmtId="0" fontId="97" fillId="0" borderId="0"/>
    <xf numFmtId="0" fontId="97" fillId="0" borderId="0"/>
    <xf numFmtId="0" fontId="24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174" fontId="97" fillId="0" borderId="0"/>
    <xf numFmtId="177" fontId="97" fillId="0" borderId="0"/>
    <xf numFmtId="0" fontId="97" fillId="0" borderId="0"/>
    <xf numFmtId="0" fontId="97" fillId="0" borderId="0"/>
    <xf numFmtId="0" fontId="97" fillId="0" borderId="0"/>
    <xf numFmtId="0" fontId="104" fillId="0" borderId="0"/>
    <xf numFmtId="0" fontId="104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23" fillId="0" borderId="0"/>
    <xf numFmtId="0" fontId="97" fillId="0" borderId="0"/>
    <xf numFmtId="0" fontId="24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177" fontId="97" fillId="0" borderId="0"/>
    <xf numFmtId="177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177" fontId="97" fillId="0" borderId="0"/>
    <xf numFmtId="177" fontId="97" fillId="0" borderId="0"/>
    <xf numFmtId="0" fontId="97" fillId="0" borderId="0"/>
    <xf numFmtId="192" fontId="97" fillId="0" borderId="0"/>
    <xf numFmtId="192" fontId="97" fillId="0" borderId="0"/>
    <xf numFmtId="0" fontId="97" fillId="0" borderId="0"/>
    <xf numFmtId="0" fontId="97" fillId="0" borderId="0"/>
    <xf numFmtId="0" fontId="104" fillId="0" borderId="0"/>
    <xf numFmtId="0" fontId="18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104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24" fillId="0" borderId="0"/>
    <xf numFmtId="0" fontId="97" fillId="0" borderId="0"/>
    <xf numFmtId="0" fontId="102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16" fillId="0" borderId="0"/>
    <xf numFmtId="0" fontId="16" fillId="0" borderId="0"/>
    <xf numFmtId="0" fontId="172" fillId="24" borderId="0" applyNumberFormat="0" applyBorder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39" borderId="50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39" borderId="50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39" borderId="50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39" borderId="50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39" borderId="50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39" borderId="50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0" fontId="97" fillId="25" borderId="47" applyNumberFormat="0" applyFont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02" fillId="0" borderId="0" applyFont="0" applyFill="0" applyBorder="0" applyAlignment="0" applyProtection="0"/>
    <xf numFmtId="0" fontId="25" fillId="0" borderId="0"/>
    <xf numFmtId="0" fontId="25" fillId="0" borderId="0"/>
    <xf numFmtId="170" fontId="24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97" fillId="0" borderId="0" applyFont="0" applyFill="0" applyBorder="0" applyAlignment="0" applyProtection="0"/>
    <xf numFmtId="170" fontId="97" fillId="0" borderId="0" applyFont="0" applyFill="0" applyBorder="0" applyAlignment="0" applyProtection="0"/>
    <xf numFmtId="170" fontId="97" fillId="0" borderId="0" applyFont="0" applyFill="0" applyBorder="0" applyAlignment="0" applyProtection="0"/>
    <xf numFmtId="170" fontId="97" fillId="0" borderId="0" applyFont="0" applyFill="0" applyBorder="0" applyAlignment="0" applyProtection="0"/>
    <xf numFmtId="170" fontId="9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04" fillId="0" borderId="0" applyFont="0" applyFill="0" applyBorder="0" applyAlignment="0" applyProtection="0"/>
    <xf numFmtId="170" fontId="104" fillId="0" borderId="0" applyFont="0" applyFill="0" applyBorder="0" applyAlignment="0" applyProtection="0"/>
    <xf numFmtId="170" fontId="97" fillId="0" borderId="0" applyFont="0" applyFill="0" applyBorder="0" applyAlignment="0" applyProtection="0"/>
    <xf numFmtId="170" fontId="104" fillId="0" borderId="0" applyFont="0" applyFill="0" applyBorder="0" applyAlignment="0" applyProtection="0"/>
    <xf numFmtId="170" fontId="97" fillId="0" borderId="0" applyFont="0" applyFill="0" applyBorder="0" applyAlignment="0" applyProtection="0"/>
    <xf numFmtId="170" fontId="97" fillId="0" borderId="0" applyFont="0" applyFill="0" applyBorder="0" applyAlignment="0" applyProtection="0"/>
    <xf numFmtId="170" fontId="97" fillId="0" borderId="0" applyFont="0" applyFill="0" applyBorder="0" applyAlignment="0" applyProtection="0"/>
    <xf numFmtId="170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0" fontId="161" fillId="23" borderId="0" applyNumberFormat="0" applyBorder="0" applyAlignment="0" applyProtection="0"/>
    <xf numFmtId="177" fontId="16" fillId="0" borderId="0" applyNumberFormat="0" applyFill="0" applyBorder="0" applyAlignment="0" applyProtection="0"/>
    <xf numFmtId="177" fontId="16" fillId="0" borderId="0" applyNumberFormat="0" applyFill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177" fontId="17" fillId="0" borderId="1">
      <alignment horizontal="left" vertical="top" wrapText="1"/>
    </xf>
    <xf numFmtId="177" fontId="17" fillId="0" borderId="1">
      <alignment horizontal="left" vertical="top" wrapText="1"/>
    </xf>
    <xf numFmtId="0" fontId="17" fillId="0" borderId="1">
      <alignment horizontal="left" vertical="top" wrapText="1"/>
    </xf>
    <xf numFmtId="177" fontId="18" fillId="0" borderId="0"/>
    <xf numFmtId="177" fontId="18" fillId="0" borderId="0"/>
    <xf numFmtId="0" fontId="18" fillId="0" borderId="0"/>
    <xf numFmtId="0" fontId="19" fillId="0" borderId="1">
      <alignment horizontal="left" vertical="top" wrapText="1"/>
    </xf>
    <xf numFmtId="177" fontId="19" fillId="0" borderId="1">
      <alignment horizontal="left" vertical="top" wrapText="1"/>
    </xf>
    <xf numFmtId="0" fontId="19" fillId="0" borderId="1">
      <alignment horizontal="left" vertical="top" wrapText="1"/>
    </xf>
    <xf numFmtId="177" fontId="16" fillId="0" borderId="0">
      <alignment horizontal="center"/>
    </xf>
    <xf numFmtId="177" fontId="16" fillId="0" borderId="0">
      <alignment horizontal="center"/>
    </xf>
    <xf numFmtId="0" fontId="16" fillId="0" borderId="0">
      <alignment horizontal="center"/>
    </xf>
    <xf numFmtId="177" fontId="16" fillId="0" borderId="0"/>
    <xf numFmtId="177" fontId="16" fillId="0" borderId="0"/>
    <xf numFmtId="0" fontId="16" fillId="0" borderId="0"/>
    <xf numFmtId="177" fontId="1" fillId="0" borderId="0"/>
    <xf numFmtId="0" fontId="1" fillId="0" borderId="0"/>
    <xf numFmtId="177" fontId="1" fillId="0" borderId="0"/>
    <xf numFmtId="0" fontId="1" fillId="0" borderId="0"/>
    <xf numFmtId="0" fontId="1" fillId="0" borderId="0"/>
    <xf numFmtId="177" fontId="1" fillId="0" borderId="0"/>
    <xf numFmtId="0" fontId="1" fillId="0" borderId="0"/>
    <xf numFmtId="177" fontId="16" fillId="0" borderId="0"/>
    <xf numFmtId="177" fontId="16" fillId="0" borderId="0"/>
    <xf numFmtId="0" fontId="16" fillId="0" borderId="0"/>
    <xf numFmtId="177" fontId="16" fillId="0" borderId="0"/>
    <xf numFmtId="177" fontId="16" fillId="0" borderId="0"/>
    <xf numFmtId="0" fontId="16" fillId="0" borderId="0"/>
    <xf numFmtId="177" fontId="16" fillId="0" borderId="0"/>
    <xf numFmtId="177" fontId="16" fillId="0" borderId="0"/>
    <xf numFmtId="0" fontId="16" fillId="0" borderId="0"/>
    <xf numFmtId="177" fontId="20" fillId="0" borderId="0"/>
    <xf numFmtId="177" fontId="20" fillId="0" borderId="0"/>
    <xf numFmtId="0" fontId="20" fillId="0" borderId="0"/>
    <xf numFmtId="169" fontId="18" fillId="0" borderId="0" applyFont="0" applyFill="0" applyBorder="0" applyAlignment="0" applyProtection="0"/>
    <xf numFmtId="173" fontId="171" fillId="0" borderId="0" applyFill="0" applyBorder="0" applyAlignment="0" applyProtection="0"/>
    <xf numFmtId="177" fontId="16" fillId="0" borderId="0"/>
    <xf numFmtId="0" fontId="16" fillId="0" borderId="0"/>
    <xf numFmtId="177" fontId="16" fillId="0" borderId="0"/>
    <xf numFmtId="0" fontId="16" fillId="0" borderId="0"/>
    <xf numFmtId="0" fontId="16" fillId="0" borderId="0"/>
    <xf numFmtId="177" fontId="16" fillId="0" borderId="0"/>
    <xf numFmtId="0" fontId="16" fillId="0" borderId="0"/>
    <xf numFmtId="0" fontId="16" fillId="0" borderId="0"/>
    <xf numFmtId="177" fontId="16" fillId="0" borderId="0"/>
    <xf numFmtId="177" fontId="16" fillId="0" borderId="0"/>
    <xf numFmtId="0" fontId="16" fillId="0" borderId="0"/>
    <xf numFmtId="177" fontId="16" fillId="0" borderId="0"/>
    <xf numFmtId="177" fontId="16" fillId="0" borderId="0"/>
    <xf numFmtId="0" fontId="16" fillId="0" borderId="0"/>
    <xf numFmtId="177" fontId="16" fillId="0" borderId="0"/>
    <xf numFmtId="177" fontId="16" fillId="0" borderId="0"/>
    <xf numFmtId="0" fontId="16" fillId="0" borderId="0"/>
    <xf numFmtId="177" fontId="1" fillId="0" borderId="0"/>
    <xf numFmtId="0" fontId="46" fillId="0" borderId="0"/>
    <xf numFmtId="177" fontId="97" fillId="0" borderId="0"/>
    <xf numFmtId="0" fontId="46" fillId="0" borderId="0"/>
    <xf numFmtId="0" fontId="46" fillId="0" borderId="0"/>
    <xf numFmtId="0" fontId="46" fillId="0" borderId="0"/>
    <xf numFmtId="0" fontId="22" fillId="0" borderId="0"/>
    <xf numFmtId="177" fontId="16" fillId="0" borderId="0"/>
    <xf numFmtId="177" fontId="16" fillId="0" borderId="0"/>
    <xf numFmtId="0" fontId="16" fillId="0" borderId="0"/>
    <xf numFmtId="177" fontId="16" fillId="0" borderId="0"/>
    <xf numFmtId="177" fontId="16" fillId="0" borderId="0"/>
    <xf numFmtId="0" fontId="16" fillId="0" borderId="0"/>
    <xf numFmtId="177" fontId="16" fillId="0" borderId="0"/>
    <xf numFmtId="177" fontId="16" fillId="0" borderId="0"/>
    <xf numFmtId="0" fontId="16" fillId="0" borderId="0"/>
    <xf numFmtId="0" fontId="48" fillId="0" borderId="0"/>
    <xf numFmtId="0" fontId="104" fillId="0" borderId="0"/>
    <xf numFmtId="177" fontId="22" fillId="0" borderId="0"/>
    <xf numFmtId="177" fontId="97" fillId="0" borderId="0"/>
    <xf numFmtId="177" fontId="22" fillId="0" borderId="0"/>
    <xf numFmtId="177" fontId="22" fillId="0" borderId="0"/>
    <xf numFmtId="177" fontId="22" fillId="0" borderId="0"/>
    <xf numFmtId="177" fontId="22" fillId="0" borderId="0"/>
    <xf numFmtId="0" fontId="22" fillId="0" borderId="0"/>
    <xf numFmtId="177" fontId="1" fillId="0" borderId="0"/>
    <xf numFmtId="0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177" fontId="16" fillId="0" borderId="0"/>
    <xf numFmtId="0" fontId="16" fillId="0" borderId="0"/>
    <xf numFmtId="0" fontId="16" fillId="0" borderId="0"/>
    <xf numFmtId="177" fontId="16" fillId="0" borderId="0"/>
    <xf numFmtId="0" fontId="16" fillId="0" borderId="0"/>
    <xf numFmtId="0" fontId="22" fillId="0" borderId="0"/>
    <xf numFmtId="177" fontId="23" fillId="0" borderId="0"/>
    <xf numFmtId="177" fontId="23" fillId="0" borderId="0"/>
    <xf numFmtId="0" fontId="46" fillId="0" borderId="0"/>
    <xf numFmtId="177" fontId="4" fillId="0" borderId="0"/>
    <xf numFmtId="177" fontId="4" fillId="0" borderId="0"/>
    <xf numFmtId="177" fontId="22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177" fontId="97" fillId="0" borderId="0"/>
    <xf numFmtId="0" fontId="1" fillId="0" borderId="0"/>
    <xf numFmtId="177" fontId="1" fillId="0" borderId="0"/>
    <xf numFmtId="0" fontId="1" fillId="0" borderId="0"/>
    <xf numFmtId="0" fontId="1" fillId="0" borderId="0"/>
    <xf numFmtId="0" fontId="175" fillId="0" borderId="0"/>
    <xf numFmtId="0" fontId="175" fillId="0" borderId="0"/>
    <xf numFmtId="0" fontId="1" fillId="0" borderId="0"/>
    <xf numFmtId="177" fontId="97" fillId="0" borderId="0"/>
    <xf numFmtId="177" fontId="97" fillId="0" borderId="0"/>
    <xf numFmtId="0" fontId="48" fillId="0" borderId="0"/>
    <xf numFmtId="0" fontId="48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103" fillId="0" borderId="0"/>
    <xf numFmtId="177" fontId="103" fillId="0" borderId="0"/>
    <xf numFmtId="177" fontId="1" fillId="0" borderId="0"/>
    <xf numFmtId="0" fontId="1" fillId="0" borderId="0"/>
    <xf numFmtId="177" fontId="97" fillId="0" borderId="0"/>
    <xf numFmtId="177" fontId="97" fillId="0" borderId="0"/>
    <xf numFmtId="177" fontId="97" fillId="0" borderId="0"/>
    <xf numFmtId="177" fontId="23" fillId="0" borderId="0"/>
    <xf numFmtId="177" fontId="23" fillId="0" borderId="0"/>
    <xf numFmtId="0" fontId="1" fillId="0" borderId="0"/>
    <xf numFmtId="0" fontId="104" fillId="0" borderId="0"/>
    <xf numFmtId="0" fontId="103" fillId="0" borderId="0"/>
    <xf numFmtId="0" fontId="104" fillId="0" borderId="0"/>
    <xf numFmtId="0" fontId="97" fillId="0" borderId="0"/>
    <xf numFmtId="0" fontId="104" fillId="0" borderId="0"/>
    <xf numFmtId="0" fontId="103" fillId="0" borderId="0"/>
    <xf numFmtId="0" fontId="104" fillId="0" borderId="0"/>
    <xf numFmtId="0" fontId="103" fillId="0" borderId="0"/>
    <xf numFmtId="0" fontId="1" fillId="0" borderId="0"/>
    <xf numFmtId="0" fontId="1" fillId="0" borderId="0"/>
    <xf numFmtId="0" fontId="1" fillId="0" borderId="0"/>
    <xf numFmtId="0" fontId="104" fillId="0" borderId="0"/>
    <xf numFmtId="0" fontId="97" fillId="0" borderId="0"/>
    <xf numFmtId="0" fontId="1" fillId="0" borderId="0"/>
    <xf numFmtId="0" fontId="104" fillId="0" borderId="0"/>
    <xf numFmtId="0" fontId="97" fillId="0" borderId="0"/>
    <xf numFmtId="0" fontId="1" fillId="0" borderId="0"/>
    <xf numFmtId="0" fontId="104" fillId="0" borderId="0"/>
    <xf numFmtId="0" fontId="97" fillId="0" borderId="0"/>
    <xf numFmtId="0" fontId="1" fillId="0" borderId="0"/>
    <xf numFmtId="0" fontId="104" fillId="0" borderId="0"/>
    <xf numFmtId="0" fontId="127" fillId="0" borderId="0"/>
    <xf numFmtId="0" fontId="104" fillId="0" borderId="0"/>
    <xf numFmtId="0" fontId="10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177" fontId="18" fillId="0" borderId="0"/>
    <xf numFmtId="0" fontId="18" fillId="0" borderId="0"/>
    <xf numFmtId="177" fontId="18" fillId="0" borderId="0"/>
    <xf numFmtId="0" fontId="23" fillId="0" borderId="0"/>
    <xf numFmtId="0" fontId="18" fillId="0" borderId="0"/>
    <xf numFmtId="177" fontId="18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6" fillId="0" borderId="0"/>
    <xf numFmtId="177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0" fontId="1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104" fillId="0" borderId="0"/>
    <xf numFmtId="0" fontId="23" fillId="0" borderId="0"/>
    <xf numFmtId="0" fontId="1" fillId="0" borderId="0"/>
    <xf numFmtId="0" fontId="1" fillId="0" borderId="0"/>
    <xf numFmtId="177" fontId="23" fillId="0" borderId="0"/>
    <xf numFmtId="177" fontId="23" fillId="0" borderId="0"/>
    <xf numFmtId="177" fontId="23" fillId="0" borderId="0"/>
    <xf numFmtId="0" fontId="1" fillId="0" borderId="0"/>
    <xf numFmtId="177" fontId="97" fillId="0" borderId="0"/>
    <xf numFmtId="0" fontId="1" fillId="0" borderId="0"/>
    <xf numFmtId="0" fontId="1" fillId="0" borderId="0"/>
    <xf numFmtId="177" fontId="16" fillId="0" borderId="0"/>
    <xf numFmtId="0" fontId="16" fillId="0" borderId="0"/>
    <xf numFmtId="177" fontId="16" fillId="0" borderId="0"/>
    <xf numFmtId="0" fontId="16" fillId="0" borderId="0"/>
    <xf numFmtId="0" fontId="16" fillId="0" borderId="0"/>
    <xf numFmtId="177" fontId="16" fillId="0" borderId="0"/>
    <xf numFmtId="0" fontId="16" fillId="0" borderId="0"/>
    <xf numFmtId="0" fontId="24" fillId="0" borderId="0"/>
    <xf numFmtId="177" fontId="16" fillId="0" borderId="0"/>
    <xf numFmtId="177" fontId="16" fillId="0" borderId="0"/>
    <xf numFmtId="0" fontId="16" fillId="0" borderId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25" borderId="47" applyNumberFormat="0" applyFont="0" applyAlignment="0" applyProtection="0"/>
    <xf numFmtId="0" fontId="97" fillId="25" borderId="47" applyNumberFormat="0" applyFont="0" applyAlignment="0" applyProtection="0"/>
    <xf numFmtId="0" fontId="1" fillId="25" borderId="47" applyNumberFormat="0" applyFont="0" applyAlignment="0" applyProtection="0"/>
    <xf numFmtId="0" fontId="1" fillId="39" borderId="50" applyNumberFormat="0" applyFont="0" applyAlignment="0" applyProtection="0"/>
    <xf numFmtId="9" fontId="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177" fontId="25" fillId="0" borderId="0"/>
    <xf numFmtId="177" fontId="25" fillId="0" borderId="0"/>
    <xf numFmtId="0" fontId="25" fillId="0" borderId="0"/>
    <xf numFmtId="177" fontId="25" fillId="0" borderId="0"/>
    <xf numFmtId="177" fontId="25" fillId="0" borderId="0"/>
    <xf numFmtId="0" fontId="25" fillId="0" borderId="0"/>
    <xf numFmtId="170" fontId="1" fillId="0" borderId="0" applyFont="0" applyFill="0" applyBorder="0" applyAlignment="0" applyProtection="0"/>
    <xf numFmtId="170" fontId="102" fillId="0" borderId="0" applyFont="0" applyFill="0" applyBorder="0" applyAlignment="0" applyProtection="0"/>
    <xf numFmtId="0" fontId="46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04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9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9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9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9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84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9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9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04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04" fillId="0" borderId="0" applyFont="0" applyFill="0" applyBorder="0" applyAlignment="0" applyProtection="0"/>
    <xf numFmtId="170" fontId="18" fillId="0" borderId="0" applyFont="0" applyFill="0" applyBorder="0" applyAlignment="0" applyProtection="0"/>
    <xf numFmtId="164" fontId="9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7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164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04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97" fillId="0" borderId="0" applyFont="0" applyFill="0" applyBorder="0" applyAlignment="0" applyProtection="0"/>
    <xf numFmtId="170" fontId="1" fillId="0" borderId="0" applyFont="0" applyFill="0" applyBorder="0" applyAlignment="0" applyProtection="0"/>
    <xf numFmtId="164" fontId="9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7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164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9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9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97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20" fillId="0" borderId="0">
      <alignment vertical="center"/>
    </xf>
    <xf numFmtId="167" fontId="176" fillId="0" borderId="0"/>
    <xf numFmtId="0" fontId="110" fillId="19" borderId="2"/>
    <xf numFmtId="0" fontId="117" fillId="0" borderId="2"/>
    <xf numFmtId="0" fontId="8" fillId="6" borderId="2">
      <alignment horizontal="center" vertical="center"/>
    </xf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104" fillId="0" borderId="0"/>
    <xf numFmtId="177" fontId="48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46" fillId="0" borderId="0"/>
    <xf numFmtId="170" fontId="1" fillId="0" borderId="0" applyFont="0" applyFill="0" applyBorder="0" applyAlignment="0" applyProtection="0"/>
    <xf numFmtId="170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170" fontId="46" fillId="0" borderId="0" applyFont="0" applyFill="0" applyBorder="0" applyAlignment="0" applyProtection="0"/>
    <xf numFmtId="0" fontId="46" fillId="0" borderId="0"/>
    <xf numFmtId="0" fontId="1" fillId="0" borderId="0"/>
    <xf numFmtId="0" fontId="16" fillId="0" borderId="0"/>
    <xf numFmtId="0" fontId="16" fillId="0" borderId="0"/>
    <xf numFmtId="0" fontId="46" fillId="0" borderId="0"/>
    <xf numFmtId="0" fontId="46" fillId="0" borderId="0"/>
    <xf numFmtId="0" fontId="16" fillId="0" borderId="0"/>
    <xf numFmtId="0" fontId="16" fillId="0" borderId="0"/>
    <xf numFmtId="0" fontId="187" fillId="53" borderId="0" applyNumberFormat="0" applyBorder="0" applyAlignment="0" applyProtection="0"/>
    <xf numFmtId="169" fontId="97" fillId="0" borderId="0" applyFont="0" applyFill="0" applyBorder="0" applyAlignment="0" applyProtection="0"/>
    <xf numFmtId="0" fontId="19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9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7" fillId="0" borderId="0"/>
    <xf numFmtId="0" fontId="25" fillId="0" borderId="0"/>
    <xf numFmtId="0" fontId="197" fillId="0" borderId="0"/>
    <xf numFmtId="0" fontId="2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7" fillId="0" borderId="0"/>
    <xf numFmtId="0" fontId="25" fillId="0" borderId="0"/>
    <xf numFmtId="0" fontId="197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197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197" fillId="0" borderId="0"/>
    <xf numFmtId="0" fontId="25" fillId="0" borderId="0"/>
    <xf numFmtId="169" fontId="198" fillId="0" borderId="0">
      <protection locked="0"/>
    </xf>
    <xf numFmtId="169" fontId="198" fillId="0" borderId="0">
      <protection locked="0"/>
    </xf>
    <xf numFmtId="169" fontId="198" fillId="0" borderId="0">
      <protection locked="0"/>
    </xf>
    <xf numFmtId="169" fontId="198" fillId="0" borderId="0">
      <protection locked="0"/>
    </xf>
    <xf numFmtId="169" fontId="198" fillId="0" borderId="0">
      <protection locked="0"/>
    </xf>
    <xf numFmtId="0" fontId="198" fillId="0" borderId="53">
      <protection locked="0"/>
    </xf>
    <xf numFmtId="0" fontId="199" fillId="0" borderId="0">
      <protection locked="0"/>
    </xf>
    <xf numFmtId="0" fontId="199" fillId="0" borderId="0">
      <protection locked="0"/>
    </xf>
    <xf numFmtId="0" fontId="198" fillId="0" borderId="53">
      <protection locked="0"/>
    </xf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3" borderId="0" applyNumberFormat="0" applyBorder="0" applyAlignment="0" applyProtection="0"/>
    <xf numFmtId="0" fontId="1" fillId="46" borderId="0" applyNumberFormat="0" applyBorder="0" applyAlignment="0" applyProtection="0"/>
    <xf numFmtId="0" fontId="1" fillId="49" borderId="0" applyNumberFormat="0" applyBorder="0" applyAlignment="0" applyProtection="0"/>
    <xf numFmtId="0" fontId="200" fillId="55" borderId="0" applyNumberFormat="0" applyBorder="0" applyAlignment="0" applyProtection="0"/>
    <xf numFmtId="0" fontId="200" fillId="47" borderId="0" applyNumberFormat="0" applyBorder="0" applyAlignment="0" applyProtection="0"/>
    <xf numFmtId="0" fontId="200" fillId="48" borderId="0" applyNumberFormat="0" applyBorder="0" applyAlignment="0" applyProtection="0"/>
    <xf numFmtId="0" fontId="200" fillId="56" borderId="0" applyNumberFormat="0" applyBorder="0" applyAlignment="0" applyProtection="0"/>
    <xf numFmtId="0" fontId="200" fillId="57" borderId="0" applyNumberFormat="0" applyBorder="0" applyAlignment="0" applyProtection="0"/>
    <xf numFmtId="0" fontId="200" fillId="58" borderId="0" applyNumberFormat="0" applyBorder="0" applyAlignment="0" applyProtection="0"/>
    <xf numFmtId="0" fontId="200" fillId="59" borderId="0" applyNumberFormat="0" applyBorder="0" applyAlignment="0" applyProtection="0"/>
    <xf numFmtId="0" fontId="200" fillId="60" borderId="0" applyNumberFormat="0" applyBorder="0" applyAlignment="0" applyProtection="0"/>
    <xf numFmtId="0" fontId="200" fillId="61" borderId="0" applyNumberFormat="0" applyBorder="0" applyAlignment="0" applyProtection="0"/>
    <xf numFmtId="0" fontId="200" fillId="56" borderId="0" applyNumberFormat="0" applyBorder="0" applyAlignment="0" applyProtection="0"/>
    <xf numFmtId="0" fontId="200" fillId="57" borderId="0" applyNumberFormat="0" applyBorder="0" applyAlignment="0" applyProtection="0"/>
    <xf numFmtId="0" fontId="200" fillId="62" borderId="0" applyNumberFormat="0" applyBorder="0" applyAlignment="0" applyProtection="0"/>
    <xf numFmtId="0" fontId="201" fillId="41" borderId="0" applyNumberFormat="0" applyBorder="0" applyAlignment="0" applyProtection="0"/>
    <xf numFmtId="197" fontId="202" fillId="0" borderId="0" applyFill="0" applyBorder="0" applyAlignment="0"/>
    <xf numFmtId="198" fontId="202" fillId="0" borderId="0" applyFill="0" applyBorder="0" applyAlignment="0"/>
    <xf numFmtId="189" fontId="202" fillId="0" borderId="0" applyFill="0" applyBorder="0" applyAlignment="0"/>
    <xf numFmtId="199" fontId="203" fillId="0" borderId="0" applyFill="0" applyBorder="0" applyAlignment="0"/>
    <xf numFmtId="200" fontId="203" fillId="0" borderId="0" applyFill="0" applyBorder="0" applyAlignment="0"/>
    <xf numFmtId="197" fontId="202" fillId="0" borderId="0" applyFill="0" applyBorder="0" applyAlignment="0"/>
    <xf numFmtId="201" fontId="203" fillId="0" borderId="0" applyFill="0" applyBorder="0" applyAlignment="0"/>
    <xf numFmtId="198" fontId="202" fillId="0" borderId="0" applyFill="0" applyBorder="0" applyAlignment="0"/>
    <xf numFmtId="0" fontId="204" fillId="63" borderId="54" applyNumberFormat="0" applyAlignment="0" applyProtection="0"/>
    <xf numFmtId="0" fontId="204" fillId="63" borderId="54" applyNumberFormat="0" applyAlignment="0" applyProtection="0"/>
    <xf numFmtId="0" fontId="205" fillId="64" borderId="55" applyNumberFormat="0" applyAlignment="0" applyProtection="0"/>
    <xf numFmtId="0" fontId="205" fillId="64" borderId="55" applyNumberFormat="0" applyAlignment="0" applyProtection="0"/>
    <xf numFmtId="0" fontId="205" fillId="64" borderId="55" applyNumberFormat="0" applyAlignment="0" applyProtection="0"/>
    <xf numFmtId="0" fontId="20" fillId="0" borderId="0" applyFont="0" applyFill="0" applyBorder="0" applyAlignment="0" applyProtection="0"/>
    <xf numFmtId="197" fontId="202" fillId="0" borderId="0" applyFont="0" applyFill="0" applyBorder="0" applyAlignment="0" applyProtection="0"/>
    <xf numFmtId="170" fontId="97" fillId="0" borderId="0" applyFont="0" applyFill="0" applyBorder="0" applyAlignment="0" applyProtection="0"/>
    <xf numFmtId="170" fontId="97" fillId="0" borderId="0" applyFont="0" applyFill="0" applyBorder="0" applyAlignment="0" applyProtection="0"/>
    <xf numFmtId="202" fontId="202" fillId="0" borderId="0" applyFont="0" applyFill="0" applyBorder="0" applyAlignment="0" applyProtection="0"/>
    <xf numFmtId="203" fontId="48" fillId="0" borderId="0" applyFont="0" applyFill="0" applyBorder="0" applyAlignment="0" applyProtection="0"/>
    <xf numFmtId="198" fontId="202" fillId="0" borderId="0" applyFont="0" applyFill="0" applyBorder="0" applyAlignment="0" applyProtection="0"/>
    <xf numFmtId="201" fontId="203" fillId="0" borderId="0" applyFont="0" applyFill="0" applyBorder="0" applyAlignment="0" applyProtection="0"/>
    <xf numFmtId="204" fontId="16" fillId="2" borderId="0" applyFont="0" applyFill="0" applyBorder="0" applyAlignment="0" applyProtection="0"/>
    <xf numFmtId="14" fontId="206" fillId="0" borderId="0" applyFill="0" applyBorder="0" applyAlignment="0"/>
    <xf numFmtId="205" fontId="16" fillId="2" borderId="0" applyFont="0" applyFill="0" applyBorder="0" applyAlignment="0" applyProtection="0"/>
    <xf numFmtId="0" fontId="16" fillId="2" borderId="0" applyFont="0" applyFill="0" applyBorder="0" applyAlignment="0" applyProtection="0"/>
    <xf numFmtId="38" fontId="48" fillId="0" borderId="56">
      <alignment vertical="center"/>
    </xf>
    <xf numFmtId="38" fontId="48" fillId="0" borderId="56">
      <alignment vertical="center"/>
    </xf>
    <xf numFmtId="38" fontId="48" fillId="0" borderId="56">
      <alignment vertical="center"/>
    </xf>
    <xf numFmtId="0" fontId="207" fillId="0" borderId="0" applyNumberFormat="0" applyFill="0" applyBorder="0" applyAlignment="0" applyProtection="0"/>
    <xf numFmtId="197" fontId="202" fillId="0" borderId="0" applyFill="0" applyBorder="0" applyAlignment="0"/>
    <xf numFmtId="198" fontId="202" fillId="0" borderId="0" applyFill="0" applyBorder="0" applyAlignment="0"/>
    <xf numFmtId="197" fontId="202" fillId="0" borderId="0" applyFill="0" applyBorder="0" applyAlignment="0"/>
    <xf numFmtId="201" fontId="203" fillId="0" borderId="0" applyFill="0" applyBorder="0" applyAlignment="0"/>
    <xf numFmtId="198" fontId="202" fillId="0" borderId="0" applyFill="0" applyBorder="0" applyAlignment="0"/>
    <xf numFmtId="0" fontId="208" fillId="0" borderId="0" applyNumberFormat="0" applyFill="0" applyBorder="0" applyAlignment="0" applyProtection="0"/>
    <xf numFmtId="10" fontId="209" fillId="65" borderId="2" applyNumberFormat="0" applyFill="0" applyBorder="0" applyAlignment="0" applyProtection="0">
      <protection locked="0"/>
    </xf>
    <xf numFmtId="10" fontId="209" fillId="65" borderId="2" applyNumberFormat="0" applyFill="0" applyBorder="0" applyAlignment="0" applyProtection="0">
      <protection locked="0"/>
    </xf>
    <xf numFmtId="0" fontId="210" fillId="42" borderId="0" applyNumberFormat="0" applyBorder="0" applyAlignment="0" applyProtection="0"/>
    <xf numFmtId="38" fontId="46" fillId="4" borderId="0" applyNumberFormat="0" applyBorder="0" applyAlignment="0" applyProtection="0"/>
    <xf numFmtId="0" fontId="211" fillId="0" borderId="57" applyNumberFormat="0" applyAlignment="0" applyProtection="0">
      <alignment horizontal="left" vertical="center"/>
    </xf>
    <xf numFmtId="0" fontId="211" fillId="0" borderId="10">
      <alignment horizontal="left" vertical="center"/>
    </xf>
    <xf numFmtId="0" fontId="211" fillId="0" borderId="10">
      <alignment horizontal="left" vertical="center"/>
    </xf>
    <xf numFmtId="14" fontId="212" fillId="66" borderId="58">
      <alignment horizontal="center" vertical="center" wrapText="1"/>
    </xf>
    <xf numFmtId="0" fontId="213" fillId="0" borderId="59" applyNumberFormat="0" applyFill="0" applyAlignment="0" applyProtection="0"/>
    <xf numFmtId="0" fontId="214" fillId="0" borderId="60" applyNumberFormat="0" applyFill="0" applyAlignment="0" applyProtection="0"/>
    <xf numFmtId="0" fontId="215" fillId="0" borderId="61" applyNumberFormat="0" applyFill="0" applyAlignment="0" applyProtection="0"/>
    <xf numFmtId="0" fontId="215" fillId="0" borderId="0" applyNumberFormat="0" applyFill="0" applyBorder="0" applyAlignment="0" applyProtection="0"/>
    <xf numFmtId="14" fontId="216" fillId="66" borderId="58">
      <alignment horizontal="center" vertical="center" wrapText="1"/>
    </xf>
    <xf numFmtId="0" fontId="217" fillId="0" borderId="0" applyNumberFormat="0" applyFill="0" applyBorder="0" applyAlignment="0" applyProtection="0">
      <alignment vertical="top"/>
      <protection locked="0"/>
    </xf>
    <xf numFmtId="206" fontId="16" fillId="67" borderId="52" applyNumberFormat="0" applyFont="0" applyAlignment="0">
      <protection locked="0"/>
    </xf>
    <xf numFmtId="10" fontId="46" fillId="68" borderId="52" applyNumberFormat="0" applyBorder="0" applyAlignment="0" applyProtection="0"/>
    <xf numFmtId="10" fontId="46" fillId="68" borderId="52" applyNumberFormat="0" applyBorder="0" applyAlignment="0" applyProtection="0"/>
    <xf numFmtId="206" fontId="16" fillId="67" borderId="52" applyNumberFormat="0" applyFont="0" applyAlignment="0">
      <protection locked="0"/>
    </xf>
    <xf numFmtId="206" fontId="16" fillId="67" borderId="52" applyNumberFormat="0" applyFont="0" applyAlignment="0">
      <protection locked="0"/>
    </xf>
    <xf numFmtId="206" fontId="16" fillId="67" borderId="52" applyNumberFormat="0" applyFont="0" applyAlignment="0">
      <protection locked="0"/>
    </xf>
    <xf numFmtId="206" fontId="16" fillId="67" borderId="52" applyNumberFormat="0" applyFont="0" applyAlignment="0">
      <protection locked="0"/>
    </xf>
    <xf numFmtId="206" fontId="16" fillId="67" borderId="52" applyNumberFormat="0" applyFont="0" applyAlignment="0">
      <protection locked="0"/>
    </xf>
    <xf numFmtId="206" fontId="16" fillId="67" borderId="52" applyNumberFormat="0" applyFont="0" applyAlignment="0">
      <protection locked="0"/>
    </xf>
    <xf numFmtId="0" fontId="218" fillId="45" borderId="54" applyNumberFormat="0" applyAlignment="0" applyProtection="0"/>
    <xf numFmtId="38" fontId="219" fillId="0" borderId="0"/>
    <xf numFmtId="38" fontId="220" fillId="0" borderId="0"/>
    <xf numFmtId="38" fontId="221" fillId="0" borderId="0"/>
    <xf numFmtId="38" fontId="222" fillId="0" borderId="0"/>
    <xf numFmtId="0" fontId="223" fillId="0" borderId="0"/>
    <xf numFmtId="0" fontId="223" fillId="0" borderId="0"/>
    <xf numFmtId="0" fontId="34" fillId="0" borderId="0"/>
    <xf numFmtId="197" fontId="202" fillId="0" borderId="0" applyFill="0" applyBorder="0" applyAlignment="0"/>
    <xf numFmtId="198" fontId="202" fillId="0" borderId="0" applyFill="0" applyBorder="0" applyAlignment="0"/>
    <xf numFmtId="197" fontId="202" fillId="0" borderId="0" applyFill="0" applyBorder="0" applyAlignment="0"/>
    <xf numFmtId="201" fontId="203" fillId="0" borderId="0" applyFill="0" applyBorder="0" applyAlignment="0"/>
    <xf numFmtId="198" fontId="202" fillId="0" borderId="0" applyFill="0" applyBorder="0" applyAlignment="0"/>
    <xf numFmtId="0" fontId="224" fillId="0" borderId="62" applyNumberFormat="0" applyFill="0" applyAlignment="0" applyProtection="0"/>
    <xf numFmtId="0" fontId="225" fillId="69" borderId="0" applyNumberFormat="0" applyBorder="0" applyAlignment="0" applyProtection="0"/>
    <xf numFmtId="207" fontId="16" fillId="0" borderId="0"/>
    <xf numFmtId="0" fontId="16" fillId="0" borderId="0"/>
    <xf numFmtId="0" fontId="226" fillId="0" borderId="0"/>
    <xf numFmtId="0" fontId="197" fillId="0" borderId="0"/>
    <xf numFmtId="0" fontId="22" fillId="39" borderId="50" applyNumberFormat="0" applyFont="0" applyAlignment="0" applyProtection="0"/>
    <xf numFmtId="208" fontId="16" fillId="2" borderId="0"/>
    <xf numFmtId="0" fontId="227" fillId="63" borderId="63" applyNumberFormat="0" applyAlignment="0" applyProtection="0"/>
    <xf numFmtId="0" fontId="228" fillId="2" borderId="0"/>
    <xf numFmtId="209" fontId="16" fillId="0" borderId="0" applyFont="0" applyFill="0" applyBorder="0" applyAlignment="0" applyProtection="0"/>
    <xf numFmtId="200" fontId="203" fillId="0" borderId="0" applyFont="0" applyFill="0" applyBorder="0" applyAlignment="0" applyProtection="0"/>
    <xf numFmtId="202" fontId="202" fillId="0" borderId="0" applyFont="0" applyFill="0" applyBorder="0" applyAlignment="0" applyProtection="0"/>
    <xf numFmtId="10" fontId="16" fillId="0" borderId="0" applyFont="0" applyFill="0" applyBorder="0" applyAlignment="0" applyProtection="0"/>
    <xf numFmtId="210" fontId="203" fillId="0" borderId="0" applyFont="0" applyFill="0" applyBorder="0" applyAlignment="0" applyProtection="0"/>
    <xf numFmtId="211" fontId="197" fillId="0" borderId="0"/>
    <xf numFmtId="212" fontId="197" fillId="0" borderId="0"/>
    <xf numFmtId="197" fontId="202" fillId="0" borderId="0" applyFill="0" applyBorder="0" applyAlignment="0"/>
    <xf numFmtId="198" fontId="202" fillId="0" borderId="0" applyFill="0" applyBorder="0" applyAlignment="0"/>
    <xf numFmtId="197" fontId="202" fillId="0" borderId="0" applyFill="0" applyBorder="0" applyAlignment="0"/>
    <xf numFmtId="201" fontId="203" fillId="0" borderId="0" applyFill="0" applyBorder="0" applyAlignment="0"/>
    <xf numFmtId="198" fontId="202" fillId="0" borderId="0" applyFill="0" applyBorder="0" applyAlignment="0"/>
    <xf numFmtId="0" fontId="229" fillId="0" borderId="0" applyNumberFormat="0">
      <alignment horizontal="left"/>
    </xf>
    <xf numFmtId="3" fontId="23" fillId="0" borderId="0" applyFont="0" applyFill="0" applyBorder="0" applyAlignment="0"/>
    <xf numFmtId="213" fontId="230" fillId="0" borderId="2">
      <alignment horizontal="left" vertical="center"/>
      <protection locked="0"/>
    </xf>
    <xf numFmtId="0" fontId="48" fillId="0" borderId="0"/>
    <xf numFmtId="49" fontId="206" fillId="0" borderId="0" applyFill="0" applyBorder="0" applyAlignment="0"/>
    <xf numFmtId="210" fontId="203" fillId="0" borderId="0" applyFill="0" applyBorder="0" applyAlignment="0"/>
    <xf numFmtId="214" fontId="203" fillId="0" borderId="0" applyFill="0" applyBorder="0" applyAlignment="0"/>
    <xf numFmtId="0" fontId="231" fillId="0" borderId="0" applyFill="0" applyBorder="0" applyProtection="0">
      <alignment horizontal="left" vertical="top"/>
    </xf>
    <xf numFmtId="0" fontId="232" fillId="0" borderId="0" applyNumberFormat="0" applyFill="0" applyBorder="0" applyAlignment="0" applyProtection="0"/>
    <xf numFmtId="0" fontId="61" fillId="0" borderId="64" applyNumberFormat="0" applyFill="0" applyAlignment="0" applyProtection="0"/>
    <xf numFmtId="0" fontId="233" fillId="0" borderId="0" applyNumberFormat="0" applyFill="0" applyBorder="0" applyAlignment="0" applyProtection="0"/>
    <xf numFmtId="0" fontId="169" fillId="0" borderId="49"/>
    <xf numFmtId="0" fontId="169" fillId="0" borderId="49"/>
    <xf numFmtId="198" fontId="23" fillId="0" borderId="65">
      <protection locked="0"/>
    </xf>
    <xf numFmtId="0" fontId="234" fillId="4" borderId="66"/>
    <xf numFmtId="14" fontId="23" fillId="0" borderId="0">
      <alignment horizontal="right"/>
    </xf>
    <xf numFmtId="198" fontId="235" fillId="66" borderId="65"/>
    <xf numFmtId="0" fontId="16" fillId="0" borderId="2">
      <alignment horizontal="right"/>
    </xf>
    <xf numFmtId="0" fontId="16" fillId="0" borderId="2">
      <alignment horizontal="right"/>
    </xf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77" fontId="9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77" fontId="97" fillId="0" borderId="0"/>
    <xf numFmtId="0" fontId="97" fillId="0" borderId="0"/>
    <xf numFmtId="0" fontId="97" fillId="0" borderId="0"/>
    <xf numFmtId="0" fontId="1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1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24" fillId="0" borderId="0">
      <alignment horizontal="left"/>
    </xf>
    <xf numFmtId="0" fontId="24" fillId="0" borderId="0">
      <alignment horizontal="left"/>
    </xf>
    <xf numFmtId="0" fontId="24" fillId="0" borderId="0">
      <alignment horizontal="left"/>
    </xf>
    <xf numFmtId="0" fontId="24" fillId="0" borderId="0">
      <alignment horizontal="left"/>
    </xf>
    <xf numFmtId="0" fontId="24" fillId="0" borderId="0">
      <alignment horizontal="left"/>
    </xf>
    <xf numFmtId="0" fontId="24" fillId="0" borderId="0">
      <alignment horizontal="left"/>
    </xf>
    <xf numFmtId="177" fontId="97" fillId="0" borderId="0"/>
    <xf numFmtId="177" fontId="97" fillId="0" borderId="0"/>
    <xf numFmtId="0" fontId="1" fillId="0" borderId="0"/>
    <xf numFmtId="177" fontId="97" fillId="0" borderId="0"/>
    <xf numFmtId="177" fontId="97" fillId="0" borderId="0"/>
    <xf numFmtId="177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24" fillId="0" borderId="0">
      <alignment horizontal="left"/>
    </xf>
    <xf numFmtId="0" fontId="97" fillId="0" borderId="0"/>
    <xf numFmtId="0" fontId="46" fillId="0" borderId="0"/>
    <xf numFmtId="0" fontId="97" fillId="0" borderId="0"/>
    <xf numFmtId="0" fontId="22" fillId="0" borderId="0"/>
    <xf numFmtId="0" fontId="97" fillId="0" borderId="0"/>
    <xf numFmtId="0" fontId="24" fillId="0" borderId="0">
      <alignment horizontal="left"/>
    </xf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1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7" fillId="0" borderId="0"/>
    <xf numFmtId="0" fontId="97" fillId="0" borderId="0"/>
    <xf numFmtId="0" fontId="1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1" fillId="0" borderId="0"/>
    <xf numFmtId="0" fontId="104" fillId="0" borderId="0"/>
    <xf numFmtId="0" fontId="104" fillId="0" borderId="0"/>
    <xf numFmtId="0" fontId="97" fillId="0" borderId="0"/>
    <xf numFmtId="0" fontId="9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7" fillId="0" borderId="0"/>
    <xf numFmtId="0" fontId="97" fillId="0" borderId="0"/>
    <xf numFmtId="0" fontId="1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8" fillId="0" borderId="0" applyNumberFormat="0" applyFont="0" applyFill="0" applyBorder="0" applyAlignment="0" applyProtection="0">
      <alignment vertical="top"/>
    </xf>
    <xf numFmtId="0" fontId="48" fillId="0" borderId="0" applyNumberFormat="0" applyFont="0" applyFill="0" applyBorder="0" applyAlignment="0" applyProtection="0">
      <alignment vertical="top"/>
    </xf>
    <xf numFmtId="0" fontId="48" fillId="0" borderId="0" applyNumberFormat="0" applyFont="0" applyFill="0" applyBorder="0" applyAlignment="0" applyProtection="0">
      <alignment vertical="top"/>
    </xf>
    <xf numFmtId="0" fontId="22" fillId="0" borderId="0">
      <alignment vertical="justify"/>
    </xf>
    <xf numFmtId="38" fontId="22" fillId="0" borderId="0" applyFont="0" applyFill="0" applyBorder="0" applyAlignment="0" applyProtection="0"/>
    <xf numFmtId="169" fontId="16" fillId="0" borderId="0" applyFont="0" applyFill="0" applyBorder="0" applyAlignment="0" applyProtection="0"/>
    <xf numFmtId="204" fontId="16" fillId="0" borderId="0" applyFont="0" applyFill="0" applyBorder="0" applyAlignment="0" applyProtection="0"/>
    <xf numFmtId="215" fontId="16" fillId="0" borderId="0" applyFont="0" applyFill="0" applyBorder="0" applyAlignment="0" applyProtection="0"/>
    <xf numFmtId="215" fontId="16" fillId="0" borderId="0" applyFont="0" applyFill="0" applyBorder="0" applyAlignment="0" applyProtection="0"/>
    <xf numFmtId="215" fontId="16" fillId="0" borderId="0" applyFont="0" applyFill="0" applyBorder="0" applyAlignment="0" applyProtection="0"/>
    <xf numFmtId="215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70" fontId="97" fillId="0" borderId="0" applyFont="0" applyFill="0" applyBorder="0" applyAlignment="0" applyProtection="0"/>
    <xf numFmtId="170" fontId="97" fillId="0" borderId="0" applyFont="0" applyFill="0" applyBorder="0" applyAlignment="0" applyProtection="0"/>
    <xf numFmtId="170" fontId="97" fillId="0" borderId="0" applyFont="0" applyFill="0" applyBorder="0" applyAlignment="0" applyProtection="0"/>
    <xf numFmtId="170" fontId="97" fillId="0" borderId="0" applyFont="0" applyFill="0" applyBorder="0" applyAlignment="0" applyProtection="0"/>
    <xf numFmtId="170" fontId="97" fillId="0" borderId="0" applyFont="0" applyFill="0" applyBorder="0" applyAlignment="0" applyProtection="0"/>
    <xf numFmtId="170" fontId="97" fillId="0" borderId="0" applyFont="0" applyFill="0" applyBorder="0" applyAlignment="0" applyProtection="0"/>
    <xf numFmtId="170" fontId="97" fillId="0" borderId="0" applyFont="0" applyFill="0" applyBorder="0" applyAlignment="0" applyProtection="0"/>
    <xf numFmtId="170" fontId="97" fillId="0" borderId="0" applyFont="0" applyFill="0" applyBorder="0" applyAlignment="0" applyProtection="0"/>
    <xf numFmtId="170" fontId="97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5" fontId="22" fillId="0" borderId="0" applyFont="0" applyFill="0" applyBorder="0" applyAlignment="0" applyProtection="0"/>
    <xf numFmtId="170" fontId="97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4" fontId="16" fillId="0" borderId="2"/>
    <xf numFmtId="4" fontId="16" fillId="0" borderId="2"/>
    <xf numFmtId="169" fontId="198" fillId="0" borderId="0">
      <protection locked="0"/>
    </xf>
    <xf numFmtId="0" fontId="238" fillId="0" borderId="0"/>
    <xf numFmtId="0" fontId="253" fillId="0" borderId="0"/>
    <xf numFmtId="0" fontId="46" fillId="0" borderId="0"/>
    <xf numFmtId="0" fontId="46" fillId="0" borderId="0"/>
    <xf numFmtId="0" fontId="46" fillId="0" borderId="0"/>
    <xf numFmtId="0" fontId="264" fillId="0" borderId="0"/>
    <xf numFmtId="0" fontId="24" fillId="0" borderId="0"/>
    <xf numFmtId="0" fontId="268" fillId="0" borderId="0"/>
    <xf numFmtId="43" fontId="268" fillId="0" borderId="0" applyFont="0" applyFill="0" applyBorder="0" applyAlignment="0" applyProtection="0"/>
  </cellStyleXfs>
  <cellXfs count="4436">
    <xf numFmtId="0" fontId="0" fillId="0" borderId="0" xfId="0"/>
    <xf numFmtId="0" fontId="24" fillId="0" borderId="0" xfId="0" applyFont="1"/>
    <xf numFmtId="0" fontId="28" fillId="0" borderId="0" xfId="0" applyFont="1"/>
    <xf numFmtId="3" fontId="13" fillId="0" borderId="0" xfId="0" applyNumberFormat="1" applyFont="1" applyAlignment="1">
      <alignment horizontal="center" vertical="top"/>
    </xf>
    <xf numFmtId="3" fontId="26" fillId="0" borderId="0" xfId="0" applyNumberFormat="1" applyFont="1" applyAlignment="1">
      <alignment horizontal="center" vertical="top" wrapText="1"/>
    </xf>
    <xf numFmtId="3" fontId="13" fillId="0" borderId="0" xfId="0" applyNumberFormat="1" applyFont="1" applyAlignment="1">
      <alignment horizontal="center" vertical="top" wrapText="1"/>
    </xf>
    <xf numFmtId="3" fontId="27" fillId="0" borderId="0" xfId="0" applyNumberFormat="1" applyFont="1" applyAlignment="1">
      <alignment horizontal="center" vertical="top" wrapText="1"/>
    </xf>
    <xf numFmtId="3" fontId="27" fillId="0" borderId="0" xfId="0" applyNumberFormat="1" applyFont="1" applyAlignment="1">
      <alignment horizontal="center" vertical="top"/>
    </xf>
    <xf numFmtId="3" fontId="35" fillId="0" borderId="2" xfId="0" applyNumberFormat="1" applyFont="1" applyBorder="1" applyAlignment="1">
      <alignment horizontal="center" vertical="top" wrapText="1"/>
    </xf>
    <xf numFmtId="3" fontId="36" fillId="0" borderId="0" xfId="0" applyNumberFormat="1" applyFont="1" applyAlignment="1">
      <alignment horizontal="left" vertical="top"/>
    </xf>
    <xf numFmtId="3" fontId="36" fillId="0" borderId="0" xfId="0" applyNumberFormat="1" applyFont="1" applyAlignment="1">
      <alignment horizontal="center" vertical="top"/>
    </xf>
    <xf numFmtId="3" fontId="36" fillId="0" borderId="0" xfId="0" applyNumberFormat="1" applyFont="1" applyAlignment="1">
      <alignment horizontal="center" vertical="top" wrapText="1"/>
    </xf>
    <xf numFmtId="3" fontId="35" fillId="0" borderId="0" xfId="0" applyNumberFormat="1" applyFont="1" applyAlignment="1">
      <alignment vertical="top" wrapText="1"/>
    </xf>
    <xf numFmtId="3" fontId="36" fillId="0" borderId="2" xfId="0" applyNumberFormat="1" applyFont="1" applyBorder="1" applyAlignment="1">
      <alignment horizontal="center" vertical="top" wrapText="1"/>
    </xf>
    <xf numFmtId="3" fontId="35" fillId="0" borderId="0" xfId="0" applyNumberFormat="1" applyFont="1" applyAlignment="1">
      <alignment horizontal="center" vertical="top" wrapText="1"/>
    </xf>
    <xf numFmtId="0" fontId="44" fillId="0" borderId="0" xfId="36" applyFont="1" applyAlignment="1">
      <alignment vertical="top" wrapText="1"/>
    </xf>
    <xf numFmtId="0" fontId="43" fillId="0" borderId="0" xfId="0" applyFont="1"/>
    <xf numFmtId="3" fontId="35" fillId="2" borderId="2" xfId="0" applyNumberFormat="1" applyFont="1" applyFill="1" applyBorder="1" applyAlignment="1">
      <alignment horizontal="center" vertical="top" wrapText="1"/>
    </xf>
    <xf numFmtId="3" fontId="39" fillId="2" borderId="2" xfId="0" applyNumberFormat="1" applyFont="1" applyFill="1" applyBorder="1" applyAlignment="1">
      <alignment horizontal="center" vertical="top" wrapText="1"/>
    </xf>
    <xf numFmtId="0" fontId="34" fillId="0" borderId="0" xfId="0" applyFont="1" applyAlignment="1">
      <alignment vertical="top" wrapText="1"/>
    </xf>
    <xf numFmtId="0" fontId="14" fillId="0" borderId="0" xfId="36" applyFont="1" applyAlignment="1">
      <alignment vertical="top" wrapText="1"/>
    </xf>
    <xf numFmtId="0" fontId="28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0" fillId="0" borderId="0" xfId="62" applyFont="1"/>
    <xf numFmtId="0" fontId="6" fillId="0" borderId="2" xfId="0" applyFont="1" applyBorder="1"/>
    <xf numFmtId="0" fontId="5" fillId="0" borderId="2" xfId="0" applyFont="1" applyBorder="1"/>
    <xf numFmtId="0" fontId="6" fillId="0" borderId="2" xfId="0" applyFont="1" applyBorder="1" applyAlignment="1">
      <alignment wrapText="1"/>
    </xf>
    <xf numFmtId="3" fontId="6" fillId="0" borderId="2" xfId="0" applyNumberFormat="1" applyFont="1" applyBorder="1"/>
    <xf numFmtId="3" fontId="5" fillId="0" borderId="2" xfId="0" applyNumberFormat="1" applyFont="1" applyBorder="1"/>
    <xf numFmtId="0" fontId="5" fillId="0" borderId="2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3" fontId="6" fillId="0" borderId="2" xfId="0" applyNumberFormat="1" applyFont="1" applyBorder="1" applyAlignment="1">
      <alignment wrapText="1"/>
    </xf>
    <xf numFmtId="3" fontId="5" fillId="0" borderId="2" xfId="0" applyNumberFormat="1" applyFont="1" applyBorder="1" applyAlignment="1">
      <alignment wrapText="1"/>
    </xf>
    <xf numFmtId="0" fontId="42" fillId="0" borderId="0" xfId="0" applyFont="1" applyAlignment="1">
      <alignment horizontal="center" wrapText="1"/>
    </xf>
    <xf numFmtId="0" fontId="47" fillId="0" borderId="0" xfId="0" applyFont="1" applyAlignment="1">
      <alignment vertical="top"/>
    </xf>
    <xf numFmtId="0" fontId="6" fillId="0" borderId="0" xfId="0" applyFont="1" applyAlignment="1">
      <alignment wrapText="1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2" fillId="0" borderId="3" xfId="0" applyFont="1" applyBorder="1" applyAlignment="1">
      <alignment horizontal="center"/>
    </xf>
    <xf numFmtId="3" fontId="0" fillId="0" borderId="2" xfId="0" applyNumberFormat="1" applyBorder="1"/>
    <xf numFmtId="4" fontId="6" fillId="0" borderId="2" xfId="0" applyNumberFormat="1" applyFont="1" applyBorder="1"/>
    <xf numFmtId="0" fontId="62" fillId="0" borderId="3" xfId="0" applyFont="1" applyBorder="1" applyAlignment="1">
      <alignment horizontal="center"/>
    </xf>
    <xf numFmtId="0" fontId="63" fillId="0" borderId="0" xfId="0" applyFont="1" applyAlignment="1">
      <alignment horizontal="center" wrapText="1"/>
    </xf>
    <xf numFmtId="0" fontId="61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3" fontId="0" fillId="2" borderId="0" xfId="0" applyNumberFormat="1" applyFill="1"/>
    <xf numFmtId="0" fontId="5" fillId="0" borderId="0" xfId="0" applyFont="1"/>
    <xf numFmtId="3" fontId="36" fillId="0" borderId="0" xfId="0" applyNumberFormat="1" applyFont="1" applyAlignment="1">
      <alignment vertical="top" wrapText="1"/>
    </xf>
    <xf numFmtId="0" fontId="5" fillId="0" borderId="0" xfId="0" applyFont="1" applyAlignment="1">
      <alignment horizontal="left"/>
    </xf>
    <xf numFmtId="0" fontId="29" fillId="0" borderId="0" xfId="62" applyFont="1"/>
    <xf numFmtId="0" fontId="15" fillId="0" borderId="0" xfId="0" applyFont="1"/>
    <xf numFmtId="3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3" fontId="8" fillId="2" borderId="2" xfId="0" applyNumberFormat="1" applyFont="1" applyFill="1" applyBorder="1" applyAlignment="1">
      <alignment horizontal="center" vertical="top" wrapText="1"/>
    </xf>
    <xf numFmtId="0" fontId="3" fillId="0" borderId="0" xfId="0" applyFont="1"/>
    <xf numFmtId="0" fontId="31" fillId="0" borderId="0" xfId="0" applyFont="1"/>
    <xf numFmtId="0" fontId="32" fillId="0" borderId="0" xfId="0" applyFont="1" applyAlignment="1">
      <alignment horizontal="left" vertical="top" wrapText="1"/>
    </xf>
    <xf numFmtId="0" fontId="32" fillId="0" borderId="0" xfId="0" applyFont="1" applyAlignment="1">
      <alignment vertical="top" wrapText="1"/>
    </xf>
    <xf numFmtId="0" fontId="34" fillId="0" borderId="0" xfId="0" applyFont="1" applyAlignment="1">
      <alignment horizontal="right" vertical="top" wrapText="1"/>
    </xf>
    <xf numFmtId="0" fontId="47" fillId="0" borderId="2" xfId="36" applyFont="1" applyBorder="1" applyAlignment="1">
      <alignment horizontal="center" vertical="center" wrapText="1"/>
    </xf>
    <xf numFmtId="0" fontId="34" fillId="0" borderId="0" xfId="0" applyFont="1" applyAlignment="1">
      <alignment vertical="center" wrapText="1"/>
    </xf>
    <xf numFmtId="0" fontId="31" fillId="0" borderId="0" xfId="0" applyFont="1" applyAlignment="1">
      <alignment vertical="center" wrapText="1"/>
    </xf>
    <xf numFmtId="3" fontId="4" fillId="0" borderId="2" xfId="0" applyNumberFormat="1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8" fillId="2" borderId="2" xfId="0" applyNumberFormat="1" applyFont="1" applyFill="1" applyBorder="1" applyAlignment="1">
      <alignment vertical="top" wrapText="1"/>
    </xf>
    <xf numFmtId="49" fontId="8" fillId="2" borderId="2" xfId="0" applyNumberFormat="1" applyFont="1" applyFill="1" applyBorder="1" applyAlignment="1">
      <alignment horizontal="center" vertical="top" wrapText="1"/>
    </xf>
    <xf numFmtId="3" fontId="4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8" fillId="2" borderId="0" xfId="0" applyFont="1" applyFill="1" applyAlignment="1">
      <alignment vertical="top"/>
    </xf>
    <xf numFmtId="0" fontId="34" fillId="0" borderId="0" xfId="0" applyFont="1" applyAlignment="1">
      <alignment horizontal="center" vertical="top" wrapText="1"/>
    </xf>
    <xf numFmtId="0" fontId="34" fillId="0" borderId="0" xfId="34" applyFont="1" applyAlignment="1">
      <alignment horizontal="center" vertical="top"/>
    </xf>
    <xf numFmtId="0" fontId="34" fillId="0" borderId="0" xfId="34" applyFont="1" applyAlignment="1">
      <alignment horizontal="left" vertical="top"/>
    </xf>
    <xf numFmtId="3" fontId="34" fillId="0" borderId="0" xfId="34" applyNumberFormat="1" applyFont="1" applyAlignment="1">
      <alignment horizontal="center" vertical="top"/>
    </xf>
    <xf numFmtId="0" fontId="34" fillId="0" borderId="0" xfId="34" applyFont="1"/>
    <xf numFmtId="0" fontId="9" fillId="0" borderId="0" xfId="0" applyFont="1" applyAlignment="1">
      <alignment vertical="center"/>
    </xf>
    <xf numFmtId="176" fontId="35" fillId="2" borderId="0" xfId="116" applyNumberFormat="1" applyFont="1" applyFill="1" applyAlignment="1">
      <alignment horizontal="center" vertical="center"/>
    </xf>
    <xf numFmtId="0" fontId="33" fillId="0" borderId="0" xfId="0" applyFont="1" applyAlignment="1">
      <alignment horizontal="center"/>
    </xf>
    <xf numFmtId="0" fontId="7" fillId="0" borderId="2" xfId="0" applyFont="1" applyBorder="1"/>
    <xf numFmtId="3" fontId="3" fillId="0" borderId="0" xfId="0" applyNumberFormat="1" applyFont="1"/>
    <xf numFmtId="0" fontId="65" fillId="0" borderId="0" xfId="0" applyFont="1"/>
    <xf numFmtId="0" fontId="8" fillId="0" borderId="0" xfId="0" applyFont="1"/>
    <xf numFmtId="0" fontId="4" fillId="2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wrapText="1"/>
    </xf>
    <xf numFmtId="3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49" fillId="0" borderId="2" xfId="34" applyFont="1" applyBorder="1" applyAlignment="1">
      <alignment vertical="top" wrapText="1"/>
    </xf>
    <xf numFmtId="0" fontId="8" fillId="0" borderId="0" xfId="34" applyFont="1" applyAlignment="1">
      <alignment horizontal="left" vertical="top" wrapText="1"/>
    </xf>
    <xf numFmtId="0" fontId="4" fillId="0" borderId="0" xfId="34" applyFont="1" applyAlignment="1">
      <alignment horizontal="center" vertical="top" wrapText="1"/>
    </xf>
    <xf numFmtId="0" fontId="49" fillId="0" borderId="0" xfId="34" applyFont="1" applyAlignment="1">
      <alignment vertical="top" wrapText="1"/>
    </xf>
    <xf numFmtId="3" fontId="4" fillId="0" borderId="0" xfId="34" applyNumberFormat="1" applyFont="1" applyAlignment="1">
      <alignment vertical="center" wrapText="1"/>
    </xf>
    <xf numFmtId="3" fontId="8" fillId="0" borderId="0" xfId="34" applyNumberFormat="1" applyFont="1" applyAlignment="1">
      <alignment horizontal="left"/>
    </xf>
    <xf numFmtId="0" fontId="8" fillId="0" borderId="2" xfId="34" applyFont="1" applyBorder="1" applyAlignment="1">
      <alignment vertical="top" wrapText="1"/>
    </xf>
    <xf numFmtId="3" fontId="49" fillId="0" borderId="2" xfId="34" applyNumberFormat="1" applyFont="1" applyBorder="1" applyAlignment="1">
      <alignment vertical="center" wrapText="1"/>
    </xf>
    <xf numFmtId="0" fontId="8" fillId="0" borderId="0" xfId="34" applyFont="1" applyAlignment="1">
      <alignment horizontal="right" vertical="top" wrapText="1"/>
    </xf>
    <xf numFmtId="0" fontId="4" fillId="0" borderId="0" xfId="34" applyFont="1" applyAlignment="1">
      <alignment vertical="top" wrapText="1"/>
    </xf>
    <xf numFmtId="3" fontId="4" fillId="0" borderId="0" xfId="34" applyNumberFormat="1" applyFont="1" applyAlignment="1">
      <alignment horizontal="right" vertical="center" wrapText="1"/>
    </xf>
    <xf numFmtId="3" fontId="8" fillId="0" borderId="0" xfId="34" applyNumberFormat="1" applyFont="1" applyAlignment="1">
      <alignment horizontal="right"/>
    </xf>
    <xf numFmtId="3" fontId="8" fillId="0" borderId="0" xfId="34" applyNumberFormat="1" applyFont="1"/>
    <xf numFmtId="49" fontId="4" fillId="0" borderId="2" xfId="34" applyNumberFormat="1" applyFont="1" applyBorder="1" applyAlignment="1">
      <alignment horizontal="center" vertical="top" wrapText="1"/>
    </xf>
    <xf numFmtId="0" fontId="4" fillId="0" borderId="2" xfId="34" applyFont="1" applyBorder="1" applyAlignment="1">
      <alignment vertical="top" wrapText="1"/>
    </xf>
    <xf numFmtId="0" fontId="8" fillId="0" borderId="2" xfId="34" applyFont="1" applyBorder="1" applyAlignment="1">
      <alignment horizontal="center" vertical="top" wrapText="1"/>
    </xf>
    <xf numFmtId="0" fontId="4" fillId="0" borderId="2" xfId="34" applyFont="1" applyBorder="1" applyAlignment="1">
      <alignment horizontal="left" vertical="top" wrapText="1"/>
    </xf>
    <xf numFmtId="0" fontId="33" fillId="0" borderId="2" xfId="34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4" fontId="3" fillId="0" borderId="0" xfId="0" applyNumberFormat="1" applyFont="1" applyAlignment="1">
      <alignment horizontal="right"/>
    </xf>
    <xf numFmtId="0" fontId="8" fillId="0" borderId="2" xfId="0" applyFont="1" applyBorder="1" applyAlignment="1">
      <alignment horizontal="left" vertical="top"/>
    </xf>
    <xf numFmtId="0" fontId="7" fillId="0" borderId="2" xfId="36" applyFont="1" applyBorder="1" applyAlignment="1">
      <alignment horizontal="center" vertical="top" wrapText="1"/>
    </xf>
    <xf numFmtId="0" fontId="4" fillId="0" borderId="2" xfId="36" applyFont="1" applyBorder="1" applyAlignment="1">
      <alignment horizontal="center" vertical="top" wrapText="1"/>
    </xf>
    <xf numFmtId="0" fontId="49" fillId="0" borderId="0" xfId="0" applyFont="1" applyAlignment="1">
      <alignment vertical="top"/>
    </xf>
    <xf numFmtId="0" fontId="4" fillId="0" borderId="0" xfId="34" applyFont="1"/>
    <xf numFmtId="0" fontId="8" fillId="0" borderId="0" xfId="0" applyFont="1" applyAlignment="1">
      <alignment vertical="center"/>
    </xf>
    <xf numFmtId="0" fontId="4" fillId="0" borderId="0" xfId="34" applyFont="1" applyAlignment="1">
      <alignment vertical="top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4" fillId="0" borderId="2" xfId="34" applyFont="1" applyBorder="1" applyAlignment="1">
      <alignment horizontal="center" vertical="center" wrapText="1"/>
    </xf>
    <xf numFmtId="0" fontId="4" fillId="0" borderId="2" xfId="34" applyFont="1" applyBorder="1" applyAlignment="1">
      <alignment horizontal="center"/>
    </xf>
    <xf numFmtId="168" fontId="4" fillId="0" borderId="2" xfId="34" applyNumberFormat="1" applyFont="1" applyBorder="1" applyAlignment="1">
      <alignment horizontal="center"/>
    </xf>
    <xf numFmtId="3" fontId="8" fillId="3" borderId="2" xfId="34" applyNumberFormat="1" applyFont="1" applyFill="1" applyBorder="1" applyAlignment="1">
      <alignment horizontal="center" vertical="top" wrapText="1"/>
    </xf>
    <xf numFmtId="3" fontId="8" fillId="3" borderId="2" xfId="34" applyNumberFormat="1" applyFont="1" applyFill="1" applyBorder="1" applyAlignment="1">
      <alignment vertical="center" wrapText="1"/>
    </xf>
    <xf numFmtId="0" fontId="8" fillId="4" borderId="2" xfId="34" applyFont="1" applyFill="1" applyBorder="1" applyAlignment="1">
      <alignment horizontal="center" vertical="top" wrapText="1"/>
    </xf>
    <xf numFmtId="0" fontId="8" fillId="4" borderId="2" xfId="34" applyFont="1" applyFill="1" applyBorder="1" applyAlignment="1">
      <alignment horizontal="left" vertical="top" wrapText="1"/>
    </xf>
    <xf numFmtId="3" fontId="8" fillId="4" borderId="2" xfId="34" applyNumberFormat="1" applyFont="1" applyFill="1" applyBorder="1" applyAlignment="1">
      <alignment vertical="center" wrapText="1"/>
    </xf>
    <xf numFmtId="0" fontId="8" fillId="2" borderId="2" xfId="34" applyFont="1" applyFill="1" applyBorder="1" applyAlignment="1">
      <alignment horizontal="center" vertical="top" wrapText="1"/>
    </xf>
    <xf numFmtId="0" fontId="8" fillId="2" borderId="2" xfId="34" applyFont="1" applyFill="1" applyBorder="1" applyAlignment="1">
      <alignment horizontal="left" vertical="top" wrapText="1"/>
    </xf>
    <xf numFmtId="3" fontId="8" fillId="2" borderId="2" xfId="34" applyNumberFormat="1" applyFont="1" applyFill="1" applyBorder="1" applyAlignment="1">
      <alignment vertical="center" wrapText="1"/>
    </xf>
    <xf numFmtId="0" fontId="8" fillId="2" borderId="2" xfId="34" applyFont="1" applyFill="1" applyBorder="1" applyAlignment="1">
      <alignment vertical="top" wrapText="1"/>
    </xf>
    <xf numFmtId="49" fontId="8" fillId="2" borderId="2" xfId="34" applyNumberFormat="1" applyFont="1" applyFill="1" applyBorder="1" applyAlignment="1">
      <alignment horizontal="center" vertical="top" wrapText="1"/>
    </xf>
    <xf numFmtId="0" fontId="8" fillId="4" borderId="2" xfId="34" applyFont="1" applyFill="1" applyBorder="1" applyAlignment="1">
      <alignment vertical="top" wrapText="1"/>
    </xf>
    <xf numFmtId="0" fontId="33" fillId="0" borderId="2" xfId="34" applyFont="1" applyBorder="1" applyAlignment="1">
      <alignment horizontal="center" vertical="top" wrapText="1"/>
    </xf>
    <xf numFmtId="3" fontId="33" fillId="0" borderId="2" xfId="34" applyNumberFormat="1" applyFont="1" applyBorder="1" applyAlignment="1">
      <alignment vertical="center" wrapText="1"/>
    </xf>
    <xf numFmtId="0" fontId="49" fillId="0" borderId="2" xfId="34" applyFont="1" applyBorder="1" applyAlignment="1">
      <alignment horizontal="center" vertical="top" wrapText="1"/>
    </xf>
    <xf numFmtId="3" fontId="8" fillId="0" borderId="2" xfId="34" applyNumberFormat="1" applyFont="1" applyBorder="1" applyAlignment="1">
      <alignment vertical="center" wrapText="1"/>
    </xf>
    <xf numFmtId="0" fontId="4" fillId="0" borderId="2" xfId="34" applyFont="1" applyBorder="1" applyAlignment="1">
      <alignment horizontal="center" vertical="top" wrapText="1"/>
    </xf>
    <xf numFmtId="3" fontId="4" fillId="0" borderId="2" xfId="34" applyNumberFormat="1" applyFont="1" applyBorder="1" applyAlignment="1">
      <alignment vertical="center" wrapText="1"/>
    </xf>
    <xf numFmtId="0" fontId="65" fillId="0" borderId="0" xfId="0" applyFont="1" applyAlignment="1">
      <alignment horizontal="center"/>
    </xf>
    <xf numFmtId="0" fontId="65" fillId="0" borderId="0" xfId="0" applyFont="1" applyAlignment="1">
      <alignment horizontal="right"/>
    </xf>
    <xf numFmtId="3" fontId="65" fillId="0" borderId="0" xfId="0" applyNumberFormat="1" applyFont="1" applyAlignment="1">
      <alignment horizontal="right"/>
    </xf>
    <xf numFmtId="0" fontId="52" fillId="0" borderId="0" xfId="0" applyFont="1" applyAlignment="1">
      <alignment horizontal="center"/>
    </xf>
    <xf numFmtId="0" fontId="51" fillId="0" borderId="0" xfId="0" applyFont="1" applyAlignment="1">
      <alignment horizontal="right"/>
    </xf>
    <xf numFmtId="3" fontId="51" fillId="0" borderId="0" xfId="0" applyNumberFormat="1" applyFont="1" applyAlignment="1">
      <alignment horizontal="right"/>
    </xf>
    <xf numFmtId="0" fontId="8" fillId="0" borderId="2" xfId="34" applyFont="1" applyBorder="1" applyAlignment="1">
      <alignment horizontal="left" vertical="top" wrapText="1"/>
    </xf>
    <xf numFmtId="49" fontId="8" fillId="0" borderId="2" xfId="34" applyNumberFormat="1" applyFont="1" applyBorder="1" applyAlignment="1">
      <alignment horizontal="center" vertical="top" wrapText="1"/>
    </xf>
    <xf numFmtId="49" fontId="4" fillId="2" borderId="2" xfId="34" applyNumberFormat="1" applyFont="1" applyFill="1" applyBorder="1" applyAlignment="1">
      <alignment horizontal="center" vertical="top" wrapText="1"/>
    </xf>
    <xf numFmtId="0" fontId="4" fillId="2" borderId="2" xfId="34" applyFont="1" applyFill="1" applyBorder="1" applyAlignment="1">
      <alignment vertical="top" wrapText="1"/>
    </xf>
    <xf numFmtId="3" fontId="4" fillId="2" borderId="2" xfId="34" applyNumberFormat="1" applyFont="1" applyFill="1" applyBorder="1" applyAlignment="1">
      <alignment vertical="center" wrapText="1"/>
    </xf>
    <xf numFmtId="0" fontId="4" fillId="2" borderId="2" xfId="34" applyFont="1" applyFill="1" applyBorder="1" applyAlignment="1">
      <alignment horizontal="left" vertical="top" wrapText="1"/>
    </xf>
    <xf numFmtId="49" fontId="33" fillId="2" borderId="2" xfId="34" applyNumberFormat="1" applyFont="1" applyFill="1" applyBorder="1" applyAlignment="1">
      <alignment horizontal="center" vertical="top" wrapText="1"/>
    </xf>
    <xf numFmtId="0" fontId="33" fillId="2" borderId="2" xfId="34" applyFont="1" applyFill="1" applyBorder="1" applyAlignment="1">
      <alignment vertical="top" wrapText="1"/>
    </xf>
    <xf numFmtId="3" fontId="33" fillId="2" borderId="2" xfId="34" applyNumberFormat="1" applyFont="1" applyFill="1" applyBorder="1" applyAlignment="1">
      <alignment vertical="center" wrapText="1"/>
    </xf>
    <xf numFmtId="0" fontId="33" fillId="2" borderId="2" xfId="34" applyFont="1" applyFill="1" applyBorder="1" applyAlignment="1">
      <alignment horizontal="left" vertical="top" wrapText="1"/>
    </xf>
    <xf numFmtId="3" fontId="4" fillId="0" borderId="0" xfId="34" applyNumberFormat="1" applyFont="1" applyAlignment="1">
      <alignment horizontal="center"/>
    </xf>
    <xf numFmtId="0" fontId="4" fillId="0" borderId="0" xfId="34" applyFont="1" applyAlignment="1">
      <alignment horizontal="left" vertical="top" wrapText="1"/>
    </xf>
    <xf numFmtId="3" fontId="8" fillId="0" borderId="0" xfId="0" applyNumberFormat="1" applyFont="1" applyAlignment="1">
      <alignment vertical="center"/>
    </xf>
    <xf numFmtId="0" fontId="4" fillId="0" borderId="2" xfId="34" applyFont="1" applyBorder="1" applyAlignment="1">
      <alignment horizontal="center" vertical="center"/>
    </xf>
    <xf numFmtId="3" fontId="8" fillId="2" borderId="0" xfId="34" applyNumberFormat="1" applyFont="1" applyFill="1" applyAlignment="1">
      <alignment horizontal="left"/>
    </xf>
    <xf numFmtId="3" fontId="8" fillId="2" borderId="0" xfId="34" applyNumberFormat="1" applyFont="1" applyFill="1" applyAlignment="1">
      <alignment horizontal="center"/>
    </xf>
    <xf numFmtId="3" fontId="8" fillId="0" borderId="0" xfId="34" applyNumberFormat="1" applyFont="1" applyAlignment="1">
      <alignment horizontal="center"/>
    </xf>
    <xf numFmtId="4" fontId="4" fillId="0" borderId="2" xfId="36" applyNumberFormat="1" applyFont="1" applyBorder="1" applyAlignment="1">
      <alignment horizontal="center" vertical="top" wrapText="1"/>
    </xf>
    <xf numFmtId="4" fontId="4" fillId="0" borderId="2" xfId="36" applyNumberFormat="1" applyFont="1" applyBorder="1" applyAlignment="1">
      <alignment vertical="top" wrapText="1"/>
    </xf>
    <xf numFmtId="0" fontId="30" fillId="0" borderId="0" xfId="0" applyFont="1" applyAlignment="1">
      <alignment vertical="center"/>
    </xf>
    <xf numFmtId="0" fontId="30" fillId="0" borderId="0" xfId="0" applyFont="1" applyAlignment="1">
      <alignment horizontal="center" vertical="center"/>
    </xf>
    <xf numFmtId="176" fontId="36" fillId="0" borderId="0" xfId="116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top"/>
    </xf>
    <xf numFmtId="3" fontId="35" fillId="0" borderId="0" xfId="0" applyNumberFormat="1" applyFont="1" applyAlignment="1">
      <alignment horizontal="right" vertical="top" wrapText="1"/>
    </xf>
    <xf numFmtId="3" fontId="35" fillId="0" borderId="0" xfId="0" applyNumberFormat="1" applyFont="1"/>
    <xf numFmtId="3" fontId="35" fillId="0" borderId="0" xfId="0" applyNumberFormat="1" applyFont="1" applyAlignment="1">
      <alignment horizontal="center" vertical="center"/>
    </xf>
    <xf numFmtId="0" fontId="30" fillId="0" borderId="0" xfId="0" applyFont="1"/>
    <xf numFmtId="176" fontId="36" fillId="2" borderId="0" xfId="122" applyNumberFormat="1" applyFont="1" applyFill="1" applyAlignment="1">
      <alignment horizontal="left" vertical="center"/>
    </xf>
    <xf numFmtId="178" fontId="36" fillId="2" borderId="0" xfId="122" applyNumberFormat="1" applyFont="1" applyFill="1" applyAlignment="1">
      <alignment horizontal="left" vertical="center"/>
    </xf>
    <xf numFmtId="178" fontId="35" fillId="2" borderId="0" xfId="122" applyNumberFormat="1" applyFont="1" applyFill="1" applyAlignment="1">
      <alignment horizontal="left" vertical="center"/>
    </xf>
    <xf numFmtId="0" fontId="35" fillId="2" borderId="0" xfId="36" applyFont="1" applyFill="1" applyAlignment="1">
      <alignment vertical="center"/>
    </xf>
    <xf numFmtId="178" fontId="35" fillId="2" borderId="0" xfId="122" applyNumberFormat="1" applyFont="1" applyFill="1" applyAlignment="1">
      <alignment vertical="center"/>
    </xf>
    <xf numFmtId="0" fontId="66" fillId="0" borderId="0" xfId="0" applyFont="1" applyAlignment="1">
      <alignment vertical="center"/>
    </xf>
    <xf numFmtId="178" fontId="66" fillId="2" borderId="0" xfId="0" applyNumberFormat="1" applyFont="1" applyFill="1" applyAlignment="1">
      <alignment vertical="center"/>
    </xf>
    <xf numFmtId="0" fontId="32" fillId="0" borderId="0" xfId="0" applyFont="1"/>
    <xf numFmtId="0" fontId="30" fillId="0" borderId="0" xfId="0" applyFont="1" applyAlignment="1">
      <alignment vertical="center" wrapText="1"/>
    </xf>
    <xf numFmtId="4" fontId="34" fillId="0" borderId="0" xfId="94" applyNumberFormat="1" applyFont="1" applyAlignment="1">
      <alignment vertical="center"/>
    </xf>
    <xf numFmtId="0" fontId="34" fillId="0" borderId="0" xfId="94" applyFont="1" applyAlignment="1">
      <alignment vertical="center"/>
    </xf>
    <xf numFmtId="0" fontId="32" fillId="0" borderId="0" xfId="94" applyFont="1" applyAlignment="1">
      <alignment horizontal="center" vertical="center"/>
    </xf>
    <xf numFmtId="0" fontId="56" fillId="0" borderId="0" xfId="94" applyFont="1" applyAlignment="1">
      <alignment vertical="center"/>
    </xf>
    <xf numFmtId="0" fontId="32" fillId="0" borderId="0" xfId="94" applyFont="1" applyAlignment="1">
      <alignment vertical="center" wrapText="1"/>
    </xf>
    <xf numFmtId="3" fontId="32" fillId="0" borderId="0" xfId="94" applyNumberFormat="1" applyFont="1" applyAlignment="1">
      <alignment vertical="center" wrapText="1"/>
    </xf>
    <xf numFmtId="0" fontId="34" fillId="0" borderId="0" xfId="94" applyFont="1" applyAlignment="1">
      <alignment vertical="center" wrapText="1"/>
    </xf>
    <xf numFmtId="3" fontId="34" fillId="0" borderId="0" xfId="94" applyNumberFormat="1" applyFont="1" applyAlignment="1">
      <alignment vertical="center"/>
    </xf>
    <xf numFmtId="0" fontId="8" fillId="0" borderId="0" xfId="72" applyFont="1" applyAlignment="1">
      <alignment vertical="center"/>
    </xf>
    <xf numFmtId="0" fontId="4" fillId="0" borderId="0" xfId="72" applyFont="1" applyAlignment="1">
      <alignment vertical="center"/>
    </xf>
    <xf numFmtId="0" fontId="8" fillId="0" borderId="0" xfId="72" applyFont="1" applyAlignment="1">
      <alignment horizontal="center" vertical="center"/>
    </xf>
    <xf numFmtId="170" fontId="4" fillId="0" borderId="0" xfId="119" applyFont="1" applyFill="1" applyAlignment="1">
      <alignment vertical="center"/>
    </xf>
    <xf numFmtId="3" fontId="4" fillId="0" borderId="0" xfId="72" applyNumberFormat="1" applyFont="1" applyAlignment="1">
      <alignment horizontal="right" vertical="center"/>
    </xf>
    <xf numFmtId="0" fontId="8" fillId="0" borderId="0" xfId="72" applyFont="1" applyAlignment="1">
      <alignment horizontal="left" vertical="center"/>
    </xf>
    <xf numFmtId="0" fontId="68" fillId="0" borderId="0" xfId="72" applyFont="1" applyAlignment="1">
      <alignment horizontal="center" vertical="center"/>
    </xf>
    <xf numFmtId="0" fontId="33" fillId="0" borderId="0" xfId="72" applyFont="1" applyAlignment="1">
      <alignment vertical="center"/>
    </xf>
    <xf numFmtId="0" fontId="8" fillId="0" borderId="4" xfId="72" applyFont="1" applyBorder="1" applyAlignment="1">
      <alignment horizontal="center" vertical="center" wrapText="1"/>
    </xf>
    <xf numFmtId="0" fontId="4" fillId="0" borderId="0" xfId="72" applyFont="1" applyAlignment="1">
      <alignment horizontal="center" vertical="center"/>
    </xf>
    <xf numFmtId="3" fontId="8" fillId="0" borderId="0" xfId="72" applyNumberFormat="1" applyFont="1" applyAlignment="1">
      <alignment horizontal="center" vertical="center" wrapText="1"/>
    </xf>
    <xf numFmtId="0" fontId="8" fillId="0" borderId="2" xfId="72" applyFont="1" applyBorder="1" applyAlignment="1">
      <alignment horizontal="center" vertical="center" wrapText="1"/>
    </xf>
    <xf numFmtId="0" fontId="4" fillId="0" borderId="2" xfId="72" applyFont="1" applyBorder="1" applyAlignment="1">
      <alignment horizontal="center" vertical="center" wrapText="1"/>
    </xf>
    <xf numFmtId="3" fontId="4" fillId="0" borderId="2" xfId="72" applyNumberFormat="1" applyFont="1" applyBorder="1" applyAlignment="1">
      <alignment vertical="center" wrapText="1"/>
    </xf>
    <xf numFmtId="0" fontId="4" fillId="0" borderId="0" xfId="72" applyFont="1" applyAlignment="1">
      <alignment vertical="center" wrapText="1"/>
    </xf>
    <xf numFmtId="170" fontId="4" fillId="0" borderId="0" xfId="119" applyFont="1" applyFill="1" applyAlignment="1">
      <alignment horizontal="right" vertical="center"/>
    </xf>
    <xf numFmtId="3" fontId="69" fillId="0" borderId="0" xfId="94" applyNumberFormat="1" applyFont="1" applyAlignment="1">
      <alignment vertical="center" wrapText="1"/>
    </xf>
    <xf numFmtId="4" fontId="67" fillId="0" borderId="0" xfId="94" applyNumberFormat="1" applyFont="1" applyAlignment="1">
      <alignment vertical="center"/>
    </xf>
    <xf numFmtId="3" fontId="30" fillId="0" borderId="2" xfId="0" applyNumberFormat="1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4" fontId="30" fillId="0" borderId="2" xfId="0" applyNumberFormat="1" applyFont="1" applyBorder="1" applyAlignment="1">
      <alignment horizontal="center" vertical="center" wrapText="1"/>
    </xf>
    <xf numFmtId="4" fontId="30" fillId="0" borderId="2" xfId="0" applyNumberFormat="1" applyFont="1" applyBorder="1" applyAlignment="1">
      <alignment vertical="center"/>
    </xf>
    <xf numFmtId="0" fontId="11" fillId="0" borderId="0" xfId="0" applyFont="1"/>
    <xf numFmtId="0" fontId="35" fillId="2" borderId="2" xfId="111" applyFont="1" applyFill="1" applyBorder="1" applyAlignment="1">
      <alignment vertical="center" wrapText="1"/>
    </xf>
    <xf numFmtId="0" fontId="35" fillId="0" borderId="2" xfId="111" applyFont="1" applyBorder="1" applyAlignment="1">
      <alignment vertical="center" wrapText="1"/>
    </xf>
    <xf numFmtId="0" fontId="36" fillId="0" borderId="2" xfId="0" applyFont="1" applyBorder="1" applyAlignment="1">
      <alignment horizontal="center" vertical="center"/>
    </xf>
    <xf numFmtId="0" fontId="36" fillId="0" borderId="0" xfId="0" applyFont="1" applyAlignment="1">
      <alignment vertical="center"/>
    </xf>
    <xf numFmtId="4" fontId="30" fillId="0" borderId="2" xfId="36" applyNumberFormat="1" applyFont="1" applyBorder="1" applyAlignment="1">
      <alignment horizontal="center" vertical="center" wrapText="1"/>
    </xf>
    <xf numFmtId="176" fontId="35" fillId="2" borderId="0" xfId="116" applyNumberFormat="1" applyFont="1" applyFill="1" applyAlignment="1">
      <alignment vertical="center"/>
    </xf>
    <xf numFmtId="176" fontId="36" fillId="0" borderId="2" xfId="116" applyNumberFormat="1" applyFont="1" applyFill="1" applyBorder="1" applyAlignment="1">
      <alignment horizontal="center" vertical="center"/>
    </xf>
    <xf numFmtId="176" fontId="35" fillId="0" borderId="2" xfId="116" applyNumberFormat="1" applyFont="1" applyFill="1" applyBorder="1" applyAlignment="1">
      <alignment horizontal="center" vertical="center" wrapText="1"/>
    </xf>
    <xf numFmtId="176" fontId="35" fillId="0" borderId="0" xfId="116" applyNumberFormat="1" applyFont="1" applyFill="1" applyAlignment="1">
      <alignment vertical="center"/>
    </xf>
    <xf numFmtId="176" fontId="35" fillId="0" borderId="0" xfId="116" applyNumberFormat="1" applyFont="1" applyFill="1" applyAlignment="1">
      <alignment horizontal="center" vertical="center"/>
    </xf>
    <xf numFmtId="176" fontId="36" fillId="0" borderId="0" xfId="116" applyNumberFormat="1" applyFont="1" applyFill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70" fillId="0" borderId="0" xfId="0" applyFont="1" applyAlignment="1">
      <alignment vertical="center" wrapText="1"/>
    </xf>
    <xf numFmtId="172" fontId="30" fillId="0" borderId="2" xfId="0" applyNumberFormat="1" applyFont="1" applyBorder="1" applyAlignment="1">
      <alignment horizontal="center" vertical="center" wrapText="1"/>
    </xf>
    <xf numFmtId="0" fontId="55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30" fillId="0" borderId="0" xfId="62" applyFont="1" applyAlignment="1">
      <alignment vertical="center"/>
    </xf>
    <xf numFmtId="0" fontId="35" fillId="2" borderId="2" xfId="116" applyNumberFormat="1" applyFont="1" applyFill="1" applyBorder="1" applyAlignment="1">
      <alignment horizontal="center" vertical="center" wrapText="1"/>
    </xf>
    <xf numFmtId="0" fontId="35" fillId="2" borderId="2" xfId="116" applyNumberFormat="1" applyFont="1" applyFill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3" fontId="30" fillId="0" borderId="2" xfId="0" applyNumberFormat="1" applyFont="1" applyBorder="1" applyAlignment="1">
      <alignment horizontal="center" vertical="center"/>
    </xf>
    <xf numFmtId="3" fontId="35" fillId="0" borderId="2" xfId="0" applyNumberFormat="1" applyFont="1" applyBorder="1" applyAlignment="1">
      <alignment horizontal="center" vertical="center" wrapText="1"/>
    </xf>
    <xf numFmtId="2" fontId="9" fillId="0" borderId="5" xfId="0" applyNumberFormat="1" applyFont="1" applyBorder="1" applyAlignment="1">
      <alignment horizontal="center" vertical="center" wrapText="1"/>
    </xf>
    <xf numFmtId="0" fontId="35" fillId="0" borderId="2" xfId="0" applyFont="1" applyBorder="1" applyAlignment="1">
      <alignment vertical="center" wrapText="1"/>
    </xf>
    <xf numFmtId="4" fontId="35" fillId="0" borderId="2" xfId="0" applyNumberFormat="1" applyFont="1" applyBorder="1" applyAlignment="1">
      <alignment horizontal="center" vertical="center" wrapText="1"/>
    </xf>
    <xf numFmtId="3" fontId="35" fillId="0" borderId="6" xfId="0" applyNumberFormat="1" applyFont="1" applyBorder="1" applyAlignment="1">
      <alignment horizontal="center" vertical="center" wrapText="1"/>
    </xf>
    <xf numFmtId="0" fontId="11" fillId="0" borderId="0" xfId="62" applyFont="1" applyAlignment="1">
      <alignment vertical="center"/>
    </xf>
    <xf numFmtId="0" fontId="36" fillId="0" borderId="2" xfId="0" applyFont="1" applyBorder="1" applyAlignment="1">
      <alignment horizontal="left" vertical="center"/>
    </xf>
    <xf numFmtId="0" fontId="35" fillId="0" borderId="2" xfId="36" applyFont="1" applyBorder="1" applyAlignment="1">
      <alignment horizontal="center" vertical="center" wrapText="1"/>
    </xf>
    <xf numFmtId="3" fontId="30" fillId="0" borderId="0" xfId="0" applyNumberFormat="1" applyFont="1" applyAlignment="1">
      <alignment vertical="center"/>
    </xf>
    <xf numFmtId="0" fontId="38" fillId="0" borderId="0" xfId="0" applyFont="1" applyAlignment="1">
      <alignment horizontal="right" vertical="center" wrapText="1"/>
    </xf>
    <xf numFmtId="3" fontId="35" fillId="0" borderId="2" xfId="0" applyNumberFormat="1" applyFont="1" applyBorder="1" applyAlignment="1">
      <alignment horizontal="center" vertical="center"/>
    </xf>
    <xf numFmtId="4" fontId="35" fillId="0" borderId="2" xfId="0" applyNumberFormat="1" applyFont="1" applyBorder="1" applyAlignment="1">
      <alignment vertical="center"/>
    </xf>
    <xf numFmtId="0" fontId="35" fillId="0" borderId="0" xfId="0" applyFont="1" applyAlignment="1">
      <alignment vertical="center"/>
    </xf>
    <xf numFmtId="0" fontId="36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vertical="center" wrapText="1"/>
    </xf>
    <xf numFmtId="49" fontId="35" fillId="0" borderId="2" xfId="34" applyNumberFormat="1" applyFont="1" applyBorder="1" applyAlignment="1">
      <alignment horizontal="center" vertical="center" wrapText="1"/>
    </xf>
    <xf numFmtId="0" fontId="35" fillId="0" borderId="2" xfId="34" applyFont="1" applyBorder="1" applyAlignment="1">
      <alignment vertical="center" wrapText="1"/>
    </xf>
    <xf numFmtId="3" fontId="35" fillId="0" borderId="0" xfId="0" applyNumberFormat="1" applyFont="1" applyAlignment="1">
      <alignment vertical="top"/>
    </xf>
    <xf numFmtId="0" fontId="36" fillId="2" borderId="2" xfId="116" applyNumberFormat="1" applyFont="1" applyFill="1" applyBorder="1" applyAlignment="1">
      <alignment horizontal="center" vertical="center" wrapText="1"/>
    </xf>
    <xf numFmtId="3" fontId="36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36" fillId="0" borderId="0" xfId="72" applyFont="1" applyAlignment="1">
      <alignment horizontal="center" vertical="center"/>
    </xf>
    <xf numFmtId="0" fontId="67" fillId="0" borderId="3" xfId="94" applyFont="1" applyBorder="1" applyAlignment="1">
      <alignment vertical="center"/>
    </xf>
    <xf numFmtId="3" fontId="8" fillId="0" borderId="2" xfId="72" applyNumberFormat="1" applyFont="1" applyBorder="1" applyAlignment="1">
      <alignment vertical="center" wrapText="1"/>
    </xf>
    <xf numFmtId="0" fontId="8" fillId="0" borderId="0" xfId="72" applyFont="1" applyAlignment="1">
      <alignment vertical="center" wrapText="1"/>
    </xf>
    <xf numFmtId="0" fontId="36" fillId="2" borderId="2" xfId="116" applyNumberFormat="1" applyFont="1" applyFill="1" applyBorder="1" applyAlignment="1">
      <alignment vertical="center" wrapText="1"/>
    </xf>
    <xf numFmtId="0" fontId="35" fillId="0" borderId="0" xfId="116" applyNumberFormat="1" applyFont="1" applyFill="1" applyBorder="1" applyAlignment="1">
      <alignment horizontal="center" vertical="center" wrapText="1"/>
    </xf>
    <xf numFmtId="0" fontId="36" fillId="0" borderId="0" xfId="116" applyNumberFormat="1" applyFont="1" applyFill="1" applyBorder="1" applyAlignment="1">
      <alignment vertical="center" wrapText="1"/>
    </xf>
    <xf numFmtId="0" fontId="36" fillId="0" borderId="0" xfId="116" applyNumberFormat="1" applyFont="1" applyFill="1" applyBorder="1" applyAlignment="1">
      <alignment horizontal="right" vertical="center" wrapText="1"/>
    </xf>
    <xf numFmtId="0" fontId="36" fillId="0" borderId="0" xfId="116" applyNumberFormat="1" applyFont="1" applyFill="1" applyBorder="1" applyAlignment="1">
      <alignment horizontal="center" vertical="center" wrapText="1"/>
    </xf>
    <xf numFmtId="0" fontId="36" fillId="0" borderId="0" xfId="116" applyNumberFormat="1" applyFont="1" applyFill="1" applyBorder="1" applyAlignment="1">
      <alignment vertical="center"/>
    </xf>
    <xf numFmtId="0" fontId="35" fillId="0" borderId="0" xfId="116" applyNumberFormat="1" applyFont="1" applyFill="1" applyAlignment="1">
      <alignment vertical="center"/>
    </xf>
    <xf numFmtId="0" fontId="35" fillId="0" borderId="0" xfId="116" applyNumberFormat="1" applyFont="1" applyFill="1" applyAlignment="1">
      <alignment horizontal="center" vertical="center"/>
    </xf>
    <xf numFmtId="0" fontId="36" fillId="0" borderId="0" xfId="122" applyNumberFormat="1" applyFont="1" applyFill="1" applyAlignment="1">
      <alignment horizontal="left" vertical="center"/>
    </xf>
    <xf numFmtId="0" fontId="35" fillId="0" borderId="0" xfId="122" applyNumberFormat="1" applyFont="1" applyFill="1" applyAlignment="1">
      <alignment vertical="center"/>
    </xf>
    <xf numFmtId="0" fontId="35" fillId="0" borderId="0" xfId="36" applyFont="1" applyAlignment="1">
      <alignment vertical="center"/>
    </xf>
    <xf numFmtId="0" fontId="35" fillId="0" borderId="0" xfId="122" applyNumberFormat="1" applyFont="1" applyFill="1" applyAlignment="1">
      <alignment horizontal="left" vertical="center"/>
    </xf>
    <xf numFmtId="176" fontId="36" fillId="0" borderId="0" xfId="116" applyNumberFormat="1" applyFont="1" applyFill="1" applyAlignment="1">
      <alignment horizontal="left" wrapText="1"/>
    </xf>
    <xf numFmtId="178" fontId="35" fillId="0" borderId="0" xfId="116" applyNumberFormat="1" applyFont="1" applyFill="1" applyAlignment="1"/>
    <xf numFmtId="176" fontId="35" fillId="0" borderId="0" xfId="116" applyNumberFormat="1" applyFont="1" applyFill="1" applyAlignment="1"/>
    <xf numFmtId="0" fontId="9" fillId="0" borderId="0" xfId="0" applyFont="1" applyAlignment="1">
      <alignment horizontal="center"/>
    </xf>
    <xf numFmtId="0" fontId="9" fillId="0" borderId="3" xfId="0" applyFont="1" applyBorder="1" applyAlignment="1">
      <alignment horizontal="center"/>
    </xf>
    <xf numFmtId="0" fontId="70" fillId="0" borderId="3" xfId="0" applyFont="1" applyBorder="1" applyAlignment="1">
      <alignment horizontal="center"/>
    </xf>
    <xf numFmtId="0" fontId="36" fillId="0" borderId="2" xfId="116" applyNumberFormat="1" applyFont="1" applyFill="1" applyBorder="1" applyAlignment="1">
      <alignment horizontal="center" vertical="center" wrapText="1"/>
    </xf>
    <xf numFmtId="176" fontId="36" fillId="0" borderId="2" xfId="116" applyNumberFormat="1" applyFont="1" applyFill="1" applyBorder="1" applyAlignment="1">
      <alignment vertical="center"/>
    </xf>
    <xf numFmtId="0" fontId="30" fillId="0" borderId="2" xfId="0" applyFont="1" applyBorder="1" applyAlignment="1">
      <alignment vertical="center"/>
    </xf>
    <xf numFmtId="170" fontId="35" fillId="0" borderId="2" xfId="116" applyFont="1" applyFill="1" applyBorder="1" applyAlignment="1">
      <alignment vertical="center"/>
    </xf>
    <xf numFmtId="176" fontId="35" fillId="0" borderId="2" xfId="116" applyNumberFormat="1" applyFont="1" applyFill="1" applyBorder="1" applyAlignment="1">
      <alignment vertical="center"/>
    </xf>
    <xf numFmtId="0" fontId="30" fillId="0" borderId="2" xfId="0" applyFont="1" applyBorder="1" applyAlignment="1">
      <alignment horizontal="center" vertical="center"/>
    </xf>
    <xf numFmtId="0" fontId="35" fillId="0" borderId="2" xfId="116" applyNumberFormat="1" applyFont="1" applyFill="1" applyBorder="1" applyAlignment="1">
      <alignment vertical="center" wrapText="1"/>
    </xf>
    <xf numFmtId="176" fontId="35" fillId="0" borderId="0" xfId="116" applyNumberFormat="1" applyFont="1" applyFill="1" applyAlignment="1">
      <alignment horizontal="center"/>
    </xf>
    <xf numFmtId="178" fontId="35" fillId="0" borderId="0" xfId="122" applyNumberFormat="1" applyFont="1" applyFill="1" applyAlignment="1"/>
    <xf numFmtId="0" fontId="66" fillId="0" borderId="0" xfId="0" applyFont="1"/>
    <xf numFmtId="178" fontId="36" fillId="0" borderId="0" xfId="122" applyNumberFormat="1" applyFont="1" applyFill="1" applyAlignment="1">
      <alignment horizontal="left"/>
    </xf>
    <xf numFmtId="0" fontId="35" fillId="0" borderId="0" xfId="36" applyFont="1"/>
    <xf numFmtId="178" fontId="30" fillId="0" borderId="0" xfId="62" applyNumberFormat="1" applyFont="1"/>
    <xf numFmtId="176" fontId="35" fillId="0" borderId="2" xfId="116" applyNumberFormat="1" applyFont="1" applyFill="1" applyBorder="1" applyAlignment="1">
      <alignment horizontal="center" vertical="center"/>
    </xf>
    <xf numFmtId="176" fontId="36" fillId="0" borderId="0" xfId="122" applyNumberFormat="1" applyFont="1" applyFill="1" applyAlignment="1">
      <alignment horizontal="left" vertical="center"/>
    </xf>
    <xf numFmtId="178" fontId="35" fillId="0" borderId="0" xfId="122" applyNumberFormat="1" applyFont="1" applyFill="1" applyAlignment="1">
      <alignment vertical="center"/>
    </xf>
    <xf numFmtId="178" fontId="36" fillId="0" borderId="0" xfId="122" applyNumberFormat="1" applyFont="1" applyFill="1" applyAlignment="1">
      <alignment horizontal="left" vertical="center"/>
    </xf>
    <xf numFmtId="176" fontId="35" fillId="0" borderId="0" xfId="122" applyNumberFormat="1" applyFont="1" applyFill="1" applyAlignment="1">
      <alignment horizontal="left" vertical="center"/>
    </xf>
    <xf numFmtId="178" fontId="35" fillId="0" borderId="0" xfId="122" applyNumberFormat="1" applyFont="1" applyFill="1" applyAlignment="1">
      <alignment horizontal="left" vertical="center"/>
    </xf>
    <xf numFmtId="178" fontId="66" fillId="0" borderId="0" xfId="0" applyNumberFormat="1" applyFont="1" applyAlignment="1">
      <alignment vertical="center"/>
    </xf>
    <xf numFmtId="0" fontId="36" fillId="0" borderId="0" xfId="0" applyFont="1" applyAlignment="1">
      <alignment horizontal="left" vertical="center"/>
    </xf>
    <xf numFmtId="0" fontId="38" fillId="0" borderId="0" xfId="0" applyFont="1" applyAlignment="1">
      <alignment horizontal="right" vertical="center"/>
    </xf>
    <xf numFmtId="0" fontId="72" fillId="0" borderId="0" xfId="0" applyFont="1" applyAlignment="1">
      <alignment vertical="center"/>
    </xf>
    <xf numFmtId="0" fontId="58" fillId="0" borderId="0" xfId="62" applyFont="1" applyAlignment="1">
      <alignment vertical="center"/>
    </xf>
    <xf numFmtId="176" fontId="35" fillId="0" borderId="0" xfId="116" applyNumberFormat="1" applyFont="1" applyFill="1"/>
    <xf numFmtId="176" fontId="36" fillId="0" borderId="0" xfId="116" applyNumberFormat="1" applyFont="1" applyFill="1" applyAlignment="1">
      <alignment horizontal="left"/>
    </xf>
    <xf numFmtId="0" fontId="58" fillId="0" borderId="0" xfId="62" applyFont="1"/>
    <xf numFmtId="0" fontId="11" fillId="0" borderId="0" xfId="62" applyFont="1"/>
    <xf numFmtId="0" fontId="35" fillId="0" borderId="0" xfId="62" applyFont="1"/>
    <xf numFmtId="0" fontId="30" fillId="0" borderId="0" xfId="62" applyFont="1"/>
    <xf numFmtId="0" fontId="36" fillId="0" borderId="0" xfId="111" applyFont="1" applyAlignment="1">
      <alignment vertical="center" wrapText="1"/>
    </xf>
    <xf numFmtId="0" fontId="36" fillId="0" borderId="0" xfId="111" applyFont="1" applyAlignment="1">
      <alignment horizontal="left" vertical="center" wrapText="1"/>
    </xf>
    <xf numFmtId="0" fontId="38" fillId="0" borderId="0" xfId="0" applyFont="1" applyAlignment="1">
      <alignment horizontal="right"/>
    </xf>
    <xf numFmtId="0" fontId="9" fillId="0" borderId="2" xfId="62" applyFont="1" applyBorder="1" applyAlignment="1">
      <alignment horizontal="center" vertical="center"/>
    </xf>
    <xf numFmtId="0" fontId="11" fillId="0" borderId="0" xfId="62" applyFont="1" applyAlignment="1">
      <alignment horizontal="center" vertical="center"/>
    </xf>
    <xf numFmtId="4" fontId="35" fillId="0" borderId="0" xfId="36" applyNumberFormat="1" applyFont="1" applyAlignment="1">
      <alignment vertical="center" wrapText="1"/>
    </xf>
    <xf numFmtId="0" fontId="36" fillId="0" borderId="3" xfId="0" applyFont="1" applyBorder="1" applyAlignment="1">
      <alignment vertical="center" wrapText="1"/>
    </xf>
    <xf numFmtId="0" fontId="36" fillId="0" borderId="0" xfId="0" applyFont="1" applyAlignment="1">
      <alignment horizontal="center" vertical="center" wrapText="1"/>
    </xf>
    <xf numFmtId="0" fontId="9" fillId="0" borderId="2" xfId="36" applyFont="1" applyBorder="1" applyAlignment="1">
      <alignment horizontal="center" vertical="center" wrapText="1"/>
    </xf>
    <xf numFmtId="4" fontId="30" fillId="0" borderId="0" xfId="0" applyNumberFormat="1" applyFont="1" applyAlignment="1">
      <alignment horizontal="right" vertical="center"/>
    </xf>
    <xf numFmtId="0" fontId="9" fillId="0" borderId="0" xfId="36" applyFont="1" applyAlignment="1">
      <alignment horizontal="center" vertical="center" wrapText="1"/>
    </xf>
    <xf numFmtId="0" fontId="34" fillId="0" borderId="2" xfId="94" applyFont="1" applyBorder="1" applyAlignment="1">
      <alignment vertical="center" wrapText="1"/>
    </xf>
    <xf numFmtId="0" fontId="8" fillId="0" borderId="2" xfId="72" applyFont="1" applyBorder="1" applyAlignment="1">
      <alignment vertical="center" wrapText="1"/>
    </xf>
    <xf numFmtId="0" fontId="4" fillId="0" borderId="0" xfId="72" applyFont="1" applyAlignment="1">
      <alignment horizontal="left" vertical="center"/>
    </xf>
    <xf numFmtId="170" fontId="8" fillId="0" borderId="4" xfId="119" applyFont="1" applyFill="1" applyBorder="1" applyAlignment="1">
      <alignment horizontal="center" vertical="center" wrapText="1"/>
    </xf>
    <xf numFmtId="3" fontId="8" fillId="0" borderId="2" xfId="72" applyNumberFormat="1" applyFont="1" applyBorder="1" applyAlignment="1">
      <alignment horizontal="center" vertical="center" wrapText="1"/>
    </xf>
    <xf numFmtId="3" fontId="4" fillId="0" borderId="2" xfId="38" applyNumberFormat="1" applyFont="1" applyBorder="1" applyAlignment="1">
      <alignment horizontal="center" vertical="center" wrapText="1"/>
    </xf>
    <xf numFmtId="3" fontId="4" fillId="0" borderId="2" xfId="38" applyNumberFormat="1" applyFont="1" applyBorder="1" applyAlignment="1">
      <alignment horizontal="left" vertical="center" wrapText="1"/>
    </xf>
    <xf numFmtId="3" fontId="4" fillId="0" borderId="2" xfId="38" applyNumberFormat="1" applyFont="1" applyBorder="1" applyAlignment="1">
      <alignment horizontal="center" vertical="center"/>
    </xf>
    <xf numFmtId="0" fontId="8" fillId="0" borderId="2" xfId="72" applyFont="1" applyBorder="1" applyAlignment="1">
      <alignment horizontal="left" vertical="center" wrapText="1"/>
    </xf>
    <xf numFmtId="3" fontId="8" fillId="0" borderId="2" xfId="38" applyNumberFormat="1" applyFont="1" applyBorder="1" applyAlignment="1">
      <alignment horizontal="left" vertical="center" wrapText="1"/>
    </xf>
    <xf numFmtId="3" fontId="8" fillId="0" borderId="2" xfId="38" applyNumberFormat="1" applyFont="1" applyBorder="1" applyAlignment="1">
      <alignment horizontal="center" vertical="center"/>
    </xf>
    <xf numFmtId="176" fontId="4" fillId="0" borderId="0" xfId="122" applyNumberFormat="1" applyFont="1" applyFill="1" applyAlignment="1">
      <alignment horizontal="left" vertical="center"/>
    </xf>
    <xf numFmtId="178" fontId="4" fillId="0" borderId="0" xfId="122" applyNumberFormat="1" applyFont="1" applyFill="1" applyAlignment="1">
      <alignment vertical="center"/>
    </xf>
    <xf numFmtId="170" fontId="3" fillId="0" borderId="0" xfId="119" applyFont="1" applyFill="1" applyAlignment="1">
      <alignment vertical="center"/>
    </xf>
    <xf numFmtId="0" fontId="3" fillId="0" borderId="0" xfId="72" applyFont="1" applyAlignment="1">
      <alignment vertical="center"/>
    </xf>
    <xf numFmtId="178" fontId="4" fillId="0" borderId="0" xfId="122" applyNumberFormat="1" applyFont="1" applyFill="1" applyAlignment="1">
      <alignment horizontal="left" vertical="center"/>
    </xf>
    <xf numFmtId="178" fontId="34" fillId="0" borderId="0" xfId="122" applyNumberFormat="1" applyFont="1" applyFill="1" applyAlignment="1">
      <alignment vertical="center"/>
    </xf>
    <xf numFmtId="0" fontId="6" fillId="0" borderId="0" xfId="94" applyFont="1" applyAlignment="1">
      <alignment vertical="center"/>
    </xf>
    <xf numFmtId="176" fontId="32" fillId="0" borderId="0" xfId="122" applyNumberFormat="1" applyFont="1" applyFill="1" applyAlignment="1">
      <alignment vertical="center"/>
    </xf>
    <xf numFmtId="0" fontId="5" fillId="0" borderId="0" xfId="94" applyFont="1" applyAlignment="1">
      <alignment vertical="center" wrapText="1"/>
    </xf>
    <xf numFmtId="0" fontId="32" fillId="0" borderId="2" xfId="94" applyFont="1" applyBorder="1" applyAlignment="1">
      <alignment vertical="center" wrapText="1"/>
    </xf>
    <xf numFmtId="4" fontId="32" fillId="0" borderId="2" xfId="94" applyNumberFormat="1" applyFont="1" applyBorder="1" applyAlignment="1">
      <alignment vertical="center" wrapText="1"/>
    </xf>
    <xf numFmtId="0" fontId="57" fillId="0" borderId="0" xfId="94" applyFont="1" applyAlignment="1">
      <alignment vertical="center" wrapText="1"/>
    </xf>
    <xf numFmtId="3" fontId="34" fillId="0" borderId="2" xfId="94" applyNumberFormat="1" applyFont="1" applyBorder="1" applyAlignment="1">
      <alignment vertical="center" wrapText="1"/>
    </xf>
    <xf numFmtId="0" fontId="34" fillId="0" borderId="0" xfId="94" applyFont="1" applyAlignment="1">
      <alignment horizontal="right" vertical="center" wrapText="1"/>
    </xf>
    <xf numFmtId="0" fontId="6" fillId="0" borderId="0" xfId="94" applyFont="1" applyAlignment="1">
      <alignment vertical="center" wrapText="1"/>
    </xf>
    <xf numFmtId="4" fontId="34" fillId="0" borderId="0" xfId="94" applyNumberFormat="1" applyFont="1" applyAlignment="1">
      <alignment vertical="center" wrapText="1"/>
    </xf>
    <xf numFmtId="3" fontId="34" fillId="0" borderId="0" xfId="94" applyNumberFormat="1" applyFont="1" applyAlignment="1">
      <alignment vertical="center" wrapText="1"/>
    </xf>
    <xf numFmtId="0" fontId="3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 vertical="center" wrapText="1"/>
    </xf>
    <xf numFmtId="0" fontId="50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172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72" fontId="4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6" fillId="0" borderId="0" xfId="116" applyNumberFormat="1" applyFont="1" applyFill="1" applyAlignment="1">
      <alignment horizontal="left" vertical="center" wrapText="1"/>
    </xf>
    <xf numFmtId="0" fontId="70" fillId="0" borderId="0" xfId="116" applyNumberFormat="1" applyFont="1" applyFill="1" applyBorder="1" applyAlignment="1">
      <alignment vertical="center"/>
    </xf>
    <xf numFmtId="0" fontId="37" fillId="0" borderId="0" xfId="116" applyNumberFormat="1" applyFont="1" applyFill="1" applyAlignment="1">
      <alignment horizontal="right" vertical="center"/>
    </xf>
    <xf numFmtId="0" fontId="35" fillId="0" borderId="2" xfId="116" applyNumberFormat="1" applyFont="1" applyFill="1" applyBorder="1" applyAlignment="1">
      <alignment horizontal="center" vertical="center" wrapText="1"/>
    </xf>
    <xf numFmtId="0" fontId="36" fillId="0" borderId="2" xfId="116" applyNumberFormat="1" applyFont="1" applyFill="1" applyBorder="1" applyAlignment="1">
      <alignment vertical="center" wrapText="1"/>
    </xf>
    <xf numFmtId="0" fontId="36" fillId="0" borderId="0" xfId="0" applyFont="1" applyAlignment="1">
      <alignment vertical="center" wrapText="1"/>
    </xf>
    <xf numFmtId="0" fontId="0" fillId="0" borderId="2" xfId="0" applyBorder="1"/>
    <xf numFmtId="0" fontId="30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0" fontId="36" fillId="0" borderId="0" xfId="34" applyFont="1" applyAlignment="1">
      <alignment horizontal="center" vertical="center" wrapText="1"/>
    </xf>
    <xf numFmtId="0" fontId="36" fillId="0" borderId="2" xfId="34" applyFont="1" applyBorder="1" applyAlignment="1">
      <alignment horizontal="center" vertical="center" wrapText="1"/>
    </xf>
    <xf numFmtId="0" fontId="36" fillId="0" borderId="2" xfId="34" applyFont="1" applyBorder="1" applyAlignment="1">
      <alignment vertical="center" wrapText="1"/>
    </xf>
    <xf numFmtId="3" fontId="36" fillId="0" borderId="0" xfId="34" applyNumberFormat="1" applyFont="1" applyAlignment="1">
      <alignment horizontal="center" vertical="center" wrapText="1"/>
    </xf>
    <xf numFmtId="3" fontId="36" fillId="0" borderId="0" xfId="34" applyNumberFormat="1" applyFont="1" applyAlignment="1">
      <alignment horizontal="right" vertical="center" wrapText="1"/>
    </xf>
    <xf numFmtId="0" fontId="35" fillId="0" borderId="0" xfId="62" applyFont="1" applyAlignment="1">
      <alignment vertical="center"/>
    </xf>
    <xf numFmtId="0" fontId="36" fillId="0" borderId="0" xfId="34" applyFont="1" applyAlignment="1">
      <alignment vertical="center" wrapText="1"/>
    </xf>
    <xf numFmtId="172" fontId="36" fillId="0" borderId="2" xfId="0" applyNumberFormat="1" applyFont="1" applyBorder="1" applyAlignment="1">
      <alignment horizontal="center" vertical="center" wrapText="1"/>
    </xf>
    <xf numFmtId="3" fontId="36" fillId="0" borderId="2" xfId="0" applyNumberFormat="1" applyFont="1" applyBorder="1" applyAlignment="1">
      <alignment horizontal="center" vertical="center" wrapText="1"/>
    </xf>
    <xf numFmtId="0" fontId="38" fillId="0" borderId="0" xfId="0" applyFont="1"/>
    <xf numFmtId="0" fontId="30" fillId="0" borderId="2" xfId="0" applyFont="1" applyBorder="1"/>
    <xf numFmtId="0" fontId="35" fillId="0" borderId="0" xfId="0" applyFont="1" applyAlignment="1">
      <alignment horizontal="left" vertical="top" wrapText="1"/>
    </xf>
    <xf numFmtId="3" fontId="38" fillId="0" borderId="0" xfId="0" applyNumberFormat="1" applyFont="1"/>
    <xf numFmtId="0" fontId="66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6" xfId="0" applyFont="1" applyBorder="1" applyAlignment="1">
      <alignment horizontal="left"/>
    </xf>
    <xf numFmtId="0" fontId="0" fillId="0" borderId="0" xfId="0" applyAlignment="1">
      <alignment vertical="top"/>
    </xf>
    <xf numFmtId="0" fontId="71" fillId="0" borderId="0" xfId="0" applyFont="1" applyAlignment="1">
      <alignment vertical="top" wrapText="1"/>
    </xf>
    <xf numFmtId="3" fontId="0" fillId="0" borderId="2" xfId="0" applyNumberFormat="1" applyBorder="1" applyAlignment="1">
      <alignment horizontal="center" vertical="top"/>
    </xf>
    <xf numFmtId="0" fontId="0" fillId="0" borderId="2" xfId="0" applyBorder="1" applyAlignment="1">
      <alignment vertical="top"/>
    </xf>
    <xf numFmtId="176" fontId="32" fillId="0" borderId="0" xfId="122" applyNumberFormat="1" applyFont="1" applyFill="1" applyAlignment="1">
      <alignment horizontal="left" vertical="center"/>
    </xf>
    <xf numFmtId="178" fontId="32" fillId="0" borderId="0" xfId="122" applyNumberFormat="1" applyFont="1" applyFill="1"/>
    <xf numFmtId="178" fontId="32" fillId="0" borderId="0" xfId="122" applyNumberFormat="1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176" fontId="9" fillId="0" borderId="0" xfId="116" applyNumberFormat="1" applyFont="1" applyFill="1" applyAlignment="1">
      <alignment horizontal="left" vertical="center"/>
    </xf>
    <xf numFmtId="176" fontId="36" fillId="0" borderId="2" xfId="116" applyNumberFormat="1" applyFont="1" applyFill="1" applyBorder="1" applyAlignment="1">
      <alignment horizontal="center" vertical="center" wrapText="1"/>
    </xf>
    <xf numFmtId="0" fontId="105" fillId="0" borderId="0" xfId="0" applyFont="1"/>
    <xf numFmtId="0" fontId="10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8" fontId="30" fillId="0" borderId="0" xfId="0" applyNumberFormat="1" applyFont="1" applyAlignment="1">
      <alignment vertical="center"/>
    </xf>
    <xf numFmtId="176" fontId="36" fillId="0" borderId="2" xfId="116" applyNumberFormat="1" applyFont="1" applyFill="1" applyBorder="1" applyAlignment="1">
      <alignment horizontal="center"/>
    </xf>
    <xf numFmtId="176" fontId="36" fillId="0" borderId="0" xfId="116" applyNumberFormat="1" applyFont="1" applyFill="1" applyBorder="1" applyAlignment="1">
      <alignment wrapText="1"/>
    </xf>
    <xf numFmtId="176" fontId="36" fillId="0" borderId="0" xfId="116" applyNumberFormat="1" applyFont="1" applyFill="1"/>
    <xf numFmtId="176" fontId="36" fillId="0" borderId="2" xfId="116" applyNumberFormat="1" applyFont="1" applyFill="1" applyBorder="1"/>
    <xf numFmtId="170" fontId="36" fillId="0" borderId="2" xfId="116" applyFont="1" applyFill="1" applyBorder="1" applyAlignment="1">
      <alignment horizontal="center" vertical="center"/>
    </xf>
    <xf numFmtId="170" fontId="36" fillId="0" borderId="2" xfId="116" applyFont="1" applyFill="1" applyBorder="1" applyAlignment="1">
      <alignment horizontal="center"/>
    </xf>
    <xf numFmtId="0" fontId="106" fillId="0" borderId="0" xfId="0" applyFont="1"/>
    <xf numFmtId="0" fontId="9" fillId="0" borderId="0" xfId="0" applyFont="1"/>
    <xf numFmtId="0" fontId="36" fillId="0" borderId="0" xfId="112" applyFont="1" applyAlignment="1">
      <alignment horizontal="left"/>
    </xf>
    <xf numFmtId="0" fontId="35" fillId="0" borderId="0" xfId="112" applyFont="1" applyAlignment="1">
      <alignment horizontal="left"/>
    </xf>
    <xf numFmtId="0" fontId="36" fillId="0" borderId="0" xfId="112" applyFont="1"/>
    <xf numFmtId="0" fontId="35" fillId="0" borderId="0" xfId="112" applyFont="1"/>
    <xf numFmtId="0" fontId="36" fillId="0" borderId="2" xfId="112" applyFont="1" applyBorder="1"/>
    <xf numFmtId="176" fontId="36" fillId="0" borderId="0" xfId="122" applyNumberFormat="1" applyFont="1" applyFill="1" applyAlignment="1">
      <alignment vertical="center"/>
    </xf>
    <xf numFmtId="0" fontId="9" fillId="0" borderId="0" xfId="94" applyFont="1" applyAlignment="1">
      <alignment vertical="center" wrapText="1"/>
    </xf>
    <xf numFmtId="175" fontId="36" fillId="0" borderId="2" xfId="118" applyNumberFormat="1" applyFont="1" applyFill="1" applyBorder="1" applyAlignment="1">
      <alignment horizontal="center" vertical="center" wrapText="1"/>
    </xf>
    <xf numFmtId="0" fontId="107" fillId="0" borderId="0" xfId="0" applyFont="1"/>
    <xf numFmtId="0" fontId="72" fillId="0" borderId="0" xfId="0" applyFont="1"/>
    <xf numFmtId="0" fontId="30" fillId="0" borderId="0" xfId="74" applyFont="1"/>
    <xf numFmtId="3" fontId="9" fillId="0" borderId="0" xfId="74" applyNumberFormat="1" applyFont="1"/>
    <xf numFmtId="3" fontId="74" fillId="0" borderId="0" xfId="74" applyNumberFormat="1" applyFont="1" applyAlignment="1">
      <alignment horizontal="left" vertical="top"/>
    </xf>
    <xf numFmtId="3" fontId="74" fillId="0" borderId="0" xfId="74" applyNumberFormat="1" applyFont="1" applyAlignment="1">
      <alignment vertical="top"/>
    </xf>
    <xf numFmtId="3" fontId="9" fillId="0" borderId="0" xfId="74" applyNumberFormat="1" applyFont="1" applyAlignment="1">
      <alignment horizontal="center"/>
    </xf>
    <xf numFmtId="3" fontId="9" fillId="0" borderId="2" xfId="74" applyNumberFormat="1" applyFont="1" applyBorder="1" applyAlignment="1">
      <alignment horizontal="center" vertical="center" wrapText="1"/>
    </xf>
    <xf numFmtId="3" fontId="30" fillId="0" borderId="2" xfId="74" applyNumberFormat="1" applyFont="1" applyBorder="1" applyAlignment="1">
      <alignment horizontal="center" vertical="top" wrapText="1"/>
    </xf>
    <xf numFmtId="3" fontId="35" fillId="0" borderId="2" xfId="74" applyNumberFormat="1" applyFont="1" applyBorder="1" applyAlignment="1">
      <alignment horizontal="center" vertical="top" wrapText="1"/>
    </xf>
    <xf numFmtId="3" fontId="9" fillId="0" borderId="2" xfId="74" applyNumberFormat="1" applyFont="1" applyBorder="1" applyAlignment="1">
      <alignment horizontal="center" vertical="top" wrapText="1"/>
    </xf>
    <xf numFmtId="3" fontId="9" fillId="0" borderId="2" xfId="74" applyNumberFormat="1" applyFont="1" applyBorder="1" applyAlignment="1">
      <alignment vertical="top" wrapText="1"/>
    </xf>
    <xf numFmtId="3" fontId="9" fillId="0" borderId="0" xfId="74" applyNumberFormat="1" applyFont="1" applyAlignment="1">
      <alignment horizontal="center" vertical="top" wrapText="1"/>
    </xf>
    <xf numFmtId="3" fontId="9" fillId="0" borderId="0" xfId="74" applyNumberFormat="1" applyFont="1" applyAlignment="1">
      <alignment vertical="top" wrapText="1"/>
    </xf>
    <xf numFmtId="3" fontId="9" fillId="0" borderId="0" xfId="0" applyNumberFormat="1" applyFont="1"/>
    <xf numFmtId="3" fontId="9" fillId="0" borderId="2" xfId="0" applyNumberFormat="1" applyFont="1" applyBorder="1" applyAlignment="1">
      <alignment horizontal="center" vertical="center" wrapText="1"/>
    </xf>
    <xf numFmtId="172" fontId="30" fillId="0" borderId="0" xfId="74" applyNumberFormat="1" applyFont="1" applyAlignment="1">
      <alignment vertical="top" wrapText="1"/>
    </xf>
    <xf numFmtId="3" fontId="30" fillId="0" borderId="2" xfId="0" applyNumberFormat="1" applyFont="1" applyBorder="1" applyAlignment="1">
      <alignment horizontal="center" vertical="top" wrapText="1"/>
    </xf>
    <xf numFmtId="172" fontId="64" fillId="0" borderId="0" xfId="74" applyNumberFormat="1" applyFont="1" applyAlignment="1">
      <alignment vertical="top" wrapText="1"/>
    </xf>
    <xf numFmtId="3" fontId="9" fillId="0" borderId="2" xfId="0" applyNumberFormat="1" applyFont="1" applyBorder="1" applyAlignment="1">
      <alignment horizontal="center" vertical="top" wrapText="1"/>
    </xf>
    <xf numFmtId="3" fontId="9" fillId="0" borderId="2" xfId="0" applyNumberFormat="1" applyFont="1" applyBorder="1" applyAlignment="1">
      <alignment vertical="top" wrapText="1"/>
    </xf>
    <xf numFmtId="176" fontId="36" fillId="0" borderId="0" xfId="116" applyNumberFormat="1" applyFont="1" applyFill="1" applyAlignment="1">
      <alignment horizontal="left" vertical="center"/>
    </xf>
    <xf numFmtId="0" fontId="30" fillId="0" borderId="0" xfId="74" applyFont="1" applyAlignment="1">
      <alignment horizontal="left" vertical="center"/>
    </xf>
    <xf numFmtId="176" fontId="9" fillId="0" borderId="0" xfId="116" applyNumberFormat="1" applyFont="1" applyFill="1" applyAlignment="1">
      <alignment horizontal="center" vertical="top"/>
    </xf>
    <xf numFmtId="176" fontId="9" fillId="0" borderId="0" xfId="116" applyNumberFormat="1" applyFont="1" applyFill="1" applyAlignment="1">
      <alignment vertical="center"/>
    </xf>
    <xf numFmtId="3" fontId="35" fillId="0" borderId="0" xfId="69" applyNumberFormat="1" applyFont="1" applyAlignment="1">
      <alignment horizontal="center" vertical="top" wrapText="1"/>
    </xf>
    <xf numFmtId="0" fontId="75" fillId="0" borderId="0" xfId="112" applyFont="1"/>
    <xf numFmtId="176" fontId="36" fillId="0" borderId="0" xfId="116" applyNumberFormat="1" applyFont="1" applyFill="1" applyAlignment="1" applyProtection="1">
      <alignment horizontal="left" vertical="center" wrapText="1"/>
    </xf>
    <xf numFmtId="0" fontId="9" fillId="0" borderId="0" xfId="74" applyFont="1"/>
    <xf numFmtId="0" fontId="36" fillId="0" borderId="0" xfId="0" applyFont="1" applyAlignment="1">
      <alignment wrapText="1"/>
    </xf>
    <xf numFmtId="0" fontId="36" fillId="0" borderId="0" xfId="0" applyFont="1" applyAlignment="1">
      <alignment horizontal="center" wrapText="1"/>
    </xf>
    <xf numFmtId="0" fontId="106" fillId="0" borderId="0" xfId="0" applyFont="1" applyAlignment="1">
      <alignment horizontal="left"/>
    </xf>
    <xf numFmtId="3" fontId="35" fillId="0" borderId="4" xfId="0" applyNumberFormat="1" applyFont="1" applyBorder="1" applyAlignment="1">
      <alignment horizontal="right"/>
    </xf>
    <xf numFmtId="0" fontId="35" fillId="0" borderId="4" xfId="0" applyFont="1" applyBorder="1" applyAlignment="1">
      <alignment horizontal="right"/>
    </xf>
    <xf numFmtId="3" fontId="106" fillId="0" borderId="0" xfId="0" applyNumberFormat="1" applyFont="1"/>
    <xf numFmtId="3" fontId="36" fillId="0" borderId="0" xfId="0" applyNumberFormat="1" applyFont="1" applyAlignment="1">
      <alignment wrapText="1"/>
    </xf>
    <xf numFmtId="3" fontId="36" fillId="0" borderId="0" xfId="0" applyNumberFormat="1" applyFont="1" applyAlignment="1">
      <alignment horizontal="center" wrapText="1"/>
    </xf>
    <xf numFmtId="3" fontId="106" fillId="0" borderId="0" xfId="0" applyNumberFormat="1" applyFont="1" applyAlignment="1">
      <alignment horizontal="left"/>
    </xf>
    <xf numFmtId="3" fontId="36" fillId="0" borderId="2" xfId="0" applyNumberFormat="1" applyFont="1" applyBorder="1"/>
    <xf numFmtId="3" fontId="36" fillId="0" borderId="0" xfId="122" applyNumberFormat="1" applyFont="1" applyFill="1" applyAlignment="1">
      <alignment horizontal="left" vertical="center"/>
    </xf>
    <xf numFmtId="3" fontId="36" fillId="0" borderId="0" xfId="122" applyNumberFormat="1" applyFont="1" applyFill="1" applyAlignment="1">
      <alignment vertical="center"/>
    </xf>
    <xf numFmtId="3" fontId="9" fillId="0" borderId="0" xfId="94" applyNumberFormat="1" applyFont="1" applyAlignment="1">
      <alignment vertical="center" wrapText="1"/>
    </xf>
    <xf numFmtId="3" fontId="35" fillId="0" borderId="4" xfId="0" applyNumberFormat="1" applyFont="1" applyBorder="1" applyAlignment="1">
      <alignment horizontal="center" vertical="center"/>
    </xf>
    <xf numFmtId="0" fontId="106" fillId="0" borderId="0" xfId="0" applyFont="1" applyAlignment="1">
      <alignment vertical="center"/>
    </xf>
    <xf numFmtId="0" fontId="106" fillId="0" borderId="0" xfId="0" applyFont="1" applyAlignment="1">
      <alignment horizontal="left" vertical="center"/>
    </xf>
    <xf numFmtId="0" fontId="36" fillId="0" borderId="2" xfId="0" applyFont="1" applyBorder="1" applyAlignment="1">
      <alignment vertical="center"/>
    </xf>
    <xf numFmtId="0" fontId="36" fillId="0" borderId="0" xfId="0" applyFont="1"/>
    <xf numFmtId="0" fontId="106" fillId="0" borderId="0" xfId="0" applyFont="1" applyAlignment="1">
      <alignment wrapText="1"/>
    </xf>
    <xf numFmtId="0" fontId="36" fillId="0" borderId="2" xfId="0" applyFont="1" applyBorder="1" applyAlignment="1">
      <alignment wrapText="1"/>
    </xf>
    <xf numFmtId="4" fontId="35" fillId="0" borderId="4" xfId="0" applyNumberFormat="1" applyFont="1" applyBorder="1" applyAlignment="1">
      <alignment horizontal="right"/>
    </xf>
    <xf numFmtId="1" fontId="35" fillId="0" borderId="2" xfId="0" applyNumberFormat="1" applyFont="1" applyBorder="1" applyAlignment="1">
      <alignment horizontal="center"/>
    </xf>
    <xf numFmtId="0" fontId="36" fillId="0" borderId="2" xfId="0" applyFont="1" applyBorder="1" applyAlignment="1">
      <alignment horizontal="left" wrapText="1"/>
    </xf>
    <xf numFmtId="1" fontId="35" fillId="0" borderId="2" xfId="0" applyNumberFormat="1" applyFont="1" applyBorder="1" applyAlignment="1">
      <alignment horizontal="right"/>
    </xf>
    <xf numFmtId="0" fontId="35" fillId="0" borderId="2" xfId="0" applyFont="1" applyBorder="1" applyAlignment="1">
      <alignment horizontal="left" wrapText="1"/>
    </xf>
    <xf numFmtId="4" fontId="35" fillId="0" borderId="2" xfId="0" applyNumberFormat="1" applyFont="1" applyBorder="1" applyAlignment="1">
      <alignment horizontal="right"/>
    </xf>
    <xf numFmtId="1" fontId="35" fillId="0" borderId="0" xfId="0" applyNumberFormat="1" applyFont="1" applyAlignment="1">
      <alignment horizontal="center"/>
    </xf>
    <xf numFmtId="0" fontId="35" fillId="0" borderId="0" xfId="0" applyFont="1" applyAlignment="1">
      <alignment horizontal="left" wrapText="1"/>
    </xf>
    <xf numFmtId="4" fontId="35" fillId="0" borderId="0" xfId="0" applyNumberFormat="1" applyFont="1" applyAlignment="1">
      <alignment horizontal="right"/>
    </xf>
    <xf numFmtId="1" fontId="35" fillId="0" borderId="0" xfId="0" applyNumberFormat="1" applyFont="1" applyAlignment="1">
      <alignment horizontal="right"/>
    </xf>
    <xf numFmtId="0" fontId="35" fillId="0" borderId="0" xfId="0" applyFont="1" applyAlignment="1">
      <alignment horizontal="right"/>
    </xf>
    <xf numFmtId="0" fontId="9" fillId="0" borderId="0" xfId="119" applyNumberFormat="1" applyFont="1" applyFill="1" applyBorder="1" applyAlignment="1">
      <alignment vertical="top"/>
    </xf>
    <xf numFmtId="0" fontId="36" fillId="2" borderId="8" xfId="91" applyFont="1" applyFill="1" applyBorder="1" applyAlignment="1">
      <alignment horizontal="center" vertical="center" wrapText="1"/>
    </xf>
    <xf numFmtId="0" fontId="36" fillId="2" borderId="9" xfId="91" applyFont="1" applyFill="1" applyBorder="1" applyAlignment="1">
      <alignment horizontal="center" vertical="center" wrapText="1"/>
    </xf>
    <xf numFmtId="0" fontId="36" fillId="2" borderId="10" xfId="91" applyFont="1" applyFill="1" applyBorder="1" applyAlignment="1">
      <alignment horizontal="center" vertical="center" wrapText="1"/>
    </xf>
    <xf numFmtId="0" fontId="36" fillId="2" borderId="10" xfId="91" applyFont="1" applyFill="1" applyBorder="1" applyAlignment="1">
      <alignment vertical="center" wrapText="1"/>
    </xf>
    <xf numFmtId="0" fontId="36" fillId="2" borderId="11" xfId="91" applyFont="1" applyFill="1" applyBorder="1" applyAlignment="1">
      <alignment horizontal="center" vertical="center" wrapText="1"/>
    </xf>
    <xf numFmtId="0" fontId="36" fillId="2" borderId="2" xfId="91" applyFont="1" applyFill="1" applyBorder="1" applyAlignment="1">
      <alignment horizontal="center" vertical="center" wrapText="1"/>
    </xf>
    <xf numFmtId="0" fontId="36" fillId="2" borderId="12" xfId="91" applyFont="1" applyFill="1" applyBorder="1" applyAlignment="1">
      <alignment horizontal="center" vertical="center" wrapText="1"/>
    </xf>
    <xf numFmtId="2" fontId="36" fillId="2" borderId="2" xfId="91" applyNumberFormat="1" applyFont="1" applyFill="1" applyBorder="1" applyAlignment="1">
      <alignment horizontal="center" vertical="center" wrapText="1"/>
    </xf>
    <xf numFmtId="2" fontId="36" fillId="2" borderId="8" xfId="91" applyNumberFormat="1" applyFont="1" applyFill="1" applyBorder="1" applyAlignment="1">
      <alignment horizontal="center" vertical="center" wrapText="1"/>
    </xf>
    <xf numFmtId="2" fontId="36" fillId="2" borderId="13" xfId="91" applyNumberFormat="1" applyFont="1" applyFill="1" applyBorder="1" applyAlignment="1">
      <alignment horizontal="center" vertical="center" wrapText="1"/>
    </xf>
    <xf numFmtId="0" fontId="35" fillId="2" borderId="14" xfId="91" applyFont="1" applyFill="1" applyBorder="1" applyAlignment="1">
      <alignment horizontal="center" vertical="center" wrapText="1"/>
    </xf>
    <xf numFmtId="0" fontId="35" fillId="2" borderId="15" xfId="91" applyFont="1" applyFill="1" applyBorder="1" applyAlignment="1">
      <alignment horizontal="center" vertical="center" wrapText="1"/>
    </xf>
    <xf numFmtId="0" fontId="30" fillId="0" borderId="0" xfId="0" applyFont="1" applyAlignment="1">
      <alignment vertical="top"/>
    </xf>
    <xf numFmtId="0" fontId="106" fillId="0" borderId="0" xfId="0" applyFont="1" applyAlignment="1">
      <alignment vertical="top"/>
    </xf>
    <xf numFmtId="0" fontId="108" fillId="0" borderId="0" xfId="0" applyFont="1"/>
    <xf numFmtId="0" fontId="106" fillId="0" borderId="2" xfId="0" applyFont="1" applyBorder="1" applyAlignment="1">
      <alignment horizontal="center"/>
    </xf>
    <xf numFmtId="176" fontId="9" fillId="0" borderId="0" xfId="119" applyNumberFormat="1" applyFont="1" applyFill="1" applyAlignment="1">
      <alignment vertical="center"/>
    </xf>
    <xf numFmtId="176" fontId="30" fillId="0" borderId="0" xfId="119" applyNumberFormat="1" applyFont="1" applyFill="1" applyAlignment="1">
      <alignment vertical="center"/>
    </xf>
    <xf numFmtId="3" fontId="36" fillId="0" borderId="2" xfId="0" applyNumberFormat="1" applyFont="1" applyBorder="1" applyAlignment="1">
      <alignment horizontal="left" vertical="top" wrapText="1"/>
    </xf>
    <xf numFmtId="3" fontId="36" fillId="6" borderId="4" xfId="0" applyNumberFormat="1" applyFont="1" applyFill="1" applyBorder="1" applyAlignment="1">
      <alignment horizontal="center" vertical="top" wrapText="1"/>
    </xf>
    <xf numFmtId="3" fontId="36" fillId="7" borderId="16" xfId="0" applyNumberFormat="1" applyFont="1" applyFill="1" applyBorder="1" applyAlignment="1">
      <alignment horizontal="center" vertical="center" wrapText="1"/>
    </xf>
    <xf numFmtId="3" fontId="36" fillId="0" borderId="16" xfId="0" applyNumberFormat="1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09" fillId="0" borderId="0" xfId="0" applyFont="1"/>
    <xf numFmtId="0" fontId="30" fillId="0" borderId="2" xfId="0" applyFont="1" applyBorder="1" applyAlignment="1">
      <alignment horizontal="center"/>
    </xf>
    <xf numFmtId="0" fontId="109" fillId="0" borderId="2" xfId="0" applyFont="1" applyBorder="1"/>
    <xf numFmtId="0" fontId="106" fillId="0" borderId="2" xfId="0" applyFont="1" applyBorder="1"/>
    <xf numFmtId="0" fontId="9" fillId="0" borderId="0" xfId="0" applyFont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 wrapText="1"/>
    </xf>
    <xf numFmtId="172" fontId="8" fillId="0" borderId="2" xfId="0" applyNumberFormat="1" applyFont="1" applyBorder="1" applyAlignment="1">
      <alignment horizontal="center" vertical="center" wrapText="1"/>
    </xf>
    <xf numFmtId="0" fontId="110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176" fontId="8" fillId="0" borderId="0" xfId="122" applyNumberFormat="1" applyFont="1" applyFill="1" applyAlignment="1">
      <alignment horizontal="left" vertical="center"/>
    </xf>
    <xf numFmtId="176" fontId="8" fillId="0" borderId="0" xfId="122" applyNumberFormat="1" applyFont="1" applyFill="1" applyAlignment="1">
      <alignment vertical="center"/>
    </xf>
    <xf numFmtId="0" fontId="7" fillId="0" borderId="0" xfId="94" applyFont="1" applyAlignment="1">
      <alignment vertical="center" wrapText="1"/>
    </xf>
    <xf numFmtId="0" fontId="111" fillId="0" borderId="2" xfId="0" applyFont="1" applyBorder="1" applyAlignment="1">
      <alignment horizontal="center" vertical="center" wrapText="1"/>
    </xf>
    <xf numFmtId="175" fontId="35" fillId="0" borderId="2" xfId="116" applyNumberFormat="1" applyFont="1" applyFill="1" applyBorder="1" applyAlignment="1">
      <alignment horizontal="center" vertical="center"/>
    </xf>
    <xf numFmtId="4" fontId="9" fillId="0" borderId="2" xfId="0" applyNumberFormat="1" applyFont="1" applyBorder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3" fontId="35" fillId="0" borderId="2" xfId="116" applyNumberFormat="1" applyFont="1" applyFill="1" applyBorder="1" applyAlignment="1">
      <alignment horizontal="center" vertical="center"/>
    </xf>
    <xf numFmtId="3" fontId="35" fillId="0" borderId="2" xfId="116" applyNumberFormat="1" applyFont="1" applyFill="1" applyBorder="1"/>
    <xf numFmtId="3" fontId="35" fillId="0" borderId="2" xfId="116" applyNumberFormat="1" applyFont="1" applyFill="1" applyBorder="1" applyAlignment="1">
      <alignment wrapText="1"/>
    </xf>
    <xf numFmtId="0" fontId="9" fillId="0" borderId="2" xfId="0" applyFont="1" applyBorder="1" applyAlignment="1">
      <alignment horizontal="left" vertical="top" wrapText="1"/>
    </xf>
    <xf numFmtId="3" fontId="35" fillId="0" borderId="2" xfId="116" applyNumberFormat="1" applyFont="1" applyFill="1" applyBorder="1" applyAlignment="1">
      <alignment vertical="center" wrapText="1"/>
    </xf>
    <xf numFmtId="4" fontId="30" fillId="0" borderId="2" xfId="0" applyNumberFormat="1" applyFont="1" applyBorder="1" applyAlignment="1">
      <alignment horizontal="center" vertical="center"/>
    </xf>
    <xf numFmtId="4" fontId="9" fillId="0" borderId="2" xfId="0" applyNumberFormat="1" applyFont="1" applyBorder="1" applyAlignment="1">
      <alignment horizontal="center" vertical="center" wrapText="1"/>
    </xf>
    <xf numFmtId="172" fontId="35" fillId="0" borderId="2" xfId="116" applyNumberFormat="1" applyFont="1" applyFill="1" applyBorder="1" applyAlignment="1">
      <alignment horizontal="center" vertical="center" wrapText="1"/>
    </xf>
    <xf numFmtId="172" fontId="35" fillId="0" borderId="2" xfId="116" applyNumberFormat="1" applyFont="1" applyFill="1" applyBorder="1" applyAlignment="1">
      <alignment horizontal="center" vertical="center"/>
    </xf>
    <xf numFmtId="172" fontId="36" fillId="0" borderId="2" xfId="116" applyNumberFormat="1" applyFont="1" applyFill="1" applyBorder="1" applyAlignment="1">
      <alignment horizontal="center" vertical="center" wrapText="1"/>
    </xf>
    <xf numFmtId="176" fontId="35" fillId="0" borderId="0" xfId="116" applyNumberFormat="1" applyFont="1" applyFill="1" applyAlignment="1">
      <alignment horizontal="right"/>
    </xf>
    <xf numFmtId="0" fontId="36" fillId="0" borderId="0" xfId="72" applyFont="1" applyAlignment="1">
      <alignment vertical="center"/>
    </xf>
    <xf numFmtId="3" fontId="32" fillId="0" borderId="2" xfId="94" applyNumberFormat="1" applyFont="1" applyBorder="1" applyAlignment="1">
      <alignment vertical="center" wrapText="1"/>
    </xf>
    <xf numFmtId="0" fontId="34" fillId="0" borderId="18" xfId="94" applyFont="1" applyBorder="1" applyAlignment="1">
      <alignment horizontal="center" vertical="center" wrapText="1"/>
    </xf>
    <xf numFmtId="0" fontId="34" fillId="0" borderId="2" xfId="94" applyFont="1" applyBorder="1" applyAlignment="1">
      <alignment horizontal="center" vertical="center" wrapText="1"/>
    </xf>
    <xf numFmtId="0" fontId="112" fillId="0" borderId="0" xfId="116" applyNumberFormat="1" applyFont="1" applyFill="1" applyAlignment="1">
      <alignment vertical="center"/>
    </xf>
    <xf numFmtId="0" fontId="112" fillId="0" borderId="0" xfId="116" applyNumberFormat="1" applyFont="1" applyFill="1" applyAlignment="1">
      <alignment horizontal="center" vertical="center"/>
    </xf>
    <xf numFmtId="176" fontId="113" fillId="0" borderId="0" xfId="116" applyNumberFormat="1" applyFont="1" applyFill="1" applyAlignment="1">
      <alignment horizontal="left" vertical="center"/>
    </xf>
    <xf numFmtId="0" fontId="112" fillId="0" borderId="0" xfId="0" applyFont="1" applyAlignment="1">
      <alignment vertical="center"/>
    </xf>
    <xf numFmtId="0" fontId="113" fillId="0" borderId="0" xfId="116" applyNumberFormat="1" applyFont="1" applyFill="1" applyAlignment="1">
      <alignment horizontal="left" vertical="center" wrapText="1"/>
    </xf>
    <xf numFmtId="0" fontId="114" fillId="0" borderId="0" xfId="0" applyFont="1"/>
    <xf numFmtId="0" fontId="113" fillId="0" borderId="0" xfId="0" applyFont="1" applyAlignment="1">
      <alignment vertical="center"/>
    </xf>
    <xf numFmtId="0" fontId="113" fillId="0" borderId="0" xfId="0" applyFont="1" applyAlignment="1">
      <alignment vertical="center" wrapText="1"/>
    </xf>
    <xf numFmtId="0" fontId="113" fillId="0" borderId="0" xfId="116" applyNumberFormat="1" applyFont="1" applyFill="1" applyBorder="1" applyAlignment="1">
      <alignment vertical="center"/>
    </xf>
    <xf numFmtId="0" fontId="113" fillId="0" borderId="0" xfId="116" applyNumberFormat="1" applyFont="1" applyFill="1" applyBorder="1" applyAlignment="1">
      <alignment horizontal="center" vertical="center" wrapText="1"/>
    </xf>
    <xf numFmtId="0" fontId="115" fillId="0" borderId="0" xfId="116" applyNumberFormat="1" applyFont="1" applyFill="1" applyAlignment="1">
      <alignment horizontal="right" vertical="center"/>
    </xf>
    <xf numFmtId="0" fontId="113" fillId="0" borderId="2" xfId="116" applyNumberFormat="1" applyFont="1" applyFill="1" applyBorder="1" applyAlignment="1">
      <alignment horizontal="center" vertical="center" wrapText="1"/>
    </xf>
    <xf numFmtId="0" fontId="112" fillId="0" borderId="2" xfId="116" applyNumberFormat="1" applyFont="1" applyFill="1" applyBorder="1" applyAlignment="1">
      <alignment horizontal="center" vertical="center" wrapText="1"/>
    </xf>
    <xf numFmtId="0" fontId="113" fillId="0" borderId="2" xfId="116" applyNumberFormat="1" applyFont="1" applyFill="1" applyBorder="1" applyAlignment="1">
      <alignment vertical="center" wrapText="1"/>
    </xf>
    <xf numFmtId="0" fontId="112" fillId="0" borderId="2" xfId="116" applyNumberFormat="1" applyFont="1" applyFill="1" applyBorder="1" applyAlignment="1">
      <alignment vertical="center" wrapText="1"/>
    </xf>
    <xf numFmtId="4" fontId="112" fillId="0" borderId="2" xfId="116" applyNumberFormat="1" applyFont="1" applyFill="1" applyBorder="1" applyAlignment="1">
      <alignment horizontal="right" vertical="center" wrapText="1"/>
    </xf>
    <xf numFmtId="4" fontId="112" fillId="0" borderId="2" xfId="116" applyNumberFormat="1" applyFont="1" applyFill="1" applyBorder="1" applyAlignment="1">
      <alignment horizontal="right" vertical="center"/>
    </xf>
    <xf numFmtId="0" fontId="112" fillId="0" borderId="0" xfId="116" applyNumberFormat="1" applyFont="1" applyFill="1" applyBorder="1" applyAlignment="1">
      <alignment horizontal="center" vertical="center" wrapText="1"/>
    </xf>
    <xf numFmtId="0" fontId="113" fillId="0" borderId="0" xfId="116" applyNumberFormat="1" applyFont="1" applyFill="1" applyBorder="1" applyAlignment="1">
      <alignment vertical="center" wrapText="1"/>
    </xf>
    <xf numFmtId="0" fontId="113" fillId="0" borderId="0" xfId="116" applyNumberFormat="1" applyFont="1" applyFill="1" applyBorder="1" applyAlignment="1">
      <alignment horizontal="right" vertical="center" wrapText="1"/>
    </xf>
    <xf numFmtId="0" fontId="36" fillId="0" borderId="0" xfId="116" applyNumberFormat="1" applyFont="1" applyFill="1" applyAlignment="1">
      <alignment vertical="center"/>
    </xf>
    <xf numFmtId="3" fontId="36" fillId="0" borderId="2" xfId="116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109" fillId="0" borderId="2" xfId="0" applyFont="1" applyBorder="1" applyAlignment="1">
      <alignment horizontal="center" vertical="center" wrapText="1"/>
    </xf>
    <xf numFmtId="176" fontId="9" fillId="0" borderId="0" xfId="122" applyNumberFormat="1" applyFont="1" applyFill="1" applyAlignment="1">
      <alignment horizontal="left" vertical="center"/>
    </xf>
    <xf numFmtId="176" fontId="35" fillId="0" borderId="0" xfId="122" applyNumberFormat="1" applyFont="1" applyFill="1" applyAlignment="1"/>
    <xf numFmtId="0" fontId="116" fillId="0" borderId="0" xfId="0" applyFont="1"/>
    <xf numFmtId="1" fontId="78" fillId="0" borderId="0" xfId="0" applyNumberFormat="1" applyFont="1" applyAlignment="1">
      <alignment horizontal="center"/>
    </xf>
    <xf numFmtId="0" fontId="78" fillId="0" borderId="0" xfId="0" applyFont="1" applyAlignment="1">
      <alignment horizontal="left" wrapText="1"/>
    </xf>
    <xf numFmtId="4" fontId="78" fillId="0" borderId="0" xfId="0" applyNumberFormat="1" applyFont="1" applyAlignment="1">
      <alignment horizontal="right"/>
    </xf>
    <xf numFmtId="1" fontId="78" fillId="0" borderId="0" xfId="0" applyNumberFormat="1" applyFont="1" applyAlignment="1">
      <alignment horizontal="right"/>
    </xf>
    <xf numFmtId="0" fontId="78" fillId="0" borderId="0" xfId="0" applyFont="1" applyAlignment="1">
      <alignment horizontal="right"/>
    </xf>
    <xf numFmtId="0" fontId="116" fillId="0" borderId="0" xfId="0" applyFont="1" applyAlignment="1">
      <alignment vertical="center"/>
    </xf>
    <xf numFmtId="0" fontId="0" fillId="0" borderId="0" xfId="0" applyAlignment="1">
      <alignment vertical="center"/>
    </xf>
    <xf numFmtId="0" fontId="117" fillId="0" borderId="0" xfId="0" applyFont="1"/>
    <xf numFmtId="172" fontId="106" fillId="0" borderId="2" xfId="0" applyNumberFormat="1" applyFont="1" applyBorder="1" applyAlignment="1">
      <alignment horizontal="center"/>
    </xf>
    <xf numFmtId="172" fontId="109" fillId="0" borderId="2" xfId="0" applyNumberFormat="1" applyFont="1" applyBorder="1" applyAlignment="1">
      <alignment horizontal="center"/>
    </xf>
    <xf numFmtId="0" fontId="109" fillId="0" borderId="0" xfId="0" applyFont="1" applyAlignment="1">
      <alignment horizontal="left"/>
    </xf>
    <xf numFmtId="172" fontId="106" fillId="0" borderId="2" xfId="0" applyNumberFormat="1" applyFont="1" applyBorder="1" applyAlignment="1">
      <alignment horizontal="center" vertical="center" wrapText="1"/>
    </xf>
    <xf numFmtId="0" fontId="109" fillId="0" borderId="2" xfId="0" applyFont="1" applyBorder="1" applyAlignment="1">
      <alignment horizontal="left" vertical="center"/>
    </xf>
    <xf numFmtId="172" fontId="109" fillId="0" borderId="2" xfId="0" applyNumberFormat="1" applyFont="1" applyBorder="1" applyAlignment="1">
      <alignment horizontal="center" vertical="center" wrapText="1"/>
    </xf>
    <xf numFmtId="4" fontId="35" fillId="0" borderId="4" xfId="0" applyNumberFormat="1" applyFont="1" applyBorder="1" applyAlignment="1">
      <alignment horizontal="center" vertical="center"/>
    </xf>
    <xf numFmtId="1" fontId="35" fillId="0" borderId="2" xfId="0" applyNumberFormat="1" applyFont="1" applyBorder="1" applyAlignment="1">
      <alignment horizontal="center" vertical="center"/>
    </xf>
    <xf numFmtId="0" fontId="36" fillId="0" borderId="2" xfId="0" applyFont="1" applyBorder="1" applyAlignment="1">
      <alignment horizontal="left" vertical="center" wrapText="1"/>
    </xf>
    <xf numFmtId="4" fontId="35" fillId="0" borderId="2" xfId="0" applyNumberFormat="1" applyFont="1" applyBorder="1" applyAlignment="1">
      <alignment horizontal="right" vertical="center"/>
    </xf>
    <xf numFmtId="1" fontId="35" fillId="0" borderId="2" xfId="0" applyNumberFormat="1" applyFont="1" applyBorder="1" applyAlignment="1">
      <alignment horizontal="right" vertical="center"/>
    </xf>
    <xf numFmtId="4" fontId="36" fillId="0" borderId="2" xfId="0" applyNumberFormat="1" applyFont="1" applyBorder="1" applyAlignment="1">
      <alignment horizontal="center" vertical="center"/>
    </xf>
    <xf numFmtId="4" fontId="36" fillId="0" borderId="2" xfId="0" applyNumberFormat="1" applyFont="1" applyBorder="1" applyAlignment="1">
      <alignment horizontal="center"/>
    </xf>
    <xf numFmtId="4" fontId="35" fillId="0" borderId="4" xfId="0" applyNumberFormat="1" applyFont="1" applyBorder="1" applyAlignment="1">
      <alignment horizontal="center"/>
    </xf>
    <xf numFmtId="175" fontId="36" fillId="0" borderId="2" xfId="112" applyNumberFormat="1" applyFont="1" applyBorder="1" applyAlignment="1">
      <alignment horizontal="center"/>
    </xf>
    <xf numFmtId="175" fontId="35" fillId="0" borderId="2" xfId="118" applyNumberFormat="1" applyFont="1" applyFill="1" applyBorder="1" applyAlignment="1">
      <alignment horizontal="center" vertical="center" wrapText="1"/>
    </xf>
    <xf numFmtId="3" fontId="35" fillId="0" borderId="4" xfId="0" applyNumberFormat="1" applyFont="1" applyBorder="1" applyAlignment="1">
      <alignment horizontal="center" vertical="center" wrapText="1"/>
    </xf>
    <xf numFmtId="3" fontId="36" fillId="0" borderId="2" xfId="0" applyNumberFormat="1" applyFont="1" applyBorder="1" applyAlignment="1">
      <alignment horizontal="center"/>
    </xf>
    <xf numFmtId="3" fontId="35" fillId="0" borderId="4" xfId="0" applyNumberFormat="1" applyFont="1" applyBorder="1" applyAlignment="1">
      <alignment horizontal="center" wrapText="1"/>
    </xf>
    <xf numFmtId="3" fontId="36" fillId="0" borderId="2" xfId="0" applyNumberFormat="1" applyFont="1" applyBorder="1" applyAlignment="1">
      <alignment horizontal="center" wrapText="1"/>
    </xf>
    <xf numFmtId="3" fontId="35" fillId="0" borderId="4" xfId="0" applyNumberFormat="1" applyFont="1" applyBorder="1" applyAlignment="1">
      <alignment horizontal="center"/>
    </xf>
    <xf numFmtId="0" fontId="36" fillId="8" borderId="2" xfId="0" applyFont="1" applyFill="1" applyBorder="1" applyAlignment="1">
      <alignment horizontal="center" vertical="center" wrapText="1"/>
    </xf>
    <xf numFmtId="0" fontId="79" fillId="0" borderId="2" xfId="0" applyFont="1" applyBorder="1" applyAlignment="1">
      <alignment horizontal="center" vertical="center"/>
    </xf>
    <xf numFmtId="0" fontId="109" fillId="0" borderId="2" xfId="0" applyFont="1" applyBorder="1" applyAlignment="1">
      <alignment horizontal="center"/>
    </xf>
    <xf numFmtId="0" fontId="36" fillId="2" borderId="13" xfId="91" applyFont="1" applyFill="1" applyBorder="1" applyAlignment="1">
      <alignment horizontal="center" vertical="center" wrapText="1"/>
    </xf>
    <xf numFmtId="0" fontId="36" fillId="2" borderId="11" xfId="91" applyFont="1" applyFill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3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3" fontId="32" fillId="0" borderId="2" xfId="94" applyNumberFormat="1" applyFont="1" applyBorder="1" applyAlignment="1">
      <alignment horizontal="center" vertical="center" wrapText="1"/>
    </xf>
    <xf numFmtId="0" fontId="109" fillId="0" borderId="0" xfId="0" applyFont="1" applyAlignment="1">
      <alignment horizontal="right"/>
    </xf>
    <xf numFmtId="0" fontId="109" fillId="0" borderId="0" xfId="0" applyFont="1" applyAlignment="1">
      <alignment vertical="top" wrapText="1"/>
    </xf>
    <xf numFmtId="0" fontId="108" fillId="0" borderId="0" xfId="0" applyFont="1" applyAlignment="1">
      <alignment vertical="top"/>
    </xf>
    <xf numFmtId="3" fontId="4" fillId="0" borderId="2" xfId="72" applyNumberFormat="1" applyFont="1" applyBorder="1" applyAlignment="1">
      <alignment horizontal="center" vertical="center" wrapText="1"/>
    </xf>
    <xf numFmtId="1" fontId="9" fillId="0" borderId="5" xfId="0" applyNumberFormat="1" applyFont="1" applyBorder="1" applyAlignment="1">
      <alignment horizontal="center" vertical="center" wrapText="1"/>
    </xf>
    <xf numFmtId="3" fontId="9" fillId="0" borderId="5" xfId="0" applyNumberFormat="1" applyFont="1" applyBorder="1" applyAlignment="1">
      <alignment horizontal="center" vertical="center" wrapText="1"/>
    </xf>
    <xf numFmtId="3" fontId="35" fillId="0" borderId="2" xfId="36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/>
    </xf>
    <xf numFmtId="175" fontId="36" fillId="0" borderId="2" xfId="116" applyNumberFormat="1" applyFont="1" applyFill="1" applyBorder="1" applyAlignment="1">
      <alignment horizontal="center" vertical="center"/>
    </xf>
    <xf numFmtId="175" fontId="35" fillId="0" borderId="2" xfId="116" applyNumberFormat="1" applyFont="1" applyFill="1" applyBorder="1" applyAlignment="1">
      <alignment horizontal="center"/>
    </xf>
    <xf numFmtId="175" fontId="36" fillId="0" borderId="2" xfId="116" applyNumberFormat="1" applyFont="1" applyFill="1" applyBorder="1" applyAlignment="1">
      <alignment horizontal="center"/>
    </xf>
    <xf numFmtId="175" fontId="30" fillId="0" borderId="0" xfId="0" applyNumberFormat="1" applyFont="1" applyAlignment="1">
      <alignment horizontal="center" vertical="center"/>
    </xf>
    <xf numFmtId="175" fontId="30" fillId="0" borderId="2" xfId="0" applyNumberFormat="1" applyFont="1" applyBorder="1" applyAlignment="1">
      <alignment horizontal="center" vertical="center"/>
    </xf>
    <xf numFmtId="175" fontId="30" fillId="0" borderId="2" xfId="0" applyNumberFormat="1" applyFont="1" applyBorder="1" applyAlignment="1">
      <alignment horizontal="right" vertical="center" wrapText="1"/>
    </xf>
    <xf numFmtId="175" fontId="36" fillId="0" borderId="2" xfId="34" applyNumberFormat="1" applyFont="1" applyBorder="1" applyAlignment="1">
      <alignment horizontal="center" vertical="center" wrapText="1"/>
    </xf>
    <xf numFmtId="4" fontId="35" fillId="0" borderId="2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175" fontId="79" fillId="0" borderId="2" xfId="0" applyNumberFormat="1" applyFont="1" applyBorder="1" applyAlignment="1">
      <alignment horizontal="center" vertical="center"/>
    </xf>
    <xf numFmtId="175" fontId="35" fillId="0" borderId="2" xfId="116" applyNumberFormat="1" applyFont="1" applyFill="1" applyBorder="1" applyAlignment="1">
      <alignment vertical="center"/>
    </xf>
    <xf numFmtId="175" fontId="36" fillId="0" borderId="2" xfId="116" applyNumberFormat="1" applyFont="1" applyFill="1" applyBorder="1" applyAlignment="1">
      <alignment vertical="center"/>
    </xf>
    <xf numFmtId="175" fontId="9" fillId="0" borderId="2" xfId="0" applyNumberFormat="1" applyFont="1" applyBorder="1" applyAlignment="1">
      <alignment vertical="center"/>
    </xf>
    <xf numFmtId="3" fontId="30" fillId="0" borderId="2" xfId="0" applyNumberFormat="1" applyFont="1" applyBorder="1" applyAlignment="1">
      <alignment vertical="center"/>
    </xf>
    <xf numFmtId="0" fontId="35" fillId="0" borderId="2" xfId="116" applyNumberFormat="1" applyFont="1" applyFill="1" applyBorder="1" applyAlignment="1">
      <alignment vertical="center"/>
    </xf>
    <xf numFmtId="3" fontId="35" fillId="2" borderId="2" xfId="116" applyNumberFormat="1" applyFont="1" applyFill="1" applyBorder="1" applyAlignment="1">
      <alignment horizontal="center" vertical="center" wrapText="1"/>
    </xf>
    <xf numFmtId="3" fontId="36" fillId="2" borderId="2" xfId="116" applyNumberFormat="1" applyFont="1" applyFill="1" applyBorder="1" applyAlignment="1">
      <alignment horizontal="center" vertical="center" wrapText="1"/>
    </xf>
    <xf numFmtId="4" fontId="36" fillId="2" borderId="2" xfId="116" applyNumberFormat="1" applyFont="1" applyFill="1" applyBorder="1" applyAlignment="1">
      <alignment horizontal="center" vertical="center"/>
    </xf>
    <xf numFmtId="0" fontId="36" fillId="2" borderId="2" xfId="116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3" fontId="4" fillId="0" borderId="2" xfId="119" applyNumberFormat="1" applyFont="1" applyFill="1" applyBorder="1" applyAlignment="1">
      <alignment vertical="center" wrapText="1"/>
    </xf>
    <xf numFmtId="3" fontId="8" fillId="0" borderId="2" xfId="72" applyNumberFormat="1" applyFont="1" applyBorder="1" applyAlignment="1">
      <alignment horizontal="left" vertical="center" wrapText="1"/>
    </xf>
    <xf numFmtId="3" fontId="8" fillId="0" borderId="2" xfId="119" applyNumberFormat="1" applyFont="1" applyFill="1" applyBorder="1" applyAlignment="1">
      <alignment vertical="center" wrapText="1"/>
    </xf>
    <xf numFmtId="4" fontId="35" fillId="6" borderId="2" xfId="0" applyNumberFormat="1" applyFont="1" applyFill="1" applyBorder="1" applyAlignment="1">
      <alignment horizontal="center" vertical="center" wrapText="1"/>
    </xf>
    <xf numFmtId="0" fontId="36" fillId="6" borderId="2" xfId="36" applyFont="1" applyFill="1" applyBorder="1" applyAlignment="1">
      <alignment horizontal="center" vertical="top" wrapText="1"/>
    </xf>
    <xf numFmtId="4" fontId="35" fillId="6" borderId="2" xfId="36" applyNumberFormat="1" applyFont="1" applyFill="1" applyBorder="1" applyAlignment="1">
      <alignment horizontal="center" vertical="center" wrapText="1"/>
    </xf>
    <xf numFmtId="0" fontId="35" fillId="6" borderId="2" xfId="36" applyFont="1" applyFill="1" applyBorder="1" applyAlignment="1">
      <alignment horizontal="center" vertical="top" wrapText="1"/>
    </xf>
    <xf numFmtId="3" fontId="35" fillId="6" borderId="2" xfId="0" applyNumberFormat="1" applyFont="1" applyFill="1" applyBorder="1" applyAlignment="1">
      <alignment horizontal="center" vertical="top" wrapText="1"/>
    </xf>
    <xf numFmtId="0" fontId="36" fillId="6" borderId="2" xfId="0" applyFont="1" applyFill="1" applyBorder="1" applyAlignment="1">
      <alignment horizontal="center"/>
    </xf>
    <xf numFmtId="0" fontId="36" fillId="6" borderId="2" xfId="0" applyFont="1" applyFill="1" applyBorder="1" applyAlignment="1">
      <alignment wrapText="1"/>
    </xf>
    <xf numFmtId="0" fontId="36" fillId="6" borderId="2" xfId="0" applyFont="1" applyFill="1" applyBorder="1" applyAlignment="1">
      <alignment horizontal="center" wrapText="1"/>
    </xf>
    <xf numFmtId="3" fontId="36" fillId="6" borderId="2" xfId="0" applyNumberFormat="1" applyFont="1" applyFill="1" applyBorder="1" applyAlignment="1">
      <alignment horizontal="center" wrapText="1"/>
    </xf>
    <xf numFmtId="4" fontId="36" fillId="6" borderId="2" xfId="0" applyNumberFormat="1" applyFont="1" applyFill="1" applyBorder="1" applyAlignment="1">
      <alignment horizontal="center"/>
    </xf>
    <xf numFmtId="0" fontId="35" fillId="6" borderId="0" xfId="0" applyFont="1" applyFill="1" applyProtection="1">
      <protection locked="0"/>
    </xf>
    <xf numFmtId="2" fontId="35" fillId="6" borderId="0" xfId="0" applyNumberFormat="1" applyFont="1" applyFill="1" applyProtection="1">
      <protection locked="0"/>
    </xf>
    <xf numFmtId="0" fontId="35" fillId="6" borderId="0" xfId="0" applyFont="1" applyFill="1" applyAlignment="1" applyProtection="1">
      <alignment horizontal="center"/>
      <protection locked="0"/>
    </xf>
    <xf numFmtId="176" fontId="9" fillId="0" borderId="0" xfId="122" applyNumberFormat="1" applyFont="1" applyFill="1" applyAlignment="1" applyProtection="1">
      <alignment horizontal="left"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106" fillId="0" borderId="0" xfId="0" applyFont="1" applyProtection="1">
      <protection locked="0"/>
    </xf>
    <xf numFmtId="0" fontId="35" fillId="6" borderId="2" xfId="0" applyFont="1" applyFill="1" applyBorder="1" applyAlignment="1" applyProtection="1">
      <alignment horizontal="center" vertical="center" wrapText="1"/>
      <protection locked="0"/>
    </xf>
    <xf numFmtId="0" fontId="35" fillId="6" borderId="2" xfId="0" applyFont="1" applyFill="1" applyBorder="1" applyAlignment="1" applyProtection="1">
      <alignment vertical="center" wrapText="1"/>
      <protection locked="0"/>
    </xf>
    <xf numFmtId="0" fontId="35" fillId="6" borderId="2" xfId="0" applyFont="1" applyFill="1" applyBorder="1" applyAlignment="1" applyProtection="1">
      <alignment horizontal="center" vertical="top" wrapText="1"/>
      <protection locked="0"/>
    </xf>
    <xf numFmtId="0" fontId="35" fillId="6" borderId="0" xfId="0" applyFont="1" applyFill="1"/>
    <xf numFmtId="2" fontId="35" fillId="6" borderId="0" xfId="0" applyNumberFormat="1" applyFont="1" applyFill="1"/>
    <xf numFmtId="0" fontId="35" fillId="6" borderId="0" xfId="0" applyFont="1" applyFill="1" applyAlignment="1">
      <alignment horizontal="center"/>
    </xf>
    <xf numFmtId="0" fontId="118" fillId="6" borderId="0" xfId="0" applyFont="1" applyFill="1"/>
    <xf numFmtId="0" fontId="35" fillId="6" borderId="0" xfId="0" applyFont="1" applyFill="1" applyAlignment="1">
      <alignment wrapText="1"/>
    </xf>
    <xf numFmtId="0" fontId="35" fillId="6" borderId="0" xfId="0" applyFont="1" applyFill="1" applyAlignment="1">
      <alignment horizontal="center" wrapText="1"/>
    </xf>
    <xf numFmtId="0" fontId="35" fillId="6" borderId="0" xfId="0" applyFont="1" applyFill="1" applyAlignment="1">
      <alignment horizontal="right"/>
    </xf>
    <xf numFmtId="176" fontId="36" fillId="0" borderId="0" xfId="122" applyNumberFormat="1" applyFont="1" applyFill="1" applyAlignment="1" applyProtection="1">
      <alignment horizontal="left" vertical="center"/>
    </xf>
    <xf numFmtId="176" fontId="36" fillId="0" borderId="0" xfId="122" applyNumberFormat="1" applyFont="1" applyFill="1" applyAlignment="1" applyProtection="1">
      <alignment vertical="center"/>
    </xf>
    <xf numFmtId="0" fontId="35" fillId="0" borderId="0" xfId="62" applyFont="1" applyAlignment="1">
      <alignment horizontal="center"/>
    </xf>
    <xf numFmtId="0" fontId="106" fillId="0" borderId="0" xfId="0" applyFont="1" applyAlignment="1">
      <alignment horizontal="center" vertical="top" wrapText="1"/>
    </xf>
    <xf numFmtId="175" fontId="35" fillId="0" borderId="2" xfId="122" applyNumberFormat="1" applyFont="1" applyFill="1" applyBorder="1" applyAlignment="1" applyProtection="1">
      <alignment horizontal="center" vertical="center" wrapText="1"/>
      <protection locked="0"/>
    </xf>
    <xf numFmtId="0" fontId="106" fillId="6" borderId="2" xfId="0" applyFont="1" applyFill="1" applyBorder="1" applyAlignment="1" applyProtection="1">
      <alignment wrapText="1"/>
      <protection locked="0"/>
    </xf>
    <xf numFmtId="0" fontId="106" fillId="6" borderId="2" xfId="0" applyFont="1" applyFill="1" applyBorder="1" applyAlignment="1" applyProtection="1">
      <alignment horizontal="center" vertical="center" wrapText="1"/>
      <protection locked="0"/>
    </xf>
    <xf numFmtId="0" fontId="30" fillId="0" borderId="2" xfId="0" applyFont="1" applyBorder="1" applyAlignment="1" applyProtection="1">
      <alignment horizontal="center" vertical="center"/>
      <protection locked="0"/>
    </xf>
    <xf numFmtId="4" fontId="30" fillId="0" borderId="2" xfId="0" applyNumberFormat="1" applyFont="1" applyBorder="1" applyAlignment="1" applyProtection="1">
      <alignment horizontal="center" vertical="center"/>
      <protection locked="0"/>
    </xf>
    <xf numFmtId="4" fontId="30" fillId="0" borderId="2" xfId="62" applyNumberFormat="1" applyFont="1" applyBorder="1" applyAlignment="1" applyProtection="1">
      <alignment horizontal="center" vertical="center"/>
      <protection locked="0"/>
    </xf>
    <xf numFmtId="0" fontId="36" fillId="0" borderId="0" xfId="0" applyFont="1" applyAlignment="1" applyProtection="1">
      <alignment vertical="top"/>
      <protection locked="0"/>
    </xf>
    <xf numFmtId="0" fontId="53" fillId="0" borderId="0" xfId="0" applyFont="1" applyAlignment="1" applyProtection="1">
      <alignment vertical="top"/>
      <protection locked="0"/>
    </xf>
    <xf numFmtId="0" fontId="54" fillId="0" borderId="0" xfId="0" applyFont="1" applyProtection="1">
      <protection locked="0"/>
    </xf>
    <xf numFmtId="0" fontId="113" fillId="0" borderId="0" xfId="0" applyFont="1" applyAlignment="1">
      <alignment horizontal="right" vertical="center"/>
    </xf>
    <xf numFmtId="0" fontId="116" fillId="0" borderId="0" xfId="0" applyFont="1" applyProtection="1">
      <protection locked="0"/>
    </xf>
    <xf numFmtId="0" fontId="0" fillId="0" borderId="0" xfId="0" applyProtection="1">
      <protection locked="0"/>
    </xf>
    <xf numFmtId="0" fontId="117" fillId="0" borderId="0" xfId="0" applyFont="1" applyProtection="1">
      <protection locked="0"/>
    </xf>
    <xf numFmtId="1" fontId="35" fillId="0" borderId="4" xfId="0" applyNumberFormat="1" applyFont="1" applyBorder="1" applyAlignment="1" applyProtection="1">
      <alignment horizontal="center"/>
      <protection locked="0"/>
    </xf>
    <xf numFmtId="0" fontId="35" fillId="0" borderId="4" xfId="0" applyFont="1" applyBorder="1" applyAlignment="1" applyProtection="1">
      <alignment horizontal="left" vertical="center" wrapText="1"/>
      <protection locked="0"/>
    </xf>
    <xf numFmtId="0" fontId="35" fillId="0" borderId="4" xfId="0" applyFont="1" applyBorder="1" applyAlignment="1" applyProtection="1">
      <alignment horizontal="left" vertical="top" wrapText="1"/>
      <protection locked="0"/>
    </xf>
    <xf numFmtId="0" fontId="35" fillId="0" borderId="4" xfId="0" applyFont="1" applyBorder="1" applyAlignment="1" applyProtection="1">
      <alignment horizontal="center" vertical="top" wrapText="1"/>
      <protection locked="0"/>
    </xf>
    <xf numFmtId="4" fontId="35" fillId="0" borderId="4" xfId="0" applyNumberFormat="1" applyFont="1" applyBorder="1" applyAlignment="1" applyProtection="1">
      <alignment horizontal="center" vertical="center"/>
      <protection locked="0"/>
    </xf>
    <xf numFmtId="1" fontId="35" fillId="0" borderId="4" xfId="0" applyNumberFormat="1" applyFont="1" applyBorder="1" applyAlignment="1" applyProtection="1">
      <alignment horizontal="center" vertical="center"/>
      <protection locked="0"/>
    </xf>
    <xf numFmtId="0" fontId="106" fillId="0" borderId="0" xfId="0" applyFont="1" applyAlignment="1">
      <alignment horizontal="center"/>
    </xf>
    <xf numFmtId="0" fontId="35" fillId="0" borderId="4" xfId="0" applyFont="1" applyBorder="1" applyAlignment="1" applyProtection="1">
      <alignment horizontal="left" wrapText="1"/>
      <protection locked="0"/>
    </xf>
    <xf numFmtId="0" fontId="35" fillId="0" borderId="4" xfId="0" applyFont="1" applyBorder="1" applyAlignment="1" applyProtection="1">
      <alignment horizontal="center" vertical="center" wrapText="1"/>
      <protection locked="0"/>
    </xf>
    <xf numFmtId="3" fontId="35" fillId="0" borderId="4" xfId="0" applyNumberFormat="1" applyFont="1" applyBorder="1" applyAlignment="1" applyProtection="1">
      <alignment horizontal="center" vertical="center"/>
      <protection locked="0"/>
    </xf>
    <xf numFmtId="176" fontId="9" fillId="0" borderId="0" xfId="116" applyNumberFormat="1" applyFont="1" applyFill="1" applyAlignment="1" applyProtection="1">
      <alignment horizontal="left" vertical="center"/>
      <protection locked="0"/>
    </xf>
    <xf numFmtId="0" fontId="106" fillId="0" borderId="2" xfId="0" applyFont="1" applyBorder="1" applyAlignment="1" applyProtection="1">
      <alignment horizontal="center"/>
      <protection locked="0"/>
    </xf>
    <xf numFmtId="0" fontId="106" fillId="0" borderId="2" xfId="0" applyFont="1" applyBorder="1" applyProtection="1">
      <protection locked="0"/>
    </xf>
    <xf numFmtId="3" fontId="106" fillId="0" borderId="2" xfId="0" applyNumberFormat="1" applyFont="1" applyBorder="1" applyAlignment="1" applyProtection="1">
      <alignment horizontal="center"/>
      <protection locked="0"/>
    </xf>
    <xf numFmtId="172" fontId="106" fillId="0" borderId="2" xfId="0" applyNumberFormat="1" applyFont="1" applyBorder="1" applyAlignment="1" applyProtection="1">
      <alignment horizontal="center"/>
      <protection locked="0"/>
    </xf>
    <xf numFmtId="0" fontId="106" fillId="0" borderId="6" xfId="0" applyFont="1" applyBorder="1" applyAlignment="1" applyProtection="1">
      <alignment horizontal="center" vertical="center" wrapText="1"/>
      <protection locked="0"/>
    </xf>
    <xf numFmtId="0" fontId="106" fillId="0" borderId="2" xfId="0" applyFont="1" applyBorder="1" applyAlignment="1" applyProtection="1">
      <alignment horizontal="left" vertical="center" wrapText="1"/>
      <protection locked="0"/>
    </xf>
    <xf numFmtId="0" fontId="35" fillId="0" borderId="2" xfId="109" applyFont="1" applyBorder="1" applyAlignment="1" applyProtection="1">
      <alignment horizontal="center" vertical="center" wrapText="1"/>
      <protection locked="0"/>
    </xf>
    <xf numFmtId="172" fontId="106" fillId="0" borderId="2" xfId="0" applyNumberFormat="1" applyFont="1" applyBorder="1" applyAlignment="1" applyProtection="1">
      <alignment horizontal="center" vertical="center" wrapText="1"/>
      <protection locked="0"/>
    </xf>
    <xf numFmtId="0" fontId="106" fillId="0" borderId="2" xfId="0" applyFont="1" applyBorder="1" applyAlignment="1" applyProtection="1">
      <alignment horizontal="center" vertical="center" wrapText="1"/>
      <protection locked="0"/>
    </xf>
    <xf numFmtId="0" fontId="109" fillId="0" borderId="2" xfId="0" applyFont="1" applyBorder="1" applyAlignment="1" applyProtection="1">
      <alignment horizontal="center" vertical="center" wrapText="1"/>
      <protection locked="0"/>
    </xf>
    <xf numFmtId="4" fontId="30" fillId="0" borderId="0" xfId="0" applyNumberFormat="1" applyFont="1" applyAlignment="1">
      <alignment horizontal="center" vertical="center"/>
    </xf>
    <xf numFmtId="4" fontId="30" fillId="0" borderId="0" xfId="0" applyNumberFormat="1" applyFont="1" applyAlignment="1">
      <alignment vertical="center"/>
    </xf>
    <xf numFmtId="0" fontId="30" fillId="0" borderId="2" xfId="0" applyFont="1" applyBorder="1" applyAlignment="1" applyProtection="1">
      <alignment vertical="center" wrapText="1"/>
      <protection locked="0"/>
    </xf>
    <xf numFmtId="0" fontId="30" fillId="0" borderId="2" xfId="0" applyFont="1" applyBorder="1" applyAlignment="1" applyProtection="1">
      <alignment vertical="center"/>
      <protection locked="0"/>
    </xf>
    <xf numFmtId="0" fontId="66" fillId="0" borderId="0" xfId="0" applyFont="1" applyAlignment="1" applyProtection="1">
      <alignment vertical="center"/>
      <protection locked="0"/>
    </xf>
    <xf numFmtId="0" fontId="30" fillId="0" borderId="0" xfId="0" applyFont="1" applyAlignment="1" applyProtection="1">
      <alignment vertical="center"/>
      <protection locked="0"/>
    </xf>
    <xf numFmtId="176" fontId="35" fillId="0" borderId="0" xfId="116" applyNumberFormat="1" applyFont="1" applyFill="1" applyAlignment="1" applyProtection="1">
      <alignment vertical="center"/>
      <protection locked="0"/>
    </xf>
    <xf numFmtId="0" fontId="30" fillId="0" borderId="0" xfId="0" applyFont="1" applyAlignment="1" applyProtection="1">
      <alignment horizontal="left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176" fontId="35" fillId="0" borderId="0" xfId="116" applyNumberFormat="1" applyFont="1" applyFill="1" applyAlignment="1" applyProtection="1">
      <alignment horizontal="center" vertical="center"/>
      <protection locked="0"/>
    </xf>
    <xf numFmtId="178" fontId="36" fillId="0" borderId="0" xfId="122" applyNumberFormat="1" applyFont="1" applyFill="1" applyAlignment="1" applyProtection="1">
      <alignment horizontal="left" vertical="center"/>
      <protection locked="0"/>
    </xf>
    <xf numFmtId="0" fontId="35" fillId="0" borderId="0" xfId="36" applyFont="1" applyAlignment="1" applyProtection="1">
      <alignment vertical="center"/>
      <protection locked="0"/>
    </xf>
    <xf numFmtId="178" fontId="35" fillId="0" borderId="0" xfId="122" applyNumberFormat="1" applyFont="1" applyFill="1" applyAlignment="1" applyProtection="1">
      <alignment horizontal="left" vertical="center"/>
      <protection locked="0"/>
    </xf>
    <xf numFmtId="9" fontId="30" fillId="0" borderId="2" xfId="0" applyNumberFormat="1" applyFont="1" applyBorder="1" applyAlignment="1" applyProtection="1">
      <alignment horizontal="center" vertical="center"/>
      <protection locked="0"/>
    </xf>
    <xf numFmtId="3" fontId="30" fillId="0" borderId="2" xfId="0" applyNumberFormat="1" applyFont="1" applyBorder="1" applyAlignment="1" applyProtection="1">
      <alignment vertical="center"/>
      <protection locked="0"/>
    </xf>
    <xf numFmtId="3" fontId="30" fillId="0" borderId="2" xfId="0" applyNumberFormat="1" applyFont="1" applyBorder="1" applyAlignment="1" applyProtection="1">
      <alignment horizontal="center" vertical="center"/>
      <protection locked="0"/>
    </xf>
    <xf numFmtId="3" fontId="35" fillId="0" borderId="0" xfId="0" applyNumberFormat="1" applyFont="1" applyAlignment="1">
      <alignment horizontal="right" vertical="center" wrapText="1"/>
    </xf>
    <xf numFmtId="3" fontId="35" fillId="0" borderId="0" xfId="0" applyNumberFormat="1" applyFont="1" applyAlignment="1">
      <alignment vertical="center"/>
    </xf>
    <xf numFmtId="4" fontId="35" fillId="0" borderId="0" xfId="0" applyNumberFormat="1" applyFont="1" applyAlignment="1">
      <alignment horizontal="center" vertical="center"/>
    </xf>
    <xf numFmtId="0" fontId="37" fillId="0" borderId="2" xfId="0" applyFont="1" applyBorder="1" applyAlignment="1" applyProtection="1">
      <alignment horizontal="center" vertical="top"/>
      <protection locked="0"/>
    </xf>
    <xf numFmtId="0" fontId="39" fillId="0" borderId="2" xfId="0" applyFont="1" applyBorder="1" applyAlignment="1" applyProtection="1">
      <alignment horizontal="left" vertical="top" wrapText="1"/>
      <protection locked="0"/>
    </xf>
    <xf numFmtId="172" fontId="36" fillId="0" borderId="2" xfId="0" applyNumberFormat="1" applyFont="1" applyBorder="1" applyAlignment="1" applyProtection="1">
      <alignment vertical="center" wrapText="1"/>
      <protection locked="0"/>
    </xf>
    <xf numFmtId="3" fontId="36" fillId="0" borderId="2" xfId="0" applyNumberFormat="1" applyFont="1" applyBorder="1" applyAlignment="1" applyProtection="1">
      <alignment vertical="center"/>
      <protection locked="0"/>
    </xf>
    <xf numFmtId="0" fontId="35" fillId="0" borderId="2" xfId="0" applyFont="1" applyBorder="1" applyAlignment="1" applyProtection="1">
      <alignment horizontal="center" vertical="top"/>
      <protection locked="0"/>
    </xf>
    <xf numFmtId="0" fontId="35" fillId="0" borderId="2" xfId="0" applyFont="1" applyBorder="1" applyAlignment="1" applyProtection="1">
      <alignment horizontal="left" vertical="top" wrapText="1"/>
      <protection locked="0"/>
    </xf>
    <xf numFmtId="3" fontId="35" fillId="0" borderId="2" xfId="0" applyNumberFormat="1" applyFont="1" applyBorder="1" applyAlignment="1" applyProtection="1">
      <alignment horizontal="right" vertical="center" wrapText="1"/>
      <protection locked="0"/>
    </xf>
    <xf numFmtId="3" fontId="35" fillId="0" borderId="2" xfId="0" applyNumberFormat="1" applyFont="1" applyBorder="1" applyAlignment="1" applyProtection="1">
      <alignment vertical="center"/>
      <protection locked="0"/>
    </xf>
    <xf numFmtId="0" fontId="35" fillId="0" borderId="2" xfId="0" applyFont="1" applyBorder="1" applyAlignment="1" applyProtection="1">
      <alignment horizontal="center" vertical="center" wrapText="1"/>
      <protection locked="0"/>
    </xf>
    <xf numFmtId="0" fontId="35" fillId="0" borderId="6" xfId="0" applyFont="1" applyBorder="1" applyAlignment="1" applyProtection="1">
      <alignment horizontal="left" vertical="top" wrapText="1"/>
      <protection locked="0"/>
    </xf>
    <xf numFmtId="0" fontId="39" fillId="0" borderId="2" xfId="0" applyFont="1" applyBorder="1" applyAlignment="1" applyProtection="1">
      <alignment horizontal="center" vertical="top"/>
      <protection locked="0"/>
    </xf>
    <xf numFmtId="172" fontId="36" fillId="0" borderId="2" xfId="0" applyNumberFormat="1" applyFont="1" applyBorder="1" applyAlignment="1" applyProtection="1">
      <alignment horizontal="right" vertical="center" wrapText="1"/>
      <protection locked="0"/>
    </xf>
    <xf numFmtId="3" fontId="35" fillId="0" borderId="2" xfId="0" applyNumberFormat="1" applyFont="1" applyBorder="1" applyAlignment="1" applyProtection="1">
      <alignment horizontal="center" vertical="center"/>
      <protection locked="0"/>
    </xf>
    <xf numFmtId="0" fontId="30" fillId="0" borderId="0" xfId="0" applyFont="1" applyProtection="1">
      <protection locked="0"/>
    </xf>
    <xf numFmtId="0" fontId="11" fillId="0" borderId="0" xfId="0" applyFont="1" applyProtection="1">
      <protection locked="0"/>
    </xf>
    <xf numFmtId="176" fontId="36" fillId="0" borderId="0" xfId="116" applyNumberFormat="1" applyFont="1" applyFill="1" applyBorder="1" applyAlignment="1" applyProtection="1">
      <alignment horizontal="center" vertical="center" wrapText="1"/>
      <protection locked="0"/>
    </xf>
    <xf numFmtId="3" fontId="35" fillId="0" borderId="0" xfId="0" applyNumberFormat="1" applyFont="1" applyAlignment="1" applyProtection="1">
      <alignment horizontal="center" vertical="center"/>
      <protection locked="0"/>
    </xf>
    <xf numFmtId="3" fontId="35" fillId="0" borderId="0" xfId="0" applyNumberFormat="1" applyFont="1" applyAlignment="1" applyProtection="1">
      <alignment vertical="top"/>
      <protection locked="0"/>
    </xf>
    <xf numFmtId="3" fontId="38" fillId="0" borderId="0" xfId="0" applyNumberFormat="1" applyFont="1" applyProtection="1">
      <protection locked="0"/>
    </xf>
    <xf numFmtId="176" fontId="35" fillId="0" borderId="0" xfId="116" applyNumberFormat="1" applyFont="1" applyFill="1" applyAlignment="1" applyProtection="1">
      <protection locked="0"/>
    </xf>
    <xf numFmtId="0" fontId="66" fillId="0" borderId="0" xfId="0" applyFont="1" applyProtection="1">
      <protection locked="0"/>
    </xf>
    <xf numFmtId="0" fontId="11" fillId="0" borderId="0" xfId="62" applyFont="1" applyProtection="1">
      <protection locked="0"/>
    </xf>
    <xf numFmtId="0" fontId="108" fillId="0" borderId="0" xfId="0" applyFont="1" applyAlignment="1">
      <alignment horizontal="right"/>
    </xf>
    <xf numFmtId="3" fontId="35" fillId="0" borderId="4" xfId="0" applyNumberFormat="1" applyFont="1" applyBorder="1" applyAlignment="1" applyProtection="1">
      <alignment horizontal="right"/>
      <protection locked="0"/>
    </xf>
    <xf numFmtId="1" fontId="35" fillId="0" borderId="4" xfId="0" applyNumberFormat="1" applyFont="1" applyBorder="1" applyAlignment="1" applyProtection="1">
      <alignment horizontal="right"/>
      <protection locked="0"/>
    </xf>
    <xf numFmtId="4" fontId="35" fillId="0" borderId="4" xfId="0" applyNumberFormat="1" applyFont="1" applyBorder="1" applyAlignment="1" applyProtection="1">
      <alignment horizontal="right"/>
      <protection locked="0"/>
    </xf>
    <xf numFmtId="0" fontId="36" fillId="0" borderId="0" xfId="0" applyFont="1" applyAlignment="1">
      <alignment horizontal="center" vertical="center"/>
    </xf>
    <xf numFmtId="3" fontId="36" fillId="0" borderId="0" xfId="0" applyNumberFormat="1" applyFont="1" applyAlignment="1" applyProtection="1">
      <alignment horizontal="center" vertical="center"/>
      <protection locked="0"/>
    </xf>
    <xf numFmtId="0" fontId="35" fillId="0" borderId="2" xfId="34" applyFont="1" applyBorder="1" applyAlignment="1">
      <alignment horizontal="center" vertical="center" wrapText="1"/>
    </xf>
    <xf numFmtId="176" fontId="36" fillId="0" borderId="0" xfId="116" applyNumberFormat="1" applyFont="1" applyFill="1" applyBorder="1" applyAlignment="1" applyProtection="1">
      <alignment vertical="center" wrapText="1"/>
      <protection locked="0"/>
    </xf>
    <xf numFmtId="0" fontId="35" fillId="0" borderId="2" xfId="0" applyFont="1" applyBorder="1" applyAlignment="1" applyProtection="1">
      <alignment horizontal="left" vertical="center" wrapText="1"/>
      <protection locked="0"/>
    </xf>
    <xf numFmtId="0" fontId="30" fillId="0" borderId="2" xfId="0" applyFont="1" applyBorder="1" applyAlignment="1" applyProtection="1">
      <alignment horizontal="center" vertical="center" wrapText="1"/>
      <protection locked="0"/>
    </xf>
    <xf numFmtId="3" fontId="30" fillId="0" borderId="2" xfId="0" applyNumberFormat="1" applyFont="1" applyBorder="1" applyAlignment="1" applyProtection="1">
      <alignment horizontal="center" vertical="center" wrapText="1"/>
      <protection locked="0"/>
    </xf>
    <xf numFmtId="176" fontId="35" fillId="0" borderId="0" xfId="116" applyNumberFormat="1" applyFont="1" applyFill="1" applyAlignment="1" applyProtection="1">
      <alignment horizontal="center"/>
      <protection locked="0"/>
    </xf>
    <xf numFmtId="0" fontId="106" fillId="0" borderId="0" xfId="0" applyFont="1" applyAlignment="1">
      <alignment horizontal="right"/>
    </xf>
    <xf numFmtId="172" fontId="35" fillId="0" borderId="4" xfId="0" applyNumberFormat="1" applyFont="1" applyBorder="1" applyAlignment="1">
      <alignment horizontal="center"/>
    </xf>
    <xf numFmtId="0" fontId="106" fillId="0" borderId="0" xfId="0" applyFont="1" applyAlignment="1">
      <alignment horizontal="right" vertical="top"/>
    </xf>
    <xf numFmtId="0" fontId="106" fillId="0" borderId="0" xfId="0" applyFont="1" applyAlignment="1">
      <alignment horizontal="center" vertical="center" wrapText="1"/>
    </xf>
    <xf numFmtId="1" fontId="35" fillId="0" borderId="4" xfId="0" applyNumberFormat="1" applyFont="1" applyBorder="1" applyAlignment="1" applyProtection="1">
      <alignment horizontal="center" wrapText="1"/>
      <protection locked="0"/>
    </xf>
    <xf numFmtId="2" fontId="35" fillId="0" borderId="4" xfId="0" applyNumberFormat="1" applyFont="1" applyBorder="1" applyAlignment="1" applyProtection="1">
      <alignment horizontal="left" wrapText="1"/>
      <protection locked="0"/>
    </xf>
    <xf numFmtId="0" fontId="35" fillId="0" borderId="4" xfId="0" applyFont="1" applyBorder="1" applyAlignment="1" applyProtection="1">
      <alignment horizontal="center" wrapText="1"/>
      <protection locked="0"/>
    </xf>
    <xf numFmtId="3" fontId="35" fillId="0" borderId="4" xfId="0" applyNumberFormat="1" applyFont="1" applyBorder="1" applyAlignment="1" applyProtection="1">
      <alignment horizontal="right" wrapText="1"/>
      <protection locked="0"/>
    </xf>
    <xf numFmtId="1" fontId="35" fillId="0" borderId="4" xfId="0" applyNumberFormat="1" applyFont="1" applyBorder="1" applyAlignment="1" applyProtection="1">
      <alignment horizontal="right" wrapText="1"/>
      <protection locked="0"/>
    </xf>
    <xf numFmtId="1" fontId="35" fillId="0" borderId="4" xfId="0" applyNumberFormat="1" applyFont="1" applyBorder="1" applyAlignment="1" applyProtection="1">
      <alignment horizontal="center" vertical="center" wrapText="1"/>
      <protection locked="0"/>
    </xf>
    <xf numFmtId="2" fontId="35" fillId="0" borderId="4" xfId="0" applyNumberFormat="1" applyFont="1" applyBorder="1" applyAlignment="1" applyProtection="1">
      <alignment horizontal="left" vertical="center" wrapText="1"/>
      <protection locked="0"/>
    </xf>
    <xf numFmtId="3" fontId="35" fillId="0" borderId="4" xfId="0" applyNumberFormat="1" applyFont="1" applyBorder="1" applyAlignment="1" applyProtection="1">
      <alignment horizontal="center" vertical="center" wrapText="1"/>
      <protection locked="0"/>
    </xf>
    <xf numFmtId="2" fontId="36" fillId="0" borderId="2" xfId="0" applyNumberFormat="1" applyFont="1" applyBorder="1" applyAlignment="1" applyProtection="1">
      <alignment wrapText="1"/>
      <protection locked="0"/>
    </xf>
    <xf numFmtId="0" fontId="36" fillId="0" borderId="2" xfId="0" applyFont="1" applyBorder="1" applyAlignment="1" applyProtection="1">
      <alignment wrapText="1"/>
      <protection locked="0"/>
    </xf>
    <xf numFmtId="0" fontId="35" fillId="0" borderId="4" xfId="0" applyFont="1" applyBorder="1" applyAlignment="1" applyProtection="1">
      <alignment horizontal="right" wrapText="1"/>
      <protection locked="0"/>
    </xf>
    <xf numFmtId="0" fontId="106" fillId="0" borderId="0" xfId="0" applyFont="1" applyAlignment="1">
      <alignment horizontal="right" vertical="center"/>
    </xf>
    <xf numFmtId="0" fontId="106" fillId="0" borderId="0" xfId="0" applyFont="1" applyAlignment="1">
      <alignment horizontal="right" vertical="top" wrapText="1"/>
    </xf>
    <xf numFmtId="0" fontId="108" fillId="0" borderId="0" xfId="0" applyFont="1" applyAlignment="1">
      <alignment horizontal="right" vertical="center"/>
    </xf>
    <xf numFmtId="0" fontId="106" fillId="0" borderId="0" xfId="0" applyFont="1" applyAlignment="1" applyProtection="1">
      <alignment vertical="center"/>
      <protection locked="0"/>
    </xf>
    <xf numFmtId="1" fontId="35" fillId="0" borderId="4" xfId="0" applyNumberFormat="1" applyFont="1" applyBorder="1" applyAlignment="1" applyProtection="1">
      <alignment horizontal="right" vertical="center"/>
      <protection locked="0"/>
    </xf>
    <xf numFmtId="3" fontId="35" fillId="0" borderId="4" xfId="0" applyNumberFormat="1" applyFont="1" applyBorder="1" applyAlignment="1" applyProtection="1">
      <alignment horizontal="right" vertical="center"/>
      <protection locked="0"/>
    </xf>
    <xf numFmtId="0" fontId="35" fillId="0" borderId="4" xfId="0" applyFont="1" applyBorder="1" applyAlignment="1" applyProtection="1">
      <alignment horizontal="right" vertical="center"/>
      <protection locked="0"/>
    </xf>
    <xf numFmtId="3" fontId="108" fillId="0" borderId="0" xfId="0" applyNumberFormat="1" applyFont="1" applyAlignment="1">
      <alignment horizontal="right"/>
    </xf>
    <xf numFmtId="3" fontId="9" fillId="0" borderId="0" xfId="116" applyNumberFormat="1" applyFont="1" applyFill="1" applyAlignment="1" applyProtection="1">
      <alignment horizontal="left" vertical="center"/>
      <protection locked="0"/>
    </xf>
    <xf numFmtId="3" fontId="106" fillId="0" borderId="0" xfId="0" applyNumberFormat="1" applyFont="1" applyProtection="1">
      <protection locked="0"/>
    </xf>
    <xf numFmtId="3" fontId="9" fillId="0" borderId="0" xfId="0" applyNumberFormat="1" applyFont="1" applyAlignment="1" applyProtection="1">
      <alignment vertical="center"/>
      <protection locked="0"/>
    </xf>
    <xf numFmtId="3" fontId="35" fillId="0" borderId="4" xfId="0" applyNumberFormat="1" applyFont="1" applyBorder="1" applyAlignment="1" applyProtection="1">
      <alignment horizontal="left" vertical="center" wrapText="1"/>
      <protection locked="0"/>
    </xf>
    <xf numFmtId="3" fontId="35" fillId="0" borderId="4" xfId="0" applyNumberFormat="1" applyFont="1" applyBorder="1" applyAlignment="1" applyProtection="1">
      <alignment horizontal="left" wrapText="1"/>
      <protection locked="0"/>
    </xf>
    <xf numFmtId="0" fontId="107" fillId="0" borderId="0" xfId="0" applyFont="1" applyProtection="1">
      <protection locked="0"/>
    </xf>
    <xf numFmtId="3" fontId="9" fillId="0" borderId="0" xfId="74" applyNumberFormat="1" applyFont="1" applyProtection="1">
      <protection locked="0"/>
    </xf>
    <xf numFmtId="3" fontId="30" fillId="0" borderId="2" xfId="74" applyNumberFormat="1" applyFont="1" applyBorder="1" applyAlignment="1" applyProtection="1">
      <alignment horizontal="center" vertical="top" wrapText="1"/>
      <protection locked="0"/>
    </xf>
    <xf numFmtId="3" fontId="30" fillId="0" borderId="2" xfId="74" applyNumberFormat="1" applyFont="1" applyBorder="1" applyAlignment="1" applyProtection="1">
      <alignment vertical="top" wrapText="1"/>
      <protection locked="0"/>
    </xf>
    <xf numFmtId="3" fontId="36" fillId="0" borderId="2" xfId="74" applyNumberFormat="1" applyFont="1" applyBorder="1" applyAlignment="1" applyProtection="1">
      <alignment vertical="center" wrapText="1"/>
      <protection locked="0"/>
    </xf>
    <xf numFmtId="170" fontId="35" fillId="0" borderId="2" xfId="116" applyFont="1" applyFill="1" applyBorder="1" applyAlignment="1" applyProtection="1">
      <alignment vertical="center" wrapText="1"/>
      <protection locked="0"/>
    </xf>
    <xf numFmtId="3" fontId="35" fillId="0" borderId="2" xfId="74" applyNumberFormat="1" applyFont="1" applyBorder="1" applyAlignment="1" applyProtection="1">
      <alignment horizontal="center" vertical="top" wrapText="1"/>
      <protection locked="0"/>
    </xf>
    <xf numFmtId="3" fontId="35" fillId="0" borderId="2" xfId="74" applyNumberFormat="1" applyFont="1" applyBorder="1" applyAlignment="1" applyProtection="1">
      <alignment vertical="top" wrapText="1"/>
      <protection locked="0"/>
    </xf>
    <xf numFmtId="3" fontId="30" fillId="0" borderId="2" xfId="0" applyNumberFormat="1" applyFont="1" applyBorder="1" applyAlignment="1" applyProtection="1">
      <alignment horizontal="center" vertical="top" wrapText="1"/>
      <protection locked="0"/>
    </xf>
    <xf numFmtId="3" fontId="36" fillId="0" borderId="2" xfId="0" applyNumberFormat="1" applyFont="1" applyBorder="1" applyAlignment="1" applyProtection="1">
      <alignment vertical="center" wrapText="1"/>
      <protection locked="0"/>
    </xf>
    <xf numFmtId="3" fontId="35" fillId="0" borderId="2" xfId="0" applyNumberFormat="1" applyFont="1" applyBorder="1" applyAlignment="1" applyProtection="1">
      <alignment horizontal="center" vertical="top" wrapText="1"/>
      <protection locked="0"/>
    </xf>
    <xf numFmtId="0" fontId="30" fillId="0" borderId="0" xfId="74" applyFont="1" applyProtection="1">
      <protection locked="0"/>
    </xf>
    <xf numFmtId="176" fontId="36" fillId="0" borderId="0" xfId="116" applyNumberFormat="1" applyFont="1" applyFill="1" applyAlignment="1" applyProtection="1">
      <alignment horizontal="left" vertical="center"/>
      <protection locked="0"/>
    </xf>
    <xf numFmtId="176" fontId="35" fillId="0" borderId="0" xfId="116" applyNumberFormat="1" applyFont="1" applyFill="1" applyProtection="1">
      <protection locked="0"/>
    </xf>
    <xf numFmtId="176" fontId="9" fillId="0" borderId="0" xfId="116" applyNumberFormat="1" applyFont="1" applyFill="1" applyAlignment="1" applyProtection="1">
      <alignment vertical="center"/>
      <protection locked="0"/>
    </xf>
    <xf numFmtId="176" fontId="35" fillId="0" borderId="2" xfId="118" applyNumberFormat="1" applyFont="1" applyFill="1" applyBorder="1" applyAlignment="1" applyProtection="1">
      <alignment horizontal="center" vertical="center" wrapText="1"/>
      <protection locked="0"/>
    </xf>
    <xf numFmtId="0" fontId="36" fillId="0" borderId="7" xfId="112" applyFont="1" applyBorder="1" applyAlignment="1" applyProtection="1">
      <alignment horizontal="center" vertical="center" wrapText="1"/>
      <protection locked="0"/>
    </xf>
    <xf numFmtId="176" fontId="36" fillId="0" borderId="2" xfId="118" applyNumberFormat="1" applyFont="1" applyFill="1" applyBorder="1" applyAlignment="1" applyProtection="1">
      <alignment vertical="center" wrapText="1"/>
      <protection locked="0"/>
    </xf>
    <xf numFmtId="0" fontId="37" fillId="0" borderId="0" xfId="112" applyFont="1" applyAlignment="1">
      <alignment horizontal="right"/>
    </xf>
    <xf numFmtId="0" fontId="36" fillId="0" borderId="0" xfId="112" applyFont="1" applyProtection="1">
      <protection locked="0"/>
    </xf>
    <xf numFmtId="0" fontId="35" fillId="0" borderId="2" xfId="112" applyFont="1" applyBorder="1" applyAlignment="1" applyProtection="1">
      <alignment horizontal="center" vertical="center"/>
      <protection locked="0"/>
    </xf>
    <xf numFmtId="0" fontId="35" fillId="0" borderId="2" xfId="112" applyFont="1" applyBorder="1" applyAlignment="1" applyProtection="1">
      <alignment vertical="center" wrapText="1"/>
      <protection locked="0"/>
    </xf>
    <xf numFmtId="0" fontId="35" fillId="0" borderId="2" xfId="112" applyFont="1" applyBorder="1" applyAlignment="1" applyProtection="1">
      <alignment horizontal="center" vertical="center" wrapText="1"/>
      <protection locked="0"/>
    </xf>
    <xf numFmtId="175" fontId="35" fillId="0" borderId="2" xfId="118" applyNumberFormat="1" applyFont="1" applyFill="1" applyBorder="1" applyAlignment="1" applyProtection="1">
      <alignment horizontal="center" vertical="center" wrapText="1"/>
      <protection locked="0"/>
    </xf>
    <xf numFmtId="0" fontId="35" fillId="0" borderId="7" xfId="112" applyFont="1" applyBorder="1" applyAlignment="1" applyProtection="1">
      <alignment horizontal="left" vertical="center" wrapText="1"/>
      <protection locked="0"/>
    </xf>
    <xf numFmtId="0" fontId="36" fillId="0" borderId="2" xfId="112" applyFont="1" applyBorder="1" applyAlignment="1" applyProtection="1">
      <alignment horizontal="center" vertical="center" wrapText="1"/>
      <protection locked="0"/>
    </xf>
    <xf numFmtId="175" fontId="36" fillId="0" borderId="2" xfId="118" applyNumberFormat="1" applyFont="1" applyFill="1" applyBorder="1" applyAlignment="1" applyProtection="1">
      <alignment horizontal="center" vertical="center" wrapText="1"/>
      <protection locked="0"/>
    </xf>
    <xf numFmtId="0" fontId="35" fillId="0" borderId="0" xfId="112" applyFont="1" applyProtection="1">
      <protection locked="0"/>
    </xf>
    <xf numFmtId="3" fontId="35" fillId="0" borderId="2" xfId="116" applyNumberFormat="1" applyFont="1" applyFill="1" applyBorder="1" applyAlignment="1" applyProtection="1">
      <alignment horizontal="center" vertical="center"/>
      <protection locked="0"/>
    </xf>
    <xf numFmtId="3" fontId="35" fillId="0" borderId="2" xfId="116" applyNumberFormat="1" applyFont="1" applyFill="1" applyBorder="1" applyProtection="1">
      <protection locked="0"/>
    </xf>
    <xf numFmtId="170" fontId="35" fillId="0" borderId="2" xfId="116" applyFont="1" applyFill="1" applyBorder="1" applyAlignment="1" applyProtection="1">
      <alignment horizontal="center" vertical="center"/>
      <protection locked="0"/>
    </xf>
    <xf numFmtId="3" fontId="35" fillId="0" borderId="2" xfId="116" applyNumberFormat="1" applyFont="1" applyFill="1" applyBorder="1" applyAlignment="1" applyProtection="1">
      <alignment wrapText="1"/>
      <protection locked="0"/>
    </xf>
    <xf numFmtId="3" fontId="35" fillId="0" borderId="2" xfId="116" applyNumberFormat="1" applyFont="1" applyFill="1" applyBorder="1" applyAlignment="1" applyProtection="1">
      <alignment vertical="center" wrapText="1"/>
      <protection locked="0"/>
    </xf>
    <xf numFmtId="178" fontId="35" fillId="2" borderId="0" xfId="122" applyNumberFormat="1" applyFont="1" applyFill="1" applyAlignment="1" applyProtection="1">
      <alignment vertical="center"/>
      <protection locked="0"/>
    </xf>
    <xf numFmtId="170" fontId="35" fillId="0" borderId="2" xfId="116" applyFont="1" applyFill="1" applyBorder="1" applyAlignment="1" applyProtection="1">
      <alignment horizontal="center"/>
      <protection locked="0"/>
    </xf>
    <xf numFmtId="176" fontId="35" fillId="0" borderId="2" xfId="116" applyNumberFormat="1" applyFont="1" applyFill="1" applyBorder="1" applyAlignment="1" applyProtection="1">
      <alignment horizontal="center"/>
      <protection locked="0"/>
    </xf>
    <xf numFmtId="0" fontId="36" fillId="0" borderId="0" xfId="0" applyFont="1" applyAlignment="1" applyProtection="1">
      <alignment vertical="center"/>
      <protection locked="0"/>
    </xf>
    <xf numFmtId="0" fontId="36" fillId="0" borderId="0" xfId="0" applyFont="1" applyAlignment="1" applyProtection="1">
      <alignment vertical="center" wrapText="1"/>
      <protection locked="0"/>
    </xf>
    <xf numFmtId="0" fontId="36" fillId="0" borderId="0" xfId="0" applyFont="1" applyAlignment="1" applyProtection="1">
      <alignment horizontal="center" vertical="center" wrapText="1"/>
      <protection locked="0"/>
    </xf>
    <xf numFmtId="0" fontId="36" fillId="0" borderId="0" xfId="111" applyFont="1" applyAlignment="1" applyProtection="1">
      <alignment vertical="center" wrapText="1"/>
      <protection locked="0"/>
    </xf>
    <xf numFmtId="0" fontId="35" fillId="0" borderId="2" xfId="36" applyFont="1" applyBorder="1" applyAlignment="1" applyProtection="1">
      <alignment horizontal="center" vertical="center" wrapText="1"/>
      <protection locked="0"/>
    </xf>
    <xf numFmtId="3" fontId="30" fillId="0" borderId="2" xfId="36" applyNumberFormat="1" applyFont="1" applyBorder="1" applyAlignment="1" applyProtection="1">
      <alignment horizontal="center" vertical="center" wrapText="1"/>
      <protection locked="0"/>
    </xf>
    <xf numFmtId="4" fontId="35" fillId="0" borderId="2" xfId="36" applyNumberFormat="1" applyFont="1" applyBorder="1" applyAlignment="1" applyProtection="1">
      <alignment horizontal="center" vertical="center" wrapText="1"/>
      <protection locked="0"/>
    </xf>
    <xf numFmtId="3" fontId="30" fillId="0" borderId="4" xfId="36" applyNumberFormat="1" applyFont="1" applyBorder="1" applyAlignment="1" applyProtection="1">
      <alignment horizontal="center" vertical="center" wrapText="1"/>
      <protection locked="0"/>
    </xf>
    <xf numFmtId="178" fontId="30" fillId="0" borderId="0" xfId="0" applyNumberFormat="1" applyFont="1" applyAlignment="1" applyProtection="1">
      <alignment vertical="center"/>
      <protection locked="0"/>
    </xf>
    <xf numFmtId="0" fontId="35" fillId="0" borderId="0" xfId="0" applyFont="1" applyAlignment="1" applyProtection="1">
      <alignment vertical="center"/>
      <protection locked="0"/>
    </xf>
    <xf numFmtId="0" fontId="35" fillId="0" borderId="2" xfId="36" applyFont="1" applyBorder="1" applyAlignment="1" applyProtection="1">
      <alignment vertical="center" wrapText="1"/>
      <protection locked="0"/>
    </xf>
    <xf numFmtId="0" fontId="30" fillId="0" borderId="0" xfId="62" applyFont="1" applyAlignment="1">
      <alignment horizontal="center"/>
    </xf>
    <xf numFmtId="0" fontId="30" fillId="0" borderId="0" xfId="62" applyFont="1" applyProtection="1">
      <protection locked="0"/>
    </xf>
    <xf numFmtId="0" fontId="30" fillId="0" borderId="2" xfId="36" applyFont="1" applyBorder="1" applyAlignment="1" applyProtection="1">
      <alignment horizontal="center" vertical="center" wrapText="1"/>
      <protection locked="0"/>
    </xf>
    <xf numFmtId="0" fontId="30" fillId="0" borderId="2" xfId="36" applyFont="1" applyBorder="1" applyAlignment="1" applyProtection="1">
      <alignment vertical="center" wrapText="1"/>
      <protection locked="0"/>
    </xf>
    <xf numFmtId="0" fontId="30" fillId="0" borderId="2" xfId="0" applyFont="1" applyBorder="1" applyProtection="1">
      <protection locked="0"/>
    </xf>
    <xf numFmtId="0" fontId="58" fillId="0" borderId="2" xfId="62" applyFont="1" applyBorder="1" applyProtection="1">
      <protection locked="0"/>
    </xf>
    <xf numFmtId="0" fontId="11" fillId="0" borderId="2" xfId="62" applyFont="1" applyBorder="1" applyProtection="1">
      <protection locked="0"/>
    </xf>
    <xf numFmtId="4" fontId="30" fillId="0" borderId="2" xfId="62" applyNumberFormat="1" applyFont="1" applyBorder="1" applyAlignment="1" applyProtection="1">
      <alignment vertical="center"/>
      <protection locked="0"/>
    </xf>
    <xf numFmtId="0" fontId="30" fillId="0" borderId="2" xfId="62" applyFont="1" applyBorder="1" applyAlignment="1" applyProtection="1">
      <alignment vertical="center"/>
      <protection locked="0"/>
    </xf>
    <xf numFmtId="0" fontId="30" fillId="0" borderId="2" xfId="62" applyFont="1" applyBorder="1" applyProtection="1">
      <protection locked="0"/>
    </xf>
    <xf numFmtId="178" fontId="66" fillId="0" borderId="0" xfId="0" applyNumberFormat="1" applyFont="1" applyAlignment="1" applyProtection="1">
      <alignment vertical="center"/>
      <protection locked="0"/>
    </xf>
    <xf numFmtId="175" fontId="35" fillId="0" borderId="0" xfId="116" applyNumberFormat="1" applyFont="1" applyFill="1" applyBorder="1" applyAlignment="1">
      <alignment horizontal="center" vertical="center"/>
    </xf>
    <xf numFmtId="175" fontId="35" fillId="0" borderId="0" xfId="116" applyNumberFormat="1" applyFont="1" applyFill="1" applyBorder="1" applyAlignment="1">
      <alignment vertical="top" wrapText="1"/>
    </xf>
    <xf numFmtId="176" fontId="35" fillId="0" borderId="0" xfId="116" applyNumberFormat="1" applyFont="1" applyFill="1" applyBorder="1" applyAlignment="1">
      <alignment horizontal="center" vertical="center"/>
    </xf>
    <xf numFmtId="172" fontId="35" fillId="0" borderId="0" xfId="116" applyNumberFormat="1" applyFont="1" applyFill="1" applyBorder="1" applyAlignment="1">
      <alignment horizontal="center" vertical="center"/>
    </xf>
    <xf numFmtId="176" fontId="36" fillId="0" borderId="0" xfId="116" applyNumberFormat="1" applyFont="1" applyFill="1" applyAlignment="1" applyProtection="1">
      <alignment horizontal="left" wrapText="1"/>
      <protection locked="0"/>
    </xf>
    <xf numFmtId="176" fontId="36" fillId="0" borderId="0" xfId="116" applyNumberFormat="1" applyFont="1" applyFill="1" applyAlignment="1" applyProtection="1">
      <alignment horizontal="left" vertical="center" wrapText="1"/>
      <protection locked="0"/>
    </xf>
    <xf numFmtId="49" fontId="59" fillId="0" borderId="0" xfId="116" applyNumberFormat="1" applyFont="1" applyFill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176" fontId="36" fillId="0" borderId="0" xfId="116" applyNumberFormat="1" applyFont="1" applyFill="1" applyAlignment="1" applyProtection="1">
      <protection locked="0"/>
    </xf>
    <xf numFmtId="175" fontId="35" fillId="0" borderId="2" xfId="116" applyNumberFormat="1" applyFont="1" applyFill="1" applyBorder="1" applyAlignment="1" applyProtection="1">
      <alignment horizontal="center" vertical="center"/>
      <protection locked="0"/>
    </xf>
    <xf numFmtId="175" fontId="35" fillId="0" borderId="2" xfId="116" applyNumberFormat="1" applyFont="1" applyFill="1" applyBorder="1" applyAlignment="1" applyProtection="1">
      <alignment vertical="top" wrapText="1"/>
      <protection locked="0"/>
    </xf>
    <xf numFmtId="176" fontId="35" fillId="0" borderId="2" xfId="116" applyNumberFormat="1" applyFont="1" applyFill="1" applyBorder="1" applyAlignment="1" applyProtection="1">
      <alignment horizontal="center" vertical="center"/>
      <protection locked="0"/>
    </xf>
    <xf numFmtId="172" fontId="35" fillId="0" borderId="2" xfId="116" applyNumberFormat="1" applyFont="1" applyFill="1" applyBorder="1" applyAlignment="1" applyProtection="1">
      <alignment horizontal="center" vertical="center"/>
      <protection locked="0"/>
    </xf>
    <xf numFmtId="172" fontId="35" fillId="0" borderId="0" xfId="116" applyNumberFormat="1" applyFont="1" applyFill="1" applyBorder="1" applyAlignment="1" applyProtection="1">
      <alignment horizontal="center" vertical="center"/>
      <protection locked="0"/>
    </xf>
    <xf numFmtId="3" fontId="35" fillId="0" borderId="0" xfId="116" applyNumberFormat="1" applyFont="1" applyFill="1" applyBorder="1" applyAlignment="1" applyProtection="1">
      <alignment horizontal="center" vertical="center"/>
      <protection locked="0"/>
    </xf>
    <xf numFmtId="3" fontId="64" fillId="0" borderId="2" xfId="0" applyNumberFormat="1" applyFont="1" applyBorder="1" applyAlignment="1" applyProtection="1">
      <alignment horizontal="center" vertical="center"/>
      <protection locked="0"/>
    </xf>
    <xf numFmtId="3" fontId="35" fillId="0" borderId="2" xfId="0" applyNumberFormat="1" applyFont="1" applyBorder="1" applyAlignment="1" applyProtection="1">
      <alignment horizontal="center" vertical="center" wrapText="1"/>
      <protection locked="0"/>
    </xf>
    <xf numFmtId="3" fontId="35" fillId="0" borderId="6" xfId="0" applyNumberFormat="1" applyFont="1" applyBorder="1" applyAlignment="1" applyProtection="1">
      <alignment horizontal="center" vertical="center" wrapText="1"/>
      <protection locked="0"/>
    </xf>
    <xf numFmtId="3" fontId="64" fillId="0" borderId="6" xfId="0" applyNumberFormat="1" applyFont="1" applyBorder="1" applyAlignment="1" applyProtection="1">
      <alignment horizontal="center" vertical="center" wrapText="1"/>
      <protection locked="0"/>
    </xf>
    <xf numFmtId="178" fontId="35" fillId="0" borderId="0" xfId="122" applyNumberFormat="1" applyFont="1" applyFill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178" fontId="35" fillId="0" borderId="0" xfId="116" applyNumberFormat="1" applyFont="1" applyFill="1" applyAlignment="1" applyProtection="1">
      <protection locked="0"/>
    </xf>
    <xf numFmtId="0" fontId="119" fillId="0" borderId="0" xfId="0" applyFont="1" applyAlignment="1">
      <alignment horizontal="right"/>
    </xf>
    <xf numFmtId="0" fontId="36" fillId="2" borderId="2" xfId="116" applyNumberFormat="1" applyFont="1" applyFill="1" applyBorder="1" applyAlignment="1" applyProtection="1">
      <alignment vertical="center" wrapText="1"/>
      <protection locked="0"/>
    </xf>
    <xf numFmtId="4" fontId="36" fillId="2" borderId="2" xfId="116" applyNumberFormat="1" applyFont="1" applyFill="1" applyBorder="1" applyAlignment="1" applyProtection="1">
      <alignment horizontal="right" vertical="center" wrapText="1"/>
      <protection locked="0"/>
    </xf>
    <xf numFmtId="4" fontId="35" fillId="2" borderId="2" xfId="116" applyNumberFormat="1" applyFont="1" applyFill="1" applyBorder="1" applyAlignment="1" applyProtection="1">
      <alignment horizontal="right" vertical="center" wrapText="1"/>
      <protection locked="0"/>
    </xf>
    <xf numFmtId="4" fontId="35" fillId="2" borderId="2" xfId="116" applyNumberFormat="1" applyFont="1" applyFill="1" applyBorder="1" applyAlignment="1" applyProtection="1">
      <alignment horizontal="right" vertical="center"/>
      <protection locked="0"/>
    </xf>
    <xf numFmtId="0" fontId="35" fillId="0" borderId="0" xfId="122" applyNumberFormat="1" applyFont="1" applyFill="1" applyAlignment="1" applyProtection="1">
      <alignment vertical="center"/>
      <protection locked="0"/>
    </xf>
    <xf numFmtId="0" fontId="35" fillId="0" borderId="0" xfId="116" applyNumberFormat="1" applyFont="1" applyFill="1" applyAlignment="1" applyProtection="1">
      <alignment horizontal="center" vertical="center"/>
      <protection locked="0"/>
    </xf>
    <xf numFmtId="0" fontId="36" fillId="0" borderId="0" xfId="122" applyNumberFormat="1" applyFont="1" applyFill="1" applyAlignment="1" applyProtection="1">
      <alignment horizontal="left" vertical="center"/>
      <protection locked="0"/>
    </xf>
    <xf numFmtId="0" fontId="35" fillId="0" borderId="0" xfId="122" applyNumberFormat="1" applyFont="1" applyFill="1" applyAlignment="1" applyProtection="1">
      <alignment horizontal="left" vertical="center"/>
      <protection locked="0"/>
    </xf>
    <xf numFmtId="0" fontId="38" fillId="0" borderId="3" xfId="0" applyFont="1" applyBorder="1" applyAlignment="1">
      <alignment horizontal="right"/>
    </xf>
    <xf numFmtId="4" fontId="30" fillId="0" borderId="2" xfId="0" applyNumberFormat="1" applyFont="1" applyBorder="1" applyAlignment="1" applyProtection="1">
      <alignment vertical="center"/>
      <protection locked="0"/>
    </xf>
    <xf numFmtId="3" fontId="9" fillId="0" borderId="2" xfId="0" applyNumberFormat="1" applyFont="1" applyBorder="1" applyAlignment="1" applyProtection="1">
      <alignment vertical="center"/>
      <protection locked="0"/>
    </xf>
    <xf numFmtId="4" fontId="9" fillId="0" borderId="2" xfId="0" applyNumberFormat="1" applyFont="1" applyBorder="1" applyAlignment="1" applyProtection="1">
      <alignment vertical="center"/>
      <protection locked="0"/>
    </xf>
    <xf numFmtId="175" fontId="35" fillId="0" borderId="2" xfId="116" applyNumberFormat="1" applyFont="1" applyFill="1" applyBorder="1" applyAlignment="1" applyProtection="1">
      <alignment vertical="center"/>
      <protection locked="0"/>
    </xf>
    <xf numFmtId="175" fontId="36" fillId="0" borderId="2" xfId="116" applyNumberFormat="1" applyFont="1" applyFill="1" applyBorder="1" applyAlignment="1" applyProtection="1">
      <alignment vertical="center"/>
      <protection locked="0"/>
    </xf>
    <xf numFmtId="175" fontId="9" fillId="0" borderId="2" xfId="0" applyNumberFormat="1" applyFont="1" applyBorder="1" applyAlignment="1" applyProtection="1">
      <alignment vertical="center"/>
      <protection locked="0"/>
    </xf>
    <xf numFmtId="176" fontId="35" fillId="0" borderId="2" xfId="116" applyNumberFormat="1" applyFont="1" applyFill="1" applyBorder="1" applyAlignment="1" applyProtection="1">
      <alignment vertical="center"/>
      <protection locked="0"/>
    </xf>
    <xf numFmtId="0" fontId="9" fillId="0" borderId="2" xfId="0" applyFont="1" applyBorder="1" applyAlignment="1" applyProtection="1">
      <alignment vertical="center"/>
      <protection locked="0"/>
    </xf>
    <xf numFmtId="178" fontId="35" fillId="0" borderId="0" xfId="122" applyNumberFormat="1" applyFont="1" applyFill="1" applyAlignment="1" applyProtection="1">
      <alignment horizontal="left"/>
      <protection locked="0"/>
    </xf>
    <xf numFmtId="0" fontId="35" fillId="0" borderId="0" xfId="36" applyFont="1" applyProtection="1">
      <protection locked="0"/>
    </xf>
    <xf numFmtId="178" fontId="30" fillId="0" borderId="0" xfId="62" applyNumberFormat="1" applyFont="1" applyProtection="1">
      <protection locked="0"/>
    </xf>
    <xf numFmtId="178" fontId="66" fillId="0" borderId="0" xfId="0" applyNumberFormat="1" applyFont="1" applyProtection="1">
      <protection locked="0"/>
    </xf>
    <xf numFmtId="178" fontId="36" fillId="0" borderId="0" xfId="122" applyNumberFormat="1" applyFont="1" applyFill="1" applyAlignment="1" applyProtection="1">
      <alignment horizontal="left"/>
      <protection locked="0"/>
    </xf>
    <xf numFmtId="178" fontId="30" fillId="0" borderId="0" xfId="0" applyNumberFormat="1" applyFont="1" applyProtection="1">
      <protection locked="0"/>
    </xf>
    <xf numFmtId="178" fontId="11" fillId="0" borderId="0" xfId="0" applyNumberFormat="1" applyFont="1" applyProtection="1">
      <protection locked="0"/>
    </xf>
    <xf numFmtId="4" fontId="35" fillId="0" borderId="2" xfId="116" applyNumberFormat="1" applyFont="1" applyFill="1" applyBorder="1" applyAlignment="1" applyProtection="1">
      <alignment horizontal="right" vertical="center" wrapText="1"/>
      <protection locked="0"/>
    </xf>
    <xf numFmtId="4" fontId="36" fillId="0" borderId="2" xfId="116" applyNumberFormat="1" applyFont="1" applyFill="1" applyBorder="1" applyAlignment="1" applyProtection="1">
      <alignment horizontal="right" vertical="center" wrapText="1"/>
      <protection locked="0"/>
    </xf>
    <xf numFmtId="4" fontId="36" fillId="0" borderId="2" xfId="116" applyNumberFormat="1" applyFont="1" applyFill="1" applyBorder="1" applyAlignment="1" applyProtection="1">
      <alignment horizontal="right" vertical="center"/>
      <protection locked="0"/>
    </xf>
    <xf numFmtId="4" fontId="35" fillId="0" borderId="2" xfId="116" applyNumberFormat="1" applyFont="1" applyFill="1" applyBorder="1" applyAlignment="1" applyProtection="1">
      <alignment horizontal="right" vertical="center"/>
      <protection locked="0"/>
    </xf>
    <xf numFmtId="0" fontId="36" fillId="0" borderId="2" xfId="116" applyNumberFormat="1" applyFont="1" applyFill="1" applyBorder="1" applyAlignment="1" applyProtection="1">
      <alignment horizontal="center" vertical="center" wrapText="1"/>
      <protection locked="0"/>
    </xf>
    <xf numFmtId="0" fontId="36" fillId="0" borderId="0" xfId="116" applyNumberFormat="1" applyFont="1" applyFill="1" applyAlignment="1" applyProtection="1">
      <alignment horizontal="left" vertical="center" wrapText="1"/>
      <protection locked="0"/>
    </xf>
    <xf numFmtId="0" fontId="35" fillId="0" borderId="0" xfId="116" applyNumberFormat="1" applyFont="1" applyFill="1" applyAlignment="1" applyProtection="1">
      <alignment vertical="center"/>
      <protection locked="0"/>
    </xf>
    <xf numFmtId="0" fontId="9" fillId="0" borderId="0" xfId="0" applyFont="1" applyAlignment="1" applyProtection="1">
      <alignment vertical="center" wrapText="1"/>
      <protection locked="0"/>
    </xf>
    <xf numFmtId="179" fontId="30" fillId="0" borderId="2" xfId="0" applyNumberFormat="1" applyFont="1" applyBorder="1" applyAlignment="1" applyProtection="1">
      <alignment horizontal="center" vertical="center" wrapText="1"/>
      <protection locked="0"/>
    </xf>
    <xf numFmtId="172" fontId="30" fillId="0" borderId="2" xfId="0" applyNumberFormat="1" applyFont="1" applyBorder="1" applyAlignment="1" applyProtection="1">
      <alignment horizontal="center" vertical="center" wrapText="1"/>
      <protection locked="0"/>
    </xf>
    <xf numFmtId="1" fontId="30" fillId="0" borderId="2" xfId="0" applyNumberFormat="1" applyFont="1" applyBorder="1" applyAlignment="1" applyProtection="1">
      <alignment horizontal="center" vertical="center" wrapText="1"/>
      <protection locked="0"/>
    </xf>
    <xf numFmtId="0" fontId="35" fillId="2" borderId="0" xfId="36" applyFont="1" applyFill="1" applyAlignment="1" applyProtection="1">
      <alignment vertical="center"/>
      <protection locked="0"/>
    </xf>
    <xf numFmtId="178" fontId="35" fillId="2" borderId="0" xfId="122" applyNumberFormat="1" applyFont="1" applyFill="1" applyAlignment="1" applyProtection="1">
      <alignment horizontal="left" vertical="center"/>
      <protection locked="0"/>
    </xf>
    <xf numFmtId="178" fontId="66" fillId="2" borderId="0" xfId="0" applyNumberFormat="1" applyFont="1" applyFill="1" applyAlignment="1" applyProtection="1">
      <alignment vertical="center"/>
      <protection locked="0"/>
    </xf>
    <xf numFmtId="178" fontId="36" fillId="2" borderId="0" xfId="122" applyNumberFormat="1" applyFont="1" applyFill="1" applyAlignment="1" applyProtection="1">
      <alignment horizontal="left" vertical="center"/>
      <protection locked="0"/>
    </xf>
    <xf numFmtId="0" fontId="30" fillId="0" borderId="0" xfId="62" applyFont="1" applyAlignment="1" applyProtection="1">
      <alignment vertical="center"/>
      <protection locked="0"/>
    </xf>
    <xf numFmtId="176" fontId="9" fillId="2" borderId="0" xfId="116" applyNumberFormat="1" applyFont="1" applyFill="1" applyAlignment="1" applyProtection="1">
      <alignment horizontal="left" vertical="center"/>
      <protection locked="0"/>
    </xf>
    <xf numFmtId="0" fontId="105" fillId="0" borderId="0" xfId="0" applyFont="1" applyProtection="1">
      <protection locked="0"/>
    </xf>
    <xf numFmtId="0" fontId="105" fillId="0" borderId="0" xfId="0" applyFont="1" applyAlignment="1" applyProtection="1">
      <alignment horizontal="center"/>
      <protection locked="0"/>
    </xf>
    <xf numFmtId="0" fontId="105" fillId="0" borderId="2" xfId="0" applyFont="1" applyBorder="1" applyProtection="1">
      <protection locked="0"/>
    </xf>
    <xf numFmtId="0" fontId="105" fillId="0" borderId="2" xfId="0" applyFont="1" applyBorder="1" applyAlignment="1" applyProtection="1">
      <alignment horizontal="center" vertical="center"/>
      <protection locked="0"/>
    </xf>
    <xf numFmtId="175" fontId="6" fillId="0" borderId="2" xfId="116" applyNumberFormat="1" applyFont="1" applyBorder="1" applyAlignment="1" applyProtection="1">
      <alignment horizontal="center" vertical="center"/>
      <protection locked="0"/>
    </xf>
    <xf numFmtId="0" fontId="105" fillId="0" borderId="0" xfId="0" applyFont="1" applyAlignment="1">
      <alignment horizontal="center" vertical="center"/>
    </xf>
    <xf numFmtId="0" fontId="105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3" fontId="4" fillId="0" borderId="0" xfId="0" applyNumberFormat="1" applyFont="1" applyAlignment="1" applyProtection="1">
      <alignment horizontal="center" vertical="top"/>
      <protection locked="0"/>
    </xf>
    <xf numFmtId="0" fontId="7" fillId="0" borderId="0" xfId="0" applyFont="1" applyAlignment="1" applyProtection="1">
      <alignment vertical="center"/>
      <protection locked="0"/>
    </xf>
    <xf numFmtId="0" fontId="8" fillId="0" borderId="0" xfId="0" applyFont="1" applyProtection="1">
      <protection locked="0"/>
    </xf>
    <xf numFmtId="0" fontId="32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3" fontId="4" fillId="0" borderId="0" xfId="0" applyNumberFormat="1" applyFont="1" applyAlignment="1" applyProtection="1">
      <alignment horizontal="center" vertical="center" wrapText="1"/>
      <protection locked="0"/>
    </xf>
    <xf numFmtId="3" fontId="4" fillId="0" borderId="0" xfId="0" applyNumberFormat="1" applyFont="1" applyAlignment="1" applyProtection="1">
      <alignment horizontal="right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172" fontId="4" fillId="0" borderId="0" xfId="0" applyNumberFormat="1" applyFont="1" applyAlignment="1" applyProtection="1">
      <alignment horizontal="center" vertical="center" wrapText="1"/>
      <protection locked="0"/>
    </xf>
    <xf numFmtId="3" fontId="105" fillId="0" borderId="2" xfId="0" applyNumberFormat="1" applyFont="1" applyBorder="1" applyAlignment="1">
      <alignment horizontal="center" vertical="center"/>
    </xf>
    <xf numFmtId="3" fontId="79" fillId="0" borderId="2" xfId="0" applyNumberFormat="1" applyFont="1" applyBorder="1" applyAlignment="1">
      <alignment horizontal="center" vertical="center"/>
    </xf>
    <xf numFmtId="4" fontId="36" fillId="0" borderId="2" xfId="116" applyNumberFormat="1" applyFont="1" applyFill="1" applyBorder="1" applyAlignment="1">
      <alignment horizontal="center" vertical="center" wrapText="1"/>
    </xf>
    <xf numFmtId="4" fontId="35" fillId="0" borderId="2" xfId="116" applyNumberFormat="1" applyFont="1" applyFill="1" applyBorder="1" applyAlignment="1" applyProtection="1">
      <alignment horizontal="center" vertical="center" wrapText="1"/>
      <protection locked="0"/>
    </xf>
    <xf numFmtId="4" fontId="36" fillId="0" borderId="2" xfId="116" applyNumberFormat="1" applyFont="1" applyFill="1" applyBorder="1" applyAlignment="1">
      <alignment horizontal="center" vertical="center"/>
    </xf>
    <xf numFmtId="4" fontId="35" fillId="0" borderId="2" xfId="116" applyNumberFormat="1" applyFont="1" applyFill="1" applyBorder="1" applyAlignment="1">
      <alignment horizontal="center" vertical="center" wrapText="1"/>
    </xf>
    <xf numFmtId="185" fontId="105" fillId="0" borderId="2" xfId="0" applyNumberFormat="1" applyFont="1" applyBorder="1" applyAlignment="1">
      <alignment horizontal="center" vertical="center"/>
    </xf>
    <xf numFmtId="0" fontId="36" fillId="2" borderId="16" xfId="91" applyFont="1" applyFill="1" applyBorder="1" applyAlignment="1">
      <alignment horizontal="center" vertical="center" wrapText="1"/>
    </xf>
    <xf numFmtId="0" fontId="36" fillId="2" borderId="17" xfId="91" applyFont="1" applyFill="1" applyBorder="1" applyAlignment="1">
      <alignment horizontal="center" vertical="center" wrapText="1"/>
    </xf>
    <xf numFmtId="0" fontId="36" fillId="2" borderId="4" xfId="91" applyFont="1" applyFill="1" applyBorder="1" applyAlignment="1">
      <alignment horizontal="center" vertical="center" wrapText="1"/>
    </xf>
    <xf numFmtId="2" fontId="36" fillId="9" borderId="4" xfId="91" applyNumberFormat="1" applyFont="1" applyFill="1" applyBorder="1" applyAlignment="1">
      <alignment horizontal="center" vertical="center" wrapText="1"/>
    </xf>
    <xf numFmtId="2" fontId="34" fillId="0" borderId="2" xfId="94" applyNumberFormat="1" applyFont="1" applyBorder="1" applyAlignment="1" applyProtection="1">
      <alignment vertical="center" wrapText="1"/>
      <protection locked="0"/>
    </xf>
    <xf numFmtId="2" fontId="6" fillId="0" borderId="2" xfId="94" applyNumberFormat="1" applyFont="1" applyBorder="1" applyAlignment="1" applyProtection="1">
      <alignment vertical="center" wrapText="1"/>
      <protection locked="0"/>
    </xf>
    <xf numFmtId="2" fontId="34" fillId="0" borderId="2" xfId="94" applyNumberFormat="1" applyFont="1" applyBorder="1" applyAlignment="1" applyProtection="1">
      <alignment vertical="center"/>
      <protection locked="0"/>
    </xf>
    <xf numFmtId="4" fontId="32" fillId="0" borderId="2" xfId="94" applyNumberFormat="1" applyFont="1" applyBorder="1" applyAlignment="1" applyProtection="1">
      <alignment vertical="center" wrapText="1"/>
      <protection locked="0"/>
    </xf>
    <xf numFmtId="3" fontId="34" fillId="0" borderId="2" xfId="94" applyNumberFormat="1" applyFont="1" applyBorder="1" applyAlignment="1" applyProtection="1">
      <alignment vertical="center" wrapText="1"/>
      <protection locked="0"/>
    </xf>
    <xf numFmtId="0" fontId="34" fillId="0" borderId="2" xfId="94" applyFont="1" applyBorder="1" applyAlignment="1" applyProtection="1">
      <alignment vertical="center" wrapText="1"/>
      <protection locked="0"/>
    </xf>
    <xf numFmtId="9" fontId="34" fillId="0" borderId="2" xfId="94" applyNumberFormat="1" applyFont="1" applyBorder="1" applyAlignment="1" applyProtection="1">
      <alignment vertical="center" wrapText="1"/>
      <protection locked="0"/>
    </xf>
    <xf numFmtId="0" fontId="34" fillId="0" borderId="0" xfId="94" applyFont="1" applyAlignment="1" applyProtection="1">
      <alignment vertical="center"/>
      <protection locked="0"/>
    </xf>
    <xf numFmtId="0" fontId="32" fillId="0" borderId="0" xfId="94" applyFont="1" applyAlignment="1" applyProtection="1">
      <alignment vertical="center"/>
      <protection locked="0"/>
    </xf>
    <xf numFmtId="4" fontId="34" fillId="0" borderId="0" xfId="94" applyNumberFormat="1" applyFont="1" applyAlignment="1" applyProtection="1">
      <alignment vertical="center"/>
      <protection locked="0"/>
    </xf>
    <xf numFmtId="0" fontId="56" fillId="0" borderId="0" xfId="94" applyFont="1" applyAlignment="1" applyProtection="1">
      <alignment vertical="center"/>
      <protection locked="0"/>
    </xf>
    <xf numFmtId="3" fontId="34" fillId="0" borderId="0" xfId="94" applyNumberFormat="1" applyFont="1" applyAlignment="1" applyProtection="1">
      <alignment vertical="center"/>
      <protection locked="0"/>
    </xf>
    <xf numFmtId="0" fontId="32" fillId="0" borderId="0" xfId="94" applyFont="1" applyAlignment="1" applyProtection="1">
      <alignment horizontal="center" vertical="center"/>
      <protection locked="0"/>
    </xf>
    <xf numFmtId="0" fontId="36" fillId="0" borderId="0" xfId="94" applyFont="1" applyAlignment="1" applyProtection="1">
      <alignment vertical="center"/>
      <protection locked="0"/>
    </xf>
    <xf numFmtId="2" fontId="9" fillId="0" borderId="0" xfId="0" applyNumberFormat="1" applyFont="1" applyAlignment="1" applyProtection="1">
      <alignment vertical="center"/>
      <protection locked="0"/>
    </xf>
    <xf numFmtId="2" fontId="34" fillId="0" borderId="0" xfId="94" applyNumberFormat="1" applyFont="1" applyAlignment="1" applyProtection="1">
      <alignment vertical="center"/>
      <protection locked="0"/>
    </xf>
    <xf numFmtId="178" fontId="34" fillId="0" borderId="0" xfId="122" applyNumberFormat="1" applyFont="1" applyFill="1" applyAlignment="1" applyProtection="1">
      <alignment vertical="center"/>
      <protection locked="0"/>
    </xf>
    <xf numFmtId="0" fontId="6" fillId="0" borderId="0" xfId="94" applyFont="1" applyAlignment="1" applyProtection="1">
      <alignment vertical="center"/>
      <protection locked="0"/>
    </xf>
    <xf numFmtId="178" fontId="32" fillId="0" borderId="0" xfId="122" applyNumberFormat="1" applyFont="1" applyFill="1" applyAlignment="1" applyProtection="1">
      <alignment vertical="center"/>
      <protection locked="0"/>
    </xf>
    <xf numFmtId="0" fontId="35" fillId="0" borderId="0" xfId="94" applyFont="1" applyAlignment="1">
      <alignment horizontal="center" vertical="center"/>
    </xf>
    <xf numFmtId="0" fontId="35" fillId="0" borderId="0" xfId="94" applyFont="1" applyAlignment="1">
      <alignment horizontal="right" vertical="center"/>
    </xf>
    <xf numFmtId="3" fontId="34" fillId="0" borderId="0" xfId="94" applyNumberFormat="1" applyFont="1" applyAlignment="1" applyProtection="1">
      <alignment horizontal="center" vertical="center"/>
      <protection locked="0"/>
    </xf>
    <xf numFmtId="172" fontId="34" fillId="0" borderId="0" xfId="94" applyNumberFormat="1" applyFont="1" applyAlignment="1" applyProtection="1">
      <alignment horizontal="center" vertical="center"/>
      <protection locked="0"/>
    </xf>
    <xf numFmtId="3" fontId="5" fillId="0" borderId="2" xfId="0" applyNumberFormat="1" applyFont="1" applyBorder="1" applyAlignment="1">
      <alignment horizontal="center" vertical="top"/>
    </xf>
    <xf numFmtId="178" fontId="32" fillId="0" borderId="0" xfId="122" applyNumberFormat="1" applyFont="1" applyFill="1" applyAlignment="1" applyProtection="1">
      <alignment horizontal="left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left" vertical="top" wrapText="1"/>
      <protection locked="0"/>
    </xf>
    <xf numFmtId="3" fontId="5" fillId="10" borderId="0" xfId="0" applyNumberFormat="1" applyFont="1" applyFill="1" applyAlignment="1" applyProtection="1">
      <alignment horizontal="center"/>
      <protection locked="0"/>
    </xf>
    <xf numFmtId="0" fontId="6" fillId="0" borderId="2" xfId="0" applyFont="1" applyBorder="1" applyAlignment="1" applyProtection="1">
      <alignment vertical="center"/>
      <protection locked="0"/>
    </xf>
    <xf numFmtId="0" fontId="106" fillId="0" borderId="2" xfId="0" applyFont="1" applyBorder="1" applyAlignment="1">
      <alignment horizontal="center" vertical="top" wrapText="1"/>
    </xf>
    <xf numFmtId="0" fontId="106" fillId="0" borderId="2" xfId="0" applyFont="1" applyBorder="1" applyAlignment="1" applyProtection="1">
      <alignment vertical="top" wrapText="1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2" xfId="0" applyFont="1" applyBorder="1" applyProtection="1">
      <protection locked="0"/>
    </xf>
    <xf numFmtId="0" fontId="30" fillId="0" borderId="2" xfId="0" applyFont="1" applyBorder="1" applyAlignment="1" applyProtection="1">
      <alignment vertical="top"/>
      <protection locked="0"/>
    </xf>
    <xf numFmtId="0" fontId="106" fillId="0" borderId="2" xfId="0" applyFont="1" applyBorder="1" applyAlignment="1" applyProtection="1">
      <alignment vertical="top"/>
      <protection locked="0"/>
    </xf>
    <xf numFmtId="0" fontId="106" fillId="0" borderId="0" xfId="0" applyFont="1" applyAlignment="1" applyProtection="1">
      <alignment vertical="top"/>
      <protection locked="0"/>
    </xf>
    <xf numFmtId="0" fontId="30" fillId="0" borderId="2" xfId="0" applyFont="1" applyBorder="1" applyAlignment="1" applyProtection="1">
      <alignment horizontal="center"/>
      <protection locked="0"/>
    </xf>
    <xf numFmtId="0" fontId="109" fillId="0" borderId="2" xfId="0" applyFont="1" applyBorder="1" applyProtection="1">
      <protection locked="0"/>
    </xf>
    <xf numFmtId="0" fontId="30" fillId="0" borderId="1" xfId="0" applyFont="1" applyBorder="1" applyAlignment="1">
      <alignment horizontal="center"/>
    </xf>
    <xf numFmtId="0" fontId="30" fillId="0" borderId="19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2" fontId="36" fillId="2" borderId="16" xfId="91" applyNumberFormat="1" applyFont="1" applyFill="1" applyBorder="1" applyAlignment="1">
      <alignment horizontal="center" vertical="center" wrapText="1"/>
    </xf>
    <xf numFmtId="0" fontId="36" fillId="2" borderId="19" xfId="91" applyFont="1" applyFill="1" applyBorder="1" applyAlignment="1">
      <alignment horizontal="center" vertical="center" wrapText="1"/>
    </xf>
    <xf numFmtId="2" fontId="36" fillId="9" borderId="17" xfId="91" applyNumberFormat="1" applyFont="1" applyFill="1" applyBorder="1" applyAlignment="1">
      <alignment horizontal="center" vertical="center" wrapText="1"/>
    </xf>
    <xf numFmtId="2" fontId="36" fillId="9" borderId="20" xfId="91" applyNumberFormat="1" applyFont="1" applyFill="1" applyBorder="1" applyAlignment="1">
      <alignment horizontal="center" vertical="center" wrapText="1"/>
    </xf>
    <xf numFmtId="3" fontId="4" fillId="0" borderId="2" xfId="72" applyNumberFormat="1" applyFont="1" applyBorder="1" applyAlignment="1">
      <alignment horizontal="center" vertical="center"/>
    </xf>
    <xf numFmtId="3" fontId="8" fillId="0" borderId="2" xfId="119" applyNumberFormat="1" applyFont="1" applyFill="1" applyBorder="1" applyAlignment="1" applyProtection="1">
      <alignment horizontal="center" vertical="center" wrapText="1"/>
    </xf>
    <xf numFmtId="0" fontId="35" fillId="0" borderId="0" xfId="72" applyFont="1" applyAlignment="1">
      <alignment horizontal="center" vertical="center"/>
    </xf>
    <xf numFmtId="3" fontId="35" fillId="0" borderId="0" xfId="72" applyNumberFormat="1" applyFont="1" applyAlignment="1">
      <alignment horizontal="center" vertical="center"/>
    </xf>
    <xf numFmtId="0" fontId="4" fillId="0" borderId="2" xfId="72" applyFont="1" applyBorder="1" applyAlignment="1" applyProtection="1">
      <alignment horizontal="center" vertical="center" wrapText="1"/>
      <protection locked="0"/>
    </xf>
    <xf numFmtId="3" fontId="4" fillId="0" borderId="2" xfId="38" applyNumberFormat="1" applyFont="1" applyBorder="1" applyAlignment="1" applyProtection="1">
      <alignment horizontal="left" vertical="center" wrapText="1"/>
      <protection locked="0"/>
    </xf>
    <xf numFmtId="3" fontId="4" fillId="0" borderId="2" xfId="38" applyNumberFormat="1" applyFont="1" applyBorder="1" applyAlignment="1" applyProtection="1">
      <alignment horizontal="center" vertical="center"/>
      <protection locked="0"/>
    </xf>
    <xf numFmtId="3" fontId="4" fillId="0" borderId="2" xfId="72" applyNumberFormat="1" applyFont="1" applyBorder="1" applyAlignment="1" applyProtection="1">
      <alignment vertical="center" wrapText="1"/>
      <protection locked="0"/>
    </xf>
    <xf numFmtId="3" fontId="4" fillId="0" borderId="2" xfId="119" applyNumberFormat="1" applyFont="1" applyFill="1" applyBorder="1" applyAlignment="1" applyProtection="1">
      <alignment vertical="center" wrapText="1"/>
      <protection locked="0"/>
    </xf>
    <xf numFmtId="9" fontId="4" fillId="0" borderId="2" xfId="72" applyNumberFormat="1" applyFont="1" applyBorder="1" applyAlignment="1" applyProtection="1">
      <alignment horizontal="center" vertical="center" wrapText="1"/>
      <protection locked="0"/>
    </xf>
    <xf numFmtId="172" fontId="4" fillId="0" borderId="2" xfId="72" applyNumberFormat="1" applyFont="1" applyBorder="1" applyAlignment="1" applyProtection="1">
      <alignment horizontal="center" vertical="center" wrapText="1"/>
      <protection locked="0"/>
    </xf>
    <xf numFmtId="0" fontId="36" fillId="0" borderId="0" xfId="72" applyFont="1" applyAlignment="1" applyProtection="1">
      <alignment vertical="center"/>
      <protection locked="0"/>
    </xf>
    <xf numFmtId="170" fontId="4" fillId="0" borderId="0" xfId="119" applyFont="1" applyFill="1" applyAlignment="1" applyProtection="1">
      <alignment vertical="center"/>
      <protection locked="0"/>
    </xf>
    <xf numFmtId="0" fontId="36" fillId="0" borderId="2" xfId="72" applyFont="1" applyBorder="1" applyAlignment="1" applyProtection="1">
      <alignment vertical="center"/>
      <protection locked="0"/>
    </xf>
    <xf numFmtId="3" fontId="4" fillId="0" borderId="2" xfId="72" applyNumberFormat="1" applyFont="1" applyBorder="1" applyAlignment="1" applyProtection="1">
      <alignment horizontal="right" vertical="center"/>
      <protection locked="0"/>
    </xf>
    <xf numFmtId="170" fontId="3" fillId="0" borderId="0" xfId="119" applyFont="1" applyFill="1" applyAlignment="1" applyProtection="1">
      <alignment vertical="center"/>
      <protection locked="0"/>
    </xf>
    <xf numFmtId="170" fontId="4" fillId="0" borderId="0" xfId="119" applyFont="1" applyFill="1" applyAlignment="1" applyProtection="1">
      <alignment horizontal="right" vertical="center"/>
      <protection locked="0"/>
    </xf>
    <xf numFmtId="0" fontId="3" fillId="0" borderId="0" xfId="72" applyFont="1" applyAlignment="1" applyProtection="1">
      <alignment vertical="center"/>
      <protection locked="0"/>
    </xf>
    <xf numFmtId="178" fontId="3" fillId="0" borderId="0" xfId="72" applyNumberFormat="1" applyFont="1" applyAlignment="1" applyProtection="1">
      <alignment vertical="center"/>
      <protection locked="0"/>
    </xf>
    <xf numFmtId="178" fontId="6" fillId="0" borderId="0" xfId="94" applyNumberFormat="1" applyFont="1" applyAlignment="1" applyProtection="1">
      <alignment vertical="center"/>
      <protection locked="0"/>
    </xf>
    <xf numFmtId="178" fontId="8" fillId="0" borderId="0" xfId="122" applyNumberFormat="1" applyFont="1" applyFill="1" applyAlignment="1" applyProtection="1">
      <alignment horizontal="left" vertical="center"/>
      <protection locked="0"/>
    </xf>
    <xf numFmtId="3" fontId="4" fillId="0" borderId="0" xfId="72" applyNumberFormat="1" applyFont="1" applyAlignment="1" applyProtection="1">
      <alignment horizontal="right" vertical="center"/>
      <protection locked="0"/>
    </xf>
    <xf numFmtId="0" fontId="4" fillId="0" borderId="0" xfId="72" applyFont="1" applyAlignment="1" applyProtection="1">
      <alignment vertical="center"/>
      <protection locked="0"/>
    </xf>
    <xf numFmtId="49" fontId="106" fillId="0" borderId="0" xfId="0" applyNumberFormat="1" applyFont="1" applyAlignment="1">
      <alignment horizontal="center" vertical="top" wrapText="1"/>
    </xf>
    <xf numFmtId="0" fontId="109" fillId="0" borderId="2" xfId="0" applyFont="1" applyBorder="1" applyAlignment="1">
      <alignment horizontal="center" vertical="center"/>
    </xf>
    <xf numFmtId="3" fontId="106" fillId="0" borderId="2" xfId="0" applyNumberFormat="1" applyFont="1" applyBorder="1" applyAlignment="1">
      <alignment horizontal="center" vertical="center"/>
    </xf>
    <xf numFmtId="0" fontId="106" fillId="0" borderId="2" xfId="0" applyFont="1" applyBorder="1" applyAlignment="1">
      <alignment horizontal="center" vertical="center" wrapText="1"/>
    </xf>
    <xf numFmtId="3" fontId="109" fillId="0" borderId="2" xfId="0" applyNumberFormat="1" applyFont="1" applyBorder="1" applyAlignment="1">
      <alignment horizontal="center" vertical="center"/>
    </xf>
    <xf numFmtId="3" fontId="109" fillId="0" borderId="2" xfId="0" applyNumberFormat="1" applyFont="1" applyBorder="1" applyAlignment="1">
      <alignment horizontal="center"/>
    </xf>
    <xf numFmtId="0" fontId="106" fillId="0" borderId="2" xfId="0" applyFont="1" applyBorder="1" applyAlignment="1" applyProtection="1">
      <alignment horizontal="center" vertical="center"/>
      <protection locked="0"/>
    </xf>
    <xf numFmtId="0" fontId="106" fillId="0" borderId="2" xfId="0" applyFont="1" applyBorder="1" applyAlignment="1" applyProtection="1">
      <alignment wrapText="1"/>
      <protection locked="0"/>
    </xf>
    <xf numFmtId="0" fontId="106" fillId="0" borderId="2" xfId="0" applyFont="1" applyBorder="1" applyAlignment="1" applyProtection="1">
      <alignment vertical="center" wrapText="1"/>
      <protection locked="0"/>
    </xf>
    <xf numFmtId="3" fontId="106" fillId="0" borderId="2" xfId="0" applyNumberFormat="1" applyFont="1" applyBorder="1" applyAlignment="1" applyProtection="1">
      <alignment horizontal="center" vertical="center"/>
      <protection locked="0"/>
    </xf>
    <xf numFmtId="0" fontId="4" fillId="0" borderId="2" xfId="37" applyFont="1" applyBorder="1" applyAlignment="1" applyProtection="1">
      <alignment vertical="center" wrapText="1"/>
      <protection locked="0"/>
    </xf>
    <xf numFmtId="176" fontId="33" fillId="0" borderId="2" xfId="116" applyNumberFormat="1" applyFont="1" applyBorder="1" applyAlignment="1">
      <alignment vertical="center" wrapText="1"/>
    </xf>
    <xf numFmtId="0" fontId="4" fillId="0" borderId="2" xfId="37" applyFont="1" applyBorder="1" applyAlignment="1">
      <alignment vertical="center" wrapText="1"/>
    </xf>
    <xf numFmtId="0" fontId="4" fillId="0" borderId="2" xfId="37" applyFont="1" applyBorder="1" applyAlignment="1">
      <alignment horizontal="left" vertical="center" wrapText="1"/>
    </xf>
    <xf numFmtId="176" fontId="33" fillId="0" borderId="2" xfId="116" applyNumberFormat="1" applyFont="1" applyFill="1" applyBorder="1" applyAlignment="1">
      <alignment horizontal="center" vertical="center" wrapText="1"/>
    </xf>
    <xf numFmtId="172" fontId="34" fillId="0" borderId="2" xfId="94" applyNumberFormat="1" applyFont="1" applyBorder="1" applyAlignment="1" applyProtection="1">
      <alignment vertical="center" wrapText="1"/>
      <protection locked="0"/>
    </xf>
    <xf numFmtId="170" fontId="34" fillId="0" borderId="2" xfId="116" applyFont="1" applyFill="1" applyBorder="1" applyAlignment="1" applyProtection="1">
      <alignment vertical="center" wrapText="1"/>
      <protection locked="0"/>
    </xf>
    <xf numFmtId="0" fontId="8" fillId="0" borderId="2" xfId="37" applyFont="1" applyBorder="1" applyAlignment="1">
      <alignment vertical="center" wrapText="1"/>
    </xf>
    <xf numFmtId="176" fontId="4" fillId="0" borderId="2" xfId="129" applyNumberFormat="1" applyFont="1" applyFill="1" applyBorder="1" applyAlignment="1" applyProtection="1">
      <alignment vertical="center" wrapText="1"/>
      <protection locked="0"/>
    </xf>
    <xf numFmtId="176" fontId="4" fillId="0" borderId="2" xfId="129" applyNumberFormat="1" applyFont="1" applyFill="1" applyBorder="1" applyAlignment="1" applyProtection="1">
      <alignment horizontal="center" vertical="center"/>
      <protection locked="0"/>
    </xf>
    <xf numFmtId="170" fontId="35" fillId="0" borderId="2" xfId="122" applyFont="1" applyFill="1" applyBorder="1" applyAlignment="1">
      <alignment vertical="center" wrapText="1"/>
    </xf>
    <xf numFmtId="0" fontId="106" fillId="0" borderId="2" xfId="0" applyFont="1" applyBorder="1" applyAlignment="1">
      <alignment vertical="top" wrapText="1"/>
    </xf>
    <xf numFmtId="176" fontId="106" fillId="0" borderId="2" xfId="116" applyNumberFormat="1" applyFont="1" applyBorder="1" applyAlignment="1">
      <alignment horizontal="center" vertical="center" wrapText="1"/>
    </xf>
    <xf numFmtId="0" fontId="35" fillId="0" borderId="6" xfId="0" applyFont="1" applyBorder="1" applyAlignment="1">
      <alignment vertical="center" wrapText="1"/>
    </xf>
    <xf numFmtId="176" fontId="35" fillId="6" borderId="2" xfId="122" applyNumberFormat="1" applyFont="1" applyFill="1" applyBorder="1" applyAlignment="1" applyProtection="1">
      <alignment horizontal="center" vertical="center"/>
      <protection locked="0"/>
    </xf>
    <xf numFmtId="176" fontId="35" fillId="6" borderId="2" xfId="122" applyNumberFormat="1" applyFont="1" applyFill="1" applyBorder="1" applyAlignment="1">
      <alignment horizontal="center" vertical="center"/>
    </xf>
    <xf numFmtId="176" fontId="4" fillId="0" borderId="2" xfId="130" applyNumberFormat="1" applyFont="1" applyFill="1" applyBorder="1" applyAlignment="1" applyProtection="1">
      <alignment horizontal="left" vertical="center" wrapText="1"/>
      <protection locked="0"/>
    </xf>
    <xf numFmtId="3" fontId="117" fillId="0" borderId="2" xfId="0" applyNumberFormat="1" applyFont="1" applyBorder="1" applyAlignment="1">
      <alignment horizontal="center" vertical="center" wrapText="1"/>
    </xf>
    <xf numFmtId="0" fontId="117" fillId="0" borderId="2" xfId="0" applyFont="1" applyBorder="1" applyAlignment="1">
      <alignment horizontal="center" vertical="center" wrapText="1"/>
    </xf>
    <xf numFmtId="3" fontId="0" fillId="0" borderId="0" xfId="0" applyNumberFormat="1"/>
    <xf numFmtId="176" fontId="106" fillId="0" borderId="2" xfId="116" applyNumberFormat="1" applyFont="1" applyBorder="1" applyAlignment="1">
      <alignment horizontal="center" vertical="center"/>
    </xf>
    <xf numFmtId="0" fontId="106" fillId="0" borderId="2" xfId="0" applyFont="1" applyBorder="1" applyAlignment="1">
      <alignment horizontal="left" vertical="center" wrapText="1"/>
    </xf>
    <xf numFmtId="176" fontId="117" fillId="0" borderId="2" xfId="116" applyNumberFormat="1" applyFont="1" applyFill="1" applyBorder="1" applyAlignment="1">
      <alignment horizontal="left" vertical="top" wrapText="1"/>
    </xf>
    <xf numFmtId="176" fontId="4" fillId="0" borderId="2" xfId="116" applyNumberFormat="1" applyFont="1" applyFill="1" applyBorder="1" applyAlignment="1">
      <alignment horizontal="left" vertical="top" wrapText="1"/>
    </xf>
    <xf numFmtId="176" fontId="4" fillId="0" borderId="2" xfId="116" applyNumberFormat="1" applyFont="1" applyFill="1" applyBorder="1" applyAlignment="1">
      <alignment horizontal="center" vertical="top"/>
    </xf>
    <xf numFmtId="176" fontId="36" fillId="0" borderId="0" xfId="122" applyNumberFormat="1" applyFont="1" applyFill="1" applyAlignment="1" applyProtection="1">
      <alignment horizontal="left" vertical="center"/>
      <protection locked="0"/>
    </xf>
    <xf numFmtId="0" fontId="4" fillId="0" borderId="2" xfId="27" applyFont="1" applyBorder="1" applyAlignment="1">
      <alignment vertical="center" wrapText="1"/>
    </xf>
    <xf numFmtId="176" fontId="35" fillId="0" borderId="2" xfId="116" applyNumberFormat="1" applyFont="1" applyFill="1" applyBorder="1" applyAlignment="1">
      <alignment vertical="center" wrapText="1"/>
    </xf>
    <xf numFmtId="0" fontId="35" fillId="0" borderId="2" xfId="27" applyFont="1" applyBorder="1" applyAlignment="1">
      <alignment vertical="center" wrapText="1"/>
    </xf>
    <xf numFmtId="176" fontId="35" fillId="0" borderId="4" xfId="116" applyNumberFormat="1" applyFont="1" applyBorder="1" applyAlignment="1" applyProtection="1">
      <alignment horizontal="center" vertical="center"/>
      <protection locked="0"/>
    </xf>
    <xf numFmtId="176" fontId="35" fillId="0" borderId="2" xfId="116" applyNumberFormat="1" applyFont="1" applyBorder="1" applyAlignment="1">
      <alignment horizontal="right"/>
    </xf>
    <xf numFmtId="0" fontId="35" fillId="0" borderId="2" xfId="27" applyFont="1" applyBorder="1" applyAlignment="1">
      <alignment wrapText="1"/>
    </xf>
    <xf numFmtId="0" fontId="35" fillId="0" borderId="2" xfId="0" applyFont="1" applyBorder="1"/>
    <xf numFmtId="0" fontId="35" fillId="0" borderId="2" xfId="0" applyFont="1" applyBorder="1" applyAlignment="1">
      <alignment wrapText="1"/>
    </xf>
    <xf numFmtId="176" fontId="117" fillId="0" borderId="2" xfId="116" applyNumberFormat="1" applyFont="1" applyBorder="1" applyAlignment="1">
      <alignment vertical="center" wrapText="1"/>
    </xf>
    <xf numFmtId="176" fontId="117" fillId="0" borderId="2" xfId="116" applyNumberFormat="1" applyFont="1" applyBorder="1"/>
    <xf numFmtId="176" fontId="4" fillId="0" borderId="2" xfId="116" applyNumberFormat="1" applyFont="1" applyFill="1" applyBorder="1" applyAlignment="1">
      <alignment horizontal="left" vertical="center" wrapText="1"/>
    </xf>
    <xf numFmtId="0" fontId="105" fillId="0" borderId="0" xfId="0" applyFont="1" applyAlignment="1">
      <alignment wrapText="1"/>
    </xf>
    <xf numFmtId="0" fontId="105" fillId="0" borderId="0" xfId="0" applyFont="1" applyAlignment="1" applyProtection="1">
      <alignment wrapText="1"/>
      <protection locked="0"/>
    </xf>
    <xf numFmtId="0" fontId="105" fillId="0" borderId="0" xfId="0" applyFont="1" applyAlignment="1" applyProtection="1">
      <alignment horizontal="center" wrapText="1"/>
      <protection locked="0"/>
    </xf>
    <xf numFmtId="0" fontId="105" fillId="0" borderId="0" xfId="0" applyFont="1" applyAlignment="1">
      <alignment horizontal="center" wrapText="1"/>
    </xf>
    <xf numFmtId="176" fontId="117" fillId="0" borderId="2" xfId="116" applyNumberFormat="1" applyFont="1" applyBorder="1" applyAlignment="1">
      <alignment horizontal="left" vertical="center" wrapText="1"/>
    </xf>
    <xf numFmtId="176" fontId="4" fillId="0" borderId="2" xfId="121" applyNumberFormat="1" applyFont="1" applyFill="1" applyBorder="1" applyAlignment="1">
      <alignment horizontal="left" vertical="center" wrapText="1"/>
    </xf>
    <xf numFmtId="3" fontId="4" fillId="11" borderId="2" xfId="0" applyNumberFormat="1" applyFont="1" applyFill="1" applyBorder="1" applyAlignment="1">
      <alignment horizontal="left" vertical="center" wrapText="1"/>
    </xf>
    <xf numFmtId="176" fontId="117" fillId="0" borderId="2" xfId="116" applyNumberFormat="1" applyFont="1" applyBorder="1" applyAlignment="1">
      <alignment horizontal="center" vertical="center" wrapText="1"/>
    </xf>
    <xf numFmtId="176" fontId="4" fillId="0" borderId="2" xfId="116" applyNumberFormat="1" applyFont="1" applyFill="1" applyBorder="1" applyAlignment="1">
      <alignment horizontal="center" vertical="center" wrapText="1"/>
    </xf>
    <xf numFmtId="176" fontId="117" fillId="0" borderId="2" xfId="116" applyNumberFormat="1" applyFont="1" applyFill="1" applyBorder="1" applyAlignment="1">
      <alignment horizontal="center" vertical="center" wrapText="1"/>
    </xf>
    <xf numFmtId="0" fontId="117" fillId="0" borderId="2" xfId="0" applyFont="1" applyBorder="1" applyAlignment="1">
      <alignment horizontal="center"/>
    </xf>
    <xf numFmtId="0" fontId="4" fillId="6" borderId="2" xfId="0" applyFont="1" applyFill="1" applyBorder="1" applyAlignment="1">
      <alignment horizontal="center" vertical="top" wrapText="1"/>
    </xf>
    <xf numFmtId="3" fontId="4" fillId="0" borderId="2" xfId="121" applyNumberFormat="1" applyFont="1" applyFill="1" applyBorder="1" applyAlignment="1">
      <alignment horizontal="center" vertical="center" wrapText="1"/>
    </xf>
    <xf numFmtId="0" fontId="4" fillId="6" borderId="2" xfId="122" applyNumberFormat="1" applyFont="1" applyFill="1" applyBorder="1" applyAlignment="1">
      <alignment horizontal="center" vertical="center" wrapText="1"/>
    </xf>
    <xf numFmtId="3" fontId="105" fillId="0" borderId="0" xfId="0" applyNumberFormat="1" applyFont="1"/>
    <xf numFmtId="0" fontId="4" fillId="6" borderId="2" xfId="0" applyFont="1" applyFill="1" applyBorder="1" applyAlignment="1">
      <alignment horizontal="center" vertical="center" wrapText="1"/>
    </xf>
    <xf numFmtId="176" fontId="36" fillId="6" borderId="0" xfId="122" applyNumberFormat="1" applyFont="1" applyFill="1" applyAlignment="1">
      <alignment horizontal="left" vertical="center"/>
    </xf>
    <xf numFmtId="178" fontId="36" fillId="6" borderId="0" xfId="122" applyNumberFormat="1" applyFont="1" applyFill="1" applyAlignment="1">
      <alignment horizontal="left" vertical="center"/>
    </xf>
    <xf numFmtId="0" fontId="109" fillId="0" borderId="0" xfId="0" applyFont="1" applyProtection="1">
      <protection locked="0"/>
    </xf>
    <xf numFmtId="176" fontId="36" fillId="2" borderId="0" xfId="122" applyNumberFormat="1" applyFont="1" applyFill="1"/>
    <xf numFmtId="178" fontId="36" fillId="6" borderId="0" xfId="122" applyNumberFormat="1" applyFont="1" applyFill="1" applyAlignment="1">
      <alignment vertical="center"/>
    </xf>
    <xf numFmtId="0" fontId="120" fillId="0" borderId="0" xfId="0" applyFont="1"/>
    <xf numFmtId="2" fontId="106" fillId="0" borderId="0" xfId="0" applyNumberFormat="1" applyFont="1" applyProtection="1">
      <protection locked="0"/>
    </xf>
    <xf numFmtId="1" fontId="35" fillId="0" borderId="2" xfId="0" applyNumberFormat="1" applyFont="1" applyBorder="1" applyAlignment="1" applyProtection="1">
      <alignment horizontal="center"/>
      <protection locked="0"/>
    </xf>
    <xf numFmtId="0" fontId="5" fillId="0" borderId="2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42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42" fillId="0" borderId="2" xfId="0" applyFont="1" applyBorder="1" applyAlignment="1">
      <alignment horizontal="left" vertical="top" wrapText="1"/>
    </xf>
    <xf numFmtId="0" fontId="79" fillId="0" borderId="2" xfId="0" applyFont="1" applyBorder="1" applyAlignment="1">
      <alignment horizontal="left" vertical="top"/>
    </xf>
    <xf numFmtId="3" fontId="79" fillId="0" borderId="2" xfId="0" applyNumberFormat="1" applyFont="1" applyBorder="1" applyAlignment="1">
      <alignment horizontal="left" vertical="top"/>
    </xf>
    <xf numFmtId="0" fontId="105" fillId="0" borderId="2" xfId="0" applyFont="1" applyBorder="1" applyAlignment="1" applyProtection="1">
      <alignment horizontal="left" vertical="top"/>
      <protection locked="0"/>
    </xf>
    <xf numFmtId="0" fontId="105" fillId="0" borderId="2" xfId="0" applyFont="1" applyBorder="1" applyAlignment="1" applyProtection="1">
      <alignment horizontal="left" vertical="top" wrapText="1"/>
      <protection locked="0"/>
    </xf>
    <xf numFmtId="0" fontId="105" fillId="0" borderId="2" xfId="0" applyFont="1" applyBorder="1" applyAlignment="1">
      <alignment horizontal="left" vertical="top"/>
    </xf>
    <xf numFmtId="3" fontId="6" fillId="0" borderId="2" xfId="116" applyNumberFormat="1" applyFont="1" applyBorder="1" applyAlignment="1">
      <alignment horizontal="left" vertical="top"/>
    </xf>
    <xf numFmtId="0" fontId="105" fillId="0" borderId="21" xfId="0" applyFont="1" applyBorder="1" applyAlignment="1" applyProtection="1">
      <alignment horizontal="left" vertical="top" wrapText="1"/>
      <protection locked="0"/>
    </xf>
    <xf numFmtId="0" fontId="105" fillId="0" borderId="2" xfId="0" applyFont="1" applyBorder="1" applyAlignment="1">
      <alignment horizontal="left" vertical="top" wrapText="1"/>
    </xf>
    <xf numFmtId="0" fontId="105" fillId="0" borderId="4" xfId="0" applyFont="1" applyBorder="1" applyAlignment="1">
      <alignment horizontal="left" vertical="top" wrapText="1"/>
    </xf>
    <xf numFmtId="0" fontId="105" fillId="0" borderId="4" xfId="0" applyFont="1" applyBorder="1" applyAlignment="1">
      <alignment horizontal="left" vertical="top"/>
    </xf>
    <xf numFmtId="0" fontId="105" fillId="0" borderId="4" xfId="0" applyFont="1" applyBorder="1" applyAlignment="1" applyProtection="1">
      <alignment horizontal="left" vertical="top"/>
      <protection locked="0"/>
    </xf>
    <xf numFmtId="3" fontId="6" fillId="0" borderId="4" xfId="116" applyNumberFormat="1" applyFont="1" applyBorder="1" applyAlignment="1">
      <alignment horizontal="left" vertical="top"/>
    </xf>
    <xf numFmtId="176" fontId="105" fillId="0" borderId="2" xfId="116" applyNumberFormat="1" applyFont="1" applyBorder="1" applyAlignment="1">
      <alignment horizontal="left" vertical="top" wrapText="1"/>
    </xf>
    <xf numFmtId="170" fontId="105" fillId="0" borderId="2" xfId="116" applyFont="1" applyBorder="1" applyAlignment="1">
      <alignment horizontal="left" vertical="top"/>
    </xf>
    <xf numFmtId="176" fontId="121" fillId="12" borderId="2" xfId="116" applyNumberFormat="1" applyFont="1" applyFill="1" applyBorder="1" applyAlignment="1">
      <alignment horizontal="left" vertical="top" wrapText="1"/>
    </xf>
    <xf numFmtId="176" fontId="105" fillId="0" borderId="2" xfId="116" applyNumberFormat="1" applyFont="1" applyBorder="1" applyAlignment="1">
      <alignment horizontal="left" vertical="top"/>
    </xf>
    <xf numFmtId="176" fontId="121" fillId="0" borderId="2" xfId="116" applyNumberFormat="1" applyFont="1" applyBorder="1" applyAlignment="1">
      <alignment horizontal="left" vertical="top" wrapText="1"/>
    </xf>
    <xf numFmtId="176" fontId="34" fillId="0" borderId="2" xfId="116" applyNumberFormat="1" applyFont="1" applyFill="1" applyBorder="1" applyAlignment="1">
      <alignment horizontal="left" vertical="top" wrapText="1"/>
    </xf>
    <xf numFmtId="176" fontId="121" fillId="0" borderId="2" xfId="116" applyNumberFormat="1" applyFont="1" applyFill="1" applyBorder="1" applyAlignment="1">
      <alignment horizontal="left" vertical="top" wrapText="1"/>
    </xf>
    <xf numFmtId="176" fontId="34" fillId="0" borderId="2" xfId="116" applyNumberFormat="1" applyFont="1" applyBorder="1" applyAlignment="1">
      <alignment horizontal="left" vertical="top" wrapText="1"/>
    </xf>
    <xf numFmtId="170" fontId="34" fillId="0" borderId="2" xfId="0" applyNumberFormat="1" applyFont="1" applyBorder="1" applyAlignment="1">
      <alignment horizontal="left" vertical="top" wrapText="1"/>
    </xf>
    <xf numFmtId="170" fontId="34" fillId="0" borderId="2" xfId="122" applyFont="1" applyFill="1" applyBorder="1" applyAlignment="1">
      <alignment horizontal="left" vertical="top" wrapText="1"/>
    </xf>
    <xf numFmtId="170" fontId="34" fillId="0" borderId="2" xfId="39" applyNumberFormat="1" applyFont="1" applyBorder="1" applyAlignment="1">
      <alignment horizontal="left" vertical="top" wrapText="1"/>
    </xf>
    <xf numFmtId="170" fontId="34" fillId="0" borderId="2" xfId="0" applyNumberFormat="1" applyFont="1" applyBorder="1" applyAlignment="1">
      <alignment horizontal="left" vertical="top"/>
    </xf>
    <xf numFmtId="170" fontId="34" fillId="0" borderId="2" xfId="123" applyFont="1" applyFill="1" applyBorder="1" applyAlignment="1">
      <alignment horizontal="left" vertical="top" wrapText="1"/>
    </xf>
    <xf numFmtId="170" fontId="34" fillId="0" borderId="2" xfId="69" applyNumberFormat="1" applyFont="1" applyBorder="1" applyAlignment="1">
      <alignment horizontal="left" vertical="top" wrapText="1"/>
    </xf>
    <xf numFmtId="170" fontId="34" fillId="0" borderId="2" xfId="116" applyFont="1" applyFill="1" applyBorder="1" applyAlignment="1">
      <alignment horizontal="left" vertical="top"/>
    </xf>
    <xf numFmtId="170" fontId="32" fillId="0" borderId="2" xfId="116" applyFont="1" applyFill="1" applyBorder="1" applyAlignment="1">
      <alignment horizontal="left" vertical="top"/>
    </xf>
    <xf numFmtId="170" fontId="105" fillId="0" borderId="2" xfId="116" applyFont="1" applyFill="1" applyBorder="1" applyAlignment="1">
      <alignment horizontal="left" vertical="top"/>
    </xf>
    <xf numFmtId="170" fontId="105" fillId="0" borderId="2" xfId="116" applyFont="1" applyFill="1" applyBorder="1" applyAlignment="1">
      <alignment horizontal="left" vertical="top" wrapText="1"/>
    </xf>
    <xf numFmtId="170" fontId="34" fillId="0" borderId="2" xfId="116" applyFont="1" applyFill="1" applyBorder="1" applyAlignment="1">
      <alignment horizontal="left" vertical="top" wrapText="1"/>
    </xf>
    <xf numFmtId="0" fontId="121" fillId="0" borderId="2" xfId="0" applyFont="1" applyBorder="1" applyAlignment="1">
      <alignment horizontal="left" vertical="top" wrapText="1"/>
    </xf>
    <xf numFmtId="176" fontId="34" fillId="0" borderId="2" xfId="121" applyNumberFormat="1" applyFont="1" applyFill="1" applyBorder="1" applyAlignment="1">
      <alignment horizontal="left" vertical="top" wrapText="1"/>
    </xf>
    <xf numFmtId="3" fontId="34" fillId="11" borderId="2" xfId="0" applyNumberFormat="1" applyFont="1" applyFill="1" applyBorder="1" applyAlignment="1">
      <alignment horizontal="left" vertical="top" wrapText="1"/>
    </xf>
    <xf numFmtId="3" fontId="105" fillId="0" borderId="2" xfId="0" applyNumberFormat="1" applyFont="1" applyBorder="1" applyAlignment="1">
      <alignment horizontal="left" vertical="top" wrapText="1"/>
    </xf>
    <xf numFmtId="176" fontId="35" fillId="0" borderId="4" xfId="116" applyNumberFormat="1" applyFont="1" applyFill="1" applyBorder="1" applyAlignment="1" applyProtection="1">
      <alignment horizontal="center" vertical="center"/>
      <protection locked="0"/>
    </xf>
    <xf numFmtId="176" fontId="9" fillId="2" borderId="0" xfId="122" applyNumberFormat="1" applyFont="1" applyFill="1" applyAlignment="1" applyProtection="1">
      <alignment horizontal="left" vertical="center"/>
      <protection locked="0"/>
    </xf>
    <xf numFmtId="0" fontId="80" fillId="0" borderId="0" xfId="0" applyFont="1" applyAlignment="1" applyProtection="1">
      <alignment vertical="center"/>
      <protection locked="0"/>
    </xf>
    <xf numFmtId="181" fontId="79" fillId="0" borderId="2" xfId="0" applyNumberFormat="1" applyFont="1" applyBorder="1" applyAlignment="1">
      <alignment horizontal="center" vertical="center"/>
    </xf>
    <xf numFmtId="175" fontId="6" fillId="0" borderId="2" xfId="122" applyNumberFormat="1" applyFont="1" applyBorder="1" applyAlignment="1">
      <alignment horizontal="center" vertical="center"/>
    </xf>
    <xf numFmtId="181" fontId="6" fillId="0" borderId="2" xfId="122" applyNumberFormat="1" applyFont="1" applyBorder="1" applyAlignment="1">
      <alignment horizontal="center" vertical="center"/>
    </xf>
    <xf numFmtId="0" fontId="122" fillId="6" borderId="2" xfId="37" applyFont="1" applyFill="1" applyBorder="1" applyAlignment="1" applyProtection="1">
      <alignment horizontal="justify" vertical="center" wrapText="1"/>
      <protection locked="0"/>
    </xf>
    <xf numFmtId="0" fontId="122" fillId="6" borderId="2" xfId="37" applyFont="1" applyFill="1" applyBorder="1" applyAlignment="1" applyProtection="1">
      <alignment vertical="center" wrapText="1"/>
      <protection locked="0"/>
    </xf>
    <xf numFmtId="0" fontId="122" fillId="6" borderId="2" xfId="37" applyFont="1" applyFill="1" applyBorder="1" applyAlignment="1" applyProtection="1">
      <alignment horizontal="center" vertical="center" wrapText="1"/>
      <protection locked="0"/>
    </xf>
    <xf numFmtId="176" fontId="4" fillId="0" borderId="18" xfId="116" applyNumberFormat="1" applyFont="1" applyFill="1" applyBorder="1" applyAlignment="1">
      <alignment horizontal="center" vertical="top"/>
    </xf>
    <xf numFmtId="49" fontId="36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8" fillId="0" borderId="2" xfId="102" applyFont="1" applyBorder="1" applyAlignment="1">
      <alignment horizontal="left" vertical="center" wrapText="1"/>
    </xf>
    <xf numFmtId="0" fontId="4" fillId="0" borderId="2" xfId="102" applyFont="1" applyBorder="1" applyAlignment="1">
      <alignment horizontal="left" vertical="center" wrapText="1"/>
    </xf>
    <xf numFmtId="17" fontId="8" fillId="0" borderId="2" xfId="102" applyNumberFormat="1" applyFont="1" applyBorder="1" applyAlignment="1">
      <alignment horizontal="left" vertical="center" wrapText="1"/>
    </xf>
    <xf numFmtId="1" fontId="8" fillId="0" borderId="2" xfId="102" applyNumberFormat="1" applyFont="1" applyBorder="1" applyAlignment="1">
      <alignment horizontal="left" vertical="center" wrapText="1"/>
    </xf>
    <xf numFmtId="170" fontId="0" fillId="0" borderId="0" xfId="0" applyNumberFormat="1"/>
    <xf numFmtId="176" fontId="8" fillId="6" borderId="0" xfId="122" applyNumberFormat="1" applyFont="1" applyFill="1" applyAlignment="1">
      <alignment horizontal="left" vertical="center"/>
    </xf>
    <xf numFmtId="4" fontId="0" fillId="0" borderId="0" xfId="0" applyNumberFormat="1"/>
    <xf numFmtId="176" fontId="32" fillId="0" borderId="2" xfId="116" applyNumberFormat="1" applyFont="1" applyBorder="1" applyAlignment="1">
      <alignment horizontal="left" vertical="top" wrapText="1"/>
    </xf>
    <xf numFmtId="0" fontId="123" fillId="0" borderId="4" xfId="0" applyFont="1" applyBorder="1" applyAlignment="1">
      <alignment horizontal="left" vertical="top" wrapText="1"/>
    </xf>
    <xf numFmtId="3" fontId="6" fillId="0" borderId="2" xfId="116" applyNumberFormat="1" applyFont="1" applyFill="1" applyBorder="1" applyAlignment="1">
      <alignment horizontal="left" vertical="top"/>
    </xf>
    <xf numFmtId="3" fontId="5" fillId="0" borderId="2" xfId="116" applyNumberFormat="1" applyFont="1" applyFill="1" applyBorder="1" applyAlignment="1">
      <alignment horizontal="left" vertical="top"/>
    </xf>
    <xf numFmtId="3" fontId="5" fillId="0" borderId="2" xfId="116" applyNumberFormat="1" applyFont="1" applyBorder="1" applyAlignment="1">
      <alignment horizontal="left" vertical="top"/>
    </xf>
    <xf numFmtId="0" fontId="110" fillId="0" borderId="0" xfId="0" applyFont="1"/>
    <xf numFmtId="176" fontId="8" fillId="2" borderId="0" xfId="122" applyNumberFormat="1" applyFont="1" applyFill="1"/>
    <xf numFmtId="178" fontId="8" fillId="6" borderId="0" xfId="122" applyNumberFormat="1" applyFont="1" applyFill="1" applyAlignment="1">
      <alignment horizontal="left" vertical="center"/>
    </xf>
    <xf numFmtId="0" fontId="124" fillId="0" borderId="0" xfId="0" applyFont="1"/>
    <xf numFmtId="0" fontId="112" fillId="0" borderId="2" xfId="27" applyFont="1" applyBorder="1" applyAlignment="1">
      <alignment vertical="center" wrapText="1"/>
    </xf>
    <xf numFmtId="1" fontId="35" fillId="0" borderId="2" xfId="0" applyNumberFormat="1" applyFont="1" applyBorder="1" applyAlignment="1" applyProtection="1">
      <alignment horizontal="center" vertical="center"/>
      <protection locked="0"/>
    </xf>
    <xf numFmtId="3" fontId="35" fillId="0" borderId="2" xfId="0" applyNumberFormat="1" applyFont="1" applyBorder="1" applyAlignment="1">
      <alignment horizontal="right"/>
    </xf>
    <xf numFmtId="4" fontId="35" fillId="0" borderId="2" xfId="0" applyNumberFormat="1" applyFont="1" applyBorder="1" applyAlignment="1">
      <alignment horizontal="center"/>
    </xf>
    <xf numFmtId="3" fontId="35" fillId="0" borderId="2" xfId="36" applyNumberFormat="1" applyFont="1" applyBorder="1" applyAlignment="1" applyProtection="1">
      <alignment horizontal="center" vertical="center" wrapText="1"/>
      <protection locked="0"/>
    </xf>
    <xf numFmtId="3" fontId="35" fillId="0" borderId="2" xfId="36" applyNumberFormat="1" applyFont="1" applyBorder="1" applyAlignment="1" applyProtection="1">
      <alignment vertical="center" wrapText="1"/>
      <protection locked="0"/>
    </xf>
    <xf numFmtId="0" fontId="98" fillId="0" borderId="0" xfId="0" applyFont="1"/>
    <xf numFmtId="0" fontId="125" fillId="0" borderId="0" xfId="0" applyFont="1" applyAlignment="1">
      <alignment horizontal="right" vertical="center"/>
    </xf>
    <xf numFmtId="176" fontId="121" fillId="10" borderId="2" xfId="116" applyNumberFormat="1" applyFont="1" applyFill="1" applyBorder="1" applyAlignment="1">
      <alignment horizontal="left" vertical="top" wrapText="1"/>
    </xf>
    <xf numFmtId="0" fontId="105" fillId="10" borderId="21" xfId="0" applyFont="1" applyFill="1" applyBorder="1" applyAlignment="1" applyProtection="1">
      <alignment horizontal="left" vertical="top" wrapText="1"/>
      <protection locked="0"/>
    </xf>
    <xf numFmtId="176" fontId="34" fillId="10" borderId="2" xfId="116" applyNumberFormat="1" applyFont="1" applyFill="1" applyBorder="1" applyAlignment="1">
      <alignment horizontal="left" vertical="top" wrapText="1"/>
    </xf>
    <xf numFmtId="176" fontId="126" fillId="10" borderId="2" xfId="116" applyNumberFormat="1" applyFont="1" applyFill="1" applyBorder="1" applyAlignment="1">
      <alignment horizontal="left" vertical="top" wrapText="1"/>
    </xf>
    <xf numFmtId="0" fontId="126" fillId="10" borderId="2" xfId="0" applyFont="1" applyFill="1" applyBorder="1" applyAlignment="1" applyProtection="1">
      <alignment horizontal="left" vertical="top" wrapText="1"/>
      <protection locked="0"/>
    </xf>
    <xf numFmtId="0" fontId="105" fillId="10" borderId="2" xfId="0" applyFont="1" applyFill="1" applyBorder="1" applyAlignment="1" applyProtection="1">
      <alignment horizontal="left" vertical="top" wrapText="1"/>
      <protection locked="0"/>
    </xf>
    <xf numFmtId="176" fontId="105" fillId="10" borderId="2" xfId="116" applyNumberFormat="1" applyFont="1" applyFill="1" applyBorder="1" applyAlignment="1">
      <alignment horizontal="left" vertical="top" wrapText="1"/>
    </xf>
    <xf numFmtId="0" fontId="105" fillId="10" borderId="2" xfId="0" applyFont="1" applyFill="1" applyBorder="1" applyAlignment="1" applyProtection="1">
      <alignment horizontal="left" vertical="top"/>
      <protection locked="0"/>
    </xf>
    <xf numFmtId="176" fontId="34" fillId="10" borderId="21" xfId="116" applyNumberFormat="1" applyFont="1" applyFill="1" applyBorder="1" applyAlignment="1">
      <alignment horizontal="left" vertical="top" wrapText="1"/>
    </xf>
    <xf numFmtId="176" fontId="121" fillId="13" borderId="2" xfId="116" applyNumberFormat="1" applyFont="1" applyFill="1" applyBorder="1" applyAlignment="1">
      <alignment horizontal="left" vertical="top" wrapText="1"/>
    </xf>
    <xf numFmtId="176" fontId="34" fillId="13" borderId="2" xfId="116" applyNumberFormat="1" applyFont="1" applyFill="1" applyBorder="1" applyAlignment="1">
      <alignment horizontal="left" vertical="top" wrapText="1"/>
    </xf>
    <xf numFmtId="176" fontId="105" fillId="13" borderId="2" xfId="116" applyNumberFormat="1" applyFont="1" applyFill="1" applyBorder="1" applyAlignment="1">
      <alignment horizontal="left" vertical="top" wrapText="1"/>
    </xf>
    <xf numFmtId="170" fontId="34" fillId="10" borderId="2" xfId="0" applyNumberFormat="1" applyFont="1" applyFill="1" applyBorder="1" applyAlignment="1">
      <alignment horizontal="left" vertical="top" wrapText="1"/>
    </xf>
    <xf numFmtId="170" fontId="121" fillId="10" borderId="2" xfId="116" applyFont="1" applyFill="1" applyBorder="1" applyAlignment="1">
      <alignment horizontal="left" vertical="top" wrapText="1"/>
    </xf>
    <xf numFmtId="0" fontId="105" fillId="10" borderId="2" xfId="0" applyFont="1" applyFill="1" applyBorder="1" applyAlignment="1">
      <alignment horizontal="left" vertical="top" wrapText="1"/>
    </xf>
    <xf numFmtId="170" fontId="34" fillId="10" borderId="2" xfId="0" applyNumberFormat="1" applyFont="1" applyFill="1" applyBorder="1" applyAlignment="1">
      <alignment horizontal="left" vertical="top"/>
    </xf>
    <xf numFmtId="170" fontId="105" fillId="10" borderId="2" xfId="116" applyFont="1" applyFill="1" applyBorder="1" applyAlignment="1">
      <alignment horizontal="left" vertical="top" wrapText="1"/>
    </xf>
    <xf numFmtId="0" fontId="121" fillId="10" borderId="2" xfId="0" applyFont="1" applyFill="1" applyBorder="1" applyAlignment="1">
      <alignment horizontal="left" vertical="top" wrapText="1"/>
    </xf>
    <xf numFmtId="170" fontId="34" fillId="10" borderId="2" xfId="116" applyFont="1" applyFill="1" applyBorder="1" applyAlignment="1">
      <alignment horizontal="left" vertical="top" wrapText="1"/>
    </xf>
    <xf numFmtId="176" fontId="34" fillId="10" borderId="4" xfId="116" applyNumberFormat="1" applyFont="1" applyFill="1" applyBorder="1" applyAlignment="1">
      <alignment horizontal="left" vertical="top" wrapText="1"/>
    </xf>
    <xf numFmtId="170" fontId="34" fillId="10" borderId="2" xfId="122" applyFont="1" applyFill="1" applyBorder="1" applyAlignment="1">
      <alignment horizontal="left" vertical="top" wrapText="1"/>
    </xf>
    <xf numFmtId="170" fontId="121" fillId="13" borderId="2" xfId="116" applyFont="1" applyFill="1" applyBorder="1" applyAlignment="1">
      <alignment horizontal="left" vertical="top" wrapText="1"/>
    </xf>
    <xf numFmtId="170" fontId="34" fillId="10" borderId="2" xfId="123" applyFont="1" applyFill="1" applyBorder="1" applyAlignment="1">
      <alignment horizontal="left" vertical="top" wrapText="1"/>
    </xf>
    <xf numFmtId="170" fontId="34" fillId="13" borderId="2" xfId="0" applyNumberFormat="1" applyFont="1" applyFill="1" applyBorder="1" applyAlignment="1">
      <alignment horizontal="left" vertical="top" wrapText="1"/>
    </xf>
    <xf numFmtId="0" fontId="105" fillId="13" borderId="2" xfId="0" applyFont="1" applyFill="1" applyBorder="1" applyAlignment="1">
      <alignment horizontal="left" vertical="top" wrapText="1"/>
    </xf>
    <xf numFmtId="0" fontId="105" fillId="13" borderId="2" xfId="0" applyFont="1" applyFill="1" applyBorder="1" applyAlignment="1" applyProtection="1">
      <alignment horizontal="left" vertical="top"/>
      <protection locked="0"/>
    </xf>
    <xf numFmtId="0" fontId="105" fillId="14" borderId="2" xfId="0" applyFont="1" applyFill="1" applyBorder="1" applyAlignment="1" applyProtection="1">
      <alignment horizontal="left" vertical="top"/>
      <protection locked="0"/>
    </xf>
    <xf numFmtId="170" fontId="34" fillId="14" borderId="2" xfId="0" applyNumberFormat="1" applyFont="1" applyFill="1" applyBorder="1" applyAlignment="1">
      <alignment horizontal="left" vertical="top" wrapText="1"/>
    </xf>
    <xf numFmtId="0" fontId="105" fillId="14" borderId="2" xfId="0" applyFont="1" applyFill="1" applyBorder="1" applyAlignment="1">
      <alignment horizontal="left" vertical="top" wrapText="1"/>
    </xf>
    <xf numFmtId="0" fontId="105" fillId="0" borderId="2" xfId="0" applyFont="1" applyBorder="1"/>
    <xf numFmtId="176" fontId="105" fillId="10" borderId="4" xfId="116" applyNumberFormat="1" applyFont="1" applyFill="1" applyBorder="1" applyAlignment="1">
      <alignment horizontal="left" vertical="top" wrapText="1"/>
    </xf>
    <xf numFmtId="0" fontId="126" fillId="10" borderId="21" xfId="0" applyFont="1" applyFill="1" applyBorder="1" applyAlignment="1" applyProtection="1">
      <alignment horizontal="left" vertical="top" wrapText="1"/>
      <protection locked="0"/>
    </xf>
    <xf numFmtId="0" fontId="105" fillId="0" borderId="21" xfId="0" applyFont="1" applyBorder="1" applyAlignment="1">
      <alignment horizontal="left" vertical="top" wrapText="1"/>
    </xf>
    <xf numFmtId="0" fontId="105" fillId="10" borderId="21" xfId="0" applyFont="1" applyFill="1" applyBorder="1" applyAlignment="1">
      <alignment horizontal="left" vertical="top" wrapText="1"/>
    </xf>
    <xf numFmtId="176" fontId="34" fillId="0" borderId="4" xfId="121" applyNumberFormat="1" applyFont="1" applyFill="1" applyBorder="1" applyAlignment="1">
      <alignment horizontal="left" vertical="top" wrapText="1"/>
    </xf>
    <xf numFmtId="170" fontId="34" fillId="0" borderId="4" xfId="122" applyFont="1" applyFill="1" applyBorder="1" applyAlignment="1">
      <alignment horizontal="left" vertical="top" wrapText="1"/>
    </xf>
    <xf numFmtId="0" fontId="34" fillId="6" borderId="2" xfId="0" applyFont="1" applyFill="1" applyBorder="1" applyAlignment="1">
      <alignment horizontal="left" vertical="top" wrapText="1"/>
    </xf>
    <xf numFmtId="170" fontId="34" fillId="0" borderId="4" xfId="0" applyNumberFormat="1" applyFont="1" applyBorder="1" applyAlignment="1">
      <alignment horizontal="left" vertical="top" wrapText="1"/>
    </xf>
    <xf numFmtId="0" fontId="105" fillId="13" borderId="21" xfId="0" applyFont="1" applyFill="1" applyBorder="1" applyAlignment="1">
      <alignment horizontal="left" vertical="top" wrapText="1"/>
    </xf>
    <xf numFmtId="0" fontId="105" fillId="14" borderId="21" xfId="0" applyFont="1" applyFill="1" applyBorder="1" applyAlignment="1">
      <alignment horizontal="left" vertical="top" wrapText="1"/>
    </xf>
    <xf numFmtId="0" fontId="105" fillId="10" borderId="21" xfId="0" applyFont="1" applyFill="1" applyBorder="1"/>
    <xf numFmtId="170" fontId="34" fillId="10" borderId="4" xfId="0" applyNumberFormat="1" applyFont="1" applyFill="1" applyBorder="1" applyAlignment="1">
      <alignment horizontal="left" vertical="top"/>
    </xf>
    <xf numFmtId="170" fontId="34" fillId="0" borderId="4" xfId="123" applyFont="1" applyFill="1" applyBorder="1" applyAlignment="1">
      <alignment horizontal="left" vertical="top" wrapText="1"/>
    </xf>
    <xf numFmtId="0" fontId="105" fillId="0" borderId="0" xfId="0" applyFont="1" applyAlignment="1">
      <alignment horizontal="left" vertical="top" wrapText="1"/>
    </xf>
    <xf numFmtId="0" fontId="105" fillId="6" borderId="4" xfId="0" applyFont="1" applyFill="1" applyBorder="1" applyAlignment="1">
      <alignment horizontal="left" vertical="top" wrapText="1"/>
    </xf>
    <xf numFmtId="0" fontId="105" fillId="13" borderId="21" xfId="0" applyFont="1" applyFill="1" applyBorder="1" applyAlignment="1" applyProtection="1">
      <alignment horizontal="left" vertical="top" wrapText="1"/>
      <protection locked="0"/>
    </xf>
    <xf numFmtId="176" fontId="34" fillId="13" borderId="21" xfId="116" applyNumberFormat="1" applyFont="1" applyFill="1" applyBorder="1" applyAlignment="1">
      <alignment horizontal="left" vertical="top" wrapText="1"/>
    </xf>
    <xf numFmtId="0" fontId="113" fillId="0" borderId="21" xfId="116" applyNumberFormat="1" applyFont="1" applyFill="1" applyBorder="1" applyAlignment="1">
      <alignment horizontal="center" vertical="center" wrapText="1"/>
    </xf>
    <xf numFmtId="4" fontId="35" fillId="0" borderId="0" xfId="116" applyNumberFormat="1" applyFont="1" applyFill="1" applyBorder="1" applyAlignment="1" applyProtection="1">
      <alignment horizontal="center" vertical="center" wrapText="1"/>
      <protection locked="0"/>
    </xf>
    <xf numFmtId="0" fontId="35" fillId="0" borderId="0" xfId="116" applyNumberFormat="1" applyFont="1" applyFill="1" applyAlignment="1">
      <alignment horizontal="right"/>
    </xf>
    <xf numFmtId="0" fontId="35" fillId="10" borderId="0" xfId="116" applyNumberFormat="1" applyFont="1" applyFill="1" applyAlignment="1">
      <alignment vertical="center"/>
    </xf>
    <xf numFmtId="0" fontId="35" fillId="0" borderId="0" xfId="116" applyNumberFormat="1" applyFont="1" applyFill="1" applyAlignment="1">
      <alignment horizontal="right" vertical="center"/>
    </xf>
    <xf numFmtId="0" fontId="35" fillId="15" borderId="0" xfId="116" applyNumberFormat="1" applyFont="1" applyFill="1" applyAlignment="1">
      <alignment horizontal="right" vertical="center"/>
    </xf>
    <xf numFmtId="0" fontId="35" fillId="15" borderId="0" xfId="116" applyNumberFormat="1" applyFont="1" applyFill="1" applyAlignment="1">
      <alignment vertical="center"/>
    </xf>
    <xf numFmtId="170" fontId="35" fillId="0" borderId="0" xfId="116" applyFont="1" applyFill="1" applyAlignment="1"/>
    <xf numFmtId="181" fontId="35" fillId="0" borderId="2" xfId="116" applyNumberFormat="1" applyFont="1" applyFill="1" applyBorder="1" applyAlignment="1" applyProtection="1">
      <alignment vertical="center"/>
      <protection locked="0"/>
    </xf>
    <xf numFmtId="176" fontId="35" fillId="2" borderId="2" xfId="116" applyNumberFormat="1" applyFont="1" applyFill="1" applyBorder="1" applyAlignment="1">
      <alignment horizontal="center" vertical="center" wrapText="1"/>
    </xf>
    <xf numFmtId="2" fontId="35" fillId="0" borderId="0" xfId="116" applyNumberFormat="1" applyFont="1" applyFill="1" applyAlignment="1">
      <alignment horizontal="center" vertical="center"/>
    </xf>
    <xf numFmtId="2" fontId="35" fillId="0" borderId="0" xfId="116" applyNumberFormat="1" applyFont="1" applyFill="1" applyAlignment="1">
      <alignment vertical="center"/>
    </xf>
    <xf numFmtId="0" fontId="36" fillId="0" borderId="0" xfId="116" applyNumberFormat="1" applyFont="1" applyFill="1" applyAlignment="1">
      <alignment horizontal="center" vertical="center"/>
    </xf>
    <xf numFmtId="0" fontId="127" fillId="0" borderId="0" xfId="0" applyFont="1"/>
    <xf numFmtId="0" fontId="128" fillId="6" borderId="0" xfId="122" applyNumberFormat="1" applyFont="1" applyFill="1" applyAlignment="1">
      <alignment horizontal="left" vertical="center"/>
    </xf>
    <xf numFmtId="0" fontId="50" fillId="6" borderId="0" xfId="122" applyNumberFormat="1" applyFont="1" applyFill="1" applyAlignment="1">
      <alignment horizontal="left" vertical="center" wrapText="1"/>
    </xf>
    <xf numFmtId="0" fontId="129" fillId="2" borderId="0" xfId="122" applyNumberFormat="1" applyFont="1" applyFill="1" applyAlignment="1">
      <alignment horizontal="left" vertical="center" wrapText="1"/>
    </xf>
    <xf numFmtId="0" fontId="50" fillId="2" borderId="0" xfId="122" applyNumberFormat="1" applyFont="1" applyFill="1" applyBorder="1" applyAlignment="1">
      <alignment vertical="center"/>
    </xf>
    <xf numFmtId="0" fontId="50" fillId="0" borderId="0" xfId="122" applyNumberFormat="1" applyFont="1" applyFill="1" applyBorder="1" applyAlignment="1">
      <alignment vertical="center"/>
    </xf>
    <xf numFmtId="0" fontId="77" fillId="0" borderId="0" xfId="122" applyNumberFormat="1" applyFont="1" applyFill="1" applyAlignment="1">
      <alignment vertical="center"/>
    </xf>
    <xf numFmtId="0" fontId="77" fillId="0" borderId="0" xfId="122" applyNumberFormat="1" applyFont="1" applyFill="1" applyAlignment="1">
      <alignment horizontal="center" vertical="center"/>
    </xf>
    <xf numFmtId="0" fontId="50" fillId="0" borderId="0" xfId="122" applyNumberFormat="1" applyFont="1" applyFill="1" applyBorder="1" applyAlignment="1">
      <alignment horizontal="left" vertical="center"/>
    </xf>
    <xf numFmtId="0" fontId="50" fillId="0" borderId="0" xfId="122" applyNumberFormat="1" applyFont="1" applyFill="1" applyAlignment="1">
      <alignment vertical="center"/>
    </xf>
    <xf numFmtId="0" fontId="81" fillId="0" borderId="0" xfId="122" applyNumberFormat="1" applyFont="1" applyFill="1" applyBorder="1" applyAlignment="1">
      <alignment vertical="center"/>
    </xf>
    <xf numFmtId="0" fontId="130" fillId="0" borderId="0" xfId="122" applyNumberFormat="1" applyFont="1" applyFill="1" applyBorder="1" applyAlignment="1">
      <alignment vertical="center"/>
    </xf>
    <xf numFmtId="0" fontId="50" fillId="0" borderId="0" xfId="122" applyNumberFormat="1" applyFont="1" applyFill="1" applyBorder="1" applyAlignment="1">
      <alignment horizontal="center" vertical="center" wrapText="1"/>
    </xf>
    <xf numFmtId="0" fontId="81" fillId="0" borderId="0" xfId="122" applyNumberFormat="1" applyFont="1" applyFill="1" applyAlignment="1">
      <alignment horizontal="right" vertical="center"/>
    </xf>
    <xf numFmtId="0" fontId="50" fillId="0" borderId="2" xfId="122" applyNumberFormat="1" applyFont="1" applyFill="1" applyBorder="1" applyAlignment="1">
      <alignment horizontal="center" vertical="center" wrapText="1"/>
    </xf>
    <xf numFmtId="0" fontId="50" fillId="0" borderId="2" xfId="122" applyNumberFormat="1" applyFont="1" applyFill="1" applyBorder="1" applyAlignment="1">
      <alignment horizontal="center" vertical="center"/>
    </xf>
    <xf numFmtId="0" fontId="77" fillId="0" borderId="2" xfId="122" applyNumberFormat="1" applyFont="1" applyFill="1" applyBorder="1" applyAlignment="1">
      <alignment horizontal="center" vertical="center" wrapText="1"/>
    </xf>
    <xf numFmtId="0" fontId="77" fillId="0" borderId="2" xfId="122" applyNumberFormat="1" applyFont="1" applyFill="1" applyBorder="1" applyAlignment="1">
      <alignment vertical="center" wrapText="1"/>
    </xf>
    <xf numFmtId="3" fontId="77" fillId="0" borderId="2" xfId="122" applyNumberFormat="1" applyFont="1" applyFill="1" applyBorder="1" applyAlignment="1">
      <alignment horizontal="right" vertical="center" wrapText="1"/>
    </xf>
    <xf numFmtId="2" fontId="117" fillId="0" borderId="2" xfId="0" applyNumberFormat="1" applyFont="1" applyBorder="1"/>
    <xf numFmtId="4" fontId="77" fillId="0" borderId="2" xfId="122" applyNumberFormat="1" applyFont="1" applyFill="1" applyBorder="1" applyAlignment="1">
      <alignment horizontal="right" vertical="center"/>
    </xf>
    <xf numFmtId="171" fontId="77" fillId="0" borderId="2" xfId="122" applyNumberFormat="1" applyFont="1" applyFill="1" applyBorder="1" applyAlignment="1">
      <alignment horizontal="right" vertical="center" wrapText="1"/>
    </xf>
    <xf numFmtId="3" fontId="77" fillId="0" borderId="2" xfId="122" applyNumberFormat="1" applyFont="1" applyFill="1" applyBorder="1" applyAlignment="1">
      <alignment vertical="center" wrapText="1"/>
    </xf>
    <xf numFmtId="0" fontId="50" fillId="0" borderId="2" xfId="122" applyNumberFormat="1" applyFont="1" applyFill="1" applyBorder="1" applyAlignment="1">
      <alignment vertical="center" wrapText="1"/>
    </xf>
    <xf numFmtId="3" fontId="50" fillId="0" borderId="2" xfId="122" applyNumberFormat="1" applyFont="1" applyFill="1" applyBorder="1" applyAlignment="1">
      <alignment horizontal="right" vertical="center" wrapText="1"/>
    </xf>
    <xf numFmtId="4" fontId="50" fillId="0" borderId="2" xfId="122" applyNumberFormat="1" applyFont="1" applyFill="1" applyBorder="1" applyAlignment="1">
      <alignment horizontal="right" vertical="center" wrapText="1"/>
    </xf>
    <xf numFmtId="0" fontId="77" fillId="2" borderId="0" xfId="122" applyNumberFormat="1" applyFont="1" applyFill="1" applyAlignment="1">
      <alignment vertical="center"/>
    </xf>
    <xf numFmtId="0" fontId="77" fillId="2" borderId="0" xfId="122" applyNumberFormat="1" applyFont="1" applyFill="1" applyAlignment="1">
      <alignment horizontal="center" vertical="center"/>
    </xf>
    <xf numFmtId="3" fontId="35" fillId="0" borderId="0" xfId="116" applyNumberFormat="1" applyFont="1" applyFill="1" applyAlignment="1">
      <alignment vertical="center"/>
    </xf>
    <xf numFmtId="3" fontId="35" fillId="0" borderId="0" xfId="116" applyNumberFormat="1" applyFont="1" applyFill="1" applyAlignment="1">
      <alignment horizontal="center" vertical="center"/>
    </xf>
    <xf numFmtId="4" fontId="4" fillId="0" borderId="2" xfId="116" applyNumberFormat="1" applyFont="1" applyFill="1" applyBorder="1" applyAlignment="1" applyProtection="1">
      <alignment horizontal="center" vertical="center" wrapText="1"/>
      <protection locked="0"/>
    </xf>
    <xf numFmtId="171" fontId="4" fillId="0" borderId="2" xfId="122" applyNumberFormat="1" applyFont="1" applyFill="1" applyBorder="1" applyAlignment="1">
      <alignment horizontal="right" vertical="center" wrapText="1"/>
    </xf>
    <xf numFmtId="171" fontId="77" fillId="0" borderId="2" xfId="122" applyNumberFormat="1" applyFont="1" applyFill="1" applyBorder="1" applyAlignment="1">
      <alignment horizontal="center" vertical="center" wrapText="1"/>
    </xf>
    <xf numFmtId="171" fontId="4" fillId="0" borderId="2" xfId="122" applyNumberFormat="1" applyFont="1" applyFill="1" applyBorder="1" applyAlignment="1">
      <alignment horizontal="center" vertical="center" wrapText="1"/>
    </xf>
    <xf numFmtId="0" fontId="110" fillId="0" borderId="0" xfId="122" applyNumberFormat="1" applyFont="1" applyFill="1" applyAlignment="1">
      <alignment horizontal="left" vertical="center"/>
    </xf>
    <xf numFmtId="0" fontId="8" fillId="0" borderId="0" xfId="122" applyNumberFormat="1" applyFont="1" applyFill="1" applyAlignment="1">
      <alignment horizontal="left" vertical="center" wrapText="1"/>
    </xf>
    <xf numFmtId="0" fontId="131" fillId="0" borderId="0" xfId="122" applyNumberFormat="1" applyFont="1" applyFill="1" applyAlignment="1">
      <alignment horizontal="left" vertical="center" wrapText="1"/>
    </xf>
    <xf numFmtId="0" fontId="8" fillId="0" borderId="0" xfId="122" applyNumberFormat="1" applyFont="1" applyFill="1" applyBorder="1" applyAlignment="1">
      <alignment vertical="center"/>
    </xf>
    <xf numFmtId="0" fontId="4" fillId="0" borderId="0" xfId="122" applyNumberFormat="1" applyFont="1" applyFill="1" applyAlignment="1">
      <alignment vertical="center"/>
    </xf>
    <xf numFmtId="0" fontId="4" fillId="0" borderId="0" xfId="122" applyNumberFormat="1" applyFont="1" applyFill="1" applyAlignment="1">
      <alignment horizontal="center" vertical="center"/>
    </xf>
    <xf numFmtId="0" fontId="8" fillId="0" borderId="0" xfId="122" applyNumberFormat="1" applyFont="1" applyFill="1" applyBorder="1" applyAlignment="1">
      <alignment horizontal="left" vertical="center"/>
    </xf>
    <xf numFmtId="0" fontId="8" fillId="0" borderId="0" xfId="122" applyNumberFormat="1" applyFont="1" applyFill="1" applyAlignment="1">
      <alignment vertical="center"/>
    </xf>
    <xf numFmtId="0" fontId="33" fillId="0" borderId="0" xfId="122" applyNumberFormat="1" applyFont="1" applyFill="1" applyBorder="1" applyAlignment="1">
      <alignment vertical="center"/>
    </xf>
    <xf numFmtId="0" fontId="132" fillId="0" borderId="0" xfId="122" applyNumberFormat="1" applyFont="1" applyFill="1" applyBorder="1" applyAlignment="1">
      <alignment vertical="center"/>
    </xf>
    <xf numFmtId="0" fontId="8" fillId="0" borderId="0" xfId="122" applyNumberFormat="1" applyFont="1" applyFill="1" applyBorder="1" applyAlignment="1">
      <alignment horizontal="center" vertical="center" wrapText="1"/>
    </xf>
    <xf numFmtId="0" fontId="33" fillId="0" borderId="0" xfId="122" applyNumberFormat="1" applyFont="1" applyFill="1" applyAlignment="1">
      <alignment horizontal="right" vertical="center"/>
    </xf>
    <xf numFmtId="0" fontId="8" fillId="0" borderId="2" xfId="122" applyNumberFormat="1" applyFont="1" applyFill="1" applyBorder="1" applyAlignment="1">
      <alignment horizontal="center" vertical="center" wrapText="1"/>
    </xf>
    <xf numFmtId="0" fontId="4" fillId="0" borderId="2" xfId="122" applyNumberFormat="1" applyFont="1" applyFill="1" applyBorder="1" applyAlignment="1">
      <alignment horizontal="center" vertical="center" wrapText="1"/>
    </xf>
    <xf numFmtId="0" fontId="4" fillId="0" borderId="2" xfId="122" applyNumberFormat="1" applyFont="1" applyFill="1" applyBorder="1" applyAlignment="1">
      <alignment vertical="center" wrapText="1"/>
    </xf>
    <xf numFmtId="3" fontId="4" fillId="0" borderId="2" xfId="122" applyNumberFormat="1" applyFont="1" applyFill="1" applyBorder="1" applyAlignment="1">
      <alignment horizontal="right" vertical="center" wrapText="1"/>
    </xf>
    <xf numFmtId="3" fontId="4" fillId="0" borderId="2" xfId="122" applyNumberFormat="1" applyFont="1" applyFill="1" applyBorder="1" applyAlignment="1">
      <alignment horizontal="right" vertical="center"/>
    </xf>
    <xf numFmtId="3" fontId="4" fillId="0" borderId="2" xfId="122" applyNumberFormat="1" applyFont="1" applyFill="1" applyBorder="1" applyAlignment="1">
      <alignment vertical="center" wrapText="1"/>
    </xf>
    <xf numFmtId="0" fontId="8" fillId="0" borderId="2" xfId="122" applyNumberFormat="1" applyFont="1" applyFill="1" applyBorder="1" applyAlignment="1">
      <alignment vertical="center" wrapText="1"/>
    </xf>
    <xf numFmtId="3" fontId="8" fillId="0" borderId="2" xfId="122" applyNumberFormat="1" applyFont="1" applyFill="1" applyBorder="1" applyAlignment="1">
      <alignment horizontal="right" vertical="center" wrapText="1"/>
    </xf>
    <xf numFmtId="4" fontId="8" fillId="0" borderId="2" xfId="122" applyNumberFormat="1" applyFont="1" applyFill="1" applyBorder="1" applyAlignment="1">
      <alignment horizontal="right" vertical="center" wrapText="1"/>
    </xf>
    <xf numFmtId="2" fontId="36" fillId="0" borderId="0" xfId="116" applyNumberFormat="1" applyFont="1" applyFill="1" applyAlignment="1">
      <alignment vertical="center"/>
    </xf>
    <xf numFmtId="176" fontId="36" fillId="0" borderId="0" xfId="116" applyNumberFormat="1" applyFont="1" applyFill="1" applyAlignment="1">
      <alignment horizontal="center" vertical="center"/>
    </xf>
    <xf numFmtId="176" fontId="8" fillId="6" borderId="0" xfId="122" applyNumberFormat="1" applyFont="1" applyFill="1" applyAlignment="1">
      <alignment horizontal="center" wrapText="1"/>
    </xf>
    <xf numFmtId="176" fontId="8" fillId="6" borderId="0" xfId="122" applyNumberFormat="1" applyFont="1" applyFill="1" applyAlignment="1">
      <alignment horizontal="left" wrapText="1"/>
    </xf>
    <xf numFmtId="49" fontId="131" fillId="2" borderId="0" xfId="122" applyNumberFormat="1" applyFont="1" applyFill="1" applyAlignment="1">
      <alignment horizontal="left" wrapText="1"/>
    </xf>
    <xf numFmtId="176" fontId="4" fillId="2" borderId="0" xfId="122" applyNumberFormat="1" applyFont="1" applyFill="1" applyAlignment="1"/>
    <xf numFmtId="170" fontId="4" fillId="2" borderId="0" xfId="122" applyFont="1" applyFill="1" applyAlignment="1"/>
    <xf numFmtId="176" fontId="110" fillId="6" borderId="0" xfId="122" applyNumberFormat="1" applyFont="1" applyFill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176" fontId="4" fillId="0" borderId="0" xfId="122" applyNumberFormat="1" applyFont="1" applyFill="1" applyAlignment="1"/>
    <xf numFmtId="170" fontId="4" fillId="0" borderId="0" xfId="122" applyFont="1" applyFill="1" applyAlignment="1"/>
    <xf numFmtId="170" fontId="82" fillId="0" borderId="3" xfId="122" applyFont="1" applyFill="1" applyBorder="1" applyAlignment="1">
      <alignment horizontal="center"/>
    </xf>
    <xf numFmtId="1" fontId="4" fillId="0" borderId="4" xfId="27" applyNumberFormat="1" applyFont="1" applyBorder="1" applyAlignment="1">
      <alignment horizontal="center"/>
    </xf>
    <xf numFmtId="0" fontId="4" fillId="0" borderId="6" xfId="27" applyFont="1" applyBorder="1" applyAlignment="1">
      <alignment horizontal="left" wrapText="1"/>
    </xf>
    <xf numFmtId="179" fontId="4" fillId="0" borderId="4" xfId="27" applyNumberFormat="1" applyFont="1" applyBorder="1" applyAlignment="1">
      <alignment horizontal="right"/>
    </xf>
    <xf numFmtId="3" fontId="4" fillId="0" borderId="4" xfId="27" applyNumberFormat="1" applyFont="1" applyBorder="1" applyAlignment="1">
      <alignment horizontal="right"/>
    </xf>
    <xf numFmtId="4" fontId="4" fillId="0" borderId="4" xfId="27" applyNumberFormat="1" applyFont="1" applyBorder="1" applyAlignment="1">
      <alignment horizontal="right"/>
    </xf>
    <xf numFmtId="176" fontId="4" fillId="0" borderId="4" xfId="122" applyNumberFormat="1" applyFont="1" applyFill="1" applyBorder="1" applyAlignment="1">
      <alignment horizontal="right"/>
    </xf>
    <xf numFmtId="170" fontId="4" fillId="0" borderId="4" xfId="122" applyFont="1" applyFill="1" applyBorder="1" applyAlignment="1">
      <alignment horizontal="right"/>
    </xf>
    <xf numFmtId="2" fontId="4" fillId="0" borderId="2" xfId="0" applyNumberFormat="1" applyFont="1" applyBorder="1"/>
    <xf numFmtId="176" fontId="117" fillId="0" borderId="2" xfId="116" applyNumberFormat="1" applyFont="1" applyFill="1" applyBorder="1"/>
    <xf numFmtId="1" fontId="4" fillId="0" borderId="2" xfId="27" applyNumberFormat="1" applyFont="1" applyBorder="1" applyAlignment="1">
      <alignment horizontal="center"/>
    </xf>
    <xf numFmtId="176" fontId="4" fillId="0" borderId="2" xfId="122" applyNumberFormat="1" applyFont="1" applyFill="1" applyBorder="1" applyAlignment="1"/>
    <xf numFmtId="0" fontId="8" fillId="0" borderId="6" xfId="27" applyFont="1" applyBorder="1"/>
    <xf numFmtId="0" fontId="8" fillId="0" borderId="2" xfId="27" applyFont="1" applyBorder="1"/>
    <xf numFmtId="0" fontId="117" fillId="0" borderId="2" xfId="0" applyFont="1" applyBorder="1"/>
    <xf numFmtId="176" fontId="8" fillId="0" borderId="2" xfId="122" applyNumberFormat="1" applyFont="1" applyFill="1" applyBorder="1" applyAlignment="1">
      <alignment horizontal="right"/>
    </xf>
    <xf numFmtId="170" fontId="4" fillId="0" borderId="2" xfId="122" applyFont="1" applyFill="1" applyBorder="1" applyAlignment="1">
      <alignment horizontal="right"/>
    </xf>
    <xf numFmtId="176" fontId="110" fillId="0" borderId="2" xfId="116" applyNumberFormat="1" applyFont="1" applyFill="1" applyBorder="1"/>
    <xf numFmtId="176" fontId="4" fillId="6" borderId="0" xfId="122" applyNumberFormat="1" applyFont="1" applyFill="1" applyAlignment="1"/>
    <xf numFmtId="0" fontId="8" fillId="6" borderId="0" xfId="27" applyFont="1" applyFill="1"/>
    <xf numFmtId="170" fontId="4" fillId="6" borderId="0" xfId="122" applyFont="1" applyFill="1" applyBorder="1" applyAlignment="1">
      <alignment horizontal="right"/>
    </xf>
    <xf numFmtId="179" fontId="0" fillId="0" borderId="0" xfId="0" applyNumberFormat="1"/>
    <xf numFmtId="0" fontId="36" fillId="0" borderId="2" xfId="116" applyNumberFormat="1" applyFont="1" applyFill="1" applyBorder="1" applyAlignment="1">
      <alignment vertical="center"/>
    </xf>
    <xf numFmtId="0" fontId="35" fillId="0" borderId="0" xfId="116" applyNumberFormat="1" applyFont="1" applyFill="1" applyAlignment="1">
      <alignment horizontal="center"/>
    </xf>
    <xf numFmtId="0" fontId="4" fillId="0" borderId="0" xfId="116" applyNumberFormat="1" applyFont="1" applyFill="1" applyAlignment="1">
      <alignment vertical="center"/>
    </xf>
    <xf numFmtId="0" fontId="3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7" fillId="0" borderId="0" xfId="0" applyFont="1" applyAlignment="1">
      <alignment vertical="center" wrapText="1"/>
    </xf>
    <xf numFmtId="0" fontId="8" fillId="0" borderId="0" xfId="116" applyNumberFormat="1" applyFont="1" applyFill="1" applyBorder="1" applyAlignment="1">
      <alignment vertical="center"/>
    </xf>
    <xf numFmtId="3" fontId="8" fillId="0" borderId="2" xfId="116" applyNumberFormat="1" applyFont="1" applyFill="1" applyBorder="1" applyAlignment="1">
      <alignment horizontal="center" vertical="center" wrapText="1"/>
    </xf>
    <xf numFmtId="0" fontId="8" fillId="0" borderId="0" xfId="116" applyNumberFormat="1" applyFont="1" applyFill="1" applyBorder="1" applyAlignment="1">
      <alignment horizontal="right" vertical="center" wrapText="1"/>
    </xf>
    <xf numFmtId="0" fontId="4" fillId="0" borderId="0" xfId="122" applyNumberFormat="1" applyFont="1" applyFill="1" applyAlignment="1" applyProtection="1">
      <alignment vertical="center"/>
      <protection locked="0"/>
    </xf>
    <xf numFmtId="0" fontId="133" fillId="0" borderId="0" xfId="116" applyNumberFormat="1" applyFont="1" applyFill="1" applyAlignment="1">
      <alignment vertical="center"/>
    </xf>
    <xf numFmtId="0" fontId="133" fillId="0" borderId="0" xfId="0" applyFont="1" applyAlignment="1">
      <alignment vertical="center"/>
    </xf>
    <xf numFmtId="0" fontId="132" fillId="0" borderId="0" xfId="0" applyFont="1" applyAlignment="1">
      <alignment vertical="center" wrapText="1"/>
    </xf>
    <xf numFmtId="0" fontId="132" fillId="0" borderId="0" xfId="116" applyNumberFormat="1" applyFont="1" applyFill="1" applyBorder="1" applyAlignment="1">
      <alignment vertical="center"/>
    </xf>
    <xf numFmtId="4" fontId="133" fillId="0" borderId="2" xfId="116" applyNumberFormat="1" applyFont="1" applyFill="1" applyBorder="1" applyAlignment="1">
      <alignment horizontal="right" vertical="center" wrapText="1"/>
    </xf>
    <xf numFmtId="0" fontId="132" fillId="0" borderId="0" xfId="116" applyNumberFormat="1" applyFont="1" applyFill="1" applyBorder="1" applyAlignment="1">
      <alignment horizontal="right" vertical="center" wrapText="1"/>
    </xf>
    <xf numFmtId="0" fontId="134" fillId="0" borderId="0" xfId="0" applyFont="1"/>
    <xf numFmtId="0" fontId="4" fillId="0" borderId="0" xfId="116" applyNumberFormat="1" applyFont="1" applyFill="1" applyAlignment="1">
      <alignment horizontal="center" vertical="center"/>
    </xf>
    <xf numFmtId="0" fontId="8" fillId="0" borderId="0" xfId="116" applyNumberFormat="1" applyFont="1" applyFill="1" applyAlignment="1">
      <alignment horizontal="center" vertical="center"/>
    </xf>
    <xf numFmtId="0" fontId="133" fillId="0" borderId="0" xfId="116" applyNumberFormat="1" applyFont="1" applyFill="1" applyAlignment="1">
      <alignment horizontal="center" vertical="center"/>
    </xf>
    <xf numFmtId="2" fontId="4" fillId="0" borderId="0" xfId="116" applyNumberFormat="1" applyFont="1" applyFill="1" applyAlignment="1">
      <alignment vertical="center"/>
    </xf>
    <xf numFmtId="3" fontId="50" fillId="0" borderId="2" xfId="122" applyNumberFormat="1" applyFont="1" applyFill="1" applyBorder="1" applyAlignment="1">
      <alignment vertical="center" wrapText="1"/>
    </xf>
    <xf numFmtId="0" fontId="106" fillId="0" borderId="2" xfId="0" applyFont="1" applyBorder="1" applyAlignment="1">
      <alignment vertical="center"/>
    </xf>
    <xf numFmtId="178" fontId="35" fillId="0" borderId="0" xfId="116" applyNumberFormat="1" applyFont="1" applyFill="1" applyAlignment="1">
      <alignment horizontal="center"/>
    </xf>
    <xf numFmtId="0" fontId="128" fillId="0" borderId="0" xfId="0" applyFont="1"/>
    <xf numFmtId="176" fontId="50" fillId="6" borderId="0" xfId="122" applyNumberFormat="1" applyFont="1" applyFill="1" applyAlignment="1">
      <alignment horizontal="left" vertical="center"/>
    </xf>
    <xf numFmtId="0" fontId="135" fillId="0" borderId="0" xfId="0" applyFont="1"/>
    <xf numFmtId="0" fontId="136" fillId="0" borderId="0" xfId="0" applyFont="1" applyAlignment="1">
      <alignment horizontal="center"/>
    </xf>
    <xf numFmtId="49" fontId="47" fillId="0" borderId="0" xfId="0" applyNumberFormat="1" applyFont="1" applyAlignment="1">
      <alignment horizontal="center" vertical="center"/>
    </xf>
    <xf numFmtId="176" fontId="47" fillId="0" borderId="0" xfId="122" applyNumberFormat="1" applyFont="1" applyFill="1" applyAlignment="1" applyProtection="1">
      <alignment horizontal="left" vertical="center"/>
      <protection locked="0"/>
    </xf>
    <xf numFmtId="0" fontId="136" fillId="0" borderId="0" xfId="0" applyFont="1" applyProtection="1">
      <protection locked="0"/>
    </xf>
    <xf numFmtId="0" fontId="135" fillId="0" borderId="0" xfId="0" applyFont="1" applyProtection="1">
      <protection locked="0"/>
    </xf>
    <xf numFmtId="0" fontId="83" fillId="0" borderId="0" xfId="0" applyFont="1"/>
    <xf numFmtId="0" fontId="136" fillId="0" borderId="0" xfId="0" applyFont="1"/>
    <xf numFmtId="0" fontId="83" fillId="0" borderId="0" xfId="0" applyFont="1" applyAlignment="1" applyProtection="1">
      <alignment vertical="center"/>
      <protection locked="0"/>
    </xf>
    <xf numFmtId="0" fontId="84" fillId="0" borderId="0" xfId="0" applyFont="1" applyAlignment="1">
      <alignment vertical="center"/>
    </xf>
    <xf numFmtId="0" fontId="136" fillId="0" borderId="0" xfId="0" applyFont="1" applyAlignment="1">
      <alignment horizontal="left"/>
    </xf>
    <xf numFmtId="0" fontId="47" fillId="0" borderId="2" xfId="0" applyFont="1" applyBorder="1" applyAlignment="1">
      <alignment horizontal="center" vertical="center"/>
    </xf>
    <xf numFmtId="1" fontId="31" fillId="0" borderId="4" xfId="0" applyNumberFormat="1" applyFont="1" applyBorder="1" applyAlignment="1" applyProtection="1">
      <alignment horizontal="center"/>
      <protection locked="0"/>
    </xf>
    <xf numFmtId="0" fontId="31" fillId="0" borderId="2" xfId="27" applyFont="1" applyBorder="1" applyAlignment="1">
      <alignment vertical="center" wrapText="1"/>
    </xf>
    <xf numFmtId="176" fontId="31" fillId="0" borderId="2" xfId="116" applyNumberFormat="1" applyFont="1" applyFill="1" applyBorder="1" applyAlignment="1">
      <alignment vertical="center" wrapText="1"/>
    </xf>
    <xf numFmtId="1" fontId="31" fillId="0" borderId="4" xfId="0" applyNumberFormat="1" applyFont="1" applyBorder="1" applyAlignment="1" applyProtection="1">
      <alignment horizontal="center" vertical="center"/>
      <protection locked="0"/>
    </xf>
    <xf numFmtId="3" fontId="31" fillId="0" borderId="4" xfId="0" applyNumberFormat="1" applyFont="1" applyBorder="1" applyAlignment="1">
      <alignment horizontal="center" vertical="center"/>
    </xf>
    <xf numFmtId="3" fontId="31" fillId="0" borderId="4" xfId="0" applyNumberFormat="1" applyFont="1" applyBorder="1" applyAlignment="1">
      <alignment horizontal="right"/>
    </xf>
    <xf numFmtId="4" fontId="31" fillId="0" borderId="4" xfId="0" applyNumberFormat="1" applyFont="1" applyBorder="1" applyAlignment="1">
      <alignment horizontal="center"/>
    </xf>
    <xf numFmtId="0" fontId="31" fillId="0" borderId="4" xfId="0" applyFont="1" applyBorder="1" applyAlignment="1">
      <alignment horizontal="right"/>
    </xf>
    <xf numFmtId="176" fontId="31" fillId="0" borderId="4" xfId="116" applyNumberFormat="1" applyFont="1" applyBorder="1" applyAlignment="1">
      <alignment horizontal="center" vertical="center"/>
    </xf>
    <xf numFmtId="0" fontId="31" fillId="0" borderId="4" xfId="0" applyFont="1" applyBorder="1" applyAlignment="1" applyProtection="1">
      <alignment horizontal="left" vertical="center" wrapText="1"/>
      <protection locked="0"/>
    </xf>
    <xf numFmtId="0" fontId="31" fillId="0" borderId="4" xfId="0" applyFont="1" applyBorder="1" applyAlignment="1" applyProtection="1">
      <alignment horizontal="left" vertical="top" wrapText="1"/>
      <protection locked="0"/>
    </xf>
    <xf numFmtId="176" fontId="31" fillId="0" borderId="4" xfId="116" applyNumberFormat="1" applyFont="1" applyBorder="1" applyAlignment="1" applyProtection="1">
      <alignment horizontal="center" vertical="center"/>
      <protection locked="0"/>
    </xf>
    <xf numFmtId="0" fontId="31" fillId="0" borderId="4" xfId="0" applyFont="1" applyBorder="1" applyAlignment="1" applyProtection="1">
      <alignment horizontal="center" vertical="top" wrapText="1"/>
      <protection locked="0"/>
    </xf>
    <xf numFmtId="4" fontId="31" fillId="0" borderId="4" xfId="0" applyNumberFormat="1" applyFont="1" applyBorder="1" applyAlignment="1">
      <alignment horizontal="center" vertical="center"/>
    </xf>
    <xf numFmtId="176" fontId="31" fillId="10" borderId="4" xfId="116" applyNumberFormat="1" applyFont="1" applyFill="1" applyBorder="1" applyAlignment="1" applyProtection="1">
      <alignment horizontal="center" vertical="center"/>
      <protection locked="0"/>
    </xf>
    <xf numFmtId="0" fontId="31" fillId="0" borderId="2" xfId="27" applyFont="1" applyBorder="1" applyAlignment="1">
      <alignment wrapText="1"/>
    </xf>
    <xf numFmtId="0" fontId="31" fillId="0" borderId="2" xfId="0" applyFont="1" applyBorder="1" applyAlignment="1">
      <alignment wrapText="1"/>
    </xf>
    <xf numFmtId="0" fontId="31" fillId="0" borderId="2" xfId="0" applyFont="1" applyBorder="1"/>
    <xf numFmtId="1" fontId="31" fillId="0" borderId="2" xfId="0" applyNumberFormat="1" applyFont="1" applyBorder="1" applyAlignment="1" applyProtection="1">
      <alignment horizontal="center"/>
      <protection locked="0"/>
    </xf>
    <xf numFmtId="0" fontId="47" fillId="0" borderId="2" xfId="0" applyFont="1" applyBorder="1" applyAlignment="1">
      <alignment horizontal="left" wrapText="1"/>
    </xf>
    <xf numFmtId="176" fontId="31" fillId="0" borderId="2" xfId="116" applyNumberFormat="1" applyFont="1" applyBorder="1" applyAlignment="1">
      <alignment horizontal="right"/>
    </xf>
    <xf numFmtId="1" fontId="31" fillId="0" borderId="2" xfId="0" applyNumberFormat="1" applyFont="1" applyBorder="1" applyAlignment="1">
      <alignment horizontal="right"/>
    </xf>
    <xf numFmtId="4" fontId="47" fillId="0" borderId="2" xfId="0" applyNumberFormat="1" applyFont="1" applyBorder="1" applyAlignment="1">
      <alignment horizontal="center"/>
    </xf>
    <xf numFmtId="1" fontId="31" fillId="0" borderId="0" xfId="0" applyNumberFormat="1" applyFont="1" applyAlignment="1">
      <alignment horizontal="center"/>
    </xf>
    <xf numFmtId="0" fontId="31" fillId="0" borderId="0" xfId="0" applyFont="1" applyAlignment="1">
      <alignment horizontal="left" wrapText="1"/>
    </xf>
    <xf numFmtId="4" fontId="31" fillId="0" borderId="0" xfId="0" applyNumberFormat="1" applyFont="1" applyAlignment="1">
      <alignment horizontal="right"/>
    </xf>
    <xf numFmtId="1" fontId="31" fillId="0" borderId="0" xfId="0" applyNumberFormat="1" applyFont="1" applyAlignment="1">
      <alignment horizontal="right"/>
    </xf>
    <xf numFmtId="0" fontId="31" fillId="0" borderId="0" xfId="0" applyFont="1" applyAlignment="1">
      <alignment horizontal="right"/>
    </xf>
    <xf numFmtId="176" fontId="47" fillId="0" borderId="0" xfId="122" applyNumberFormat="1" applyFont="1" applyFill="1" applyAlignment="1">
      <alignment vertical="center"/>
    </xf>
    <xf numFmtId="0" fontId="137" fillId="0" borderId="0" xfId="0" applyFont="1"/>
    <xf numFmtId="176" fontId="47" fillId="0" borderId="0" xfId="122" applyNumberFormat="1" applyFont="1" applyFill="1" applyAlignment="1">
      <alignment horizontal="left" vertical="center"/>
    </xf>
    <xf numFmtId="0" fontId="137" fillId="0" borderId="0" xfId="0" applyFont="1" applyProtection="1">
      <protection locked="0"/>
    </xf>
    <xf numFmtId="176" fontId="47" fillId="6" borderId="0" xfId="122" applyNumberFormat="1" applyFont="1" applyFill="1" applyAlignment="1">
      <alignment horizontal="left" vertical="center"/>
    </xf>
    <xf numFmtId="176" fontId="47" fillId="2" borderId="0" xfId="122" applyNumberFormat="1" applyFont="1" applyFill="1"/>
    <xf numFmtId="0" fontId="47" fillId="0" borderId="0" xfId="0" applyFont="1"/>
    <xf numFmtId="178" fontId="47" fillId="6" borderId="0" xfId="122" applyNumberFormat="1" applyFont="1" applyFill="1" applyAlignment="1">
      <alignment vertical="center"/>
    </xf>
    <xf numFmtId="178" fontId="47" fillId="6" borderId="0" xfId="122" applyNumberFormat="1" applyFont="1" applyFill="1" applyAlignment="1">
      <alignment horizontal="left" vertical="center"/>
    </xf>
    <xf numFmtId="0" fontId="138" fillId="0" borderId="0" xfId="0" applyFont="1"/>
    <xf numFmtId="180" fontId="35" fillId="0" borderId="0" xfId="116" applyNumberFormat="1" applyFont="1" applyFill="1" applyAlignment="1"/>
    <xf numFmtId="180" fontId="35" fillId="0" borderId="0" xfId="116" applyNumberFormat="1" applyFont="1" applyFill="1" applyAlignment="1">
      <alignment horizontal="center"/>
    </xf>
    <xf numFmtId="0" fontId="106" fillId="0" borderId="2" xfId="0" applyFont="1" applyBorder="1" applyAlignment="1">
      <alignment horizontal="center" vertical="center"/>
    </xf>
    <xf numFmtId="176" fontId="35" fillId="0" borderId="2" xfId="129" applyNumberFormat="1" applyFont="1" applyFill="1" applyBorder="1" applyAlignment="1" applyProtection="1">
      <alignment horizontal="center" vertical="center"/>
      <protection locked="0"/>
    </xf>
    <xf numFmtId="176" fontId="35" fillId="0" borderId="2" xfId="116" applyNumberFormat="1" applyFont="1" applyFill="1" applyBorder="1" applyAlignment="1"/>
    <xf numFmtId="176" fontId="35" fillId="0" borderId="2" xfId="116" applyNumberFormat="1" applyFont="1" applyFill="1" applyBorder="1" applyAlignment="1">
      <alignment horizontal="center"/>
    </xf>
    <xf numFmtId="178" fontId="35" fillId="0" borderId="2" xfId="116" applyNumberFormat="1" applyFont="1" applyFill="1" applyBorder="1" applyAlignment="1"/>
    <xf numFmtId="178" fontId="35" fillId="0" borderId="2" xfId="116" applyNumberFormat="1" applyFont="1" applyFill="1" applyBorder="1" applyAlignment="1">
      <alignment horizontal="center" vertical="center"/>
    </xf>
    <xf numFmtId="0" fontId="35" fillId="0" borderId="2" xfId="116" applyNumberFormat="1" applyFont="1" applyFill="1" applyBorder="1" applyAlignment="1">
      <alignment horizontal="center" vertical="center"/>
    </xf>
    <xf numFmtId="0" fontId="35" fillId="0" borderId="0" xfId="116" applyNumberFormat="1" applyFont="1" applyFill="1" applyBorder="1" applyAlignment="1">
      <alignment vertical="center"/>
    </xf>
    <xf numFmtId="2" fontId="35" fillId="0" borderId="2" xfId="116" applyNumberFormat="1" applyFont="1" applyFill="1" applyBorder="1" applyAlignment="1">
      <alignment vertical="center"/>
    </xf>
    <xf numFmtId="2" fontId="35" fillId="0" borderId="2" xfId="116" applyNumberFormat="1" applyFont="1" applyFill="1" applyBorder="1" applyAlignment="1">
      <alignment horizontal="center" vertical="center"/>
    </xf>
    <xf numFmtId="176" fontId="36" fillId="0" borderId="0" xfId="116" applyNumberFormat="1" applyFont="1" applyFill="1" applyAlignment="1"/>
    <xf numFmtId="170" fontId="82" fillId="0" borderId="3" xfId="122" applyFont="1" applyBorder="1" applyAlignment="1">
      <alignment horizontal="center"/>
    </xf>
    <xf numFmtId="2" fontId="4" fillId="0" borderId="4" xfId="27" applyNumberFormat="1" applyFont="1" applyBorder="1" applyAlignment="1">
      <alignment horizontal="right"/>
    </xf>
    <xf numFmtId="0" fontId="77" fillId="0" borderId="2" xfId="0" applyFont="1" applyBorder="1"/>
    <xf numFmtId="176" fontId="4" fillId="0" borderId="2" xfId="116" applyNumberFormat="1" applyFont="1" applyFill="1" applyBorder="1"/>
    <xf numFmtId="0" fontId="139" fillId="0" borderId="2" xfId="0" applyFont="1" applyBorder="1"/>
    <xf numFmtId="176" fontId="8" fillId="0" borderId="2" xfId="116" applyNumberFormat="1" applyFont="1" applyFill="1" applyBorder="1"/>
    <xf numFmtId="0" fontId="7" fillId="6" borderId="0" xfId="0" applyFont="1" applyFill="1" applyAlignment="1">
      <alignment horizontal="center"/>
    </xf>
    <xf numFmtId="176" fontId="4" fillId="6" borderId="0" xfId="122" applyNumberFormat="1" applyFont="1" applyFill="1" applyBorder="1" applyAlignment="1"/>
    <xf numFmtId="0" fontId="117" fillId="6" borderId="0" xfId="0" applyFont="1" applyFill="1"/>
    <xf numFmtId="0" fontId="82" fillId="6" borderId="0" xfId="0" applyFont="1" applyFill="1" applyAlignment="1">
      <alignment horizontal="center"/>
    </xf>
    <xf numFmtId="170" fontId="4" fillId="6" borderId="0" xfId="122" applyFont="1" applyFill="1" applyBorder="1" applyAlignment="1"/>
    <xf numFmtId="0" fontId="3" fillId="0" borderId="0" xfId="0" applyFont="1" applyAlignment="1">
      <alignment horizontal="left"/>
    </xf>
    <xf numFmtId="0" fontId="82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4" fontId="7" fillId="0" borderId="0" xfId="0" applyNumberFormat="1" applyFont="1" applyAlignment="1">
      <alignment vertical="center"/>
    </xf>
    <xf numFmtId="176" fontId="4" fillId="2" borderId="0" xfId="122" applyNumberFormat="1" applyFont="1" applyFill="1" applyAlignment="1">
      <alignment vertical="center"/>
    </xf>
    <xf numFmtId="170" fontId="4" fillId="2" borderId="0" xfId="122" applyFont="1" applyFill="1" applyAlignment="1">
      <alignment vertical="center"/>
    </xf>
    <xf numFmtId="176" fontId="35" fillId="0" borderId="2" xfId="116" applyNumberFormat="1" applyFont="1" applyFill="1" applyBorder="1" applyAlignment="1">
      <alignment horizontal="right"/>
    </xf>
    <xf numFmtId="178" fontId="35" fillId="0" borderId="2" xfId="116" applyNumberFormat="1" applyFont="1" applyFill="1" applyBorder="1" applyAlignment="1">
      <alignment horizontal="center"/>
    </xf>
    <xf numFmtId="0" fontId="50" fillId="6" borderId="0" xfId="111" applyFont="1" applyFill="1" applyAlignment="1">
      <alignment horizontal="left" vertical="top"/>
    </xf>
    <xf numFmtId="0" fontId="140" fillId="6" borderId="0" xfId="0" applyFont="1" applyFill="1" applyAlignment="1">
      <alignment horizontal="center" vertical="top"/>
    </xf>
    <xf numFmtId="0" fontId="50" fillId="6" borderId="0" xfId="111" applyFont="1" applyFill="1" applyAlignment="1">
      <alignment vertical="top"/>
    </xf>
    <xf numFmtId="0" fontId="31" fillId="6" borderId="0" xfId="0" applyFont="1" applyFill="1" applyAlignment="1">
      <alignment vertical="top"/>
    </xf>
    <xf numFmtId="3" fontId="77" fillId="6" borderId="0" xfId="0" applyNumberFormat="1" applyFont="1" applyFill="1" applyAlignment="1">
      <alignment horizontal="center" vertical="top"/>
    </xf>
    <xf numFmtId="0" fontId="141" fillId="6" borderId="0" xfId="0" applyFont="1" applyFill="1"/>
    <xf numFmtId="0" fontId="111" fillId="6" borderId="0" xfId="0" applyFont="1" applyFill="1" applyAlignment="1">
      <alignment horizontal="center"/>
    </xf>
    <xf numFmtId="0" fontId="4" fillId="6" borderId="0" xfId="0" applyFont="1" applyFill="1"/>
    <xf numFmtId="0" fontId="142" fillId="6" borderId="0" xfId="0" applyFont="1" applyFill="1" applyAlignment="1">
      <alignment horizontal="left" vertical="top"/>
    </xf>
    <xf numFmtId="3" fontId="4" fillId="6" borderId="0" xfId="0" applyNumberFormat="1" applyFont="1" applyFill="1" applyAlignment="1">
      <alignment horizontal="center" vertical="center" wrapText="1"/>
    </xf>
    <xf numFmtId="0" fontId="4" fillId="6" borderId="0" xfId="0" applyFont="1" applyFill="1" applyAlignment="1">
      <alignment vertical="center" wrapText="1"/>
    </xf>
    <xf numFmtId="3" fontId="4" fillId="6" borderId="0" xfId="0" applyNumberFormat="1" applyFont="1" applyFill="1" applyAlignment="1">
      <alignment horizontal="right" vertical="center" wrapText="1"/>
    </xf>
    <xf numFmtId="0" fontId="4" fillId="6" borderId="0" xfId="0" applyFont="1" applyFill="1" applyAlignment="1">
      <alignment horizontal="center" vertical="center" wrapText="1"/>
    </xf>
    <xf numFmtId="4" fontId="4" fillId="6" borderId="0" xfId="0" applyNumberFormat="1" applyFont="1" applyFill="1" applyAlignment="1">
      <alignment horizontal="center" vertical="center" wrapText="1"/>
    </xf>
    <xf numFmtId="0" fontId="4" fillId="6" borderId="0" xfId="0" applyFont="1" applyFill="1" applyAlignment="1">
      <alignment horizontal="left" vertical="center" wrapText="1"/>
    </xf>
    <xf numFmtId="0" fontId="4" fillId="6" borderId="2" xfId="0" applyFont="1" applyFill="1" applyBorder="1" applyAlignment="1">
      <alignment horizontal="center"/>
    </xf>
    <xf numFmtId="3" fontId="4" fillId="6" borderId="2" xfId="0" applyNumberFormat="1" applyFont="1" applyFill="1" applyBorder="1" applyAlignment="1">
      <alignment horizontal="center" vertical="top"/>
    </xf>
    <xf numFmtId="0" fontId="4" fillId="6" borderId="2" xfId="0" applyFont="1" applyFill="1" applyBorder="1" applyAlignment="1">
      <alignment vertical="top"/>
    </xf>
    <xf numFmtId="0" fontId="4" fillId="6" borderId="0" xfId="0" applyFont="1" applyFill="1" applyAlignment="1">
      <alignment vertical="top"/>
    </xf>
    <xf numFmtId="3" fontId="111" fillId="6" borderId="0" xfId="0" applyNumberFormat="1" applyFont="1" applyFill="1" applyAlignment="1">
      <alignment horizontal="center" vertical="top"/>
    </xf>
    <xf numFmtId="0" fontId="111" fillId="6" borderId="0" xfId="0" applyFont="1" applyFill="1" applyAlignment="1">
      <alignment horizontal="center" vertical="top"/>
    </xf>
    <xf numFmtId="0" fontId="4" fillId="6" borderId="2" xfId="0" applyFont="1" applyFill="1" applyBorder="1" applyAlignment="1">
      <alignment horizontal="center" vertical="top"/>
    </xf>
    <xf numFmtId="0" fontId="111" fillId="6" borderId="0" xfId="0" applyFont="1" applyFill="1" applyAlignment="1">
      <alignment vertical="top"/>
    </xf>
    <xf numFmtId="0" fontId="4" fillId="6" borderId="0" xfId="0" applyFont="1" applyFill="1" applyAlignment="1">
      <alignment horizontal="center" vertical="top"/>
    </xf>
    <xf numFmtId="2" fontId="4" fillId="6" borderId="0" xfId="0" applyNumberFormat="1" applyFont="1" applyFill="1" applyAlignment="1">
      <alignment vertical="top"/>
    </xf>
    <xf numFmtId="3" fontId="4" fillId="6" borderId="0" xfId="0" applyNumberFormat="1" applyFont="1" applyFill="1" applyAlignment="1">
      <alignment horizontal="center" vertical="top"/>
    </xf>
    <xf numFmtId="0" fontId="32" fillId="6" borderId="0" xfId="0" applyFont="1" applyFill="1" applyAlignment="1">
      <alignment vertical="top"/>
    </xf>
    <xf numFmtId="0" fontId="34" fillId="6" borderId="0" xfId="0" applyFont="1" applyFill="1" applyAlignment="1">
      <alignment vertical="top"/>
    </xf>
    <xf numFmtId="0" fontId="34" fillId="6" borderId="0" xfId="0" applyFont="1" applyFill="1" applyAlignment="1">
      <alignment horizontal="center" vertical="top"/>
    </xf>
    <xf numFmtId="2" fontId="34" fillId="6" borderId="0" xfId="0" applyNumberFormat="1" applyFont="1" applyFill="1" applyAlignment="1">
      <alignment vertical="top"/>
    </xf>
    <xf numFmtId="2" fontId="4" fillId="6" borderId="0" xfId="0" applyNumberFormat="1" applyFont="1" applyFill="1" applyAlignment="1">
      <alignment horizontal="center" vertical="top"/>
    </xf>
    <xf numFmtId="4" fontId="34" fillId="6" borderId="0" xfId="0" applyNumberFormat="1" applyFont="1" applyFill="1" applyAlignment="1">
      <alignment vertical="top"/>
    </xf>
    <xf numFmtId="3" fontId="34" fillId="6" borderId="0" xfId="0" applyNumberFormat="1" applyFont="1" applyFill="1" applyAlignment="1">
      <alignment vertical="top"/>
    </xf>
    <xf numFmtId="2" fontId="34" fillId="6" borderId="0" xfId="0" applyNumberFormat="1" applyFont="1" applyFill="1" applyAlignment="1">
      <alignment horizontal="center" vertical="top"/>
    </xf>
    <xf numFmtId="0" fontId="143" fillId="6" borderId="0" xfId="0" applyFont="1" applyFill="1" applyAlignment="1">
      <alignment vertical="top"/>
    </xf>
    <xf numFmtId="0" fontId="86" fillId="6" borderId="0" xfId="0" applyFont="1" applyFill="1" applyAlignment="1">
      <alignment vertical="top"/>
    </xf>
    <xf numFmtId="0" fontId="111" fillId="6" borderId="0" xfId="0" applyFont="1" applyFill="1"/>
    <xf numFmtId="0" fontId="144" fillId="6" borderId="0" xfId="0" applyFont="1" applyFill="1"/>
    <xf numFmtId="0" fontId="126" fillId="6" borderId="0" xfId="0" applyFont="1" applyFill="1" applyAlignment="1">
      <alignment vertical="top"/>
    </xf>
    <xf numFmtId="0" fontId="117" fillId="6" borderId="0" xfId="0" applyFont="1" applyFill="1" applyAlignment="1">
      <alignment horizontal="center" vertical="center" wrapText="1"/>
    </xf>
    <xf numFmtId="0" fontId="133" fillId="6" borderId="0" xfId="0" applyFont="1" applyFill="1" applyAlignment="1">
      <alignment horizontal="center" vertical="center" wrapText="1"/>
    </xf>
    <xf numFmtId="0" fontId="117" fillId="6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left" vertical="top" wrapText="1"/>
    </xf>
    <xf numFmtId="3" fontId="4" fillId="6" borderId="2" xfId="0" applyNumberFormat="1" applyFont="1" applyFill="1" applyBorder="1" applyAlignment="1">
      <alignment horizontal="center" vertical="top" wrapText="1"/>
    </xf>
    <xf numFmtId="2" fontId="4" fillId="6" borderId="2" xfId="0" applyNumberFormat="1" applyFont="1" applyFill="1" applyBorder="1" applyAlignment="1">
      <alignment horizontal="center" vertical="top"/>
    </xf>
    <xf numFmtId="4" fontId="4" fillId="6" borderId="2" xfId="0" applyNumberFormat="1" applyFont="1" applyFill="1" applyBorder="1" applyAlignment="1">
      <alignment horizontal="center" vertical="top" wrapText="1"/>
    </xf>
    <xf numFmtId="3" fontId="4" fillId="6" borderId="0" xfId="0" applyNumberFormat="1" applyFont="1" applyFill="1" applyAlignment="1">
      <alignment horizontal="center" vertical="top" wrapText="1"/>
    </xf>
    <xf numFmtId="3" fontId="4" fillId="6" borderId="0" xfId="0" applyNumberFormat="1" applyFont="1" applyFill="1" applyAlignment="1">
      <alignment horizontal="left" vertical="top"/>
    </xf>
    <xf numFmtId="3" fontId="133" fillId="6" borderId="0" xfId="0" applyNumberFormat="1" applyFont="1" applyFill="1" applyAlignment="1">
      <alignment horizontal="center" vertical="top" wrapText="1"/>
    </xf>
    <xf numFmtId="0" fontId="4" fillId="6" borderId="0" xfId="0" applyFont="1" applyFill="1" applyAlignment="1">
      <alignment horizontal="center" vertical="top" wrapText="1"/>
    </xf>
    <xf numFmtId="0" fontId="4" fillId="6" borderId="0" xfId="0" applyFont="1" applyFill="1" applyAlignment="1">
      <alignment vertical="top" wrapText="1"/>
    </xf>
    <xf numFmtId="0" fontId="110" fillId="6" borderId="2" xfId="0" applyFont="1" applyFill="1" applyBorder="1" applyAlignment="1">
      <alignment horizontal="left" vertical="top" wrapText="1"/>
    </xf>
    <xf numFmtId="3" fontId="110" fillId="6" borderId="2" xfId="0" applyNumberFormat="1" applyFont="1" applyFill="1" applyBorder="1" applyAlignment="1">
      <alignment horizontal="center" vertical="top" wrapText="1"/>
    </xf>
    <xf numFmtId="3" fontId="110" fillId="6" borderId="0" xfId="0" applyNumberFormat="1" applyFont="1" applyFill="1" applyAlignment="1">
      <alignment horizontal="center" vertical="top" wrapText="1"/>
    </xf>
    <xf numFmtId="3" fontId="132" fillId="6" borderId="0" xfId="0" applyNumberFormat="1" applyFont="1" applyFill="1" applyAlignment="1">
      <alignment horizontal="center" vertical="top" wrapText="1"/>
    </xf>
    <xf numFmtId="0" fontId="110" fillId="6" borderId="0" xfId="0" applyFont="1" applyFill="1" applyAlignment="1">
      <alignment horizontal="center" vertical="top" wrapText="1"/>
    </xf>
    <xf numFmtId="0" fontId="110" fillId="6" borderId="0" xfId="0" applyFont="1" applyFill="1" applyAlignment="1">
      <alignment vertical="top" wrapText="1"/>
    </xf>
    <xf numFmtId="0" fontId="117" fillId="0" borderId="2" xfId="0" applyFont="1" applyBorder="1" applyAlignment="1">
      <alignment horizontal="center" vertical="center"/>
    </xf>
    <xf numFmtId="3" fontId="145" fillId="6" borderId="0" xfId="0" applyNumberFormat="1" applyFont="1" applyFill="1" applyAlignment="1">
      <alignment horizontal="center" vertical="top" wrapText="1"/>
    </xf>
    <xf numFmtId="3" fontId="145" fillId="6" borderId="0" xfId="0" applyNumberFormat="1" applyFont="1" applyFill="1" applyAlignment="1">
      <alignment horizontal="left" vertical="top"/>
    </xf>
    <xf numFmtId="0" fontId="145" fillId="6" borderId="0" xfId="0" applyFont="1" applyFill="1" applyAlignment="1">
      <alignment horizontal="center" vertical="top" wrapText="1"/>
    </xf>
    <xf numFmtId="0" fontId="145" fillId="6" borderId="0" xfId="0" applyFont="1" applyFill="1" applyAlignment="1">
      <alignment vertical="top" wrapText="1"/>
    </xf>
    <xf numFmtId="3" fontId="133" fillId="6" borderId="0" xfId="0" applyNumberFormat="1" applyFont="1" applyFill="1" applyAlignment="1">
      <alignment vertical="top"/>
    </xf>
    <xf numFmtId="0" fontId="110" fillId="6" borderId="2" xfId="0" applyFont="1" applyFill="1" applyBorder="1" applyAlignment="1">
      <alignment vertical="top"/>
    </xf>
    <xf numFmtId="3" fontId="110" fillId="6" borderId="2" xfId="0" applyNumberFormat="1" applyFont="1" applyFill="1" applyBorder="1" applyAlignment="1">
      <alignment horizontal="center" vertical="top"/>
    </xf>
    <xf numFmtId="3" fontId="110" fillId="6" borderId="0" xfId="0" applyNumberFormat="1" applyFont="1" applyFill="1" applyAlignment="1">
      <alignment horizontal="center" vertical="top"/>
    </xf>
    <xf numFmtId="3" fontId="132" fillId="6" borderId="0" xfId="0" applyNumberFormat="1" applyFont="1" applyFill="1" applyAlignment="1">
      <alignment horizontal="center" vertical="top"/>
    </xf>
    <xf numFmtId="0" fontId="133" fillId="6" borderId="0" xfId="0" applyFont="1" applyFill="1" applyAlignment="1">
      <alignment vertical="top"/>
    </xf>
    <xf numFmtId="0" fontId="8" fillId="6" borderId="0" xfId="0" applyFont="1" applyFill="1" applyAlignment="1">
      <alignment horizontal="center" vertical="top"/>
    </xf>
    <xf numFmtId="0" fontId="8" fillId="6" borderId="0" xfId="0" applyFont="1" applyFill="1" applyAlignment="1">
      <alignment vertical="top"/>
    </xf>
    <xf numFmtId="0" fontId="110" fillId="6" borderId="2" xfId="0" applyFont="1" applyFill="1" applyBorder="1" applyAlignment="1">
      <alignment horizontal="center" vertical="center" wrapText="1"/>
    </xf>
    <xf numFmtId="4" fontId="4" fillId="6" borderId="2" xfId="0" applyNumberFormat="1" applyFont="1" applyFill="1" applyBorder="1" applyAlignment="1">
      <alignment horizontal="center" vertical="center" wrapText="1"/>
    </xf>
    <xf numFmtId="0" fontId="134" fillId="0" borderId="2" xfId="0" applyFont="1" applyBorder="1" applyAlignment="1">
      <alignment horizontal="center" vertical="center"/>
    </xf>
    <xf numFmtId="0" fontId="134" fillId="0" borderId="0" xfId="0" applyFont="1" applyAlignment="1">
      <alignment horizontal="center" vertical="center"/>
    </xf>
    <xf numFmtId="0" fontId="50" fillId="6" borderId="0" xfId="122" applyNumberFormat="1" applyFont="1" applyFill="1" applyAlignment="1">
      <alignment horizontal="left" vertical="center"/>
    </xf>
    <xf numFmtId="176" fontId="77" fillId="0" borderId="0" xfId="116" applyNumberFormat="1" applyFont="1" applyFill="1"/>
    <xf numFmtId="176" fontId="8" fillId="0" borderId="0" xfId="116" applyNumberFormat="1" applyFont="1" applyFill="1" applyAlignment="1">
      <alignment horizontal="left" vertical="center"/>
    </xf>
    <xf numFmtId="0" fontId="8" fillId="6" borderId="0" xfId="122" applyNumberFormat="1" applyFont="1" applyFill="1" applyAlignment="1">
      <alignment horizontal="left" vertical="center"/>
    </xf>
    <xf numFmtId="176" fontId="110" fillId="0" borderId="0" xfId="116" applyNumberFormat="1" applyFont="1" applyFill="1" applyAlignment="1"/>
    <xf numFmtId="176" fontId="77" fillId="0" borderId="0" xfId="116" applyNumberFormat="1" applyFont="1" applyFill="1" applyAlignment="1">
      <alignment horizontal="center"/>
    </xf>
    <xf numFmtId="0" fontId="77" fillId="6" borderId="0" xfId="122" applyNumberFormat="1" applyFont="1" applyFill="1" applyAlignment="1">
      <alignment horizontal="left" vertical="center"/>
    </xf>
    <xf numFmtId="0" fontId="4" fillId="6" borderId="0" xfId="122" applyNumberFormat="1" applyFont="1" applyFill="1" applyAlignment="1">
      <alignment horizontal="left" vertical="center"/>
    </xf>
    <xf numFmtId="176" fontId="8" fillId="0" borderId="0" xfId="116" applyNumberFormat="1" applyFont="1" applyFill="1" applyAlignment="1"/>
    <xf numFmtId="176" fontId="31" fillId="0" borderId="0" xfId="116" applyNumberFormat="1" applyFont="1" applyFill="1" applyAlignment="1"/>
    <xf numFmtId="176" fontId="8" fillId="0" borderId="0" xfId="116" applyNumberFormat="1" applyFont="1" applyFill="1"/>
    <xf numFmtId="4" fontId="4" fillId="6" borderId="0" xfId="0" applyNumberFormat="1" applyFont="1" applyFill="1" applyAlignment="1">
      <alignment horizontal="center" vertical="top" wrapText="1"/>
    </xf>
    <xf numFmtId="4" fontId="35" fillId="2" borderId="2" xfId="116" applyNumberFormat="1" applyFont="1" applyFill="1" applyBorder="1" applyAlignment="1">
      <alignment horizontal="center" vertical="center" wrapText="1"/>
    </xf>
    <xf numFmtId="170" fontId="97" fillId="0" borderId="0" xfId="116" applyFont="1"/>
    <xf numFmtId="176" fontId="8" fillId="0" borderId="2" xfId="116" applyNumberFormat="1" applyFont="1" applyFill="1" applyBorder="1" applyAlignment="1">
      <alignment horizontal="center" vertical="center" wrapText="1"/>
    </xf>
    <xf numFmtId="176" fontId="8" fillId="0" borderId="0" xfId="116" applyNumberFormat="1" applyFont="1" applyFill="1" applyAlignment="1">
      <alignment horizontal="center"/>
    </xf>
    <xf numFmtId="176" fontId="8" fillId="0" borderId="0" xfId="116" applyNumberFormat="1" applyFont="1" applyFill="1" applyAlignment="1">
      <alignment horizontal="right"/>
    </xf>
    <xf numFmtId="0" fontId="146" fillId="0" borderId="0" xfId="0" applyFont="1" applyAlignment="1">
      <alignment horizontal="left" indent="1"/>
    </xf>
    <xf numFmtId="176" fontId="4" fillId="0" borderId="0" xfId="116" applyNumberFormat="1" applyFont="1" applyFill="1"/>
    <xf numFmtId="0" fontId="107" fillId="0" borderId="0" xfId="0" applyFont="1" applyAlignment="1">
      <alignment vertical="center"/>
    </xf>
    <xf numFmtId="0" fontId="35" fillId="6" borderId="0" xfId="122" applyNumberFormat="1" applyFont="1" applyFill="1" applyAlignment="1">
      <alignment vertical="center"/>
    </xf>
    <xf numFmtId="176" fontId="32" fillId="6" borderId="0" xfId="122" applyNumberFormat="1" applyFont="1" applyFill="1" applyAlignment="1">
      <alignment horizontal="left" vertical="center"/>
    </xf>
    <xf numFmtId="176" fontId="32" fillId="0" borderId="0" xfId="116" applyNumberFormat="1" applyFont="1" applyFill="1" applyAlignment="1"/>
    <xf numFmtId="0" fontId="36" fillId="0" borderId="0" xfId="36" applyFont="1" applyAlignment="1" applyProtection="1">
      <alignment vertical="center"/>
      <protection locked="0"/>
    </xf>
    <xf numFmtId="0" fontId="4" fillId="0" borderId="2" xfId="116" applyNumberFormat="1" applyFont="1" applyFill="1" applyBorder="1" applyAlignment="1" applyProtection="1">
      <alignment horizontal="center" vertical="center" wrapText="1"/>
      <protection locked="0"/>
    </xf>
    <xf numFmtId="3" fontId="134" fillId="0" borderId="0" xfId="0" applyNumberFormat="1" applyFont="1" applyAlignment="1">
      <alignment horizontal="center" vertical="center"/>
    </xf>
    <xf numFmtId="4" fontId="4" fillId="6" borderId="2" xfId="0" applyNumberFormat="1" applyFont="1" applyFill="1" applyBorder="1" applyAlignment="1">
      <alignment horizontal="center" vertical="top"/>
    </xf>
    <xf numFmtId="4" fontId="4" fillId="6" borderId="0" xfId="0" applyNumberFormat="1" applyFont="1" applyFill="1" applyAlignment="1">
      <alignment horizontal="center" vertical="top"/>
    </xf>
    <xf numFmtId="4" fontId="111" fillId="6" borderId="0" xfId="0" applyNumberFormat="1" applyFont="1" applyFill="1" applyAlignment="1">
      <alignment horizontal="center" vertical="top"/>
    </xf>
    <xf numFmtId="0" fontId="4" fillId="0" borderId="0" xfId="116" applyNumberFormat="1" applyFont="1" applyFill="1" applyBorder="1" applyAlignment="1" applyProtection="1">
      <alignment horizontal="center" vertical="center" wrapText="1"/>
      <protection locked="0"/>
    </xf>
    <xf numFmtId="3" fontId="4" fillId="0" borderId="2" xfId="116" applyNumberFormat="1" applyFont="1" applyFill="1" applyBorder="1" applyAlignment="1" applyProtection="1">
      <alignment horizontal="center" vertical="center" wrapText="1"/>
      <protection locked="0"/>
    </xf>
    <xf numFmtId="0" fontId="110" fillId="0" borderId="0" xfId="0" applyFont="1" applyProtection="1">
      <protection locked="0"/>
    </xf>
    <xf numFmtId="178" fontId="8" fillId="6" borderId="0" xfId="122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center" vertical="center"/>
      <protection locked="0"/>
    </xf>
    <xf numFmtId="0" fontId="35" fillId="0" borderId="2" xfId="116" applyNumberFormat="1" applyFont="1" applyFill="1" applyBorder="1" applyAlignment="1">
      <alignment horizontal="right" vertical="center"/>
    </xf>
    <xf numFmtId="0" fontId="112" fillId="0" borderId="2" xfId="116" applyNumberFormat="1" applyFont="1" applyFill="1" applyBorder="1" applyAlignment="1">
      <alignment vertical="center"/>
    </xf>
    <xf numFmtId="172" fontId="30" fillId="0" borderId="2" xfId="0" applyNumberFormat="1" applyFont="1" applyBorder="1" applyAlignment="1">
      <alignment vertical="center"/>
    </xf>
    <xf numFmtId="172" fontId="30" fillId="0" borderId="2" xfId="0" applyNumberFormat="1" applyFont="1" applyBorder="1" applyAlignment="1" applyProtection="1">
      <alignment vertical="center"/>
      <protection locked="0"/>
    </xf>
    <xf numFmtId="170" fontId="35" fillId="0" borderId="2" xfId="116" applyFont="1" applyFill="1" applyBorder="1" applyAlignment="1" applyProtection="1">
      <alignment horizontal="center" vertical="center" wrapText="1"/>
      <protection locked="0"/>
    </xf>
    <xf numFmtId="3" fontId="35" fillId="10" borderId="0" xfId="116" applyNumberFormat="1" applyFont="1" applyFill="1" applyAlignment="1">
      <alignment horizontal="center" vertical="center"/>
    </xf>
    <xf numFmtId="3" fontId="35" fillId="10" borderId="0" xfId="116" applyNumberFormat="1" applyFont="1" applyFill="1" applyAlignment="1">
      <alignment vertical="center"/>
    </xf>
    <xf numFmtId="0" fontId="35" fillId="10" borderId="0" xfId="116" applyNumberFormat="1" applyFont="1" applyFill="1" applyAlignment="1">
      <alignment horizontal="center" vertical="center"/>
    </xf>
    <xf numFmtId="176" fontId="117" fillId="0" borderId="2" xfId="116" applyNumberFormat="1" applyFont="1" applyFill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left" vertical="center" wrapText="1"/>
    </xf>
    <xf numFmtId="2" fontId="0" fillId="0" borderId="0" xfId="0" applyNumberFormat="1"/>
    <xf numFmtId="0" fontId="147" fillId="0" borderId="0" xfId="0" applyFont="1" applyAlignment="1">
      <alignment horizontal="center"/>
    </xf>
    <xf numFmtId="176" fontId="35" fillId="0" borderId="0" xfId="116" applyNumberFormat="1" applyFont="1" applyFill="1" applyBorder="1" applyAlignment="1" applyProtection="1">
      <alignment vertical="center"/>
      <protection locked="0"/>
    </xf>
    <xf numFmtId="175" fontId="9" fillId="0" borderId="0" xfId="0" applyNumberFormat="1" applyFont="1" applyAlignment="1" applyProtection="1">
      <alignment vertical="center"/>
      <protection locked="0"/>
    </xf>
    <xf numFmtId="175" fontId="9" fillId="0" borderId="0" xfId="0" applyNumberFormat="1" applyFont="1" applyAlignment="1">
      <alignment vertical="center"/>
    </xf>
    <xf numFmtId="0" fontId="148" fillId="0" borderId="0" xfId="0" applyFont="1" applyAlignment="1">
      <alignment horizontal="left" vertical="center" wrapText="1"/>
    </xf>
    <xf numFmtId="0" fontId="148" fillId="0" borderId="0" xfId="0" applyFont="1"/>
    <xf numFmtId="0" fontId="149" fillId="0" borderId="0" xfId="0" applyFont="1" applyAlignment="1">
      <alignment horizontal="left" vertical="center"/>
    </xf>
    <xf numFmtId="172" fontId="35" fillId="10" borderId="0" xfId="116" applyNumberFormat="1" applyFont="1" applyFill="1" applyAlignment="1">
      <alignment horizontal="center" vertical="center"/>
    </xf>
    <xf numFmtId="0" fontId="8" fillId="0" borderId="2" xfId="27" applyFont="1" applyBorder="1" applyAlignment="1">
      <alignment horizontal="center" vertical="center"/>
    </xf>
    <xf numFmtId="4" fontId="35" fillId="0" borderId="0" xfId="116" applyNumberFormat="1" applyFont="1" applyFill="1" applyAlignment="1">
      <alignment vertical="center"/>
    </xf>
    <xf numFmtId="176" fontId="110" fillId="6" borderId="0" xfId="122" applyNumberFormat="1" applyFont="1" applyFill="1" applyAlignment="1">
      <alignment horizontal="left"/>
    </xf>
    <xf numFmtId="1" fontId="4" fillId="0" borderId="4" xfId="27" applyNumberFormat="1" applyFont="1" applyBorder="1" applyAlignment="1">
      <alignment horizontal="center" vertical="center"/>
    </xf>
    <xf numFmtId="0" fontId="4" fillId="0" borderId="6" xfId="27" applyFont="1" applyBorder="1" applyAlignment="1">
      <alignment horizontal="left" vertical="center" wrapText="1"/>
    </xf>
    <xf numFmtId="179" fontId="4" fillId="0" borderId="4" xfId="27" applyNumberFormat="1" applyFont="1" applyBorder="1" applyAlignment="1">
      <alignment horizontal="center" vertical="center"/>
    </xf>
    <xf numFmtId="3" fontId="4" fillId="0" borderId="4" xfId="27" applyNumberFormat="1" applyFont="1" applyBorder="1" applyAlignment="1">
      <alignment horizontal="center" vertical="center"/>
    </xf>
    <xf numFmtId="4" fontId="4" fillId="0" borderId="4" xfId="27" applyNumberFormat="1" applyFont="1" applyBorder="1" applyAlignment="1">
      <alignment horizontal="center" vertical="center"/>
    </xf>
    <xf numFmtId="2" fontId="4" fillId="0" borderId="4" xfId="27" applyNumberFormat="1" applyFont="1" applyBorder="1" applyAlignment="1">
      <alignment horizontal="center" vertical="center"/>
    </xf>
    <xf numFmtId="176" fontId="4" fillId="0" borderId="4" xfId="122" applyNumberFormat="1" applyFont="1" applyFill="1" applyBorder="1" applyAlignment="1">
      <alignment horizontal="center" vertical="center"/>
    </xf>
    <xf numFmtId="170" fontId="4" fillId="0" borderId="4" xfId="122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0" borderId="2" xfId="116" applyNumberFormat="1" applyFont="1" applyFill="1" applyBorder="1" applyAlignment="1">
      <alignment horizontal="center" vertical="center"/>
    </xf>
    <xf numFmtId="1" fontId="4" fillId="0" borderId="2" xfId="27" applyNumberFormat="1" applyFont="1" applyBorder="1" applyAlignment="1">
      <alignment horizontal="center" vertical="center"/>
    </xf>
    <xf numFmtId="176" fontId="4" fillId="0" borderId="2" xfId="122" applyNumberFormat="1" applyFont="1" applyFill="1" applyBorder="1" applyAlignment="1">
      <alignment horizontal="center" vertical="center"/>
    </xf>
    <xf numFmtId="0" fontId="8" fillId="0" borderId="6" xfId="27" applyFont="1" applyBorder="1" applyAlignment="1">
      <alignment horizontal="center" vertical="center"/>
    </xf>
    <xf numFmtId="176" fontId="8" fillId="0" borderId="2" xfId="122" applyNumberFormat="1" applyFont="1" applyFill="1" applyBorder="1" applyAlignment="1">
      <alignment horizontal="center" vertical="center"/>
    </xf>
    <xf numFmtId="170" fontId="4" fillId="0" borderId="2" xfId="122" applyFont="1" applyFill="1" applyBorder="1" applyAlignment="1">
      <alignment horizontal="center" vertical="center"/>
    </xf>
    <xf numFmtId="176" fontId="8" fillId="0" borderId="2" xfId="116" applyNumberFormat="1" applyFont="1" applyFill="1" applyBorder="1" applyAlignment="1">
      <alignment horizontal="center" vertical="center"/>
    </xf>
    <xf numFmtId="176" fontId="4" fillId="2" borderId="0" xfId="122" applyNumberFormat="1" applyFont="1" applyFill="1" applyAlignment="1">
      <alignment horizontal="center"/>
    </xf>
    <xf numFmtId="176" fontId="8" fillId="6" borderId="0" xfId="122" applyNumberFormat="1" applyFont="1" applyFill="1" applyAlignment="1">
      <alignment horizontal="left"/>
    </xf>
    <xf numFmtId="178" fontId="8" fillId="6" borderId="0" xfId="122" applyNumberFormat="1" applyFont="1" applyFill="1" applyAlignment="1">
      <alignment horizontal="left"/>
    </xf>
    <xf numFmtId="0" fontId="4" fillId="2" borderId="0" xfId="39" applyFont="1" applyFill="1"/>
    <xf numFmtId="181" fontId="35" fillId="0" borderId="2" xfId="116" applyNumberFormat="1" applyFont="1" applyFill="1" applyBorder="1" applyAlignment="1">
      <alignment vertical="center"/>
    </xf>
    <xf numFmtId="181" fontId="36" fillId="0" borderId="2" xfId="116" applyNumberFormat="1" applyFont="1" applyFill="1" applyBorder="1" applyAlignment="1">
      <alignment vertical="center"/>
    </xf>
    <xf numFmtId="181" fontId="9" fillId="0" borderId="2" xfId="0" applyNumberFormat="1" applyFont="1" applyBorder="1" applyAlignment="1">
      <alignment vertical="center"/>
    </xf>
    <xf numFmtId="0" fontId="150" fillId="0" borderId="0" xfId="0" applyFont="1" applyAlignment="1">
      <alignment horizontal="left" indent="1"/>
    </xf>
    <xf numFmtId="176" fontId="4" fillId="0" borderId="0" xfId="116" applyNumberFormat="1" applyFont="1" applyFill="1" applyAlignment="1">
      <alignment horizontal="right" vertical="center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 applyProtection="1">
      <alignment horizontal="center" vertical="center" wrapText="1"/>
      <protection locked="0"/>
    </xf>
    <xf numFmtId="3" fontId="30" fillId="0" borderId="0" xfId="0" applyNumberFormat="1" applyFont="1" applyAlignment="1" applyProtection="1">
      <alignment horizontal="center" vertical="center" wrapText="1"/>
      <protection locked="0"/>
    </xf>
    <xf numFmtId="4" fontId="30" fillId="0" borderId="0" xfId="0" applyNumberFormat="1" applyFont="1" applyAlignment="1">
      <alignment horizontal="center" vertical="center" wrapText="1"/>
    </xf>
    <xf numFmtId="0" fontId="4" fillId="6" borderId="2" xfId="42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" xfId="122" applyNumberFormat="1" applyFont="1" applyFill="1" applyBorder="1" applyAlignment="1">
      <alignment horizontal="left" vertical="center" wrapText="1"/>
    </xf>
    <xf numFmtId="176" fontId="4" fillId="0" borderId="2" xfId="116" applyNumberFormat="1" applyFont="1" applyFill="1" applyBorder="1" applyAlignment="1">
      <alignment horizontal="left" vertical="center"/>
    </xf>
    <xf numFmtId="3" fontId="4" fillId="0" borderId="2" xfId="121" applyNumberFormat="1" applyFont="1" applyFill="1" applyBorder="1" applyAlignment="1">
      <alignment horizontal="left" vertical="center" wrapText="1"/>
    </xf>
    <xf numFmtId="3" fontId="117" fillId="0" borderId="2" xfId="0" applyNumberFormat="1" applyFont="1" applyBorder="1" applyAlignment="1">
      <alignment horizontal="left" vertical="center" wrapText="1"/>
    </xf>
    <xf numFmtId="0" fontId="117" fillId="0" borderId="2" xfId="0" applyFont="1" applyBorder="1" applyAlignment="1">
      <alignment horizontal="left" vertical="center" wrapText="1"/>
    </xf>
    <xf numFmtId="0" fontId="117" fillId="0" borderId="0" xfId="0" applyFont="1" applyAlignment="1">
      <alignment horizontal="left" vertical="center"/>
    </xf>
    <xf numFmtId="0" fontId="117" fillId="0" borderId="2" xfId="0" applyFont="1" applyBorder="1" applyAlignment="1">
      <alignment horizontal="left" vertical="center"/>
    </xf>
    <xf numFmtId="176" fontId="117" fillId="0" borderId="2" xfId="116" applyNumberFormat="1" applyFont="1" applyFill="1" applyBorder="1" applyAlignment="1">
      <alignment horizontal="left" vertical="center"/>
    </xf>
    <xf numFmtId="0" fontId="4" fillId="0" borderId="2" xfId="116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116" applyNumberFormat="1" applyFont="1" applyFill="1" applyBorder="1" applyAlignment="1">
      <alignment horizontal="center" vertical="center" wrapText="1"/>
    </xf>
    <xf numFmtId="176" fontId="117" fillId="16" borderId="2" xfId="116" applyNumberFormat="1" applyFont="1" applyFill="1" applyBorder="1" applyAlignment="1">
      <alignment horizontal="left" vertical="top" wrapText="1"/>
    </xf>
    <xf numFmtId="0" fontId="4" fillId="0" borderId="2" xfId="0" applyFont="1" applyBorder="1" applyAlignment="1">
      <alignment vertical="top" wrapText="1"/>
    </xf>
    <xf numFmtId="176" fontId="8" fillId="0" borderId="0" xfId="116" applyNumberFormat="1" applyFont="1" applyFill="1" applyAlignment="1" applyProtection="1">
      <alignment horizontal="left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8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3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33" fillId="0" borderId="2" xfId="0" applyFont="1" applyBorder="1" applyAlignment="1">
      <alignment horizontal="left" vertical="center" wrapText="1"/>
    </xf>
    <xf numFmtId="0" fontId="49" fillId="0" borderId="2" xfId="0" applyFont="1" applyBorder="1" applyAlignment="1">
      <alignment horizontal="left" vertical="center"/>
    </xf>
    <xf numFmtId="3" fontId="49" fillId="0" borderId="2" xfId="0" applyNumberFormat="1" applyFont="1" applyBorder="1" applyAlignment="1">
      <alignment horizontal="left" vertical="center"/>
    </xf>
    <xf numFmtId="0" fontId="4" fillId="0" borderId="2" xfId="0" applyFont="1" applyBorder="1" applyAlignment="1" applyProtection="1">
      <alignment horizontal="left" vertical="center"/>
      <protection locked="0"/>
    </xf>
    <xf numFmtId="170" fontId="4" fillId="0" borderId="2" xfId="116" applyFont="1" applyFill="1" applyBorder="1" applyAlignment="1">
      <alignment horizontal="left" vertical="center"/>
    </xf>
    <xf numFmtId="3" fontId="4" fillId="0" borderId="2" xfId="116" applyNumberFormat="1" applyFont="1" applyFill="1" applyBorder="1" applyAlignment="1">
      <alignment horizontal="left" vertical="center"/>
    </xf>
    <xf numFmtId="1" fontId="4" fillId="0" borderId="2" xfId="0" applyNumberFormat="1" applyFont="1" applyBorder="1" applyAlignment="1" applyProtection="1">
      <alignment horizontal="left" vertical="center"/>
      <protection locked="0"/>
    </xf>
    <xf numFmtId="1" fontId="4" fillId="0" borderId="0" xfId="0" applyNumberFormat="1" applyFont="1" applyAlignment="1">
      <alignment vertical="center"/>
    </xf>
    <xf numFmtId="0" fontId="4" fillId="0" borderId="21" xfId="0" applyFont="1" applyBorder="1" applyAlignment="1" applyProtection="1">
      <alignment horizontal="left" vertical="center" wrapText="1"/>
      <protection locked="0"/>
    </xf>
    <xf numFmtId="1" fontId="4" fillId="0" borderId="2" xfId="0" applyNumberFormat="1" applyFont="1" applyBorder="1" applyAlignment="1">
      <alignment horizontal="left" vertical="center"/>
    </xf>
    <xf numFmtId="176" fontId="8" fillId="0" borderId="2" xfId="116" applyNumberFormat="1" applyFont="1" applyFill="1" applyBorder="1" applyAlignment="1">
      <alignment horizontal="left" vertical="center" wrapText="1"/>
    </xf>
    <xf numFmtId="3" fontId="8" fillId="0" borderId="2" xfId="116" applyNumberFormat="1" applyFont="1" applyFill="1" applyBorder="1" applyAlignment="1">
      <alignment horizontal="left" vertical="center"/>
    </xf>
    <xf numFmtId="170" fontId="4" fillId="0" borderId="2" xfId="0" applyNumberFormat="1" applyFont="1" applyBorder="1" applyAlignment="1">
      <alignment horizontal="left" vertical="center" wrapText="1"/>
    </xf>
    <xf numFmtId="170" fontId="4" fillId="0" borderId="2" xfId="122" applyFont="1" applyFill="1" applyBorder="1" applyAlignment="1">
      <alignment horizontal="left" vertical="center" wrapText="1"/>
    </xf>
    <xf numFmtId="170" fontId="4" fillId="0" borderId="2" xfId="123" applyFont="1" applyFill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170" fontId="4" fillId="0" borderId="2" xfId="0" applyNumberFormat="1" applyFont="1" applyBorder="1" applyAlignment="1">
      <alignment horizontal="left" vertical="center"/>
    </xf>
    <xf numFmtId="170" fontId="4" fillId="0" borderId="2" xfId="39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 applyProtection="1">
      <alignment vertical="center" wrapText="1"/>
      <protection locked="0" hidden="1"/>
    </xf>
    <xf numFmtId="170" fontId="4" fillId="0" borderId="2" xfId="116" applyFont="1" applyFill="1" applyBorder="1" applyAlignment="1">
      <alignment horizontal="left" vertical="center" wrapText="1"/>
    </xf>
    <xf numFmtId="49" fontId="4" fillId="0" borderId="2" xfId="0" applyNumberFormat="1" applyFont="1" applyBorder="1" applyAlignment="1">
      <alignment vertical="center" wrapText="1"/>
    </xf>
    <xf numFmtId="2" fontId="4" fillId="0" borderId="0" xfId="0" applyNumberFormat="1" applyFont="1" applyAlignment="1">
      <alignment horizontal="center" vertical="center"/>
    </xf>
    <xf numFmtId="170" fontId="4" fillId="0" borderId="4" xfId="122" applyFont="1" applyFill="1" applyBorder="1" applyAlignment="1">
      <alignment horizontal="left" vertical="center" wrapText="1"/>
    </xf>
    <xf numFmtId="170" fontId="4" fillId="0" borderId="4" xfId="0" applyNumberFormat="1" applyFont="1" applyBorder="1" applyAlignment="1">
      <alignment horizontal="left" vertical="center"/>
    </xf>
    <xf numFmtId="176" fontId="4" fillId="0" borderId="4" xfId="116" applyNumberFormat="1" applyFont="1" applyFill="1" applyBorder="1" applyAlignment="1">
      <alignment horizontal="left" vertical="center" wrapText="1"/>
    </xf>
    <xf numFmtId="170" fontId="4" fillId="0" borderId="4" xfId="123" applyFont="1" applyFill="1" applyBorder="1" applyAlignment="1">
      <alignment horizontal="left" vertical="center" wrapText="1"/>
    </xf>
    <xf numFmtId="170" fontId="4" fillId="0" borderId="4" xfId="0" applyNumberFormat="1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vertical="center" wrapText="1"/>
    </xf>
    <xf numFmtId="0" fontId="4" fillId="0" borderId="2" xfId="10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vertical="center" wrapText="1"/>
      <protection locked="0"/>
    </xf>
    <xf numFmtId="170" fontId="4" fillId="0" borderId="0" xfId="122" applyFont="1" applyFill="1" applyBorder="1" applyAlignment="1">
      <alignment horizontal="left" vertical="center" wrapText="1"/>
    </xf>
    <xf numFmtId="3" fontId="4" fillId="0" borderId="0" xfId="116" applyNumberFormat="1" applyFont="1" applyFill="1" applyBorder="1" applyAlignment="1">
      <alignment horizontal="left" vertical="center"/>
    </xf>
    <xf numFmtId="178" fontId="8" fillId="0" borderId="0" xfId="122" applyNumberFormat="1" applyFont="1" applyFill="1" applyAlignment="1">
      <alignment vertical="center"/>
    </xf>
    <xf numFmtId="178" fontId="8" fillId="0" borderId="0" xfId="122" applyNumberFormat="1" applyFont="1" applyFill="1" applyAlignment="1">
      <alignment horizontal="left" vertical="center"/>
    </xf>
    <xf numFmtId="0" fontId="151" fillId="0" borderId="0" xfId="0" applyFont="1" applyAlignment="1">
      <alignment vertical="center"/>
    </xf>
    <xf numFmtId="170" fontId="4" fillId="0" borderId="0" xfId="123" applyFont="1" applyFill="1" applyBorder="1" applyAlignment="1">
      <alignment horizontal="left" vertical="center" wrapText="1"/>
    </xf>
    <xf numFmtId="0" fontId="8" fillId="0" borderId="0" xfId="0" applyFont="1" applyAlignment="1" applyProtection="1">
      <alignment horizontal="left" vertical="center"/>
      <protection locked="0"/>
    </xf>
    <xf numFmtId="1" fontId="4" fillId="0" borderId="0" xfId="0" applyNumberFormat="1" applyFont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49" fontId="4" fillId="0" borderId="2" xfId="0" applyNumberFormat="1" applyFont="1" applyBorder="1" applyAlignment="1" applyProtection="1">
      <alignment horizontal="left" vertical="center" wrapText="1"/>
      <protection locked="0" hidden="1"/>
    </xf>
    <xf numFmtId="176" fontId="4" fillId="0" borderId="4" xfId="121" applyNumberFormat="1" applyFont="1" applyFill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0" fontId="151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176" fontId="4" fillId="0" borderId="21" xfId="116" applyNumberFormat="1" applyFont="1" applyFill="1" applyBorder="1" applyAlignment="1">
      <alignment horizontal="left" vertical="center" wrapText="1"/>
    </xf>
    <xf numFmtId="0" fontId="4" fillId="0" borderId="2" xfId="99" applyFont="1" applyBorder="1" applyAlignment="1">
      <alignment horizontal="left" vertical="center" wrapText="1"/>
    </xf>
    <xf numFmtId="176" fontId="4" fillId="0" borderId="0" xfId="116" applyNumberFormat="1" applyFont="1" applyFill="1" applyBorder="1" applyAlignment="1">
      <alignment horizontal="left" vertical="center"/>
    </xf>
    <xf numFmtId="0" fontId="117" fillId="0" borderId="0" xfId="0" applyFont="1" applyAlignment="1">
      <alignment horizontal="left" vertical="center" wrapText="1"/>
    </xf>
    <xf numFmtId="176" fontId="7" fillId="0" borderId="0" xfId="116" applyNumberFormat="1" applyFont="1" applyFill="1" applyAlignment="1" applyProtection="1">
      <alignment horizontal="left" vertical="center"/>
      <protection locked="0"/>
    </xf>
    <xf numFmtId="0" fontId="117" fillId="0" borderId="0" xfId="0" applyFont="1" applyAlignment="1" applyProtection="1">
      <alignment horizontal="left" vertical="center"/>
      <protection locked="0"/>
    </xf>
    <xf numFmtId="0" fontId="117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Alignment="1">
      <alignment horizontal="left" vertical="center"/>
    </xf>
    <xf numFmtId="0" fontId="7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 applyProtection="1">
      <alignment horizontal="center" vertical="center"/>
      <protection locked="0"/>
    </xf>
    <xf numFmtId="170" fontId="4" fillId="0" borderId="2" xfId="116" applyFont="1" applyFill="1" applyBorder="1" applyAlignment="1">
      <alignment horizontal="center" vertical="center"/>
    </xf>
    <xf numFmtId="3" fontId="4" fillId="0" borderId="2" xfId="116" applyNumberFormat="1" applyFont="1" applyFill="1" applyBorder="1" applyAlignment="1">
      <alignment horizontal="center" vertical="center"/>
    </xf>
    <xf numFmtId="1" fontId="4" fillId="0" borderId="2" xfId="0" applyNumberFormat="1" applyFont="1" applyBorder="1" applyAlignment="1" applyProtection="1">
      <alignment horizontal="center" vertical="center"/>
      <protection locked="0"/>
    </xf>
    <xf numFmtId="179" fontId="4" fillId="0" borderId="0" xfId="0" applyNumberFormat="1" applyFont="1" applyAlignment="1">
      <alignment horizontal="left" vertical="center"/>
    </xf>
    <xf numFmtId="49" fontId="4" fillId="0" borderId="2" xfId="0" applyNumberFormat="1" applyFont="1" applyBorder="1" applyAlignment="1">
      <alignment horizontal="left" vertical="center" wrapText="1"/>
    </xf>
    <xf numFmtId="178" fontId="4" fillId="0" borderId="2" xfId="116" applyNumberFormat="1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 applyProtection="1">
      <alignment horizontal="left" vertical="center"/>
      <protection locked="0"/>
    </xf>
    <xf numFmtId="3" fontId="4" fillId="0" borderId="4" xfId="116" applyNumberFormat="1" applyFont="1" applyFill="1" applyBorder="1" applyAlignment="1">
      <alignment horizontal="left" vertical="center"/>
    </xf>
    <xf numFmtId="170" fontId="4" fillId="0" borderId="2" xfId="69" applyNumberFormat="1" applyFont="1" applyBorder="1" applyAlignment="1">
      <alignment horizontal="left" vertical="center" wrapText="1"/>
    </xf>
    <xf numFmtId="0" fontId="8" fillId="0" borderId="2" xfId="0" applyFont="1" applyBorder="1" applyAlignment="1" applyProtection="1">
      <alignment horizontal="left" vertical="center"/>
      <protection locked="0"/>
    </xf>
    <xf numFmtId="0" fontId="110" fillId="0" borderId="0" xfId="0" applyFont="1" applyAlignment="1">
      <alignment horizontal="left" vertical="center"/>
    </xf>
    <xf numFmtId="0" fontId="124" fillId="0" borderId="0" xfId="0" applyFont="1" applyAlignment="1">
      <alignment horizontal="left" vertical="center"/>
    </xf>
    <xf numFmtId="3" fontId="117" fillId="0" borderId="0" xfId="0" applyNumberFormat="1" applyFont="1" applyAlignment="1">
      <alignment horizontal="left" vertical="center"/>
    </xf>
    <xf numFmtId="1" fontId="4" fillId="0" borderId="4" xfId="0" applyNumberFormat="1" applyFont="1" applyBorder="1" applyAlignment="1" applyProtection="1">
      <alignment horizontal="left" vertical="center"/>
      <protection locked="0"/>
    </xf>
    <xf numFmtId="170" fontId="106" fillId="0" borderId="0" xfId="116" applyFont="1"/>
    <xf numFmtId="1" fontId="4" fillId="10" borderId="0" xfId="0" applyNumberFormat="1" applyFont="1" applyFill="1" applyAlignment="1">
      <alignment horizontal="left" vertical="center"/>
    </xf>
    <xf numFmtId="0" fontId="50" fillId="0" borderId="2" xfId="0" applyFont="1" applyBorder="1" applyAlignment="1">
      <alignment horizontal="left" vertical="center" wrapText="1"/>
    </xf>
    <xf numFmtId="0" fontId="77" fillId="0" borderId="0" xfId="0" applyFont="1" applyAlignment="1">
      <alignment vertical="center"/>
    </xf>
    <xf numFmtId="0" fontId="50" fillId="0" borderId="7" xfId="0" applyFont="1" applyBorder="1" applyAlignment="1">
      <alignment horizontal="left" vertical="center" wrapText="1"/>
    </xf>
    <xf numFmtId="0" fontId="77" fillId="0" borderId="0" xfId="0" applyFont="1" applyAlignment="1">
      <alignment vertical="center" wrapText="1"/>
    </xf>
    <xf numFmtId="0" fontId="81" fillId="0" borderId="2" xfId="0" applyFont="1" applyBorder="1" applyAlignment="1">
      <alignment horizontal="left" vertical="center"/>
    </xf>
    <xf numFmtId="0" fontId="50" fillId="0" borderId="2" xfId="0" applyFont="1" applyBorder="1" applyAlignment="1">
      <alignment horizontal="left" vertical="center"/>
    </xf>
    <xf numFmtId="0" fontId="81" fillId="0" borderId="2" xfId="0" applyFont="1" applyBorder="1" applyAlignment="1">
      <alignment horizontal="left" vertical="center" wrapText="1"/>
    </xf>
    <xf numFmtId="0" fontId="87" fillId="0" borderId="2" xfId="0" applyFont="1" applyBorder="1" applyAlignment="1">
      <alignment horizontal="left" vertical="center"/>
    </xf>
    <xf numFmtId="3" fontId="87" fillId="0" borderId="2" xfId="0" applyNumberFormat="1" applyFont="1" applyBorder="1" applyAlignment="1">
      <alignment horizontal="left" vertical="center"/>
    </xf>
    <xf numFmtId="0" fontId="77" fillId="0" borderId="2" xfId="0" applyFont="1" applyBorder="1" applyAlignment="1" applyProtection="1">
      <alignment horizontal="left" vertical="center"/>
      <protection locked="0"/>
    </xf>
    <xf numFmtId="176" fontId="77" fillId="0" borderId="2" xfId="116" applyNumberFormat="1" applyFont="1" applyFill="1" applyBorder="1" applyAlignment="1">
      <alignment horizontal="left" vertical="center" wrapText="1"/>
    </xf>
    <xf numFmtId="0" fontId="77" fillId="0" borderId="2" xfId="0" applyFont="1" applyBorder="1" applyAlignment="1" applyProtection="1">
      <alignment horizontal="left" vertical="center" wrapText="1"/>
      <protection locked="0"/>
    </xf>
    <xf numFmtId="0" fontId="77" fillId="0" borderId="2" xfId="0" applyFont="1" applyBorder="1" applyAlignment="1">
      <alignment horizontal="left" vertical="center"/>
    </xf>
    <xf numFmtId="170" fontId="77" fillId="0" borderId="2" xfId="116" applyFont="1" applyFill="1" applyBorder="1" applyAlignment="1">
      <alignment horizontal="left" vertical="center"/>
    </xf>
    <xf numFmtId="3" fontId="77" fillId="0" borderId="2" xfId="116" applyNumberFormat="1" applyFont="1" applyFill="1" applyBorder="1" applyAlignment="1">
      <alignment horizontal="left" vertical="center"/>
    </xf>
    <xf numFmtId="1" fontId="77" fillId="0" borderId="2" xfId="0" applyNumberFormat="1" applyFont="1" applyBorder="1" applyAlignment="1" applyProtection="1">
      <alignment horizontal="left" vertical="center"/>
      <protection locked="0"/>
    </xf>
    <xf numFmtId="1" fontId="77" fillId="0" borderId="0" xfId="0" applyNumberFormat="1" applyFont="1" applyAlignment="1">
      <alignment vertical="center"/>
    </xf>
    <xf numFmtId="0" fontId="77" fillId="0" borderId="2" xfId="0" applyFont="1" applyBorder="1" applyAlignment="1">
      <alignment vertical="top" wrapText="1"/>
    </xf>
    <xf numFmtId="0" fontId="77" fillId="0" borderId="21" xfId="0" applyFont="1" applyBorder="1" applyAlignment="1" applyProtection="1">
      <alignment horizontal="left" vertical="center" wrapText="1"/>
      <protection locked="0"/>
    </xf>
    <xf numFmtId="1" fontId="77" fillId="0" borderId="2" xfId="0" applyNumberFormat="1" applyFont="1" applyBorder="1" applyAlignment="1">
      <alignment horizontal="left" vertical="center"/>
    </xf>
    <xf numFmtId="2" fontId="77" fillId="0" borderId="0" xfId="0" applyNumberFormat="1" applyFont="1" applyAlignment="1">
      <alignment vertical="center"/>
    </xf>
    <xf numFmtId="176" fontId="50" fillId="0" borderId="2" xfId="116" applyNumberFormat="1" applyFont="1" applyFill="1" applyBorder="1" applyAlignment="1">
      <alignment horizontal="left" vertical="center" wrapText="1"/>
    </xf>
    <xf numFmtId="176" fontId="77" fillId="0" borderId="2" xfId="116" applyNumberFormat="1" applyFont="1" applyFill="1" applyBorder="1" applyAlignment="1">
      <alignment horizontal="left" vertical="center"/>
    </xf>
    <xf numFmtId="3" fontId="50" fillId="0" borderId="2" xfId="116" applyNumberFormat="1" applyFont="1" applyFill="1" applyBorder="1" applyAlignment="1">
      <alignment horizontal="left" vertical="center"/>
    </xf>
    <xf numFmtId="170" fontId="77" fillId="0" borderId="2" xfId="0" applyNumberFormat="1" applyFont="1" applyBorder="1" applyAlignment="1">
      <alignment horizontal="left" vertical="center" wrapText="1"/>
    </xf>
    <xf numFmtId="170" fontId="77" fillId="0" borderId="2" xfId="122" applyFont="1" applyFill="1" applyBorder="1" applyAlignment="1">
      <alignment horizontal="left" vertical="center" wrapText="1"/>
    </xf>
    <xf numFmtId="170" fontId="77" fillId="0" borderId="2" xfId="123" applyFont="1" applyFill="1" applyBorder="1" applyAlignment="1">
      <alignment horizontal="left" vertical="center" wrapText="1"/>
    </xf>
    <xf numFmtId="0" fontId="77" fillId="0" borderId="21" xfId="0" applyFont="1" applyBorder="1" applyAlignment="1">
      <alignment horizontal="left" vertical="center" wrapText="1"/>
    </xf>
    <xf numFmtId="170" fontId="77" fillId="0" borderId="2" xfId="0" applyNumberFormat="1" applyFont="1" applyBorder="1" applyAlignment="1">
      <alignment horizontal="left" vertical="center"/>
    </xf>
    <xf numFmtId="170" fontId="77" fillId="0" borderId="2" xfId="39" applyNumberFormat="1" applyFont="1" applyBorder="1" applyAlignment="1">
      <alignment horizontal="left" vertical="center" wrapText="1"/>
    </xf>
    <xf numFmtId="0" fontId="77" fillId="0" borderId="21" xfId="0" applyFont="1" applyBorder="1" applyAlignment="1">
      <alignment vertical="center"/>
    </xf>
    <xf numFmtId="179" fontId="77" fillId="0" borderId="0" xfId="0" applyNumberFormat="1" applyFont="1" applyAlignment="1">
      <alignment vertical="center"/>
    </xf>
    <xf numFmtId="176" fontId="8" fillId="0" borderId="0" xfId="116" applyNumberFormat="1" applyFont="1" applyFill="1" applyBorder="1" applyAlignment="1">
      <alignment horizontal="left" vertical="center"/>
    </xf>
    <xf numFmtId="1" fontId="0" fillId="0" borderId="0" xfId="0" applyNumberFormat="1"/>
    <xf numFmtId="1" fontId="0" fillId="0" borderId="2" xfId="0" applyNumberFormat="1" applyBorder="1"/>
    <xf numFmtId="1" fontId="101" fillId="0" borderId="2" xfId="0" applyNumberFormat="1" applyFont="1" applyBorder="1"/>
    <xf numFmtId="0" fontId="101" fillId="0" borderId="2" xfId="0" applyFont="1" applyBorder="1"/>
    <xf numFmtId="176" fontId="32" fillId="0" borderId="2" xfId="116" applyNumberFormat="1" applyFont="1" applyFill="1" applyBorder="1" applyAlignment="1">
      <alignment vertical="center" wrapText="1"/>
    </xf>
    <xf numFmtId="0" fontId="4" fillId="10" borderId="0" xfId="0" applyFont="1" applyFill="1" applyAlignment="1" applyProtection="1">
      <alignment horizontal="left" vertical="center"/>
      <protection locked="0"/>
    </xf>
    <xf numFmtId="0" fontId="4" fillId="10" borderId="0" xfId="0" applyFont="1" applyFill="1" applyAlignment="1">
      <alignment horizontal="left" vertical="center"/>
    </xf>
    <xf numFmtId="0" fontId="4" fillId="10" borderId="2" xfId="0" applyFont="1" applyFill="1" applyBorder="1" applyAlignment="1">
      <alignment horizontal="left" vertical="center"/>
    </xf>
    <xf numFmtId="170" fontId="4" fillId="10" borderId="2" xfId="116" applyFont="1" applyFill="1" applyBorder="1" applyAlignment="1">
      <alignment horizontal="left" vertical="center"/>
    </xf>
    <xf numFmtId="170" fontId="4" fillId="10" borderId="2" xfId="123" applyFont="1" applyFill="1" applyBorder="1" applyAlignment="1">
      <alignment horizontal="left" vertical="center" wrapText="1"/>
    </xf>
    <xf numFmtId="0" fontId="4" fillId="17" borderId="0" xfId="0" applyFont="1" applyFill="1" applyAlignment="1" applyProtection="1">
      <alignment horizontal="left" vertical="center"/>
      <protection locked="0"/>
    </xf>
    <xf numFmtId="0" fontId="4" fillId="17" borderId="0" xfId="0" applyFont="1" applyFill="1" applyAlignment="1">
      <alignment horizontal="left" vertical="center"/>
    </xf>
    <xf numFmtId="0" fontId="4" fillId="17" borderId="2" xfId="0" applyFont="1" applyFill="1" applyBorder="1" applyAlignment="1">
      <alignment horizontal="left" vertical="center"/>
    </xf>
    <xf numFmtId="170" fontId="4" fillId="18" borderId="2" xfId="116" applyFont="1" applyFill="1" applyBorder="1" applyAlignment="1">
      <alignment horizontal="center" vertical="center"/>
    </xf>
    <xf numFmtId="170" fontId="4" fillId="13" borderId="2" xfId="116" applyFont="1" applyFill="1" applyBorder="1" applyAlignment="1">
      <alignment horizontal="center" vertical="center"/>
    </xf>
    <xf numFmtId="170" fontId="4" fillId="0" borderId="0" xfId="0" applyNumberFormat="1" applyFont="1" applyAlignment="1">
      <alignment horizontal="left" vertical="center"/>
    </xf>
    <xf numFmtId="170" fontId="4" fillId="0" borderId="4" xfId="116" applyFont="1" applyFill="1" applyBorder="1" applyAlignment="1">
      <alignment horizontal="left" vertical="center"/>
    </xf>
    <xf numFmtId="170" fontId="4" fillId="0" borderId="0" xfId="116" applyFont="1" applyFill="1" applyBorder="1" applyAlignment="1">
      <alignment horizontal="left" vertical="center"/>
    </xf>
    <xf numFmtId="170" fontId="4" fillId="0" borderId="3" xfId="116" applyFont="1" applyFill="1" applyBorder="1" applyAlignment="1">
      <alignment horizontal="left" vertical="center"/>
    </xf>
    <xf numFmtId="43" fontId="4" fillId="0" borderId="0" xfId="0" applyNumberFormat="1" applyFont="1" applyAlignment="1">
      <alignment horizontal="left" vertical="center"/>
    </xf>
    <xf numFmtId="176" fontId="4" fillId="10" borderId="2" xfId="116" applyNumberFormat="1" applyFont="1" applyFill="1" applyBorder="1" applyAlignment="1">
      <alignment horizontal="left" vertical="center" wrapText="1"/>
    </xf>
    <xf numFmtId="4" fontId="122" fillId="0" borderId="2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50" fillId="0" borderId="4" xfId="0" applyFont="1" applyBorder="1" applyAlignment="1">
      <alignment horizontal="left" vertical="center" wrapText="1"/>
    </xf>
    <xf numFmtId="0" fontId="77" fillId="0" borderId="0" xfId="0" applyFont="1" applyAlignment="1">
      <alignment horizontal="center" vertical="center" wrapText="1"/>
    </xf>
    <xf numFmtId="0" fontId="77" fillId="0" borderId="0" xfId="0" applyFont="1" applyAlignment="1">
      <alignment horizontal="center" vertical="center"/>
    </xf>
    <xf numFmtId="170" fontId="4" fillId="0" borderId="2" xfId="116" applyFont="1" applyFill="1" applyBorder="1" applyAlignment="1">
      <alignment horizontal="center" vertical="center" wrapText="1"/>
    </xf>
    <xf numFmtId="170" fontId="4" fillId="0" borderId="2" xfId="0" applyNumberFormat="1" applyFont="1" applyBorder="1" applyAlignment="1">
      <alignment horizontal="center" vertical="center"/>
    </xf>
    <xf numFmtId="170" fontId="4" fillId="0" borderId="2" xfId="116" applyFont="1" applyFill="1" applyBorder="1" applyAlignment="1">
      <alignment horizontal="right" vertical="center" wrapText="1"/>
    </xf>
    <xf numFmtId="170" fontId="87" fillId="0" borderId="2" xfId="0" applyNumberFormat="1" applyFont="1" applyBorder="1" applyAlignment="1">
      <alignment horizontal="left" vertical="center"/>
    </xf>
    <xf numFmtId="176" fontId="117" fillId="16" borderId="2" xfId="116" applyNumberFormat="1" applyFont="1" applyFill="1" applyBorder="1" applyAlignment="1">
      <alignment horizontal="left" vertical="center" wrapText="1"/>
    </xf>
    <xf numFmtId="0" fontId="33" fillId="0" borderId="2" xfId="0" applyFont="1" applyBorder="1" applyAlignment="1">
      <alignment horizontal="center" vertical="center"/>
    </xf>
    <xf numFmtId="0" fontId="122" fillId="0" borderId="0" xfId="0" applyFont="1" applyAlignment="1">
      <alignment horizontal="left" vertical="center"/>
    </xf>
    <xf numFmtId="0" fontId="122" fillId="0" borderId="0" xfId="0" applyFont="1" applyAlignment="1">
      <alignment horizontal="left" vertical="center" wrapText="1"/>
    </xf>
    <xf numFmtId="176" fontId="88" fillId="0" borderId="0" xfId="116" applyNumberFormat="1" applyFont="1" applyFill="1" applyAlignment="1" applyProtection="1">
      <alignment horizontal="left" vertical="center"/>
      <protection locked="0"/>
    </xf>
    <xf numFmtId="0" fontId="122" fillId="0" borderId="0" xfId="0" applyFont="1" applyAlignment="1" applyProtection="1">
      <alignment horizontal="left" vertical="center"/>
      <protection locked="0"/>
    </xf>
    <xf numFmtId="0" fontId="122" fillId="0" borderId="0" xfId="0" applyFont="1" applyAlignment="1" applyProtection="1">
      <alignment horizontal="left" vertical="center" wrapText="1"/>
      <protection locked="0"/>
    </xf>
    <xf numFmtId="0" fontId="8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7" fillId="0" borderId="0" xfId="0" applyFont="1" applyAlignment="1">
      <alignment horizontal="left" vertical="center"/>
    </xf>
    <xf numFmtId="0" fontId="77" fillId="0" borderId="2" xfId="0" applyFont="1" applyBorder="1" applyAlignment="1" applyProtection="1">
      <alignment horizontal="center" vertical="center"/>
      <protection locked="0"/>
    </xf>
    <xf numFmtId="176" fontId="77" fillId="0" borderId="2" xfId="116" applyNumberFormat="1" applyFont="1" applyFill="1" applyBorder="1" applyAlignment="1">
      <alignment horizontal="center" vertical="center" wrapText="1"/>
    </xf>
    <xf numFmtId="3" fontId="77" fillId="0" borderId="2" xfId="116" applyNumberFormat="1" applyFont="1" applyFill="1" applyBorder="1" applyAlignment="1">
      <alignment horizontal="center" vertical="center"/>
    </xf>
    <xf numFmtId="3" fontId="77" fillId="0" borderId="0" xfId="116" applyNumberFormat="1" applyFont="1" applyFill="1" applyBorder="1" applyAlignment="1">
      <alignment horizontal="center" vertical="center"/>
    </xf>
    <xf numFmtId="1" fontId="77" fillId="0" borderId="0" xfId="0" applyNumberFormat="1" applyFont="1" applyAlignment="1">
      <alignment horizontal="left" vertical="center"/>
    </xf>
    <xf numFmtId="179" fontId="77" fillId="0" borderId="0" xfId="0" applyNumberFormat="1" applyFont="1" applyAlignment="1">
      <alignment horizontal="left" vertical="center"/>
    </xf>
    <xf numFmtId="0" fontId="77" fillId="0" borderId="0" xfId="0" applyFont="1" applyAlignment="1">
      <alignment horizontal="left" vertical="top" wrapText="1"/>
    </xf>
    <xf numFmtId="0" fontId="50" fillId="0" borderId="0" xfId="0" applyFont="1" applyAlignment="1" applyProtection="1">
      <alignment horizontal="left" vertical="center"/>
      <protection locked="0"/>
    </xf>
    <xf numFmtId="0" fontId="77" fillId="0" borderId="0" xfId="0" applyFont="1" applyAlignment="1">
      <alignment horizontal="left" vertical="center" wrapText="1"/>
    </xf>
    <xf numFmtId="0" fontId="77" fillId="0" borderId="2" xfId="0" applyFont="1" applyBorder="1" applyAlignment="1">
      <alignment horizontal="left" vertical="center" wrapText="1"/>
    </xf>
    <xf numFmtId="170" fontId="77" fillId="0" borderId="2" xfId="116" applyFont="1" applyFill="1" applyBorder="1" applyAlignment="1">
      <alignment horizontal="left" vertical="center" wrapText="1"/>
    </xf>
    <xf numFmtId="0" fontId="50" fillId="0" borderId="0" xfId="0" applyFont="1" applyAlignment="1" applyProtection="1">
      <alignment vertical="top"/>
      <protection locked="0"/>
    </xf>
    <xf numFmtId="170" fontId="122" fillId="0" borderId="0" xfId="0" applyNumberFormat="1" applyFont="1" applyAlignment="1">
      <alignment horizontal="center" vertical="center"/>
    </xf>
    <xf numFmtId="0" fontId="122" fillId="0" borderId="0" xfId="0" applyFont="1" applyAlignment="1">
      <alignment horizontal="center" vertical="center"/>
    </xf>
    <xf numFmtId="0" fontId="122" fillId="0" borderId="0" xfId="0" applyFont="1" applyAlignment="1">
      <alignment horizontal="center" vertical="center" wrapText="1"/>
    </xf>
    <xf numFmtId="170" fontId="122" fillId="0" borderId="0" xfId="0" applyNumberFormat="1" applyFont="1" applyAlignment="1" applyProtection="1">
      <alignment horizontal="center" vertical="center"/>
      <protection locked="0"/>
    </xf>
    <xf numFmtId="0" fontId="122" fillId="0" borderId="0" xfId="0" applyFont="1" applyAlignment="1" applyProtection="1">
      <alignment horizontal="center" vertical="center"/>
      <protection locked="0"/>
    </xf>
    <xf numFmtId="0" fontId="50" fillId="0" borderId="2" xfId="0" applyFont="1" applyBorder="1" applyAlignment="1">
      <alignment horizontal="center" vertical="center" wrapText="1"/>
    </xf>
    <xf numFmtId="170" fontId="50" fillId="0" borderId="2" xfId="0" applyNumberFormat="1" applyFont="1" applyBorder="1" applyAlignment="1">
      <alignment horizontal="center" vertical="center" wrapText="1"/>
    </xf>
    <xf numFmtId="0" fontId="50" fillId="0" borderId="7" xfId="0" applyFont="1" applyBorder="1" applyAlignment="1">
      <alignment horizontal="center" vertical="center" wrapText="1"/>
    </xf>
    <xf numFmtId="3" fontId="50" fillId="0" borderId="2" xfId="0" applyNumberFormat="1" applyFont="1" applyBorder="1" applyAlignment="1">
      <alignment horizontal="center" vertical="center" wrapText="1"/>
    </xf>
    <xf numFmtId="170" fontId="77" fillId="0" borderId="0" xfId="122" applyFont="1" applyFill="1" applyBorder="1" applyAlignment="1">
      <alignment horizontal="left" vertical="center" wrapText="1"/>
    </xf>
    <xf numFmtId="0" fontId="50" fillId="0" borderId="0" xfId="0" applyFont="1" applyAlignment="1">
      <alignment horizontal="left" vertical="center"/>
    </xf>
    <xf numFmtId="178" fontId="50" fillId="0" borderId="0" xfId="122" applyNumberFormat="1" applyFont="1" applyFill="1" applyAlignment="1">
      <alignment horizontal="left" vertical="center"/>
    </xf>
    <xf numFmtId="0" fontId="122" fillId="0" borderId="2" xfId="0" applyFont="1" applyBorder="1" applyAlignment="1">
      <alignment horizontal="left" vertical="center" wrapText="1"/>
    </xf>
    <xf numFmtId="176" fontId="122" fillId="0" borderId="2" xfId="116" applyNumberFormat="1" applyFont="1" applyFill="1" applyBorder="1" applyAlignment="1">
      <alignment horizontal="left" vertical="center"/>
    </xf>
    <xf numFmtId="170" fontId="77" fillId="0" borderId="0" xfId="123" applyFont="1" applyFill="1" applyBorder="1" applyAlignment="1">
      <alignment horizontal="left" vertical="center" wrapText="1"/>
    </xf>
    <xf numFmtId="176" fontId="50" fillId="0" borderId="0" xfId="116" applyNumberFormat="1" applyFont="1" applyFill="1" applyAlignment="1" applyProtection="1">
      <alignment horizontal="left" vertical="center"/>
      <protection locked="0"/>
    </xf>
    <xf numFmtId="0" fontId="77" fillId="0" borderId="0" xfId="0" applyFont="1" applyAlignment="1" applyProtection="1">
      <alignment horizontal="left" vertical="center"/>
      <protection locked="0"/>
    </xf>
    <xf numFmtId="0" fontId="77" fillId="0" borderId="0" xfId="0" applyFont="1" applyAlignment="1" applyProtection="1">
      <alignment horizontal="left" vertical="center" wrapText="1"/>
      <protection locked="0"/>
    </xf>
    <xf numFmtId="3" fontId="77" fillId="0" borderId="0" xfId="0" applyNumberFormat="1" applyFont="1" applyAlignment="1">
      <alignment horizontal="left" vertical="center"/>
    </xf>
    <xf numFmtId="170" fontId="77" fillId="0" borderId="2" xfId="116" applyFont="1" applyFill="1" applyBorder="1" applyAlignment="1">
      <alignment horizontal="right" vertical="center" wrapText="1"/>
    </xf>
    <xf numFmtId="3" fontId="77" fillId="0" borderId="0" xfId="116" applyNumberFormat="1" applyFont="1" applyFill="1" applyBorder="1" applyAlignment="1">
      <alignment horizontal="left" vertical="center"/>
    </xf>
    <xf numFmtId="170" fontId="77" fillId="0" borderId="2" xfId="0" applyNumberFormat="1" applyFont="1" applyBorder="1" applyAlignment="1">
      <alignment horizontal="right" vertical="center"/>
    </xf>
    <xf numFmtId="1" fontId="77" fillId="10" borderId="0" xfId="0" applyNumberFormat="1" applyFont="1" applyFill="1" applyAlignment="1">
      <alignment horizontal="left" vertical="center"/>
    </xf>
    <xf numFmtId="176" fontId="77" fillId="0" borderId="0" xfId="116" applyNumberFormat="1" applyFont="1" applyFill="1" applyBorder="1" applyAlignment="1">
      <alignment horizontal="left" vertical="center"/>
    </xf>
    <xf numFmtId="176" fontId="50" fillId="0" borderId="0" xfId="116" applyNumberFormat="1" applyFont="1" applyFill="1" applyBorder="1" applyAlignment="1">
      <alignment horizontal="left" vertical="center"/>
    </xf>
    <xf numFmtId="4" fontId="87" fillId="0" borderId="2" xfId="0" applyNumberFormat="1" applyFont="1" applyBorder="1" applyAlignment="1">
      <alignment horizontal="left" vertical="center"/>
    </xf>
    <xf numFmtId="4" fontId="77" fillId="0" borderId="2" xfId="116" applyNumberFormat="1" applyFont="1" applyFill="1" applyBorder="1" applyAlignment="1">
      <alignment horizontal="left" vertical="center"/>
    </xf>
    <xf numFmtId="4" fontId="77" fillId="0" borderId="0" xfId="116" applyNumberFormat="1" applyFont="1" applyFill="1" applyBorder="1" applyAlignment="1">
      <alignment horizontal="left" vertical="center"/>
    </xf>
    <xf numFmtId="0" fontId="153" fillId="0" borderId="0" xfId="0" applyFont="1" applyAlignment="1">
      <alignment horizontal="left" vertical="center"/>
    </xf>
    <xf numFmtId="0" fontId="153" fillId="0" borderId="0" xfId="0" applyFont="1" applyAlignment="1" applyProtection="1">
      <alignment horizontal="left" vertical="center"/>
      <protection locked="0"/>
    </xf>
    <xf numFmtId="0" fontId="77" fillId="0" borderId="0" xfId="0" applyFont="1" applyAlignment="1" applyProtection="1">
      <alignment horizontal="center" vertical="center"/>
      <protection locked="0"/>
    </xf>
    <xf numFmtId="170" fontId="77" fillId="0" borderId="0" xfId="122" applyFont="1" applyFill="1" applyBorder="1" applyAlignment="1">
      <alignment horizontal="center" vertical="center" wrapText="1"/>
    </xf>
    <xf numFmtId="0" fontId="81" fillId="0" borderId="2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 wrapText="1"/>
    </xf>
    <xf numFmtId="0" fontId="49" fillId="0" borderId="2" xfId="0" applyFont="1" applyBorder="1" applyAlignment="1">
      <alignment horizontal="center" vertical="center"/>
    </xf>
    <xf numFmtId="170" fontId="49" fillId="0" borderId="2" xfId="0" applyNumberFormat="1" applyFont="1" applyBorder="1" applyAlignment="1">
      <alignment horizontal="center" vertical="center"/>
    </xf>
    <xf numFmtId="178" fontId="4" fillId="0" borderId="2" xfId="116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0" fontId="4" fillId="0" borderId="0" xfId="0" applyFont="1" applyAlignment="1" applyProtection="1">
      <alignment horizontal="right"/>
      <protection locked="0"/>
    </xf>
    <xf numFmtId="176" fontId="4" fillId="0" borderId="0" xfId="116" applyNumberFormat="1" applyFont="1" applyFill="1" applyBorder="1" applyAlignment="1">
      <alignment horizontal="right"/>
    </xf>
    <xf numFmtId="170" fontId="4" fillId="0" borderId="0" xfId="122" applyFont="1" applyFill="1" applyBorder="1" applyAlignment="1">
      <alignment horizontal="right" wrapText="1"/>
    </xf>
    <xf numFmtId="3" fontId="4" fillId="0" borderId="0" xfId="116" applyNumberFormat="1" applyFont="1" applyFill="1" applyBorder="1" applyAlignment="1">
      <alignment horizontal="right"/>
    </xf>
    <xf numFmtId="0" fontId="4" fillId="0" borderId="0" xfId="0" applyFont="1" applyAlignment="1" applyProtection="1">
      <alignment horizontal="right" wrapText="1"/>
      <protection locked="0"/>
    </xf>
    <xf numFmtId="178" fontId="8" fillId="0" borderId="0" xfId="122" applyNumberFormat="1" applyFont="1" applyFill="1" applyAlignment="1">
      <alignment horizontal="right"/>
    </xf>
    <xf numFmtId="176" fontId="8" fillId="0" borderId="0" xfId="116" applyNumberFormat="1" applyFont="1" applyFill="1" applyAlignme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0" applyFont="1" applyAlignment="1">
      <alignment wrapText="1"/>
    </xf>
    <xf numFmtId="0" fontId="77" fillId="0" borderId="0" xfId="116" applyNumberFormat="1" applyFont="1" applyFill="1" applyBorder="1" applyAlignment="1">
      <alignment horizontal="center" vertical="center" wrapText="1"/>
    </xf>
    <xf numFmtId="170" fontId="77" fillId="0" borderId="2" xfId="0" applyNumberFormat="1" applyFont="1" applyBorder="1" applyAlignment="1" applyProtection="1">
      <alignment horizontal="right" vertical="center"/>
      <protection locked="0"/>
    </xf>
    <xf numFmtId="4" fontId="122" fillId="0" borderId="2" xfId="0" applyNumberFormat="1" applyFont="1" applyBorder="1" applyAlignment="1">
      <alignment horizontal="left" vertical="center"/>
    </xf>
    <xf numFmtId="170" fontId="87" fillId="0" borderId="2" xfId="116" applyFont="1" applyFill="1" applyBorder="1" applyAlignment="1">
      <alignment horizontal="left" vertical="center"/>
    </xf>
    <xf numFmtId="170" fontId="4" fillId="0" borderId="2" xfId="116" applyFont="1" applyFill="1" applyBorder="1" applyAlignment="1" applyProtection="1">
      <alignment horizontal="left" vertical="center"/>
      <protection locked="0"/>
    </xf>
    <xf numFmtId="170" fontId="4" fillId="0" borderId="2" xfId="116" applyFont="1" applyFill="1" applyBorder="1" applyAlignment="1">
      <alignment wrapText="1"/>
    </xf>
    <xf numFmtId="0" fontId="28" fillId="0" borderId="0" xfId="62" applyFont="1"/>
    <xf numFmtId="0" fontId="27" fillId="0" borderId="0" xfId="62" applyFont="1"/>
    <xf numFmtId="0" fontId="3" fillId="0" borderId="0" xfId="62" applyFont="1" applyAlignment="1">
      <alignment horizontal="center"/>
    </xf>
    <xf numFmtId="14" fontId="3" fillId="0" borderId="0" xfId="62" applyNumberFormat="1" applyFont="1" applyAlignment="1">
      <alignment horizontal="center"/>
    </xf>
    <xf numFmtId="0" fontId="3" fillId="0" borderId="0" xfId="62" applyFont="1"/>
    <xf numFmtId="0" fontId="8" fillId="0" borderId="0" xfId="111" applyFont="1" applyAlignment="1">
      <alignment horizontal="left" vertical="center" wrapText="1"/>
    </xf>
    <xf numFmtId="0" fontId="8" fillId="0" borderId="0" xfId="111" applyFont="1" applyAlignment="1">
      <alignment horizontal="center" vertical="center" wrapText="1"/>
    </xf>
    <xf numFmtId="0" fontId="4" fillId="0" borderId="0" xfId="111" applyFont="1" applyAlignment="1">
      <alignment horizontal="center" vertical="center" wrapText="1"/>
    </xf>
    <xf numFmtId="0" fontId="8" fillId="0" borderId="2" xfId="111" applyFont="1" applyBorder="1" applyAlignment="1">
      <alignment horizontal="center" vertical="center" wrapText="1"/>
    </xf>
    <xf numFmtId="0" fontId="8" fillId="0" borderId="4" xfId="111" applyFont="1" applyBorder="1" applyAlignment="1">
      <alignment horizontal="center" vertical="center" wrapText="1"/>
    </xf>
    <xf numFmtId="0" fontId="28" fillId="0" borderId="0" xfId="62" applyFont="1" applyAlignment="1">
      <alignment horizontal="center"/>
    </xf>
    <xf numFmtId="0" fontId="4" fillId="0" borderId="2" xfId="111" applyFont="1" applyBorder="1" applyAlignment="1">
      <alignment horizontal="center" vertical="center" wrapText="1"/>
    </xf>
    <xf numFmtId="0" fontId="4" fillId="0" borderId="2" xfId="111" applyFont="1" applyBorder="1" applyAlignment="1" applyProtection="1">
      <alignment vertical="center" wrapText="1"/>
      <protection locked="0"/>
    </xf>
    <xf numFmtId="0" fontId="4" fillId="0" borderId="7" xfId="111" applyFont="1" applyBorder="1" applyAlignment="1" applyProtection="1">
      <alignment horizontal="center" vertical="center" wrapText="1"/>
      <protection locked="0"/>
    </xf>
    <xf numFmtId="0" fontId="3" fillId="0" borderId="2" xfId="62" applyFont="1" applyBorder="1" applyAlignment="1" applyProtection="1">
      <alignment horizontal="center" vertical="center"/>
      <protection locked="0"/>
    </xf>
    <xf numFmtId="0" fontId="4" fillId="0" borderId="2" xfId="111" applyFont="1" applyBorder="1" applyAlignment="1" applyProtection="1">
      <alignment horizontal="center" vertical="center" wrapText="1"/>
      <protection locked="0"/>
    </xf>
    <xf numFmtId="0" fontId="4" fillId="0" borderId="0" xfId="111" applyFont="1" applyAlignment="1">
      <alignment horizontal="left" vertical="center" wrapText="1"/>
    </xf>
    <xf numFmtId="0" fontId="4" fillId="0" borderId="0" xfId="111" applyFont="1" applyAlignment="1">
      <alignment horizontal="left" vertical="top" wrapText="1"/>
    </xf>
    <xf numFmtId="0" fontId="8" fillId="0" borderId="0" xfId="111" applyFont="1" applyAlignment="1">
      <alignment horizontal="left" vertical="top" wrapText="1"/>
    </xf>
    <xf numFmtId="0" fontId="3" fillId="0" borderId="0" xfId="62" applyFont="1" applyAlignment="1">
      <alignment vertical="top" wrapText="1"/>
    </xf>
    <xf numFmtId="0" fontId="28" fillId="0" borderId="0" xfId="62" applyFont="1" applyAlignment="1">
      <alignment vertical="top" wrapText="1"/>
    </xf>
    <xf numFmtId="0" fontId="49" fillId="0" borderId="0" xfId="111" applyFont="1" applyAlignment="1">
      <alignment horizontal="left" vertical="top"/>
    </xf>
    <xf numFmtId="0" fontId="3" fillId="0" borderId="0" xfId="62" applyFont="1" applyAlignment="1">
      <alignment vertical="top"/>
    </xf>
    <xf numFmtId="0" fontId="28" fillId="0" borderId="0" xfId="62" applyFont="1" applyAlignment="1">
      <alignment vertical="top"/>
    </xf>
    <xf numFmtId="0" fontId="33" fillId="0" borderId="0" xfId="111" applyFont="1" applyAlignment="1">
      <alignment horizontal="left" vertical="top"/>
    </xf>
    <xf numFmtId="0" fontId="4" fillId="0" borderId="0" xfId="62" applyFont="1" applyAlignment="1">
      <alignment vertical="top" wrapText="1"/>
    </xf>
    <xf numFmtId="0" fontId="33" fillId="0" borderId="0" xfId="111" applyFont="1" applyAlignment="1">
      <alignment vertical="top" wrapText="1"/>
    </xf>
    <xf numFmtId="2" fontId="8" fillId="0" borderId="0" xfId="111" applyNumberFormat="1" applyFont="1" applyAlignment="1">
      <alignment horizontal="left" vertical="top" wrapText="1"/>
    </xf>
    <xf numFmtId="0" fontId="27" fillId="0" borderId="0" xfId="62" applyFont="1" applyAlignment="1">
      <alignment vertical="top" wrapText="1"/>
    </xf>
    <xf numFmtId="0" fontId="49" fillId="0" borderId="0" xfId="111" applyFont="1" applyAlignment="1">
      <alignment vertical="top"/>
    </xf>
    <xf numFmtId="0" fontId="4" fillId="0" borderId="0" xfId="62" applyFont="1" applyAlignment="1">
      <alignment vertical="top"/>
    </xf>
    <xf numFmtId="0" fontId="27" fillId="0" borderId="0" xfId="62" applyFont="1" applyAlignment="1">
      <alignment vertical="top"/>
    </xf>
    <xf numFmtId="0" fontId="33" fillId="0" borderId="0" xfId="111" applyFont="1" applyAlignment="1">
      <alignment vertical="center" wrapText="1"/>
    </xf>
    <xf numFmtId="0" fontId="8" fillId="0" borderId="6" xfId="111" applyFont="1" applyBorder="1" applyAlignment="1">
      <alignment horizontal="center" vertical="center" wrapText="1"/>
    </xf>
    <xf numFmtId="0" fontId="7" fillId="0" borderId="2" xfId="62" applyFont="1" applyBorder="1" applyAlignment="1">
      <alignment horizontal="center" vertical="center"/>
    </xf>
    <xf numFmtId="0" fontId="15" fillId="0" borderId="0" xfId="62" applyFont="1"/>
    <xf numFmtId="0" fontId="4" fillId="0" borderId="2" xfId="111" applyFont="1" applyBorder="1" applyAlignment="1">
      <alignment vertical="center" wrapText="1"/>
    </xf>
    <xf numFmtId="4" fontId="4" fillId="0" borderId="2" xfId="131" applyNumberFormat="1" applyFont="1" applyFill="1" applyBorder="1" applyAlignment="1" applyProtection="1">
      <alignment horizontal="center" vertical="center" wrapText="1"/>
      <protection locked="0"/>
    </xf>
    <xf numFmtId="4" fontId="4" fillId="0" borderId="2" xfId="131" applyNumberFormat="1" applyFont="1" applyFill="1" applyBorder="1" applyAlignment="1">
      <alignment horizontal="center" vertical="center" wrapText="1"/>
    </xf>
    <xf numFmtId="3" fontId="3" fillId="0" borderId="2" xfId="131" applyNumberFormat="1" applyFont="1" applyFill="1" applyBorder="1" applyAlignment="1" applyProtection="1">
      <alignment horizontal="center" vertical="center" wrapText="1"/>
      <protection locked="0"/>
    </xf>
    <xf numFmtId="4" fontId="3" fillId="0" borderId="2" xfId="62" applyNumberFormat="1" applyFont="1" applyBorder="1" applyProtection="1">
      <protection locked="0"/>
    </xf>
    <xf numFmtId="0" fontId="8" fillId="0" borderId="2" xfId="111" applyFont="1" applyBorder="1" applyAlignment="1">
      <alignment vertical="center" wrapText="1"/>
    </xf>
    <xf numFmtId="4" fontId="8" fillId="0" borderId="2" xfId="131" applyNumberFormat="1" applyFont="1" applyFill="1" applyBorder="1" applyAlignment="1">
      <alignment horizontal="center" vertical="center" wrapText="1"/>
    </xf>
    <xf numFmtId="0" fontId="8" fillId="0" borderId="2" xfId="111" applyFont="1" applyBorder="1" applyAlignment="1" applyProtection="1">
      <alignment vertical="center" wrapText="1"/>
      <protection locked="0"/>
    </xf>
    <xf numFmtId="0" fontId="8" fillId="0" borderId="2" xfId="111" applyFont="1" applyBorder="1" applyAlignment="1" applyProtection="1">
      <alignment horizontal="center" vertical="center" wrapText="1"/>
      <protection locked="0"/>
    </xf>
    <xf numFmtId="4" fontId="8" fillId="0" borderId="2" xfId="131" applyNumberFormat="1" applyFont="1" applyFill="1" applyBorder="1" applyAlignment="1" applyProtection="1">
      <alignment vertical="center" wrapText="1"/>
      <protection locked="0"/>
    </xf>
    <xf numFmtId="4" fontId="8" fillId="0" borderId="2" xfId="111" applyNumberFormat="1" applyFont="1" applyBorder="1" applyAlignment="1">
      <alignment horizontal="center" vertical="center" wrapText="1"/>
    </xf>
    <xf numFmtId="0" fontId="4" fillId="0" borderId="0" xfId="111" applyFont="1" applyAlignment="1">
      <alignment vertical="center" wrapText="1"/>
    </xf>
    <xf numFmtId="0" fontId="8" fillId="0" borderId="0" xfId="111" applyFont="1" applyAlignment="1">
      <alignment vertical="center" wrapText="1"/>
    </xf>
    <xf numFmtId="4" fontId="8" fillId="0" borderId="0" xfId="131" applyNumberFormat="1" applyFont="1" applyFill="1" applyBorder="1" applyAlignment="1">
      <alignment vertical="center" wrapText="1"/>
    </xf>
    <xf numFmtId="172" fontId="8" fillId="0" borderId="0" xfId="131" applyNumberFormat="1" applyFont="1" applyFill="1" applyBorder="1" applyAlignment="1">
      <alignment vertical="center" wrapText="1"/>
    </xf>
    <xf numFmtId="0" fontId="3" fillId="0" borderId="2" xfId="62" applyFont="1" applyBorder="1" applyAlignment="1">
      <alignment horizontal="center" vertical="center"/>
    </xf>
    <xf numFmtId="170" fontId="4" fillId="0" borderId="4" xfId="116" applyFont="1" applyFill="1" applyBorder="1" applyAlignment="1" applyProtection="1">
      <alignment horizontal="center" vertical="center" wrapText="1"/>
      <protection locked="0"/>
    </xf>
    <xf numFmtId="182" fontId="7" fillId="0" borderId="2" xfId="62" applyNumberFormat="1" applyFont="1" applyBorder="1" applyAlignment="1">
      <alignment horizontal="center" vertical="center"/>
    </xf>
    <xf numFmtId="0" fontId="4" fillId="0" borderId="2" xfId="62" applyFont="1" applyBorder="1" applyAlignment="1">
      <alignment horizontal="center" vertical="center"/>
    </xf>
    <xf numFmtId="0" fontId="4" fillId="0" borderId="0" xfId="62" applyFont="1"/>
    <xf numFmtId="0" fontId="0" fillId="0" borderId="0" xfId="0" applyAlignment="1">
      <alignment wrapText="1"/>
    </xf>
    <xf numFmtId="14" fontId="122" fillId="0" borderId="0" xfId="0" applyNumberFormat="1" applyFont="1" applyAlignment="1">
      <alignment vertical="top" wrapText="1"/>
    </xf>
    <xf numFmtId="2" fontId="4" fillId="0" borderId="0" xfId="0" applyNumberFormat="1" applyFont="1" applyAlignment="1">
      <alignment horizontal="right" wrapText="1"/>
    </xf>
    <xf numFmtId="0" fontId="145" fillId="0" borderId="0" xfId="0" applyFont="1" applyAlignment="1" applyProtection="1">
      <alignment horizontal="right"/>
      <protection locked="0"/>
    </xf>
    <xf numFmtId="0" fontId="118" fillId="0" borderId="0" xfId="0" applyFont="1" applyAlignment="1">
      <alignment horizontal="right"/>
    </xf>
    <xf numFmtId="0" fontId="118" fillId="0" borderId="0" xfId="0" applyFont="1"/>
    <xf numFmtId="0" fontId="112" fillId="0" borderId="0" xfId="0" applyFont="1"/>
    <xf numFmtId="0" fontId="109" fillId="0" borderId="0" xfId="0" applyFont="1" applyAlignment="1">
      <alignment vertical="center" wrapText="1"/>
    </xf>
    <xf numFmtId="0" fontId="106" fillId="0" borderId="2" xfId="0" applyFont="1" applyBorder="1" applyAlignment="1">
      <alignment vertical="center" wrapText="1"/>
    </xf>
    <xf numFmtId="0" fontId="106" fillId="0" borderId="0" xfId="0" applyFont="1" applyAlignment="1">
      <alignment vertical="center" wrapText="1"/>
    </xf>
    <xf numFmtId="175" fontId="106" fillId="0" borderId="21" xfId="0" applyNumberFormat="1" applyFont="1" applyBorder="1"/>
    <xf numFmtId="176" fontId="106" fillId="0" borderId="2" xfId="0" applyNumberFormat="1" applyFont="1" applyBorder="1"/>
    <xf numFmtId="176" fontId="106" fillId="0" borderId="0" xfId="0" applyNumberFormat="1" applyFont="1"/>
    <xf numFmtId="176" fontId="109" fillId="0" borderId="2" xfId="0" applyNumberFormat="1" applyFont="1" applyBorder="1"/>
    <xf numFmtId="176" fontId="36" fillId="0" borderId="2" xfId="0" applyNumberFormat="1" applyFont="1" applyBorder="1"/>
    <xf numFmtId="170" fontId="106" fillId="0" borderId="2" xfId="0" applyNumberFormat="1" applyFont="1" applyBorder="1"/>
    <xf numFmtId="170" fontId="35" fillId="0" borderId="2" xfId="0" applyNumberFormat="1" applyFont="1" applyBorder="1"/>
    <xf numFmtId="170" fontId="106" fillId="0" borderId="0" xfId="0" applyNumberFormat="1" applyFont="1"/>
    <xf numFmtId="170" fontId="109" fillId="0" borderId="2" xfId="0" applyNumberFormat="1" applyFont="1" applyBorder="1"/>
    <xf numFmtId="170" fontId="36" fillId="0" borderId="2" xfId="0" applyNumberFormat="1" applyFont="1" applyBorder="1"/>
    <xf numFmtId="43" fontId="106" fillId="0" borderId="0" xfId="0" applyNumberFormat="1" applyFont="1"/>
    <xf numFmtId="176" fontId="109" fillId="0" borderId="2" xfId="0" applyNumberFormat="1" applyFont="1" applyBorder="1" applyAlignment="1">
      <alignment vertical="center" wrapText="1"/>
    </xf>
    <xf numFmtId="176" fontId="36" fillId="0" borderId="2" xfId="0" applyNumberFormat="1" applyFont="1" applyBorder="1" applyAlignment="1">
      <alignment vertical="center" wrapText="1"/>
    </xf>
    <xf numFmtId="186" fontId="106" fillId="0" borderId="0" xfId="0" applyNumberFormat="1" applyFont="1" applyAlignment="1">
      <alignment vertical="center" wrapText="1"/>
    </xf>
    <xf numFmtId="176" fontId="106" fillId="0" borderId="0" xfId="0" applyNumberFormat="1" applyFont="1" applyAlignment="1">
      <alignment vertical="center" wrapText="1"/>
    </xf>
    <xf numFmtId="176" fontId="109" fillId="0" borderId="0" xfId="0" applyNumberFormat="1" applyFont="1" applyAlignment="1">
      <alignment vertical="center" wrapText="1"/>
    </xf>
    <xf numFmtId="176" fontId="112" fillId="0" borderId="0" xfId="0" applyNumberFormat="1" applyFont="1" applyAlignment="1">
      <alignment vertical="center" wrapText="1"/>
    </xf>
    <xf numFmtId="170" fontId="112" fillId="0" borderId="0" xfId="0" applyNumberFormat="1" applyFont="1" applyAlignment="1">
      <alignment vertical="center" wrapText="1"/>
    </xf>
    <xf numFmtId="0" fontId="35" fillId="0" borderId="0" xfId="0" applyFont="1" applyAlignment="1">
      <alignment horizontal="left" indent="6"/>
    </xf>
    <xf numFmtId="181" fontId="35" fillId="0" borderId="2" xfId="116" applyNumberFormat="1" applyFont="1" applyFill="1" applyBorder="1" applyAlignment="1">
      <alignment horizontal="center" vertical="center" wrapText="1"/>
    </xf>
    <xf numFmtId="181" fontId="30" fillId="0" borderId="2" xfId="116" applyNumberFormat="1" applyFont="1" applyFill="1" applyBorder="1" applyAlignment="1">
      <alignment horizontal="right" vertical="center" wrapText="1"/>
    </xf>
    <xf numFmtId="181" fontId="36" fillId="0" borderId="2" xfId="34" applyNumberFormat="1" applyFont="1" applyBorder="1" applyAlignment="1">
      <alignment horizontal="center" vertical="center" wrapText="1"/>
    </xf>
    <xf numFmtId="181" fontId="9" fillId="0" borderId="2" xfId="116" applyNumberFormat="1" applyFont="1" applyFill="1" applyBorder="1" applyAlignment="1">
      <alignment horizontal="right" vertical="center" wrapText="1"/>
    </xf>
    <xf numFmtId="170" fontId="8" fillId="0" borderId="2" xfId="117" applyFont="1" applyFill="1" applyBorder="1" applyAlignment="1">
      <alignment horizontal="right" vertical="center" wrapText="1"/>
    </xf>
    <xf numFmtId="180" fontId="4" fillId="0" borderId="4" xfId="116" applyNumberFormat="1" applyFont="1" applyFill="1" applyBorder="1" applyAlignment="1" applyProtection="1">
      <alignment horizontal="center" vertical="center" wrapText="1"/>
      <protection locked="0"/>
    </xf>
    <xf numFmtId="189" fontId="3" fillId="0" borderId="2" xfId="62" applyNumberFormat="1" applyFont="1" applyBorder="1" applyAlignment="1">
      <alignment horizontal="center" vertical="center"/>
    </xf>
    <xf numFmtId="4" fontId="154" fillId="0" borderId="0" xfId="45" applyNumberFormat="1" applyFont="1" applyAlignment="1">
      <alignment horizontal="right" vertical="center"/>
    </xf>
    <xf numFmtId="0" fontId="4" fillId="6" borderId="2" xfId="47" applyFont="1" applyFill="1" applyBorder="1" applyAlignment="1">
      <alignment vertical="top" wrapText="1"/>
    </xf>
    <xf numFmtId="0" fontId="8" fillId="6" borderId="2" xfId="47" applyFont="1" applyFill="1" applyBorder="1" applyAlignment="1">
      <alignment vertical="top" wrapText="1"/>
    </xf>
    <xf numFmtId="49" fontId="8" fillId="6" borderId="2" xfId="47" applyNumberFormat="1" applyFont="1" applyFill="1" applyBorder="1" applyAlignment="1">
      <alignment horizontal="left" vertical="top" wrapText="1"/>
    </xf>
    <xf numFmtId="49" fontId="4" fillId="6" borderId="2" xfId="47" applyNumberFormat="1" applyFont="1" applyFill="1" applyBorder="1" applyAlignment="1">
      <alignment horizontal="left" vertical="top" wrapText="1"/>
    </xf>
    <xf numFmtId="17" fontId="4" fillId="0" borderId="2" xfId="102" applyNumberFormat="1" applyFont="1" applyBorder="1" applyAlignment="1">
      <alignment horizontal="left" vertical="center" wrapText="1"/>
    </xf>
    <xf numFmtId="170" fontId="32" fillId="0" borderId="2" xfId="116" applyFont="1" applyFill="1" applyBorder="1" applyAlignment="1">
      <alignment vertical="center" wrapText="1"/>
    </xf>
    <xf numFmtId="176" fontId="32" fillId="0" borderId="0" xfId="94" applyNumberFormat="1" applyFont="1" applyAlignment="1">
      <alignment horizontal="center" vertical="center"/>
    </xf>
    <xf numFmtId="170" fontId="31" fillId="0" borderId="0" xfId="116" applyFont="1" applyFill="1" applyAlignment="1" applyProtection="1">
      <alignment vertical="center"/>
      <protection locked="0"/>
    </xf>
    <xf numFmtId="170" fontId="34" fillId="0" borderId="0" xfId="116" applyFont="1" applyFill="1" applyAlignment="1">
      <alignment vertical="center"/>
    </xf>
    <xf numFmtId="170" fontId="35" fillId="0" borderId="0" xfId="116" applyFont="1" applyFill="1" applyAlignment="1">
      <alignment horizontal="right" vertical="center"/>
    </xf>
    <xf numFmtId="170" fontId="35" fillId="0" borderId="0" xfId="116" applyFont="1" applyFill="1" applyAlignment="1">
      <alignment horizontal="center" vertical="center"/>
    </xf>
    <xf numFmtId="170" fontId="34" fillId="0" borderId="0" xfId="116" applyFont="1" applyFill="1" applyAlignment="1" applyProtection="1">
      <alignment vertical="center"/>
      <protection locked="0"/>
    </xf>
    <xf numFmtId="170" fontId="36" fillId="0" borderId="0" xfId="116" applyFont="1" applyFill="1" applyAlignment="1" applyProtection="1">
      <alignment vertical="center"/>
      <protection locked="0"/>
    </xf>
    <xf numFmtId="170" fontId="32" fillId="0" borderId="0" xfId="116" applyFont="1" applyFill="1" applyAlignment="1" applyProtection="1">
      <alignment vertical="center"/>
      <protection locked="0"/>
    </xf>
    <xf numFmtId="170" fontId="56" fillId="0" borderId="0" xfId="116" applyFont="1" applyFill="1" applyAlignment="1" applyProtection="1">
      <alignment vertical="center"/>
      <protection locked="0"/>
    </xf>
    <xf numFmtId="170" fontId="56" fillId="0" borderId="0" xfId="116" applyFont="1" applyFill="1" applyAlignment="1">
      <alignment vertical="center"/>
    </xf>
    <xf numFmtId="170" fontId="9" fillId="0" borderId="0" xfId="116" applyFont="1" applyFill="1" applyBorder="1" applyAlignment="1" applyProtection="1">
      <alignment vertical="center"/>
      <protection locked="0"/>
    </xf>
    <xf numFmtId="170" fontId="32" fillId="0" borderId="0" xfId="116" applyFont="1" applyFill="1" applyAlignment="1" applyProtection="1">
      <alignment horizontal="center" vertical="center"/>
      <protection locked="0"/>
    </xf>
    <xf numFmtId="170" fontId="34" fillId="0" borderId="0" xfId="116" applyFont="1" applyFill="1" applyAlignment="1" applyProtection="1">
      <alignment horizontal="center" vertical="center"/>
      <protection locked="0"/>
    </xf>
    <xf numFmtId="170" fontId="32" fillId="0" borderId="0" xfId="116" applyFont="1" applyFill="1" applyAlignment="1">
      <alignment horizontal="center" vertical="center"/>
    </xf>
    <xf numFmtId="170" fontId="32" fillId="0" borderId="0" xfId="116" applyFont="1" applyFill="1" applyAlignment="1">
      <alignment vertical="center" wrapText="1"/>
    </xf>
    <xf numFmtId="170" fontId="69" fillId="0" borderId="0" xfId="116" applyFont="1" applyFill="1" applyAlignment="1">
      <alignment vertical="center" wrapText="1"/>
    </xf>
    <xf numFmtId="170" fontId="67" fillId="0" borderId="0" xfId="116" applyFont="1" applyFill="1" applyAlignment="1">
      <alignment vertical="center"/>
    </xf>
    <xf numFmtId="170" fontId="67" fillId="0" borderId="3" xfId="116" applyFont="1" applyFill="1" applyBorder="1" applyAlignment="1">
      <alignment vertical="center"/>
    </xf>
    <xf numFmtId="170" fontId="32" fillId="0" borderId="2" xfId="116" applyFont="1" applyFill="1" applyBorder="1" applyAlignment="1">
      <alignment horizontal="center" vertical="center" wrapText="1"/>
    </xf>
    <xf numFmtId="170" fontId="34" fillId="0" borderId="2" xfId="116" applyFont="1" applyFill="1" applyBorder="1" applyAlignment="1">
      <alignment horizontal="center" vertical="center" wrapText="1"/>
    </xf>
    <xf numFmtId="170" fontId="32" fillId="0" borderId="2" xfId="116" applyFont="1" applyFill="1" applyBorder="1" applyAlignment="1" applyProtection="1">
      <alignment vertical="center" wrapText="1"/>
      <protection locked="0"/>
    </xf>
    <xf numFmtId="170" fontId="34" fillId="0" borderId="2" xfId="116" applyFont="1" applyFill="1" applyBorder="1" applyAlignment="1">
      <alignment vertical="center" wrapText="1"/>
    </xf>
    <xf numFmtId="170" fontId="57" fillId="0" borderId="0" xfId="116" applyFont="1" applyFill="1" applyAlignment="1">
      <alignment vertical="center" wrapText="1"/>
    </xf>
    <xf numFmtId="170" fontId="4" fillId="0" borderId="2" xfId="116" applyFont="1" applyBorder="1" applyAlignment="1" applyProtection="1">
      <alignment vertical="center" wrapText="1"/>
      <protection locked="0"/>
    </xf>
    <xf numFmtId="170" fontId="6" fillId="0" borderId="2" xfId="116" applyFont="1" applyFill="1" applyBorder="1" applyAlignment="1" applyProtection="1">
      <alignment vertical="center" wrapText="1"/>
      <protection locked="0"/>
    </xf>
    <xf numFmtId="170" fontId="33" fillId="0" borderId="2" xfId="116" applyFont="1" applyBorder="1" applyAlignment="1">
      <alignment vertical="center" wrapText="1"/>
    </xf>
    <xf numFmtId="170" fontId="34" fillId="0" borderId="0" xfId="116" applyFont="1" applyFill="1" applyAlignment="1">
      <alignment vertical="center" wrapText="1"/>
    </xf>
    <xf numFmtId="170" fontId="34" fillId="16" borderId="2" xfId="116" applyFont="1" applyFill="1" applyBorder="1" applyAlignment="1" applyProtection="1">
      <alignment vertical="center" wrapText="1"/>
      <protection locked="0"/>
    </xf>
    <xf numFmtId="170" fontId="4" fillId="16" borderId="2" xfId="116" applyFont="1" applyFill="1" applyBorder="1" applyAlignment="1" applyProtection="1">
      <alignment vertical="center" wrapText="1"/>
      <protection locked="0"/>
    </xf>
    <xf numFmtId="170" fontId="34" fillId="16" borderId="2" xfId="116" applyFont="1" applyFill="1" applyBorder="1" applyAlignment="1" applyProtection="1">
      <alignment vertical="center"/>
      <protection locked="0"/>
    </xf>
    <xf numFmtId="170" fontId="33" fillId="16" borderId="2" xfId="116" applyFont="1" applyFill="1" applyBorder="1" applyAlignment="1">
      <alignment vertical="center" wrapText="1"/>
    </xf>
    <xf numFmtId="170" fontId="34" fillId="16" borderId="2" xfId="116" applyFont="1" applyFill="1" applyBorder="1" applyAlignment="1">
      <alignment vertical="center" wrapText="1"/>
    </xf>
    <xf numFmtId="170" fontId="34" fillId="16" borderId="0" xfId="116" applyFont="1" applyFill="1" applyAlignment="1">
      <alignment vertical="center" wrapText="1"/>
    </xf>
    <xf numFmtId="170" fontId="34" fillId="16" borderId="0" xfId="116" applyFont="1" applyFill="1" applyAlignment="1">
      <alignment vertical="center"/>
    </xf>
    <xf numFmtId="170" fontId="34" fillId="0" borderId="2" xfId="116" applyFont="1" applyFill="1" applyBorder="1" applyAlignment="1" applyProtection="1">
      <alignment vertical="center"/>
      <protection locked="0"/>
    </xf>
    <xf numFmtId="170" fontId="4" fillId="0" borderId="2" xfId="116" applyFont="1" applyFill="1" applyBorder="1" applyAlignment="1" applyProtection="1">
      <alignment vertical="center" wrapText="1"/>
      <protection locked="0"/>
    </xf>
    <xf numFmtId="170" fontId="33" fillId="0" borderId="2" xfId="116" applyFont="1" applyFill="1" applyBorder="1" applyAlignment="1">
      <alignment vertical="center" wrapText="1"/>
    </xf>
    <xf numFmtId="170" fontId="4" fillId="0" borderId="2" xfId="116" applyFont="1" applyBorder="1" applyAlignment="1">
      <alignment vertical="center" wrapText="1"/>
    </xf>
    <xf numFmtId="170" fontId="33" fillId="0" borderId="2" xfId="116" applyFont="1" applyFill="1" applyBorder="1" applyAlignment="1">
      <alignment horizontal="center" vertical="center" wrapText="1"/>
    </xf>
    <xf numFmtId="170" fontId="34" fillId="0" borderId="0" xfId="116" applyFont="1" applyFill="1" applyBorder="1" applyAlignment="1">
      <alignment horizontal="right" vertical="center" wrapText="1"/>
    </xf>
    <xf numFmtId="170" fontId="6" fillId="0" borderId="0" xfId="116" applyFont="1" applyFill="1" applyBorder="1" applyAlignment="1">
      <alignment vertical="center" wrapText="1"/>
    </xf>
    <xf numFmtId="170" fontId="34" fillId="0" borderId="0" xfId="116" applyFont="1" applyFill="1" applyBorder="1" applyAlignment="1">
      <alignment vertical="center" wrapText="1"/>
    </xf>
    <xf numFmtId="170" fontId="36" fillId="0" borderId="0" xfId="116" applyFont="1" applyFill="1" applyAlignment="1">
      <alignment horizontal="left" vertical="center"/>
    </xf>
    <xf numFmtId="170" fontId="109" fillId="0" borderId="0" xfId="116" applyFont="1"/>
    <xf numFmtId="170" fontId="109" fillId="0" borderId="0" xfId="116" applyFont="1" applyProtection="1">
      <protection locked="0"/>
    </xf>
    <xf numFmtId="170" fontId="136" fillId="0" borderId="0" xfId="116" applyFont="1"/>
    <xf numFmtId="170" fontId="105" fillId="0" borderId="0" xfId="116" applyFont="1"/>
    <xf numFmtId="170" fontId="36" fillId="0" borderId="0" xfId="116" applyFont="1" applyFill="1" applyAlignment="1" applyProtection="1">
      <alignment horizontal="left" vertical="center"/>
      <protection locked="0"/>
    </xf>
    <xf numFmtId="170" fontId="6" fillId="0" borderId="0" xfId="116" applyFont="1" applyFill="1" applyAlignment="1" applyProtection="1">
      <alignment vertical="center"/>
      <protection locked="0"/>
    </xf>
    <xf numFmtId="170" fontId="36" fillId="0" borderId="0" xfId="116" applyFont="1" applyFill="1" applyAlignment="1">
      <alignment vertical="center"/>
    </xf>
    <xf numFmtId="170" fontId="36" fillId="6" borderId="0" xfId="116" applyFont="1" applyFill="1" applyAlignment="1">
      <alignment horizontal="left" vertical="center"/>
    </xf>
    <xf numFmtId="170" fontId="36" fillId="2" borderId="0" xfId="116" applyFont="1" applyFill="1"/>
    <xf numFmtId="170" fontId="36" fillId="0" borderId="0" xfId="116" applyFont="1"/>
    <xf numFmtId="170" fontId="36" fillId="6" borderId="0" xfId="116" applyFont="1" applyFill="1" applyAlignment="1">
      <alignment vertical="center"/>
    </xf>
    <xf numFmtId="170" fontId="117" fillId="0" borderId="0" xfId="116" applyFont="1"/>
    <xf numFmtId="170" fontId="120" fillId="0" borderId="0" xfId="116" applyFont="1"/>
    <xf numFmtId="170" fontId="93" fillId="0" borderId="2" xfId="116" applyFont="1" applyFill="1" applyBorder="1" applyAlignment="1">
      <alignment vertical="center" wrapText="1"/>
    </xf>
    <xf numFmtId="170" fontId="94" fillId="0" borderId="2" xfId="116" applyFont="1" applyFill="1" applyBorder="1" applyAlignment="1" applyProtection="1">
      <alignment vertical="center" wrapText="1"/>
      <protection locked="0"/>
    </xf>
    <xf numFmtId="170" fontId="94" fillId="0" borderId="2" xfId="116" applyFont="1" applyFill="1" applyBorder="1" applyAlignment="1">
      <alignment vertical="center"/>
    </xf>
    <xf numFmtId="170" fontId="94" fillId="0" borderId="2" xfId="116" applyFont="1" applyFill="1" applyBorder="1" applyAlignment="1">
      <alignment vertical="center" wrapText="1"/>
    </xf>
    <xf numFmtId="170" fontId="94" fillId="0" borderId="0" xfId="116" applyFont="1" applyFill="1" applyAlignment="1">
      <alignment vertical="center" wrapText="1"/>
    </xf>
    <xf numFmtId="170" fontId="94" fillId="0" borderId="0" xfId="116" applyFont="1" applyFill="1" applyAlignment="1">
      <alignment vertical="center"/>
    </xf>
    <xf numFmtId="170" fontId="32" fillId="0" borderId="0" xfId="116" applyFont="1" applyFill="1" applyBorder="1" applyAlignment="1" applyProtection="1">
      <alignment vertical="center" wrapText="1"/>
      <protection locked="0"/>
    </xf>
    <xf numFmtId="170" fontId="34" fillId="0" borderId="0" xfId="116" applyFont="1" applyFill="1" applyAlignment="1">
      <alignment horizontal="center" vertical="center"/>
    </xf>
    <xf numFmtId="170" fontId="56" fillId="0" borderId="0" xfId="116" applyFont="1" applyFill="1" applyAlignment="1" applyProtection="1">
      <alignment horizontal="center" vertical="center"/>
      <protection locked="0"/>
    </xf>
    <xf numFmtId="170" fontId="56" fillId="0" borderId="0" xfId="116" applyFont="1" applyFill="1" applyAlignment="1">
      <alignment horizontal="center" vertical="center"/>
    </xf>
    <xf numFmtId="170" fontId="32" fillId="0" borderId="0" xfId="116" applyFont="1" applyFill="1" applyAlignment="1">
      <alignment horizontal="center" vertical="center" wrapText="1"/>
    </xf>
    <xf numFmtId="170" fontId="69" fillId="0" borderId="0" xfId="116" applyFont="1" applyFill="1" applyAlignment="1">
      <alignment horizontal="center" vertical="center" wrapText="1"/>
    </xf>
    <xf numFmtId="170" fontId="67" fillId="0" borderId="0" xfId="116" applyFont="1" applyFill="1" applyAlignment="1">
      <alignment horizontal="center" vertical="center"/>
    </xf>
    <xf numFmtId="170" fontId="67" fillId="0" borderId="3" xfId="116" applyFont="1" applyFill="1" applyBorder="1" applyAlignment="1">
      <alignment horizontal="center" vertical="center"/>
    </xf>
    <xf numFmtId="170" fontId="32" fillId="0" borderId="2" xfId="116" applyFont="1" applyFill="1" applyBorder="1" applyAlignment="1" applyProtection="1">
      <alignment horizontal="center" vertical="center" wrapText="1"/>
      <protection locked="0"/>
    </xf>
    <xf numFmtId="170" fontId="57" fillId="0" borderId="0" xfId="116" applyFont="1" applyFill="1" applyAlignment="1">
      <alignment horizontal="center" vertical="center" wrapText="1"/>
    </xf>
    <xf numFmtId="170" fontId="34" fillId="0" borderId="2" xfId="116" applyFont="1" applyFill="1" applyBorder="1" applyAlignment="1" applyProtection="1">
      <alignment horizontal="center" vertical="center" wrapText="1"/>
      <protection locked="0"/>
    </xf>
    <xf numFmtId="170" fontId="4" fillId="0" borderId="2" xfId="116" applyFont="1" applyBorder="1" applyAlignment="1" applyProtection="1">
      <alignment horizontal="center" vertical="center" wrapText="1"/>
      <protection locked="0"/>
    </xf>
    <xf numFmtId="170" fontId="6" fillId="0" borderId="2" xfId="116" applyFont="1" applyFill="1" applyBorder="1" applyAlignment="1" applyProtection="1">
      <alignment horizontal="center" vertical="center" wrapText="1"/>
      <protection locked="0"/>
    </xf>
    <xf numFmtId="170" fontId="33" fillId="0" borderId="2" xfId="116" applyFont="1" applyBorder="1" applyAlignment="1">
      <alignment horizontal="center" vertical="center" wrapText="1"/>
    </xf>
    <xf numFmtId="170" fontId="34" fillId="0" borderId="0" xfId="116" applyFont="1" applyFill="1" applyAlignment="1">
      <alignment horizontal="center" vertical="center" wrapText="1"/>
    </xf>
    <xf numFmtId="170" fontId="34" fillId="0" borderId="2" xfId="116" applyFont="1" applyFill="1" applyBorder="1" applyAlignment="1" applyProtection="1">
      <alignment horizontal="center" vertical="center"/>
      <protection locked="0"/>
    </xf>
    <xf numFmtId="170" fontId="34" fillId="0" borderId="0" xfId="116" applyFont="1" applyFill="1" applyBorder="1" applyAlignment="1">
      <alignment horizontal="center" vertical="center" wrapText="1"/>
    </xf>
    <xf numFmtId="170" fontId="6" fillId="0" borderId="0" xfId="116" applyFont="1" applyFill="1" applyBorder="1" applyAlignment="1">
      <alignment horizontal="center" vertical="center" wrapText="1"/>
    </xf>
    <xf numFmtId="170" fontId="36" fillId="0" borderId="0" xfId="116" applyFont="1" applyFill="1" applyAlignment="1">
      <alignment horizontal="center" vertical="center"/>
    </xf>
    <xf numFmtId="170" fontId="109" fillId="0" borderId="0" xfId="116" applyFont="1" applyAlignment="1">
      <alignment horizontal="center"/>
    </xf>
    <xf numFmtId="170" fontId="109" fillId="0" borderId="0" xfId="116" applyFont="1" applyAlignment="1" applyProtection="1">
      <alignment horizontal="center"/>
      <protection locked="0"/>
    </xf>
    <xf numFmtId="170" fontId="106" fillId="0" borderId="0" xfId="116" applyFont="1" applyAlignment="1">
      <alignment horizontal="center"/>
    </xf>
    <xf numFmtId="170" fontId="105" fillId="0" borderId="0" xfId="116" applyFont="1" applyAlignment="1">
      <alignment horizontal="center"/>
    </xf>
    <xf numFmtId="170" fontId="6" fillId="0" borderId="0" xfId="116" applyFont="1" applyFill="1" applyAlignment="1" applyProtection="1">
      <alignment horizontal="center" vertical="center"/>
      <protection locked="0"/>
    </xf>
    <xf numFmtId="170" fontId="36" fillId="6" borderId="0" xfId="116" applyFont="1" applyFill="1" applyAlignment="1">
      <alignment horizontal="center" vertical="center"/>
    </xf>
    <xf numFmtId="170" fontId="36" fillId="2" borderId="0" xfId="116" applyFont="1" applyFill="1" applyAlignment="1">
      <alignment horizontal="center"/>
    </xf>
    <xf numFmtId="170" fontId="36" fillId="0" borderId="0" xfId="116" applyFont="1" applyAlignment="1">
      <alignment horizontal="center"/>
    </xf>
    <xf numFmtId="170" fontId="117" fillId="0" borderId="0" xfId="116" applyFont="1" applyAlignment="1">
      <alignment horizontal="center"/>
    </xf>
    <xf numFmtId="170" fontId="120" fillId="0" borderId="0" xfId="116" applyFont="1" applyAlignment="1">
      <alignment horizontal="center"/>
    </xf>
    <xf numFmtId="170" fontId="4" fillId="0" borderId="2" xfId="116" applyFont="1" applyBorder="1" applyAlignment="1">
      <alignment horizontal="left" vertical="center" wrapText="1"/>
    </xf>
    <xf numFmtId="170" fontId="95" fillId="0" borderId="2" xfId="116" applyFont="1" applyBorder="1" applyAlignment="1">
      <alignment horizontal="left" vertical="center" wrapText="1"/>
    </xf>
    <xf numFmtId="170" fontId="94" fillId="0" borderId="2" xfId="116" applyFont="1" applyFill="1" applyBorder="1" applyAlignment="1">
      <alignment horizontal="left" vertical="center"/>
    </xf>
    <xf numFmtId="170" fontId="95" fillId="0" borderId="2" xfId="116" applyFont="1" applyBorder="1" applyAlignment="1">
      <alignment vertical="center" wrapText="1"/>
    </xf>
    <xf numFmtId="0" fontId="94" fillId="0" borderId="2" xfId="94" applyFont="1" applyBorder="1" applyAlignment="1">
      <alignment vertical="center"/>
    </xf>
    <xf numFmtId="170" fontId="34" fillId="0" borderId="0" xfId="116" applyFont="1" applyFill="1" applyAlignment="1" applyProtection="1">
      <alignment horizontal="left" vertical="center"/>
      <protection locked="0"/>
    </xf>
    <xf numFmtId="170" fontId="34" fillId="0" borderId="0" xfId="116" applyFont="1" applyFill="1" applyAlignment="1">
      <alignment horizontal="left" vertical="center"/>
    </xf>
    <xf numFmtId="170" fontId="34" fillId="0" borderId="0" xfId="116" applyFont="1" applyFill="1" applyAlignment="1" applyProtection="1">
      <alignment horizontal="right" vertical="top"/>
      <protection locked="0"/>
    </xf>
    <xf numFmtId="170" fontId="9" fillId="0" borderId="0" xfId="116" applyFont="1" applyFill="1" applyBorder="1" applyAlignment="1" applyProtection="1">
      <alignment horizontal="left" vertical="center"/>
      <protection locked="0"/>
    </xf>
    <xf numFmtId="175" fontId="34" fillId="0" borderId="2" xfId="116" applyNumberFormat="1" applyFont="1" applyFill="1" applyBorder="1" applyAlignment="1" applyProtection="1">
      <alignment horizontal="center" vertical="center" wrapText="1"/>
      <protection locked="0"/>
    </xf>
    <xf numFmtId="175" fontId="34" fillId="16" borderId="2" xfId="116" applyNumberFormat="1" applyFont="1" applyFill="1" applyBorder="1" applyAlignment="1" applyProtection="1">
      <alignment horizontal="center" vertical="center" wrapText="1"/>
      <protection locked="0"/>
    </xf>
    <xf numFmtId="175" fontId="94" fillId="0" borderId="2" xfId="116" applyNumberFormat="1" applyFont="1" applyFill="1" applyBorder="1" applyAlignment="1" applyProtection="1">
      <alignment horizontal="center" vertical="center" wrapText="1"/>
      <protection locked="0"/>
    </xf>
    <xf numFmtId="1" fontId="34" fillId="0" borderId="2" xfId="94" applyNumberFormat="1" applyFont="1" applyBorder="1" applyAlignment="1" applyProtection="1">
      <alignment horizontal="center" vertical="center" wrapText="1"/>
      <protection locked="0"/>
    </xf>
    <xf numFmtId="2" fontId="34" fillId="0" borderId="2" xfId="94" applyNumberFormat="1" applyFont="1" applyBorder="1" applyAlignment="1" applyProtection="1">
      <alignment horizontal="center" vertical="center" wrapText="1"/>
      <protection locked="0"/>
    </xf>
    <xf numFmtId="4" fontId="6" fillId="0" borderId="0" xfId="94" applyNumberFormat="1" applyFont="1" applyAlignment="1" applyProtection="1">
      <alignment vertical="center"/>
      <protection locked="0"/>
    </xf>
    <xf numFmtId="1" fontId="32" fillId="0" borderId="2" xfId="94" applyNumberFormat="1" applyFont="1" applyBorder="1" applyAlignment="1">
      <alignment horizontal="center" vertical="center" wrapText="1"/>
    </xf>
    <xf numFmtId="1" fontId="34" fillId="0" borderId="2" xfId="94" applyNumberFormat="1" applyFont="1" applyBorder="1" applyAlignment="1" applyProtection="1">
      <alignment horizontal="center" vertical="center"/>
      <protection locked="0"/>
    </xf>
    <xf numFmtId="1" fontId="4" fillId="0" borderId="2" xfId="116" applyNumberFormat="1" applyFont="1" applyBorder="1" applyAlignment="1">
      <alignment horizontal="center" vertical="center" wrapText="1"/>
    </xf>
    <xf numFmtId="1" fontId="4" fillId="0" borderId="2" xfId="116" applyNumberFormat="1" applyFont="1" applyBorder="1" applyAlignment="1">
      <alignment horizontal="center" vertical="center"/>
    </xf>
    <xf numFmtId="1" fontId="6" fillId="0" borderId="2" xfId="94" applyNumberFormat="1" applyFont="1" applyBorder="1" applyAlignment="1" applyProtection="1">
      <alignment horizontal="center" vertical="center" wrapText="1"/>
      <protection locked="0"/>
    </xf>
    <xf numFmtId="0" fontId="94" fillId="0" borderId="2" xfId="94" applyFont="1" applyBorder="1" applyAlignment="1">
      <alignment vertical="center" wrapText="1"/>
    </xf>
    <xf numFmtId="175" fontId="32" fillId="0" borderId="2" xfId="116" applyNumberFormat="1" applyFont="1" applyFill="1" applyBorder="1" applyAlignment="1">
      <alignment horizontal="center" vertical="center" wrapText="1"/>
    </xf>
    <xf numFmtId="175" fontId="34" fillId="0" borderId="2" xfId="116" applyNumberFormat="1" applyFont="1" applyFill="1" applyBorder="1" applyAlignment="1" applyProtection="1">
      <alignment horizontal="center" vertical="center"/>
      <protection locked="0"/>
    </xf>
    <xf numFmtId="175" fontId="4" fillId="0" borderId="2" xfId="116" applyNumberFormat="1" applyFont="1" applyBorder="1" applyAlignment="1">
      <alignment horizontal="center" vertical="center" wrapText="1"/>
    </xf>
    <xf numFmtId="175" fontId="4" fillId="0" borderId="2" xfId="116" applyNumberFormat="1" applyFont="1" applyBorder="1" applyAlignment="1">
      <alignment horizontal="center" vertical="center"/>
    </xf>
    <xf numFmtId="175" fontId="6" fillId="0" borderId="2" xfId="116" applyNumberFormat="1" applyFont="1" applyFill="1" applyBorder="1" applyAlignment="1" applyProtection="1">
      <alignment horizontal="center" vertical="center" wrapText="1"/>
      <protection locked="0"/>
    </xf>
    <xf numFmtId="175" fontId="92" fillId="0" borderId="2" xfId="116" applyNumberFormat="1" applyFont="1" applyFill="1" applyBorder="1" applyAlignment="1">
      <alignment horizontal="center" vertical="center" wrapText="1"/>
    </xf>
    <xf numFmtId="175" fontId="34" fillId="16" borderId="2" xfId="116" applyNumberFormat="1" applyFont="1" applyFill="1" applyBorder="1" applyAlignment="1" applyProtection="1">
      <alignment horizontal="center" vertical="center"/>
      <protection locked="0"/>
    </xf>
    <xf numFmtId="170" fontId="8" fillId="0" borderId="2" xfId="116" applyFont="1" applyFill="1" applyBorder="1" applyAlignment="1">
      <alignment horizontal="center" vertical="center" wrapText="1"/>
    </xf>
    <xf numFmtId="170" fontId="8" fillId="0" borderId="0" xfId="116" applyFont="1" applyFill="1" applyAlignment="1" applyProtection="1">
      <alignment horizontal="left" vertical="center"/>
      <protection locked="0"/>
    </xf>
    <xf numFmtId="170" fontId="8" fillId="0" borderId="0" xfId="116" applyFont="1" applyFill="1" applyAlignment="1">
      <alignment horizontal="left" vertical="center"/>
    </xf>
    <xf numFmtId="170" fontId="4" fillId="0" borderId="0" xfId="116" applyFont="1" applyFill="1" applyAlignment="1">
      <alignment horizontal="left" vertical="center"/>
    </xf>
    <xf numFmtId="170" fontId="4" fillId="0" borderId="0" xfId="116" applyFont="1" applyFill="1" applyAlignment="1">
      <alignment horizontal="left" vertical="center" wrapText="1"/>
    </xf>
    <xf numFmtId="170" fontId="8" fillId="0" borderId="0" xfId="116" applyFont="1" applyFill="1" applyBorder="1" applyAlignment="1" applyProtection="1">
      <alignment horizontal="left" vertical="center"/>
      <protection locked="0"/>
    </xf>
    <xf numFmtId="170" fontId="4" fillId="0" borderId="0" xfId="116" applyFont="1" applyFill="1" applyAlignment="1" applyProtection="1">
      <alignment horizontal="center" vertical="center"/>
      <protection locked="0"/>
    </xf>
    <xf numFmtId="170" fontId="4" fillId="0" borderId="0" xfId="116" applyFont="1" applyFill="1" applyAlignment="1" applyProtection="1">
      <alignment horizontal="center" vertical="center" wrapText="1"/>
      <protection locked="0"/>
    </xf>
    <xf numFmtId="170" fontId="4" fillId="0" borderId="0" xfId="116" applyFont="1" applyFill="1" applyAlignment="1">
      <alignment horizontal="center" vertical="center"/>
    </xf>
    <xf numFmtId="170" fontId="4" fillId="0" borderId="0" xfId="116" applyFont="1" applyFill="1" applyAlignment="1">
      <alignment horizontal="center" vertical="center" wrapText="1"/>
    </xf>
    <xf numFmtId="170" fontId="4" fillId="0" borderId="0" xfId="116" applyFont="1" applyFill="1" applyBorder="1" applyAlignment="1">
      <alignment horizontal="center" vertical="center"/>
    </xf>
    <xf numFmtId="170" fontId="50" fillId="0" borderId="0" xfId="116" applyFont="1" applyFill="1" applyAlignment="1">
      <alignment horizontal="center" vertical="center"/>
    </xf>
    <xf numFmtId="170" fontId="122" fillId="0" borderId="0" xfId="116" applyFont="1" applyFill="1" applyAlignment="1">
      <alignment horizontal="center" vertical="center"/>
    </xf>
    <xf numFmtId="170" fontId="122" fillId="0" borderId="0" xfId="116" applyFont="1" applyFill="1" applyAlignment="1">
      <alignment horizontal="center" vertical="center" wrapText="1"/>
    </xf>
    <xf numFmtId="170" fontId="122" fillId="0" borderId="0" xfId="116" applyFont="1" applyFill="1" applyBorder="1" applyAlignment="1">
      <alignment horizontal="center" vertical="center" wrapText="1"/>
    </xf>
    <xf numFmtId="170" fontId="88" fillId="0" borderId="0" xfId="116" applyFont="1" applyFill="1" applyAlignment="1" applyProtection="1">
      <alignment horizontal="center" vertical="center"/>
      <protection locked="0"/>
    </xf>
    <xf numFmtId="170" fontId="122" fillId="0" borderId="0" xfId="116" applyFont="1" applyFill="1" applyAlignment="1" applyProtection="1">
      <alignment horizontal="center" vertical="center"/>
      <protection locked="0"/>
    </xf>
    <xf numFmtId="170" fontId="122" fillId="0" borderId="0" xfId="116" applyFont="1" applyFill="1" applyAlignment="1" applyProtection="1">
      <alignment horizontal="center" vertical="center" wrapText="1"/>
      <protection locked="0"/>
    </xf>
    <xf numFmtId="170" fontId="88" fillId="0" borderId="0" xfId="116" applyFont="1" applyFill="1" applyAlignment="1">
      <alignment horizontal="center" vertical="center"/>
    </xf>
    <xf numFmtId="170" fontId="88" fillId="0" borderId="0" xfId="116" applyFont="1" applyFill="1" applyBorder="1" applyAlignment="1" applyProtection="1">
      <alignment horizontal="center" vertical="center"/>
      <protection locked="0"/>
    </xf>
    <xf numFmtId="170" fontId="10" fillId="0" borderId="0" xfId="116" applyFont="1" applyFill="1" applyBorder="1" applyAlignment="1">
      <alignment horizontal="center" vertical="center"/>
    </xf>
    <xf numFmtId="170" fontId="50" fillId="0" borderId="2" xfId="116" applyFont="1" applyFill="1" applyBorder="1" applyAlignment="1">
      <alignment horizontal="center" vertical="center" wrapText="1"/>
    </xf>
    <xf numFmtId="170" fontId="50" fillId="0" borderId="7" xfId="116" applyFont="1" applyFill="1" applyBorder="1" applyAlignment="1">
      <alignment horizontal="center" vertical="center" wrapText="1"/>
    </xf>
    <xf numFmtId="170" fontId="81" fillId="0" borderId="2" xfId="116" applyFont="1" applyFill="1" applyBorder="1" applyAlignment="1">
      <alignment horizontal="center" vertical="center"/>
    </xf>
    <xf numFmtId="170" fontId="50" fillId="0" borderId="2" xfId="116" applyFont="1" applyFill="1" applyBorder="1" applyAlignment="1">
      <alignment horizontal="center" vertical="center"/>
    </xf>
    <xf numFmtId="170" fontId="81" fillId="0" borderId="2" xfId="116" applyFont="1" applyFill="1" applyBorder="1" applyAlignment="1">
      <alignment horizontal="center" vertical="center" wrapText="1"/>
    </xf>
    <xf numFmtId="170" fontId="87" fillId="0" borderId="2" xfId="116" applyFont="1" applyFill="1" applyBorder="1" applyAlignment="1">
      <alignment horizontal="center" vertical="center"/>
    </xf>
    <xf numFmtId="170" fontId="77" fillId="0" borderId="2" xfId="116" applyFont="1" applyFill="1" applyBorder="1" applyAlignment="1" applyProtection="1">
      <alignment horizontal="center" vertical="center"/>
      <protection locked="0"/>
    </xf>
    <xf numFmtId="170" fontId="77" fillId="0" borderId="2" xfId="116" applyFont="1" applyFill="1" applyBorder="1" applyAlignment="1">
      <alignment horizontal="center" vertical="center" wrapText="1"/>
    </xf>
    <xf numFmtId="170" fontId="77" fillId="0" borderId="2" xfId="116" applyFont="1" applyFill="1" applyBorder="1" applyAlignment="1" applyProtection="1">
      <alignment horizontal="center" vertical="center" wrapText="1"/>
      <protection locked="0"/>
    </xf>
    <xf numFmtId="170" fontId="77" fillId="0" borderId="4" xfId="116" applyFont="1" applyFill="1" applyBorder="1" applyAlignment="1">
      <alignment horizontal="center" vertical="center"/>
    </xf>
    <xf numFmtId="170" fontId="77" fillId="0" borderId="2" xfId="116" applyFont="1" applyFill="1" applyBorder="1" applyAlignment="1">
      <alignment horizontal="center" vertical="center"/>
    </xf>
    <xf numFmtId="170" fontId="77" fillId="0" borderId="21" xfId="116" applyFont="1" applyFill="1" applyBorder="1" applyAlignment="1" applyProtection="1">
      <alignment horizontal="center" vertical="center" wrapText="1"/>
      <protection locked="0"/>
    </xf>
    <xf numFmtId="170" fontId="77" fillId="0" borderId="21" xfId="116" applyFont="1" applyFill="1" applyBorder="1" applyAlignment="1">
      <alignment horizontal="center" vertical="center" wrapText="1"/>
    </xf>
    <xf numFmtId="175" fontId="77" fillId="0" borderId="2" xfId="116" applyNumberFormat="1" applyFont="1" applyFill="1" applyBorder="1" applyAlignment="1" applyProtection="1">
      <alignment horizontal="center" vertical="center"/>
      <protection locked="0"/>
    </xf>
    <xf numFmtId="170" fontId="4" fillId="0" borderId="0" xfId="116" applyFont="1" applyFill="1" applyAlignment="1">
      <alignment vertical="center"/>
    </xf>
    <xf numFmtId="170" fontId="4" fillId="0" borderId="0" xfId="116" applyFont="1" applyFill="1" applyAlignment="1">
      <alignment horizontal="right" vertical="center"/>
    </xf>
    <xf numFmtId="170" fontId="122" fillId="0" borderId="0" xfId="116" applyFont="1" applyFill="1" applyBorder="1" applyAlignment="1">
      <alignment vertical="top" wrapText="1"/>
    </xf>
    <xf numFmtId="170" fontId="4" fillId="0" borderId="0" xfId="116" applyFont="1" applyFill="1" applyAlignment="1" applyProtection="1">
      <alignment horizontal="left" vertical="center" wrapText="1"/>
      <protection locked="0"/>
    </xf>
    <xf numFmtId="170" fontId="4" fillId="0" borderId="0" xfId="116" applyFont="1" applyFill="1" applyAlignment="1" applyProtection="1">
      <alignment horizontal="left" vertical="center"/>
      <protection locked="0"/>
    </xf>
    <xf numFmtId="170" fontId="4" fillId="0" borderId="0" xfId="116" applyFont="1" applyFill="1" applyAlignment="1" applyProtection="1">
      <alignment horizontal="right" vertical="center"/>
      <protection locked="0"/>
    </xf>
    <xf numFmtId="170" fontId="8" fillId="0" borderId="2" xfId="116" applyFont="1" applyFill="1" applyBorder="1" applyAlignment="1">
      <alignment horizontal="left" vertical="center" wrapText="1"/>
    </xf>
    <xf numFmtId="170" fontId="4" fillId="0" borderId="21" xfId="116" applyFont="1" applyFill="1" applyBorder="1" applyAlignment="1" applyProtection="1">
      <alignment horizontal="left" vertical="center" wrapText="1"/>
      <protection locked="0"/>
    </xf>
    <xf numFmtId="170" fontId="8" fillId="0" borderId="2" xfId="116" applyFont="1" applyFill="1" applyBorder="1" applyAlignment="1">
      <alignment horizontal="left" vertical="center"/>
    </xf>
    <xf numFmtId="170" fontId="8" fillId="0" borderId="2" xfId="116" applyFont="1" applyFill="1" applyBorder="1" applyAlignment="1" applyProtection="1">
      <alignment horizontal="left" vertical="center"/>
      <protection locked="0"/>
    </xf>
    <xf numFmtId="170" fontId="117" fillId="0" borderId="2" xfId="116" applyFont="1" applyBorder="1" applyAlignment="1">
      <alignment horizontal="left" wrapText="1"/>
    </xf>
    <xf numFmtId="170" fontId="117" fillId="0" borderId="2" xfId="116" applyFont="1" applyBorder="1" applyAlignment="1">
      <alignment wrapText="1"/>
    </xf>
    <xf numFmtId="170" fontId="117" fillId="0" borderId="2" xfId="116" applyFont="1" applyBorder="1" applyAlignment="1">
      <alignment horizontal="center"/>
    </xf>
    <xf numFmtId="170" fontId="117" fillId="0" borderId="2" xfId="116" applyFont="1" applyFill="1" applyBorder="1" applyAlignment="1">
      <alignment horizontal="left" vertical="center"/>
    </xf>
    <xf numFmtId="170" fontId="4" fillId="6" borderId="2" xfId="116" applyFont="1" applyFill="1" applyBorder="1" applyAlignment="1" applyProtection="1">
      <alignment vertical="top" wrapText="1"/>
      <protection locked="0"/>
    </xf>
    <xf numFmtId="170" fontId="4" fillId="6" borderId="2" xfId="116" applyFont="1" applyFill="1" applyBorder="1" applyAlignment="1">
      <alignment horizontal="center" vertical="top" wrapText="1"/>
    </xf>
    <xf numFmtId="170" fontId="117" fillId="6" borderId="2" xfId="116" applyFont="1" applyFill="1" applyBorder="1" applyAlignment="1">
      <alignment horizontal="left" wrapText="1"/>
    </xf>
    <xf numFmtId="170" fontId="4" fillId="6" borderId="2" xfId="116" applyFont="1" applyFill="1" applyBorder="1" applyAlignment="1">
      <alignment vertical="top" wrapText="1"/>
    </xf>
    <xf numFmtId="170" fontId="4" fillId="0" borderId="0" xfId="116" applyFont="1" applyFill="1" applyBorder="1" applyAlignment="1" applyProtection="1">
      <alignment horizontal="left" vertical="center"/>
      <protection locked="0"/>
    </xf>
    <xf numFmtId="170" fontId="4" fillId="0" borderId="0" xfId="116" applyFont="1" applyFill="1" applyBorder="1" applyAlignment="1" applyProtection="1">
      <alignment horizontal="left" vertical="center" wrapText="1"/>
      <protection locked="0"/>
    </xf>
    <xf numFmtId="170" fontId="4" fillId="0" borderId="0" xfId="116" applyFont="1" applyFill="1" applyBorder="1" applyAlignment="1" applyProtection="1">
      <alignment horizontal="center" vertical="center"/>
      <protection locked="0"/>
    </xf>
    <xf numFmtId="170" fontId="4" fillId="0" borderId="0" xfId="116" applyFont="1" applyFill="1" applyBorder="1" applyAlignment="1">
      <alignment horizontal="left" vertical="center" wrapText="1"/>
    </xf>
    <xf numFmtId="170" fontId="8" fillId="0" borderId="0" xfId="116" applyFont="1" applyFill="1" applyAlignment="1">
      <alignment vertical="center"/>
    </xf>
    <xf numFmtId="170" fontId="8" fillId="0" borderId="0" xfId="116" applyFont="1" applyFill="1" applyAlignment="1">
      <alignment horizontal="center" vertical="center"/>
    </xf>
    <xf numFmtId="170" fontId="8" fillId="0" borderId="0" xfId="116" applyFont="1" applyFill="1" applyAlignment="1" applyProtection="1">
      <alignment horizontal="center" vertical="center"/>
      <protection locked="0"/>
    </xf>
    <xf numFmtId="170" fontId="151" fillId="0" borderId="0" xfId="116" applyFont="1" applyFill="1" applyAlignment="1">
      <alignment horizontal="left" vertical="center"/>
    </xf>
    <xf numFmtId="170" fontId="151" fillId="0" borderId="0" xfId="116" applyFont="1" applyFill="1" applyAlignment="1">
      <alignment horizontal="center" vertical="center"/>
    </xf>
    <xf numFmtId="175" fontId="4" fillId="0" borderId="0" xfId="116" applyNumberFormat="1" applyFont="1" applyFill="1" applyAlignment="1">
      <alignment horizontal="left" vertical="center"/>
    </xf>
    <xf numFmtId="175" fontId="50" fillId="0" borderId="0" xfId="116" applyNumberFormat="1" applyFont="1" applyFill="1" applyAlignment="1" applyProtection="1">
      <alignment horizontal="left" vertical="center"/>
      <protection locked="0"/>
    </xf>
    <xf numFmtId="175" fontId="8" fillId="0" borderId="0" xfId="116" applyNumberFormat="1" applyFont="1" applyFill="1" applyAlignment="1">
      <alignment horizontal="left" vertical="center"/>
    </xf>
    <xf numFmtId="175" fontId="50" fillId="0" borderId="0" xfId="116" applyNumberFormat="1" applyFont="1" applyFill="1" applyBorder="1" applyAlignment="1" applyProtection="1">
      <alignment horizontal="left" vertical="center"/>
      <protection locked="0"/>
    </xf>
    <xf numFmtId="175" fontId="4" fillId="0" borderId="0" xfId="116" applyNumberFormat="1" applyFont="1" applyFill="1" applyBorder="1" applyAlignment="1">
      <alignment horizontal="left" vertical="center"/>
    </xf>
    <xf numFmtId="175" fontId="4" fillId="0" borderId="2" xfId="116" applyNumberFormat="1" applyFont="1" applyFill="1" applyBorder="1" applyAlignment="1" applyProtection="1">
      <alignment horizontal="left" vertical="center"/>
      <protection locked="0"/>
    </xf>
    <xf numFmtId="175" fontId="4" fillId="0" borderId="2" xfId="116" applyNumberFormat="1" applyFont="1" applyFill="1" applyBorder="1" applyAlignment="1" applyProtection="1">
      <alignment horizontal="center" vertical="center"/>
      <protection locked="0"/>
    </xf>
    <xf numFmtId="43" fontId="156" fillId="0" borderId="2" xfId="121" applyFont="1" applyBorder="1" applyAlignment="1">
      <alignment horizontal="center" vertical="center" wrapText="1"/>
    </xf>
    <xf numFmtId="43" fontId="156" fillId="0" borderId="2" xfId="121" applyFont="1" applyFill="1" applyBorder="1" applyAlignment="1">
      <alignment horizontal="center" vertical="center" wrapText="1"/>
    </xf>
    <xf numFmtId="43" fontId="156" fillId="0" borderId="23" xfId="121" applyFont="1" applyFill="1" applyBorder="1" applyAlignment="1">
      <alignment horizontal="center" vertical="center" wrapText="1"/>
    </xf>
    <xf numFmtId="43" fontId="97" fillId="0" borderId="2" xfId="121" applyFont="1" applyBorder="1" applyAlignment="1">
      <alignment horizontal="center" vertical="center"/>
    </xf>
    <xf numFmtId="43" fontId="97" fillId="0" borderId="2" xfId="121" applyFont="1" applyBorder="1" applyAlignment="1">
      <alignment horizontal="center" vertical="center" wrapText="1"/>
    </xf>
    <xf numFmtId="43" fontId="156" fillId="0" borderId="2" xfId="121" applyFont="1" applyBorder="1" applyAlignment="1">
      <alignment horizontal="center" vertical="center"/>
    </xf>
    <xf numFmtId="43" fontId="97" fillId="0" borderId="2" xfId="121" applyFont="1" applyFill="1" applyBorder="1" applyAlignment="1">
      <alignment horizontal="center" vertical="center" wrapText="1"/>
    </xf>
    <xf numFmtId="43" fontId="0" fillId="0" borderId="2" xfId="0" applyNumberFormat="1" applyBorder="1"/>
    <xf numFmtId="43" fontId="97" fillId="0" borderId="0" xfId="121" applyFont="1" applyFill="1" applyBorder="1" applyAlignment="1">
      <alignment horizontal="center" vertical="center" wrapText="1"/>
    </xf>
    <xf numFmtId="43" fontId="0" fillId="0" borderId="0" xfId="0" applyNumberFormat="1"/>
    <xf numFmtId="0" fontId="0" fillId="0" borderId="0" xfId="0" applyAlignment="1">
      <alignment horizontal="left"/>
    </xf>
    <xf numFmtId="43" fontId="97" fillId="0" borderId="0" xfId="121" applyFont="1" applyFill="1" applyBorder="1" applyAlignment="1">
      <alignment horizontal="left" vertical="center"/>
    </xf>
    <xf numFmtId="170" fontId="77" fillId="0" borderId="2" xfId="116" applyFont="1" applyFill="1" applyBorder="1" applyAlignment="1">
      <alignment vertical="top" wrapText="1"/>
    </xf>
    <xf numFmtId="170" fontId="4" fillId="0" borderId="2" xfId="116" applyFont="1" applyFill="1" applyBorder="1" applyAlignment="1" applyProtection="1">
      <alignment horizontal="center" vertical="center"/>
      <protection locked="0"/>
    </xf>
    <xf numFmtId="170" fontId="33" fillId="0" borderId="2" xfId="116" applyFont="1" applyFill="1" applyBorder="1" applyAlignment="1">
      <alignment horizontal="left" vertical="center"/>
    </xf>
    <xf numFmtId="170" fontId="33" fillId="0" borderId="2" xfId="116" applyFont="1" applyFill="1" applyBorder="1" applyAlignment="1">
      <alignment horizontal="left" vertical="center" wrapText="1"/>
    </xf>
    <xf numFmtId="170" fontId="49" fillId="0" borderId="2" xfId="116" applyFont="1" applyFill="1" applyBorder="1" applyAlignment="1">
      <alignment horizontal="left" vertical="center"/>
    </xf>
    <xf numFmtId="170" fontId="49" fillId="0" borderId="2" xfId="116" applyFont="1" applyFill="1" applyBorder="1" applyAlignment="1">
      <alignment horizontal="center" vertical="center"/>
    </xf>
    <xf numFmtId="170" fontId="117" fillId="0" borderId="2" xfId="116" applyFont="1" applyFill="1" applyBorder="1" applyAlignment="1">
      <alignment horizontal="center" vertical="center"/>
    </xf>
    <xf numFmtId="170" fontId="117" fillId="0" borderId="2" xfId="116" applyFont="1" applyBorder="1"/>
    <xf numFmtId="1" fontId="33" fillId="0" borderId="2" xfId="116" applyNumberFormat="1" applyFont="1" applyFill="1" applyBorder="1" applyAlignment="1">
      <alignment horizontal="left" vertical="center"/>
    </xf>
    <xf numFmtId="1" fontId="4" fillId="0" borderId="2" xfId="116" applyNumberFormat="1" applyFont="1" applyFill="1" applyBorder="1" applyAlignment="1" applyProtection="1">
      <alignment horizontal="left" vertical="center"/>
      <protection locked="0"/>
    </xf>
    <xf numFmtId="1" fontId="8" fillId="0" borderId="0" xfId="116" applyNumberFormat="1" applyFont="1" applyFill="1" applyBorder="1" applyAlignment="1" applyProtection="1">
      <alignment horizontal="left" vertical="center"/>
      <protection locked="0"/>
    </xf>
    <xf numFmtId="170" fontId="117" fillId="0" borderId="0" xfId="116" applyFont="1" applyFill="1" applyBorder="1" applyAlignment="1">
      <alignment vertical="top" wrapText="1"/>
    </xf>
    <xf numFmtId="1" fontId="8" fillId="0" borderId="0" xfId="116" applyNumberFormat="1" applyFont="1" applyFill="1" applyBorder="1" applyAlignment="1">
      <alignment horizontal="left" vertical="center"/>
    </xf>
    <xf numFmtId="1" fontId="4" fillId="0" borderId="0" xfId="116" applyNumberFormat="1" applyFont="1" applyFill="1" applyBorder="1" applyAlignment="1">
      <alignment horizontal="left" vertical="center"/>
    </xf>
    <xf numFmtId="170" fontId="77" fillId="0" borderId="0" xfId="116" applyFont="1" applyFill="1" applyAlignment="1">
      <alignment horizontal="center" vertical="center"/>
    </xf>
    <xf numFmtId="170" fontId="77" fillId="0" borderId="0" xfId="116" applyFont="1" applyFill="1" applyAlignment="1" applyProtection="1">
      <alignment horizontal="center" vertical="center"/>
      <protection locked="0"/>
    </xf>
    <xf numFmtId="170" fontId="77" fillId="0" borderId="0" xfId="116" applyFont="1" applyFill="1" applyAlignment="1">
      <alignment horizontal="center" vertical="center" wrapText="1"/>
    </xf>
    <xf numFmtId="170" fontId="50" fillId="0" borderId="2" xfId="116" applyFont="1" applyFill="1" applyBorder="1" applyAlignment="1" applyProtection="1">
      <alignment horizontal="center" vertical="center"/>
      <protection locked="0"/>
    </xf>
    <xf numFmtId="170" fontId="122" fillId="0" borderId="2" xfId="116" applyFont="1" applyFill="1" applyBorder="1" applyAlignment="1">
      <alignment horizontal="center" vertical="center"/>
    </xf>
    <xf numFmtId="170" fontId="77" fillId="0" borderId="0" xfId="116" applyFont="1" applyFill="1" applyBorder="1" applyAlignment="1">
      <alignment horizontal="center" vertical="center" wrapText="1"/>
    </xf>
    <xf numFmtId="170" fontId="77" fillId="0" borderId="0" xfId="116" applyFont="1" applyFill="1" applyBorder="1" applyAlignment="1">
      <alignment horizontal="center" vertical="center"/>
    </xf>
    <xf numFmtId="175" fontId="77" fillId="0" borderId="0" xfId="116" applyNumberFormat="1" applyFont="1" applyFill="1" applyAlignment="1">
      <alignment horizontal="center" vertical="center"/>
    </xf>
    <xf numFmtId="175" fontId="50" fillId="0" borderId="0" xfId="116" applyNumberFormat="1" applyFont="1" applyFill="1" applyAlignment="1">
      <alignment horizontal="left" vertical="center"/>
    </xf>
    <xf numFmtId="175" fontId="77" fillId="0" borderId="0" xfId="116" applyNumberFormat="1" applyFont="1" applyFill="1" applyBorder="1" applyAlignment="1">
      <alignment horizontal="left" vertical="center"/>
    </xf>
    <xf numFmtId="170" fontId="77" fillId="0" borderId="0" xfId="116" applyFont="1" applyFill="1" applyAlignment="1" applyProtection="1">
      <alignment horizontal="center" vertical="center" wrapText="1"/>
      <protection locked="0"/>
    </xf>
    <xf numFmtId="170" fontId="153" fillId="0" borderId="0" xfId="116" applyFont="1" applyFill="1" applyAlignment="1" applyProtection="1">
      <alignment horizontal="center" vertical="center"/>
      <protection locked="0"/>
    </xf>
    <xf numFmtId="170" fontId="153" fillId="0" borderId="0" xfId="116" applyFont="1" applyFill="1" applyAlignment="1">
      <alignment horizontal="center" vertical="center"/>
    </xf>
    <xf numFmtId="170" fontId="77" fillId="10" borderId="0" xfId="116" applyFont="1" applyFill="1" applyAlignment="1">
      <alignment horizontal="center" vertical="center"/>
    </xf>
    <xf numFmtId="170" fontId="77" fillId="0" borderId="2" xfId="116" applyFont="1" applyFill="1" applyBorder="1" applyAlignment="1" applyProtection="1">
      <alignment horizontal="center" vertical="center" wrapText="1"/>
      <protection locked="0" hidden="1"/>
    </xf>
    <xf numFmtId="170" fontId="77" fillId="0" borderId="0" xfId="116" applyFont="1" applyFill="1" applyBorder="1" applyAlignment="1" applyProtection="1">
      <alignment horizontal="center" vertical="center" wrapText="1"/>
      <protection locked="0"/>
    </xf>
    <xf numFmtId="170" fontId="36" fillId="0" borderId="0" xfId="116" applyFont="1" applyFill="1" applyAlignment="1" applyProtection="1">
      <alignment horizontal="center" vertical="center"/>
      <protection locked="0"/>
    </xf>
    <xf numFmtId="170" fontId="35" fillId="0" borderId="0" xfId="116" applyFont="1" applyFill="1" applyAlignment="1">
      <alignment horizontal="left" vertical="center"/>
    </xf>
    <xf numFmtId="170" fontId="157" fillId="0" borderId="0" xfId="116" applyFont="1" applyFill="1" applyAlignment="1">
      <alignment horizontal="left" vertical="center"/>
    </xf>
    <xf numFmtId="170" fontId="157" fillId="0" borderId="0" xfId="116" applyFont="1" applyFill="1" applyAlignment="1">
      <alignment horizontal="center" vertical="center"/>
    </xf>
    <xf numFmtId="1" fontId="109" fillId="0" borderId="0" xfId="0" applyNumberFormat="1" applyFont="1"/>
    <xf numFmtId="43" fontId="4" fillId="0" borderId="0" xfId="0" applyNumberFormat="1" applyFont="1" applyAlignment="1">
      <alignment vertical="center"/>
    </xf>
    <xf numFmtId="170" fontId="158" fillId="0" borderId="2" xfId="116" applyFont="1" applyBorder="1" applyAlignment="1">
      <alignment horizontal="left" wrapText="1"/>
    </xf>
    <xf numFmtId="170" fontId="117" fillId="10" borderId="2" xfId="116" applyFont="1" applyFill="1" applyBorder="1" applyAlignment="1">
      <alignment horizontal="left" wrapText="1"/>
    </xf>
    <xf numFmtId="175" fontId="122" fillId="0" borderId="0" xfId="116" applyNumberFormat="1" applyFont="1" applyFill="1" applyAlignment="1">
      <alignment horizontal="center" vertical="center"/>
    </xf>
    <xf numFmtId="175" fontId="81" fillId="0" borderId="2" xfId="116" applyNumberFormat="1" applyFont="1" applyFill="1" applyBorder="1" applyAlignment="1">
      <alignment horizontal="center" vertical="center"/>
    </xf>
    <xf numFmtId="170" fontId="122" fillId="10" borderId="0" xfId="116" applyFont="1" applyFill="1" applyAlignment="1">
      <alignment horizontal="center" vertical="center"/>
    </xf>
    <xf numFmtId="0" fontId="35" fillId="0" borderId="0" xfId="0" applyFont="1" applyAlignment="1">
      <alignment horizontal="left" vertical="center"/>
    </xf>
    <xf numFmtId="175" fontId="106" fillId="0" borderId="0" xfId="0" applyNumberFormat="1" applyFont="1"/>
    <xf numFmtId="170" fontId="4" fillId="6" borderId="0" xfId="116" applyFont="1" applyFill="1" applyAlignment="1">
      <alignment horizontal="left" vertical="center"/>
    </xf>
    <xf numFmtId="170" fontId="8" fillId="6" borderId="0" xfId="116" applyFont="1" applyFill="1" applyAlignment="1">
      <alignment horizontal="left" vertical="center"/>
    </xf>
    <xf numFmtId="181" fontId="30" fillId="0" borderId="0" xfId="0" applyNumberFormat="1" applyFont="1" applyAlignment="1">
      <alignment vertical="center"/>
    </xf>
    <xf numFmtId="170" fontId="35" fillId="0" borderId="2" xfId="122" applyFont="1" applyFill="1" applyBorder="1" applyAlignment="1">
      <alignment horizontal="center" vertical="center" wrapText="1"/>
    </xf>
    <xf numFmtId="170" fontId="30" fillId="0" borderId="2" xfId="122" applyFont="1" applyFill="1" applyBorder="1" applyAlignment="1">
      <alignment horizontal="right" vertical="center" wrapText="1"/>
    </xf>
    <xf numFmtId="170" fontId="9" fillId="0" borderId="2" xfId="122" applyFont="1" applyFill="1" applyBorder="1" applyAlignment="1">
      <alignment horizontal="right" vertical="center" wrapText="1"/>
    </xf>
    <xf numFmtId="170" fontId="36" fillId="0" borderId="2" xfId="122" applyFont="1" applyFill="1" applyBorder="1" applyAlignment="1">
      <alignment horizontal="center" vertical="center" wrapText="1"/>
    </xf>
    <xf numFmtId="175" fontId="9" fillId="0" borderId="2" xfId="0" applyNumberFormat="1" applyFont="1" applyBorder="1" applyAlignment="1">
      <alignment horizontal="right" vertical="center" wrapText="1"/>
    </xf>
    <xf numFmtId="176" fontId="8" fillId="0" borderId="2" xfId="122" applyNumberFormat="1" applyFont="1" applyFill="1" applyBorder="1" applyAlignment="1">
      <alignment vertical="center"/>
    </xf>
    <xf numFmtId="178" fontId="110" fillId="0" borderId="2" xfId="0" applyNumberFormat="1" applyFont="1" applyBorder="1"/>
    <xf numFmtId="0" fontId="110" fillId="0" borderId="2" xfId="0" applyFont="1" applyBorder="1"/>
    <xf numFmtId="176" fontId="8" fillId="6" borderId="2" xfId="122" applyNumberFormat="1" applyFont="1" applyFill="1" applyBorder="1" applyAlignment="1">
      <alignment horizontal="left" vertical="center"/>
    </xf>
    <xf numFmtId="176" fontId="8" fillId="2" borderId="2" xfId="122" applyNumberFormat="1" applyFont="1" applyFill="1" applyBorder="1"/>
    <xf numFmtId="0" fontId="8" fillId="0" borderId="2" xfId="0" applyFont="1" applyBorder="1"/>
    <xf numFmtId="176" fontId="8" fillId="6" borderId="0" xfId="122" applyNumberFormat="1" applyFont="1" applyFill="1" applyBorder="1" applyAlignment="1">
      <alignment horizontal="left" vertical="center"/>
    </xf>
    <xf numFmtId="176" fontId="8" fillId="2" borderId="0" xfId="122" applyNumberFormat="1" applyFont="1" applyFill="1" applyBorder="1"/>
    <xf numFmtId="0" fontId="8" fillId="0" borderId="2" xfId="0" applyFont="1" applyBorder="1" applyAlignment="1">
      <alignment wrapText="1"/>
    </xf>
    <xf numFmtId="176" fontId="4" fillId="6" borderId="2" xfId="122" applyNumberFormat="1" applyFont="1" applyFill="1" applyBorder="1" applyAlignment="1">
      <alignment horizontal="left" vertical="center"/>
    </xf>
    <xf numFmtId="170" fontId="110" fillId="0" borderId="2" xfId="116" applyFont="1" applyBorder="1"/>
    <xf numFmtId="0" fontId="117" fillId="0" borderId="2" xfId="0" applyFont="1" applyBorder="1" applyAlignment="1">
      <alignment wrapText="1"/>
    </xf>
    <xf numFmtId="0" fontId="3" fillId="0" borderId="2" xfId="62" applyFont="1" applyBorder="1"/>
    <xf numFmtId="170" fontId="8" fillId="0" borderId="2" xfId="116" applyFont="1" applyFill="1" applyBorder="1"/>
    <xf numFmtId="0" fontId="3" fillId="0" borderId="2" xfId="62" applyFont="1" applyBorder="1" applyAlignment="1">
      <alignment wrapText="1"/>
    </xf>
    <xf numFmtId="0" fontId="7" fillId="0" borderId="2" xfId="62" applyFont="1" applyBorder="1"/>
    <xf numFmtId="170" fontId="8" fillId="0" borderId="2" xfId="62" applyNumberFormat="1" applyFont="1" applyBorder="1"/>
    <xf numFmtId="180" fontId="4" fillId="0" borderId="2" xfId="122" applyNumberFormat="1" applyFont="1" applyFill="1" applyBorder="1" applyAlignment="1" applyProtection="1">
      <alignment vertical="center" wrapText="1"/>
      <protection locked="0"/>
    </xf>
    <xf numFmtId="176" fontId="49" fillId="0" borderId="0" xfId="122" applyNumberFormat="1" applyFont="1" applyFill="1" applyAlignment="1">
      <alignment vertical="center"/>
    </xf>
    <xf numFmtId="176" fontId="8" fillId="0" borderId="0" xfId="122" applyNumberFormat="1" applyFont="1" applyFill="1" applyAlignment="1">
      <alignment horizontal="center" vertical="center" wrapText="1"/>
    </xf>
    <xf numFmtId="170" fontId="8" fillId="0" borderId="0" xfId="122" applyFont="1" applyFill="1" applyAlignment="1">
      <alignment horizontal="center" vertical="center" wrapText="1"/>
    </xf>
    <xf numFmtId="176" fontId="3" fillId="0" borderId="2" xfId="122" applyNumberFormat="1" applyFont="1" applyFill="1" applyBorder="1" applyAlignment="1">
      <alignment horizontal="center" vertical="center" wrapText="1"/>
    </xf>
    <xf numFmtId="176" fontId="3" fillId="0" borderId="4" xfId="122" applyNumberFormat="1" applyFont="1" applyFill="1" applyBorder="1" applyAlignment="1">
      <alignment horizontal="center" vertical="center"/>
    </xf>
    <xf numFmtId="182" fontId="3" fillId="0" borderId="2" xfId="122" applyNumberFormat="1" applyFont="1" applyFill="1" applyBorder="1" applyAlignment="1">
      <alignment horizontal="center" vertical="center"/>
    </xf>
    <xf numFmtId="176" fontId="3" fillId="0" borderId="0" xfId="122" applyNumberFormat="1" applyFont="1" applyFill="1" applyBorder="1" applyAlignment="1">
      <alignment horizontal="center" wrapText="1"/>
    </xf>
    <xf numFmtId="187" fontId="3" fillId="0" borderId="0" xfId="122" applyNumberFormat="1" applyFont="1" applyFill="1" applyBorder="1" applyAlignment="1">
      <alignment horizontal="center" wrapText="1"/>
    </xf>
    <xf numFmtId="188" fontId="3" fillId="0" borderId="0" xfId="122" applyNumberFormat="1" applyFont="1" applyFill="1" applyBorder="1" applyAlignment="1">
      <alignment horizontal="center" wrapText="1"/>
    </xf>
    <xf numFmtId="176" fontId="3" fillId="19" borderId="2" xfId="122" applyNumberFormat="1" applyFont="1" applyFill="1" applyBorder="1" applyAlignment="1">
      <alignment horizontal="center" vertical="center" wrapText="1"/>
    </xf>
    <xf numFmtId="0" fontId="8" fillId="19" borderId="2" xfId="111" applyFont="1" applyFill="1" applyBorder="1" applyAlignment="1">
      <alignment horizontal="center" vertical="center" wrapText="1"/>
    </xf>
    <xf numFmtId="176" fontId="3" fillId="19" borderId="4" xfId="122" applyNumberFormat="1" applyFont="1" applyFill="1" applyBorder="1" applyAlignment="1">
      <alignment horizontal="center" vertical="center"/>
    </xf>
    <xf numFmtId="0" fontId="3" fillId="19" borderId="2" xfId="62" applyFont="1" applyFill="1" applyBorder="1" applyAlignment="1" applyProtection="1">
      <alignment horizontal="center" vertical="center"/>
      <protection locked="0"/>
    </xf>
    <xf numFmtId="2" fontId="7" fillId="19" borderId="2" xfId="62" applyNumberFormat="1" applyFont="1" applyFill="1" applyBorder="1" applyAlignment="1">
      <alignment horizontal="center" vertical="center"/>
    </xf>
    <xf numFmtId="178" fontId="8" fillId="19" borderId="4" xfId="122" applyNumberFormat="1" applyFont="1" applyFill="1" applyBorder="1" applyAlignment="1" applyProtection="1">
      <alignment horizontal="center" vertical="center" wrapText="1"/>
      <protection locked="0"/>
    </xf>
    <xf numFmtId="178" fontId="7" fillId="19" borderId="2" xfId="122" applyNumberFormat="1" applyFont="1" applyFill="1" applyBorder="1" applyAlignment="1">
      <alignment horizontal="center" vertical="center"/>
    </xf>
    <xf numFmtId="176" fontId="3" fillId="16" borderId="2" xfId="122" applyNumberFormat="1" applyFont="1" applyFill="1" applyBorder="1" applyAlignment="1">
      <alignment horizontal="center" vertical="center" wrapText="1"/>
    </xf>
    <xf numFmtId="0" fontId="8" fillId="16" borderId="2" xfId="111" applyFont="1" applyFill="1" applyBorder="1" applyAlignment="1">
      <alignment horizontal="center" vertical="center" wrapText="1"/>
    </xf>
    <xf numFmtId="176" fontId="3" fillId="16" borderId="4" xfId="122" applyNumberFormat="1" applyFont="1" applyFill="1" applyBorder="1" applyAlignment="1">
      <alignment horizontal="center" vertical="center"/>
    </xf>
    <xf numFmtId="0" fontId="3" fillId="16" borderId="2" xfId="62" applyFont="1" applyFill="1" applyBorder="1" applyAlignment="1" applyProtection="1">
      <alignment horizontal="center" vertical="center"/>
      <protection locked="0"/>
    </xf>
    <xf numFmtId="0" fontId="3" fillId="17" borderId="2" xfId="62" applyFont="1" applyFill="1" applyBorder="1" applyAlignment="1">
      <alignment horizontal="center" vertical="center"/>
    </xf>
    <xf numFmtId="178" fontId="7" fillId="16" borderId="2" xfId="122" applyNumberFormat="1" applyFont="1" applyFill="1" applyBorder="1" applyAlignment="1">
      <alignment horizontal="center" vertical="center"/>
    </xf>
    <xf numFmtId="176" fontId="3" fillId="20" borderId="2" xfId="122" applyNumberFormat="1" applyFont="1" applyFill="1" applyBorder="1" applyAlignment="1">
      <alignment horizontal="center" vertical="center" wrapText="1"/>
    </xf>
    <xf numFmtId="176" fontId="3" fillId="20" borderId="4" xfId="122" applyNumberFormat="1" applyFont="1" applyFill="1" applyBorder="1" applyAlignment="1">
      <alignment horizontal="center" vertical="center"/>
    </xf>
    <xf numFmtId="0" fontId="3" fillId="20" borderId="2" xfId="62" applyFont="1" applyFill="1" applyBorder="1" applyAlignment="1" applyProtection="1">
      <alignment horizontal="center" vertical="center"/>
      <protection locked="0"/>
    </xf>
    <xf numFmtId="0" fontId="3" fillId="20" borderId="2" xfId="62" applyFont="1" applyFill="1" applyBorder="1" applyAlignment="1">
      <alignment horizontal="center" vertical="center"/>
    </xf>
    <xf numFmtId="170" fontId="4" fillId="20" borderId="4" xfId="122" applyFont="1" applyFill="1" applyBorder="1" applyAlignment="1" applyProtection="1">
      <alignment horizontal="center" vertical="center" wrapText="1"/>
      <protection locked="0"/>
    </xf>
    <xf numFmtId="175" fontId="3" fillId="20" borderId="2" xfId="122" applyNumberFormat="1" applyFont="1" applyFill="1" applyBorder="1" applyAlignment="1">
      <alignment horizontal="center" vertical="center"/>
    </xf>
    <xf numFmtId="176" fontId="3" fillId="20" borderId="0" xfId="122" applyNumberFormat="1" applyFont="1" applyFill="1" applyBorder="1" applyAlignment="1">
      <alignment horizontal="center" wrapText="1"/>
    </xf>
    <xf numFmtId="0" fontId="28" fillId="20" borderId="0" xfId="62" applyFont="1" applyFill="1"/>
    <xf numFmtId="176" fontId="4" fillId="0" borderId="4" xfId="122" applyNumberFormat="1" applyFont="1" applyFill="1" applyBorder="1" applyAlignment="1" applyProtection="1">
      <alignment horizontal="center" vertical="center" wrapText="1"/>
      <protection locked="0"/>
    </xf>
    <xf numFmtId="178" fontId="7" fillId="0" borderId="2" xfId="122" applyNumberFormat="1" applyFont="1" applyFill="1" applyBorder="1" applyAlignment="1">
      <alignment horizontal="center" vertical="center"/>
    </xf>
    <xf numFmtId="182" fontId="3" fillId="20" borderId="2" xfId="122" applyNumberFormat="1" applyFont="1" applyFill="1" applyBorder="1" applyAlignment="1">
      <alignment horizontal="center" vertical="center"/>
    </xf>
    <xf numFmtId="180" fontId="3" fillId="20" borderId="0" xfId="122" applyNumberFormat="1" applyFont="1" applyFill="1" applyBorder="1" applyAlignment="1">
      <alignment horizontal="center" wrapText="1"/>
    </xf>
    <xf numFmtId="182" fontId="7" fillId="0" borderId="2" xfId="122" applyNumberFormat="1" applyFont="1" applyFill="1" applyBorder="1" applyAlignment="1">
      <alignment horizontal="center" vertical="center"/>
    </xf>
    <xf numFmtId="176" fontId="3" fillId="17" borderId="2" xfId="122" applyNumberFormat="1" applyFont="1" applyFill="1" applyBorder="1" applyAlignment="1">
      <alignment horizontal="center" vertical="center" wrapText="1"/>
    </xf>
    <xf numFmtId="0" fontId="8" fillId="17" borderId="2" xfId="111" applyFont="1" applyFill="1" applyBorder="1" applyAlignment="1">
      <alignment horizontal="center" vertical="center" wrapText="1"/>
    </xf>
    <xf numFmtId="176" fontId="3" fillId="17" borderId="4" xfId="122" applyNumberFormat="1" applyFont="1" applyFill="1" applyBorder="1" applyAlignment="1">
      <alignment horizontal="center" vertical="center"/>
    </xf>
    <xf numFmtId="0" fontId="3" fillId="17" borderId="2" xfId="62" applyFont="1" applyFill="1" applyBorder="1" applyAlignment="1" applyProtection="1">
      <alignment horizontal="center" vertical="center"/>
      <protection locked="0"/>
    </xf>
    <xf numFmtId="170" fontId="4" fillId="17" borderId="4" xfId="122" applyFont="1" applyFill="1" applyBorder="1" applyAlignment="1" applyProtection="1">
      <alignment horizontal="center" vertical="center" wrapText="1"/>
      <protection locked="0"/>
    </xf>
    <xf numFmtId="182" fontId="7" fillId="17" borderId="2" xfId="122" applyNumberFormat="1" applyFont="1" applyFill="1" applyBorder="1" applyAlignment="1">
      <alignment horizontal="center" vertical="center"/>
    </xf>
    <xf numFmtId="176" fontId="3" fillId="21" borderId="2" xfId="122" applyNumberFormat="1" applyFont="1" applyFill="1" applyBorder="1" applyAlignment="1">
      <alignment horizontal="center" vertical="center" wrapText="1"/>
    </xf>
    <xf numFmtId="176" fontId="3" fillId="21" borderId="4" xfId="122" applyNumberFormat="1" applyFont="1" applyFill="1" applyBorder="1" applyAlignment="1">
      <alignment horizontal="center" vertical="center"/>
    </xf>
    <xf numFmtId="0" fontId="3" fillId="21" borderId="2" xfId="62" applyFont="1" applyFill="1" applyBorder="1" applyAlignment="1" applyProtection="1">
      <alignment horizontal="center" vertical="center"/>
      <protection locked="0"/>
    </xf>
    <xf numFmtId="1" fontId="3" fillId="21" borderId="2" xfId="62" applyNumberFormat="1" applyFont="1" applyFill="1" applyBorder="1" applyAlignment="1" applyProtection="1">
      <alignment horizontal="center" vertical="center"/>
      <protection locked="0"/>
    </xf>
    <xf numFmtId="0" fontId="3" fillId="21" borderId="2" xfId="62" applyFont="1" applyFill="1" applyBorder="1" applyAlignment="1">
      <alignment horizontal="center" vertical="center"/>
    </xf>
    <xf numFmtId="170" fontId="4" fillId="21" borderId="4" xfId="122" applyFont="1" applyFill="1" applyBorder="1" applyAlignment="1" applyProtection="1">
      <alignment horizontal="center" vertical="center" wrapText="1"/>
      <protection locked="0"/>
    </xf>
    <xf numFmtId="181" fontId="3" fillId="21" borderId="2" xfId="122" applyNumberFormat="1" applyFont="1" applyFill="1" applyBorder="1" applyAlignment="1">
      <alignment horizontal="center" vertical="center"/>
    </xf>
    <xf numFmtId="176" fontId="3" fillId="21" borderId="0" xfId="122" applyNumberFormat="1" applyFont="1" applyFill="1" applyBorder="1" applyAlignment="1">
      <alignment horizontal="center" wrapText="1"/>
    </xf>
    <xf numFmtId="0" fontId="28" fillId="21" borderId="0" xfId="62" applyFont="1" applyFill="1"/>
    <xf numFmtId="170" fontId="7" fillId="0" borderId="2" xfId="122" applyFont="1" applyFill="1" applyBorder="1" applyAlignment="1">
      <alignment horizontal="center" vertical="center"/>
    </xf>
    <xf numFmtId="180" fontId="3" fillId="21" borderId="0" xfId="122" applyNumberFormat="1" applyFont="1" applyFill="1" applyBorder="1" applyAlignment="1">
      <alignment horizontal="center"/>
    </xf>
    <xf numFmtId="176" fontId="3" fillId="21" borderId="0" xfId="122" applyNumberFormat="1" applyFont="1" applyFill="1" applyBorder="1" applyAlignment="1">
      <alignment horizontal="center"/>
    </xf>
    <xf numFmtId="176" fontId="3" fillId="0" borderId="0" xfId="122" applyNumberFormat="1" applyFont="1" applyFill="1" applyBorder="1" applyAlignment="1">
      <alignment horizontal="center"/>
    </xf>
    <xf numFmtId="0" fontId="4" fillId="21" borderId="2" xfId="111" applyFont="1" applyFill="1" applyBorder="1" applyAlignment="1">
      <alignment horizontal="center" vertical="center" wrapText="1"/>
    </xf>
    <xf numFmtId="0" fontId="8" fillId="21" borderId="2" xfId="111" applyFont="1" applyFill="1" applyBorder="1" applyAlignment="1">
      <alignment horizontal="center" vertical="center" wrapText="1"/>
    </xf>
    <xf numFmtId="176" fontId="3" fillId="21" borderId="2" xfId="122" applyNumberFormat="1" applyFont="1" applyFill="1" applyBorder="1" applyAlignment="1">
      <alignment horizontal="center" vertical="center"/>
    </xf>
    <xf numFmtId="0" fontId="7" fillId="21" borderId="2" xfId="62" applyFont="1" applyFill="1" applyBorder="1" applyAlignment="1">
      <alignment horizontal="center" vertical="center"/>
    </xf>
    <xf numFmtId="170" fontId="8" fillId="21" borderId="4" xfId="122" applyFont="1" applyFill="1" applyBorder="1" applyAlignment="1" applyProtection="1">
      <alignment horizontal="center" vertical="center" wrapText="1"/>
      <protection locked="0"/>
    </xf>
    <xf numFmtId="170" fontId="7" fillId="21" borderId="2" xfId="122" applyFont="1" applyFill="1" applyBorder="1" applyAlignment="1">
      <alignment horizontal="center" vertical="center"/>
    </xf>
    <xf numFmtId="176" fontId="3" fillId="0" borderId="2" xfId="122" applyNumberFormat="1" applyFont="1" applyFill="1" applyBorder="1" applyAlignment="1">
      <alignment horizontal="center" vertical="center"/>
    </xf>
    <xf numFmtId="176" fontId="4" fillId="0" borderId="2" xfId="122" applyNumberFormat="1" applyFont="1" applyFill="1" applyBorder="1" applyAlignment="1" applyProtection="1">
      <alignment horizontal="center" vertical="center" wrapText="1"/>
      <protection locked="0"/>
    </xf>
    <xf numFmtId="0" fontId="89" fillId="22" borderId="2" xfId="62" applyFont="1" applyFill="1" applyBorder="1"/>
    <xf numFmtId="4" fontId="7" fillId="22" borderId="2" xfId="62" applyNumberFormat="1" applyFont="1" applyFill="1" applyBorder="1" applyAlignment="1">
      <alignment horizontal="center"/>
    </xf>
    <xf numFmtId="17" fontId="159" fillId="0" borderId="2" xfId="102" applyNumberFormat="1" applyFont="1" applyBorder="1" applyAlignment="1">
      <alignment horizontal="left" vertical="center" wrapText="1"/>
    </xf>
    <xf numFmtId="0" fontId="159" fillId="0" borderId="2" xfId="102" applyFont="1" applyBorder="1" applyAlignment="1">
      <alignment horizontal="left" vertical="center" wrapText="1"/>
    </xf>
    <xf numFmtId="175" fontId="122" fillId="0" borderId="0" xfId="116" applyNumberFormat="1" applyFont="1" applyFill="1" applyAlignment="1">
      <alignment horizontal="left" vertical="center"/>
    </xf>
    <xf numFmtId="176" fontId="77" fillId="0" borderId="0" xfId="116" applyNumberFormat="1" applyFont="1" applyFill="1" applyBorder="1" applyAlignment="1">
      <alignment horizontal="center" vertical="center"/>
    </xf>
    <xf numFmtId="176" fontId="77" fillId="0" borderId="2" xfId="116" applyNumberFormat="1" applyFont="1" applyFill="1" applyBorder="1" applyAlignment="1">
      <alignment horizontal="center" vertical="center"/>
    </xf>
    <xf numFmtId="0" fontId="77" fillId="0" borderId="21" xfId="0" applyFont="1" applyBorder="1" applyAlignment="1">
      <alignment vertical="top" wrapText="1"/>
    </xf>
    <xf numFmtId="0" fontId="77" fillId="0" borderId="0" xfId="0" applyFont="1" applyAlignment="1">
      <alignment vertical="top" wrapText="1"/>
    </xf>
    <xf numFmtId="0" fontId="77" fillId="0" borderId="0" xfId="0" applyFont="1" applyAlignment="1" applyProtection="1">
      <alignment horizontal="left" vertical="top"/>
      <protection locked="0"/>
    </xf>
    <xf numFmtId="0" fontId="77" fillId="0" borderId="0" xfId="0" applyFont="1" applyAlignment="1">
      <alignment horizontal="left" vertical="top"/>
    </xf>
    <xf numFmtId="2" fontId="77" fillId="0" borderId="2" xfId="0" applyNumberFormat="1" applyFont="1" applyBorder="1" applyAlignment="1" applyProtection="1">
      <alignment horizontal="center" vertical="center"/>
      <protection locked="0"/>
    </xf>
    <xf numFmtId="0" fontId="162" fillId="0" borderId="0" xfId="83" applyFont="1"/>
    <xf numFmtId="0" fontId="163" fillId="0" borderId="0" xfId="83" applyFont="1"/>
    <xf numFmtId="0" fontId="164" fillId="0" borderId="0" xfId="83" applyFont="1"/>
    <xf numFmtId="0" fontId="164" fillId="0" borderId="2" xfId="83" applyFont="1" applyBorder="1" applyAlignment="1">
      <alignment horizontal="center" vertical="center" wrapText="1"/>
    </xf>
    <xf numFmtId="0" fontId="164" fillId="0" borderId="2" xfId="83" applyFont="1" applyBorder="1" applyAlignment="1">
      <alignment horizontal="center" vertical="center"/>
    </xf>
    <xf numFmtId="0" fontId="163" fillId="0" borderId="2" xfId="83" applyFont="1" applyBorder="1" applyAlignment="1">
      <alignment vertical="center"/>
    </xf>
    <xf numFmtId="4" fontId="163" fillId="0" borderId="2" xfId="83" applyNumberFormat="1" applyFont="1" applyBorder="1" applyAlignment="1">
      <alignment horizontal="center" vertical="center"/>
    </xf>
    <xf numFmtId="0" fontId="163" fillId="0" borderId="2" xfId="83" applyFont="1" applyBorder="1" applyAlignment="1">
      <alignment wrapText="1"/>
    </xf>
    <xf numFmtId="0" fontId="165" fillId="0" borderId="18" xfId="83" applyFont="1" applyBorder="1" applyAlignment="1">
      <alignment vertical="center"/>
    </xf>
    <xf numFmtId="0" fontId="163" fillId="0" borderId="2" xfId="83" applyFont="1" applyBorder="1"/>
    <xf numFmtId="0" fontId="163" fillId="0" borderId="2" xfId="83" applyFont="1" applyBorder="1" applyAlignment="1">
      <alignment horizontal="center"/>
    </xf>
    <xf numFmtId="0" fontId="163" fillId="0" borderId="2" xfId="83" applyFont="1" applyBorder="1" applyAlignment="1">
      <alignment horizontal="left" vertical="center"/>
    </xf>
    <xf numFmtId="4" fontId="163" fillId="0" borderId="0" xfId="83" applyNumberFormat="1" applyFont="1"/>
    <xf numFmtId="0" fontId="163" fillId="0" borderId="10" xfId="83" applyFont="1" applyBorder="1"/>
    <xf numFmtId="0" fontId="163" fillId="0" borderId="18" xfId="83" applyFont="1" applyBorder="1" applyAlignment="1">
      <alignment vertical="center"/>
    </xf>
    <xf numFmtId="4" fontId="163" fillId="0" borderId="0" xfId="83" applyNumberFormat="1" applyFont="1" applyAlignment="1">
      <alignment horizontal="center" vertical="center"/>
    </xf>
    <xf numFmtId="0" fontId="4" fillId="0" borderId="2" xfId="83" applyFont="1" applyBorder="1" applyAlignment="1">
      <alignment horizontal="left" vertical="center" wrapText="1"/>
    </xf>
    <xf numFmtId="176" fontId="4" fillId="0" borderId="2" xfId="122" applyNumberFormat="1" applyFont="1" applyFill="1" applyBorder="1" applyAlignment="1">
      <alignment horizontal="left" vertical="center" wrapText="1"/>
    </xf>
    <xf numFmtId="0" fontId="165" fillId="0" borderId="0" xfId="83" applyFont="1" applyAlignment="1">
      <alignment vertical="center"/>
    </xf>
    <xf numFmtId="176" fontId="4" fillId="6" borderId="11" xfId="122" applyNumberFormat="1" applyFont="1" applyFill="1" applyBorder="1" applyAlignment="1">
      <alignment horizontal="center" vertical="center" wrapText="1"/>
    </xf>
    <xf numFmtId="170" fontId="34" fillId="6" borderId="11" xfId="122" applyFont="1" applyFill="1" applyBorder="1" applyAlignment="1">
      <alignment vertical="center" wrapText="1"/>
    </xf>
    <xf numFmtId="1" fontId="4" fillId="6" borderId="11" xfId="122" applyNumberFormat="1" applyFont="1" applyFill="1" applyBorder="1" applyAlignment="1">
      <alignment horizontal="center" vertical="center" wrapText="1"/>
    </xf>
    <xf numFmtId="4" fontId="4" fillId="6" borderId="11" xfId="122" applyNumberFormat="1" applyFont="1" applyFill="1" applyBorder="1" applyAlignment="1">
      <alignment horizontal="center" vertical="center" wrapText="1"/>
    </xf>
    <xf numFmtId="4" fontId="4" fillId="6" borderId="11" xfId="122" applyNumberFormat="1" applyFont="1" applyFill="1" applyBorder="1" applyAlignment="1">
      <alignment horizontal="center" vertical="center"/>
    </xf>
    <xf numFmtId="176" fontId="34" fillId="6" borderId="11" xfId="76" applyNumberFormat="1" applyFont="1" applyFill="1" applyBorder="1" applyAlignment="1">
      <alignment horizontal="center" vertical="center"/>
    </xf>
    <xf numFmtId="190" fontId="34" fillId="6" borderId="11" xfId="76" applyNumberFormat="1" applyFont="1" applyFill="1" applyBorder="1" applyAlignment="1">
      <alignment horizontal="center" vertical="center"/>
    </xf>
    <xf numFmtId="4" fontId="4" fillId="6" borderId="0" xfId="122" applyNumberFormat="1" applyFont="1" applyFill="1" applyBorder="1" applyAlignment="1">
      <alignment horizontal="center" vertical="center"/>
    </xf>
    <xf numFmtId="0" fontId="104" fillId="0" borderId="0" xfId="83"/>
    <xf numFmtId="176" fontId="4" fillId="6" borderId="0" xfId="122" applyNumberFormat="1" applyFont="1" applyFill="1" applyBorder="1" applyAlignment="1">
      <alignment horizontal="center" vertical="center" wrapText="1"/>
    </xf>
    <xf numFmtId="170" fontId="34" fillId="6" borderId="0" xfId="122" applyFont="1" applyFill="1" applyBorder="1" applyAlignment="1">
      <alignment vertical="center" wrapText="1"/>
    </xf>
    <xf numFmtId="1" fontId="4" fillId="6" borderId="0" xfId="122" applyNumberFormat="1" applyFont="1" applyFill="1" applyBorder="1" applyAlignment="1">
      <alignment horizontal="center" vertical="center" wrapText="1"/>
    </xf>
    <xf numFmtId="4" fontId="4" fillId="6" borderId="0" xfId="122" applyNumberFormat="1" applyFont="1" applyFill="1" applyBorder="1" applyAlignment="1">
      <alignment horizontal="center" vertical="center" wrapText="1"/>
    </xf>
    <xf numFmtId="176" fontId="34" fillId="6" borderId="0" xfId="76" applyNumberFormat="1" applyFont="1" applyFill="1" applyAlignment="1">
      <alignment horizontal="center" vertical="center"/>
    </xf>
    <xf numFmtId="190" fontId="34" fillId="6" borderId="0" xfId="76" applyNumberFormat="1" applyFont="1" applyFill="1" applyAlignment="1">
      <alignment horizontal="center" vertical="center"/>
    </xf>
    <xf numFmtId="176" fontId="32" fillId="6" borderId="0" xfId="122" applyNumberFormat="1" applyFont="1" applyFill="1" applyBorder="1" applyAlignment="1">
      <alignment horizontal="left" vertical="center" wrapText="1"/>
    </xf>
    <xf numFmtId="176" fontId="36" fillId="6" borderId="0" xfId="122" applyNumberFormat="1" applyFont="1" applyFill="1" applyAlignment="1">
      <alignment horizontal="left" vertical="center" wrapText="1"/>
    </xf>
    <xf numFmtId="176" fontId="36" fillId="6" borderId="0" xfId="122" applyNumberFormat="1" applyFont="1" applyFill="1" applyBorder="1" applyAlignment="1">
      <alignment horizontal="center" vertical="center" wrapText="1"/>
    </xf>
    <xf numFmtId="176" fontId="8" fillId="6" borderId="0" xfId="122" applyNumberFormat="1" applyFont="1" applyFill="1" applyBorder="1" applyAlignment="1">
      <alignment horizontal="center" vertical="center" wrapText="1"/>
    </xf>
    <xf numFmtId="176" fontId="4" fillId="6" borderId="2" xfId="122" applyNumberFormat="1" applyFont="1" applyFill="1" applyBorder="1" applyAlignment="1">
      <alignment horizontal="center" vertical="center" wrapText="1"/>
    </xf>
    <xf numFmtId="170" fontId="34" fillId="6" borderId="2" xfId="122" applyFont="1" applyFill="1" applyBorder="1" applyAlignment="1">
      <alignment vertical="center" wrapText="1"/>
    </xf>
    <xf numFmtId="4" fontId="34" fillId="6" borderId="2" xfId="122" applyNumberFormat="1" applyFont="1" applyFill="1" applyBorder="1" applyAlignment="1">
      <alignment horizontal="center" vertical="center" wrapText="1"/>
    </xf>
    <xf numFmtId="3" fontId="34" fillId="6" borderId="2" xfId="122" applyNumberFormat="1" applyFont="1" applyFill="1" applyBorder="1" applyAlignment="1">
      <alignment horizontal="center" vertical="center" wrapText="1"/>
    </xf>
    <xf numFmtId="4" fontId="34" fillId="6" borderId="2" xfId="122" applyNumberFormat="1" applyFont="1" applyFill="1" applyBorder="1" applyAlignment="1">
      <alignment vertical="center"/>
    </xf>
    <xf numFmtId="176" fontId="36" fillId="6" borderId="0" xfId="122" applyNumberFormat="1" applyFont="1" applyFill="1" applyBorder="1" applyAlignment="1">
      <alignment horizontal="left" vertical="center" wrapText="1"/>
    </xf>
    <xf numFmtId="0" fontId="34" fillId="6" borderId="2" xfId="76" applyFont="1" applyFill="1" applyBorder="1" applyAlignment="1">
      <alignment vertical="center" wrapText="1"/>
    </xf>
    <xf numFmtId="4" fontId="34" fillId="6" borderId="2" xfId="76" applyNumberFormat="1" applyFont="1" applyFill="1" applyBorder="1" applyAlignment="1">
      <alignment vertical="center" wrapText="1"/>
    </xf>
    <xf numFmtId="4" fontId="34" fillId="6" borderId="2" xfId="76" applyNumberFormat="1" applyFont="1" applyFill="1" applyBorder="1" applyAlignment="1">
      <alignment horizontal="center" vertical="center" wrapText="1"/>
    </xf>
    <xf numFmtId="4" fontId="34" fillId="0" borderId="2" xfId="76" applyNumberFormat="1" applyFont="1" applyBorder="1" applyAlignment="1">
      <alignment horizontal="center" vertical="center" wrapText="1"/>
    </xf>
    <xf numFmtId="3" fontId="34" fillId="6" borderId="2" xfId="76" applyNumberFormat="1" applyFont="1" applyFill="1" applyBorder="1" applyAlignment="1">
      <alignment horizontal="center" vertical="center" wrapText="1"/>
    </xf>
    <xf numFmtId="4" fontId="34" fillId="6" borderId="0" xfId="76" applyNumberFormat="1" applyFont="1" applyFill="1" applyAlignment="1">
      <alignment vertical="center" wrapText="1"/>
    </xf>
    <xf numFmtId="4" fontId="34" fillId="6" borderId="2" xfId="122" applyNumberFormat="1" applyFont="1" applyFill="1" applyBorder="1" applyAlignment="1">
      <alignment horizontal="center" vertical="center"/>
    </xf>
    <xf numFmtId="3" fontId="34" fillId="6" borderId="2" xfId="122" applyNumberFormat="1" applyFont="1" applyFill="1" applyBorder="1" applyAlignment="1">
      <alignment horizontal="center" vertical="center"/>
    </xf>
    <xf numFmtId="176" fontId="8" fillId="6" borderId="2" xfId="122" applyNumberFormat="1" applyFont="1" applyFill="1" applyBorder="1" applyAlignment="1">
      <alignment horizontal="center" vertical="center" wrapText="1"/>
    </xf>
    <xf numFmtId="0" fontId="32" fillId="6" borderId="2" xfId="76" applyFont="1" applyFill="1" applyBorder="1" applyAlignment="1">
      <alignment vertical="center" wrapText="1"/>
    </xf>
    <xf numFmtId="4" fontId="32" fillId="6" borderId="2" xfId="76" applyNumberFormat="1" applyFont="1" applyFill="1" applyBorder="1" applyAlignment="1">
      <alignment vertical="center" wrapText="1"/>
    </xf>
    <xf numFmtId="4" fontId="32" fillId="6" borderId="2" xfId="122" applyNumberFormat="1" applyFont="1" applyFill="1" applyBorder="1" applyAlignment="1">
      <alignment horizontal="center" vertical="center" wrapText="1"/>
    </xf>
    <xf numFmtId="4" fontId="32" fillId="6" borderId="2" xfId="76" applyNumberFormat="1" applyFont="1" applyFill="1" applyBorder="1" applyAlignment="1">
      <alignment horizontal="center" vertical="center" wrapText="1"/>
    </xf>
    <xf numFmtId="4" fontId="32" fillId="6" borderId="2" xfId="122" applyNumberFormat="1" applyFont="1" applyFill="1" applyBorder="1" applyAlignment="1">
      <alignment vertical="center"/>
    </xf>
    <xf numFmtId="3" fontId="32" fillId="6" borderId="2" xfId="76" applyNumberFormat="1" applyFont="1" applyFill="1" applyBorder="1" applyAlignment="1">
      <alignment horizontal="center" vertical="center" wrapText="1"/>
    </xf>
    <xf numFmtId="4" fontId="32" fillId="6" borderId="0" xfId="76" applyNumberFormat="1" applyFont="1" applyFill="1" applyAlignment="1">
      <alignment vertical="center" wrapText="1"/>
    </xf>
    <xf numFmtId="0" fontId="32" fillId="6" borderId="0" xfId="76" applyFont="1" applyFill="1" applyAlignment="1">
      <alignment vertical="center" wrapText="1"/>
    </xf>
    <xf numFmtId="4" fontId="32" fillId="6" borderId="0" xfId="122" applyNumberFormat="1" applyFont="1" applyFill="1" applyBorder="1" applyAlignment="1">
      <alignment horizontal="center" vertical="center" wrapText="1"/>
    </xf>
    <xf numFmtId="4" fontId="32" fillId="6" borderId="0" xfId="76" applyNumberFormat="1" applyFont="1" applyFill="1" applyAlignment="1">
      <alignment horizontal="center" vertical="center" wrapText="1"/>
    </xf>
    <xf numFmtId="4" fontId="32" fillId="6" borderId="0" xfId="122" applyNumberFormat="1" applyFont="1" applyFill="1" applyBorder="1" applyAlignment="1">
      <alignment vertical="center"/>
    </xf>
    <xf numFmtId="3" fontId="32" fillId="6" borderId="0" xfId="76" applyNumberFormat="1" applyFont="1" applyFill="1" applyAlignment="1">
      <alignment horizontal="center" vertical="center" wrapText="1"/>
    </xf>
    <xf numFmtId="176" fontId="36" fillId="6" borderId="0" xfId="122" applyNumberFormat="1" applyFont="1" applyFill="1" applyBorder="1" applyAlignment="1" applyProtection="1">
      <alignment horizontal="left" vertical="center" wrapText="1"/>
    </xf>
    <xf numFmtId="176" fontId="77" fillId="6" borderId="0" xfId="122" applyNumberFormat="1" applyFont="1" applyFill="1" applyBorder="1" applyAlignment="1">
      <alignment vertical="center"/>
    </xf>
    <xf numFmtId="176" fontId="36" fillId="6" borderId="0" xfId="122" applyNumberFormat="1" applyFont="1" applyFill="1" applyAlignment="1">
      <alignment vertical="center" wrapText="1"/>
    </xf>
    <xf numFmtId="176" fontId="77" fillId="6" borderId="0" xfId="122" applyNumberFormat="1" applyFont="1" applyFill="1" applyAlignment="1">
      <alignment vertical="center"/>
    </xf>
    <xf numFmtId="176" fontId="77" fillId="6" borderId="0" xfId="122" applyNumberFormat="1" applyFont="1" applyFill="1" applyBorder="1" applyAlignment="1">
      <alignment vertical="center" wrapText="1"/>
    </xf>
    <xf numFmtId="0" fontId="164" fillId="19" borderId="2" xfId="83" applyFont="1" applyFill="1" applyBorder="1" applyAlignment="1">
      <alignment horizontal="center" vertical="center" wrapText="1"/>
    </xf>
    <xf numFmtId="0" fontId="164" fillId="19" borderId="2" xfId="83" applyFont="1" applyFill="1" applyBorder="1" applyAlignment="1">
      <alignment horizontal="center" vertical="center"/>
    </xf>
    <xf numFmtId="0" fontId="164" fillId="19" borderId="6" xfId="83" applyFont="1" applyFill="1" applyBorder="1" applyAlignment="1">
      <alignment horizontal="center" vertical="center"/>
    </xf>
    <xf numFmtId="0" fontId="165" fillId="19" borderId="2" xfId="83" applyFont="1" applyFill="1" applyBorder="1"/>
    <xf numFmtId="0" fontId="163" fillId="19" borderId="2" xfId="83" applyFont="1" applyFill="1" applyBorder="1" applyAlignment="1">
      <alignment vertical="center"/>
    </xf>
    <xf numFmtId="4" fontId="163" fillId="19" borderId="2" xfId="83" applyNumberFormat="1" applyFont="1" applyFill="1" applyBorder="1" applyAlignment="1">
      <alignment horizontal="center" vertical="center"/>
    </xf>
    <xf numFmtId="0" fontId="163" fillId="19" borderId="6" xfId="83" applyFont="1" applyFill="1" applyBorder="1" applyAlignment="1">
      <alignment wrapText="1"/>
    </xf>
    <xf numFmtId="0" fontId="163" fillId="19" borderId="2" xfId="83" applyFont="1" applyFill="1" applyBorder="1"/>
    <xf numFmtId="0" fontId="139" fillId="19" borderId="2" xfId="83" applyFont="1" applyFill="1" applyBorder="1" applyAlignment="1">
      <alignment horizontal="left" vertical="center" wrapText="1"/>
    </xf>
    <xf numFmtId="4" fontId="104" fillId="19" borderId="2" xfId="83" applyNumberFormat="1" applyFill="1" applyBorder="1" applyAlignment="1">
      <alignment horizontal="center" vertical="center"/>
    </xf>
    <xf numFmtId="0" fontId="104" fillId="19" borderId="6" xfId="83" applyFill="1" applyBorder="1" applyAlignment="1">
      <alignment wrapText="1"/>
    </xf>
    <xf numFmtId="176" fontId="139" fillId="19" borderId="2" xfId="122" applyNumberFormat="1" applyFont="1" applyFill="1" applyBorder="1" applyAlignment="1">
      <alignment horizontal="left" vertical="center" wrapText="1"/>
    </xf>
    <xf numFmtId="0" fontId="163" fillId="19" borderId="10" xfId="83" applyFont="1" applyFill="1" applyBorder="1"/>
    <xf numFmtId="4" fontId="163" fillId="19" borderId="2" xfId="83" applyNumberFormat="1" applyFont="1" applyFill="1" applyBorder="1"/>
    <xf numFmtId="0" fontId="163" fillId="0" borderId="0" xfId="83" applyFont="1" applyAlignment="1">
      <alignment wrapText="1"/>
    </xf>
    <xf numFmtId="0" fontId="162" fillId="0" borderId="18" xfId="83" applyFont="1" applyBorder="1" applyAlignment="1">
      <alignment vertical="center"/>
    </xf>
    <xf numFmtId="49" fontId="77" fillId="0" borderId="21" xfId="116" applyNumberFormat="1" applyFont="1" applyFill="1" applyBorder="1" applyAlignment="1" applyProtection="1">
      <alignment horizontal="center" vertical="center" wrapText="1"/>
      <protection locked="0"/>
    </xf>
    <xf numFmtId="170" fontId="77" fillId="0" borderId="2" xfId="116" applyFont="1" applyFill="1" applyBorder="1" applyAlignment="1" applyProtection="1">
      <alignment horizontal="left" vertical="center"/>
      <protection locked="0"/>
    </xf>
    <xf numFmtId="170" fontId="77" fillId="0" borderId="2" xfId="116" applyFont="1" applyFill="1" applyBorder="1" applyAlignment="1">
      <alignment horizontal="center"/>
    </xf>
    <xf numFmtId="0" fontId="163" fillId="0" borderId="2" xfId="83" applyFont="1" applyBorder="1" applyAlignment="1">
      <alignment vertical="center" wrapText="1"/>
    </xf>
    <xf numFmtId="4" fontId="163" fillId="0" borderId="2" xfId="83" applyNumberFormat="1" applyFont="1" applyBorder="1" applyAlignment="1">
      <alignment horizontal="center" vertical="center" wrapText="1"/>
    </xf>
    <xf numFmtId="170" fontId="77" fillId="6" borderId="2" xfId="116" applyFont="1" applyFill="1" applyBorder="1" applyAlignment="1">
      <alignment horizontal="center" vertical="center" wrapText="1"/>
    </xf>
    <xf numFmtId="175" fontId="77" fillId="6" borderId="0" xfId="116" applyNumberFormat="1" applyFont="1" applyFill="1" applyAlignment="1">
      <alignment horizontal="center" vertical="center"/>
    </xf>
    <xf numFmtId="170" fontId="77" fillId="6" borderId="0" xfId="116" applyFont="1" applyFill="1" applyAlignment="1">
      <alignment horizontal="center" vertical="center"/>
    </xf>
    <xf numFmtId="170" fontId="77" fillId="6" borderId="0" xfId="116" applyFont="1" applyFill="1" applyAlignment="1">
      <alignment vertical="center"/>
    </xf>
    <xf numFmtId="170" fontId="77" fillId="6" borderId="0" xfId="116" applyFont="1" applyFill="1" applyAlignment="1">
      <alignment vertical="center" wrapText="1"/>
    </xf>
    <xf numFmtId="170" fontId="77" fillId="6" borderId="0" xfId="116" applyFont="1" applyFill="1" applyAlignment="1">
      <alignment horizontal="right" vertical="center"/>
    </xf>
    <xf numFmtId="170" fontId="77" fillId="6" borderId="0" xfId="116" applyFont="1" applyFill="1" applyBorder="1" applyAlignment="1">
      <alignment horizontal="center" vertical="center" wrapText="1"/>
    </xf>
    <xf numFmtId="170" fontId="77" fillId="6" borderId="0" xfId="116" applyFont="1" applyFill="1" applyAlignment="1" applyProtection="1">
      <alignment vertical="center"/>
      <protection locked="0"/>
    </xf>
    <xf numFmtId="170" fontId="77" fillId="6" borderId="0" xfId="116" applyFont="1" applyFill="1" applyAlignment="1" applyProtection="1">
      <alignment vertical="center" wrapText="1"/>
      <protection locked="0"/>
    </xf>
    <xf numFmtId="170" fontId="77" fillId="6" borderId="0" xfId="116" applyFont="1" applyFill="1" applyAlignment="1" applyProtection="1">
      <alignment horizontal="center" vertical="center" wrapText="1"/>
      <protection locked="0"/>
    </xf>
    <xf numFmtId="170" fontId="77" fillId="6" borderId="0" xfId="116" applyFont="1" applyFill="1" applyAlignment="1" applyProtection="1">
      <alignment horizontal="center" vertical="center"/>
      <protection locked="0"/>
    </xf>
    <xf numFmtId="170" fontId="77" fillId="6" borderId="0" xfId="116" applyFont="1" applyFill="1" applyAlignment="1">
      <alignment horizontal="center" vertical="center" wrapText="1"/>
    </xf>
    <xf numFmtId="170" fontId="50" fillId="6" borderId="2" xfId="116" applyFont="1" applyFill="1" applyBorder="1" applyAlignment="1">
      <alignment horizontal="left" vertical="center" wrapText="1"/>
    </xf>
    <xf numFmtId="170" fontId="50" fillId="6" borderId="7" xfId="116" applyFont="1" applyFill="1" applyBorder="1" applyAlignment="1">
      <alignment horizontal="left" vertical="center" wrapText="1"/>
    </xf>
    <xf numFmtId="170" fontId="81" fillId="6" borderId="2" xfId="116" applyFont="1" applyFill="1" applyBorder="1" applyAlignment="1">
      <alignment horizontal="left" vertical="center"/>
    </xf>
    <xf numFmtId="170" fontId="50" fillId="6" borderId="2" xfId="116" applyFont="1" applyFill="1" applyBorder="1" applyAlignment="1">
      <alignment horizontal="left" vertical="center"/>
    </xf>
    <xf numFmtId="170" fontId="81" fillId="6" borderId="2" xfId="116" applyFont="1" applyFill="1" applyBorder="1" applyAlignment="1">
      <alignment horizontal="left" vertical="center" wrapText="1"/>
    </xf>
    <xf numFmtId="170" fontId="87" fillId="6" borderId="2" xfId="116" applyFont="1" applyFill="1" applyBorder="1" applyAlignment="1">
      <alignment horizontal="center" vertical="center"/>
    </xf>
    <xf numFmtId="170" fontId="87" fillId="6" borderId="2" xfId="116" applyFont="1" applyFill="1" applyBorder="1" applyAlignment="1">
      <alignment horizontal="left" vertical="center"/>
    </xf>
    <xf numFmtId="175" fontId="81" fillId="6" borderId="2" xfId="116" applyNumberFormat="1" applyFont="1" applyFill="1" applyBorder="1" applyAlignment="1">
      <alignment horizontal="center" vertical="center"/>
    </xf>
    <xf numFmtId="175" fontId="77" fillId="6" borderId="2" xfId="116" applyNumberFormat="1" applyFont="1" applyFill="1" applyBorder="1" applyAlignment="1" applyProtection="1">
      <alignment horizontal="center" vertical="center"/>
      <protection locked="0"/>
    </xf>
    <xf numFmtId="170" fontId="106" fillId="0" borderId="2" xfId="2510" applyFont="1" applyBorder="1" applyAlignment="1">
      <alignment vertical="center" wrapText="1"/>
    </xf>
    <xf numFmtId="170" fontId="106" fillId="0" borderId="0" xfId="2510" applyFont="1"/>
    <xf numFmtId="170" fontId="106" fillId="0" borderId="0" xfId="2510" applyFont="1" applyAlignment="1">
      <alignment vertical="center" wrapText="1"/>
    </xf>
    <xf numFmtId="176" fontId="106" fillId="0" borderId="2" xfId="2510" applyNumberFormat="1" applyFont="1" applyBorder="1"/>
    <xf numFmtId="170" fontId="106" fillId="10" borderId="2" xfId="2510" applyFont="1" applyFill="1" applyBorder="1" applyAlignment="1"/>
    <xf numFmtId="175" fontId="35" fillId="0" borderId="2" xfId="0" applyNumberFormat="1" applyFont="1" applyBorder="1"/>
    <xf numFmtId="170" fontId="106" fillId="0" borderId="2" xfId="2510" applyFont="1" applyBorder="1" applyAlignment="1"/>
    <xf numFmtId="170" fontId="106" fillId="20" borderId="0" xfId="0" applyNumberFormat="1" applyFont="1" applyFill="1"/>
    <xf numFmtId="0" fontId="106" fillId="20" borderId="0" xfId="0" applyFont="1" applyFill="1"/>
    <xf numFmtId="176" fontId="106" fillId="20" borderId="0" xfId="0" applyNumberFormat="1" applyFont="1" applyFill="1"/>
    <xf numFmtId="170" fontId="106" fillId="20" borderId="0" xfId="2510" applyFont="1" applyFill="1"/>
    <xf numFmtId="9" fontId="106" fillId="20" borderId="0" xfId="2499" applyFont="1" applyFill="1"/>
    <xf numFmtId="170" fontId="106" fillId="0" borderId="2" xfId="2510" applyFont="1" applyBorder="1"/>
    <xf numFmtId="4" fontId="106" fillId="20" borderId="0" xfId="0" applyNumberFormat="1" applyFont="1" applyFill="1"/>
    <xf numFmtId="0" fontId="109" fillId="20" borderId="2" xfId="0" applyFont="1" applyFill="1" applyBorder="1"/>
    <xf numFmtId="176" fontId="109" fillId="0" borderId="2" xfId="2510" applyNumberFormat="1" applyFont="1" applyBorder="1"/>
    <xf numFmtId="170" fontId="109" fillId="0" borderId="2" xfId="2510" applyFont="1" applyBorder="1"/>
    <xf numFmtId="176" fontId="106" fillId="20" borderId="2" xfId="0" applyNumberFormat="1" applyFont="1" applyFill="1" applyBorder="1"/>
    <xf numFmtId="0" fontId="106" fillId="20" borderId="2" xfId="0" applyFont="1" applyFill="1" applyBorder="1"/>
    <xf numFmtId="187" fontId="106" fillId="0" borderId="2" xfId="2510" applyNumberFormat="1" applyFont="1" applyBorder="1"/>
    <xf numFmtId="176" fontId="35" fillId="0" borderId="2" xfId="2510" applyNumberFormat="1" applyFont="1" applyBorder="1"/>
    <xf numFmtId="187" fontId="106" fillId="6" borderId="2" xfId="2510" applyNumberFormat="1" applyFont="1" applyFill="1" applyBorder="1"/>
    <xf numFmtId="0" fontId="109" fillId="10" borderId="2" xfId="0" applyFont="1" applyFill="1" applyBorder="1"/>
    <xf numFmtId="188" fontId="106" fillId="0" borderId="2" xfId="2510" applyNumberFormat="1" applyFont="1" applyBorder="1"/>
    <xf numFmtId="170" fontId="106" fillId="20" borderId="2" xfId="0" applyNumberFormat="1" applyFont="1" applyFill="1" applyBorder="1"/>
    <xf numFmtId="187" fontId="109" fillId="0" borderId="2" xfId="2510" applyNumberFormat="1" applyFont="1" applyBorder="1"/>
    <xf numFmtId="187" fontId="35" fillId="0" borderId="2" xfId="2510" applyNumberFormat="1" applyFont="1" applyBorder="1"/>
    <xf numFmtId="187" fontId="36" fillId="0" borderId="2" xfId="2510" applyNumberFormat="1" applyFont="1" applyBorder="1" applyAlignment="1">
      <alignment vertical="center" wrapText="1"/>
    </xf>
    <xf numFmtId="9" fontId="118" fillId="6" borderId="0" xfId="2499" applyFont="1" applyFill="1" applyAlignment="1">
      <alignment vertical="center" wrapText="1"/>
    </xf>
    <xf numFmtId="176" fontId="106" fillId="20" borderId="2" xfId="0" applyNumberFormat="1" applyFont="1" applyFill="1" applyBorder="1" applyAlignment="1">
      <alignment vertical="center" wrapText="1"/>
    </xf>
    <xf numFmtId="0" fontId="106" fillId="20" borderId="2" xfId="0" applyFont="1" applyFill="1" applyBorder="1" applyAlignment="1">
      <alignment vertical="center" wrapText="1"/>
    </xf>
    <xf numFmtId="170" fontId="106" fillId="20" borderId="0" xfId="2510" applyFont="1" applyFill="1" applyAlignment="1">
      <alignment vertical="center" wrapText="1"/>
    </xf>
    <xf numFmtId="0" fontId="106" fillId="20" borderId="0" xfId="0" applyFont="1" applyFill="1" applyAlignment="1">
      <alignment vertical="center" wrapText="1"/>
    </xf>
    <xf numFmtId="176" fontId="106" fillId="20" borderId="0" xfId="0" applyNumberFormat="1" applyFont="1" applyFill="1" applyAlignment="1">
      <alignment vertical="center" wrapText="1"/>
    </xf>
    <xf numFmtId="9" fontId="118" fillId="0" borderId="0" xfId="2499" applyFont="1" applyAlignment="1">
      <alignment vertical="center" wrapText="1"/>
    </xf>
    <xf numFmtId="170" fontId="106" fillId="20" borderId="0" xfId="0" applyNumberFormat="1" applyFont="1" applyFill="1" applyAlignment="1">
      <alignment vertical="center" wrapText="1"/>
    </xf>
    <xf numFmtId="178" fontId="106" fillId="0" borderId="0" xfId="2510" applyNumberFormat="1" applyFont="1"/>
    <xf numFmtId="187" fontId="118" fillId="0" borderId="0" xfId="2510" applyNumberFormat="1" applyFont="1" applyAlignment="1">
      <alignment horizontal="right"/>
    </xf>
    <xf numFmtId="187" fontId="106" fillId="0" borderId="0" xfId="2510" applyNumberFormat="1" applyFont="1" applyAlignment="1">
      <alignment horizontal="right"/>
    </xf>
    <xf numFmtId="187" fontId="106" fillId="0" borderId="2" xfId="2510" applyNumberFormat="1" applyFont="1" applyBorder="1" applyAlignment="1">
      <alignment vertical="center" wrapText="1"/>
    </xf>
    <xf numFmtId="170" fontId="106" fillId="10" borderId="2" xfId="2510" applyFont="1" applyFill="1" applyBorder="1"/>
    <xf numFmtId="176" fontId="106" fillId="0" borderId="0" xfId="2499" applyNumberFormat="1" applyFont="1"/>
    <xf numFmtId="176" fontId="106" fillId="0" borderId="0" xfId="2510" applyNumberFormat="1" applyFont="1"/>
    <xf numFmtId="193" fontId="106" fillId="0" borderId="0" xfId="0" applyNumberFormat="1" applyFont="1"/>
    <xf numFmtId="9" fontId="106" fillId="0" borderId="0" xfId="2499" applyFont="1"/>
    <xf numFmtId="170" fontId="109" fillId="0" borderId="2" xfId="2510" applyFont="1" applyBorder="1" applyAlignment="1">
      <alignment vertical="center" wrapText="1"/>
    </xf>
    <xf numFmtId="187" fontId="109" fillId="0" borderId="0" xfId="2510" applyNumberFormat="1" applyFont="1" applyBorder="1" applyAlignment="1">
      <alignment vertical="center" wrapText="1"/>
    </xf>
    <xf numFmtId="2" fontId="106" fillId="0" borderId="0" xfId="0" applyNumberFormat="1" applyFont="1"/>
    <xf numFmtId="187" fontId="106" fillId="0" borderId="0" xfId="2510" applyNumberFormat="1" applyFont="1"/>
    <xf numFmtId="9" fontId="106" fillId="20" borderId="0" xfId="4412" applyFont="1" applyFill="1"/>
    <xf numFmtId="0" fontId="106" fillId="10" borderId="2" xfId="0" applyFont="1" applyFill="1" applyBorder="1"/>
    <xf numFmtId="9" fontId="118" fillId="6" borderId="0" xfId="4412" applyFont="1" applyFill="1" applyAlignment="1">
      <alignment vertical="center" wrapText="1"/>
    </xf>
    <xf numFmtId="9" fontId="118" fillId="0" borderId="0" xfId="4412" applyFont="1" applyAlignment="1">
      <alignment vertical="center" wrapText="1"/>
    </xf>
    <xf numFmtId="187" fontId="35" fillId="0" borderId="0" xfId="4433" applyNumberFormat="1" applyFont="1" applyAlignment="1">
      <alignment horizontal="right"/>
    </xf>
    <xf numFmtId="187" fontId="118" fillId="0" borderId="0" xfId="4433" applyNumberFormat="1" applyFont="1" applyAlignment="1">
      <alignment horizontal="right"/>
    </xf>
    <xf numFmtId="187" fontId="106" fillId="0" borderId="0" xfId="4433" applyNumberFormat="1" applyFont="1"/>
    <xf numFmtId="187" fontId="106" fillId="6" borderId="2" xfId="4433" applyNumberFormat="1" applyFont="1" applyFill="1" applyBorder="1" applyAlignment="1">
      <alignment horizontal="center" vertical="center" wrapText="1"/>
    </xf>
    <xf numFmtId="176" fontId="106" fillId="0" borderId="2" xfId="4433" applyNumberFormat="1" applyFont="1" applyBorder="1"/>
    <xf numFmtId="170" fontId="106" fillId="6" borderId="2" xfId="4433" applyFont="1" applyFill="1" applyBorder="1"/>
    <xf numFmtId="170" fontId="106" fillId="0" borderId="2" xfId="4433" applyFont="1" applyBorder="1"/>
    <xf numFmtId="176" fontId="106" fillId="0" borderId="0" xfId="4412" applyNumberFormat="1" applyFont="1"/>
    <xf numFmtId="176" fontId="35" fillId="0" borderId="2" xfId="0" applyNumberFormat="1" applyFont="1" applyBorder="1"/>
    <xf numFmtId="176" fontId="109" fillId="0" borderId="2" xfId="4433" applyNumberFormat="1" applyFont="1" applyBorder="1"/>
    <xf numFmtId="170" fontId="109" fillId="0" borderId="2" xfId="4433" applyFont="1" applyBorder="1"/>
    <xf numFmtId="176" fontId="35" fillId="0" borderId="2" xfId="4433" applyNumberFormat="1" applyFont="1" applyBorder="1"/>
    <xf numFmtId="0" fontId="108" fillId="0" borderId="2" xfId="0" applyFont="1" applyBorder="1"/>
    <xf numFmtId="49" fontId="108" fillId="0" borderId="2" xfId="0" applyNumberFormat="1" applyFont="1" applyBorder="1" applyAlignment="1">
      <alignment horizontal="left" indent="4"/>
    </xf>
    <xf numFmtId="176" fontId="35" fillId="6" borderId="2" xfId="4433" applyNumberFormat="1" applyFont="1" applyFill="1" applyBorder="1"/>
    <xf numFmtId="176" fontId="36" fillId="0" borderId="2" xfId="4433" applyNumberFormat="1" applyFont="1" applyBorder="1"/>
    <xf numFmtId="170" fontId="35" fillId="0" borderId="2" xfId="4433" applyFont="1" applyBorder="1"/>
    <xf numFmtId="170" fontId="109" fillId="0" borderId="2" xfId="4433" applyFont="1" applyBorder="1" applyAlignment="1">
      <alignment vertical="center" wrapText="1"/>
    </xf>
    <xf numFmtId="187" fontId="109" fillId="0" borderId="0" xfId="4433" applyNumberFormat="1" applyFont="1" applyBorder="1" applyAlignment="1">
      <alignment vertical="center" wrapText="1"/>
    </xf>
    <xf numFmtId="0" fontId="35" fillId="0" borderId="0" xfId="0" applyFont="1" applyAlignment="1">
      <alignment horizontal="left"/>
    </xf>
    <xf numFmtId="187" fontId="106" fillId="0" borderId="0" xfId="4433" applyNumberFormat="1" applyFont="1" applyAlignment="1">
      <alignment horizontal="right"/>
    </xf>
    <xf numFmtId="187" fontId="106" fillId="0" borderId="2" xfId="4433" applyNumberFormat="1" applyFont="1" applyBorder="1" applyAlignment="1">
      <alignment horizontal="center" vertical="center" wrapText="1"/>
    </xf>
    <xf numFmtId="187" fontId="106" fillId="10" borderId="2" xfId="4433" applyNumberFormat="1" applyFont="1" applyFill="1" applyBorder="1"/>
    <xf numFmtId="187" fontId="106" fillId="0" borderId="2" xfId="4433" applyNumberFormat="1" applyFont="1" applyBorder="1"/>
    <xf numFmtId="187" fontId="109" fillId="0" borderId="2" xfId="4433" applyNumberFormat="1" applyFont="1" applyBorder="1"/>
    <xf numFmtId="187" fontId="109" fillId="0" borderId="2" xfId="4433" applyNumberFormat="1" applyFont="1" applyBorder="1" applyAlignment="1">
      <alignment vertical="center" wrapText="1"/>
    </xf>
    <xf numFmtId="43" fontId="106" fillId="20" borderId="0" xfId="0" applyNumberFormat="1" applyFont="1" applyFill="1"/>
    <xf numFmtId="181" fontId="77" fillId="0" borderId="2" xfId="116" applyNumberFormat="1" applyFont="1" applyFill="1" applyBorder="1" applyAlignment="1">
      <alignment horizontal="center" vertical="center"/>
    </xf>
    <xf numFmtId="181" fontId="4" fillId="0" borderId="2" xfId="116" applyNumberFormat="1" applyFont="1" applyFill="1" applyBorder="1" applyAlignment="1">
      <alignment horizontal="left" vertical="center"/>
    </xf>
    <xf numFmtId="170" fontId="77" fillId="6" borderId="2" xfId="116" applyFont="1" applyFill="1" applyBorder="1" applyAlignment="1">
      <alignment horizontal="center" vertical="center"/>
    </xf>
    <xf numFmtId="175" fontId="77" fillId="6" borderId="0" xfId="116" applyNumberFormat="1" applyFont="1" applyFill="1" applyAlignment="1">
      <alignment horizontal="left" vertical="center"/>
    </xf>
    <xf numFmtId="175" fontId="50" fillId="6" borderId="0" xfId="116" applyNumberFormat="1" applyFont="1" applyFill="1" applyAlignment="1" applyProtection="1">
      <alignment horizontal="left" vertical="center"/>
      <protection locked="0"/>
    </xf>
    <xf numFmtId="175" fontId="50" fillId="6" borderId="0" xfId="116" applyNumberFormat="1" applyFont="1" applyFill="1" applyBorder="1" applyAlignment="1" applyProtection="1">
      <alignment horizontal="left" vertical="center"/>
      <protection locked="0"/>
    </xf>
    <xf numFmtId="175" fontId="77" fillId="6" borderId="0" xfId="116" applyNumberFormat="1" applyFont="1" applyFill="1" applyBorder="1" applyAlignment="1">
      <alignment horizontal="left" vertical="center"/>
    </xf>
    <xf numFmtId="0" fontId="125" fillId="0" borderId="0" xfId="0" applyFont="1" applyAlignment="1">
      <alignment horizontal="center" vertical="center"/>
    </xf>
    <xf numFmtId="3" fontId="125" fillId="0" borderId="0" xfId="0" applyNumberFormat="1" applyFont="1" applyAlignment="1" applyProtection="1">
      <alignment horizontal="center" vertical="center"/>
      <protection locked="0"/>
    </xf>
    <xf numFmtId="40" fontId="46" fillId="0" borderId="50" xfId="4436" applyNumberFormat="1" applyBorder="1" applyAlignment="1">
      <alignment horizontal="right" vertical="top"/>
    </xf>
    <xf numFmtId="4" fontId="46" fillId="0" borderId="50" xfId="4436" applyNumberFormat="1" applyBorder="1" applyAlignment="1">
      <alignment horizontal="right" vertical="top"/>
    </xf>
    <xf numFmtId="192" fontId="0" fillId="0" borderId="0" xfId="0" applyNumberFormat="1"/>
    <xf numFmtId="0" fontId="177" fillId="0" borderId="0" xfId="94" applyFont="1" applyAlignment="1" applyProtection="1">
      <alignment vertical="center"/>
      <protection locked="0"/>
    </xf>
    <xf numFmtId="3" fontId="154" fillId="0" borderId="0" xfId="94" applyNumberFormat="1" applyFont="1" applyAlignment="1" applyProtection="1">
      <alignment horizontal="center" vertical="center"/>
      <protection locked="0"/>
    </xf>
    <xf numFmtId="2" fontId="154" fillId="0" borderId="0" xfId="94" applyNumberFormat="1" applyFont="1" applyAlignment="1" applyProtection="1">
      <alignment vertical="center"/>
      <protection locked="0"/>
    </xf>
    <xf numFmtId="0" fontId="177" fillId="0" borderId="0" xfId="94" applyFont="1" applyAlignment="1">
      <alignment vertical="center"/>
    </xf>
    <xf numFmtId="172" fontId="154" fillId="0" borderId="0" xfId="94" applyNumberFormat="1" applyFont="1" applyAlignment="1" applyProtection="1">
      <alignment horizontal="center" vertical="center"/>
      <protection locked="0"/>
    </xf>
    <xf numFmtId="170" fontId="177" fillId="0" borderId="0" xfId="116" applyFont="1" applyFill="1" applyAlignment="1" applyProtection="1">
      <alignment vertical="center"/>
      <protection locked="0"/>
    </xf>
    <xf numFmtId="170" fontId="154" fillId="0" borderId="0" xfId="116" applyFont="1" applyFill="1" applyAlignment="1" applyProtection="1">
      <alignment horizontal="center" vertical="center"/>
      <protection locked="0"/>
    </xf>
    <xf numFmtId="170" fontId="154" fillId="0" borderId="0" xfId="116" applyFont="1" applyFill="1" applyAlignment="1" applyProtection="1">
      <alignment vertical="center"/>
      <protection locked="0"/>
    </xf>
    <xf numFmtId="170" fontId="177" fillId="0" borderId="0" xfId="116" applyFont="1" applyFill="1" applyAlignment="1">
      <alignment vertical="center"/>
    </xf>
    <xf numFmtId="170" fontId="177" fillId="0" borderId="0" xfId="116" applyFont="1" applyFill="1" applyAlignment="1" applyProtection="1">
      <alignment horizontal="center" vertical="center"/>
      <protection locked="0"/>
    </xf>
    <xf numFmtId="170" fontId="177" fillId="0" borderId="0" xfId="116" applyFont="1" applyFill="1" applyAlignment="1">
      <alignment horizontal="center" vertical="center"/>
    </xf>
    <xf numFmtId="170" fontId="118" fillId="0" borderId="0" xfId="2510" applyFont="1"/>
    <xf numFmtId="170" fontId="49" fillId="0" borderId="0" xfId="116" applyFont="1" applyFill="1" applyBorder="1" applyAlignment="1">
      <alignment horizontal="left" vertical="center"/>
    </xf>
    <xf numFmtId="170" fontId="117" fillId="0" borderId="2" xfId="116" applyFont="1" applyBorder="1" applyAlignment="1">
      <alignment vertical="center"/>
    </xf>
    <xf numFmtId="170" fontId="4" fillId="6" borderId="2" xfId="116" applyFont="1" applyFill="1" applyBorder="1" applyAlignment="1">
      <alignment horizontal="center" vertical="center" wrapText="1"/>
    </xf>
    <xf numFmtId="170" fontId="177" fillId="6" borderId="0" xfId="116" applyFont="1" applyFill="1" applyAlignment="1" applyProtection="1">
      <alignment vertical="center"/>
      <protection locked="0"/>
    </xf>
    <xf numFmtId="170" fontId="154" fillId="6" borderId="0" xfId="116" applyFont="1" applyFill="1" applyAlignment="1" applyProtection="1">
      <alignment horizontal="center" vertical="center"/>
      <protection locked="0"/>
    </xf>
    <xf numFmtId="170" fontId="154" fillId="6" borderId="0" xfId="116" applyFont="1" applyFill="1" applyAlignment="1" applyProtection="1">
      <alignment vertical="center"/>
      <protection locked="0"/>
    </xf>
    <xf numFmtId="170" fontId="177" fillId="6" borderId="0" xfId="116" applyFont="1" applyFill="1" applyAlignment="1">
      <alignment vertical="center"/>
    </xf>
    <xf numFmtId="175" fontId="88" fillId="0" borderId="0" xfId="116" applyNumberFormat="1" applyFont="1" applyFill="1" applyAlignment="1" applyProtection="1">
      <alignment horizontal="left" vertical="center"/>
      <protection locked="0"/>
    </xf>
    <xf numFmtId="175" fontId="88" fillId="0" borderId="0" xfId="116" applyNumberFormat="1" applyFont="1" applyFill="1" applyAlignment="1">
      <alignment horizontal="left" vertical="center"/>
    </xf>
    <xf numFmtId="175" fontId="10" fillId="0" borderId="0" xfId="116" applyNumberFormat="1" applyFont="1" applyFill="1" applyBorder="1" applyAlignment="1">
      <alignment horizontal="left" vertical="center"/>
    </xf>
    <xf numFmtId="170" fontId="153" fillId="6" borderId="0" xfId="116" applyFont="1" applyFill="1" applyAlignment="1" applyProtection="1">
      <alignment horizontal="center" vertical="center"/>
      <protection locked="0"/>
    </xf>
    <xf numFmtId="4" fontId="50" fillId="0" borderId="2" xfId="0" applyNumberFormat="1" applyFont="1" applyBorder="1" applyAlignment="1">
      <alignment horizontal="center" vertical="center" wrapText="1"/>
    </xf>
    <xf numFmtId="170" fontId="77" fillId="6" borderId="2" xfId="116" applyFont="1" applyFill="1" applyBorder="1" applyAlignment="1" applyProtection="1">
      <alignment horizontal="center" vertical="center"/>
      <protection locked="0"/>
    </xf>
    <xf numFmtId="4" fontId="50" fillId="0" borderId="2" xfId="116" applyNumberFormat="1" applyFont="1" applyFill="1" applyBorder="1" applyAlignment="1">
      <alignment horizontal="left" vertical="center"/>
    </xf>
    <xf numFmtId="0" fontId="125" fillId="6" borderId="0" xfId="0" applyFont="1" applyFill="1" applyAlignment="1">
      <alignment horizontal="center" vertical="center"/>
    </xf>
    <xf numFmtId="3" fontId="125" fillId="6" borderId="0" xfId="0" applyNumberFormat="1" applyFont="1" applyFill="1" applyAlignment="1" applyProtection="1">
      <alignment horizontal="center" vertical="center"/>
      <protection locked="0"/>
    </xf>
    <xf numFmtId="170" fontId="0" fillId="0" borderId="0" xfId="116" applyFont="1"/>
    <xf numFmtId="170" fontId="179" fillId="0" borderId="0" xfId="0" applyNumberFormat="1" applyFont="1"/>
    <xf numFmtId="4" fontId="34" fillId="0" borderId="2" xfId="94" applyNumberFormat="1" applyFont="1" applyBorder="1" applyAlignment="1">
      <alignment vertical="center" wrapText="1"/>
    </xf>
    <xf numFmtId="0" fontId="109" fillId="0" borderId="0" xfId="0" applyFont="1" applyAlignment="1">
      <alignment horizontal="center"/>
    </xf>
    <xf numFmtId="0" fontId="50" fillId="0" borderId="21" xfId="0" applyFont="1" applyBorder="1" applyAlignment="1">
      <alignment horizontal="left" vertical="center" wrapText="1"/>
    </xf>
    <xf numFmtId="170" fontId="133" fillId="0" borderId="0" xfId="116" applyFont="1" applyFill="1" applyBorder="1" applyAlignment="1">
      <alignment horizontal="left" vertical="center"/>
    </xf>
    <xf numFmtId="170" fontId="145" fillId="0" borderId="0" xfId="116" applyFont="1" applyFill="1" applyAlignment="1">
      <alignment horizontal="left" vertical="center"/>
    </xf>
    <xf numFmtId="170" fontId="106" fillId="10" borderId="2" xfId="4433" applyFont="1" applyFill="1" applyBorder="1"/>
    <xf numFmtId="170" fontId="106" fillId="0" borderId="2" xfId="116" applyFont="1" applyBorder="1"/>
    <xf numFmtId="188" fontId="106" fillId="0" borderId="2" xfId="0" applyNumberFormat="1" applyFont="1" applyBorder="1"/>
    <xf numFmtId="170" fontId="106" fillId="0" borderId="2" xfId="2510" applyFont="1" applyFill="1" applyBorder="1" applyAlignment="1"/>
    <xf numFmtId="194" fontId="106" fillId="0" borderId="0" xfId="0" applyNumberFormat="1" applyFont="1"/>
    <xf numFmtId="176" fontId="8" fillId="19" borderId="2" xfId="117" applyNumberFormat="1" applyFont="1" applyFill="1" applyBorder="1" applyAlignment="1">
      <alignment horizontal="center" vertical="center" wrapText="1"/>
    </xf>
    <xf numFmtId="0" fontId="117" fillId="19" borderId="2" xfId="0" applyFont="1" applyFill="1" applyBorder="1" applyAlignment="1">
      <alignment horizontal="center" vertical="center"/>
    </xf>
    <xf numFmtId="170" fontId="8" fillId="19" borderId="2" xfId="117" applyFont="1" applyFill="1" applyBorder="1" applyAlignment="1">
      <alignment horizontal="right" vertical="center" wrapText="1"/>
    </xf>
    <xf numFmtId="176" fontId="4" fillId="19" borderId="2" xfId="117" applyNumberFormat="1" applyFont="1" applyFill="1" applyBorder="1" applyAlignment="1">
      <alignment horizontal="center" vertical="center" wrapText="1"/>
    </xf>
    <xf numFmtId="170" fontId="4" fillId="19" borderId="2" xfId="117" applyFont="1" applyFill="1" applyBorder="1" applyAlignment="1">
      <alignment horizontal="right" vertical="center" wrapText="1"/>
    </xf>
    <xf numFmtId="170" fontId="117" fillId="19" borderId="2" xfId="0" applyNumberFormat="1" applyFont="1" applyFill="1" applyBorder="1" applyAlignment="1">
      <alignment horizontal="right" vertical="center"/>
    </xf>
    <xf numFmtId="170" fontId="117" fillId="19" borderId="2" xfId="116" applyFont="1" applyFill="1" applyBorder="1" applyAlignment="1">
      <alignment horizontal="right" vertical="center"/>
    </xf>
    <xf numFmtId="170" fontId="110" fillId="19" borderId="2" xfId="0" applyNumberFormat="1" applyFont="1" applyFill="1" applyBorder="1" applyAlignment="1">
      <alignment horizontal="right" vertical="center"/>
    </xf>
    <xf numFmtId="170" fontId="159" fillId="19" borderId="2" xfId="117" applyFont="1" applyFill="1" applyBorder="1" applyAlignment="1">
      <alignment horizontal="right" vertical="center" wrapText="1"/>
    </xf>
    <xf numFmtId="0" fontId="0" fillId="19" borderId="2" xfId="0" applyFill="1" applyBorder="1"/>
    <xf numFmtId="170" fontId="4" fillId="19" borderId="2" xfId="0" applyNumberFormat="1" applyFont="1" applyFill="1" applyBorder="1" applyAlignment="1">
      <alignment horizontal="right" vertical="center"/>
    </xf>
    <xf numFmtId="176" fontId="8" fillId="51" borderId="2" xfId="117" applyNumberFormat="1" applyFont="1" applyFill="1" applyBorder="1" applyAlignment="1">
      <alignment horizontal="center" vertical="center" wrapText="1"/>
    </xf>
    <xf numFmtId="0" fontId="117" fillId="51" borderId="2" xfId="0" applyFont="1" applyFill="1" applyBorder="1" applyAlignment="1">
      <alignment horizontal="center" vertical="center"/>
    </xf>
    <xf numFmtId="170" fontId="8" fillId="51" borderId="2" xfId="117" applyFont="1" applyFill="1" applyBorder="1" applyAlignment="1">
      <alignment horizontal="right" vertical="center" wrapText="1"/>
    </xf>
    <xf numFmtId="176" fontId="4" fillId="51" borderId="2" xfId="117" applyNumberFormat="1" applyFont="1" applyFill="1" applyBorder="1" applyAlignment="1">
      <alignment horizontal="center" vertical="center" wrapText="1"/>
    </xf>
    <xf numFmtId="170" fontId="4" fillId="51" borderId="2" xfId="117" applyFont="1" applyFill="1" applyBorder="1" applyAlignment="1">
      <alignment horizontal="right" vertical="center" wrapText="1"/>
    </xf>
    <xf numFmtId="170" fontId="117" fillId="51" borderId="2" xfId="0" applyNumberFormat="1" applyFont="1" applyFill="1" applyBorder="1" applyAlignment="1">
      <alignment horizontal="right" vertical="center"/>
    </xf>
    <xf numFmtId="170" fontId="117" fillId="51" borderId="2" xfId="116" applyFont="1" applyFill="1" applyBorder="1" applyAlignment="1">
      <alignment horizontal="right" vertical="center"/>
    </xf>
    <xf numFmtId="170" fontId="110" fillId="51" borderId="2" xfId="0" applyNumberFormat="1" applyFont="1" applyFill="1" applyBorder="1" applyAlignment="1">
      <alignment horizontal="right" vertical="center"/>
    </xf>
    <xf numFmtId="170" fontId="159" fillId="51" borderId="2" xfId="117" applyFont="1" applyFill="1" applyBorder="1" applyAlignment="1">
      <alignment horizontal="right" vertical="center" wrapText="1"/>
    </xf>
    <xf numFmtId="170" fontId="4" fillId="51" borderId="2" xfId="0" applyNumberFormat="1" applyFont="1" applyFill="1" applyBorder="1" applyAlignment="1">
      <alignment horizontal="right" vertical="center"/>
    </xf>
    <xf numFmtId="187" fontId="106" fillId="0" borderId="0" xfId="0" applyNumberFormat="1" applyFont="1" applyAlignment="1">
      <alignment vertical="center" wrapText="1"/>
    </xf>
    <xf numFmtId="187" fontId="106" fillId="0" borderId="0" xfId="0" applyNumberFormat="1" applyFont="1"/>
    <xf numFmtId="4" fontId="106" fillId="0" borderId="0" xfId="0" applyNumberFormat="1" applyFont="1"/>
    <xf numFmtId="176" fontId="8" fillId="52" borderId="2" xfId="117" applyNumberFormat="1" applyFont="1" applyFill="1" applyBorder="1" applyAlignment="1">
      <alignment horizontal="center" vertical="center" wrapText="1"/>
    </xf>
    <xf numFmtId="0" fontId="117" fillId="52" borderId="2" xfId="0" applyFont="1" applyFill="1" applyBorder="1" applyAlignment="1">
      <alignment horizontal="center" vertical="center"/>
    </xf>
    <xf numFmtId="170" fontId="8" fillId="52" borderId="2" xfId="117" applyFont="1" applyFill="1" applyBorder="1" applyAlignment="1">
      <alignment horizontal="right" vertical="center" wrapText="1"/>
    </xf>
    <xf numFmtId="176" fontId="4" fillId="52" borderId="2" xfId="117" applyNumberFormat="1" applyFont="1" applyFill="1" applyBorder="1" applyAlignment="1">
      <alignment horizontal="center" vertical="center" wrapText="1"/>
    </xf>
    <xf numFmtId="170" fontId="4" fillId="52" borderId="2" xfId="117" applyFont="1" applyFill="1" applyBorder="1" applyAlignment="1">
      <alignment horizontal="right" vertical="center" wrapText="1"/>
    </xf>
    <xf numFmtId="170" fontId="117" fillId="52" borderId="2" xfId="0" applyNumberFormat="1" applyFont="1" applyFill="1" applyBorder="1" applyAlignment="1">
      <alignment horizontal="right" vertical="center"/>
    </xf>
    <xf numFmtId="170" fontId="117" fillId="52" borderId="2" xfId="116" applyFont="1" applyFill="1" applyBorder="1" applyAlignment="1">
      <alignment horizontal="right" vertical="center"/>
    </xf>
    <xf numFmtId="170" fontId="110" fillId="52" borderId="2" xfId="0" applyNumberFormat="1" applyFont="1" applyFill="1" applyBorder="1" applyAlignment="1">
      <alignment horizontal="right" vertical="center"/>
    </xf>
    <xf numFmtId="170" fontId="159" fillId="52" borderId="2" xfId="117" applyFont="1" applyFill="1" applyBorder="1" applyAlignment="1">
      <alignment horizontal="right" vertical="center" wrapText="1"/>
    </xf>
    <xf numFmtId="0" fontId="0" fillId="52" borderId="2" xfId="0" applyFill="1" applyBorder="1"/>
    <xf numFmtId="170" fontId="4" fillId="52" borderId="2" xfId="0" applyNumberFormat="1" applyFont="1" applyFill="1" applyBorder="1" applyAlignment="1">
      <alignment horizontal="right" vertical="center"/>
    </xf>
    <xf numFmtId="0" fontId="105" fillId="0" borderId="2" xfId="0" applyFont="1" applyBorder="1" applyAlignment="1">
      <alignment horizontal="center"/>
    </xf>
    <xf numFmtId="0" fontId="111" fillId="0" borderId="2" xfId="0" applyFont="1" applyBorder="1" applyAlignment="1">
      <alignment horizontal="center"/>
    </xf>
    <xf numFmtId="0" fontId="111" fillId="0" borderId="0" xfId="0" applyFont="1"/>
    <xf numFmtId="4" fontId="105" fillId="0" borderId="2" xfId="0" applyNumberFormat="1" applyFont="1" applyBorder="1" applyAlignment="1">
      <alignment horizontal="center"/>
    </xf>
    <xf numFmtId="0" fontId="111" fillId="0" borderId="2" xfId="0" applyFont="1" applyBorder="1" applyAlignment="1">
      <alignment horizontal="center" vertical="center"/>
    </xf>
    <xf numFmtId="0" fontId="154" fillId="0" borderId="2" xfId="0" applyFont="1" applyBorder="1"/>
    <xf numFmtId="0" fontId="119" fillId="0" borderId="2" xfId="0" applyFont="1" applyBorder="1"/>
    <xf numFmtId="4" fontId="105" fillId="0" borderId="2" xfId="0" applyNumberFormat="1" applyFont="1" applyBorder="1"/>
    <xf numFmtId="4" fontId="119" fillId="0" borderId="2" xfId="0" applyNumberFormat="1" applyFont="1" applyBorder="1"/>
    <xf numFmtId="0" fontId="111" fillId="0" borderId="2" xfId="0" applyFont="1" applyBorder="1" applyAlignment="1">
      <alignment horizontal="center" vertical="top" wrapText="1"/>
    </xf>
    <xf numFmtId="0" fontId="182" fillId="0" borderId="0" xfId="0" applyFont="1"/>
    <xf numFmtId="0" fontId="181" fillId="0" borderId="2" xfId="0" applyFont="1" applyBorder="1"/>
    <xf numFmtId="0" fontId="181" fillId="0" borderId="2" xfId="0" applyFont="1" applyBorder="1" applyAlignment="1">
      <alignment horizontal="center"/>
    </xf>
    <xf numFmtId="0" fontId="181" fillId="0" borderId="0" xfId="0" applyFont="1"/>
    <xf numFmtId="0" fontId="182" fillId="0" borderId="2" xfId="0" applyFont="1" applyBorder="1" applyAlignment="1">
      <alignment horizontal="center" vertical="top"/>
    </xf>
    <xf numFmtId="0" fontId="182" fillId="0" borderId="2" xfId="0" applyFont="1" applyBorder="1" applyAlignment="1">
      <alignment horizontal="left" vertical="top" wrapText="1"/>
    </xf>
    <xf numFmtId="3" fontId="182" fillId="0" borderId="2" xfId="0" applyNumberFormat="1" applyFont="1" applyBorder="1" applyAlignment="1">
      <alignment horizontal="center" vertical="top" wrapText="1"/>
    </xf>
    <xf numFmtId="3" fontId="181" fillId="0" borderId="2" xfId="0" applyNumberFormat="1" applyFont="1" applyBorder="1" applyAlignment="1">
      <alignment horizontal="center" vertical="top" wrapText="1"/>
    </xf>
    <xf numFmtId="0" fontId="5" fillId="0" borderId="0" xfId="94" applyFont="1" applyAlignment="1">
      <alignment vertical="center"/>
    </xf>
    <xf numFmtId="176" fontId="32" fillId="2" borderId="0" xfId="122" applyNumberFormat="1" applyFont="1" applyFill="1" applyAlignment="1">
      <alignment horizontal="left" vertical="center"/>
    </xf>
    <xf numFmtId="0" fontId="184" fillId="0" borderId="0" xfId="94" applyFont="1" applyAlignment="1">
      <alignment vertical="center"/>
    </xf>
    <xf numFmtId="3" fontId="184" fillId="0" borderId="0" xfId="94" applyNumberFormat="1" applyFont="1" applyAlignment="1">
      <alignment vertical="center"/>
    </xf>
    <xf numFmtId="0" fontId="186" fillId="0" borderId="0" xfId="0" applyFont="1" applyAlignment="1">
      <alignment horizontal="left" vertical="top" wrapText="1"/>
    </xf>
    <xf numFmtId="0" fontId="186" fillId="0" borderId="0" xfId="0" applyFont="1"/>
    <xf numFmtId="0" fontId="185" fillId="0" borderId="0" xfId="0" applyFont="1" applyAlignment="1">
      <alignment horizontal="left" vertical="top" wrapText="1"/>
    </xf>
    <xf numFmtId="0" fontId="185" fillId="0" borderId="2" xfId="0" applyFont="1" applyBorder="1"/>
    <xf numFmtId="0" fontId="185" fillId="0" borderId="2" xfId="0" applyFont="1" applyBorder="1" applyAlignment="1">
      <alignment horizontal="center"/>
    </xf>
    <xf numFmtId="0" fontId="186" fillId="0" borderId="2" xfId="0" applyFont="1" applyBorder="1"/>
    <xf numFmtId="4" fontId="186" fillId="0" borderId="2" xfId="0" applyNumberFormat="1" applyFont="1" applyBorder="1"/>
    <xf numFmtId="0" fontId="186" fillId="0" borderId="2" xfId="0" applyFont="1" applyBorder="1" applyAlignment="1">
      <alignment horizontal="left" vertical="top" wrapText="1"/>
    </xf>
    <xf numFmtId="0" fontId="185" fillId="0" borderId="2" xfId="0" applyFont="1" applyBorder="1" applyAlignment="1">
      <alignment wrapText="1"/>
    </xf>
    <xf numFmtId="0" fontId="101" fillId="0" borderId="0" xfId="0" applyFont="1"/>
    <xf numFmtId="0" fontId="0" fillId="0" borderId="2" xfId="0" applyBorder="1" applyAlignment="1">
      <alignment wrapText="1"/>
    </xf>
    <xf numFmtId="0" fontId="0" fillId="10" borderId="2" xfId="0" applyFill="1" applyBorder="1"/>
    <xf numFmtId="0" fontId="101" fillId="10" borderId="2" xfId="0" applyFont="1" applyFill="1" applyBorder="1"/>
    <xf numFmtId="2" fontId="188" fillId="10" borderId="2" xfId="0" applyNumberFormat="1" applyFont="1" applyFill="1" applyBorder="1"/>
    <xf numFmtId="2" fontId="189" fillId="10" borderId="2" xfId="0" applyNumberFormat="1" applyFont="1" applyFill="1" applyBorder="1"/>
    <xf numFmtId="0" fontId="190" fillId="0" borderId="0" xfId="0" applyFont="1" applyAlignment="1">
      <alignment horizontal="left" vertical="center"/>
    </xf>
    <xf numFmtId="0" fontId="191" fillId="0" borderId="0" xfId="0" applyFont="1"/>
    <xf numFmtId="0" fontId="182" fillId="0" borderId="0" xfId="0" applyFont="1" applyAlignment="1">
      <alignment horizontal="justify" vertical="center"/>
    </xf>
    <xf numFmtId="0" fontId="192" fillId="0" borderId="0" xfId="0" applyFont="1"/>
    <xf numFmtId="0" fontId="182" fillId="0" borderId="0" xfId="0" applyFont="1" applyAlignment="1">
      <alignment horizontal="right"/>
    </xf>
    <xf numFmtId="170" fontId="182" fillId="0" borderId="0" xfId="4433" applyFont="1"/>
    <xf numFmtId="0" fontId="182" fillId="0" borderId="0" xfId="0" applyFont="1" applyAlignment="1">
      <alignment horizontal="left" vertical="center"/>
    </xf>
    <xf numFmtId="170" fontId="191" fillId="0" borderId="0" xfId="4433" applyFont="1"/>
    <xf numFmtId="43" fontId="191" fillId="0" borderId="0" xfId="0" applyNumberFormat="1" applyFont="1"/>
    <xf numFmtId="0" fontId="182" fillId="0" borderId="0" xfId="0" applyFont="1" applyAlignment="1">
      <alignment vertical="center"/>
    </xf>
    <xf numFmtId="43" fontId="182" fillId="0" borderId="0" xfId="0" applyNumberFormat="1" applyFont="1"/>
    <xf numFmtId="170" fontId="181" fillId="0" borderId="0" xfId="4433" applyFont="1"/>
    <xf numFmtId="43" fontId="181" fillId="0" borderId="0" xfId="0" applyNumberFormat="1" applyFont="1"/>
    <xf numFmtId="0" fontId="181" fillId="0" borderId="2" xfId="0" applyFont="1" applyBorder="1" applyAlignment="1">
      <alignment horizontal="center" vertical="center" wrapText="1"/>
    </xf>
    <xf numFmtId="0" fontId="182" fillId="0" borderId="2" xfId="0" applyFont="1" applyBorder="1"/>
    <xf numFmtId="170" fontId="182" fillId="0" borderId="2" xfId="4433" applyFont="1" applyBorder="1"/>
    <xf numFmtId="0" fontId="182" fillId="0" borderId="2" xfId="0" applyFont="1" applyBorder="1" applyAlignment="1">
      <alignment wrapText="1"/>
    </xf>
    <xf numFmtId="170" fontId="181" fillId="0" borderId="2" xfId="4433" applyFont="1" applyBorder="1"/>
    <xf numFmtId="170" fontId="182" fillId="0" borderId="0" xfId="4433" applyFont="1" applyFill="1" applyBorder="1"/>
    <xf numFmtId="0" fontId="193" fillId="0" borderId="2" xfId="0" applyFont="1" applyBorder="1" applyAlignment="1">
      <alignment horizontal="center" vertical="center" wrapText="1"/>
    </xf>
    <xf numFmtId="1" fontId="117" fillId="0" borderId="2" xfId="0" applyNumberFormat="1" applyFont="1" applyBorder="1" applyAlignment="1">
      <alignment horizontal="center" vertical="center"/>
    </xf>
    <xf numFmtId="0" fontId="4" fillId="0" borderId="2" xfId="4444" applyFont="1" applyFill="1" applyBorder="1" applyAlignment="1">
      <alignment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4" fillId="0" borderId="2" xfId="4444" applyNumberFormat="1" applyFont="1" applyFill="1" applyBorder="1" applyAlignment="1">
      <alignment horizontal="center" vertical="center" wrapText="1"/>
    </xf>
    <xf numFmtId="168" fontId="4" fillId="0" borderId="2" xfId="0" applyNumberFormat="1" applyFont="1" applyBorder="1" applyAlignment="1">
      <alignment horizontal="center" vertical="center"/>
    </xf>
    <xf numFmtId="168" fontId="117" fillId="0" borderId="2" xfId="0" applyNumberFormat="1" applyFont="1" applyBorder="1" applyAlignment="1">
      <alignment horizontal="center" vertical="center"/>
    </xf>
    <xf numFmtId="9" fontId="117" fillId="0" borderId="2" xfId="0" applyNumberFormat="1" applyFont="1" applyBorder="1" applyAlignment="1">
      <alignment horizontal="center" vertical="center"/>
    </xf>
    <xf numFmtId="16" fontId="117" fillId="0" borderId="2" xfId="0" applyNumberFormat="1" applyFont="1" applyBorder="1" applyAlignment="1">
      <alignment horizontal="center" vertical="center"/>
    </xf>
    <xf numFmtId="0" fontId="117" fillId="0" borderId="10" xfId="0" applyFont="1" applyBorder="1" applyAlignment="1">
      <alignment horizontal="center"/>
    </xf>
    <xf numFmtId="0" fontId="4" fillId="0" borderId="2" xfId="4444" applyFont="1" applyFill="1" applyBorder="1" applyAlignment="1">
      <alignment vertical="top" wrapText="1"/>
    </xf>
    <xf numFmtId="0" fontId="4" fillId="0" borderId="2" xfId="4444" applyFont="1" applyFill="1" applyBorder="1" applyAlignment="1">
      <alignment horizontal="left" vertical="top" wrapText="1"/>
    </xf>
    <xf numFmtId="0" fontId="4" fillId="0" borderId="2" xfId="4444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68" fontId="4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168" fontId="3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54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54" borderId="2" xfId="4444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168" fontId="3" fillId="0" borderId="2" xfId="0" applyNumberFormat="1" applyFont="1" applyBorder="1" applyAlignment="1">
      <alignment horizontal="left" vertical="center" wrapText="1"/>
    </xf>
    <xf numFmtId="168" fontId="117" fillId="0" borderId="2" xfId="0" applyNumberFormat="1" applyFont="1" applyBorder="1" applyAlignment="1">
      <alignment horizontal="left" vertical="center"/>
    </xf>
    <xf numFmtId="1" fontId="117" fillId="10" borderId="2" xfId="0" applyNumberFormat="1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left" vertical="center" wrapText="1"/>
    </xf>
    <xf numFmtId="1" fontId="3" fillId="10" borderId="2" xfId="0" applyNumberFormat="1" applyFont="1" applyFill="1" applyBorder="1" applyAlignment="1">
      <alignment horizontal="center" vertical="center" wrapText="1"/>
    </xf>
    <xf numFmtId="168" fontId="3" fillId="10" borderId="2" xfId="0" applyNumberFormat="1" applyFont="1" applyFill="1" applyBorder="1" applyAlignment="1">
      <alignment horizontal="center" vertical="center" wrapText="1"/>
    </xf>
    <xf numFmtId="168" fontId="117" fillId="10" borderId="2" xfId="0" applyNumberFormat="1" applyFont="1" applyFill="1" applyBorder="1" applyAlignment="1">
      <alignment horizontal="center" vertical="center"/>
    </xf>
    <xf numFmtId="9" fontId="117" fillId="10" borderId="2" xfId="0" applyNumberFormat="1" applyFont="1" applyFill="1" applyBorder="1" applyAlignment="1">
      <alignment horizontal="center" vertical="center"/>
    </xf>
    <xf numFmtId="16" fontId="117" fillId="10" borderId="2" xfId="0" applyNumberFormat="1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 wrapText="1"/>
    </xf>
    <xf numFmtId="0" fontId="0" fillId="10" borderId="0" xfId="0" applyFill="1" applyAlignment="1">
      <alignment horizontal="center" vertical="center"/>
    </xf>
    <xf numFmtId="0" fontId="117" fillId="10" borderId="0" xfId="0" applyFont="1" applyFill="1"/>
    <xf numFmtId="0" fontId="3" fillId="0" borderId="2" xfId="0" applyFont="1" applyBorder="1" applyAlignment="1">
      <alignment horizontal="left" vertical="top" wrapText="1"/>
    </xf>
    <xf numFmtId="0" fontId="3" fillId="54" borderId="2" xfId="0" applyFont="1" applyFill="1" applyBorder="1" applyAlignment="1">
      <alignment horizontal="center" vertical="center" wrapText="1"/>
    </xf>
    <xf numFmtId="0" fontId="111" fillId="0" borderId="2" xfId="0" applyFont="1" applyBorder="1" applyAlignment="1">
      <alignment horizontal="right"/>
    </xf>
    <xf numFmtId="168" fontId="110" fillId="0" borderId="2" xfId="0" applyNumberFormat="1" applyFont="1" applyBorder="1"/>
    <xf numFmtId="195" fontId="189" fillId="0" borderId="0" xfId="0" applyNumberFormat="1" applyFont="1"/>
    <xf numFmtId="168" fontId="117" fillId="0" borderId="6" xfId="0" applyNumberFormat="1" applyFont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/>
    </xf>
    <xf numFmtId="0" fontId="117" fillId="0" borderId="0" xfId="0" applyFont="1" applyAlignment="1">
      <alignment horizontal="justify"/>
    </xf>
    <xf numFmtId="168" fontId="4" fillId="0" borderId="0" xfId="0" applyNumberFormat="1" applyFont="1" applyAlignment="1">
      <alignment horizontal="center" vertical="center"/>
    </xf>
    <xf numFmtId="168" fontId="117" fillId="0" borderId="6" xfId="0" applyNumberFormat="1" applyFont="1" applyBorder="1" applyAlignment="1">
      <alignment horizontal="left" vertical="center"/>
    </xf>
    <xf numFmtId="9" fontId="117" fillId="0" borderId="0" xfId="0" applyNumberFormat="1" applyFont="1" applyAlignment="1">
      <alignment horizontal="center" vertical="center"/>
    </xf>
    <xf numFmtId="168" fontId="117" fillId="0" borderId="10" xfId="0" applyNumberFormat="1" applyFont="1" applyBorder="1" applyAlignment="1">
      <alignment horizontal="center" vertical="center"/>
    </xf>
    <xf numFmtId="168" fontId="117" fillId="0" borderId="0" xfId="0" applyNumberFormat="1" applyFont="1" applyAlignment="1">
      <alignment horizontal="center" vertical="center"/>
    </xf>
    <xf numFmtId="16" fontId="11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68" fontId="3" fillId="0" borderId="0" xfId="0" applyNumberFormat="1" applyFont="1" applyAlignment="1">
      <alignment horizontal="center" vertical="center" wrapText="1"/>
    </xf>
    <xf numFmtId="1" fontId="117" fillId="0" borderId="2" xfId="0" applyNumberFormat="1" applyFont="1" applyBorder="1" applyAlignment="1">
      <alignment horizontal="left" vertical="center"/>
    </xf>
    <xf numFmtId="1" fontId="3" fillId="0" borderId="2" xfId="0" applyNumberFormat="1" applyFont="1" applyBorder="1" applyAlignment="1">
      <alignment horizontal="left" vertical="center" wrapText="1"/>
    </xf>
    <xf numFmtId="196" fontId="117" fillId="0" borderId="2" xfId="0" applyNumberFormat="1" applyFont="1" applyBorder="1" applyAlignment="1">
      <alignment horizontal="left" vertical="center"/>
    </xf>
    <xf numFmtId="16" fontId="117" fillId="0" borderId="2" xfId="0" applyNumberFormat="1" applyFont="1" applyBorder="1" applyAlignment="1">
      <alignment horizontal="left" vertical="center"/>
    </xf>
    <xf numFmtId="0" fontId="110" fillId="0" borderId="2" xfId="0" applyFont="1" applyBorder="1" applyAlignment="1">
      <alignment horizontal="right"/>
    </xf>
    <xf numFmtId="168" fontId="110" fillId="0" borderId="2" xfId="0" applyNumberFormat="1" applyFont="1" applyBorder="1" applyAlignment="1">
      <alignment horizontal="center" vertical="center"/>
    </xf>
    <xf numFmtId="195" fontId="194" fillId="0" borderId="2" xfId="0" applyNumberFormat="1" applyFont="1" applyBorder="1"/>
    <xf numFmtId="4" fontId="193" fillId="0" borderId="2" xfId="0" applyNumberFormat="1" applyFont="1" applyBorder="1" applyAlignment="1">
      <alignment horizontal="center"/>
    </xf>
    <xf numFmtId="0" fontId="193" fillId="0" borderId="2" xfId="0" applyFont="1" applyBorder="1" applyAlignment="1">
      <alignment horizontal="center"/>
    </xf>
    <xf numFmtId="1" fontId="195" fillId="0" borderId="2" xfId="0" applyNumberFormat="1" applyFont="1" applyBorder="1" applyAlignment="1">
      <alignment horizontal="left" vertical="center"/>
    </xf>
    <xf numFmtId="0" fontId="159" fillId="0" borderId="2" xfId="4444" applyFont="1" applyFill="1" applyBorder="1" applyAlignment="1">
      <alignment horizontal="left" vertical="center" wrapText="1"/>
    </xf>
    <xf numFmtId="1" fontId="173" fillId="0" borderId="2" xfId="0" applyNumberFormat="1" applyFont="1" applyBorder="1" applyAlignment="1">
      <alignment horizontal="center" vertical="center" wrapText="1"/>
    </xf>
    <xf numFmtId="1" fontId="173" fillId="0" borderId="2" xfId="0" applyNumberFormat="1" applyFont="1" applyBorder="1" applyAlignment="1">
      <alignment horizontal="left" vertical="center" wrapText="1"/>
    </xf>
    <xf numFmtId="1" fontId="159" fillId="0" borderId="2" xfId="4444" applyNumberFormat="1" applyFont="1" applyFill="1" applyBorder="1" applyAlignment="1">
      <alignment horizontal="left" vertical="center" wrapText="1"/>
    </xf>
    <xf numFmtId="168" fontId="159" fillId="0" borderId="2" xfId="0" applyNumberFormat="1" applyFont="1" applyBorder="1" applyAlignment="1">
      <alignment horizontal="left" vertical="center"/>
    </xf>
    <xf numFmtId="196" fontId="195" fillId="0" borderId="2" xfId="0" applyNumberFormat="1" applyFont="1" applyBorder="1" applyAlignment="1">
      <alignment horizontal="left" vertical="center"/>
    </xf>
    <xf numFmtId="16" fontId="195" fillId="0" borderId="2" xfId="0" applyNumberFormat="1" applyFont="1" applyBorder="1" applyAlignment="1">
      <alignment horizontal="left" vertical="center"/>
    </xf>
    <xf numFmtId="0" fontId="195" fillId="0" borderId="2" xfId="0" applyFont="1" applyBorder="1" applyAlignment="1">
      <alignment horizontal="left" vertical="center"/>
    </xf>
    <xf numFmtId="168" fontId="195" fillId="0" borderId="2" xfId="0" applyNumberFormat="1" applyFont="1" applyBorder="1" applyAlignment="1">
      <alignment horizontal="left" vertical="center"/>
    </xf>
    <xf numFmtId="0" fontId="186" fillId="0" borderId="0" xfId="0" applyFont="1" applyAlignment="1">
      <alignment horizontal="left" vertical="center"/>
    </xf>
    <xf numFmtId="4" fontId="195" fillId="0" borderId="2" xfId="0" applyNumberFormat="1" applyFont="1" applyBorder="1" applyAlignment="1">
      <alignment horizontal="left" vertical="center"/>
    </xf>
    <xf numFmtId="196" fontId="195" fillId="10" borderId="2" xfId="0" applyNumberFormat="1" applyFont="1" applyFill="1" applyBorder="1" applyAlignment="1">
      <alignment horizontal="left" vertical="center"/>
    </xf>
    <xf numFmtId="0" fontId="173" fillId="0" borderId="2" xfId="0" applyFont="1" applyBorder="1" applyAlignment="1">
      <alignment horizontal="left" vertical="center" wrapText="1"/>
    </xf>
    <xf numFmtId="168" fontId="159" fillId="0" borderId="2" xfId="0" applyNumberFormat="1" applyFont="1" applyBorder="1" applyAlignment="1">
      <alignment horizontal="left" vertical="center" wrapText="1"/>
    </xf>
    <xf numFmtId="49" fontId="173" fillId="0" borderId="6" xfId="0" applyNumberFormat="1" applyFont="1" applyBorder="1" applyAlignment="1">
      <alignment horizontal="left" vertical="center" wrapText="1"/>
    </xf>
    <xf numFmtId="168" fontId="173" fillId="0" borderId="2" xfId="0" applyNumberFormat="1" applyFont="1" applyBorder="1" applyAlignment="1">
      <alignment horizontal="left" vertical="center" wrapText="1"/>
    </xf>
    <xf numFmtId="1" fontId="173" fillId="10" borderId="2" xfId="0" applyNumberFormat="1" applyFont="1" applyFill="1" applyBorder="1" applyAlignment="1">
      <alignment horizontal="left" vertical="center" wrapText="1"/>
    </xf>
    <xf numFmtId="9" fontId="195" fillId="0" borderId="6" xfId="0" applyNumberFormat="1" applyFont="1" applyBorder="1" applyAlignment="1">
      <alignment horizontal="left" vertical="center"/>
    </xf>
    <xf numFmtId="169" fontId="173" fillId="0" borderId="2" xfId="4445" applyFont="1" applyFill="1" applyBorder="1" applyAlignment="1">
      <alignment horizontal="left" vertical="center" wrapText="1"/>
    </xf>
    <xf numFmtId="175" fontId="173" fillId="0" borderId="2" xfId="4445" applyNumberFormat="1" applyFont="1" applyFill="1" applyBorder="1" applyAlignment="1">
      <alignment horizontal="center" vertical="center" wrapText="1"/>
    </xf>
    <xf numFmtId="175" fontId="173" fillId="0" borderId="2" xfId="4445" applyNumberFormat="1" applyFont="1" applyFill="1" applyBorder="1" applyAlignment="1">
      <alignment horizontal="left" vertical="center" wrapText="1"/>
    </xf>
    <xf numFmtId="169" fontId="186" fillId="0" borderId="0" xfId="4445" applyFont="1" applyFill="1" applyBorder="1" applyAlignment="1">
      <alignment horizontal="left" vertical="center"/>
    </xf>
    <xf numFmtId="169" fontId="195" fillId="0" borderId="2" xfId="4445" applyFont="1" applyFill="1" applyBorder="1" applyAlignment="1">
      <alignment horizontal="left" vertical="center"/>
    </xf>
    <xf numFmtId="169" fontId="186" fillId="0" borderId="0" xfId="4445" applyFont="1" applyBorder="1" applyAlignment="1">
      <alignment horizontal="left" vertical="center"/>
    </xf>
    <xf numFmtId="0" fontId="159" fillId="0" borderId="2" xfId="0" applyFont="1" applyBorder="1" applyAlignment="1">
      <alignment horizontal="left" vertical="center" wrapText="1"/>
    </xf>
    <xf numFmtId="1" fontId="159" fillId="10" borderId="2" xfId="4444" applyNumberFormat="1" applyFont="1" applyFill="1" applyBorder="1" applyAlignment="1">
      <alignment horizontal="left" vertical="center" wrapText="1"/>
    </xf>
    <xf numFmtId="0" fontId="195" fillId="0" borderId="10" xfId="0" applyFont="1" applyBorder="1" applyAlignment="1">
      <alignment horizontal="left" vertical="center"/>
    </xf>
    <xf numFmtId="49" fontId="173" fillId="0" borderId="6" xfId="0" applyNumberFormat="1" applyFont="1" applyBorder="1" applyAlignment="1">
      <alignment horizontal="center" vertical="center" wrapText="1"/>
    </xf>
    <xf numFmtId="196" fontId="159" fillId="0" borderId="2" xfId="0" applyNumberFormat="1" applyFont="1" applyBorder="1" applyAlignment="1">
      <alignment horizontal="left" vertical="center" wrapText="1"/>
    </xf>
    <xf numFmtId="168" fontId="159" fillId="0" borderId="0" xfId="0" applyNumberFormat="1" applyFont="1" applyAlignment="1">
      <alignment horizontal="left" vertical="center"/>
    </xf>
    <xf numFmtId="168" fontId="195" fillId="0" borderId="0" xfId="0" applyNumberFormat="1" applyFont="1" applyAlignment="1">
      <alignment horizontal="left" vertical="center"/>
    </xf>
    <xf numFmtId="0" fontId="186" fillId="0" borderId="2" xfId="0" applyFont="1" applyBorder="1" applyAlignment="1">
      <alignment horizontal="left" vertical="center"/>
    </xf>
    <xf numFmtId="0" fontId="185" fillId="0" borderId="2" xfId="0" applyFont="1" applyBorder="1" applyAlignment="1">
      <alignment horizontal="left" vertical="center"/>
    </xf>
    <xf numFmtId="0" fontId="186" fillId="0" borderId="2" xfId="0" applyFont="1" applyBorder="1" applyAlignment="1">
      <alignment horizontal="center" vertical="center"/>
    </xf>
    <xf numFmtId="196" fontId="193" fillId="0" borderId="2" xfId="0" applyNumberFormat="1" applyFont="1" applyBorder="1" applyAlignment="1">
      <alignment horizontal="left" vertical="center"/>
    </xf>
    <xf numFmtId="196" fontId="193" fillId="0" borderId="2" xfId="0" applyNumberFormat="1" applyFont="1" applyBorder="1" applyAlignment="1">
      <alignment vertical="center"/>
    </xf>
    <xf numFmtId="0" fontId="186" fillId="0" borderId="0" xfId="0" applyFont="1" applyAlignment="1">
      <alignment horizontal="center" vertical="center"/>
    </xf>
    <xf numFmtId="4" fontId="195" fillId="0" borderId="0" xfId="0" applyNumberFormat="1" applyFont="1" applyAlignment="1">
      <alignment horizontal="left" vertical="center"/>
    </xf>
    <xf numFmtId="0" fontId="195" fillId="0" borderId="0" xfId="0" applyFont="1" applyAlignment="1">
      <alignment horizontal="left" vertical="center"/>
    </xf>
    <xf numFmtId="0" fontId="186" fillId="0" borderId="0" xfId="0" applyFont="1" applyAlignment="1">
      <alignment horizontal="center"/>
    </xf>
    <xf numFmtId="196" fontId="181" fillId="0" borderId="0" xfId="0" applyNumberFormat="1" applyFont="1"/>
    <xf numFmtId="4" fontId="195" fillId="0" borderId="0" xfId="0" applyNumberFormat="1" applyFont="1"/>
    <xf numFmtId="0" fontId="195" fillId="0" borderId="0" xfId="0" applyFont="1"/>
    <xf numFmtId="168" fontId="186" fillId="0" borderId="0" xfId="0" applyNumberFormat="1" applyFont="1"/>
    <xf numFmtId="195" fontId="3" fillId="0" borderId="2" xfId="0" applyNumberFormat="1" applyFont="1" applyBorder="1" applyAlignment="1">
      <alignment horizontal="left" vertical="center" wrapText="1"/>
    </xf>
    <xf numFmtId="0" fontId="77" fillId="0" borderId="21" xfId="116" applyNumberFormat="1" applyFont="1" applyFill="1" applyBorder="1" applyAlignment="1">
      <alignment horizontal="center" vertical="center" wrapText="1"/>
    </xf>
    <xf numFmtId="179" fontId="186" fillId="0" borderId="2" xfId="0" applyNumberFormat="1" applyFont="1" applyBorder="1"/>
    <xf numFmtId="0" fontId="155" fillId="0" borderId="0" xfId="0" applyFont="1"/>
    <xf numFmtId="170" fontId="186" fillId="0" borderId="0" xfId="116" applyFont="1"/>
    <xf numFmtId="43" fontId="186" fillId="0" borderId="0" xfId="0" applyNumberFormat="1" applyFont="1"/>
    <xf numFmtId="2" fontId="186" fillId="0" borderId="0" xfId="0" applyNumberFormat="1" applyFont="1"/>
    <xf numFmtId="170" fontId="126" fillId="0" borderId="0" xfId="116" applyFont="1" applyFill="1" applyAlignment="1">
      <alignment vertical="center"/>
    </xf>
    <xf numFmtId="0" fontId="77" fillId="0" borderId="21" xfId="116" applyNumberFormat="1" applyFont="1" applyFill="1" applyBorder="1" applyAlignment="1" applyProtection="1">
      <alignment horizontal="center" vertical="center" wrapText="1"/>
      <protection locked="0"/>
    </xf>
    <xf numFmtId="170" fontId="126" fillId="0" borderId="0" xfId="116" applyFont="1" applyFill="1" applyAlignment="1" applyProtection="1">
      <alignment vertical="center"/>
      <protection locked="0"/>
    </xf>
    <xf numFmtId="170" fontId="122" fillId="18" borderId="0" xfId="116" applyFont="1" applyFill="1" applyAlignment="1">
      <alignment horizontal="center" vertical="center"/>
    </xf>
    <xf numFmtId="170" fontId="122" fillId="18" borderId="0" xfId="116" applyFont="1" applyFill="1" applyAlignment="1" applyProtection="1">
      <alignment horizontal="center" vertical="center"/>
      <protection locked="0"/>
    </xf>
    <xf numFmtId="170" fontId="50" fillId="18" borderId="2" xfId="116" applyFont="1" applyFill="1" applyBorder="1" applyAlignment="1">
      <alignment horizontal="center" vertical="center" wrapText="1"/>
    </xf>
    <xf numFmtId="170" fontId="87" fillId="18" borderId="2" xfId="116" applyFont="1" applyFill="1" applyBorder="1" applyAlignment="1">
      <alignment horizontal="center" vertical="center"/>
    </xf>
    <xf numFmtId="170" fontId="77" fillId="18" borderId="2" xfId="116" applyFont="1" applyFill="1" applyBorder="1" applyAlignment="1">
      <alignment horizontal="center" vertical="center"/>
    </xf>
    <xf numFmtId="170" fontId="77" fillId="18" borderId="0" xfId="116" applyFont="1" applyFill="1" applyBorder="1" applyAlignment="1">
      <alignment horizontal="center" vertical="center"/>
    </xf>
    <xf numFmtId="170" fontId="77" fillId="18" borderId="0" xfId="116" applyFont="1" applyFill="1" applyAlignment="1">
      <alignment horizontal="center" vertical="center"/>
    </xf>
    <xf numFmtId="170" fontId="4" fillId="18" borderId="2" xfId="116" applyFont="1" applyFill="1" applyBorder="1" applyAlignment="1">
      <alignment horizontal="left" vertical="center"/>
    </xf>
    <xf numFmtId="170" fontId="77" fillId="18" borderId="2" xfId="116" applyFont="1" applyFill="1" applyBorder="1" applyAlignment="1">
      <alignment horizontal="center" vertical="center" wrapText="1"/>
    </xf>
    <xf numFmtId="170" fontId="77" fillId="18" borderId="4" xfId="116" applyFont="1" applyFill="1" applyBorder="1" applyAlignment="1">
      <alignment horizontal="center" vertical="center"/>
    </xf>
    <xf numFmtId="170" fontId="77" fillId="18" borderId="2" xfId="116" applyFont="1" applyFill="1" applyBorder="1" applyAlignment="1" applyProtection="1">
      <alignment horizontal="center" vertical="center"/>
      <protection locked="0"/>
    </xf>
    <xf numFmtId="0" fontId="77" fillId="0" borderId="2" xfId="116" applyNumberFormat="1" applyFont="1" applyFill="1" applyBorder="1" applyAlignment="1">
      <alignment horizontal="center" vertical="center" wrapText="1"/>
    </xf>
    <xf numFmtId="0" fontId="117" fillId="0" borderId="2" xfId="116" applyNumberFormat="1" applyFont="1" applyBorder="1" applyAlignment="1">
      <alignment wrapText="1"/>
    </xf>
    <xf numFmtId="175" fontId="77" fillId="0" borderId="0" xfId="116" applyNumberFormat="1" applyFont="1" applyFill="1" applyBorder="1" applyAlignment="1" applyProtection="1">
      <alignment horizontal="center" vertical="center" wrapText="1"/>
      <protection locked="0"/>
    </xf>
    <xf numFmtId="170" fontId="236" fillId="0" borderId="0" xfId="116" applyFont="1" applyFill="1" applyAlignment="1">
      <alignment horizontal="center" vertical="center"/>
    </xf>
    <xf numFmtId="170" fontId="122" fillId="52" borderId="0" xfId="116" applyFont="1" applyFill="1" applyAlignment="1">
      <alignment horizontal="center" vertical="center"/>
    </xf>
    <xf numFmtId="170" fontId="122" fillId="52" borderId="0" xfId="116" applyFont="1" applyFill="1" applyAlignment="1" applyProtection="1">
      <alignment horizontal="center" vertical="center"/>
      <protection locked="0"/>
    </xf>
    <xf numFmtId="170" fontId="50" fillId="52" borderId="2" xfId="116" applyFont="1" applyFill="1" applyBorder="1" applyAlignment="1">
      <alignment horizontal="center" vertical="center" wrapText="1"/>
    </xf>
    <xf numFmtId="170" fontId="87" fillId="52" borderId="2" xfId="116" applyFont="1" applyFill="1" applyBorder="1" applyAlignment="1">
      <alignment horizontal="center" vertical="center"/>
    </xf>
    <xf numFmtId="170" fontId="77" fillId="52" borderId="2" xfId="116" applyFont="1" applyFill="1" applyBorder="1" applyAlignment="1" applyProtection="1">
      <alignment horizontal="center" vertical="center"/>
      <protection locked="0"/>
    </xf>
    <xf numFmtId="170" fontId="77" fillId="52" borderId="2" xfId="116" applyFont="1" applyFill="1" applyBorder="1" applyAlignment="1">
      <alignment horizontal="center" vertical="center"/>
    </xf>
    <xf numFmtId="170" fontId="4" fillId="52" borderId="2" xfId="116" applyFont="1" applyFill="1" applyBorder="1" applyAlignment="1">
      <alignment horizontal="left" vertical="center"/>
    </xf>
    <xf numFmtId="0" fontId="4" fillId="52" borderId="2" xfId="0" applyFont="1" applyFill="1" applyBorder="1" applyAlignment="1">
      <alignment horizontal="left" vertical="center"/>
    </xf>
    <xf numFmtId="181" fontId="77" fillId="52" borderId="2" xfId="116" applyNumberFormat="1" applyFont="1" applyFill="1" applyBorder="1" applyAlignment="1">
      <alignment horizontal="center" vertical="center"/>
    </xf>
    <xf numFmtId="170" fontId="4" fillId="52" borderId="2" xfId="116" applyFont="1" applyFill="1" applyBorder="1" applyAlignment="1" applyProtection="1">
      <alignment horizontal="center" vertical="center"/>
      <protection locked="0"/>
    </xf>
    <xf numFmtId="170" fontId="4" fillId="52" borderId="2" xfId="116" applyFont="1" applyFill="1" applyBorder="1" applyAlignment="1">
      <alignment horizontal="center" vertical="center"/>
    </xf>
    <xf numFmtId="170" fontId="77" fillId="52" borderId="0" xfId="116" applyFont="1" applyFill="1" applyBorder="1" applyAlignment="1">
      <alignment horizontal="center" vertical="center"/>
    </xf>
    <xf numFmtId="170" fontId="77" fillId="6" borderId="4" xfId="116" applyFont="1" applyFill="1" applyBorder="1" applyAlignment="1">
      <alignment horizontal="center" vertical="center"/>
    </xf>
    <xf numFmtId="175" fontId="77" fillId="10" borderId="2" xfId="116" applyNumberFormat="1" applyFont="1" applyFill="1" applyBorder="1" applyAlignment="1" applyProtection="1">
      <alignment horizontal="center" vertical="center"/>
      <protection locked="0"/>
    </xf>
    <xf numFmtId="170" fontId="77" fillId="10" borderId="2" xfId="116" applyFont="1" applyFill="1" applyBorder="1" applyAlignment="1">
      <alignment horizontal="center" vertical="center" wrapText="1"/>
    </xf>
    <xf numFmtId="170" fontId="77" fillId="10" borderId="2" xfId="116" applyFont="1" applyFill="1" applyBorder="1" applyAlignment="1">
      <alignment horizontal="center" vertical="center"/>
    </xf>
    <xf numFmtId="170" fontId="77" fillId="10" borderId="4" xfId="116" applyFont="1" applyFill="1" applyBorder="1" applyAlignment="1">
      <alignment horizontal="center" vertical="center"/>
    </xf>
    <xf numFmtId="170" fontId="77" fillId="10" borderId="2" xfId="116" applyFont="1" applyFill="1" applyBorder="1" applyAlignment="1" applyProtection="1">
      <alignment horizontal="center" vertical="center"/>
      <protection locked="0"/>
    </xf>
    <xf numFmtId="170" fontId="77" fillId="10" borderId="2" xfId="116" applyFont="1" applyFill="1" applyBorder="1" applyAlignment="1" applyProtection="1">
      <alignment horizontal="center" vertical="center" wrapText="1"/>
      <protection locked="0"/>
    </xf>
    <xf numFmtId="170" fontId="122" fillId="6" borderId="0" xfId="116" applyFont="1" applyFill="1" applyAlignment="1">
      <alignment horizontal="center" vertical="center"/>
    </xf>
    <xf numFmtId="170" fontId="50" fillId="10" borderId="2" xfId="116" applyFont="1" applyFill="1" applyBorder="1" applyAlignment="1">
      <alignment horizontal="center" vertical="center"/>
    </xf>
    <xf numFmtId="170" fontId="152" fillId="10" borderId="2" xfId="116" applyFont="1" applyFill="1" applyBorder="1" applyAlignment="1">
      <alignment horizontal="center" vertical="center"/>
    </xf>
    <xf numFmtId="170" fontId="50" fillId="10" borderId="2" xfId="116" applyFont="1" applyFill="1" applyBorder="1" applyAlignment="1" applyProtection="1">
      <alignment horizontal="center" vertical="center"/>
      <protection locked="0"/>
    </xf>
    <xf numFmtId="170" fontId="77" fillId="10" borderId="0" xfId="116" applyFont="1" applyFill="1" applyAlignment="1">
      <alignment horizontal="center" vertical="center" wrapText="1"/>
    </xf>
    <xf numFmtId="2" fontId="122" fillId="0" borderId="0" xfId="116" applyNumberFormat="1" applyFont="1" applyFill="1" applyAlignment="1">
      <alignment horizontal="center" vertical="center"/>
    </xf>
    <xf numFmtId="2" fontId="122" fillId="0" borderId="0" xfId="116" applyNumberFormat="1" applyFont="1" applyFill="1" applyAlignment="1" applyProtection="1">
      <alignment horizontal="center" vertical="center"/>
      <protection locked="0"/>
    </xf>
    <xf numFmtId="2" fontId="50" fillId="0" borderId="2" xfId="116" applyNumberFormat="1" applyFont="1" applyFill="1" applyBorder="1" applyAlignment="1">
      <alignment horizontal="center" vertical="center" wrapText="1"/>
    </xf>
    <xf numFmtId="2" fontId="87" fillId="0" borderId="2" xfId="116" applyNumberFormat="1" applyFont="1" applyFill="1" applyBorder="1" applyAlignment="1">
      <alignment horizontal="center" vertical="center"/>
    </xf>
    <xf numFmtId="2" fontId="77" fillId="10" borderId="2" xfId="116" applyNumberFormat="1" applyFont="1" applyFill="1" applyBorder="1" applyAlignment="1" applyProtection="1">
      <alignment horizontal="center" vertical="center"/>
      <protection locked="0"/>
    </xf>
    <xf numFmtId="2" fontId="77" fillId="0" borderId="2" xfId="116" applyNumberFormat="1" applyFont="1" applyFill="1" applyBorder="1" applyAlignment="1" applyProtection="1">
      <alignment horizontal="center" vertical="center"/>
      <protection locked="0"/>
    </xf>
    <xf numFmtId="2" fontId="77" fillId="0" borderId="2" xfId="116" applyNumberFormat="1" applyFont="1" applyFill="1" applyBorder="1" applyAlignment="1">
      <alignment horizontal="center" vertical="center"/>
    </xf>
    <xf numFmtId="2" fontId="77" fillId="10" borderId="2" xfId="116" applyNumberFormat="1" applyFont="1" applyFill="1" applyBorder="1" applyAlignment="1">
      <alignment horizontal="center" vertical="center"/>
    </xf>
    <xf numFmtId="2" fontId="77" fillId="18" borderId="2" xfId="116" applyNumberFormat="1" applyFont="1" applyFill="1" applyBorder="1" applyAlignment="1">
      <alignment horizontal="center" vertical="center"/>
    </xf>
    <xf numFmtId="2" fontId="4" fillId="6" borderId="2" xfId="116" applyNumberFormat="1" applyFont="1" applyFill="1" applyBorder="1" applyAlignment="1">
      <alignment horizontal="left" vertical="center"/>
    </xf>
    <xf numFmtId="2" fontId="77" fillId="6" borderId="2" xfId="116" applyNumberFormat="1" applyFont="1" applyFill="1" applyBorder="1" applyAlignment="1">
      <alignment horizontal="center" vertical="center"/>
    </xf>
    <xf numFmtId="2" fontId="4" fillId="0" borderId="2" xfId="0" applyNumberFormat="1" applyFont="1" applyBorder="1" applyAlignment="1">
      <alignment horizontal="left" vertical="center"/>
    </xf>
    <xf numFmtId="2" fontId="77" fillId="6" borderId="2" xfId="116" applyNumberFormat="1" applyFont="1" applyFill="1" applyBorder="1" applyAlignment="1" applyProtection="1">
      <alignment horizontal="center" vertical="center"/>
      <protection locked="0"/>
    </xf>
    <xf numFmtId="2" fontId="4" fillId="0" borderId="2" xfId="116" applyNumberFormat="1" applyFont="1" applyFill="1" applyBorder="1" applyAlignment="1" applyProtection="1">
      <alignment horizontal="center" vertical="center"/>
      <protection locked="0"/>
    </xf>
    <xf numFmtId="2" fontId="4" fillId="0" borderId="2" xfId="116" applyNumberFormat="1" applyFont="1" applyFill="1" applyBorder="1" applyAlignment="1">
      <alignment horizontal="center" vertical="center"/>
    </xf>
    <xf numFmtId="2" fontId="77" fillId="0" borderId="0" xfId="116" applyNumberFormat="1" applyFont="1" applyFill="1" applyBorder="1" applyAlignment="1">
      <alignment horizontal="center" vertical="center"/>
    </xf>
    <xf numFmtId="168" fontId="0" fillId="0" borderId="0" xfId="0" applyNumberFormat="1"/>
    <xf numFmtId="170" fontId="106" fillId="0" borderId="0" xfId="116" applyFont="1" applyAlignment="1">
      <alignment vertical="center" wrapText="1"/>
    </xf>
    <xf numFmtId="170" fontId="118" fillId="0" borderId="0" xfId="116" applyFont="1"/>
    <xf numFmtId="49" fontId="34" fillId="6" borderId="0" xfId="0" applyNumberFormat="1" applyFont="1" applyFill="1" applyAlignment="1">
      <alignment horizontal="center" vertical="center"/>
    </xf>
    <xf numFmtId="0" fontId="105" fillId="6" borderId="0" xfId="0" applyFont="1" applyFill="1" applyAlignment="1">
      <alignment horizontal="center" vertical="center"/>
    </xf>
    <xf numFmtId="0" fontId="117" fillId="6" borderId="0" xfId="0" applyFont="1" applyFill="1" applyAlignment="1">
      <alignment horizontal="center"/>
    </xf>
    <xf numFmtId="0" fontId="105" fillId="6" borderId="0" xfId="0" applyFont="1" applyFill="1" applyAlignment="1">
      <alignment horizontal="center"/>
    </xf>
    <xf numFmtId="0" fontId="4" fillId="6" borderId="0" xfId="0" applyFont="1" applyFill="1" applyAlignment="1">
      <alignment vertical="center"/>
    </xf>
    <xf numFmtId="179" fontId="105" fillId="6" borderId="0" xfId="0" applyNumberFormat="1" applyFont="1" applyFill="1" applyAlignment="1">
      <alignment horizontal="center" vertical="center"/>
    </xf>
    <xf numFmtId="179" fontId="111" fillId="6" borderId="0" xfId="0" applyNumberFormat="1" applyFont="1" applyFill="1" applyAlignment="1">
      <alignment horizontal="center" vertical="center"/>
    </xf>
    <xf numFmtId="0" fontId="34" fillId="6" borderId="0" xfId="0" applyFont="1" applyFill="1" applyAlignment="1">
      <alignment vertical="center"/>
    </xf>
    <xf numFmtId="0" fontId="4" fillId="6" borderId="0" xfId="0" applyFont="1" applyFill="1" applyAlignment="1">
      <alignment horizontal="center" vertical="center"/>
    </xf>
    <xf numFmtId="1" fontId="4" fillId="6" borderId="0" xfId="0" applyNumberFormat="1" applyFont="1" applyFill="1" applyAlignment="1">
      <alignment horizontal="center" vertical="center"/>
    </xf>
    <xf numFmtId="168" fontId="4" fillId="6" borderId="0" xfId="0" applyNumberFormat="1" applyFont="1" applyFill="1" applyAlignment="1">
      <alignment horizontal="center" vertical="center"/>
    </xf>
    <xf numFmtId="170" fontId="111" fillId="6" borderId="0" xfId="4816" applyFont="1" applyFill="1" applyBorder="1" applyAlignment="1">
      <alignment horizontal="center" vertical="center"/>
    </xf>
    <xf numFmtId="176" fontId="111" fillId="6" borderId="0" xfId="4816" applyNumberFormat="1" applyFont="1" applyFill="1" applyBorder="1" applyAlignment="1">
      <alignment horizontal="center" vertical="center"/>
    </xf>
    <xf numFmtId="49" fontId="32" fillId="6" borderId="67" xfId="0" applyNumberFormat="1" applyFont="1" applyFill="1" applyBorder="1" applyAlignment="1">
      <alignment horizontal="center" vertical="center" wrapText="1"/>
    </xf>
    <xf numFmtId="49" fontId="8" fillId="6" borderId="68" xfId="0" applyNumberFormat="1" applyFont="1" applyFill="1" applyBorder="1" applyAlignment="1">
      <alignment horizontal="center" vertical="center" wrapText="1"/>
    </xf>
    <xf numFmtId="0" fontId="8" fillId="6" borderId="68" xfId="0" applyFont="1" applyFill="1" applyBorder="1" applyAlignment="1">
      <alignment horizontal="center" vertical="center" wrapText="1"/>
    </xf>
    <xf numFmtId="1" fontId="8" fillId="6" borderId="68" xfId="0" applyNumberFormat="1" applyFont="1" applyFill="1" applyBorder="1" applyAlignment="1">
      <alignment horizontal="center" vertical="center" wrapText="1"/>
    </xf>
    <xf numFmtId="168" fontId="8" fillId="6" borderId="68" xfId="0" applyNumberFormat="1" applyFont="1" applyFill="1" applyBorder="1" applyAlignment="1">
      <alignment horizontal="center" vertical="center" wrapText="1"/>
    </xf>
    <xf numFmtId="0" fontId="110" fillId="6" borderId="68" xfId="0" applyFont="1" applyFill="1" applyBorder="1" applyAlignment="1">
      <alignment horizontal="center" vertical="center"/>
    </xf>
    <xf numFmtId="3" fontId="110" fillId="6" borderId="68" xfId="0" applyNumberFormat="1" applyFont="1" applyFill="1" applyBorder="1" applyAlignment="1">
      <alignment horizontal="center" vertical="center" wrapText="1"/>
    </xf>
    <xf numFmtId="179" fontId="8" fillId="6" borderId="68" xfId="0" applyNumberFormat="1" applyFont="1" applyFill="1" applyBorder="1" applyAlignment="1">
      <alignment horizontal="center" vertical="center" wrapText="1"/>
    </xf>
    <xf numFmtId="179" fontId="110" fillId="6" borderId="68" xfId="0" applyNumberFormat="1" applyFont="1" applyFill="1" applyBorder="1" applyAlignment="1">
      <alignment horizontal="center" vertical="center"/>
    </xf>
    <xf numFmtId="3" fontId="8" fillId="6" borderId="68" xfId="0" applyNumberFormat="1" applyFont="1" applyFill="1" applyBorder="1" applyAlignment="1">
      <alignment horizontal="center" vertical="center" wrapText="1"/>
    </xf>
    <xf numFmtId="179" fontId="110" fillId="6" borderId="69" xfId="0" applyNumberFormat="1" applyFont="1" applyFill="1" applyBorder="1" applyAlignment="1">
      <alignment horizontal="center" vertical="center"/>
    </xf>
    <xf numFmtId="179" fontId="110" fillId="6" borderId="69" xfId="0" applyNumberFormat="1" applyFont="1" applyFill="1" applyBorder="1" applyAlignment="1">
      <alignment horizontal="center" vertical="center" wrapText="1"/>
    </xf>
    <xf numFmtId="170" fontId="110" fillId="6" borderId="68" xfId="4816" applyFont="1" applyFill="1" applyBorder="1" applyAlignment="1">
      <alignment horizontal="center" vertical="center" wrapText="1"/>
    </xf>
    <xf numFmtId="176" fontId="110" fillId="6" borderId="68" xfId="4816" applyNumberFormat="1" applyFont="1" applyFill="1" applyBorder="1" applyAlignment="1">
      <alignment horizontal="center" vertical="center" wrapText="1"/>
    </xf>
    <xf numFmtId="49" fontId="32" fillId="6" borderId="7" xfId="0" applyNumberFormat="1" applyFont="1" applyFill="1" applyBorder="1" applyAlignment="1">
      <alignment horizontal="center" vertical="center"/>
    </xf>
    <xf numFmtId="168" fontId="4" fillId="6" borderId="7" xfId="0" applyNumberFormat="1" applyFont="1" applyFill="1" applyBorder="1" applyAlignment="1">
      <alignment horizontal="center" vertical="center"/>
    </xf>
    <xf numFmtId="168" fontId="110" fillId="6" borderId="7" xfId="0" applyNumberFormat="1" applyFont="1" applyFill="1" applyBorder="1" applyAlignment="1">
      <alignment horizontal="center"/>
    </xf>
    <xf numFmtId="0" fontId="105" fillId="6" borderId="7" xfId="0" applyFont="1" applyFill="1" applyBorder="1" applyAlignment="1">
      <alignment horizontal="center" vertical="center"/>
    </xf>
    <xf numFmtId="168" fontId="4" fillId="6" borderId="7" xfId="49" applyNumberFormat="1" applyFill="1" applyBorder="1" applyAlignment="1">
      <alignment vertical="center"/>
    </xf>
    <xf numFmtId="179" fontId="105" fillId="6" borderId="7" xfId="0" applyNumberFormat="1" applyFont="1" applyFill="1" applyBorder="1" applyAlignment="1">
      <alignment horizontal="center" vertical="center"/>
    </xf>
    <xf numFmtId="179" fontId="117" fillId="6" borderId="7" xfId="0" applyNumberFormat="1" applyFont="1" applyFill="1" applyBorder="1" applyAlignment="1">
      <alignment horizontal="center" vertical="center"/>
    </xf>
    <xf numFmtId="179" fontId="117" fillId="6" borderId="24" xfId="0" applyNumberFormat="1" applyFont="1" applyFill="1" applyBorder="1" applyAlignment="1">
      <alignment horizontal="center" vertical="center"/>
    </xf>
    <xf numFmtId="179" fontId="110" fillId="6" borderId="24" xfId="0" applyNumberFormat="1" applyFont="1" applyFill="1" applyBorder="1" applyAlignment="1">
      <alignment horizontal="center" vertical="center"/>
    </xf>
    <xf numFmtId="170" fontId="110" fillId="6" borderId="7" xfId="4816" applyFont="1" applyFill="1" applyBorder="1" applyAlignment="1">
      <alignment horizontal="center" vertical="center"/>
    </xf>
    <xf numFmtId="176" fontId="111" fillId="6" borderId="7" xfId="4816" applyNumberFormat="1" applyFont="1" applyFill="1" applyBorder="1" applyAlignment="1">
      <alignment horizontal="center" vertical="center"/>
    </xf>
    <xf numFmtId="0" fontId="105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left" vertical="top" wrapText="1"/>
    </xf>
    <xf numFmtId="0" fontId="117" fillId="6" borderId="2" xfId="0" applyFont="1" applyFill="1" applyBorder="1" applyAlignment="1">
      <alignment horizontal="center"/>
    </xf>
    <xf numFmtId="1" fontId="3" fillId="6" borderId="2" xfId="0" applyNumberFormat="1" applyFont="1" applyFill="1" applyBorder="1" applyAlignment="1">
      <alignment horizontal="center" vertical="center" wrapText="1"/>
    </xf>
    <xf numFmtId="168" fontId="3" fillId="6" borderId="2" xfId="0" applyNumberFormat="1" applyFont="1" applyFill="1" applyBorder="1" applyAlignment="1">
      <alignment horizontal="center" vertical="center" wrapText="1"/>
    </xf>
    <xf numFmtId="168" fontId="4" fillId="6" borderId="2" xfId="0" applyNumberFormat="1" applyFont="1" applyFill="1" applyBorder="1" applyAlignment="1">
      <alignment horizontal="center" vertical="center"/>
    </xf>
    <xf numFmtId="168" fontId="110" fillId="6" borderId="2" xfId="0" applyNumberFormat="1" applyFont="1" applyFill="1" applyBorder="1" applyAlignment="1">
      <alignment horizontal="center" vertical="center"/>
    </xf>
    <xf numFmtId="179" fontId="105" fillId="6" borderId="2" xfId="0" applyNumberFormat="1" applyFont="1" applyFill="1" applyBorder="1" applyAlignment="1">
      <alignment horizontal="center" vertical="center"/>
    </xf>
    <xf numFmtId="179" fontId="117" fillId="6" borderId="2" xfId="0" applyNumberFormat="1" applyFont="1" applyFill="1" applyBorder="1" applyAlignment="1">
      <alignment horizontal="center" vertical="center"/>
    </xf>
    <xf numFmtId="179" fontId="117" fillId="6" borderId="6" xfId="0" applyNumberFormat="1" applyFont="1" applyFill="1" applyBorder="1" applyAlignment="1">
      <alignment horizontal="center" vertical="center"/>
    </xf>
    <xf numFmtId="179" fontId="110" fillId="6" borderId="6" xfId="0" applyNumberFormat="1" applyFont="1" applyFill="1" applyBorder="1" applyAlignment="1">
      <alignment horizontal="center" vertical="center"/>
    </xf>
    <xf numFmtId="170" fontId="110" fillId="6" borderId="2" xfId="4816" applyFont="1" applyFill="1" applyBorder="1" applyAlignment="1">
      <alignment horizontal="center" vertical="center"/>
    </xf>
    <xf numFmtId="176" fontId="111" fillId="6" borderId="2" xfId="4816" applyNumberFormat="1" applyFont="1" applyFill="1" applyBorder="1" applyAlignment="1">
      <alignment horizontal="center" vertical="center"/>
    </xf>
    <xf numFmtId="16" fontId="105" fillId="6" borderId="2" xfId="0" applyNumberFormat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left" vertical="center" wrapText="1"/>
    </xf>
    <xf numFmtId="168" fontId="117" fillId="6" borderId="2" xfId="0" applyNumberFormat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168" fontId="4" fillId="6" borderId="2" xfId="49" applyNumberFormat="1" applyFill="1" applyBorder="1" applyAlignment="1">
      <alignment vertical="center"/>
    </xf>
    <xf numFmtId="170" fontId="117" fillId="6" borderId="2" xfId="4816" applyFont="1" applyFill="1" applyBorder="1" applyAlignment="1">
      <alignment horizontal="center" vertical="center"/>
    </xf>
    <xf numFmtId="176" fontId="105" fillId="6" borderId="2" xfId="4816" applyNumberFormat="1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left" vertical="center" wrapText="1"/>
    </xf>
    <xf numFmtId="0" fontId="8" fillId="6" borderId="2" xfId="4444" applyFont="1" applyFill="1" applyBorder="1" applyAlignment="1">
      <alignment horizontal="left" vertical="center" wrapText="1"/>
    </xf>
    <xf numFmtId="1" fontId="4" fillId="6" borderId="2" xfId="4444" applyNumberFormat="1" applyFont="1" applyFill="1" applyBorder="1" applyAlignment="1">
      <alignment horizontal="center" vertical="center" wrapText="1"/>
    </xf>
    <xf numFmtId="168" fontId="4" fillId="6" borderId="2" xfId="4444" applyNumberFormat="1" applyFont="1" applyFill="1" applyBorder="1" applyAlignment="1">
      <alignment horizontal="center" vertical="center" wrapText="1"/>
    </xf>
    <xf numFmtId="0" fontId="4" fillId="6" borderId="2" xfId="4444" applyFont="1" applyFill="1" applyBorder="1" applyAlignment="1">
      <alignment vertical="top" wrapText="1"/>
    </xf>
    <xf numFmtId="16" fontId="117" fillId="6" borderId="2" xfId="0" applyNumberFormat="1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176" fontId="117" fillId="6" borderId="2" xfId="4816" applyNumberFormat="1" applyFont="1" applyFill="1" applyBorder="1" applyAlignment="1">
      <alignment horizontal="center" vertical="center"/>
    </xf>
    <xf numFmtId="168" fontId="4" fillId="0" borderId="2" xfId="49" applyNumberFormat="1" applyBorder="1" applyAlignment="1">
      <alignment vertical="center"/>
    </xf>
    <xf numFmtId="179" fontId="117" fillId="0" borderId="2" xfId="0" applyNumberFormat="1" applyFont="1" applyBorder="1" applyAlignment="1">
      <alignment horizontal="center" vertical="center"/>
    </xf>
    <xf numFmtId="179" fontId="117" fillId="0" borderId="6" xfId="0" applyNumberFormat="1" applyFont="1" applyBorder="1" applyAlignment="1">
      <alignment horizontal="center" vertical="center"/>
    </xf>
    <xf numFmtId="170" fontId="117" fillId="0" borderId="2" xfId="4816" applyFont="1" applyFill="1" applyBorder="1" applyAlignment="1">
      <alignment horizontal="center" vertical="center"/>
    </xf>
    <xf numFmtId="168" fontId="237" fillId="6" borderId="2" xfId="0" applyNumberFormat="1" applyFont="1" applyFill="1" applyBorder="1" applyAlignment="1">
      <alignment horizontal="center" vertical="center"/>
    </xf>
    <xf numFmtId="0" fontId="4" fillId="6" borderId="2" xfId="4444" applyFont="1" applyFill="1" applyBorder="1" applyAlignment="1">
      <alignment horizontal="left" vertical="top" wrapText="1"/>
    </xf>
    <xf numFmtId="0" fontId="4" fillId="6" borderId="2" xfId="4444" applyFont="1" applyFill="1" applyBorder="1" applyAlignment="1">
      <alignment horizontal="left" vertical="center" wrapText="1"/>
    </xf>
    <xf numFmtId="0" fontId="8" fillId="6" borderId="2" xfId="4444" applyFont="1" applyFill="1" applyBorder="1" applyAlignment="1">
      <alignment horizontal="center" vertical="center" wrapText="1"/>
    </xf>
    <xf numFmtId="49" fontId="3" fillId="6" borderId="2" xfId="0" applyNumberFormat="1" applyFont="1" applyFill="1" applyBorder="1" applyAlignment="1">
      <alignment horizontal="center" vertical="center" wrapText="1"/>
    </xf>
    <xf numFmtId="168" fontId="4" fillId="6" borderId="2" xfId="0" applyNumberFormat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2" fontId="4" fillId="6" borderId="2" xfId="0" applyNumberFormat="1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vertical="center" wrapText="1"/>
    </xf>
    <xf numFmtId="168" fontId="3" fillId="6" borderId="2" xfId="0" applyNumberFormat="1" applyFont="1" applyFill="1" applyBorder="1" applyAlignment="1">
      <alignment horizontal="left" vertical="center" wrapText="1"/>
    </xf>
    <xf numFmtId="168" fontId="117" fillId="6" borderId="2" xfId="0" applyNumberFormat="1" applyFont="1" applyFill="1" applyBorder="1" applyAlignment="1">
      <alignment horizontal="left" vertical="center"/>
    </xf>
    <xf numFmtId="0" fontId="3" fillId="6" borderId="2" xfId="0" applyFont="1" applyFill="1" applyBorder="1" applyAlignment="1">
      <alignment horizontal="left" vertical="top" wrapText="1"/>
    </xf>
    <xf numFmtId="0" fontId="111" fillId="6" borderId="2" xfId="0" applyFont="1" applyFill="1" applyBorder="1" applyAlignment="1">
      <alignment horizontal="center" vertical="center"/>
    </xf>
    <xf numFmtId="49" fontId="34" fillId="6" borderId="2" xfId="0" applyNumberFormat="1" applyFont="1" applyFill="1" applyBorder="1" applyAlignment="1">
      <alignment horizontal="center" vertical="center"/>
    </xf>
    <xf numFmtId="49" fontId="8" fillId="6" borderId="2" xfId="0" applyNumberFormat="1" applyFont="1" applyFill="1" applyBorder="1" applyAlignment="1">
      <alignment horizontal="left" vertical="center" wrapText="1"/>
    </xf>
    <xf numFmtId="1" fontId="4" fillId="6" borderId="2" xfId="0" applyNumberFormat="1" applyFont="1" applyFill="1" applyBorder="1" applyAlignment="1">
      <alignment horizontal="center" vertical="center"/>
    </xf>
    <xf numFmtId="0" fontId="105" fillId="6" borderId="2" xfId="0" applyFont="1" applyFill="1" applyBorder="1" applyAlignment="1">
      <alignment vertical="center"/>
    </xf>
    <xf numFmtId="179" fontId="111" fillId="6" borderId="2" xfId="0" applyNumberFormat="1" applyFont="1" applyFill="1" applyBorder="1" applyAlignment="1">
      <alignment horizontal="center" vertical="center"/>
    </xf>
    <xf numFmtId="170" fontId="111" fillId="6" borderId="2" xfId="4816" applyFont="1" applyFill="1" applyBorder="1" applyAlignment="1">
      <alignment horizontal="center" vertical="center"/>
    </xf>
    <xf numFmtId="49" fontId="4" fillId="6" borderId="0" xfId="0" applyNumberFormat="1" applyFont="1" applyFill="1" applyAlignment="1">
      <alignment horizontal="left" vertical="center" wrapText="1"/>
    </xf>
    <xf numFmtId="0" fontId="105" fillId="6" borderId="0" xfId="0" applyFont="1" applyFill="1" applyAlignment="1">
      <alignment vertical="center"/>
    </xf>
    <xf numFmtId="0" fontId="238" fillId="0" borderId="0" xfId="4838" applyAlignment="1">
      <alignment horizontal="left"/>
    </xf>
    <xf numFmtId="0" fontId="238" fillId="0" borderId="0" xfId="4838"/>
    <xf numFmtId="0" fontId="240" fillId="70" borderId="71" xfId="4838" applyFont="1" applyFill="1" applyBorder="1" applyAlignment="1">
      <alignment horizontal="right" vertical="top" wrapText="1"/>
    </xf>
    <xf numFmtId="0" fontId="240" fillId="70" borderId="72" xfId="4838" applyFont="1" applyFill="1" applyBorder="1" applyAlignment="1">
      <alignment horizontal="right" vertical="top" wrapText="1"/>
    </xf>
    <xf numFmtId="0" fontId="240" fillId="70" borderId="73" xfId="4838" applyFont="1" applyFill="1" applyBorder="1" applyAlignment="1">
      <alignment horizontal="right" vertical="top" wrapText="1"/>
    </xf>
    <xf numFmtId="0" fontId="241" fillId="0" borderId="71" xfId="4838" applyFont="1" applyBorder="1" applyAlignment="1">
      <alignment horizontal="right" vertical="top" wrapText="1"/>
    </xf>
    <xf numFmtId="0" fontId="241" fillId="0" borderId="72" xfId="4838" applyFont="1" applyBorder="1" applyAlignment="1">
      <alignment horizontal="right" vertical="top" wrapText="1"/>
    </xf>
    <xf numFmtId="0" fontId="241" fillId="0" borderId="73" xfId="4838" applyFont="1" applyBorder="1" applyAlignment="1">
      <alignment horizontal="right" vertical="top" wrapText="1"/>
    </xf>
    <xf numFmtId="0" fontId="242" fillId="0" borderId="71" xfId="4838" applyFont="1" applyBorder="1" applyAlignment="1">
      <alignment horizontal="right" vertical="top" wrapText="1"/>
    </xf>
    <xf numFmtId="0" fontId="242" fillId="0" borderId="72" xfId="4838" applyFont="1" applyBorder="1" applyAlignment="1">
      <alignment horizontal="right" vertical="top" wrapText="1"/>
    </xf>
    <xf numFmtId="0" fontId="242" fillId="0" borderId="73" xfId="4838" applyFont="1" applyBorder="1" applyAlignment="1">
      <alignment horizontal="right" vertical="top" wrapText="1"/>
    </xf>
    <xf numFmtId="4" fontId="238" fillId="0" borderId="0" xfId="4838" applyNumberFormat="1" applyAlignment="1">
      <alignment horizontal="left"/>
    </xf>
    <xf numFmtId="0" fontId="105" fillId="6" borderId="0" xfId="0" applyFont="1" applyFill="1" applyAlignment="1">
      <alignment horizontal="left" vertical="center"/>
    </xf>
    <xf numFmtId="176" fontId="105" fillId="6" borderId="0" xfId="0" applyNumberFormat="1" applyFont="1" applyFill="1" applyAlignment="1">
      <alignment horizontal="center" vertical="center"/>
    </xf>
    <xf numFmtId="170" fontId="50" fillId="0" borderId="21" xfId="116" applyFont="1" applyFill="1" applyBorder="1" applyAlignment="1">
      <alignment horizontal="center" vertical="center" wrapText="1"/>
    </xf>
    <xf numFmtId="170" fontId="8" fillId="0" borderId="21" xfId="116" applyFont="1" applyFill="1" applyBorder="1" applyAlignment="1">
      <alignment horizontal="center" vertical="center" wrapText="1"/>
    </xf>
    <xf numFmtId="170" fontId="8" fillId="0" borderId="7" xfId="116" applyFont="1" applyFill="1" applyBorder="1" applyAlignment="1">
      <alignment horizontal="center" vertical="center" wrapText="1"/>
    </xf>
    <xf numFmtId="178" fontId="36" fillId="0" borderId="0" xfId="122" applyNumberFormat="1" applyFont="1" applyFill="1" applyAlignment="1">
      <alignment vertical="center"/>
    </xf>
    <xf numFmtId="170" fontId="0" fillId="0" borderId="0" xfId="116" applyFont="1" applyFill="1"/>
    <xf numFmtId="2" fontId="32" fillId="0" borderId="0" xfId="94" applyNumberFormat="1" applyFont="1" applyAlignment="1" applyProtection="1">
      <alignment vertical="center" wrapText="1"/>
      <protection locked="0"/>
    </xf>
    <xf numFmtId="0" fontId="122" fillId="0" borderId="0" xfId="116" applyNumberFormat="1" applyFont="1" applyFill="1" applyAlignment="1">
      <alignment horizontal="center" vertical="center" wrapText="1"/>
    </xf>
    <xf numFmtId="0" fontId="122" fillId="0" borderId="0" xfId="116" applyNumberFormat="1" applyFont="1" applyFill="1" applyAlignment="1" applyProtection="1">
      <alignment horizontal="center" vertical="center" wrapText="1"/>
      <protection locked="0"/>
    </xf>
    <xf numFmtId="0" fontId="4" fillId="0" borderId="0" xfId="116" applyNumberFormat="1" applyFont="1" applyFill="1" applyAlignment="1" applyProtection="1">
      <alignment horizontal="center" vertical="center" wrapText="1"/>
      <protection locked="0"/>
    </xf>
    <xf numFmtId="0" fontId="4" fillId="0" borderId="0" xfId="116" applyNumberFormat="1" applyFont="1" applyFill="1" applyAlignment="1">
      <alignment horizontal="left" vertical="center" wrapText="1"/>
    </xf>
    <xf numFmtId="0" fontId="4" fillId="0" borderId="0" xfId="116" applyNumberFormat="1" applyFont="1" applyFill="1" applyAlignment="1">
      <alignment horizontal="center" vertical="center" wrapText="1"/>
    </xf>
    <xf numFmtId="0" fontId="81" fillId="0" borderId="2" xfId="116" applyNumberFormat="1" applyFont="1" applyFill="1" applyBorder="1" applyAlignment="1">
      <alignment horizontal="center" vertical="center" wrapText="1"/>
    </xf>
    <xf numFmtId="170" fontId="122" fillId="0" borderId="2" xfId="116" applyFont="1" applyFill="1" applyBorder="1" applyAlignment="1">
      <alignment horizontal="center"/>
    </xf>
    <xf numFmtId="170" fontId="117" fillId="0" borderId="2" xfId="116" applyFont="1" applyFill="1" applyBorder="1" applyAlignment="1">
      <alignment horizontal="left" wrapText="1"/>
    </xf>
    <xf numFmtId="170" fontId="117" fillId="0" borderId="2" xfId="116" applyFont="1" applyFill="1" applyBorder="1" applyAlignment="1">
      <alignment wrapText="1"/>
    </xf>
    <xf numFmtId="170" fontId="117" fillId="0" borderId="2" xfId="116" applyFont="1" applyFill="1" applyBorder="1" applyAlignment="1">
      <alignment horizontal="center"/>
    </xf>
    <xf numFmtId="170" fontId="4" fillId="0" borderId="2" xfId="116" applyFont="1" applyFill="1" applyBorder="1" applyAlignment="1" applyProtection="1">
      <alignment vertical="top" wrapText="1"/>
      <protection locked="0"/>
    </xf>
    <xf numFmtId="170" fontId="4" fillId="0" borderId="2" xfId="116" applyFont="1" applyFill="1" applyBorder="1" applyAlignment="1">
      <alignment horizontal="center" vertical="top" wrapText="1"/>
    </xf>
    <xf numFmtId="0" fontId="117" fillId="0" borderId="2" xfId="116" applyNumberFormat="1" applyFont="1" applyFill="1" applyBorder="1" applyAlignment="1">
      <alignment wrapText="1"/>
    </xf>
    <xf numFmtId="170" fontId="4" fillId="0" borderId="2" xfId="116" applyFont="1" applyFill="1" applyBorder="1" applyAlignment="1">
      <alignment vertical="top" wrapText="1"/>
    </xf>
    <xf numFmtId="170" fontId="117" fillId="0" borderId="2" xfId="116" applyFont="1" applyFill="1" applyBorder="1"/>
    <xf numFmtId="0" fontId="4" fillId="0" borderId="2" xfId="116" applyNumberFormat="1" applyFont="1" applyFill="1" applyBorder="1" applyAlignment="1">
      <alignment vertical="top" wrapText="1"/>
    </xf>
    <xf numFmtId="170" fontId="243" fillId="0" borderId="0" xfId="116" applyFont="1" applyFill="1" applyBorder="1" applyAlignment="1" applyProtection="1">
      <alignment horizontal="left" vertical="center"/>
      <protection locked="0"/>
    </xf>
    <xf numFmtId="170" fontId="34" fillId="10" borderId="2" xfId="116" applyFont="1" applyFill="1" applyBorder="1" applyAlignment="1">
      <alignment vertical="center" wrapText="1"/>
    </xf>
    <xf numFmtId="170" fontId="126" fillId="0" borderId="0" xfId="116" applyFont="1" applyFill="1" applyAlignment="1" applyProtection="1">
      <alignment horizontal="center" vertical="center"/>
      <protection locked="0"/>
    </xf>
    <xf numFmtId="170" fontId="144" fillId="0" borderId="0" xfId="116" applyFont="1" applyFill="1" applyAlignment="1">
      <alignment vertical="center" wrapText="1"/>
    </xf>
    <xf numFmtId="170" fontId="244" fillId="0" borderId="0" xfId="116" applyFont="1" applyFill="1" applyAlignment="1">
      <alignment vertical="center" wrapText="1"/>
    </xf>
    <xf numFmtId="170" fontId="126" fillId="0" borderId="3" xfId="116" applyFont="1" applyFill="1" applyBorder="1" applyAlignment="1">
      <alignment vertical="center"/>
    </xf>
    <xf numFmtId="170" fontId="180" fillId="0" borderId="0" xfId="116" applyFont="1" applyFill="1" applyAlignment="1">
      <alignment vertical="center"/>
    </xf>
    <xf numFmtId="170" fontId="112" fillId="0" borderId="0" xfId="116" applyFont="1" applyFill="1" applyAlignment="1">
      <alignment horizontal="right" vertical="center"/>
    </xf>
    <xf numFmtId="170" fontId="112" fillId="0" borderId="0" xfId="116" applyFont="1" applyFill="1" applyAlignment="1">
      <alignment horizontal="center" vertical="center"/>
    </xf>
    <xf numFmtId="170" fontId="113" fillId="0" borderId="0" xfId="116" applyFont="1" applyFill="1" applyAlignment="1" applyProtection="1">
      <alignment vertical="center"/>
      <protection locked="0"/>
    </xf>
    <xf numFmtId="170" fontId="144" fillId="0" borderId="0" xfId="116" applyFont="1" applyFill="1" applyAlignment="1" applyProtection="1">
      <alignment vertical="center"/>
      <protection locked="0"/>
    </xf>
    <xf numFmtId="170" fontId="180" fillId="0" borderId="0" xfId="116" applyFont="1" applyFill="1" applyAlignment="1" applyProtection="1">
      <alignment vertical="center"/>
      <protection locked="0"/>
    </xf>
    <xf numFmtId="170" fontId="113" fillId="0" borderId="0" xfId="116" applyFont="1" applyFill="1" applyBorder="1" applyAlignment="1" applyProtection="1">
      <alignment vertical="center"/>
      <protection locked="0"/>
    </xf>
    <xf numFmtId="170" fontId="144" fillId="0" borderId="0" xfId="116" applyFont="1" applyFill="1" applyAlignment="1" applyProtection="1">
      <alignment horizontal="center" vertical="center"/>
      <protection locked="0"/>
    </xf>
    <xf numFmtId="170" fontId="112" fillId="0" borderId="0" xfId="116" applyFont="1" applyFill="1" applyBorder="1" applyAlignment="1">
      <alignment vertical="center"/>
    </xf>
    <xf numFmtId="170" fontId="113" fillId="0" borderId="0" xfId="116" applyFont="1" applyFill="1" applyBorder="1" applyAlignment="1">
      <alignment vertical="center"/>
    </xf>
    <xf numFmtId="170" fontId="144" fillId="0" borderId="0" xfId="116" applyFont="1" applyFill="1" applyAlignment="1">
      <alignment horizontal="center" vertical="center"/>
    </xf>
    <xf numFmtId="170" fontId="106" fillId="6" borderId="2" xfId="2510" applyFont="1" applyFill="1" applyBorder="1"/>
    <xf numFmtId="170" fontId="35" fillId="0" borderId="2" xfId="2510" applyFont="1" applyBorder="1"/>
    <xf numFmtId="170" fontId="36" fillId="0" borderId="2" xfId="2510" applyFont="1" applyBorder="1" applyAlignment="1">
      <alignment vertical="center" wrapText="1"/>
    </xf>
    <xf numFmtId="0" fontId="34" fillId="0" borderId="0" xfId="0" applyFont="1"/>
    <xf numFmtId="0" fontId="139" fillId="0" borderId="0" xfId="0" applyFont="1"/>
    <xf numFmtId="170" fontId="32" fillId="0" borderId="0" xfId="116" applyFont="1" applyFill="1" applyBorder="1" applyAlignment="1" applyProtection="1">
      <alignment horizontal="center" vertical="center" wrapText="1"/>
      <protection locked="0"/>
    </xf>
    <xf numFmtId="43" fontId="181" fillId="0" borderId="2" xfId="121" applyFont="1" applyBorder="1" applyAlignment="1">
      <alignment horizontal="center" vertical="center" wrapText="1"/>
    </xf>
    <xf numFmtId="43" fontId="181" fillId="0" borderId="2" xfId="121" applyFont="1" applyFill="1" applyBorder="1" applyAlignment="1">
      <alignment horizontal="center" vertical="center" wrapText="1"/>
    </xf>
    <xf numFmtId="43" fontId="181" fillId="0" borderId="23" xfId="121" applyFont="1" applyFill="1" applyBorder="1" applyAlignment="1">
      <alignment horizontal="center" vertical="center" wrapText="1"/>
    </xf>
    <xf numFmtId="43" fontId="182" fillId="0" borderId="2" xfId="121" applyFont="1" applyBorder="1" applyAlignment="1">
      <alignment horizontal="center" vertical="center"/>
    </xf>
    <xf numFmtId="43" fontId="181" fillId="0" borderId="2" xfId="121" applyFont="1" applyBorder="1" applyAlignment="1">
      <alignment horizontal="center" vertical="center"/>
    </xf>
    <xf numFmtId="43" fontId="182" fillId="0" borderId="2" xfId="0" applyNumberFormat="1" applyFont="1" applyBorder="1"/>
    <xf numFmtId="43" fontId="182" fillId="0" borderId="0" xfId="121" applyFont="1" applyFill="1" applyBorder="1" applyAlignment="1">
      <alignment horizontal="center" vertical="center" wrapText="1"/>
    </xf>
    <xf numFmtId="0" fontId="182" fillId="0" borderId="0" xfId="0" applyFont="1" applyAlignment="1">
      <alignment horizontal="left"/>
    </xf>
    <xf numFmtId="43" fontId="182" fillId="0" borderId="0" xfId="121" applyFont="1" applyFill="1" applyBorder="1" applyAlignment="1">
      <alignment horizontal="left" vertical="center"/>
    </xf>
    <xf numFmtId="43" fontId="182" fillId="0" borderId="2" xfId="121" applyFont="1" applyBorder="1" applyAlignment="1">
      <alignment horizontal="left" vertical="center" wrapText="1"/>
    </xf>
    <xf numFmtId="43" fontId="182" fillId="0" borderId="2" xfId="121" applyFont="1" applyFill="1" applyBorder="1" applyAlignment="1">
      <alignment horizontal="left" vertical="center" wrapText="1"/>
    </xf>
    <xf numFmtId="0" fontId="8" fillId="0" borderId="18" xfId="102" applyFont="1" applyBorder="1" applyAlignment="1">
      <alignment horizontal="left" vertical="center"/>
    </xf>
    <xf numFmtId="1" fontId="8" fillId="0" borderId="18" xfId="102" applyNumberFormat="1" applyFont="1" applyBorder="1" applyAlignment="1">
      <alignment horizontal="left" vertical="center" wrapText="1"/>
    </xf>
    <xf numFmtId="0" fontId="8" fillId="0" borderId="0" xfId="102" applyFont="1" applyAlignment="1">
      <alignment horizontal="left" vertical="center" wrapText="1"/>
    </xf>
    <xf numFmtId="170" fontId="8" fillId="0" borderId="0" xfId="117" applyFont="1" applyFill="1" applyBorder="1" applyAlignment="1">
      <alignment horizontal="right" vertical="center" wrapText="1"/>
    </xf>
    <xf numFmtId="4" fontId="46" fillId="0" borderId="0" xfId="4436" applyNumberFormat="1" applyAlignment="1">
      <alignment horizontal="right" vertical="top"/>
    </xf>
    <xf numFmtId="0" fontId="34" fillId="10" borderId="0" xfId="94" applyFont="1" applyFill="1" applyAlignment="1">
      <alignment vertical="center"/>
    </xf>
    <xf numFmtId="175" fontId="34" fillId="10" borderId="2" xfId="116" applyNumberFormat="1" applyFont="1" applyFill="1" applyBorder="1" applyAlignment="1" applyProtection="1">
      <alignment horizontal="center" vertical="center" wrapText="1"/>
      <protection locked="0"/>
    </xf>
    <xf numFmtId="170" fontId="4" fillId="10" borderId="2" xfId="116" applyFont="1" applyFill="1" applyBorder="1" applyAlignment="1" applyProtection="1">
      <alignment vertical="center" wrapText="1"/>
      <protection locked="0"/>
    </xf>
    <xf numFmtId="170" fontId="34" fillId="10" borderId="2" xfId="116" applyFont="1" applyFill="1" applyBorder="1" applyAlignment="1" applyProtection="1">
      <alignment vertical="center"/>
      <protection locked="0"/>
    </xf>
    <xf numFmtId="175" fontId="34" fillId="10" borderId="2" xfId="116" applyNumberFormat="1" applyFont="1" applyFill="1" applyBorder="1" applyAlignment="1" applyProtection="1">
      <alignment horizontal="center" vertical="center"/>
      <protection locked="0"/>
    </xf>
    <xf numFmtId="170" fontId="33" fillId="10" borderId="2" xfId="116" applyFont="1" applyFill="1" applyBorder="1" applyAlignment="1">
      <alignment vertical="center" wrapText="1"/>
    </xf>
    <xf numFmtId="170" fontId="34" fillId="10" borderId="2" xfId="116" applyFont="1" applyFill="1" applyBorder="1" applyAlignment="1" applyProtection="1">
      <alignment vertical="center" wrapText="1"/>
      <protection locked="0"/>
    </xf>
    <xf numFmtId="0" fontId="34" fillId="10" borderId="0" xfId="94" applyFont="1" applyFill="1" applyAlignment="1">
      <alignment vertical="center" wrapText="1"/>
    </xf>
    <xf numFmtId="170" fontId="34" fillId="10" borderId="0" xfId="116" applyFont="1" applyFill="1" applyAlignment="1">
      <alignment vertical="center" wrapText="1"/>
    </xf>
    <xf numFmtId="170" fontId="34" fillId="10" borderId="0" xfId="116" applyFont="1" applyFill="1" applyAlignment="1">
      <alignment vertical="center"/>
    </xf>
    <xf numFmtId="0" fontId="157" fillId="0" borderId="0" xfId="0" applyFont="1"/>
    <xf numFmtId="0" fontId="8" fillId="0" borderId="0" xfId="45" applyFont="1" applyAlignment="1">
      <alignment vertical="center"/>
    </xf>
    <xf numFmtId="170" fontId="245" fillId="0" borderId="0" xfId="116" applyFont="1" applyFill="1" applyAlignment="1">
      <alignment horizontal="center" vertical="center"/>
    </xf>
    <xf numFmtId="170" fontId="4" fillId="50" borderId="2" xfId="116" applyFont="1" applyFill="1" applyBorder="1" applyAlignment="1">
      <alignment horizontal="left" vertical="center" wrapText="1"/>
    </xf>
    <xf numFmtId="170" fontId="110" fillId="0" borderId="0" xfId="0" applyNumberFormat="1" applyFont="1" applyAlignment="1" applyProtection="1">
      <alignment horizontal="left"/>
      <protection locked="0"/>
    </xf>
    <xf numFmtId="194" fontId="106" fillId="0" borderId="0" xfId="0" applyNumberFormat="1" applyFont="1" applyAlignment="1">
      <alignment vertical="center" wrapText="1"/>
    </xf>
    <xf numFmtId="194" fontId="155" fillId="0" borderId="0" xfId="0" applyNumberFormat="1" applyFont="1" applyAlignment="1">
      <alignment vertical="center" wrapText="1"/>
    </xf>
    <xf numFmtId="4" fontId="106" fillId="10" borderId="0" xfId="0" applyNumberFormat="1" applyFont="1" applyFill="1"/>
    <xf numFmtId="170" fontId="246" fillId="0" borderId="0" xfId="116" applyFont="1"/>
    <xf numFmtId="170" fontId="106" fillId="10" borderId="0" xfId="116" applyFont="1" applyFill="1"/>
    <xf numFmtId="170" fontId="106" fillId="10" borderId="0" xfId="0" applyNumberFormat="1" applyFont="1" applyFill="1"/>
    <xf numFmtId="170" fontId="183" fillId="10" borderId="0" xfId="116" applyFont="1" applyFill="1"/>
    <xf numFmtId="170" fontId="8" fillId="0" borderId="0" xfId="4432" applyFont="1" applyFill="1" applyAlignment="1">
      <alignment horizontal="left" vertical="center"/>
    </xf>
    <xf numFmtId="176" fontId="8" fillId="17" borderId="2" xfId="117" applyNumberFormat="1" applyFont="1" applyFill="1" applyBorder="1" applyAlignment="1">
      <alignment horizontal="center" vertical="center" wrapText="1"/>
    </xf>
    <xf numFmtId="0" fontId="117" fillId="17" borderId="2" xfId="0" applyFont="1" applyFill="1" applyBorder="1" applyAlignment="1">
      <alignment horizontal="center" vertical="center"/>
    </xf>
    <xf numFmtId="170" fontId="8" fillId="17" borderId="2" xfId="117" applyFont="1" applyFill="1" applyBorder="1" applyAlignment="1">
      <alignment horizontal="right" vertical="center" wrapText="1"/>
    </xf>
    <xf numFmtId="176" fontId="4" fillId="17" borderId="2" xfId="117" applyNumberFormat="1" applyFont="1" applyFill="1" applyBorder="1" applyAlignment="1">
      <alignment horizontal="center" vertical="center" wrapText="1"/>
    </xf>
    <xf numFmtId="170" fontId="4" fillId="17" borderId="2" xfId="117" applyFont="1" applyFill="1" applyBorder="1" applyAlignment="1">
      <alignment horizontal="right" vertical="center" wrapText="1"/>
    </xf>
    <xf numFmtId="170" fontId="117" fillId="17" borderId="2" xfId="0" applyNumberFormat="1" applyFont="1" applyFill="1" applyBorder="1" applyAlignment="1">
      <alignment horizontal="right" vertical="center"/>
    </xf>
    <xf numFmtId="170" fontId="117" fillId="17" borderId="2" xfId="116" applyFont="1" applyFill="1" applyBorder="1" applyAlignment="1">
      <alignment horizontal="right" vertical="center"/>
    </xf>
    <xf numFmtId="170" fontId="110" fillId="17" borderId="2" xfId="0" applyNumberFormat="1" applyFont="1" applyFill="1" applyBorder="1" applyAlignment="1">
      <alignment horizontal="right" vertical="center"/>
    </xf>
    <xf numFmtId="170" fontId="193" fillId="17" borderId="2" xfId="0" applyNumberFormat="1" applyFont="1" applyFill="1" applyBorder="1" applyAlignment="1">
      <alignment horizontal="right" vertical="center"/>
    </xf>
    <xf numFmtId="170" fontId="159" fillId="17" borderId="2" xfId="117" applyFont="1" applyFill="1" applyBorder="1" applyAlignment="1">
      <alignment horizontal="right" vertical="center" wrapText="1"/>
    </xf>
    <xf numFmtId="0" fontId="0" fillId="17" borderId="2" xfId="0" applyFill="1" applyBorder="1"/>
    <xf numFmtId="170" fontId="4" fillId="17" borderId="2" xfId="0" applyNumberFormat="1" applyFont="1" applyFill="1" applyBorder="1" applyAlignment="1">
      <alignment horizontal="right" vertical="center"/>
    </xf>
    <xf numFmtId="170" fontId="106" fillId="6" borderId="2" xfId="2510" applyFont="1" applyFill="1" applyBorder="1" applyAlignment="1"/>
    <xf numFmtId="170" fontId="178" fillId="0" borderId="0" xfId="116" applyFont="1" applyFill="1" applyAlignment="1" applyProtection="1">
      <alignment horizontal="center" vertical="center"/>
      <protection locked="0"/>
    </xf>
    <xf numFmtId="170" fontId="178" fillId="0" borderId="0" xfId="116" applyFont="1" applyFill="1" applyAlignment="1">
      <alignment horizontal="center" vertical="center"/>
    </xf>
    <xf numFmtId="178" fontId="155" fillId="0" borderId="0" xfId="2510" applyNumberFormat="1" applyFont="1" applyAlignment="1">
      <alignment horizontal="center"/>
    </xf>
    <xf numFmtId="0" fontId="155" fillId="0" borderId="0" xfId="0" applyFont="1" applyAlignment="1">
      <alignment horizontal="center"/>
    </xf>
    <xf numFmtId="175" fontId="122" fillId="0" borderId="0" xfId="4432" applyNumberFormat="1" applyFont="1" applyFill="1" applyAlignment="1">
      <alignment horizontal="left" vertical="center"/>
    </xf>
    <xf numFmtId="170" fontId="122" fillId="0" borderId="0" xfId="4432" applyFont="1" applyFill="1" applyAlignment="1">
      <alignment horizontal="center" vertical="center"/>
    </xf>
    <xf numFmtId="170" fontId="122" fillId="0" borderId="0" xfId="4432" applyFont="1" applyFill="1" applyAlignment="1">
      <alignment horizontal="center" vertical="center" wrapText="1"/>
    </xf>
    <xf numFmtId="170" fontId="153" fillId="0" borderId="0" xfId="4432" applyFont="1" applyFill="1" applyAlignment="1">
      <alignment horizontal="center" vertical="center"/>
    </xf>
    <xf numFmtId="170" fontId="122" fillId="0" borderId="0" xfId="4432" applyFont="1" applyFill="1" applyBorder="1" applyAlignment="1">
      <alignment horizontal="center" vertical="center" wrapText="1"/>
    </xf>
    <xf numFmtId="175" fontId="88" fillId="0" borderId="0" xfId="4432" applyNumberFormat="1" applyFont="1" applyFill="1" applyAlignment="1" applyProtection="1">
      <alignment horizontal="left" vertical="center"/>
      <protection locked="0"/>
    </xf>
    <xf numFmtId="170" fontId="122" fillId="0" borderId="0" xfId="4432" applyFont="1" applyFill="1" applyAlignment="1" applyProtection="1">
      <alignment horizontal="center" vertical="center"/>
      <protection locked="0"/>
    </xf>
    <xf numFmtId="170" fontId="122" fillId="0" borderId="0" xfId="4432" applyFont="1" applyFill="1" applyAlignment="1" applyProtection="1">
      <alignment horizontal="center" vertical="center" wrapText="1"/>
      <protection locked="0"/>
    </xf>
    <xf numFmtId="170" fontId="153" fillId="0" borderId="0" xfId="4432" applyFont="1" applyFill="1" applyAlignment="1" applyProtection="1">
      <alignment horizontal="center" vertical="center"/>
      <protection locked="0"/>
    </xf>
    <xf numFmtId="175" fontId="88" fillId="0" borderId="0" xfId="4432" applyNumberFormat="1" applyFont="1" applyFill="1" applyAlignment="1">
      <alignment horizontal="left" vertical="center"/>
    </xf>
    <xf numFmtId="180" fontId="153" fillId="0" borderId="0" xfId="4432" applyNumberFormat="1" applyFont="1" applyFill="1" applyAlignment="1">
      <alignment horizontal="center" vertical="center"/>
    </xf>
    <xf numFmtId="175" fontId="50" fillId="0" borderId="0" xfId="4432" applyNumberFormat="1" applyFont="1" applyFill="1" applyBorder="1" applyAlignment="1" applyProtection="1">
      <alignment horizontal="left" vertical="center"/>
      <protection locked="0"/>
    </xf>
    <xf numFmtId="175" fontId="10" fillId="0" borderId="0" xfId="4432" applyNumberFormat="1" applyFont="1" applyFill="1" applyBorder="1" applyAlignment="1">
      <alignment horizontal="left" vertical="center"/>
    </xf>
    <xf numFmtId="170" fontId="77" fillId="0" borderId="0" xfId="4432" applyFont="1" applyFill="1" applyAlignment="1">
      <alignment horizontal="center" vertical="center"/>
    </xf>
    <xf numFmtId="170" fontId="50" fillId="0" borderId="2" xfId="4432" applyFont="1" applyFill="1" applyBorder="1" applyAlignment="1">
      <alignment horizontal="center" vertical="center" wrapText="1"/>
    </xf>
    <xf numFmtId="170" fontId="50" fillId="0" borderId="7" xfId="4432" applyFont="1" applyFill="1" applyBorder="1" applyAlignment="1">
      <alignment horizontal="center" vertical="center" wrapText="1"/>
    </xf>
    <xf numFmtId="170" fontId="77" fillId="0" borderId="0" xfId="4432" applyFont="1" applyFill="1" applyAlignment="1">
      <alignment horizontal="center" vertical="center" wrapText="1"/>
    </xf>
    <xf numFmtId="175" fontId="81" fillId="0" borderId="2" xfId="4432" applyNumberFormat="1" applyFont="1" applyFill="1" applyBorder="1" applyAlignment="1">
      <alignment horizontal="center" vertical="center"/>
    </xf>
    <xf numFmtId="170" fontId="50" fillId="0" borderId="2" xfId="4432" applyFont="1" applyFill="1" applyBorder="1" applyAlignment="1">
      <alignment horizontal="center" vertical="center"/>
    </xf>
    <xf numFmtId="170" fontId="81" fillId="0" borderId="2" xfId="4432" applyFont="1" applyFill="1" applyBorder="1" applyAlignment="1">
      <alignment horizontal="center" vertical="center" wrapText="1"/>
    </xf>
    <xf numFmtId="170" fontId="81" fillId="0" borderId="2" xfId="4432" applyFont="1" applyFill="1" applyBorder="1" applyAlignment="1">
      <alignment horizontal="center" vertical="center"/>
    </xf>
    <xf numFmtId="170" fontId="87" fillId="0" borderId="2" xfId="4432" applyFont="1" applyFill="1" applyBorder="1" applyAlignment="1">
      <alignment horizontal="center" vertical="center"/>
    </xf>
    <xf numFmtId="170" fontId="77" fillId="0" borderId="2" xfId="4432" applyFont="1" applyFill="1" applyBorder="1" applyAlignment="1">
      <alignment horizontal="center" vertical="center"/>
    </xf>
    <xf numFmtId="170" fontId="77" fillId="0" borderId="4" xfId="4432" applyFont="1" applyFill="1" applyBorder="1" applyAlignment="1">
      <alignment horizontal="center" vertical="center"/>
    </xf>
    <xf numFmtId="175" fontId="122" fillId="0" borderId="0" xfId="4432" applyNumberFormat="1" applyFont="1" applyFill="1" applyAlignment="1">
      <alignment horizontal="center" vertical="center"/>
    </xf>
    <xf numFmtId="170" fontId="8" fillId="0" borderId="0" xfId="4432" applyFont="1" applyFill="1" applyAlignment="1">
      <alignment horizontal="center" vertical="center"/>
    </xf>
    <xf numFmtId="170" fontId="8" fillId="0" borderId="0" xfId="4432" applyFont="1" applyFill="1" applyAlignment="1" applyProtection="1">
      <alignment horizontal="center" vertical="center"/>
      <protection locked="0"/>
    </xf>
    <xf numFmtId="170" fontId="4" fillId="0" borderId="0" xfId="4432" applyFont="1" applyFill="1" applyAlignment="1">
      <alignment horizontal="center" vertical="center"/>
    </xf>
    <xf numFmtId="170" fontId="236" fillId="0" borderId="0" xfId="4432" applyFont="1" applyFill="1" applyAlignment="1" applyProtection="1">
      <alignment horizontal="center" vertical="center"/>
      <protection locked="0"/>
    </xf>
    <xf numFmtId="170" fontId="96" fillId="0" borderId="2" xfId="122" applyFont="1" applyFill="1" applyBorder="1" applyAlignment="1">
      <alignment horizontal="center" vertical="center" wrapText="1"/>
    </xf>
    <xf numFmtId="178" fontId="178" fillId="6" borderId="2" xfId="122" applyNumberFormat="1" applyFont="1" applyFill="1" applyBorder="1" applyAlignment="1">
      <alignment horizontal="center" vertical="center"/>
    </xf>
    <xf numFmtId="170" fontId="106" fillId="0" borderId="4" xfId="2510" applyFont="1" applyBorder="1" applyAlignment="1"/>
    <xf numFmtId="175" fontId="106" fillId="0" borderId="25" xfId="0" applyNumberFormat="1" applyFont="1" applyBorder="1"/>
    <xf numFmtId="176" fontId="106" fillId="0" borderId="4" xfId="0" applyNumberFormat="1" applyFont="1" applyBorder="1"/>
    <xf numFmtId="0" fontId="35" fillId="0" borderId="4" xfId="0" applyFont="1" applyBorder="1"/>
    <xf numFmtId="170" fontId="106" fillId="0" borderId="7" xfId="2510" applyFont="1" applyBorder="1"/>
    <xf numFmtId="0" fontId="106" fillId="0" borderId="7" xfId="0" applyFont="1" applyBorder="1"/>
    <xf numFmtId="176" fontId="106" fillId="0" borderId="7" xfId="2510" applyNumberFormat="1" applyFont="1" applyBorder="1"/>
    <xf numFmtId="175" fontId="106" fillId="0" borderId="2" xfId="0" applyNumberFormat="1" applyFont="1" applyBorder="1"/>
    <xf numFmtId="9" fontId="106" fillId="20" borderId="2" xfId="2499" applyFont="1" applyFill="1" applyBorder="1"/>
    <xf numFmtId="170" fontId="106" fillId="20" borderId="2" xfId="2510" applyFont="1" applyFill="1" applyBorder="1"/>
    <xf numFmtId="43" fontId="106" fillId="20" borderId="2" xfId="0" applyNumberFormat="1" applyFont="1" applyFill="1" applyBorder="1"/>
    <xf numFmtId="4" fontId="106" fillId="10" borderId="2" xfId="0" applyNumberFormat="1" applyFont="1" applyFill="1" applyBorder="1"/>
    <xf numFmtId="43" fontId="106" fillId="0" borderId="2" xfId="0" applyNumberFormat="1" applyFont="1" applyBorder="1"/>
    <xf numFmtId="4" fontId="106" fillId="20" borderId="2" xfId="0" applyNumberFormat="1" applyFont="1" applyFill="1" applyBorder="1"/>
    <xf numFmtId="176" fontId="178" fillId="19" borderId="2" xfId="117" applyNumberFormat="1" applyFont="1" applyFill="1" applyBorder="1" applyAlignment="1">
      <alignment horizontal="center" vertical="center" wrapText="1"/>
    </xf>
    <xf numFmtId="4" fontId="117" fillId="51" borderId="2" xfId="0" applyNumberFormat="1" applyFont="1" applyFill="1" applyBorder="1" applyAlignment="1">
      <alignment horizontal="center" vertical="center"/>
    </xf>
    <xf numFmtId="4" fontId="117" fillId="19" borderId="2" xfId="0" applyNumberFormat="1" applyFont="1" applyFill="1" applyBorder="1" applyAlignment="1">
      <alignment horizontal="center" vertical="center"/>
    </xf>
    <xf numFmtId="0" fontId="139" fillId="0" borderId="0" xfId="0" applyFont="1" applyAlignment="1">
      <alignment horizontal="left"/>
    </xf>
    <xf numFmtId="43" fontId="117" fillId="51" borderId="2" xfId="0" applyNumberFormat="1" applyFont="1" applyFill="1" applyBorder="1" applyAlignment="1">
      <alignment horizontal="center" vertical="center"/>
    </xf>
    <xf numFmtId="43" fontId="117" fillId="17" borderId="2" xfId="0" applyNumberFormat="1" applyFont="1" applyFill="1" applyBorder="1" applyAlignment="1">
      <alignment horizontal="center" vertical="center"/>
    </xf>
    <xf numFmtId="43" fontId="117" fillId="19" borderId="2" xfId="0" applyNumberFormat="1" applyFont="1" applyFill="1" applyBorder="1" applyAlignment="1">
      <alignment horizontal="center" vertical="center"/>
    </xf>
    <xf numFmtId="170" fontId="34" fillId="0" borderId="2" xfId="116" applyFont="1" applyFill="1" applyBorder="1" applyAlignment="1">
      <alignment vertical="center"/>
    </xf>
    <xf numFmtId="170" fontId="34" fillId="0" borderId="2" xfId="94" applyNumberFormat="1" applyFont="1" applyBorder="1" applyAlignment="1">
      <alignment vertical="center"/>
    </xf>
    <xf numFmtId="4" fontId="34" fillId="0" borderId="2" xfId="94" applyNumberFormat="1" applyFont="1" applyBorder="1" applyAlignment="1">
      <alignment vertical="center"/>
    </xf>
    <xf numFmtId="0" fontId="3" fillId="10" borderId="0" xfId="62" applyFont="1" applyFill="1"/>
    <xf numFmtId="0" fontId="8" fillId="10" borderId="0" xfId="111" applyFont="1" applyFill="1" applyAlignment="1">
      <alignment horizontal="left" vertical="center" wrapText="1"/>
    </xf>
    <xf numFmtId="0" fontId="7" fillId="10" borderId="0" xfId="0" applyFont="1" applyFill="1" applyAlignment="1">
      <alignment vertical="center"/>
    </xf>
    <xf numFmtId="0" fontId="28" fillId="10" borderId="0" xfId="62" applyFont="1" applyFill="1"/>
    <xf numFmtId="0" fontId="27" fillId="10" borderId="0" xfId="62" applyFont="1" applyFill="1"/>
    <xf numFmtId="0" fontId="3" fillId="10" borderId="0" xfId="0" applyFont="1" applyFill="1" applyAlignment="1">
      <alignment vertical="center"/>
    </xf>
    <xf numFmtId="0" fontId="8" fillId="10" borderId="0" xfId="111" applyFont="1" applyFill="1" applyAlignment="1">
      <alignment horizontal="center" vertical="center" wrapText="1"/>
    </xf>
    <xf numFmtId="0" fontId="4" fillId="10" borderId="0" xfId="111" applyFont="1" applyFill="1" applyAlignment="1">
      <alignment horizontal="center" vertical="center" wrapText="1"/>
    </xf>
    <xf numFmtId="0" fontId="3" fillId="10" borderId="0" xfId="62" applyFont="1" applyFill="1" applyAlignment="1">
      <alignment horizontal="center"/>
    </xf>
    <xf numFmtId="0" fontId="8" fillId="10" borderId="2" xfId="111" applyFont="1" applyFill="1" applyBorder="1" applyAlignment="1">
      <alignment horizontal="center" vertical="center" wrapText="1"/>
    </xf>
    <xf numFmtId="0" fontId="4" fillId="10" borderId="2" xfId="111" applyFont="1" applyFill="1" applyBorder="1" applyAlignment="1">
      <alignment horizontal="center" vertical="center" wrapText="1"/>
    </xf>
    <xf numFmtId="0" fontId="4" fillId="10" borderId="2" xfId="111" applyFont="1" applyFill="1" applyBorder="1" applyAlignment="1" applyProtection="1">
      <alignment vertical="center" wrapText="1"/>
      <protection locked="0"/>
    </xf>
    <xf numFmtId="0" fontId="4" fillId="10" borderId="7" xfId="111" applyFont="1" applyFill="1" applyBorder="1" applyAlignment="1" applyProtection="1">
      <alignment horizontal="center" vertical="center" wrapText="1"/>
      <protection locked="0"/>
    </xf>
    <xf numFmtId="180" fontId="4" fillId="10" borderId="2" xfId="116" applyNumberFormat="1" applyFont="1" applyFill="1" applyBorder="1" applyAlignment="1" applyProtection="1">
      <alignment vertical="center" wrapText="1"/>
      <protection locked="0"/>
    </xf>
    <xf numFmtId="0" fontId="3" fillId="10" borderId="2" xfId="62" applyFont="1" applyFill="1" applyBorder="1" applyAlignment="1" applyProtection="1">
      <alignment horizontal="center" vertical="center"/>
      <protection locked="0"/>
    </xf>
    <xf numFmtId="0" fontId="4" fillId="10" borderId="2" xfId="111" applyFont="1" applyFill="1" applyBorder="1" applyAlignment="1" applyProtection="1">
      <alignment horizontal="center" vertical="center" wrapText="1"/>
      <protection locked="0"/>
    </xf>
    <xf numFmtId="0" fontId="4" fillId="10" borderId="0" xfId="111" applyFont="1" applyFill="1" applyAlignment="1">
      <alignment horizontal="left" vertical="center" wrapText="1"/>
    </xf>
    <xf numFmtId="0" fontId="4" fillId="10" borderId="0" xfId="111" applyFont="1" applyFill="1" applyAlignment="1">
      <alignment horizontal="left" vertical="top" wrapText="1"/>
    </xf>
    <xf numFmtId="0" fontId="3" fillId="10" borderId="0" xfId="62" applyFont="1" applyFill="1" applyAlignment="1">
      <alignment vertical="top" wrapText="1"/>
    </xf>
    <xf numFmtId="0" fontId="49" fillId="10" borderId="0" xfId="111" applyFont="1" applyFill="1" applyAlignment="1">
      <alignment horizontal="left" vertical="top"/>
    </xf>
    <xf numFmtId="0" fontId="3" fillId="10" borderId="0" xfId="62" applyFont="1" applyFill="1" applyAlignment="1">
      <alignment vertical="top"/>
    </xf>
    <xf numFmtId="0" fontId="33" fillId="10" borderId="0" xfId="111" applyFont="1" applyFill="1" applyAlignment="1">
      <alignment horizontal="left" vertical="top"/>
    </xf>
    <xf numFmtId="0" fontId="4" fillId="10" borderId="0" xfId="62" applyFont="1" applyFill="1" applyAlignment="1">
      <alignment vertical="top" wrapText="1"/>
    </xf>
    <xf numFmtId="0" fontId="33" fillId="10" borderId="0" xfId="111" applyFont="1" applyFill="1" applyAlignment="1">
      <alignment vertical="top" wrapText="1"/>
    </xf>
    <xf numFmtId="2" fontId="8" fillId="10" borderId="0" xfId="111" applyNumberFormat="1" applyFont="1" applyFill="1" applyAlignment="1">
      <alignment horizontal="left" vertical="top" wrapText="1"/>
    </xf>
    <xf numFmtId="0" fontId="49" fillId="10" borderId="0" xfId="111" applyFont="1" applyFill="1" applyAlignment="1">
      <alignment vertical="top"/>
    </xf>
    <xf numFmtId="0" fontId="4" fillId="10" borderId="0" xfId="62" applyFont="1" applyFill="1" applyAlignment="1">
      <alignment vertical="top"/>
    </xf>
    <xf numFmtId="0" fontId="8" fillId="10" borderId="0" xfId="111" applyFont="1" applyFill="1" applyAlignment="1">
      <alignment horizontal="left" vertical="top" wrapText="1"/>
    </xf>
    <xf numFmtId="0" fontId="33" fillId="10" borderId="0" xfId="111" applyFont="1" applyFill="1" applyAlignment="1">
      <alignment vertical="center" wrapText="1"/>
    </xf>
    <xf numFmtId="0" fontId="8" fillId="10" borderId="6" xfId="111" applyFont="1" applyFill="1" applyBorder="1" applyAlignment="1">
      <alignment horizontal="center" vertical="center" wrapText="1"/>
    </xf>
    <xf numFmtId="0" fontId="8" fillId="10" borderId="4" xfId="111" applyFont="1" applyFill="1" applyBorder="1" applyAlignment="1">
      <alignment horizontal="center" vertical="center" wrapText="1"/>
    </xf>
    <xf numFmtId="0" fontId="7" fillId="10" borderId="2" xfId="62" applyFont="1" applyFill="1" applyBorder="1" applyAlignment="1">
      <alignment horizontal="center" vertical="center"/>
    </xf>
    <xf numFmtId="0" fontId="7" fillId="10" borderId="0" xfId="62" applyFont="1" applyFill="1"/>
    <xf numFmtId="0" fontId="4" fillId="10" borderId="2" xfId="111" applyFont="1" applyFill="1" applyBorder="1" applyAlignment="1">
      <alignment vertical="center" wrapText="1"/>
    </xf>
    <xf numFmtId="4" fontId="4" fillId="10" borderId="2" xfId="131" applyNumberFormat="1" applyFont="1" applyFill="1" applyBorder="1" applyAlignment="1" applyProtection="1">
      <alignment horizontal="center" vertical="center" wrapText="1"/>
      <protection locked="0"/>
    </xf>
    <xf numFmtId="4" fontId="4" fillId="10" borderId="2" xfId="131" applyNumberFormat="1" applyFont="1" applyFill="1" applyBorder="1" applyAlignment="1">
      <alignment horizontal="center" vertical="center" wrapText="1"/>
    </xf>
    <xf numFmtId="3" fontId="3" fillId="10" borderId="2" xfId="131" applyNumberFormat="1" applyFont="1" applyFill="1" applyBorder="1" applyAlignment="1" applyProtection="1">
      <alignment horizontal="center" vertical="center" wrapText="1"/>
      <protection locked="0"/>
    </xf>
    <xf numFmtId="4" fontId="3" fillId="10" borderId="2" xfId="62" applyNumberFormat="1" applyFont="1" applyFill="1" applyBorder="1" applyProtection="1">
      <protection locked="0"/>
    </xf>
    <xf numFmtId="0" fontId="8" fillId="10" borderId="2" xfId="111" applyFont="1" applyFill="1" applyBorder="1" applyAlignment="1">
      <alignment vertical="center" wrapText="1"/>
    </xf>
    <xf numFmtId="4" fontId="8" fillId="10" borderId="2" xfId="131" applyNumberFormat="1" applyFont="1" applyFill="1" applyBorder="1" applyAlignment="1">
      <alignment horizontal="center" vertical="center" wrapText="1"/>
    </xf>
    <xf numFmtId="0" fontId="8" fillId="10" borderId="2" xfId="111" applyFont="1" applyFill="1" applyBorder="1" applyAlignment="1" applyProtection="1">
      <alignment vertical="center" wrapText="1"/>
      <protection locked="0"/>
    </xf>
    <xf numFmtId="0" fontId="8" fillId="10" borderId="2" xfId="111" applyFont="1" applyFill="1" applyBorder="1" applyAlignment="1" applyProtection="1">
      <alignment horizontal="center" vertical="center" wrapText="1"/>
      <protection locked="0"/>
    </xf>
    <xf numFmtId="4" fontId="8" fillId="10" borderId="2" xfId="131" applyNumberFormat="1" applyFont="1" applyFill="1" applyBorder="1" applyAlignment="1" applyProtection="1">
      <alignment vertical="center" wrapText="1"/>
      <protection locked="0"/>
    </xf>
    <xf numFmtId="4" fontId="8" fillId="10" borderId="2" xfId="111" applyNumberFormat="1" applyFont="1" applyFill="1" applyBorder="1" applyAlignment="1">
      <alignment horizontal="center" vertical="center" wrapText="1"/>
    </xf>
    <xf numFmtId="0" fontId="4" fillId="10" borderId="0" xfId="111" applyFont="1" applyFill="1" applyAlignment="1">
      <alignment vertical="center" wrapText="1"/>
    </xf>
    <xf numFmtId="0" fontId="8" fillId="10" borderId="0" xfId="111" applyFont="1" applyFill="1" applyAlignment="1">
      <alignment vertical="center" wrapText="1"/>
    </xf>
    <xf numFmtId="4" fontId="8" fillId="10" borderId="0" xfId="131" applyNumberFormat="1" applyFont="1" applyFill="1" applyBorder="1" applyAlignment="1">
      <alignment vertical="center" wrapText="1"/>
    </xf>
    <xf numFmtId="176" fontId="49" fillId="10" borderId="0" xfId="116" applyNumberFormat="1" applyFont="1" applyFill="1" applyAlignment="1">
      <alignment vertical="center"/>
    </xf>
    <xf numFmtId="176" fontId="8" fillId="10" borderId="0" xfId="116" applyNumberFormat="1" applyFont="1" applyFill="1" applyAlignment="1">
      <alignment horizontal="center" vertical="center" wrapText="1"/>
    </xf>
    <xf numFmtId="172" fontId="8" fillId="10" borderId="0" xfId="131" applyNumberFormat="1" applyFont="1" applyFill="1" applyBorder="1" applyAlignment="1">
      <alignment vertical="center" wrapText="1"/>
    </xf>
    <xf numFmtId="170" fontId="8" fillId="10" borderId="0" xfId="116" applyFont="1" applyFill="1" applyAlignment="1">
      <alignment horizontal="center" vertical="center" wrapText="1"/>
    </xf>
    <xf numFmtId="176" fontId="7" fillId="10" borderId="2" xfId="116" applyNumberFormat="1" applyFont="1" applyFill="1" applyBorder="1" applyAlignment="1">
      <alignment horizontal="center" vertical="center" wrapText="1"/>
    </xf>
    <xf numFmtId="176" fontId="3" fillId="10" borderId="2" xfId="116" applyNumberFormat="1" applyFont="1" applyFill="1" applyBorder="1" applyAlignment="1">
      <alignment horizontal="center" vertical="center" wrapText="1"/>
    </xf>
    <xf numFmtId="176" fontId="3" fillId="10" borderId="4" xfId="116" applyNumberFormat="1" applyFont="1" applyFill="1" applyBorder="1" applyAlignment="1">
      <alignment horizontal="center" vertical="center"/>
    </xf>
    <xf numFmtId="0" fontId="3" fillId="10" borderId="2" xfId="62" applyFont="1" applyFill="1" applyBorder="1" applyAlignment="1">
      <alignment horizontal="center" vertical="center"/>
    </xf>
    <xf numFmtId="180" fontId="4" fillId="10" borderId="4" xfId="116" applyNumberFormat="1" applyFont="1" applyFill="1" applyBorder="1" applyAlignment="1" applyProtection="1">
      <alignment horizontal="center" vertical="center" wrapText="1"/>
      <protection locked="0"/>
    </xf>
    <xf numFmtId="176" fontId="8" fillId="10" borderId="2" xfId="116" applyNumberFormat="1" applyFont="1" applyFill="1" applyBorder="1" applyAlignment="1" applyProtection="1">
      <alignment horizontal="center" vertical="center" wrapText="1"/>
      <protection locked="0"/>
    </xf>
    <xf numFmtId="170" fontId="159" fillId="10" borderId="2" xfId="116" applyFont="1" applyFill="1" applyBorder="1" applyAlignment="1" applyProtection="1">
      <alignment horizontal="center" vertical="center" wrapText="1"/>
      <protection locked="0"/>
    </xf>
    <xf numFmtId="170" fontId="4" fillId="10" borderId="4" xfId="116" applyFont="1" applyFill="1" applyBorder="1" applyAlignment="1" applyProtection="1">
      <alignment horizontal="center" vertical="center" wrapText="1"/>
      <protection locked="0"/>
    </xf>
    <xf numFmtId="178" fontId="7" fillId="10" borderId="2" xfId="116" applyNumberFormat="1" applyFont="1" applyFill="1" applyBorder="1" applyAlignment="1">
      <alignment horizontal="center" vertical="center"/>
    </xf>
    <xf numFmtId="178" fontId="8" fillId="10" borderId="4" xfId="116" applyNumberFormat="1" applyFont="1" applyFill="1" applyBorder="1" applyAlignment="1" applyProtection="1">
      <alignment horizontal="center" vertical="center" wrapText="1"/>
      <protection locked="0"/>
    </xf>
    <xf numFmtId="170" fontId="7" fillId="10" borderId="2" xfId="116" applyFont="1" applyFill="1" applyBorder="1" applyAlignment="1">
      <alignment horizontal="center" vertical="center"/>
    </xf>
    <xf numFmtId="176" fontId="8" fillId="10" borderId="2" xfId="116" applyNumberFormat="1" applyFont="1" applyFill="1" applyBorder="1" applyAlignment="1">
      <alignment horizontal="center" vertical="center" wrapText="1"/>
    </xf>
    <xf numFmtId="176" fontId="4" fillId="10" borderId="4" xfId="116" applyNumberFormat="1" applyFont="1" applyFill="1" applyBorder="1" applyAlignment="1" applyProtection="1">
      <alignment horizontal="center" vertical="center" wrapText="1"/>
      <protection locked="0"/>
    </xf>
    <xf numFmtId="170" fontId="8" fillId="10" borderId="2" xfId="116" applyFont="1" applyFill="1" applyBorder="1" applyAlignment="1" applyProtection="1">
      <alignment horizontal="center" vertical="center" wrapText="1"/>
      <protection locked="0"/>
    </xf>
    <xf numFmtId="182" fontId="8" fillId="10" borderId="2" xfId="116" applyNumberFormat="1" applyFont="1" applyFill="1" applyBorder="1" applyAlignment="1">
      <alignment horizontal="center" vertical="center" wrapText="1"/>
    </xf>
    <xf numFmtId="178" fontId="3" fillId="10" borderId="2" xfId="116" applyNumberFormat="1" applyFont="1" applyFill="1" applyBorder="1" applyAlignment="1">
      <alignment horizontal="center" vertical="center"/>
    </xf>
    <xf numFmtId="170" fontId="174" fillId="10" borderId="2" xfId="116" applyFont="1" applyFill="1" applyBorder="1" applyAlignment="1">
      <alignment horizontal="center" vertical="center"/>
    </xf>
    <xf numFmtId="1" fontId="3" fillId="10" borderId="2" xfId="62" applyNumberFormat="1" applyFont="1" applyFill="1" applyBorder="1" applyAlignment="1" applyProtection="1">
      <alignment horizontal="center" vertical="center"/>
      <protection locked="0"/>
    </xf>
    <xf numFmtId="181" fontId="3" fillId="10" borderId="2" xfId="116" applyNumberFormat="1" applyFont="1" applyFill="1" applyBorder="1" applyAlignment="1">
      <alignment horizontal="center" vertical="center"/>
    </xf>
    <xf numFmtId="181" fontId="8" fillId="10" borderId="2" xfId="116" applyNumberFormat="1" applyFont="1" applyFill="1" applyBorder="1" applyAlignment="1">
      <alignment horizontal="center" vertical="center" wrapText="1"/>
    </xf>
    <xf numFmtId="170" fontId="3" fillId="10" borderId="2" xfId="116" applyFont="1" applyFill="1" applyBorder="1" applyAlignment="1">
      <alignment horizontal="center" vertical="center"/>
    </xf>
    <xf numFmtId="0" fontId="89" fillId="10" borderId="2" xfId="62" applyFont="1" applyFill="1" applyBorder="1"/>
    <xf numFmtId="4" fontId="7" fillId="10" borderId="2" xfId="62" applyNumberFormat="1" applyFont="1" applyFill="1" applyBorder="1" applyAlignment="1">
      <alignment horizontal="center"/>
    </xf>
    <xf numFmtId="170" fontId="3" fillId="10" borderId="0" xfId="62" applyNumberFormat="1" applyFont="1" applyFill="1" applyAlignment="1">
      <alignment horizontal="center" vertical="center"/>
    </xf>
    <xf numFmtId="170" fontId="91" fillId="10" borderId="0" xfId="62" applyNumberFormat="1" applyFont="1" applyFill="1"/>
    <xf numFmtId="176" fontId="8" fillId="10" borderId="0" xfId="122" applyNumberFormat="1" applyFont="1" applyFill="1" applyAlignment="1">
      <alignment horizontal="left" vertical="center"/>
    </xf>
    <xf numFmtId="0" fontId="110" fillId="10" borderId="0" xfId="0" applyFont="1" applyFill="1"/>
    <xf numFmtId="0" fontId="110" fillId="10" borderId="0" xfId="0" applyFont="1" applyFill="1" applyProtection="1">
      <protection locked="0"/>
    </xf>
    <xf numFmtId="175" fontId="122" fillId="10" borderId="0" xfId="116" applyNumberFormat="1" applyFont="1" applyFill="1" applyAlignment="1">
      <alignment horizontal="left" vertical="center"/>
    </xf>
    <xf numFmtId="170" fontId="8" fillId="10" borderId="0" xfId="116" applyFont="1" applyFill="1" applyAlignment="1">
      <alignment horizontal="left" vertical="center"/>
    </xf>
    <xf numFmtId="170" fontId="8" fillId="10" borderId="0" xfId="116" applyFont="1" applyFill="1" applyAlignment="1">
      <alignment horizontal="center" vertical="center"/>
    </xf>
    <xf numFmtId="170" fontId="8" fillId="10" borderId="0" xfId="116" applyFont="1" applyFill="1" applyAlignment="1" applyProtection="1">
      <alignment horizontal="center" vertical="center"/>
      <protection locked="0"/>
    </xf>
    <xf numFmtId="170" fontId="4" fillId="10" borderId="0" xfId="116" applyFont="1" applyFill="1" applyAlignment="1">
      <alignment horizontal="center" vertical="center"/>
    </xf>
    <xf numFmtId="170" fontId="151" fillId="10" borderId="0" xfId="116" applyFont="1" applyFill="1" applyAlignment="1">
      <alignment horizontal="center" vertical="center"/>
    </xf>
    <xf numFmtId="14" fontId="117" fillId="0" borderId="0" xfId="0" applyNumberFormat="1" applyFont="1" applyAlignment="1">
      <alignment vertical="top" wrapText="1"/>
    </xf>
    <xf numFmtId="176" fontId="247" fillId="0" borderId="0" xfId="2505" applyNumberFormat="1" applyFont="1" applyFill="1" applyAlignment="1" applyProtection="1">
      <alignment horizontal="left" vertical="center"/>
      <protection locked="0"/>
    </xf>
    <xf numFmtId="0" fontId="78" fillId="0" borderId="0" xfId="0" applyFont="1" applyAlignment="1" applyProtection="1">
      <alignment vertical="center"/>
      <protection locked="0"/>
    </xf>
    <xf numFmtId="0" fontId="78" fillId="0" borderId="0" xfId="0" applyFont="1" applyAlignment="1">
      <alignment horizontal="right" vertical="center"/>
    </xf>
    <xf numFmtId="14" fontId="116" fillId="0" borderId="0" xfId="0" applyNumberFormat="1" applyFont="1" applyAlignment="1">
      <alignment horizontal="right" vertical="top" wrapText="1"/>
    </xf>
    <xf numFmtId="0" fontId="4" fillId="0" borderId="0" xfId="0" applyFont="1" applyAlignment="1" applyProtection="1">
      <alignment horizontal="right" vertical="center"/>
      <protection locked="0"/>
    </xf>
    <xf numFmtId="0" fontId="247" fillId="0" borderId="0" xfId="0" applyFont="1" applyAlignment="1">
      <alignment horizontal="left" vertical="center"/>
    </xf>
    <xf numFmtId="0" fontId="78" fillId="0" borderId="0" xfId="0" applyFont="1" applyAlignment="1">
      <alignment vertical="center"/>
    </xf>
    <xf numFmtId="0" fontId="247" fillId="0" borderId="0" xfId="0" applyFont="1" applyAlignment="1" applyProtection="1">
      <alignment horizontal="left" vertical="center"/>
      <protection locked="0"/>
    </xf>
    <xf numFmtId="0" fontId="78" fillId="0" borderId="0" xfId="0" applyFont="1" applyAlignment="1">
      <alignment horizontal="left" vertical="center"/>
    </xf>
    <xf numFmtId="0" fontId="194" fillId="0" borderId="2" xfId="0" applyFont="1" applyBorder="1" applyAlignment="1">
      <alignment horizontal="center" vertical="center" wrapText="1"/>
    </xf>
    <xf numFmtId="0" fontId="194" fillId="0" borderId="2" xfId="0" applyFont="1" applyBorder="1" applyAlignment="1">
      <alignment horizontal="center" vertical="center"/>
    </xf>
    <xf numFmtId="0" fontId="116" fillId="6" borderId="2" xfId="0" applyFont="1" applyFill="1" applyBorder="1" applyAlignment="1">
      <alignment horizontal="center" vertical="center"/>
    </xf>
    <xf numFmtId="0" fontId="248" fillId="10" borderId="2" xfId="0" applyFont="1" applyFill="1" applyBorder="1" applyAlignment="1">
      <alignment horizontal="left" vertical="top"/>
    </xf>
    <xf numFmtId="0" fontId="116" fillId="10" borderId="2" xfId="0" applyFont="1" applyFill="1" applyBorder="1" applyAlignment="1">
      <alignment horizontal="center" vertical="center"/>
    </xf>
    <xf numFmtId="0" fontId="78" fillId="10" borderId="2" xfId="122" applyNumberFormat="1" applyFont="1" applyFill="1" applyBorder="1" applyAlignment="1">
      <alignment horizontal="center" vertical="center"/>
    </xf>
    <xf numFmtId="43" fontId="116" fillId="10" borderId="2" xfId="0" applyNumberFormat="1" applyFont="1" applyFill="1" applyBorder="1" applyAlignment="1">
      <alignment horizontal="center" vertical="center"/>
    </xf>
    <xf numFmtId="0" fontId="248" fillId="10" borderId="2" xfId="0" applyFont="1" applyFill="1" applyBorder="1" applyAlignment="1">
      <alignment horizontal="left" vertical="center" wrapText="1"/>
    </xf>
    <xf numFmtId="170" fontId="78" fillId="10" borderId="2" xfId="122" applyFont="1" applyFill="1" applyBorder="1" applyAlignment="1">
      <alignment horizontal="center" vertical="center" wrapText="1"/>
    </xf>
    <xf numFmtId="0" fontId="116" fillId="0" borderId="2" xfId="0" applyFont="1" applyBorder="1" applyAlignment="1">
      <alignment horizontal="left" vertical="center" wrapText="1"/>
    </xf>
    <xf numFmtId="0" fontId="116" fillId="0" borderId="2" xfId="0" applyFont="1" applyBorder="1" applyAlignment="1">
      <alignment horizontal="center" vertical="center"/>
    </xf>
    <xf numFmtId="0" fontId="78" fillId="0" borderId="2" xfId="122" applyNumberFormat="1" applyFont="1" applyFill="1" applyBorder="1" applyAlignment="1">
      <alignment horizontal="center" vertical="center"/>
    </xf>
    <xf numFmtId="43" fontId="116" fillId="0" borderId="2" xfId="0" applyNumberFormat="1" applyFont="1" applyBorder="1" applyAlignment="1">
      <alignment horizontal="center" vertical="center"/>
    </xf>
    <xf numFmtId="0" fontId="116" fillId="10" borderId="2" xfId="0" applyFont="1" applyFill="1" applyBorder="1" applyAlignment="1">
      <alignment horizontal="left" vertical="center" wrapText="1"/>
    </xf>
    <xf numFmtId="0" fontId="248" fillId="2" borderId="74" xfId="0" applyFont="1" applyFill="1" applyBorder="1" applyAlignment="1">
      <alignment horizontal="left" vertical="top"/>
    </xf>
    <xf numFmtId="0" fontId="78" fillId="6" borderId="2" xfId="122" applyNumberFormat="1" applyFont="1" applyFill="1" applyBorder="1" applyAlignment="1">
      <alignment horizontal="center" vertical="center"/>
    </xf>
    <xf numFmtId="0" fontId="116" fillId="0" borderId="2" xfId="0" applyFont="1" applyBorder="1" applyAlignment="1">
      <alignment horizontal="center"/>
    </xf>
    <xf numFmtId="0" fontId="116" fillId="6" borderId="2" xfId="0" applyFont="1" applyFill="1" applyBorder="1" applyAlignment="1">
      <alignment horizontal="left" vertical="center" wrapText="1"/>
    </xf>
    <xf numFmtId="0" fontId="248" fillId="2" borderId="2" xfId="0" applyFont="1" applyFill="1" applyBorder="1" applyAlignment="1">
      <alignment horizontal="left" vertical="top"/>
    </xf>
    <xf numFmtId="0" fontId="78" fillId="0" borderId="2" xfId="0" applyFont="1" applyBorder="1" applyAlignment="1">
      <alignment horizontal="center" vertical="center" wrapText="1"/>
    </xf>
    <xf numFmtId="0" fontId="78" fillId="6" borderId="2" xfId="0" applyFont="1" applyFill="1" applyBorder="1" applyAlignment="1">
      <alignment horizontal="left" vertical="center" wrapText="1"/>
    </xf>
    <xf numFmtId="0" fontId="116" fillId="10" borderId="2" xfId="0" applyFont="1" applyFill="1" applyBorder="1" applyAlignment="1">
      <alignment horizontal="center"/>
    </xf>
    <xf numFmtId="0" fontId="78" fillId="10" borderId="2" xfId="0" applyFont="1" applyFill="1" applyBorder="1" applyAlignment="1">
      <alignment horizontal="left" vertical="center" wrapText="1"/>
    </xf>
    <xf numFmtId="0" fontId="78" fillId="10" borderId="2" xfId="4433" applyNumberFormat="1" applyFont="1" applyFill="1" applyBorder="1" applyAlignment="1">
      <alignment horizontal="center" vertical="center" wrapText="1"/>
    </xf>
    <xf numFmtId="0" fontId="78" fillId="0" borderId="2" xfId="0" applyFont="1" applyBorder="1" applyAlignment="1">
      <alignment horizontal="left" vertical="center" wrapText="1"/>
    </xf>
    <xf numFmtId="0" fontId="78" fillId="6" borderId="2" xfId="0" applyFont="1" applyFill="1" applyBorder="1" applyAlignment="1">
      <alignment horizontal="center" vertical="center" wrapText="1"/>
    </xf>
    <xf numFmtId="0" fontId="78" fillId="0" borderId="2" xfId="4433" applyNumberFormat="1" applyFont="1" applyFill="1" applyBorder="1" applyAlignment="1">
      <alignment horizontal="center" vertical="center" wrapText="1"/>
    </xf>
    <xf numFmtId="0" fontId="116" fillId="6" borderId="0" xfId="0" applyFont="1" applyFill="1"/>
    <xf numFmtId="170" fontId="78" fillId="6" borderId="2" xfId="122" applyFont="1" applyFill="1" applyBorder="1" applyAlignment="1">
      <alignment horizontal="center" vertical="center" wrapText="1"/>
    </xf>
    <xf numFmtId="0" fontId="78" fillId="10" borderId="2" xfId="0" applyFont="1" applyFill="1" applyBorder="1" applyAlignment="1" applyProtection="1">
      <alignment horizontal="left" vertical="center" wrapText="1"/>
      <protection locked="0"/>
    </xf>
    <xf numFmtId="0" fontId="116" fillId="0" borderId="74" xfId="0" applyFont="1" applyBorder="1" applyAlignment="1">
      <alignment horizontal="left" vertical="center" wrapText="1"/>
    </xf>
    <xf numFmtId="0" fontId="78" fillId="6" borderId="2" xfId="122" applyNumberFormat="1" applyFont="1" applyFill="1" applyBorder="1" applyAlignment="1">
      <alignment horizontal="center" vertical="center" shrinkToFit="1"/>
    </xf>
    <xf numFmtId="0" fontId="78" fillId="0" borderId="2" xfId="0" applyFont="1" applyBorder="1" applyAlignment="1">
      <alignment horizontal="center" vertical="center"/>
    </xf>
    <xf numFmtId="43" fontId="78" fillId="0" borderId="2" xfId="0" applyNumberFormat="1" applyFont="1" applyBorder="1" applyAlignment="1">
      <alignment horizontal="center" vertical="center"/>
    </xf>
    <xf numFmtId="0" fontId="78" fillId="0" borderId="2" xfId="0" applyFont="1" applyBorder="1" applyAlignment="1">
      <alignment horizontal="center"/>
    </xf>
    <xf numFmtId="43" fontId="116" fillId="6" borderId="2" xfId="0" applyNumberFormat="1" applyFont="1" applyFill="1" applyBorder="1" applyAlignment="1">
      <alignment horizontal="center" vertical="center"/>
    </xf>
    <xf numFmtId="0" fontId="116" fillId="6" borderId="2" xfId="0" applyFont="1" applyFill="1" applyBorder="1" applyAlignment="1">
      <alignment horizontal="center"/>
    </xf>
    <xf numFmtId="0" fontId="248" fillId="10" borderId="2" xfId="0" applyFont="1" applyFill="1" applyBorder="1" applyAlignment="1">
      <alignment horizontal="center" vertical="center" wrapText="1"/>
    </xf>
    <xf numFmtId="0" fontId="116" fillId="10" borderId="0" xfId="0" applyFont="1" applyFill="1"/>
    <xf numFmtId="0" fontId="248" fillId="2" borderId="2" xfId="0" applyFont="1" applyFill="1" applyBorder="1" applyAlignment="1">
      <alignment horizontal="left" vertical="top" wrapText="1"/>
    </xf>
    <xf numFmtId="0" fontId="248" fillId="10" borderId="2" xfId="0" applyFont="1" applyFill="1" applyBorder="1" applyAlignment="1">
      <alignment horizontal="left" vertical="top" wrapText="1"/>
    </xf>
    <xf numFmtId="0" fontId="116" fillId="0" borderId="0" xfId="0" applyFont="1" applyAlignment="1">
      <alignment horizontal="center" vertical="center" wrapText="1"/>
    </xf>
    <xf numFmtId="0" fontId="116" fillId="0" borderId="0" xfId="0" applyFont="1" applyAlignment="1">
      <alignment horizontal="center" vertical="center"/>
    </xf>
    <xf numFmtId="0" fontId="78" fillId="0" borderId="0" xfId="0" applyFont="1" applyAlignment="1" applyProtection="1">
      <alignment horizontal="left" vertical="center" wrapText="1"/>
      <protection locked="0"/>
    </xf>
    <xf numFmtId="0" fontId="78" fillId="0" borderId="0" xfId="0" applyFont="1" applyAlignment="1" applyProtection="1">
      <alignment horizontal="center" vertical="center"/>
      <protection locked="0"/>
    </xf>
    <xf numFmtId="14" fontId="116" fillId="0" borderId="0" xfId="0" applyNumberFormat="1" applyFont="1" applyAlignment="1">
      <alignment vertical="top" wrapText="1"/>
    </xf>
    <xf numFmtId="0" fontId="78" fillId="0" borderId="0" xfId="0" applyFont="1" applyAlignment="1">
      <alignment horizontal="left" vertical="center" wrapText="1"/>
    </xf>
    <xf numFmtId="0" fontId="78" fillId="0" borderId="0" xfId="0" applyFont="1" applyAlignment="1">
      <alignment horizontal="center" vertical="center"/>
    </xf>
    <xf numFmtId="0" fontId="78" fillId="0" borderId="0" xfId="0" applyFont="1" applyAlignment="1" applyProtection="1">
      <alignment horizontal="left" vertical="center"/>
      <protection locked="0"/>
    </xf>
    <xf numFmtId="0" fontId="78" fillId="6" borderId="2" xfId="4433" applyNumberFormat="1" applyFont="1" applyFill="1" applyBorder="1" applyAlignment="1">
      <alignment horizontal="center" vertical="center" wrapText="1"/>
    </xf>
    <xf numFmtId="0" fontId="248" fillId="6" borderId="2" xfId="0" applyFont="1" applyFill="1" applyBorder="1" applyAlignment="1">
      <alignment horizontal="left" vertical="top"/>
    </xf>
    <xf numFmtId="0" fontId="181" fillId="6" borderId="2" xfId="0" applyFont="1" applyFill="1" applyBorder="1" applyAlignment="1">
      <alignment horizontal="left" vertical="center" wrapText="1"/>
    </xf>
    <xf numFmtId="0" fontId="116" fillId="6" borderId="2" xfId="0" applyFont="1" applyFill="1" applyBorder="1" applyAlignment="1">
      <alignment horizontal="center" vertical="center" wrapText="1"/>
    </xf>
    <xf numFmtId="0" fontId="116" fillId="6" borderId="2" xfId="0" applyFont="1" applyFill="1" applyBorder="1"/>
    <xf numFmtId="0" fontId="181" fillId="0" borderId="0" xfId="0" applyFont="1" applyAlignment="1">
      <alignment horizontal="left" vertical="center" wrapText="1"/>
    </xf>
    <xf numFmtId="0" fontId="181" fillId="0" borderId="0" xfId="0" applyFont="1" applyAlignment="1">
      <alignment horizontal="right" vertical="center"/>
    </xf>
    <xf numFmtId="0" fontId="181" fillId="0" borderId="0" xfId="0" applyFont="1" applyAlignment="1">
      <alignment horizontal="left" vertical="center"/>
    </xf>
    <xf numFmtId="0" fontId="193" fillId="0" borderId="0" xfId="0" applyFont="1"/>
    <xf numFmtId="170" fontId="117" fillId="0" borderId="0" xfId="116" applyFont="1" applyFill="1" applyAlignment="1">
      <alignment horizontal="center" vertical="center"/>
    </xf>
    <xf numFmtId="0" fontId="193" fillId="0" borderId="0" xfId="0" applyFont="1" applyAlignment="1">
      <alignment horizontal="center"/>
    </xf>
    <xf numFmtId="176" fontId="110" fillId="0" borderId="0" xfId="0" applyNumberFormat="1" applyFont="1" applyAlignment="1">
      <alignment vertical="center" wrapText="1"/>
    </xf>
    <xf numFmtId="176" fontId="117" fillId="0" borderId="0" xfId="0" applyNumberFormat="1" applyFont="1"/>
    <xf numFmtId="176" fontId="77" fillId="0" borderId="0" xfId="116" applyNumberFormat="1" applyFont="1" applyFill="1" applyBorder="1" applyAlignment="1">
      <alignment horizontal="center" vertical="center" wrapText="1"/>
    </xf>
    <xf numFmtId="4" fontId="77" fillId="0" borderId="0" xfId="116" applyNumberFormat="1" applyFont="1" applyFill="1" applyBorder="1" applyAlignment="1">
      <alignment horizontal="center" vertical="center"/>
    </xf>
    <xf numFmtId="0" fontId="116" fillId="0" borderId="75" xfId="0" applyFont="1" applyBorder="1" applyAlignment="1">
      <alignment horizontal="left" vertical="center" wrapText="1"/>
    </xf>
    <xf numFmtId="0" fontId="78" fillId="0" borderId="75" xfId="0" applyFont="1" applyBorder="1" applyAlignment="1">
      <alignment horizontal="left" vertical="center" wrapText="1"/>
    </xf>
    <xf numFmtId="0" fontId="116" fillId="0" borderId="75" xfId="0" applyFont="1" applyBorder="1" applyAlignment="1">
      <alignment horizontal="center" vertical="center"/>
    </xf>
    <xf numFmtId="170" fontId="78" fillId="0" borderId="75" xfId="122" applyFont="1" applyFill="1" applyBorder="1" applyAlignment="1">
      <alignment horizontal="center" vertical="center"/>
    </xf>
    <xf numFmtId="43" fontId="116" fillId="0" borderId="75" xfId="0" applyNumberFormat="1" applyFont="1" applyBorder="1" applyAlignment="1">
      <alignment horizontal="center" vertical="center"/>
    </xf>
    <xf numFmtId="0" fontId="116" fillId="0" borderId="75" xfId="0" applyFont="1" applyBorder="1"/>
    <xf numFmtId="0" fontId="116" fillId="0" borderId="76" xfId="0" applyFont="1" applyBorder="1"/>
    <xf numFmtId="170" fontId="78" fillId="0" borderId="2" xfId="122" applyFont="1" applyFill="1" applyBorder="1" applyAlignment="1">
      <alignment horizontal="center" vertical="center"/>
    </xf>
    <xf numFmtId="0" fontId="116" fillId="0" borderId="2" xfId="0" applyFont="1" applyBorder="1"/>
    <xf numFmtId="0" fontId="116" fillId="0" borderId="77" xfId="0" applyFont="1" applyBorder="1"/>
    <xf numFmtId="170" fontId="78" fillId="6" borderId="2" xfId="122" applyFont="1" applyFill="1" applyBorder="1" applyAlignment="1">
      <alignment horizontal="center" vertical="center"/>
    </xf>
    <xf numFmtId="170" fontId="78" fillId="0" borderId="2" xfId="122" applyFont="1" applyFill="1" applyBorder="1" applyAlignment="1">
      <alignment horizontal="center" vertical="center" wrapText="1"/>
    </xf>
    <xf numFmtId="0" fontId="78" fillId="0" borderId="2" xfId="0" applyFont="1" applyBorder="1" applyAlignment="1" applyProtection="1">
      <alignment horizontal="left" vertical="center" wrapText="1"/>
      <protection locked="0"/>
    </xf>
    <xf numFmtId="0" fontId="116" fillId="0" borderId="4" xfId="0" applyFont="1" applyBorder="1" applyAlignment="1">
      <alignment horizontal="left" vertical="center" wrapText="1"/>
    </xf>
    <xf numFmtId="0" fontId="116" fillId="0" borderId="4" xfId="0" applyFont="1" applyBorder="1" applyAlignment="1">
      <alignment horizontal="center" vertical="center"/>
    </xf>
    <xf numFmtId="170" fontId="78" fillId="0" borderId="4" xfId="122" applyFont="1" applyFill="1" applyBorder="1" applyAlignment="1">
      <alignment horizontal="center" vertical="center"/>
    </xf>
    <xf numFmtId="49" fontId="116" fillId="0" borderId="2" xfId="0" applyNumberFormat="1" applyFont="1" applyBorder="1" applyAlignment="1">
      <alignment horizontal="center" vertical="center"/>
    </xf>
    <xf numFmtId="49" fontId="116" fillId="6" borderId="2" xfId="0" applyNumberFormat="1" applyFont="1" applyFill="1" applyBorder="1" applyAlignment="1">
      <alignment horizontal="center" vertical="center"/>
    </xf>
    <xf numFmtId="0" fontId="122" fillId="6" borderId="2" xfId="0" applyFont="1" applyFill="1" applyBorder="1" applyAlignment="1">
      <alignment horizontal="center" vertical="center"/>
    </xf>
    <xf numFmtId="0" fontId="122" fillId="6" borderId="2" xfId="0" applyFont="1" applyFill="1" applyBorder="1" applyAlignment="1">
      <alignment horizontal="center"/>
    </xf>
    <xf numFmtId="0" fontId="77" fillId="6" borderId="2" xfId="122" applyNumberFormat="1" applyFont="1" applyFill="1" applyBorder="1" applyAlignment="1">
      <alignment horizontal="center" vertical="center"/>
    </xf>
    <xf numFmtId="0" fontId="77" fillId="6" borderId="2" xfId="122" applyNumberFormat="1" applyFont="1" applyFill="1" applyBorder="1" applyAlignment="1">
      <alignment horizontal="center" vertical="center" shrinkToFit="1"/>
    </xf>
    <xf numFmtId="170" fontId="77" fillId="6" borderId="2" xfId="122" applyFont="1" applyFill="1" applyBorder="1" applyAlignment="1">
      <alignment horizontal="center" vertical="center"/>
    </xf>
    <xf numFmtId="49" fontId="122" fillId="6" borderId="2" xfId="0" applyNumberFormat="1" applyFont="1" applyFill="1" applyBorder="1" applyAlignment="1">
      <alignment horizontal="center" vertical="center"/>
    </xf>
    <xf numFmtId="0" fontId="122" fillId="6" borderId="2" xfId="0" applyFont="1" applyFill="1" applyBorder="1" applyAlignment="1">
      <alignment horizontal="left" vertical="center" wrapText="1"/>
    </xf>
    <xf numFmtId="0" fontId="77" fillId="6" borderId="2" xfId="0" applyFont="1" applyFill="1" applyBorder="1" applyAlignment="1">
      <alignment horizontal="left" vertical="center" wrapText="1"/>
    </xf>
    <xf numFmtId="0" fontId="122" fillId="6" borderId="2" xfId="0" applyFont="1" applyFill="1" applyBorder="1" applyAlignment="1">
      <alignment horizontal="center" vertical="center" wrapText="1"/>
    </xf>
    <xf numFmtId="175" fontId="202" fillId="0" borderId="2" xfId="116" applyNumberFormat="1" applyFont="1" applyFill="1" applyBorder="1" applyAlignment="1" applyProtection="1">
      <alignment horizontal="center" vertical="center"/>
      <protection locked="0"/>
    </xf>
    <xf numFmtId="170" fontId="202" fillId="0" borderId="4" xfId="116" applyFont="1" applyFill="1" applyBorder="1" applyAlignment="1">
      <alignment horizontal="center" vertical="center"/>
    </xf>
    <xf numFmtId="170" fontId="202" fillId="0" borderId="2" xfId="116" applyFont="1" applyFill="1" applyBorder="1" applyAlignment="1" applyProtection="1">
      <alignment horizontal="center" vertical="center"/>
      <protection locked="0"/>
    </xf>
    <xf numFmtId="170" fontId="202" fillId="0" borderId="2" xfId="116" applyFont="1" applyFill="1" applyBorder="1" applyAlignment="1">
      <alignment horizontal="center" vertical="center" wrapText="1"/>
    </xf>
    <xf numFmtId="170" fontId="202" fillId="0" borderId="2" xfId="116" applyFont="1" applyFill="1" applyBorder="1" applyAlignment="1">
      <alignment horizontal="center" vertical="center"/>
    </xf>
    <xf numFmtId="0" fontId="250" fillId="2" borderId="2" xfId="0" applyFont="1" applyFill="1" applyBorder="1" applyAlignment="1">
      <alignment horizontal="left" vertical="center" wrapText="1"/>
    </xf>
    <xf numFmtId="0" fontId="250" fillId="2" borderId="2" xfId="0" applyFont="1" applyFill="1" applyBorder="1" applyAlignment="1">
      <alignment horizontal="center" vertical="center" wrapText="1"/>
    </xf>
    <xf numFmtId="4" fontId="249" fillId="0" borderId="2" xfId="0" applyNumberFormat="1" applyFont="1" applyBorder="1" applyAlignment="1">
      <alignment vertical="center" wrapText="1"/>
    </xf>
    <xf numFmtId="0" fontId="122" fillId="6" borderId="2" xfId="0" applyFont="1" applyFill="1" applyBorder="1" applyAlignment="1">
      <alignment vertical="center" wrapText="1"/>
    </xf>
    <xf numFmtId="170" fontId="202" fillId="6" borderId="2" xfId="116" applyFont="1" applyFill="1" applyBorder="1" applyAlignment="1">
      <alignment horizontal="left" vertical="center" wrapText="1"/>
    </xf>
    <xf numFmtId="170" fontId="251" fillId="6" borderId="2" xfId="116" applyFont="1" applyFill="1" applyBorder="1" applyAlignment="1">
      <alignment horizontal="center" vertical="center"/>
    </xf>
    <xf numFmtId="170" fontId="202" fillId="6" borderId="2" xfId="116" applyFont="1" applyFill="1" applyBorder="1" applyAlignment="1">
      <alignment horizontal="center" vertical="center"/>
    </xf>
    <xf numFmtId="170" fontId="202" fillId="6" borderId="2" xfId="116" applyFont="1" applyFill="1" applyBorder="1" applyAlignment="1">
      <alignment vertical="center"/>
    </xf>
    <xf numFmtId="170" fontId="202" fillId="6" borderId="2" xfId="116" applyFont="1" applyFill="1" applyBorder="1" applyAlignment="1">
      <alignment vertical="center" wrapText="1"/>
    </xf>
    <xf numFmtId="170" fontId="110" fillId="0" borderId="0" xfId="116" applyFont="1" applyFill="1" applyAlignment="1">
      <alignment horizontal="left" vertical="center"/>
    </xf>
    <xf numFmtId="170" fontId="105" fillId="0" borderId="0" xfId="116" applyFont="1" applyFill="1" applyAlignment="1">
      <alignment vertical="center"/>
    </xf>
    <xf numFmtId="0" fontId="97" fillId="0" borderId="0" xfId="0" applyFont="1"/>
    <xf numFmtId="1" fontId="184" fillId="0" borderId="2" xfId="94" applyNumberFormat="1" applyFont="1" applyBorder="1" applyAlignment="1" applyProtection="1">
      <alignment horizontal="center" vertical="center" wrapText="1"/>
      <protection locked="0"/>
    </xf>
    <xf numFmtId="216" fontId="35" fillId="0" borderId="0" xfId="0" applyNumberFormat="1" applyFont="1"/>
    <xf numFmtId="0" fontId="122" fillId="0" borderId="2" xfId="0" applyFont="1" applyBorder="1" applyAlignment="1">
      <alignment horizontal="left" vertical="center"/>
    </xf>
    <xf numFmtId="0" fontId="251" fillId="0" borderId="2" xfId="0" applyFont="1" applyBorder="1" applyAlignment="1">
      <alignment horizontal="center" vertical="center" wrapText="1"/>
    </xf>
    <xf numFmtId="0" fontId="251" fillId="0" borderId="7" xfId="0" applyFont="1" applyBorder="1" applyAlignment="1">
      <alignment horizontal="center" vertical="center" wrapText="1"/>
    </xf>
    <xf numFmtId="0" fontId="202" fillId="0" borderId="2" xfId="0" applyFont="1" applyBorder="1" applyAlignment="1">
      <alignment horizontal="left" vertical="center"/>
    </xf>
    <xf numFmtId="170" fontId="202" fillId="0" borderId="2" xfId="116" applyFont="1" applyFill="1" applyBorder="1" applyAlignment="1">
      <alignment horizontal="left" vertical="center" wrapText="1"/>
    </xf>
    <xf numFmtId="0" fontId="202" fillId="0" borderId="2" xfId="0" applyFont="1" applyBorder="1" applyAlignment="1" applyProtection="1">
      <alignment horizontal="left" vertical="center"/>
      <protection locked="0"/>
    </xf>
    <xf numFmtId="0" fontId="202" fillId="0" borderId="2" xfId="0" applyFont="1" applyBorder="1" applyAlignment="1">
      <alignment horizontal="center" vertical="center"/>
    </xf>
    <xf numFmtId="176" fontId="202" fillId="0" borderId="2" xfId="116" applyNumberFormat="1" applyFont="1" applyFill="1" applyBorder="1" applyAlignment="1">
      <alignment horizontal="center" vertical="center" wrapText="1"/>
    </xf>
    <xf numFmtId="0" fontId="202" fillId="0" borderId="4" xfId="0" applyFont="1" applyBorder="1" applyAlignment="1">
      <alignment vertical="center"/>
    </xf>
    <xf numFmtId="0" fontId="251" fillId="0" borderId="4" xfId="0" applyFont="1" applyBorder="1" applyAlignment="1">
      <alignment horizontal="center" vertical="center" wrapText="1"/>
    </xf>
    <xf numFmtId="0" fontId="249" fillId="0" borderId="2" xfId="0" applyFont="1" applyBorder="1" applyAlignment="1">
      <alignment horizontal="center" vertical="center" wrapText="1"/>
    </xf>
    <xf numFmtId="0" fontId="202" fillId="0" borderId="2" xfId="0" applyFont="1" applyBorder="1" applyAlignment="1" applyProtection="1">
      <alignment horizontal="center" vertical="center"/>
      <protection locked="0"/>
    </xf>
    <xf numFmtId="0" fontId="202" fillId="0" borderId="2" xfId="0" applyFont="1" applyBorder="1" applyAlignment="1">
      <alignment horizontal="center" vertical="center" wrapText="1"/>
    </xf>
    <xf numFmtId="0" fontId="202" fillId="0" borderId="4" xfId="0" applyFont="1" applyBorder="1" applyAlignment="1">
      <alignment horizontal="center" vertical="center"/>
    </xf>
    <xf numFmtId="170" fontId="202" fillId="0" borderId="2" xfId="116" applyFont="1" applyFill="1" applyBorder="1" applyAlignment="1">
      <alignment horizontal="center" wrapText="1"/>
    </xf>
    <xf numFmtId="3" fontId="249" fillId="6" borderId="2" xfId="0" applyNumberFormat="1" applyFont="1" applyFill="1" applyBorder="1" applyAlignment="1">
      <alignment horizontal="center" vertical="center" wrapText="1"/>
    </xf>
    <xf numFmtId="175" fontId="122" fillId="0" borderId="2" xfId="116" applyNumberFormat="1" applyFont="1" applyFill="1" applyBorder="1" applyAlignment="1">
      <alignment horizontal="left" vertical="center"/>
    </xf>
    <xf numFmtId="178" fontId="122" fillId="0" borderId="0" xfId="0" applyNumberFormat="1" applyFont="1" applyAlignment="1">
      <alignment horizontal="center" vertical="center"/>
    </xf>
    <xf numFmtId="178" fontId="122" fillId="0" borderId="0" xfId="0" applyNumberFormat="1" applyFont="1" applyAlignment="1" applyProtection="1">
      <alignment horizontal="center" vertical="center"/>
      <protection locked="0"/>
    </xf>
    <xf numFmtId="178" fontId="251" fillId="0" borderId="2" xfId="0" applyNumberFormat="1" applyFont="1" applyBorder="1" applyAlignment="1">
      <alignment horizontal="center" vertical="center" wrapText="1"/>
    </xf>
    <xf numFmtId="178" fontId="202" fillId="0" borderId="2" xfId="116" applyNumberFormat="1" applyFont="1" applyFill="1" applyBorder="1" applyAlignment="1">
      <alignment horizontal="center" vertical="center" wrapText="1"/>
    </xf>
    <xf numFmtId="176" fontId="159" fillId="0" borderId="2" xfId="116" applyNumberFormat="1" applyFont="1" applyFill="1" applyBorder="1" applyAlignment="1">
      <alignment horizontal="center" vertical="center" wrapText="1"/>
    </xf>
    <xf numFmtId="4" fontId="202" fillId="0" borderId="2" xfId="116" applyNumberFormat="1" applyFont="1" applyFill="1" applyBorder="1" applyAlignment="1">
      <alignment horizontal="center" vertical="center"/>
    </xf>
    <xf numFmtId="0" fontId="159" fillId="0" borderId="2" xfId="0" applyFont="1" applyBorder="1" applyAlignment="1">
      <alignment horizontal="center" vertical="center"/>
    </xf>
    <xf numFmtId="0" fontId="173" fillId="0" borderId="2" xfId="0" applyFont="1" applyBorder="1" applyAlignment="1">
      <alignment horizontal="center" vertical="center" wrapText="1"/>
    </xf>
    <xf numFmtId="0" fontId="173" fillId="2" borderId="2" xfId="0" applyFont="1" applyFill="1" applyBorder="1" applyAlignment="1">
      <alignment horizontal="center" vertical="center" wrapText="1"/>
    </xf>
    <xf numFmtId="4" fontId="195" fillId="0" borderId="2" xfId="0" applyNumberFormat="1" applyFont="1" applyBorder="1" applyAlignment="1">
      <alignment horizontal="center" vertical="center"/>
    </xf>
    <xf numFmtId="175" fontId="159" fillId="0" borderId="2" xfId="116" applyNumberFormat="1" applyFont="1" applyFill="1" applyBorder="1" applyAlignment="1">
      <alignment horizontal="center" vertical="center"/>
    </xf>
    <xf numFmtId="170" fontId="159" fillId="0" borderId="2" xfId="116" applyFont="1" applyFill="1" applyBorder="1" applyAlignment="1">
      <alignment horizontal="center" vertical="center"/>
    </xf>
    <xf numFmtId="0" fontId="159" fillId="0" borderId="2" xfId="0" applyFont="1" applyBorder="1" applyAlignment="1" applyProtection="1">
      <alignment horizontal="center" vertical="center"/>
      <protection locked="0"/>
    </xf>
    <xf numFmtId="3" fontId="195" fillId="0" borderId="2" xfId="0" applyNumberFormat="1" applyFont="1" applyBorder="1" applyAlignment="1">
      <alignment horizontal="center" vertical="center" wrapText="1"/>
    </xf>
    <xf numFmtId="170" fontId="159" fillId="0" borderId="2" xfId="122" applyFont="1" applyFill="1" applyBorder="1" applyAlignment="1">
      <alignment horizontal="center" vertical="center" wrapText="1"/>
    </xf>
    <xf numFmtId="3" fontId="159" fillId="0" borderId="2" xfId="116" applyNumberFormat="1" applyFont="1" applyFill="1" applyBorder="1" applyAlignment="1">
      <alignment horizontal="center" vertical="center"/>
    </xf>
    <xf numFmtId="170" fontId="50" fillId="0" borderId="24" xfId="116" applyFont="1" applyFill="1" applyBorder="1" applyAlignment="1">
      <alignment horizontal="center" vertical="center" wrapText="1"/>
    </xf>
    <xf numFmtId="170" fontId="77" fillId="0" borderId="6" xfId="116" applyFont="1" applyFill="1" applyBorder="1" applyAlignment="1">
      <alignment horizontal="center" vertical="center"/>
    </xf>
    <xf numFmtId="170" fontId="50" fillId="0" borderId="24" xfId="4432" applyFont="1" applyFill="1" applyBorder="1" applyAlignment="1">
      <alignment horizontal="center" vertical="center" wrapText="1"/>
    </xf>
    <xf numFmtId="170" fontId="50" fillId="0" borderId="6" xfId="4432" applyFont="1" applyFill="1" applyBorder="1" applyAlignment="1">
      <alignment horizontal="center" vertical="center"/>
    </xf>
    <xf numFmtId="170" fontId="8" fillId="0" borderId="24" xfId="116" applyFont="1" applyFill="1" applyBorder="1" applyAlignment="1">
      <alignment horizontal="center" vertical="center" wrapText="1"/>
    </xf>
    <xf numFmtId="170" fontId="8" fillId="0" borderId="6" xfId="116" applyFont="1" applyFill="1" applyBorder="1" applyAlignment="1">
      <alignment horizontal="left" vertical="center"/>
    </xf>
    <xf numFmtId="170" fontId="4" fillId="0" borderId="6" xfId="116" applyFont="1" applyFill="1" applyBorder="1" applyAlignment="1">
      <alignment horizontal="left" vertical="center"/>
    </xf>
    <xf numFmtId="0" fontId="50" fillId="0" borderId="24" xfId="0" applyFont="1" applyBorder="1" applyAlignment="1">
      <alignment horizontal="center" vertical="center" wrapText="1"/>
    </xf>
    <xf numFmtId="3" fontId="50" fillId="0" borderId="6" xfId="0" applyNumberFormat="1" applyFont="1" applyBorder="1" applyAlignment="1">
      <alignment horizontal="center" vertical="center" wrapText="1"/>
    </xf>
    <xf numFmtId="3" fontId="77" fillId="0" borderId="6" xfId="116" applyNumberFormat="1" applyFont="1" applyFill="1" applyBorder="1" applyAlignment="1">
      <alignment horizontal="center" vertical="center"/>
    </xf>
    <xf numFmtId="0" fontId="77" fillId="0" borderId="2" xfId="0" applyFont="1" applyBorder="1" applyAlignment="1">
      <alignment vertical="center" wrapText="1"/>
    </xf>
    <xf numFmtId="4" fontId="50" fillId="0" borderId="6" xfId="0" applyNumberFormat="1" applyFont="1" applyBorder="1" applyAlignment="1">
      <alignment horizontal="center" vertical="center" wrapText="1"/>
    </xf>
    <xf numFmtId="0" fontId="50" fillId="0" borderId="24" xfId="0" applyFont="1" applyBorder="1" applyAlignment="1">
      <alignment horizontal="left" vertical="center" wrapText="1"/>
    </xf>
    <xf numFmtId="170" fontId="87" fillId="0" borderId="6" xfId="116" applyFont="1" applyFill="1" applyBorder="1" applyAlignment="1">
      <alignment horizontal="left" vertical="center"/>
    </xf>
    <xf numFmtId="0" fontId="77" fillId="0" borderId="2" xfId="0" applyFont="1" applyBorder="1" applyAlignment="1">
      <alignment vertical="center"/>
    </xf>
    <xf numFmtId="178" fontId="4" fillId="0" borderId="2" xfId="116" applyNumberFormat="1" applyFont="1" applyFill="1" applyBorder="1" applyAlignment="1">
      <alignment vertical="center"/>
    </xf>
    <xf numFmtId="170" fontId="77" fillId="6" borderId="2" xfId="4432" applyFont="1" applyFill="1" applyBorder="1" applyAlignment="1">
      <alignment horizontal="center" vertical="center"/>
    </xf>
    <xf numFmtId="170" fontId="4" fillId="6" borderId="2" xfId="116" applyFont="1" applyFill="1" applyBorder="1" applyAlignment="1">
      <alignment horizontal="left" vertical="center"/>
    </xf>
    <xf numFmtId="170" fontId="4" fillId="6" borderId="4" xfId="116" applyFont="1" applyFill="1" applyBorder="1" applyAlignment="1">
      <alignment horizontal="left" vertical="center"/>
    </xf>
    <xf numFmtId="170" fontId="4" fillId="6" borderId="0" xfId="116" applyFont="1" applyFill="1" applyAlignment="1">
      <alignment horizontal="center" vertical="center"/>
    </xf>
    <xf numFmtId="178" fontId="28" fillId="0" borderId="0" xfId="62" applyNumberFormat="1" applyFont="1"/>
    <xf numFmtId="170" fontId="77" fillId="6" borderId="4" xfId="4432" applyFont="1" applyFill="1" applyBorder="1" applyAlignment="1">
      <alignment horizontal="center" vertical="center"/>
    </xf>
    <xf numFmtId="170" fontId="122" fillId="6" borderId="2" xfId="4432" applyFont="1" applyFill="1" applyBorder="1" applyAlignment="1">
      <alignment horizontal="center" vertical="center"/>
    </xf>
    <xf numFmtId="170" fontId="122" fillId="6" borderId="2" xfId="116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left" vertical="top" wrapText="1"/>
    </xf>
    <xf numFmtId="170" fontId="87" fillId="6" borderId="2" xfId="4432" applyFont="1" applyFill="1" applyBorder="1" applyAlignment="1">
      <alignment horizontal="center" vertical="center"/>
    </xf>
    <xf numFmtId="170" fontId="77" fillId="6" borderId="2" xfId="4432" applyFont="1" applyFill="1" applyBorder="1" applyAlignment="1" applyProtection="1">
      <alignment horizontal="center" vertical="center"/>
      <protection locked="0"/>
    </xf>
    <xf numFmtId="170" fontId="77" fillId="6" borderId="2" xfId="4432" applyFont="1" applyFill="1" applyBorder="1" applyAlignment="1">
      <alignment horizontal="center" vertical="center" wrapText="1"/>
    </xf>
    <xf numFmtId="170" fontId="77" fillId="6" borderId="0" xfId="4432" applyFont="1" applyFill="1" applyAlignment="1">
      <alignment horizontal="center" vertical="center"/>
    </xf>
    <xf numFmtId="170" fontId="77" fillId="6" borderId="6" xfId="4432" applyFont="1" applyFill="1" applyBorder="1" applyAlignment="1">
      <alignment horizontal="center" vertical="center"/>
    </xf>
    <xf numFmtId="178" fontId="77" fillId="6" borderId="2" xfId="4432" applyNumberFormat="1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left" vertical="center" wrapText="1"/>
    </xf>
    <xf numFmtId="0" fontId="10" fillId="6" borderId="74" xfId="0" applyFont="1" applyFill="1" applyBorder="1" applyAlignment="1">
      <alignment horizontal="left" vertical="top" wrapText="1"/>
    </xf>
    <xf numFmtId="170" fontId="77" fillId="6" borderId="0" xfId="4432" applyFont="1" applyFill="1" applyAlignment="1">
      <alignment horizontal="center" vertical="center" wrapText="1"/>
    </xf>
    <xf numFmtId="0" fontId="77" fillId="6" borderId="2" xfId="4433" applyNumberFormat="1" applyFont="1" applyFill="1" applyBorder="1" applyAlignment="1">
      <alignment horizontal="center" vertical="center" wrapText="1"/>
    </xf>
    <xf numFmtId="0" fontId="77" fillId="6" borderId="2" xfId="0" applyFont="1" applyFill="1" applyBorder="1" applyAlignment="1" applyProtection="1">
      <alignment horizontal="left" vertical="center" wrapText="1"/>
      <protection locked="0"/>
    </xf>
    <xf numFmtId="0" fontId="122" fillId="6" borderId="74" xfId="0" applyFont="1" applyFill="1" applyBorder="1" applyAlignment="1">
      <alignment horizontal="left" vertical="center" wrapText="1"/>
    </xf>
    <xf numFmtId="0" fontId="77" fillId="6" borderId="2" xfId="0" applyFont="1" applyFill="1" applyBorder="1" applyAlignment="1">
      <alignment horizontal="center"/>
    </xf>
    <xf numFmtId="0" fontId="77" fillId="6" borderId="2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 wrapText="1"/>
    </xf>
    <xf numFmtId="0" fontId="122" fillId="6" borderId="75" xfId="0" applyFont="1" applyFill="1" applyBorder="1" applyAlignment="1">
      <alignment horizontal="left" vertical="center" wrapText="1"/>
    </xf>
    <xf numFmtId="0" fontId="77" fillId="6" borderId="75" xfId="0" applyFont="1" applyFill="1" applyBorder="1" applyAlignment="1">
      <alignment horizontal="left" vertical="center" wrapText="1"/>
    </xf>
    <xf numFmtId="0" fontId="122" fillId="6" borderId="75" xfId="0" applyFont="1" applyFill="1" applyBorder="1" applyAlignment="1">
      <alignment horizontal="center"/>
    </xf>
    <xf numFmtId="0" fontId="122" fillId="6" borderId="4" xfId="0" applyFont="1" applyFill="1" applyBorder="1" applyAlignment="1">
      <alignment horizontal="left" vertical="center" wrapText="1"/>
    </xf>
    <xf numFmtId="170" fontId="77" fillId="6" borderId="4" xfId="4432" applyFont="1" applyFill="1" applyBorder="1" applyAlignment="1" applyProtection="1">
      <alignment horizontal="center" vertical="center"/>
      <protection locked="0"/>
    </xf>
    <xf numFmtId="0" fontId="122" fillId="6" borderId="4" xfId="0" applyFont="1" applyFill="1" applyBorder="1" applyAlignment="1">
      <alignment horizontal="center"/>
    </xf>
    <xf numFmtId="170" fontId="77" fillId="6" borderId="4" xfId="4432" applyFont="1" applyFill="1" applyBorder="1" applyAlignment="1">
      <alignment horizontal="center" vertical="center" wrapText="1"/>
    </xf>
    <xf numFmtId="0" fontId="250" fillId="6" borderId="2" xfId="0" applyFont="1" applyFill="1" applyBorder="1" applyAlignment="1">
      <alignment horizontal="left" vertical="center" wrapText="1"/>
    </xf>
    <xf numFmtId="0" fontId="250" fillId="6" borderId="2" xfId="0" applyFont="1" applyFill="1" applyBorder="1" applyAlignment="1">
      <alignment horizontal="center" vertical="center" wrapText="1"/>
    </xf>
    <xf numFmtId="0" fontId="202" fillId="6" borderId="2" xfId="0" applyFont="1" applyFill="1" applyBorder="1" applyAlignment="1">
      <alignment horizontal="left" vertical="center" wrapText="1"/>
    </xf>
    <xf numFmtId="0" fontId="249" fillId="6" borderId="2" xfId="0" applyFont="1" applyFill="1" applyBorder="1" applyAlignment="1">
      <alignment horizontal="left" vertical="center" wrapText="1"/>
    </xf>
    <xf numFmtId="0" fontId="249" fillId="6" borderId="2" xfId="0" applyFont="1" applyFill="1" applyBorder="1" applyAlignment="1">
      <alignment vertical="center" wrapText="1"/>
    </xf>
    <xf numFmtId="0" fontId="249" fillId="6" borderId="2" xfId="0" applyFont="1" applyFill="1" applyBorder="1" applyAlignment="1">
      <alignment horizontal="center" vertical="center" wrapText="1"/>
    </xf>
    <xf numFmtId="170" fontId="122" fillId="6" borderId="0" xfId="4432" applyFont="1" applyFill="1" applyAlignment="1">
      <alignment horizontal="center" vertical="center"/>
    </xf>
    <xf numFmtId="170" fontId="122" fillId="6" borderId="0" xfId="4432" applyFont="1" applyFill="1" applyAlignment="1">
      <alignment horizontal="center" vertical="center" wrapText="1"/>
    </xf>
    <xf numFmtId="170" fontId="8" fillId="6" borderId="0" xfId="116" applyFont="1" applyFill="1" applyAlignment="1">
      <alignment horizontal="center" vertical="center"/>
    </xf>
    <xf numFmtId="170" fontId="8" fillId="6" borderId="0" xfId="116" applyFont="1" applyFill="1" applyAlignment="1" applyProtection="1">
      <alignment horizontal="center" vertical="center"/>
      <protection locked="0"/>
    </xf>
    <xf numFmtId="170" fontId="151" fillId="6" borderId="0" xfId="116" applyFont="1" applyFill="1" applyAlignment="1">
      <alignment horizontal="center" vertical="center"/>
    </xf>
    <xf numFmtId="4" fontId="195" fillId="0" borderId="4" xfId="0" applyNumberFormat="1" applyFont="1" applyBorder="1" applyAlignment="1">
      <alignment horizontal="center" vertical="center"/>
    </xf>
    <xf numFmtId="170" fontId="159" fillId="0" borderId="4" xfId="116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left" vertical="top"/>
    </xf>
    <xf numFmtId="170" fontId="117" fillId="6" borderId="2" xfId="116" applyFont="1" applyFill="1" applyBorder="1" applyAlignment="1">
      <alignment horizontal="center"/>
    </xf>
    <xf numFmtId="170" fontId="117" fillId="6" borderId="2" xfId="116" applyFont="1" applyFill="1" applyBorder="1" applyAlignment="1">
      <alignment horizontal="left" vertical="center"/>
    </xf>
    <xf numFmtId="170" fontId="4" fillId="6" borderId="2" xfId="116" applyFont="1" applyFill="1" applyBorder="1" applyAlignment="1" applyProtection="1">
      <alignment horizontal="left" vertical="center"/>
      <protection locked="0"/>
    </xf>
    <xf numFmtId="170" fontId="4" fillId="6" borderId="2" xfId="116" applyFont="1" applyFill="1" applyBorder="1" applyAlignment="1">
      <alignment horizontal="left" vertical="center" wrapText="1"/>
    </xf>
    <xf numFmtId="0" fontId="10" fillId="6" borderId="74" xfId="0" applyFont="1" applyFill="1" applyBorder="1" applyAlignment="1">
      <alignment horizontal="left" vertical="top"/>
    </xf>
    <xf numFmtId="176" fontId="77" fillId="6" borderId="2" xfId="116" applyNumberFormat="1" applyFont="1" applyFill="1" applyBorder="1" applyAlignment="1">
      <alignment horizontal="center" vertical="center"/>
    </xf>
    <xf numFmtId="170" fontId="4" fillId="6" borderId="2" xfId="116" applyFont="1" applyFill="1" applyBorder="1" applyAlignment="1" applyProtection="1">
      <alignment horizontal="center" vertical="center"/>
      <protection locked="0"/>
    </xf>
    <xf numFmtId="170" fontId="4" fillId="6" borderId="2" xfId="116" applyFont="1" applyFill="1" applyBorder="1" applyAlignment="1">
      <alignment horizontal="center" vertical="center"/>
    </xf>
    <xf numFmtId="0" fontId="122" fillId="6" borderId="77" xfId="0" applyFont="1" applyFill="1" applyBorder="1" applyAlignment="1">
      <alignment horizontal="center"/>
    </xf>
    <xf numFmtId="170" fontId="77" fillId="6" borderId="2" xfId="122" applyFont="1" applyFill="1" applyBorder="1" applyAlignment="1">
      <alignment horizontal="center" vertical="center" wrapText="1"/>
    </xf>
    <xf numFmtId="0" fontId="122" fillId="6" borderId="4" xfId="0" applyFont="1" applyFill="1" applyBorder="1" applyAlignment="1">
      <alignment horizontal="center" vertical="center"/>
    </xf>
    <xf numFmtId="170" fontId="4" fillId="6" borderId="2" xfId="116" applyFont="1" applyFill="1" applyBorder="1" applyAlignment="1">
      <alignment horizontal="right" vertical="center"/>
    </xf>
    <xf numFmtId="170" fontId="4" fillId="6" borderId="4" xfId="116" applyFont="1" applyFill="1" applyBorder="1" applyAlignment="1">
      <alignment horizontal="left" vertical="center" wrapText="1"/>
    </xf>
    <xf numFmtId="170" fontId="4" fillId="6" borderId="4" xfId="116" applyFont="1" applyFill="1" applyBorder="1" applyAlignment="1">
      <alignment horizontal="center" vertical="center"/>
    </xf>
    <xf numFmtId="170" fontId="117" fillId="6" borderId="4" xfId="116" applyFont="1" applyFill="1" applyBorder="1" applyAlignment="1">
      <alignment horizontal="left" vertical="center"/>
    </xf>
    <xf numFmtId="0" fontId="10" fillId="6" borderId="74" xfId="0" applyFont="1" applyFill="1" applyBorder="1" applyAlignment="1">
      <alignment horizontal="left" vertical="center" wrapText="1"/>
    </xf>
    <xf numFmtId="170" fontId="117" fillId="6" borderId="75" xfId="116" applyFont="1" applyFill="1" applyBorder="1" applyAlignment="1">
      <alignment horizontal="center"/>
    </xf>
    <xf numFmtId="170" fontId="117" fillId="6" borderId="4" xfId="116" applyFont="1" applyFill="1" applyBorder="1" applyAlignment="1">
      <alignment horizontal="center"/>
    </xf>
    <xf numFmtId="170" fontId="4" fillId="6" borderId="4" xfId="116" applyFont="1" applyFill="1" applyBorder="1" applyAlignment="1" applyProtection="1">
      <alignment horizontal="left" vertical="center"/>
      <protection locked="0"/>
    </xf>
    <xf numFmtId="0" fontId="122" fillId="6" borderId="77" xfId="0" applyFont="1" applyFill="1" applyBorder="1" applyAlignment="1">
      <alignment horizontal="center" vertical="center"/>
    </xf>
    <xf numFmtId="170" fontId="4" fillId="6" borderId="77" xfId="116" applyFont="1" applyFill="1" applyBorder="1" applyAlignment="1">
      <alignment horizontal="right" vertical="center"/>
    </xf>
    <xf numFmtId="0" fontId="77" fillId="6" borderId="77" xfId="0" applyFont="1" applyFill="1" applyBorder="1" applyAlignment="1">
      <alignment horizontal="center"/>
    </xf>
    <xf numFmtId="0" fontId="122" fillId="6" borderId="76" xfId="0" applyFont="1" applyFill="1" applyBorder="1" applyAlignment="1">
      <alignment horizontal="center" vertical="center"/>
    </xf>
    <xf numFmtId="0" fontId="77" fillId="6" borderId="75" xfId="122" applyNumberFormat="1" applyFont="1" applyFill="1" applyBorder="1" applyAlignment="1">
      <alignment horizontal="center" vertical="center"/>
    </xf>
    <xf numFmtId="0" fontId="77" fillId="6" borderId="4" xfId="122" applyNumberFormat="1" applyFont="1" applyFill="1" applyBorder="1" applyAlignment="1">
      <alignment horizontal="center" vertical="center"/>
    </xf>
    <xf numFmtId="0" fontId="122" fillId="6" borderId="75" xfId="0" applyFont="1" applyFill="1" applyBorder="1" applyAlignment="1">
      <alignment horizontal="center" vertical="center"/>
    </xf>
    <xf numFmtId="170" fontId="122" fillId="6" borderId="0" xfId="4432" applyFont="1" applyFill="1" applyBorder="1" applyAlignment="1">
      <alignment horizontal="center" vertical="center"/>
    </xf>
    <xf numFmtId="170" fontId="122" fillId="6" borderId="6" xfId="4432" applyFont="1" applyFill="1" applyBorder="1" applyAlignment="1">
      <alignment horizontal="center" vertical="center"/>
    </xf>
    <xf numFmtId="0" fontId="249" fillId="6" borderId="4" xfId="0" applyFont="1" applyFill="1" applyBorder="1" applyAlignment="1">
      <alignment horizontal="left" vertical="center" wrapText="1"/>
    </xf>
    <xf numFmtId="0" fontId="250" fillId="6" borderId="74" xfId="0" applyFont="1" applyFill="1" applyBorder="1" applyAlignment="1">
      <alignment horizontal="left" vertical="center" wrapText="1"/>
    </xf>
    <xf numFmtId="0" fontId="10" fillId="6" borderId="4" xfId="0" applyFont="1" applyFill="1" applyBorder="1" applyAlignment="1">
      <alignment horizontal="left" vertical="top" wrapText="1"/>
    </xf>
    <xf numFmtId="3" fontId="249" fillId="6" borderId="4" xfId="0" applyNumberFormat="1" applyFont="1" applyFill="1" applyBorder="1" applyAlignment="1">
      <alignment horizontal="center" vertical="center" wrapText="1"/>
    </xf>
    <xf numFmtId="170" fontId="178" fillId="0" borderId="0" xfId="4432" applyFont="1" applyFill="1" applyAlignment="1">
      <alignment horizontal="left" vertical="center"/>
    </xf>
    <xf numFmtId="170" fontId="245" fillId="0" borderId="0" xfId="4432" applyFont="1" applyFill="1" applyAlignment="1">
      <alignment horizontal="left" vertical="center"/>
    </xf>
    <xf numFmtId="0" fontId="173" fillId="6" borderId="2" xfId="0" applyFont="1" applyFill="1" applyBorder="1" applyAlignment="1">
      <alignment horizontal="center" vertical="center" wrapText="1"/>
    </xf>
    <xf numFmtId="0" fontId="159" fillId="6" borderId="2" xfId="0" applyFont="1" applyFill="1" applyBorder="1" applyAlignment="1">
      <alignment horizontal="center" vertical="center"/>
    </xf>
    <xf numFmtId="3" fontId="195" fillId="6" borderId="2" xfId="0" applyNumberFormat="1" applyFont="1" applyFill="1" applyBorder="1" applyAlignment="1">
      <alignment horizontal="center" vertical="center" wrapText="1"/>
    </xf>
    <xf numFmtId="4" fontId="195" fillId="6" borderId="4" xfId="0" applyNumberFormat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vertical="center"/>
    </xf>
    <xf numFmtId="170" fontId="122" fillId="6" borderId="2" xfId="116" applyFont="1" applyFill="1" applyBorder="1" applyAlignment="1">
      <alignment horizontal="left" vertical="center" wrapText="1"/>
    </xf>
    <xf numFmtId="170" fontId="4" fillId="0" borderId="4" xfId="116" applyFont="1" applyFill="1" applyBorder="1" applyAlignment="1">
      <alignment horizontal="center" vertical="center"/>
    </xf>
    <xf numFmtId="170" fontId="202" fillId="6" borderId="4" xfId="116" applyFont="1" applyFill="1" applyBorder="1" applyAlignment="1">
      <alignment vertical="center"/>
    </xf>
    <xf numFmtId="170" fontId="4" fillId="0" borderId="2" xfId="116" applyFont="1" applyFill="1" applyBorder="1" applyAlignment="1">
      <alignment horizontal="right" vertical="center"/>
    </xf>
    <xf numFmtId="170" fontId="153" fillId="6" borderId="0" xfId="4432" applyFont="1" applyFill="1" applyAlignment="1">
      <alignment horizontal="center" vertical="center"/>
    </xf>
    <xf numFmtId="170" fontId="153" fillId="6" borderId="0" xfId="4432" applyFont="1" applyFill="1" applyAlignment="1" applyProtection="1">
      <alignment horizontal="center" vertical="center"/>
      <protection locked="0"/>
    </xf>
    <xf numFmtId="170" fontId="50" fillId="6" borderId="2" xfId="4432" applyFont="1" applyFill="1" applyBorder="1" applyAlignment="1">
      <alignment horizontal="center" vertical="center" wrapText="1"/>
    </xf>
    <xf numFmtId="170" fontId="4" fillId="6" borderId="0" xfId="116" applyFont="1" applyFill="1" applyAlignment="1" applyProtection="1">
      <alignment horizontal="left" vertical="center"/>
      <protection locked="0"/>
    </xf>
    <xf numFmtId="170" fontId="8" fillId="6" borderId="2" xfId="116" applyFont="1" applyFill="1" applyBorder="1" applyAlignment="1">
      <alignment horizontal="center" vertical="center" wrapText="1"/>
    </xf>
    <xf numFmtId="0" fontId="122" fillId="6" borderId="0" xfId="0" applyFont="1" applyFill="1" applyAlignment="1">
      <alignment horizontal="center" vertical="center"/>
    </xf>
    <xf numFmtId="0" fontId="122" fillId="6" borderId="0" xfId="0" applyFont="1" applyFill="1" applyAlignment="1" applyProtection="1">
      <alignment horizontal="center" vertical="center"/>
      <protection locked="0"/>
    </xf>
    <xf numFmtId="0" fontId="251" fillId="6" borderId="2" xfId="0" applyFont="1" applyFill="1" applyBorder="1" applyAlignment="1">
      <alignment horizontal="center" vertical="center" wrapText="1"/>
    </xf>
    <xf numFmtId="0" fontId="50" fillId="6" borderId="2" xfId="0" applyFont="1" applyFill="1" applyBorder="1" applyAlignment="1">
      <alignment horizontal="center" vertical="center" wrapText="1"/>
    </xf>
    <xf numFmtId="0" fontId="4" fillId="6" borderId="0" xfId="0" applyFont="1" applyFill="1" applyAlignment="1" applyProtection="1">
      <alignment vertical="center"/>
      <protection locked="0"/>
    </xf>
    <xf numFmtId="0" fontId="50" fillId="6" borderId="2" xfId="0" applyFont="1" applyFill="1" applyBorder="1" applyAlignment="1">
      <alignment horizontal="left" vertical="center" wrapText="1"/>
    </xf>
    <xf numFmtId="170" fontId="159" fillId="6" borderId="2" xfId="116" applyFont="1" applyFill="1" applyBorder="1" applyAlignment="1">
      <alignment horizontal="center" vertical="center"/>
    </xf>
    <xf numFmtId="170" fontId="159" fillId="6" borderId="4" xfId="116" applyFont="1" applyFill="1" applyBorder="1" applyAlignment="1">
      <alignment horizontal="center" vertical="center"/>
    </xf>
    <xf numFmtId="172" fontId="251" fillId="0" borderId="2" xfId="0" applyNumberFormat="1" applyFont="1" applyBorder="1" applyAlignment="1">
      <alignment horizontal="center" vertical="center" wrapText="1"/>
    </xf>
    <xf numFmtId="176" fontId="36" fillId="0" borderId="2" xfId="2510" applyNumberFormat="1" applyFont="1" applyBorder="1" applyAlignment="1">
      <alignment vertical="center" wrapText="1"/>
    </xf>
    <xf numFmtId="176" fontId="106" fillId="0" borderId="2" xfId="2510" applyNumberFormat="1" applyFont="1" applyBorder="1" applyAlignment="1"/>
    <xf numFmtId="176" fontId="106" fillId="0" borderId="4" xfId="2510" applyNumberFormat="1" applyFont="1" applyBorder="1" applyAlignment="1"/>
    <xf numFmtId="217" fontId="3" fillId="10" borderId="2" xfId="116" applyNumberFormat="1" applyFont="1" applyFill="1" applyBorder="1" applyAlignment="1">
      <alignment horizontal="center" vertical="center"/>
    </xf>
    <xf numFmtId="217" fontId="7" fillId="10" borderId="2" xfId="116" applyNumberFormat="1" applyFont="1" applyFill="1" applyBorder="1" applyAlignment="1">
      <alignment horizontal="center" vertical="center"/>
    </xf>
    <xf numFmtId="189" fontId="3" fillId="10" borderId="2" xfId="62" applyNumberFormat="1" applyFont="1" applyFill="1" applyBorder="1" applyAlignment="1">
      <alignment horizontal="center" vertical="center"/>
    </xf>
    <xf numFmtId="218" fontId="3" fillId="10" borderId="2" xfId="62" applyNumberFormat="1" applyFont="1" applyFill="1" applyBorder="1" applyAlignment="1">
      <alignment horizontal="center" vertical="center"/>
    </xf>
    <xf numFmtId="187" fontId="4" fillId="10" borderId="4" xfId="116" applyNumberFormat="1" applyFont="1" applyFill="1" applyBorder="1" applyAlignment="1" applyProtection="1">
      <alignment horizontal="center" vertical="center" wrapText="1"/>
      <protection locked="0"/>
    </xf>
    <xf numFmtId="181" fontId="7" fillId="10" borderId="2" xfId="116" applyNumberFormat="1" applyFont="1" applyFill="1" applyBorder="1" applyAlignment="1">
      <alignment horizontal="center" vertical="center"/>
    </xf>
    <xf numFmtId="181" fontId="7" fillId="10" borderId="2" xfId="62" applyNumberFormat="1" applyFont="1" applyFill="1" applyBorder="1" applyAlignment="1">
      <alignment horizontal="center"/>
    </xf>
    <xf numFmtId="170" fontId="236" fillId="6" borderId="0" xfId="116" applyFont="1" applyFill="1" applyAlignment="1">
      <alignment vertical="center"/>
    </xf>
    <xf numFmtId="170" fontId="77" fillId="0" borderId="0" xfId="4432" applyFont="1" applyFill="1" applyAlignment="1">
      <alignment horizontal="left" vertical="center"/>
    </xf>
    <xf numFmtId="170" fontId="77" fillId="0" borderId="0" xfId="4432" applyFont="1" applyFill="1" applyAlignment="1">
      <alignment horizontal="left" vertical="center" wrapText="1"/>
    </xf>
    <xf numFmtId="170" fontId="122" fillId="0" borderId="0" xfId="4432" applyFont="1" applyFill="1" applyAlignment="1">
      <alignment horizontal="left" vertical="center" wrapText="1"/>
    </xf>
    <xf numFmtId="170" fontId="122" fillId="0" borderId="0" xfId="4432" applyFont="1" applyFill="1" applyAlignment="1" applyProtection="1">
      <alignment horizontal="left" vertical="center" wrapText="1"/>
      <protection locked="0"/>
    </xf>
    <xf numFmtId="170" fontId="77" fillId="10" borderId="0" xfId="4432" applyFont="1" applyFill="1" applyAlignment="1">
      <alignment horizontal="left" vertical="center" wrapText="1"/>
    </xf>
    <xf numFmtId="170" fontId="77" fillId="10" borderId="0" xfId="4432" applyFont="1" applyFill="1" applyAlignment="1">
      <alignment horizontal="center" vertical="center"/>
    </xf>
    <xf numFmtId="170" fontId="122" fillId="10" borderId="0" xfId="4432" applyFont="1" applyFill="1" applyAlignment="1">
      <alignment horizontal="left" vertical="center" wrapText="1"/>
    </xf>
    <xf numFmtId="170" fontId="122" fillId="10" borderId="0" xfId="4432" applyFont="1" applyFill="1" applyAlignment="1">
      <alignment horizontal="center" vertical="center"/>
    </xf>
    <xf numFmtId="0" fontId="122" fillId="10" borderId="2" xfId="0" applyFont="1" applyFill="1" applyBorder="1" applyAlignment="1">
      <alignment horizontal="left" vertical="center" wrapText="1"/>
    </xf>
    <xf numFmtId="0" fontId="10" fillId="10" borderId="2" xfId="0" applyFont="1" applyFill="1" applyBorder="1" applyAlignment="1">
      <alignment horizontal="left" vertical="top"/>
    </xf>
    <xf numFmtId="0" fontId="77" fillId="10" borderId="2" xfId="0" applyFont="1" applyFill="1" applyBorder="1" applyAlignment="1">
      <alignment horizontal="left" vertical="center" wrapText="1"/>
    </xf>
    <xf numFmtId="9" fontId="106" fillId="6" borderId="2" xfId="4412" applyFont="1" applyFill="1" applyBorder="1" applyAlignment="1">
      <alignment horizontal="center"/>
    </xf>
    <xf numFmtId="10" fontId="106" fillId="6" borderId="2" xfId="4412" applyNumberFormat="1" applyFont="1" applyFill="1" applyBorder="1" applyAlignment="1">
      <alignment horizontal="center"/>
    </xf>
    <xf numFmtId="9" fontId="106" fillId="6" borderId="2" xfId="4412" applyFont="1" applyFill="1" applyBorder="1" applyAlignment="1">
      <alignment horizontal="left" wrapText="1"/>
    </xf>
    <xf numFmtId="170" fontId="106" fillId="0" borderId="2" xfId="2510" applyFont="1" applyBorder="1" applyAlignment="1">
      <alignment wrapText="1"/>
    </xf>
    <xf numFmtId="170" fontId="109" fillId="50" borderId="2" xfId="2510" applyFont="1" applyFill="1" applyBorder="1"/>
    <xf numFmtId="171" fontId="46" fillId="67" borderId="78" xfId="4436" applyNumberFormat="1" applyFill="1" applyBorder="1" applyAlignment="1">
      <alignment horizontal="right" vertical="top"/>
    </xf>
    <xf numFmtId="170" fontId="236" fillId="0" borderId="0" xfId="4432" applyFont="1" applyFill="1" applyAlignment="1">
      <alignment horizontal="center" vertical="center"/>
    </xf>
    <xf numFmtId="170" fontId="122" fillId="50" borderId="0" xfId="4432" applyFont="1" applyFill="1" applyAlignment="1">
      <alignment horizontal="center" vertical="center" wrapText="1"/>
    </xf>
    <xf numFmtId="0" fontId="122" fillId="6" borderId="0" xfId="0" applyFont="1" applyFill="1" applyAlignment="1">
      <alignment horizontal="center" vertical="center" wrapText="1"/>
    </xf>
    <xf numFmtId="0" fontId="250" fillId="6" borderId="0" xfId="0" applyFont="1" applyFill="1" applyAlignment="1">
      <alignment horizontal="left" vertical="center" wrapText="1"/>
    </xf>
    <xf numFmtId="0" fontId="250" fillId="6" borderId="0" xfId="0" applyFont="1" applyFill="1" applyAlignment="1">
      <alignment horizontal="center" vertical="center" wrapText="1"/>
    </xf>
    <xf numFmtId="170" fontId="77" fillId="6" borderId="0" xfId="4432" applyFont="1" applyFill="1" applyBorder="1" applyAlignment="1">
      <alignment horizontal="center" vertical="center"/>
    </xf>
    <xf numFmtId="170" fontId="87" fillId="6" borderId="0" xfId="4432" applyFont="1" applyFill="1" applyBorder="1" applyAlignment="1">
      <alignment horizontal="center" vertical="center"/>
    </xf>
    <xf numFmtId="170" fontId="77" fillId="6" borderId="0" xfId="4432" applyFont="1" applyFill="1" applyBorder="1" applyAlignment="1" applyProtection="1">
      <alignment horizontal="center" vertical="center"/>
      <protection locked="0"/>
    </xf>
    <xf numFmtId="3" fontId="249" fillId="6" borderId="0" xfId="0" applyNumberFormat="1" applyFont="1" applyFill="1" applyAlignment="1">
      <alignment horizontal="center" vertical="center" wrapText="1"/>
    </xf>
    <xf numFmtId="178" fontId="77" fillId="6" borderId="0" xfId="4432" applyNumberFormat="1" applyFont="1" applyFill="1" applyBorder="1" applyAlignment="1">
      <alignment horizontal="center" vertical="center"/>
    </xf>
    <xf numFmtId="170" fontId="77" fillId="6" borderId="21" xfId="4432" applyFont="1" applyFill="1" applyBorder="1" applyAlignment="1">
      <alignment horizontal="center" vertical="center"/>
    </xf>
    <xf numFmtId="170" fontId="122" fillId="6" borderId="21" xfId="4432" applyFont="1" applyFill="1" applyBorder="1" applyAlignment="1">
      <alignment horizontal="center" vertical="center"/>
    </xf>
    <xf numFmtId="175" fontId="122" fillId="0" borderId="0" xfId="4432" applyNumberFormat="1" applyFont="1" applyFill="1" applyBorder="1" applyAlignment="1">
      <alignment horizontal="center" vertical="center"/>
    </xf>
    <xf numFmtId="170" fontId="122" fillId="0" borderId="0" xfId="4432" applyFont="1" applyFill="1" applyBorder="1" applyAlignment="1">
      <alignment horizontal="center" vertical="center"/>
    </xf>
    <xf numFmtId="170" fontId="77" fillId="0" borderId="0" xfId="4432" applyFont="1" applyFill="1" applyBorder="1" applyAlignment="1">
      <alignment horizontal="center" vertical="center"/>
    </xf>
    <xf numFmtId="0" fontId="117" fillId="0" borderId="0" xfId="0" applyFont="1" applyAlignment="1">
      <alignment horizontal="center" vertical="center"/>
    </xf>
    <xf numFmtId="170" fontId="122" fillId="6" borderId="2" xfId="116" applyFont="1" applyFill="1" applyBorder="1" applyAlignment="1">
      <alignment horizontal="center" vertical="center"/>
    </xf>
    <xf numFmtId="0" fontId="250" fillId="0" borderId="2" xfId="0" applyFont="1" applyBorder="1" applyAlignment="1">
      <alignment horizontal="left" vertical="center" wrapText="1"/>
    </xf>
    <xf numFmtId="0" fontId="250" fillId="0" borderId="2" xfId="0" applyFont="1" applyBorder="1" applyAlignment="1">
      <alignment horizontal="center" vertical="center" wrapText="1"/>
    </xf>
    <xf numFmtId="0" fontId="202" fillId="0" borderId="4" xfId="0" applyFont="1" applyBorder="1" applyAlignment="1">
      <alignment horizontal="left" vertical="center"/>
    </xf>
    <xf numFmtId="0" fontId="202" fillId="0" borderId="4" xfId="0" applyFont="1" applyBorder="1" applyAlignment="1" applyProtection="1">
      <alignment horizontal="left" vertical="center"/>
      <protection locked="0"/>
    </xf>
    <xf numFmtId="170" fontId="202" fillId="0" borderId="4" xfId="116" applyFont="1" applyFill="1" applyBorder="1" applyAlignment="1">
      <alignment horizontal="center" vertical="center" wrapText="1"/>
    </xf>
    <xf numFmtId="170" fontId="202" fillId="0" borderId="4" xfId="116" applyFont="1" applyFill="1" applyBorder="1" applyAlignment="1">
      <alignment horizontal="left" vertical="center" wrapText="1"/>
    </xf>
    <xf numFmtId="176" fontId="159" fillId="0" borderId="4" xfId="116" applyNumberFormat="1" applyFont="1" applyFill="1" applyBorder="1" applyAlignment="1">
      <alignment horizontal="center" vertical="center" wrapText="1"/>
    </xf>
    <xf numFmtId="4" fontId="202" fillId="0" borderId="4" xfId="116" applyNumberFormat="1" applyFont="1" applyFill="1" applyBorder="1" applyAlignment="1">
      <alignment horizontal="center" vertical="center"/>
    </xf>
    <xf numFmtId="170" fontId="159" fillId="0" borderId="5" xfId="116" applyFont="1" applyFill="1" applyBorder="1" applyAlignment="1">
      <alignment horizontal="left" wrapText="1"/>
    </xf>
    <xf numFmtId="0" fontId="195" fillId="0" borderId="2" xfId="0" applyFont="1" applyBorder="1" applyAlignment="1">
      <alignment horizontal="left" vertical="center" wrapText="1"/>
    </xf>
    <xf numFmtId="0" fontId="202" fillId="0" borderId="2" xfId="0" applyFont="1" applyBorder="1" applyAlignment="1">
      <alignment vertical="center"/>
    </xf>
    <xf numFmtId="4" fontId="77" fillId="0" borderId="2" xfId="116" applyNumberFormat="1" applyFont="1" applyFill="1" applyBorder="1" applyAlignment="1">
      <alignment horizontal="center" vertical="center"/>
    </xf>
    <xf numFmtId="170" fontId="202" fillId="0" borderId="2" xfId="116" applyFont="1" applyFill="1" applyBorder="1" applyAlignment="1" applyProtection="1">
      <alignment horizontal="left" vertical="center" wrapText="1"/>
      <protection locked="0"/>
    </xf>
    <xf numFmtId="170" fontId="77" fillId="0" borderId="2" xfId="116" applyFont="1" applyFill="1" applyBorder="1" applyAlignment="1">
      <alignment vertical="center"/>
    </xf>
    <xf numFmtId="170" fontId="77" fillId="0" borderId="2" xfId="116" applyFont="1" applyFill="1" applyBorder="1" applyAlignment="1" applyProtection="1">
      <alignment vertical="center"/>
      <protection locked="0"/>
    </xf>
    <xf numFmtId="170" fontId="77" fillId="0" borderId="2" xfId="116" applyFont="1" applyFill="1" applyBorder="1" applyAlignment="1">
      <alignment vertical="center" wrapText="1"/>
    </xf>
    <xf numFmtId="170" fontId="77" fillId="0" borderId="2" xfId="116" applyFont="1" applyFill="1" applyBorder="1" applyAlignment="1" applyProtection="1">
      <alignment horizontal="right" vertical="center"/>
      <protection locked="0"/>
    </xf>
    <xf numFmtId="170" fontId="77" fillId="0" borderId="2" xfId="116" applyFont="1" applyFill="1" applyBorder="1" applyAlignment="1">
      <alignment horizontal="right" vertical="center"/>
    </xf>
    <xf numFmtId="170" fontId="236" fillId="0" borderId="0" xfId="116" applyFont="1" applyFill="1" applyAlignment="1">
      <alignment vertical="center"/>
    </xf>
    <xf numFmtId="170" fontId="77" fillId="0" borderId="0" xfId="116" applyFont="1" applyFill="1" applyAlignment="1">
      <alignment vertical="center"/>
    </xf>
    <xf numFmtId="181" fontId="77" fillId="0" borderId="2" xfId="116" applyNumberFormat="1" applyFont="1" applyFill="1" applyBorder="1" applyAlignment="1">
      <alignment horizontal="right" vertical="center"/>
    </xf>
    <xf numFmtId="0" fontId="202" fillId="0" borderId="21" xfId="116" applyNumberFormat="1" applyFont="1" applyFill="1" applyBorder="1" applyAlignment="1" applyProtection="1">
      <alignment horizontal="center" vertical="center" wrapText="1"/>
      <protection locked="0"/>
    </xf>
    <xf numFmtId="0" fontId="202" fillId="0" borderId="21" xfId="116" applyNumberFormat="1" applyFont="1" applyFill="1" applyBorder="1" applyAlignment="1" applyProtection="1">
      <alignment horizontal="left" vertical="center" wrapText="1"/>
      <protection locked="0"/>
    </xf>
    <xf numFmtId="0" fontId="122" fillId="0" borderId="2" xfId="116" applyNumberFormat="1" applyFont="1" applyFill="1" applyBorder="1" applyAlignment="1">
      <alignment horizontal="center" vertical="center" wrapText="1"/>
    </xf>
    <xf numFmtId="170" fontId="77" fillId="0" borderId="0" xfId="116" applyFont="1" applyFill="1" applyAlignment="1" applyProtection="1">
      <alignment vertical="center"/>
      <protection locked="0"/>
    </xf>
    <xf numFmtId="170" fontId="50" fillId="0" borderId="2" xfId="116" applyFont="1" applyFill="1" applyBorder="1" applyAlignment="1">
      <alignment horizontal="left" vertical="center" wrapText="1"/>
    </xf>
    <xf numFmtId="170" fontId="178" fillId="0" borderId="2" xfId="0" applyNumberFormat="1" applyFont="1" applyBorder="1" applyAlignment="1">
      <alignment horizontal="center" vertical="center" wrapText="1"/>
    </xf>
    <xf numFmtId="170" fontId="245" fillId="0" borderId="0" xfId="4432" applyFont="1" applyFill="1" applyAlignment="1">
      <alignment horizontal="center" vertical="center"/>
    </xf>
    <xf numFmtId="176" fontId="36" fillId="0" borderId="2" xfId="122" applyNumberFormat="1" applyFont="1" applyFill="1" applyBorder="1" applyAlignment="1">
      <alignment horizontal="center" vertical="center" wrapText="1"/>
    </xf>
    <xf numFmtId="0" fontId="36" fillId="0" borderId="2" xfId="34" applyFont="1" applyBorder="1" applyAlignment="1">
      <alignment horizontal="right" vertical="center" wrapText="1"/>
    </xf>
    <xf numFmtId="49" fontId="36" fillId="0" borderId="2" xfId="34" applyNumberFormat="1" applyFont="1" applyBorder="1" applyAlignment="1">
      <alignment horizontal="center" vertical="center" wrapText="1"/>
    </xf>
    <xf numFmtId="176" fontId="35" fillId="0" borderId="0" xfId="122" applyNumberFormat="1" applyFont="1" applyFill="1" applyAlignment="1">
      <alignment vertical="center"/>
    </xf>
    <xf numFmtId="170" fontId="50" fillId="6" borderId="4" xfId="116" applyFont="1" applyFill="1" applyBorder="1" applyAlignment="1">
      <alignment horizontal="left" vertical="center" wrapText="1"/>
    </xf>
    <xf numFmtId="170" fontId="184" fillId="0" borderId="2" xfId="116" applyFont="1" applyFill="1" applyBorder="1" applyAlignment="1">
      <alignment vertical="center"/>
    </xf>
    <xf numFmtId="170" fontId="57" fillId="0" borderId="2" xfId="116" applyFont="1" applyFill="1" applyBorder="1" applyAlignment="1">
      <alignment vertical="center" wrapText="1"/>
    </xf>
    <xf numFmtId="170" fontId="202" fillId="0" borderId="2" xfId="116" applyFont="1" applyFill="1" applyBorder="1" applyAlignment="1" applyProtection="1">
      <alignment horizontal="justify" vertical="distributed"/>
      <protection locked="0"/>
    </xf>
    <xf numFmtId="170" fontId="249" fillId="0" borderId="2" xfId="0" applyNumberFormat="1" applyFont="1" applyBorder="1" applyAlignment="1">
      <alignment horizontal="justify" vertical="distributed" wrapText="1"/>
    </xf>
    <xf numFmtId="170" fontId="202" fillId="0" borderId="2" xfId="116" applyFont="1" applyFill="1" applyBorder="1" applyAlignment="1">
      <alignment horizontal="justify" vertical="distributed"/>
    </xf>
    <xf numFmtId="170" fontId="122" fillId="0" borderId="2" xfId="116" applyFont="1" applyFill="1" applyBorder="1" applyAlignment="1">
      <alignment horizontal="justify" vertical="distributed"/>
    </xf>
    <xf numFmtId="170" fontId="122" fillId="6" borderId="2" xfId="116" applyFont="1" applyFill="1" applyBorder="1" applyAlignment="1">
      <alignment horizontal="justify" vertical="distributed"/>
    </xf>
    <xf numFmtId="170" fontId="122" fillId="0" borderId="0" xfId="116" applyFont="1" applyFill="1" applyAlignment="1">
      <alignment horizontal="justify" vertical="distributed"/>
    </xf>
    <xf numFmtId="170" fontId="251" fillId="0" borderId="2" xfId="116" applyFont="1" applyFill="1" applyBorder="1" applyAlignment="1" applyProtection="1">
      <alignment horizontal="justify" vertical="distributed"/>
      <protection locked="0"/>
    </xf>
    <xf numFmtId="0" fontId="122" fillId="0" borderId="2" xfId="116" applyNumberFormat="1" applyFont="1" applyFill="1" applyBorder="1" applyAlignment="1">
      <alignment horizontal="left" vertical="center" wrapText="1"/>
    </xf>
    <xf numFmtId="170" fontId="249" fillId="0" borderId="2" xfId="0" applyNumberFormat="1" applyFont="1" applyBorder="1" applyAlignment="1">
      <alignment vertical="distributed" wrapText="1"/>
    </xf>
    <xf numFmtId="170" fontId="122" fillId="0" borderId="2" xfId="116" applyFont="1" applyFill="1" applyBorder="1" applyAlignment="1">
      <alignment vertical="distributed"/>
    </xf>
    <xf numFmtId="170" fontId="202" fillId="0" borderId="2" xfId="116" applyFont="1" applyFill="1" applyBorder="1" applyAlignment="1" applyProtection="1">
      <alignment vertical="distributed"/>
      <protection locked="0"/>
    </xf>
    <xf numFmtId="170" fontId="50" fillId="6" borderId="2" xfId="116" applyFont="1" applyFill="1" applyBorder="1" applyAlignment="1">
      <alignment horizontal="center" vertical="center" wrapText="1"/>
    </xf>
    <xf numFmtId="0" fontId="122" fillId="0" borderId="2" xfId="0" applyFont="1" applyBorder="1" applyAlignment="1">
      <alignment horizontal="center" vertical="center"/>
    </xf>
    <xf numFmtId="43" fontId="202" fillId="0" borderId="4" xfId="0" applyNumberFormat="1" applyFont="1" applyBorder="1" applyAlignment="1">
      <alignment vertical="center"/>
    </xf>
    <xf numFmtId="43" fontId="202" fillId="0" borderId="2" xfId="0" applyNumberFormat="1" applyFont="1" applyBorder="1" applyAlignment="1">
      <alignment vertical="center"/>
    </xf>
    <xf numFmtId="176" fontId="202" fillId="6" borderId="4" xfId="0" applyNumberFormat="1" applyFont="1" applyFill="1" applyBorder="1" applyAlignment="1">
      <alignment horizontal="center" vertical="center"/>
    </xf>
    <xf numFmtId="176" fontId="202" fillId="6" borderId="2" xfId="0" applyNumberFormat="1" applyFont="1" applyFill="1" applyBorder="1" applyAlignment="1">
      <alignment horizontal="center" vertical="center"/>
    </xf>
    <xf numFmtId="0" fontId="30" fillId="10" borderId="0" xfId="0" applyFont="1" applyFill="1" applyAlignment="1">
      <alignment vertical="center"/>
    </xf>
    <xf numFmtId="0" fontId="105" fillId="10" borderId="0" xfId="0" applyFont="1" applyFill="1"/>
    <xf numFmtId="9" fontId="106" fillId="0" borderId="2" xfId="4412" applyFont="1" applyFill="1" applyBorder="1" applyAlignment="1">
      <alignment horizontal="left" wrapText="1"/>
    </xf>
    <xf numFmtId="170" fontId="122" fillId="71" borderId="2" xfId="116" applyFont="1" applyFill="1" applyBorder="1" applyAlignment="1">
      <alignment horizontal="justify" vertical="distributed"/>
    </xf>
    <xf numFmtId="170" fontId="178" fillId="10" borderId="2" xfId="0" applyNumberFormat="1" applyFont="1" applyFill="1" applyBorder="1" applyAlignment="1">
      <alignment horizontal="center" vertical="center" wrapText="1"/>
    </xf>
    <xf numFmtId="176" fontId="122" fillId="0" borderId="2" xfId="0" applyNumberFormat="1" applyFont="1" applyBorder="1" applyAlignment="1">
      <alignment horizontal="center" vertical="center"/>
    </xf>
    <xf numFmtId="175" fontId="4" fillId="0" borderId="2" xfId="116" applyNumberFormat="1" applyFont="1" applyFill="1" applyBorder="1" applyAlignment="1">
      <alignment horizontal="center" vertical="center" wrapText="1"/>
    </xf>
    <xf numFmtId="175" fontId="4" fillId="0" borderId="2" xfId="116" applyNumberFormat="1" applyFont="1" applyFill="1" applyBorder="1" applyAlignment="1">
      <alignment horizontal="center" vertical="center"/>
    </xf>
    <xf numFmtId="1" fontId="4" fillId="0" borderId="2" xfId="116" applyNumberFormat="1" applyFont="1" applyFill="1" applyBorder="1" applyAlignment="1">
      <alignment horizontal="center" vertical="center" wrapText="1"/>
    </xf>
    <xf numFmtId="0" fontId="8" fillId="0" borderId="2" xfId="102" applyFont="1" applyBorder="1" applyAlignment="1">
      <alignment horizontal="center" vertical="center" wrapText="1"/>
    </xf>
    <xf numFmtId="0" fontId="154" fillId="10" borderId="2" xfId="0" applyFont="1" applyFill="1" applyBorder="1"/>
    <xf numFmtId="4" fontId="105" fillId="10" borderId="2" xfId="0" applyNumberFormat="1" applyFont="1" applyFill="1" applyBorder="1"/>
    <xf numFmtId="0" fontId="105" fillId="10" borderId="2" xfId="0" applyFont="1" applyFill="1" applyBorder="1"/>
    <xf numFmtId="170" fontId="185" fillId="0" borderId="0" xfId="116" applyFont="1"/>
    <xf numFmtId="170" fontId="185" fillId="10" borderId="0" xfId="116" applyFont="1" applyFill="1"/>
    <xf numFmtId="0" fontId="253" fillId="0" borderId="0" xfId="4839" applyAlignment="1">
      <alignment horizontal="left"/>
    </xf>
    <xf numFmtId="0" fontId="253" fillId="0" borderId="0" xfId="4839"/>
    <xf numFmtId="0" fontId="253" fillId="0" borderId="0" xfId="4839" applyAlignment="1">
      <alignment horizontal="left" vertical="top"/>
    </xf>
    <xf numFmtId="0" fontId="254" fillId="72" borderId="79" xfId="4839" applyFont="1" applyFill="1" applyBorder="1" applyAlignment="1">
      <alignment horizontal="left" vertical="top" wrapText="1"/>
    </xf>
    <xf numFmtId="1" fontId="254" fillId="73" borderId="83" xfId="4839" applyNumberFormat="1" applyFont="1" applyFill="1" applyBorder="1" applyAlignment="1">
      <alignment horizontal="right" vertical="top"/>
    </xf>
    <xf numFmtId="3" fontId="254" fillId="73" borderId="83" xfId="4839" applyNumberFormat="1" applyFont="1" applyFill="1" applyBorder="1" applyAlignment="1">
      <alignment horizontal="right" vertical="top"/>
    </xf>
    <xf numFmtId="4" fontId="254" fillId="73" borderId="83" xfId="4839" applyNumberFormat="1" applyFont="1" applyFill="1" applyBorder="1" applyAlignment="1">
      <alignment horizontal="right" vertical="top"/>
    </xf>
    <xf numFmtId="1" fontId="255" fillId="74" borderId="83" xfId="4839" applyNumberFormat="1" applyFont="1" applyFill="1" applyBorder="1" applyAlignment="1">
      <alignment horizontal="right" vertical="top"/>
    </xf>
    <xf numFmtId="3" fontId="255" fillId="74" borderId="83" xfId="4839" applyNumberFormat="1" applyFont="1" applyFill="1" applyBorder="1" applyAlignment="1">
      <alignment horizontal="right" vertical="top"/>
    </xf>
    <xf numFmtId="4" fontId="255" fillId="74" borderId="83" xfId="4839" applyNumberFormat="1" applyFont="1" applyFill="1" applyBorder="1" applyAlignment="1">
      <alignment horizontal="right" vertical="top"/>
    </xf>
    <xf numFmtId="1" fontId="253" fillId="74" borderId="83" xfId="4839" applyNumberFormat="1" applyFill="1" applyBorder="1" applyAlignment="1">
      <alignment horizontal="right" vertical="top"/>
    </xf>
    <xf numFmtId="3" fontId="253" fillId="74" borderId="83" xfId="4839" applyNumberFormat="1" applyFill="1" applyBorder="1" applyAlignment="1">
      <alignment horizontal="right" vertical="top"/>
    </xf>
    <xf numFmtId="4" fontId="253" fillId="74" borderId="83" xfId="4839" applyNumberFormat="1" applyFill="1" applyBorder="1" applyAlignment="1">
      <alignment horizontal="right" vertical="top"/>
    </xf>
    <xf numFmtId="219" fontId="253" fillId="0" borderId="83" xfId="4839" applyNumberFormat="1" applyBorder="1" applyAlignment="1">
      <alignment horizontal="left" vertical="top" wrapText="1"/>
    </xf>
    <xf numFmtId="0" fontId="253" fillId="0" borderId="83" xfId="4839" applyBorder="1" applyAlignment="1">
      <alignment horizontal="left" vertical="top" wrapText="1"/>
    </xf>
    <xf numFmtId="1" fontId="253" fillId="0" borderId="83" xfId="4839" applyNumberFormat="1" applyBorder="1" applyAlignment="1">
      <alignment horizontal="right" vertical="top"/>
    </xf>
    <xf numFmtId="3" fontId="253" fillId="0" borderId="83" xfId="4839" applyNumberFormat="1" applyBorder="1" applyAlignment="1">
      <alignment horizontal="right" vertical="top"/>
    </xf>
    <xf numFmtId="4" fontId="253" fillId="0" borderId="83" xfId="4839" applyNumberFormat="1" applyBorder="1" applyAlignment="1">
      <alignment horizontal="right" vertical="top"/>
    </xf>
    <xf numFmtId="172" fontId="253" fillId="0" borderId="83" xfId="4839" applyNumberFormat="1" applyBorder="1" applyAlignment="1">
      <alignment horizontal="right" vertical="top"/>
    </xf>
    <xf numFmtId="1" fontId="254" fillId="72" borderId="79" xfId="4839" applyNumberFormat="1" applyFont="1" applyFill="1" applyBorder="1" applyAlignment="1">
      <alignment horizontal="right" vertical="top"/>
    </xf>
    <xf numFmtId="3" fontId="254" fillId="72" borderId="79" xfId="4839" applyNumberFormat="1" applyFont="1" applyFill="1" applyBorder="1" applyAlignment="1">
      <alignment horizontal="right" vertical="top"/>
    </xf>
    <xf numFmtId="4" fontId="254" fillId="72" borderId="79" xfId="4839" applyNumberFormat="1" applyFont="1" applyFill="1" applyBorder="1" applyAlignment="1">
      <alignment horizontal="right" vertical="top"/>
    </xf>
    <xf numFmtId="4" fontId="253" fillId="0" borderId="84" xfId="4839" applyNumberFormat="1" applyBorder="1" applyAlignment="1">
      <alignment horizontal="right" vertical="top"/>
    </xf>
    <xf numFmtId="4" fontId="254" fillId="72" borderId="85" xfId="4839" applyNumberFormat="1" applyFont="1" applyFill="1" applyBorder="1" applyAlignment="1">
      <alignment horizontal="right" vertical="top"/>
    </xf>
    <xf numFmtId="0" fontId="253" fillId="0" borderId="2" xfId="4839" applyBorder="1"/>
    <xf numFmtId="1" fontId="253" fillId="10" borderId="83" xfId="4839" applyNumberFormat="1" applyFill="1" applyBorder="1" applyAlignment="1">
      <alignment horizontal="right" vertical="top"/>
    </xf>
    <xf numFmtId="3" fontId="253" fillId="10" borderId="83" xfId="4839" applyNumberFormat="1" applyFill="1" applyBorder="1" applyAlignment="1">
      <alignment horizontal="right" vertical="top"/>
    </xf>
    <xf numFmtId="4" fontId="253" fillId="10" borderId="83" xfId="4839" applyNumberFormat="1" applyFill="1" applyBorder="1" applyAlignment="1">
      <alignment horizontal="right" vertical="top"/>
    </xf>
    <xf numFmtId="4" fontId="253" fillId="10" borderId="84" xfId="4839" applyNumberFormat="1" applyFill="1" applyBorder="1" applyAlignment="1">
      <alignment horizontal="right" vertical="top"/>
    </xf>
    <xf numFmtId="0" fontId="253" fillId="10" borderId="2" xfId="4839" applyFill="1" applyBorder="1"/>
    <xf numFmtId="0" fontId="253" fillId="10" borderId="0" xfId="4839" applyFill="1"/>
    <xf numFmtId="172" fontId="253" fillId="10" borderId="83" xfId="4839" applyNumberFormat="1" applyFill="1" applyBorder="1" applyAlignment="1">
      <alignment horizontal="right" vertical="top"/>
    </xf>
    <xf numFmtId="4" fontId="255" fillId="74" borderId="86" xfId="4839" applyNumberFormat="1" applyFont="1" applyFill="1" applyBorder="1" applyAlignment="1">
      <alignment horizontal="right" vertical="top"/>
    </xf>
    <xf numFmtId="4" fontId="257" fillId="10" borderId="2" xfId="4839" applyNumberFormat="1" applyFont="1" applyFill="1" applyBorder="1"/>
    <xf numFmtId="4" fontId="253" fillId="0" borderId="2" xfId="4839" applyNumberFormat="1" applyBorder="1" applyAlignment="1">
      <alignment horizontal="right" vertical="top"/>
    </xf>
    <xf numFmtId="4" fontId="257" fillId="10" borderId="2" xfId="4839" applyNumberFormat="1" applyFont="1" applyFill="1" applyBorder="1" applyAlignment="1">
      <alignment horizontal="right" vertical="top"/>
    </xf>
    <xf numFmtId="4" fontId="257" fillId="74" borderId="83" xfId="4839" applyNumberFormat="1" applyFont="1" applyFill="1" applyBorder="1" applyAlignment="1">
      <alignment horizontal="right" vertical="top"/>
    </xf>
    <xf numFmtId="0" fontId="5" fillId="0" borderId="18" xfId="0" applyFont="1" applyBorder="1" applyAlignment="1">
      <alignment horizontal="center" vertical="center" wrapText="1"/>
    </xf>
    <xf numFmtId="0" fontId="178" fillId="0" borderId="2" xfId="0" applyFont="1" applyBorder="1" applyAlignment="1">
      <alignment horizontal="center" vertical="center" wrapText="1"/>
    </xf>
    <xf numFmtId="170" fontId="79" fillId="0" borderId="2" xfId="116" applyFont="1" applyBorder="1" applyAlignment="1">
      <alignment horizontal="center" vertical="center"/>
    </xf>
    <xf numFmtId="175" fontId="6" fillId="0" borderId="7" xfId="116" applyNumberFormat="1" applyFont="1" applyBorder="1" applyAlignment="1" applyProtection="1">
      <alignment horizontal="center" vertical="center"/>
      <protection locked="0"/>
    </xf>
    <xf numFmtId="170" fontId="105" fillId="0" borderId="2" xfId="0" applyNumberFormat="1" applyFont="1" applyBorder="1"/>
    <xf numFmtId="0" fontId="159" fillId="0" borderId="2" xfId="0" applyFont="1" applyBorder="1" applyAlignment="1">
      <alignment horizontal="center" vertical="center" wrapText="1"/>
    </xf>
    <xf numFmtId="0" fontId="159" fillId="6" borderId="2" xfId="0" applyFont="1" applyFill="1" applyBorder="1" applyAlignment="1">
      <alignment horizontal="center" vertical="center" wrapText="1"/>
    </xf>
    <xf numFmtId="170" fontId="159" fillId="6" borderId="2" xfId="4432" applyFont="1" applyFill="1" applyBorder="1" applyAlignment="1">
      <alignment horizontal="center" vertical="center"/>
    </xf>
    <xf numFmtId="170" fontId="159" fillId="6" borderId="2" xfId="122" applyFont="1" applyFill="1" applyBorder="1" applyAlignment="1">
      <alignment horizontal="center" vertical="center" wrapText="1"/>
    </xf>
    <xf numFmtId="170" fontId="178" fillId="0" borderId="4" xfId="4432" applyFont="1" applyFill="1" applyBorder="1" applyAlignment="1">
      <alignment horizontal="center" vertical="center" wrapText="1"/>
    </xf>
    <xf numFmtId="170" fontId="178" fillId="0" borderId="10" xfId="4432" applyFont="1" applyFill="1" applyBorder="1" applyAlignment="1">
      <alignment horizontal="center" vertical="center" wrapText="1"/>
    </xf>
    <xf numFmtId="170" fontId="178" fillId="0" borderId="2" xfId="4432" applyFont="1" applyFill="1" applyBorder="1" applyAlignment="1">
      <alignment horizontal="center" vertical="center" wrapText="1"/>
    </xf>
    <xf numFmtId="170" fontId="178" fillId="6" borderId="2" xfId="4432" applyFont="1" applyFill="1" applyBorder="1" applyAlignment="1">
      <alignment horizontal="center" vertical="center" wrapText="1"/>
    </xf>
    <xf numFmtId="170" fontId="178" fillId="0" borderId="7" xfId="4432" applyFont="1" applyFill="1" applyBorder="1" applyAlignment="1">
      <alignment horizontal="center" vertical="center" wrapText="1"/>
    </xf>
    <xf numFmtId="170" fontId="178" fillId="0" borderId="24" xfId="4432" applyFont="1" applyFill="1" applyBorder="1" applyAlignment="1">
      <alignment horizontal="center" vertical="center" wrapText="1"/>
    </xf>
    <xf numFmtId="175" fontId="160" fillId="0" borderId="2" xfId="4432" applyNumberFormat="1" applyFont="1" applyFill="1" applyBorder="1" applyAlignment="1">
      <alignment horizontal="center" vertical="center"/>
    </xf>
    <xf numFmtId="170" fontId="178" fillId="0" borderId="2" xfId="4432" applyFont="1" applyFill="1" applyBorder="1" applyAlignment="1">
      <alignment horizontal="center" vertical="center"/>
    </xf>
    <xf numFmtId="170" fontId="160" fillId="0" borderId="2" xfId="4432" applyFont="1" applyFill="1" applyBorder="1" applyAlignment="1">
      <alignment horizontal="center" vertical="center" wrapText="1"/>
    </xf>
    <xf numFmtId="170" fontId="160" fillId="0" borderId="2" xfId="4432" applyFont="1" applyFill="1" applyBorder="1" applyAlignment="1">
      <alignment horizontal="center" vertical="center"/>
    </xf>
    <xf numFmtId="170" fontId="95" fillId="0" borderId="2" xfId="4432" applyFont="1" applyFill="1" applyBorder="1" applyAlignment="1">
      <alignment horizontal="center" vertical="center"/>
    </xf>
    <xf numFmtId="176" fontId="178" fillId="0" borderId="2" xfId="4432" applyNumberFormat="1" applyFont="1" applyFill="1" applyBorder="1" applyAlignment="1">
      <alignment horizontal="center" vertical="center"/>
    </xf>
    <xf numFmtId="170" fontId="178" fillId="0" borderId="6" xfId="4432" applyFont="1" applyFill="1" applyBorder="1" applyAlignment="1">
      <alignment horizontal="center" vertical="center"/>
    </xf>
    <xf numFmtId="170" fontId="159" fillId="0" borderId="4" xfId="4432" applyFont="1" applyFill="1" applyBorder="1" applyAlignment="1">
      <alignment horizontal="center" vertical="center"/>
    </xf>
    <xf numFmtId="170" fontId="159" fillId="0" borderId="2" xfId="4432" applyFont="1" applyFill="1" applyBorder="1" applyAlignment="1" applyProtection="1">
      <alignment horizontal="center" vertical="center"/>
      <protection locked="0"/>
    </xf>
    <xf numFmtId="170" fontId="159" fillId="0" borderId="2" xfId="4432" applyFont="1" applyFill="1" applyBorder="1" applyAlignment="1">
      <alignment horizontal="center" vertical="center" wrapText="1"/>
    </xf>
    <xf numFmtId="170" fontId="159" fillId="0" borderId="2" xfId="4432" applyFont="1" applyFill="1" applyBorder="1" applyAlignment="1">
      <alignment horizontal="center" vertical="center"/>
    </xf>
    <xf numFmtId="0" fontId="159" fillId="0" borderId="2" xfId="122" applyNumberFormat="1" applyFont="1" applyFill="1" applyBorder="1" applyAlignment="1">
      <alignment horizontal="center" vertical="center"/>
    </xf>
    <xf numFmtId="43" fontId="159" fillId="0" borderId="2" xfId="122" applyNumberFormat="1" applyFont="1" applyFill="1" applyBorder="1" applyAlignment="1">
      <alignment horizontal="center" vertical="center"/>
    </xf>
    <xf numFmtId="170" fontId="159" fillId="0" borderId="0" xfId="4432" applyFont="1" applyFill="1" applyAlignment="1">
      <alignment horizontal="center" vertical="center"/>
    </xf>
    <xf numFmtId="170" fontId="159" fillId="0" borderId="6" xfId="4432" applyFont="1" applyFill="1" applyBorder="1" applyAlignment="1">
      <alignment horizontal="center" vertical="center"/>
    </xf>
    <xf numFmtId="170" fontId="159" fillId="6" borderId="4" xfId="4432" applyFont="1" applyFill="1" applyBorder="1" applyAlignment="1">
      <alignment horizontal="center" vertical="center"/>
    </xf>
    <xf numFmtId="170" fontId="159" fillId="6" borderId="2" xfId="4432" applyFont="1" applyFill="1" applyBorder="1" applyAlignment="1" applyProtection="1">
      <alignment horizontal="center" vertical="center"/>
      <protection locked="0"/>
    </xf>
    <xf numFmtId="170" fontId="159" fillId="6" borderId="2" xfId="4432" applyFont="1" applyFill="1" applyBorder="1" applyAlignment="1">
      <alignment horizontal="center" vertical="center" wrapText="1"/>
    </xf>
    <xf numFmtId="170" fontId="159" fillId="6" borderId="0" xfId="4432" applyFont="1" applyFill="1" applyAlignment="1">
      <alignment horizontal="center" vertical="center"/>
    </xf>
    <xf numFmtId="170" fontId="159" fillId="6" borderId="6" xfId="4432" applyFont="1" applyFill="1" applyBorder="1" applyAlignment="1">
      <alignment horizontal="center" vertical="center"/>
    </xf>
    <xf numFmtId="0" fontId="159" fillId="6" borderId="2" xfId="122" applyNumberFormat="1" applyFont="1" applyFill="1" applyBorder="1" applyAlignment="1">
      <alignment horizontal="center" vertical="center"/>
    </xf>
    <xf numFmtId="170" fontId="159" fillId="6" borderId="0" xfId="4432" applyFont="1" applyFill="1" applyBorder="1" applyAlignment="1">
      <alignment horizontal="center" vertical="center"/>
    </xf>
    <xf numFmtId="170" fontId="159" fillId="0" borderId="0" xfId="4432" applyFont="1" applyFill="1" applyAlignment="1">
      <alignment horizontal="center" vertical="center" wrapText="1"/>
    </xf>
    <xf numFmtId="170" fontId="159" fillId="6" borderId="2" xfId="122" applyFont="1" applyFill="1" applyBorder="1" applyAlignment="1">
      <alignment horizontal="center" vertical="center"/>
    </xf>
    <xf numFmtId="0" fontId="159" fillId="6" borderId="2" xfId="4433" applyNumberFormat="1" applyFont="1" applyFill="1" applyBorder="1" applyAlignment="1">
      <alignment horizontal="center" vertical="center" wrapText="1"/>
    </xf>
    <xf numFmtId="170" fontId="159" fillId="0" borderId="2" xfId="122" applyFont="1" applyFill="1" applyBorder="1" applyAlignment="1">
      <alignment horizontal="center" vertical="center"/>
    </xf>
    <xf numFmtId="170" fontId="159" fillId="0" borderId="4" xfId="4432" applyFont="1" applyFill="1" applyBorder="1" applyAlignment="1">
      <alignment horizontal="center" vertical="center" wrapText="1"/>
    </xf>
    <xf numFmtId="170" fontId="159" fillId="0" borderId="2" xfId="116" applyFont="1" applyFill="1" applyBorder="1" applyAlignment="1">
      <alignment horizontal="center" vertical="center" wrapText="1"/>
    </xf>
    <xf numFmtId="170" fontId="159" fillId="0" borderId="0" xfId="4432" applyFont="1" applyFill="1" applyBorder="1" applyAlignment="1">
      <alignment horizontal="center" vertical="center" wrapText="1"/>
    </xf>
    <xf numFmtId="170" fontId="159" fillId="0" borderId="6" xfId="4432" applyFont="1" applyFill="1" applyBorder="1" applyAlignment="1">
      <alignment horizontal="center" vertical="center" wrapText="1"/>
    </xf>
    <xf numFmtId="0" fontId="159" fillId="6" borderId="75" xfId="0" applyFont="1" applyFill="1" applyBorder="1" applyAlignment="1">
      <alignment horizontal="center" vertical="center"/>
    </xf>
    <xf numFmtId="0" fontId="159" fillId="6" borderId="2" xfId="0" applyFont="1" applyFill="1" applyBorder="1" applyAlignment="1" applyProtection="1">
      <alignment horizontal="center" vertical="center" wrapText="1"/>
      <protection locked="0"/>
    </xf>
    <xf numFmtId="0" fontId="159" fillId="0" borderId="2" xfId="0" applyFont="1" applyBorder="1" applyAlignment="1" applyProtection="1">
      <alignment horizontal="center" vertical="center" wrapText="1"/>
      <protection locked="0"/>
    </xf>
    <xf numFmtId="0" fontId="159" fillId="0" borderId="4" xfId="0" applyFont="1" applyBorder="1" applyAlignment="1">
      <alignment horizontal="center" vertical="center" wrapText="1"/>
    </xf>
    <xf numFmtId="3" fontId="139" fillId="0" borderId="2" xfId="0" applyNumberFormat="1" applyFont="1" applyBorder="1" applyAlignment="1">
      <alignment horizontal="center" vertical="center" wrapText="1"/>
    </xf>
    <xf numFmtId="3" fontId="139" fillId="0" borderId="4" xfId="0" applyNumberFormat="1" applyFont="1" applyBorder="1" applyAlignment="1">
      <alignment horizontal="center" vertical="center" wrapText="1"/>
    </xf>
    <xf numFmtId="0" fontId="252" fillId="0" borderId="0" xfId="0" applyFont="1" applyAlignment="1">
      <alignment horizontal="center" vertical="center" wrapText="1"/>
    </xf>
    <xf numFmtId="0" fontId="136" fillId="0" borderId="0" xfId="0" applyFont="1" applyAlignment="1">
      <alignment horizontal="center" vertical="center" wrapText="1"/>
    </xf>
    <xf numFmtId="170" fontId="122" fillId="0" borderId="2" xfId="4432" applyFont="1" applyFill="1" applyBorder="1" applyAlignment="1">
      <alignment horizontal="center" vertical="center"/>
    </xf>
    <xf numFmtId="170" fontId="245" fillId="0" borderId="2" xfId="4432" applyFont="1" applyFill="1" applyBorder="1" applyAlignment="1">
      <alignment horizontal="center" vertical="center"/>
    </xf>
    <xf numFmtId="0" fontId="159" fillId="6" borderId="0" xfId="0" applyFont="1" applyFill="1" applyAlignment="1">
      <alignment horizontal="center" vertical="center"/>
    </xf>
    <xf numFmtId="0" fontId="159" fillId="0" borderId="0" xfId="0" applyFont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105" fillId="0" borderId="4" xfId="0" applyFont="1" applyBorder="1" applyAlignment="1" applyProtection="1">
      <alignment horizontal="center" vertical="center"/>
      <protection locked="0"/>
    </xf>
    <xf numFmtId="185" fontId="105" fillId="0" borderId="4" xfId="0" applyNumberFormat="1" applyFont="1" applyBorder="1" applyAlignment="1">
      <alignment horizontal="center" vertical="center"/>
    </xf>
    <xf numFmtId="0" fontId="77" fillId="6" borderId="4" xfId="0" applyFont="1" applyFill="1" applyBorder="1" applyAlignment="1">
      <alignment horizontal="center" vertical="center"/>
    </xf>
    <xf numFmtId="175" fontId="6" fillId="0" borderId="4" xfId="116" applyNumberFormat="1" applyFont="1" applyBorder="1" applyAlignment="1" applyProtection="1">
      <alignment horizontal="center" vertical="center"/>
      <protection locked="0"/>
    </xf>
    <xf numFmtId="3" fontId="34" fillId="0" borderId="2" xfId="94" applyNumberFormat="1" applyFont="1" applyBorder="1" applyAlignment="1">
      <alignment vertical="center"/>
    </xf>
    <xf numFmtId="170" fontId="4" fillId="0" borderId="2" xfId="4432" applyFont="1" applyFill="1" applyBorder="1" applyAlignment="1">
      <alignment horizontal="center" vertical="center"/>
    </xf>
    <xf numFmtId="170" fontId="178" fillId="0" borderId="2" xfId="4432" applyFont="1" applyFill="1" applyBorder="1" applyAlignment="1" applyProtection="1">
      <alignment vertical="center"/>
      <protection locked="0"/>
    </xf>
    <xf numFmtId="170" fontId="178" fillId="0" borderId="2" xfId="4432" applyFont="1" applyFill="1" applyBorder="1" applyAlignment="1">
      <alignment horizontal="left" vertical="center"/>
    </xf>
    <xf numFmtId="170" fontId="245" fillId="0" borderId="2" xfId="4432" applyFont="1" applyFill="1" applyBorder="1" applyAlignment="1">
      <alignment horizontal="left" vertical="center"/>
    </xf>
    <xf numFmtId="178" fontId="122" fillId="0" borderId="2" xfId="0" applyNumberFormat="1" applyFont="1" applyBorder="1" applyAlignment="1">
      <alignment horizontal="center" vertical="center"/>
    </xf>
    <xf numFmtId="2" fontId="122" fillId="0" borderId="2" xfId="0" applyNumberFormat="1" applyFont="1" applyBorder="1" applyAlignment="1">
      <alignment horizontal="center" vertical="center"/>
    </xf>
    <xf numFmtId="170" fontId="122" fillId="0" borderId="2" xfId="0" applyNumberFormat="1" applyFont="1" applyBorder="1" applyAlignment="1">
      <alignment horizontal="center" vertical="center"/>
    </xf>
    <xf numFmtId="170" fontId="122" fillId="0" borderId="4" xfId="116" applyFont="1" applyFill="1" applyBorder="1" applyAlignment="1">
      <alignment horizontal="left" vertical="center"/>
    </xf>
    <xf numFmtId="170" fontId="122" fillId="0" borderId="2" xfId="116" applyFont="1" applyFill="1" applyBorder="1" applyAlignment="1">
      <alignment horizontal="left" vertical="center"/>
    </xf>
    <xf numFmtId="4" fontId="122" fillId="0" borderId="0" xfId="0" applyNumberFormat="1" applyFont="1" applyAlignment="1">
      <alignment horizontal="center" vertical="center"/>
    </xf>
    <xf numFmtId="0" fontId="159" fillId="10" borderId="2" xfId="0" applyFont="1" applyFill="1" applyBorder="1" applyAlignment="1">
      <alignment horizontal="center" vertical="center"/>
    </xf>
    <xf numFmtId="0" fontId="159" fillId="10" borderId="2" xfId="0" applyFont="1" applyFill="1" applyBorder="1" applyAlignment="1">
      <alignment horizontal="center" vertical="center" wrapText="1"/>
    </xf>
    <xf numFmtId="170" fontId="159" fillId="10" borderId="4" xfId="4432" applyFont="1" applyFill="1" applyBorder="1" applyAlignment="1">
      <alignment horizontal="center" vertical="center"/>
    </xf>
    <xf numFmtId="170" fontId="159" fillId="10" borderId="2" xfId="4432" applyFont="1" applyFill="1" applyBorder="1" applyAlignment="1" applyProtection="1">
      <alignment horizontal="center" vertical="center"/>
      <protection locked="0"/>
    </xf>
    <xf numFmtId="170" fontId="159" fillId="10" borderId="2" xfId="4432" applyFont="1" applyFill="1" applyBorder="1" applyAlignment="1">
      <alignment horizontal="center" vertical="center" wrapText="1"/>
    </xf>
    <xf numFmtId="170" fontId="159" fillId="10" borderId="2" xfId="4432" applyFont="1" applyFill="1" applyBorder="1" applyAlignment="1">
      <alignment horizontal="center" vertical="center"/>
    </xf>
    <xf numFmtId="0" fontId="159" fillId="10" borderId="2" xfId="122" applyNumberFormat="1" applyFont="1" applyFill="1" applyBorder="1" applyAlignment="1">
      <alignment horizontal="center" vertical="center"/>
    </xf>
    <xf numFmtId="43" fontId="159" fillId="10" borderId="2" xfId="122" applyNumberFormat="1" applyFont="1" applyFill="1" applyBorder="1" applyAlignment="1">
      <alignment horizontal="center" vertical="center"/>
    </xf>
    <xf numFmtId="170" fontId="159" fillId="10" borderId="0" xfId="4432" applyFont="1" applyFill="1" applyAlignment="1">
      <alignment horizontal="center" vertical="center"/>
    </xf>
    <xf numFmtId="170" fontId="159" fillId="10" borderId="6" xfId="4432" applyFont="1" applyFill="1" applyBorder="1" applyAlignment="1">
      <alignment horizontal="center" vertical="center"/>
    </xf>
    <xf numFmtId="170" fontId="77" fillId="10" borderId="2" xfId="4432" applyFont="1" applyFill="1" applyBorder="1" applyAlignment="1">
      <alignment horizontal="center" vertical="center"/>
    </xf>
    <xf numFmtId="170" fontId="122" fillId="10" borderId="2" xfId="4432" applyFont="1" applyFill="1" applyBorder="1" applyAlignment="1">
      <alignment horizontal="center" vertical="center"/>
    </xf>
    <xf numFmtId="0" fontId="159" fillId="10" borderId="2" xfId="0" applyFont="1" applyFill="1" applyBorder="1" applyAlignment="1">
      <alignment horizontal="center" vertical="center" wrapText="1" shrinkToFit="1"/>
    </xf>
    <xf numFmtId="170" fontId="159" fillId="10" borderId="2" xfId="122" applyFont="1" applyFill="1" applyBorder="1" applyAlignment="1">
      <alignment horizontal="center" vertical="center"/>
    </xf>
    <xf numFmtId="170" fontId="159" fillId="10" borderId="0" xfId="4432" applyFont="1" applyFill="1" applyAlignment="1">
      <alignment horizontal="center" vertical="center" wrapText="1"/>
    </xf>
    <xf numFmtId="170" fontId="236" fillId="10" borderId="0" xfId="4432" applyFont="1" applyFill="1" applyAlignment="1">
      <alignment horizontal="center" vertical="center"/>
    </xf>
    <xf numFmtId="0" fontId="159" fillId="10" borderId="2" xfId="4433" applyNumberFormat="1" applyFont="1" applyFill="1" applyBorder="1" applyAlignment="1">
      <alignment horizontal="center" vertical="center" wrapText="1"/>
    </xf>
    <xf numFmtId="170" fontId="122" fillId="0" borderId="0" xfId="0" applyNumberFormat="1" applyFont="1" applyAlignment="1">
      <alignment horizontal="left" vertical="center"/>
    </xf>
    <xf numFmtId="4" fontId="122" fillId="0" borderId="0" xfId="0" applyNumberFormat="1" applyFont="1" applyAlignment="1">
      <alignment horizontal="left" vertical="center"/>
    </xf>
    <xf numFmtId="43" fontId="122" fillId="0" borderId="0" xfId="0" applyNumberFormat="1" applyFont="1" applyAlignment="1">
      <alignment horizontal="left" vertical="center"/>
    </xf>
    <xf numFmtId="170" fontId="159" fillId="10" borderId="2" xfId="116" applyFont="1" applyFill="1" applyBorder="1" applyAlignment="1">
      <alignment horizontal="left" vertical="center" wrapText="1"/>
    </xf>
    <xf numFmtId="176" fontId="202" fillId="10" borderId="2" xfId="116" applyNumberFormat="1" applyFont="1" applyFill="1" applyBorder="1" applyAlignment="1">
      <alignment horizontal="center" vertical="center" wrapText="1"/>
    </xf>
    <xf numFmtId="170" fontId="202" fillId="10" borderId="2" xfId="116" applyFont="1" applyFill="1" applyBorder="1" applyAlignment="1">
      <alignment horizontal="center" vertical="center" wrapText="1"/>
    </xf>
    <xf numFmtId="176" fontId="159" fillId="10" borderId="2" xfId="116" applyNumberFormat="1" applyFont="1" applyFill="1" applyBorder="1" applyAlignment="1">
      <alignment horizontal="left" vertical="center" wrapText="1"/>
    </xf>
    <xf numFmtId="180" fontId="122" fillId="0" borderId="0" xfId="116" applyNumberFormat="1" applyFont="1" applyFill="1" applyAlignment="1">
      <alignment horizontal="center" vertical="center"/>
    </xf>
    <xf numFmtId="170" fontId="122" fillId="0" borderId="0" xfId="116" applyFont="1" applyFill="1" applyAlignment="1">
      <alignment horizontal="left" vertical="center"/>
    </xf>
    <xf numFmtId="43" fontId="122" fillId="0" borderId="0" xfId="0" applyNumberFormat="1" applyFont="1" applyAlignment="1" applyProtection="1">
      <alignment horizontal="left" vertical="center"/>
      <protection locked="0"/>
    </xf>
    <xf numFmtId="4" fontId="46" fillId="0" borderId="78" xfId="4840" applyNumberFormat="1" applyBorder="1" applyAlignment="1">
      <alignment horizontal="right" vertical="top"/>
    </xf>
    <xf numFmtId="4" fontId="46" fillId="0" borderId="78" xfId="4841" applyNumberFormat="1" applyBorder="1" applyAlignment="1">
      <alignment horizontal="right" vertical="top"/>
    </xf>
    <xf numFmtId="170" fontId="105" fillId="0" borderId="0" xfId="116" applyFont="1" applyProtection="1">
      <protection locked="0"/>
    </xf>
    <xf numFmtId="43" fontId="105" fillId="0" borderId="0" xfId="0" applyNumberFormat="1" applyFont="1"/>
    <xf numFmtId="170" fontId="159" fillId="0" borderId="2" xfId="0" applyNumberFormat="1" applyFont="1" applyBorder="1" applyAlignment="1">
      <alignment horizontal="center" vertical="center"/>
    </xf>
    <xf numFmtId="170" fontId="111" fillId="0" borderId="0" xfId="116" applyFont="1" applyAlignment="1" applyProtection="1">
      <protection locked="0"/>
    </xf>
    <xf numFmtId="170" fontId="105" fillId="0" borderId="0" xfId="116" applyFont="1" applyAlignment="1"/>
    <xf numFmtId="176" fontId="105" fillId="0" borderId="0" xfId="116" applyNumberFormat="1" applyFont="1" applyAlignment="1"/>
    <xf numFmtId="176" fontId="32" fillId="2" borderId="0" xfId="122" applyNumberFormat="1" applyFont="1" applyFill="1" applyAlignment="1"/>
    <xf numFmtId="178" fontId="32" fillId="6" borderId="0" xfId="122" applyNumberFormat="1" applyFont="1" applyFill="1" applyAlignment="1">
      <alignment vertical="center"/>
    </xf>
    <xf numFmtId="176" fontId="105" fillId="0" borderId="0" xfId="0" applyNumberFormat="1" applyFont="1"/>
    <xf numFmtId="0" fontId="34" fillId="6" borderId="0" xfId="0" applyFont="1" applyFill="1" applyAlignment="1">
      <alignment horizontal="right"/>
    </xf>
    <xf numFmtId="170" fontId="122" fillId="0" borderId="0" xfId="4432" applyFont="1" applyFill="1" applyAlignment="1">
      <alignment horizontal="left" vertical="center"/>
    </xf>
    <xf numFmtId="170" fontId="122" fillId="50" borderId="0" xfId="4432" applyFont="1" applyFill="1" applyAlignment="1">
      <alignment horizontal="left" vertical="center" wrapText="1"/>
    </xf>
    <xf numFmtId="170" fontId="122" fillId="0" borderId="0" xfId="4432" applyFont="1" applyFill="1" applyAlignment="1" applyProtection="1">
      <alignment horizontal="left" vertical="center"/>
      <protection locked="0"/>
    </xf>
    <xf numFmtId="170" fontId="122" fillId="6" borderId="0" xfId="4432" applyFont="1" applyFill="1" applyAlignment="1" applyProtection="1">
      <alignment horizontal="center" vertical="center"/>
      <protection locked="0"/>
    </xf>
    <xf numFmtId="170" fontId="160" fillId="0" borderId="2" xfId="4432" applyFont="1" applyFill="1" applyBorder="1" applyAlignment="1">
      <alignment horizontal="left" vertical="center" wrapText="1"/>
    </xf>
    <xf numFmtId="0" fontId="159" fillId="6" borderId="2" xfId="0" applyFont="1" applyFill="1" applyBorder="1" applyAlignment="1">
      <alignment horizontal="left" vertical="center" wrapText="1"/>
    </xf>
    <xf numFmtId="0" fontId="159" fillId="75" borderId="2" xfId="0" applyFont="1" applyFill="1" applyBorder="1" applyAlignment="1">
      <alignment horizontal="left" vertical="center" wrapText="1"/>
    </xf>
    <xf numFmtId="0" fontId="159" fillId="75" borderId="2" xfId="0" applyFont="1" applyFill="1" applyBorder="1" applyAlignment="1">
      <alignment horizontal="center" vertical="center" wrapText="1"/>
    </xf>
    <xf numFmtId="170" fontId="159" fillId="75" borderId="4" xfId="4432" applyFont="1" applyFill="1" applyBorder="1" applyAlignment="1">
      <alignment horizontal="center" vertical="center"/>
    </xf>
    <xf numFmtId="170" fontId="159" fillId="75" borderId="2" xfId="4432" applyFont="1" applyFill="1" applyBorder="1" applyAlignment="1" applyProtection="1">
      <alignment horizontal="center" vertical="center"/>
      <protection locked="0"/>
    </xf>
    <xf numFmtId="170" fontId="159" fillId="75" borderId="2" xfId="0" applyNumberFormat="1" applyFont="1" applyFill="1" applyBorder="1" applyAlignment="1">
      <alignment horizontal="center" vertical="center"/>
    </xf>
    <xf numFmtId="170" fontId="159" fillId="75" borderId="2" xfId="4432" applyFont="1" applyFill="1" applyBorder="1" applyAlignment="1">
      <alignment horizontal="center" vertical="center" wrapText="1"/>
    </xf>
    <xf numFmtId="170" fontId="159" fillId="75" borderId="2" xfId="4432" applyFont="1" applyFill="1" applyBorder="1" applyAlignment="1">
      <alignment horizontal="center" vertical="center"/>
    </xf>
    <xf numFmtId="0" fontId="159" fillId="75" borderId="2" xfId="122" applyNumberFormat="1" applyFont="1" applyFill="1" applyBorder="1" applyAlignment="1">
      <alignment horizontal="center" vertical="center"/>
    </xf>
    <xf numFmtId="43" fontId="159" fillId="75" borderId="2" xfId="122" applyNumberFormat="1" applyFont="1" applyFill="1" applyBorder="1" applyAlignment="1">
      <alignment horizontal="center" vertical="center"/>
    </xf>
    <xf numFmtId="170" fontId="159" fillId="75" borderId="0" xfId="4432" applyFont="1" applyFill="1" applyAlignment="1">
      <alignment horizontal="center" vertical="center"/>
    </xf>
    <xf numFmtId="170" fontId="159" fillId="75" borderId="6" xfId="4432" applyFont="1" applyFill="1" applyBorder="1" applyAlignment="1">
      <alignment horizontal="center" vertical="center"/>
    </xf>
    <xf numFmtId="170" fontId="77" fillId="75" borderId="2" xfId="4432" applyFont="1" applyFill="1" applyBorder="1" applyAlignment="1">
      <alignment horizontal="center" vertical="center"/>
    </xf>
    <xf numFmtId="170" fontId="77" fillId="75" borderId="0" xfId="4432" applyFont="1" applyFill="1" applyAlignment="1">
      <alignment horizontal="center" vertical="center"/>
    </xf>
    <xf numFmtId="170" fontId="122" fillId="75" borderId="0" xfId="4432" applyFont="1" applyFill="1" applyAlignment="1">
      <alignment horizontal="center" vertical="center"/>
    </xf>
    <xf numFmtId="170" fontId="122" fillId="75" borderId="2" xfId="4432" applyFont="1" applyFill="1" applyBorder="1" applyAlignment="1">
      <alignment horizontal="center" vertical="center"/>
    </xf>
    <xf numFmtId="170" fontId="159" fillId="6" borderId="2" xfId="0" applyNumberFormat="1" applyFont="1" applyFill="1" applyBorder="1" applyAlignment="1">
      <alignment horizontal="center" vertical="center"/>
    </xf>
    <xf numFmtId="43" fontId="159" fillId="6" borderId="2" xfId="122" applyNumberFormat="1" applyFont="1" applyFill="1" applyBorder="1" applyAlignment="1">
      <alignment horizontal="center" vertical="center"/>
    </xf>
    <xf numFmtId="170" fontId="159" fillId="75" borderId="0" xfId="4432" applyFont="1" applyFill="1" applyBorder="1" applyAlignment="1">
      <alignment horizontal="center" vertical="center"/>
    </xf>
    <xf numFmtId="170" fontId="236" fillId="6" borderId="0" xfId="4432" applyFont="1" applyFill="1" applyAlignment="1">
      <alignment horizontal="center" vertical="center"/>
    </xf>
    <xf numFmtId="170" fontId="159" fillId="9" borderId="2" xfId="4432" applyFont="1" applyFill="1" applyBorder="1" applyAlignment="1">
      <alignment horizontal="center" vertical="center"/>
    </xf>
    <xf numFmtId="170" fontId="159" fillId="9" borderId="0" xfId="4432" applyFont="1" applyFill="1" applyAlignment="1">
      <alignment horizontal="center" vertical="center"/>
    </xf>
    <xf numFmtId="170" fontId="159" fillId="9" borderId="6" xfId="4432" applyFont="1" applyFill="1" applyBorder="1" applyAlignment="1">
      <alignment horizontal="center" vertical="center"/>
    </xf>
    <xf numFmtId="170" fontId="77" fillId="9" borderId="2" xfId="4432" applyFont="1" applyFill="1" applyBorder="1" applyAlignment="1">
      <alignment horizontal="center" vertical="center"/>
    </xf>
    <xf numFmtId="170" fontId="77" fillId="9" borderId="0" xfId="4432" applyFont="1" applyFill="1" applyAlignment="1">
      <alignment horizontal="center" vertical="center"/>
    </xf>
    <xf numFmtId="170" fontId="236" fillId="9" borderId="0" xfId="4432" applyFont="1" applyFill="1" applyAlignment="1">
      <alignment horizontal="center" vertical="center"/>
    </xf>
    <xf numFmtId="170" fontId="122" fillId="9" borderId="0" xfId="4432" applyFont="1" applyFill="1" applyAlignment="1">
      <alignment horizontal="center" vertical="center"/>
    </xf>
    <xf numFmtId="170" fontId="122" fillId="9" borderId="2" xfId="4432" applyFont="1" applyFill="1" applyBorder="1" applyAlignment="1">
      <alignment horizontal="center" vertical="center"/>
    </xf>
    <xf numFmtId="170" fontId="236" fillId="75" borderId="0" xfId="4432" applyFont="1" applyFill="1" applyAlignment="1">
      <alignment horizontal="center" vertical="center"/>
    </xf>
    <xf numFmtId="0" fontId="159" fillId="6" borderId="2" xfId="0" applyFont="1" applyFill="1" applyBorder="1" applyAlignment="1">
      <alignment horizontal="left" vertical="center" wrapText="1" shrinkToFit="1"/>
    </xf>
    <xf numFmtId="0" fontId="159" fillId="6" borderId="2" xfId="0" applyFont="1" applyFill="1" applyBorder="1" applyAlignment="1" applyProtection="1">
      <alignment horizontal="left" vertical="center" wrapText="1"/>
      <protection locked="0"/>
    </xf>
    <xf numFmtId="0" fontId="159" fillId="0" borderId="2" xfId="0" applyFont="1" applyBorder="1" applyAlignment="1" applyProtection="1">
      <alignment horizontal="left" vertical="center" wrapText="1"/>
      <protection locked="0"/>
    </xf>
    <xf numFmtId="170" fontId="159" fillId="19" borderId="2" xfId="4432" applyFont="1" applyFill="1" applyBorder="1" applyAlignment="1">
      <alignment horizontal="center" vertical="center"/>
    </xf>
    <xf numFmtId="170" fontId="159" fillId="19" borderId="0" xfId="4432" applyFont="1" applyFill="1" applyBorder="1" applyAlignment="1">
      <alignment horizontal="center" vertical="center"/>
    </xf>
    <xf numFmtId="170" fontId="159" fillId="19" borderId="6" xfId="4432" applyFont="1" applyFill="1" applyBorder="1" applyAlignment="1">
      <alignment horizontal="center" vertical="center"/>
    </xf>
    <xf numFmtId="170" fontId="77" fillId="19" borderId="2" xfId="4432" applyFont="1" applyFill="1" applyBorder="1" applyAlignment="1">
      <alignment horizontal="center" vertical="center"/>
    </xf>
    <xf numFmtId="170" fontId="77" fillId="19" borderId="0" xfId="4432" applyFont="1" applyFill="1" applyAlignment="1">
      <alignment horizontal="center" vertical="center"/>
    </xf>
    <xf numFmtId="170" fontId="122" fillId="19" borderId="0" xfId="4432" applyFont="1" applyFill="1" applyAlignment="1">
      <alignment horizontal="center" vertical="center"/>
    </xf>
    <xf numFmtId="170" fontId="122" fillId="19" borderId="2" xfId="4432" applyFont="1" applyFill="1" applyBorder="1" applyAlignment="1">
      <alignment horizontal="center" vertical="center"/>
    </xf>
    <xf numFmtId="170" fontId="159" fillId="19" borderId="0" xfId="4432" applyFont="1" applyFill="1" applyAlignment="1">
      <alignment horizontal="center" vertical="center"/>
    </xf>
    <xf numFmtId="0" fontId="159" fillId="0" borderId="4" xfId="0" applyFont="1" applyBorder="1" applyAlignment="1">
      <alignment horizontal="left" vertical="center" wrapText="1"/>
    </xf>
    <xf numFmtId="0" fontId="159" fillId="0" borderId="6" xfId="0" applyFont="1" applyBorder="1" applyAlignment="1">
      <alignment horizontal="left" vertical="center" wrapText="1"/>
    </xf>
    <xf numFmtId="170" fontId="159" fillId="0" borderId="0" xfId="4432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59" fillId="9" borderId="2" xfId="0" applyFont="1" applyFill="1" applyBorder="1" applyAlignment="1">
      <alignment horizontal="left" vertical="center" wrapText="1"/>
    </xf>
    <xf numFmtId="0" fontId="0" fillId="9" borderId="2" xfId="0" applyFill="1" applyBorder="1"/>
    <xf numFmtId="0" fontId="0" fillId="9" borderId="2" xfId="0" applyFill="1" applyBorder="1" applyAlignment="1">
      <alignment horizontal="center"/>
    </xf>
    <xf numFmtId="170" fontId="159" fillId="9" borderId="0" xfId="4432" applyFont="1" applyFill="1" applyBorder="1" applyAlignment="1">
      <alignment horizontal="center" vertical="center"/>
    </xf>
    <xf numFmtId="43" fontId="159" fillId="9" borderId="2" xfId="122" applyNumberFormat="1" applyFont="1" applyFill="1" applyBorder="1" applyAlignment="1">
      <alignment horizontal="center" vertical="center"/>
    </xf>
    <xf numFmtId="0" fontId="159" fillId="9" borderId="2" xfId="122" applyNumberFormat="1" applyFont="1" applyFill="1" applyBorder="1" applyAlignment="1">
      <alignment horizontal="center" vertical="center"/>
    </xf>
    <xf numFmtId="0" fontId="0" fillId="9" borderId="4" xfId="0" applyFill="1" applyBorder="1"/>
    <xf numFmtId="170" fontId="159" fillId="9" borderId="4" xfId="4432" applyFont="1" applyFill="1" applyBorder="1" applyAlignment="1">
      <alignment horizontal="center" vertical="center"/>
    </xf>
    <xf numFmtId="0" fontId="0" fillId="9" borderId="4" xfId="0" applyFill="1" applyBorder="1" applyAlignment="1">
      <alignment horizontal="center"/>
    </xf>
    <xf numFmtId="0" fontId="159" fillId="0" borderId="0" xfId="122" applyNumberFormat="1" applyFont="1" applyFill="1" applyBorder="1" applyAlignment="1">
      <alignment horizontal="center" vertical="center"/>
    </xf>
    <xf numFmtId="43" fontId="159" fillId="0" borderId="0" xfId="122" applyNumberFormat="1" applyFont="1" applyFill="1" applyBorder="1" applyAlignment="1">
      <alignment horizontal="center" vertical="center"/>
    </xf>
    <xf numFmtId="0" fontId="252" fillId="0" borderId="0" xfId="0" applyFont="1" applyAlignment="1">
      <alignment horizontal="left" vertical="center" wrapText="1"/>
    </xf>
    <xf numFmtId="0" fontId="136" fillId="0" borderId="0" xfId="0" applyFont="1" applyAlignment="1">
      <alignment horizontal="left" vertical="center" wrapText="1"/>
    </xf>
    <xf numFmtId="170" fontId="8" fillId="6" borderId="0" xfId="4432" applyFont="1" applyFill="1" applyAlignment="1">
      <alignment horizontal="left" vertical="center"/>
    </xf>
    <xf numFmtId="170" fontId="151" fillId="6" borderId="0" xfId="4432" applyFont="1" applyFill="1" applyAlignment="1">
      <alignment horizontal="left" vertical="center"/>
    </xf>
    <xf numFmtId="170" fontId="151" fillId="6" borderId="0" xfId="4432" applyFont="1" applyFill="1" applyAlignment="1">
      <alignment horizontal="center" vertical="center"/>
    </xf>
    <xf numFmtId="170" fontId="8" fillId="6" borderId="0" xfId="4432" applyFont="1" applyFill="1" applyAlignment="1">
      <alignment horizontal="center" vertical="center"/>
    </xf>
    <xf numFmtId="170" fontId="77" fillId="6" borderId="0" xfId="4432" applyFont="1" applyFill="1" applyAlignment="1">
      <alignment horizontal="left" vertical="center"/>
    </xf>
    <xf numFmtId="170" fontId="77" fillId="6" borderId="0" xfId="4432" applyFont="1" applyFill="1" applyAlignment="1">
      <alignment horizontal="left" vertical="center" wrapText="1"/>
    </xf>
    <xf numFmtId="0" fontId="159" fillId="7" borderId="2" xfId="0" applyFont="1" applyFill="1" applyBorder="1" applyAlignment="1">
      <alignment horizontal="left" vertical="center" wrapText="1"/>
    </xf>
    <xf numFmtId="0" fontId="159" fillId="7" borderId="2" xfId="0" applyFont="1" applyFill="1" applyBorder="1" applyAlignment="1">
      <alignment horizontal="center" vertical="center" wrapText="1"/>
    </xf>
    <xf numFmtId="170" fontId="159" fillId="7" borderId="4" xfId="4432" applyFont="1" applyFill="1" applyBorder="1" applyAlignment="1">
      <alignment horizontal="center" vertical="center"/>
    </xf>
    <xf numFmtId="0" fontId="159" fillId="7" borderId="2" xfId="0" applyFont="1" applyFill="1" applyBorder="1" applyAlignment="1">
      <alignment horizontal="center" vertical="center"/>
    </xf>
    <xf numFmtId="170" fontId="159" fillId="7" borderId="2" xfId="4432" applyFont="1" applyFill="1" applyBorder="1" applyAlignment="1">
      <alignment horizontal="center" vertical="center"/>
    </xf>
    <xf numFmtId="170" fontId="159" fillId="7" borderId="2" xfId="0" applyNumberFormat="1" applyFont="1" applyFill="1" applyBorder="1" applyAlignment="1">
      <alignment horizontal="center" vertical="center"/>
    </xf>
    <xf numFmtId="0" fontId="159" fillId="7" borderId="2" xfId="122" applyNumberFormat="1" applyFont="1" applyFill="1" applyBorder="1" applyAlignment="1">
      <alignment horizontal="center" vertical="center"/>
    </xf>
    <xf numFmtId="43" fontId="159" fillId="7" borderId="2" xfId="122" applyNumberFormat="1" applyFont="1" applyFill="1" applyBorder="1" applyAlignment="1">
      <alignment horizontal="center" vertical="center"/>
    </xf>
    <xf numFmtId="170" fontId="159" fillId="7" borderId="2" xfId="4432" applyFont="1" applyFill="1" applyBorder="1" applyAlignment="1" applyProtection="1">
      <alignment horizontal="center" vertical="center"/>
      <protection locked="0"/>
    </xf>
    <xf numFmtId="170" fontId="159" fillId="7" borderId="2" xfId="4432" applyFont="1" applyFill="1" applyBorder="1" applyAlignment="1">
      <alignment horizontal="center" vertical="center" wrapText="1"/>
    </xf>
    <xf numFmtId="170" fontId="32" fillId="0" borderId="0" xfId="116" applyFont="1" applyFill="1" applyAlignment="1">
      <alignment vertical="center"/>
    </xf>
    <xf numFmtId="0" fontId="186" fillId="0" borderId="0" xfId="0" applyFont="1" applyAlignment="1">
      <alignment vertical="center"/>
    </xf>
    <xf numFmtId="0" fontId="149" fillId="50" borderId="2" xfId="0" applyFont="1" applyFill="1" applyBorder="1" applyAlignment="1">
      <alignment horizontal="left" vertical="center" wrapText="1"/>
    </xf>
    <xf numFmtId="0" fontId="149" fillId="50" borderId="2" xfId="0" applyFont="1" applyFill="1" applyBorder="1" applyAlignment="1">
      <alignment horizontal="center" vertical="center" wrapText="1"/>
    </xf>
    <xf numFmtId="0" fontId="258" fillId="6" borderId="2" xfId="0" applyFont="1" applyFill="1" applyBorder="1"/>
    <xf numFmtId="219" fontId="101" fillId="6" borderId="2" xfId="0" applyNumberFormat="1" applyFont="1" applyFill="1" applyBorder="1" applyAlignment="1">
      <alignment horizontal="center" vertical="center" wrapText="1"/>
    </xf>
    <xf numFmtId="0" fontId="149" fillId="6" borderId="2" xfId="0" applyFont="1" applyFill="1" applyBorder="1" applyAlignment="1">
      <alignment horizontal="left" vertical="center" wrapText="1"/>
    </xf>
    <xf numFmtId="0" fontId="149" fillId="6" borderId="2" xfId="0" applyFont="1" applyFill="1" applyBorder="1" applyAlignment="1">
      <alignment horizontal="center" vertical="center" wrapText="1"/>
    </xf>
    <xf numFmtId="0" fontId="258" fillId="76" borderId="2" xfId="0" applyFont="1" applyFill="1" applyBorder="1"/>
    <xf numFmtId="0" fontId="149" fillId="76" borderId="2" xfId="0" applyFont="1" applyFill="1" applyBorder="1" applyAlignment="1">
      <alignment horizontal="left" vertical="center" wrapText="1"/>
    </xf>
    <xf numFmtId="0" fontId="149" fillId="76" borderId="2" xfId="0" applyFont="1" applyFill="1" applyBorder="1" applyAlignment="1">
      <alignment horizontal="center" vertical="center" wrapText="1"/>
    </xf>
    <xf numFmtId="0" fontId="261" fillId="0" borderId="2" xfId="0" applyFont="1" applyBorder="1" applyAlignment="1">
      <alignment horizontal="center" vertical="center" wrapText="1"/>
    </xf>
    <xf numFmtId="0" fontId="117" fillId="6" borderId="2" xfId="0" applyFont="1" applyFill="1" applyBorder="1"/>
    <xf numFmtId="0" fontId="117" fillId="6" borderId="2" xfId="0" applyFont="1" applyFill="1" applyBorder="1" applyAlignment="1">
      <alignment wrapText="1"/>
    </xf>
    <xf numFmtId="0" fontId="258" fillId="6" borderId="2" xfId="0" applyFont="1" applyFill="1" applyBorder="1" applyAlignment="1">
      <alignment vertical="top" wrapText="1"/>
    </xf>
    <xf numFmtId="0" fontId="97" fillId="6" borderId="2" xfId="0" applyFont="1" applyFill="1" applyBorder="1" applyAlignment="1">
      <alignment vertical="top" wrapText="1"/>
    </xf>
    <xf numFmtId="0" fontId="259" fillId="6" borderId="2" xfId="0" applyFont="1" applyFill="1" applyBorder="1" applyAlignment="1">
      <alignment horizontal="left" vertical="center" wrapText="1"/>
    </xf>
    <xf numFmtId="0" fontId="260" fillId="6" borderId="2" xfId="0" applyFont="1" applyFill="1" applyBorder="1" applyAlignment="1">
      <alignment horizontal="center" vertical="center" wrapText="1"/>
    </xf>
    <xf numFmtId="221" fontId="260" fillId="6" borderId="2" xfId="0" applyNumberFormat="1" applyFont="1" applyFill="1" applyBorder="1" applyAlignment="1">
      <alignment horizontal="center" vertical="center" wrapText="1"/>
    </xf>
    <xf numFmtId="0" fontId="128" fillId="0" borderId="2" xfId="0" applyFont="1" applyBorder="1" applyAlignment="1">
      <alignment vertical="top" wrapText="1"/>
    </xf>
    <xf numFmtId="14" fontId="258" fillId="76" borderId="2" xfId="0" applyNumberFormat="1" applyFont="1" applyFill="1" applyBorder="1"/>
    <xf numFmtId="0" fontId="117" fillId="76" borderId="2" xfId="0" applyFont="1" applyFill="1" applyBorder="1"/>
    <xf numFmtId="14" fontId="117" fillId="76" borderId="2" xfId="0" applyNumberFormat="1" applyFont="1" applyFill="1" applyBorder="1"/>
    <xf numFmtId="0" fontId="0" fillId="50" borderId="2" xfId="0" applyFill="1" applyBorder="1"/>
    <xf numFmtId="219" fontId="156" fillId="76" borderId="2" xfId="0" applyNumberFormat="1" applyFont="1" applyFill="1" applyBorder="1" applyAlignment="1">
      <alignment horizontal="center" vertical="center" wrapText="1"/>
    </xf>
    <xf numFmtId="0" fontId="262" fillId="0" borderId="0" xfId="4839" applyFont="1" applyAlignment="1">
      <alignment horizontal="left"/>
    </xf>
    <xf numFmtId="0" fontId="263" fillId="0" borderId="0" xfId="4839" applyFont="1" applyAlignment="1">
      <alignment horizontal="left"/>
    </xf>
    <xf numFmtId="0" fontId="149" fillId="14" borderId="2" xfId="0" applyFont="1" applyFill="1" applyBorder="1" applyAlignment="1">
      <alignment horizontal="left" vertical="center" wrapText="1"/>
    </xf>
    <xf numFmtId="0" fontId="149" fillId="14" borderId="2" xfId="0" applyFont="1" applyFill="1" applyBorder="1" applyAlignment="1">
      <alignment horizontal="center" vertical="center" wrapText="1"/>
    </xf>
    <xf numFmtId="0" fontId="117" fillId="14" borderId="2" xfId="0" applyFont="1" applyFill="1" applyBorder="1"/>
    <xf numFmtId="14" fontId="117" fillId="14" borderId="2" xfId="0" applyNumberFormat="1" applyFont="1" applyFill="1" applyBorder="1"/>
    <xf numFmtId="0" fontId="101" fillId="6" borderId="0" xfId="0" applyFont="1" applyFill="1"/>
    <xf numFmtId="0" fontId="120" fillId="6" borderId="0" xfId="0" applyFont="1" applyFill="1"/>
    <xf numFmtId="0" fontId="124" fillId="6" borderId="2" xfId="0" applyFont="1" applyFill="1" applyBorder="1" applyAlignment="1">
      <alignment horizontal="center" vertical="center" wrapText="1"/>
    </xf>
    <xf numFmtId="0" fontId="120" fillId="6" borderId="2" xfId="0" applyFont="1" applyFill="1" applyBorder="1" applyAlignment="1">
      <alignment vertical="center" wrapText="1"/>
    </xf>
    <xf numFmtId="0" fontId="101" fillId="6" borderId="2" xfId="0" applyFont="1" applyFill="1" applyBorder="1" applyAlignment="1">
      <alignment horizontal="center" vertical="center" wrapText="1"/>
    </xf>
    <xf numFmtId="0" fontId="101" fillId="6" borderId="2" xfId="0" applyFont="1" applyFill="1" applyBorder="1" applyAlignment="1">
      <alignment horizontal="center"/>
    </xf>
    <xf numFmtId="0" fontId="0" fillId="6" borderId="2" xfId="0" applyFill="1" applyBorder="1"/>
    <xf numFmtId="0" fontId="101" fillId="6" borderId="2" xfId="0" applyFont="1" applyFill="1" applyBorder="1"/>
    <xf numFmtId="0" fontId="101" fillId="6" borderId="0" xfId="0" applyFont="1" applyFill="1" applyAlignment="1">
      <alignment horizontal="left"/>
    </xf>
    <xf numFmtId="0" fontId="101" fillId="6" borderId="0" xfId="0" applyFont="1" applyFill="1" applyAlignment="1">
      <alignment horizontal="left" vertical="center"/>
    </xf>
    <xf numFmtId="0" fontId="265" fillId="0" borderId="0" xfId="0" applyFont="1"/>
    <xf numFmtId="0" fontId="266" fillId="0" borderId="2" xfId="0" applyFont="1" applyBorder="1" applyAlignment="1">
      <alignment horizontal="center" vertical="center"/>
    </xf>
    <xf numFmtId="4" fontId="267" fillId="6" borderId="2" xfId="0" applyNumberFormat="1" applyFont="1" applyFill="1" applyBorder="1" applyAlignment="1">
      <alignment horizontal="center" vertical="center"/>
    </xf>
    <xf numFmtId="0" fontId="267" fillId="6" borderId="2" xfId="0" applyFont="1" applyFill="1" applyBorder="1" applyAlignment="1">
      <alignment horizontal="center" vertical="center"/>
    </xf>
    <xf numFmtId="4" fontId="219" fillId="6" borderId="2" xfId="0" applyNumberFormat="1" applyFont="1" applyFill="1" applyBorder="1" applyAlignment="1">
      <alignment horizontal="center" vertical="center"/>
    </xf>
    <xf numFmtId="0" fontId="267" fillId="0" borderId="2" xfId="0" applyFont="1" applyBorder="1" applyAlignment="1">
      <alignment horizontal="left" vertical="center" wrapText="1"/>
    </xf>
    <xf numFmtId="0" fontId="267" fillId="6" borderId="0" xfId="0" applyFont="1" applyFill="1"/>
    <xf numFmtId="0" fontId="266" fillId="6" borderId="2" xfId="0" applyFont="1" applyFill="1" applyBorder="1" applyAlignment="1">
      <alignment horizontal="center" vertical="center"/>
    </xf>
    <xf numFmtId="0" fontId="266" fillId="0" borderId="2" xfId="0" applyFont="1" applyBorder="1" applyAlignment="1">
      <alignment vertical="center" wrapText="1"/>
    </xf>
    <xf numFmtId="4" fontId="266" fillId="6" borderId="2" xfId="0" applyNumberFormat="1" applyFont="1" applyFill="1" applyBorder="1" applyAlignment="1">
      <alignment horizontal="center" vertical="center"/>
    </xf>
    <xf numFmtId="220" fontId="267" fillId="0" borderId="2" xfId="0" applyNumberFormat="1" applyFont="1" applyBorder="1" applyAlignment="1">
      <alignment vertical="center" wrapText="1"/>
    </xf>
    <xf numFmtId="220" fontId="267" fillId="0" borderId="2" xfId="0" applyNumberFormat="1" applyFont="1" applyBorder="1" applyAlignment="1">
      <alignment wrapText="1"/>
    </xf>
    <xf numFmtId="0" fontId="267" fillId="0" borderId="0" xfId="0" applyFont="1" applyAlignment="1">
      <alignment wrapText="1"/>
    </xf>
    <xf numFmtId="0" fontId="267" fillId="0" borderId="2" xfId="0" applyFont="1" applyBorder="1" applyAlignment="1">
      <alignment vertical="center" wrapText="1"/>
    </xf>
    <xf numFmtId="0" fontId="266" fillId="0" borderId="7" xfId="0" applyFont="1" applyBorder="1" applyAlignment="1">
      <alignment horizontal="left" vertical="center"/>
    </xf>
    <xf numFmtId="176" fontId="7" fillId="2" borderId="0" xfId="116" applyNumberFormat="1" applyFont="1" applyFill="1" applyAlignment="1">
      <alignment horizontal="left" vertical="center"/>
    </xf>
    <xf numFmtId="4" fontId="3" fillId="2" borderId="2" xfId="36" applyNumberFormat="1" applyFont="1" applyFill="1" applyBorder="1" applyAlignment="1">
      <alignment horizontal="center" vertical="top" wrapText="1"/>
    </xf>
    <xf numFmtId="4" fontId="3" fillId="2" borderId="4" xfId="36" applyNumberFormat="1" applyFont="1" applyFill="1" applyBorder="1" applyAlignment="1">
      <alignment horizontal="center" vertical="top" wrapText="1"/>
    </xf>
    <xf numFmtId="4" fontId="7" fillId="2" borderId="2" xfId="0" applyNumberFormat="1" applyFont="1" applyFill="1" applyBorder="1"/>
    <xf numFmtId="4" fontId="7" fillId="0" borderId="2" xfId="0" applyNumberFormat="1" applyFont="1" applyBorder="1" applyAlignment="1">
      <alignment horizontal="center"/>
    </xf>
    <xf numFmtId="3" fontId="3" fillId="2" borderId="2" xfId="36" applyNumberFormat="1" applyFont="1" applyFill="1" applyBorder="1" applyAlignment="1">
      <alignment horizontal="center" vertical="top" wrapText="1"/>
    </xf>
    <xf numFmtId="3" fontId="3" fillId="2" borderId="4" xfId="36" applyNumberFormat="1" applyFont="1" applyFill="1" applyBorder="1" applyAlignment="1">
      <alignment horizontal="center" vertical="top" wrapText="1"/>
    </xf>
    <xf numFmtId="3" fontId="7" fillId="2" borderId="2" xfId="0" applyNumberFormat="1" applyFont="1" applyFill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1" fontId="6" fillId="0" borderId="2" xfId="94" applyNumberFormat="1" applyFont="1" applyBorder="1" applyAlignment="1">
      <alignment horizontal="center" vertical="center" wrapText="1"/>
    </xf>
    <xf numFmtId="0" fontId="6" fillId="0" borderId="2" xfId="94" applyFont="1" applyBorder="1" applyAlignment="1">
      <alignment vertical="center" wrapText="1"/>
    </xf>
    <xf numFmtId="3" fontId="6" fillId="0" borderId="2" xfId="94" applyNumberFormat="1" applyFont="1" applyBorder="1" applyAlignment="1">
      <alignment vertical="center" wrapText="1"/>
    </xf>
    <xf numFmtId="3" fontId="6" fillId="0" borderId="2" xfId="94" applyNumberFormat="1" applyFont="1" applyBorder="1" applyAlignment="1" applyProtection="1">
      <alignment vertical="center" wrapText="1"/>
      <protection locked="0"/>
    </xf>
    <xf numFmtId="178" fontId="1" fillId="0" borderId="0" xfId="94" applyNumberFormat="1" applyFont="1" applyAlignment="1" applyProtection="1">
      <alignment vertical="center"/>
      <protection locked="0"/>
    </xf>
    <xf numFmtId="170" fontId="6" fillId="0" borderId="2" xfId="116" applyFont="1" applyFill="1" applyBorder="1" applyAlignment="1">
      <alignment vertical="center" wrapText="1"/>
    </xf>
    <xf numFmtId="170" fontId="1" fillId="0" borderId="0" xfId="116" applyFont="1" applyFill="1" applyAlignment="1" applyProtection="1">
      <alignment vertical="center"/>
      <protection locked="0"/>
    </xf>
    <xf numFmtId="170" fontId="30" fillId="0" borderId="0" xfId="116" applyFont="1" applyFill="1" applyBorder="1" applyAlignment="1">
      <alignment vertical="center"/>
    </xf>
    <xf numFmtId="170" fontId="9" fillId="0" borderId="0" xfId="116" applyFont="1" applyFill="1" applyBorder="1" applyAlignment="1">
      <alignment vertical="center"/>
    </xf>
    <xf numFmtId="175" fontId="6" fillId="0" borderId="2" xfId="116" applyNumberFormat="1" applyFont="1" applyFill="1" applyBorder="1" applyAlignment="1">
      <alignment horizontal="center" vertical="center" wrapText="1"/>
    </xf>
    <xf numFmtId="170" fontId="30" fillId="0" borderId="0" xfId="116" applyFont="1" applyFill="1" applyBorder="1" applyAlignment="1">
      <alignment horizontal="left" vertical="center"/>
    </xf>
    <xf numFmtId="170" fontId="9" fillId="0" borderId="0" xfId="116" applyFont="1" applyFill="1" applyBorder="1" applyAlignment="1">
      <alignment horizontal="left" vertical="center"/>
    </xf>
    <xf numFmtId="170" fontId="6" fillId="0" borderId="2" xfId="116" applyFont="1" applyFill="1" applyBorder="1" applyAlignment="1">
      <alignment horizontal="center" vertical="center" wrapText="1"/>
    </xf>
    <xf numFmtId="170" fontId="1" fillId="0" borderId="0" xfId="116" applyFont="1" applyFill="1" applyAlignment="1" applyProtection="1">
      <alignment horizontal="center" vertical="center"/>
      <protection locked="0"/>
    </xf>
    <xf numFmtId="49" fontId="59" fillId="0" borderId="0" xfId="116" applyNumberFormat="1" applyFont="1" applyFill="1" applyAlignment="1" applyProtection="1">
      <alignment horizontal="left" wrapText="1"/>
      <protection locked="0"/>
    </xf>
    <xf numFmtId="49" fontId="59" fillId="0" borderId="0" xfId="116" applyNumberFormat="1" applyFont="1" applyFill="1" applyAlignment="1">
      <alignment horizontal="left" wrapText="1"/>
    </xf>
    <xf numFmtId="0" fontId="59" fillId="0" borderId="0" xfId="116" applyNumberFormat="1" applyFont="1" applyFill="1" applyAlignment="1" applyProtection="1">
      <alignment horizontal="left" vertical="center" wrapText="1"/>
      <protection locked="0"/>
    </xf>
    <xf numFmtId="0" fontId="59" fillId="0" borderId="0" xfId="116" applyNumberFormat="1" applyFont="1" applyFill="1" applyAlignment="1">
      <alignment horizontal="left" vertical="center" wrapText="1"/>
    </xf>
    <xf numFmtId="176" fontId="9" fillId="2" borderId="0" xfId="116" applyNumberFormat="1" applyFont="1" applyFill="1" applyAlignment="1">
      <alignment horizontal="left" vertical="center"/>
    </xf>
    <xf numFmtId="178" fontId="30" fillId="2" borderId="0" xfId="0" applyNumberFormat="1" applyFont="1" applyFill="1" applyAlignment="1">
      <alignment vertical="center"/>
    </xf>
    <xf numFmtId="3" fontId="30" fillId="0" borderId="0" xfId="0" applyNumberFormat="1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top"/>
    </xf>
    <xf numFmtId="3" fontId="30" fillId="0" borderId="0" xfId="0" applyNumberFormat="1" applyFont="1" applyAlignment="1" applyProtection="1">
      <alignment horizontal="center" vertical="center"/>
      <protection locked="0"/>
    </xf>
    <xf numFmtId="176" fontId="6" fillId="0" borderId="0" xfId="119" applyNumberFormat="1" applyFont="1" applyFill="1" applyAlignment="1">
      <alignment vertical="center"/>
    </xf>
    <xf numFmtId="176" fontId="6" fillId="0" borderId="0" xfId="119" applyNumberFormat="1" applyFont="1" applyFill="1" applyAlignment="1">
      <alignment horizontal="center" vertical="center"/>
    </xf>
    <xf numFmtId="176" fontId="6" fillId="0" borderId="2" xfId="119" applyNumberFormat="1" applyFont="1" applyFill="1" applyBorder="1" applyAlignment="1">
      <alignment horizontal="center" vertical="top"/>
    </xf>
    <xf numFmtId="0" fontId="9" fillId="0" borderId="2" xfId="0" applyFont="1" applyBorder="1" applyAlignment="1">
      <alignment horizontal="left" vertical="top"/>
    </xf>
    <xf numFmtId="0" fontId="42" fillId="0" borderId="2" xfId="0" applyFont="1" applyBorder="1" applyAlignment="1">
      <alignment horizontal="center" vertical="top"/>
    </xf>
    <xf numFmtId="176" fontId="6" fillId="0" borderId="2" xfId="119" applyNumberFormat="1" applyFont="1" applyFill="1" applyBorder="1" applyAlignment="1">
      <alignment horizontal="center" vertical="center"/>
    </xf>
    <xf numFmtId="0" fontId="6" fillId="0" borderId="2" xfId="0" applyFont="1" applyBorder="1" applyAlignment="1" applyProtection="1">
      <alignment horizontal="left" vertical="top" wrapText="1"/>
      <protection locked="0"/>
    </xf>
    <xf numFmtId="3" fontId="6" fillId="0" borderId="2" xfId="0" applyNumberFormat="1" applyFont="1" applyBorder="1" applyAlignment="1" applyProtection="1">
      <alignment horizontal="center" vertical="top"/>
      <protection locked="0"/>
    </xf>
    <xf numFmtId="3" fontId="6" fillId="0" borderId="2" xfId="0" applyNumberFormat="1" applyFont="1" applyBorder="1" applyAlignment="1" applyProtection="1">
      <alignment horizontal="center" vertical="top" wrapText="1"/>
      <protection locked="0"/>
    </xf>
    <xf numFmtId="3" fontId="6" fillId="0" borderId="2" xfId="0" applyNumberFormat="1" applyFont="1" applyBorder="1" applyAlignment="1">
      <alignment horizontal="center" vertical="top"/>
    </xf>
    <xf numFmtId="0" fontId="6" fillId="0" borderId="2" xfId="0" applyFont="1" applyBorder="1" applyAlignment="1" applyProtection="1">
      <alignment wrapText="1"/>
      <protection locked="0"/>
    </xf>
    <xf numFmtId="3" fontId="6" fillId="0" borderId="2" xfId="0" applyNumberFormat="1" applyFont="1" applyBorder="1" applyAlignment="1" applyProtection="1">
      <alignment horizontal="center" vertical="center"/>
      <protection locked="0"/>
    </xf>
    <xf numFmtId="3" fontId="6" fillId="0" borderId="2" xfId="0" applyNumberFormat="1" applyFont="1" applyBorder="1" applyAlignment="1" applyProtection="1">
      <alignment horizontal="center" vertical="center" wrapText="1"/>
      <protection locked="0"/>
    </xf>
    <xf numFmtId="178" fontId="5" fillId="0" borderId="0" xfId="0" applyNumberFormat="1" applyFont="1" applyProtection="1">
      <protection locked="0"/>
    </xf>
    <xf numFmtId="3" fontId="6" fillId="0" borderId="2" xfId="0" applyNumberFormat="1" applyFon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4" fontId="120" fillId="6" borderId="2" xfId="0" applyNumberFormat="1" applyFont="1" applyFill="1" applyBorder="1"/>
    <xf numFmtId="0" fontId="101" fillId="0" borderId="0" xfId="0" applyFont="1" applyAlignment="1">
      <alignment horizontal="center"/>
    </xf>
    <xf numFmtId="0" fontId="216" fillId="0" borderId="4" xfId="0" applyFont="1" applyBorder="1" applyAlignment="1">
      <alignment horizontal="center" vertical="center"/>
    </xf>
    <xf numFmtId="0" fontId="216" fillId="0" borderId="4" xfId="0" applyFont="1" applyBorder="1" applyAlignment="1">
      <alignment horizontal="center" vertical="center" wrapText="1"/>
    </xf>
    <xf numFmtId="0" fontId="269" fillId="0" borderId="2" xfId="0" applyFont="1" applyBorder="1" applyAlignment="1">
      <alignment horizontal="center" vertical="center" wrapText="1"/>
    </xf>
    <xf numFmtId="0" fontId="270" fillId="0" borderId="0" xfId="0" applyFont="1"/>
    <xf numFmtId="0" fontId="216" fillId="0" borderId="2" xfId="0" applyFont="1" applyBorder="1" applyAlignment="1">
      <alignment horizontal="center" vertical="center"/>
    </xf>
    <xf numFmtId="0" fontId="270" fillId="0" borderId="2" xfId="0" applyFont="1" applyBorder="1" applyAlignment="1">
      <alignment horizontal="center" vertical="center"/>
    </xf>
    <xf numFmtId="0" fontId="270" fillId="0" borderId="2" xfId="0" applyFont="1" applyBorder="1" applyAlignment="1">
      <alignment horizontal="center" vertical="center" wrapText="1"/>
    </xf>
    <xf numFmtId="0" fontId="271" fillId="0" borderId="2" xfId="0" applyFont="1" applyBorder="1"/>
    <xf numFmtId="0" fontId="270" fillId="6" borderId="2" xfId="0" applyFont="1" applyFill="1" applyBorder="1" applyAlignment="1">
      <alignment vertical="top" wrapText="1"/>
    </xf>
    <xf numFmtId="4" fontId="271" fillId="0" borderId="2" xfId="0" applyNumberFormat="1" applyFont="1" applyBorder="1" applyAlignment="1">
      <alignment horizontal="center"/>
    </xf>
    <xf numFmtId="0" fontId="270" fillId="6" borderId="2" xfId="0" applyFont="1" applyFill="1" applyBorder="1" applyAlignment="1">
      <alignment horizontal="center" vertical="center"/>
    </xf>
    <xf numFmtId="0" fontId="266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3" fontId="8" fillId="0" borderId="0" xfId="34" applyNumberFormat="1" applyFont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4" fillId="2" borderId="2" xfId="34" applyFont="1" applyFill="1" applyBorder="1" applyAlignment="1">
      <alignment horizontal="center" vertical="center" wrapText="1"/>
    </xf>
    <xf numFmtId="0" fontId="4" fillId="0" borderId="2" xfId="34" applyFont="1" applyBorder="1" applyAlignment="1">
      <alignment horizontal="center" vertical="center" wrapText="1"/>
    </xf>
    <xf numFmtId="0" fontId="8" fillId="0" borderId="0" xfId="34" applyFont="1" applyAlignment="1">
      <alignment horizontal="left" vertical="top" wrapText="1"/>
    </xf>
    <xf numFmtId="0" fontId="3" fillId="0" borderId="0" xfId="0" applyFont="1" applyAlignment="1">
      <alignment wrapText="1"/>
    </xf>
    <xf numFmtId="3" fontId="8" fillId="2" borderId="0" xfId="34" applyNumberFormat="1" applyFont="1" applyFill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2" xfId="34" applyFont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0" fontId="3" fillId="5" borderId="2" xfId="0" applyFont="1" applyFill="1" applyBorder="1" applyAlignment="1">
      <alignment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77" fillId="0" borderId="2" xfId="72" applyFont="1" applyBorder="1" applyAlignment="1">
      <alignment horizontal="center" vertical="center"/>
    </xf>
    <xf numFmtId="170" fontId="77" fillId="0" borderId="2" xfId="119" applyFont="1" applyFill="1" applyBorder="1" applyAlignment="1">
      <alignment horizontal="center" vertical="center"/>
    </xf>
    <xf numFmtId="176" fontId="8" fillId="0" borderId="4" xfId="116" applyNumberFormat="1" applyFont="1" applyFill="1" applyBorder="1" applyAlignment="1">
      <alignment horizontal="center" vertical="center" wrapText="1"/>
    </xf>
    <xf numFmtId="176" fontId="8" fillId="0" borderId="18" xfId="116" applyNumberFormat="1" applyFont="1" applyFill="1" applyBorder="1" applyAlignment="1">
      <alignment horizontal="center" vertical="center" wrapText="1"/>
    </xf>
    <xf numFmtId="176" fontId="8" fillId="0" borderId="7" xfId="116" applyNumberFormat="1" applyFont="1" applyFill="1" applyBorder="1" applyAlignment="1">
      <alignment horizontal="center" vertical="center" wrapText="1"/>
    </xf>
    <xf numFmtId="176" fontId="8" fillId="0" borderId="6" xfId="116" applyNumberFormat="1" applyFont="1" applyFill="1" applyBorder="1" applyAlignment="1">
      <alignment horizontal="center" vertical="center" wrapText="1"/>
    </xf>
    <xf numFmtId="176" fontId="8" fillId="0" borderId="10" xfId="116" applyNumberFormat="1" applyFont="1" applyFill="1" applyBorder="1" applyAlignment="1">
      <alignment horizontal="center" vertical="center" wrapText="1"/>
    </xf>
    <xf numFmtId="176" fontId="8" fillId="0" borderId="21" xfId="116" applyNumberFormat="1" applyFont="1" applyFill="1" applyBorder="1" applyAlignment="1">
      <alignment horizontal="center" vertical="center" wrapText="1"/>
    </xf>
    <xf numFmtId="0" fontId="8" fillId="0" borderId="4" xfId="72" applyFont="1" applyBorder="1" applyAlignment="1">
      <alignment horizontal="center" vertical="center" wrapText="1"/>
    </xf>
    <xf numFmtId="0" fontId="8" fillId="0" borderId="7" xfId="72" applyFont="1" applyBorder="1" applyAlignment="1">
      <alignment horizontal="center" vertical="center" wrapText="1"/>
    </xf>
    <xf numFmtId="0" fontId="4" fillId="0" borderId="3" xfId="72" applyFont="1" applyBorder="1" applyAlignment="1">
      <alignment horizontal="center" vertical="center"/>
    </xf>
    <xf numFmtId="0" fontId="8" fillId="0" borderId="18" xfId="72" applyFont="1" applyBorder="1" applyAlignment="1">
      <alignment horizontal="center" vertical="center" wrapText="1"/>
    </xf>
    <xf numFmtId="9" fontId="8" fillId="0" borderId="4" xfId="72" applyNumberFormat="1" applyFont="1" applyBorder="1" applyAlignment="1">
      <alignment horizontal="center" vertical="center" wrapText="1"/>
    </xf>
    <xf numFmtId="0" fontId="8" fillId="0" borderId="5" xfId="72" applyFont="1" applyBorder="1" applyAlignment="1">
      <alignment horizontal="center" vertical="center" wrapText="1"/>
    </xf>
    <xf numFmtId="0" fontId="8" fillId="0" borderId="25" xfId="72" applyFont="1" applyBorder="1" applyAlignment="1">
      <alignment horizontal="center" vertical="center" wrapText="1"/>
    </xf>
    <xf numFmtId="0" fontId="8" fillId="0" borderId="24" xfId="72" applyFont="1" applyBorder="1" applyAlignment="1">
      <alignment horizontal="center" vertical="center" wrapText="1"/>
    </xf>
    <xf numFmtId="0" fontId="8" fillId="0" borderId="26" xfId="72" applyFont="1" applyBorder="1" applyAlignment="1">
      <alignment horizontal="center" vertical="center" wrapText="1"/>
    </xf>
    <xf numFmtId="3" fontId="8" fillId="0" borderId="5" xfId="72" applyNumberFormat="1" applyFont="1" applyBorder="1" applyAlignment="1">
      <alignment horizontal="center" vertical="center" wrapText="1"/>
    </xf>
    <xf numFmtId="3" fontId="8" fillId="0" borderId="22" xfId="72" applyNumberFormat="1" applyFont="1" applyBorder="1" applyAlignment="1">
      <alignment horizontal="center" vertical="center" wrapText="1"/>
    </xf>
    <xf numFmtId="3" fontId="8" fillId="0" borderId="24" xfId="72" applyNumberFormat="1" applyFont="1" applyBorder="1" applyAlignment="1">
      <alignment horizontal="center" vertical="center" wrapText="1"/>
    </xf>
    <xf numFmtId="0" fontId="8" fillId="0" borderId="6" xfId="72" applyFont="1" applyBorder="1" applyAlignment="1">
      <alignment horizontal="center" vertical="center"/>
    </xf>
    <xf numFmtId="0" fontId="8" fillId="0" borderId="10" xfId="72" applyFont="1" applyBorder="1" applyAlignment="1">
      <alignment horizontal="center" vertical="center"/>
    </xf>
    <xf numFmtId="0" fontId="8" fillId="0" borderId="21" xfId="72" applyFont="1" applyBorder="1" applyAlignment="1">
      <alignment horizontal="center" vertical="center"/>
    </xf>
    <xf numFmtId="0" fontId="8" fillId="0" borderId="5" xfId="72" applyFont="1" applyBorder="1" applyAlignment="1">
      <alignment horizontal="center" vertical="center"/>
    </xf>
    <xf numFmtId="0" fontId="8" fillId="0" borderId="51" xfId="72" applyFont="1" applyBorder="1" applyAlignment="1">
      <alignment horizontal="center" vertical="center"/>
    </xf>
    <xf numFmtId="0" fontId="8" fillId="0" borderId="2" xfId="72" applyFont="1" applyBorder="1" applyAlignment="1">
      <alignment horizontal="center" vertical="center" wrapText="1"/>
    </xf>
    <xf numFmtId="0" fontId="8" fillId="0" borderId="51" xfId="72" applyFont="1" applyBorder="1" applyAlignment="1">
      <alignment horizontal="center" vertical="center" wrapText="1"/>
    </xf>
    <xf numFmtId="0" fontId="8" fillId="0" borderId="22" xfId="72" applyFont="1" applyBorder="1" applyAlignment="1">
      <alignment horizontal="center" vertical="center" wrapText="1"/>
    </xf>
    <xf numFmtId="0" fontId="8" fillId="0" borderId="0" xfId="72" applyFont="1" applyAlignment="1">
      <alignment horizontal="center" vertical="center" wrapText="1"/>
    </xf>
    <xf numFmtId="0" fontId="8" fillId="0" borderId="3" xfId="72" applyFont="1" applyBorder="1" applyAlignment="1">
      <alignment horizontal="center" vertical="center" wrapText="1"/>
    </xf>
    <xf numFmtId="170" fontId="7" fillId="0" borderId="5" xfId="119" applyFont="1" applyFill="1" applyBorder="1" applyAlignment="1">
      <alignment horizontal="center" vertical="center"/>
    </xf>
    <xf numFmtId="170" fontId="7" fillId="0" borderId="51" xfId="119" applyFont="1" applyFill="1" applyBorder="1" applyAlignment="1">
      <alignment horizontal="center" vertical="center"/>
    </xf>
    <xf numFmtId="170" fontId="7" fillId="0" borderId="25" xfId="119" applyFont="1" applyFill="1" applyBorder="1" applyAlignment="1">
      <alignment horizontal="center" vertical="center"/>
    </xf>
    <xf numFmtId="170" fontId="7" fillId="0" borderId="22" xfId="119" applyFont="1" applyFill="1" applyBorder="1" applyAlignment="1">
      <alignment horizontal="center" vertical="center"/>
    </xf>
    <xf numFmtId="170" fontId="7" fillId="0" borderId="0" xfId="119" applyFont="1" applyFill="1" applyBorder="1" applyAlignment="1">
      <alignment horizontal="center" vertical="center"/>
    </xf>
    <xf numFmtId="170" fontId="7" fillId="0" borderId="23" xfId="119" applyFont="1" applyFill="1" applyBorder="1" applyAlignment="1">
      <alignment horizontal="center" vertical="center"/>
    </xf>
    <xf numFmtId="170" fontId="7" fillId="0" borderId="24" xfId="119" applyFont="1" applyFill="1" applyBorder="1" applyAlignment="1">
      <alignment horizontal="center" vertical="center"/>
    </xf>
    <xf numFmtId="170" fontId="7" fillId="0" borderId="3" xfId="119" applyFont="1" applyFill="1" applyBorder="1" applyAlignment="1">
      <alignment horizontal="center" vertical="center"/>
    </xf>
    <xf numFmtId="170" fontId="7" fillId="0" borderId="26" xfId="119" applyFont="1" applyFill="1" applyBorder="1" applyAlignment="1">
      <alignment horizontal="center" vertical="center"/>
    </xf>
    <xf numFmtId="3" fontId="8" fillId="0" borderId="51" xfId="72" applyNumberFormat="1" applyFont="1" applyBorder="1" applyAlignment="1">
      <alignment horizontal="center" vertical="center" wrapText="1"/>
    </xf>
    <xf numFmtId="3" fontId="8" fillId="0" borderId="25" xfId="72" applyNumberFormat="1" applyFont="1" applyBorder="1" applyAlignment="1">
      <alignment horizontal="center" vertical="center" wrapText="1"/>
    </xf>
    <xf numFmtId="3" fontId="8" fillId="0" borderId="0" xfId="72" applyNumberFormat="1" applyFont="1" applyAlignment="1">
      <alignment horizontal="center" vertical="center" wrapText="1"/>
    </xf>
    <xf numFmtId="3" fontId="8" fillId="0" borderId="23" xfId="72" applyNumberFormat="1" applyFont="1" applyBorder="1" applyAlignment="1">
      <alignment horizontal="center" vertical="center" wrapText="1"/>
    </xf>
    <xf numFmtId="3" fontId="8" fillId="0" borderId="3" xfId="72" applyNumberFormat="1" applyFont="1" applyBorder="1" applyAlignment="1">
      <alignment horizontal="center" vertical="center" wrapText="1"/>
    </xf>
    <xf numFmtId="3" fontId="8" fillId="0" borderId="26" xfId="72" applyNumberFormat="1" applyFont="1" applyBorder="1" applyAlignment="1">
      <alignment horizontal="center" vertical="center" wrapText="1"/>
    </xf>
    <xf numFmtId="0" fontId="109" fillId="0" borderId="0" xfId="0" applyFont="1" applyAlignment="1">
      <alignment horizontal="center" vertical="center" wrapText="1"/>
    </xf>
    <xf numFmtId="43" fontId="182" fillId="0" borderId="6" xfId="121" applyFont="1" applyFill="1" applyBorder="1" applyAlignment="1">
      <alignment horizontal="center" vertical="center" wrapText="1"/>
    </xf>
    <xf numFmtId="43" fontId="182" fillId="0" borderId="10" xfId="121" applyFont="1" applyFill="1" applyBorder="1" applyAlignment="1">
      <alignment horizontal="center" vertical="center" wrapText="1"/>
    </xf>
    <xf numFmtId="43" fontId="182" fillId="0" borderId="21" xfId="121" applyFont="1" applyFill="1" applyBorder="1" applyAlignment="1">
      <alignment horizontal="center" vertical="center" wrapText="1"/>
    </xf>
    <xf numFmtId="0" fontId="181" fillId="0" borderId="0" xfId="0" applyFont="1" applyAlignment="1">
      <alignment horizontal="center"/>
    </xf>
    <xf numFmtId="4" fontId="32" fillId="0" borderId="2" xfId="94" applyNumberFormat="1" applyFont="1" applyBorder="1" applyAlignment="1">
      <alignment horizontal="center" vertical="center" wrapText="1"/>
    </xf>
    <xf numFmtId="0" fontId="32" fillId="0" borderId="2" xfId="94" applyFont="1" applyBorder="1" applyAlignment="1">
      <alignment horizontal="center" vertical="center" wrapText="1"/>
    </xf>
    <xf numFmtId="0" fontId="32" fillId="0" borderId="4" xfId="94" applyFont="1" applyBorder="1" applyAlignment="1">
      <alignment horizontal="center" vertical="center" wrapText="1"/>
    </xf>
    <xf numFmtId="0" fontId="32" fillId="0" borderId="7" xfId="94" applyFont="1" applyBorder="1" applyAlignment="1">
      <alignment horizontal="center" vertical="center" wrapText="1"/>
    </xf>
    <xf numFmtId="3" fontId="5" fillId="0" borderId="2" xfId="94" applyNumberFormat="1" applyFont="1" applyBorder="1" applyAlignment="1">
      <alignment horizontal="center" vertical="center" wrapText="1"/>
    </xf>
    <xf numFmtId="3" fontId="32" fillId="0" borderId="2" xfId="94" applyNumberFormat="1" applyFont="1" applyBorder="1" applyAlignment="1">
      <alignment horizontal="center" vertical="center" wrapText="1"/>
    </xf>
    <xf numFmtId="4" fontId="32" fillId="0" borderId="4" xfId="94" applyNumberFormat="1" applyFont="1" applyBorder="1" applyAlignment="1">
      <alignment horizontal="center" vertical="center" wrapText="1"/>
    </xf>
    <xf numFmtId="4" fontId="32" fillId="0" borderId="7" xfId="94" applyNumberFormat="1" applyFont="1" applyBorder="1" applyAlignment="1">
      <alignment horizontal="center" vertical="center" wrapText="1"/>
    </xf>
    <xf numFmtId="3" fontId="32" fillId="0" borderId="4" xfId="94" applyNumberFormat="1" applyFont="1" applyBorder="1" applyAlignment="1">
      <alignment horizontal="center" vertical="center" wrapText="1"/>
    </xf>
    <xf numFmtId="3" fontId="32" fillId="0" borderId="7" xfId="94" applyNumberFormat="1" applyFont="1" applyBorder="1" applyAlignment="1">
      <alignment horizontal="center" vertical="center" wrapText="1"/>
    </xf>
    <xf numFmtId="176" fontId="8" fillId="0" borderId="2" xfId="116" applyNumberFormat="1" applyFont="1" applyFill="1" applyBorder="1" applyAlignment="1">
      <alignment horizontal="center" vertical="center" wrapText="1"/>
    </xf>
    <xf numFmtId="3" fontId="32" fillId="0" borderId="18" xfId="94" applyNumberFormat="1" applyFont="1" applyBorder="1" applyAlignment="1">
      <alignment horizontal="center" vertical="center" wrapText="1"/>
    </xf>
    <xf numFmtId="43" fontId="97" fillId="0" borderId="6" xfId="121" applyFont="1" applyFill="1" applyBorder="1" applyAlignment="1">
      <alignment horizontal="center" vertical="center" wrapText="1"/>
    </xf>
    <xf numFmtId="43" fontId="97" fillId="0" borderId="10" xfId="121" applyFont="1" applyFill="1" applyBorder="1" applyAlignment="1">
      <alignment horizontal="center" vertical="center" wrapText="1"/>
    </xf>
    <xf numFmtId="43" fontId="97" fillId="0" borderId="21" xfId="121" applyFont="1" applyFill="1" applyBorder="1" applyAlignment="1">
      <alignment horizontal="center" vertical="center" wrapText="1"/>
    </xf>
    <xf numFmtId="0" fontId="110" fillId="19" borderId="2" xfId="0" applyFont="1" applyFill="1" applyBorder="1" applyAlignment="1">
      <alignment horizontal="center" vertical="center"/>
    </xf>
    <xf numFmtId="0" fontId="8" fillId="52" borderId="4" xfId="102" applyFont="1" applyFill="1" applyBorder="1" applyAlignment="1">
      <alignment horizontal="center" vertical="center" wrapText="1"/>
    </xf>
    <xf numFmtId="0" fontId="8" fillId="52" borderId="7" xfId="102" applyFont="1" applyFill="1" applyBorder="1" applyAlignment="1">
      <alignment horizontal="center" vertical="center" wrapText="1"/>
    </xf>
    <xf numFmtId="0" fontId="110" fillId="52" borderId="2" xfId="0" applyFont="1" applyFill="1" applyBorder="1" applyAlignment="1">
      <alignment horizontal="center" vertical="center"/>
    </xf>
    <xf numFmtId="0" fontId="8" fillId="17" borderId="4" xfId="102" applyFont="1" applyFill="1" applyBorder="1" applyAlignment="1">
      <alignment horizontal="center" vertical="center" wrapText="1"/>
    </xf>
    <xf numFmtId="0" fontId="8" fillId="17" borderId="7" xfId="102" applyFont="1" applyFill="1" applyBorder="1" applyAlignment="1">
      <alignment horizontal="center" vertical="center" wrapText="1"/>
    </xf>
    <xf numFmtId="0" fontId="110" fillId="17" borderId="2" xfId="0" applyFont="1" applyFill="1" applyBorder="1" applyAlignment="1">
      <alignment horizontal="center" vertical="center"/>
    </xf>
    <xf numFmtId="0" fontId="178" fillId="0" borderId="2" xfId="0" applyFont="1" applyBorder="1" applyAlignment="1">
      <alignment horizontal="center" vertical="center"/>
    </xf>
    <xf numFmtId="0" fontId="8" fillId="0" borderId="2" xfId="102" applyFont="1" applyBorder="1" applyAlignment="1">
      <alignment horizontal="center" vertical="center" wrapText="1"/>
    </xf>
    <xf numFmtId="0" fontId="8" fillId="0" borderId="4" xfId="102" applyFont="1" applyBorder="1" applyAlignment="1">
      <alignment horizontal="center" vertical="center" wrapText="1"/>
    </xf>
    <xf numFmtId="0" fontId="8" fillId="51" borderId="4" xfId="102" applyFont="1" applyFill="1" applyBorder="1" applyAlignment="1">
      <alignment horizontal="center" vertical="center" wrapText="1"/>
    </xf>
    <xf numFmtId="0" fontId="8" fillId="51" borderId="7" xfId="102" applyFont="1" applyFill="1" applyBorder="1" applyAlignment="1">
      <alignment horizontal="center" vertical="center" wrapText="1"/>
    </xf>
    <xf numFmtId="0" fontId="110" fillId="51" borderId="2" xfId="0" applyFont="1" applyFill="1" applyBorder="1" applyAlignment="1">
      <alignment horizontal="center" vertical="center"/>
    </xf>
    <xf numFmtId="0" fontId="8" fillId="19" borderId="4" xfId="102" applyFont="1" applyFill="1" applyBorder="1" applyAlignment="1">
      <alignment horizontal="center" vertical="center" wrapText="1"/>
    </xf>
    <xf numFmtId="0" fontId="8" fillId="19" borderId="7" xfId="102" applyFont="1" applyFill="1" applyBorder="1" applyAlignment="1">
      <alignment horizontal="center" vertical="center" wrapText="1"/>
    </xf>
    <xf numFmtId="0" fontId="120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01" fillId="0" borderId="0" xfId="0" applyFont="1" applyAlignment="1">
      <alignment horizontal="center"/>
    </xf>
    <xf numFmtId="0" fontId="211" fillId="0" borderId="0" xfId="4839" applyFont="1" applyAlignment="1">
      <alignment horizontal="left" wrapText="1"/>
    </xf>
    <xf numFmtId="0" fontId="253" fillId="0" borderId="0" xfId="4839" applyAlignment="1">
      <alignment horizontal="left"/>
    </xf>
    <xf numFmtId="0" fontId="36" fillId="0" borderId="0" xfId="4839" applyFont="1" applyAlignment="1">
      <alignment horizontal="left" vertical="top" wrapText="1"/>
    </xf>
    <xf numFmtId="0" fontId="254" fillId="72" borderId="79" xfId="4839" applyFont="1" applyFill="1" applyBorder="1" applyAlignment="1">
      <alignment horizontal="left" vertical="top" wrapText="1"/>
    </xf>
    <xf numFmtId="0" fontId="254" fillId="72" borderId="80" xfId="4839" applyFont="1" applyFill="1" applyBorder="1" applyAlignment="1">
      <alignment horizontal="left" vertical="top" wrapText="1"/>
    </xf>
    <xf numFmtId="0" fontId="254" fillId="72" borderId="81" xfId="4839" applyFont="1" applyFill="1" applyBorder="1" applyAlignment="1">
      <alignment horizontal="left" vertical="top" wrapText="1"/>
    </xf>
    <xf numFmtId="0" fontId="254" fillId="72" borderId="82" xfId="4839" applyFont="1" applyFill="1" applyBorder="1" applyAlignment="1">
      <alignment horizontal="left" vertical="top" wrapText="1"/>
    </xf>
    <xf numFmtId="0" fontId="253" fillId="0" borderId="83" xfId="4839" applyBorder="1" applyAlignment="1">
      <alignment horizontal="left" vertical="top" wrapText="1" indent="6"/>
    </xf>
    <xf numFmtId="1" fontId="253" fillId="0" borderId="83" xfId="4839" applyNumberFormat="1" applyBorder="1" applyAlignment="1">
      <alignment horizontal="right" vertical="top" wrapText="1"/>
    </xf>
    <xf numFmtId="0" fontId="256" fillId="72" borderId="79" xfId="4839" applyFont="1" applyFill="1" applyBorder="1" applyAlignment="1">
      <alignment horizontal="left" vertical="top" wrapText="1"/>
    </xf>
    <xf numFmtId="0" fontId="254" fillId="73" borderId="83" xfId="4839" applyFont="1" applyFill="1" applyBorder="1" applyAlignment="1">
      <alignment horizontal="left" vertical="top" wrapText="1"/>
    </xf>
    <xf numFmtId="0" fontId="255" fillId="74" borderId="83" xfId="4839" applyFont="1" applyFill="1" applyBorder="1" applyAlignment="1">
      <alignment horizontal="left" vertical="top" wrapText="1" indent="2"/>
    </xf>
    <xf numFmtId="1" fontId="253" fillId="10" borderId="83" xfId="4839" applyNumberFormat="1" applyFill="1" applyBorder="1" applyAlignment="1">
      <alignment horizontal="left" vertical="top" wrapText="1" indent="4"/>
    </xf>
    <xf numFmtId="0" fontId="254" fillId="72" borderId="79" xfId="4839" applyFont="1" applyFill="1" applyBorder="1" applyAlignment="1">
      <alignment horizontal="left" vertical="top"/>
    </xf>
    <xf numFmtId="0" fontId="254" fillId="72" borderId="80" xfId="4839" applyFont="1" applyFill="1" applyBorder="1" applyAlignment="1">
      <alignment horizontal="center" vertical="center" wrapText="1"/>
    </xf>
    <xf numFmtId="0" fontId="254" fillId="72" borderId="81" xfId="4839" applyFont="1" applyFill="1" applyBorder="1" applyAlignment="1">
      <alignment horizontal="center" vertical="center" wrapText="1"/>
    </xf>
    <xf numFmtId="1" fontId="253" fillId="74" borderId="83" xfId="4839" applyNumberFormat="1" applyFill="1" applyBorder="1" applyAlignment="1">
      <alignment horizontal="left" vertical="top" wrapText="1" indent="4"/>
    </xf>
    <xf numFmtId="0" fontId="253" fillId="0" borderId="0" xfId="4839" applyAlignment="1">
      <alignment horizontal="left" vertical="top" wrapText="1"/>
    </xf>
    <xf numFmtId="170" fontId="32" fillId="0" borderId="2" xfId="116" applyFont="1" applyFill="1" applyBorder="1" applyAlignment="1">
      <alignment horizontal="center" vertical="center" wrapText="1"/>
    </xf>
    <xf numFmtId="170" fontId="32" fillId="0" borderId="4" xfId="116" applyFont="1" applyFill="1" applyBorder="1" applyAlignment="1">
      <alignment horizontal="center" vertical="center" wrapText="1"/>
    </xf>
    <xf numFmtId="170" fontId="32" fillId="0" borderId="7" xfId="116" applyFont="1" applyFill="1" applyBorder="1" applyAlignment="1">
      <alignment horizontal="center" vertical="center" wrapText="1"/>
    </xf>
    <xf numFmtId="170" fontId="5" fillId="0" borderId="2" xfId="116" applyFont="1" applyFill="1" applyBorder="1" applyAlignment="1">
      <alignment horizontal="center" vertical="center" wrapText="1"/>
    </xf>
    <xf numFmtId="170" fontId="8" fillId="0" borderId="2" xfId="116" applyFont="1" applyFill="1" applyBorder="1" applyAlignment="1">
      <alignment horizontal="center" vertical="center" wrapText="1"/>
    </xf>
    <xf numFmtId="170" fontId="32" fillId="0" borderId="18" xfId="116" applyFont="1" applyFill="1" applyBorder="1" applyAlignment="1">
      <alignment horizontal="center" vertical="center" wrapText="1"/>
    </xf>
    <xf numFmtId="170" fontId="184" fillId="0" borderId="2" xfId="116" applyFont="1" applyFill="1" applyBorder="1" applyAlignment="1">
      <alignment horizontal="center" vertical="center" wrapText="1"/>
    </xf>
    <xf numFmtId="0" fontId="185" fillId="0" borderId="4" xfId="0" applyFont="1" applyBorder="1" applyAlignment="1">
      <alignment horizontal="center" vertical="center" wrapText="1"/>
    </xf>
    <xf numFmtId="0" fontId="185" fillId="0" borderId="1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10" borderId="0" xfId="111" applyFont="1" applyFill="1" applyAlignment="1">
      <alignment horizontal="left" vertical="top" wrapText="1"/>
    </xf>
    <xf numFmtId="0" fontId="8" fillId="10" borderId="0" xfId="111" applyFont="1" applyFill="1" applyAlignment="1">
      <alignment horizontal="left" vertical="top" wrapText="1"/>
    </xf>
    <xf numFmtId="0" fontId="8" fillId="10" borderId="2" xfId="111" applyFont="1" applyFill="1" applyBorder="1" applyAlignment="1">
      <alignment horizontal="center" vertical="center" wrapText="1"/>
    </xf>
    <xf numFmtId="0" fontId="33" fillId="10" borderId="0" xfId="111" applyFont="1" applyFill="1" applyAlignment="1">
      <alignment horizontal="left" vertical="top" wrapText="1"/>
    </xf>
    <xf numFmtId="0" fontId="8" fillId="10" borderId="0" xfId="111" applyFont="1" applyFill="1" applyAlignment="1">
      <alignment horizontal="center" vertical="center" wrapText="1"/>
    </xf>
    <xf numFmtId="0" fontId="8" fillId="10" borderId="0" xfId="111" applyFont="1" applyFill="1" applyAlignment="1">
      <alignment vertical="top" wrapText="1"/>
    </xf>
    <xf numFmtId="0" fontId="8" fillId="10" borderId="0" xfId="111" applyFont="1" applyFill="1" applyAlignment="1">
      <alignment horizontal="left" vertical="center" wrapText="1"/>
    </xf>
    <xf numFmtId="0" fontId="49" fillId="10" borderId="0" xfId="111" applyFont="1" applyFill="1" applyAlignment="1">
      <alignment horizontal="left" vertical="center" wrapText="1"/>
    </xf>
    <xf numFmtId="0" fontId="8" fillId="10" borderId="4" xfId="111" applyFont="1" applyFill="1" applyBorder="1" applyAlignment="1">
      <alignment horizontal="center" vertical="center" wrapText="1"/>
    </xf>
    <xf numFmtId="0" fontId="8" fillId="10" borderId="18" xfId="111" applyFont="1" applyFill="1" applyBorder="1" applyAlignment="1">
      <alignment horizontal="center" vertical="center" wrapText="1"/>
    </xf>
    <xf numFmtId="0" fontId="8" fillId="10" borderId="7" xfId="111" applyFont="1" applyFill="1" applyBorder="1" applyAlignment="1">
      <alignment horizontal="center" vertical="center" wrapText="1"/>
    </xf>
    <xf numFmtId="0" fontId="3" fillId="10" borderId="2" xfId="62" applyFont="1" applyFill="1" applyBorder="1" applyAlignment="1">
      <alignment horizontal="center" vertical="center"/>
    </xf>
    <xf numFmtId="176" fontId="7" fillId="10" borderId="2" xfId="116" applyNumberFormat="1" applyFont="1" applyFill="1" applyBorder="1" applyAlignment="1">
      <alignment horizontal="center" vertical="center" wrapText="1"/>
    </xf>
    <xf numFmtId="0" fontId="90" fillId="10" borderId="6" xfId="62" applyFont="1" applyFill="1" applyBorder="1" applyAlignment="1">
      <alignment horizontal="left"/>
    </xf>
    <xf numFmtId="0" fontId="90" fillId="10" borderId="10" xfId="62" applyFont="1" applyFill="1" applyBorder="1" applyAlignment="1">
      <alignment horizontal="left"/>
    </xf>
    <xf numFmtId="0" fontId="90" fillId="10" borderId="21" xfId="62" applyFont="1" applyFill="1" applyBorder="1" applyAlignment="1">
      <alignment horizontal="left"/>
    </xf>
    <xf numFmtId="0" fontId="5" fillId="0" borderId="18" xfId="0" applyFont="1" applyBorder="1" applyAlignment="1">
      <alignment horizontal="center" vertical="center" wrapText="1"/>
    </xf>
    <xf numFmtId="0" fontId="11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10" borderId="4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8" fillId="17" borderId="4" xfId="0" applyFont="1" applyFill="1" applyBorder="1" applyAlignment="1">
      <alignment horizontal="center" vertical="center" wrapText="1"/>
    </xf>
    <xf numFmtId="0" fontId="8" fillId="17" borderId="7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105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170" fontId="245" fillId="10" borderId="2" xfId="116" applyFont="1" applyFill="1" applyBorder="1" applyAlignment="1">
      <alignment horizontal="center" vertical="center" wrapText="1"/>
    </xf>
    <xf numFmtId="170" fontId="50" fillId="0" borderId="2" xfId="116" applyFont="1" applyFill="1" applyBorder="1" applyAlignment="1">
      <alignment horizontal="center" vertical="center" wrapText="1"/>
    </xf>
    <xf numFmtId="170" fontId="50" fillId="0" borderId="6" xfId="116" applyFont="1" applyFill="1" applyBorder="1" applyAlignment="1">
      <alignment horizontal="center" vertical="center" wrapText="1"/>
    </xf>
    <xf numFmtId="170" fontId="50" fillId="0" borderId="21" xfId="116" applyFont="1" applyFill="1" applyBorder="1" applyAlignment="1">
      <alignment horizontal="center" vertical="center" wrapText="1"/>
    </xf>
    <xf numFmtId="170" fontId="50" fillId="0" borderId="10" xfId="116" applyFont="1" applyFill="1" applyBorder="1" applyAlignment="1">
      <alignment horizontal="center" vertical="center" wrapText="1"/>
    </xf>
    <xf numFmtId="170" fontId="245" fillId="0" borderId="2" xfId="116" applyFont="1" applyFill="1" applyBorder="1" applyAlignment="1">
      <alignment horizontal="center" vertical="center" wrapText="1"/>
    </xf>
    <xf numFmtId="170" fontId="50" fillId="0" borderId="5" xfId="116" applyFont="1" applyFill="1" applyBorder="1" applyAlignment="1">
      <alignment horizontal="center" vertical="center" wrapText="1"/>
    </xf>
    <xf numFmtId="170" fontId="50" fillId="0" borderId="11" xfId="116" applyFont="1" applyFill="1" applyBorder="1" applyAlignment="1">
      <alignment horizontal="center" vertical="center" wrapText="1"/>
    </xf>
    <xf numFmtId="170" fontId="50" fillId="0" borderId="25" xfId="116" applyFont="1" applyFill="1" applyBorder="1" applyAlignment="1">
      <alignment horizontal="center" vertical="center" wrapText="1"/>
    </xf>
    <xf numFmtId="0" fontId="50" fillId="0" borderId="2" xfId="116" applyNumberFormat="1" applyFont="1" applyFill="1" applyBorder="1" applyAlignment="1">
      <alignment horizontal="center" vertical="center" wrapText="1"/>
    </xf>
    <xf numFmtId="170" fontId="77" fillId="0" borderId="22" xfId="116" applyFont="1" applyFill="1" applyBorder="1" applyAlignment="1">
      <alignment horizontal="center" vertical="center"/>
    </xf>
    <xf numFmtId="170" fontId="77" fillId="0" borderId="0" xfId="116" applyFont="1" applyFill="1" applyAlignment="1">
      <alignment horizontal="center" vertical="center" wrapText="1"/>
    </xf>
    <xf numFmtId="170" fontId="50" fillId="0" borderId="4" xfId="116" applyFont="1" applyFill="1" applyBorder="1" applyAlignment="1">
      <alignment horizontal="center" vertical="center" wrapText="1"/>
    </xf>
    <xf numFmtId="170" fontId="50" fillId="0" borderId="7" xfId="116" applyFont="1" applyFill="1" applyBorder="1" applyAlignment="1">
      <alignment horizontal="center" vertical="center" wrapText="1"/>
    </xf>
    <xf numFmtId="175" fontId="50" fillId="0" borderId="2" xfId="116" applyNumberFormat="1" applyFont="1" applyFill="1" applyBorder="1" applyAlignment="1">
      <alignment horizontal="center" vertical="center" wrapText="1"/>
    </xf>
    <xf numFmtId="170" fontId="50" fillId="6" borderId="6" xfId="116" applyFont="1" applyFill="1" applyBorder="1" applyAlignment="1">
      <alignment horizontal="left" vertical="center" wrapText="1"/>
    </xf>
    <xf numFmtId="170" fontId="50" fillId="6" borderId="21" xfId="116" applyFont="1" applyFill="1" applyBorder="1" applyAlignment="1">
      <alignment horizontal="left" vertical="center" wrapText="1"/>
    </xf>
    <xf numFmtId="170" fontId="50" fillId="6" borderId="2" xfId="116" applyFont="1" applyFill="1" applyBorder="1" applyAlignment="1">
      <alignment horizontal="left" vertical="center" wrapText="1"/>
    </xf>
    <xf numFmtId="170" fontId="50" fillId="6" borderId="5" xfId="116" applyFont="1" applyFill="1" applyBorder="1" applyAlignment="1">
      <alignment horizontal="center" vertical="center" wrapText="1"/>
    </xf>
    <xf numFmtId="170" fontId="50" fillId="6" borderId="11" xfId="116" applyFont="1" applyFill="1" applyBorder="1" applyAlignment="1">
      <alignment horizontal="center" vertical="center" wrapText="1"/>
    </xf>
    <xf numFmtId="170" fontId="50" fillId="6" borderId="25" xfId="116" applyFont="1" applyFill="1" applyBorder="1" applyAlignment="1">
      <alignment horizontal="center" vertical="center" wrapText="1"/>
    </xf>
    <xf numFmtId="170" fontId="77" fillId="6" borderId="0" xfId="116" applyFont="1" applyFill="1" applyAlignment="1">
      <alignment horizontal="left" vertical="center"/>
    </xf>
    <xf numFmtId="175" fontId="50" fillId="6" borderId="2" xfId="116" applyNumberFormat="1" applyFont="1" applyFill="1" applyBorder="1" applyAlignment="1">
      <alignment horizontal="center" vertical="center" wrapText="1"/>
    </xf>
    <xf numFmtId="170" fontId="50" fillId="6" borderId="10" xfId="116" applyFont="1" applyFill="1" applyBorder="1" applyAlignment="1">
      <alignment horizontal="left" vertical="center" wrapText="1"/>
    </xf>
    <xf numFmtId="170" fontId="50" fillId="6" borderId="4" xfId="116" applyFont="1" applyFill="1" applyBorder="1" applyAlignment="1">
      <alignment horizontal="center" vertical="center" wrapText="1"/>
    </xf>
    <xf numFmtId="170" fontId="50" fillId="6" borderId="7" xfId="116" applyFont="1" applyFill="1" applyBorder="1" applyAlignment="1">
      <alignment horizontal="center" vertical="center" wrapText="1"/>
    </xf>
    <xf numFmtId="170" fontId="178" fillId="0" borderId="2" xfId="4432" applyFont="1" applyFill="1" applyBorder="1" applyAlignment="1">
      <alignment horizontal="center" vertical="center" wrapText="1"/>
    </xf>
    <xf numFmtId="0" fontId="178" fillId="0" borderId="2" xfId="0" applyFont="1" applyBorder="1" applyAlignment="1">
      <alignment horizontal="center" vertical="center" wrapText="1"/>
    </xf>
    <xf numFmtId="170" fontId="178" fillId="0" borderId="6" xfId="4432" applyFont="1" applyFill="1" applyBorder="1" applyAlignment="1">
      <alignment horizontal="center" vertical="center" wrapText="1"/>
    </xf>
    <xf numFmtId="170" fontId="178" fillId="0" borderId="21" xfId="4432" applyFont="1" applyFill="1" applyBorder="1" applyAlignment="1">
      <alignment horizontal="center" vertical="center" wrapText="1"/>
    </xf>
    <xf numFmtId="170" fontId="159" fillId="0" borderId="22" xfId="4432" applyFont="1" applyFill="1" applyBorder="1" applyAlignment="1">
      <alignment horizontal="center" vertical="center"/>
    </xf>
    <xf numFmtId="170" fontId="159" fillId="0" borderId="23" xfId="4432" applyFont="1" applyFill="1" applyBorder="1" applyAlignment="1">
      <alignment horizontal="center" vertical="center" wrapText="1"/>
    </xf>
    <xf numFmtId="170" fontId="178" fillId="0" borderId="10" xfId="4432" applyFont="1" applyFill="1" applyBorder="1" applyAlignment="1">
      <alignment horizontal="center" vertical="center" wrapText="1"/>
    </xf>
    <xf numFmtId="175" fontId="178" fillId="0" borderId="2" xfId="4432" applyNumberFormat="1" applyFont="1" applyFill="1" applyBorder="1" applyAlignment="1">
      <alignment horizontal="center" vertical="center" wrapText="1"/>
    </xf>
    <xf numFmtId="170" fontId="178" fillId="0" borderId="4" xfId="4432" applyFont="1" applyFill="1" applyBorder="1" applyAlignment="1">
      <alignment horizontal="center" vertical="center" wrapText="1"/>
    </xf>
    <xf numFmtId="170" fontId="178" fillId="0" borderId="7" xfId="4432" applyFont="1" applyFill="1" applyBorder="1" applyAlignment="1">
      <alignment horizontal="center" vertical="center" wrapText="1"/>
    </xf>
    <xf numFmtId="170" fontId="32" fillId="0" borderId="0" xfId="116" applyFont="1" applyFill="1" applyAlignment="1">
      <alignment vertical="center" wrapText="1"/>
    </xf>
    <xf numFmtId="170" fontId="251" fillId="0" borderId="2" xfId="4432" applyFont="1" applyFill="1" applyBorder="1" applyAlignment="1">
      <alignment horizontal="center" vertical="center" wrapText="1"/>
    </xf>
    <xf numFmtId="170" fontId="50" fillId="0" borderId="2" xfId="4432" applyFont="1" applyFill="1" applyBorder="1" applyAlignment="1">
      <alignment horizontal="center" vertical="center" wrapText="1"/>
    </xf>
    <xf numFmtId="170" fontId="50" fillId="0" borderId="6" xfId="4432" applyFont="1" applyFill="1" applyBorder="1" applyAlignment="1">
      <alignment horizontal="center" vertical="center" wrapText="1"/>
    </xf>
    <xf numFmtId="170" fontId="50" fillId="0" borderId="10" xfId="4432" applyFont="1" applyFill="1" applyBorder="1" applyAlignment="1">
      <alignment horizontal="center" vertical="center" wrapText="1"/>
    </xf>
    <xf numFmtId="170" fontId="77" fillId="0" borderId="22" xfId="4432" applyFont="1" applyFill="1" applyBorder="1" applyAlignment="1">
      <alignment horizontal="center" vertical="center"/>
    </xf>
    <xf numFmtId="170" fontId="77" fillId="0" borderId="23" xfId="4432" applyFont="1" applyFill="1" applyBorder="1" applyAlignment="1">
      <alignment horizontal="center" vertical="center" wrapText="1"/>
    </xf>
    <xf numFmtId="170" fontId="50" fillId="0" borderId="21" xfId="4432" applyFont="1" applyFill="1" applyBorder="1" applyAlignment="1">
      <alignment horizontal="center" vertical="center" wrapText="1"/>
    </xf>
    <xf numFmtId="175" fontId="50" fillId="0" borderId="2" xfId="4432" applyNumberFormat="1" applyFont="1" applyFill="1" applyBorder="1" applyAlignment="1">
      <alignment horizontal="center" vertical="center" wrapText="1"/>
    </xf>
    <xf numFmtId="170" fontId="50" fillId="0" borderId="4" xfId="4432" applyFont="1" applyFill="1" applyBorder="1" applyAlignment="1">
      <alignment horizontal="center" vertical="center" wrapText="1"/>
    </xf>
    <xf numFmtId="170" fontId="50" fillId="0" borderId="7" xfId="4432" applyFont="1" applyFill="1" applyBorder="1" applyAlignment="1">
      <alignment horizontal="center" vertical="center" wrapText="1"/>
    </xf>
    <xf numFmtId="170" fontId="178" fillId="0" borderId="2" xfId="116" applyFont="1" applyFill="1" applyBorder="1" applyAlignment="1">
      <alignment horizontal="center" vertical="center" wrapText="1"/>
    </xf>
    <xf numFmtId="170" fontId="8" fillId="0" borderId="6" xfId="116" applyFont="1" applyFill="1" applyBorder="1" applyAlignment="1">
      <alignment horizontal="center" vertical="center" wrapText="1"/>
    </xf>
    <xf numFmtId="170" fontId="8" fillId="0" borderId="10" xfId="116" applyFont="1" applyFill="1" applyBorder="1" applyAlignment="1">
      <alignment horizontal="center" vertical="center" wrapText="1"/>
    </xf>
    <xf numFmtId="170" fontId="8" fillId="0" borderId="4" xfId="116" applyFont="1" applyFill="1" applyBorder="1" applyAlignment="1">
      <alignment horizontal="center" vertical="center" wrapText="1"/>
    </xf>
    <xf numFmtId="170" fontId="8" fillId="0" borderId="7" xfId="116" applyFont="1" applyFill="1" applyBorder="1" applyAlignment="1">
      <alignment horizontal="center" vertical="center" wrapText="1"/>
    </xf>
    <xf numFmtId="170" fontId="8" fillId="0" borderId="21" xfId="116" applyFont="1" applyFill="1" applyBorder="1" applyAlignment="1">
      <alignment horizontal="center" vertical="center" wrapText="1"/>
    </xf>
    <xf numFmtId="175" fontId="8" fillId="0" borderId="2" xfId="116" applyNumberFormat="1" applyFont="1" applyFill="1" applyBorder="1" applyAlignment="1">
      <alignment horizontal="center" vertical="center" wrapText="1"/>
    </xf>
    <xf numFmtId="170" fontId="8" fillId="0" borderId="2" xfId="116" applyFont="1" applyFill="1" applyBorder="1" applyAlignment="1">
      <alignment horizontal="left" vertical="center" wrapText="1"/>
    </xf>
    <xf numFmtId="0" fontId="251" fillId="0" borderId="2" xfId="0" applyFont="1" applyBorder="1" applyAlignment="1">
      <alignment horizontal="center" vertical="center"/>
    </xf>
    <xf numFmtId="0" fontId="50" fillId="0" borderId="2" xfId="0" applyFont="1" applyBorder="1" applyAlignment="1">
      <alignment horizontal="center" vertical="center" wrapText="1"/>
    </xf>
    <xf numFmtId="0" fontId="50" fillId="0" borderId="6" xfId="0" applyFont="1" applyBorder="1" applyAlignment="1">
      <alignment horizontal="left" vertical="center" wrapText="1"/>
    </xf>
    <xf numFmtId="0" fontId="50" fillId="0" borderId="21" xfId="0" applyFont="1" applyBorder="1" applyAlignment="1">
      <alignment horizontal="left" vertical="center" wrapText="1"/>
    </xf>
    <xf numFmtId="0" fontId="50" fillId="0" borderId="10" xfId="0" applyFont="1" applyBorder="1" applyAlignment="1">
      <alignment horizontal="left" vertical="center" wrapText="1"/>
    </xf>
    <xf numFmtId="0" fontId="251" fillId="0" borderId="2" xfId="0" applyFont="1" applyBorder="1" applyAlignment="1">
      <alignment horizontal="center" vertical="center" wrapText="1"/>
    </xf>
    <xf numFmtId="0" fontId="251" fillId="0" borderId="4" xfId="0" applyFont="1" applyBorder="1" applyAlignment="1">
      <alignment horizontal="center" vertical="center" wrapText="1"/>
    </xf>
    <xf numFmtId="0" fontId="251" fillId="0" borderId="7" xfId="0" applyFont="1" applyBorder="1" applyAlignment="1">
      <alignment horizontal="center" vertical="center" wrapText="1"/>
    </xf>
    <xf numFmtId="0" fontId="251" fillId="0" borderId="6" xfId="0" applyFont="1" applyBorder="1" applyAlignment="1">
      <alignment horizontal="center" vertical="center" wrapText="1"/>
    </xf>
    <xf numFmtId="0" fontId="251" fillId="0" borderId="10" xfId="0" applyFont="1" applyBorder="1" applyAlignment="1">
      <alignment horizontal="center" vertical="center" wrapText="1"/>
    </xf>
    <xf numFmtId="0" fontId="251" fillId="0" borderId="2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0" fillId="0" borderId="2" xfId="0" applyFont="1" applyBorder="1" applyAlignment="1">
      <alignment horizontal="left" vertical="center" wrapText="1"/>
    </xf>
    <xf numFmtId="0" fontId="50" fillId="0" borderId="4" xfId="0" applyFont="1" applyBorder="1" applyAlignment="1">
      <alignment horizontal="left" vertical="center" wrapText="1"/>
    </xf>
    <xf numFmtId="0" fontId="50" fillId="0" borderId="7" xfId="0" applyFont="1" applyBorder="1" applyAlignment="1">
      <alignment horizontal="left" vertical="center" wrapText="1"/>
    </xf>
    <xf numFmtId="0" fontId="245" fillId="0" borderId="4" xfId="0" applyFont="1" applyBorder="1" applyAlignment="1">
      <alignment horizontal="center" vertical="center" wrapText="1"/>
    </xf>
    <xf numFmtId="0" fontId="245" fillId="0" borderId="7" xfId="0" applyFont="1" applyBorder="1" applyAlignment="1">
      <alignment horizontal="center" vertical="center" wrapText="1"/>
    </xf>
    <xf numFmtId="0" fontId="245" fillId="0" borderId="2" xfId="0" applyFont="1" applyBorder="1" applyAlignment="1">
      <alignment horizontal="center" vertical="center" wrapText="1"/>
    </xf>
    <xf numFmtId="0" fontId="77" fillId="0" borderId="4" xfId="0" applyFont="1" applyBorder="1" applyAlignment="1" applyProtection="1">
      <alignment horizontal="center" vertical="center"/>
      <protection locked="0"/>
    </xf>
    <xf numFmtId="0" fontId="77" fillId="0" borderId="18" xfId="0" applyFont="1" applyBorder="1" applyAlignment="1" applyProtection="1">
      <alignment horizontal="center" vertical="center"/>
      <protection locked="0"/>
    </xf>
    <xf numFmtId="0" fontId="77" fillId="0" borderId="7" xfId="0" applyFont="1" applyBorder="1" applyAlignment="1" applyProtection="1">
      <alignment horizontal="center" vertical="center"/>
      <protection locked="0"/>
    </xf>
    <xf numFmtId="170" fontId="77" fillId="0" borderId="4" xfId="116" applyFont="1" applyFill="1" applyBorder="1" applyAlignment="1">
      <alignment horizontal="center" vertical="center"/>
    </xf>
    <xf numFmtId="170" fontId="77" fillId="0" borderId="18" xfId="116" applyFont="1" applyFill="1" applyBorder="1" applyAlignment="1">
      <alignment horizontal="center" vertical="center"/>
    </xf>
    <xf numFmtId="170" fontId="77" fillId="0" borderId="7" xfId="116" applyFont="1" applyFill="1" applyBorder="1" applyAlignment="1">
      <alignment horizontal="center" vertical="center"/>
    </xf>
    <xf numFmtId="4" fontId="77" fillId="0" borderId="4" xfId="0" applyNumberFormat="1" applyFont="1" applyBorder="1" applyAlignment="1">
      <alignment horizontal="center" vertical="center"/>
    </xf>
    <xf numFmtId="0" fontId="77" fillId="0" borderId="18" xfId="0" applyFont="1" applyBorder="1" applyAlignment="1">
      <alignment horizontal="center" vertical="center"/>
    </xf>
    <xf numFmtId="0" fontId="77" fillId="0" borderId="7" xfId="0" applyFont="1" applyBorder="1" applyAlignment="1">
      <alignment horizontal="center" vertical="center"/>
    </xf>
    <xf numFmtId="0" fontId="50" fillId="0" borderId="4" xfId="0" applyFont="1" applyBorder="1" applyAlignment="1">
      <alignment horizontal="center" vertical="center" wrapText="1"/>
    </xf>
    <xf numFmtId="0" fontId="50" fillId="0" borderId="7" xfId="0" applyFont="1" applyBorder="1" applyAlignment="1">
      <alignment horizontal="center" vertical="center" wrapText="1"/>
    </xf>
    <xf numFmtId="170" fontId="77" fillId="0" borderId="22" xfId="116" applyFont="1" applyFill="1" applyBorder="1" applyAlignment="1">
      <alignment horizontal="center" vertical="center" wrapText="1"/>
    </xf>
    <xf numFmtId="170" fontId="77" fillId="0" borderId="0" xfId="116" applyFont="1" applyFill="1" applyAlignment="1">
      <alignment horizontal="center" vertical="center" wrapText="1" shrinkToFit="1"/>
    </xf>
    <xf numFmtId="170" fontId="77" fillId="0" borderId="0" xfId="116" applyFont="1" applyFill="1" applyAlignment="1">
      <alignment horizontal="center" vertical="center"/>
    </xf>
    <xf numFmtId="0" fontId="77" fillId="0" borderId="0" xfId="0" applyFont="1" applyAlignment="1">
      <alignment horizontal="center" vertical="center" wrapText="1"/>
    </xf>
    <xf numFmtId="0" fontId="77" fillId="0" borderId="22" xfId="0" applyFont="1" applyBorder="1" applyAlignment="1">
      <alignment horizontal="center" vertical="center" wrapText="1"/>
    </xf>
    <xf numFmtId="0" fontId="77" fillId="0" borderId="0" xfId="0" applyFont="1" applyAlignment="1">
      <alignment horizontal="center" vertical="center" wrapText="1" shrinkToFit="1"/>
    </xf>
    <xf numFmtId="0" fontId="77" fillId="0" borderId="0" xfId="0" applyFont="1" applyAlignment="1">
      <alignment horizontal="center" vertical="center"/>
    </xf>
    <xf numFmtId="0" fontId="50" fillId="0" borderId="6" xfId="0" applyFont="1" applyBorder="1" applyAlignment="1">
      <alignment horizontal="center" vertical="center" wrapText="1"/>
    </xf>
    <xf numFmtId="0" fontId="50" fillId="0" borderId="21" xfId="0" applyFont="1" applyBorder="1" applyAlignment="1">
      <alignment horizontal="center" vertical="center" wrapText="1"/>
    </xf>
    <xf numFmtId="0" fontId="77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172" fontId="8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3" fontId="7" fillId="0" borderId="0" xfId="0" applyNumberFormat="1" applyFont="1" applyAlignment="1" applyProtection="1">
      <alignment horizontal="left" vertical="center" wrapText="1"/>
      <protection locked="0"/>
    </xf>
    <xf numFmtId="0" fontId="110" fillId="0" borderId="2" xfId="0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0" fontId="36" fillId="2" borderId="2" xfId="116" applyNumberFormat="1" applyFont="1" applyFill="1" applyBorder="1" applyAlignment="1">
      <alignment horizontal="center" vertical="center" wrapText="1"/>
    </xf>
    <xf numFmtId="0" fontId="36" fillId="2" borderId="6" xfId="116" applyNumberFormat="1" applyFont="1" applyFill="1" applyBorder="1" applyAlignment="1">
      <alignment horizontal="center" vertical="center" wrapText="1"/>
    </xf>
    <xf numFmtId="0" fontId="36" fillId="2" borderId="21" xfId="116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4" fillId="10" borderId="6" xfId="0" applyFont="1" applyFill="1" applyBorder="1" applyAlignment="1">
      <alignment horizontal="center"/>
    </xf>
    <xf numFmtId="0" fontId="4" fillId="10" borderId="10" xfId="0" applyFont="1" applyFill="1" applyBorder="1" applyAlignment="1">
      <alignment horizontal="center"/>
    </xf>
    <xf numFmtId="0" fontId="4" fillId="10" borderId="21" xfId="0" applyFont="1" applyFill="1" applyBorder="1" applyAlignment="1">
      <alignment horizontal="center"/>
    </xf>
    <xf numFmtId="17" fontId="4" fillId="10" borderId="6" xfId="0" applyNumberFormat="1" applyFont="1" applyFill="1" applyBorder="1" applyAlignment="1">
      <alignment horizontal="center"/>
    </xf>
    <xf numFmtId="17" fontId="4" fillId="10" borderId="10" xfId="0" applyNumberFormat="1" applyFont="1" applyFill="1" applyBorder="1" applyAlignment="1">
      <alignment horizontal="center"/>
    </xf>
    <xf numFmtId="17" fontId="4" fillId="10" borderId="21" xfId="0" applyNumberFormat="1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4" fillId="6" borderId="21" xfId="0" applyFont="1" applyFill="1" applyBorder="1" applyAlignment="1">
      <alignment horizontal="center"/>
    </xf>
    <xf numFmtId="0" fontId="111" fillId="6" borderId="0" xfId="0" applyFont="1" applyFill="1" applyAlignment="1">
      <alignment horizontal="center"/>
    </xf>
    <xf numFmtId="0" fontId="4" fillId="6" borderId="0" xfId="0" applyFont="1" applyFill="1" applyAlignment="1">
      <alignment horizontal="left" vertical="center" wrapText="1"/>
    </xf>
    <xf numFmtId="4" fontId="111" fillId="6" borderId="6" xfId="0" applyNumberFormat="1" applyFont="1" applyFill="1" applyBorder="1" applyAlignment="1">
      <alignment horizontal="center" vertical="top"/>
    </xf>
    <xf numFmtId="4" fontId="111" fillId="6" borderId="10" xfId="0" applyNumberFormat="1" applyFont="1" applyFill="1" applyBorder="1" applyAlignment="1">
      <alignment horizontal="center" vertical="top"/>
    </xf>
    <xf numFmtId="4" fontId="111" fillId="6" borderId="21" xfId="0" applyNumberFormat="1" applyFont="1" applyFill="1" applyBorder="1" applyAlignment="1">
      <alignment horizontal="center" vertical="top"/>
    </xf>
    <xf numFmtId="0" fontId="4" fillId="6" borderId="4" xfId="0" applyFont="1" applyFill="1" applyBorder="1" applyAlignment="1">
      <alignment horizontal="center" vertical="top"/>
    </xf>
    <xf numFmtId="0" fontId="4" fillId="6" borderId="7" xfId="0" applyFont="1" applyFill="1" applyBorder="1" applyAlignment="1">
      <alignment horizontal="center" vertical="top"/>
    </xf>
    <xf numFmtId="0" fontId="4" fillId="6" borderId="2" xfId="0" applyFont="1" applyFill="1" applyBorder="1" applyAlignment="1">
      <alignment horizontal="center" vertical="top"/>
    </xf>
    <xf numFmtId="0" fontId="4" fillId="10" borderId="2" xfId="0" applyFont="1" applyFill="1" applyBorder="1" applyAlignment="1">
      <alignment horizontal="center" vertical="top"/>
    </xf>
    <xf numFmtId="4" fontId="111" fillId="6" borderId="2" xfId="0" applyNumberFormat="1" applyFont="1" applyFill="1" applyBorder="1" applyAlignment="1">
      <alignment horizontal="center" vertical="top"/>
    </xf>
    <xf numFmtId="0" fontId="34" fillId="6" borderId="0" xfId="0" applyFont="1" applyFill="1" applyAlignment="1">
      <alignment horizontal="center" vertical="center" wrapText="1"/>
    </xf>
    <xf numFmtId="0" fontId="117" fillId="6" borderId="4" xfId="0" applyFont="1" applyFill="1" applyBorder="1" applyAlignment="1">
      <alignment horizontal="center" vertical="center" wrapText="1"/>
    </xf>
    <xf numFmtId="0" fontId="117" fillId="6" borderId="7" xfId="0" applyFont="1" applyFill="1" applyBorder="1" applyAlignment="1">
      <alignment horizontal="center" vertical="center" wrapText="1"/>
    </xf>
    <xf numFmtId="0" fontId="117" fillId="6" borderId="6" xfId="0" applyFont="1" applyFill="1" applyBorder="1" applyAlignment="1">
      <alignment horizontal="center" vertical="center" wrapText="1"/>
    </xf>
    <xf numFmtId="0" fontId="117" fillId="6" borderId="21" xfId="0" applyFont="1" applyFill="1" applyBorder="1" applyAlignment="1">
      <alignment horizontal="center" vertical="center" wrapText="1"/>
    </xf>
    <xf numFmtId="0" fontId="36" fillId="0" borderId="2" xfId="116" applyNumberFormat="1" applyFont="1" applyFill="1" applyBorder="1" applyAlignment="1">
      <alignment horizontal="center" vertical="center" wrapText="1"/>
    </xf>
    <xf numFmtId="0" fontId="113" fillId="0" borderId="2" xfId="116" applyNumberFormat="1" applyFont="1" applyFill="1" applyBorder="1" applyAlignment="1">
      <alignment horizontal="center" vertical="center" wrapText="1"/>
    </xf>
    <xf numFmtId="0" fontId="36" fillId="0" borderId="6" xfId="116" applyNumberFormat="1" applyFont="1" applyFill="1" applyBorder="1" applyAlignment="1">
      <alignment horizontal="center" vertical="center" wrapText="1"/>
    </xf>
    <xf numFmtId="0" fontId="36" fillId="0" borderId="21" xfId="116" applyNumberFormat="1" applyFont="1" applyFill="1" applyBorder="1" applyAlignment="1">
      <alignment horizontal="center" vertical="center" wrapText="1"/>
    </xf>
    <xf numFmtId="3" fontId="36" fillId="0" borderId="4" xfId="116" applyNumberFormat="1" applyFont="1" applyFill="1" applyBorder="1" applyAlignment="1">
      <alignment horizontal="center" vertical="center" wrapText="1"/>
    </xf>
    <xf numFmtId="3" fontId="36" fillId="0" borderId="18" xfId="116" applyNumberFormat="1" applyFont="1" applyFill="1" applyBorder="1" applyAlignment="1">
      <alignment horizontal="center" vertical="center" wrapText="1"/>
    </xf>
    <xf numFmtId="3" fontId="36" fillId="0" borderId="7" xfId="116" applyNumberFormat="1" applyFont="1" applyFill="1" applyBorder="1" applyAlignment="1">
      <alignment horizontal="center" vertical="center" wrapText="1"/>
    </xf>
    <xf numFmtId="0" fontId="113" fillId="0" borderId="6" xfId="116" applyNumberFormat="1" applyFont="1" applyFill="1" applyBorder="1" applyAlignment="1">
      <alignment horizontal="center" vertical="center" wrapText="1"/>
    </xf>
    <xf numFmtId="0" fontId="113" fillId="0" borderId="21" xfId="116" applyNumberFormat="1" applyFont="1" applyFill="1" applyBorder="1" applyAlignment="1">
      <alignment horizontal="center" vertical="center" wrapText="1"/>
    </xf>
    <xf numFmtId="0" fontId="128" fillId="6" borderId="0" xfId="122" applyNumberFormat="1" applyFont="1" applyFill="1" applyAlignment="1">
      <alignment horizontal="left" vertical="center"/>
    </xf>
    <xf numFmtId="0" fontId="127" fillId="0" borderId="0" xfId="0" applyFont="1" applyAlignment="1">
      <alignment horizontal="left" vertical="center"/>
    </xf>
    <xf numFmtId="3" fontId="8" fillId="0" borderId="4" xfId="116" applyNumberFormat="1" applyFont="1" applyFill="1" applyBorder="1" applyAlignment="1">
      <alignment horizontal="center" vertical="center" wrapText="1"/>
    </xf>
    <xf numFmtId="3" fontId="8" fillId="0" borderId="18" xfId="116" applyNumberFormat="1" applyFont="1" applyFill="1" applyBorder="1" applyAlignment="1">
      <alignment horizontal="center" vertical="center" wrapText="1"/>
    </xf>
    <xf numFmtId="3" fontId="8" fillId="0" borderId="7" xfId="116" applyNumberFormat="1" applyFont="1" applyFill="1" applyBorder="1" applyAlignment="1">
      <alignment horizontal="center" vertical="center" wrapText="1"/>
    </xf>
    <xf numFmtId="0" fontId="132" fillId="0" borderId="2" xfId="116" applyNumberFormat="1" applyFont="1" applyFill="1" applyBorder="1" applyAlignment="1">
      <alignment horizontal="center" vertical="center" wrapText="1"/>
    </xf>
    <xf numFmtId="0" fontId="8" fillId="0" borderId="2" xfId="116" applyNumberFormat="1" applyFont="1" applyFill="1" applyBorder="1" applyAlignment="1">
      <alignment horizontal="center" vertical="center" wrapText="1"/>
    </xf>
    <xf numFmtId="0" fontId="8" fillId="0" borderId="2" xfId="27" applyFont="1" applyBorder="1" applyAlignment="1">
      <alignment horizontal="center" vertical="center"/>
    </xf>
    <xf numFmtId="0" fontId="8" fillId="0" borderId="2" xfId="27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36" fillId="0" borderId="4" xfId="116" applyNumberFormat="1" applyFont="1" applyFill="1" applyBorder="1" applyAlignment="1">
      <alignment horizontal="center" vertical="center" wrapText="1"/>
    </xf>
    <xf numFmtId="0" fontId="36" fillId="0" borderId="7" xfId="116" applyNumberFormat="1" applyFont="1" applyFill="1" applyBorder="1" applyAlignment="1">
      <alignment horizontal="center" vertical="center" wrapText="1"/>
    </xf>
    <xf numFmtId="0" fontId="36" fillId="0" borderId="10" xfId="116" applyNumberFormat="1" applyFont="1" applyFill="1" applyBorder="1" applyAlignment="1">
      <alignment horizontal="center" vertical="center" wrapText="1"/>
    </xf>
    <xf numFmtId="170" fontId="8" fillId="0" borderId="2" xfId="122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176" fontId="35" fillId="0" borderId="6" xfId="116" applyNumberFormat="1" applyFont="1" applyFill="1" applyBorder="1" applyAlignment="1">
      <alignment horizontal="center" vertical="center"/>
    </xf>
    <xf numFmtId="176" fontId="35" fillId="0" borderId="21" xfId="116" applyNumberFormat="1" applyFont="1" applyFill="1" applyBorder="1" applyAlignment="1">
      <alignment horizontal="center" vertical="center"/>
    </xf>
    <xf numFmtId="176" fontId="36" fillId="0" borderId="6" xfId="116" applyNumberFormat="1" applyFont="1" applyFill="1" applyBorder="1" applyAlignment="1">
      <alignment horizontal="center"/>
    </xf>
    <xf numFmtId="176" fontId="36" fillId="0" borderId="21" xfId="116" applyNumberFormat="1" applyFont="1" applyFill="1" applyBorder="1" applyAlignment="1">
      <alignment horizontal="center"/>
    </xf>
    <xf numFmtId="170" fontId="8" fillId="0" borderId="4" xfId="122" applyFont="1" applyFill="1" applyBorder="1" applyAlignment="1">
      <alignment horizontal="center" vertical="center" wrapText="1"/>
    </xf>
    <xf numFmtId="170" fontId="8" fillId="0" borderId="18" xfId="122" applyFont="1" applyFill="1" applyBorder="1" applyAlignment="1">
      <alignment horizontal="center" vertical="center" wrapText="1"/>
    </xf>
    <xf numFmtId="170" fontId="8" fillId="0" borderId="7" xfId="122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76" fontId="35" fillId="0" borderId="6" xfId="116" applyNumberFormat="1" applyFont="1" applyFill="1" applyBorder="1" applyAlignment="1">
      <alignment horizontal="left" vertical="center"/>
    </xf>
    <xf numFmtId="176" fontId="35" fillId="0" borderId="21" xfId="116" applyNumberFormat="1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2" fontId="9" fillId="0" borderId="7" xfId="0" applyNumberFormat="1" applyFont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3" fontId="9" fillId="0" borderId="2" xfId="74" applyNumberFormat="1" applyFont="1" applyBorder="1" applyAlignment="1">
      <alignment horizontal="center" vertical="center" wrapText="1"/>
    </xf>
    <xf numFmtId="3" fontId="9" fillId="0" borderId="6" xfId="74" applyNumberFormat="1" applyFont="1" applyBorder="1" applyAlignment="1">
      <alignment horizontal="left" vertical="center" wrapText="1"/>
    </xf>
    <xf numFmtId="3" fontId="9" fillId="0" borderId="21" xfId="74" applyNumberFormat="1" applyFont="1" applyBorder="1" applyAlignment="1">
      <alignment horizontal="left" vertical="center" wrapText="1"/>
    </xf>
    <xf numFmtId="3" fontId="9" fillId="0" borderId="6" xfId="0" applyNumberFormat="1" applyFont="1" applyBorder="1" applyAlignment="1">
      <alignment horizontal="center" vertical="center" wrapText="1"/>
    </xf>
    <xf numFmtId="3" fontId="9" fillId="0" borderId="10" xfId="0" applyNumberFormat="1" applyFont="1" applyBorder="1" applyAlignment="1">
      <alignment horizontal="center" vertical="center" wrapText="1"/>
    </xf>
    <xf numFmtId="3" fontId="9" fillId="0" borderId="21" xfId="0" applyNumberFormat="1" applyFont="1" applyBorder="1" applyAlignment="1">
      <alignment horizontal="center" vertical="center" wrapText="1"/>
    </xf>
    <xf numFmtId="3" fontId="9" fillId="0" borderId="4" xfId="74" applyNumberFormat="1" applyFont="1" applyBorder="1" applyAlignment="1">
      <alignment horizontal="center" vertical="center" wrapText="1"/>
    </xf>
    <xf numFmtId="3" fontId="9" fillId="0" borderId="7" xfId="74" applyNumberFormat="1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/>
    </xf>
    <xf numFmtId="0" fontId="36" fillId="0" borderId="6" xfId="0" applyFont="1" applyBorder="1" applyAlignment="1">
      <alignment horizontal="left" vertical="center"/>
    </xf>
    <xf numFmtId="0" fontId="36" fillId="0" borderId="21" xfId="0" applyFont="1" applyBorder="1" applyAlignment="1">
      <alignment horizontal="left" vertical="center"/>
    </xf>
    <xf numFmtId="0" fontId="36" fillId="0" borderId="4" xfId="0" applyFont="1" applyBorder="1" applyAlignment="1">
      <alignment horizontal="center" vertical="top" wrapText="1"/>
    </xf>
    <xf numFmtId="0" fontId="36" fillId="0" borderId="7" xfId="0" applyFont="1" applyBorder="1" applyAlignment="1">
      <alignment horizontal="center" vertical="top" wrapText="1"/>
    </xf>
    <xf numFmtId="0" fontId="36" fillId="0" borderId="2" xfId="0" applyFont="1" applyBorder="1" applyAlignment="1">
      <alignment horizontal="center" vertical="top" wrapText="1"/>
    </xf>
    <xf numFmtId="0" fontId="36" fillId="0" borderId="6" xfId="0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center"/>
    </xf>
    <xf numFmtId="0" fontId="36" fillId="0" borderId="2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1" fontId="8" fillId="0" borderId="2" xfId="116" applyNumberFormat="1" applyFont="1" applyFill="1" applyBorder="1" applyAlignment="1">
      <alignment horizontal="left" vertical="center" wrapText="1"/>
    </xf>
    <xf numFmtId="0" fontId="77" fillId="0" borderId="0" xfId="0" applyFont="1" applyAlignment="1">
      <alignment horizontal="left" vertical="center" wrapText="1"/>
    </xf>
    <xf numFmtId="170" fontId="4" fillId="0" borderId="2" xfId="116" applyFont="1" applyFill="1" applyBorder="1" applyAlignment="1">
      <alignment horizontal="left" vertical="center" wrapText="1"/>
    </xf>
    <xf numFmtId="0" fontId="77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2" xfId="36" applyFont="1" applyBorder="1" applyAlignment="1">
      <alignment horizontal="center" vertical="center" wrapText="1"/>
    </xf>
    <xf numFmtId="0" fontId="36" fillId="0" borderId="6" xfId="116" applyNumberFormat="1" applyFont="1" applyFill="1" applyBorder="1" applyAlignment="1">
      <alignment horizontal="left" vertical="center" wrapText="1"/>
    </xf>
    <xf numFmtId="0" fontId="36" fillId="0" borderId="21" xfId="116" applyNumberFormat="1" applyFont="1" applyFill="1" applyBorder="1" applyAlignment="1">
      <alignment horizontal="left" vertical="center" wrapText="1"/>
    </xf>
    <xf numFmtId="176" fontId="36" fillId="0" borderId="2" xfId="116" applyNumberFormat="1" applyFont="1" applyFill="1" applyBorder="1" applyAlignment="1">
      <alignment horizontal="center" vertical="center" wrapText="1"/>
    </xf>
    <xf numFmtId="176" fontId="36" fillId="0" borderId="2" xfId="116" applyNumberFormat="1" applyFont="1" applyFill="1" applyBorder="1" applyAlignment="1">
      <alignment horizontal="center"/>
    </xf>
    <xf numFmtId="170" fontId="36" fillId="0" borderId="6" xfId="116" applyFont="1" applyFill="1" applyBorder="1" applyAlignment="1">
      <alignment horizontal="center"/>
    </xf>
    <xf numFmtId="170" fontId="36" fillId="0" borderId="10" xfId="116" applyFont="1" applyFill="1" applyBorder="1" applyAlignment="1">
      <alignment horizontal="center"/>
    </xf>
    <xf numFmtId="170" fontId="36" fillId="0" borderId="21" xfId="116" applyFont="1" applyFill="1" applyBorder="1" applyAlignment="1">
      <alignment horizontal="center"/>
    </xf>
    <xf numFmtId="0" fontId="36" fillId="0" borderId="18" xfId="0" applyFont="1" applyBorder="1" applyAlignment="1">
      <alignment horizontal="center" vertical="center" wrapText="1"/>
    </xf>
    <xf numFmtId="0" fontId="36" fillId="6" borderId="2" xfId="36" applyFont="1" applyFill="1" applyBorder="1" applyAlignment="1">
      <alignment horizontal="center" vertical="top" wrapText="1"/>
    </xf>
    <xf numFmtId="0" fontId="36" fillId="6" borderId="0" xfId="0" applyFont="1" applyFill="1" applyAlignment="1">
      <alignment horizontal="center" vertical="center" wrapText="1"/>
    </xf>
    <xf numFmtId="0" fontId="36" fillId="6" borderId="2" xfId="0" applyFont="1" applyFill="1" applyBorder="1" applyAlignment="1">
      <alignment horizontal="center" vertical="center" wrapText="1"/>
    </xf>
    <xf numFmtId="4" fontId="36" fillId="6" borderId="2" xfId="0" applyNumberFormat="1" applyFont="1" applyFill="1" applyBorder="1" applyAlignment="1">
      <alignment horizontal="center" vertical="center" wrapText="1"/>
    </xf>
    <xf numFmtId="176" fontId="36" fillId="0" borderId="4" xfId="118" applyNumberFormat="1" applyFont="1" applyFill="1" applyBorder="1" applyAlignment="1">
      <alignment horizontal="center" vertical="center" wrapText="1"/>
    </xf>
    <xf numFmtId="176" fontId="36" fillId="0" borderId="18" xfId="118" applyNumberFormat="1" applyFont="1" applyFill="1" applyBorder="1" applyAlignment="1">
      <alignment horizontal="center" vertical="center" wrapText="1"/>
    </xf>
    <xf numFmtId="176" fontId="36" fillId="0" borderId="7" xfId="118" applyNumberFormat="1" applyFont="1" applyFill="1" applyBorder="1" applyAlignment="1">
      <alignment horizontal="center" vertical="center" wrapText="1"/>
    </xf>
    <xf numFmtId="176" fontId="36" fillId="0" borderId="6" xfId="118" applyNumberFormat="1" applyFont="1" applyFill="1" applyBorder="1" applyAlignment="1">
      <alignment horizontal="left" vertical="center" wrapText="1"/>
    </xf>
    <xf numFmtId="176" fontId="36" fillId="0" borderId="21" xfId="118" applyNumberFormat="1" applyFont="1" applyFill="1" applyBorder="1" applyAlignment="1">
      <alignment horizontal="left" vertical="center" wrapText="1"/>
    </xf>
    <xf numFmtId="0" fontId="36" fillId="0" borderId="2" xfId="112" applyFont="1" applyBorder="1" applyAlignment="1">
      <alignment horizontal="center" vertical="center"/>
    </xf>
    <xf numFmtId="0" fontId="36" fillId="0" borderId="4" xfId="112" applyFont="1" applyBorder="1" applyAlignment="1">
      <alignment horizontal="center" vertical="center" wrapText="1"/>
    </xf>
    <xf numFmtId="0" fontId="36" fillId="0" borderId="18" xfId="112" applyFont="1" applyBorder="1" applyAlignment="1">
      <alignment horizontal="center" vertical="center" wrapText="1"/>
    </xf>
    <xf numFmtId="0" fontId="36" fillId="0" borderId="7" xfId="112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/>
    </xf>
    <xf numFmtId="0" fontId="36" fillId="0" borderId="18" xfId="0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top"/>
    </xf>
    <xf numFmtId="176" fontId="36" fillId="0" borderId="4" xfId="116" applyNumberFormat="1" applyFont="1" applyFill="1" applyBorder="1" applyAlignment="1">
      <alignment horizontal="center" vertical="center" wrapText="1"/>
    </xf>
    <xf numFmtId="176" fontId="36" fillId="0" borderId="7" xfId="116" applyNumberFormat="1" applyFont="1" applyFill="1" applyBorder="1" applyAlignment="1">
      <alignment horizontal="center" vertical="center" wrapText="1"/>
    </xf>
    <xf numFmtId="3" fontId="36" fillId="0" borderId="4" xfId="0" applyNumberFormat="1" applyFont="1" applyBorder="1" applyAlignment="1">
      <alignment horizontal="center" vertical="center" wrapText="1"/>
    </xf>
    <xf numFmtId="3" fontId="36" fillId="0" borderId="7" xfId="0" applyNumberFormat="1" applyFont="1" applyBorder="1" applyAlignment="1">
      <alignment horizontal="center" vertical="center" wrapText="1"/>
    </xf>
    <xf numFmtId="3" fontId="36" fillId="0" borderId="6" xfId="0" applyNumberFormat="1" applyFont="1" applyBorder="1" applyAlignment="1">
      <alignment horizontal="left" vertical="center"/>
    </xf>
    <xf numFmtId="3" fontId="36" fillId="0" borderId="21" xfId="0" applyNumberFormat="1" applyFont="1" applyBorder="1" applyAlignment="1">
      <alignment horizontal="left" vertical="center"/>
    </xf>
    <xf numFmtId="3" fontId="36" fillId="0" borderId="2" xfId="0" applyNumberFormat="1" applyFont="1" applyBorder="1" applyAlignment="1">
      <alignment horizontal="center" vertical="center"/>
    </xf>
    <xf numFmtId="3" fontId="36" fillId="0" borderId="4" xfId="0" applyNumberFormat="1" applyFont="1" applyBorder="1" applyAlignment="1">
      <alignment horizontal="center" vertical="top" wrapText="1"/>
    </xf>
    <xf numFmtId="3" fontId="36" fillId="0" borderId="7" xfId="0" applyNumberFormat="1" applyFont="1" applyBorder="1" applyAlignment="1">
      <alignment horizontal="center" vertical="top" wrapText="1"/>
    </xf>
    <xf numFmtId="0" fontId="9" fillId="0" borderId="6" xfId="0" applyFont="1" applyBorder="1" applyAlignment="1">
      <alignment horizontal="left"/>
    </xf>
    <xf numFmtId="0" fontId="9" fillId="0" borderId="21" xfId="0" applyFont="1" applyBorder="1" applyAlignment="1">
      <alignment horizontal="left"/>
    </xf>
    <xf numFmtId="176" fontId="36" fillId="0" borderId="6" xfId="122" applyNumberFormat="1" applyFont="1" applyFill="1" applyBorder="1" applyAlignment="1" applyProtection="1">
      <alignment horizontal="center" vertical="center"/>
    </xf>
    <xf numFmtId="176" fontId="36" fillId="0" borderId="10" xfId="122" applyNumberFormat="1" applyFont="1" applyFill="1" applyBorder="1" applyAlignment="1" applyProtection="1">
      <alignment horizontal="center" vertical="center"/>
    </xf>
    <xf numFmtId="176" fontId="36" fillId="0" borderId="21" xfId="122" applyNumberFormat="1" applyFont="1" applyFill="1" applyBorder="1" applyAlignment="1" applyProtection="1">
      <alignment horizontal="center" vertical="center"/>
    </xf>
    <xf numFmtId="0" fontId="36" fillId="2" borderId="4" xfId="91" applyFont="1" applyFill="1" applyBorder="1" applyAlignment="1">
      <alignment horizontal="center" vertical="center" wrapText="1"/>
    </xf>
    <xf numFmtId="0" fontId="36" fillId="2" borderId="7" xfId="91" applyFont="1" applyFill="1" applyBorder="1" applyAlignment="1">
      <alignment horizontal="center" vertical="center" wrapText="1"/>
    </xf>
    <xf numFmtId="0" fontId="36" fillId="2" borderId="37" xfId="91" applyFont="1" applyFill="1" applyBorder="1" applyAlignment="1">
      <alignment horizontal="center" vertical="center" wrapText="1"/>
    </xf>
    <xf numFmtId="0" fontId="36" fillId="2" borderId="38" xfId="91" applyFont="1" applyFill="1" applyBorder="1" applyAlignment="1">
      <alignment horizontal="center" vertical="center" wrapText="1"/>
    </xf>
    <xf numFmtId="0" fontId="36" fillId="2" borderId="16" xfId="91" applyFont="1" applyFill="1" applyBorder="1" applyAlignment="1">
      <alignment horizontal="center" vertical="center" wrapText="1"/>
    </xf>
    <xf numFmtId="0" fontId="36" fillId="2" borderId="17" xfId="91" applyFont="1" applyFill="1" applyBorder="1" applyAlignment="1">
      <alignment horizontal="center" vertical="center" wrapText="1"/>
    </xf>
    <xf numFmtId="0" fontId="36" fillId="2" borderId="30" xfId="91" applyFont="1" applyFill="1" applyBorder="1" applyAlignment="1">
      <alignment horizontal="center" vertical="center" wrapText="1"/>
    </xf>
    <xf numFmtId="0" fontId="36" fillId="2" borderId="13" xfId="91" applyFont="1" applyFill="1" applyBorder="1" applyAlignment="1">
      <alignment horizontal="center" vertical="center" wrapText="1"/>
    </xf>
    <xf numFmtId="0" fontId="36" fillId="2" borderId="28" xfId="91" applyFont="1" applyFill="1" applyBorder="1" applyAlignment="1">
      <alignment horizontal="center" vertical="center" wrapText="1"/>
    </xf>
    <xf numFmtId="0" fontId="36" fillId="2" borderId="9" xfId="91" applyFont="1" applyFill="1" applyBorder="1" applyAlignment="1">
      <alignment horizontal="center" vertical="center" wrapText="1"/>
    </xf>
    <xf numFmtId="0" fontId="36" fillId="2" borderId="39" xfId="91" applyFont="1" applyFill="1" applyBorder="1" applyAlignment="1">
      <alignment horizontal="center" vertical="center" wrapText="1"/>
    </xf>
    <xf numFmtId="0" fontId="36" fillId="2" borderId="10" xfId="91" applyFont="1" applyFill="1" applyBorder="1" applyAlignment="1">
      <alignment horizontal="center" vertical="center" wrapText="1"/>
    </xf>
    <xf numFmtId="0" fontId="36" fillId="2" borderId="8" xfId="91" applyFont="1" applyFill="1" applyBorder="1" applyAlignment="1">
      <alignment horizontal="center" vertical="center" wrapText="1"/>
    </xf>
    <xf numFmtId="2" fontId="36" fillId="2" borderId="40" xfId="91" applyNumberFormat="1" applyFont="1" applyFill="1" applyBorder="1" applyAlignment="1">
      <alignment horizontal="center" vertical="center" wrapText="1"/>
    </xf>
    <xf numFmtId="2" fontId="36" fillId="2" borderId="41" xfId="91" applyNumberFormat="1" applyFont="1" applyFill="1" applyBorder="1" applyAlignment="1">
      <alignment horizontal="center" vertical="center" wrapText="1"/>
    </xf>
    <xf numFmtId="0" fontId="36" fillId="2" borderId="12" xfId="91" applyFont="1" applyFill="1" applyBorder="1" applyAlignment="1">
      <alignment horizontal="center" vertical="center" wrapText="1"/>
    </xf>
    <xf numFmtId="0" fontId="36" fillId="2" borderId="35" xfId="91" applyFont="1" applyFill="1" applyBorder="1" applyAlignment="1">
      <alignment horizontal="center" vertical="center" wrapText="1"/>
    </xf>
    <xf numFmtId="0" fontId="36" fillId="2" borderId="36" xfId="91" applyFont="1" applyFill="1" applyBorder="1" applyAlignment="1">
      <alignment horizontal="center" vertical="center" wrapText="1"/>
    </xf>
    <xf numFmtId="0" fontId="36" fillId="2" borderId="18" xfId="91" applyFont="1" applyFill="1" applyBorder="1" applyAlignment="1">
      <alignment horizontal="center" vertical="center" wrapText="1"/>
    </xf>
    <xf numFmtId="2" fontId="36" fillId="2" borderId="2" xfId="91" applyNumberFormat="1" applyFont="1" applyFill="1" applyBorder="1" applyAlignment="1">
      <alignment horizontal="center" vertical="center" wrapText="1"/>
    </xf>
    <xf numFmtId="0" fontId="36" fillId="2" borderId="6" xfId="91" applyFont="1" applyFill="1" applyBorder="1" applyAlignment="1">
      <alignment horizontal="center" vertical="center" wrapText="1"/>
    </xf>
    <xf numFmtId="0" fontId="36" fillId="2" borderId="21" xfId="91" applyFont="1" applyFill="1" applyBorder="1" applyAlignment="1">
      <alignment horizontal="center" vertical="center" wrapText="1"/>
    </xf>
    <xf numFmtId="0" fontId="36" fillId="2" borderId="29" xfId="91" applyFont="1" applyFill="1" applyBorder="1" applyAlignment="1">
      <alignment horizontal="center" vertical="center" wrapText="1"/>
    </xf>
    <xf numFmtId="0" fontId="36" fillId="2" borderId="11" xfId="91" applyFont="1" applyFill="1" applyBorder="1" applyAlignment="1">
      <alignment horizontal="center" vertical="center" wrapText="1"/>
    </xf>
    <xf numFmtId="0" fontId="36" fillId="2" borderId="25" xfId="91" applyFont="1" applyFill="1" applyBorder="1" applyAlignment="1">
      <alignment horizontal="center" vertical="center" wrapText="1"/>
    </xf>
    <xf numFmtId="0" fontId="36" fillId="2" borderId="2" xfId="91" applyFont="1" applyFill="1" applyBorder="1" applyAlignment="1">
      <alignment horizontal="center" vertical="center" wrapText="1"/>
    </xf>
    <xf numFmtId="0" fontId="36" fillId="2" borderId="31" xfId="91" applyFont="1" applyFill="1" applyBorder="1" applyAlignment="1">
      <alignment horizontal="center" vertical="center" wrapText="1"/>
    </xf>
    <xf numFmtId="0" fontId="36" fillId="2" borderId="32" xfId="91" applyFont="1" applyFill="1" applyBorder="1" applyAlignment="1">
      <alignment horizontal="center" vertical="center" wrapText="1"/>
    </xf>
    <xf numFmtId="0" fontId="36" fillId="2" borderId="33" xfId="91" applyFont="1" applyFill="1" applyBorder="1" applyAlignment="1">
      <alignment horizontal="center" vertical="center" wrapText="1"/>
    </xf>
    <xf numFmtId="0" fontId="36" fillId="2" borderId="27" xfId="91" applyFont="1" applyFill="1" applyBorder="1" applyAlignment="1">
      <alignment horizontal="center" vertical="center" wrapText="1"/>
    </xf>
    <xf numFmtId="0" fontId="36" fillId="2" borderId="34" xfId="91" applyFont="1" applyFill="1" applyBorder="1" applyAlignment="1">
      <alignment horizontal="center" vertical="center" wrapText="1"/>
    </xf>
    <xf numFmtId="3" fontId="36" fillId="0" borderId="2" xfId="0" applyNumberFormat="1" applyFont="1" applyBorder="1" applyAlignment="1">
      <alignment horizontal="center" vertical="center" wrapText="1"/>
    </xf>
    <xf numFmtId="3" fontId="36" fillId="0" borderId="44" xfId="0" applyNumberFormat="1" applyFont="1" applyBorder="1" applyAlignment="1">
      <alignment horizontal="center" vertical="center" wrapText="1"/>
    </xf>
    <xf numFmtId="3" fontId="36" fillId="0" borderId="45" xfId="0" applyNumberFormat="1" applyFont="1" applyBorder="1" applyAlignment="1">
      <alignment horizontal="center" vertical="center" wrapText="1"/>
    </xf>
    <xf numFmtId="3" fontId="36" fillId="6" borderId="18" xfId="0" applyNumberFormat="1" applyFont="1" applyFill="1" applyBorder="1" applyAlignment="1">
      <alignment horizontal="center" vertical="center" wrapText="1"/>
    </xf>
    <xf numFmtId="3" fontId="36" fillId="6" borderId="7" xfId="0" applyNumberFormat="1" applyFont="1" applyFill="1" applyBorder="1" applyAlignment="1">
      <alignment horizontal="center" vertical="center" wrapText="1"/>
    </xf>
    <xf numFmtId="3" fontId="36" fillId="0" borderId="18" xfId="0" applyNumberFormat="1" applyFont="1" applyBorder="1" applyAlignment="1">
      <alignment horizontal="center" vertical="center" wrapText="1"/>
    </xf>
    <xf numFmtId="3" fontId="36" fillId="0" borderId="12" xfId="0" applyNumberFormat="1" applyFont="1" applyBorder="1" applyAlignment="1">
      <alignment horizontal="center" vertical="center" wrapText="1"/>
    </xf>
    <xf numFmtId="3" fontId="36" fillId="0" borderId="32" xfId="0" applyNumberFormat="1" applyFont="1" applyBorder="1" applyAlignment="1">
      <alignment horizontal="center" vertical="center" wrapText="1"/>
    </xf>
    <xf numFmtId="3" fontId="36" fillId="0" borderId="46" xfId="0" applyNumberFormat="1" applyFont="1" applyBorder="1" applyAlignment="1">
      <alignment horizontal="center" vertical="center" wrapText="1"/>
    </xf>
    <xf numFmtId="3" fontId="36" fillId="0" borderId="10" xfId="0" applyNumberFormat="1" applyFont="1" applyBorder="1" applyAlignment="1">
      <alignment horizontal="center" vertical="top" wrapText="1"/>
    </xf>
    <xf numFmtId="0" fontId="36" fillId="0" borderId="1" xfId="0" applyFont="1" applyBorder="1" applyAlignment="1">
      <alignment horizontal="center" vertical="center" wrapText="1"/>
    </xf>
    <xf numFmtId="3" fontId="36" fillId="0" borderId="5" xfId="0" applyNumberFormat="1" applyFont="1" applyBorder="1" applyAlignment="1">
      <alignment horizontal="center" vertical="center" wrapText="1"/>
    </xf>
    <xf numFmtId="3" fontId="36" fillId="0" borderId="25" xfId="0" applyNumberFormat="1" applyFont="1" applyBorder="1" applyAlignment="1">
      <alignment horizontal="center" vertical="center" wrapText="1"/>
    </xf>
    <xf numFmtId="3" fontId="36" fillId="0" borderId="24" xfId="0" applyNumberFormat="1" applyFont="1" applyBorder="1" applyAlignment="1">
      <alignment horizontal="center" vertical="center" wrapText="1"/>
    </xf>
    <xf numFmtId="3" fontId="36" fillId="0" borderId="26" xfId="0" applyNumberFormat="1" applyFont="1" applyBorder="1" applyAlignment="1">
      <alignment horizontal="center" vertical="center" wrapText="1"/>
    </xf>
    <xf numFmtId="0" fontId="36" fillId="0" borderId="19" xfId="0" applyFont="1" applyBorder="1" applyAlignment="1">
      <alignment horizontal="center" vertical="center" wrapText="1"/>
    </xf>
    <xf numFmtId="0" fontId="36" fillId="0" borderId="17" xfId="0" applyFont="1" applyBorder="1" applyAlignment="1">
      <alignment horizontal="center" vertical="center" wrapText="1"/>
    </xf>
    <xf numFmtId="3" fontId="36" fillId="7" borderId="7" xfId="0" applyNumberFormat="1" applyFont="1" applyFill="1" applyBorder="1" applyAlignment="1">
      <alignment horizontal="center" vertical="center" wrapText="1"/>
    </xf>
    <xf numFmtId="3" fontId="36" fillId="7" borderId="37" xfId="0" applyNumberFormat="1" applyFont="1" applyFill="1" applyBorder="1" applyAlignment="1">
      <alignment horizontal="center" vertical="center" wrapText="1"/>
    </xf>
    <xf numFmtId="3" fontId="36" fillId="7" borderId="38" xfId="0" applyNumberFormat="1" applyFont="1" applyFill="1" applyBorder="1" applyAlignment="1">
      <alignment horizontal="center" vertical="center" wrapText="1"/>
    </xf>
    <xf numFmtId="3" fontId="36" fillId="7" borderId="43" xfId="0" applyNumberFormat="1" applyFont="1" applyFill="1" applyBorder="1" applyAlignment="1">
      <alignment horizontal="center" vertical="center" wrapText="1"/>
    </xf>
    <xf numFmtId="3" fontId="36" fillId="0" borderId="6" xfId="0" applyNumberFormat="1" applyFont="1" applyBorder="1" applyAlignment="1">
      <alignment horizontal="center" vertical="top" wrapText="1"/>
    </xf>
    <xf numFmtId="3" fontId="36" fillId="0" borderId="21" xfId="0" applyNumberFormat="1" applyFont="1" applyBorder="1" applyAlignment="1">
      <alignment horizontal="center" vertical="top" wrapText="1"/>
    </xf>
    <xf numFmtId="3" fontId="36" fillId="9" borderId="11" xfId="0" applyNumberFormat="1" applyFont="1" applyFill="1" applyBorder="1" applyAlignment="1">
      <alignment horizontal="center" vertical="center" wrapText="1"/>
    </xf>
    <xf numFmtId="3" fontId="36" fillId="9" borderId="0" xfId="0" applyNumberFormat="1" applyFont="1" applyFill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2" fontId="36" fillId="9" borderId="4" xfId="91" applyNumberFormat="1" applyFont="1" applyFill="1" applyBorder="1" applyAlignment="1">
      <alignment horizontal="center" vertical="center" wrapText="1"/>
    </xf>
    <xf numFmtId="2" fontId="36" fillId="9" borderId="18" xfId="91" applyNumberFormat="1" applyFont="1" applyFill="1" applyBorder="1" applyAlignment="1">
      <alignment horizontal="center" vertical="center" wrapText="1"/>
    </xf>
    <xf numFmtId="0" fontId="36" fillId="2" borderId="5" xfId="91" applyFont="1" applyFill="1" applyBorder="1" applyAlignment="1">
      <alignment horizontal="center" vertical="center" wrapText="1"/>
    </xf>
    <xf numFmtId="0" fontId="36" fillId="2" borderId="3" xfId="91" applyFont="1" applyFill="1" applyBorder="1" applyAlignment="1">
      <alignment horizontal="center" vertical="center" wrapText="1"/>
    </xf>
    <xf numFmtId="0" fontId="36" fillId="2" borderId="26" xfId="91" applyFont="1" applyFill="1" applyBorder="1" applyAlignment="1">
      <alignment horizontal="center" vertical="center" wrapText="1"/>
    </xf>
    <xf numFmtId="0" fontId="36" fillId="9" borderId="4" xfId="91" applyFont="1" applyFill="1" applyBorder="1" applyAlignment="1">
      <alignment horizontal="center" vertical="center" wrapText="1"/>
    </xf>
    <xf numFmtId="0" fontId="36" fillId="9" borderId="18" xfId="91" applyFont="1" applyFill="1" applyBorder="1" applyAlignment="1">
      <alignment horizontal="center" vertical="center" wrapText="1"/>
    </xf>
    <xf numFmtId="3" fontId="36" fillId="9" borderId="31" xfId="0" applyNumberFormat="1" applyFont="1" applyFill="1" applyBorder="1" applyAlignment="1">
      <alignment horizontal="center" vertical="center" wrapText="1"/>
    </xf>
    <xf numFmtId="3" fontId="36" fillId="9" borderId="19" xfId="0" applyNumberFormat="1" applyFont="1" applyFill="1" applyBorder="1" applyAlignment="1">
      <alignment horizontal="center" vertical="center" wrapText="1"/>
    </xf>
    <xf numFmtId="3" fontId="36" fillId="7" borderId="42" xfId="0" applyNumberFormat="1" applyFont="1" applyFill="1" applyBorder="1" applyAlignment="1">
      <alignment horizontal="center" vertical="center" wrapText="1"/>
    </xf>
    <xf numFmtId="3" fontId="36" fillId="7" borderId="17" xfId="0" applyNumberFormat="1" applyFont="1" applyFill="1" applyBorder="1" applyAlignment="1">
      <alignment horizontal="center" vertical="center" wrapText="1"/>
    </xf>
    <xf numFmtId="3" fontId="36" fillId="7" borderId="12" xfId="0" applyNumberFormat="1" applyFont="1" applyFill="1" applyBorder="1" applyAlignment="1">
      <alignment horizontal="center" vertical="center" wrapText="1"/>
    </xf>
    <xf numFmtId="176" fontId="36" fillId="0" borderId="0" xfId="116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3" fontId="36" fillId="0" borderId="2" xfId="0" applyNumberFormat="1" applyFont="1" applyBorder="1" applyAlignment="1">
      <alignment horizontal="center" vertical="top" wrapText="1"/>
    </xf>
    <xf numFmtId="3" fontId="35" fillId="0" borderId="0" xfId="0" applyNumberFormat="1" applyFont="1" applyAlignment="1">
      <alignment horizontal="center" vertical="top" wrapText="1"/>
    </xf>
    <xf numFmtId="3" fontId="36" fillId="0" borderId="0" xfId="0" applyNumberFormat="1" applyFont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7" fillId="0" borderId="2" xfId="36" applyFont="1" applyBorder="1" applyAlignment="1">
      <alignment horizontal="center" vertical="center" wrapText="1"/>
    </xf>
    <xf numFmtId="0" fontId="32" fillId="0" borderId="0" xfId="0" applyFont="1" applyAlignment="1">
      <alignment horizontal="center" vertical="top" wrapText="1"/>
    </xf>
    <xf numFmtId="0" fontId="47" fillId="0" borderId="2" xfId="0" applyFont="1" applyBorder="1" applyAlignment="1">
      <alignment horizontal="center" vertical="center" wrapText="1"/>
    </xf>
    <xf numFmtId="0" fontId="109" fillId="0" borderId="2" xfId="0" applyFont="1" applyBorder="1" applyAlignment="1">
      <alignment horizontal="center" vertical="center"/>
    </xf>
    <xf numFmtId="0" fontId="109" fillId="0" borderId="2" xfId="0" applyFont="1" applyBorder="1" applyAlignment="1">
      <alignment horizontal="center" vertical="center" wrapText="1"/>
    </xf>
    <xf numFmtId="0" fontId="109" fillId="0" borderId="4" xfId="0" applyFont="1" applyBorder="1" applyAlignment="1">
      <alignment horizontal="center" vertical="center"/>
    </xf>
    <xf numFmtId="0" fontId="109" fillId="0" borderId="7" xfId="0" applyFont="1" applyBorder="1" applyAlignment="1">
      <alignment horizontal="center" vertical="center"/>
    </xf>
    <xf numFmtId="0" fontId="109" fillId="0" borderId="6" xfId="0" applyFont="1" applyBorder="1" applyAlignment="1">
      <alignment horizontal="center"/>
    </xf>
    <xf numFmtId="0" fontId="109" fillId="0" borderId="10" xfId="0" applyFont="1" applyBorder="1" applyAlignment="1">
      <alignment horizontal="center"/>
    </xf>
    <xf numFmtId="0" fontId="109" fillId="0" borderId="21" xfId="0" applyFont="1" applyBorder="1" applyAlignment="1">
      <alignment horizontal="center"/>
    </xf>
    <xf numFmtId="0" fontId="109" fillId="0" borderId="2" xfId="0" applyFont="1" applyBorder="1" applyAlignment="1">
      <alignment horizontal="center"/>
    </xf>
    <xf numFmtId="0" fontId="109" fillId="0" borderId="5" xfId="0" applyFont="1" applyBorder="1" applyAlignment="1">
      <alignment horizontal="center" vertical="center"/>
    </xf>
    <xf numFmtId="0" fontId="109" fillId="0" borderId="11" xfId="0" applyFont="1" applyBorder="1" applyAlignment="1">
      <alignment horizontal="center" vertical="center"/>
    </xf>
    <xf numFmtId="0" fontId="109" fillId="0" borderId="25" xfId="0" applyFont="1" applyBorder="1" applyAlignment="1">
      <alignment horizontal="center" vertical="center"/>
    </xf>
    <xf numFmtId="0" fontId="109" fillId="0" borderId="24" xfId="0" applyFont="1" applyBorder="1" applyAlignment="1">
      <alignment horizontal="center" vertical="center"/>
    </xf>
    <xf numFmtId="0" fontId="109" fillId="0" borderId="3" xfId="0" applyFont="1" applyBorder="1" applyAlignment="1">
      <alignment horizontal="center" vertical="center"/>
    </xf>
    <xf numFmtId="0" fontId="109" fillId="0" borderId="26" xfId="0" applyFont="1" applyBorder="1" applyAlignment="1">
      <alignment horizontal="center" vertical="center"/>
    </xf>
    <xf numFmtId="0" fontId="109" fillId="0" borderId="18" xfId="0" applyFont="1" applyBorder="1" applyAlignment="1">
      <alignment horizontal="center" vertical="center"/>
    </xf>
    <xf numFmtId="0" fontId="109" fillId="0" borderId="4" xfId="0" applyFont="1" applyBorder="1" applyAlignment="1">
      <alignment horizontal="center" vertical="center" wrapText="1"/>
    </xf>
    <xf numFmtId="0" fontId="109" fillId="0" borderId="18" xfId="0" applyFont="1" applyBorder="1" applyAlignment="1">
      <alignment horizontal="center" vertical="center" wrapText="1"/>
    </xf>
    <xf numFmtId="0" fontId="109" fillId="0" borderId="7" xfId="0" applyFont="1" applyBorder="1" applyAlignment="1">
      <alignment horizontal="center" vertical="center" wrapText="1"/>
    </xf>
    <xf numFmtId="176" fontId="36" fillId="0" borderId="2" xfId="116" applyNumberFormat="1" applyFont="1" applyFill="1" applyBorder="1" applyAlignment="1">
      <alignment horizontal="center" vertical="center"/>
    </xf>
    <xf numFmtId="0" fontId="109" fillId="0" borderId="6" xfId="0" applyFont="1" applyBorder="1" applyAlignment="1">
      <alignment horizontal="left" vertical="center"/>
    </xf>
    <xf numFmtId="0" fontId="109" fillId="0" borderId="21" xfId="0" applyFont="1" applyBorder="1" applyAlignment="1">
      <alignment horizontal="left" vertical="center"/>
    </xf>
    <xf numFmtId="0" fontId="36" fillId="0" borderId="4" xfId="36" applyFont="1" applyBorder="1" applyAlignment="1">
      <alignment horizontal="center" vertical="center" wrapText="1"/>
    </xf>
    <xf numFmtId="0" fontId="36" fillId="0" borderId="18" xfId="36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47" fillId="0" borderId="2" xfId="0" applyFont="1" applyBorder="1" applyAlignment="1">
      <alignment horizontal="center" vertical="center"/>
    </xf>
    <xf numFmtId="0" fontId="47" fillId="0" borderId="6" xfId="0" applyFont="1" applyBorder="1" applyAlignment="1">
      <alignment horizontal="left" vertical="center"/>
    </xf>
    <xf numFmtId="0" fontId="47" fillId="0" borderId="21" xfId="0" applyFont="1" applyBorder="1" applyAlignment="1">
      <alignment horizontal="left" vertical="center"/>
    </xf>
    <xf numFmtId="0" fontId="47" fillId="0" borderId="4" xfId="0" applyFont="1" applyBorder="1" applyAlignment="1">
      <alignment horizontal="center" vertical="center" wrapText="1"/>
    </xf>
    <xf numFmtId="0" fontId="47" fillId="0" borderId="18" xfId="0" applyFont="1" applyBorder="1" applyAlignment="1">
      <alignment horizontal="center" vertical="center" wrapText="1"/>
    </xf>
    <xf numFmtId="0" fontId="47" fillId="0" borderId="4" xfId="36" applyFont="1" applyBorder="1" applyAlignment="1">
      <alignment horizontal="center" vertical="center" wrapText="1"/>
    </xf>
    <xf numFmtId="0" fontId="47" fillId="0" borderId="18" xfId="36" applyFont="1" applyBorder="1" applyAlignment="1">
      <alignment horizontal="center" vertical="center" wrapText="1"/>
    </xf>
    <xf numFmtId="0" fontId="8" fillId="0" borderId="0" xfId="111" applyFont="1" applyAlignment="1">
      <alignment horizontal="left" vertical="top" wrapText="1"/>
    </xf>
    <xf numFmtId="0" fontId="4" fillId="0" borderId="0" xfId="111" applyFont="1" applyAlignment="1">
      <alignment horizontal="left" vertical="top" wrapText="1"/>
    </xf>
    <xf numFmtId="0" fontId="8" fillId="0" borderId="0" xfId="111" applyFont="1" applyAlignment="1">
      <alignment horizontal="left" vertical="center" wrapText="1"/>
    </xf>
    <xf numFmtId="0" fontId="49" fillId="0" borderId="0" xfId="111" applyFont="1" applyAlignment="1">
      <alignment horizontal="left" vertical="center" wrapText="1"/>
    </xf>
    <xf numFmtId="0" fontId="8" fillId="0" borderId="2" xfId="111" applyFont="1" applyBorder="1" applyAlignment="1">
      <alignment horizontal="center" vertical="center" wrapText="1"/>
    </xf>
    <xf numFmtId="0" fontId="8" fillId="0" borderId="4" xfId="111" applyFont="1" applyBorder="1" applyAlignment="1">
      <alignment horizontal="center" vertical="center" wrapText="1"/>
    </xf>
    <xf numFmtId="0" fontId="8" fillId="0" borderId="18" xfId="111" applyFont="1" applyBorder="1" applyAlignment="1">
      <alignment horizontal="center" vertical="center" wrapText="1"/>
    </xf>
    <xf numFmtId="0" fontId="8" fillId="0" borderId="7" xfId="111" applyFont="1" applyBorder="1" applyAlignment="1">
      <alignment horizontal="center" vertical="center" wrapText="1"/>
    </xf>
    <xf numFmtId="176" fontId="7" fillId="0" borderId="2" xfId="122" applyNumberFormat="1" applyFont="1" applyFill="1" applyBorder="1" applyAlignment="1">
      <alignment horizontal="center" vertical="center" wrapText="1"/>
    </xf>
    <xf numFmtId="0" fontId="90" fillId="22" borderId="6" xfId="62" applyFont="1" applyFill="1" applyBorder="1" applyAlignment="1">
      <alignment horizontal="left"/>
    </xf>
    <xf numFmtId="0" fontId="90" fillId="22" borderId="10" xfId="62" applyFont="1" applyFill="1" applyBorder="1" applyAlignment="1">
      <alignment horizontal="left"/>
    </xf>
    <xf numFmtId="0" fontId="90" fillId="22" borderId="21" xfId="62" applyFont="1" applyFill="1" applyBorder="1" applyAlignment="1">
      <alignment horizontal="left"/>
    </xf>
    <xf numFmtId="0" fontId="33" fillId="0" borderId="0" xfId="111" applyFont="1" applyAlignment="1">
      <alignment horizontal="left" vertical="top" wrapText="1"/>
    </xf>
    <xf numFmtId="0" fontId="8" fillId="0" borderId="0" xfId="111" applyFont="1" applyAlignment="1">
      <alignment vertical="top" wrapText="1"/>
    </xf>
    <xf numFmtId="0" fontId="8" fillId="0" borderId="0" xfId="111" applyFont="1" applyAlignment="1">
      <alignment horizontal="center" vertical="center" wrapText="1"/>
    </xf>
    <xf numFmtId="4" fontId="111" fillId="10" borderId="2" xfId="0" applyNumberFormat="1" applyFont="1" applyFill="1" applyBorder="1"/>
    <xf numFmtId="4" fontId="105" fillId="0" borderId="2" xfId="0" applyNumberFormat="1" applyFont="1" applyBorder="1"/>
    <xf numFmtId="0" fontId="183" fillId="0" borderId="11" xfId="0" applyFont="1" applyBorder="1" applyAlignment="1">
      <alignment horizontal="left"/>
    </xf>
    <xf numFmtId="0" fontId="185" fillId="0" borderId="0" xfId="0" applyFont="1" applyAlignment="1">
      <alignment horizontal="left" vertical="top" wrapText="1"/>
    </xf>
    <xf numFmtId="0" fontId="216" fillId="0" borderId="0" xfId="4838" applyFont="1" applyAlignment="1">
      <alignment horizontal="left" wrapText="1"/>
    </xf>
    <xf numFmtId="0" fontId="53" fillId="0" borderId="0" xfId="4838" applyFont="1" applyAlignment="1">
      <alignment horizontal="left" wrapText="1"/>
    </xf>
    <xf numFmtId="0" fontId="46" fillId="0" borderId="0" xfId="4838" applyFont="1" applyAlignment="1">
      <alignment horizontal="left" vertical="top" wrapText="1"/>
    </xf>
    <xf numFmtId="0" fontId="239" fillId="8" borderId="70" xfId="4838" applyFont="1" applyFill="1" applyBorder="1" applyAlignment="1">
      <alignment horizontal="center" vertical="center" wrapText="1"/>
    </xf>
    <xf numFmtId="1" fontId="240" fillId="70" borderId="70" xfId="4838" applyNumberFormat="1" applyFont="1" applyFill="1" applyBorder="1" applyAlignment="1">
      <alignment horizontal="left" vertical="top" wrapText="1"/>
    </xf>
    <xf numFmtId="4" fontId="240" fillId="70" borderId="70" xfId="4838" applyNumberFormat="1" applyFont="1" applyFill="1" applyBorder="1" applyAlignment="1">
      <alignment horizontal="right" vertical="top" wrapText="1"/>
    </xf>
    <xf numFmtId="0" fontId="241" fillId="0" borderId="70" xfId="4838" applyFont="1" applyBorder="1" applyAlignment="1">
      <alignment horizontal="left" vertical="top" wrapText="1" indent="2"/>
    </xf>
    <xf numFmtId="4" fontId="241" fillId="0" borderId="70" xfId="4838" applyNumberFormat="1" applyFont="1" applyBorder="1" applyAlignment="1">
      <alignment horizontal="right" vertical="top" wrapText="1"/>
    </xf>
    <xf numFmtId="0" fontId="239" fillId="8" borderId="70" xfId="4838" applyFont="1" applyFill="1" applyBorder="1" applyAlignment="1">
      <alignment horizontal="left" vertical="center" wrapText="1"/>
    </xf>
    <xf numFmtId="0" fontId="242" fillId="0" borderId="70" xfId="4838" applyFont="1" applyBorder="1" applyAlignment="1">
      <alignment horizontal="left" vertical="top" wrapText="1" indent="8"/>
    </xf>
    <xf numFmtId="4" fontId="242" fillId="0" borderId="70" xfId="4838" applyNumberFormat="1" applyFont="1" applyBorder="1" applyAlignment="1">
      <alignment horizontal="right" vertical="top" wrapText="1"/>
    </xf>
    <xf numFmtId="2" fontId="242" fillId="0" borderId="70" xfId="4838" applyNumberFormat="1" applyFont="1" applyBorder="1" applyAlignment="1">
      <alignment horizontal="right" vertical="top" wrapText="1"/>
    </xf>
    <xf numFmtId="0" fontId="241" fillId="0" borderId="70" xfId="4838" applyFont="1" applyBorder="1" applyAlignment="1">
      <alignment horizontal="left" vertical="top" wrapText="1" indent="4"/>
    </xf>
    <xf numFmtId="0" fontId="241" fillId="0" borderId="70" xfId="4838" applyFont="1" applyBorder="1" applyAlignment="1">
      <alignment horizontal="left" vertical="top" wrapText="1" indent="6"/>
    </xf>
    <xf numFmtId="49" fontId="32" fillId="6" borderId="0" xfId="0" applyNumberFormat="1" applyFont="1" applyFill="1" applyAlignment="1">
      <alignment horizontal="left" vertical="center" wrapText="1"/>
    </xf>
    <xf numFmtId="0" fontId="101" fillId="0" borderId="0" xfId="0" applyFont="1" applyAlignment="1">
      <alignment vertical="center"/>
    </xf>
    <xf numFmtId="0" fontId="5" fillId="6" borderId="7" xfId="0" applyFont="1" applyFill="1" applyBorder="1" applyAlignment="1">
      <alignment horizontal="center" vertical="center" wrapText="1"/>
    </xf>
    <xf numFmtId="0" fontId="105" fillId="6" borderId="7" xfId="0" applyFont="1" applyFill="1" applyBorder="1" applyAlignment="1">
      <alignment horizontal="center"/>
    </xf>
    <xf numFmtId="0" fontId="101" fillId="0" borderId="3" xfId="0" applyFont="1" applyBorder="1" applyAlignment="1">
      <alignment horizontal="center"/>
    </xf>
    <xf numFmtId="0" fontId="182" fillId="0" borderId="0" xfId="0" applyFont="1" applyAlignment="1">
      <alignment horizontal="center"/>
    </xf>
    <xf numFmtId="176" fontId="8" fillId="6" borderId="2" xfId="122" applyNumberFormat="1" applyFont="1" applyFill="1" applyBorder="1" applyAlignment="1">
      <alignment horizontal="center" vertical="center" wrapText="1"/>
    </xf>
    <xf numFmtId="176" fontId="36" fillId="6" borderId="2" xfId="122" applyNumberFormat="1" applyFont="1" applyFill="1" applyBorder="1" applyAlignment="1">
      <alignment horizontal="center" vertical="center" wrapText="1"/>
    </xf>
    <xf numFmtId="176" fontId="36" fillId="6" borderId="11" xfId="122" applyNumberFormat="1" applyFont="1" applyFill="1" applyBorder="1" applyAlignment="1">
      <alignment horizontal="center" vertical="center" wrapText="1"/>
    </xf>
    <xf numFmtId="176" fontId="36" fillId="6" borderId="0" xfId="122" applyNumberFormat="1" applyFont="1" applyFill="1" applyBorder="1" applyAlignment="1">
      <alignment horizontal="center" vertical="center" wrapText="1"/>
    </xf>
    <xf numFmtId="176" fontId="36" fillId="6" borderId="0" xfId="122" applyNumberFormat="1" applyFont="1" applyFill="1" applyAlignment="1">
      <alignment horizontal="left" vertical="center" wrapText="1"/>
    </xf>
    <xf numFmtId="176" fontId="36" fillId="6" borderId="0" xfId="122" applyNumberFormat="1" applyFont="1" applyFill="1" applyBorder="1" applyAlignment="1" applyProtection="1">
      <alignment horizontal="left" vertical="center" wrapText="1"/>
    </xf>
    <xf numFmtId="0" fontId="109" fillId="0" borderId="0" xfId="0" applyFont="1" applyAlignment="1">
      <alignment horizontal="center"/>
    </xf>
    <xf numFmtId="170" fontId="178" fillId="0" borderId="2" xfId="4432" applyFont="1" applyFill="1" applyBorder="1" applyAlignment="1">
      <alignment horizontal="left" vertical="center" wrapText="1"/>
    </xf>
    <xf numFmtId="170" fontId="32" fillId="0" borderId="0" xfId="4432" applyFont="1" applyFill="1" applyAlignment="1">
      <alignment vertical="center" wrapText="1"/>
    </xf>
  </cellXfs>
  <cellStyles count="4847">
    <cellStyle name="_x000d__x000a_JournalTemplate=C:\COMFO\CTALK\JOURSTD.TPL_x000d__x000a_LbStateAddress=3 3 0 251 1 89 2 311_x000d__x000a_LbStateJou" xfId="4446" xr:uid="{00000000-0005-0000-0000-000000000000}"/>
    <cellStyle name="_PRICE_1C" xfId="4447" xr:uid="{00000000-0005-0000-0000-000001000000}"/>
    <cellStyle name="_Баланс  по МСФОс за 1 полугодие" xfId="4448" xr:uid="{00000000-0005-0000-0000-000002000000}"/>
    <cellStyle name="_Баланс  по МСФОс за 10 месяцев" xfId="4449" xr:uid="{00000000-0005-0000-0000-000003000000}"/>
    <cellStyle name="_Баланс  по МСФОс за 11 месяцев 2006 года фактический" xfId="4450" xr:uid="{00000000-0005-0000-0000-000004000000}"/>
    <cellStyle name="_Баланс  по МСФОс за 7 месяцев" xfId="4451" xr:uid="{00000000-0005-0000-0000-000005000000}"/>
    <cellStyle name="_Баланс  по МСФОс за 7 месяцев 2006" xfId="4452" xr:uid="{00000000-0005-0000-0000-000006000000}"/>
    <cellStyle name="_Баланс  по МСФОс за 8  месяцев" xfId="4453" xr:uid="{00000000-0005-0000-0000-000007000000}"/>
    <cellStyle name="_Баланс  по МСФОс за 9 месяцев" xfId="4454" xr:uid="{00000000-0005-0000-0000-000008000000}"/>
    <cellStyle name="_Баланс  по МСФОс за 9 месяцев 2006 года" xfId="4455" xr:uid="{00000000-0005-0000-0000-000009000000}"/>
    <cellStyle name="_Бюдж.формы ЗАО АГ" xfId="4456" xr:uid="{00000000-0005-0000-0000-00000A000000}"/>
    <cellStyle name="_Бюдж.формы ЗАО АГ_ТУП" xfId="4457" xr:uid="{00000000-0005-0000-0000-00000B000000}"/>
    <cellStyle name="_Бюджет АМАНГЕЛЬДЫ ГАЗ на 2006 год (Заке 190705)" xfId="4458" xr:uid="{00000000-0005-0000-0000-00000C000000}"/>
    <cellStyle name="_Бюджет на 2006г 07.07.05(утв.)" xfId="4459" xr:uid="{00000000-0005-0000-0000-00000D000000}"/>
    <cellStyle name="_Бюджет на 2007 pto" xfId="4460" xr:uid="{00000000-0005-0000-0000-00000E000000}"/>
    <cellStyle name="_Бюджет на 2007 г (проект)" xfId="4461" xr:uid="{00000000-0005-0000-0000-00000F000000}"/>
    <cellStyle name="_Бюджетная заявка СИТ  на 2008" xfId="4462" xr:uid="{00000000-0005-0000-0000-000010000000}"/>
    <cellStyle name="_Бюджетная заявка СИТ  на 2008_ТУП" xfId="4463" xr:uid="{00000000-0005-0000-0000-000011000000}"/>
    <cellStyle name="_Исп КВЛ 1 кварт 07 (02.05.07)" xfId="4464" xr:uid="{00000000-0005-0000-0000-000012000000}"/>
    <cellStyle name="_Исп КВЛ 1 кварт 07 (02.05.07)_ТУП" xfId="4465" xr:uid="{00000000-0005-0000-0000-000013000000}"/>
    <cellStyle name="_КВЛ 2007-2011ДОГМ" xfId="4466" xr:uid="{00000000-0005-0000-0000-000014000000}"/>
    <cellStyle name="_КВЛ 2007-2011ДОГМ_Инфор. услуги бюджет2009v3 (1)" xfId="4467" xr:uid="{00000000-0005-0000-0000-000015000000}"/>
    <cellStyle name="_КВЛ 2007-2011ДОГМ_Инфор. услуги бюджет2009v3 (2)" xfId="4468" xr:uid="{00000000-0005-0000-0000-000016000000}"/>
    <cellStyle name="_КВЛ 2007-2011ДОГМ_Услуги связи бюджет 2009 (2) (1)" xfId="4469" xr:uid="{00000000-0005-0000-0000-000017000000}"/>
    <cellStyle name="_КВЛ ТЗ-07-11" xfId="4470" xr:uid="{00000000-0005-0000-0000-000018000000}"/>
    <cellStyle name="_КВЛ ТЗ-07-11_Инфор. услуги бюджет2009v3 (1)" xfId="4471" xr:uid="{00000000-0005-0000-0000-000019000000}"/>
    <cellStyle name="_КВЛ ТЗ-07-11_Инфор. услуги бюджет2009v3 (2)" xfId="4472" xr:uid="{00000000-0005-0000-0000-00001A000000}"/>
    <cellStyle name="_КВЛ ТЗ-07-11_Услуги связи бюджет 2009 (2) (1)" xfId="4473" xr:uid="{00000000-0005-0000-0000-00001B000000}"/>
    <cellStyle name="_Книга1" xfId="1" xr:uid="{00000000-0005-0000-0000-00001C000000}"/>
    <cellStyle name="_Книга1 2" xfId="132" xr:uid="{00000000-0005-0000-0000-00001D000000}"/>
    <cellStyle name="_Книга1 3" xfId="2526" xr:uid="{00000000-0005-0000-0000-00001E000000}"/>
    <cellStyle name="_Книга1 4" xfId="2527" xr:uid="{00000000-0005-0000-0000-00001F000000}"/>
    <cellStyle name="_ОТЧЕТ для ДКФ    06 04 05  (6)" xfId="4474" xr:uid="{00000000-0005-0000-0000-000020000000}"/>
    <cellStyle name="_План развития ПТС на 2005-2010 (связи станционной части)" xfId="4475" xr:uid="{00000000-0005-0000-0000-000021000000}"/>
    <cellStyle name="_Проект Бюджета АХО на 2007 г.10.05.06" xfId="4476" xr:uid="{00000000-0005-0000-0000-000022000000}"/>
    <cellStyle name="_Проект Бюджета на 2006 г-c исправлениями" xfId="4477" xr:uid="{00000000-0005-0000-0000-000023000000}"/>
    <cellStyle name="_Расчет на тех.обслуж. спецтранспорта" xfId="4478" xr:uid="{00000000-0005-0000-0000-000024000000}"/>
    <cellStyle name="_Расчет себестоимости Аманегльдинского газа" xfId="4479" xr:uid="{00000000-0005-0000-0000-000025000000}"/>
    <cellStyle name="_Расчет ФОТ 2007год новый" xfId="4480" xr:uid="{00000000-0005-0000-0000-000026000000}"/>
    <cellStyle name="_Регистрация договоров 2003" xfId="4481" xr:uid="{00000000-0005-0000-0000-000027000000}"/>
    <cellStyle name="_Регистрация договоров 2003_ТУП" xfId="4482" xr:uid="{00000000-0005-0000-0000-000028000000}"/>
    <cellStyle name="_Себестоимость" xfId="4483" xr:uid="{00000000-0005-0000-0000-000029000000}"/>
    <cellStyle name="_Себестоимость_ТУП" xfId="4484" xr:uid="{00000000-0005-0000-0000-00002A000000}"/>
    <cellStyle name="_Топливо по спецтрансп" xfId="4485" xr:uid="{00000000-0005-0000-0000-00002B000000}"/>
    <cellStyle name="_Фактический  Баланс  по МСФО с последними корректировками аудиторов за 2006 год" xfId="4486" xr:uid="{00000000-0005-0000-0000-00002C000000}"/>
    <cellStyle name="_Фактический  Баланс  по МСФОс за 2006 год" xfId="4487" xr:uid="{00000000-0005-0000-0000-00002D000000}"/>
    <cellStyle name="_Форма дуль 2" xfId="4488" xr:uid="{00000000-0005-0000-0000-00002E000000}"/>
    <cellStyle name="_Форма дуль 2_ТУП" xfId="4489" xr:uid="{00000000-0005-0000-0000-00002F000000}"/>
    <cellStyle name="_Формы МСФОс для ДЧП(проект)  1 квартал 2006 (1)" xfId="4490" xr:uid="{00000000-0005-0000-0000-000030000000}"/>
    <cellStyle name="_ЮКУГХ Баланс 1 кв. 2007г. конс" xfId="4491" xr:uid="{00000000-0005-0000-0000-000031000000}"/>
    <cellStyle name="_ЮКУГХ Баланс 4 кв. 2006г. конс" xfId="4492" xr:uid="{00000000-0005-0000-0000-000032000000}"/>
    <cellStyle name="_январь-май 2007" xfId="4493" xr:uid="{00000000-0005-0000-0000-000033000000}"/>
    <cellStyle name="_январь-май 2007_ТУП" xfId="4494" xr:uid="{00000000-0005-0000-0000-000034000000}"/>
    <cellStyle name="”€ќђќ‘ћ‚›‰" xfId="4495" xr:uid="{00000000-0005-0000-0000-000035000000}"/>
    <cellStyle name="”€љ‘€ђћ‚ђќќ›‰" xfId="4496" xr:uid="{00000000-0005-0000-0000-000036000000}"/>
    <cellStyle name="”ќђќ‘ћ‚›‰" xfId="4497" xr:uid="{00000000-0005-0000-0000-000037000000}"/>
    <cellStyle name="”љ‘ђћ‚ђќќ›‰" xfId="4498" xr:uid="{00000000-0005-0000-0000-000038000000}"/>
    <cellStyle name="„…ќ…†ќ›‰" xfId="4499" xr:uid="{00000000-0005-0000-0000-000039000000}"/>
    <cellStyle name="€’ћѓћ‚›‰" xfId="4500" xr:uid="{00000000-0005-0000-0000-00003A000000}"/>
    <cellStyle name="‡ђѓћ‹ћ‚ћљ1" xfId="4501" xr:uid="{00000000-0005-0000-0000-00003B000000}"/>
    <cellStyle name="‡ђѓћ‹ћ‚ћљ2" xfId="4502" xr:uid="{00000000-0005-0000-0000-00003C000000}"/>
    <cellStyle name="’ћѓћ‚›‰" xfId="4503" xr:uid="{00000000-0005-0000-0000-00003D000000}"/>
    <cellStyle name="0,0_x000d__x000a_NA_x000d__x000a_" xfId="133" xr:uid="{00000000-0005-0000-0000-00003E000000}"/>
    <cellStyle name="20% - Accent1" xfId="4504" xr:uid="{00000000-0005-0000-0000-00003F000000}"/>
    <cellStyle name="20% - Accent2" xfId="4505" xr:uid="{00000000-0005-0000-0000-000040000000}"/>
    <cellStyle name="20% - Accent3" xfId="4506" xr:uid="{00000000-0005-0000-0000-000041000000}"/>
    <cellStyle name="20% - Accent4" xfId="4507" xr:uid="{00000000-0005-0000-0000-000042000000}"/>
    <cellStyle name="20% - Accent5" xfId="4508" xr:uid="{00000000-0005-0000-0000-000043000000}"/>
    <cellStyle name="20% - Accent6" xfId="4509" xr:uid="{00000000-0005-0000-0000-000044000000}"/>
    <cellStyle name="20% - Акцент1 10" xfId="134" xr:uid="{00000000-0005-0000-0000-000045000000}"/>
    <cellStyle name="20% - Акцент1 10 2" xfId="135" xr:uid="{00000000-0005-0000-0000-000046000000}"/>
    <cellStyle name="20% - Акцент1 10_Свод гостин" xfId="2528" xr:uid="{00000000-0005-0000-0000-000047000000}"/>
    <cellStyle name="20% - Акцент1 11" xfId="136" xr:uid="{00000000-0005-0000-0000-000048000000}"/>
    <cellStyle name="20% - Акцент1 11 2" xfId="137" xr:uid="{00000000-0005-0000-0000-000049000000}"/>
    <cellStyle name="20% - Акцент1 11_Свод гостин" xfId="2529" xr:uid="{00000000-0005-0000-0000-00004A000000}"/>
    <cellStyle name="20% - Акцент1 12" xfId="138" xr:uid="{00000000-0005-0000-0000-00004B000000}"/>
    <cellStyle name="20% - Акцент1 12 2" xfId="139" xr:uid="{00000000-0005-0000-0000-00004C000000}"/>
    <cellStyle name="20% - Акцент1 12_Свод гостин" xfId="2530" xr:uid="{00000000-0005-0000-0000-00004D000000}"/>
    <cellStyle name="20% - Акцент1 13" xfId="140" xr:uid="{00000000-0005-0000-0000-00004E000000}"/>
    <cellStyle name="20% - Акцент1 13 2" xfId="141" xr:uid="{00000000-0005-0000-0000-00004F000000}"/>
    <cellStyle name="20% - Акцент1 13_Свод гостин" xfId="2531" xr:uid="{00000000-0005-0000-0000-000050000000}"/>
    <cellStyle name="20% - Акцент1 14" xfId="142" xr:uid="{00000000-0005-0000-0000-000051000000}"/>
    <cellStyle name="20% - Акцент1 14 2" xfId="143" xr:uid="{00000000-0005-0000-0000-000052000000}"/>
    <cellStyle name="20% - Акцент1 14_Свод гостин" xfId="2532" xr:uid="{00000000-0005-0000-0000-000053000000}"/>
    <cellStyle name="20% - Акцент1 15" xfId="144" xr:uid="{00000000-0005-0000-0000-000054000000}"/>
    <cellStyle name="20% - Акцент1 15 2" xfId="145" xr:uid="{00000000-0005-0000-0000-000055000000}"/>
    <cellStyle name="20% - Акцент1 15_Свод гостин" xfId="2533" xr:uid="{00000000-0005-0000-0000-000056000000}"/>
    <cellStyle name="20% - Акцент1 16" xfId="146" xr:uid="{00000000-0005-0000-0000-000057000000}"/>
    <cellStyle name="20% - Акцент1 16 2" xfId="147" xr:uid="{00000000-0005-0000-0000-000058000000}"/>
    <cellStyle name="20% - Акцент1 16_Свод гостин" xfId="2534" xr:uid="{00000000-0005-0000-0000-000059000000}"/>
    <cellStyle name="20% - Акцент1 17" xfId="148" xr:uid="{00000000-0005-0000-0000-00005A000000}"/>
    <cellStyle name="20% - Акцент1 17 2" xfId="149" xr:uid="{00000000-0005-0000-0000-00005B000000}"/>
    <cellStyle name="20% - Акцент1 17_Свод гостин" xfId="2535" xr:uid="{00000000-0005-0000-0000-00005C000000}"/>
    <cellStyle name="20% - Акцент1 18" xfId="150" xr:uid="{00000000-0005-0000-0000-00005D000000}"/>
    <cellStyle name="20% - Акцент1 18 2" xfId="151" xr:uid="{00000000-0005-0000-0000-00005E000000}"/>
    <cellStyle name="20% - Акцент1 18_Свод гостин" xfId="2536" xr:uid="{00000000-0005-0000-0000-00005F000000}"/>
    <cellStyle name="20% - Акцент1 19" xfId="152" xr:uid="{00000000-0005-0000-0000-000060000000}"/>
    <cellStyle name="20% - Акцент1 19 2" xfId="153" xr:uid="{00000000-0005-0000-0000-000061000000}"/>
    <cellStyle name="20% - Акцент1 19_Свод гостин" xfId="2537" xr:uid="{00000000-0005-0000-0000-000062000000}"/>
    <cellStyle name="20% - Акцент1 2" xfId="154" xr:uid="{00000000-0005-0000-0000-000063000000}"/>
    <cellStyle name="20% - Акцент1 2 2" xfId="155" xr:uid="{00000000-0005-0000-0000-000064000000}"/>
    <cellStyle name="20% - Акцент1 2_Свод гостин" xfId="2538" xr:uid="{00000000-0005-0000-0000-000065000000}"/>
    <cellStyle name="20% - Акцент1 20" xfId="156" xr:uid="{00000000-0005-0000-0000-000066000000}"/>
    <cellStyle name="20% - Акцент1 20 2" xfId="157" xr:uid="{00000000-0005-0000-0000-000067000000}"/>
    <cellStyle name="20% - Акцент1 20_Свод гостин" xfId="2539" xr:uid="{00000000-0005-0000-0000-000068000000}"/>
    <cellStyle name="20% - Акцент1 21" xfId="158" xr:uid="{00000000-0005-0000-0000-000069000000}"/>
    <cellStyle name="20% - Акцент1 21 2" xfId="159" xr:uid="{00000000-0005-0000-0000-00006A000000}"/>
    <cellStyle name="20% - Акцент1 21_Свод гостин" xfId="2540" xr:uid="{00000000-0005-0000-0000-00006B000000}"/>
    <cellStyle name="20% - Акцент1 22" xfId="160" xr:uid="{00000000-0005-0000-0000-00006C000000}"/>
    <cellStyle name="20% - Акцент1 22 2" xfId="161" xr:uid="{00000000-0005-0000-0000-00006D000000}"/>
    <cellStyle name="20% - Акцент1 22_Свод гостин" xfId="2541" xr:uid="{00000000-0005-0000-0000-00006E000000}"/>
    <cellStyle name="20% - Акцент1 23" xfId="162" xr:uid="{00000000-0005-0000-0000-00006F000000}"/>
    <cellStyle name="20% - Акцент1 23 2" xfId="163" xr:uid="{00000000-0005-0000-0000-000070000000}"/>
    <cellStyle name="20% - Акцент1 23_Свод гостин" xfId="2542" xr:uid="{00000000-0005-0000-0000-000071000000}"/>
    <cellStyle name="20% - Акцент1 24" xfId="164" xr:uid="{00000000-0005-0000-0000-000072000000}"/>
    <cellStyle name="20% - Акцент1 24 2" xfId="165" xr:uid="{00000000-0005-0000-0000-000073000000}"/>
    <cellStyle name="20% - Акцент1 24_Свод гостин" xfId="2543" xr:uid="{00000000-0005-0000-0000-000074000000}"/>
    <cellStyle name="20% - Акцент1 25" xfId="166" xr:uid="{00000000-0005-0000-0000-000075000000}"/>
    <cellStyle name="20% - Акцент1 25 2" xfId="167" xr:uid="{00000000-0005-0000-0000-000076000000}"/>
    <cellStyle name="20% - Акцент1 25_Свод гостин" xfId="2544" xr:uid="{00000000-0005-0000-0000-000077000000}"/>
    <cellStyle name="20% - Акцент1 26" xfId="168" xr:uid="{00000000-0005-0000-0000-000078000000}"/>
    <cellStyle name="20% - Акцент1 26 2" xfId="169" xr:uid="{00000000-0005-0000-0000-000079000000}"/>
    <cellStyle name="20% - Акцент1 26_Свод гостин" xfId="2545" xr:uid="{00000000-0005-0000-0000-00007A000000}"/>
    <cellStyle name="20% - Акцент1 27" xfId="170" xr:uid="{00000000-0005-0000-0000-00007B000000}"/>
    <cellStyle name="20% - Акцент1 27 2" xfId="171" xr:uid="{00000000-0005-0000-0000-00007C000000}"/>
    <cellStyle name="20% - Акцент1 27_Свод гостин" xfId="2546" xr:uid="{00000000-0005-0000-0000-00007D000000}"/>
    <cellStyle name="20% - Акцент1 28" xfId="172" xr:uid="{00000000-0005-0000-0000-00007E000000}"/>
    <cellStyle name="20% - Акцент1 28 2" xfId="173" xr:uid="{00000000-0005-0000-0000-00007F000000}"/>
    <cellStyle name="20% - Акцент1 28_Свод гостин" xfId="2547" xr:uid="{00000000-0005-0000-0000-000080000000}"/>
    <cellStyle name="20% - Акцент1 29" xfId="174" xr:uid="{00000000-0005-0000-0000-000081000000}"/>
    <cellStyle name="20% - Акцент1 29 2" xfId="175" xr:uid="{00000000-0005-0000-0000-000082000000}"/>
    <cellStyle name="20% - Акцент1 29_Свод гостин" xfId="2548" xr:uid="{00000000-0005-0000-0000-000083000000}"/>
    <cellStyle name="20% - Акцент1 3" xfId="176" xr:uid="{00000000-0005-0000-0000-000084000000}"/>
    <cellStyle name="20% - Акцент1 3 2" xfId="177" xr:uid="{00000000-0005-0000-0000-000085000000}"/>
    <cellStyle name="20% - Акцент1 3_Свод гостин" xfId="2549" xr:uid="{00000000-0005-0000-0000-000086000000}"/>
    <cellStyle name="20% - Акцент1 30" xfId="178" xr:uid="{00000000-0005-0000-0000-000087000000}"/>
    <cellStyle name="20% - Акцент1 30 2" xfId="179" xr:uid="{00000000-0005-0000-0000-000088000000}"/>
    <cellStyle name="20% - Акцент1 30_Свод гостин" xfId="2550" xr:uid="{00000000-0005-0000-0000-000089000000}"/>
    <cellStyle name="20% - Акцент1 31" xfId="180" xr:uid="{00000000-0005-0000-0000-00008A000000}"/>
    <cellStyle name="20% - Акцент1 31 2" xfId="181" xr:uid="{00000000-0005-0000-0000-00008B000000}"/>
    <cellStyle name="20% - Акцент1 31_Свод гостин" xfId="2551" xr:uid="{00000000-0005-0000-0000-00008C000000}"/>
    <cellStyle name="20% - Акцент1 32" xfId="182" xr:uid="{00000000-0005-0000-0000-00008D000000}"/>
    <cellStyle name="20% - Акцент1 32 2" xfId="183" xr:uid="{00000000-0005-0000-0000-00008E000000}"/>
    <cellStyle name="20% - Акцент1 32_Свод гостин" xfId="2552" xr:uid="{00000000-0005-0000-0000-00008F000000}"/>
    <cellStyle name="20% - Акцент1 33" xfId="184" xr:uid="{00000000-0005-0000-0000-000090000000}"/>
    <cellStyle name="20% - Акцент1 33 2" xfId="185" xr:uid="{00000000-0005-0000-0000-000091000000}"/>
    <cellStyle name="20% - Акцент1 33_Свод гостин" xfId="2553" xr:uid="{00000000-0005-0000-0000-000092000000}"/>
    <cellStyle name="20% - Акцент1 34" xfId="186" xr:uid="{00000000-0005-0000-0000-000093000000}"/>
    <cellStyle name="20% - Акцент1 34 2" xfId="187" xr:uid="{00000000-0005-0000-0000-000094000000}"/>
    <cellStyle name="20% - Акцент1 34_Свод гостин" xfId="2554" xr:uid="{00000000-0005-0000-0000-000095000000}"/>
    <cellStyle name="20% - Акцент1 35" xfId="188" xr:uid="{00000000-0005-0000-0000-000096000000}"/>
    <cellStyle name="20% - Акцент1 35 2" xfId="189" xr:uid="{00000000-0005-0000-0000-000097000000}"/>
    <cellStyle name="20% - Акцент1 35_Свод гостин" xfId="2555" xr:uid="{00000000-0005-0000-0000-000098000000}"/>
    <cellStyle name="20% - Акцент1 36" xfId="190" xr:uid="{00000000-0005-0000-0000-000099000000}"/>
    <cellStyle name="20% - Акцент1 36 2" xfId="191" xr:uid="{00000000-0005-0000-0000-00009A000000}"/>
    <cellStyle name="20% - Акцент1 36_Свод гостин" xfId="2556" xr:uid="{00000000-0005-0000-0000-00009B000000}"/>
    <cellStyle name="20% - Акцент1 37" xfId="192" xr:uid="{00000000-0005-0000-0000-00009C000000}"/>
    <cellStyle name="20% - Акцент1 37 2" xfId="193" xr:uid="{00000000-0005-0000-0000-00009D000000}"/>
    <cellStyle name="20% - Акцент1 37_Свод гостин" xfId="2557" xr:uid="{00000000-0005-0000-0000-00009E000000}"/>
    <cellStyle name="20% - Акцент1 38" xfId="194" xr:uid="{00000000-0005-0000-0000-00009F000000}"/>
    <cellStyle name="20% - Акцент1 38 2" xfId="195" xr:uid="{00000000-0005-0000-0000-0000A0000000}"/>
    <cellStyle name="20% - Акцент1 38_Свод гостин" xfId="2558" xr:uid="{00000000-0005-0000-0000-0000A1000000}"/>
    <cellStyle name="20% - Акцент1 39" xfId="196" xr:uid="{00000000-0005-0000-0000-0000A2000000}"/>
    <cellStyle name="20% - Акцент1 39 2" xfId="197" xr:uid="{00000000-0005-0000-0000-0000A3000000}"/>
    <cellStyle name="20% - Акцент1 39_Свод гостин" xfId="2559" xr:uid="{00000000-0005-0000-0000-0000A4000000}"/>
    <cellStyle name="20% - Акцент1 4" xfId="198" xr:uid="{00000000-0005-0000-0000-0000A5000000}"/>
    <cellStyle name="20% - Акцент1 4 2" xfId="199" xr:uid="{00000000-0005-0000-0000-0000A6000000}"/>
    <cellStyle name="20% - Акцент1 4_Свод гостин" xfId="2560" xr:uid="{00000000-0005-0000-0000-0000A7000000}"/>
    <cellStyle name="20% - Акцент1 40" xfId="200" xr:uid="{00000000-0005-0000-0000-0000A8000000}"/>
    <cellStyle name="20% - Акцент1 40 2" xfId="201" xr:uid="{00000000-0005-0000-0000-0000A9000000}"/>
    <cellStyle name="20% - Акцент1 40_Свод гостин" xfId="2561" xr:uid="{00000000-0005-0000-0000-0000AA000000}"/>
    <cellStyle name="20% - Акцент1 41" xfId="202" xr:uid="{00000000-0005-0000-0000-0000AB000000}"/>
    <cellStyle name="20% - Акцент1 41 2" xfId="203" xr:uid="{00000000-0005-0000-0000-0000AC000000}"/>
    <cellStyle name="20% - Акцент1 41_Свод гостин" xfId="2562" xr:uid="{00000000-0005-0000-0000-0000AD000000}"/>
    <cellStyle name="20% - Акцент1 42" xfId="204" xr:uid="{00000000-0005-0000-0000-0000AE000000}"/>
    <cellStyle name="20% - Акцент1 42 2" xfId="205" xr:uid="{00000000-0005-0000-0000-0000AF000000}"/>
    <cellStyle name="20% - Акцент1 42_Свод гостин" xfId="2563" xr:uid="{00000000-0005-0000-0000-0000B0000000}"/>
    <cellStyle name="20% - Акцент1 43" xfId="206" xr:uid="{00000000-0005-0000-0000-0000B1000000}"/>
    <cellStyle name="20% - Акцент1 43 2" xfId="207" xr:uid="{00000000-0005-0000-0000-0000B2000000}"/>
    <cellStyle name="20% - Акцент1 43_Свод гостин" xfId="2564" xr:uid="{00000000-0005-0000-0000-0000B3000000}"/>
    <cellStyle name="20% - Акцент1 44" xfId="208" xr:uid="{00000000-0005-0000-0000-0000B4000000}"/>
    <cellStyle name="20% - Акцент1 44 2" xfId="209" xr:uid="{00000000-0005-0000-0000-0000B5000000}"/>
    <cellStyle name="20% - Акцент1 44_Свод гостин" xfId="2565" xr:uid="{00000000-0005-0000-0000-0000B6000000}"/>
    <cellStyle name="20% - Акцент1 45" xfId="210" xr:uid="{00000000-0005-0000-0000-0000B7000000}"/>
    <cellStyle name="20% - Акцент1 45 2" xfId="211" xr:uid="{00000000-0005-0000-0000-0000B8000000}"/>
    <cellStyle name="20% - Акцент1 45_Свод гостин" xfId="2566" xr:uid="{00000000-0005-0000-0000-0000B9000000}"/>
    <cellStyle name="20% - Акцент1 46" xfId="212" xr:uid="{00000000-0005-0000-0000-0000BA000000}"/>
    <cellStyle name="20% - Акцент1 46 2" xfId="213" xr:uid="{00000000-0005-0000-0000-0000BB000000}"/>
    <cellStyle name="20% - Акцент1 46_Свод гостин" xfId="2567" xr:uid="{00000000-0005-0000-0000-0000BC000000}"/>
    <cellStyle name="20% - Акцент1 47" xfId="214" xr:uid="{00000000-0005-0000-0000-0000BD000000}"/>
    <cellStyle name="20% - Акцент1 47 2" xfId="215" xr:uid="{00000000-0005-0000-0000-0000BE000000}"/>
    <cellStyle name="20% - Акцент1 47_Свод гостин" xfId="2568" xr:uid="{00000000-0005-0000-0000-0000BF000000}"/>
    <cellStyle name="20% - Акцент1 48" xfId="216" xr:uid="{00000000-0005-0000-0000-0000C0000000}"/>
    <cellStyle name="20% - Акцент1 48 2" xfId="217" xr:uid="{00000000-0005-0000-0000-0000C1000000}"/>
    <cellStyle name="20% - Акцент1 48_Свод гостин" xfId="2569" xr:uid="{00000000-0005-0000-0000-0000C2000000}"/>
    <cellStyle name="20% - Акцент1 49" xfId="218" xr:uid="{00000000-0005-0000-0000-0000C3000000}"/>
    <cellStyle name="20% - Акцент1 49 2" xfId="219" xr:uid="{00000000-0005-0000-0000-0000C4000000}"/>
    <cellStyle name="20% - Акцент1 49_Свод гостин" xfId="2570" xr:uid="{00000000-0005-0000-0000-0000C5000000}"/>
    <cellStyle name="20% - Акцент1 5" xfId="220" xr:uid="{00000000-0005-0000-0000-0000C6000000}"/>
    <cellStyle name="20% - Акцент1 5 2" xfId="221" xr:uid="{00000000-0005-0000-0000-0000C7000000}"/>
    <cellStyle name="20% - Акцент1 5_Свод гостин" xfId="2571" xr:uid="{00000000-0005-0000-0000-0000C8000000}"/>
    <cellStyle name="20% - Акцент1 50" xfId="222" xr:uid="{00000000-0005-0000-0000-0000C9000000}"/>
    <cellStyle name="20% - Акцент1 50 2" xfId="223" xr:uid="{00000000-0005-0000-0000-0000CA000000}"/>
    <cellStyle name="20% - Акцент1 50_Свод гостин" xfId="2572" xr:uid="{00000000-0005-0000-0000-0000CB000000}"/>
    <cellStyle name="20% - Акцент1 51" xfId="224" xr:uid="{00000000-0005-0000-0000-0000CC000000}"/>
    <cellStyle name="20% - Акцент1 51 2" xfId="225" xr:uid="{00000000-0005-0000-0000-0000CD000000}"/>
    <cellStyle name="20% - Акцент1 51_Свод гостин" xfId="2573" xr:uid="{00000000-0005-0000-0000-0000CE000000}"/>
    <cellStyle name="20% - Акцент1 52" xfId="226" xr:uid="{00000000-0005-0000-0000-0000CF000000}"/>
    <cellStyle name="20% - Акцент1 52 2" xfId="227" xr:uid="{00000000-0005-0000-0000-0000D0000000}"/>
    <cellStyle name="20% - Акцент1 52_Свод гостин" xfId="2574" xr:uid="{00000000-0005-0000-0000-0000D1000000}"/>
    <cellStyle name="20% - Акцент1 53" xfId="228" xr:uid="{00000000-0005-0000-0000-0000D2000000}"/>
    <cellStyle name="20% - Акцент1 53 2" xfId="229" xr:uid="{00000000-0005-0000-0000-0000D3000000}"/>
    <cellStyle name="20% - Акцент1 53_Свод гостин" xfId="2575" xr:uid="{00000000-0005-0000-0000-0000D4000000}"/>
    <cellStyle name="20% - Акцент1 54" xfId="230" xr:uid="{00000000-0005-0000-0000-0000D5000000}"/>
    <cellStyle name="20% - Акцент1 54 2" xfId="231" xr:uid="{00000000-0005-0000-0000-0000D6000000}"/>
    <cellStyle name="20% - Акцент1 54_Свод гостин" xfId="2576" xr:uid="{00000000-0005-0000-0000-0000D7000000}"/>
    <cellStyle name="20% - Акцент1 55" xfId="232" xr:uid="{00000000-0005-0000-0000-0000D8000000}"/>
    <cellStyle name="20% - Акцент1 55 2" xfId="233" xr:uid="{00000000-0005-0000-0000-0000D9000000}"/>
    <cellStyle name="20% - Акцент1 55_Свод гостин" xfId="2577" xr:uid="{00000000-0005-0000-0000-0000DA000000}"/>
    <cellStyle name="20% - Акцент1 56" xfId="234" xr:uid="{00000000-0005-0000-0000-0000DB000000}"/>
    <cellStyle name="20% - Акцент1 56 2" xfId="235" xr:uid="{00000000-0005-0000-0000-0000DC000000}"/>
    <cellStyle name="20% - Акцент1 56_Свод гостин" xfId="2578" xr:uid="{00000000-0005-0000-0000-0000DD000000}"/>
    <cellStyle name="20% - Акцент1 57" xfId="236" xr:uid="{00000000-0005-0000-0000-0000DE000000}"/>
    <cellStyle name="20% - Акцент1 57 2" xfId="237" xr:uid="{00000000-0005-0000-0000-0000DF000000}"/>
    <cellStyle name="20% - Акцент1 57_Свод гостин" xfId="2579" xr:uid="{00000000-0005-0000-0000-0000E0000000}"/>
    <cellStyle name="20% - Акцент1 58" xfId="238" xr:uid="{00000000-0005-0000-0000-0000E1000000}"/>
    <cellStyle name="20% - Акцент1 58 2" xfId="239" xr:uid="{00000000-0005-0000-0000-0000E2000000}"/>
    <cellStyle name="20% - Акцент1 58_Свод гостин" xfId="2580" xr:uid="{00000000-0005-0000-0000-0000E3000000}"/>
    <cellStyle name="20% - Акцент1 59" xfId="240" xr:uid="{00000000-0005-0000-0000-0000E4000000}"/>
    <cellStyle name="20% - Акцент1 59 2" xfId="241" xr:uid="{00000000-0005-0000-0000-0000E5000000}"/>
    <cellStyle name="20% - Акцент1 59_Свод гостин" xfId="2581" xr:uid="{00000000-0005-0000-0000-0000E6000000}"/>
    <cellStyle name="20% - Акцент1 6" xfId="242" xr:uid="{00000000-0005-0000-0000-0000E7000000}"/>
    <cellStyle name="20% - Акцент1 6 2" xfId="243" xr:uid="{00000000-0005-0000-0000-0000E8000000}"/>
    <cellStyle name="20% - Акцент1 6_Свод гостин" xfId="2582" xr:uid="{00000000-0005-0000-0000-0000E9000000}"/>
    <cellStyle name="20% - Акцент1 60" xfId="244" xr:uid="{00000000-0005-0000-0000-0000EA000000}"/>
    <cellStyle name="20% - Акцент1 60 2" xfId="245" xr:uid="{00000000-0005-0000-0000-0000EB000000}"/>
    <cellStyle name="20% - Акцент1 60_Свод гостин" xfId="2583" xr:uid="{00000000-0005-0000-0000-0000EC000000}"/>
    <cellStyle name="20% - Акцент1 61" xfId="246" xr:uid="{00000000-0005-0000-0000-0000ED000000}"/>
    <cellStyle name="20% - Акцент1 61 2" xfId="247" xr:uid="{00000000-0005-0000-0000-0000EE000000}"/>
    <cellStyle name="20% - Акцент1 61_Свод гостин" xfId="2584" xr:uid="{00000000-0005-0000-0000-0000EF000000}"/>
    <cellStyle name="20% - Акцент1 62" xfId="248" xr:uid="{00000000-0005-0000-0000-0000F0000000}"/>
    <cellStyle name="20% - Акцент1 62 2" xfId="249" xr:uid="{00000000-0005-0000-0000-0000F1000000}"/>
    <cellStyle name="20% - Акцент1 62_Свод гостин" xfId="2585" xr:uid="{00000000-0005-0000-0000-0000F2000000}"/>
    <cellStyle name="20% - Акцент1 63" xfId="250" xr:uid="{00000000-0005-0000-0000-0000F3000000}"/>
    <cellStyle name="20% - Акцент1 63 2" xfId="251" xr:uid="{00000000-0005-0000-0000-0000F4000000}"/>
    <cellStyle name="20% - Акцент1 63_Свод гостин" xfId="2586" xr:uid="{00000000-0005-0000-0000-0000F5000000}"/>
    <cellStyle name="20% - Акцент1 64" xfId="252" xr:uid="{00000000-0005-0000-0000-0000F6000000}"/>
    <cellStyle name="20% - Акцент1 64 2" xfId="253" xr:uid="{00000000-0005-0000-0000-0000F7000000}"/>
    <cellStyle name="20% - Акцент1 64_Свод гостин" xfId="2587" xr:uid="{00000000-0005-0000-0000-0000F8000000}"/>
    <cellStyle name="20% - Акцент1 65" xfId="254" xr:uid="{00000000-0005-0000-0000-0000F9000000}"/>
    <cellStyle name="20% - Акцент1 65 2" xfId="255" xr:uid="{00000000-0005-0000-0000-0000FA000000}"/>
    <cellStyle name="20% - Акцент1 65_Свод гостин" xfId="2588" xr:uid="{00000000-0005-0000-0000-0000FB000000}"/>
    <cellStyle name="20% - Акцент1 66" xfId="256" xr:uid="{00000000-0005-0000-0000-0000FC000000}"/>
    <cellStyle name="20% - Акцент1 66 2" xfId="257" xr:uid="{00000000-0005-0000-0000-0000FD000000}"/>
    <cellStyle name="20% - Акцент1 66_Свод гостин" xfId="2589" xr:uid="{00000000-0005-0000-0000-0000FE000000}"/>
    <cellStyle name="20% - Акцент1 67" xfId="258" xr:uid="{00000000-0005-0000-0000-0000FF000000}"/>
    <cellStyle name="20% - Акцент1 67 2" xfId="259" xr:uid="{00000000-0005-0000-0000-000000010000}"/>
    <cellStyle name="20% - Акцент1 67_Свод гостин" xfId="2590" xr:uid="{00000000-0005-0000-0000-000001010000}"/>
    <cellStyle name="20% - Акцент1 68" xfId="260" xr:uid="{00000000-0005-0000-0000-000002010000}"/>
    <cellStyle name="20% - Акцент1 68 2" xfId="261" xr:uid="{00000000-0005-0000-0000-000003010000}"/>
    <cellStyle name="20% - Акцент1 68_Свод гостин" xfId="2591" xr:uid="{00000000-0005-0000-0000-000004010000}"/>
    <cellStyle name="20% - Акцент1 69" xfId="262" xr:uid="{00000000-0005-0000-0000-000005010000}"/>
    <cellStyle name="20% - Акцент1 69 2" xfId="263" xr:uid="{00000000-0005-0000-0000-000006010000}"/>
    <cellStyle name="20% - Акцент1 69_Свод гостин" xfId="2592" xr:uid="{00000000-0005-0000-0000-000007010000}"/>
    <cellStyle name="20% - Акцент1 7" xfId="264" xr:uid="{00000000-0005-0000-0000-000008010000}"/>
    <cellStyle name="20% - Акцент1 7 2" xfId="265" xr:uid="{00000000-0005-0000-0000-000009010000}"/>
    <cellStyle name="20% - Акцент1 7_Свод гостин" xfId="2593" xr:uid="{00000000-0005-0000-0000-00000A010000}"/>
    <cellStyle name="20% - Акцент1 70" xfId="266" xr:uid="{00000000-0005-0000-0000-00000B010000}"/>
    <cellStyle name="20% - Акцент1 70 2" xfId="267" xr:uid="{00000000-0005-0000-0000-00000C010000}"/>
    <cellStyle name="20% - Акцент1 70_Свод гостин" xfId="2594" xr:uid="{00000000-0005-0000-0000-00000D010000}"/>
    <cellStyle name="20% - Акцент1 71" xfId="268" xr:uid="{00000000-0005-0000-0000-00000E010000}"/>
    <cellStyle name="20% - Акцент1 71 2" xfId="269" xr:uid="{00000000-0005-0000-0000-00000F010000}"/>
    <cellStyle name="20% - Акцент1 71_Свод гостин" xfId="2595" xr:uid="{00000000-0005-0000-0000-000010010000}"/>
    <cellStyle name="20% - Акцент1 72" xfId="270" xr:uid="{00000000-0005-0000-0000-000011010000}"/>
    <cellStyle name="20% - Акцент1 72 2" xfId="271" xr:uid="{00000000-0005-0000-0000-000012010000}"/>
    <cellStyle name="20% - Акцент1 72_Свод гостин" xfId="2596" xr:uid="{00000000-0005-0000-0000-000013010000}"/>
    <cellStyle name="20% - Акцент1 73" xfId="272" xr:uid="{00000000-0005-0000-0000-000014010000}"/>
    <cellStyle name="20% - Акцент1 73 2" xfId="273" xr:uid="{00000000-0005-0000-0000-000015010000}"/>
    <cellStyle name="20% - Акцент1 73_Свод гостин" xfId="2597" xr:uid="{00000000-0005-0000-0000-000016010000}"/>
    <cellStyle name="20% - Акцент1 74" xfId="274" xr:uid="{00000000-0005-0000-0000-000017010000}"/>
    <cellStyle name="20% - Акцент1 74 2" xfId="275" xr:uid="{00000000-0005-0000-0000-000018010000}"/>
    <cellStyle name="20% - Акцент1 74_Свод гостин" xfId="2598" xr:uid="{00000000-0005-0000-0000-000019010000}"/>
    <cellStyle name="20% - Акцент1 75" xfId="276" xr:uid="{00000000-0005-0000-0000-00001A010000}"/>
    <cellStyle name="20% - Акцент1 75 2" xfId="277" xr:uid="{00000000-0005-0000-0000-00001B010000}"/>
    <cellStyle name="20% - Акцент1 75_Свод гостин" xfId="2599" xr:uid="{00000000-0005-0000-0000-00001C010000}"/>
    <cellStyle name="20% - Акцент1 76" xfId="278" xr:uid="{00000000-0005-0000-0000-00001D010000}"/>
    <cellStyle name="20% - Акцент1 76 2" xfId="279" xr:uid="{00000000-0005-0000-0000-00001E010000}"/>
    <cellStyle name="20% - Акцент1 76_Свод гостин" xfId="2600" xr:uid="{00000000-0005-0000-0000-00001F010000}"/>
    <cellStyle name="20% - Акцент1 77" xfId="280" xr:uid="{00000000-0005-0000-0000-000020010000}"/>
    <cellStyle name="20% - Акцент1 77 2" xfId="281" xr:uid="{00000000-0005-0000-0000-000021010000}"/>
    <cellStyle name="20% - Акцент1 77_Свод гостин" xfId="2601" xr:uid="{00000000-0005-0000-0000-000022010000}"/>
    <cellStyle name="20% - Акцент1 78" xfId="282" xr:uid="{00000000-0005-0000-0000-000023010000}"/>
    <cellStyle name="20% - Акцент1 78 2" xfId="283" xr:uid="{00000000-0005-0000-0000-000024010000}"/>
    <cellStyle name="20% - Акцент1 78_Свод гостин" xfId="2602" xr:uid="{00000000-0005-0000-0000-000025010000}"/>
    <cellStyle name="20% - Акцент1 79" xfId="284" xr:uid="{00000000-0005-0000-0000-000026010000}"/>
    <cellStyle name="20% - Акцент1 79 2" xfId="285" xr:uid="{00000000-0005-0000-0000-000027010000}"/>
    <cellStyle name="20% - Акцент1 79_Свод гостин" xfId="2603" xr:uid="{00000000-0005-0000-0000-000028010000}"/>
    <cellStyle name="20% - Акцент1 8" xfId="286" xr:uid="{00000000-0005-0000-0000-000029010000}"/>
    <cellStyle name="20% - Акцент1 8 2" xfId="287" xr:uid="{00000000-0005-0000-0000-00002A010000}"/>
    <cellStyle name="20% - Акцент1 8_Свод гостин" xfId="2604" xr:uid="{00000000-0005-0000-0000-00002B010000}"/>
    <cellStyle name="20% - Акцент1 80" xfId="288" xr:uid="{00000000-0005-0000-0000-00002C010000}"/>
    <cellStyle name="20% - Акцент1 80 2" xfId="289" xr:uid="{00000000-0005-0000-0000-00002D010000}"/>
    <cellStyle name="20% - Акцент1 80_Свод гостин" xfId="2605" xr:uid="{00000000-0005-0000-0000-00002E010000}"/>
    <cellStyle name="20% - Акцент1 81" xfId="290" xr:uid="{00000000-0005-0000-0000-00002F010000}"/>
    <cellStyle name="20% - Акцент1 81 2" xfId="291" xr:uid="{00000000-0005-0000-0000-000030010000}"/>
    <cellStyle name="20% - Акцент1 81_Свод гостин" xfId="2606" xr:uid="{00000000-0005-0000-0000-000031010000}"/>
    <cellStyle name="20% - Акцент1 82" xfId="292" xr:uid="{00000000-0005-0000-0000-000032010000}"/>
    <cellStyle name="20% - Акцент1 82 2" xfId="293" xr:uid="{00000000-0005-0000-0000-000033010000}"/>
    <cellStyle name="20% - Акцент1 82_Свод гостин" xfId="2607" xr:uid="{00000000-0005-0000-0000-000034010000}"/>
    <cellStyle name="20% - Акцент1 83" xfId="294" xr:uid="{00000000-0005-0000-0000-000035010000}"/>
    <cellStyle name="20% - Акцент1 83 2" xfId="295" xr:uid="{00000000-0005-0000-0000-000036010000}"/>
    <cellStyle name="20% - Акцент1 83_Свод гостин" xfId="2608" xr:uid="{00000000-0005-0000-0000-000037010000}"/>
    <cellStyle name="20% - Акцент1 9" xfId="296" xr:uid="{00000000-0005-0000-0000-000038010000}"/>
    <cellStyle name="20% - Акцент1 9 2" xfId="297" xr:uid="{00000000-0005-0000-0000-000039010000}"/>
    <cellStyle name="20% - Акцент1 9_Свод гостин" xfId="2609" xr:uid="{00000000-0005-0000-0000-00003A010000}"/>
    <cellStyle name="20% - Акцент2 10" xfId="298" xr:uid="{00000000-0005-0000-0000-00003B010000}"/>
    <cellStyle name="20% - Акцент2 10 2" xfId="299" xr:uid="{00000000-0005-0000-0000-00003C010000}"/>
    <cellStyle name="20% - Акцент2 10_Свод гостин" xfId="2610" xr:uid="{00000000-0005-0000-0000-00003D010000}"/>
    <cellStyle name="20% - Акцент2 11" xfId="300" xr:uid="{00000000-0005-0000-0000-00003E010000}"/>
    <cellStyle name="20% - Акцент2 11 2" xfId="301" xr:uid="{00000000-0005-0000-0000-00003F010000}"/>
    <cellStyle name="20% - Акцент2 11_Свод гостин" xfId="2611" xr:uid="{00000000-0005-0000-0000-000040010000}"/>
    <cellStyle name="20% - Акцент2 12" xfId="302" xr:uid="{00000000-0005-0000-0000-000041010000}"/>
    <cellStyle name="20% - Акцент2 12 2" xfId="303" xr:uid="{00000000-0005-0000-0000-000042010000}"/>
    <cellStyle name="20% - Акцент2 12_Свод гостин" xfId="2612" xr:uid="{00000000-0005-0000-0000-000043010000}"/>
    <cellStyle name="20% - Акцент2 13" xfId="304" xr:uid="{00000000-0005-0000-0000-000044010000}"/>
    <cellStyle name="20% - Акцент2 13 2" xfId="305" xr:uid="{00000000-0005-0000-0000-000045010000}"/>
    <cellStyle name="20% - Акцент2 13_Свод гостин" xfId="2613" xr:uid="{00000000-0005-0000-0000-000046010000}"/>
    <cellStyle name="20% - Акцент2 14" xfId="306" xr:uid="{00000000-0005-0000-0000-000047010000}"/>
    <cellStyle name="20% - Акцент2 14 2" xfId="307" xr:uid="{00000000-0005-0000-0000-000048010000}"/>
    <cellStyle name="20% - Акцент2 14_Свод гостин" xfId="2614" xr:uid="{00000000-0005-0000-0000-000049010000}"/>
    <cellStyle name="20% - Акцент2 15" xfId="308" xr:uid="{00000000-0005-0000-0000-00004A010000}"/>
    <cellStyle name="20% - Акцент2 15 2" xfId="309" xr:uid="{00000000-0005-0000-0000-00004B010000}"/>
    <cellStyle name="20% - Акцент2 15_Свод гостин" xfId="2615" xr:uid="{00000000-0005-0000-0000-00004C010000}"/>
    <cellStyle name="20% - Акцент2 16" xfId="310" xr:uid="{00000000-0005-0000-0000-00004D010000}"/>
    <cellStyle name="20% - Акцент2 16 2" xfId="311" xr:uid="{00000000-0005-0000-0000-00004E010000}"/>
    <cellStyle name="20% - Акцент2 16_Свод гостин" xfId="2616" xr:uid="{00000000-0005-0000-0000-00004F010000}"/>
    <cellStyle name="20% - Акцент2 17" xfId="312" xr:uid="{00000000-0005-0000-0000-000050010000}"/>
    <cellStyle name="20% - Акцент2 17 2" xfId="313" xr:uid="{00000000-0005-0000-0000-000051010000}"/>
    <cellStyle name="20% - Акцент2 17_Свод гостин" xfId="2617" xr:uid="{00000000-0005-0000-0000-000052010000}"/>
    <cellStyle name="20% - Акцент2 18" xfId="314" xr:uid="{00000000-0005-0000-0000-000053010000}"/>
    <cellStyle name="20% - Акцент2 18 2" xfId="315" xr:uid="{00000000-0005-0000-0000-000054010000}"/>
    <cellStyle name="20% - Акцент2 18_Свод гостин" xfId="2618" xr:uid="{00000000-0005-0000-0000-000055010000}"/>
    <cellStyle name="20% - Акцент2 19" xfId="316" xr:uid="{00000000-0005-0000-0000-000056010000}"/>
    <cellStyle name="20% - Акцент2 19 2" xfId="317" xr:uid="{00000000-0005-0000-0000-000057010000}"/>
    <cellStyle name="20% - Акцент2 19_Свод гостин" xfId="2619" xr:uid="{00000000-0005-0000-0000-000058010000}"/>
    <cellStyle name="20% - Акцент2 2" xfId="318" xr:uid="{00000000-0005-0000-0000-000059010000}"/>
    <cellStyle name="20% - Акцент2 2 2" xfId="319" xr:uid="{00000000-0005-0000-0000-00005A010000}"/>
    <cellStyle name="20% - Акцент2 2_Свод гостин" xfId="2620" xr:uid="{00000000-0005-0000-0000-00005B010000}"/>
    <cellStyle name="20% - Акцент2 20" xfId="320" xr:uid="{00000000-0005-0000-0000-00005C010000}"/>
    <cellStyle name="20% - Акцент2 20 2" xfId="321" xr:uid="{00000000-0005-0000-0000-00005D010000}"/>
    <cellStyle name="20% - Акцент2 20_Свод гостин" xfId="2621" xr:uid="{00000000-0005-0000-0000-00005E010000}"/>
    <cellStyle name="20% - Акцент2 21" xfId="322" xr:uid="{00000000-0005-0000-0000-00005F010000}"/>
    <cellStyle name="20% - Акцент2 21 2" xfId="323" xr:uid="{00000000-0005-0000-0000-000060010000}"/>
    <cellStyle name="20% - Акцент2 21_Свод гостин" xfId="2622" xr:uid="{00000000-0005-0000-0000-000061010000}"/>
    <cellStyle name="20% - Акцент2 22" xfId="324" xr:uid="{00000000-0005-0000-0000-000062010000}"/>
    <cellStyle name="20% - Акцент2 22 2" xfId="325" xr:uid="{00000000-0005-0000-0000-000063010000}"/>
    <cellStyle name="20% - Акцент2 22_Свод гостин" xfId="2623" xr:uid="{00000000-0005-0000-0000-000064010000}"/>
    <cellStyle name="20% - Акцент2 23" xfId="326" xr:uid="{00000000-0005-0000-0000-000065010000}"/>
    <cellStyle name="20% - Акцент2 23 2" xfId="327" xr:uid="{00000000-0005-0000-0000-000066010000}"/>
    <cellStyle name="20% - Акцент2 23_Свод гостин" xfId="2624" xr:uid="{00000000-0005-0000-0000-000067010000}"/>
    <cellStyle name="20% - Акцент2 24" xfId="328" xr:uid="{00000000-0005-0000-0000-000068010000}"/>
    <cellStyle name="20% - Акцент2 24 2" xfId="329" xr:uid="{00000000-0005-0000-0000-000069010000}"/>
    <cellStyle name="20% - Акцент2 24_Свод гостин" xfId="2625" xr:uid="{00000000-0005-0000-0000-00006A010000}"/>
    <cellStyle name="20% - Акцент2 25" xfId="330" xr:uid="{00000000-0005-0000-0000-00006B010000}"/>
    <cellStyle name="20% - Акцент2 25 2" xfId="331" xr:uid="{00000000-0005-0000-0000-00006C010000}"/>
    <cellStyle name="20% - Акцент2 25_Свод гостин" xfId="2626" xr:uid="{00000000-0005-0000-0000-00006D010000}"/>
    <cellStyle name="20% - Акцент2 26" xfId="332" xr:uid="{00000000-0005-0000-0000-00006E010000}"/>
    <cellStyle name="20% - Акцент2 26 2" xfId="333" xr:uid="{00000000-0005-0000-0000-00006F010000}"/>
    <cellStyle name="20% - Акцент2 26_Свод гостин" xfId="2627" xr:uid="{00000000-0005-0000-0000-000070010000}"/>
    <cellStyle name="20% - Акцент2 27" xfId="334" xr:uid="{00000000-0005-0000-0000-000071010000}"/>
    <cellStyle name="20% - Акцент2 27 2" xfId="335" xr:uid="{00000000-0005-0000-0000-000072010000}"/>
    <cellStyle name="20% - Акцент2 27_Свод гостин" xfId="2628" xr:uid="{00000000-0005-0000-0000-000073010000}"/>
    <cellStyle name="20% - Акцент2 28" xfId="336" xr:uid="{00000000-0005-0000-0000-000074010000}"/>
    <cellStyle name="20% - Акцент2 28 2" xfId="337" xr:uid="{00000000-0005-0000-0000-000075010000}"/>
    <cellStyle name="20% - Акцент2 28_Свод гостин" xfId="2629" xr:uid="{00000000-0005-0000-0000-000076010000}"/>
    <cellStyle name="20% - Акцент2 29" xfId="338" xr:uid="{00000000-0005-0000-0000-000077010000}"/>
    <cellStyle name="20% - Акцент2 29 2" xfId="339" xr:uid="{00000000-0005-0000-0000-000078010000}"/>
    <cellStyle name="20% - Акцент2 29_Свод гостин" xfId="2630" xr:uid="{00000000-0005-0000-0000-000079010000}"/>
    <cellStyle name="20% - Акцент2 3" xfId="340" xr:uid="{00000000-0005-0000-0000-00007A010000}"/>
    <cellStyle name="20% - Акцент2 3 2" xfId="341" xr:uid="{00000000-0005-0000-0000-00007B010000}"/>
    <cellStyle name="20% - Акцент2 3_Свод гостин" xfId="2631" xr:uid="{00000000-0005-0000-0000-00007C010000}"/>
    <cellStyle name="20% - Акцент2 30" xfId="342" xr:uid="{00000000-0005-0000-0000-00007D010000}"/>
    <cellStyle name="20% - Акцент2 30 2" xfId="343" xr:uid="{00000000-0005-0000-0000-00007E010000}"/>
    <cellStyle name="20% - Акцент2 30_Свод гостин" xfId="2632" xr:uid="{00000000-0005-0000-0000-00007F010000}"/>
    <cellStyle name="20% - Акцент2 31" xfId="344" xr:uid="{00000000-0005-0000-0000-000080010000}"/>
    <cellStyle name="20% - Акцент2 31 2" xfId="345" xr:uid="{00000000-0005-0000-0000-000081010000}"/>
    <cellStyle name="20% - Акцент2 31_Свод гостин" xfId="2633" xr:uid="{00000000-0005-0000-0000-000082010000}"/>
    <cellStyle name="20% - Акцент2 32" xfId="346" xr:uid="{00000000-0005-0000-0000-000083010000}"/>
    <cellStyle name="20% - Акцент2 32 2" xfId="347" xr:uid="{00000000-0005-0000-0000-000084010000}"/>
    <cellStyle name="20% - Акцент2 32_Свод гостин" xfId="2634" xr:uid="{00000000-0005-0000-0000-000085010000}"/>
    <cellStyle name="20% - Акцент2 33" xfId="348" xr:uid="{00000000-0005-0000-0000-000086010000}"/>
    <cellStyle name="20% - Акцент2 33 2" xfId="349" xr:uid="{00000000-0005-0000-0000-000087010000}"/>
    <cellStyle name="20% - Акцент2 33_Свод гостин" xfId="2635" xr:uid="{00000000-0005-0000-0000-000088010000}"/>
    <cellStyle name="20% - Акцент2 34" xfId="350" xr:uid="{00000000-0005-0000-0000-000089010000}"/>
    <cellStyle name="20% - Акцент2 34 2" xfId="351" xr:uid="{00000000-0005-0000-0000-00008A010000}"/>
    <cellStyle name="20% - Акцент2 34_Свод гостин" xfId="2636" xr:uid="{00000000-0005-0000-0000-00008B010000}"/>
    <cellStyle name="20% - Акцент2 35" xfId="352" xr:uid="{00000000-0005-0000-0000-00008C010000}"/>
    <cellStyle name="20% - Акцент2 35 2" xfId="353" xr:uid="{00000000-0005-0000-0000-00008D010000}"/>
    <cellStyle name="20% - Акцент2 35_Свод гостин" xfId="2637" xr:uid="{00000000-0005-0000-0000-00008E010000}"/>
    <cellStyle name="20% - Акцент2 36" xfId="354" xr:uid="{00000000-0005-0000-0000-00008F010000}"/>
    <cellStyle name="20% - Акцент2 36 2" xfId="355" xr:uid="{00000000-0005-0000-0000-000090010000}"/>
    <cellStyle name="20% - Акцент2 36_Свод гостин" xfId="2638" xr:uid="{00000000-0005-0000-0000-000091010000}"/>
    <cellStyle name="20% - Акцент2 37" xfId="356" xr:uid="{00000000-0005-0000-0000-000092010000}"/>
    <cellStyle name="20% - Акцент2 37 2" xfId="357" xr:uid="{00000000-0005-0000-0000-000093010000}"/>
    <cellStyle name="20% - Акцент2 37_Свод гостин" xfId="2639" xr:uid="{00000000-0005-0000-0000-000094010000}"/>
    <cellStyle name="20% - Акцент2 38" xfId="358" xr:uid="{00000000-0005-0000-0000-000095010000}"/>
    <cellStyle name="20% - Акцент2 38 2" xfId="359" xr:uid="{00000000-0005-0000-0000-000096010000}"/>
    <cellStyle name="20% - Акцент2 38_Свод гостин" xfId="2640" xr:uid="{00000000-0005-0000-0000-000097010000}"/>
    <cellStyle name="20% - Акцент2 39" xfId="360" xr:uid="{00000000-0005-0000-0000-000098010000}"/>
    <cellStyle name="20% - Акцент2 39 2" xfId="361" xr:uid="{00000000-0005-0000-0000-000099010000}"/>
    <cellStyle name="20% - Акцент2 39_Свод гостин" xfId="2641" xr:uid="{00000000-0005-0000-0000-00009A010000}"/>
    <cellStyle name="20% - Акцент2 4" xfId="362" xr:uid="{00000000-0005-0000-0000-00009B010000}"/>
    <cellStyle name="20% - Акцент2 4 2" xfId="363" xr:uid="{00000000-0005-0000-0000-00009C010000}"/>
    <cellStyle name="20% - Акцент2 4_Свод гостин" xfId="2642" xr:uid="{00000000-0005-0000-0000-00009D010000}"/>
    <cellStyle name="20% - Акцент2 40" xfId="364" xr:uid="{00000000-0005-0000-0000-00009E010000}"/>
    <cellStyle name="20% - Акцент2 40 2" xfId="365" xr:uid="{00000000-0005-0000-0000-00009F010000}"/>
    <cellStyle name="20% - Акцент2 40_Свод гостин" xfId="2643" xr:uid="{00000000-0005-0000-0000-0000A0010000}"/>
    <cellStyle name="20% - Акцент2 41" xfId="366" xr:uid="{00000000-0005-0000-0000-0000A1010000}"/>
    <cellStyle name="20% - Акцент2 41 2" xfId="367" xr:uid="{00000000-0005-0000-0000-0000A2010000}"/>
    <cellStyle name="20% - Акцент2 41_Свод гостин" xfId="2644" xr:uid="{00000000-0005-0000-0000-0000A3010000}"/>
    <cellStyle name="20% - Акцент2 42" xfId="368" xr:uid="{00000000-0005-0000-0000-0000A4010000}"/>
    <cellStyle name="20% - Акцент2 42 2" xfId="369" xr:uid="{00000000-0005-0000-0000-0000A5010000}"/>
    <cellStyle name="20% - Акцент2 42_Свод гостин" xfId="2645" xr:uid="{00000000-0005-0000-0000-0000A6010000}"/>
    <cellStyle name="20% - Акцент2 43" xfId="370" xr:uid="{00000000-0005-0000-0000-0000A7010000}"/>
    <cellStyle name="20% - Акцент2 43 2" xfId="371" xr:uid="{00000000-0005-0000-0000-0000A8010000}"/>
    <cellStyle name="20% - Акцент2 43_Свод гостин" xfId="2646" xr:uid="{00000000-0005-0000-0000-0000A9010000}"/>
    <cellStyle name="20% - Акцент2 44" xfId="372" xr:uid="{00000000-0005-0000-0000-0000AA010000}"/>
    <cellStyle name="20% - Акцент2 44 2" xfId="373" xr:uid="{00000000-0005-0000-0000-0000AB010000}"/>
    <cellStyle name="20% - Акцент2 44_Свод гостин" xfId="2647" xr:uid="{00000000-0005-0000-0000-0000AC010000}"/>
    <cellStyle name="20% - Акцент2 45" xfId="374" xr:uid="{00000000-0005-0000-0000-0000AD010000}"/>
    <cellStyle name="20% - Акцент2 45 2" xfId="375" xr:uid="{00000000-0005-0000-0000-0000AE010000}"/>
    <cellStyle name="20% - Акцент2 45_Свод гостин" xfId="2648" xr:uid="{00000000-0005-0000-0000-0000AF010000}"/>
    <cellStyle name="20% - Акцент2 46" xfId="376" xr:uid="{00000000-0005-0000-0000-0000B0010000}"/>
    <cellStyle name="20% - Акцент2 46 2" xfId="377" xr:uid="{00000000-0005-0000-0000-0000B1010000}"/>
    <cellStyle name="20% - Акцент2 46_Свод гостин" xfId="2649" xr:uid="{00000000-0005-0000-0000-0000B2010000}"/>
    <cellStyle name="20% - Акцент2 47" xfId="378" xr:uid="{00000000-0005-0000-0000-0000B3010000}"/>
    <cellStyle name="20% - Акцент2 47 2" xfId="379" xr:uid="{00000000-0005-0000-0000-0000B4010000}"/>
    <cellStyle name="20% - Акцент2 47_Свод гостин" xfId="2650" xr:uid="{00000000-0005-0000-0000-0000B5010000}"/>
    <cellStyle name="20% - Акцент2 48" xfId="380" xr:uid="{00000000-0005-0000-0000-0000B6010000}"/>
    <cellStyle name="20% - Акцент2 48 2" xfId="381" xr:uid="{00000000-0005-0000-0000-0000B7010000}"/>
    <cellStyle name="20% - Акцент2 48_Свод гостин" xfId="2651" xr:uid="{00000000-0005-0000-0000-0000B8010000}"/>
    <cellStyle name="20% - Акцент2 49" xfId="382" xr:uid="{00000000-0005-0000-0000-0000B9010000}"/>
    <cellStyle name="20% - Акцент2 49 2" xfId="383" xr:uid="{00000000-0005-0000-0000-0000BA010000}"/>
    <cellStyle name="20% - Акцент2 49_Свод гостин" xfId="2652" xr:uid="{00000000-0005-0000-0000-0000BB010000}"/>
    <cellStyle name="20% - Акцент2 5" xfId="384" xr:uid="{00000000-0005-0000-0000-0000BC010000}"/>
    <cellStyle name="20% - Акцент2 5 2" xfId="385" xr:uid="{00000000-0005-0000-0000-0000BD010000}"/>
    <cellStyle name="20% - Акцент2 5_Свод гостин" xfId="2653" xr:uid="{00000000-0005-0000-0000-0000BE010000}"/>
    <cellStyle name="20% - Акцент2 50" xfId="386" xr:uid="{00000000-0005-0000-0000-0000BF010000}"/>
    <cellStyle name="20% - Акцент2 50 2" xfId="387" xr:uid="{00000000-0005-0000-0000-0000C0010000}"/>
    <cellStyle name="20% - Акцент2 50_Свод гостин" xfId="2654" xr:uid="{00000000-0005-0000-0000-0000C1010000}"/>
    <cellStyle name="20% - Акцент2 51" xfId="388" xr:uid="{00000000-0005-0000-0000-0000C2010000}"/>
    <cellStyle name="20% - Акцент2 51 2" xfId="389" xr:uid="{00000000-0005-0000-0000-0000C3010000}"/>
    <cellStyle name="20% - Акцент2 51_Свод гостин" xfId="2655" xr:uid="{00000000-0005-0000-0000-0000C4010000}"/>
    <cellStyle name="20% - Акцент2 52" xfId="390" xr:uid="{00000000-0005-0000-0000-0000C5010000}"/>
    <cellStyle name="20% - Акцент2 52 2" xfId="391" xr:uid="{00000000-0005-0000-0000-0000C6010000}"/>
    <cellStyle name="20% - Акцент2 52_Свод гостин" xfId="2656" xr:uid="{00000000-0005-0000-0000-0000C7010000}"/>
    <cellStyle name="20% - Акцент2 53" xfId="392" xr:uid="{00000000-0005-0000-0000-0000C8010000}"/>
    <cellStyle name="20% - Акцент2 53 2" xfId="393" xr:uid="{00000000-0005-0000-0000-0000C9010000}"/>
    <cellStyle name="20% - Акцент2 53_Свод гостин" xfId="2657" xr:uid="{00000000-0005-0000-0000-0000CA010000}"/>
    <cellStyle name="20% - Акцент2 54" xfId="394" xr:uid="{00000000-0005-0000-0000-0000CB010000}"/>
    <cellStyle name="20% - Акцент2 54 2" xfId="395" xr:uid="{00000000-0005-0000-0000-0000CC010000}"/>
    <cellStyle name="20% - Акцент2 54_Свод гостин" xfId="2658" xr:uid="{00000000-0005-0000-0000-0000CD010000}"/>
    <cellStyle name="20% - Акцент2 55" xfId="396" xr:uid="{00000000-0005-0000-0000-0000CE010000}"/>
    <cellStyle name="20% - Акцент2 55 2" xfId="397" xr:uid="{00000000-0005-0000-0000-0000CF010000}"/>
    <cellStyle name="20% - Акцент2 55_Свод гостин" xfId="2659" xr:uid="{00000000-0005-0000-0000-0000D0010000}"/>
    <cellStyle name="20% - Акцент2 56" xfId="398" xr:uid="{00000000-0005-0000-0000-0000D1010000}"/>
    <cellStyle name="20% - Акцент2 56 2" xfId="399" xr:uid="{00000000-0005-0000-0000-0000D2010000}"/>
    <cellStyle name="20% - Акцент2 56_Свод гостин" xfId="2660" xr:uid="{00000000-0005-0000-0000-0000D3010000}"/>
    <cellStyle name="20% - Акцент2 57" xfId="400" xr:uid="{00000000-0005-0000-0000-0000D4010000}"/>
    <cellStyle name="20% - Акцент2 57 2" xfId="401" xr:uid="{00000000-0005-0000-0000-0000D5010000}"/>
    <cellStyle name="20% - Акцент2 57_Свод гостин" xfId="2661" xr:uid="{00000000-0005-0000-0000-0000D6010000}"/>
    <cellStyle name="20% - Акцент2 58" xfId="402" xr:uid="{00000000-0005-0000-0000-0000D7010000}"/>
    <cellStyle name="20% - Акцент2 58 2" xfId="403" xr:uid="{00000000-0005-0000-0000-0000D8010000}"/>
    <cellStyle name="20% - Акцент2 58_Свод гостин" xfId="2662" xr:uid="{00000000-0005-0000-0000-0000D9010000}"/>
    <cellStyle name="20% - Акцент2 59" xfId="404" xr:uid="{00000000-0005-0000-0000-0000DA010000}"/>
    <cellStyle name="20% - Акцент2 59 2" xfId="405" xr:uid="{00000000-0005-0000-0000-0000DB010000}"/>
    <cellStyle name="20% - Акцент2 59_Свод гостин" xfId="2663" xr:uid="{00000000-0005-0000-0000-0000DC010000}"/>
    <cellStyle name="20% - Акцент2 6" xfId="406" xr:uid="{00000000-0005-0000-0000-0000DD010000}"/>
    <cellStyle name="20% - Акцент2 6 2" xfId="407" xr:uid="{00000000-0005-0000-0000-0000DE010000}"/>
    <cellStyle name="20% - Акцент2 6_Свод гостин" xfId="2664" xr:uid="{00000000-0005-0000-0000-0000DF010000}"/>
    <cellStyle name="20% - Акцент2 60" xfId="408" xr:uid="{00000000-0005-0000-0000-0000E0010000}"/>
    <cellStyle name="20% - Акцент2 60 2" xfId="409" xr:uid="{00000000-0005-0000-0000-0000E1010000}"/>
    <cellStyle name="20% - Акцент2 60_Свод гостин" xfId="2665" xr:uid="{00000000-0005-0000-0000-0000E2010000}"/>
    <cellStyle name="20% - Акцент2 61" xfId="410" xr:uid="{00000000-0005-0000-0000-0000E3010000}"/>
    <cellStyle name="20% - Акцент2 61 2" xfId="411" xr:uid="{00000000-0005-0000-0000-0000E4010000}"/>
    <cellStyle name="20% - Акцент2 61_Свод гостин" xfId="2666" xr:uid="{00000000-0005-0000-0000-0000E5010000}"/>
    <cellStyle name="20% - Акцент2 62" xfId="412" xr:uid="{00000000-0005-0000-0000-0000E6010000}"/>
    <cellStyle name="20% - Акцент2 62 2" xfId="413" xr:uid="{00000000-0005-0000-0000-0000E7010000}"/>
    <cellStyle name="20% - Акцент2 62_Свод гостин" xfId="2667" xr:uid="{00000000-0005-0000-0000-0000E8010000}"/>
    <cellStyle name="20% - Акцент2 63" xfId="414" xr:uid="{00000000-0005-0000-0000-0000E9010000}"/>
    <cellStyle name="20% - Акцент2 63 2" xfId="415" xr:uid="{00000000-0005-0000-0000-0000EA010000}"/>
    <cellStyle name="20% - Акцент2 63_Свод гостин" xfId="2668" xr:uid="{00000000-0005-0000-0000-0000EB010000}"/>
    <cellStyle name="20% - Акцент2 64" xfId="416" xr:uid="{00000000-0005-0000-0000-0000EC010000}"/>
    <cellStyle name="20% - Акцент2 64 2" xfId="417" xr:uid="{00000000-0005-0000-0000-0000ED010000}"/>
    <cellStyle name="20% - Акцент2 64_Свод гостин" xfId="2669" xr:uid="{00000000-0005-0000-0000-0000EE010000}"/>
    <cellStyle name="20% - Акцент2 65" xfId="418" xr:uid="{00000000-0005-0000-0000-0000EF010000}"/>
    <cellStyle name="20% - Акцент2 65 2" xfId="419" xr:uid="{00000000-0005-0000-0000-0000F0010000}"/>
    <cellStyle name="20% - Акцент2 65_Свод гостин" xfId="2670" xr:uid="{00000000-0005-0000-0000-0000F1010000}"/>
    <cellStyle name="20% - Акцент2 66" xfId="420" xr:uid="{00000000-0005-0000-0000-0000F2010000}"/>
    <cellStyle name="20% - Акцент2 66 2" xfId="421" xr:uid="{00000000-0005-0000-0000-0000F3010000}"/>
    <cellStyle name="20% - Акцент2 66_Свод гостин" xfId="2671" xr:uid="{00000000-0005-0000-0000-0000F4010000}"/>
    <cellStyle name="20% - Акцент2 67" xfId="422" xr:uid="{00000000-0005-0000-0000-0000F5010000}"/>
    <cellStyle name="20% - Акцент2 67 2" xfId="423" xr:uid="{00000000-0005-0000-0000-0000F6010000}"/>
    <cellStyle name="20% - Акцент2 67_Свод гостин" xfId="2672" xr:uid="{00000000-0005-0000-0000-0000F7010000}"/>
    <cellStyle name="20% - Акцент2 68" xfId="424" xr:uid="{00000000-0005-0000-0000-0000F8010000}"/>
    <cellStyle name="20% - Акцент2 68 2" xfId="425" xr:uid="{00000000-0005-0000-0000-0000F9010000}"/>
    <cellStyle name="20% - Акцент2 68_Свод гостин" xfId="2673" xr:uid="{00000000-0005-0000-0000-0000FA010000}"/>
    <cellStyle name="20% - Акцент2 69" xfId="426" xr:uid="{00000000-0005-0000-0000-0000FB010000}"/>
    <cellStyle name="20% - Акцент2 69 2" xfId="427" xr:uid="{00000000-0005-0000-0000-0000FC010000}"/>
    <cellStyle name="20% - Акцент2 69_Свод гостин" xfId="2674" xr:uid="{00000000-0005-0000-0000-0000FD010000}"/>
    <cellStyle name="20% - Акцент2 7" xfId="428" xr:uid="{00000000-0005-0000-0000-0000FE010000}"/>
    <cellStyle name="20% - Акцент2 7 2" xfId="429" xr:uid="{00000000-0005-0000-0000-0000FF010000}"/>
    <cellStyle name="20% - Акцент2 7_Свод гостин" xfId="2675" xr:uid="{00000000-0005-0000-0000-000000020000}"/>
    <cellStyle name="20% - Акцент2 70" xfId="430" xr:uid="{00000000-0005-0000-0000-000001020000}"/>
    <cellStyle name="20% - Акцент2 70 2" xfId="431" xr:uid="{00000000-0005-0000-0000-000002020000}"/>
    <cellStyle name="20% - Акцент2 70_Свод гостин" xfId="2676" xr:uid="{00000000-0005-0000-0000-000003020000}"/>
    <cellStyle name="20% - Акцент2 71" xfId="432" xr:uid="{00000000-0005-0000-0000-000004020000}"/>
    <cellStyle name="20% - Акцент2 71 2" xfId="433" xr:uid="{00000000-0005-0000-0000-000005020000}"/>
    <cellStyle name="20% - Акцент2 71_Свод гостин" xfId="2677" xr:uid="{00000000-0005-0000-0000-000006020000}"/>
    <cellStyle name="20% - Акцент2 72" xfId="434" xr:uid="{00000000-0005-0000-0000-000007020000}"/>
    <cellStyle name="20% - Акцент2 72 2" xfId="435" xr:uid="{00000000-0005-0000-0000-000008020000}"/>
    <cellStyle name="20% - Акцент2 72_Свод гостин" xfId="2678" xr:uid="{00000000-0005-0000-0000-000009020000}"/>
    <cellStyle name="20% - Акцент2 73" xfId="436" xr:uid="{00000000-0005-0000-0000-00000A020000}"/>
    <cellStyle name="20% - Акцент2 73 2" xfId="437" xr:uid="{00000000-0005-0000-0000-00000B020000}"/>
    <cellStyle name="20% - Акцент2 73_Свод гостин" xfId="2679" xr:uid="{00000000-0005-0000-0000-00000C020000}"/>
    <cellStyle name="20% - Акцент2 74" xfId="438" xr:uid="{00000000-0005-0000-0000-00000D020000}"/>
    <cellStyle name="20% - Акцент2 74 2" xfId="439" xr:uid="{00000000-0005-0000-0000-00000E020000}"/>
    <cellStyle name="20% - Акцент2 74_Свод гостин" xfId="2680" xr:uid="{00000000-0005-0000-0000-00000F020000}"/>
    <cellStyle name="20% - Акцент2 75" xfId="440" xr:uid="{00000000-0005-0000-0000-000010020000}"/>
    <cellStyle name="20% - Акцент2 75 2" xfId="441" xr:uid="{00000000-0005-0000-0000-000011020000}"/>
    <cellStyle name="20% - Акцент2 75_Свод гостин" xfId="2681" xr:uid="{00000000-0005-0000-0000-000012020000}"/>
    <cellStyle name="20% - Акцент2 76" xfId="442" xr:uid="{00000000-0005-0000-0000-000013020000}"/>
    <cellStyle name="20% - Акцент2 76 2" xfId="443" xr:uid="{00000000-0005-0000-0000-000014020000}"/>
    <cellStyle name="20% - Акцент2 76_Свод гостин" xfId="2682" xr:uid="{00000000-0005-0000-0000-000015020000}"/>
    <cellStyle name="20% - Акцент2 77" xfId="444" xr:uid="{00000000-0005-0000-0000-000016020000}"/>
    <cellStyle name="20% - Акцент2 77 2" xfId="445" xr:uid="{00000000-0005-0000-0000-000017020000}"/>
    <cellStyle name="20% - Акцент2 77_Свод гостин" xfId="2683" xr:uid="{00000000-0005-0000-0000-000018020000}"/>
    <cellStyle name="20% - Акцент2 78" xfId="446" xr:uid="{00000000-0005-0000-0000-000019020000}"/>
    <cellStyle name="20% - Акцент2 78 2" xfId="447" xr:uid="{00000000-0005-0000-0000-00001A020000}"/>
    <cellStyle name="20% - Акцент2 78_Свод гостин" xfId="2684" xr:uid="{00000000-0005-0000-0000-00001B020000}"/>
    <cellStyle name="20% - Акцент2 79" xfId="448" xr:uid="{00000000-0005-0000-0000-00001C020000}"/>
    <cellStyle name="20% - Акцент2 79 2" xfId="449" xr:uid="{00000000-0005-0000-0000-00001D020000}"/>
    <cellStyle name="20% - Акцент2 79_Свод гостин" xfId="2685" xr:uid="{00000000-0005-0000-0000-00001E020000}"/>
    <cellStyle name="20% - Акцент2 8" xfId="450" xr:uid="{00000000-0005-0000-0000-00001F020000}"/>
    <cellStyle name="20% - Акцент2 8 2" xfId="451" xr:uid="{00000000-0005-0000-0000-000020020000}"/>
    <cellStyle name="20% - Акцент2 8_Свод гостин" xfId="2686" xr:uid="{00000000-0005-0000-0000-000021020000}"/>
    <cellStyle name="20% - Акцент2 80" xfId="452" xr:uid="{00000000-0005-0000-0000-000022020000}"/>
    <cellStyle name="20% - Акцент2 80 2" xfId="453" xr:uid="{00000000-0005-0000-0000-000023020000}"/>
    <cellStyle name="20% - Акцент2 80_Свод гостин" xfId="2687" xr:uid="{00000000-0005-0000-0000-000024020000}"/>
    <cellStyle name="20% - Акцент2 81" xfId="454" xr:uid="{00000000-0005-0000-0000-000025020000}"/>
    <cellStyle name="20% - Акцент2 81 2" xfId="455" xr:uid="{00000000-0005-0000-0000-000026020000}"/>
    <cellStyle name="20% - Акцент2 81_Свод гостин" xfId="2688" xr:uid="{00000000-0005-0000-0000-000027020000}"/>
    <cellStyle name="20% - Акцент2 82" xfId="456" xr:uid="{00000000-0005-0000-0000-000028020000}"/>
    <cellStyle name="20% - Акцент2 82 2" xfId="457" xr:uid="{00000000-0005-0000-0000-000029020000}"/>
    <cellStyle name="20% - Акцент2 82_Свод гостин" xfId="2689" xr:uid="{00000000-0005-0000-0000-00002A020000}"/>
    <cellStyle name="20% - Акцент2 83" xfId="458" xr:uid="{00000000-0005-0000-0000-00002B020000}"/>
    <cellStyle name="20% - Акцент2 83 2" xfId="459" xr:uid="{00000000-0005-0000-0000-00002C020000}"/>
    <cellStyle name="20% - Акцент2 83_Свод гостин" xfId="2690" xr:uid="{00000000-0005-0000-0000-00002D020000}"/>
    <cellStyle name="20% - Акцент2 9" xfId="460" xr:uid="{00000000-0005-0000-0000-00002E020000}"/>
    <cellStyle name="20% - Акцент2 9 2" xfId="461" xr:uid="{00000000-0005-0000-0000-00002F020000}"/>
    <cellStyle name="20% - Акцент2 9_Свод гостин" xfId="2691" xr:uid="{00000000-0005-0000-0000-000030020000}"/>
    <cellStyle name="20% - Акцент3 10" xfId="462" xr:uid="{00000000-0005-0000-0000-000031020000}"/>
    <cellStyle name="20% - Акцент3 10 2" xfId="463" xr:uid="{00000000-0005-0000-0000-000032020000}"/>
    <cellStyle name="20% - Акцент3 10_Свод гостин" xfId="2692" xr:uid="{00000000-0005-0000-0000-000033020000}"/>
    <cellStyle name="20% - Акцент3 11" xfId="464" xr:uid="{00000000-0005-0000-0000-000034020000}"/>
    <cellStyle name="20% - Акцент3 11 2" xfId="465" xr:uid="{00000000-0005-0000-0000-000035020000}"/>
    <cellStyle name="20% - Акцент3 11_Свод гостин" xfId="2693" xr:uid="{00000000-0005-0000-0000-000036020000}"/>
    <cellStyle name="20% - Акцент3 12" xfId="466" xr:uid="{00000000-0005-0000-0000-000037020000}"/>
    <cellStyle name="20% - Акцент3 12 2" xfId="467" xr:uid="{00000000-0005-0000-0000-000038020000}"/>
    <cellStyle name="20% - Акцент3 12_Свод гостин" xfId="2694" xr:uid="{00000000-0005-0000-0000-000039020000}"/>
    <cellStyle name="20% - Акцент3 13" xfId="468" xr:uid="{00000000-0005-0000-0000-00003A020000}"/>
    <cellStyle name="20% - Акцент3 13 2" xfId="469" xr:uid="{00000000-0005-0000-0000-00003B020000}"/>
    <cellStyle name="20% - Акцент3 13_Свод гостин" xfId="2695" xr:uid="{00000000-0005-0000-0000-00003C020000}"/>
    <cellStyle name="20% - Акцент3 14" xfId="470" xr:uid="{00000000-0005-0000-0000-00003D020000}"/>
    <cellStyle name="20% - Акцент3 14 2" xfId="471" xr:uid="{00000000-0005-0000-0000-00003E020000}"/>
    <cellStyle name="20% - Акцент3 14_Свод гостин" xfId="2696" xr:uid="{00000000-0005-0000-0000-00003F020000}"/>
    <cellStyle name="20% - Акцент3 15" xfId="472" xr:uid="{00000000-0005-0000-0000-000040020000}"/>
    <cellStyle name="20% - Акцент3 15 2" xfId="473" xr:uid="{00000000-0005-0000-0000-000041020000}"/>
    <cellStyle name="20% - Акцент3 15_Свод гостин" xfId="2697" xr:uid="{00000000-0005-0000-0000-000042020000}"/>
    <cellStyle name="20% - Акцент3 16" xfId="474" xr:uid="{00000000-0005-0000-0000-000043020000}"/>
    <cellStyle name="20% - Акцент3 16 2" xfId="475" xr:uid="{00000000-0005-0000-0000-000044020000}"/>
    <cellStyle name="20% - Акцент3 16_Свод гостин" xfId="2698" xr:uid="{00000000-0005-0000-0000-000045020000}"/>
    <cellStyle name="20% - Акцент3 17" xfId="476" xr:uid="{00000000-0005-0000-0000-000046020000}"/>
    <cellStyle name="20% - Акцент3 17 2" xfId="477" xr:uid="{00000000-0005-0000-0000-000047020000}"/>
    <cellStyle name="20% - Акцент3 17_Свод гостин" xfId="2699" xr:uid="{00000000-0005-0000-0000-000048020000}"/>
    <cellStyle name="20% - Акцент3 18" xfId="478" xr:uid="{00000000-0005-0000-0000-000049020000}"/>
    <cellStyle name="20% - Акцент3 18 2" xfId="479" xr:uid="{00000000-0005-0000-0000-00004A020000}"/>
    <cellStyle name="20% - Акцент3 18_Свод гостин" xfId="2700" xr:uid="{00000000-0005-0000-0000-00004B020000}"/>
    <cellStyle name="20% - Акцент3 19" xfId="480" xr:uid="{00000000-0005-0000-0000-00004C020000}"/>
    <cellStyle name="20% - Акцент3 19 2" xfId="481" xr:uid="{00000000-0005-0000-0000-00004D020000}"/>
    <cellStyle name="20% - Акцент3 19_Свод гостин" xfId="2701" xr:uid="{00000000-0005-0000-0000-00004E020000}"/>
    <cellStyle name="20% - Акцент3 2" xfId="482" xr:uid="{00000000-0005-0000-0000-00004F020000}"/>
    <cellStyle name="20% - Акцент3 2 2" xfId="483" xr:uid="{00000000-0005-0000-0000-000050020000}"/>
    <cellStyle name="20% - Акцент3 2_Свод гостин" xfId="2702" xr:uid="{00000000-0005-0000-0000-000051020000}"/>
    <cellStyle name="20% - Акцент3 20" xfId="484" xr:uid="{00000000-0005-0000-0000-000052020000}"/>
    <cellStyle name="20% - Акцент3 20 2" xfId="485" xr:uid="{00000000-0005-0000-0000-000053020000}"/>
    <cellStyle name="20% - Акцент3 20_Свод гостин" xfId="2703" xr:uid="{00000000-0005-0000-0000-000054020000}"/>
    <cellStyle name="20% - Акцент3 21" xfId="486" xr:uid="{00000000-0005-0000-0000-000055020000}"/>
    <cellStyle name="20% - Акцент3 21 2" xfId="487" xr:uid="{00000000-0005-0000-0000-000056020000}"/>
    <cellStyle name="20% - Акцент3 21_Свод гостин" xfId="2704" xr:uid="{00000000-0005-0000-0000-000057020000}"/>
    <cellStyle name="20% - Акцент3 22" xfId="488" xr:uid="{00000000-0005-0000-0000-000058020000}"/>
    <cellStyle name="20% - Акцент3 22 2" xfId="489" xr:uid="{00000000-0005-0000-0000-000059020000}"/>
    <cellStyle name="20% - Акцент3 22_Свод гостин" xfId="2705" xr:uid="{00000000-0005-0000-0000-00005A020000}"/>
    <cellStyle name="20% - Акцент3 23" xfId="490" xr:uid="{00000000-0005-0000-0000-00005B020000}"/>
    <cellStyle name="20% - Акцент3 23 2" xfId="491" xr:uid="{00000000-0005-0000-0000-00005C020000}"/>
    <cellStyle name="20% - Акцент3 23_Свод гостин" xfId="2706" xr:uid="{00000000-0005-0000-0000-00005D020000}"/>
    <cellStyle name="20% - Акцент3 24" xfId="492" xr:uid="{00000000-0005-0000-0000-00005E020000}"/>
    <cellStyle name="20% - Акцент3 24 2" xfId="493" xr:uid="{00000000-0005-0000-0000-00005F020000}"/>
    <cellStyle name="20% - Акцент3 24_Свод гостин" xfId="2707" xr:uid="{00000000-0005-0000-0000-000060020000}"/>
    <cellStyle name="20% - Акцент3 25" xfId="494" xr:uid="{00000000-0005-0000-0000-000061020000}"/>
    <cellStyle name="20% - Акцент3 25 2" xfId="495" xr:uid="{00000000-0005-0000-0000-000062020000}"/>
    <cellStyle name="20% - Акцент3 25_Свод гостин" xfId="2708" xr:uid="{00000000-0005-0000-0000-000063020000}"/>
    <cellStyle name="20% - Акцент3 26" xfId="496" xr:uid="{00000000-0005-0000-0000-000064020000}"/>
    <cellStyle name="20% - Акцент3 26 2" xfId="497" xr:uid="{00000000-0005-0000-0000-000065020000}"/>
    <cellStyle name="20% - Акцент3 26_Свод гостин" xfId="2709" xr:uid="{00000000-0005-0000-0000-000066020000}"/>
    <cellStyle name="20% - Акцент3 27" xfId="498" xr:uid="{00000000-0005-0000-0000-000067020000}"/>
    <cellStyle name="20% - Акцент3 27 2" xfId="499" xr:uid="{00000000-0005-0000-0000-000068020000}"/>
    <cellStyle name="20% - Акцент3 27_Свод гостин" xfId="2710" xr:uid="{00000000-0005-0000-0000-000069020000}"/>
    <cellStyle name="20% - Акцент3 28" xfId="500" xr:uid="{00000000-0005-0000-0000-00006A020000}"/>
    <cellStyle name="20% - Акцент3 28 2" xfId="501" xr:uid="{00000000-0005-0000-0000-00006B020000}"/>
    <cellStyle name="20% - Акцент3 28_Свод гостин" xfId="2711" xr:uid="{00000000-0005-0000-0000-00006C020000}"/>
    <cellStyle name="20% - Акцент3 29" xfId="502" xr:uid="{00000000-0005-0000-0000-00006D020000}"/>
    <cellStyle name="20% - Акцент3 29 2" xfId="503" xr:uid="{00000000-0005-0000-0000-00006E020000}"/>
    <cellStyle name="20% - Акцент3 29_Свод гостин" xfId="2712" xr:uid="{00000000-0005-0000-0000-00006F020000}"/>
    <cellStyle name="20% - Акцент3 3" xfId="504" xr:uid="{00000000-0005-0000-0000-000070020000}"/>
    <cellStyle name="20% - Акцент3 3 2" xfId="505" xr:uid="{00000000-0005-0000-0000-000071020000}"/>
    <cellStyle name="20% - Акцент3 3_Свод гостин" xfId="2713" xr:uid="{00000000-0005-0000-0000-000072020000}"/>
    <cellStyle name="20% - Акцент3 30" xfId="506" xr:uid="{00000000-0005-0000-0000-000073020000}"/>
    <cellStyle name="20% - Акцент3 30 2" xfId="507" xr:uid="{00000000-0005-0000-0000-000074020000}"/>
    <cellStyle name="20% - Акцент3 30_Свод гостин" xfId="2714" xr:uid="{00000000-0005-0000-0000-000075020000}"/>
    <cellStyle name="20% - Акцент3 31" xfId="508" xr:uid="{00000000-0005-0000-0000-000076020000}"/>
    <cellStyle name="20% - Акцент3 31 2" xfId="509" xr:uid="{00000000-0005-0000-0000-000077020000}"/>
    <cellStyle name="20% - Акцент3 31_Свод гостин" xfId="2715" xr:uid="{00000000-0005-0000-0000-000078020000}"/>
    <cellStyle name="20% - Акцент3 32" xfId="510" xr:uid="{00000000-0005-0000-0000-000079020000}"/>
    <cellStyle name="20% - Акцент3 32 2" xfId="511" xr:uid="{00000000-0005-0000-0000-00007A020000}"/>
    <cellStyle name="20% - Акцент3 32_Свод гостин" xfId="2716" xr:uid="{00000000-0005-0000-0000-00007B020000}"/>
    <cellStyle name="20% - Акцент3 33" xfId="512" xr:uid="{00000000-0005-0000-0000-00007C020000}"/>
    <cellStyle name="20% - Акцент3 33 2" xfId="513" xr:uid="{00000000-0005-0000-0000-00007D020000}"/>
    <cellStyle name="20% - Акцент3 33_Свод гостин" xfId="2717" xr:uid="{00000000-0005-0000-0000-00007E020000}"/>
    <cellStyle name="20% - Акцент3 34" xfId="514" xr:uid="{00000000-0005-0000-0000-00007F020000}"/>
    <cellStyle name="20% - Акцент3 34 2" xfId="515" xr:uid="{00000000-0005-0000-0000-000080020000}"/>
    <cellStyle name="20% - Акцент3 34_Свод гостин" xfId="2718" xr:uid="{00000000-0005-0000-0000-000081020000}"/>
    <cellStyle name="20% - Акцент3 35" xfId="516" xr:uid="{00000000-0005-0000-0000-000082020000}"/>
    <cellStyle name="20% - Акцент3 35 2" xfId="517" xr:uid="{00000000-0005-0000-0000-000083020000}"/>
    <cellStyle name="20% - Акцент3 35_Свод гостин" xfId="2719" xr:uid="{00000000-0005-0000-0000-000084020000}"/>
    <cellStyle name="20% - Акцент3 36" xfId="518" xr:uid="{00000000-0005-0000-0000-000085020000}"/>
    <cellStyle name="20% - Акцент3 36 2" xfId="519" xr:uid="{00000000-0005-0000-0000-000086020000}"/>
    <cellStyle name="20% - Акцент3 36_Свод гостин" xfId="2720" xr:uid="{00000000-0005-0000-0000-000087020000}"/>
    <cellStyle name="20% - Акцент3 37" xfId="520" xr:uid="{00000000-0005-0000-0000-000088020000}"/>
    <cellStyle name="20% - Акцент3 37 2" xfId="521" xr:uid="{00000000-0005-0000-0000-000089020000}"/>
    <cellStyle name="20% - Акцент3 37_Свод гостин" xfId="2721" xr:uid="{00000000-0005-0000-0000-00008A020000}"/>
    <cellStyle name="20% - Акцент3 38" xfId="522" xr:uid="{00000000-0005-0000-0000-00008B020000}"/>
    <cellStyle name="20% - Акцент3 38 2" xfId="523" xr:uid="{00000000-0005-0000-0000-00008C020000}"/>
    <cellStyle name="20% - Акцент3 38_Свод гостин" xfId="2722" xr:uid="{00000000-0005-0000-0000-00008D020000}"/>
    <cellStyle name="20% - Акцент3 39" xfId="524" xr:uid="{00000000-0005-0000-0000-00008E020000}"/>
    <cellStyle name="20% - Акцент3 39 2" xfId="525" xr:uid="{00000000-0005-0000-0000-00008F020000}"/>
    <cellStyle name="20% - Акцент3 39_Свод гостин" xfId="2723" xr:uid="{00000000-0005-0000-0000-000090020000}"/>
    <cellStyle name="20% - Акцент3 4" xfId="526" xr:uid="{00000000-0005-0000-0000-000091020000}"/>
    <cellStyle name="20% - Акцент3 4 2" xfId="527" xr:uid="{00000000-0005-0000-0000-000092020000}"/>
    <cellStyle name="20% - Акцент3 4_Свод гостин" xfId="2724" xr:uid="{00000000-0005-0000-0000-000093020000}"/>
    <cellStyle name="20% - Акцент3 40" xfId="528" xr:uid="{00000000-0005-0000-0000-000094020000}"/>
    <cellStyle name="20% - Акцент3 40 2" xfId="529" xr:uid="{00000000-0005-0000-0000-000095020000}"/>
    <cellStyle name="20% - Акцент3 40_Свод гостин" xfId="2725" xr:uid="{00000000-0005-0000-0000-000096020000}"/>
    <cellStyle name="20% - Акцент3 41" xfId="530" xr:uid="{00000000-0005-0000-0000-000097020000}"/>
    <cellStyle name="20% - Акцент3 41 2" xfId="531" xr:uid="{00000000-0005-0000-0000-000098020000}"/>
    <cellStyle name="20% - Акцент3 41_Свод гостин" xfId="2726" xr:uid="{00000000-0005-0000-0000-000099020000}"/>
    <cellStyle name="20% - Акцент3 42" xfId="532" xr:uid="{00000000-0005-0000-0000-00009A020000}"/>
    <cellStyle name="20% - Акцент3 42 2" xfId="533" xr:uid="{00000000-0005-0000-0000-00009B020000}"/>
    <cellStyle name="20% - Акцент3 42_Свод гостин" xfId="2727" xr:uid="{00000000-0005-0000-0000-00009C020000}"/>
    <cellStyle name="20% - Акцент3 43" xfId="534" xr:uid="{00000000-0005-0000-0000-00009D020000}"/>
    <cellStyle name="20% - Акцент3 43 2" xfId="535" xr:uid="{00000000-0005-0000-0000-00009E020000}"/>
    <cellStyle name="20% - Акцент3 43_Свод гостин" xfId="2728" xr:uid="{00000000-0005-0000-0000-00009F020000}"/>
    <cellStyle name="20% - Акцент3 44" xfId="536" xr:uid="{00000000-0005-0000-0000-0000A0020000}"/>
    <cellStyle name="20% - Акцент3 44 2" xfId="537" xr:uid="{00000000-0005-0000-0000-0000A1020000}"/>
    <cellStyle name="20% - Акцент3 44_Свод гостин" xfId="2729" xr:uid="{00000000-0005-0000-0000-0000A2020000}"/>
    <cellStyle name="20% - Акцент3 45" xfId="538" xr:uid="{00000000-0005-0000-0000-0000A3020000}"/>
    <cellStyle name="20% - Акцент3 45 2" xfId="539" xr:uid="{00000000-0005-0000-0000-0000A4020000}"/>
    <cellStyle name="20% - Акцент3 45_Свод гостин" xfId="2730" xr:uid="{00000000-0005-0000-0000-0000A5020000}"/>
    <cellStyle name="20% - Акцент3 46" xfId="540" xr:uid="{00000000-0005-0000-0000-0000A6020000}"/>
    <cellStyle name="20% - Акцент3 46 2" xfId="541" xr:uid="{00000000-0005-0000-0000-0000A7020000}"/>
    <cellStyle name="20% - Акцент3 46_Свод гостин" xfId="2731" xr:uid="{00000000-0005-0000-0000-0000A8020000}"/>
    <cellStyle name="20% - Акцент3 47" xfId="542" xr:uid="{00000000-0005-0000-0000-0000A9020000}"/>
    <cellStyle name="20% - Акцент3 47 2" xfId="543" xr:uid="{00000000-0005-0000-0000-0000AA020000}"/>
    <cellStyle name="20% - Акцент3 47_Свод гостин" xfId="2732" xr:uid="{00000000-0005-0000-0000-0000AB020000}"/>
    <cellStyle name="20% - Акцент3 48" xfId="544" xr:uid="{00000000-0005-0000-0000-0000AC020000}"/>
    <cellStyle name="20% - Акцент3 48 2" xfId="545" xr:uid="{00000000-0005-0000-0000-0000AD020000}"/>
    <cellStyle name="20% - Акцент3 48_Свод гостин" xfId="2733" xr:uid="{00000000-0005-0000-0000-0000AE020000}"/>
    <cellStyle name="20% - Акцент3 49" xfId="546" xr:uid="{00000000-0005-0000-0000-0000AF020000}"/>
    <cellStyle name="20% - Акцент3 49 2" xfId="547" xr:uid="{00000000-0005-0000-0000-0000B0020000}"/>
    <cellStyle name="20% - Акцент3 49_Свод гостин" xfId="2734" xr:uid="{00000000-0005-0000-0000-0000B1020000}"/>
    <cellStyle name="20% - Акцент3 5" xfId="548" xr:uid="{00000000-0005-0000-0000-0000B2020000}"/>
    <cellStyle name="20% - Акцент3 5 2" xfId="549" xr:uid="{00000000-0005-0000-0000-0000B3020000}"/>
    <cellStyle name="20% - Акцент3 5_Свод гостин" xfId="2735" xr:uid="{00000000-0005-0000-0000-0000B4020000}"/>
    <cellStyle name="20% - Акцент3 50" xfId="550" xr:uid="{00000000-0005-0000-0000-0000B5020000}"/>
    <cellStyle name="20% - Акцент3 50 2" xfId="551" xr:uid="{00000000-0005-0000-0000-0000B6020000}"/>
    <cellStyle name="20% - Акцент3 50_Свод гостин" xfId="2736" xr:uid="{00000000-0005-0000-0000-0000B7020000}"/>
    <cellStyle name="20% - Акцент3 51" xfId="552" xr:uid="{00000000-0005-0000-0000-0000B8020000}"/>
    <cellStyle name="20% - Акцент3 51 2" xfId="553" xr:uid="{00000000-0005-0000-0000-0000B9020000}"/>
    <cellStyle name="20% - Акцент3 51_Свод гостин" xfId="2737" xr:uid="{00000000-0005-0000-0000-0000BA020000}"/>
    <cellStyle name="20% - Акцент3 52" xfId="554" xr:uid="{00000000-0005-0000-0000-0000BB020000}"/>
    <cellStyle name="20% - Акцент3 52 2" xfId="555" xr:uid="{00000000-0005-0000-0000-0000BC020000}"/>
    <cellStyle name="20% - Акцент3 52_Свод гостин" xfId="2738" xr:uid="{00000000-0005-0000-0000-0000BD020000}"/>
    <cellStyle name="20% - Акцент3 53" xfId="556" xr:uid="{00000000-0005-0000-0000-0000BE020000}"/>
    <cellStyle name="20% - Акцент3 53 2" xfId="557" xr:uid="{00000000-0005-0000-0000-0000BF020000}"/>
    <cellStyle name="20% - Акцент3 53_Свод гостин" xfId="2739" xr:uid="{00000000-0005-0000-0000-0000C0020000}"/>
    <cellStyle name="20% - Акцент3 54" xfId="558" xr:uid="{00000000-0005-0000-0000-0000C1020000}"/>
    <cellStyle name="20% - Акцент3 54 2" xfId="559" xr:uid="{00000000-0005-0000-0000-0000C2020000}"/>
    <cellStyle name="20% - Акцент3 54_Свод гостин" xfId="2740" xr:uid="{00000000-0005-0000-0000-0000C3020000}"/>
    <cellStyle name="20% - Акцент3 55" xfId="560" xr:uid="{00000000-0005-0000-0000-0000C4020000}"/>
    <cellStyle name="20% - Акцент3 55 2" xfId="561" xr:uid="{00000000-0005-0000-0000-0000C5020000}"/>
    <cellStyle name="20% - Акцент3 55_Свод гостин" xfId="2741" xr:uid="{00000000-0005-0000-0000-0000C6020000}"/>
    <cellStyle name="20% - Акцент3 56" xfId="562" xr:uid="{00000000-0005-0000-0000-0000C7020000}"/>
    <cellStyle name="20% - Акцент3 56 2" xfId="563" xr:uid="{00000000-0005-0000-0000-0000C8020000}"/>
    <cellStyle name="20% - Акцент3 56_Свод гостин" xfId="2742" xr:uid="{00000000-0005-0000-0000-0000C9020000}"/>
    <cellStyle name="20% - Акцент3 57" xfId="564" xr:uid="{00000000-0005-0000-0000-0000CA020000}"/>
    <cellStyle name="20% - Акцент3 57 2" xfId="565" xr:uid="{00000000-0005-0000-0000-0000CB020000}"/>
    <cellStyle name="20% - Акцент3 57_Свод гостин" xfId="2743" xr:uid="{00000000-0005-0000-0000-0000CC020000}"/>
    <cellStyle name="20% - Акцент3 58" xfId="566" xr:uid="{00000000-0005-0000-0000-0000CD020000}"/>
    <cellStyle name="20% - Акцент3 58 2" xfId="567" xr:uid="{00000000-0005-0000-0000-0000CE020000}"/>
    <cellStyle name="20% - Акцент3 58_Свод гостин" xfId="2744" xr:uid="{00000000-0005-0000-0000-0000CF020000}"/>
    <cellStyle name="20% - Акцент3 59" xfId="568" xr:uid="{00000000-0005-0000-0000-0000D0020000}"/>
    <cellStyle name="20% - Акцент3 59 2" xfId="569" xr:uid="{00000000-0005-0000-0000-0000D1020000}"/>
    <cellStyle name="20% - Акцент3 59_Свод гостин" xfId="2745" xr:uid="{00000000-0005-0000-0000-0000D2020000}"/>
    <cellStyle name="20% - Акцент3 6" xfId="570" xr:uid="{00000000-0005-0000-0000-0000D3020000}"/>
    <cellStyle name="20% - Акцент3 6 2" xfId="571" xr:uid="{00000000-0005-0000-0000-0000D4020000}"/>
    <cellStyle name="20% - Акцент3 6_Свод гостин" xfId="2746" xr:uid="{00000000-0005-0000-0000-0000D5020000}"/>
    <cellStyle name="20% - Акцент3 60" xfId="572" xr:uid="{00000000-0005-0000-0000-0000D6020000}"/>
    <cellStyle name="20% - Акцент3 60 2" xfId="573" xr:uid="{00000000-0005-0000-0000-0000D7020000}"/>
    <cellStyle name="20% - Акцент3 60_Свод гостин" xfId="2747" xr:uid="{00000000-0005-0000-0000-0000D8020000}"/>
    <cellStyle name="20% - Акцент3 61" xfId="574" xr:uid="{00000000-0005-0000-0000-0000D9020000}"/>
    <cellStyle name="20% - Акцент3 61 2" xfId="575" xr:uid="{00000000-0005-0000-0000-0000DA020000}"/>
    <cellStyle name="20% - Акцент3 61_Свод гостин" xfId="2748" xr:uid="{00000000-0005-0000-0000-0000DB020000}"/>
    <cellStyle name="20% - Акцент3 62" xfId="576" xr:uid="{00000000-0005-0000-0000-0000DC020000}"/>
    <cellStyle name="20% - Акцент3 62 2" xfId="577" xr:uid="{00000000-0005-0000-0000-0000DD020000}"/>
    <cellStyle name="20% - Акцент3 62_Свод гостин" xfId="2749" xr:uid="{00000000-0005-0000-0000-0000DE020000}"/>
    <cellStyle name="20% - Акцент3 63" xfId="578" xr:uid="{00000000-0005-0000-0000-0000DF020000}"/>
    <cellStyle name="20% - Акцент3 63 2" xfId="579" xr:uid="{00000000-0005-0000-0000-0000E0020000}"/>
    <cellStyle name="20% - Акцент3 63_Свод гостин" xfId="2750" xr:uid="{00000000-0005-0000-0000-0000E1020000}"/>
    <cellStyle name="20% - Акцент3 64" xfId="580" xr:uid="{00000000-0005-0000-0000-0000E2020000}"/>
    <cellStyle name="20% - Акцент3 64 2" xfId="581" xr:uid="{00000000-0005-0000-0000-0000E3020000}"/>
    <cellStyle name="20% - Акцент3 64_Свод гостин" xfId="2751" xr:uid="{00000000-0005-0000-0000-0000E4020000}"/>
    <cellStyle name="20% - Акцент3 65" xfId="582" xr:uid="{00000000-0005-0000-0000-0000E5020000}"/>
    <cellStyle name="20% - Акцент3 65 2" xfId="583" xr:uid="{00000000-0005-0000-0000-0000E6020000}"/>
    <cellStyle name="20% - Акцент3 65_Свод гостин" xfId="2752" xr:uid="{00000000-0005-0000-0000-0000E7020000}"/>
    <cellStyle name="20% - Акцент3 66" xfId="584" xr:uid="{00000000-0005-0000-0000-0000E8020000}"/>
    <cellStyle name="20% - Акцент3 66 2" xfId="585" xr:uid="{00000000-0005-0000-0000-0000E9020000}"/>
    <cellStyle name="20% - Акцент3 66_Свод гостин" xfId="2753" xr:uid="{00000000-0005-0000-0000-0000EA020000}"/>
    <cellStyle name="20% - Акцент3 67" xfId="586" xr:uid="{00000000-0005-0000-0000-0000EB020000}"/>
    <cellStyle name="20% - Акцент3 67 2" xfId="587" xr:uid="{00000000-0005-0000-0000-0000EC020000}"/>
    <cellStyle name="20% - Акцент3 67_Свод гостин" xfId="2754" xr:uid="{00000000-0005-0000-0000-0000ED020000}"/>
    <cellStyle name="20% - Акцент3 68" xfId="588" xr:uid="{00000000-0005-0000-0000-0000EE020000}"/>
    <cellStyle name="20% - Акцент3 68 2" xfId="589" xr:uid="{00000000-0005-0000-0000-0000EF020000}"/>
    <cellStyle name="20% - Акцент3 68_Свод гостин" xfId="2755" xr:uid="{00000000-0005-0000-0000-0000F0020000}"/>
    <cellStyle name="20% - Акцент3 69" xfId="590" xr:uid="{00000000-0005-0000-0000-0000F1020000}"/>
    <cellStyle name="20% - Акцент3 69 2" xfId="591" xr:uid="{00000000-0005-0000-0000-0000F2020000}"/>
    <cellStyle name="20% - Акцент3 69_Свод гостин" xfId="2756" xr:uid="{00000000-0005-0000-0000-0000F3020000}"/>
    <cellStyle name="20% - Акцент3 7" xfId="592" xr:uid="{00000000-0005-0000-0000-0000F4020000}"/>
    <cellStyle name="20% - Акцент3 7 2" xfId="593" xr:uid="{00000000-0005-0000-0000-0000F5020000}"/>
    <cellStyle name="20% - Акцент3 7_Свод гостин" xfId="2757" xr:uid="{00000000-0005-0000-0000-0000F6020000}"/>
    <cellStyle name="20% - Акцент3 70" xfId="594" xr:uid="{00000000-0005-0000-0000-0000F7020000}"/>
    <cellStyle name="20% - Акцент3 70 2" xfId="595" xr:uid="{00000000-0005-0000-0000-0000F8020000}"/>
    <cellStyle name="20% - Акцент3 70_Свод гостин" xfId="2758" xr:uid="{00000000-0005-0000-0000-0000F9020000}"/>
    <cellStyle name="20% - Акцент3 71" xfId="596" xr:uid="{00000000-0005-0000-0000-0000FA020000}"/>
    <cellStyle name="20% - Акцент3 71 2" xfId="597" xr:uid="{00000000-0005-0000-0000-0000FB020000}"/>
    <cellStyle name="20% - Акцент3 71_Свод гостин" xfId="2759" xr:uid="{00000000-0005-0000-0000-0000FC020000}"/>
    <cellStyle name="20% - Акцент3 72" xfId="598" xr:uid="{00000000-0005-0000-0000-0000FD020000}"/>
    <cellStyle name="20% - Акцент3 72 2" xfId="599" xr:uid="{00000000-0005-0000-0000-0000FE020000}"/>
    <cellStyle name="20% - Акцент3 72_Свод гостин" xfId="2760" xr:uid="{00000000-0005-0000-0000-0000FF020000}"/>
    <cellStyle name="20% - Акцент3 73" xfId="600" xr:uid="{00000000-0005-0000-0000-000000030000}"/>
    <cellStyle name="20% - Акцент3 73 2" xfId="601" xr:uid="{00000000-0005-0000-0000-000001030000}"/>
    <cellStyle name="20% - Акцент3 73_Свод гостин" xfId="2761" xr:uid="{00000000-0005-0000-0000-000002030000}"/>
    <cellStyle name="20% - Акцент3 74" xfId="602" xr:uid="{00000000-0005-0000-0000-000003030000}"/>
    <cellStyle name="20% - Акцент3 74 2" xfId="603" xr:uid="{00000000-0005-0000-0000-000004030000}"/>
    <cellStyle name="20% - Акцент3 74_Свод гостин" xfId="2762" xr:uid="{00000000-0005-0000-0000-000005030000}"/>
    <cellStyle name="20% - Акцент3 75" xfId="604" xr:uid="{00000000-0005-0000-0000-000006030000}"/>
    <cellStyle name="20% - Акцент3 75 2" xfId="605" xr:uid="{00000000-0005-0000-0000-000007030000}"/>
    <cellStyle name="20% - Акцент3 75_Свод гостин" xfId="2763" xr:uid="{00000000-0005-0000-0000-000008030000}"/>
    <cellStyle name="20% - Акцент3 76" xfId="606" xr:uid="{00000000-0005-0000-0000-000009030000}"/>
    <cellStyle name="20% - Акцент3 76 2" xfId="607" xr:uid="{00000000-0005-0000-0000-00000A030000}"/>
    <cellStyle name="20% - Акцент3 76_Свод гостин" xfId="2764" xr:uid="{00000000-0005-0000-0000-00000B030000}"/>
    <cellStyle name="20% - Акцент3 77" xfId="608" xr:uid="{00000000-0005-0000-0000-00000C030000}"/>
    <cellStyle name="20% - Акцент3 77 2" xfId="609" xr:uid="{00000000-0005-0000-0000-00000D030000}"/>
    <cellStyle name="20% - Акцент3 77_Свод гостин" xfId="2765" xr:uid="{00000000-0005-0000-0000-00000E030000}"/>
    <cellStyle name="20% - Акцент3 78" xfId="610" xr:uid="{00000000-0005-0000-0000-00000F030000}"/>
    <cellStyle name="20% - Акцент3 78 2" xfId="611" xr:uid="{00000000-0005-0000-0000-000010030000}"/>
    <cellStyle name="20% - Акцент3 78_Свод гостин" xfId="2766" xr:uid="{00000000-0005-0000-0000-000011030000}"/>
    <cellStyle name="20% - Акцент3 79" xfId="612" xr:uid="{00000000-0005-0000-0000-000012030000}"/>
    <cellStyle name="20% - Акцент3 79 2" xfId="613" xr:uid="{00000000-0005-0000-0000-000013030000}"/>
    <cellStyle name="20% - Акцент3 79_Свод гостин" xfId="2767" xr:uid="{00000000-0005-0000-0000-000014030000}"/>
    <cellStyle name="20% - Акцент3 8" xfId="614" xr:uid="{00000000-0005-0000-0000-000015030000}"/>
    <cellStyle name="20% - Акцент3 8 2" xfId="615" xr:uid="{00000000-0005-0000-0000-000016030000}"/>
    <cellStyle name="20% - Акцент3 8_Свод гостин" xfId="2768" xr:uid="{00000000-0005-0000-0000-000017030000}"/>
    <cellStyle name="20% - Акцент3 80" xfId="616" xr:uid="{00000000-0005-0000-0000-000018030000}"/>
    <cellStyle name="20% - Акцент3 80 2" xfId="617" xr:uid="{00000000-0005-0000-0000-000019030000}"/>
    <cellStyle name="20% - Акцент3 80_Свод гостин" xfId="2769" xr:uid="{00000000-0005-0000-0000-00001A030000}"/>
    <cellStyle name="20% - Акцент3 81" xfId="618" xr:uid="{00000000-0005-0000-0000-00001B030000}"/>
    <cellStyle name="20% - Акцент3 81 2" xfId="619" xr:uid="{00000000-0005-0000-0000-00001C030000}"/>
    <cellStyle name="20% - Акцент3 81_Свод гостин" xfId="2770" xr:uid="{00000000-0005-0000-0000-00001D030000}"/>
    <cellStyle name="20% - Акцент3 82" xfId="620" xr:uid="{00000000-0005-0000-0000-00001E030000}"/>
    <cellStyle name="20% - Акцент3 82 2" xfId="621" xr:uid="{00000000-0005-0000-0000-00001F030000}"/>
    <cellStyle name="20% - Акцент3 82_Свод гостин" xfId="2771" xr:uid="{00000000-0005-0000-0000-000020030000}"/>
    <cellStyle name="20% - Акцент3 83" xfId="622" xr:uid="{00000000-0005-0000-0000-000021030000}"/>
    <cellStyle name="20% - Акцент3 83 2" xfId="623" xr:uid="{00000000-0005-0000-0000-000022030000}"/>
    <cellStyle name="20% - Акцент3 83_Свод гостин" xfId="2772" xr:uid="{00000000-0005-0000-0000-000023030000}"/>
    <cellStyle name="20% - Акцент3 9" xfId="624" xr:uid="{00000000-0005-0000-0000-000024030000}"/>
    <cellStyle name="20% - Акцент3 9 2" xfId="625" xr:uid="{00000000-0005-0000-0000-000025030000}"/>
    <cellStyle name="20% - Акцент3 9_Свод гостин" xfId="2773" xr:uid="{00000000-0005-0000-0000-000026030000}"/>
    <cellStyle name="20% - Акцент4 10" xfId="626" xr:uid="{00000000-0005-0000-0000-000027030000}"/>
    <cellStyle name="20% - Акцент4 10 2" xfId="627" xr:uid="{00000000-0005-0000-0000-000028030000}"/>
    <cellStyle name="20% - Акцент4 10_Свод гостин" xfId="2774" xr:uid="{00000000-0005-0000-0000-000029030000}"/>
    <cellStyle name="20% - Акцент4 11" xfId="628" xr:uid="{00000000-0005-0000-0000-00002A030000}"/>
    <cellStyle name="20% - Акцент4 11 2" xfId="629" xr:uid="{00000000-0005-0000-0000-00002B030000}"/>
    <cellStyle name="20% - Акцент4 11_Свод гостин" xfId="2775" xr:uid="{00000000-0005-0000-0000-00002C030000}"/>
    <cellStyle name="20% - Акцент4 12" xfId="630" xr:uid="{00000000-0005-0000-0000-00002D030000}"/>
    <cellStyle name="20% - Акцент4 12 2" xfId="631" xr:uid="{00000000-0005-0000-0000-00002E030000}"/>
    <cellStyle name="20% - Акцент4 12_Свод гостин" xfId="2776" xr:uid="{00000000-0005-0000-0000-00002F030000}"/>
    <cellStyle name="20% - Акцент4 13" xfId="632" xr:uid="{00000000-0005-0000-0000-000030030000}"/>
    <cellStyle name="20% - Акцент4 13 2" xfId="633" xr:uid="{00000000-0005-0000-0000-000031030000}"/>
    <cellStyle name="20% - Акцент4 13_Свод гостин" xfId="2777" xr:uid="{00000000-0005-0000-0000-000032030000}"/>
    <cellStyle name="20% - Акцент4 14" xfId="634" xr:uid="{00000000-0005-0000-0000-000033030000}"/>
    <cellStyle name="20% - Акцент4 14 2" xfId="635" xr:uid="{00000000-0005-0000-0000-000034030000}"/>
    <cellStyle name="20% - Акцент4 14_Свод гостин" xfId="2778" xr:uid="{00000000-0005-0000-0000-000035030000}"/>
    <cellStyle name="20% - Акцент4 15" xfId="636" xr:uid="{00000000-0005-0000-0000-000036030000}"/>
    <cellStyle name="20% - Акцент4 15 2" xfId="637" xr:uid="{00000000-0005-0000-0000-000037030000}"/>
    <cellStyle name="20% - Акцент4 15_Свод гостин" xfId="2779" xr:uid="{00000000-0005-0000-0000-000038030000}"/>
    <cellStyle name="20% - Акцент4 16" xfId="638" xr:uid="{00000000-0005-0000-0000-000039030000}"/>
    <cellStyle name="20% - Акцент4 16 2" xfId="639" xr:uid="{00000000-0005-0000-0000-00003A030000}"/>
    <cellStyle name="20% - Акцент4 16_Свод гостин" xfId="2780" xr:uid="{00000000-0005-0000-0000-00003B030000}"/>
    <cellStyle name="20% - Акцент4 17" xfId="640" xr:uid="{00000000-0005-0000-0000-00003C030000}"/>
    <cellStyle name="20% - Акцент4 17 2" xfId="641" xr:uid="{00000000-0005-0000-0000-00003D030000}"/>
    <cellStyle name="20% - Акцент4 17_Свод гостин" xfId="2781" xr:uid="{00000000-0005-0000-0000-00003E030000}"/>
    <cellStyle name="20% - Акцент4 18" xfId="642" xr:uid="{00000000-0005-0000-0000-00003F030000}"/>
    <cellStyle name="20% - Акцент4 18 2" xfId="643" xr:uid="{00000000-0005-0000-0000-000040030000}"/>
    <cellStyle name="20% - Акцент4 18_Свод гостин" xfId="2782" xr:uid="{00000000-0005-0000-0000-000041030000}"/>
    <cellStyle name="20% - Акцент4 19" xfId="644" xr:uid="{00000000-0005-0000-0000-000042030000}"/>
    <cellStyle name="20% - Акцент4 19 2" xfId="645" xr:uid="{00000000-0005-0000-0000-000043030000}"/>
    <cellStyle name="20% - Акцент4 19_Свод гостин" xfId="2783" xr:uid="{00000000-0005-0000-0000-000044030000}"/>
    <cellStyle name="20% - Акцент4 2" xfId="646" xr:uid="{00000000-0005-0000-0000-000045030000}"/>
    <cellStyle name="20% - Акцент4 2 2" xfId="647" xr:uid="{00000000-0005-0000-0000-000046030000}"/>
    <cellStyle name="20% - Акцент4 2_Свод гостин" xfId="2784" xr:uid="{00000000-0005-0000-0000-000047030000}"/>
    <cellStyle name="20% - Акцент4 20" xfId="648" xr:uid="{00000000-0005-0000-0000-000048030000}"/>
    <cellStyle name="20% - Акцент4 20 2" xfId="649" xr:uid="{00000000-0005-0000-0000-000049030000}"/>
    <cellStyle name="20% - Акцент4 20_Свод гостин" xfId="2785" xr:uid="{00000000-0005-0000-0000-00004A030000}"/>
    <cellStyle name="20% - Акцент4 21" xfId="650" xr:uid="{00000000-0005-0000-0000-00004B030000}"/>
    <cellStyle name="20% - Акцент4 21 2" xfId="651" xr:uid="{00000000-0005-0000-0000-00004C030000}"/>
    <cellStyle name="20% - Акцент4 21_Свод гостин" xfId="2786" xr:uid="{00000000-0005-0000-0000-00004D030000}"/>
    <cellStyle name="20% - Акцент4 22" xfId="652" xr:uid="{00000000-0005-0000-0000-00004E030000}"/>
    <cellStyle name="20% - Акцент4 22 2" xfId="653" xr:uid="{00000000-0005-0000-0000-00004F030000}"/>
    <cellStyle name="20% - Акцент4 22_Свод гостин" xfId="2787" xr:uid="{00000000-0005-0000-0000-000050030000}"/>
    <cellStyle name="20% - Акцент4 23" xfId="654" xr:uid="{00000000-0005-0000-0000-000051030000}"/>
    <cellStyle name="20% - Акцент4 23 2" xfId="655" xr:uid="{00000000-0005-0000-0000-000052030000}"/>
    <cellStyle name="20% - Акцент4 23_Свод гостин" xfId="2788" xr:uid="{00000000-0005-0000-0000-000053030000}"/>
    <cellStyle name="20% - Акцент4 24" xfId="656" xr:uid="{00000000-0005-0000-0000-000054030000}"/>
    <cellStyle name="20% - Акцент4 24 2" xfId="657" xr:uid="{00000000-0005-0000-0000-000055030000}"/>
    <cellStyle name="20% - Акцент4 24_Свод гостин" xfId="2789" xr:uid="{00000000-0005-0000-0000-000056030000}"/>
    <cellStyle name="20% - Акцент4 25" xfId="658" xr:uid="{00000000-0005-0000-0000-000057030000}"/>
    <cellStyle name="20% - Акцент4 25 2" xfId="659" xr:uid="{00000000-0005-0000-0000-000058030000}"/>
    <cellStyle name="20% - Акцент4 25_Свод гостин" xfId="2790" xr:uid="{00000000-0005-0000-0000-000059030000}"/>
    <cellStyle name="20% - Акцент4 26" xfId="660" xr:uid="{00000000-0005-0000-0000-00005A030000}"/>
    <cellStyle name="20% - Акцент4 26 2" xfId="661" xr:uid="{00000000-0005-0000-0000-00005B030000}"/>
    <cellStyle name="20% - Акцент4 26_Свод гостин" xfId="2791" xr:uid="{00000000-0005-0000-0000-00005C030000}"/>
    <cellStyle name="20% - Акцент4 27" xfId="662" xr:uid="{00000000-0005-0000-0000-00005D030000}"/>
    <cellStyle name="20% - Акцент4 27 2" xfId="663" xr:uid="{00000000-0005-0000-0000-00005E030000}"/>
    <cellStyle name="20% - Акцент4 27_Свод гостин" xfId="2792" xr:uid="{00000000-0005-0000-0000-00005F030000}"/>
    <cellStyle name="20% - Акцент4 28" xfId="664" xr:uid="{00000000-0005-0000-0000-000060030000}"/>
    <cellStyle name="20% - Акцент4 28 2" xfId="665" xr:uid="{00000000-0005-0000-0000-000061030000}"/>
    <cellStyle name="20% - Акцент4 28_Свод гостин" xfId="2793" xr:uid="{00000000-0005-0000-0000-000062030000}"/>
    <cellStyle name="20% - Акцент4 29" xfId="666" xr:uid="{00000000-0005-0000-0000-000063030000}"/>
    <cellStyle name="20% - Акцент4 29 2" xfId="667" xr:uid="{00000000-0005-0000-0000-000064030000}"/>
    <cellStyle name="20% - Акцент4 29_Свод гостин" xfId="2794" xr:uid="{00000000-0005-0000-0000-000065030000}"/>
    <cellStyle name="20% - Акцент4 3" xfId="668" xr:uid="{00000000-0005-0000-0000-000066030000}"/>
    <cellStyle name="20% - Акцент4 3 2" xfId="669" xr:uid="{00000000-0005-0000-0000-000067030000}"/>
    <cellStyle name="20% - Акцент4 3_Свод гостин" xfId="2795" xr:uid="{00000000-0005-0000-0000-000068030000}"/>
    <cellStyle name="20% - Акцент4 30" xfId="670" xr:uid="{00000000-0005-0000-0000-000069030000}"/>
    <cellStyle name="20% - Акцент4 30 2" xfId="671" xr:uid="{00000000-0005-0000-0000-00006A030000}"/>
    <cellStyle name="20% - Акцент4 30_Свод гостин" xfId="2796" xr:uid="{00000000-0005-0000-0000-00006B030000}"/>
    <cellStyle name="20% - Акцент4 31" xfId="672" xr:uid="{00000000-0005-0000-0000-00006C030000}"/>
    <cellStyle name="20% - Акцент4 31 2" xfId="673" xr:uid="{00000000-0005-0000-0000-00006D030000}"/>
    <cellStyle name="20% - Акцент4 31_Свод гостин" xfId="2797" xr:uid="{00000000-0005-0000-0000-00006E030000}"/>
    <cellStyle name="20% - Акцент4 32" xfId="674" xr:uid="{00000000-0005-0000-0000-00006F030000}"/>
    <cellStyle name="20% - Акцент4 32 2" xfId="675" xr:uid="{00000000-0005-0000-0000-000070030000}"/>
    <cellStyle name="20% - Акцент4 32_Свод гостин" xfId="2798" xr:uid="{00000000-0005-0000-0000-000071030000}"/>
    <cellStyle name="20% - Акцент4 33" xfId="676" xr:uid="{00000000-0005-0000-0000-000072030000}"/>
    <cellStyle name="20% - Акцент4 33 2" xfId="677" xr:uid="{00000000-0005-0000-0000-000073030000}"/>
    <cellStyle name="20% - Акцент4 33_Свод гостин" xfId="2799" xr:uid="{00000000-0005-0000-0000-000074030000}"/>
    <cellStyle name="20% - Акцент4 34" xfId="678" xr:uid="{00000000-0005-0000-0000-000075030000}"/>
    <cellStyle name="20% - Акцент4 34 2" xfId="679" xr:uid="{00000000-0005-0000-0000-000076030000}"/>
    <cellStyle name="20% - Акцент4 34_Свод гостин" xfId="2800" xr:uid="{00000000-0005-0000-0000-000077030000}"/>
    <cellStyle name="20% - Акцент4 35" xfId="680" xr:uid="{00000000-0005-0000-0000-000078030000}"/>
    <cellStyle name="20% - Акцент4 35 2" xfId="681" xr:uid="{00000000-0005-0000-0000-000079030000}"/>
    <cellStyle name="20% - Акцент4 35_Свод гостин" xfId="2801" xr:uid="{00000000-0005-0000-0000-00007A030000}"/>
    <cellStyle name="20% - Акцент4 36" xfId="682" xr:uid="{00000000-0005-0000-0000-00007B030000}"/>
    <cellStyle name="20% - Акцент4 36 2" xfId="683" xr:uid="{00000000-0005-0000-0000-00007C030000}"/>
    <cellStyle name="20% - Акцент4 36_Свод гостин" xfId="2802" xr:uid="{00000000-0005-0000-0000-00007D030000}"/>
    <cellStyle name="20% - Акцент4 37" xfId="684" xr:uid="{00000000-0005-0000-0000-00007E030000}"/>
    <cellStyle name="20% - Акцент4 37 2" xfId="685" xr:uid="{00000000-0005-0000-0000-00007F030000}"/>
    <cellStyle name="20% - Акцент4 37_Свод гостин" xfId="2803" xr:uid="{00000000-0005-0000-0000-000080030000}"/>
    <cellStyle name="20% - Акцент4 38" xfId="686" xr:uid="{00000000-0005-0000-0000-000081030000}"/>
    <cellStyle name="20% - Акцент4 38 2" xfId="687" xr:uid="{00000000-0005-0000-0000-000082030000}"/>
    <cellStyle name="20% - Акцент4 38_Свод гостин" xfId="2804" xr:uid="{00000000-0005-0000-0000-000083030000}"/>
    <cellStyle name="20% - Акцент4 39" xfId="688" xr:uid="{00000000-0005-0000-0000-000084030000}"/>
    <cellStyle name="20% - Акцент4 39 2" xfId="689" xr:uid="{00000000-0005-0000-0000-000085030000}"/>
    <cellStyle name="20% - Акцент4 39_Свод гостин" xfId="2805" xr:uid="{00000000-0005-0000-0000-000086030000}"/>
    <cellStyle name="20% - Акцент4 4" xfId="690" xr:uid="{00000000-0005-0000-0000-000087030000}"/>
    <cellStyle name="20% - Акцент4 4 2" xfId="691" xr:uid="{00000000-0005-0000-0000-000088030000}"/>
    <cellStyle name="20% - Акцент4 4_Свод гостин" xfId="2806" xr:uid="{00000000-0005-0000-0000-000089030000}"/>
    <cellStyle name="20% - Акцент4 40" xfId="692" xr:uid="{00000000-0005-0000-0000-00008A030000}"/>
    <cellStyle name="20% - Акцент4 40 2" xfId="693" xr:uid="{00000000-0005-0000-0000-00008B030000}"/>
    <cellStyle name="20% - Акцент4 40_Свод гостин" xfId="2807" xr:uid="{00000000-0005-0000-0000-00008C030000}"/>
    <cellStyle name="20% - Акцент4 41" xfId="694" xr:uid="{00000000-0005-0000-0000-00008D030000}"/>
    <cellStyle name="20% - Акцент4 41 2" xfId="695" xr:uid="{00000000-0005-0000-0000-00008E030000}"/>
    <cellStyle name="20% - Акцент4 41_Свод гостин" xfId="2808" xr:uid="{00000000-0005-0000-0000-00008F030000}"/>
    <cellStyle name="20% - Акцент4 42" xfId="696" xr:uid="{00000000-0005-0000-0000-000090030000}"/>
    <cellStyle name="20% - Акцент4 42 2" xfId="697" xr:uid="{00000000-0005-0000-0000-000091030000}"/>
    <cellStyle name="20% - Акцент4 42_Свод гостин" xfId="2809" xr:uid="{00000000-0005-0000-0000-000092030000}"/>
    <cellStyle name="20% - Акцент4 43" xfId="698" xr:uid="{00000000-0005-0000-0000-000093030000}"/>
    <cellStyle name="20% - Акцент4 43 2" xfId="699" xr:uid="{00000000-0005-0000-0000-000094030000}"/>
    <cellStyle name="20% - Акцент4 43_Свод гостин" xfId="2810" xr:uid="{00000000-0005-0000-0000-000095030000}"/>
    <cellStyle name="20% - Акцент4 44" xfId="700" xr:uid="{00000000-0005-0000-0000-000096030000}"/>
    <cellStyle name="20% - Акцент4 44 2" xfId="701" xr:uid="{00000000-0005-0000-0000-000097030000}"/>
    <cellStyle name="20% - Акцент4 44_Свод гостин" xfId="2811" xr:uid="{00000000-0005-0000-0000-000098030000}"/>
    <cellStyle name="20% - Акцент4 45" xfId="702" xr:uid="{00000000-0005-0000-0000-000099030000}"/>
    <cellStyle name="20% - Акцент4 45 2" xfId="703" xr:uid="{00000000-0005-0000-0000-00009A030000}"/>
    <cellStyle name="20% - Акцент4 45_Свод гостин" xfId="2812" xr:uid="{00000000-0005-0000-0000-00009B030000}"/>
    <cellStyle name="20% - Акцент4 46" xfId="704" xr:uid="{00000000-0005-0000-0000-00009C030000}"/>
    <cellStyle name="20% - Акцент4 46 2" xfId="705" xr:uid="{00000000-0005-0000-0000-00009D030000}"/>
    <cellStyle name="20% - Акцент4 46_Свод гостин" xfId="2813" xr:uid="{00000000-0005-0000-0000-00009E030000}"/>
    <cellStyle name="20% - Акцент4 47" xfId="706" xr:uid="{00000000-0005-0000-0000-00009F030000}"/>
    <cellStyle name="20% - Акцент4 47 2" xfId="707" xr:uid="{00000000-0005-0000-0000-0000A0030000}"/>
    <cellStyle name="20% - Акцент4 47_Свод гостин" xfId="2814" xr:uid="{00000000-0005-0000-0000-0000A1030000}"/>
    <cellStyle name="20% - Акцент4 48" xfId="708" xr:uid="{00000000-0005-0000-0000-0000A2030000}"/>
    <cellStyle name="20% - Акцент4 48 2" xfId="709" xr:uid="{00000000-0005-0000-0000-0000A3030000}"/>
    <cellStyle name="20% - Акцент4 48_Свод гостин" xfId="2815" xr:uid="{00000000-0005-0000-0000-0000A4030000}"/>
    <cellStyle name="20% - Акцент4 49" xfId="710" xr:uid="{00000000-0005-0000-0000-0000A5030000}"/>
    <cellStyle name="20% - Акцент4 49 2" xfId="711" xr:uid="{00000000-0005-0000-0000-0000A6030000}"/>
    <cellStyle name="20% - Акцент4 49_Свод гостин" xfId="2816" xr:uid="{00000000-0005-0000-0000-0000A7030000}"/>
    <cellStyle name="20% - Акцент4 5" xfId="712" xr:uid="{00000000-0005-0000-0000-0000A8030000}"/>
    <cellStyle name="20% - Акцент4 5 2" xfId="713" xr:uid="{00000000-0005-0000-0000-0000A9030000}"/>
    <cellStyle name="20% - Акцент4 5_Свод гостин" xfId="2817" xr:uid="{00000000-0005-0000-0000-0000AA030000}"/>
    <cellStyle name="20% - Акцент4 50" xfId="714" xr:uid="{00000000-0005-0000-0000-0000AB030000}"/>
    <cellStyle name="20% - Акцент4 50 2" xfId="715" xr:uid="{00000000-0005-0000-0000-0000AC030000}"/>
    <cellStyle name="20% - Акцент4 50_Свод гостин" xfId="2818" xr:uid="{00000000-0005-0000-0000-0000AD030000}"/>
    <cellStyle name="20% - Акцент4 51" xfId="716" xr:uid="{00000000-0005-0000-0000-0000AE030000}"/>
    <cellStyle name="20% - Акцент4 51 2" xfId="717" xr:uid="{00000000-0005-0000-0000-0000AF030000}"/>
    <cellStyle name="20% - Акцент4 51_Свод гостин" xfId="2819" xr:uid="{00000000-0005-0000-0000-0000B0030000}"/>
    <cellStyle name="20% - Акцент4 52" xfId="718" xr:uid="{00000000-0005-0000-0000-0000B1030000}"/>
    <cellStyle name="20% - Акцент4 52 2" xfId="719" xr:uid="{00000000-0005-0000-0000-0000B2030000}"/>
    <cellStyle name="20% - Акцент4 52_Свод гостин" xfId="2820" xr:uid="{00000000-0005-0000-0000-0000B3030000}"/>
    <cellStyle name="20% - Акцент4 53" xfId="720" xr:uid="{00000000-0005-0000-0000-0000B4030000}"/>
    <cellStyle name="20% - Акцент4 53 2" xfId="721" xr:uid="{00000000-0005-0000-0000-0000B5030000}"/>
    <cellStyle name="20% - Акцент4 53_Свод гостин" xfId="2821" xr:uid="{00000000-0005-0000-0000-0000B6030000}"/>
    <cellStyle name="20% - Акцент4 54" xfId="722" xr:uid="{00000000-0005-0000-0000-0000B7030000}"/>
    <cellStyle name="20% - Акцент4 54 2" xfId="723" xr:uid="{00000000-0005-0000-0000-0000B8030000}"/>
    <cellStyle name="20% - Акцент4 54_Свод гостин" xfId="2822" xr:uid="{00000000-0005-0000-0000-0000B9030000}"/>
    <cellStyle name="20% - Акцент4 55" xfId="724" xr:uid="{00000000-0005-0000-0000-0000BA030000}"/>
    <cellStyle name="20% - Акцент4 55 2" xfId="725" xr:uid="{00000000-0005-0000-0000-0000BB030000}"/>
    <cellStyle name="20% - Акцент4 55_Свод гостин" xfId="2823" xr:uid="{00000000-0005-0000-0000-0000BC030000}"/>
    <cellStyle name="20% - Акцент4 56" xfId="726" xr:uid="{00000000-0005-0000-0000-0000BD030000}"/>
    <cellStyle name="20% - Акцент4 56 2" xfId="727" xr:uid="{00000000-0005-0000-0000-0000BE030000}"/>
    <cellStyle name="20% - Акцент4 56_Свод гостин" xfId="2824" xr:uid="{00000000-0005-0000-0000-0000BF030000}"/>
    <cellStyle name="20% - Акцент4 57" xfId="728" xr:uid="{00000000-0005-0000-0000-0000C0030000}"/>
    <cellStyle name="20% - Акцент4 57 2" xfId="729" xr:uid="{00000000-0005-0000-0000-0000C1030000}"/>
    <cellStyle name="20% - Акцент4 57_Свод гостин" xfId="2825" xr:uid="{00000000-0005-0000-0000-0000C2030000}"/>
    <cellStyle name="20% - Акцент4 58" xfId="730" xr:uid="{00000000-0005-0000-0000-0000C3030000}"/>
    <cellStyle name="20% - Акцент4 58 2" xfId="731" xr:uid="{00000000-0005-0000-0000-0000C4030000}"/>
    <cellStyle name="20% - Акцент4 58_Свод гостин" xfId="2826" xr:uid="{00000000-0005-0000-0000-0000C5030000}"/>
    <cellStyle name="20% - Акцент4 59" xfId="732" xr:uid="{00000000-0005-0000-0000-0000C6030000}"/>
    <cellStyle name="20% - Акцент4 59 2" xfId="733" xr:uid="{00000000-0005-0000-0000-0000C7030000}"/>
    <cellStyle name="20% - Акцент4 59_Свод гостин" xfId="2827" xr:uid="{00000000-0005-0000-0000-0000C8030000}"/>
    <cellStyle name="20% - Акцент4 6" xfId="734" xr:uid="{00000000-0005-0000-0000-0000C9030000}"/>
    <cellStyle name="20% - Акцент4 6 2" xfId="735" xr:uid="{00000000-0005-0000-0000-0000CA030000}"/>
    <cellStyle name="20% - Акцент4 6_Свод гостин" xfId="2828" xr:uid="{00000000-0005-0000-0000-0000CB030000}"/>
    <cellStyle name="20% - Акцент4 60" xfId="736" xr:uid="{00000000-0005-0000-0000-0000CC030000}"/>
    <cellStyle name="20% - Акцент4 60 2" xfId="737" xr:uid="{00000000-0005-0000-0000-0000CD030000}"/>
    <cellStyle name="20% - Акцент4 60_Свод гостин" xfId="2829" xr:uid="{00000000-0005-0000-0000-0000CE030000}"/>
    <cellStyle name="20% - Акцент4 61" xfId="738" xr:uid="{00000000-0005-0000-0000-0000CF030000}"/>
    <cellStyle name="20% - Акцент4 61 2" xfId="739" xr:uid="{00000000-0005-0000-0000-0000D0030000}"/>
    <cellStyle name="20% - Акцент4 61_Свод гостин" xfId="2830" xr:uid="{00000000-0005-0000-0000-0000D1030000}"/>
    <cellStyle name="20% - Акцент4 62" xfId="740" xr:uid="{00000000-0005-0000-0000-0000D2030000}"/>
    <cellStyle name="20% - Акцент4 62 2" xfId="741" xr:uid="{00000000-0005-0000-0000-0000D3030000}"/>
    <cellStyle name="20% - Акцент4 62_Свод гостин" xfId="2831" xr:uid="{00000000-0005-0000-0000-0000D4030000}"/>
    <cellStyle name="20% - Акцент4 63" xfId="742" xr:uid="{00000000-0005-0000-0000-0000D5030000}"/>
    <cellStyle name="20% - Акцент4 63 2" xfId="743" xr:uid="{00000000-0005-0000-0000-0000D6030000}"/>
    <cellStyle name="20% - Акцент4 63_Свод гостин" xfId="2832" xr:uid="{00000000-0005-0000-0000-0000D7030000}"/>
    <cellStyle name="20% - Акцент4 64" xfId="744" xr:uid="{00000000-0005-0000-0000-0000D8030000}"/>
    <cellStyle name="20% - Акцент4 64 2" xfId="745" xr:uid="{00000000-0005-0000-0000-0000D9030000}"/>
    <cellStyle name="20% - Акцент4 64_Свод гостин" xfId="2833" xr:uid="{00000000-0005-0000-0000-0000DA030000}"/>
    <cellStyle name="20% - Акцент4 65" xfId="746" xr:uid="{00000000-0005-0000-0000-0000DB030000}"/>
    <cellStyle name="20% - Акцент4 65 2" xfId="747" xr:uid="{00000000-0005-0000-0000-0000DC030000}"/>
    <cellStyle name="20% - Акцент4 65_Свод гостин" xfId="2834" xr:uid="{00000000-0005-0000-0000-0000DD030000}"/>
    <cellStyle name="20% - Акцент4 66" xfId="748" xr:uid="{00000000-0005-0000-0000-0000DE030000}"/>
    <cellStyle name="20% - Акцент4 66 2" xfId="749" xr:uid="{00000000-0005-0000-0000-0000DF030000}"/>
    <cellStyle name="20% - Акцент4 66_Свод гостин" xfId="2835" xr:uid="{00000000-0005-0000-0000-0000E0030000}"/>
    <cellStyle name="20% - Акцент4 67" xfId="750" xr:uid="{00000000-0005-0000-0000-0000E1030000}"/>
    <cellStyle name="20% - Акцент4 67 2" xfId="751" xr:uid="{00000000-0005-0000-0000-0000E2030000}"/>
    <cellStyle name="20% - Акцент4 67_Свод гостин" xfId="2836" xr:uid="{00000000-0005-0000-0000-0000E3030000}"/>
    <cellStyle name="20% - Акцент4 68" xfId="752" xr:uid="{00000000-0005-0000-0000-0000E4030000}"/>
    <cellStyle name="20% - Акцент4 68 2" xfId="753" xr:uid="{00000000-0005-0000-0000-0000E5030000}"/>
    <cellStyle name="20% - Акцент4 68_Свод гостин" xfId="2837" xr:uid="{00000000-0005-0000-0000-0000E6030000}"/>
    <cellStyle name="20% - Акцент4 69" xfId="754" xr:uid="{00000000-0005-0000-0000-0000E7030000}"/>
    <cellStyle name="20% - Акцент4 69 2" xfId="755" xr:uid="{00000000-0005-0000-0000-0000E8030000}"/>
    <cellStyle name="20% - Акцент4 69_Свод гостин" xfId="2838" xr:uid="{00000000-0005-0000-0000-0000E9030000}"/>
    <cellStyle name="20% - Акцент4 7" xfId="756" xr:uid="{00000000-0005-0000-0000-0000EA030000}"/>
    <cellStyle name="20% - Акцент4 7 2" xfId="757" xr:uid="{00000000-0005-0000-0000-0000EB030000}"/>
    <cellStyle name="20% - Акцент4 7_Свод гостин" xfId="2839" xr:uid="{00000000-0005-0000-0000-0000EC030000}"/>
    <cellStyle name="20% - Акцент4 70" xfId="758" xr:uid="{00000000-0005-0000-0000-0000ED030000}"/>
    <cellStyle name="20% - Акцент4 70 2" xfId="759" xr:uid="{00000000-0005-0000-0000-0000EE030000}"/>
    <cellStyle name="20% - Акцент4 70_Свод гостин" xfId="2840" xr:uid="{00000000-0005-0000-0000-0000EF030000}"/>
    <cellStyle name="20% - Акцент4 71" xfId="760" xr:uid="{00000000-0005-0000-0000-0000F0030000}"/>
    <cellStyle name="20% - Акцент4 71 2" xfId="761" xr:uid="{00000000-0005-0000-0000-0000F1030000}"/>
    <cellStyle name="20% - Акцент4 71_Свод гостин" xfId="2841" xr:uid="{00000000-0005-0000-0000-0000F2030000}"/>
    <cellStyle name="20% - Акцент4 72" xfId="762" xr:uid="{00000000-0005-0000-0000-0000F3030000}"/>
    <cellStyle name="20% - Акцент4 72 2" xfId="763" xr:uid="{00000000-0005-0000-0000-0000F4030000}"/>
    <cellStyle name="20% - Акцент4 72_Свод гостин" xfId="2842" xr:uid="{00000000-0005-0000-0000-0000F5030000}"/>
    <cellStyle name="20% - Акцент4 73" xfId="764" xr:uid="{00000000-0005-0000-0000-0000F6030000}"/>
    <cellStyle name="20% - Акцент4 73 2" xfId="765" xr:uid="{00000000-0005-0000-0000-0000F7030000}"/>
    <cellStyle name="20% - Акцент4 73_Свод гостин" xfId="2843" xr:uid="{00000000-0005-0000-0000-0000F8030000}"/>
    <cellStyle name="20% - Акцент4 74" xfId="766" xr:uid="{00000000-0005-0000-0000-0000F9030000}"/>
    <cellStyle name="20% - Акцент4 74 2" xfId="767" xr:uid="{00000000-0005-0000-0000-0000FA030000}"/>
    <cellStyle name="20% - Акцент4 74_Свод гостин" xfId="2844" xr:uid="{00000000-0005-0000-0000-0000FB030000}"/>
    <cellStyle name="20% - Акцент4 75" xfId="768" xr:uid="{00000000-0005-0000-0000-0000FC030000}"/>
    <cellStyle name="20% - Акцент4 75 2" xfId="769" xr:uid="{00000000-0005-0000-0000-0000FD030000}"/>
    <cellStyle name="20% - Акцент4 75_Свод гостин" xfId="2845" xr:uid="{00000000-0005-0000-0000-0000FE030000}"/>
    <cellStyle name="20% - Акцент4 76" xfId="770" xr:uid="{00000000-0005-0000-0000-0000FF030000}"/>
    <cellStyle name="20% - Акцент4 76 2" xfId="771" xr:uid="{00000000-0005-0000-0000-000000040000}"/>
    <cellStyle name="20% - Акцент4 76_Свод гостин" xfId="2846" xr:uid="{00000000-0005-0000-0000-000001040000}"/>
    <cellStyle name="20% - Акцент4 77" xfId="772" xr:uid="{00000000-0005-0000-0000-000002040000}"/>
    <cellStyle name="20% - Акцент4 77 2" xfId="773" xr:uid="{00000000-0005-0000-0000-000003040000}"/>
    <cellStyle name="20% - Акцент4 77_Свод гостин" xfId="2847" xr:uid="{00000000-0005-0000-0000-000004040000}"/>
    <cellStyle name="20% - Акцент4 78" xfId="774" xr:uid="{00000000-0005-0000-0000-000005040000}"/>
    <cellStyle name="20% - Акцент4 78 2" xfId="775" xr:uid="{00000000-0005-0000-0000-000006040000}"/>
    <cellStyle name="20% - Акцент4 78_Свод гостин" xfId="2848" xr:uid="{00000000-0005-0000-0000-000007040000}"/>
    <cellStyle name="20% - Акцент4 79" xfId="776" xr:uid="{00000000-0005-0000-0000-000008040000}"/>
    <cellStyle name="20% - Акцент4 79 2" xfId="777" xr:uid="{00000000-0005-0000-0000-000009040000}"/>
    <cellStyle name="20% - Акцент4 79_Свод гостин" xfId="2849" xr:uid="{00000000-0005-0000-0000-00000A040000}"/>
    <cellStyle name="20% - Акцент4 8" xfId="778" xr:uid="{00000000-0005-0000-0000-00000B040000}"/>
    <cellStyle name="20% - Акцент4 8 2" xfId="779" xr:uid="{00000000-0005-0000-0000-00000C040000}"/>
    <cellStyle name="20% - Акцент4 8_Свод гостин" xfId="2850" xr:uid="{00000000-0005-0000-0000-00000D040000}"/>
    <cellStyle name="20% - Акцент4 80" xfId="780" xr:uid="{00000000-0005-0000-0000-00000E040000}"/>
    <cellStyle name="20% - Акцент4 80 2" xfId="781" xr:uid="{00000000-0005-0000-0000-00000F040000}"/>
    <cellStyle name="20% - Акцент4 80_Свод гостин" xfId="2851" xr:uid="{00000000-0005-0000-0000-000010040000}"/>
    <cellStyle name="20% - Акцент4 81" xfId="782" xr:uid="{00000000-0005-0000-0000-000011040000}"/>
    <cellStyle name="20% - Акцент4 81 2" xfId="783" xr:uid="{00000000-0005-0000-0000-000012040000}"/>
    <cellStyle name="20% - Акцент4 81_Свод гостин" xfId="2852" xr:uid="{00000000-0005-0000-0000-000013040000}"/>
    <cellStyle name="20% - Акцент4 82" xfId="784" xr:uid="{00000000-0005-0000-0000-000014040000}"/>
    <cellStyle name="20% - Акцент4 82 2" xfId="785" xr:uid="{00000000-0005-0000-0000-000015040000}"/>
    <cellStyle name="20% - Акцент4 82_Свод гостин" xfId="2853" xr:uid="{00000000-0005-0000-0000-000016040000}"/>
    <cellStyle name="20% - Акцент4 83" xfId="786" xr:uid="{00000000-0005-0000-0000-000017040000}"/>
    <cellStyle name="20% - Акцент4 83 2" xfId="787" xr:uid="{00000000-0005-0000-0000-000018040000}"/>
    <cellStyle name="20% - Акцент4 83_Свод гостин" xfId="2854" xr:uid="{00000000-0005-0000-0000-000019040000}"/>
    <cellStyle name="20% - Акцент4 9" xfId="788" xr:uid="{00000000-0005-0000-0000-00001A040000}"/>
    <cellStyle name="20% - Акцент4 9 2" xfId="789" xr:uid="{00000000-0005-0000-0000-00001B040000}"/>
    <cellStyle name="20% - Акцент4 9_Свод гостин" xfId="2855" xr:uid="{00000000-0005-0000-0000-00001C040000}"/>
    <cellStyle name="20% - Акцент5 10" xfId="790" xr:uid="{00000000-0005-0000-0000-00001D040000}"/>
    <cellStyle name="20% - Акцент5 10 2" xfId="791" xr:uid="{00000000-0005-0000-0000-00001E040000}"/>
    <cellStyle name="20% - Акцент5 10_Свод гостин" xfId="2856" xr:uid="{00000000-0005-0000-0000-00001F040000}"/>
    <cellStyle name="20% - Акцент5 11" xfId="792" xr:uid="{00000000-0005-0000-0000-000020040000}"/>
    <cellStyle name="20% - Акцент5 11 2" xfId="793" xr:uid="{00000000-0005-0000-0000-000021040000}"/>
    <cellStyle name="20% - Акцент5 11_Свод гостин" xfId="2857" xr:uid="{00000000-0005-0000-0000-000022040000}"/>
    <cellStyle name="20% - Акцент5 12" xfId="794" xr:uid="{00000000-0005-0000-0000-000023040000}"/>
    <cellStyle name="20% - Акцент5 12 2" xfId="795" xr:uid="{00000000-0005-0000-0000-000024040000}"/>
    <cellStyle name="20% - Акцент5 12_Свод гостин" xfId="2858" xr:uid="{00000000-0005-0000-0000-000025040000}"/>
    <cellStyle name="20% - Акцент5 13" xfId="796" xr:uid="{00000000-0005-0000-0000-000026040000}"/>
    <cellStyle name="20% - Акцент5 13 2" xfId="797" xr:uid="{00000000-0005-0000-0000-000027040000}"/>
    <cellStyle name="20% - Акцент5 13_Свод гостин" xfId="2859" xr:uid="{00000000-0005-0000-0000-000028040000}"/>
    <cellStyle name="20% - Акцент5 14" xfId="798" xr:uid="{00000000-0005-0000-0000-000029040000}"/>
    <cellStyle name="20% - Акцент5 14 2" xfId="799" xr:uid="{00000000-0005-0000-0000-00002A040000}"/>
    <cellStyle name="20% - Акцент5 14_Свод гостин" xfId="2860" xr:uid="{00000000-0005-0000-0000-00002B040000}"/>
    <cellStyle name="20% - Акцент5 15" xfId="800" xr:uid="{00000000-0005-0000-0000-00002C040000}"/>
    <cellStyle name="20% - Акцент5 15 2" xfId="801" xr:uid="{00000000-0005-0000-0000-00002D040000}"/>
    <cellStyle name="20% - Акцент5 15_Свод гостин" xfId="2861" xr:uid="{00000000-0005-0000-0000-00002E040000}"/>
    <cellStyle name="20% - Акцент5 16" xfId="802" xr:uid="{00000000-0005-0000-0000-00002F040000}"/>
    <cellStyle name="20% - Акцент5 16 2" xfId="803" xr:uid="{00000000-0005-0000-0000-000030040000}"/>
    <cellStyle name="20% - Акцент5 16_Свод гостин" xfId="2862" xr:uid="{00000000-0005-0000-0000-000031040000}"/>
    <cellStyle name="20% - Акцент5 17" xfId="804" xr:uid="{00000000-0005-0000-0000-000032040000}"/>
    <cellStyle name="20% - Акцент5 17 2" xfId="805" xr:uid="{00000000-0005-0000-0000-000033040000}"/>
    <cellStyle name="20% - Акцент5 17_Свод гостин" xfId="2863" xr:uid="{00000000-0005-0000-0000-000034040000}"/>
    <cellStyle name="20% - Акцент5 18" xfId="806" xr:uid="{00000000-0005-0000-0000-000035040000}"/>
    <cellStyle name="20% - Акцент5 18 2" xfId="807" xr:uid="{00000000-0005-0000-0000-000036040000}"/>
    <cellStyle name="20% - Акцент5 18_Свод гостин" xfId="2864" xr:uid="{00000000-0005-0000-0000-000037040000}"/>
    <cellStyle name="20% - Акцент5 19" xfId="808" xr:uid="{00000000-0005-0000-0000-000038040000}"/>
    <cellStyle name="20% - Акцент5 19 2" xfId="809" xr:uid="{00000000-0005-0000-0000-000039040000}"/>
    <cellStyle name="20% - Акцент5 19_Свод гостин" xfId="2865" xr:uid="{00000000-0005-0000-0000-00003A040000}"/>
    <cellStyle name="20% - Акцент5 2" xfId="810" xr:uid="{00000000-0005-0000-0000-00003B040000}"/>
    <cellStyle name="20% - Акцент5 2 2" xfId="811" xr:uid="{00000000-0005-0000-0000-00003C040000}"/>
    <cellStyle name="20% - Акцент5 2_Свод гостин" xfId="2866" xr:uid="{00000000-0005-0000-0000-00003D040000}"/>
    <cellStyle name="20% - Акцент5 20" xfId="812" xr:uid="{00000000-0005-0000-0000-00003E040000}"/>
    <cellStyle name="20% - Акцент5 20 2" xfId="813" xr:uid="{00000000-0005-0000-0000-00003F040000}"/>
    <cellStyle name="20% - Акцент5 20_Свод гостин" xfId="2867" xr:uid="{00000000-0005-0000-0000-000040040000}"/>
    <cellStyle name="20% - Акцент5 21" xfId="814" xr:uid="{00000000-0005-0000-0000-000041040000}"/>
    <cellStyle name="20% - Акцент5 21 2" xfId="815" xr:uid="{00000000-0005-0000-0000-000042040000}"/>
    <cellStyle name="20% - Акцент5 21_Свод гостин" xfId="2868" xr:uid="{00000000-0005-0000-0000-000043040000}"/>
    <cellStyle name="20% - Акцент5 22" xfId="816" xr:uid="{00000000-0005-0000-0000-000044040000}"/>
    <cellStyle name="20% - Акцент5 22 2" xfId="817" xr:uid="{00000000-0005-0000-0000-000045040000}"/>
    <cellStyle name="20% - Акцент5 22_Свод гостин" xfId="2869" xr:uid="{00000000-0005-0000-0000-000046040000}"/>
    <cellStyle name="20% - Акцент5 23" xfId="818" xr:uid="{00000000-0005-0000-0000-000047040000}"/>
    <cellStyle name="20% - Акцент5 23 2" xfId="819" xr:uid="{00000000-0005-0000-0000-000048040000}"/>
    <cellStyle name="20% - Акцент5 23_Свод гостин" xfId="2870" xr:uid="{00000000-0005-0000-0000-000049040000}"/>
    <cellStyle name="20% - Акцент5 24" xfId="820" xr:uid="{00000000-0005-0000-0000-00004A040000}"/>
    <cellStyle name="20% - Акцент5 24 2" xfId="821" xr:uid="{00000000-0005-0000-0000-00004B040000}"/>
    <cellStyle name="20% - Акцент5 24_Свод гостин" xfId="2871" xr:uid="{00000000-0005-0000-0000-00004C040000}"/>
    <cellStyle name="20% - Акцент5 25" xfId="822" xr:uid="{00000000-0005-0000-0000-00004D040000}"/>
    <cellStyle name="20% - Акцент5 25 2" xfId="823" xr:uid="{00000000-0005-0000-0000-00004E040000}"/>
    <cellStyle name="20% - Акцент5 25_Свод гостин" xfId="2872" xr:uid="{00000000-0005-0000-0000-00004F040000}"/>
    <cellStyle name="20% - Акцент5 26" xfId="824" xr:uid="{00000000-0005-0000-0000-000050040000}"/>
    <cellStyle name="20% - Акцент5 26 2" xfId="825" xr:uid="{00000000-0005-0000-0000-000051040000}"/>
    <cellStyle name="20% - Акцент5 26_Свод гостин" xfId="2873" xr:uid="{00000000-0005-0000-0000-000052040000}"/>
    <cellStyle name="20% - Акцент5 27" xfId="826" xr:uid="{00000000-0005-0000-0000-000053040000}"/>
    <cellStyle name="20% - Акцент5 27 2" xfId="827" xr:uid="{00000000-0005-0000-0000-000054040000}"/>
    <cellStyle name="20% - Акцент5 27_Свод гостин" xfId="2874" xr:uid="{00000000-0005-0000-0000-000055040000}"/>
    <cellStyle name="20% - Акцент5 28" xfId="828" xr:uid="{00000000-0005-0000-0000-000056040000}"/>
    <cellStyle name="20% - Акцент5 28 2" xfId="829" xr:uid="{00000000-0005-0000-0000-000057040000}"/>
    <cellStyle name="20% - Акцент5 28_Свод гостин" xfId="2875" xr:uid="{00000000-0005-0000-0000-000058040000}"/>
    <cellStyle name="20% - Акцент5 29" xfId="830" xr:uid="{00000000-0005-0000-0000-000059040000}"/>
    <cellStyle name="20% - Акцент5 29 2" xfId="831" xr:uid="{00000000-0005-0000-0000-00005A040000}"/>
    <cellStyle name="20% - Акцент5 29_Свод гостин" xfId="2876" xr:uid="{00000000-0005-0000-0000-00005B040000}"/>
    <cellStyle name="20% - Акцент5 3" xfId="832" xr:uid="{00000000-0005-0000-0000-00005C040000}"/>
    <cellStyle name="20% - Акцент5 3 2" xfId="833" xr:uid="{00000000-0005-0000-0000-00005D040000}"/>
    <cellStyle name="20% - Акцент5 3_Свод гостин" xfId="2877" xr:uid="{00000000-0005-0000-0000-00005E040000}"/>
    <cellStyle name="20% - Акцент5 30" xfId="834" xr:uid="{00000000-0005-0000-0000-00005F040000}"/>
    <cellStyle name="20% - Акцент5 30 2" xfId="835" xr:uid="{00000000-0005-0000-0000-000060040000}"/>
    <cellStyle name="20% - Акцент5 30_Свод гостин" xfId="2878" xr:uid="{00000000-0005-0000-0000-000061040000}"/>
    <cellStyle name="20% - Акцент5 31" xfId="836" xr:uid="{00000000-0005-0000-0000-000062040000}"/>
    <cellStyle name="20% - Акцент5 31 2" xfId="837" xr:uid="{00000000-0005-0000-0000-000063040000}"/>
    <cellStyle name="20% - Акцент5 31_Свод гостин" xfId="2879" xr:uid="{00000000-0005-0000-0000-000064040000}"/>
    <cellStyle name="20% - Акцент5 32" xfId="838" xr:uid="{00000000-0005-0000-0000-000065040000}"/>
    <cellStyle name="20% - Акцент5 32 2" xfId="839" xr:uid="{00000000-0005-0000-0000-000066040000}"/>
    <cellStyle name="20% - Акцент5 32_Свод гостин" xfId="2880" xr:uid="{00000000-0005-0000-0000-000067040000}"/>
    <cellStyle name="20% - Акцент5 33" xfId="840" xr:uid="{00000000-0005-0000-0000-000068040000}"/>
    <cellStyle name="20% - Акцент5 33 2" xfId="841" xr:uid="{00000000-0005-0000-0000-000069040000}"/>
    <cellStyle name="20% - Акцент5 33_Свод гостин" xfId="2881" xr:uid="{00000000-0005-0000-0000-00006A040000}"/>
    <cellStyle name="20% - Акцент5 34" xfId="842" xr:uid="{00000000-0005-0000-0000-00006B040000}"/>
    <cellStyle name="20% - Акцент5 34 2" xfId="843" xr:uid="{00000000-0005-0000-0000-00006C040000}"/>
    <cellStyle name="20% - Акцент5 34_Свод гостин" xfId="2882" xr:uid="{00000000-0005-0000-0000-00006D040000}"/>
    <cellStyle name="20% - Акцент5 35" xfId="844" xr:uid="{00000000-0005-0000-0000-00006E040000}"/>
    <cellStyle name="20% - Акцент5 35 2" xfId="845" xr:uid="{00000000-0005-0000-0000-00006F040000}"/>
    <cellStyle name="20% - Акцент5 35_Свод гостин" xfId="2883" xr:uid="{00000000-0005-0000-0000-000070040000}"/>
    <cellStyle name="20% - Акцент5 36" xfId="846" xr:uid="{00000000-0005-0000-0000-000071040000}"/>
    <cellStyle name="20% - Акцент5 36 2" xfId="847" xr:uid="{00000000-0005-0000-0000-000072040000}"/>
    <cellStyle name="20% - Акцент5 36_Свод гостин" xfId="2884" xr:uid="{00000000-0005-0000-0000-000073040000}"/>
    <cellStyle name="20% - Акцент5 37" xfId="848" xr:uid="{00000000-0005-0000-0000-000074040000}"/>
    <cellStyle name="20% - Акцент5 37 2" xfId="849" xr:uid="{00000000-0005-0000-0000-000075040000}"/>
    <cellStyle name="20% - Акцент5 37_Свод гостин" xfId="2885" xr:uid="{00000000-0005-0000-0000-000076040000}"/>
    <cellStyle name="20% - Акцент5 38" xfId="850" xr:uid="{00000000-0005-0000-0000-000077040000}"/>
    <cellStyle name="20% - Акцент5 38 2" xfId="851" xr:uid="{00000000-0005-0000-0000-000078040000}"/>
    <cellStyle name="20% - Акцент5 38_Свод гостин" xfId="2886" xr:uid="{00000000-0005-0000-0000-000079040000}"/>
    <cellStyle name="20% - Акцент5 39" xfId="852" xr:uid="{00000000-0005-0000-0000-00007A040000}"/>
    <cellStyle name="20% - Акцент5 39 2" xfId="853" xr:uid="{00000000-0005-0000-0000-00007B040000}"/>
    <cellStyle name="20% - Акцент5 39_Свод гостин" xfId="2887" xr:uid="{00000000-0005-0000-0000-00007C040000}"/>
    <cellStyle name="20% - Акцент5 4" xfId="854" xr:uid="{00000000-0005-0000-0000-00007D040000}"/>
    <cellStyle name="20% - Акцент5 4 2" xfId="855" xr:uid="{00000000-0005-0000-0000-00007E040000}"/>
    <cellStyle name="20% - Акцент5 4_Свод гостин" xfId="2888" xr:uid="{00000000-0005-0000-0000-00007F040000}"/>
    <cellStyle name="20% - Акцент5 40" xfId="856" xr:uid="{00000000-0005-0000-0000-000080040000}"/>
    <cellStyle name="20% - Акцент5 40 2" xfId="857" xr:uid="{00000000-0005-0000-0000-000081040000}"/>
    <cellStyle name="20% - Акцент5 40_Свод гостин" xfId="2889" xr:uid="{00000000-0005-0000-0000-000082040000}"/>
    <cellStyle name="20% - Акцент5 41" xfId="858" xr:uid="{00000000-0005-0000-0000-000083040000}"/>
    <cellStyle name="20% - Акцент5 41 2" xfId="859" xr:uid="{00000000-0005-0000-0000-000084040000}"/>
    <cellStyle name="20% - Акцент5 41_Свод гостин" xfId="2890" xr:uid="{00000000-0005-0000-0000-000085040000}"/>
    <cellStyle name="20% - Акцент5 42" xfId="860" xr:uid="{00000000-0005-0000-0000-000086040000}"/>
    <cellStyle name="20% - Акцент5 42 2" xfId="861" xr:uid="{00000000-0005-0000-0000-000087040000}"/>
    <cellStyle name="20% - Акцент5 42_Свод гостин" xfId="2891" xr:uid="{00000000-0005-0000-0000-000088040000}"/>
    <cellStyle name="20% - Акцент5 43" xfId="862" xr:uid="{00000000-0005-0000-0000-000089040000}"/>
    <cellStyle name="20% - Акцент5 43 2" xfId="863" xr:uid="{00000000-0005-0000-0000-00008A040000}"/>
    <cellStyle name="20% - Акцент5 43_Свод гостин" xfId="2892" xr:uid="{00000000-0005-0000-0000-00008B040000}"/>
    <cellStyle name="20% - Акцент5 44" xfId="864" xr:uid="{00000000-0005-0000-0000-00008C040000}"/>
    <cellStyle name="20% - Акцент5 44 2" xfId="865" xr:uid="{00000000-0005-0000-0000-00008D040000}"/>
    <cellStyle name="20% - Акцент5 44_Свод гостин" xfId="2893" xr:uid="{00000000-0005-0000-0000-00008E040000}"/>
    <cellStyle name="20% - Акцент5 45" xfId="866" xr:uid="{00000000-0005-0000-0000-00008F040000}"/>
    <cellStyle name="20% - Акцент5 45 2" xfId="867" xr:uid="{00000000-0005-0000-0000-000090040000}"/>
    <cellStyle name="20% - Акцент5 45_Свод гостин" xfId="2894" xr:uid="{00000000-0005-0000-0000-000091040000}"/>
    <cellStyle name="20% - Акцент5 46" xfId="868" xr:uid="{00000000-0005-0000-0000-000092040000}"/>
    <cellStyle name="20% - Акцент5 46 2" xfId="869" xr:uid="{00000000-0005-0000-0000-000093040000}"/>
    <cellStyle name="20% - Акцент5 46_Свод гостин" xfId="2895" xr:uid="{00000000-0005-0000-0000-000094040000}"/>
    <cellStyle name="20% - Акцент5 47" xfId="870" xr:uid="{00000000-0005-0000-0000-000095040000}"/>
    <cellStyle name="20% - Акцент5 47 2" xfId="871" xr:uid="{00000000-0005-0000-0000-000096040000}"/>
    <cellStyle name="20% - Акцент5 47_Свод гостин" xfId="2896" xr:uid="{00000000-0005-0000-0000-000097040000}"/>
    <cellStyle name="20% - Акцент5 48" xfId="872" xr:uid="{00000000-0005-0000-0000-000098040000}"/>
    <cellStyle name="20% - Акцент5 48 2" xfId="873" xr:uid="{00000000-0005-0000-0000-000099040000}"/>
    <cellStyle name="20% - Акцент5 48_Свод гостин" xfId="2897" xr:uid="{00000000-0005-0000-0000-00009A040000}"/>
    <cellStyle name="20% - Акцент5 49" xfId="874" xr:uid="{00000000-0005-0000-0000-00009B040000}"/>
    <cellStyle name="20% - Акцент5 49 2" xfId="875" xr:uid="{00000000-0005-0000-0000-00009C040000}"/>
    <cellStyle name="20% - Акцент5 49_Свод гостин" xfId="2898" xr:uid="{00000000-0005-0000-0000-00009D040000}"/>
    <cellStyle name="20% - Акцент5 5" xfId="876" xr:uid="{00000000-0005-0000-0000-00009E040000}"/>
    <cellStyle name="20% - Акцент5 5 2" xfId="877" xr:uid="{00000000-0005-0000-0000-00009F040000}"/>
    <cellStyle name="20% - Акцент5 5_Свод гостин" xfId="2899" xr:uid="{00000000-0005-0000-0000-0000A0040000}"/>
    <cellStyle name="20% - Акцент5 50" xfId="878" xr:uid="{00000000-0005-0000-0000-0000A1040000}"/>
    <cellStyle name="20% - Акцент5 50 2" xfId="879" xr:uid="{00000000-0005-0000-0000-0000A2040000}"/>
    <cellStyle name="20% - Акцент5 50_Свод гостин" xfId="2900" xr:uid="{00000000-0005-0000-0000-0000A3040000}"/>
    <cellStyle name="20% - Акцент5 51" xfId="880" xr:uid="{00000000-0005-0000-0000-0000A4040000}"/>
    <cellStyle name="20% - Акцент5 51 2" xfId="881" xr:uid="{00000000-0005-0000-0000-0000A5040000}"/>
    <cellStyle name="20% - Акцент5 51_Свод гостин" xfId="2901" xr:uid="{00000000-0005-0000-0000-0000A6040000}"/>
    <cellStyle name="20% - Акцент5 52" xfId="882" xr:uid="{00000000-0005-0000-0000-0000A7040000}"/>
    <cellStyle name="20% - Акцент5 52 2" xfId="883" xr:uid="{00000000-0005-0000-0000-0000A8040000}"/>
    <cellStyle name="20% - Акцент5 52_Свод гостин" xfId="2902" xr:uid="{00000000-0005-0000-0000-0000A9040000}"/>
    <cellStyle name="20% - Акцент5 53" xfId="884" xr:uid="{00000000-0005-0000-0000-0000AA040000}"/>
    <cellStyle name="20% - Акцент5 53 2" xfId="885" xr:uid="{00000000-0005-0000-0000-0000AB040000}"/>
    <cellStyle name="20% - Акцент5 53_Свод гостин" xfId="2903" xr:uid="{00000000-0005-0000-0000-0000AC040000}"/>
    <cellStyle name="20% - Акцент5 54" xfId="886" xr:uid="{00000000-0005-0000-0000-0000AD040000}"/>
    <cellStyle name="20% - Акцент5 54 2" xfId="887" xr:uid="{00000000-0005-0000-0000-0000AE040000}"/>
    <cellStyle name="20% - Акцент5 54_Свод гостин" xfId="2904" xr:uid="{00000000-0005-0000-0000-0000AF040000}"/>
    <cellStyle name="20% - Акцент5 55" xfId="888" xr:uid="{00000000-0005-0000-0000-0000B0040000}"/>
    <cellStyle name="20% - Акцент5 55 2" xfId="889" xr:uid="{00000000-0005-0000-0000-0000B1040000}"/>
    <cellStyle name="20% - Акцент5 55_Свод гостин" xfId="2905" xr:uid="{00000000-0005-0000-0000-0000B2040000}"/>
    <cellStyle name="20% - Акцент5 56" xfId="890" xr:uid="{00000000-0005-0000-0000-0000B3040000}"/>
    <cellStyle name="20% - Акцент5 56 2" xfId="891" xr:uid="{00000000-0005-0000-0000-0000B4040000}"/>
    <cellStyle name="20% - Акцент5 56_Свод гостин" xfId="2906" xr:uid="{00000000-0005-0000-0000-0000B5040000}"/>
    <cellStyle name="20% - Акцент5 57" xfId="892" xr:uid="{00000000-0005-0000-0000-0000B6040000}"/>
    <cellStyle name="20% - Акцент5 57 2" xfId="893" xr:uid="{00000000-0005-0000-0000-0000B7040000}"/>
    <cellStyle name="20% - Акцент5 57_Свод гостин" xfId="2907" xr:uid="{00000000-0005-0000-0000-0000B8040000}"/>
    <cellStyle name="20% - Акцент5 58" xfId="894" xr:uid="{00000000-0005-0000-0000-0000B9040000}"/>
    <cellStyle name="20% - Акцент5 58 2" xfId="895" xr:uid="{00000000-0005-0000-0000-0000BA040000}"/>
    <cellStyle name="20% - Акцент5 58_Свод гостин" xfId="2908" xr:uid="{00000000-0005-0000-0000-0000BB040000}"/>
    <cellStyle name="20% - Акцент5 59" xfId="896" xr:uid="{00000000-0005-0000-0000-0000BC040000}"/>
    <cellStyle name="20% - Акцент5 59 2" xfId="897" xr:uid="{00000000-0005-0000-0000-0000BD040000}"/>
    <cellStyle name="20% - Акцент5 59_Свод гостин" xfId="2909" xr:uid="{00000000-0005-0000-0000-0000BE040000}"/>
    <cellStyle name="20% - Акцент5 6" xfId="898" xr:uid="{00000000-0005-0000-0000-0000BF040000}"/>
    <cellStyle name="20% - Акцент5 6 2" xfId="899" xr:uid="{00000000-0005-0000-0000-0000C0040000}"/>
    <cellStyle name="20% - Акцент5 6_Свод гостин" xfId="2910" xr:uid="{00000000-0005-0000-0000-0000C1040000}"/>
    <cellStyle name="20% - Акцент5 60" xfId="900" xr:uid="{00000000-0005-0000-0000-0000C2040000}"/>
    <cellStyle name="20% - Акцент5 60 2" xfId="901" xr:uid="{00000000-0005-0000-0000-0000C3040000}"/>
    <cellStyle name="20% - Акцент5 60_Свод гостин" xfId="2911" xr:uid="{00000000-0005-0000-0000-0000C4040000}"/>
    <cellStyle name="20% - Акцент5 61" xfId="902" xr:uid="{00000000-0005-0000-0000-0000C5040000}"/>
    <cellStyle name="20% - Акцент5 61 2" xfId="903" xr:uid="{00000000-0005-0000-0000-0000C6040000}"/>
    <cellStyle name="20% - Акцент5 61_Свод гостин" xfId="2912" xr:uid="{00000000-0005-0000-0000-0000C7040000}"/>
    <cellStyle name="20% - Акцент5 62" xfId="904" xr:uid="{00000000-0005-0000-0000-0000C8040000}"/>
    <cellStyle name="20% - Акцент5 62 2" xfId="905" xr:uid="{00000000-0005-0000-0000-0000C9040000}"/>
    <cellStyle name="20% - Акцент5 62_Свод гостин" xfId="2913" xr:uid="{00000000-0005-0000-0000-0000CA040000}"/>
    <cellStyle name="20% - Акцент5 63" xfId="906" xr:uid="{00000000-0005-0000-0000-0000CB040000}"/>
    <cellStyle name="20% - Акцент5 63 2" xfId="907" xr:uid="{00000000-0005-0000-0000-0000CC040000}"/>
    <cellStyle name="20% - Акцент5 63_Свод гостин" xfId="2914" xr:uid="{00000000-0005-0000-0000-0000CD040000}"/>
    <cellStyle name="20% - Акцент5 64" xfId="908" xr:uid="{00000000-0005-0000-0000-0000CE040000}"/>
    <cellStyle name="20% - Акцент5 64 2" xfId="909" xr:uid="{00000000-0005-0000-0000-0000CF040000}"/>
    <cellStyle name="20% - Акцент5 64_Свод гостин" xfId="2915" xr:uid="{00000000-0005-0000-0000-0000D0040000}"/>
    <cellStyle name="20% - Акцент5 65" xfId="910" xr:uid="{00000000-0005-0000-0000-0000D1040000}"/>
    <cellStyle name="20% - Акцент5 65 2" xfId="911" xr:uid="{00000000-0005-0000-0000-0000D2040000}"/>
    <cellStyle name="20% - Акцент5 65_Свод гостин" xfId="2916" xr:uid="{00000000-0005-0000-0000-0000D3040000}"/>
    <cellStyle name="20% - Акцент5 66" xfId="912" xr:uid="{00000000-0005-0000-0000-0000D4040000}"/>
    <cellStyle name="20% - Акцент5 66 2" xfId="913" xr:uid="{00000000-0005-0000-0000-0000D5040000}"/>
    <cellStyle name="20% - Акцент5 66_Свод гостин" xfId="2917" xr:uid="{00000000-0005-0000-0000-0000D6040000}"/>
    <cellStyle name="20% - Акцент5 67" xfId="914" xr:uid="{00000000-0005-0000-0000-0000D7040000}"/>
    <cellStyle name="20% - Акцент5 67 2" xfId="915" xr:uid="{00000000-0005-0000-0000-0000D8040000}"/>
    <cellStyle name="20% - Акцент5 67_Свод гостин" xfId="2918" xr:uid="{00000000-0005-0000-0000-0000D9040000}"/>
    <cellStyle name="20% - Акцент5 68" xfId="916" xr:uid="{00000000-0005-0000-0000-0000DA040000}"/>
    <cellStyle name="20% - Акцент5 68 2" xfId="917" xr:uid="{00000000-0005-0000-0000-0000DB040000}"/>
    <cellStyle name="20% - Акцент5 68_Свод гостин" xfId="2919" xr:uid="{00000000-0005-0000-0000-0000DC040000}"/>
    <cellStyle name="20% - Акцент5 69" xfId="918" xr:uid="{00000000-0005-0000-0000-0000DD040000}"/>
    <cellStyle name="20% - Акцент5 69 2" xfId="919" xr:uid="{00000000-0005-0000-0000-0000DE040000}"/>
    <cellStyle name="20% - Акцент5 69_Свод гостин" xfId="2920" xr:uid="{00000000-0005-0000-0000-0000DF040000}"/>
    <cellStyle name="20% - Акцент5 7" xfId="920" xr:uid="{00000000-0005-0000-0000-0000E0040000}"/>
    <cellStyle name="20% - Акцент5 7 2" xfId="921" xr:uid="{00000000-0005-0000-0000-0000E1040000}"/>
    <cellStyle name="20% - Акцент5 7_Свод гостин" xfId="2921" xr:uid="{00000000-0005-0000-0000-0000E2040000}"/>
    <cellStyle name="20% - Акцент5 70" xfId="922" xr:uid="{00000000-0005-0000-0000-0000E3040000}"/>
    <cellStyle name="20% - Акцент5 70 2" xfId="923" xr:uid="{00000000-0005-0000-0000-0000E4040000}"/>
    <cellStyle name="20% - Акцент5 70_Свод гостин" xfId="2922" xr:uid="{00000000-0005-0000-0000-0000E5040000}"/>
    <cellStyle name="20% - Акцент5 71" xfId="924" xr:uid="{00000000-0005-0000-0000-0000E6040000}"/>
    <cellStyle name="20% - Акцент5 71 2" xfId="925" xr:uid="{00000000-0005-0000-0000-0000E7040000}"/>
    <cellStyle name="20% - Акцент5 71_Свод гостин" xfId="2923" xr:uid="{00000000-0005-0000-0000-0000E8040000}"/>
    <cellStyle name="20% - Акцент5 72" xfId="926" xr:uid="{00000000-0005-0000-0000-0000E9040000}"/>
    <cellStyle name="20% - Акцент5 72 2" xfId="927" xr:uid="{00000000-0005-0000-0000-0000EA040000}"/>
    <cellStyle name="20% - Акцент5 72_Свод гостин" xfId="2924" xr:uid="{00000000-0005-0000-0000-0000EB040000}"/>
    <cellStyle name="20% - Акцент5 73" xfId="928" xr:uid="{00000000-0005-0000-0000-0000EC040000}"/>
    <cellStyle name="20% - Акцент5 73 2" xfId="929" xr:uid="{00000000-0005-0000-0000-0000ED040000}"/>
    <cellStyle name="20% - Акцент5 73_Свод гостин" xfId="2925" xr:uid="{00000000-0005-0000-0000-0000EE040000}"/>
    <cellStyle name="20% - Акцент5 74" xfId="930" xr:uid="{00000000-0005-0000-0000-0000EF040000}"/>
    <cellStyle name="20% - Акцент5 74 2" xfId="931" xr:uid="{00000000-0005-0000-0000-0000F0040000}"/>
    <cellStyle name="20% - Акцент5 74_Свод гостин" xfId="2926" xr:uid="{00000000-0005-0000-0000-0000F1040000}"/>
    <cellStyle name="20% - Акцент5 75" xfId="932" xr:uid="{00000000-0005-0000-0000-0000F2040000}"/>
    <cellStyle name="20% - Акцент5 75 2" xfId="933" xr:uid="{00000000-0005-0000-0000-0000F3040000}"/>
    <cellStyle name="20% - Акцент5 75_Свод гостин" xfId="2927" xr:uid="{00000000-0005-0000-0000-0000F4040000}"/>
    <cellStyle name="20% - Акцент5 76" xfId="934" xr:uid="{00000000-0005-0000-0000-0000F5040000}"/>
    <cellStyle name="20% - Акцент5 76 2" xfId="935" xr:uid="{00000000-0005-0000-0000-0000F6040000}"/>
    <cellStyle name="20% - Акцент5 76_Свод гостин" xfId="2928" xr:uid="{00000000-0005-0000-0000-0000F7040000}"/>
    <cellStyle name="20% - Акцент5 77" xfId="936" xr:uid="{00000000-0005-0000-0000-0000F8040000}"/>
    <cellStyle name="20% - Акцент5 77 2" xfId="937" xr:uid="{00000000-0005-0000-0000-0000F9040000}"/>
    <cellStyle name="20% - Акцент5 77_Свод гостин" xfId="2929" xr:uid="{00000000-0005-0000-0000-0000FA040000}"/>
    <cellStyle name="20% - Акцент5 78" xfId="938" xr:uid="{00000000-0005-0000-0000-0000FB040000}"/>
    <cellStyle name="20% - Акцент5 78 2" xfId="939" xr:uid="{00000000-0005-0000-0000-0000FC040000}"/>
    <cellStyle name="20% - Акцент5 78_Свод гостин" xfId="2930" xr:uid="{00000000-0005-0000-0000-0000FD040000}"/>
    <cellStyle name="20% - Акцент5 79" xfId="940" xr:uid="{00000000-0005-0000-0000-0000FE040000}"/>
    <cellStyle name="20% - Акцент5 79 2" xfId="941" xr:uid="{00000000-0005-0000-0000-0000FF040000}"/>
    <cellStyle name="20% - Акцент5 79_Свод гостин" xfId="2931" xr:uid="{00000000-0005-0000-0000-000000050000}"/>
    <cellStyle name="20% - Акцент5 8" xfId="942" xr:uid="{00000000-0005-0000-0000-000001050000}"/>
    <cellStyle name="20% - Акцент5 8 2" xfId="943" xr:uid="{00000000-0005-0000-0000-000002050000}"/>
    <cellStyle name="20% - Акцент5 8_Свод гостин" xfId="2932" xr:uid="{00000000-0005-0000-0000-000003050000}"/>
    <cellStyle name="20% - Акцент5 80" xfId="944" xr:uid="{00000000-0005-0000-0000-000004050000}"/>
    <cellStyle name="20% - Акцент5 80 2" xfId="945" xr:uid="{00000000-0005-0000-0000-000005050000}"/>
    <cellStyle name="20% - Акцент5 80_Свод гостин" xfId="2933" xr:uid="{00000000-0005-0000-0000-000006050000}"/>
    <cellStyle name="20% - Акцент5 81" xfId="946" xr:uid="{00000000-0005-0000-0000-000007050000}"/>
    <cellStyle name="20% - Акцент5 81 2" xfId="947" xr:uid="{00000000-0005-0000-0000-000008050000}"/>
    <cellStyle name="20% - Акцент5 81_Свод гостин" xfId="2934" xr:uid="{00000000-0005-0000-0000-000009050000}"/>
    <cellStyle name="20% - Акцент5 82" xfId="948" xr:uid="{00000000-0005-0000-0000-00000A050000}"/>
    <cellStyle name="20% - Акцент5 82 2" xfId="949" xr:uid="{00000000-0005-0000-0000-00000B050000}"/>
    <cellStyle name="20% - Акцент5 82_Свод гостин" xfId="2935" xr:uid="{00000000-0005-0000-0000-00000C050000}"/>
    <cellStyle name="20% - Акцент5 83" xfId="950" xr:uid="{00000000-0005-0000-0000-00000D050000}"/>
    <cellStyle name="20% - Акцент5 83 2" xfId="951" xr:uid="{00000000-0005-0000-0000-00000E050000}"/>
    <cellStyle name="20% - Акцент5 83_Свод гостин" xfId="2936" xr:uid="{00000000-0005-0000-0000-00000F050000}"/>
    <cellStyle name="20% - Акцент5 9" xfId="952" xr:uid="{00000000-0005-0000-0000-000010050000}"/>
    <cellStyle name="20% - Акцент5 9 2" xfId="953" xr:uid="{00000000-0005-0000-0000-000011050000}"/>
    <cellStyle name="20% - Акцент5 9_Свод гостин" xfId="2937" xr:uid="{00000000-0005-0000-0000-000012050000}"/>
    <cellStyle name="20% - Акцент6 10" xfId="954" xr:uid="{00000000-0005-0000-0000-000013050000}"/>
    <cellStyle name="20% - Акцент6 10 2" xfId="955" xr:uid="{00000000-0005-0000-0000-000014050000}"/>
    <cellStyle name="20% - Акцент6 10_Свод гостин" xfId="2938" xr:uid="{00000000-0005-0000-0000-000015050000}"/>
    <cellStyle name="20% - Акцент6 11" xfId="956" xr:uid="{00000000-0005-0000-0000-000016050000}"/>
    <cellStyle name="20% - Акцент6 11 2" xfId="957" xr:uid="{00000000-0005-0000-0000-000017050000}"/>
    <cellStyle name="20% - Акцент6 11_Свод гостин" xfId="2939" xr:uid="{00000000-0005-0000-0000-000018050000}"/>
    <cellStyle name="20% - Акцент6 12" xfId="958" xr:uid="{00000000-0005-0000-0000-000019050000}"/>
    <cellStyle name="20% - Акцент6 12 2" xfId="959" xr:uid="{00000000-0005-0000-0000-00001A050000}"/>
    <cellStyle name="20% - Акцент6 12_Свод гостин" xfId="2940" xr:uid="{00000000-0005-0000-0000-00001B050000}"/>
    <cellStyle name="20% - Акцент6 13" xfId="960" xr:uid="{00000000-0005-0000-0000-00001C050000}"/>
    <cellStyle name="20% - Акцент6 13 2" xfId="961" xr:uid="{00000000-0005-0000-0000-00001D050000}"/>
    <cellStyle name="20% - Акцент6 13_Свод гостин" xfId="2941" xr:uid="{00000000-0005-0000-0000-00001E050000}"/>
    <cellStyle name="20% - Акцент6 14" xfId="962" xr:uid="{00000000-0005-0000-0000-00001F050000}"/>
    <cellStyle name="20% - Акцент6 14 2" xfId="963" xr:uid="{00000000-0005-0000-0000-000020050000}"/>
    <cellStyle name="20% - Акцент6 14_Свод гостин" xfId="2942" xr:uid="{00000000-0005-0000-0000-000021050000}"/>
    <cellStyle name="20% - Акцент6 15" xfId="964" xr:uid="{00000000-0005-0000-0000-000022050000}"/>
    <cellStyle name="20% - Акцент6 15 2" xfId="965" xr:uid="{00000000-0005-0000-0000-000023050000}"/>
    <cellStyle name="20% - Акцент6 15_Свод гостин" xfId="2943" xr:uid="{00000000-0005-0000-0000-000024050000}"/>
    <cellStyle name="20% - Акцент6 16" xfId="966" xr:uid="{00000000-0005-0000-0000-000025050000}"/>
    <cellStyle name="20% - Акцент6 16 2" xfId="967" xr:uid="{00000000-0005-0000-0000-000026050000}"/>
    <cellStyle name="20% - Акцент6 16_Свод гостин" xfId="2944" xr:uid="{00000000-0005-0000-0000-000027050000}"/>
    <cellStyle name="20% - Акцент6 17" xfId="968" xr:uid="{00000000-0005-0000-0000-000028050000}"/>
    <cellStyle name="20% - Акцент6 17 2" xfId="969" xr:uid="{00000000-0005-0000-0000-000029050000}"/>
    <cellStyle name="20% - Акцент6 17_Свод гостин" xfId="2945" xr:uid="{00000000-0005-0000-0000-00002A050000}"/>
    <cellStyle name="20% - Акцент6 18" xfId="970" xr:uid="{00000000-0005-0000-0000-00002B050000}"/>
    <cellStyle name="20% - Акцент6 18 2" xfId="971" xr:uid="{00000000-0005-0000-0000-00002C050000}"/>
    <cellStyle name="20% - Акцент6 18_Свод гостин" xfId="2946" xr:uid="{00000000-0005-0000-0000-00002D050000}"/>
    <cellStyle name="20% - Акцент6 19" xfId="972" xr:uid="{00000000-0005-0000-0000-00002E050000}"/>
    <cellStyle name="20% - Акцент6 19 2" xfId="973" xr:uid="{00000000-0005-0000-0000-00002F050000}"/>
    <cellStyle name="20% - Акцент6 19_Свод гостин" xfId="2947" xr:uid="{00000000-0005-0000-0000-000030050000}"/>
    <cellStyle name="20% - Акцент6 2" xfId="974" xr:uid="{00000000-0005-0000-0000-000031050000}"/>
    <cellStyle name="20% - Акцент6 2 2" xfId="975" xr:uid="{00000000-0005-0000-0000-000032050000}"/>
    <cellStyle name="20% - Акцент6 2_Свод гостин" xfId="2948" xr:uid="{00000000-0005-0000-0000-000033050000}"/>
    <cellStyle name="20% - Акцент6 20" xfId="976" xr:uid="{00000000-0005-0000-0000-000034050000}"/>
    <cellStyle name="20% - Акцент6 20 2" xfId="977" xr:uid="{00000000-0005-0000-0000-000035050000}"/>
    <cellStyle name="20% - Акцент6 20_Свод гостин" xfId="2949" xr:uid="{00000000-0005-0000-0000-000036050000}"/>
    <cellStyle name="20% - Акцент6 21" xfId="978" xr:uid="{00000000-0005-0000-0000-000037050000}"/>
    <cellStyle name="20% - Акцент6 21 2" xfId="979" xr:uid="{00000000-0005-0000-0000-000038050000}"/>
    <cellStyle name="20% - Акцент6 21_Свод гостин" xfId="2950" xr:uid="{00000000-0005-0000-0000-000039050000}"/>
    <cellStyle name="20% - Акцент6 22" xfId="980" xr:uid="{00000000-0005-0000-0000-00003A050000}"/>
    <cellStyle name="20% - Акцент6 22 2" xfId="981" xr:uid="{00000000-0005-0000-0000-00003B050000}"/>
    <cellStyle name="20% - Акцент6 22_Свод гостин" xfId="2951" xr:uid="{00000000-0005-0000-0000-00003C050000}"/>
    <cellStyle name="20% - Акцент6 23" xfId="982" xr:uid="{00000000-0005-0000-0000-00003D050000}"/>
    <cellStyle name="20% - Акцент6 23 2" xfId="983" xr:uid="{00000000-0005-0000-0000-00003E050000}"/>
    <cellStyle name="20% - Акцент6 23_Свод гостин" xfId="2952" xr:uid="{00000000-0005-0000-0000-00003F050000}"/>
    <cellStyle name="20% - Акцент6 24" xfId="984" xr:uid="{00000000-0005-0000-0000-000040050000}"/>
    <cellStyle name="20% - Акцент6 24 2" xfId="985" xr:uid="{00000000-0005-0000-0000-000041050000}"/>
    <cellStyle name="20% - Акцент6 24_Свод гостин" xfId="2953" xr:uid="{00000000-0005-0000-0000-000042050000}"/>
    <cellStyle name="20% - Акцент6 25" xfId="986" xr:uid="{00000000-0005-0000-0000-000043050000}"/>
    <cellStyle name="20% - Акцент6 25 2" xfId="987" xr:uid="{00000000-0005-0000-0000-000044050000}"/>
    <cellStyle name="20% - Акцент6 25_Свод гостин" xfId="2954" xr:uid="{00000000-0005-0000-0000-000045050000}"/>
    <cellStyle name="20% - Акцент6 26" xfId="988" xr:uid="{00000000-0005-0000-0000-000046050000}"/>
    <cellStyle name="20% - Акцент6 26 2" xfId="989" xr:uid="{00000000-0005-0000-0000-000047050000}"/>
    <cellStyle name="20% - Акцент6 26_Свод гостин" xfId="2955" xr:uid="{00000000-0005-0000-0000-000048050000}"/>
    <cellStyle name="20% - Акцент6 27" xfId="990" xr:uid="{00000000-0005-0000-0000-000049050000}"/>
    <cellStyle name="20% - Акцент6 27 2" xfId="991" xr:uid="{00000000-0005-0000-0000-00004A050000}"/>
    <cellStyle name="20% - Акцент6 27_Свод гостин" xfId="2956" xr:uid="{00000000-0005-0000-0000-00004B050000}"/>
    <cellStyle name="20% - Акцент6 28" xfId="992" xr:uid="{00000000-0005-0000-0000-00004C050000}"/>
    <cellStyle name="20% - Акцент6 28 2" xfId="993" xr:uid="{00000000-0005-0000-0000-00004D050000}"/>
    <cellStyle name="20% - Акцент6 28_Свод гостин" xfId="2957" xr:uid="{00000000-0005-0000-0000-00004E050000}"/>
    <cellStyle name="20% - Акцент6 29" xfId="994" xr:uid="{00000000-0005-0000-0000-00004F050000}"/>
    <cellStyle name="20% - Акцент6 29 2" xfId="995" xr:uid="{00000000-0005-0000-0000-000050050000}"/>
    <cellStyle name="20% - Акцент6 29_Свод гостин" xfId="2958" xr:uid="{00000000-0005-0000-0000-000051050000}"/>
    <cellStyle name="20% - Акцент6 3" xfId="996" xr:uid="{00000000-0005-0000-0000-000052050000}"/>
    <cellStyle name="20% - Акцент6 3 2" xfId="997" xr:uid="{00000000-0005-0000-0000-000053050000}"/>
    <cellStyle name="20% - Акцент6 3_Свод гостин" xfId="2959" xr:uid="{00000000-0005-0000-0000-000054050000}"/>
    <cellStyle name="20% - Акцент6 30" xfId="998" xr:uid="{00000000-0005-0000-0000-000055050000}"/>
    <cellStyle name="20% - Акцент6 30 2" xfId="999" xr:uid="{00000000-0005-0000-0000-000056050000}"/>
    <cellStyle name="20% - Акцент6 30_Свод гостин" xfId="2960" xr:uid="{00000000-0005-0000-0000-000057050000}"/>
    <cellStyle name="20% - Акцент6 31" xfId="1000" xr:uid="{00000000-0005-0000-0000-000058050000}"/>
    <cellStyle name="20% - Акцент6 31 2" xfId="1001" xr:uid="{00000000-0005-0000-0000-000059050000}"/>
    <cellStyle name="20% - Акцент6 31_Свод гостин" xfId="2961" xr:uid="{00000000-0005-0000-0000-00005A050000}"/>
    <cellStyle name="20% - Акцент6 32" xfId="1002" xr:uid="{00000000-0005-0000-0000-00005B050000}"/>
    <cellStyle name="20% - Акцент6 32 2" xfId="1003" xr:uid="{00000000-0005-0000-0000-00005C050000}"/>
    <cellStyle name="20% - Акцент6 32_Свод гостин" xfId="2962" xr:uid="{00000000-0005-0000-0000-00005D050000}"/>
    <cellStyle name="20% - Акцент6 33" xfId="1004" xr:uid="{00000000-0005-0000-0000-00005E050000}"/>
    <cellStyle name="20% - Акцент6 33 2" xfId="1005" xr:uid="{00000000-0005-0000-0000-00005F050000}"/>
    <cellStyle name="20% - Акцент6 33_Свод гостин" xfId="2963" xr:uid="{00000000-0005-0000-0000-000060050000}"/>
    <cellStyle name="20% - Акцент6 34" xfId="1006" xr:uid="{00000000-0005-0000-0000-000061050000}"/>
    <cellStyle name="20% - Акцент6 34 2" xfId="1007" xr:uid="{00000000-0005-0000-0000-000062050000}"/>
    <cellStyle name="20% - Акцент6 34_Свод гостин" xfId="2964" xr:uid="{00000000-0005-0000-0000-000063050000}"/>
    <cellStyle name="20% - Акцент6 35" xfId="1008" xr:uid="{00000000-0005-0000-0000-000064050000}"/>
    <cellStyle name="20% - Акцент6 35 2" xfId="1009" xr:uid="{00000000-0005-0000-0000-000065050000}"/>
    <cellStyle name="20% - Акцент6 35_Свод гостин" xfId="2965" xr:uid="{00000000-0005-0000-0000-000066050000}"/>
    <cellStyle name="20% - Акцент6 36" xfId="1010" xr:uid="{00000000-0005-0000-0000-000067050000}"/>
    <cellStyle name="20% - Акцент6 36 2" xfId="1011" xr:uid="{00000000-0005-0000-0000-000068050000}"/>
    <cellStyle name="20% - Акцент6 36_Свод гостин" xfId="2966" xr:uid="{00000000-0005-0000-0000-000069050000}"/>
    <cellStyle name="20% - Акцент6 37" xfId="1012" xr:uid="{00000000-0005-0000-0000-00006A050000}"/>
    <cellStyle name="20% - Акцент6 37 2" xfId="1013" xr:uid="{00000000-0005-0000-0000-00006B050000}"/>
    <cellStyle name="20% - Акцент6 37_Свод гостин" xfId="2967" xr:uid="{00000000-0005-0000-0000-00006C050000}"/>
    <cellStyle name="20% - Акцент6 38" xfId="1014" xr:uid="{00000000-0005-0000-0000-00006D050000}"/>
    <cellStyle name="20% - Акцент6 38 2" xfId="1015" xr:uid="{00000000-0005-0000-0000-00006E050000}"/>
    <cellStyle name="20% - Акцент6 38_Свод гостин" xfId="2968" xr:uid="{00000000-0005-0000-0000-00006F050000}"/>
    <cellStyle name="20% - Акцент6 39" xfId="1016" xr:uid="{00000000-0005-0000-0000-000070050000}"/>
    <cellStyle name="20% - Акцент6 39 2" xfId="1017" xr:uid="{00000000-0005-0000-0000-000071050000}"/>
    <cellStyle name="20% - Акцент6 39_Свод гостин" xfId="2969" xr:uid="{00000000-0005-0000-0000-000072050000}"/>
    <cellStyle name="20% - Акцент6 4" xfId="1018" xr:uid="{00000000-0005-0000-0000-000073050000}"/>
    <cellStyle name="20% - Акцент6 4 2" xfId="1019" xr:uid="{00000000-0005-0000-0000-000074050000}"/>
    <cellStyle name="20% - Акцент6 4_Свод гостин" xfId="2970" xr:uid="{00000000-0005-0000-0000-000075050000}"/>
    <cellStyle name="20% - Акцент6 40" xfId="1020" xr:uid="{00000000-0005-0000-0000-000076050000}"/>
    <cellStyle name="20% - Акцент6 40 2" xfId="1021" xr:uid="{00000000-0005-0000-0000-000077050000}"/>
    <cellStyle name="20% - Акцент6 40_Свод гостин" xfId="2971" xr:uid="{00000000-0005-0000-0000-000078050000}"/>
    <cellStyle name="20% - Акцент6 41" xfId="1022" xr:uid="{00000000-0005-0000-0000-000079050000}"/>
    <cellStyle name="20% - Акцент6 41 2" xfId="1023" xr:uid="{00000000-0005-0000-0000-00007A050000}"/>
    <cellStyle name="20% - Акцент6 41_Свод гостин" xfId="2972" xr:uid="{00000000-0005-0000-0000-00007B050000}"/>
    <cellStyle name="20% - Акцент6 42" xfId="1024" xr:uid="{00000000-0005-0000-0000-00007C050000}"/>
    <cellStyle name="20% - Акцент6 42 2" xfId="1025" xr:uid="{00000000-0005-0000-0000-00007D050000}"/>
    <cellStyle name="20% - Акцент6 42_Свод гостин" xfId="2973" xr:uid="{00000000-0005-0000-0000-00007E050000}"/>
    <cellStyle name="20% - Акцент6 43" xfId="1026" xr:uid="{00000000-0005-0000-0000-00007F050000}"/>
    <cellStyle name="20% - Акцент6 43 2" xfId="1027" xr:uid="{00000000-0005-0000-0000-000080050000}"/>
    <cellStyle name="20% - Акцент6 43_Свод гостин" xfId="2974" xr:uid="{00000000-0005-0000-0000-000081050000}"/>
    <cellStyle name="20% - Акцент6 44" xfId="1028" xr:uid="{00000000-0005-0000-0000-000082050000}"/>
    <cellStyle name="20% - Акцент6 44 2" xfId="1029" xr:uid="{00000000-0005-0000-0000-000083050000}"/>
    <cellStyle name="20% - Акцент6 44_Свод гостин" xfId="2975" xr:uid="{00000000-0005-0000-0000-000084050000}"/>
    <cellStyle name="20% - Акцент6 45" xfId="1030" xr:uid="{00000000-0005-0000-0000-000085050000}"/>
    <cellStyle name="20% - Акцент6 45 2" xfId="1031" xr:uid="{00000000-0005-0000-0000-000086050000}"/>
    <cellStyle name="20% - Акцент6 45_Свод гостин" xfId="2976" xr:uid="{00000000-0005-0000-0000-000087050000}"/>
    <cellStyle name="20% - Акцент6 46" xfId="1032" xr:uid="{00000000-0005-0000-0000-000088050000}"/>
    <cellStyle name="20% - Акцент6 46 2" xfId="1033" xr:uid="{00000000-0005-0000-0000-000089050000}"/>
    <cellStyle name="20% - Акцент6 46_Свод гостин" xfId="2977" xr:uid="{00000000-0005-0000-0000-00008A050000}"/>
    <cellStyle name="20% - Акцент6 47" xfId="1034" xr:uid="{00000000-0005-0000-0000-00008B050000}"/>
    <cellStyle name="20% - Акцент6 47 2" xfId="1035" xr:uid="{00000000-0005-0000-0000-00008C050000}"/>
    <cellStyle name="20% - Акцент6 47_Свод гостин" xfId="2978" xr:uid="{00000000-0005-0000-0000-00008D050000}"/>
    <cellStyle name="20% - Акцент6 48" xfId="1036" xr:uid="{00000000-0005-0000-0000-00008E050000}"/>
    <cellStyle name="20% - Акцент6 48 2" xfId="1037" xr:uid="{00000000-0005-0000-0000-00008F050000}"/>
    <cellStyle name="20% - Акцент6 48_Свод гостин" xfId="2979" xr:uid="{00000000-0005-0000-0000-000090050000}"/>
    <cellStyle name="20% - Акцент6 49" xfId="1038" xr:uid="{00000000-0005-0000-0000-000091050000}"/>
    <cellStyle name="20% - Акцент6 49 2" xfId="1039" xr:uid="{00000000-0005-0000-0000-000092050000}"/>
    <cellStyle name="20% - Акцент6 49_Свод гостин" xfId="2980" xr:uid="{00000000-0005-0000-0000-000093050000}"/>
    <cellStyle name="20% - Акцент6 5" xfId="1040" xr:uid="{00000000-0005-0000-0000-000094050000}"/>
    <cellStyle name="20% - Акцент6 5 2" xfId="1041" xr:uid="{00000000-0005-0000-0000-000095050000}"/>
    <cellStyle name="20% - Акцент6 5_Свод гостин" xfId="2981" xr:uid="{00000000-0005-0000-0000-000096050000}"/>
    <cellStyle name="20% - Акцент6 50" xfId="1042" xr:uid="{00000000-0005-0000-0000-000097050000}"/>
    <cellStyle name="20% - Акцент6 50 2" xfId="1043" xr:uid="{00000000-0005-0000-0000-000098050000}"/>
    <cellStyle name="20% - Акцент6 50_Свод гостин" xfId="2982" xr:uid="{00000000-0005-0000-0000-000099050000}"/>
    <cellStyle name="20% - Акцент6 51" xfId="1044" xr:uid="{00000000-0005-0000-0000-00009A050000}"/>
    <cellStyle name="20% - Акцент6 51 2" xfId="1045" xr:uid="{00000000-0005-0000-0000-00009B050000}"/>
    <cellStyle name="20% - Акцент6 51_Свод гостин" xfId="2983" xr:uid="{00000000-0005-0000-0000-00009C050000}"/>
    <cellStyle name="20% - Акцент6 52" xfId="1046" xr:uid="{00000000-0005-0000-0000-00009D050000}"/>
    <cellStyle name="20% - Акцент6 52 2" xfId="1047" xr:uid="{00000000-0005-0000-0000-00009E050000}"/>
    <cellStyle name="20% - Акцент6 52_Свод гостин" xfId="2984" xr:uid="{00000000-0005-0000-0000-00009F050000}"/>
    <cellStyle name="20% - Акцент6 53" xfId="1048" xr:uid="{00000000-0005-0000-0000-0000A0050000}"/>
    <cellStyle name="20% - Акцент6 53 2" xfId="1049" xr:uid="{00000000-0005-0000-0000-0000A1050000}"/>
    <cellStyle name="20% - Акцент6 53_Свод гостин" xfId="2985" xr:uid="{00000000-0005-0000-0000-0000A2050000}"/>
    <cellStyle name="20% - Акцент6 54" xfId="1050" xr:uid="{00000000-0005-0000-0000-0000A3050000}"/>
    <cellStyle name="20% - Акцент6 54 2" xfId="1051" xr:uid="{00000000-0005-0000-0000-0000A4050000}"/>
    <cellStyle name="20% - Акцент6 54_Свод гостин" xfId="2986" xr:uid="{00000000-0005-0000-0000-0000A5050000}"/>
    <cellStyle name="20% - Акцент6 55" xfId="1052" xr:uid="{00000000-0005-0000-0000-0000A6050000}"/>
    <cellStyle name="20% - Акцент6 55 2" xfId="1053" xr:uid="{00000000-0005-0000-0000-0000A7050000}"/>
    <cellStyle name="20% - Акцент6 55_Свод гостин" xfId="2987" xr:uid="{00000000-0005-0000-0000-0000A8050000}"/>
    <cellStyle name="20% - Акцент6 56" xfId="1054" xr:uid="{00000000-0005-0000-0000-0000A9050000}"/>
    <cellStyle name="20% - Акцент6 56 2" xfId="1055" xr:uid="{00000000-0005-0000-0000-0000AA050000}"/>
    <cellStyle name="20% - Акцент6 56_Свод гостин" xfId="2988" xr:uid="{00000000-0005-0000-0000-0000AB050000}"/>
    <cellStyle name="20% - Акцент6 57" xfId="1056" xr:uid="{00000000-0005-0000-0000-0000AC050000}"/>
    <cellStyle name="20% - Акцент6 57 2" xfId="1057" xr:uid="{00000000-0005-0000-0000-0000AD050000}"/>
    <cellStyle name="20% - Акцент6 57_Свод гостин" xfId="2989" xr:uid="{00000000-0005-0000-0000-0000AE050000}"/>
    <cellStyle name="20% - Акцент6 58" xfId="1058" xr:uid="{00000000-0005-0000-0000-0000AF050000}"/>
    <cellStyle name="20% - Акцент6 58 2" xfId="1059" xr:uid="{00000000-0005-0000-0000-0000B0050000}"/>
    <cellStyle name="20% - Акцент6 58_Свод гостин" xfId="2990" xr:uid="{00000000-0005-0000-0000-0000B1050000}"/>
    <cellStyle name="20% - Акцент6 59" xfId="1060" xr:uid="{00000000-0005-0000-0000-0000B2050000}"/>
    <cellStyle name="20% - Акцент6 59 2" xfId="1061" xr:uid="{00000000-0005-0000-0000-0000B3050000}"/>
    <cellStyle name="20% - Акцент6 59_Свод гостин" xfId="2991" xr:uid="{00000000-0005-0000-0000-0000B4050000}"/>
    <cellStyle name="20% - Акцент6 6" xfId="1062" xr:uid="{00000000-0005-0000-0000-0000B5050000}"/>
    <cellStyle name="20% - Акцент6 6 2" xfId="1063" xr:uid="{00000000-0005-0000-0000-0000B6050000}"/>
    <cellStyle name="20% - Акцент6 6_Свод гостин" xfId="2992" xr:uid="{00000000-0005-0000-0000-0000B7050000}"/>
    <cellStyle name="20% - Акцент6 60" xfId="1064" xr:uid="{00000000-0005-0000-0000-0000B8050000}"/>
    <cellStyle name="20% - Акцент6 60 2" xfId="1065" xr:uid="{00000000-0005-0000-0000-0000B9050000}"/>
    <cellStyle name="20% - Акцент6 60_Свод гостин" xfId="2993" xr:uid="{00000000-0005-0000-0000-0000BA050000}"/>
    <cellStyle name="20% - Акцент6 61" xfId="1066" xr:uid="{00000000-0005-0000-0000-0000BB050000}"/>
    <cellStyle name="20% - Акцент6 61 2" xfId="1067" xr:uid="{00000000-0005-0000-0000-0000BC050000}"/>
    <cellStyle name="20% - Акцент6 61_Свод гостин" xfId="2994" xr:uid="{00000000-0005-0000-0000-0000BD050000}"/>
    <cellStyle name="20% - Акцент6 62" xfId="1068" xr:uid="{00000000-0005-0000-0000-0000BE050000}"/>
    <cellStyle name="20% - Акцент6 62 2" xfId="1069" xr:uid="{00000000-0005-0000-0000-0000BF050000}"/>
    <cellStyle name="20% - Акцент6 62_Свод гостин" xfId="2995" xr:uid="{00000000-0005-0000-0000-0000C0050000}"/>
    <cellStyle name="20% - Акцент6 63" xfId="1070" xr:uid="{00000000-0005-0000-0000-0000C1050000}"/>
    <cellStyle name="20% - Акцент6 63 2" xfId="1071" xr:uid="{00000000-0005-0000-0000-0000C2050000}"/>
    <cellStyle name="20% - Акцент6 63_Свод гостин" xfId="2996" xr:uid="{00000000-0005-0000-0000-0000C3050000}"/>
    <cellStyle name="20% - Акцент6 64" xfId="1072" xr:uid="{00000000-0005-0000-0000-0000C4050000}"/>
    <cellStyle name="20% - Акцент6 64 2" xfId="1073" xr:uid="{00000000-0005-0000-0000-0000C5050000}"/>
    <cellStyle name="20% - Акцент6 64_Свод гостин" xfId="2997" xr:uid="{00000000-0005-0000-0000-0000C6050000}"/>
    <cellStyle name="20% - Акцент6 65" xfId="1074" xr:uid="{00000000-0005-0000-0000-0000C7050000}"/>
    <cellStyle name="20% - Акцент6 65 2" xfId="1075" xr:uid="{00000000-0005-0000-0000-0000C8050000}"/>
    <cellStyle name="20% - Акцент6 65_Свод гостин" xfId="2998" xr:uid="{00000000-0005-0000-0000-0000C9050000}"/>
    <cellStyle name="20% - Акцент6 66" xfId="1076" xr:uid="{00000000-0005-0000-0000-0000CA050000}"/>
    <cellStyle name="20% - Акцент6 66 2" xfId="1077" xr:uid="{00000000-0005-0000-0000-0000CB050000}"/>
    <cellStyle name="20% - Акцент6 66_Свод гостин" xfId="2999" xr:uid="{00000000-0005-0000-0000-0000CC050000}"/>
    <cellStyle name="20% - Акцент6 67" xfId="1078" xr:uid="{00000000-0005-0000-0000-0000CD050000}"/>
    <cellStyle name="20% - Акцент6 67 2" xfId="1079" xr:uid="{00000000-0005-0000-0000-0000CE050000}"/>
    <cellStyle name="20% - Акцент6 67_Свод гостин" xfId="3000" xr:uid="{00000000-0005-0000-0000-0000CF050000}"/>
    <cellStyle name="20% - Акцент6 68" xfId="1080" xr:uid="{00000000-0005-0000-0000-0000D0050000}"/>
    <cellStyle name="20% - Акцент6 68 2" xfId="1081" xr:uid="{00000000-0005-0000-0000-0000D1050000}"/>
    <cellStyle name="20% - Акцент6 68_Свод гостин" xfId="3001" xr:uid="{00000000-0005-0000-0000-0000D2050000}"/>
    <cellStyle name="20% - Акцент6 69" xfId="1082" xr:uid="{00000000-0005-0000-0000-0000D3050000}"/>
    <cellStyle name="20% - Акцент6 69 2" xfId="1083" xr:uid="{00000000-0005-0000-0000-0000D4050000}"/>
    <cellStyle name="20% - Акцент6 69_Свод гостин" xfId="3002" xr:uid="{00000000-0005-0000-0000-0000D5050000}"/>
    <cellStyle name="20% - Акцент6 7" xfId="1084" xr:uid="{00000000-0005-0000-0000-0000D6050000}"/>
    <cellStyle name="20% - Акцент6 7 2" xfId="1085" xr:uid="{00000000-0005-0000-0000-0000D7050000}"/>
    <cellStyle name="20% - Акцент6 7_Свод гостин" xfId="3003" xr:uid="{00000000-0005-0000-0000-0000D8050000}"/>
    <cellStyle name="20% - Акцент6 70" xfId="1086" xr:uid="{00000000-0005-0000-0000-0000D9050000}"/>
    <cellStyle name="20% - Акцент6 70 2" xfId="1087" xr:uid="{00000000-0005-0000-0000-0000DA050000}"/>
    <cellStyle name="20% - Акцент6 70_Свод гостин" xfId="3004" xr:uid="{00000000-0005-0000-0000-0000DB050000}"/>
    <cellStyle name="20% - Акцент6 71" xfId="1088" xr:uid="{00000000-0005-0000-0000-0000DC050000}"/>
    <cellStyle name="20% - Акцент6 71 2" xfId="1089" xr:uid="{00000000-0005-0000-0000-0000DD050000}"/>
    <cellStyle name="20% - Акцент6 71_Свод гостин" xfId="3005" xr:uid="{00000000-0005-0000-0000-0000DE050000}"/>
    <cellStyle name="20% - Акцент6 72" xfId="1090" xr:uid="{00000000-0005-0000-0000-0000DF050000}"/>
    <cellStyle name="20% - Акцент6 72 2" xfId="1091" xr:uid="{00000000-0005-0000-0000-0000E0050000}"/>
    <cellStyle name="20% - Акцент6 72_Свод гостин" xfId="3006" xr:uid="{00000000-0005-0000-0000-0000E1050000}"/>
    <cellStyle name="20% - Акцент6 73" xfId="1092" xr:uid="{00000000-0005-0000-0000-0000E2050000}"/>
    <cellStyle name="20% - Акцент6 73 2" xfId="1093" xr:uid="{00000000-0005-0000-0000-0000E3050000}"/>
    <cellStyle name="20% - Акцент6 73_Свод гостин" xfId="3007" xr:uid="{00000000-0005-0000-0000-0000E4050000}"/>
    <cellStyle name="20% - Акцент6 74" xfId="1094" xr:uid="{00000000-0005-0000-0000-0000E5050000}"/>
    <cellStyle name="20% - Акцент6 74 2" xfId="1095" xr:uid="{00000000-0005-0000-0000-0000E6050000}"/>
    <cellStyle name="20% - Акцент6 74_Свод гостин" xfId="3008" xr:uid="{00000000-0005-0000-0000-0000E7050000}"/>
    <cellStyle name="20% - Акцент6 75" xfId="1096" xr:uid="{00000000-0005-0000-0000-0000E8050000}"/>
    <cellStyle name="20% - Акцент6 75 2" xfId="1097" xr:uid="{00000000-0005-0000-0000-0000E9050000}"/>
    <cellStyle name="20% - Акцент6 75_Свод гостин" xfId="3009" xr:uid="{00000000-0005-0000-0000-0000EA050000}"/>
    <cellStyle name="20% - Акцент6 76" xfId="1098" xr:uid="{00000000-0005-0000-0000-0000EB050000}"/>
    <cellStyle name="20% - Акцент6 76 2" xfId="1099" xr:uid="{00000000-0005-0000-0000-0000EC050000}"/>
    <cellStyle name="20% - Акцент6 76_Свод гостин" xfId="3010" xr:uid="{00000000-0005-0000-0000-0000ED050000}"/>
    <cellStyle name="20% - Акцент6 77" xfId="1100" xr:uid="{00000000-0005-0000-0000-0000EE050000}"/>
    <cellStyle name="20% - Акцент6 77 2" xfId="1101" xr:uid="{00000000-0005-0000-0000-0000EF050000}"/>
    <cellStyle name="20% - Акцент6 77_Свод гостин" xfId="3011" xr:uid="{00000000-0005-0000-0000-0000F0050000}"/>
    <cellStyle name="20% - Акцент6 78" xfId="1102" xr:uid="{00000000-0005-0000-0000-0000F1050000}"/>
    <cellStyle name="20% - Акцент6 78 2" xfId="1103" xr:uid="{00000000-0005-0000-0000-0000F2050000}"/>
    <cellStyle name="20% - Акцент6 78_Свод гостин" xfId="3012" xr:uid="{00000000-0005-0000-0000-0000F3050000}"/>
    <cellStyle name="20% - Акцент6 79" xfId="1104" xr:uid="{00000000-0005-0000-0000-0000F4050000}"/>
    <cellStyle name="20% - Акцент6 79 2" xfId="1105" xr:uid="{00000000-0005-0000-0000-0000F5050000}"/>
    <cellStyle name="20% - Акцент6 79_Свод гостин" xfId="3013" xr:uid="{00000000-0005-0000-0000-0000F6050000}"/>
    <cellStyle name="20% - Акцент6 8" xfId="1106" xr:uid="{00000000-0005-0000-0000-0000F7050000}"/>
    <cellStyle name="20% - Акцент6 8 2" xfId="1107" xr:uid="{00000000-0005-0000-0000-0000F8050000}"/>
    <cellStyle name="20% - Акцент6 8_Свод гостин" xfId="3014" xr:uid="{00000000-0005-0000-0000-0000F9050000}"/>
    <cellStyle name="20% - Акцент6 80" xfId="1108" xr:uid="{00000000-0005-0000-0000-0000FA050000}"/>
    <cellStyle name="20% - Акцент6 80 2" xfId="1109" xr:uid="{00000000-0005-0000-0000-0000FB050000}"/>
    <cellStyle name="20% - Акцент6 80_Свод гостин" xfId="3015" xr:uid="{00000000-0005-0000-0000-0000FC050000}"/>
    <cellStyle name="20% - Акцент6 81" xfId="1110" xr:uid="{00000000-0005-0000-0000-0000FD050000}"/>
    <cellStyle name="20% - Акцент6 81 2" xfId="1111" xr:uid="{00000000-0005-0000-0000-0000FE050000}"/>
    <cellStyle name="20% - Акцент6 81_Свод гостин" xfId="3016" xr:uid="{00000000-0005-0000-0000-0000FF050000}"/>
    <cellStyle name="20% - Акцент6 82" xfId="1112" xr:uid="{00000000-0005-0000-0000-000000060000}"/>
    <cellStyle name="20% - Акцент6 82 2" xfId="1113" xr:uid="{00000000-0005-0000-0000-000001060000}"/>
    <cellStyle name="20% - Акцент6 82_Свод гостин" xfId="3017" xr:uid="{00000000-0005-0000-0000-000002060000}"/>
    <cellStyle name="20% - Акцент6 83" xfId="1114" xr:uid="{00000000-0005-0000-0000-000003060000}"/>
    <cellStyle name="20% - Акцент6 83 2" xfId="1115" xr:uid="{00000000-0005-0000-0000-000004060000}"/>
    <cellStyle name="20% - Акцент6 83_Свод гостин" xfId="3018" xr:uid="{00000000-0005-0000-0000-000005060000}"/>
    <cellStyle name="20% - Акцент6 9" xfId="1116" xr:uid="{00000000-0005-0000-0000-000006060000}"/>
    <cellStyle name="20% - Акцент6 9 2" xfId="1117" xr:uid="{00000000-0005-0000-0000-000007060000}"/>
    <cellStyle name="20% - Акцент6 9_Свод гостин" xfId="3019" xr:uid="{00000000-0005-0000-0000-000008060000}"/>
    <cellStyle name="40% - Accent1" xfId="4510" xr:uid="{00000000-0005-0000-0000-000009060000}"/>
    <cellStyle name="40% - Accent2" xfId="4511" xr:uid="{00000000-0005-0000-0000-00000A060000}"/>
    <cellStyle name="40% - Accent3" xfId="4512" xr:uid="{00000000-0005-0000-0000-00000B060000}"/>
    <cellStyle name="40% - Accent4" xfId="4513" xr:uid="{00000000-0005-0000-0000-00000C060000}"/>
    <cellStyle name="40% - Accent5" xfId="4514" xr:uid="{00000000-0005-0000-0000-00000D060000}"/>
    <cellStyle name="40% - Accent6" xfId="4515" xr:uid="{00000000-0005-0000-0000-00000E060000}"/>
    <cellStyle name="40% - Акцент1 10" xfId="1118" xr:uid="{00000000-0005-0000-0000-00000F060000}"/>
    <cellStyle name="40% - Акцент1 10 2" xfId="1119" xr:uid="{00000000-0005-0000-0000-000010060000}"/>
    <cellStyle name="40% - Акцент1 10_Свод гостин" xfId="3020" xr:uid="{00000000-0005-0000-0000-000011060000}"/>
    <cellStyle name="40% - Акцент1 11" xfId="1120" xr:uid="{00000000-0005-0000-0000-000012060000}"/>
    <cellStyle name="40% - Акцент1 11 2" xfId="1121" xr:uid="{00000000-0005-0000-0000-000013060000}"/>
    <cellStyle name="40% - Акцент1 11_Свод гостин" xfId="3021" xr:uid="{00000000-0005-0000-0000-000014060000}"/>
    <cellStyle name="40% - Акцент1 12" xfId="1122" xr:uid="{00000000-0005-0000-0000-000015060000}"/>
    <cellStyle name="40% - Акцент1 12 2" xfId="1123" xr:uid="{00000000-0005-0000-0000-000016060000}"/>
    <cellStyle name="40% - Акцент1 12_Свод гостин" xfId="3022" xr:uid="{00000000-0005-0000-0000-000017060000}"/>
    <cellStyle name="40% - Акцент1 13" xfId="1124" xr:uid="{00000000-0005-0000-0000-000018060000}"/>
    <cellStyle name="40% - Акцент1 13 2" xfId="1125" xr:uid="{00000000-0005-0000-0000-000019060000}"/>
    <cellStyle name="40% - Акцент1 13_Свод гостин" xfId="3023" xr:uid="{00000000-0005-0000-0000-00001A060000}"/>
    <cellStyle name="40% - Акцент1 14" xfId="1126" xr:uid="{00000000-0005-0000-0000-00001B060000}"/>
    <cellStyle name="40% - Акцент1 14 2" xfId="1127" xr:uid="{00000000-0005-0000-0000-00001C060000}"/>
    <cellStyle name="40% - Акцент1 14_Свод гостин" xfId="3024" xr:uid="{00000000-0005-0000-0000-00001D060000}"/>
    <cellStyle name="40% - Акцент1 15" xfId="1128" xr:uid="{00000000-0005-0000-0000-00001E060000}"/>
    <cellStyle name="40% - Акцент1 15 2" xfId="1129" xr:uid="{00000000-0005-0000-0000-00001F060000}"/>
    <cellStyle name="40% - Акцент1 15_Свод гостин" xfId="3025" xr:uid="{00000000-0005-0000-0000-000020060000}"/>
    <cellStyle name="40% - Акцент1 16" xfId="1130" xr:uid="{00000000-0005-0000-0000-000021060000}"/>
    <cellStyle name="40% - Акцент1 16 2" xfId="1131" xr:uid="{00000000-0005-0000-0000-000022060000}"/>
    <cellStyle name="40% - Акцент1 16_Свод гостин" xfId="3026" xr:uid="{00000000-0005-0000-0000-000023060000}"/>
    <cellStyle name="40% - Акцент1 17" xfId="1132" xr:uid="{00000000-0005-0000-0000-000024060000}"/>
    <cellStyle name="40% - Акцент1 17 2" xfId="1133" xr:uid="{00000000-0005-0000-0000-000025060000}"/>
    <cellStyle name="40% - Акцент1 17_Свод гостин" xfId="3027" xr:uid="{00000000-0005-0000-0000-000026060000}"/>
    <cellStyle name="40% - Акцент1 18" xfId="1134" xr:uid="{00000000-0005-0000-0000-000027060000}"/>
    <cellStyle name="40% - Акцент1 18 2" xfId="1135" xr:uid="{00000000-0005-0000-0000-000028060000}"/>
    <cellStyle name="40% - Акцент1 18_Свод гостин" xfId="3028" xr:uid="{00000000-0005-0000-0000-000029060000}"/>
    <cellStyle name="40% - Акцент1 19" xfId="1136" xr:uid="{00000000-0005-0000-0000-00002A060000}"/>
    <cellStyle name="40% - Акцент1 19 2" xfId="1137" xr:uid="{00000000-0005-0000-0000-00002B060000}"/>
    <cellStyle name="40% - Акцент1 19_Свод гостин" xfId="3029" xr:uid="{00000000-0005-0000-0000-00002C060000}"/>
    <cellStyle name="40% - Акцент1 2" xfId="1138" xr:uid="{00000000-0005-0000-0000-00002D060000}"/>
    <cellStyle name="40% - Акцент1 2 2" xfId="1139" xr:uid="{00000000-0005-0000-0000-00002E060000}"/>
    <cellStyle name="40% - Акцент1 2_Свод гостин" xfId="3030" xr:uid="{00000000-0005-0000-0000-00002F060000}"/>
    <cellStyle name="40% - Акцент1 20" xfId="1140" xr:uid="{00000000-0005-0000-0000-000030060000}"/>
    <cellStyle name="40% - Акцент1 20 2" xfId="1141" xr:uid="{00000000-0005-0000-0000-000031060000}"/>
    <cellStyle name="40% - Акцент1 20_Свод гостин" xfId="3031" xr:uid="{00000000-0005-0000-0000-000032060000}"/>
    <cellStyle name="40% - Акцент1 21" xfId="1142" xr:uid="{00000000-0005-0000-0000-000033060000}"/>
    <cellStyle name="40% - Акцент1 21 2" xfId="1143" xr:uid="{00000000-0005-0000-0000-000034060000}"/>
    <cellStyle name="40% - Акцент1 21_Свод гостин" xfId="3032" xr:uid="{00000000-0005-0000-0000-000035060000}"/>
    <cellStyle name="40% - Акцент1 22" xfId="1144" xr:uid="{00000000-0005-0000-0000-000036060000}"/>
    <cellStyle name="40% - Акцент1 22 2" xfId="1145" xr:uid="{00000000-0005-0000-0000-000037060000}"/>
    <cellStyle name="40% - Акцент1 22_Свод гостин" xfId="3033" xr:uid="{00000000-0005-0000-0000-000038060000}"/>
    <cellStyle name="40% - Акцент1 23" xfId="1146" xr:uid="{00000000-0005-0000-0000-000039060000}"/>
    <cellStyle name="40% - Акцент1 23 2" xfId="1147" xr:uid="{00000000-0005-0000-0000-00003A060000}"/>
    <cellStyle name="40% - Акцент1 23_Свод гостин" xfId="3034" xr:uid="{00000000-0005-0000-0000-00003B060000}"/>
    <cellStyle name="40% - Акцент1 24" xfId="1148" xr:uid="{00000000-0005-0000-0000-00003C060000}"/>
    <cellStyle name="40% - Акцент1 24 2" xfId="1149" xr:uid="{00000000-0005-0000-0000-00003D060000}"/>
    <cellStyle name="40% - Акцент1 24_Свод гостин" xfId="3035" xr:uid="{00000000-0005-0000-0000-00003E060000}"/>
    <cellStyle name="40% - Акцент1 25" xfId="1150" xr:uid="{00000000-0005-0000-0000-00003F060000}"/>
    <cellStyle name="40% - Акцент1 25 2" xfId="1151" xr:uid="{00000000-0005-0000-0000-000040060000}"/>
    <cellStyle name="40% - Акцент1 25_Свод гостин" xfId="3036" xr:uid="{00000000-0005-0000-0000-000041060000}"/>
    <cellStyle name="40% - Акцент1 26" xfId="1152" xr:uid="{00000000-0005-0000-0000-000042060000}"/>
    <cellStyle name="40% - Акцент1 26 2" xfId="1153" xr:uid="{00000000-0005-0000-0000-000043060000}"/>
    <cellStyle name="40% - Акцент1 26_Свод гостин" xfId="3037" xr:uid="{00000000-0005-0000-0000-000044060000}"/>
    <cellStyle name="40% - Акцент1 27" xfId="1154" xr:uid="{00000000-0005-0000-0000-000045060000}"/>
    <cellStyle name="40% - Акцент1 27 2" xfId="1155" xr:uid="{00000000-0005-0000-0000-000046060000}"/>
    <cellStyle name="40% - Акцент1 27_Свод гостин" xfId="3038" xr:uid="{00000000-0005-0000-0000-000047060000}"/>
    <cellStyle name="40% - Акцент1 28" xfId="1156" xr:uid="{00000000-0005-0000-0000-000048060000}"/>
    <cellStyle name="40% - Акцент1 28 2" xfId="1157" xr:uid="{00000000-0005-0000-0000-000049060000}"/>
    <cellStyle name="40% - Акцент1 28_Свод гостин" xfId="3039" xr:uid="{00000000-0005-0000-0000-00004A060000}"/>
    <cellStyle name="40% - Акцент1 29" xfId="1158" xr:uid="{00000000-0005-0000-0000-00004B060000}"/>
    <cellStyle name="40% - Акцент1 29 2" xfId="1159" xr:uid="{00000000-0005-0000-0000-00004C060000}"/>
    <cellStyle name="40% - Акцент1 29_Свод гостин" xfId="3040" xr:uid="{00000000-0005-0000-0000-00004D060000}"/>
    <cellStyle name="40% - Акцент1 3" xfId="1160" xr:uid="{00000000-0005-0000-0000-00004E060000}"/>
    <cellStyle name="40% - Акцент1 3 2" xfId="1161" xr:uid="{00000000-0005-0000-0000-00004F060000}"/>
    <cellStyle name="40% - Акцент1 3_Свод гостин" xfId="3041" xr:uid="{00000000-0005-0000-0000-000050060000}"/>
    <cellStyle name="40% - Акцент1 30" xfId="1162" xr:uid="{00000000-0005-0000-0000-000051060000}"/>
    <cellStyle name="40% - Акцент1 30 2" xfId="1163" xr:uid="{00000000-0005-0000-0000-000052060000}"/>
    <cellStyle name="40% - Акцент1 30_Свод гостин" xfId="3042" xr:uid="{00000000-0005-0000-0000-000053060000}"/>
    <cellStyle name="40% - Акцент1 31" xfId="1164" xr:uid="{00000000-0005-0000-0000-000054060000}"/>
    <cellStyle name="40% - Акцент1 31 2" xfId="1165" xr:uid="{00000000-0005-0000-0000-000055060000}"/>
    <cellStyle name="40% - Акцент1 31_Свод гостин" xfId="3043" xr:uid="{00000000-0005-0000-0000-000056060000}"/>
    <cellStyle name="40% - Акцент1 32" xfId="1166" xr:uid="{00000000-0005-0000-0000-000057060000}"/>
    <cellStyle name="40% - Акцент1 32 2" xfId="1167" xr:uid="{00000000-0005-0000-0000-000058060000}"/>
    <cellStyle name="40% - Акцент1 32_Свод гостин" xfId="3044" xr:uid="{00000000-0005-0000-0000-000059060000}"/>
    <cellStyle name="40% - Акцент1 33" xfId="1168" xr:uid="{00000000-0005-0000-0000-00005A060000}"/>
    <cellStyle name="40% - Акцент1 33 2" xfId="1169" xr:uid="{00000000-0005-0000-0000-00005B060000}"/>
    <cellStyle name="40% - Акцент1 33_Свод гостин" xfId="3045" xr:uid="{00000000-0005-0000-0000-00005C060000}"/>
    <cellStyle name="40% - Акцент1 34" xfId="1170" xr:uid="{00000000-0005-0000-0000-00005D060000}"/>
    <cellStyle name="40% - Акцент1 34 2" xfId="1171" xr:uid="{00000000-0005-0000-0000-00005E060000}"/>
    <cellStyle name="40% - Акцент1 34_Свод гостин" xfId="3046" xr:uid="{00000000-0005-0000-0000-00005F060000}"/>
    <cellStyle name="40% - Акцент1 35" xfId="1172" xr:uid="{00000000-0005-0000-0000-000060060000}"/>
    <cellStyle name="40% - Акцент1 35 2" xfId="1173" xr:uid="{00000000-0005-0000-0000-000061060000}"/>
    <cellStyle name="40% - Акцент1 35_Свод гостин" xfId="3047" xr:uid="{00000000-0005-0000-0000-000062060000}"/>
    <cellStyle name="40% - Акцент1 36" xfId="1174" xr:uid="{00000000-0005-0000-0000-000063060000}"/>
    <cellStyle name="40% - Акцент1 36 2" xfId="1175" xr:uid="{00000000-0005-0000-0000-000064060000}"/>
    <cellStyle name="40% - Акцент1 36_Свод гостин" xfId="3048" xr:uid="{00000000-0005-0000-0000-000065060000}"/>
    <cellStyle name="40% - Акцент1 37" xfId="1176" xr:uid="{00000000-0005-0000-0000-000066060000}"/>
    <cellStyle name="40% - Акцент1 37 2" xfId="1177" xr:uid="{00000000-0005-0000-0000-000067060000}"/>
    <cellStyle name="40% - Акцент1 37_Свод гостин" xfId="3049" xr:uid="{00000000-0005-0000-0000-000068060000}"/>
    <cellStyle name="40% - Акцент1 38" xfId="1178" xr:uid="{00000000-0005-0000-0000-000069060000}"/>
    <cellStyle name="40% - Акцент1 38 2" xfId="1179" xr:uid="{00000000-0005-0000-0000-00006A060000}"/>
    <cellStyle name="40% - Акцент1 38_Свод гостин" xfId="3050" xr:uid="{00000000-0005-0000-0000-00006B060000}"/>
    <cellStyle name="40% - Акцент1 39" xfId="1180" xr:uid="{00000000-0005-0000-0000-00006C060000}"/>
    <cellStyle name="40% - Акцент1 39 2" xfId="1181" xr:uid="{00000000-0005-0000-0000-00006D060000}"/>
    <cellStyle name="40% - Акцент1 39_Свод гостин" xfId="3051" xr:uid="{00000000-0005-0000-0000-00006E060000}"/>
    <cellStyle name="40% - Акцент1 4" xfId="1182" xr:uid="{00000000-0005-0000-0000-00006F060000}"/>
    <cellStyle name="40% - Акцент1 4 2" xfId="1183" xr:uid="{00000000-0005-0000-0000-000070060000}"/>
    <cellStyle name="40% - Акцент1 4_Свод гостин" xfId="3052" xr:uid="{00000000-0005-0000-0000-000071060000}"/>
    <cellStyle name="40% - Акцент1 40" xfId="1184" xr:uid="{00000000-0005-0000-0000-000072060000}"/>
    <cellStyle name="40% - Акцент1 40 2" xfId="1185" xr:uid="{00000000-0005-0000-0000-000073060000}"/>
    <cellStyle name="40% - Акцент1 40_Свод гостин" xfId="3053" xr:uid="{00000000-0005-0000-0000-000074060000}"/>
    <cellStyle name="40% - Акцент1 41" xfId="1186" xr:uid="{00000000-0005-0000-0000-000075060000}"/>
    <cellStyle name="40% - Акцент1 41 2" xfId="1187" xr:uid="{00000000-0005-0000-0000-000076060000}"/>
    <cellStyle name="40% - Акцент1 41_Свод гостин" xfId="3054" xr:uid="{00000000-0005-0000-0000-000077060000}"/>
    <cellStyle name="40% - Акцент1 42" xfId="1188" xr:uid="{00000000-0005-0000-0000-000078060000}"/>
    <cellStyle name="40% - Акцент1 42 2" xfId="1189" xr:uid="{00000000-0005-0000-0000-000079060000}"/>
    <cellStyle name="40% - Акцент1 42_Свод гостин" xfId="3055" xr:uid="{00000000-0005-0000-0000-00007A060000}"/>
    <cellStyle name="40% - Акцент1 43" xfId="1190" xr:uid="{00000000-0005-0000-0000-00007B060000}"/>
    <cellStyle name="40% - Акцент1 43 2" xfId="1191" xr:uid="{00000000-0005-0000-0000-00007C060000}"/>
    <cellStyle name="40% - Акцент1 43_Свод гостин" xfId="3056" xr:uid="{00000000-0005-0000-0000-00007D060000}"/>
    <cellStyle name="40% - Акцент1 44" xfId="1192" xr:uid="{00000000-0005-0000-0000-00007E060000}"/>
    <cellStyle name="40% - Акцент1 44 2" xfId="1193" xr:uid="{00000000-0005-0000-0000-00007F060000}"/>
    <cellStyle name="40% - Акцент1 44_Свод гостин" xfId="3057" xr:uid="{00000000-0005-0000-0000-000080060000}"/>
    <cellStyle name="40% - Акцент1 45" xfId="1194" xr:uid="{00000000-0005-0000-0000-000081060000}"/>
    <cellStyle name="40% - Акцент1 45 2" xfId="1195" xr:uid="{00000000-0005-0000-0000-000082060000}"/>
    <cellStyle name="40% - Акцент1 45_Свод гостин" xfId="3058" xr:uid="{00000000-0005-0000-0000-000083060000}"/>
    <cellStyle name="40% - Акцент1 46" xfId="1196" xr:uid="{00000000-0005-0000-0000-000084060000}"/>
    <cellStyle name="40% - Акцент1 46 2" xfId="1197" xr:uid="{00000000-0005-0000-0000-000085060000}"/>
    <cellStyle name="40% - Акцент1 46_Свод гостин" xfId="3059" xr:uid="{00000000-0005-0000-0000-000086060000}"/>
    <cellStyle name="40% - Акцент1 47" xfId="1198" xr:uid="{00000000-0005-0000-0000-000087060000}"/>
    <cellStyle name="40% - Акцент1 47 2" xfId="1199" xr:uid="{00000000-0005-0000-0000-000088060000}"/>
    <cellStyle name="40% - Акцент1 47_Свод гостин" xfId="3060" xr:uid="{00000000-0005-0000-0000-000089060000}"/>
    <cellStyle name="40% - Акцент1 48" xfId="1200" xr:uid="{00000000-0005-0000-0000-00008A060000}"/>
    <cellStyle name="40% - Акцент1 48 2" xfId="1201" xr:uid="{00000000-0005-0000-0000-00008B060000}"/>
    <cellStyle name="40% - Акцент1 48_Свод гостин" xfId="3061" xr:uid="{00000000-0005-0000-0000-00008C060000}"/>
    <cellStyle name="40% - Акцент1 49" xfId="1202" xr:uid="{00000000-0005-0000-0000-00008D060000}"/>
    <cellStyle name="40% - Акцент1 49 2" xfId="1203" xr:uid="{00000000-0005-0000-0000-00008E060000}"/>
    <cellStyle name="40% - Акцент1 49_Свод гостин" xfId="3062" xr:uid="{00000000-0005-0000-0000-00008F060000}"/>
    <cellStyle name="40% - Акцент1 5" xfId="1204" xr:uid="{00000000-0005-0000-0000-000090060000}"/>
    <cellStyle name="40% - Акцент1 5 2" xfId="1205" xr:uid="{00000000-0005-0000-0000-000091060000}"/>
    <cellStyle name="40% - Акцент1 5_Свод гостин" xfId="3063" xr:uid="{00000000-0005-0000-0000-000092060000}"/>
    <cellStyle name="40% - Акцент1 50" xfId="1206" xr:uid="{00000000-0005-0000-0000-000093060000}"/>
    <cellStyle name="40% - Акцент1 50 2" xfId="1207" xr:uid="{00000000-0005-0000-0000-000094060000}"/>
    <cellStyle name="40% - Акцент1 50_Свод гостин" xfId="3064" xr:uid="{00000000-0005-0000-0000-000095060000}"/>
    <cellStyle name="40% - Акцент1 51" xfId="1208" xr:uid="{00000000-0005-0000-0000-000096060000}"/>
    <cellStyle name="40% - Акцент1 51 2" xfId="1209" xr:uid="{00000000-0005-0000-0000-000097060000}"/>
    <cellStyle name="40% - Акцент1 51_Свод гостин" xfId="3065" xr:uid="{00000000-0005-0000-0000-000098060000}"/>
    <cellStyle name="40% - Акцент1 52" xfId="1210" xr:uid="{00000000-0005-0000-0000-000099060000}"/>
    <cellStyle name="40% - Акцент1 52 2" xfId="1211" xr:uid="{00000000-0005-0000-0000-00009A060000}"/>
    <cellStyle name="40% - Акцент1 52_Свод гостин" xfId="3066" xr:uid="{00000000-0005-0000-0000-00009B060000}"/>
    <cellStyle name="40% - Акцент1 53" xfId="1212" xr:uid="{00000000-0005-0000-0000-00009C060000}"/>
    <cellStyle name="40% - Акцент1 53 2" xfId="1213" xr:uid="{00000000-0005-0000-0000-00009D060000}"/>
    <cellStyle name="40% - Акцент1 53_Свод гостин" xfId="3067" xr:uid="{00000000-0005-0000-0000-00009E060000}"/>
    <cellStyle name="40% - Акцент1 54" xfId="1214" xr:uid="{00000000-0005-0000-0000-00009F060000}"/>
    <cellStyle name="40% - Акцент1 54 2" xfId="1215" xr:uid="{00000000-0005-0000-0000-0000A0060000}"/>
    <cellStyle name="40% - Акцент1 54_Свод гостин" xfId="3068" xr:uid="{00000000-0005-0000-0000-0000A1060000}"/>
    <cellStyle name="40% - Акцент1 55" xfId="1216" xr:uid="{00000000-0005-0000-0000-0000A2060000}"/>
    <cellStyle name="40% - Акцент1 55 2" xfId="1217" xr:uid="{00000000-0005-0000-0000-0000A3060000}"/>
    <cellStyle name="40% - Акцент1 55_Свод гостин" xfId="3069" xr:uid="{00000000-0005-0000-0000-0000A4060000}"/>
    <cellStyle name="40% - Акцент1 56" xfId="1218" xr:uid="{00000000-0005-0000-0000-0000A5060000}"/>
    <cellStyle name="40% - Акцент1 56 2" xfId="1219" xr:uid="{00000000-0005-0000-0000-0000A6060000}"/>
    <cellStyle name="40% - Акцент1 56_Свод гостин" xfId="3070" xr:uid="{00000000-0005-0000-0000-0000A7060000}"/>
    <cellStyle name="40% - Акцент1 57" xfId="1220" xr:uid="{00000000-0005-0000-0000-0000A8060000}"/>
    <cellStyle name="40% - Акцент1 57 2" xfId="1221" xr:uid="{00000000-0005-0000-0000-0000A9060000}"/>
    <cellStyle name="40% - Акцент1 57_Свод гостин" xfId="3071" xr:uid="{00000000-0005-0000-0000-0000AA060000}"/>
    <cellStyle name="40% - Акцент1 58" xfId="1222" xr:uid="{00000000-0005-0000-0000-0000AB060000}"/>
    <cellStyle name="40% - Акцент1 58 2" xfId="1223" xr:uid="{00000000-0005-0000-0000-0000AC060000}"/>
    <cellStyle name="40% - Акцент1 58_Свод гостин" xfId="3072" xr:uid="{00000000-0005-0000-0000-0000AD060000}"/>
    <cellStyle name="40% - Акцент1 59" xfId="1224" xr:uid="{00000000-0005-0000-0000-0000AE060000}"/>
    <cellStyle name="40% - Акцент1 59 2" xfId="1225" xr:uid="{00000000-0005-0000-0000-0000AF060000}"/>
    <cellStyle name="40% - Акцент1 59_Свод гостин" xfId="3073" xr:uid="{00000000-0005-0000-0000-0000B0060000}"/>
    <cellStyle name="40% - Акцент1 6" xfId="1226" xr:uid="{00000000-0005-0000-0000-0000B1060000}"/>
    <cellStyle name="40% - Акцент1 6 2" xfId="1227" xr:uid="{00000000-0005-0000-0000-0000B2060000}"/>
    <cellStyle name="40% - Акцент1 6_Свод гостин" xfId="3074" xr:uid="{00000000-0005-0000-0000-0000B3060000}"/>
    <cellStyle name="40% - Акцент1 60" xfId="1228" xr:uid="{00000000-0005-0000-0000-0000B4060000}"/>
    <cellStyle name="40% - Акцент1 60 2" xfId="1229" xr:uid="{00000000-0005-0000-0000-0000B5060000}"/>
    <cellStyle name="40% - Акцент1 60_Свод гостин" xfId="3075" xr:uid="{00000000-0005-0000-0000-0000B6060000}"/>
    <cellStyle name="40% - Акцент1 61" xfId="1230" xr:uid="{00000000-0005-0000-0000-0000B7060000}"/>
    <cellStyle name="40% - Акцент1 61 2" xfId="1231" xr:uid="{00000000-0005-0000-0000-0000B8060000}"/>
    <cellStyle name="40% - Акцент1 61_Свод гостин" xfId="3076" xr:uid="{00000000-0005-0000-0000-0000B9060000}"/>
    <cellStyle name="40% - Акцент1 62" xfId="1232" xr:uid="{00000000-0005-0000-0000-0000BA060000}"/>
    <cellStyle name="40% - Акцент1 62 2" xfId="1233" xr:uid="{00000000-0005-0000-0000-0000BB060000}"/>
    <cellStyle name="40% - Акцент1 62_Свод гостин" xfId="3077" xr:uid="{00000000-0005-0000-0000-0000BC060000}"/>
    <cellStyle name="40% - Акцент1 63" xfId="1234" xr:uid="{00000000-0005-0000-0000-0000BD060000}"/>
    <cellStyle name="40% - Акцент1 63 2" xfId="1235" xr:uid="{00000000-0005-0000-0000-0000BE060000}"/>
    <cellStyle name="40% - Акцент1 63_Свод гостин" xfId="3078" xr:uid="{00000000-0005-0000-0000-0000BF060000}"/>
    <cellStyle name="40% - Акцент1 64" xfId="1236" xr:uid="{00000000-0005-0000-0000-0000C0060000}"/>
    <cellStyle name="40% - Акцент1 64 2" xfId="1237" xr:uid="{00000000-0005-0000-0000-0000C1060000}"/>
    <cellStyle name="40% - Акцент1 64_Свод гостин" xfId="3079" xr:uid="{00000000-0005-0000-0000-0000C2060000}"/>
    <cellStyle name="40% - Акцент1 65" xfId="1238" xr:uid="{00000000-0005-0000-0000-0000C3060000}"/>
    <cellStyle name="40% - Акцент1 65 2" xfId="1239" xr:uid="{00000000-0005-0000-0000-0000C4060000}"/>
    <cellStyle name="40% - Акцент1 65_Свод гостин" xfId="3080" xr:uid="{00000000-0005-0000-0000-0000C5060000}"/>
    <cellStyle name="40% - Акцент1 66" xfId="1240" xr:uid="{00000000-0005-0000-0000-0000C6060000}"/>
    <cellStyle name="40% - Акцент1 66 2" xfId="1241" xr:uid="{00000000-0005-0000-0000-0000C7060000}"/>
    <cellStyle name="40% - Акцент1 66_Свод гостин" xfId="3081" xr:uid="{00000000-0005-0000-0000-0000C8060000}"/>
    <cellStyle name="40% - Акцент1 67" xfId="1242" xr:uid="{00000000-0005-0000-0000-0000C9060000}"/>
    <cellStyle name="40% - Акцент1 67 2" xfId="1243" xr:uid="{00000000-0005-0000-0000-0000CA060000}"/>
    <cellStyle name="40% - Акцент1 67_Свод гостин" xfId="3082" xr:uid="{00000000-0005-0000-0000-0000CB060000}"/>
    <cellStyle name="40% - Акцент1 68" xfId="1244" xr:uid="{00000000-0005-0000-0000-0000CC060000}"/>
    <cellStyle name="40% - Акцент1 68 2" xfId="1245" xr:uid="{00000000-0005-0000-0000-0000CD060000}"/>
    <cellStyle name="40% - Акцент1 68_Свод гостин" xfId="3083" xr:uid="{00000000-0005-0000-0000-0000CE060000}"/>
    <cellStyle name="40% - Акцент1 69" xfId="1246" xr:uid="{00000000-0005-0000-0000-0000CF060000}"/>
    <cellStyle name="40% - Акцент1 69 2" xfId="1247" xr:uid="{00000000-0005-0000-0000-0000D0060000}"/>
    <cellStyle name="40% - Акцент1 69_Свод гостин" xfId="3084" xr:uid="{00000000-0005-0000-0000-0000D1060000}"/>
    <cellStyle name="40% - Акцент1 7" xfId="1248" xr:uid="{00000000-0005-0000-0000-0000D2060000}"/>
    <cellStyle name="40% - Акцент1 7 2" xfId="1249" xr:uid="{00000000-0005-0000-0000-0000D3060000}"/>
    <cellStyle name="40% - Акцент1 7_Свод гостин" xfId="3085" xr:uid="{00000000-0005-0000-0000-0000D4060000}"/>
    <cellStyle name="40% - Акцент1 70" xfId="1250" xr:uid="{00000000-0005-0000-0000-0000D5060000}"/>
    <cellStyle name="40% - Акцент1 70 2" xfId="1251" xr:uid="{00000000-0005-0000-0000-0000D6060000}"/>
    <cellStyle name="40% - Акцент1 70_Свод гостин" xfId="3086" xr:uid="{00000000-0005-0000-0000-0000D7060000}"/>
    <cellStyle name="40% - Акцент1 71" xfId="1252" xr:uid="{00000000-0005-0000-0000-0000D8060000}"/>
    <cellStyle name="40% - Акцент1 71 2" xfId="1253" xr:uid="{00000000-0005-0000-0000-0000D9060000}"/>
    <cellStyle name="40% - Акцент1 71_Свод гостин" xfId="3087" xr:uid="{00000000-0005-0000-0000-0000DA060000}"/>
    <cellStyle name="40% - Акцент1 72" xfId="1254" xr:uid="{00000000-0005-0000-0000-0000DB060000}"/>
    <cellStyle name="40% - Акцент1 72 2" xfId="1255" xr:uid="{00000000-0005-0000-0000-0000DC060000}"/>
    <cellStyle name="40% - Акцент1 72_Свод гостин" xfId="3088" xr:uid="{00000000-0005-0000-0000-0000DD060000}"/>
    <cellStyle name="40% - Акцент1 73" xfId="1256" xr:uid="{00000000-0005-0000-0000-0000DE060000}"/>
    <cellStyle name="40% - Акцент1 73 2" xfId="1257" xr:uid="{00000000-0005-0000-0000-0000DF060000}"/>
    <cellStyle name="40% - Акцент1 73_Свод гостин" xfId="3089" xr:uid="{00000000-0005-0000-0000-0000E0060000}"/>
    <cellStyle name="40% - Акцент1 74" xfId="1258" xr:uid="{00000000-0005-0000-0000-0000E1060000}"/>
    <cellStyle name="40% - Акцент1 74 2" xfId="1259" xr:uid="{00000000-0005-0000-0000-0000E2060000}"/>
    <cellStyle name="40% - Акцент1 74_Свод гостин" xfId="3090" xr:uid="{00000000-0005-0000-0000-0000E3060000}"/>
    <cellStyle name="40% - Акцент1 75" xfId="1260" xr:uid="{00000000-0005-0000-0000-0000E4060000}"/>
    <cellStyle name="40% - Акцент1 75 2" xfId="1261" xr:uid="{00000000-0005-0000-0000-0000E5060000}"/>
    <cellStyle name="40% - Акцент1 75_Свод гостин" xfId="3091" xr:uid="{00000000-0005-0000-0000-0000E6060000}"/>
    <cellStyle name="40% - Акцент1 76" xfId="1262" xr:uid="{00000000-0005-0000-0000-0000E7060000}"/>
    <cellStyle name="40% - Акцент1 76 2" xfId="1263" xr:uid="{00000000-0005-0000-0000-0000E8060000}"/>
    <cellStyle name="40% - Акцент1 76_Свод гостин" xfId="3092" xr:uid="{00000000-0005-0000-0000-0000E9060000}"/>
    <cellStyle name="40% - Акцент1 77" xfId="1264" xr:uid="{00000000-0005-0000-0000-0000EA060000}"/>
    <cellStyle name="40% - Акцент1 77 2" xfId="1265" xr:uid="{00000000-0005-0000-0000-0000EB060000}"/>
    <cellStyle name="40% - Акцент1 77_Свод гостин" xfId="3093" xr:uid="{00000000-0005-0000-0000-0000EC060000}"/>
    <cellStyle name="40% - Акцент1 78" xfId="1266" xr:uid="{00000000-0005-0000-0000-0000ED060000}"/>
    <cellStyle name="40% - Акцент1 78 2" xfId="1267" xr:uid="{00000000-0005-0000-0000-0000EE060000}"/>
    <cellStyle name="40% - Акцент1 78_Свод гостин" xfId="3094" xr:uid="{00000000-0005-0000-0000-0000EF060000}"/>
    <cellStyle name="40% - Акцент1 79" xfId="1268" xr:uid="{00000000-0005-0000-0000-0000F0060000}"/>
    <cellStyle name="40% - Акцент1 79 2" xfId="1269" xr:uid="{00000000-0005-0000-0000-0000F1060000}"/>
    <cellStyle name="40% - Акцент1 79_Свод гостин" xfId="3095" xr:uid="{00000000-0005-0000-0000-0000F2060000}"/>
    <cellStyle name="40% - Акцент1 8" xfId="1270" xr:uid="{00000000-0005-0000-0000-0000F3060000}"/>
    <cellStyle name="40% - Акцент1 8 2" xfId="1271" xr:uid="{00000000-0005-0000-0000-0000F4060000}"/>
    <cellStyle name="40% - Акцент1 8_Свод гостин" xfId="3096" xr:uid="{00000000-0005-0000-0000-0000F5060000}"/>
    <cellStyle name="40% - Акцент1 80" xfId="1272" xr:uid="{00000000-0005-0000-0000-0000F6060000}"/>
    <cellStyle name="40% - Акцент1 80 2" xfId="1273" xr:uid="{00000000-0005-0000-0000-0000F7060000}"/>
    <cellStyle name="40% - Акцент1 80_Свод гостин" xfId="3097" xr:uid="{00000000-0005-0000-0000-0000F8060000}"/>
    <cellStyle name="40% - Акцент1 81" xfId="1274" xr:uid="{00000000-0005-0000-0000-0000F9060000}"/>
    <cellStyle name="40% - Акцент1 81 2" xfId="1275" xr:uid="{00000000-0005-0000-0000-0000FA060000}"/>
    <cellStyle name="40% - Акцент1 81_Свод гостин" xfId="3098" xr:uid="{00000000-0005-0000-0000-0000FB060000}"/>
    <cellStyle name="40% - Акцент1 82" xfId="1276" xr:uid="{00000000-0005-0000-0000-0000FC060000}"/>
    <cellStyle name="40% - Акцент1 82 2" xfId="1277" xr:uid="{00000000-0005-0000-0000-0000FD060000}"/>
    <cellStyle name="40% - Акцент1 82_Свод гостин" xfId="3099" xr:uid="{00000000-0005-0000-0000-0000FE060000}"/>
    <cellStyle name="40% - Акцент1 83" xfId="1278" xr:uid="{00000000-0005-0000-0000-0000FF060000}"/>
    <cellStyle name="40% - Акцент1 83 2" xfId="1279" xr:uid="{00000000-0005-0000-0000-000000070000}"/>
    <cellStyle name="40% - Акцент1 83_Свод гостин" xfId="3100" xr:uid="{00000000-0005-0000-0000-000001070000}"/>
    <cellStyle name="40% - Акцент1 9" xfId="1280" xr:uid="{00000000-0005-0000-0000-000002070000}"/>
    <cellStyle name="40% - Акцент1 9 2" xfId="1281" xr:uid="{00000000-0005-0000-0000-000003070000}"/>
    <cellStyle name="40% - Акцент1 9_Свод гостин" xfId="3101" xr:uid="{00000000-0005-0000-0000-000004070000}"/>
    <cellStyle name="40% - Акцент2 10" xfId="1282" xr:uid="{00000000-0005-0000-0000-000005070000}"/>
    <cellStyle name="40% - Акцент2 10 2" xfId="1283" xr:uid="{00000000-0005-0000-0000-000006070000}"/>
    <cellStyle name="40% - Акцент2 10_Свод гостин" xfId="3102" xr:uid="{00000000-0005-0000-0000-000007070000}"/>
    <cellStyle name="40% - Акцент2 11" xfId="1284" xr:uid="{00000000-0005-0000-0000-000008070000}"/>
    <cellStyle name="40% - Акцент2 11 2" xfId="1285" xr:uid="{00000000-0005-0000-0000-000009070000}"/>
    <cellStyle name="40% - Акцент2 11_Свод гостин" xfId="3103" xr:uid="{00000000-0005-0000-0000-00000A070000}"/>
    <cellStyle name="40% - Акцент2 12" xfId="1286" xr:uid="{00000000-0005-0000-0000-00000B070000}"/>
    <cellStyle name="40% - Акцент2 12 2" xfId="1287" xr:uid="{00000000-0005-0000-0000-00000C070000}"/>
    <cellStyle name="40% - Акцент2 12_Свод гостин" xfId="3104" xr:uid="{00000000-0005-0000-0000-00000D070000}"/>
    <cellStyle name="40% - Акцент2 13" xfId="1288" xr:uid="{00000000-0005-0000-0000-00000E070000}"/>
    <cellStyle name="40% - Акцент2 13 2" xfId="1289" xr:uid="{00000000-0005-0000-0000-00000F070000}"/>
    <cellStyle name="40% - Акцент2 13_Свод гостин" xfId="3105" xr:uid="{00000000-0005-0000-0000-000010070000}"/>
    <cellStyle name="40% - Акцент2 14" xfId="1290" xr:uid="{00000000-0005-0000-0000-000011070000}"/>
    <cellStyle name="40% - Акцент2 14 2" xfId="1291" xr:uid="{00000000-0005-0000-0000-000012070000}"/>
    <cellStyle name="40% - Акцент2 14_Свод гостин" xfId="3106" xr:uid="{00000000-0005-0000-0000-000013070000}"/>
    <cellStyle name="40% - Акцент2 15" xfId="1292" xr:uid="{00000000-0005-0000-0000-000014070000}"/>
    <cellStyle name="40% - Акцент2 15 2" xfId="1293" xr:uid="{00000000-0005-0000-0000-000015070000}"/>
    <cellStyle name="40% - Акцент2 15_Свод гостин" xfId="3107" xr:uid="{00000000-0005-0000-0000-000016070000}"/>
    <cellStyle name="40% - Акцент2 16" xfId="1294" xr:uid="{00000000-0005-0000-0000-000017070000}"/>
    <cellStyle name="40% - Акцент2 16 2" xfId="1295" xr:uid="{00000000-0005-0000-0000-000018070000}"/>
    <cellStyle name="40% - Акцент2 16_Свод гостин" xfId="3108" xr:uid="{00000000-0005-0000-0000-000019070000}"/>
    <cellStyle name="40% - Акцент2 17" xfId="1296" xr:uid="{00000000-0005-0000-0000-00001A070000}"/>
    <cellStyle name="40% - Акцент2 17 2" xfId="1297" xr:uid="{00000000-0005-0000-0000-00001B070000}"/>
    <cellStyle name="40% - Акцент2 17_Свод гостин" xfId="3109" xr:uid="{00000000-0005-0000-0000-00001C070000}"/>
    <cellStyle name="40% - Акцент2 18" xfId="1298" xr:uid="{00000000-0005-0000-0000-00001D070000}"/>
    <cellStyle name="40% - Акцент2 18 2" xfId="1299" xr:uid="{00000000-0005-0000-0000-00001E070000}"/>
    <cellStyle name="40% - Акцент2 18_Свод гостин" xfId="3110" xr:uid="{00000000-0005-0000-0000-00001F070000}"/>
    <cellStyle name="40% - Акцент2 19" xfId="1300" xr:uid="{00000000-0005-0000-0000-000020070000}"/>
    <cellStyle name="40% - Акцент2 19 2" xfId="1301" xr:uid="{00000000-0005-0000-0000-000021070000}"/>
    <cellStyle name="40% - Акцент2 19_Свод гостин" xfId="3111" xr:uid="{00000000-0005-0000-0000-000022070000}"/>
    <cellStyle name="40% - Акцент2 2" xfId="1302" xr:uid="{00000000-0005-0000-0000-000023070000}"/>
    <cellStyle name="40% - Акцент2 2 2" xfId="1303" xr:uid="{00000000-0005-0000-0000-000024070000}"/>
    <cellStyle name="40% - Акцент2 2_Свод гостин" xfId="3112" xr:uid="{00000000-0005-0000-0000-000025070000}"/>
    <cellStyle name="40% - Акцент2 20" xfId="1304" xr:uid="{00000000-0005-0000-0000-000026070000}"/>
    <cellStyle name="40% - Акцент2 20 2" xfId="1305" xr:uid="{00000000-0005-0000-0000-000027070000}"/>
    <cellStyle name="40% - Акцент2 20_Свод гостин" xfId="3113" xr:uid="{00000000-0005-0000-0000-000028070000}"/>
    <cellStyle name="40% - Акцент2 21" xfId="1306" xr:uid="{00000000-0005-0000-0000-000029070000}"/>
    <cellStyle name="40% - Акцент2 21 2" xfId="1307" xr:uid="{00000000-0005-0000-0000-00002A070000}"/>
    <cellStyle name="40% - Акцент2 21_Свод гостин" xfId="3114" xr:uid="{00000000-0005-0000-0000-00002B070000}"/>
    <cellStyle name="40% - Акцент2 22" xfId="1308" xr:uid="{00000000-0005-0000-0000-00002C070000}"/>
    <cellStyle name="40% - Акцент2 22 2" xfId="1309" xr:uid="{00000000-0005-0000-0000-00002D070000}"/>
    <cellStyle name="40% - Акцент2 22_Свод гостин" xfId="3115" xr:uid="{00000000-0005-0000-0000-00002E070000}"/>
    <cellStyle name="40% - Акцент2 23" xfId="1310" xr:uid="{00000000-0005-0000-0000-00002F070000}"/>
    <cellStyle name="40% - Акцент2 23 2" xfId="1311" xr:uid="{00000000-0005-0000-0000-000030070000}"/>
    <cellStyle name="40% - Акцент2 23_Свод гостин" xfId="3116" xr:uid="{00000000-0005-0000-0000-000031070000}"/>
    <cellStyle name="40% - Акцент2 24" xfId="1312" xr:uid="{00000000-0005-0000-0000-000032070000}"/>
    <cellStyle name="40% - Акцент2 24 2" xfId="1313" xr:uid="{00000000-0005-0000-0000-000033070000}"/>
    <cellStyle name="40% - Акцент2 24_Свод гостин" xfId="3117" xr:uid="{00000000-0005-0000-0000-000034070000}"/>
    <cellStyle name="40% - Акцент2 25" xfId="1314" xr:uid="{00000000-0005-0000-0000-000035070000}"/>
    <cellStyle name="40% - Акцент2 25 2" xfId="1315" xr:uid="{00000000-0005-0000-0000-000036070000}"/>
    <cellStyle name="40% - Акцент2 25_Свод гостин" xfId="3118" xr:uid="{00000000-0005-0000-0000-000037070000}"/>
    <cellStyle name="40% - Акцент2 26" xfId="1316" xr:uid="{00000000-0005-0000-0000-000038070000}"/>
    <cellStyle name="40% - Акцент2 26 2" xfId="1317" xr:uid="{00000000-0005-0000-0000-000039070000}"/>
    <cellStyle name="40% - Акцент2 26_Свод гостин" xfId="3119" xr:uid="{00000000-0005-0000-0000-00003A070000}"/>
    <cellStyle name="40% - Акцент2 27" xfId="1318" xr:uid="{00000000-0005-0000-0000-00003B070000}"/>
    <cellStyle name="40% - Акцент2 27 2" xfId="1319" xr:uid="{00000000-0005-0000-0000-00003C070000}"/>
    <cellStyle name="40% - Акцент2 27_Свод гостин" xfId="3120" xr:uid="{00000000-0005-0000-0000-00003D070000}"/>
    <cellStyle name="40% - Акцент2 28" xfId="1320" xr:uid="{00000000-0005-0000-0000-00003E070000}"/>
    <cellStyle name="40% - Акцент2 28 2" xfId="1321" xr:uid="{00000000-0005-0000-0000-00003F070000}"/>
    <cellStyle name="40% - Акцент2 28_Свод гостин" xfId="3121" xr:uid="{00000000-0005-0000-0000-000040070000}"/>
    <cellStyle name="40% - Акцент2 29" xfId="1322" xr:uid="{00000000-0005-0000-0000-000041070000}"/>
    <cellStyle name="40% - Акцент2 29 2" xfId="1323" xr:uid="{00000000-0005-0000-0000-000042070000}"/>
    <cellStyle name="40% - Акцент2 29_Свод гостин" xfId="3122" xr:uid="{00000000-0005-0000-0000-000043070000}"/>
    <cellStyle name="40% - Акцент2 3" xfId="1324" xr:uid="{00000000-0005-0000-0000-000044070000}"/>
    <cellStyle name="40% - Акцент2 3 2" xfId="1325" xr:uid="{00000000-0005-0000-0000-000045070000}"/>
    <cellStyle name="40% - Акцент2 3_Свод гостин" xfId="3123" xr:uid="{00000000-0005-0000-0000-000046070000}"/>
    <cellStyle name="40% - Акцент2 30" xfId="1326" xr:uid="{00000000-0005-0000-0000-000047070000}"/>
    <cellStyle name="40% - Акцент2 30 2" xfId="1327" xr:uid="{00000000-0005-0000-0000-000048070000}"/>
    <cellStyle name="40% - Акцент2 30_Свод гостин" xfId="3124" xr:uid="{00000000-0005-0000-0000-000049070000}"/>
    <cellStyle name="40% - Акцент2 31" xfId="1328" xr:uid="{00000000-0005-0000-0000-00004A070000}"/>
    <cellStyle name="40% - Акцент2 31 2" xfId="1329" xr:uid="{00000000-0005-0000-0000-00004B070000}"/>
    <cellStyle name="40% - Акцент2 31_Свод гостин" xfId="3125" xr:uid="{00000000-0005-0000-0000-00004C070000}"/>
    <cellStyle name="40% - Акцент2 32" xfId="1330" xr:uid="{00000000-0005-0000-0000-00004D070000}"/>
    <cellStyle name="40% - Акцент2 32 2" xfId="1331" xr:uid="{00000000-0005-0000-0000-00004E070000}"/>
    <cellStyle name="40% - Акцент2 32_Свод гостин" xfId="3126" xr:uid="{00000000-0005-0000-0000-00004F070000}"/>
    <cellStyle name="40% - Акцент2 33" xfId="1332" xr:uid="{00000000-0005-0000-0000-000050070000}"/>
    <cellStyle name="40% - Акцент2 33 2" xfId="1333" xr:uid="{00000000-0005-0000-0000-000051070000}"/>
    <cellStyle name="40% - Акцент2 33_Свод гостин" xfId="3127" xr:uid="{00000000-0005-0000-0000-000052070000}"/>
    <cellStyle name="40% - Акцент2 34" xfId="1334" xr:uid="{00000000-0005-0000-0000-000053070000}"/>
    <cellStyle name="40% - Акцент2 34 2" xfId="1335" xr:uid="{00000000-0005-0000-0000-000054070000}"/>
    <cellStyle name="40% - Акцент2 34_Свод гостин" xfId="3128" xr:uid="{00000000-0005-0000-0000-000055070000}"/>
    <cellStyle name="40% - Акцент2 35" xfId="1336" xr:uid="{00000000-0005-0000-0000-000056070000}"/>
    <cellStyle name="40% - Акцент2 35 2" xfId="1337" xr:uid="{00000000-0005-0000-0000-000057070000}"/>
    <cellStyle name="40% - Акцент2 35_Свод гостин" xfId="3129" xr:uid="{00000000-0005-0000-0000-000058070000}"/>
    <cellStyle name="40% - Акцент2 36" xfId="1338" xr:uid="{00000000-0005-0000-0000-000059070000}"/>
    <cellStyle name="40% - Акцент2 36 2" xfId="1339" xr:uid="{00000000-0005-0000-0000-00005A070000}"/>
    <cellStyle name="40% - Акцент2 36_Свод гостин" xfId="3130" xr:uid="{00000000-0005-0000-0000-00005B070000}"/>
    <cellStyle name="40% - Акцент2 37" xfId="1340" xr:uid="{00000000-0005-0000-0000-00005C070000}"/>
    <cellStyle name="40% - Акцент2 37 2" xfId="1341" xr:uid="{00000000-0005-0000-0000-00005D070000}"/>
    <cellStyle name="40% - Акцент2 37_Свод гостин" xfId="3131" xr:uid="{00000000-0005-0000-0000-00005E070000}"/>
    <cellStyle name="40% - Акцент2 38" xfId="1342" xr:uid="{00000000-0005-0000-0000-00005F070000}"/>
    <cellStyle name="40% - Акцент2 38 2" xfId="1343" xr:uid="{00000000-0005-0000-0000-000060070000}"/>
    <cellStyle name="40% - Акцент2 38_Свод гостин" xfId="3132" xr:uid="{00000000-0005-0000-0000-000061070000}"/>
    <cellStyle name="40% - Акцент2 39" xfId="1344" xr:uid="{00000000-0005-0000-0000-000062070000}"/>
    <cellStyle name="40% - Акцент2 39 2" xfId="1345" xr:uid="{00000000-0005-0000-0000-000063070000}"/>
    <cellStyle name="40% - Акцент2 39_Свод гостин" xfId="3133" xr:uid="{00000000-0005-0000-0000-000064070000}"/>
    <cellStyle name="40% - Акцент2 4" xfId="1346" xr:uid="{00000000-0005-0000-0000-000065070000}"/>
    <cellStyle name="40% - Акцент2 4 2" xfId="1347" xr:uid="{00000000-0005-0000-0000-000066070000}"/>
    <cellStyle name="40% - Акцент2 4_Свод гостин" xfId="3134" xr:uid="{00000000-0005-0000-0000-000067070000}"/>
    <cellStyle name="40% - Акцент2 40" xfId="1348" xr:uid="{00000000-0005-0000-0000-000068070000}"/>
    <cellStyle name="40% - Акцент2 40 2" xfId="1349" xr:uid="{00000000-0005-0000-0000-000069070000}"/>
    <cellStyle name="40% - Акцент2 40_Свод гостин" xfId="3135" xr:uid="{00000000-0005-0000-0000-00006A070000}"/>
    <cellStyle name="40% - Акцент2 41" xfId="1350" xr:uid="{00000000-0005-0000-0000-00006B070000}"/>
    <cellStyle name="40% - Акцент2 41 2" xfId="1351" xr:uid="{00000000-0005-0000-0000-00006C070000}"/>
    <cellStyle name="40% - Акцент2 41_Свод гостин" xfId="3136" xr:uid="{00000000-0005-0000-0000-00006D070000}"/>
    <cellStyle name="40% - Акцент2 42" xfId="1352" xr:uid="{00000000-0005-0000-0000-00006E070000}"/>
    <cellStyle name="40% - Акцент2 42 2" xfId="1353" xr:uid="{00000000-0005-0000-0000-00006F070000}"/>
    <cellStyle name="40% - Акцент2 42_Свод гостин" xfId="3137" xr:uid="{00000000-0005-0000-0000-000070070000}"/>
    <cellStyle name="40% - Акцент2 43" xfId="1354" xr:uid="{00000000-0005-0000-0000-000071070000}"/>
    <cellStyle name="40% - Акцент2 43 2" xfId="1355" xr:uid="{00000000-0005-0000-0000-000072070000}"/>
    <cellStyle name="40% - Акцент2 43_Свод гостин" xfId="3138" xr:uid="{00000000-0005-0000-0000-000073070000}"/>
    <cellStyle name="40% - Акцент2 44" xfId="1356" xr:uid="{00000000-0005-0000-0000-000074070000}"/>
    <cellStyle name="40% - Акцент2 44 2" xfId="1357" xr:uid="{00000000-0005-0000-0000-000075070000}"/>
    <cellStyle name="40% - Акцент2 44_Свод гостин" xfId="3139" xr:uid="{00000000-0005-0000-0000-000076070000}"/>
    <cellStyle name="40% - Акцент2 45" xfId="1358" xr:uid="{00000000-0005-0000-0000-000077070000}"/>
    <cellStyle name="40% - Акцент2 45 2" xfId="1359" xr:uid="{00000000-0005-0000-0000-000078070000}"/>
    <cellStyle name="40% - Акцент2 45_Свод гостин" xfId="3140" xr:uid="{00000000-0005-0000-0000-000079070000}"/>
    <cellStyle name="40% - Акцент2 46" xfId="1360" xr:uid="{00000000-0005-0000-0000-00007A070000}"/>
    <cellStyle name="40% - Акцент2 46 2" xfId="1361" xr:uid="{00000000-0005-0000-0000-00007B070000}"/>
    <cellStyle name="40% - Акцент2 46_Свод гостин" xfId="3141" xr:uid="{00000000-0005-0000-0000-00007C070000}"/>
    <cellStyle name="40% - Акцент2 47" xfId="1362" xr:uid="{00000000-0005-0000-0000-00007D070000}"/>
    <cellStyle name="40% - Акцент2 47 2" xfId="1363" xr:uid="{00000000-0005-0000-0000-00007E070000}"/>
    <cellStyle name="40% - Акцент2 47_Свод гостин" xfId="3142" xr:uid="{00000000-0005-0000-0000-00007F070000}"/>
    <cellStyle name="40% - Акцент2 48" xfId="1364" xr:uid="{00000000-0005-0000-0000-000080070000}"/>
    <cellStyle name="40% - Акцент2 48 2" xfId="1365" xr:uid="{00000000-0005-0000-0000-000081070000}"/>
    <cellStyle name="40% - Акцент2 48_Свод гостин" xfId="3143" xr:uid="{00000000-0005-0000-0000-000082070000}"/>
    <cellStyle name="40% - Акцент2 49" xfId="1366" xr:uid="{00000000-0005-0000-0000-000083070000}"/>
    <cellStyle name="40% - Акцент2 49 2" xfId="1367" xr:uid="{00000000-0005-0000-0000-000084070000}"/>
    <cellStyle name="40% - Акцент2 49_Свод гостин" xfId="3144" xr:uid="{00000000-0005-0000-0000-000085070000}"/>
    <cellStyle name="40% - Акцент2 5" xfId="1368" xr:uid="{00000000-0005-0000-0000-000086070000}"/>
    <cellStyle name="40% - Акцент2 5 2" xfId="1369" xr:uid="{00000000-0005-0000-0000-000087070000}"/>
    <cellStyle name="40% - Акцент2 5_Свод гостин" xfId="3145" xr:uid="{00000000-0005-0000-0000-000088070000}"/>
    <cellStyle name="40% - Акцент2 50" xfId="1370" xr:uid="{00000000-0005-0000-0000-000089070000}"/>
    <cellStyle name="40% - Акцент2 50 2" xfId="1371" xr:uid="{00000000-0005-0000-0000-00008A070000}"/>
    <cellStyle name="40% - Акцент2 50_Свод гостин" xfId="3146" xr:uid="{00000000-0005-0000-0000-00008B070000}"/>
    <cellStyle name="40% - Акцент2 51" xfId="1372" xr:uid="{00000000-0005-0000-0000-00008C070000}"/>
    <cellStyle name="40% - Акцент2 51 2" xfId="1373" xr:uid="{00000000-0005-0000-0000-00008D070000}"/>
    <cellStyle name="40% - Акцент2 51_Свод гостин" xfId="3147" xr:uid="{00000000-0005-0000-0000-00008E070000}"/>
    <cellStyle name="40% - Акцент2 52" xfId="1374" xr:uid="{00000000-0005-0000-0000-00008F070000}"/>
    <cellStyle name="40% - Акцент2 52 2" xfId="1375" xr:uid="{00000000-0005-0000-0000-000090070000}"/>
    <cellStyle name="40% - Акцент2 52_Свод гостин" xfId="3148" xr:uid="{00000000-0005-0000-0000-000091070000}"/>
    <cellStyle name="40% - Акцент2 53" xfId="1376" xr:uid="{00000000-0005-0000-0000-000092070000}"/>
    <cellStyle name="40% - Акцент2 53 2" xfId="1377" xr:uid="{00000000-0005-0000-0000-000093070000}"/>
    <cellStyle name="40% - Акцент2 53_Свод гостин" xfId="3149" xr:uid="{00000000-0005-0000-0000-000094070000}"/>
    <cellStyle name="40% - Акцент2 54" xfId="1378" xr:uid="{00000000-0005-0000-0000-000095070000}"/>
    <cellStyle name="40% - Акцент2 54 2" xfId="1379" xr:uid="{00000000-0005-0000-0000-000096070000}"/>
    <cellStyle name="40% - Акцент2 54_Свод гостин" xfId="3150" xr:uid="{00000000-0005-0000-0000-000097070000}"/>
    <cellStyle name="40% - Акцент2 55" xfId="1380" xr:uid="{00000000-0005-0000-0000-000098070000}"/>
    <cellStyle name="40% - Акцент2 55 2" xfId="1381" xr:uid="{00000000-0005-0000-0000-000099070000}"/>
    <cellStyle name="40% - Акцент2 55_Свод гостин" xfId="3151" xr:uid="{00000000-0005-0000-0000-00009A070000}"/>
    <cellStyle name="40% - Акцент2 56" xfId="1382" xr:uid="{00000000-0005-0000-0000-00009B070000}"/>
    <cellStyle name="40% - Акцент2 56 2" xfId="1383" xr:uid="{00000000-0005-0000-0000-00009C070000}"/>
    <cellStyle name="40% - Акцент2 56_Свод гостин" xfId="3152" xr:uid="{00000000-0005-0000-0000-00009D070000}"/>
    <cellStyle name="40% - Акцент2 57" xfId="1384" xr:uid="{00000000-0005-0000-0000-00009E070000}"/>
    <cellStyle name="40% - Акцент2 57 2" xfId="1385" xr:uid="{00000000-0005-0000-0000-00009F070000}"/>
    <cellStyle name="40% - Акцент2 57_Свод гостин" xfId="3153" xr:uid="{00000000-0005-0000-0000-0000A0070000}"/>
    <cellStyle name="40% - Акцент2 58" xfId="1386" xr:uid="{00000000-0005-0000-0000-0000A1070000}"/>
    <cellStyle name="40% - Акцент2 58 2" xfId="1387" xr:uid="{00000000-0005-0000-0000-0000A2070000}"/>
    <cellStyle name="40% - Акцент2 58_Свод гостин" xfId="3154" xr:uid="{00000000-0005-0000-0000-0000A3070000}"/>
    <cellStyle name="40% - Акцент2 59" xfId="1388" xr:uid="{00000000-0005-0000-0000-0000A4070000}"/>
    <cellStyle name="40% - Акцент2 59 2" xfId="1389" xr:uid="{00000000-0005-0000-0000-0000A5070000}"/>
    <cellStyle name="40% - Акцент2 59_Свод гостин" xfId="3155" xr:uid="{00000000-0005-0000-0000-0000A6070000}"/>
    <cellStyle name="40% - Акцент2 6" xfId="1390" xr:uid="{00000000-0005-0000-0000-0000A7070000}"/>
    <cellStyle name="40% - Акцент2 6 2" xfId="1391" xr:uid="{00000000-0005-0000-0000-0000A8070000}"/>
    <cellStyle name="40% - Акцент2 6_Свод гостин" xfId="3156" xr:uid="{00000000-0005-0000-0000-0000A9070000}"/>
    <cellStyle name="40% - Акцент2 60" xfId="1392" xr:uid="{00000000-0005-0000-0000-0000AA070000}"/>
    <cellStyle name="40% - Акцент2 60 2" xfId="1393" xr:uid="{00000000-0005-0000-0000-0000AB070000}"/>
    <cellStyle name="40% - Акцент2 60_Свод гостин" xfId="3157" xr:uid="{00000000-0005-0000-0000-0000AC070000}"/>
    <cellStyle name="40% - Акцент2 61" xfId="1394" xr:uid="{00000000-0005-0000-0000-0000AD070000}"/>
    <cellStyle name="40% - Акцент2 61 2" xfId="1395" xr:uid="{00000000-0005-0000-0000-0000AE070000}"/>
    <cellStyle name="40% - Акцент2 61_Свод гостин" xfId="3158" xr:uid="{00000000-0005-0000-0000-0000AF070000}"/>
    <cellStyle name="40% - Акцент2 62" xfId="1396" xr:uid="{00000000-0005-0000-0000-0000B0070000}"/>
    <cellStyle name="40% - Акцент2 62 2" xfId="1397" xr:uid="{00000000-0005-0000-0000-0000B1070000}"/>
    <cellStyle name="40% - Акцент2 62_Свод гостин" xfId="3159" xr:uid="{00000000-0005-0000-0000-0000B2070000}"/>
    <cellStyle name="40% - Акцент2 63" xfId="1398" xr:uid="{00000000-0005-0000-0000-0000B3070000}"/>
    <cellStyle name="40% - Акцент2 63 2" xfId="1399" xr:uid="{00000000-0005-0000-0000-0000B4070000}"/>
    <cellStyle name="40% - Акцент2 63_Свод гостин" xfId="3160" xr:uid="{00000000-0005-0000-0000-0000B5070000}"/>
    <cellStyle name="40% - Акцент2 64" xfId="1400" xr:uid="{00000000-0005-0000-0000-0000B6070000}"/>
    <cellStyle name="40% - Акцент2 64 2" xfId="1401" xr:uid="{00000000-0005-0000-0000-0000B7070000}"/>
    <cellStyle name="40% - Акцент2 64_Свод гостин" xfId="3161" xr:uid="{00000000-0005-0000-0000-0000B8070000}"/>
    <cellStyle name="40% - Акцент2 65" xfId="1402" xr:uid="{00000000-0005-0000-0000-0000B9070000}"/>
    <cellStyle name="40% - Акцент2 65 2" xfId="1403" xr:uid="{00000000-0005-0000-0000-0000BA070000}"/>
    <cellStyle name="40% - Акцент2 65_Свод гостин" xfId="3162" xr:uid="{00000000-0005-0000-0000-0000BB070000}"/>
    <cellStyle name="40% - Акцент2 66" xfId="1404" xr:uid="{00000000-0005-0000-0000-0000BC070000}"/>
    <cellStyle name="40% - Акцент2 66 2" xfId="1405" xr:uid="{00000000-0005-0000-0000-0000BD070000}"/>
    <cellStyle name="40% - Акцент2 66_Свод гостин" xfId="3163" xr:uid="{00000000-0005-0000-0000-0000BE070000}"/>
    <cellStyle name="40% - Акцент2 67" xfId="1406" xr:uid="{00000000-0005-0000-0000-0000BF070000}"/>
    <cellStyle name="40% - Акцент2 67 2" xfId="1407" xr:uid="{00000000-0005-0000-0000-0000C0070000}"/>
    <cellStyle name="40% - Акцент2 67_Свод гостин" xfId="3164" xr:uid="{00000000-0005-0000-0000-0000C1070000}"/>
    <cellStyle name="40% - Акцент2 68" xfId="1408" xr:uid="{00000000-0005-0000-0000-0000C2070000}"/>
    <cellStyle name="40% - Акцент2 68 2" xfId="1409" xr:uid="{00000000-0005-0000-0000-0000C3070000}"/>
    <cellStyle name="40% - Акцент2 68_Свод гостин" xfId="3165" xr:uid="{00000000-0005-0000-0000-0000C4070000}"/>
    <cellStyle name="40% - Акцент2 69" xfId="1410" xr:uid="{00000000-0005-0000-0000-0000C5070000}"/>
    <cellStyle name="40% - Акцент2 69 2" xfId="1411" xr:uid="{00000000-0005-0000-0000-0000C6070000}"/>
    <cellStyle name="40% - Акцент2 69_Свод гостин" xfId="3166" xr:uid="{00000000-0005-0000-0000-0000C7070000}"/>
    <cellStyle name="40% - Акцент2 7" xfId="1412" xr:uid="{00000000-0005-0000-0000-0000C8070000}"/>
    <cellStyle name="40% - Акцент2 7 2" xfId="1413" xr:uid="{00000000-0005-0000-0000-0000C9070000}"/>
    <cellStyle name="40% - Акцент2 7_Свод гостин" xfId="3167" xr:uid="{00000000-0005-0000-0000-0000CA070000}"/>
    <cellStyle name="40% - Акцент2 70" xfId="1414" xr:uid="{00000000-0005-0000-0000-0000CB070000}"/>
    <cellStyle name="40% - Акцент2 70 2" xfId="1415" xr:uid="{00000000-0005-0000-0000-0000CC070000}"/>
    <cellStyle name="40% - Акцент2 70_Свод гостин" xfId="3168" xr:uid="{00000000-0005-0000-0000-0000CD070000}"/>
    <cellStyle name="40% - Акцент2 71" xfId="1416" xr:uid="{00000000-0005-0000-0000-0000CE070000}"/>
    <cellStyle name="40% - Акцент2 71 2" xfId="1417" xr:uid="{00000000-0005-0000-0000-0000CF070000}"/>
    <cellStyle name="40% - Акцент2 71_Свод гостин" xfId="3169" xr:uid="{00000000-0005-0000-0000-0000D0070000}"/>
    <cellStyle name="40% - Акцент2 72" xfId="1418" xr:uid="{00000000-0005-0000-0000-0000D1070000}"/>
    <cellStyle name="40% - Акцент2 72 2" xfId="1419" xr:uid="{00000000-0005-0000-0000-0000D2070000}"/>
    <cellStyle name="40% - Акцент2 72_Свод гостин" xfId="3170" xr:uid="{00000000-0005-0000-0000-0000D3070000}"/>
    <cellStyle name="40% - Акцент2 73" xfId="1420" xr:uid="{00000000-0005-0000-0000-0000D4070000}"/>
    <cellStyle name="40% - Акцент2 73 2" xfId="1421" xr:uid="{00000000-0005-0000-0000-0000D5070000}"/>
    <cellStyle name="40% - Акцент2 73_Свод гостин" xfId="3171" xr:uid="{00000000-0005-0000-0000-0000D6070000}"/>
    <cellStyle name="40% - Акцент2 74" xfId="1422" xr:uid="{00000000-0005-0000-0000-0000D7070000}"/>
    <cellStyle name="40% - Акцент2 74 2" xfId="1423" xr:uid="{00000000-0005-0000-0000-0000D8070000}"/>
    <cellStyle name="40% - Акцент2 74_Свод гостин" xfId="3172" xr:uid="{00000000-0005-0000-0000-0000D9070000}"/>
    <cellStyle name="40% - Акцент2 75" xfId="1424" xr:uid="{00000000-0005-0000-0000-0000DA070000}"/>
    <cellStyle name="40% - Акцент2 75 2" xfId="1425" xr:uid="{00000000-0005-0000-0000-0000DB070000}"/>
    <cellStyle name="40% - Акцент2 75_Свод гостин" xfId="3173" xr:uid="{00000000-0005-0000-0000-0000DC070000}"/>
    <cellStyle name="40% - Акцент2 76" xfId="1426" xr:uid="{00000000-0005-0000-0000-0000DD070000}"/>
    <cellStyle name="40% - Акцент2 76 2" xfId="1427" xr:uid="{00000000-0005-0000-0000-0000DE070000}"/>
    <cellStyle name="40% - Акцент2 76_Свод гостин" xfId="3174" xr:uid="{00000000-0005-0000-0000-0000DF070000}"/>
    <cellStyle name="40% - Акцент2 77" xfId="1428" xr:uid="{00000000-0005-0000-0000-0000E0070000}"/>
    <cellStyle name="40% - Акцент2 77 2" xfId="1429" xr:uid="{00000000-0005-0000-0000-0000E1070000}"/>
    <cellStyle name="40% - Акцент2 77_Свод гостин" xfId="3175" xr:uid="{00000000-0005-0000-0000-0000E2070000}"/>
    <cellStyle name="40% - Акцент2 78" xfId="1430" xr:uid="{00000000-0005-0000-0000-0000E3070000}"/>
    <cellStyle name="40% - Акцент2 78 2" xfId="1431" xr:uid="{00000000-0005-0000-0000-0000E4070000}"/>
    <cellStyle name="40% - Акцент2 78_Свод гостин" xfId="3176" xr:uid="{00000000-0005-0000-0000-0000E5070000}"/>
    <cellStyle name="40% - Акцент2 79" xfId="1432" xr:uid="{00000000-0005-0000-0000-0000E6070000}"/>
    <cellStyle name="40% - Акцент2 79 2" xfId="1433" xr:uid="{00000000-0005-0000-0000-0000E7070000}"/>
    <cellStyle name="40% - Акцент2 79_Свод гостин" xfId="3177" xr:uid="{00000000-0005-0000-0000-0000E8070000}"/>
    <cellStyle name="40% - Акцент2 8" xfId="1434" xr:uid="{00000000-0005-0000-0000-0000E9070000}"/>
    <cellStyle name="40% - Акцент2 8 2" xfId="1435" xr:uid="{00000000-0005-0000-0000-0000EA070000}"/>
    <cellStyle name="40% - Акцент2 8_Свод гостин" xfId="3178" xr:uid="{00000000-0005-0000-0000-0000EB070000}"/>
    <cellStyle name="40% - Акцент2 80" xfId="1436" xr:uid="{00000000-0005-0000-0000-0000EC070000}"/>
    <cellStyle name="40% - Акцент2 80 2" xfId="1437" xr:uid="{00000000-0005-0000-0000-0000ED070000}"/>
    <cellStyle name="40% - Акцент2 80_Свод гостин" xfId="3179" xr:uid="{00000000-0005-0000-0000-0000EE070000}"/>
    <cellStyle name="40% - Акцент2 81" xfId="1438" xr:uid="{00000000-0005-0000-0000-0000EF070000}"/>
    <cellStyle name="40% - Акцент2 81 2" xfId="1439" xr:uid="{00000000-0005-0000-0000-0000F0070000}"/>
    <cellStyle name="40% - Акцент2 81_Свод гостин" xfId="3180" xr:uid="{00000000-0005-0000-0000-0000F1070000}"/>
    <cellStyle name="40% - Акцент2 82" xfId="1440" xr:uid="{00000000-0005-0000-0000-0000F2070000}"/>
    <cellStyle name="40% - Акцент2 82 2" xfId="1441" xr:uid="{00000000-0005-0000-0000-0000F3070000}"/>
    <cellStyle name="40% - Акцент2 82_Свод гостин" xfId="3181" xr:uid="{00000000-0005-0000-0000-0000F4070000}"/>
    <cellStyle name="40% - Акцент2 83" xfId="1442" xr:uid="{00000000-0005-0000-0000-0000F5070000}"/>
    <cellStyle name="40% - Акцент2 83 2" xfId="1443" xr:uid="{00000000-0005-0000-0000-0000F6070000}"/>
    <cellStyle name="40% - Акцент2 83_Свод гостин" xfId="3182" xr:uid="{00000000-0005-0000-0000-0000F7070000}"/>
    <cellStyle name="40% - Акцент2 9" xfId="1444" xr:uid="{00000000-0005-0000-0000-0000F8070000}"/>
    <cellStyle name="40% - Акцент2 9 2" xfId="1445" xr:uid="{00000000-0005-0000-0000-0000F9070000}"/>
    <cellStyle name="40% - Акцент2 9_Свод гостин" xfId="3183" xr:uid="{00000000-0005-0000-0000-0000FA070000}"/>
    <cellStyle name="40% - Акцент3 10" xfId="1446" xr:uid="{00000000-0005-0000-0000-0000FB070000}"/>
    <cellStyle name="40% - Акцент3 10 2" xfId="1447" xr:uid="{00000000-0005-0000-0000-0000FC070000}"/>
    <cellStyle name="40% - Акцент3 10_Свод гостин" xfId="3184" xr:uid="{00000000-0005-0000-0000-0000FD070000}"/>
    <cellStyle name="40% - Акцент3 11" xfId="1448" xr:uid="{00000000-0005-0000-0000-0000FE070000}"/>
    <cellStyle name="40% - Акцент3 11 2" xfId="1449" xr:uid="{00000000-0005-0000-0000-0000FF070000}"/>
    <cellStyle name="40% - Акцент3 11_Свод гостин" xfId="3185" xr:uid="{00000000-0005-0000-0000-000000080000}"/>
    <cellStyle name="40% - Акцент3 12" xfId="1450" xr:uid="{00000000-0005-0000-0000-000001080000}"/>
    <cellStyle name="40% - Акцент3 12 2" xfId="1451" xr:uid="{00000000-0005-0000-0000-000002080000}"/>
    <cellStyle name="40% - Акцент3 12_Свод гостин" xfId="3186" xr:uid="{00000000-0005-0000-0000-000003080000}"/>
    <cellStyle name="40% - Акцент3 13" xfId="1452" xr:uid="{00000000-0005-0000-0000-000004080000}"/>
    <cellStyle name="40% - Акцент3 13 2" xfId="1453" xr:uid="{00000000-0005-0000-0000-000005080000}"/>
    <cellStyle name="40% - Акцент3 13_Свод гостин" xfId="3187" xr:uid="{00000000-0005-0000-0000-000006080000}"/>
    <cellStyle name="40% - Акцент3 14" xfId="1454" xr:uid="{00000000-0005-0000-0000-000007080000}"/>
    <cellStyle name="40% - Акцент3 14 2" xfId="1455" xr:uid="{00000000-0005-0000-0000-000008080000}"/>
    <cellStyle name="40% - Акцент3 14_Свод гостин" xfId="3188" xr:uid="{00000000-0005-0000-0000-000009080000}"/>
    <cellStyle name="40% - Акцент3 15" xfId="1456" xr:uid="{00000000-0005-0000-0000-00000A080000}"/>
    <cellStyle name="40% - Акцент3 15 2" xfId="1457" xr:uid="{00000000-0005-0000-0000-00000B080000}"/>
    <cellStyle name="40% - Акцент3 15_Свод гостин" xfId="3189" xr:uid="{00000000-0005-0000-0000-00000C080000}"/>
    <cellStyle name="40% - Акцент3 16" xfId="1458" xr:uid="{00000000-0005-0000-0000-00000D080000}"/>
    <cellStyle name="40% - Акцент3 16 2" xfId="1459" xr:uid="{00000000-0005-0000-0000-00000E080000}"/>
    <cellStyle name="40% - Акцент3 16_Свод гостин" xfId="3190" xr:uid="{00000000-0005-0000-0000-00000F080000}"/>
    <cellStyle name="40% - Акцент3 17" xfId="1460" xr:uid="{00000000-0005-0000-0000-000010080000}"/>
    <cellStyle name="40% - Акцент3 17 2" xfId="1461" xr:uid="{00000000-0005-0000-0000-000011080000}"/>
    <cellStyle name="40% - Акцент3 17_Свод гостин" xfId="3191" xr:uid="{00000000-0005-0000-0000-000012080000}"/>
    <cellStyle name="40% - Акцент3 18" xfId="1462" xr:uid="{00000000-0005-0000-0000-000013080000}"/>
    <cellStyle name="40% - Акцент3 18 2" xfId="1463" xr:uid="{00000000-0005-0000-0000-000014080000}"/>
    <cellStyle name="40% - Акцент3 18_Свод гостин" xfId="3192" xr:uid="{00000000-0005-0000-0000-000015080000}"/>
    <cellStyle name="40% - Акцент3 19" xfId="1464" xr:uid="{00000000-0005-0000-0000-000016080000}"/>
    <cellStyle name="40% - Акцент3 19 2" xfId="1465" xr:uid="{00000000-0005-0000-0000-000017080000}"/>
    <cellStyle name="40% - Акцент3 19_Свод гостин" xfId="3193" xr:uid="{00000000-0005-0000-0000-000018080000}"/>
    <cellStyle name="40% - Акцент3 2" xfId="1466" xr:uid="{00000000-0005-0000-0000-000019080000}"/>
    <cellStyle name="40% - Акцент3 2 2" xfId="1467" xr:uid="{00000000-0005-0000-0000-00001A080000}"/>
    <cellStyle name="40% - Акцент3 2_Свод гостин" xfId="3194" xr:uid="{00000000-0005-0000-0000-00001B080000}"/>
    <cellStyle name="40% - Акцент3 20" xfId="1468" xr:uid="{00000000-0005-0000-0000-00001C080000}"/>
    <cellStyle name="40% - Акцент3 20 2" xfId="1469" xr:uid="{00000000-0005-0000-0000-00001D080000}"/>
    <cellStyle name="40% - Акцент3 20_Свод гостин" xfId="3195" xr:uid="{00000000-0005-0000-0000-00001E080000}"/>
    <cellStyle name="40% - Акцент3 21" xfId="1470" xr:uid="{00000000-0005-0000-0000-00001F080000}"/>
    <cellStyle name="40% - Акцент3 21 2" xfId="1471" xr:uid="{00000000-0005-0000-0000-000020080000}"/>
    <cellStyle name="40% - Акцент3 21_Свод гостин" xfId="3196" xr:uid="{00000000-0005-0000-0000-000021080000}"/>
    <cellStyle name="40% - Акцент3 22" xfId="1472" xr:uid="{00000000-0005-0000-0000-000022080000}"/>
    <cellStyle name="40% - Акцент3 22 2" xfId="1473" xr:uid="{00000000-0005-0000-0000-000023080000}"/>
    <cellStyle name="40% - Акцент3 22_Свод гостин" xfId="3197" xr:uid="{00000000-0005-0000-0000-000024080000}"/>
    <cellStyle name="40% - Акцент3 23" xfId="1474" xr:uid="{00000000-0005-0000-0000-000025080000}"/>
    <cellStyle name="40% - Акцент3 23 2" xfId="1475" xr:uid="{00000000-0005-0000-0000-000026080000}"/>
    <cellStyle name="40% - Акцент3 23_Свод гостин" xfId="3198" xr:uid="{00000000-0005-0000-0000-000027080000}"/>
    <cellStyle name="40% - Акцент3 24" xfId="1476" xr:uid="{00000000-0005-0000-0000-000028080000}"/>
    <cellStyle name="40% - Акцент3 24 2" xfId="1477" xr:uid="{00000000-0005-0000-0000-000029080000}"/>
    <cellStyle name="40% - Акцент3 24_Свод гостин" xfId="3199" xr:uid="{00000000-0005-0000-0000-00002A080000}"/>
    <cellStyle name="40% - Акцент3 25" xfId="1478" xr:uid="{00000000-0005-0000-0000-00002B080000}"/>
    <cellStyle name="40% - Акцент3 25 2" xfId="1479" xr:uid="{00000000-0005-0000-0000-00002C080000}"/>
    <cellStyle name="40% - Акцент3 25_Свод гостин" xfId="3200" xr:uid="{00000000-0005-0000-0000-00002D080000}"/>
    <cellStyle name="40% - Акцент3 26" xfId="1480" xr:uid="{00000000-0005-0000-0000-00002E080000}"/>
    <cellStyle name="40% - Акцент3 26 2" xfId="1481" xr:uid="{00000000-0005-0000-0000-00002F080000}"/>
    <cellStyle name="40% - Акцент3 26_Свод гостин" xfId="3201" xr:uid="{00000000-0005-0000-0000-000030080000}"/>
    <cellStyle name="40% - Акцент3 27" xfId="1482" xr:uid="{00000000-0005-0000-0000-000031080000}"/>
    <cellStyle name="40% - Акцент3 27 2" xfId="1483" xr:uid="{00000000-0005-0000-0000-000032080000}"/>
    <cellStyle name="40% - Акцент3 27_Свод гостин" xfId="3202" xr:uid="{00000000-0005-0000-0000-000033080000}"/>
    <cellStyle name="40% - Акцент3 28" xfId="1484" xr:uid="{00000000-0005-0000-0000-000034080000}"/>
    <cellStyle name="40% - Акцент3 28 2" xfId="1485" xr:uid="{00000000-0005-0000-0000-000035080000}"/>
    <cellStyle name="40% - Акцент3 28_Свод гостин" xfId="3203" xr:uid="{00000000-0005-0000-0000-000036080000}"/>
    <cellStyle name="40% - Акцент3 29" xfId="1486" xr:uid="{00000000-0005-0000-0000-000037080000}"/>
    <cellStyle name="40% - Акцент3 29 2" xfId="1487" xr:uid="{00000000-0005-0000-0000-000038080000}"/>
    <cellStyle name="40% - Акцент3 29_Свод гостин" xfId="3204" xr:uid="{00000000-0005-0000-0000-000039080000}"/>
    <cellStyle name="40% - Акцент3 3" xfId="1488" xr:uid="{00000000-0005-0000-0000-00003A080000}"/>
    <cellStyle name="40% - Акцент3 3 2" xfId="1489" xr:uid="{00000000-0005-0000-0000-00003B080000}"/>
    <cellStyle name="40% - Акцент3 3_Свод гостин" xfId="3205" xr:uid="{00000000-0005-0000-0000-00003C080000}"/>
    <cellStyle name="40% - Акцент3 30" xfId="1490" xr:uid="{00000000-0005-0000-0000-00003D080000}"/>
    <cellStyle name="40% - Акцент3 30 2" xfId="1491" xr:uid="{00000000-0005-0000-0000-00003E080000}"/>
    <cellStyle name="40% - Акцент3 30_Свод гостин" xfId="3206" xr:uid="{00000000-0005-0000-0000-00003F080000}"/>
    <cellStyle name="40% - Акцент3 31" xfId="1492" xr:uid="{00000000-0005-0000-0000-000040080000}"/>
    <cellStyle name="40% - Акцент3 31 2" xfId="1493" xr:uid="{00000000-0005-0000-0000-000041080000}"/>
    <cellStyle name="40% - Акцент3 31_Свод гостин" xfId="3207" xr:uid="{00000000-0005-0000-0000-000042080000}"/>
    <cellStyle name="40% - Акцент3 32" xfId="1494" xr:uid="{00000000-0005-0000-0000-000043080000}"/>
    <cellStyle name="40% - Акцент3 32 2" xfId="1495" xr:uid="{00000000-0005-0000-0000-000044080000}"/>
    <cellStyle name="40% - Акцент3 32_Свод гостин" xfId="3208" xr:uid="{00000000-0005-0000-0000-000045080000}"/>
    <cellStyle name="40% - Акцент3 33" xfId="1496" xr:uid="{00000000-0005-0000-0000-000046080000}"/>
    <cellStyle name="40% - Акцент3 33 2" xfId="1497" xr:uid="{00000000-0005-0000-0000-000047080000}"/>
    <cellStyle name="40% - Акцент3 33_Свод гостин" xfId="3209" xr:uid="{00000000-0005-0000-0000-000048080000}"/>
    <cellStyle name="40% - Акцент3 34" xfId="1498" xr:uid="{00000000-0005-0000-0000-000049080000}"/>
    <cellStyle name="40% - Акцент3 34 2" xfId="1499" xr:uid="{00000000-0005-0000-0000-00004A080000}"/>
    <cellStyle name="40% - Акцент3 34_Свод гостин" xfId="3210" xr:uid="{00000000-0005-0000-0000-00004B080000}"/>
    <cellStyle name="40% - Акцент3 35" xfId="1500" xr:uid="{00000000-0005-0000-0000-00004C080000}"/>
    <cellStyle name="40% - Акцент3 35 2" xfId="1501" xr:uid="{00000000-0005-0000-0000-00004D080000}"/>
    <cellStyle name="40% - Акцент3 35_Свод гостин" xfId="3211" xr:uid="{00000000-0005-0000-0000-00004E080000}"/>
    <cellStyle name="40% - Акцент3 36" xfId="1502" xr:uid="{00000000-0005-0000-0000-00004F080000}"/>
    <cellStyle name="40% - Акцент3 36 2" xfId="1503" xr:uid="{00000000-0005-0000-0000-000050080000}"/>
    <cellStyle name="40% - Акцент3 36_Свод гостин" xfId="3212" xr:uid="{00000000-0005-0000-0000-000051080000}"/>
    <cellStyle name="40% - Акцент3 37" xfId="1504" xr:uid="{00000000-0005-0000-0000-000052080000}"/>
    <cellStyle name="40% - Акцент3 37 2" xfId="1505" xr:uid="{00000000-0005-0000-0000-000053080000}"/>
    <cellStyle name="40% - Акцент3 37_Свод гостин" xfId="3213" xr:uid="{00000000-0005-0000-0000-000054080000}"/>
    <cellStyle name="40% - Акцент3 38" xfId="1506" xr:uid="{00000000-0005-0000-0000-000055080000}"/>
    <cellStyle name="40% - Акцент3 38 2" xfId="1507" xr:uid="{00000000-0005-0000-0000-000056080000}"/>
    <cellStyle name="40% - Акцент3 38_Свод гостин" xfId="3214" xr:uid="{00000000-0005-0000-0000-000057080000}"/>
    <cellStyle name="40% - Акцент3 39" xfId="1508" xr:uid="{00000000-0005-0000-0000-000058080000}"/>
    <cellStyle name="40% - Акцент3 39 2" xfId="1509" xr:uid="{00000000-0005-0000-0000-000059080000}"/>
    <cellStyle name="40% - Акцент3 39_Свод гостин" xfId="3215" xr:uid="{00000000-0005-0000-0000-00005A080000}"/>
    <cellStyle name="40% - Акцент3 4" xfId="1510" xr:uid="{00000000-0005-0000-0000-00005B080000}"/>
    <cellStyle name="40% - Акцент3 4 2" xfId="1511" xr:uid="{00000000-0005-0000-0000-00005C080000}"/>
    <cellStyle name="40% - Акцент3 4_Свод гостин" xfId="3216" xr:uid="{00000000-0005-0000-0000-00005D080000}"/>
    <cellStyle name="40% - Акцент3 40" xfId="1512" xr:uid="{00000000-0005-0000-0000-00005E080000}"/>
    <cellStyle name="40% - Акцент3 40 2" xfId="1513" xr:uid="{00000000-0005-0000-0000-00005F080000}"/>
    <cellStyle name="40% - Акцент3 40_Свод гостин" xfId="3217" xr:uid="{00000000-0005-0000-0000-000060080000}"/>
    <cellStyle name="40% - Акцент3 41" xfId="1514" xr:uid="{00000000-0005-0000-0000-000061080000}"/>
    <cellStyle name="40% - Акцент3 41 2" xfId="1515" xr:uid="{00000000-0005-0000-0000-000062080000}"/>
    <cellStyle name="40% - Акцент3 41_Свод гостин" xfId="3218" xr:uid="{00000000-0005-0000-0000-000063080000}"/>
    <cellStyle name="40% - Акцент3 42" xfId="1516" xr:uid="{00000000-0005-0000-0000-000064080000}"/>
    <cellStyle name="40% - Акцент3 42 2" xfId="1517" xr:uid="{00000000-0005-0000-0000-000065080000}"/>
    <cellStyle name="40% - Акцент3 42_Свод гостин" xfId="3219" xr:uid="{00000000-0005-0000-0000-000066080000}"/>
    <cellStyle name="40% - Акцент3 43" xfId="1518" xr:uid="{00000000-0005-0000-0000-000067080000}"/>
    <cellStyle name="40% - Акцент3 43 2" xfId="1519" xr:uid="{00000000-0005-0000-0000-000068080000}"/>
    <cellStyle name="40% - Акцент3 43_Свод гостин" xfId="3220" xr:uid="{00000000-0005-0000-0000-000069080000}"/>
    <cellStyle name="40% - Акцент3 44" xfId="1520" xr:uid="{00000000-0005-0000-0000-00006A080000}"/>
    <cellStyle name="40% - Акцент3 44 2" xfId="1521" xr:uid="{00000000-0005-0000-0000-00006B080000}"/>
    <cellStyle name="40% - Акцент3 44_Свод гостин" xfId="3221" xr:uid="{00000000-0005-0000-0000-00006C080000}"/>
    <cellStyle name="40% - Акцент3 45" xfId="1522" xr:uid="{00000000-0005-0000-0000-00006D080000}"/>
    <cellStyle name="40% - Акцент3 45 2" xfId="1523" xr:uid="{00000000-0005-0000-0000-00006E080000}"/>
    <cellStyle name="40% - Акцент3 45_Свод гостин" xfId="3222" xr:uid="{00000000-0005-0000-0000-00006F080000}"/>
    <cellStyle name="40% - Акцент3 46" xfId="1524" xr:uid="{00000000-0005-0000-0000-000070080000}"/>
    <cellStyle name="40% - Акцент3 46 2" xfId="1525" xr:uid="{00000000-0005-0000-0000-000071080000}"/>
    <cellStyle name="40% - Акцент3 46_Свод гостин" xfId="3223" xr:uid="{00000000-0005-0000-0000-000072080000}"/>
    <cellStyle name="40% - Акцент3 47" xfId="1526" xr:uid="{00000000-0005-0000-0000-000073080000}"/>
    <cellStyle name="40% - Акцент3 47 2" xfId="1527" xr:uid="{00000000-0005-0000-0000-000074080000}"/>
    <cellStyle name="40% - Акцент3 47_Свод гостин" xfId="3224" xr:uid="{00000000-0005-0000-0000-000075080000}"/>
    <cellStyle name="40% - Акцент3 48" xfId="1528" xr:uid="{00000000-0005-0000-0000-000076080000}"/>
    <cellStyle name="40% - Акцент3 48 2" xfId="1529" xr:uid="{00000000-0005-0000-0000-000077080000}"/>
    <cellStyle name="40% - Акцент3 48_Свод гостин" xfId="3225" xr:uid="{00000000-0005-0000-0000-000078080000}"/>
    <cellStyle name="40% - Акцент3 49" xfId="1530" xr:uid="{00000000-0005-0000-0000-000079080000}"/>
    <cellStyle name="40% - Акцент3 49 2" xfId="1531" xr:uid="{00000000-0005-0000-0000-00007A080000}"/>
    <cellStyle name="40% - Акцент3 49_Свод гостин" xfId="3226" xr:uid="{00000000-0005-0000-0000-00007B080000}"/>
    <cellStyle name="40% - Акцент3 5" xfId="1532" xr:uid="{00000000-0005-0000-0000-00007C080000}"/>
    <cellStyle name="40% - Акцент3 5 2" xfId="1533" xr:uid="{00000000-0005-0000-0000-00007D080000}"/>
    <cellStyle name="40% - Акцент3 5_Свод гостин" xfId="3227" xr:uid="{00000000-0005-0000-0000-00007E080000}"/>
    <cellStyle name="40% - Акцент3 50" xfId="1534" xr:uid="{00000000-0005-0000-0000-00007F080000}"/>
    <cellStyle name="40% - Акцент3 50 2" xfId="1535" xr:uid="{00000000-0005-0000-0000-000080080000}"/>
    <cellStyle name="40% - Акцент3 50_Свод гостин" xfId="3228" xr:uid="{00000000-0005-0000-0000-000081080000}"/>
    <cellStyle name="40% - Акцент3 51" xfId="1536" xr:uid="{00000000-0005-0000-0000-000082080000}"/>
    <cellStyle name="40% - Акцент3 51 2" xfId="1537" xr:uid="{00000000-0005-0000-0000-000083080000}"/>
    <cellStyle name="40% - Акцент3 51_Свод гостин" xfId="3229" xr:uid="{00000000-0005-0000-0000-000084080000}"/>
    <cellStyle name="40% - Акцент3 52" xfId="1538" xr:uid="{00000000-0005-0000-0000-000085080000}"/>
    <cellStyle name="40% - Акцент3 52 2" xfId="1539" xr:uid="{00000000-0005-0000-0000-000086080000}"/>
    <cellStyle name="40% - Акцент3 52_Свод гостин" xfId="3230" xr:uid="{00000000-0005-0000-0000-000087080000}"/>
    <cellStyle name="40% - Акцент3 53" xfId="1540" xr:uid="{00000000-0005-0000-0000-000088080000}"/>
    <cellStyle name="40% - Акцент3 53 2" xfId="1541" xr:uid="{00000000-0005-0000-0000-000089080000}"/>
    <cellStyle name="40% - Акцент3 53_Свод гостин" xfId="3231" xr:uid="{00000000-0005-0000-0000-00008A080000}"/>
    <cellStyle name="40% - Акцент3 54" xfId="1542" xr:uid="{00000000-0005-0000-0000-00008B080000}"/>
    <cellStyle name="40% - Акцент3 54 2" xfId="1543" xr:uid="{00000000-0005-0000-0000-00008C080000}"/>
    <cellStyle name="40% - Акцент3 54_Свод гостин" xfId="3232" xr:uid="{00000000-0005-0000-0000-00008D080000}"/>
    <cellStyle name="40% - Акцент3 55" xfId="1544" xr:uid="{00000000-0005-0000-0000-00008E080000}"/>
    <cellStyle name="40% - Акцент3 55 2" xfId="1545" xr:uid="{00000000-0005-0000-0000-00008F080000}"/>
    <cellStyle name="40% - Акцент3 55_Свод гостин" xfId="3233" xr:uid="{00000000-0005-0000-0000-000090080000}"/>
    <cellStyle name="40% - Акцент3 56" xfId="1546" xr:uid="{00000000-0005-0000-0000-000091080000}"/>
    <cellStyle name="40% - Акцент3 56 2" xfId="1547" xr:uid="{00000000-0005-0000-0000-000092080000}"/>
    <cellStyle name="40% - Акцент3 56_Свод гостин" xfId="3234" xr:uid="{00000000-0005-0000-0000-000093080000}"/>
    <cellStyle name="40% - Акцент3 57" xfId="1548" xr:uid="{00000000-0005-0000-0000-000094080000}"/>
    <cellStyle name="40% - Акцент3 57 2" xfId="1549" xr:uid="{00000000-0005-0000-0000-000095080000}"/>
    <cellStyle name="40% - Акцент3 57_Свод гостин" xfId="3235" xr:uid="{00000000-0005-0000-0000-000096080000}"/>
    <cellStyle name="40% - Акцент3 58" xfId="1550" xr:uid="{00000000-0005-0000-0000-000097080000}"/>
    <cellStyle name="40% - Акцент3 58 2" xfId="1551" xr:uid="{00000000-0005-0000-0000-000098080000}"/>
    <cellStyle name="40% - Акцент3 58_Свод гостин" xfId="3236" xr:uid="{00000000-0005-0000-0000-000099080000}"/>
    <cellStyle name="40% - Акцент3 59" xfId="1552" xr:uid="{00000000-0005-0000-0000-00009A080000}"/>
    <cellStyle name="40% - Акцент3 59 2" xfId="1553" xr:uid="{00000000-0005-0000-0000-00009B080000}"/>
    <cellStyle name="40% - Акцент3 59_Свод гостин" xfId="3237" xr:uid="{00000000-0005-0000-0000-00009C080000}"/>
    <cellStyle name="40% - Акцент3 6" xfId="1554" xr:uid="{00000000-0005-0000-0000-00009D080000}"/>
    <cellStyle name="40% - Акцент3 6 2" xfId="1555" xr:uid="{00000000-0005-0000-0000-00009E080000}"/>
    <cellStyle name="40% - Акцент3 6_Свод гостин" xfId="3238" xr:uid="{00000000-0005-0000-0000-00009F080000}"/>
    <cellStyle name="40% - Акцент3 60" xfId="1556" xr:uid="{00000000-0005-0000-0000-0000A0080000}"/>
    <cellStyle name="40% - Акцент3 60 2" xfId="1557" xr:uid="{00000000-0005-0000-0000-0000A1080000}"/>
    <cellStyle name="40% - Акцент3 60_Свод гостин" xfId="3239" xr:uid="{00000000-0005-0000-0000-0000A2080000}"/>
    <cellStyle name="40% - Акцент3 61" xfId="1558" xr:uid="{00000000-0005-0000-0000-0000A3080000}"/>
    <cellStyle name="40% - Акцент3 61 2" xfId="1559" xr:uid="{00000000-0005-0000-0000-0000A4080000}"/>
    <cellStyle name="40% - Акцент3 61_Свод гостин" xfId="3240" xr:uid="{00000000-0005-0000-0000-0000A5080000}"/>
    <cellStyle name="40% - Акцент3 62" xfId="1560" xr:uid="{00000000-0005-0000-0000-0000A6080000}"/>
    <cellStyle name="40% - Акцент3 62 2" xfId="1561" xr:uid="{00000000-0005-0000-0000-0000A7080000}"/>
    <cellStyle name="40% - Акцент3 62_Свод гостин" xfId="3241" xr:uid="{00000000-0005-0000-0000-0000A8080000}"/>
    <cellStyle name="40% - Акцент3 63" xfId="1562" xr:uid="{00000000-0005-0000-0000-0000A9080000}"/>
    <cellStyle name="40% - Акцент3 63 2" xfId="1563" xr:uid="{00000000-0005-0000-0000-0000AA080000}"/>
    <cellStyle name="40% - Акцент3 63_Свод гостин" xfId="3242" xr:uid="{00000000-0005-0000-0000-0000AB080000}"/>
    <cellStyle name="40% - Акцент3 64" xfId="1564" xr:uid="{00000000-0005-0000-0000-0000AC080000}"/>
    <cellStyle name="40% - Акцент3 64 2" xfId="1565" xr:uid="{00000000-0005-0000-0000-0000AD080000}"/>
    <cellStyle name="40% - Акцент3 64_Свод гостин" xfId="3243" xr:uid="{00000000-0005-0000-0000-0000AE080000}"/>
    <cellStyle name="40% - Акцент3 65" xfId="1566" xr:uid="{00000000-0005-0000-0000-0000AF080000}"/>
    <cellStyle name="40% - Акцент3 65 2" xfId="1567" xr:uid="{00000000-0005-0000-0000-0000B0080000}"/>
    <cellStyle name="40% - Акцент3 65_Свод гостин" xfId="3244" xr:uid="{00000000-0005-0000-0000-0000B1080000}"/>
    <cellStyle name="40% - Акцент3 66" xfId="1568" xr:uid="{00000000-0005-0000-0000-0000B2080000}"/>
    <cellStyle name="40% - Акцент3 66 2" xfId="1569" xr:uid="{00000000-0005-0000-0000-0000B3080000}"/>
    <cellStyle name="40% - Акцент3 66_Свод гостин" xfId="3245" xr:uid="{00000000-0005-0000-0000-0000B4080000}"/>
    <cellStyle name="40% - Акцент3 67" xfId="1570" xr:uid="{00000000-0005-0000-0000-0000B5080000}"/>
    <cellStyle name="40% - Акцент3 67 2" xfId="1571" xr:uid="{00000000-0005-0000-0000-0000B6080000}"/>
    <cellStyle name="40% - Акцент3 67_Свод гостин" xfId="3246" xr:uid="{00000000-0005-0000-0000-0000B7080000}"/>
    <cellStyle name="40% - Акцент3 68" xfId="1572" xr:uid="{00000000-0005-0000-0000-0000B8080000}"/>
    <cellStyle name="40% - Акцент3 68 2" xfId="1573" xr:uid="{00000000-0005-0000-0000-0000B9080000}"/>
    <cellStyle name="40% - Акцент3 68_Свод гостин" xfId="3247" xr:uid="{00000000-0005-0000-0000-0000BA080000}"/>
    <cellStyle name="40% - Акцент3 69" xfId="1574" xr:uid="{00000000-0005-0000-0000-0000BB080000}"/>
    <cellStyle name="40% - Акцент3 69 2" xfId="1575" xr:uid="{00000000-0005-0000-0000-0000BC080000}"/>
    <cellStyle name="40% - Акцент3 69_Свод гостин" xfId="3248" xr:uid="{00000000-0005-0000-0000-0000BD080000}"/>
    <cellStyle name="40% - Акцент3 7" xfId="1576" xr:uid="{00000000-0005-0000-0000-0000BE080000}"/>
    <cellStyle name="40% - Акцент3 7 2" xfId="1577" xr:uid="{00000000-0005-0000-0000-0000BF080000}"/>
    <cellStyle name="40% - Акцент3 7_Свод гостин" xfId="3249" xr:uid="{00000000-0005-0000-0000-0000C0080000}"/>
    <cellStyle name="40% - Акцент3 70" xfId="1578" xr:uid="{00000000-0005-0000-0000-0000C1080000}"/>
    <cellStyle name="40% - Акцент3 70 2" xfId="1579" xr:uid="{00000000-0005-0000-0000-0000C2080000}"/>
    <cellStyle name="40% - Акцент3 70_Свод гостин" xfId="3250" xr:uid="{00000000-0005-0000-0000-0000C3080000}"/>
    <cellStyle name="40% - Акцент3 71" xfId="1580" xr:uid="{00000000-0005-0000-0000-0000C4080000}"/>
    <cellStyle name="40% - Акцент3 71 2" xfId="1581" xr:uid="{00000000-0005-0000-0000-0000C5080000}"/>
    <cellStyle name="40% - Акцент3 71_Свод гостин" xfId="3251" xr:uid="{00000000-0005-0000-0000-0000C6080000}"/>
    <cellStyle name="40% - Акцент3 72" xfId="1582" xr:uid="{00000000-0005-0000-0000-0000C7080000}"/>
    <cellStyle name="40% - Акцент3 72 2" xfId="1583" xr:uid="{00000000-0005-0000-0000-0000C8080000}"/>
    <cellStyle name="40% - Акцент3 72_Свод гостин" xfId="3252" xr:uid="{00000000-0005-0000-0000-0000C9080000}"/>
    <cellStyle name="40% - Акцент3 73" xfId="1584" xr:uid="{00000000-0005-0000-0000-0000CA080000}"/>
    <cellStyle name="40% - Акцент3 73 2" xfId="1585" xr:uid="{00000000-0005-0000-0000-0000CB080000}"/>
    <cellStyle name="40% - Акцент3 73_Свод гостин" xfId="3253" xr:uid="{00000000-0005-0000-0000-0000CC080000}"/>
    <cellStyle name="40% - Акцент3 74" xfId="1586" xr:uid="{00000000-0005-0000-0000-0000CD080000}"/>
    <cellStyle name="40% - Акцент3 74 2" xfId="1587" xr:uid="{00000000-0005-0000-0000-0000CE080000}"/>
    <cellStyle name="40% - Акцент3 74_Свод гостин" xfId="3254" xr:uid="{00000000-0005-0000-0000-0000CF080000}"/>
    <cellStyle name="40% - Акцент3 75" xfId="1588" xr:uid="{00000000-0005-0000-0000-0000D0080000}"/>
    <cellStyle name="40% - Акцент3 75 2" xfId="1589" xr:uid="{00000000-0005-0000-0000-0000D1080000}"/>
    <cellStyle name="40% - Акцент3 75_Свод гостин" xfId="3255" xr:uid="{00000000-0005-0000-0000-0000D2080000}"/>
    <cellStyle name="40% - Акцент3 76" xfId="1590" xr:uid="{00000000-0005-0000-0000-0000D3080000}"/>
    <cellStyle name="40% - Акцент3 76 2" xfId="1591" xr:uid="{00000000-0005-0000-0000-0000D4080000}"/>
    <cellStyle name="40% - Акцент3 76_Свод гостин" xfId="3256" xr:uid="{00000000-0005-0000-0000-0000D5080000}"/>
    <cellStyle name="40% - Акцент3 77" xfId="1592" xr:uid="{00000000-0005-0000-0000-0000D6080000}"/>
    <cellStyle name="40% - Акцент3 77 2" xfId="1593" xr:uid="{00000000-0005-0000-0000-0000D7080000}"/>
    <cellStyle name="40% - Акцент3 77_Свод гостин" xfId="3257" xr:uid="{00000000-0005-0000-0000-0000D8080000}"/>
    <cellStyle name="40% - Акцент3 78" xfId="1594" xr:uid="{00000000-0005-0000-0000-0000D9080000}"/>
    <cellStyle name="40% - Акцент3 78 2" xfId="1595" xr:uid="{00000000-0005-0000-0000-0000DA080000}"/>
    <cellStyle name="40% - Акцент3 78_Свод гостин" xfId="3258" xr:uid="{00000000-0005-0000-0000-0000DB080000}"/>
    <cellStyle name="40% - Акцент3 79" xfId="1596" xr:uid="{00000000-0005-0000-0000-0000DC080000}"/>
    <cellStyle name="40% - Акцент3 79 2" xfId="1597" xr:uid="{00000000-0005-0000-0000-0000DD080000}"/>
    <cellStyle name="40% - Акцент3 79_Свод гостин" xfId="3259" xr:uid="{00000000-0005-0000-0000-0000DE080000}"/>
    <cellStyle name="40% - Акцент3 8" xfId="1598" xr:uid="{00000000-0005-0000-0000-0000DF080000}"/>
    <cellStyle name="40% - Акцент3 8 2" xfId="1599" xr:uid="{00000000-0005-0000-0000-0000E0080000}"/>
    <cellStyle name="40% - Акцент3 8_Свод гостин" xfId="3260" xr:uid="{00000000-0005-0000-0000-0000E1080000}"/>
    <cellStyle name="40% - Акцент3 80" xfId="1600" xr:uid="{00000000-0005-0000-0000-0000E2080000}"/>
    <cellStyle name="40% - Акцент3 80 2" xfId="1601" xr:uid="{00000000-0005-0000-0000-0000E3080000}"/>
    <cellStyle name="40% - Акцент3 80_Свод гостин" xfId="3261" xr:uid="{00000000-0005-0000-0000-0000E4080000}"/>
    <cellStyle name="40% - Акцент3 81" xfId="1602" xr:uid="{00000000-0005-0000-0000-0000E5080000}"/>
    <cellStyle name="40% - Акцент3 81 2" xfId="1603" xr:uid="{00000000-0005-0000-0000-0000E6080000}"/>
    <cellStyle name="40% - Акцент3 81_Свод гостин" xfId="3262" xr:uid="{00000000-0005-0000-0000-0000E7080000}"/>
    <cellStyle name="40% - Акцент3 82" xfId="1604" xr:uid="{00000000-0005-0000-0000-0000E8080000}"/>
    <cellStyle name="40% - Акцент3 82 2" xfId="1605" xr:uid="{00000000-0005-0000-0000-0000E9080000}"/>
    <cellStyle name="40% - Акцент3 82_Свод гостин" xfId="3263" xr:uid="{00000000-0005-0000-0000-0000EA080000}"/>
    <cellStyle name="40% - Акцент3 83" xfId="1606" xr:uid="{00000000-0005-0000-0000-0000EB080000}"/>
    <cellStyle name="40% - Акцент3 83 2" xfId="1607" xr:uid="{00000000-0005-0000-0000-0000EC080000}"/>
    <cellStyle name="40% - Акцент3 83_Свод гостин" xfId="3264" xr:uid="{00000000-0005-0000-0000-0000ED080000}"/>
    <cellStyle name="40% - Акцент3 9" xfId="1608" xr:uid="{00000000-0005-0000-0000-0000EE080000}"/>
    <cellStyle name="40% - Акцент3 9 2" xfId="1609" xr:uid="{00000000-0005-0000-0000-0000EF080000}"/>
    <cellStyle name="40% - Акцент3 9_Свод гостин" xfId="3265" xr:uid="{00000000-0005-0000-0000-0000F0080000}"/>
    <cellStyle name="40% - Акцент4 10" xfId="1610" xr:uid="{00000000-0005-0000-0000-0000F1080000}"/>
    <cellStyle name="40% - Акцент4 10 2" xfId="1611" xr:uid="{00000000-0005-0000-0000-0000F2080000}"/>
    <cellStyle name="40% - Акцент4 10_Свод гостин" xfId="3266" xr:uid="{00000000-0005-0000-0000-0000F3080000}"/>
    <cellStyle name="40% - Акцент4 11" xfId="1612" xr:uid="{00000000-0005-0000-0000-0000F4080000}"/>
    <cellStyle name="40% - Акцент4 11 2" xfId="1613" xr:uid="{00000000-0005-0000-0000-0000F5080000}"/>
    <cellStyle name="40% - Акцент4 11_Свод гостин" xfId="3267" xr:uid="{00000000-0005-0000-0000-0000F6080000}"/>
    <cellStyle name="40% - Акцент4 12" xfId="1614" xr:uid="{00000000-0005-0000-0000-0000F7080000}"/>
    <cellStyle name="40% - Акцент4 12 2" xfId="1615" xr:uid="{00000000-0005-0000-0000-0000F8080000}"/>
    <cellStyle name="40% - Акцент4 12_Свод гостин" xfId="3268" xr:uid="{00000000-0005-0000-0000-0000F9080000}"/>
    <cellStyle name="40% - Акцент4 13" xfId="1616" xr:uid="{00000000-0005-0000-0000-0000FA080000}"/>
    <cellStyle name="40% - Акцент4 13 2" xfId="1617" xr:uid="{00000000-0005-0000-0000-0000FB080000}"/>
    <cellStyle name="40% - Акцент4 13_Свод гостин" xfId="3269" xr:uid="{00000000-0005-0000-0000-0000FC080000}"/>
    <cellStyle name="40% - Акцент4 14" xfId="1618" xr:uid="{00000000-0005-0000-0000-0000FD080000}"/>
    <cellStyle name="40% - Акцент4 14 2" xfId="1619" xr:uid="{00000000-0005-0000-0000-0000FE080000}"/>
    <cellStyle name="40% - Акцент4 14_Свод гостин" xfId="3270" xr:uid="{00000000-0005-0000-0000-0000FF080000}"/>
    <cellStyle name="40% - Акцент4 15" xfId="1620" xr:uid="{00000000-0005-0000-0000-000000090000}"/>
    <cellStyle name="40% - Акцент4 15 2" xfId="1621" xr:uid="{00000000-0005-0000-0000-000001090000}"/>
    <cellStyle name="40% - Акцент4 15_Свод гостин" xfId="3271" xr:uid="{00000000-0005-0000-0000-000002090000}"/>
    <cellStyle name="40% - Акцент4 16" xfId="1622" xr:uid="{00000000-0005-0000-0000-000003090000}"/>
    <cellStyle name="40% - Акцент4 16 2" xfId="1623" xr:uid="{00000000-0005-0000-0000-000004090000}"/>
    <cellStyle name="40% - Акцент4 16_Свод гостин" xfId="3272" xr:uid="{00000000-0005-0000-0000-000005090000}"/>
    <cellStyle name="40% - Акцент4 17" xfId="1624" xr:uid="{00000000-0005-0000-0000-000006090000}"/>
    <cellStyle name="40% - Акцент4 17 2" xfId="1625" xr:uid="{00000000-0005-0000-0000-000007090000}"/>
    <cellStyle name="40% - Акцент4 17_Свод гостин" xfId="3273" xr:uid="{00000000-0005-0000-0000-000008090000}"/>
    <cellStyle name="40% - Акцент4 18" xfId="1626" xr:uid="{00000000-0005-0000-0000-000009090000}"/>
    <cellStyle name="40% - Акцент4 18 2" xfId="1627" xr:uid="{00000000-0005-0000-0000-00000A090000}"/>
    <cellStyle name="40% - Акцент4 18_Свод гостин" xfId="3274" xr:uid="{00000000-0005-0000-0000-00000B090000}"/>
    <cellStyle name="40% - Акцент4 19" xfId="1628" xr:uid="{00000000-0005-0000-0000-00000C090000}"/>
    <cellStyle name="40% - Акцент4 19 2" xfId="1629" xr:uid="{00000000-0005-0000-0000-00000D090000}"/>
    <cellStyle name="40% - Акцент4 19_Свод гостин" xfId="3275" xr:uid="{00000000-0005-0000-0000-00000E090000}"/>
    <cellStyle name="40% - Акцент4 2" xfId="1630" xr:uid="{00000000-0005-0000-0000-00000F090000}"/>
    <cellStyle name="40% - Акцент4 2 2" xfId="1631" xr:uid="{00000000-0005-0000-0000-000010090000}"/>
    <cellStyle name="40% - Акцент4 2_Свод гостин" xfId="3276" xr:uid="{00000000-0005-0000-0000-000011090000}"/>
    <cellStyle name="40% - Акцент4 20" xfId="1632" xr:uid="{00000000-0005-0000-0000-000012090000}"/>
    <cellStyle name="40% - Акцент4 20 2" xfId="1633" xr:uid="{00000000-0005-0000-0000-000013090000}"/>
    <cellStyle name="40% - Акцент4 20_Свод гостин" xfId="3277" xr:uid="{00000000-0005-0000-0000-000014090000}"/>
    <cellStyle name="40% - Акцент4 21" xfId="1634" xr:uid="{00000000-0005-0000-0000-000015090000}"/>
    <cellStyle name="40% - Акцент4 21 2" xfId="1635" xr:uid="{00000000-0005-0000-0000-000016090000}"/>
    <cellStyle name="40% - Акцент4 21_Свод гостин" xfId="3278" xr:uid="{00000000-0005-0000-0000-000017090000}"/>
    <cellStyle name="40% - Акцент4 22" xfId="1636" xr:uid="{00000000-0005-0000-0000-000018090000}"/>
    <cellStyle name="40% - Акцент4 22 2" xfId="1637" xr:uid="{00000000-0005-0000-0000-000019090000}"/>
    <cellStyle name="40% - Акцент4 22_Свод гостин" xfId="3279" xr:uid="{00000000-0005-0000-0000-00001A090000}"/>
    <cellStyle name="40% - Акцент4 23" xfId="1638" xr:uid="{00000000-0005-0000-0000-00001B090000}"/>
    <cellStyle name="40% - Акцент4 23 2" xfId="1639" xr:uid="{00000000-0005-0000-0000-00001C090000}"/>
    <cellStyle name="40% - Акцент4 23_Свод гостин" xfId="3280" xr:uid="{00000000-0005-0000-0000-00001D090000}"/>
    <cellStyle name="40% - Акцент4 24" xfId="1640" xr:uid="{00000000-0005-0000-0000-00001E090000}"/>
    <cellStyle name="40% - Акцент4 24 2" xfId="1641" xr:uid="{00000000-0005-0000-0000-00001F090000}"/>
    <cellStyle name="40% - Акцент4 24_Свод гостин" xfId="3281" xr:uid="{00000000-0005-0000-0000-000020090000}"/>
    <cellStyle name="40% - Акцент4 25" xfId="1642" xr:uid="{00000000-0005-0000-0000-000021090000}"/>
    <cellStyle name="40% - Акцент4 25 2" xfId="1643" xr:uid="{00000000-0005-0000-0000-000022090000}"/>
    <cellStyle name="40% - Акцент4 25_Свод гостин" xfId="3282" xr:uid="{00000000-0005-0000-0000-000023090000}"/>
    <cellStyle name="40% - Акцент4 26" xfId="1644" xr:uid="{00000000-0005-0000-0000-000024090000}"/>
    <cellStyle name="40% - Акцент4 26 2" xfId="1645" xr:uid="{00000000-0005-0000-0000-000025090000}"/>
    <cellStyle name="40% - Акцент4 26_Свод гостин" xfId="3283" xr:uid="{00000000-0005-0000-0000-000026090000}"/>
    <cellStyle name="40% - Акцент4 27" xfId="1646" xr:uid="{00000000-0005-0000-0000-000027090000}"/>
    <cellStyle name="40% - Акцент4 27 2" xfId="1647" xr:uid="{00000000-0005-0000-0000-000028090000}"/>
    <cellStyle name="40% - Акцент4 27_Свод гостин" xfId="3284" xr:uid="{00000000-0005-0000-0000-000029090000}"/>
    <cellStyle name="40% - Акцент4 28" xfId="1648" xr:uid="{00000000-0005-0000-0000-00002A090000}"/>
    <cellStyle name="40% - Акцент4 28 2" xfId="1649" xr:uid="{00000000-0005-0000-0000-00002B090000}"/>
    <cellStyle name="40% - Акцент4 28_Свод гостин" xfId="3285" xr:uid="{00000000-0005-0000-0000-00002C090000}"/>
    <cellStyle name="40% - Акцент4 29" xfId="1650" xr:uid="{00000000-0005-0000-0000-00002D090000}"/>
    <cellStyle name="40% - Акцент4 29 2" xfId="1651" xr:uid="{00000000-0005-0000-0000-00002E090000}"/>
    <cellStyle name="40% - Акцент4 29_Свод гостин" xfId="3286" xr:uid="{00000000-0005-0000-0000-00002F090000}"/>
    <cellStyle name="40% - Акцент4 3" xfId="1652" xr:uid="{00000000-0005-0000-0000-000030090000}"/>
    <cellStyle name="40% - Акцент4 3 2" xfId="1653" xr:uid="{00000000-0005-0000-0000-000031090000}"/>
    <cellStyle name="40% - Акцент4 3_Свод гостин" xfId="3287" xr:uid="{00000000-0005-0000-0000-000032090000}"/>
    <cellStyle name="40% - Акцент4 30" xfId="1654" xr:uid="{00000000-0005-0000-0000-000033090000}"/>
    <cellStyle name="40% - Акцент4 30 2" xfId="1655" xr:uid="{00000000-0005-0000-0000-000034090000}"/>
    <cellStyle name="40% - Акцент4 30_Свод гостин" xfId="3288" xr:uid="{00000000-0005-0000-0000-000035090000}"/>
    <cellStyle name="40% - Акцент4 31" xfId="1656" xr:uid="{00000000-0005-0000-0000-000036090000}"/>
    <cellStyle name="40% - Акцент4 31 2" xfId="1657" xr:uid="{00000000-0005-0000-0000-000037090000}"/>
    <cellStyle name="40% - Акцент4 31_Свод гостин" xfId="3289" xr:uid="{00000000-0005-0000-0000-000038090000}"/>
    <cellStyle name="40% - Акцент4 32" xfId="1658" xr:uid="{00000000-0005-0000-0000-000039090000}"/>
    <cellStyle name="40% - Акцент4 32 2" xfId="1659" xr:uid="{00000000-0005-0000-0000-00003A090000}"/>
    <cellStyle name="40% - Акцент4 32_Свод гостин" xfId="3290" xr:uid="{00000000-0005-0000-0000-00003B090000}"/>
    <cellStyle name="40% - Акцент4 33" xfId="1660" xr:uid="{00000000-0005-0000-0000-00003C090000}"/>
    <cellStyle name="40% - Акцент4 33 2" xfId="1661" xr:uid="{00000000-0005-0000-0000-00003D090000}"/>
    <cellStyle name="40% - Акцент4 33_Свод гостин" xfId="3291" xr:uid="{00000000-0005-0000-0000-00003E090000}"/>
    <cellStyle name="40% - Акцент4 34" xfId="1662" xr:uid="{00000000-0005-0000-0000-00003F090000}"/>
    <cellStyle name="40% - Акцент4 34 2" xfId="1663" xr:uid="{00000000-0005-0000-0000-000040090000}"/>
    <cellStyle name="40% - Акцент4 34_Свод гостин" xfId="3292" xr:uid="{00000000-0005-0000-0000-000041090000}"/>
    <cellStyle name="40% - Акцент4 35" xfId="1664" xr:uid="{00000000-0005-0000-0000-000042090000}"/>
    <cellStyle name="40% - Акцент4 35 2" xfId="1665" xr:uid="{00000000-0005-0000-0000-000043090000}"/>
    <cellStyle name="40% - Акцент4 35_Свод гостин" xfId="3293" xr:uid="{00000000-0005-0000-0000-000044090000}"/>
    <cellStyle name="40% - Акцент4 36" xfId="1666" xr:uid="{00000000-0005-0000-0000-000045090000}"/>
    <cellStyle name="40% - Акцент4 36 2" xfId="1667" xr:uid="{00000000-0005-0000-0000-000046090000}"/>
    <cellStyle name="40% - Акцент4 36_Свод гостин" xfId="3294" xr:uid="{00000000-0005-0000-0000-000047090000}"/>
    <cellStyle name="40% - Акцент4 37" xfId="1668" xr:uid="{00000000-0005-0000-0000-000048090000}"/>
    <cellStyle name="40% - Акцент4 37 2" xfId="1669" xr:uid="{00000000-0005-0000-0000-000049090000}"/>
    <cellStyle name="40% - Акцент4 37_Свод гостин" xfId="3295" xr:uid="{00000000-0005-0000-0000-00004A090000}"/>
    <cellStyle name="40% - Акцент4 38" xfId="1670" xr:uid="{00000000-0005-0000-0000-00004B090000}"/>
    <cellStyle name="40% - Акцент4 38 2" xfId="1671" xr:uid="{00000000-0005-0000-0000-00004C090000}"/>
    <cellStyle name="40% - Акцент4 38_Свод гостин" xfId="3296" xr:uid="{00000000-0005-0000-0000-00004D090000}"/>
    <cellStyle name="40% - Акцент4 39" xfId="1672" xr:uid="{00000000-0005-0000-0000-00004E090000}"/>
    <cellStyle name="40% - Акцент4 39 2" xfId="1673" xr:uid="{00000000-0005-0000-0000-00004F090000}"/>
    <cellStyle name="40% - Акцент4 39_Свод гостин" xfId="3297" xr:uid="{00000000-0005-0000-0000-000050090000}"/>
    <cellStyle name="40% - Акцент4 4" xfId="1674" xr:uid="{00000000-0005-0000-0000-000051090000}"/>
    <cellStyle name="40% - Акцент4 4 2" xfId="1675" xr:uid="{00000000-0005-0000-0000-000052090000}"/>
    <cellStyle name="40% - Акцент4 4_Свод гостин" xfId="3298" xr:uid="{00000000-0005-0000-0000-000053090000}"/>
    <cellStyle name="40% - Акцент4 40" xfId="1676" xr:uid="{00000000-0005-0000-0000-000054090000}"/>
    <cellStyle name="40% - Акцент4 40 2" xfId="1677" xr:uid="{00000000-0005-0000-0000-000055090000}"/>
    <cellStyle name="40% - Акцент4 40_Свод гостин" xfId="3299" xr:uid="{00000000-0005-0000-0000-000056090000}"/>
    <cellStyle name="40% - Акцент4 41" xfId="1678" xr:uid="{00000000-0005-0000-0000-000057090000}"/>
    <cellStyle name="40% - Акцент4 41 2" xfId="1679" xr:uid="{00000000-0005-0000-0000-000058090000}"/>
    <cellStyle name="40% - Акцент4 41_Свод гостин" xfId="3300" xr:uid="{00000000-0005-0000-0000-000059090000}"/>
    <cellStyle name="40% - Акцент4 42" xfId="1680" xr:uid="{00000000-0005-0000-0000-00005A090000}"/>
    <cellStyle name="40% - Акцент4 42 2" xfId="1681" xr:uid="{00000000-0005-0000-0000-00005B090000}"/>
    <cellStyle name="40% - Акцент4 42_Свод гостин" xfId="3301" xr:uid="{00000000-0005-0000-0000-00005C090000}"/>
    <cellStyle name="40% - Акцент4 43" xfId="1682" xr:uid="{00000000-0005-0000-0000-00005D090000}"/>
    <cellStyle name="40% - Акцент4 43 2" xfId="1683" xr:uid="{00000000-0005-0000-0000-00005E090000}"/>
    <cellStyle name="40% - Акцент4 43_Свод гостин" xfId="3302" xr:uid="{00000000-0005-0000-0000-00005F090000}"/>
    <cellStyle name="40% - Акцент4 44" xfId="1684" xr:uid="{00000000-0005-0000-0000-000060090000}"/>
    <cellStyle name="40% - Акцент4 44 2" xfId="1685" xr:uid="{00000000-0005-0000-0000-000061090000}"/>
    <cellStyle name="40% - Акцент4 44_Свод гостин" xfId="3303" xr:uid="{00000000-0005-0000-0000-000062090000}"/>
    <cellStyle name="40% - Акцент4 45" xfId="1686" xr:uid="{00000000-0005-0000-0000-000063090000}"/>
    <cellStyle name="40% - Акцент4 45 2" xfId="1687" xr:uid="{00000000-0005-0000-0000-000064090000}"/>
    <cellStyle name="40% - Акцент4 45_Свод гостин" xfId="3304" xr:uid="{00000000-0005-0000-0000-000065090000}"/>
    <cellStyle name="40% - Акцент4 46" xfId="1688" xr:uid="{00000000-0005-0000-0000-000066090000}"/>
    <cellStyle name="40% - Акцент4 46 2" xfId="1689" xr:uid="{00000000-0005-0000-0000-000067090000}"/>
    <cellStyle name="40% - Акцент4 46_Свод гостин" xfId="3305" xr:uid="{00000000-0005-0000-0000-000068090000}"/>
    <cellStyle name="40% - Акцент4 47" xfId="1690" xr:uid="{00000000-0005-0000-0000-000069090000}"/>
    <cellStyle name="40% - Акцент4 47 2" xfId="1691" xr:uid="{00000000-0005-0000-0000-00006A090000}"/>
    <cellStyle name="40% - Акцент4 47_Свод гостин" xfId="3306" xr:uid="{00000000-0005-0000-0000-00006B090000}"/>
    <cellStyle name="40% - Акцент4 48" xfId="1692" xr:uid="{00000000-0005-0000-0000-00006C090000}"/>
    <cellStyle name="40% - Акцент4 48 2" xfId="1693" xr:uid="{00000000-0005-0000-0000-00006D090000}"/>
    <cellStyle name="40% - Акцент4 48_Свод гостин" xfId="3307" xr:uid="{00000000-0005-0000-0000-00006E090000}"/>
    <cellStyle name="40% - Акцент4 49" xfId="1694" xr:uid="{00000000-0005-0000-0000-00006F090000}"/>
    <cellStyle name="40% - Акцент4 49 2" xfId="1695" xr:uid="{00000000-0005-0000-0000-000070090000}"/>
    <cellStyle name="40% - Акцент4 49_Свод гостин" xfId="3308" xr:uid="{00000000-0005-0000-0000-000071090000}"/>
    <cellStyle name="40% - Акцент4 5" xfId="1696" xr:uid="{00000000-0005-0000-0000-000072090000}"/>
    <cellStyle name="40% - Акцент4 5 2" xfId="1697" xr:uid="{00000000-0005-0000-0000-000073090000}"/>
    <cellStyle name="40% - Акцент4 5_Свод гостин" xfId="3309" xr:uid="{00000000-0005-0000-0000-000074090000}"/>
    <cellStyle name="40% - Акцент4 50" xfId="1698" xr:uid="{00000000-0005-0000-0000-000075090000}"/>
    <cellStyle name="40% - Акцент4 50 2" xfId="1699" xr:uid="{00000000-0005-0000-0000-000076090000}"/>
    <cellStyle name="40% - Акцент4 50_Свод гостин" xfId="3310" xr:uid="{00000000-0005-0000-0000-000077090000}"/>
    <cellStyle name="40% - Акцент4 51" xfId="1700" xr:uid="{00000000-0005-0000-0000-000078090000}"/>
    <cellStyle name="40% - Акцент4 51 2" xfId="1701" xr:uid="{00000000-0005-0000-0000-000079090000}"/>
    <cellStyle name="40% - Акцент4 51_Свод гостин" xfId="3311" xr:uid="{00000000-0005-0000-0000-00007A090000}"/>
    <cellStyle name="40% - Акцент4 52" xfId="1702" xr:uid="{00000000-0005-0000-0000-00007B090000}"/>
    <cellStyle name="40% - Акцент4 52 2" xfId="1703" xr:uid="{00000000-0005-0000-0000-00007C090000}"/>
    <cellStyle name="40% - Акцент4 52_Свод гостин" xfId="3312" xr:uid="{00000000-0005-0000-0000-00007D090000}"/>
    <cellStyle name="40% - Акцент4 53" xfId="1704" xr:uid="{00000000-0005-0000-0000-00007E090000}"/>
    <cellStyle name="40% - Акцент4 53 2" xfId="1705" xr:uid="{00000000-0005-0000-0000-00007F090000}"/>
    <cellStyle name="40% - Акцент4 53_Свод гостин" xfId="3313" xr:uid="{00000000-0005-0000-0000-000080090000}"/>
    <cellStyle name="40% - Акцент4 54" xfId="1706" xr:uid="{00000000-0005-0000-0000-000081090000}"/>
    <cellStyle name="40% - Акцент4 54 2" xfId="1707" xr:uid="{00000000-0005-0000-0000-000082090000}"/>
    <cellStyle name="40% - Акцент4 54_Свод гостин" xfId="3314" xr:uid="{00000000-0005-0000-0000-000083090000}"/>
    <cellStyle name="40% - Акцент4 55" xfId="1708" xr:uid="{00000000-0005-0000-0000-000084090000}"/>
    <cellStyle name="40% - Акцент4 55 2" xfId="1709" xr:uid="{00000000-0005-0000-0000-000085090000}"/>
    <cellStyle name="40% - Акцент4 55_Свод гостин" xfId="3315" xr:uid="{00000000-0005-0000-0000-000086090000}"/>
    <cellStyle name="40% - Акцент4 56" xfId="1710" xr:uid="{00000000-0005-0000-0000-000087090000}"/>
    <cellStyle name="40% - Акцент4 56 2" xfId="1711" xr:uid="{00000000-0005-0000-0000-000088090000}"/>
    <cellStyle name="40% - Акцент4 56_Свод гостин" xfId="3316" xr:uid="{00000000-0005-0000-0000-000089090000}"/>
    <cellStyle name="40% - Акцент4 57" xfId="1712" xr:uid="{00000000-0005-0000-0000-00008A090000}"/>
    <cellStyle name="40% - Акцент4 57 2" xfId="1713" xr:uid="{00000000-0005-0000-0000-00008B090000}"/>
    <cellStyle name="40% - Акцент4 57_Свод гостин" xfId="3317" xr:uid="{00000000-0005-0000-0000-00008C090000}"/>
    <cellStyle name="40% - Акцент4 58" xfId="1714" xr:uid="{00000000-0005-0000-0000-00008D090000}"/>
    <cellStyle name="40% - Акцент4 58 2" xfId="1715" xr:uid="{00000000-0005-0000-0000-00008E090000}"/>
    <cellStyle name="40% - Акцент4 58_Свод гостин" xfId="3318" xr:uid="{00000000-0005-0000-0000-00008F090000}"/>
    <cellStyle name="40% - Акцент4 59" xfId="1716" xr:uid="{00000000-0005-0000-0000-000090090000}"/>
    <cellStyle name="40% - Акцент4 59 2" xfId="1717" xr:uid="{00000000-0005-0000-0000-000091090000}"/>
    <cellStyle name="40% - Акцент4 59_Свод гостин" xfId="3319" xr:uid="{00000000-0005-0000-0000-000092090000}"/>
    <cellStyle name="40% - Акцент4 6" xfId="1718" xr:uid="{00000000-0005-0000-0000-000093090000}"/>
    <cellStyle name="40% - Акцент4 6 2" xfId="1719" xr:uid="{00000000-0005-0000-0000-000094090000}"/>
    <cellStyle name="40% - Акцент4 6_Свод гостин" xfId="3320" xr:uid="{00000000-0005-0000-0000-000095090000}"/>
    <cellStyle name="40% - Акцент4 60" xfId="1720" xr:uid="{00000000-0005-0000-0000-000096090000}"/>
    <cellStyle name="40% - Акцент4 60 2" xfId="1721" xr:uid="{00000000-0005-0000-0000-000097090000}"/>
    <cellStyle name="40% - Акцент4 60_Свод гостин" xfId="3321" xr:uid="{00000000-0005-0000-0000-000098090000}"/>
    <cellStyle name="40% - Акцент4 61" xfId="1722" xr:uid="{00000000-0005-0000-0000-000099090000}"/>
    <cellStyle name="40% - Акцент4 61 2" xfId="1723" xr:uid="{00000000-0005-0000-0000-00009A090000}"/>
    <cellStyle name="40% - Акцент4 61_Свод гостин" xfId="3322" xr:uid="{00000000-0005-0000-0000-00009B090000}"/>
    <cellStyle name="40% - Акцент4 62" xfId="1724" xr:uid="{00000000-0005-0000-0000-00009C090000}"/>
    <cellStyle name="40% - Акцент4 62 2" xfId="1725" xr:uid="{00000000-0005-0000-0000-00009D090000}"/>
    <cellStyle name="40% - Акцент4 62_Свод гостин" xfId="3323" xr:uid="{00000000-0005-0000-0000-00009E090000}"/>
    <cellStyle name="40% - Акцент4 63" xfId="1726" xr:uid="{00000000-0005-0000-0000-00009F090000}"/>
    <cellStyle name="40% - Акцент4 63 2" xfId="1727" xr:uid="{00000000-0005-0000-0000-0000A0090000}"/>
    <cellStyle name="40% - Акцент4 63_Свод гостин" xfId="3324" xr:uid="{00000000-0005-0000-0000-0000A1090000}"/>
    <cellStyle name="40% - Акцент4 64" xfId="1728" xr:uid="{00000000-0005-0000-0000-0000A2090000}"/>
    <cellStyle name="40% - Акцент4 64 2" xfId="1729" xr:uid="{00000000-0005-0000-0000-0000A3090000}"/>
    <cellStyle name="40% - Акцент4 64_Свод гостин" xfId="3325" xr:uid="{00000000-0005-0000-0000-0000A4090000}"/>
    <cellStyle name="40% - Акцент4 65" xfId="1730" xr:uid="{00000000-0005-0000-0000-0000A5090000}"/>
    <cellStyle name="40% - Акцент4 65 2" xfId="1731" xr:uid="{00000000-0005-0000-0000-0000A6090000}"/>
    <cellStyle name="40% - Акцент4 65_Свод гостин" xfId="3326" xr:uid="{00000000-0005-0000-0000-0000A7090000}"/>
    <cellStyle name="40% - Акцент4 66" xfId="1732" xr:uid="{00000000-0005-0000-0000-0000A8090000}"/>
    <cellStyle name="40% - Акцент4 66 2" xfId="1733" xr:uid="{00000000-0005-0000-0000-0000A9090000}"/>
    <cellStyle name="40% - Акцент4 66_Свод гостин" xfId="3327" xr:uid="{00000000-0005-0000-0000-0000AA090000}"/>
    <cellStyle name="40% - Акцент4 67" xfId="1734" xr:uid="{00000000-0005-0000-0000-0000AB090000}"/>
    <cellStyle name="40% - Акцент4 67 2" xfId="1735" xr:uid="{00000000-0005-0000-0000-0000AC090000}"/>
    <cellStyle name="40% - Акцент4 67_Свод гостин" xfId="3328" xr:uid="{00000000-0005-0000-0000-0000AD090000}"/>
    <cellStyle name="40% - Акцент4 68" xfId="1736" xr:uid="{00000000-0005-0000-0000-0000AE090000}"/>
    <cellStyle name="40% - Акцент4 68 2" xfId="1737" xr:uid="{00000000-0005-0000-0000-0000AF090000}"/>
    <cellStyle name="40% - Акцент4 68_Свод гостин" xfId="3329" xr:uid="{00000000-0005-0000-0000-0000B0090000}"/>
    <cellStyle name="40% - Акцент4 69" xfId="1738" xr:uid="{00000000-0005-0000-0000-0000B1090000}"/>
    <cellStyle name="40% - Акцент4 69 2" xfId="1739" xr:uid="{00000000-0005-0000-0000-0000B2090000}"/>
    <cellStyle name="40% - Акцент4 69_Свод гостин" xfId="3330" xr:uid="{00000000-0005-0000-0000-0000B3090000}"/>
    <cellStyle name="40% - Акцент4 7" xfId="1740" xr:uid="{00000000-0005-0000-0000-0000B4090000}"/>
    <cellStyle name="40% - Акцент4 7 2" xfId="1741" xr:uid="{00000000-0005-0000-0000-0000B5090000}"/>
    <cellStyle name="40% - Акцент4 7_Свод гостин" xfId="3331" xr:uid="{00000000-0005-0000-0000-0000B6090000}"/>
    <cellStyle name="40% - Акцент4 70" xfId="1742" xr:uid="{00000000-0005-0000-0000-0000B7090000}"/>
    <cellStyle name="40% - Акцент4 70 2" xfId="1743" xr:uid="{00000000-0005-0000-0000-0000B8090000}"/>
    <cellStyle name="40% - Акцент4 70_Свод гостин" xfId="3332" xr:uid="{00000000-0005-0000-0000-0000B9090000}"/>
    <cellStyle name="40% - Акцент4 71" xfId="1744" xr:uid="{00000000-0005-0000-0000-0000BA090000}"/>
    <cellStyle name="40% - Акцент4 71 2" xfId="1745" xr:uid="{00000000-0005-0000-0000-0000BB090000}"/>
    <cellStyle name="40% - Акцент4 71_Свод гостин" xfId="3333" xr:uid="{00000000-0005-0000-0000-0000BC090000}"/>
    <cellStyle name="40% - Акцент4 72" xfId="1746" xr:uid="{00000000-0005-0000-0000-0000BD090000}"/>
    <cellStyle name="40% - Акцент4 72 2" xfId="1747" xr:uid="{00000000-0005-0000-0000-0000BE090000}"/>
    <cellStyle name="40% - Акцент4 72_Свод гостин" xfId="3334" xr:uid="{00000000-0005-0000-0000-0000BF090000}"/>
    <cellStyle name="40% - Акцент4 73" xfId="1748" xr:uid="{00000000-0005-0000-0000-0000C0090000}"/>
    <cellStyle name="40% - Акцент4 73 2" xfId="1749" xr:uid="{00000000-0005-0000-0000-0000C1090000}"/>
    <cellStyle name="40% - Акцент4 73_Свод гостин" xfId="3335" xr:uid="{00000000-0005-0000-0000-0000C2090000}"/>
    <cellStyle name="40% - Акцент4 74" xfId="1750" xr:uid="{00000000-0005-0000-0000-0000C3090000}"/>
    <cellStyle name="40% - Акцент4 74 2" xfId="1751" xr:uid="{00000000-0005-0000-0000-0000C4090000}"/>
    <cellStyle name="40% - Акцент4 74_Свод гостин" xfId="3336" xr:uid="{00000000-0005-0000-0000-0000C5090000}"/>
    <cellStyle name="40% - Акцент4 75" xfId="1752" xr:uid="{00000000-0005-0000-0000-0000C6090000}"/>
    <cellStyle name="40% - Акцент4 75 2" xfId="1753" xr:uid="{00000000-0005-0000-0000-0000C7090000}"/>
    <cellStyle name="40% - Акцент4 75_Свод гостин" xfId="3337" xr:uid="{00000000-0005-0000-0000-0000C8090000}"/>
    <cellStyle name="40% - Акцент4 76" xfId="1754" xr:uid="{00000000-0005-0000-0000-0000C9090000}"/>
    <cellStyle name="40% - Акцент4 76 2" xfId="1755" xr:uid="{00000000-0005-0000-0000-0000CA090000}"/>
    <cellStyle name="40% - Акцент4 76_Свод гостин" xfId="3338" xr:uid="{00000000-0005-0000-0000-0000CB090000}"/>
    <cellStyle name="40% - Акцент4 77" xfId="1756" xr:uid="{00000000-0005-0000-0000-0000CC090000}"/>
    <cellStyle name="40% - Акцент4 77 2" xfId="1757" xr:uid="{00000000-0005-0000-0000-0000CD090000}"/>
    <cellStyle name="40% - Акцент4 77_Свод гостин" xfId="3339" xr:uid="{00000000-0005-0000-0000-0000CE090000}"/>
    <cellStyle name="40% - Акцент4 78" xfId="1758" xr:uid="{00000000-0005-0000-0000-0000CF090000}"/>
    <cellStyle name="40% - Акцент4 78 2" xfId="1759" xr:uid="{00000000-0005-0000-0000-0000D0090000}"/>
    <cellStyle name="40% - Акцент4 78_Свод гостин" xfId="3340" xr:uid="{00000000-0005-0000-0000-0000D1090000}"/>
    <cellStyle name="40% - Акцент4 79" xfId="1760" xr:uid="{00000000-0005-0000-0000-0000D2090000}"/>
    <cellStyle name="40% - Акцент4 79 2" xfId="1761" xr:uid="{00000000-0005-0000-0000-0000D3090000}"/>
    <cellStyle name="40% - Акцент4 79_Свод гостин" xfId="3341" xr:uid="{00000000-0005-0000-0000-0000D4090000}"/>
    <cellStyle name="40% - Акцент4 8" xfId="1762" xr:uid="{00000000-0005-0000-0000-0000D5090000}"/>
    <cellStyle name="40% - Акцент4 8 2" xfId="1763" xr:uid="{00000000-0005-0000-0000-0000D6090000}"/>
    <cellStyle name="40% - Акцент4 8_Свод гостин" xfId="3342" xr:uid="{00000000-0005-0000-0000-0000D7090000}"/>
    <cellStyle name="40% - Акцент4 80" xfId="1764" xr:uid="{00000000-0005-0000-0000-0000D8090000}"/>
    <cellStyle name="40% - Акцент4 80 2" xfId="1765" xr:uid="{00000000-0005-0000-0000-0000D9090000}"/>
    <cellStyle name="40% - Акцент4 80_Свод гостин" xfId="3343" xr:uid="{00000000-0005-0000-0000-0000DA090000}"/>
    <cellStyle name="40% - Акцент4 81" xfId="1766" xr:uid="{00000000-0005-0000-0000-0000DB090000}"/>
    <cellStyle name="40% - Акцент4 81 2" xfId="1767" xr:uid="{00000000-0005-0000-0000-0000DC090000}"/>
    <cellStyle name="40% - Акцент4 81_Свод гостин" xfId="3344" xr:uid="{00000000-0005-0000-0000-0000DD090000}"/>
    <cellStyle name="40% - Акцент4 82" xfId="1768" xr:uid="{00000000-0005-0000-0000-0000DE090000}"/>
    <cellStyle name="40% - Акцент4 82 2" xfId="1769" xr:uid="{00000000-0005-0000-0000-0000DF090000}"/>
    <cellStyle name="40% - Акцент4 82_Свод гостин" xfId="3345" xr:uid="{00000000-0005-0000-0000-0000E0090000}"/>
    <cellStyle name="40% - Акцент4 83" xfId="1770" xr:uid="{00000000-0005-0000-0000-0000E1090000}"/>
    <cellStyle name="40% - Акцент4 83 2" xfId="1771" xr:uid="{00000000-0005-0000-0000-0000E2090000}"/>
    <cellStyle name="40% - Акцент4 83_Свод гостин" xfId="3346" xr:uid="{00000000-0005-0000-0000-0000E3090000}"/>
    <cellStyle name="40% - Акцент4 9" xfId="1772" xr:uid="{00000000-0005-0000-0000-0000E4090000}"/>
    <cellStyle name="40% - Акцент4 9 2" xfId="1773" xr:uid="{00000000-0005-0000-0000-0000E5090000}"/>
    <cellStyle name="40% - Акцент4 9_Свод гостин" xfId="3347" xr:uid="{00000000-0005-0000-0000-0000E6090000}"/>
    <cellStyle name="40% - Акцент5 10" xfId="1774" xr:uid="{00000000-0005-0000-0000-0000E7090000}"/>
    <cellStyle name="40% - Акцент5 10 2" xfId="1775" xr:uid="{00000000-0005-0000-0000-0000E8090000}"/>
    <cellStyle name="40% - Акцент5 10_Свод гостин" xfId="3348" xr:uid="{00000000-0005-0000-0000-0000E9090000}"/>
    <cellStyle name="40% - Акцент5 11" xfId="1776" xr:uid="{00000000-0005-0000-0000-0000EA090000}"/>
    <cellStyle name="40% - Акцент5 11 2" xfId="1777" xr:uid="{00000000-0005-0000-0000-0000EB090000}"/>
    <cellStyle name="40% - Акцент5 11_Свод гостин" xfId="3349" xr:uid="{00000000-0005-0000-0000-0000EC090000}"/>
    <cellStyle name="40% - Акцент5 12" xfId="1778" xr:uid="{00000000-0005-0000-0000-0000ED090000}"/>
    <cellStyle name="40% - Акцент5 12 2" xfId="1779" xr:uid="{00000000-0005-0000-0000-0000EE090000}"/>
    <cellStyle name="40% - Акцент5 12_Свод гостин" xfId="3350" xr:uid="{00000000-0005-0000-0000-0000EF090000}"/>
    <cellStyle name="40% - Акцент5 13" xfId="1780" xr:uid="{00000000-0005-0000-0000-0000F0090000}"/>
    <cellStyle name="40% - Акцент5 13 2" xfId="1781" xr:uid="{00000000-0005-0000-0000-0000F1090000}"/>
    <cellStyle name="40% - Акцент5 13_Свод гостин" xfId="3351" xr:uid="{00000000-0005-0000-0000-0000F2090000}"/>
    <cellStyle name="40% - Акцент5 14" xfId="1782" xr:uid="{00000000-0005-0000-0000-0000F3090000}"/>
    <cellStyle name="40% - Акцент5 14 2" xfId="1783" xr:uid="{00000000-0005-0000-0000-0000F4090000}"/>
    <cellStyle name="40% - Акцент5 14_Свод гостин" xfId="3352" xr:uid="{00000000-0005-0000-0000-0000F5090000}"/>
    <cellStyle name="40% - Акцент5 15" xfId="1784" xr:uid="{00000000-0005-0000-0000-0000F6090000}"/>
    <cellStyle name="40% - Акцент5 15 2" xfId="1785" xr:uid="{00000000-0005-0000-0000-0000F7090000}"/>
    <cellStyle name="40% - Акцент5 15_Свод гостин" xfId="3353" xr:uid="{00000000-0005-0000-0000-0000F8090000}"/>
    <cellStyle name="40% - Акцент5 16" xfId="1786" xr:uid="{00000000-0005-0000-0000-0000F9090000}"/>
    <cellStyle name="40% - Акцент5 16 2" xfId="1787" xr:uid="{00000000-0005-0000-0000-0000FA090000}"/>
    <cellStyle name="40% - Акцент5 16_Свод гостин" xfId="3354" xr:uid="{00000000-0005-0000-0000-0000FB090000}"/>
    <cellStyle name="40% - Акцент5 17" xfId="1788" xr:uid="{00000000-0005-0000-0000-0000FC090000}"/>
    <cellStyle name="40% - Акцент5 17 2" xfId="1789" xr:uid="{00000000-0005-0000-0000-0000FD090000}"/>
    <cellStyle name="40% - Акцент5 17_Свод гостин" xfId="3355" xr:uid="{00000000-0005-0000-0000-0000FE090000}"/>
    <cellStyle name="40% - Акцент5 18" xfId="1790" xr:uid="{00000000-0005-0000-0000-0000FF090000}"/>
    <cellStyle name="40% - Акцент5 18 2" xfId="1791" xr:uid="{00000000-0005-0000-0000-0000000A0000}"/>
    <cellStyle name="40% - Акцент5 18_Свод гостин" xfId="3356" xr:uid="{00000000-0005-0000-0000-0000010A0000}"/>
    <cellStyle name="40% - Акцент5 19" xfId="1792" xr:uid="{00000000-0005-0000-0000-0000020A0000}"/>
    <cellStyle name="40% - Акцент5 19 2" xfId="1793" xr:uid="{00000000-0005-0000-0000-0000030A0000}"/>
    <cellStyle name="40% - Акцент5 19_Свод гостин" xfId="3357" xr:uid="{00000000-0005-0000-0000-0000040A0000}"/>
    <cellStyle name="40% - Акцент5 2" xfId="1794" xr:uid="{00000000-0005-0000-0000-0000050A0000}"/>
    <cellStyle name="40% - Акцент5 2 2" xfId="1795" xr:uid="{00000000-0005-0000-0000-0000060A0000}"/>
    <cellStyle name="40% - Акцент5 2_Свод гостин" xfId="3358" xr:uid="{00000000-0005-0000-0000-0000070A0000}"/>
    <cellStyle name="40% - Акцент5 20" xfId="1796" xr:uid="{00000000-0005-0000-0000-0000080A0000}"/>
    <cellStyle name="40% - Акцент5 20 2" xfId="1797" xr:uid="{00000000-0005-0000-0000-0000090A0000}"/>
    <cellStyle name="40% - Акцент5 20_Свод гостин" xfId="3359" xr:uid="{00000000-0005-0000-0000-00000A0A0000}"/>
    <cellStyle name="40% - Акцент5 21" xfId="1798" xr:uid="{00000000-0005-0000-0000-00000B0A0000}"/>
    <cellStyle name="40% - Акцент5 21 2" xfId="1799" xr:uid="{00000000-0005-0000-0000-00000C0A0000}"/>
    <cellStyle name="40% - Акцент5 21_Свод гостин" xfId="3360" xr:uid="{00000000-0005-0000-0000-00000D0A0000}"/>
    <cellStyle name="40% - Акцент5 22" xfId="1800" xr:uid="{00000000-0005-0000-0000-00000E0A0000}"/>
    <cellStyle name="40% - Акцент5 22 2" xfId="1801" xr:uid="{00000000-0005-0000-0000-00000F0A0000}"/>
    <cellStyle name="40% - Акцент5 22_Свод гостин" xfId="3361" xr:uid="{00000000-0005-0000-0000-0000100A0000}"/>
    <cellStyle name="40% - Акцент5 23" xfId="1802" xr:uid="{00000000-0005-0000-0000-0000110A0000}"/>
    <cellStyle name="40% - Акцент5 23 2" xfId="1803" xr:uid="{00000000-0005-0000-0000-0000120A0000}"/>
    <cellStyle name="40% - Акцент5 23_Свод гостин" xfId="3362" xr:uid="{00000000-0005-0000-0000-0000130A0000}"/>
    <cellStyle name="40% - Акцент5 24" xfId="1804" xr:uid="{00000000-0005-0000-0000-0000140A0000}"/>
    <cellStyle name="40% - Акцент5 24 2" xfId="1805" xr:uid="{00000000-0005-0000-0000-0000150A0000}"/>
    <cellStyle name="40% - Акцент5 24_Свод гостин" xfId="3363" xr:uid="{00000000-0005-0000-0000-0000160A0000}"/>
    <cellStyle name="40% - Акцент5 25" xfId="1806" xr:uid="{00000000-0005-0000-0000-0000170A0000}"/>
    <cellStyle name="40% - Акцент5 25 2" xfId="1807" xr:uid="{00000000-0005-0000-0000-0000180A0000}"/>
    <cellStyle name="40% - Акцент5 25_Свод гостин" xfId="3364" xr:uid="{00000000-0005-0000-0000-0000190A0000}"/>
    <cellStyle name="40% - Акцент5 26" xfId="1808" xr:uid="{00000000-0005-0000-0000-00001A0A0000}"/>
    <cellStyle name="40% - Акцент5 26 2" xfId="1809" xr:uid="{00000000-0005-0000-0000-00001B0A0000}"/>
    <cellStyle name="40% - Акцент5 26_Свод гостин" xfId="3365" xr:uid="{00000000-0005-0000-0000-00001C0A0000}"/>
    <cellStyle name="40% - Акцент5 27" xfId="1810" xr:uid="{00000000-0005-0000-0000-00001D0A0000}"/>
    <cellStyle name="40% - Акцент5 27 2" xfId="1811" xr:uid="{00000000-0005-0000-0000-00001E0A0000}"/>
    <cellStyle name="40% - Акцент5 27_Свод гостин" xfId="3366" xr:uid="{00000000-0005-0000-0000-00001F0A0000}"/>
    <cellStyle name="40% - Акцент5 28" xfId="1812" xr:uid="{00000000-0005-0000-0000-0000200A0000}"/>
    <cellStyle name="40% - Акцент5 28 2" xfId="1813" xr:uid="{00000000-0005-0000-0000-0000210A0000}"/>
    <cellStyle name="40% - Акцент5 28_Свод гостин" xfId="3367" xr:uid="{00000000-0005-0000-0000-0000220A0000}"/>
    <cellStyle name="40% - Акцент5 29" xfId="1814" xr:uid="{00000000-0005-0000-0000-0000230A0000}"/>
    <cellStyle name="40% - Акцент5 29 2" xfId="1815" xr:uid="{00000000-0005-0000-0000-0000240A0000}"/>
    <cellStyle name="40% - Акцент5 29_Свод гостин" xfId="3368" xr:uid="{00000000-0005-0000-0000-0000250A0000}"/>
    <cellStyle name="40% - Акцент5 3" xfId="1816" xr:uid="{00000000-0005-0000-0000-0000260A0000}"/>
    <cellStyle name="40% - Акцент5 3 2" xfId="1817" xr:uid="{00000000-0005-0000-0000-0000270A0000}"/>
    <cellStyle name="40% - Акцент5 3_Свод гостин" xfId="3369" xr:uid="{00000000-0005-0000-0000-0000280A0000}"/>
    <cellStyle name="40% - Акцент5 30" xfId="1818" xr:uid="{00000000-0005-0000-0000-0000290A0000}"/>
    <cellStyle name="40% - Акцент5 30 2" xfId="1819" xr:uid="{00000000-0005-0000-0000-00002A0A0000}"/>
    <cellStyle name="40% - Акцент5 30_Свод гостин" xfId="3370" xr:uid="{00000000-0005-0000-0000-00002B0A0000}"/>
    <cellStyle name="40% - Акцент5 31" xfId="1820" xr:uid="{00000000-0005-0000-0000-00002C0A0000}"/>
    <cellStyle name="40% - Акцент5 31 2" xfId="1821" xr:uid="{00000000-0005-0000-0000-00002D0A0000}"/>
    <cellStyle name="40% - Акцент5 31_Свод гостин" xfId="3371" xr:uid="{00000000-0005-0000-0000-00002E0A0000}"/>
    <cellStyle name="40% - Акцент5 32" xfId="1822" xr:uid="{00000000-0005-0000-0000-00002F0A0000}"/>
    <cellStyle name="40% - Акцент5 32 2" xfId="1823" xr:uid="{00000000-0005-0000-0000-0000300A0000}"/>
    <cellStyle name="40% - Акцент5 32_Свод гостин" xfId="3372" xr:uid="{00000000-0005-0000-0000-0000310A0000}"/>
    <cellStyle name="40% - Акцент5 33" xfId="1824" xr:uid="{00000000-0005-0000-0000-0000320A0000}"/>
    <cellStyle name="40% - Акцент5 33 2" xfId="1825" xr:uid="{00000000-0005-0000-0000-0000330A0000}"/>
    <cellStyle name="40% - Акцент5 33_Свод гостин" xfId="3373" xr:uid="{00000000-0005-0000-0000-0000340A0000}"/>
    <cellStyle name="40% - Акцент5 34" xfId="1826" xr:uid="{00000000-0005-0000-0000-0000350A0000}"/>
    <cellStyle name="40% - Акцент5 34 2" xfId="1827" xr:uid="{00000000-0005-0000-0000-0000360A0000}"/>
    <cellStyle name="40% - Акцент5 34_Свод гостин" xfId="3374" xr:uid="{00000000-0005-0000-0000-0000370A0000}"/>
    <cellStyle name="40% - Акцент5 35" xfId="1828" xr:uid="{00000000-0005-0000-0000-0000380A0000}"/>
    <cellStyle name="40% - Акцент5 35 2" xfId="1829" xr:uid="{00000000-0005-0000-0000-0000390A0000}"/>
    <cellStyle name="40% - Акцент5 35_Свод гостин" xfId="3375" xr:uid="{00000000-0005-0000-0000-00003A0A0000}"/>
    <cellStyle name="40% - Акцент5 36" xfId="1830" xr:uid="{00000000-0005-0000-0000-00003B0A0000}"/>
    <cellStyle name="40% - Акцент5 36 2" xfId="1831" xr:uid="{00000000-0005-0000-0000-00003C0A0000}"/>
    <cellStyle name="40% - Акцент5 36_Свод гостин" xfId="3376" xr:uid="{00000000-0005-0000-0000-00003D0A0000}"/>
    <cellStyle name="40% - Акцент5 37" xfId="1832" xr:uid="{00000000-0005-0000-0000-00003E0A0000}"/>
    <cellStyle name="40% - Акцент5 37 2" xfId="1833" xr:uid="{00000000-0005-0000-0000-00003F0A0000}"/>
    <cellStyle name="40% - Акцент5 37_Свод гостин" xfId="3377" xr:uid="{00000000-0005-0000-0000-0000400A0000}"/>
    <cellStyle name="40% - Акцент5 38" xfId="1834" xr:uid="{00000000-0005-0000-0000-0000410A0000}"/>
    <cellStyle name="40% - Акцент5 38 2" xfId="1835" xr:uid="{00000000-0005-0000-0000-0000420A0000}"/>
    <cellStyle name="40% - Акцент5 38_Свод гостин" xfId="3378" xr:uid="{00000000-0005-0000-0000-0000430A0000}"/>
    <cellStyle name="40% - Акцент5 39" xfId="1836" xr:uid="{00000000-0005-0000-0000-0000440A0000}"/>
    <cellStyle name="40% - Акцент5 39 2" xfId="1837" xr:uid="{00000000-0005-0000-0000-0000450A0000}"/>
    <cellStyle name="40% - Акцент5 39_Свод гостин" xfId="3379" xr:uid="{00000000-0005-0000-0000-0000460A0000}"/>
    <cellStyle name="40% - Акцент5 4" xfId="1838" xr:uid="{00000000-0005-0000-0000-0000470A0000}"/>
    <cellStyle name="40% - Акцент5 4 2" xfId="1839" xr:uid="{00000000-0005-0000-0000-0000480A0000}"/>
    <cellStyle name="40% - Акцент5 4_Свод гостин" xfId="3380" xr:uid="{00000000-0005-0000-0000-0000490A0000}"/>
    <cellStyle name="40% - Акцент5 40" xfId="1840" xr:uid="{00000000-0005-0000-0000-00004A0A0000}"/>
    <cellStyle name="40% - Акцент5 40 2" xfId="1841" xr:uid="{00000000-0005-0000-0000-00004B0A0000}"/>
    <cellStyle name="40% - Акцент5 40_Свод гостин" xfId="3381" xr:uid="{00000000-0005-0000-0000-00004C0A0000}"/>
    <cellStyle name="40% - Акцент5 41" xfId="1842" xr:uid="{00000000-0005-0000-0000-00004D0A0000}"/>
    <cellStyle name="40% - Акцент5 41 2" xfId="1843" xr:uid="{00000000-0005-0000-0000-00004E0A0000}"/>
    <cellStyle name="40% - Акцент5 41_Свод гостин" xfId="3382" xr:uid="{00000000-0005-0000-0000-00004F0A0000}"/>
    <cellStyle name="40% - Акцент5 42" xfId="1844" xr:uid="{00000000-0005-0000-0000-0000500A0000}"/>
    <cellStyle name="40% - Акцент5 42 2" xfId="1845" xr:uid="{00000000-0005-0000-0000-0000510A0000}"/>
    <cellStyle name="40% - Акцент5 42_Свод гостин" xfId="3383" xr:uid="{00000000-0005-0000-0000-0000520A0000}"/>
    <cellStyle name="40% - Акцент5 43" xfId="1846" xr:uid="{00000000-0005-0000-0000-0000530A0000}"/>
    <cellStyle name="40% - Акцент5 43 2" xfId="1847" xr:uid="{00000000-0005-0000-0000-0000540A0000}"/>
    <cellStyle name="40% - Акцент5 43_Свод гостин" xfId="3384" xr:uid="{00000000-0005-0000-0000-0000550A0000}"/>
    <cellStyle name="40% - Акцент5 44" xfId="1848" xr:uid="{00000000-0005-0000-0000-0000560A0000}"/>
    <cellStyle name="40% - Акцент5 44 2" xfId="1849" xr:uid="{00000000-0005-0000-0000-0000570A0000}"/>
    <cellStyle name="40% - Акцент5 44_Свод гостин" xfId="3385" xr:uid="{00000000-0005-0000-0000-0000580A0000}"/>
    <cellStyle name="40% - Акцент5 45" xfId="1850" xr:uid="{00000000-0005-0000-0000-0000590A0000}"/>
    <cellStyle name="40% - Акцент5 45 2" xfId="1851" xr:uid="{00000000-0005-0000-0000-00005A0A0000}"/>
    <cellStyle name="40% - Акцент5 45_Свод гостин" xfId="3386" xr:uid="{00000000-0005-0000-0000-00005B0A0000}"/>
    <cellStyle name="40% - Акцент5 46" xfId="1852" xr:uid="{00000000-0005-0000-0000-00005C0A0000}"/>
    <cellStyle name="40% - Акцент5 46 2" xfId="1853" xr:uid="{00000000-0005-0000-0000-00005D0A0000}"/>
    <cellStyle name="40% - Акцент5 46_Свод гостин" xfId="3387" xr:uid="{00000000-0005-0000-0000-00005E0A0000}"/>
    <cellStyle name="40% - Акцент5 47" xfId="1854" xr:uid="{00000000-0005-0000-0000-00005F0A0000}"/>
    <cellStyle name="40% - Акцент5 47 2" xfId="1855" xr:uid="{00000000-0005-0000-0000-0000600A0000}"/>
    <cellStyle name="40% - Акцент5 47_Свод гостин" xfId="3388" xr:uid="{00000000-0005-0000-0000-0000610A0000}"/>
    <cellStyle name="40% - Акцент5 48" xfId="1856" xr:uid="{00000000-0005-0000-0000-0000620A0000}"/>
    <cellStyle name="40% - Акцент5 48 2" xfId="1857" xr:uid="{00000000-0005-0000-0000-0000630A0000}"/>
    <cellStyle name="40% - Акцент5 48_Свод гостин" xfId="3389" xr:uid="{00000000-0005-0000-0000-0000640A0000}"/>
    <cellStyle name="40% - Акцент5 49" xfId="1858" xr:uid="{00000000-0005-0000-0000-0000650A0000}"/>
    <cellStyle name="40% - Акцент5 49 2" xfId="1859" xr:uid="{00000000-0005-0000-0000-0000660A0000}"/>
    <cellStyle name="40% - Акцент5 49_Свод гостин" xfId="3390" xr:uid="{00000000-0005-0000-0000-0000670A0000}"/>
    <cellStyle name="40% - Акцент5 5" xfId="1860" xr:uid="{00000000-0005-0000-0000-0000680A0000}"/>
    <cellStyle name="40% - Акцент5 5 2" xfId="1861" xr:uid="{00000000-0005-0000-0000-0000690A0000}"/>
    <cellStyle name="40% - Акцент5 5_Свод гостин" xfId="3391" xr:uid="{00000000-0005-0000-0000-00006A0A0000}"/>
    <cellStyle name="40% - Акцент5 50" xfId="1862" xr:uid="{00000000-0005-0000-0000-00006B0A0000}"/>
    <cellStyle name="40% - Акцент5 50 2" xfId="1863" xr:uid="{00000000-0005-0000-0000-00006C0A0000}"/>
    <cellStyle name="40% - Акцент5 50_Свод гостин" xfId="3392" xr:uid="{00000000-0005-0000-0000-00006D0A0000}"/>
    <cellStyle name="40% - Акцент5 51" xfId="1864" xr:uid="{00000000-0005-0000-0000-00006E0A0000}"/>
    <cellStyle name="40% - Акцент5 51 2" xfId="1865" xr:uid="{00000000-0005-0000-0000-00006F0A0000}"/>
    <cellStyle name="40% - Акцент5 51_Свод гостин" xfId="3393" xr:uid="{00000000-0005-0000-0000-0000700A0000}"/>
    <cellStyle name="40% - Акцент5 52" xfId="1866" xr:uid="{00000000-0005-0000-0000-0000710A0000}"/>
    <cellStyle name="40% - Акцент5 52 2" xfId="1867" xr:uid="{00000000-0005-0000-0000-0000720A0000}"/>
    <cellStyle name="40% - Акцент5 52_Свод гостин" xfId="3394" xr:uid="{00000000-0005-0000-0000-0000730A0000}"/>
    <cellStyle name="40% - Акцент5 53" xfId="1868" xr:uid="{00000000-0005-0000-0000-0000740A0000}"/>
    <cellStyle name="40% - Акцент5 53 2" xfId="1869" xr:uid="{00000000-0005-0000-0000-0000750A0000}"/>
    <cellStyle name="40% - Акцент5 53_Свод гостин" xfId="3395" xr:uid="{00000000-0005-0000-0000-0000760A0000}"/>
    <cellStyle name="40% - Акцент5 54" xfId="1870" xr:uid="{00000000-0005-0000-0000-0000770A0000}"/>
    <cellStyle name="40% - Акцент5 54 2" xfId="1871" xr:uid="{00000000-0005-0000-0000-0000780A0000}"/>
    <cellStyle name="40% - Акцент5 54_Свод гостин" xfId="3396" xr:uid="{00000000-0005-0000-0000-0000790A0000}"/>
    <cellStyle name="40% - Акцент5 55" xfId="1872" xr:uid="{00000000-0005-0000-0000-00007A0A0000}"/>
    <cellStyle name="40% - Акцент5 55 2" xfId="1873" xr:uid="{00000000-0005-0000-0000-00007B0A0000}"/>
    <cellStyle name="40% - Акцент5 55_Свод гостин" xfId="3397" xr:uid="{00000000-0005-0000-0000-00007C0A0000}"/>
    <cellStyle name="40% - Акцент5 56" xfId="1874" xr:uid="{00000000-0005-0000-0000-00007D0A0000}"/>
    <cellStyle name="40% - Акцент5 56 2" xfId="1875" xr:uid="{00000000-0005-0000-0000-00007E0A0000}"/>
    <cellStyle name="40% - Акцент5 56_Свод гостин" xfId="3398" xr:uid="{00000000-0005-0000-0000-00007F0A0000}"/>
    <cellStyle name="40% - Акцент5 57" xfId="1876" xr:uid="{00000000-0005-0000-0000-0000800A0000}"/>
    <cellStyle name="40% - Акцент5 57 2" xfId="1877" xr:uid="{00000000-0005-0000-0000-0000810A0000}"/>
    <cellStyle name="40% - Акцент5 57_Свод гостин" xfId="3399" xr:uid="{00000000-0005-0000-0000-0000820A0000}"/>
    <cellStyle name="40% - Акцент5 58" xfId="1878" xr:uid="{00000000-0005-0000-0000-0000830A0000}"/>
    <cellStyle name="40% - Акцент5 58 2" xfId="1879" xr:uid="{00000000-0005-0000-0000-0000840A0000}"/>
    <cellStyle name="40% - Акцент5 58_Свод гостин" xfId="3400" xr:uid="{00000000-0005-0000-0000-0000850A0000}"/>
    <cellStyle name="40% - Акцент5 59" xfId="1880" xr:uid="{00000000-0005-0000-0000-0000860A0000}"/>
    <cellStyle name="40% - Акцент5 59 2" xfId="1881" xr:uid="{00000000-0005-0000-0000-0000870A0000}"/>
    <cellStyle name="40% - Акцент5 59_Свод гостин" xfId="3401" xr:uid="{00000000-0005-0000-0000-0000880A0000}"/>
    <cellStyle name="40% - Акцент5 6" xfId="1882" xr:uid="{00000000-0005-0000-0000-0000890A0000}"/>
    <cellStyle name="40% - Акцент5 6 2" xfId="1883" xr:uid="{00000000-0005-0000-0000-00008A0A0000}"/>
    <cellStyle name="40% - Акцент5 6_Свод гостин" xfId="3402" xr:uid="{00000000-0005-0000-0000-00008B0A0000}"/>
    <cellStyle name="40% - Акцент5 60" xfId="1884" xr:uid="{00000000-0005-0000-0000-00008C0A0000}"/>
    <cellStyle name="40% - Акцент5 60 2" xfId="1885" xr:uid="{00000000-0005-0000-0000-00008D0A0000}"/>
    <cellStyle name="40% - Акцент5 60_Свод гостин" xfId="3403" xr:uid="{00000000-0005-0000-0000-00008E0A0000}"/>
    <cellStyle name="40% - Акцент5 61" xfId="1886" xr:uid="{00000000-0005-0000-0000-00008F0A0000}"/>
    <cellStyle name="40% - Акцент5 61 2" xfId="1887" xr:uid="{00000000-0005-0000-0000-0000900A0000}"/>
    <cellStyle name="40% - Акцент5 61_Свод гостин" xfId="3404" xr:uid="{00000000-0005-0000-0000-0000910A0000}"/>
    <cellStyle name="40% - Акцент5 62" xfId="1888" xr:uid="{00000000-0005-0000-0000-0000920A0000}"/>
    <cellStyle name="40% - Акцент5 62 2" xfId="1889" xr:uid="{00000000-0005-0000-0000-0000930A0000}"/>
    <cellStyle name="40% - Акцент5 62_Свод гостин" xfId="3405" xr:uid="{00000000-0005-0000-0000-0000940A0000}"/>
    <cellStyle name="40% - Акцент5 63" xfId="1890" xr:uid="{00000000-0005-0000-0000-0000950A0000}"/>
    <cellStyle name="40% - Акцент5 63 2" xfId="1891" xr:uid="{00000000-0005-0000-0000-0000960A0000}"/>
    <cellStyle name="40% - Акцент5 63_Свод гостин" xfId="3406" xr:uid="{00000000-0005-0000-0000-0000970A0000}"/>
    <cellStyle name="40% - Акцент5 64" xfId="1892" xr:uid="{00000000-0005-0000-0000-0000980A0000}"/>
    <cellStyle name="40% - Акцент5 64 2" xfId="1893" xr:uid="{00000000-0005-0000-0000-0000990A0000}"/>
    <cellStyle name="40% - Акцент5 64_Свод гостин" xfId="3407" xr:uid="{00000000-0005-0000-0000-00009A0A0000}"/>
    <cellStyle name="40% - Акцент5 65" xfId="1894" xr:uid="{00000000-0005-0000-0000-00009B0A0000}"/>
    <cellStyle name="40% - Акцент5 65 2" xfId="1895" xr:uid="{00000000-0005-0000-0000-00009C0A0000}"/>
    <cellStyle name="40% - Акцент5 65_Свод гостин" xfId="3408" xr:uid="{00000000-0005-0000-0000-00009D0A0000}"/>
    <cellStyle name="40% - Акцент5 66" xfId="1896" xr:uid="{00000000-0005-0000-0000-00009E0A0000}"/>
    <cellStyle name="40% - Акцент5 66 2" xfId="1897" xr:uid="{00000000-0005-0000-0000-00009F0A0000}"/>
    <cellStyle name="40% - Акцент5 66_Свод гостин" xfId="3409" xr:uid="{00000000-0005-0000-0000-0000A00A0000}"/>
    <cellStyle name="40% - Акцент5 67" xfId="1898" xr:uid="{00000000-0005-0000-0000-0000A10A0000}"/>
    <cellStyle name="40% - Акцент5 67 2" xfId="1899" xr:uid="{00000000-0005-0000-0000-0000A20A0000}"/>
    <cellStyle name="40% - Акцент5 67_Свод гостин" xfId="3410" xr:uid="{00000000-0005-0000-0000-0000A30A0000}"/>
    <cellStyle name="40% - Акцент5 68" xfId="1900" xr:uid="{00000000-0005-0000-0000-0000A40A0000}"/>
    <cellStyle name="40% - Акцент5 68 2" xfId="1901" xr:uid="{00000000-0005-0000-0000-0000A50A0000}"/>
    <cellStyle name="40% - Акцент5 68_Свод гостин" xfId="3411" xr:uid="{00000000-0005-0000-0000-0000A60A0000}"/>
    <cellStyle name="40% - Акцент5 69" xfId="1902" xr:uid="{00000000-0005-0000-0000-0000A70A0000}"/>
    <cellStyle name="40% - Акцент5 69 2" xfId="1903" xr:uid="{00000000-0005-0000-0000-0000A80A0000}"/>
    <cellStyle name="40% - Акцент5 69_Свод гостин" xfId="3412" xr:uid="{00000000-0005-0000-0000-0000A90A0000}"/>
    <cellStyle name="40% - Акцент5 7" xfId="1904" xr:uid="{00000000-0005-0000-0000-0000AA0A0000}"/>
    <cellStyle name="40% - Акцент5 7 2" xfId="1905" xr:uid="{00000000-0005-0000-0000-0000AB0A0000}"/>
    <cellStyle name="40% - Акцент5 7_Свод гостин" xfId="3413" xr:uid="{00000000-0005-0000-0000-0000AC0A0000}"/>
    <cellStyle name="40% - Акцент5 70" xfId="1906" xr:uid="{00000000-0005-0000-0000-0000AD0A0000}"/>
    <cellStyle name="40% - Акцент5 70 2" xfId="1907" xr:uid="{00000000-0005-0000-0000-0000AE0A0000}"/>
    <cellStyle name="40% - Акцент5 70_Свод гостин" xfId="3414" xr:uid="{00000000-0005-0000-0000-0000AF0A0000}"/>
    <cellStyle name="40% - Акцент5 71" xfId="1908" xr:uid="{00000000-0005-0000-0000-0000B00A0000}"/>
    <cellStyle name="40% - Акцент5 71 2" xfId="1909" xr:uid="{00000000-0005-0000-0000-0000B10A0000}"/>
    <cellStyle name="40% - Акцент5 71_Свод гостин" xfId="3415" xr:uid="{00000000-0005-0000-0000-0000B20A0000}"/>
    <cellStyle name="40% - Акцент5 72" xfId="1910" xr:uid="{00000000-0005-0000-0000-0000B30A0000}"/>
    <cellStyle name="40% - Акцент5 72 2" xfId="1911" xr:uid="{00000000-0005-0000-0000-0000B40A0000}"/>
    <cellStyle name="40% - Акцент5 72_Свод гостин" xfId="3416" xr:uid="{00000000-0005-0000-0000-0000B50A0000}"/>
    <cellStyle name="40% - Акцент5 73" xfId="1912" xr:uid="{00000000-0005-0000-0000-0000B60A0000}"/>
    <cellStyle name="40% - Акцент5 73 2" xfId="1913" xr:uid="{00000000-0005-0000-0000-0000B70A0000}"/>
    <cellStyle name="40% - Акцент5 73_Свод гостин" xfId="3417" xr:uid="{00000000-0005-0000-0000-0000B80A0000}"/>
    <cellStyle name="40% - Акцент5 74" xfId="1914" xr:uid="{00000000-0005-0000-0000-0000B90A0000}"/>
    <cellStyle name="40% - Акцент5 74 2" xfId="1915" xr:uid="{00000000-0005-0000-0000-0000BA0A0000}"/>
    <cellStyle name="40% - Акцент5 74_Свод гостин" xfId="3418" xr:uid="{00000000-0005-0000-0000-0000BB0A0000}"/>
    <cellStyle name="40% - Акцент5 75" xfId="1916" xr:uid="{00000000-0005-0000-0000-0000BC0A0000}"/>
    <cellStyle name="40% - Акцент5 75 2" xfId="1917" xr:uid="{00000000-0005-0000-0000-0000BD0A0000}"/>
    <cellStyle name="40% - Акцент5 75_Свод гостин" xfId="3419" xr:uid="{00000000-0005-0000-0000-0000BE0A0000}"/>
    <cellStyle name="40% - Акцент5 76" xfId="1918" xr:uid="{00000000-0005-0000-0000-0000BF0A0000}"/>
    <cellStyle name="40% - Акцент5 76 2" xfId="1919" xr:uid="{00000000-0005-0000-0000-0000C00A0000}"/>
    <cellStyle name="40% - Акцент5 76_Свод гостин" xfId="3420" xr:uid="{00000000-0005-0000-0000-0000C10A0000}"/>
    <cellStyle name="40% - Акцент5 77" xfId="1920" xr:uid="{00000000-0005-0000-0000-0000C20A0000}"/>
    <cellStyle name="40% - Акцент5 77 2" xfId="1921" xr:uid="{00000000-0005-0000-0000-0000C30A0000}"/>
    <cellStyle name="40% - Акцент5 77_Свод гостин" xfId="3421" xr:uid="{00000000-0005-0000-0000-0000C40A0000}"/>
    <cellStyle name="40% - Акцент5 78" xfId="1922" xr:uid="{00000000-0005-0000-0000-0000C50A0000}"/>
    <cellStyle name="40% - Акцент5 78 2" xfId="1923" xr:uid="{00000000-0005-0000-0000-0000C60A0000}"/>
    <cellStyle name="40% - Акцент5 78_Свод гостин" xfId="3422" xr:uid="{00000000-0005-0000-0000-0000C70A0000}"/>
    <cellStyle name="40% - Акцент5 79" xfId="1924" xr:uid="{00000000-0005-0000-0000-0000C80A0000}"/>
    <cellStyle name="40% - Акцент5 79 2" xfId="1925" xr:uid="{00000000-0005-0000-0000-0000C90A0000}"/>
    <cellStyle name="40% - Акцент5 79_Свод гостин" xfId="3423" xr:uid="{00000000-0005-0000-0000-0000CA0A0000}"/>
    <cellStyle name="40% - Акцент5 8" xfId="1926" xr:uid="{00000000-0005-0000-0000-0000CB0A0000}"/>
    <cellStyle name="40% - Акцент5 8 2" xfId="1927" xr:uid="{00000000-0005-0000-0000-0000CC0A0000}"/>
    <cellStyle name="40% - Акцент5 8_Свод гостин" xfId="3424" xr:uid="{00000000-0005-0000-0000-0000CD0A0000}"/>
    <cellStyle name="40% - Акцент5 80" xfId="1928" xr:uid="{00000000-0005-0000-0000-0000CE0A0000}"/>
    <cellStyle name="40% - Акцент5 80 2" xfId="1929" xr:uid="{00000000-0005-0000-0000-0000CF0A0000}"/>
    <cellStyle name="40% - Акцент5 80_Свод гостин" xfId="3425" xr:uid="{00000000-0005-0000-0000-0000D00A0000}"/>
    <cellStyle name="40% - Акцент5 81" xfId="1930" xr:uid="{00000000-0005-0000-0000-0000D10A0000}"/>
    <cellStyle name="40% - Акцент5 81 2" xfId="1931" xr:uid="{00000000-0005-0000-0000-0000D20A0000}"/>
    <cellStyle name="40% - Акцент5 81_Свод гостин" xfId="3426" xr:uid="{00000000-0005-0000-0000-0000D30A0000}"/>
    <cellStyle name="40% - Акцент5 82" xfId="1932" xr:uid="{00000000-0005-0000-0000-0000D40A0000}"/>
    <cellStyle name="40% - Акцент5 82 2" xfId="1933" xr:uid="{00000000-0005-0000-0000-0000D50A0000}"/>
    <cellStyle name="40% - Акцент5 82_Свод гостин" xfId="3427" xr:uid="{00000000-0005-0000-0000-0000D60A0000}"/>
    <cellStyle name="40% - Акцент5 83" xfId="1934" xr:uid="{00000000-0005-0000-0000-0000D70A0000}"/>
    <cellStyle name="40% - Акцент5 83 2" xfId="1935" xr:uid="{00000000-0005-0000-0000-0000D80A0000}"/>
    <cellStyle name="40% - Акцент5 83_Свод гостин" xfId="3428" xr:uid="{00000000-0005-0000-0000-0000D90A0000}"/>
    <cellStyle name="40% - Акцент5 9" xfId="1936" xr:uid="{00000000-0005-0000-0000-0000DA0A0000}"/>
    <cellStyle name="40% - Акцент5 9 2" xfId="1937" xr:uid="{00000000-0005-0000-0000-0000DB0A0000}"/>
    <cellStyle name="40% - Акцент5 9_Свод гостин" xfId="3429" xr:uid="{00000000-0005-0000-0000-0000DC0A0000}"/>
    <cellStyle name="40% - Акцент6 10" xfId="1938" xr:uid="{00000000-0005-0000-0000-0000DD0A0000}"/>
    <cellStyle name="40% - Акцент6 10 2" xfId="1939" xr:uid="{00000000-0005-0000-0000-0000DE0A0000}"/>
    <cellStyle name="40% - Акцент6 10_Свод гостин" xfId="3430" xr:uid="{00000000-0005-0000-0000-0000DF0A0000}"/>
    <cellStyle name="40% - Акцент6 11" xfId="1940" xr:uid="{00000000-0005-0000-0000-0000E00A0000}"/>
    <cellStyle name="40% - Акцент6 11 2" xfId="1941" xr:uid="{00000000-0005-0000-0000-0000E10A0000}"/>
    <cellStyle name="40% - Акцент6 11_Свод гостин" xfId="3431" xr:uid="{00000000-0005-0000-0000-0000E20A0000}"/>
    <cellStyle name="40% - Акцент6 12" xfId="1942" xr:uid="{00000000-0005-0000-0000-0000E30A0000}"/>
    <cellStyle name="40% - Акцент6 12 2" xfId="1943" xr:uid="{00000000-0005-0000-0000-0000E40A0000}"/>
    <cellStyle name="40% - Акцент6 12_Свод гостин" xfId="3432" xr:uid="{00000000-0005-0000-0000-0000E50A0000}"/>
    <cellStyle name="40% - Акцент6 13" xfId="1944" xr:uid="{00000000-0005-0000-0000-0000E60A0000}"/>
    <cellStyle name="40% - Акцент6 13 2" xfId="1945" xr:uid="{00000000-0005-0000-0000-0000E70A0000}"/>
    <cellStyle name="40% - Акцент6 13_Свод гостин" xfId="3433" xr:uid="{00000000-0005-0000-0000-0000E80A0000}"/>
    <cellStyle name="40% - Акцент6 14" xfId="1946" xr:uid="{00000000-0005-0000-0000-0000E90A0000}"/>
    <cellStyle name="40% - Акцент6 14 2" xfId="1947" xr:uid="{00000000-0005-0000-0000-0000EA0A0000}"/>
    <cellStyle name="40% - Акцент6 14_Свод гостин" xfId="3434" xr:uid="{00000000-0005-0000-0000-0000EB0A0000}"/>
    <cellStyle name="40% - Акцент6 15" xfId="1948" xr:uid="{00000000-0005-0000-0000-0000EC0A0000}"/>
    <cellStyle name="40% - Акцент6 15 2" xfId="1949" xr:uid="{00000000-0005-0000-0000-0000ED0A0000}"/>
    <cellStyle name="40% - Акцент6 15_Свод гостин" xfId="3435" xr:uid="{00000000-0005-0000-0000-0000EE0A0000}"/>
    <cellStyle name="40% - Акцент6 16" xfId="1950" xr:uid="{00000000-0005-0000-0000-0000EF0A0000}"/>
    <cellStyle name="40% - Акцент6 16 2" xfId="1951" xr:uid="{00000000-0005-0000-0000-0000F00A0000}"/>
    <cellStyle name="40% - Акцент6 16_Свод гостин" xfId="3436" xr:uid="{00000000-0005-0000-0000-0000F10A0000}"/>
    <cellStyle name="40% - Акцент6 17" xfId="1952" xr:uid="{00000000-0005-0000-0000-0000F20A0000}"/>
    <cellStyle name="40% - Акцент6 17 2" xfId="1953" xr:uid="{00000000-0005-0000-0000-0000F30A0000}"/>
    <cellStyle name="40% - Акцент6 17_Свод гостин" xfId="3437" xr:uid="{00000000-0005-0000-0000-0000F40A0000}"/>
    <cellStyle name="40% - Акцент6 18" xfId="1954" xr:uid="{00000000-0005-0000-0000-0000F50A0000}"/>
    <cellStyle name="40% - Акцент6 18 2" xfId="1955" xr:uid="{00000000-0005-0000-0000-0000F60A0000}"/>
    <cellStyle name="40% - Акцент6 18_Свод гостин" xfId="3438" xr:uid="{00000000-0005-0000-0000-0000F70A0000}"/>
    <cellStyle name="40% - Акцент6 19" xfId="1956" xr:uid="{00000000-0005-0000-0000-0000F80A0000}"/>
    <cellStyle name="40% - Акцент6 19 2" xfId="1957" xr:uid="{00000000-0005-0000-0000-0000F90A0000}"/>
    <cellStyle name="40% - Акцент6 19_Свод гостин" xfId="3439" xr:uid="{00000000-0005-0000-0000-0000FA0A0000}"/>
    <cellStyle name="40% - Акцент6 2" xfId="1958" xr:uid="{00000000-0005-0000-0000-0000FB0A0000}"/>
    <cellStyle name="40% - Акцент6 2 2" xfId="1959" xr:uid="{00000000-0005-0000-0000-0000FC0A0000}"/>
    <cellStyle name="40% - Акцент6 2_Свод гостин" xfId="3440" xr:uid="{00000000-0005-0000-0000-0000FD0A0000}"/>
    <cellStyle name="40% - Акцент6 20" xfId="1960" xr:uid="{00000000-0005-0000-0000-0000FE0A0000}"/>
    <cellStyle name="40% - Акцент6 20 2" xfId="1961" xr:uid="{00000000-0005-0000-0000-0000FF0A0000}"/>
    <cellStyle name="40% - Акцент6 20_Свод гостин" xfId="3441" xr:uid="{00000000-0005-0000-0000-0000000B0000}"/>
    <cellStyle name="40% - Акцент6 21" xfId="1962" xr:uid="{00000000-0005-0000-0000-0000010B0000}"/>
    <cellStyle name="40% - Акцент6 21 2" xfId="1963" xr:uid="{00000000-0005-0000-0000-0000020B0000}"/>
    <cellStyle name="40% - Акцент6 21_Свод гостин" xfId="3442" xr:uid="{00000000-0005-0000-0000-0000030B0000}"/>
    <cellStyle name="40% - Акцент6 22" xfId="1964" xr:uid="{00000000-0005-0000-0000-0000040B0000}"/>
    <cellStyle name="40% - Акцент6 22 2" xfId="1965" xr:uid="{00000000-0005-0000-0000-0000050B0000}"/>
    <cellStyle name="40% - Акцент6 22_Свод гостин" xfId="3443" xr:uid="{00000000-0005-0000-0000-0000060B0000}"/>
    <cellStyle name="40% - Акцент6 23" xfId="1966" xr:uid="{00000000-0005-0000-0000-0000070B0000}"/>
    <cellStyle name="40% - Акцент6 23 2" xfId="1967" xr:uid="{00000000-0005-0000-0000-0000080B0000}"/>
    <cellStyle name="40% - Акцент6 23_Свод гостин" xfId="3444" xr:uid="{00000000-0005-0000-0000-0000090B0000}"/>
    <cellStyle name="40% - Акцент6 24" xfId="1968" xr:uid="{00000000-0005-0000-0000-00000A0B0000}"/>
    <cellStyle name="40% - Акцент6 24 2" xfId="1969" xr:uid="{00000000-0005-0000-0000-00000B0B0000}"/>
    <cellStyle name="40% - Акцент6 24_Свод гостин" xfId="3445" xr:uid="{00000000-0005-0000-0000-00000C0B0000}"/>
    <cellStyle name="40% - Акцент6 25" xfId="1970" xr:uid="{00000000-0005-0000-0000-00000D0B0000}"/>
    <cellStyle name="40% - Акцент6 25 2" xfId="1971" xr:uid="{00000000-0005-0000-0000-00000E0B0000}"/>
    <cellStyle name="40% - Акцент6 25_Свод гостин" xfId="3446" xr:uid="{00000000-0005-0000-0000-00000F0B0000}"/>
    <cellStyle name="40% - Акцент6 26" xfId="1972" xr:uid="{00000000-0005-0000-0000-0000100B0000}"/>
    <cellStyle name="40% - Акцент6 26 2" xfId="1973" xr:uid="{00000000-0005-0000-0000-0000110B0000}"/>
    <cellStyle name="40% - Акцент6 26_Свод гостин" xfId="3447" xr:uid="{00000000-0005-0000-0000-0000120B0000}"/>
    <cellStyle name="40% - Акцент6 27" xfId="1974" xr:uid="{00000000-0005-0000-0000-0000130B0000}"/>
    <cellStyle name="40% - Акцент6 27 2" xfId="1975" xr:uid="{00000000-0005-0000-0000-0000140B0000}"/>
    <cellStyle name="40% - Акцент6 27_Свод гостин" xfId="3448" xr:uid="{00000000-0005-0000-0000-0000150B0000}"/>
    <cellStyle name="40% - Акцент6 28" xfId="1976" xr:uid="{00000000-0005-0000-0000-0000160B0000}"/>
    <cellStyle name="40% - Акцент6 28 2" xfId="1977" xr:uid="{00000000-0005-0000-0000-0000170B0000}"/>
    <cellStyle name="40% - Акцент6 28_Свод гостин" xfId="3449" xr:uid="{00000000-0005-0000-0000-0000180B0000}"/>
    <cellStyle name="40% - Акцент6 29" xfId="1978" xr:uid="{00000000-0005-0000-0000-0000190B0000}"/>
    <cellStyle name="40% - Акцент6 29 2" xfId="1979" xr:uid="{00000000-0005-0000-0000-00001A0B0000}"/>
    <cellStyle name="40% - Акцент6 29_Свод гостин" xfId="3450" xr:uid="{00000000-0005-0000-0000-00001B0B0000}"/>
    <cellStyle name="40% - Акцент6 3" xfId="1980" xr:uid="{00000000-0005-0000-0000-00001C0B0000}"/>
    <cellStyle name="40% - Акцент6 3 2" xfId="1981" xr:uid="{00000000-0005-0000-0000-00001D0B0000}"/>
    <cellStyle name="40% - Акцент6 3_Свод гостин" xfId="3451" xr:uid="{00000000-0005-0000-0000-00001E0B0000}"/>
    <cellStyle name="40% - Акцент6 30" xfId="1982" xr:uid="{00000000-0005-0000-0000-00001F0B0000}"/>
    <cellStyle name="40% - Акцент6 30 2" xfId="1983" xr:uid="{00000000-0005-0000-0000-0000200B0000}"/>
    <cellStyle name="40% - Акцент6 30_Свод гостин" xfId="3452" xr:uid="{00000000-0005-0000-0000-0000210B0000}"/>
    <cellStyle name="40% - Акцент6 31" xfId="1984" xr:uid="{00000000-0005-0000-0000-0000220B0000}"/>
    <cellStyle name="40% - Акцент6 31 2" xfId="1985" xr:uid="{00000000-0005-0000-0000-0000230B0000}"/>
    <cellStyle name="40% - Акцент6 31_Свод гостин" xfId="3453" xr:uid="{00000000-0005-0000-0000-0000240B0000}"/>
    <cellStyle name="40% - Акцент6 32" xfId="1986" xr:uid="{00000000-0005-0000-0000-0000250B0000}"/>
    <cellStyle name="40% - Акцент6 32 2" xfId="1987" xr:uid="{00000000-0005-0000-0000-0000260B0000}"/>
    <cellStyle name="40% - Акцент6 32_Свод гостин" xfId="3454" xr:uid="{00000000-0005-0000-0000-0000270B0000}"/>
    <cellStyle name="40% - Акцент6 33" xfId="1988" xr:uid="{00000000-0005-0000-0000-0000280B0000}"/>
    <cellStyle name="40% - Акцент6 33 2" xfId="1989" xr:uid="{00000000-0005-0000-0000-0000290B0000}"/>
    <cellStyle name="40% - Акцент6 33_Свод гостин" xfId="3455" xr:uid="{00000000-0005-0000-0000-00002A0B0000}"/>
    <cellStyle name="40% - Акцент6 34" xfId="1990" xr:uid="{00000000-0005-0000-0000-00002B0B0000}"/>
    <cellStyle name="40% - Акцент6 34 2" xfId="1991" xr:uid="{00000000-0005-0000-0000-00002C0B0000}"/>
    <cellStyle name="40% - Акцент6 34_Свод гостин" xfId="3456" xr:uid="{00000000-0005-0000-0000-00002D0B0000}"/>
    <cellStyle name="40% - Акцент6 35" xfId="1992" xr:uid="{00000000-0005-0000-0000-00002E0B0000}"/>
    <cellStyle name="40% - Акцент6 35 2" xfId="1993" xr:uid="{00000000-0005-0000-0000-00002F0B0000}"/>
    <cellStyle name="40% - Акцент6 35_Свод гостин" xfId="3457" xr:uid="{00000000-0005-0000-0000-0000300B0000}"/>
    <cellStyle name="40% - Акцент6 36" xfId="1994" xr:uid="{00000000-0005-0000-0000-0000310B0000}"/>
    <cellStyle name="40% - Акцент6 36 2" xfId="1995" xr:uid="{00000000-0005-0000-0000-0000320B0000}"/>
    <cellStyle name="40% - Акцент6 36_Свод гостин" xfId="3458" xr:uid="{00000000-0005-0000-0000-0000330B0000}"/>
    <cellStyle name="40% - Акцент6 37" xfId="1996" xr:uid="{00000000-0005-0000-0000-0000340B0000}"/>
    <cellStyle name="40% - Акцент6 37 2" xfId="1997" xr:uid="{00000000-0005-0000-0000-0000350B0000}"/>
    <cellStyle name="40% - Акцент6 37_Свод гостин" xfId="3459" xr:uid="{00000000-0005-0000-0000-0000360B0000}"/>
    <cellStyle name="40% - Акцент6 38" xfId="1998" xr:uid="{00000000-0005-0000-0000-0000370B0000}"/>
    <cellStyle name="40% - Акцент6 38 2" xfId="1999" xr:uid="{00000000-0005-0000-0000-0000380B0000}"/>
    <cellStyle name="40% - Акцент6 38_Свод гостин" xfId="3460" xr:uid="{00000000-0005-0000-0000-0000390B0000}"/>
    <cellStyle name="40% - Акцент6 39" xfId="2000" xr:uid="{00000000-0005-0000-0000-00003A0B0000}"/>
    <cellStyle name="40% - Акцент6 39 2" xfId="2001" xr:uid="{00000000-0005-0000-0000-00003B0B0000}"/>
    <cellStyle name="40% - Акцент6 39_Свод гостин" xfId="3461" xr:uid="{00000000-0005-0000-0000-00003C0B0000}"/>
    <cellStyle name="40% - Акцент6 4" xfId="2002" xr:uid="{00000000-0005-0000-0000-00003D0B0000}"/>
    <cellStyle name="40% - Акцент6 4 2" xfId="2003" xr:uid="{00000000-0005-0000-0000-00003E0B0000}"/>
    <cellStyle name="40% - Акцент6 4_Свод гостин" xfId="3462" xr:uid="{00000000-0005-0000-0000-00003F0B0000}"/>
    <cellStyle name="40% - Акцент6 40" xfId="2004" xr:uid="{00000000-0005-0000-0000-0000400B0000}"/>
    <cellStyle name="40% - Акцент6 40 2" xfId="2005" xr:uid="{00000000-0005-0000-0000-0000410B0000}"/>
    <cellStyle name="40% - Акцент6 40_Свод гостин" xfId="3463" xr:uid="{00000000-0005-0000-0000-0000420B0000}"/>
    <cellStyle name="40% - Акцент6 41" xfId="2006" xr:uid="{00000000-0005-0000-0000-0000430B0000}"/>
    <cellStyle name="40% - Акцент6 41 2" xfId="2007" xr:uid="{00000000-0005-0000-0000-0000440B0000}"/>
    <cellStyle name="40% - Акцент6 41_Свод гостин" xfId="3464" xr:uid="{00000000-0005-0000-0000-0000450B0000}"/>
    <cellStyle name="40% - Акцент6 42" xfId="2008" xr:uid="{00000000-0005-0000-0000-0000460B0000}"/>
    <cellStyle name="40% - Акцент6 42 2" xfId="2009" xr:uid="{00000000-0005-0000-0000-0000470B0000}"/>
    <cellStyle name="40% - Акцент6 42_Свод гостин" xfId="3465" xr:uid="{00000000-0005-0000-0000-0000480B0000}"/>
    <cellStyle name="40% - Акцент6 43" xfId="2010" xr:uid="{00000000-0005-0000-0000-0000490B0000}"/>
    <cellStyle name="40% - Акцент6 43 2" xfId="2011" xr:uid="{00000000-0005-0000-0000-00004A0B0000}"/>
    <cellStyle name="40% - Акцент6 43_Свод гостин" xfId="3466" xr:uid="{00000000-0005-0000-0000-00004B0B0000}"/>
    <cellStyle name="40% - Акцент6 44" xfId="2012" xr:uid="{00000000-0005-0000-0000-00004C0B0000}"/>
    <cellStyle name="40% - Акцент6 44 2" xfId="2013" xr:uid="{00000000-0005-0000-0000-00004D0B0000}"/>
    <cellStyle name="40% - Акцент6 44_Свод гостин" xfId="3467" xr:uid="{00000000-0005-0000-0000-00004E0B0000}"/>
    <cellStyle name="40% - Акцент6 45" xfId="2014" xr:uid="{00000000-0005-0000-0000-00004F0B0000}"/>
    <cellStyle name="40% - Акцент6 45 2" xfId="2015" xr:uid="{00000000-0005-0000-0000-0000500B0000}"/>
    <cellStyle name="40% - Акцент6 45_Свод гостин" xfId="3468" xr:uid="{00000000-0005-0000-0000-0000510B0000}"/>
    <cellStyle name="40% - Акцент6 46" xfId="2016" xr:uid="{00000000-0005-0000-0000-0000520B0000}"/>
    <cellStyle name="40% - Акцент6 46 2" xfId="2017" xr:uid="{00000000-0005-0000-0000-0000530B0000}"/>
    <cellStyle name="40% - Акцент6 46_Свод гостин" xfId="3469" xr:uid="{00000000-0005-0000-0000-0000540B0000}"/>
    <cellStyle name="40% - Акцент6 47" xfId="2018" xr:uid="{00000000-0005-0000-0000-0000550B0000}"/>
    <cellStyle name="40% - Акцент6 47 2" xfId="2019" xr:uid="{00000000-0005-0000-0000-0000560B0000}"/>
    <cellStyle name="40% - Акцент6 47_Свод гостин" xfId="3470" xr:uid="{00000000-0005-0000-0000-0000570B0000}"/>
    <cellStyle name="40% - Акцент6 48" xfId="2020" xr:uid="{00000000-0005-0000-0000-0000580B0000}"/>
    <cellStyle name="40% - Акцент6 48 2" xfId="2021" xr:uid="{00000000-0005-0000-0000-0000590B0000}"/>
    <cellStyle name="40% - Акцент6 48_Свод гостин" xfId="3471" xr:uid="{00000000-0005-0000-0000-00005A0B0000}"/>
    <cellStyle name="40% - Акцент6 49" xfId="2022" xr:uid="{00000000-0005-0000-0000-00005B0B0000}"/>
    <cellStyle name="40% - Акцент6 49 2" xfId="2023" xr:uid="{00000000-0005-0000-0000-00005C0B0000}"/>
    <cellStyle name="40% - Акцент6 49_Свод гостин" xfId="3472" xr:uid="{00000000-0005-0000-0000-00005D0B0000}"/>
    <cellStyle name="40% - Акцент6 5" xfId="2024" xr:uid="{00000000-0005-0000-0000-00005E0B0000}"/>
    <cellStyle name="40% - Акцент6 5 2" xfId="2025" xr:uid="{00000000-0005-0000-0000-00005F0B0000}"/>
    <cellStyle name="40% - Акцент6 5_Свод гостин" xfId="3473" xr:uid="{00000000-0005-0000-0000-0000600B0000}"/>
    <cellStyle name="40% - Акцент6 50" xfId="2026" xr:uid="{00000000-0005-0000-0000-0000610B0000}"/>
    <cellStyle name="40% - Акцент6 50 2" xfId="2027" xr:uid="{00000000-0005-0000-0000-0000620B0000}"/>
    <cellStyle name="40% - Акцент6 50_Свод гостин" xfId="3474" xr:uid="{00000000-0005-0000-0000-0000630B0000}"/>
    <cellStyle name="40% - Акцент6 51" xfId="2028" xr:uid="{00000000-0005-0000-0000-0000640B0000}"/>
    <cellStyle name="40% - Акцент6 51 2" xfId="2029" xr:uid="{00000000-0005-0000-0000-0000650B0000}"/>
    <cellStyle name="40% - Акцент6 51_Свод гостин" xfId="3475" xr:uid="{00000000-0005-0000-0000-0000660B0000}"/>
    <cellStyle name="40% - Акцент6 52" xfId="2030" xr:uid="{00000000-0005-0000-0000-0000670B0000}"/>
    <cellStyle name="40% - Акцент6 52 2" xfId="2031" xr:uid="{00000000-0005-0000-0000-0000680B0000}"/>
    <cellStyle name="40% - Акцент6 52_Свод гостин" xfId="3476" xr:uid="{00000000-0005-0000-0000-0000690B0000}"/>
    <cellStyle name="40% - Акцент6 53" xfId="2032" xr:uid="{00000000-0005-0000-0000-00006A0B0000}"/>
    <cellStyle name="40% - Акцент6 53 2" xfId="2033" xr:uid="{00000000-0005-0000-0000-00006B0B0000}"/>
    <cellStyle name="40% - Акцент6 53_Свод гостин" xfId="3477" xr:uid="{00000000-0005-0000-0000-00006C0B0000}"/>
    <cellStyle name="40% - Акцент6 54" xfId="2034" xr:uid="{00000000-0005-0000-0000-00006D0B0000}"/>
    <cellStyle name="40% - Акцент6 54 2" xfId="2035" xr:uid="{00000000-0005-0000-0000-00006E0B0000}"/>
    <cellStyle name="40% - Акцент6 54_Свод гостин" xfId="3478" xr:uid="{00000000-0005-0000-0000-00006F0B0000}"/>
    <cellStyle name="40% - Акцент6 55" xfId="2036" xr:uid="{00000000-0005-0000-0000-0000700B0000}"/>
    <cellStyle name="40% - Акцент6 55 2" xfId="2037" xr:uid="{00000000-0005-0000-0000-0000710B0000}"/>
    <cellStyle name="40% - Акцент6 55_Свод гостин" xfId="3479" xr:uid="{00000000-0005-0000-0000-0000720B0000}"/>
    <cellStyle name="40% - Акцент6 56" xfId="2038" xr:uid="{00000000-0005-0000-0000-0000730B0000}"/>
    <cellStyle name="40% - Акцент6 56 2" xfId="2039" xr:uid="{00000000-0005-0000-0000-0000740B0000}"/>
    <cellStyle name="40% - Акцент6 56_Свод гостин" xfId="3480" xr:uid="{00000000-0005-0000-0000-0000750B0000}"/>
    <cellStyle name="40% - Акцент6 57" xfId="2040" xr:uid="{00000000-0005-0000-0000-0000760B0000}"/>
    <cellStyle name="40% - Акцент6 57 2" xfId="2041" xr:uid="{00000000-0005-0000-0000-0000770B0000}"/>
    <cellStyle name="40% - Акцент6 57_Свод гостин" xfId="3481" xr:uid="{00000000-0005-0000-0000-0000780B0000}"/>
    <cellStyle name="40% - Акцент6 58" xfId="2042" xr:uid="{00000000-0005-0000-0000-0000790B0000}"/>
    <cellStyle name="40% - Акцент6 58 2" xfId="2043" xr:uid="{00000000-0005-0000-0000-00007A0B0000}"/>
    <cellStyle name="40% - Акцент6 58_Свод гостин" xfId="3482" xr:uid="{00000000-0005-0000-0000-00007B0B0000}"/>
    <cellStyle name="40% - Акцент6 59" xfId="2044" xr:uid="{00000000-0005-0000-0000-00007C0B0000}"/>
    <cellStyle name="40% - Акцент6 59 2" xfId="2045" xr:uid="{00000000-0005-0000-0000-00007D0B0000}"/>
    <cellStyle name="40% - Акцент6 59_Свод гостин" xfId="3483" xr:uid="{00000000-0005-0000-0000-00007E0B0000}"/>
    <cellStyle name="40% - Акцент6 6" xfId="2046" xr:uid="{00000000-0005-0000-0000-00007F0B0000}"/>
    <cellStyle name="40% - Акцент6 6 2" xfId="2047" xr:uid="{00000000-0005-0000-0000-0000800B0000}"/>
    <cellStyle name="40% - Акцент6 6_Свод гостин" xfId="3484" xr:uid="{00000000-0005-0000-0000-0000810B0000}"/>
    <cellStyle name="40% - Акцент6 60" xfId="2048" xr:uid="{00000000-0005-0000-0000-0000820B0000}"/>
    <cellStyle name="40% - Акцент6 60 2" xfId="2049" xr:uid="{00000000-0005-0000-0000-0000830B0000}"/>
    <cellStyle name="40% - Акцент6 60_Свод гостин" xfId="3485" xr:uid="{00000000-0005-0000-0000-0000840B0000}"/>
    <cellStyle name="40% - Акцент6 61" xfId="2050" xr:uid="{00000000-0005-0000-0000-0000850B0000}"/>
    <cellStyle name="40% - Акцент6 61 2" xfId="2051" xr:uid="{00000000-0005-0000-0000-0000860B0000}"/>
    <cellStyle name="40% - Акцент6 61_Свод гостин" xfId="3486" xr:uid="{00000000-0005-0000-0000-0000870B0000}"/>
    <cellStyle name="40% - Акцент6 62" xfId="2052" xr:uid="{00000000-0005-0000-0000-0000880B0000}"/>
    <cellStyle name="40% - Акцент6 62 2" xfId="2053" xr:uid="{00000000-0005-0000-0000-0000890B0000}"/>
    <cellStyle name="40% - Акцент6 62_Свод гостин" xfId="3487" xr:uid="{00000000-0005-0000-0000-00008A0B0000}"/>
    <cellStyle name="40% - Акцент6 63" xfId="2054" xr:uid="{00000000-0005-0000-0000-00008B0B0000}"/>
    <cellStyle name="40% - Акцент6 63 2" xfId="2055" xr:uid="{00000000-0005-0000-0000-00008C0B0000}"/>
    <cellStyle name="40% - Акцент6 63_Свод гостин" xfId="3488" xr:uid="{00000000-0005-0000-0000-00008D0B0000}"/>
    <cellStyle name="40% - Акцент6 64" xfId="2056" xr:uid="{00000000-0005-0000-0000-00008E0B0000}"/>
    <cellStyle name="40% - Акцент6 64 2" xfId="2057" xr:uid="{00000000-0005-0000-0000-00008F0B0000}"/>
    <cellStyle name="40% - Акцент6 64_Свод гостин" xfId="3489" xr:uid="{00000000-0005-0000-0000-0000900B0000}"/>
    <cellStyle name="40% - Акцент6 65" xfId="2058" xr:uid="{00000000-0005-0000-0000-0000910B0000}"/>
    <cellStyle name="40% - Акцент6 65 2" xfId="2059" xr:uid="{00000000-0005-0000-0000-0000920B0000}"/>
    <cellStyle name="40% - Акцент6 65_Свод гостин" xfId="3490" xr:uid="{00000000-0005-0000-0000-0000930B0000}"/>
    <cellStyle name="40% - Акцент6 66" xfId="2060" xr:uid="{00000000-0005-0000-0000-0000940B0000}"/>
    <cellStyle name="40% - Акцент6 66 2" xfId="2061" xr:uid="{00000000-0005-0000-0000-0000950B0000}"/>
    <cellStyle name="40% - Акцент6 66_Свод гостин" xfId="3491" xr:uid="{00000000-0005-0000-0000-0000960B0000}"/>
    <cellStyle name="40% - Акцент6 67" xfId="2062" xr:uid="{00000000-0005-0000-0000-0000970B0000}"/>
    <cellStyle name="40% - Акцент6 67 2" xfId="2063" xr:uid="{00000000-0005-0000-0000-0000980B0000}"/>
    <cellStyle name="40% - Акцент6 67_Свод гостин" xfId="3492" xr:uid="{00000000-0005-0000-0000-0000990B0000}"/>
    <cellStyle name="40% - Акцент6 68" xfId="2064" xr:uid="{00000000-0005-0000-0000-00009A0B0000}"/>
    <cellStyle name="40% - Акцент6 68 2" xfId="2065" xr:uid="{00000000-0005-0000-0000-00009B0B0000}"/>
    <cellStyle name="40% - Акцент6 68_Свод гостин" xfId="3493" xr:uid="{00000000-0005-0000-0000-00009C0B0000}"/>
    <cellStyle name="40% - Акцент6 69" xfId="2066" xr:uid="{00000000-0005-0000-0000-00009D0B0000}"/>
    <cellStyle name="40% - Акцент6 69 2" xfId="2067" xr:uid="{00000000-0005-0000-0000-00009E0B0000}"/>
    <cellStyle name="40% - Акцент6 69_Свод гостин" xfId="3494" xr:uid="{00000000-0005-0000-0000-00009F0B0000}"/>
    <cellStyle name="40% - Акцент6 7" xfId="2068" xr:uid="{00000000-0005-0000-0000-0000A00B0000}"/>
    <cellStyle name="40% - Акцент6 7 2" xfId="2069" xr:uid="{00000000-0005-0000-0000-0000A10B0000}"/>
    <cellStyle name="40% - Акцент6 7_Свод гостин" xfId="3495" xr:uid="{00000000-0005-0000-0000-0000A20B0000}"/>
    <cellStyle name="40% - Акцент6 70" xfId="2070" xr:uid="{00000000-0005-0000-0000-0000A30B0000}"/>
    <cellStyle name="40% - Акцент6 70 2" xfId="2071" xr:uid="{00000000-0005-0000-0000-0000A40B0000}"/>
    <cellStyle name="40% - Акцент6 70_Свод гостин" xfId="3496" xr:uid="{00000000-0005-0000-0000-0000A50B0000}"/>
    <cellStyle name="40% - Акцент6 71" xfId="2072" xr:uid="{00000000-0005-0000-0000-0000A60B0000}"/>
    <cellStyle name="40% - Акцент6 71 2" xfId="2073" xr:uid="{00000000-0005-0000-0000-0000A70B0000}"/>
    <cellStyle name="40% - Акцент6 71_Свод гостин" xfId="3497" xr:uid="{00000000-0005-0000-0000-0000A80B0000}"/>
    <cellStyle name="40% - Акцент6 72" xfId="2074" xr:uid="{00000000-0005-0000-0000-0000A90B0000}"/>
    <cellStyle name="40% - Акцент6 72 2" xfId="2075" xr:uid="{00000000-0005-0000-0000-0000AA0B0000}"/>
    <cellStyle name="40% - Акцент6 72_Свод гостин" xfId="3498" xr:uid="{00000000-0005-0000-0000-0000AB0B0000}"/>
    <cellStyle name="40% - Акцент6 73" xfId="2076" xr:uid="{00000000-0005-0000-0000-0000AC0B0000}"/>
    <cellStyle name="40% - Акцент6 73 2" xfId="2077" xr:uid="{00000000-0005-0000-0000-0000AD0B0000}"/>
    <cellStyle name="40% - Акцент6 73_Свод гостин" xfId="3499" xr:uid="{00000000-0005-0000-0000-0000AE0B0000}"/>
    <cellStyle name="40% - Акцент6 74" xfId="2078" xr:uid="{00000000-0005-0000-0000-0000AF0B0000}"/>
    <cellStyle name="40% - Акцент6 74 2" xfId="2079" xr:uid="{00000000-0005-0000-0000-0000B00B0000}"/>
    <cellStyle name="40% - Акцент6 74_Свод гостин" xfId="3500" xr:uid="{00000000-0005-0000-0000-0000B10B0000}"/>
    <cellStyle name="40% - Акцент6 75" xfId="2080" xr:uid="{00000000-0005-0000-0000-0000B20B0000}"/>
    <cellStyle name="40% - Акцент6 75 2" xfId="2081" xr:uid="{00000000-0005-0000-0000-0000B30B0000}"/>
    <cellStyle name="40% - Акцент6 75_Свод гостин" xfId="3501" xr:uid="{00000000-0005-0000-0000-0000B40B0000}"/>
    <cellStyle name="40% - Акцент6 76" xfId="2082" xr:uid="{00000000-0005-0000-0000-0000B50B0000}"/>
    <cellStyle name="40% - Акцент6 76 2" xfId="2083" xr:uid="{00000000-0005-0000-0000-0000B60B0000}"/>
    <cellStyle name="40% - Акцент6 76_Свод гостин" xfId="3502" xr:uid="{00000000-0005-0000-0000-0000B70B0000}"/>
    <cellStyle name="40% - Акцент6 77" xfId="2084" xr:uid="{00000000-0005-0000-0000-0000B80B0000}"/>
    <cellStyle name="40% - Акцент6 77 2" xfId="2085" xr:uid="{00000000-0005-0000-0000-0000B90B0000}"/>
    <cellStyle name="40% - Акцент6 77_Свод гостин" xfId="3503" xr:uid="{00000000-0005-0000-0000-0000BA0B0000}"/>
    <cellStyle name="40% - Акцент6 78" xfId="2086" xr:uid="{00000000-0005-0000-0000-0000BB0B0000}"/>
    <cellStyle name="40% - Акцент6 78 2" xfId="2087" xr:uid="{00000000-0005-0000-0000-0000BC0B0000}"/>
    <cellStyle name="40% - Акцент6 78_Свод гостин" xfId="3504" xr:uid="{00000000-0005-0000-0000-0000BD0B0000}"/>
    <cellStyle name="40% - Акцент6 79" xfId="2088" xr:uid="{00000000-0005-0000-0000-0000BE0B0000}"/>
    <cellStyle name="40% - Акцент6 79 2" xfId="2089" xr:uid="{00000000-0005-0000-0000-0000BF0B0000}"/>
    <cellStyle name="40% - Акцент6 79_Свод гостин" xfId="3505" xr:uid="{00000000-0005-0000-0000-0000C00B0000}"/>
    <cellStyle name="40% - Акцент6 8" xfId="2090" xr:uid="{00000000-0005-0000-0000-0000C10B0000}"/>
    <cellStyle name="40% - Акцент6 8 2" xfId="2091" xr:uid="{00000000-0005-0000-0000-0000C20B0000}"/>
    <cellStyle name="40% - Акцент6 8_Свод гостин" xfId="3506" xr:uid="{00000000-0005-0000-0000-0000C30B0000}"/>
    <cellStyle name="40% - Акцент6 80" xfId="2092" xr:uid="{00000000-0005-0000-0000-0000C40B0000}"/>
    <cellStyle name="40% - Акцент6 80 2" xfId="2093" xr:uid="{00000000-0005-0000-0000-0000C50B0000}"/>
    <cellStyle name="40% - Акцент6 80_Свод гостин" xfId="3507" xr:uid="{00000000-0005-0000-0000-0000C60B0000}"/>
    <cellStyle name="40% - Акцент6 81" xfId="2094" xr:uid="{00000000-0005-0000-0000-0000C70B0000}"/>
    <cellStyle name="40% - Акцент6 81 2" xfId="2095" xr:uid="{00000000-0005-0000-0000-0000C80B0000}"/>
    <cellStyle name="40% - Акцент6 81_Свод гостин" xfId="3508" xr:uid="{00000000-0005-0000-0000-0000C90B0000}"/>
    <cellStyle name="40% - Акцент6 82" xfId="2096" xr:uid="{00000000-0005-0000-0000-0000CA0B0000}"/>
    <cellStyle name="40% - Акцент6 82 2" xfId="2097" xr:uid="{00000000-0005-0000-0000-0000CB0B0000}"/>
    <cellStyle name="40% - Акцент6 82_Свод гостин" xfId="3509" xr:uid="{00000000-0005-0000-0000-0000CC0B0000}"/>
    <cellStyle name="40% - Акцент6 83" xfId="2098" xr:uid="{00000000-0005-0000-0000-0000CD0B0000}"/>
    <cellStyle name="40% - Акцент6 83 2" xfId="2099" xr:uid="{00000000-0005-0000-0000-0000CE0B0000}"/>
    <cellStyle name="40% - Акцент6 83_Свод гостин" xfId="3510" xr:uid="{00000000-0005-0000-0000-0000CF0B0000}"/>
    <cellStyle name="40% - Акцент6 9" xfId="2100" xr:uid="{00000000-0005-0000-0000-0000D00B0000}"/>
    <cellStyle name="40% - Акцент6 9 2" xfId="2101" xr:uid="{00000000-0005-0000-0000-0000D10B0000}"/>
    <cellStyle name="40% - Акцент6 9_Свод гостин" xfId="3511" xr:uid="{00000000-0005-0000-0000-0000D20B0000}"/>
    <cellStyle name="60% - Accent1" xfId="4516" xr:uid="{00000000-0005-0000-0000-0000D30B0000}"/>
    <cellStyle name="60% - Accent2" xfId="4517" xr:uid="{00000000-0005-0000-0000-0000D40B0000}"/>
    <cellStyle name="60% - Accent3" xfId="4518" xr:uid="{00000000-0005-0000-0000-0000D50B0000}"/>
    <cellStyle name="60% - Accent4" xfId="4519" xr:uid="{00000000-0005-0000-0000-0000D60B0000}"/>
    <cellStyle name="60% - Accent5" xfId="4520" xr:uid="{00000000-0005-0000-0000-0000D70B0000}"/>
    <cellStyle name="60% - Accent6" xfId="4521" xr:uid="{00000000-0005-0000-0000-0000D80B0000}"/>
    <cellStyle name="Accent1" xfId="4522" xr:uid="{00000000-0005-0000-0000-0000D90B0000}"/>
    <cellStyle name="Accent2" xfId="4523" xr:uid="{00000000-0005-0000-0000-0000DA0B0000}"/>
    <cellStyle name="Accent3" xfId="4524" xr:uid="{00000000-0005-0000-0000-0000DB0B0000}"/>
    <cellStyle name="Accent4" xfId="4525" xr:uid="{00000000-0005-0000-0000-0000DC0B0000}"/>
    <cellStyle name="Accent5" xfId="4526" xr:uid="{00000000-0005-0000-0000-0000DD0B0000}"/>
    <cellStyle name="Accent6" xfId="4527" xr:uid="{00000000-0005-0000-0000-0000DE0B0000}"/>
    <cellStyle name="Bad" xfId="4528" xr:uid="{00000000-0005-0000-0000-0000DF0B0000}"/>
    <cellStyle name="Calc Currency (0)" xfId="4529" xr:uid="{00000000-0005-0000-0000-0000E00B0000}"/>
    <cellStyle name="Calc Currency (2)" xfId="4530" xr:uid="{00000000-0005-0000-0000-0000E10B0000}"/>
    <cellStyle name="Calc Percent (0)" xfId="4531" xr:uid="{00000000-0005-0000-0000-0000E20B0000}"/>
    <cellStyle name="Calc Percent (1)" xfId="4532" xr:uid="{00000000-0005-0000-0000-0000E30B0000}"/>
    <cellStyle name="Calc Percent (2)" xfId="4533" xr:uid="{00000000-0005-0000-0000-0000E40B0000}"/>
    <cellStyle name="Calc Units (0)" xfId="4534" xr:uid="{00000000-0005-0000-0000-0000E50B0000}"/>
    <cellStyle name="Calc Units (1)" xfId="4535" xr:uid="{00000000-0005-0000-0000-0000E60B0000}"/>
    <cellStyle name="Calc Units (2)" xfId="4536" xr:uid="{00000000-0005-0000-0000-0000E70B0000}"/>
    <cellStyle name="Calculation" xfId="4537" xr:uid="{00000000-0005-0000-0000-0000E80B0000}"/>
    <cellStyle name="Calculation 2" xfId="4538" xr:uid="{00000000-0005-0000-0000-0000E90B0000}"/>
    <cellStyle name="Cel6" xfId="2" xr:uid="{00000000-0005-0000-0000-0000EA0B0000}"/>
    <cellStyle name="Cel6 2" xfId="2102" xr:uid="{00000000-0005-0000-0000-0000EB0B0000}"/>
    <cellStyle name="Cel6 3" xfId="3512" xr:uid="{00000000-0005-0000-0000-0000EC0B0000}"/>
    <cellStyle name="Cel6 4" xfId="3513" xr:uid="{00000000-0005-0000-0000-0000ED0B0000}"/>
    <cellStyle name="Cel6_Свод гостин" xfId="3514" xr:uid="{00000000-0005-0000-0000-0000EE0B0000}"/>
    <cellStyle name="Cell1" xfId="2103" xr:uid="{00000000-0005-0000-0000-0000EF0B0000}"/>
    <cellStyle name="Cell2" xfId="2104" xr:uid="{00000000-0005-0000-0000-0000F00B0000}"/>
    <cellStyle name="Cell3" xfId="3" xr:uid="{00000000-0005-0000-0000-0000F10B0000}"/>
    <cellStyle name="Cell3 2" xfId="2105" xr:uid="{00000000-0005-0000-0000-0000F20B0000}"/>
    <cellStyle name="Cell4" xfId="2106" xr:uid="{00000000-0005-0000-0000-0000F30B0000}"/>
    <cellStyle name="Cell5" xfId="2107" xr:uid="{00000000-0005-0000-0000-0000F40B0000}"/>
    <cellStyle name="Check Cell" xfId="4539" xr:uid="{00000000-0005-0000-0000-0000F50B0000}"/>
    <cellStyle name="Check Cell 2" xfId="4540" xr:uid="{00000000-0005-0000-0000-0000F60B0000}"/>
    <cellStyle name="Check Cell 3" xfId="4541" xr:uid="{00000000-0005-0000-0000-0000F70B0000}"/>
    <cellStyle name="Column1" xfId="2108" xr:uid="{00000000-0005-0000-0000-0000F80B0000}"/>
    <cellStyle name="Column2" xfId="2109" xr:uid="{00000000-0005-0000-0000-0000F90B0000}"/>
    <cellStyle name="Column3" xfId="2110" xr:uid="{00000000-0005-0000-0000-0000FA0B0000}"/>
    <cellStyle name="Column4" xfId="2111" xr:uid="{00000000-0005-0000-0000-0000FB0B0000}"/>
    <cellStyle name="Column5" xfId="2112" xr:uid="{00000000-0005-0000-0000-0000FC0B0000}"/>
    <cellStyle name="Column7" xfId="2113" xr:uid="{00000000-0005-0000-0000-0000FD0B0000}"/>
    <cellStyle name="Comma [0]_#6 Temps &amp; Contractors" xfId="4542" xr:uid="{00000000-0005-0000-0000-0000FE0B0000}"/>
    <cellStyle name="Comma [00]" xfId="4543" xr:uid="{00000000-0005-0000-0000-0000FF0B0000}"/>
    <cellStyle name="Comma 2" xfId="4544" xr:uid="{00000000-0005-0000-0000-0000000C0000}"/>
    <cellStyle name="Comma 2 2" xfId="4545" xr:uid="{00000000-0005-0000-0000-0000010C0000}"/>
    <cellStyle name="Comma_#6 Temps &amp; Contractors" xfId="4546" xr:uid="{00000000-0005-0000-0000-0000020C0000}"/>
    <cellStyle name="Currency [0]" xfId="4547" xr:uid="{00000000-0005-0000-0000-0000030C0000}"/>
    <cellStyle name="Currency [00]" xfId="4548" xr:uid="{00000000-0005-0000-0000-0000040C0000}"/>
    <cellStyle name="Currency_#6 Temps &amp; Contractors" xfId="4549" xr:uid="{00000000-0005-0000-0000-0000050C0000}"/>
    <cellStyle name="Data" xfId="2114" xr:uid="{00000000-0005-0000-0000-0000060C0000}"/>
    <cellStyle name="Date" xfId="4550" xr:uid="{00000000-0005-0000-0000-0000070C0000}"/>
    <cellStyle name="Date Short" xfId="4551" xr:uid="{00000000-0005-0000-0000-0000080C0000}"/>
    <cellStyle name="Date without year" xfId="4552" xr:uid="{00000000-0005-0000-0000-0000090C0000}"/>
    <cellStyle name="Date_ТУП" xfId="4553" xr:uid="{00000000-0005-0000-0000-00000A0C0000}"/>
    <cellStyle name="DELTA" xfId="4554" xr:uid="{00000000-0005-0000-0000-00000B0C0000}"/>
    <cellStyle name="DELTA 2" xfId="4555" xr:uid="{00000000-0005-0000-0000-00000C0C0000}"/>
    <cellStyle name="DELTA 3" xfId="4556" xr:uid="{00000000-0005-0000-0000-00000D0C0000}"/>
    <cellStyle name="E&amp;Y House" xfId="4557" xr:uid="{00000000-0005-0000-0000-00000E0C0000}"/>
    <cellStyle name="Enter Currency (0)" xfId="4558" xr:uid="{00000000-0005-0000-0000-00000F0C0000}"/>
    <cellStyle name="Enter Currency (2)" xfId="4559" xr:uid="{00000000-0005-0000-0000-0000100C0000}"/>
    <cellStyle name="Enter Units (0)" xfId="4560" xr:uid="{00000000-0005-0000-0000-0000110C0000}"/>
    <cellStyle name="Enter Units (1)" xfId="4561" xr:uid="{00000000-0005-0000-0000-0000120C0000}"/>
    <cellStyle name="Enter Units (2)" xfId="4562" xr:uid="{00000000-0005-0000-0000-0000130C0000}"/>
    <cellStyle name="Excel Built-in Normal" xfId="4" xr:uid="{00000000-0005-0000-0000-0000140C0000}"/>
    <cellStyle name="Excel Built-in Normal 2" xfId="2115" xr:uid="{00000000-0005-0000-0000-0000150C0000}"/>
    <cellStyle name="Excel Built-in Normal 3" xfId="3515" xr:uid="{00000000-0005-0000-0000-0000160C0000}"/>
    <cellStyle name="Excel Built-in Normal 4" xfId="3516" xr:uid="{00000000-0005-0000-0000-0000170C0000}"/>
    <cellStyle name="Excel Built-in Normal_Свод гостин" xfId="3517" xr:uid="{00000000-0005-0000-0000-0000180C0000}"/>
    <cellStyle name="Excel_BuiltIn_20% - Акцент1 1" xfId="2116" xr:uid="{00000000-0005-0000-0000-0000190C0000}"/>
    <cellStyle name="Explanatory Text" xfId="4563" xr:uid="{00000000-0005-0000-0000-00001A0C0000}"/>
    <cellStyle name="From" xfId="4564" xr:uid="{00000000-0005-0000-0000-00001B0C0000}"/>
    <cellStyle name="From 2" xfId="4565" xr:uid="{00000000-0005-0000-0000-00001C0C0000}"/>
    <cellStyle name="Good" xfId="4566" xr:uid="{00000000-0005-0000-0000-00001D0C0000}"/>
    <cellStyle name="Grey" xfId="4567" xr:uid="{00000000-0005-0000-0000-00001E0C0000}"/>
    <cellStyle name="Header1" xfId="4568" xr:uid="{00000000-0005-0000-0000-00001F0C0000}"/>
    <cellStyle name="Header2" xfId="4569" xr:uid="{00000000-0005-0000-0000-0000200C0000}"/>
    <cellStyle name="Header2 2" xfId="4570" xr:uid="{00000000-0005-0000-0000-0000210C0000}"/>
    <cellStyle name="Heading" xfId="4571" xr:uid="{00000000-0005-0000-0000-0000220C0000}"/>
    <cellStyle name="Heading 1" xfId="4572" xr:uid="{00000000-0005-0000-0000-0000230C0000}"/>
    <cellStyle name="Heading 2" xfId="4573" xr:uid="{00000000-0005-0000-0000-0000240C0000}"/>
    <cellStyle name="Heading 3" xfId="4574" xr:uid="{00000000-0005-0000-0000-0000250C0000}"/>
    <cellStyle name="Heading 4" xfId="4575" xr:uid="{00000000-0005-0000-0000-0000260C0000}"/>
    <cellStyle name="Heading_ТУП" xfId="4576" xr:uid="{00000000-0005-0000-0000-0000270C0000}"/>
    <cellStyle name="Heading1" xfId="2117" xr:uid="{00000000-0005-0000-0000-0000280C0000}"/>
    <cellStyle name="Heading2" xfId="2118" xr:uid="{00000000-0005-0000-0000-0000290C0000}"/>
    <cellStyle name="Heading3" xfId="2119" xr:uid="{00000000-0005-0000-0000-00002A0C0000}"/>
    <cellStyle name="Heading4" xfId="2120" xr:uid="{00000000-0005-0000-0000-00002B0C0000}"/>
    <cellStyle name="Hyperlink_RESULTS" xfId="4577" xr:uid="{00000000-0005-0000-0000-00002C0C0000}"/>
    <cellStyle name="Input" xfId="4578" xr:uid="{00000000-0005-0000-0000-00002D0C0000}"/>
    <cellStyle name="Input [yellow]" xfId="4579" xr:uid="{00000000-0005-0000-0000-00002E0C0000}"/>
    <cellStyle name="Input [yellow] 2" xfId="4580" xr:uid="{00000000-0005-0000-0000-00002F0C0000}"/>
    <cellStyle name="Input 2" xfId="4581" xr:uid="{00000000-0005-0000-0000-0000300C0000}"/>
    <cellStyle name="Input 3" xfId="4582" xr:uid="{00000000-0005-0000-0000-0000310C0000}"/>
    <cellStyle name="Input 4" xfId="4583" xr:uid="{00000000-0005-0000-0000-0000320C0000}"/>
    <cellStyle name="Input 5" xfId="4584" xr:uid="{00000000-0005-0000-0000-0000330C0000}"/>
    <cellStyle name="Input 6" xfId="4585" xr:uid="{00000000-0005-0000-0000-0000340C0000}"/>
    <cellStyle name="Input 7" xfId="4586" xr:uid="{00000000-0005-0000-0000-0000350C0000}"/>
    <cellStyle name="Input_ФМ - Узень-Актау ( курс 150, дисконт 10,5% для КТГ) 04.06.09" xfId="4587" xr:uid="{00000000-0005-0000-0000-0000360C0000}"/>
    <cellStyle name="KPMG Heading 1" xfId="4588" xr:uid="{00000000-0005-0000-0000-0000370C0000}"/>
    <cellStyle name="KPMG Heading 2" xfId="4589" xr:uid="{00000000-0005-0000-0000-0000380C0000}"/>
    <cellStyle name="KPMG Heading 3" xfId="4590" xr:uid="{00000000-0005-0000-0000-0000390C0000}"/>
    <cellStyle name="KPMG Heading 4" xfId="4591" xr:uid="{00000000-0005-0000-0000-00003A0C0000}"/>
    <cellStyle name="KPMG Normal" xfId="4592" xr:uid="{00000000-0005-0000-0000-00003B0C0000}"/>
    <cellStyle name="KPMG Normal Text" xfId="4593" xr:uid="{00000000-0005-0000-0000-00003C0C0000}"/>
    <cellStyle name="KPMG Normal_ТУП" xfId="4594" xr:uid="{00000000-0005-0000-0000-00003D0C0000}"/>
    <cellStyle name="Link Currency (0)" xfId="4595" xr:uid="{00000000-0005-0000-0000-00003E0C0000}"/>
    <cellStyle name="Link Currency (2)" xfId="4596" xr:uid="{00000000-0005-0000-0000-00003F0C0000}"/>
    <cellStyle name="Link Units (0)" xfId="4597" xr:uid="{00000000-0005-0000-0000-0000400C0000}"/>
    <cellStyle name="Link Units (1)" xfId="4598" xr:uid="{00000000-0005-0000-0000-0000410C0000}"/>
    <cellStyle name="Link Units (2)" xfId="4599" xr:uid="{00000000-0005-0000-0000-0000420C0000}"/>
    <cellStyle name="Linked Cell" xfId="4600" xr:uid="{00000000-0005-0000-0000-0000430C0000}"/>
    <cellStyle name="Name1" xfId="2121" xr:uid="{00000000-0005-0000-0000-0000440C0000}"/>
    <cellStyle name="Name2" xfId="2122" xr:uid="{00000000-0005-0000-0000-0000450C0000}"/>
    <cellStyle name="Name3" xfId="5" xr:uid="{00000000-0005-0000-0000-0000460C0000}"/>
    <cellStyle name="Name3 2" xfId="2123" xr:uid="{00000000-0005-0000-0000-0000470C0000}"/>
    <cellStyle name="Name3 3" xfId="3518" xr:uid="{00000000-0005-0000-0000-0000480C0000}"/>
    <cellStyle name="Name3 4" xfId="3519" xr:uid="{00000000-0005-0000-0000-0000490C0000}"/>
    <cellStyle name="Name3_Свод гостин" xfId="3520" xr:uid="{00000000-0005-0000-0000-00004A0C0000}"/>
    <cellStyle name="Name4" xfId="2124" xr:uid="{00000000-0005-0000-0000-00004B0C0000}"/>
    <cellStyle name="Name5" xfId="2125" xr:uid="{00000000-0005-0000-0000-00004C0C0000}"/>
    <cellStyle name="Neutral" xfId="4601" xr:uid="{00000000-0005-0000-0000-00004D0C0000}"/>
    <cellStyle name="Nor}al" xfId="6" xr:uid="{00000000-0005-0000-0000-00004E0C0000}"/>
    <cellStyle name="Nor}al 2" xfId="2126" xr:uid="{00000000-0005-0000-0000-00004F0C0000}"/>
    <cellStyle name="Nor}al 3" xfId="3521" xr:uid="{00000000-0005-0000-0000-0000500C0000}"/>
    <cellStyle name="Nor}al 4" xfId="3522" xr:uid="{00000000-0005-0000-0000-0000510C0000}"/>
    <cellStyle name="Nor}al_Свод гостин" xfId="3523" xr:uid="{00000000-0005-0000-0000-0000520C0000}"/>
    <cellStyle name="Normal" xfId="4413" xr:uid="{00000000-0005-0000-0000-0000530C0000}"/>
    <cellStyle name="Normal - Style1" xfId="4602" xr:uid="{00000000-0005-0000-0000-0000540C0000}"/>
    <cellStyle name="Normal 2" xfId="7" xr:uid="{00000000-0005-0000-0000-0000550C0000}"/>
    <cellStyle name="Normal 2 10" xfId="4437" xr:uid="{00000000-0005-0000-0000-0000560C0000}"/>
    <cellStyle name="Normal 2 2" xfId="8" xr:uid="{00000000-0005-0000-0000-0000570C0000}"/>
    <cellStyle name="Normal 2 2 2" xfId="2127" xr:uid="{00000000-0005-0000-0000-0000580C0000}"/>
    <cellStyle name="Normal 2 2 3" xfId="3524" xr:uid="{00000000-0005-0000-0000-0000590C0000}"/>
    <cellStyle name="Normal 2 2 4" xfId="3525" xr:uid="{00000000-0005-0000-0000-00005A0C0000}"/>
    <cellStyle name="Normal 2 2_Свод гостин" xfId="3526" xr:uid="{00000000-0005-0000-0000-00005B0C0000}"/>
    <cellStyle name="Normal 2 3" xfId="9" xr:uid="{00000000-0005-0000-0000-00005C0C0000}"/>
    <cellStyle name="Normal 2 3 2" xfId="2128" xr:uid="{00000000-0005-0000-0000-00005D0C0000}"/>
    <cellStyle name="Normal 2 3_Свод гостин" xfId="3527" xr:uid="{00000000-0005-0000-0000-00005E0C0000}"/>
    <cellStyle name="Normal 2 4" xfId="3528" xr:uid="{00000000-0005-0000-0000-00005F0C0000}"/>
    <cellStyle name="Normal 2 5" xfId="3529" xr:uid="{00000000-0005-0000-0000-0000600C0000}"/>
    <cellStyle name="Normal 2 6" xfId="3530" xr:uid="{00000000-0005-0000-0000-0000610C0000}"/>
    <cellStyle name="Normal 2 7" xfId="3531" xr:uid="{00000000-0005-0000-0000-0000620C0000}"/>
    <cellStyle name="Normal 2 8" xfId="3532" xr:uid="{00000000-0005-0000-0000-0000630C0000}"/>
    <cellStyle name="Normal 2 9" xfId="3533" xr:uid="{00000000-0005-0000-0000-0000640C0000}"/>
    <cellStyle name="Normal 2_бюджет 2013 МБ" xfId="10" xr:uid="{00000000-0005-0000-0000-0000650C0000}"/>
    <cellStyle name="Normal 3" xfId="11" xr:uid="{00000000-0005-0000-0000-0000660C0000}"/>
    <cellStyle name="Normal 3 2" xfId="2129" xr:uid="{00000000-0005-0000-0000-0000670C0000}"/>
    <cellStyle name="Normal 3 3" xfId="3534" xr:uid="{00000000-0005-0000-0000-0000680C0000}"/>
    <cellStyle name="Normal 3 4" xfId="3535" xr:uid="{00000000-0005-0000-0000-0000690C0000}"/>
    <cellStyle name="Normal 3_Свод гостин" xfId="3536" xr:uid="{00000000-0005-0000-0000-00006A0C0000}"/>
    <cellStyle name="Normal 4" xfId="12" xr:uid="{00000000-0005-0000-0000-00006B0C0000}"/>
    <cellStyle name="Normal 4 2" xfId="2130" xr:uid="{00000000-0005-0000-0000-00006C0C0000}"/>
    <cellStyle name="Normal 4 3" xfId="3537" xr:uid="{00000000-0005-0000-0000-00006D0C0000}"/>
    <cellStyle name="Normal 4 4" xfId="3538" xr:uid="{00000000-0005-0000-0000-00006E0C0000}"/>
    <cellStyle name="Normal 4_Свод гостин" xfId="3539" xr:uid="{00000000-0005-0000-0000-00006F0C0000}"/>
    <cellStyle name="Normal 5" xfId="13" xr:uid="{00000000-0005-0000-0000-0000700C0000}"/>
    <cellStyle name="Normal 5 2" xfId="2131" xr:uid="{00000000-0005-0000-0000-0000710C0000}"/>
    <cellStyle name="Normal 5 3" xfId="3540" xr:uid="{00000000-0005-0000-0000-0000720C0000}"/>
    <cellStyle name="Normal 5 4" xfId="3541" xr:uid="{00000000-0005-0000-0000-0000730C0000}"/>
    <cellStyle name="Normal 5_Свод гостин" xfId="3542" xr:uid="{00000000-0005-0000-0000-0000740C0000}"/>
    <cellStyle name="Normal 6" xfId="14" xr:uid="{00000000-0005-0000-0000-0000750C0000}"/>
    <cellStyle name="Normal 6 2" xfId="2132" xr:uid="{00000000-0005-0000-0000-0000760C0000}"/>
    <cellStyle name="Normal 6 3" xfId="3543" xr:uid="{00000000-0005-0000-0000-0000770C0000}"/>
    <cellStyle name="Normal 6 4" xfId="3544" xr:uid="{00000000-0005-0000-0000-0000780C0000}"/>
    <cellStyle name="Normal 6_Свод гостин" xfId="3545" xr:uid="{00000000-0005-0000-0000-0000790C0000}"/>
    <cellStyle name="Normal_# 41-Market &amp;Trends" xfId="4603" xr:uid="{00000000-0005-0000-0000-00007A0C0000}"/>
    <cellStyle name="Normal1" xfId="4604" xr:uid="{00000000-0005-0000-0000-00007B0C0000}"/>
    <cellStyle name="normбlnм_laroux" xfId="4605" xr:uid="{00000000-0005-0000-0000-00007C0C0000}"/>
    <cellStyle name="Note" xfId="4606" xr:uid="{00000000-0005-0000-0000-00007D0C0000}"/>
    <cellStyle name="numbers" xfId="4607" xr:uid="{00000000-0005-0000-0000-00007E0C0000}"/>
    <cellStyle name="Output" xfId="4608" xr:uid="{00000000-0005-0000-0000-00007F0C0000}"/>
    <cellStyle name="paint" xfId="4609" xr:uid="{00000000-0005-0000-0000-0000800C0000}"/>
    <cellStyle name="Percent (0)" xfId="4610" xr:uid="{00000000-0005-0000-0000-0000810C0000}"/>
    <cellStyle name="Percent [0]" xfId="4611" xr:uid="{00000000-0005-0000-0000-0000820C0000}"/>
    <cellStyle name="Percent [00]" xfId="4612" xr:uid="{00000000-0005-0000-0000-0000830C0000}"/>
    <cellStyle name="Percent [2]" xfId="4613" xr:uid="{00000000-0005-0000-0000-0000840C0000}"/>
    <cellStyle name="Percent_#6 Temps &amp; Contractors" xfId="4614" xr:uid="{00000000-0005-0000-0000-0000850C0000}"/>
    <cellStyle name="piw#" xfId="4615" xr:uid="{00000000-0005-0000-0000-0000860C0000}"/>
    <cellStyle name="piw%" xfId="4616" xr:uid="{00000000-0005-0000-0000-0000870C0000}"/>
    <cellStyle name="PrePop Currency (0)" xfId="4617" xr:uid="{00000000-0005-0000-0000-0000880C0000}"/>
    <cellStyle name="PrePop Currency (2)" xfId="4618" xr:uid="{00000000-0005-0000-0000-0000890C0000}"/>
    <cellStyle name="PrePop Units (0)" xfId="4619" xr:uid="{00000000-0005-0000-0000-00008A0C0000}"/>
    <cellStyle name="PrePop Units (1)" xfId="4620" xr:uid="{00000000-0005-0000-0000-00008B0C0000}"/>
    <cellStyle name="PrePop Units (2)" xfId="4621" xr:uid="{00000000-0005-0000-0000-00008C0C0000}"/>
    <cellStyle name="Price_Body" xfId="4622" xr:uid="{00000000-0005-0000-0000-00008D0C0000}"/>
    <cellStyle name="Rubles" xfId="4623" xr:uid="{00000000-0005-0000-0000-00008E0C0000}"/>
    <cellStyle name="stand_bord" xfId="4624" xr:uid="{00000000-0005-0000-0000-00008F0C0000}"/>
    <cellStyle name="Standard_000195pi_1" xfId="4625" xr:uid="{00000000-0005-0000-0000-0000900C0000}"/>
    <cellStyle name="TableStyleLight1" xfId="15" xr:uid="{00000000-0005-0000-0000-0000910C0000}"/>
    <cellStyle name="TableStyleLight1 2" xfId="4414" xr:uid="{00000000-0005-0000-0000-0000920C0000}"/>
    <cellStyle name="Text Indent A" xfId="4626" xr:uid="{00000000-0005-0000-0000-0000930C0000}"/>
    <cellStyle name="Text Indent B" xfId="4627" xr:uid="{00000000-0005-0000-0000-0000940C0000}"/>
    <cellStyle name="Text Indent C" xfId="4628" xr:uid="{00000000-0005-0000-0000-0000950C0000}"/>
    <cellStyle name="Tickmark" xfId="4629" xr:uid="{00000000-0005-0000-0000-0000960C0000}"/>
    <cellStyle name="Title" xfId="4630" xr:uid="{00000000-0005-0000-0000-0000970C0000}"/>
    <cellStyle name="Title1" xfId="2133" xr:uid="{00000000-0005-0000-0000-0000980C0000}"/>
    <cellStyle name="TitleCol1" xfId="2134" xr:uid="{00000000-0005-0000-0000-0000990C0000}"/>
    <cellStyle name="TitleCol2" xfId="2135" xr:uid="{00000000-0005-0000-0000-00009A0C0000}"/>
    <cellStyle name="Total" xfId="4631" xr:uid="{00000000-0005-0000-0000-00009B0C0000}"/>
    <cellStyle name="Warning Text" xfId="4632" xr:uid="{00000000-0005-0000-0000-00009C0C0000}"/>
    <cellStyle name="White1" xfId="16" xr:uid="{00000000-0005-0000-0000-00009D0C0000}"/>
    <cellStyle name="White2" xfId="17" xr:uid="{00000000-0005-0000-0000-00009E0C0000}"/>
    <cellStyle name="White2 2" xfId="2136" xr:uid="{00000000-0005-0000-0000-00009F0C0000}"/>
    <cellStyle name="White3" xfId="2137" xr:uid="{00000000-0005-0000-0000-0000A00C0000}"/>
    <cellStyle name="White4" xfId="18" xr:uid="{00000000-0005-0000-0000-0000A10C0000}"/>
    <cellStyle name="White4 2" xfId="2138" xr:uid="{00000000-0005-0000-0000-0000A20C0000}"/>
    <cellStyle name="White5" xfId="19" xr:uid="{00000000-0005-0000-0000-0000A30C0000}"/>
    <cellStyle name="White5 2" xfId="2139" xr:uid="{00000000-0005-0000-0000-0000A40C0000}"/>
    <cellStyle name="АсельИтого" xfId="2140" xr:uid="{00000000-0005-0000-0000-0000A50C0000}"/>
    <cellStyle name="АсельИтого 2" xfId="4415" xr:uid="{00000000-0005-0000-0000-0000A60C0000}"/>
    <cellStyle name="АсельТаблица" xfId="2141" xr:uid="{00000000-0005-0000-0000-0000A70C0000}"/>
    <cellStyle name="АсельТаблица 2" xfId="4416" xr:uid="{00000000-0005-0000-0000-0000A80C0000}"/>
    <cellStyle name="АсельШапка" xfId="2142" xr:uid="{00000000-0005-0000-0000-0000A90C0000}"/>
    <cellStyle name="АсельШапка 2" xfId="4417" xr:uid="{00000000-0005-0000-0000-0000AA0C0000}"/>
    <cellStyle name="АсельШапка1" xfId="2143" xr:uid="{00000000-0005-0000-0000-0000AB0C0000}"/>
    <cellStyle name="БАМ" xfId="2144" xr:uid="{00000000-0005-0000-0000-0000AC0C0000}"/>
    <cellStyle name="БАМ 2" xfId="4633" xr:uid="{00000000-0005-0000-0000-0000AD0C0000}"/>
    <cellStyle name="БАМ 3" xfId="4634" xr:uid="{00000000-0005-0000-0000-0000AE0C0000}"/>
    <cellStyle name="Беззащитный" xfId="4635" xr:uid="{00000000-0005-0000-0000-0000AF0C0000}"/>
    <cellStyle name="Гиперссылка 2" xfId="20" xr:uid="{00000000-0005-0000-0000-0000B00C0000}"/>
    <cellStyle name="Гиперссылка 3" xfId="2145" xr:uid="{00000000-0005-0000-0000-0000B10C0000}"/>
    <cellStyle name="Группа" xfId="4636" xr:uid="{00000000-0005-0000-0000-0000B20C0000}"/>
    <cellStyle name="Дата" xfId="4637" xr:uid="{00000000-0005-0000-0000-0000B30C0000}"/>
    <cellStyle name="Денежный 2" xfId="21" xr:uid="{00000000-0005-0000-0000-0000B40C0000}"/>
    <cellStyle name="Денежный 2 2" xfId="3546" xr:uid="{00000000-0005-0000-0000-0000B50C0000}"/>
    <cellStyle name="Денежный 2 3" xfId="3547" xr:uid="{00000000-0005-0000-0000-0000B60C0000}"/>
    <cellStyle name="Денежный 3" xfId="2146" xr:uid="{00000000-0005-0000-0000-0000B70C0000}"/>
    <cellStyle name="Денежный 4" xfId="2147" xr:uid="{00000000-0005-0000-0000-0000B80C0000}"/>
    <cellStyle name="Денежный 5" xfId="2148" xr:uid="{00000000-0005-0000-0000-0000B90C0000}"/>
    <cellStyle name="Денежный 6" xfId="2149" xr:uid="{00000000-0005-0000-0000-0000BA0C0000}"/>
    <cellStyle name="Денежный 7" xfId="2150" xr:uid="{00000000-0005-0000-0000-0000BB0C0000}"/>
    <cellStyle name="Денежный 8" xfId="2151" xr:uid="{00000000-0005-0000-0000-0000BC0C0000}"/>
    <cellStyle name="Денежный 9" xfId="4445" xr:uid="{00000000-0005-0000-0000-0000BD0C0000}"/>
    <cellStyle name="Защитный" xfId="4638" xr:uid="{00000000-0005-0000-0000-0000BE0C0000}"/>
    <cellStyle name="Звезды" xfId="4639" xr:uid="{00000000-0005-0000-0000-0000BF0C0000}"/>
    <cellStyle name="Звезды 2" xfId="4640" xr:uid="{00000000-0005-0000-0000-0000C00C0000}"/>
    <cellStyle name="КАНДАГАЧ тел3-33-96" xfId="4641" xr:uid="{00000000-0005-0000-0000-0000C10C0000}"/>
    <cellStyle name="Нейтральный" xfId="4444" builtinId="28"/>
    <cellStyle name="Обычный" xfId="0" builtinId="0"/>
    <cellStyle name="Обычный 10" xfId="22" xr:uid="{00000000-0005-0000-0000-0000C40C0000}"/>
    <cellStyle name="Обычный 10 10" xfId="4438" xr:uid="{00000000-0005-0000-0000-0000C50C0000}"/>
    <cellStyle name="Обычный 10 2" xfId="2152" xr:uid="{00000000-0005-0000-0000-0000C60C0000}"/>
    <cellStyle name="Обычный 10 2 2" xfId="2153" xr:uid="{00000000-0005-0000-0000-0000C70C0000}"/>
    <cellStyle name="Обычный 10 2_Свод гостин" xfId="3548" xr:uid="{00000000-0005-0000-0000-0000C80C0000}"/>
    <cellStyle name="Обычный 10 3" xfId="3549" xr:uid="{00000000-0005-0000-0000-0000C90C0000}"/>
    <cellStyle name="Обычный 10 4" xfId="3550" xr:uid="{00000000-0005-0000-0000-0000CA0C0000}"/>
    <cellStyle name="Обычный 10 5" xfId="3551" xr:uid="{00000000-0005-0000-0000-0000CB0C0000}"/>
    <cellStyle name="Обычный 10 6" xfId="3552" xr:uid="{00000000-0005-0000-0000-0000CC0C0000}"/>
    <cellStyle name="Обычный 10 7" xfId="3553" xr:uid="{00000000-0005-0000-0000-0000CD0C0000}"/>
    <cellStyle name="Обычный 10 8" xfId="3554" xr:uid="{00000000-0005-0000-0000-0000CE0C0000}"/>
    <cellStyle name="Обычный 10 9" xfId="4439" xr:uid="{00000000-0005-0000-0000-0000CF0C0000}"/>
    <cellStyle name="Обычный 10_Свод гостин" xfId="3555" xr:uid="{00000000-0005-0000-0000-0000D00C0000}"/>
    <cellStyle name="Обычный 100" xfId="4642" xr:uid="{00000000-0005-0000-0000-0000D10C0000}"/>
    <cellStyle name="Обычный 100 10" xfId="4643" xr:uid="{00000000-0005-0000-0000-0000D20C0000}"/>
    <cellStyle name="Обычный 100 11" xfId="4644" xr:uid="{00000000-0005-0000-0000-0000D30C0000}"/>
    <cellStyle name="Обычный 100 12" xfId="4645" xr:uid="{00000000-0005-0000-0000-0000D40C0000}"/>
    <cellStyle name="Обычный 100 13" xfId="4646" xr:uid="{00000000-0005-0000-0000-0000D50C0000}"/>
    <cellStyle name="Обычный 100 14" xfId="4647" xr:uid="{00000000-0005-0000-0000-0000D60C0000}"/>
    <cellStyle name="Обычный 100 15" xfId="4648" xr:uid="{00000000-0005-0000-0000-0000D70C0000}"/>
    <cellStyle name="Обычный 100 16" xfId="4649" xr:uid="{00000000-0005-0000-0000-0000D80C0000}"/>
    <cellStyle name="Обычный 100 17" xfId="4650" xr:uid="{00000000-0005-0000-0000-0000D90C0000}"/>
    <cellStyle name="Обычный 100 2" xfId="4651" xr:uid="{00000000-0005-0000-0000-0000DA0C0000}"/>
    <cellStyle name="Обычный 100 3" xfId="4652" xr:uid="{00000000-0005-0000-0000-0000DB0C0000}"/>
    <cellStyle name="Обычный 100 4" xfId="4653" xr:uid="{00000000-0005-0000-0000-0000DC0C0000}"/>
    <cellStyle name="Обычный 100 5" xfId="4654" xr:uid="{00000000-0005-0000-0000-0000DD0C0000}"/>
    <cellStyle name="Обычный 100 6" xfId="4655" xr:uid="{00000000-0005-0000-0000-0000DE0C0000}"/>
    <cellStyle name="Обычный 100 7" xfId="4656" xr:uid="{00000000-0005-0000-0000-0000DF0C0000}"/>
    <cellStyle name="Обычный 100 8" xfId="4657" xr:uid="{00000000-0005-0000-0000-0000E00C0000}"/>
    <cellStyle name="Обычный 100 9" xfId="4658" xr:uid="{00000000-0005-0000-0000-0000E10C0000}"/>
    <cellStyle name="Обычный 101" xfId="4659" xr:uid="{00000000-0005-0000-0000-0000E20C0000}"/>
    <cellStyle name="Обычный 101 10" xfId="4660" xr:uid="{00000000-0005-0000-0000-0000E30C0000}"/>
    <cellStyle name="Обычный 101 11" xfId="4661" xr:uid="{00000000-0005-0000-0000-0000E40C0000}"/>
    <cellStyle name="Обычный 101 12" xfId="4662" xr:uid="{00000000-0005-0000-0000-0000E50C0000}"/>
    <cellStyle name="Обычный 101 13" xfId="4663" xr:uid="{00000000-0005-0000-0000-0000E60C0000}"/>
    <cellStyle name="Обычный 101 14" xfId="4664" xr:uid="{00000000-0005-0000-0000-0000E70C0000}"/>
    <cellStyle name="Обычный 101 15" xfId="4665" xr:uid="{00000000-0005-0000-0000-0000E80C0000}"/>
    <cellStyle name="Обычный 101 16" xfId="4666" xr:uid="{00000000-0005-0000-0000-0000E90C0000}"/>
    <cellStyle name="Обычный 101 17" xfId="4667" xr:uid="{00000000-0005-0000-0000-0000EA0C0000}"/>
    <cellStyle name="Обычный 101 2" xfId="4668" xr:uid="{00000000-0005-0000-0000-0000EB0C0000}"/>
    <cellStyle name="Обычный 101 3" xfId="4669" xr:uid="{00000000-0005-0000-0000-0000EC0C0000}"/>
    <cellStyle name="Обычный 101 4" xfId="4670" xr:uid="{00000000-0005-0000-0000-0000ED0C0000}"/>
    <cellStyle name="Обычный 101 5" xfId="4671" xr:uid="{00000000-0005-0000-0000-0000EE0C0000}"/>
    <cellStyle name="Обычный 101 6" xfId="4672" xr:uid="{00000000-0005-0000-0000-0000EF0C0000}"/>
    <cellStyle name="Обычный 101 7" xfId="4673" xr:uid="{00000000-0005-0000-0000-0000F00C0000}"/>
    <cellStyle name="Обычный 101 8" xfId="4674" xr:uid="{00000000-0005-0000-0000-0000F10C0000}"/>
    <cellStyle name="Обычный 101 9" xfId="4675" xr:uid="{00000000-0005-0000-0000-0000F20C0000}"/>
    <cellStyle name="Обычный 102" xfId="4676" xr:uid="{00000000-0005-0000-0000-0000F30C0000}"/>
    <cellStyle name="Обычный 102 2" xfId="4677" xr:uid="{00000000-0005-0000-0000-0000F40C0000}"/>
    <cellStyle name="Обычный 103" xfId="4418" xr:uid="{00000000-0005-0000-0000-0000F50C0000}"/>
    <cellStyle name="Обычный 103 2" xfId="4678" xr:uid="{00000000-0005-0000-0000-0000F60C0000}"/>
    <cellStyle name="Обычный 104" xfId="4679" xr:uid="{00000000-0005-0000-0000-0000F70C0000}"/>
    <cellStyle name="Обычный 104 2" xfId="4680" xr:uid="{00000000-0005-0000-0000-0000F80C0000}"/>
    <cellStyle name="Обычный 105" xfId="4681" xr:uid="{00000000-0005-0000-0000-0000F90C0000}"/>
    <cellStyle name="Обычный 105 2" xfId="4682" xr:uid="{00000000-0005-0000-0000-0000FA0C0000}"/>
    <cellStyle name="Обычный 106" xfId="4683" xr:uid="{00000000-0005-0000-0000-0000FB0C0000}"/>
    <cellStyle name="Обычный 106 2" xfId="4684" xr:uid="{00000000-0005-0000-0000-0000FC0C0000}"/>
    <cellStyle name="Обычный 107" xfId="4685" xr:uid="{00000000-0005-0000-0000-0000FD0C0000}"/>
    <cellStyle name="Обычный 107 2" xfId="4686" xr:uid="{00000000-0005-0000-0000-0000FE0C0000}"/>
    <cellStyle name="Обычный 108" xfId="4687" xr:uid="{00000000-0005-0000-0000-0000FF0C0000}"/>
    <cellStyle name="Обычный 109" xfId="4688" xr:uid="{00000000-0005-0000-0000-0000000D0000}"/>
    <cellStyle name="Обычный 11" xfId="23" xr:uid="{00000000-0005-0000-0000-0000010D0000}"/>
    <cellStyle name="Обычный 11 2" xfId="2154" xr:uid="{00000000-0005-0000-0000-0000020D0000}"/>
    <cellStyle name="Обычный 11 3" xfId="3556" xr:uid="{00000000-0005-0000-0000-0000030D0000}"/>
    <cellStyle name="Обычный 11 4" xfId="3557" xr:uid="{00000000-0005-0000-0000-0000040D0000}"/>
    <cellStyle name="Обычный 11_Свод гостин" xfId="3558" xr:uid="{00000000-0005-0000-0000-0000050D0000}"/>
    <cellStyle name="Обычный 110" xfId="4689" xr:uid="{00000000-0005-0000-0000-0000060D0000}"/>
    <cellStyle name="Обычный 111" xfId="4690" xr:uid="{00000000-0005-0000-0000-0000070D0000}"/>
    <cellStyle name="Обычный 112" xfId="4691" xr:uid="{00000000-0005-0000-0000-0000080D0000}"/>
    <cellStyle name="Обычный 113" xfId="4692" xr:uid="{00000000-0005-0000-0000-0000090D0000}"/>
    <cellStyle name="Обычный 114" xfId="4693" xr:uid="{00000000-0005-0000-0000-00000A0D0000}"/>
    <cellStyle name="Обычный 115" xfId="4838" xr:uid="{00000000-0005-0000-0000-00000B0D0000}"/>
    <cellStyle name="Обычный 116" xfId="4839" xr:uid="{00000000-0005-0000-0000-00000C0D0000}"/>
    <cellStyle name="Обычный 116 2" xfId="4844" xr:uid="{2A2BCED6-F1E2-4C25-8BA9-2E7D6423B894}"/>
    <cellStyle name="Обычный 117" xfId="4843" xr:uid="{FD9AFB4F-7629-47F1-BB59-5BBE2C659A98}"/>
    <cellStyle name="Обычный 118" xfId="4845" xr:uid="{7713EE4D-D78A-40D1-802D-CE6380CC48C2}"/>
    <cellStyle name="Обычный 12" xfId="24" xr:uid="{00000000-0005-0000-0000-00000D0D0000}"/>
    <cellStyle name="Обычный 12 2" xfId="2155" xr:uid="{00000000-0005-0000-0000-00000E0D0000}"/>
    <cellStyle name="Обычный 12 3" xfId="3559" xr:uid="{00000000-0005-0000-0000-00000F0D0000}"/>
    <cellStyle name="Обычный 12 4" xfId="3560" xr:uid="{00000000-0005-0000-0000-0000100D0000}"/>
    <cellStyle name="Обычный 12_Свод гостин" xfId="3561" xr:uid="{00000000-0005-0000-0000-0000110D0000}"/>
    <cellStyle name="Обычный 13" xfId="25" xr:uid="{00000000-0005-0000-0000-0000120D0000}"/>
    <cellStyle name="Обычный 13 2" xfId="2156" xr:uid="{00000000-0005-0000-0000-0000130D0000}"/>
    <cellStyle name="Обычный 13 3" xfId="3562" xr:uid="{00000000-0005-0000-0000-0000140D0000}"/>
    <cellStyle name="Обычный 13 4" xfId="3563" xr:uid="{00000000-0005-0000-0000-0000150D0000}"/>
    <cellStyle name="Обычный 13_Свод гостин" xfId="3564" xr:uid="{00000000-0005-0000-0000-0000160D0000}"/>
    <cellStyle name="Обычный 14" xfId="26" xr:uid="{00000000-0005-0000-0000-0000170D0000}"/>
    <cellStyle name="Обычный 14 10" xfId="4440" xr:uid="{00000000-0005-0000-0000-0000180D0000}"/>
    <cellStyle name="Обычный 14 2" xfId="2157" xr:uid="{00000000-0005-0000-0000-0000190D0000}"/>
    <cellStyle name="Обычный 14 2 2" xfId="2158" xr:uid="{00000000-0005-0000-0000-00001A0D0000}"/>
    <cellStyle name="Обычный 14 2_Свод гостин" xfId="3565" xr:uid="{00000000-0005-0000-0000-00001B0D0000}"/>
    <cellStyle name="Обычный 14 3" xfId="27" xr:uid="{00000000-0005-0000-0000-00001C0D0000}"/>
    <cellStyle name="Обычный 14 4" xfId="3566" xr:uid="{00000000-0005-0000-0000-00001D0D0000}"/>
    <cellStyle name="Обычный 14 5" xfId="3567" xr:uid="{00000000-0005-0000-0000-00001E0D0000}"/>
    <cellStyle name="Обычный 14 6" xfId="3568" xr:uid="{00000000-0005-0000-0000-00001F0D0000}"/>
    <cellStyle name="Обычный 14 7" xfId="3569" xr:uid="{00000000-0005-0000-0000-0000200D0000}"/>
    <cellStyle name="Обычный 14 8" xfId="3570" xr:uid="{00000000-0005-0000-0000-0000210D0000}"/>
    <cellStyle name="Обычный 14 9" xfId="4441" xr:uid="{00000000-0005-0000-0000-0000220D0000}"/>
    <cellStyle name="Обычный 14_ Оскемен 2 июня" xfId="2159" xr:uid="{00000000-0005-0000-0000-0000230D0000}"/>
    <cellStyle name="Обычный 15" xfId="28" xr:uid="{00000000-0005-0000-0000-0000240D0000}"/>
    <cellStyle name="Обычный 15 2" xfId="2160" xr:uid="{00000000-0005-0000-0000-0000250D0000}"/>
    <cellStyle name="Обычный 15 2 2" xfId="4694" xr:uid="{00000000-0005-0000-0000-0000260D0000}"/>
    <cellStyle name="Обычный 15 2 3" xfId="4695" xr:uid="{00000000-0005-0000-0000-0000270D0000}"/>
    <cellStyle name="Обычный 15 2_ТУП" xfId="4696" xr:uid="{00000000-0005-0000-0000-0000280D0000}"/>
    <cellStyle name="Обычный 15 3" xfId="4697" xr:uid="{00000000-0005-0000-0000-0000290D0000}"/>
    <cellStyle name="Обычный 15 4" xfId="4698" xr:uid="{00000000-0005-0000-0000-00002A0D0000}"/>
    <cellStyle name="Обычный 15 5" xfId="4699" xr:uid="{00000000-0005-0000-0000-00002B0D0000}"/>
    <cellStyle name="Обычный 15 6" xfId="4700" xr:uid="{00000000-0005-0000-0000-00002C0D0000}"/>
    <cellStyle name="Обычный 15 7" xfId="29" xr:uid="{00000000-0005-0000-0000-00002D0D0000}"/>
    <cellStyle name="Обычный 15_Свод гостин" xfId="3571" xr:uid="{00000000-0005-0000-0000-00002E0D0000}"/>
    <cellStyle name="Обычный 16" xfId="30" xr:uid="{00000000-0005-0000-0000-00002F0D0000}"/>
    <cellStyle name="Обычный 16 2" xfId="2161" xr:uid="{00000000-0005-0000-0000-0000300D0000}"/>
    <cellStyle name="Обычный 16 3" xfId="3572" xr:uid="{00000000-0005-0000-0000-0000310D0000}"/>
    <cellStyle name="Обычный 16 4" xfId="3573" xr:uid="{00000000-0005-0000-0000-0000320D0000}"/>
    <cellStyle name="Обычный 16_Свод гостин" xfId="3574" xr:uid="{00000000-0005-0000-0000-0000330D0000}"/>
    <cellStyle name="Обычный 17" xfId="31" xr:uid="{00000000-0005-0000-0000-0000340D0000}"/>
    <cellStyle name="Обычный 17 2" xfId="2162" xr:uid="{00000000-0005-0000-0000-0000350D0000}"/>
    <cellStyle name="Обычный 17 3" xfId="3575" xr:uid="{00000000-0005-0000-0000-0000360D0000}"/>
    <cellStyle name="Обычный 17 4" xfId="3576" xr:uid="{00000000-0005-0000-0000-0000370D0000}"/>
    <cellStyle name="Обычный 17_Свод гостин" xfId="3577" xr:uid="{00000000-0005-0000-0000-0000380D0000}"/>
    <cellStyle name="Обычный 18" xfId="32" xr:uid="{00000000-0005-0000-0000-0000390D0000}"/>
    <cellStyle name="Обычный 18 2" xfId="2163" xr:uid="{00000000-0005-0000-0000-00003A0D0000}"/>
    <cellStyle name="Обычный 18 3" xfId="3578" xr:uid="{00000000-0005-0000-0000-00003B0D0000}"/>
    <cellStyle name="Обычный 18 4" xfId="3579" xr:uid="{00000000-0005-0000-0000-00003C0D0000}"/>
    <cellStyle name="Обычный 18_Свод гостин" xfId="3580" xr:uid="{00000000-0005-0000-0000-00003D0D0000}"/>
    <cellStyle name="Обычный 19" xfId="33" xr:uid="{00000000-0005-0000-0000-00003E0D0000}"/>
    <cellStyle name="Обычный 19 2" xfId="2164" xr:uid="{00000000-0005-0000-0000-00003F0D0000}"/>
    <cellStyle name="Обычный 19 2 2" xfId="4701" xr:uid="{00000000-0005-0000-0000-0000400D0000}"/>
    <cellStyle name="Обычный 19 2 3" xfId="4702" xr:uid="{00000000-0005-0000-0000-0000410D0000}"/>
    <cellStyle name="Обычный 19 2_ТУП" xfId="4703" xr:uid="{00000000-0005-0000-0000-0000420D0000}"/>
    <cellStyle name="Обычный 19 3" xfId="4704" xr:uid="{00000000-0005-0000-0000-0000430D0000}"/>
    <cellStyle name="Обычный 19 4" xfId="4705" xr:uid="{00000000-0005-0000-0000-0000440D0000}"/>
    <cellStyle name="Обычный 19 5" xfId="4706" xr:uid="{00000000-0005-0000-0000-0000450D0000}"/>
    <cellStyle name="Обычный 19 6" xfId="4707" xr:uid="{00000000-0005-0000-0000-0000460D0000}"/>
    <cellStyle name="Обычный 19_Свод гостин" xfId="3581" xr:uid="{00000000-0005-0000-0000-0000470D0000}"/>
    <cellStyle name="Обычный 2" xfId="34" xr:uid="{00000000-0005-0000-0000-0000480D0000}"/>
    <cellStyle name="Обычный 2 10" xfId="3582" xr:uid="{00000000-0005-0000-0000-0000490D0000}"/>
    <cellStyle name="Обычный 2 11" xfId="3583" xr:uid="{00000000-0005-0000-0000-00004A0D0000}"/>
    <cellStyle name="Обычный 2 12" xfId="4708" xr:uid="{00000000-0005-0000-0000-00004B0D0000}"/>
    <cellStyle name="Обычный 2 13" xfId="4709" xr:uid="{00000000-0005-0000-0000-00004C0D0000}"/>
    <cellStyle name="Обычный 2 14" xfId="35" xr:uid="{00000000-0005-0000-0000-00004D0D0000}"/>
    <cellStyle name="Обычный 2 15" xfId="4710" xr:uid="{00000000-0005-0000-0000-00004E0D0000}"/>
    <cellStyle name="Обычный 2 16" xfId="4711" xr:uid="{00000000-0005-0000-0000-00004F0D0000}"/>
    <cellStyle name="Обычный 2 17" xfId="4712" xr:uid="{00000000-0005-0000-0000-0000500D0000}"/>
    <cellStyle name="Обычный 2 18" xfId="4713" xr:uid="{00000000-0005-0000-0000-0000510D0000}"/>
    <cellStyle name="Обычный 2 19" xfId="4714" xr:uid="{00000000-0005-0000-0000-0000520D0000}"/>
    <cellStyle name="Обычный 2 2" xfId="36" xr:uid="{00000000-0005-0000-0000-0000530D0000}"/>
    <cellStyle name="Обычный 2 2 10" xfId="37" xr:uid="{00000000-0005-0000-0000-0000540D0000}"/>
    <cellStyle name="Обычный 2 2 11" xfId="3584" xr:uid="{00000000-0005-0000-0000-0000550D0000}"/>
    <cellStyle name="Обычный 2 2 2" xfId="38" xr:uid="{00000000-0005-0000-0000-0000560D0000}"/>
    <cellStyle name="Обычный 2 2 2 2" xfId="39" xr:uid="{00000000-0005-0000-0000-0000570D0000}"/>
    <cellStyle name="Обычный 2 2 2 2 11" xfId="2165" xr:uid="{00000000-0005-0000-0000-0000580D0000}"/>
    <cellStyle name="Обычный 2 2 2 2 16" xfId="4419" xr:uid="{00000000-0005-0000-0000-0000590D0000}"/>
    <cellStyle name="Обычный 2 2 2 2 2" xfId="2166" xr:uid="{00000000-0005-0000-0000-00005A0D0000}"/>
    <cellStyle name="Обычный 2 2 2 2 2 2 3 7" xfId="2167" xr:uid="{00000000-0005-0000-0000-00005B0D0000}"/>
    <cellStyle name="Обычный 2 2 2 2 3" xfId="2168" xr:uid="{00000000-0005-0000-0000-00005C0D0000}"/>
    <cellStyle name="Обычный 2 2 2 2 4" xfId="2169" xr:uid="{00000000-0005-0000-0000-00005D0D0000}"/>
    <cellStyle name="Обычный 2 2 2 2 5" xfId="2170" xr:uid="{00000000-0005-0000-0000-00005E0D0000}"/>
    <cellStyle name="Обычный 2 2 2 2 6" xfId="2171" xr:uid="{00000000-0005-0000-0000-00005F0D0000}"/>
    <cellStyle name="Обычный 2 2 2 2 7" xfId="2172" xr:uid="{00000000-0005-0000-0000-0000600D0000}"/>
    <cellStyle name="Обычный 2 2 2 2 8" xfId="4420" xr:uid="{00000000-0005-0000-0000-0000610D0000}"/>
    <cellStyle name="Обычный 2 2 2 2_Свод гостин" xfId="3585" xr:uid="{00000000-0005-0000-0000-0000620D0000}"/>
    <cellStyle name="Обычный 2 2 2 3" xfId="2173" xr:uid="{00000000-0005-0000-0000-0000630D0000}"/>
    <cellStyle name="Обычный 2 2 2 3 2" xfId="4421" xr:uid="{00000000-0005-0000-0000-0000640D0000}"/>
    <cellStyle name="Обычный 2 2 2 3 3" xfId="4422" xr:uid="{00000000-0005-0000-0000-0000650D0000}"/>
    <cellStyle name="Обычный 2 2 2 4" xfId="2174" xr:uid="{00000000-0005-0000-0000-0000660D0000}"/>
    <cellStyle name="Обычный 2 2 2 5" xfId="3586" xr:uid="{00000000-0005-0000-0000-0000670D0000}"/>
    <cellStyle name="Обычный 2 2 2 6" xfId="3587" xr:uid="{00000000-0005-0000-0000-0000680D0000}"/>
    <cellStyle name="Обычный 2 2 2 7" xfId="3588" xr:uid="{00000000-0005-0000-0000-0000690D0000}"/>
    <cellStyle name="Обычный 2 2 2_Свод гостин" xfId="3589" xr:uid="{00000000-0005-0000-0000-00006A0D0000}"/>
    <cellStyle name="Обычный 2 2 3" xfId="40" xr:uid="{00000000-0005-0000-0000-00006B0D0000}"/>
    <cellStyle name="Обычный 2 2 3 2" xfId="41" xr:uid="{00000000-0005-0000-0000-00006C0D0000}"/>
    <cellStyle name="Обычный 2 2 3 2 2" xfId="4715" xr:uid="{00000000-0005-0000-0000-00006D0D0000}"/>
    <cellStyle name="Обычный 2 2 3 2 3" xfId="4716" xr:uid="{00000000-0005-0000-0000-00006E0D0000}"/>
    <cellStyle name="Обычный 2 2 3 2_ТУП" xfId="4717" xr:uid="{00000000-0005-0000-0000-00006F0D0000}"/>
    <cellStyle name="Обычный 2 2 3 3" xfId="2175" xr:uid="{00000000-0005-0000-0000-0000700D0000}"/>
    <cellStyle name="Обычный 2 2 3 4" xfId="4718" xr:uid="{00000000-0005-0000-0000-0000710D0000}"/>
    <cellStyle name="Обычный 2 2 3 5" xfId="4719" xr:uid="{00000000-0005-0000-0000-0000720D0000}"/>
    <cellStyle name="Обычный 2 2 3 6" xfId="4720" xr:uid="{00000000-0005-0000-0000-0000730D0000}"/>
    <cellStyle name="Обычный 2 2 3 9" xfId="42" xr:uid="{00000000-0005-0000-0000-0000740D0000}"/>
    <cellStyle name="Обычный 2 2 3_Свод гостин" xfId="3590" xr:uid="{00000000-0005-0000-0000-0000750D0000}"/>
    <cellStyle name="Обычный 2 2 4" xfId="43" xr:uid="{00000000-0005-0000-0000-0000760D0000}"/>
    <cellStyle name="Обычный 2 2 4 2" xfId="2176" xr:uid="{00000000-0005-0000-0000-0000770D0000}"/>
    <cellStyle name="Обычный 2 2 4 2 2" xfId="4721" xr:uid="{00000000-0005-0000-0000-0000780D0000}"/>
    <cellStyle name="Обычный 2 2 4 3" xfId="4722" xr:uid="{00000000-0005-0000-0000-0000790D0000}"/>
    <cellStyle name="Обычный 2 2 4 3 2" xfId="4723" xr:uid="{00000000-0005-0000-0000-00007A0D0000}"/>
    <cellStyle name="Обычный 2 2 4 4" xfId="4724" xr:uid="{00000000-0005-0000-0000-00007B0D0000}"/>
    <cellStyle name="Обычный 2 2 4 5" xfId="4725" xr:uid="{00000000-0005-0000-0000-00007C0D0000}"/>
    <cellStyle name="Обычный 2 2 4_Свод гостин" xfId="3591" xr:uid="{00000000-0005-0000-0000-00007D0D0000}"/>
    <cellStyle name="Обычный 2 2 5" xfId="2177" xr:uid="{00000000-0005-0000-0000-00007E0D0000}"/>
    <cellStyle name="Обычный 2 2 5 2" xfId="2178" xr:uid="{00000000-0005-0000-0000-00007F0D0000}"/>
    <cellStyle name="Обычный 2 2 5_Свод гостин" xfId="3592" xr:uid="{00000000-0005-0000-0000-0000800D0000}"/>
    <cellStyle name="Обычный 2 2 6" xfId="2179" xr:uid="{00000000-0005-0000-0000-0000810D0000}"/>
    <cellStyle name="Обычный 2 2 6 10 2 4" xfId="4423" xr:uid="{00000000-0005-0000-0000-0000820D0000}"/>
    <cellStyle name="Обычный 2 2 6 11" xfId="2180" xr:uid="{00000000-0005-0000-0000-0000830D0000}"/>
    <cellStyle name="Обычный 2 2 6 16" xfId="4424" xr:uid="{00000000-0005-0000-0000-0000840D0000}"/>
    <cellStyle name="Обычный 2 2 6 2" xfId="2181" xr:uid="{00000000-0005-0000-0000-0000850D0000}"/>
    <cellStyle name="Обычный 2 2 6 2 2" xfId="4726" xr:uid="{00000000-0005-0000-0000-0000860D0000}"/>
    <cellStyle name="Обычный 2 2 6 3" xfId="2182" xr:uid="{00000000-0005-0000-0000-0000870D0000}"/>
    <cellStyle name="Обычный 2 2 6 3 2" xfId="2183" xr:uid="{00000000-0005-0000-0000-0000880D0000}"/>
    <cellStyle name="Обычный 2 2 6 4" xfId="2184" xr:uid="{00000000-0005-0000-0000-0000890D0000}"/>
    <cellStyle name="Обычный 2 2 6 5" xfId="2185" xr:uid="{00000000-0005-0000-0000-00008A0D0000}"/>
    <cellStyle name="Обычный 2 2 6 6" xfId="2186" xr:uid="{00000000-0005-0000-0000-00008B0D0000}"/>
    <cellStyle name="Обычный 2 2 6_Свод гостин" xfId="3593" xr:uid="{00000000-0005-0000-0000-00008C0D0000}"/>
    <cellStyle name="Обычный 2 2 7" xfId="2187" xr:uid="{00000000-0005-0000-0000-00008D0D0000}"/>
    <cellStyle name="Обычный 2 2 7 2" xfId="2188" xr:uid="{00000000-0005-0000-0000-00008E0D0000}"/>
    <cellStyle name="Обычный 2 2 7 3" xfId="2189" xr:uid="{00000000-0005-0000-0000-00008F0D0000}"/>
    <cellStyle name="Обычный 2 2 7 4" xfId="2190" xr:uid="{00000000-0005-0000-0000-0000900D0000}"/>
    <cellStyle name="Обычный 2 2 7 5" xfId="2191" xr:uid="{00000000-0005-0000-0000-0000910D0000}"/>
    <cellStyle name="Обычный 2 2 7 6" xfId="2192" xr:uid="{00000000-0005-0000-0000-0000920D0000}"/>
    <cellStyle name="Обычный 2 2 7_Свод гостин" xfId="3594" xr:uid="{00000000-0005-0000-0000-0000930D0000}"/>
    <cellStyle name="Обычный 2 2 8" xfId="2193" xr:uid="{00000000-0005-0000-0000-0000940D0000}"/>
    <cellStyle name="Обычный 2 2 8 2" xfId="2194" xr:uid="{00000000-0005-0000-0000-0000950D0000}"/>
    <cellStyle name="Обычный 2 2 8_Свод гостин" xfId="3595" xr:uid="{00000000-0005-0000-0000-0000960D0000}"/>
    <cellStyle name="Обычный 2 2 9" xfId="2195" xr:uid="{00000000-0005-0000-0000-0000970D0000}"/>
    <cellStyle name="Обычный 2 2_бюджет 2013 МБ" xfId="44" xr:uid="{00000000-0005-0000-0000-0000980D0000}"/>
    <cellStyle name="Обычный 2 2_Книга1" xfId="45" xr:uid="{00000000-0005-0000-0000-0000990D0000}"/>
    <cellStyle name="Обычный 2 20" xfId="4727" xr:uid="{00000000-0005-0000-0000-00009A0D0000}"/>
    <cellStyle name="Обычный 2 21" xfId="4728" xr:uid="{00000000-0005-0000-0000-00009B0D0000}"/>
    <cellStyle name="Обычный 2 22" xfId="4729" xr:uid="{00000000-0005-0000-0000-00009C0D0000}"/>
    <cellStyle name="Обычный 2 3" xfId="46" xr:uid="{00000000-0005-0000-0000-00009D0D0000}"/>
    <cellStyle name="Обычный 2 3 10" xfId="4442" xr:uid="{00000000-0005-0000-0000-00009E0D0000}"/>
    <cellStyle name="Обычный 2 3 2" xfId="2196" xr:uid="{00000000-0005-0000-0000-00009F0D0000}"/>
    <cellStyle name="Обычный 2 3 2 2" xfId="47" xr:uid="{00000000-0005-0000-0000-0000A00D0000}"/>
    <cellStyle name="Обычный 2 3 2 3" xfId="4425" xr:uid="{00000000-0005-0000-0000-0000A10D0000}"/>
    <cellStyle name="Обычный 2 3 2_Свод гостин" xfId="3596" xr:uid="{00000000-0005-0000-0000-0000A20D0000}"/>
    <cellStyle name="Обычный 2 3 3" xfId="2197" xr:uid="{00000000-0005-0000-0000-0000A30D0000}"/>
    <cellStyle name="Обычный 2 3 4" xfId="3597" xr:uid="{00000000-0005-0000-0000-0000A40D0000}"/>
    <cellStyle name="Обычный 2 3 5" xfId="3598" xr:uid="{00000000-0005-0000-0000-0000A50D0000}"/>
    <cellStyle name="Обычный 2 3 6" xfId="3599" xr:uid="{00000000-0005-0000-0000-0000A60D0000}"/>
    <cellStyle name="Обычный 2 3 7" xfId="3600" xr:uid="{00000000-0005-0000-0000-0000A70D0000}"/>
    <cellStyle name="Обычный 2 3 8" xfId="3601" xr:uid="{00000000-0005-0000-0000-0000A80D0000}"/>
    <cellStyle name="Обычный 2 3 9" xfId="3602" xr:uid="{00000000-0005-0000-0000-0000A90D0000}"/>
    <cellStyle name="Обычный 2 3_Свод гостин" xfId="3603" xr:uid="{00000000-0005-0000-0000-0000AA0D0000}"/>
    <cellStyle name="Обычный 2 4" xfId="48" xr:uid="{00000000-0005-0000-0000-0000AB0D0000}"/>
    <cellStyle name="Обычный 2 4 2" xfId="2198" xr:uid="{00000000-0005-0000-0000-0000AC0D0000}"/>
    <cellStyle name="Обычный 2 4 3" xfId="2199" xr:uid="{00000000-0005-0000-0000-0000AD0D0000}"/>
    <cellStyle name="Обычный 2 4 4" xfId="3604" xr:uid="{00000000-0005-0000-0000-0000AE0D0000}"/>
    <cellStyle name="Обычный 2 4 5" xfId="3605" xr:uid="{00000000-0005-0000-0000-0000AF0D0000}"/>
    <cellStyle name="Обычный 2 4_Свод гостин" xfId="3606" xr:uid="{00000000-0005-0000-0000-0000B00D0000}"/>
    <cellStyle name="Обычный 2 5" xfId="49" xr:uid="{00000000-0005-0000-0000-0000B10D0000}"/>
    <cellStyle name="Обычный 2 5 2" xfId="2200" xr:uid="{00000000-0005-0000-0000-0000B20D0000}"/>
    <cellStyle name="Обычный 2 5 3" xfId="3607" xr:uid="{00000000-0005-0000-0000-0000B30D0000}"/>
    <cellStyle name="Обычный 2 5 4" xfId="3608" xr:uid="{00000000-0005-0000-0000-0000B40D0000}"/>
    <cellStyle name="Обычный 2 6" xfId="50" xr:uid="{00000000-0005-0000-0000-0000B50D0000}"/>
    <cellStyle name="Обычный 2 7" xfId="51" xr:uid="{00000000-0005-0000-0000-0000B60D0000}"/>
    <cellStyle name="Обычный 2 7 2" xfId="2201" xr:uid="{00000000-0005-0000-0000-0000B70D0000}"/>
    <cellStyle name="Обычный 2 7 3" xfId="2202" xr:uid="{00000000-0005-0000-0000-0000B80D0000}"/>
    <cellStyle name="Обычный 2 8" xfId="2203" xr:uid="{00000000-0005-0000-0000-0000B90D0000}"/>
    <cellStyle name="Обычный 2 8 2" xfId="2204" xr:uid="{00000000-0005-0000-0000-0000BA0D0000}"/>
    <cellStyle name="Обычный 2 8 3" xfId="4730" xr:uid="{00000000-0005-0000-0000-0000BB0D0000}"/>
    <cellStyle name="Обычный 2 8_Свод гостин" xfId="3609" xr:uid="{00000000-0005-0000-0000-0000BC0D0000}"/>
    <cellStyle name="Обычный 2 9" xfId="2205" xr:uid="{00000000-0005-0000-0000-0000BD0D0000}"/>
    <cellStyle name="Обычный 2 9 2" xfId="4731" xr:uid="{00000000-0005-0000-0000-0000BE0D0000}"/>
    <cellStyle name="Обычный 2_Свод гостин" xfId="3610" xr:uid="{00000000-0005-0000-0000-0000BF0D0000}"/>
    <cellStyle name="Обычный 20" xfId="52" xr:uid="{00000000-0005-0000-0000-0000C00D0000}"/>
    <cellStyle name="Обычный 20 2" xfId="2206" xr:uid="{00000000-0005-0000-0000-0000C10D0000}"/>
    <cellStyle name="Обычный 20_Свод гостин" xfId="3611" xr:uid="{00000000-0005-0000-0000-0000C20D0000}"/>
    <cellStyle name="Обычный 21" xfId="53" xr:uid="{00000000-0005-0000-0000-0000C30D0000}"/>
    <cellStyle name="Обычный 21 2" xfId="2207" xr:uid="{00000000-0005-0000-0000-0000C40D0000}"/>
    <cellStyle name="Обычный 21_Свод гостин" xfId="3612" xr:uid="{00000000-0005-0000-0000-0000C50D0000}"/>
    <cellStyle name="Обычный 22" xfId="54" xr:uid="{00000000-0005-0000-0000-0000C60D0000}"/>
    <cellStyle name="Обычный 22 2" xfId="2208" xr:uid="{00000000-0005-0000-0000-0000C70D0000}"/>
    <cellStyle name="Обычный 22_Свод гостин" xfId="3613" xr:uid="{00000000-0005-0000-0000-0000C80D0000}"/>
    <cellStyle name="Обычный 23" xfId="55" xr:uid="{00000000-0005-0000-0000-0000C90D0000}"/>
    <cellStyle name="Обычный 23 2" xfId="2209" xr:uid="{00000000-0005-0000-0000-0000CA0D0000}"/>
    <cellStyle name="Обычный 23_Свод гостин" xfId="3614" xr:uid="{00000000-0005-0000-0000-0000CB0D0000}"/>
    <cellStyle name="Обычный 24" xfId="56" xr:uid="{00000000-0005-0000-0000-0000CC0D0000}"/>
    <cellStyle name="Обычный 24 2" xfId="2210" xr:uid="{00000000-0005-0000-0000-0000CD0D0000}"/>
    <cellStyle name="Обычный 24_Свод гостин" xfId="3615" xr:uid="{00000000-0005-0000-0000-0000CE0D0000}"/>
    <cellStyle name="Обычный 25" xfId="57" xr:uid="{00000000-0005-0000-0000-0000CF0D0000}"/>
    <cellStyle name="Обычный 25 2" xfId="2211" xr:uid="{00000000-0005-0000-0000-0000D00D0000}"/>
    <cellStyle name="Обычный 25_Свод гостин" xfId="3616" xr:uid="{00000000-0005-0000-0000-0000D10D0000}"/>
    <cellStyle name="Обычный 26" xfId="58" xr:uid="{00000000-0005-0000-0000-0000D20D0000}"/>
    <cellStyle name="Обычный 26 2" xfId="2212" xr:uid="{00000000-0005-0000-0000-0000D30D0000}"/>
    <cellStyle name="Обычный 26_Свод гостин" xfId="3617" xr:uid="{00000000-0005-0000-0000-0000D40D0000}"/>
    <cellStyle name="Обычный 27" xfId="59" xr:uid="{00000000-0005-0000-0000-0000D50D0000}"/>
    <cellStyle name="Обычный 27 2" xfId="2213" xr:uid="{00000000-0005-0000-0000-0000D60D0000}"/>
    <cellStyle name="Обычный 27 3" xfId="4426" xr:uid="{00000000-0005-0000-0000-0000D70D0000}"/>
    <cellStyle name="Обычный 27_Свод гостин" xfId="3618" xr:uid="{00000000-0005-0000-0000-0000D80D0000}"/>
    <cellStyle name="Обычный 28" xfId="60" xr:uid="{00000000-0005-0000-0000-0000D90D0000}"/>
    <cellStyle name="Обычный 28 2" xfId="2214" xr:uid="{00000000-0005-0000-0000-0000DA0D0000}"/>
    <cellStyle name="Обычный 28_Свод гостин" xfId="3619" xr:uid="{00000000-0005-0000-0000-0000DB0D0000}"/>
    <cellStyle name="Обычный 29" xfId="61" xr:uid="{00000000-0005-0000-0000-0000DC0D0000}"/>
    <cellStyle name="Обычный 29 2" xfId="2215" xr:uid="{00000000-0005-0000-0000-0000DD0D0000}"/>
    <cellStyle name="Обычный 29_Свод гостин" xfId="3620" xr:uid="{00000000-0005-0000-0000-0000DE0D0000}"/>
    <cellStyle name="Обычный 3" xfId="62" xr:uid="{00000000-0005-0000-0000-0000DF0D0000}"/>
    <cellStyle name="Обычный 3 10" xfId="63" xr:uid="{00000000-0005-0000-0000-0000E00D0000}"/>
    <cellStyle name="Обычный 3 11" xfId="3621" xr:uid="{00000000-0005-0000-0000-0000E10D0000}"/>
    <cellStyle name="Обычный 3 15" xfId="64" xr:uid="{00000000-0005-0000-0000-0000E20D0000}"/>
    <cellStyle name="Обычный 3 2" xfId="65" xr:uid="{00000000-0005-0000-0000-0000E30D0000}"/>
    <cellStyle name="Обычный 3 2 2" xfId="2216" xr:uid="{00000000-0005-0000-0000-0000E40D0000}"/>
    <cellStyle name="Обычный 3 2 3" xfId="4732" xr:uid="{00000000-0005-0000-0000-0000E50D0000}"/>
    <cellStyle name="Обычный 3 2_Свод гостин" xfId="3622" xr:uid="{00000000-0005-0000-0000-0000E60D0000}"/>
    <cellStyle name="Обычный 3 3" xfId="2217" xr:uid="{00000000-0005-0000-0000-0000E70D0000}"/>
    <cellStyle name="Обычный 3 3 2" xfId="2218" xr:uid="{00000000-0005-0000-0000-0000E80D0000}"/>
    <cellStyle name="Обычный 3 3 3" xfId="2219" xr:uid="{00000000-0005-0000-0000-0000E90D0000}"/>
    <cellStyle name="Обычный 3 3_Свод гостин" xfId="3623" xr:uid="{00000000-0005-0000-0000-0000EA0D0000}"/>
    <cellStyle name="Обычный 3 4" xfId="2220" xr:uid="{00000000-0005-0000-0000-0000EB0D0000}"/>
    <cellStyle name="Обычный 3 4 11 3" xfId="4427" xr:uid="{00000000-0005-0000-0000-0000EC0D0000}"/>
    <cellStyle name="Обычный 3 4 15" xfId="4428" xr:uid="{00000000-0005-0000-0000-0000ED0D0000}"/>
    <cellStyle name="Обычный 3 4 2" xfId="2221" xr:uid="{00000000-0005-0000-0000-0000EE0D0000}"/>
    <cellStyle name="Обычный 3 4 3" xfId="2222" xr:uid="{00000000-0005-0000-0000-0000EF0D0000}"/>
    <cellStyle name="Обычный 3 4 4" xfId="2223" xr:uid="{00000000-0005-0000-0000-0000F00D0000}"/>
    <cellStyle name="Обычный 3 4 5" xfId="2224" xr:uid="{00000000-0005-0000-0000-0000F10D0000}"/>
    <cellStyle name="Обычный 3 4 6" xfId="2225" xr:uid="{00000000-0005-0000-0000-0000F20D0000}"/>
    <cellStyle name="Обычный 3 4_Свод гостин" xfId="3624" xr:uid="{00000000-0005-0000-0000-0000F30D0000}"/>
    <cellStyle name="Обычный 3 5" xfId="2226" xr:uid="{00000000-0005-0000-0000-0000F40D0000}"/>
    <cellStyle name="Обычный 3 5 2" xfId="2227" xr:uid="{00000000-0005-0000-0000-0000F50D0000}"/>
    <cellStyle name="Обычный 3 5_Свод гостин" xfId="3625" xr:uid="{00000000-0005-0000-0000-0000F60D0000}"/>
    <cellStyle name="Обычный 3 6" xfId="2228" xr:uid="{00000000-0005-0000-0000-0000F70D0000}"/>
    <cellStyle name="Обычный 3 7" xfId="66" xr:uid="{00000000-0005-0000-0000-0000F80D0000}"/>
    <cellStyle name="Обычный 3 7 2" xfId="2229" xr:uid="{00000000-0005-0000-0000-0000F90D0000}"/>
    <cellStyle name="Обычный 3 7 3" xfId="3626" xr:uid="{00000000-0005-0000-0000-0000FA0D0000}"/>
    <cellStyle name="Обычный 3 7 4" xfId="3627" xr:uid="{00000000-0005-0000-0000-0000FB0D0000}"/>
    <cellStyle name="Обычный 3 7_Свод гостин" xfId="3628" xr:uid="{00000000-0005-0000-0000-0000FC0D0000}"/>
    <cellStyle name="Обычный 3 8" xfId="3629" xr:uid="{00000000-0005-0000-0000-0000FD0D0000}"/>
    <cellStyle name="Обычный 3 9" xfId="3630" xr:uid="{00000000-0005-0000-0000-0000FE0D0000}"/>
    <cellStyle name="Обычный 3_3FB0480D" xfId="4733" xr:uid="{00000000-0005-0000-0000-0000FF0D0000}"/>
    <cellStyle name="Обычный 30" xfId="67" xr:uid="{00000000-0005-0000-0000-0000000E0000}"/>
    <cellStyle name="Обычный 30 2" xfId="2230" xr:uid="{00000000-0005-0000-0000-0000010E0000}"/>
    <cellStyle name="Обычный 30_Свод гостин" xfId="3631" xr:uid="{00000000-0005-0000-0000-0000020E0000}"/>
    <cellStyle name="Обычный 31" xfId="68" xr:uid="{00000000-0005-0000-0000-0000030E0000}"/>
    <cellStyle name="Обычный 31 2" xfId="2231" xr:uid="{00000000-0005-0000-0000-0000040E0000}"/>
    <cellStyle name="Обычный 31_Свод гостин" xfId="3632" xr:uid="{00000000-0005-0000-0000-0000050E0000}"/>
    <cellStyle name="Обычный 32" xfId="69" xr:uid="{00000000-0005-0000-0000-0000060E0000}"/>
    <cellStyle name="Обычный 32 2" xfId="2232" xr:uid="{00000000-0005-0000-0000-0000070E0000}"/>
    <cellStyle name="Обычный 32 2 2" xfId="2233" xr:uid="{00000000-0005-0000-0000-0000080E0000}"/>
    <cellStyle name="Обычный 32 2 3" xfId="4734" xr:uid="{00000000-0005-0000-0000-0000090E0000}"/>
    <cellStyle name="Обычный 32 2_Свод гостин" xfId="3633" xr:uid="{00000000-0005-0000-0000-00000A0E0000}"/>
    <cellStyle name="Обычный 32 3" xfId="2234" xr:uid="{00000000-0005-0000-0000-00000B0E0000}"/>
    <cellStyle name="Обычный 32 4" xfId="2235" xr:uid="{00000000-0005-0000-0000-00000C0E0000}"/>
    <cellStyle name="Обычный 32 5" xfId="4735" xr:uid="{00000000-0005-0000-0000-00000D0E0000}"/>
    <cellStyle name="Обычный 32 6" xfId="4736" xr:uid="{00000000-0005-0000-0000-00000E0E0000}"/>
    <cellStyle name="Обычный 32 7" xfId="4737" xr:uid="{00000000-0005-0000-0000-00000F0E0000}"/>
    <cellStyle name="Обычный 32 7 2" xfId="4738" xr:uid="{00000000-0005-0000-0000-0000100E0000}"/>
    <cellStyle name="Обычный 32 7_ТУП" xfId="4739" xr:uid="{00000000-0005-0000-0000-0000110E0000}"/>
    <cellStyle name="Обычный 32_Свод гостин" xfId="3634" xr:uid="{00000000-0005-0000-0000-0000120E0000}"/>
    <cellStyle name="Обычный 33" xfId="70" xr:uid="{00000000-0005-0000-0000-0000130E0000}"/>
    <cellStyle name="Обычный 33 2" xfId="2236" xr:uid="{00000000-0005-0000-0000-0000140E0000}"/>
    <cellStyle name="Обычный 33 2 2" xfId="2237" xr:uid="{00000000-0005-0000-0000-0000150E0000}"/>
    <cellStyle name="Обычный 33 2 3" xfId="4740" xr:uid="{00000000-0005-0000-0000-0000160E0000}"/>
    <cellStyle name="Обычный 33 2_Свод гостин" xfId="3635" xr:uid="{00000000-0005-0000-0000-0000170E0000}"/>
    <cellStyle name="Обычный 33 3" xfId="2238" xr:uid="{00000000-0005-0000-0000-0000180E0000}"/>
    <cellStyle name="Обычный 33 3 2" xfId="2239" xr:uid="{00000000-0005-0000-0000-0000190E0000}"/>
    <cellStyle name="Обычный 33 4" xfId="2240" xr:uid="{00000000-0005-0000-0000-00001A0E0000}"/>
    <cellStyle name="Обычный 33 5" xfId="4741" xr:uid="{00000000-0005-0000-0000-00001B0E0000}"/>
    <cellStyle name="Обычный 33 6" xfId="4742" xr:uid="{00000000-0005-0000-0000-00001C0E0000}"/>
    <cellStyle name="Обычный 33_Свод гостин" xfId="3636" xr:uid="{00000000-0005-0000-0000-00001D0E0000}"/>
    <cellStyle name="Обычный 34" xfId="71" xr:uid="{00000000-0005-0000-0000-00001E0E0000}"/>
    <cellStyle name="Обычный 35" xfId="72" xr:uid="{00000000-0005-0000-0000-00001F0E0000}"/>
    <cellStyle name="Обычный 35 2" xfId="2241" xr:uid="{00000000-0005-0000-0000-0000200E0000}"/>
    <cellStyle name="Обычный 35 2 2" xfId="4743" xr:uid="{00000000-0005-0000-0000-0000210E0000}"/>
    <cellStyle name="Обычный 35_Свод гостин" xfId="3637" xr:uid="{00000000-0005-0000-0000-0000220E0000}"/>
    <cellStyle name="Обычный 36" xfId="73" xr:uid="{00000000-0005-0000-0000-0000230E0000}"/>
    <cellStyle name="Обычный 36 2" xfId="2242" xr:uid="{00000000-0005-0000-0000-0000240E0000}"/>
    <cellStyle name="Обычный 36 2 2" xfId="4744" xr:uid="{00000000-0005-0000-0000-0000250E0000}"/>
    <cellStyle name="Обычный 36_Свод гостин" xfId="3638" xr:uid="{00000000-0005-0000-0000-0000260E0000}"/>
    <cellStyle name="Обычный 37" xfId="74" xr:uid="{00000000-0005-0000-0000-0000270E0000}"/>
    <cellStyle name="Обычный 37 2" xfId="2243" xr:uid="{00000000-0005-0000-0000-0000280E0000}"/>
    <cellStyle name="Обычный 37 2 2" xfId="4745" xr:uid="{00000000-0005-0000-0000-0000290E0000}"/>
    <cellStyle name="Обычный 37 2 3" xfId="4746" xr:uid="{00000000-0005-0000-0000-00002A0E0000}"/>
    <cellStyle name="Обычный 37 2_ТУП" xfId="4747" xr:uid="{00000000-0005-0000-0000-00002B0E0000}"/>
    <cellStyle name="Обычный 37_Свод гостин" xfId="3639" xr:uid="{00000000-0005-0000-0000-00002C0E0000}"/>
    <cellStyle name="Обычный 38" xfId="75" xr:uid="{00000000-0005-0000-0000-00002D0E0000}"/>
    <cellStyle name="Обычный 38 2" xfId="2244" xr:uid="{00000000-0005-0000-0000-00002E0E0000}"/>
    <cellStyle name="Обычный 39" xfId="76" xr:uid="{00000000-0005-0000-0000-00002F0E0000}"/>
    <cellStyle name="Обычный 39 2" xfId="2245" xr:uid="{00000000-0005-0000-0000-0000300E0000}"/>
    <cellStyle name="Обычный 39_Свод гостин" xfId="3640" xr:uid="{00000000-0005-0000-0000-0000310E0000}"/>
    <cellStyle name="Обычный 4" xfId="77" xr:uid="{00000000-0005-0000-0000-0000320E0000}"/>
    <cellStyle name="Обычный 4 10" xfId="2246" xr:uid="{00000000-0005-0000-0000-0000330E0000}"/>
    <cellStyle name="Обычный 4 11" xfId="78" xr:uid="{00000000-0005-0000-0000-0000340E0000}"/>
    <cellStyle name="Обычный 4 12" xfId="3641" xr:uid="{00000000-0005-0000-0000-0000350E0000}"/>
    <cellStyle name="Обычный 4 13" xfId="3642" xr:uid="{00000000-0005-0000-0000-0000360E0000}"/>
    <cellStyle name="Обычный 4 14" xfId="4748" xr:uid="{00000000-0005-0000-0000-0000370E0000}"/>
    <cellStyle name="Обычный 4 15" xfId="4749" xr:uid="{00000000-0005-0000-0000-0000380E0000}"/>
    <cellStyle name="Обычный 4 16" xfId="4750" xr:uid="{00000000-0005-0000-0000-0000390E0000}"/>
    <cellStyle name="Обычный 4 17" xfId="4751" xr:uid="{00000000-0005-0000-0000-00003A0E0000}"/>
    <cellStyle name="Обычный 4 18" xfId="4752" xr:uid="{00000000-0005-0000-0000-00003B0E0000}"/>
    <cellStyle name="Обычный 4 19" xfId="4753" xr:uid="{00000000-0005-0000-0000-00003C0E0000}"/>
    <cellStyle name="Обычный 4 2" xfId="79" xr:uid="{00000000-0005-0000-0000-00003D0E0000}"/>
    <cellStyle name="Обычный 4 2 2" xfId="80" xr:uid="{00000000-0005-0000-0000-00003E0E0000}"/>
    <cellStyle name="Обычный 4 2 2 2" xfId="2247" xr:uid="{00000000-0005-0000-0000-00003F0E0000}"/>
    <cellStyle name="Обычный 4 2 2 2 2" xfId="4754" xr:uid="{00000000-0005-0000-0000-0000400E0000}"/>
    <cellStyle name="Обычный 4 2 2 2 3" xfId="4755" xr:uid="{00000000-0005-0000-0000-0000410E0000}"/>
    <cellStyle name="Обычный 4 2 2 2_ТУП" xfId="4756" xr:uid="{00000000-0005-0000-0000-0000420E0000}"/>
    <cellStyle name="Обычный 4 2 2 3" xfId="4757" xr:uid="{00000000-0005-0000-0000-0000430E0000}"/>
    <cellStyle name="Обычный 4 2 2 4" xfId="4758" xr:uid="{00000000-0005-0000-0000-0000440E0000}"/>
    <cellStyle name="Обычный 4 2 2 5" xfId="4759" xr:uid="{00000000-0005-0000-0000-0000450E0000}"/>
    <cellStyle name="Обычный 4 2 2 6" xfId="4760" xr:uid="{00000000-0005-0000-0000-0000460E0000}"/>
    <cellStyle name="Обычный 4 2 2_Свод гостин" xfId="3643" xr:uid="{00000000-0005-0000-0000-0000470E0000}"/>
    <cellStyle name="Обычный 4 2 3" xfId="2248" xr:uid="{00000000-0005-0000-0000-0000480E0000}"/>
    <cellStyle name="Обычный 4 2 3 2" xfId="2249" xr:uid="{00000000-0005-0000-0000-0000490E0000}"/>
    <cellStyle name="Обычный 4 2 3 3" xfId="4761" xr:uid="{00000000-0005-0000-0000-00004A0E0000}"/>
    <cellStyle name="Обычный 4 2 3_Свод гостин" xfId="3644" xr:uid="{00000000-0005-0000-0000-00004B0E0000}"/>
    <cellStyle name="Обычный 4 2 4" xfId="2250" xr:uid="{00000000-0005-0000-0000-00004C0E0000}"/>
    <cellStyle name="Обычный 4 2 4 2" xfId="2251" xr:uid="{00000000-0005-0000-0000-00004D0E0000}"/>
    <cellStyle name="Обычный 4 2 4 3" xfId="2252" xr:uid="{00000000-0005-0000-0000-00004E0E0000}"/>
    <cellStyle name="Обычный 4 2 4 4" xfId="2253" xr:uid="{00000000-0005-0000-0000-00004F0E0000}"/>
    <cellStyle name="Обычный 4 2 5" xfId="2254" xr:uid="{00000000-0005-0000-0000-0000500E0000}"/>
    <cellStyle name="Обычный 4 2 5 2" xfId="2255" xr:uid="{00000000-0005-0000-0000-0000510E0000}"/>
    <cellStyle name="Обычный 4 2 6" xfId="2256" xr:uid="{00000000-0005-0000-0000-0000520E0000}"/>
    <cellStyle name="Обычный 4 2 7" xfId="3645" xr:uid="{00000000-0005-0000-0000-0000530E0000}"/>
    <cellStyle name="Обычный 4 2 8" xfId="3646" xr:uid="{00000000-0005-0000-0000-0000540E0000}"/>
    <cellStyle name="Обычный 4 2 9" xfId="3647" xr:uid="{00000000-0005-0000-0000-0000550E0000}"/>
    <cellStyle name="Обычный 4 2_бюджет 2013 МБ" xfId="81" xr:uid="{00000000-0005-0000-0000-0000560E0000}"/>
    <cellStyle name="Обычный 4 20" xfId="4762" xr:uid="{00000000-0005-0000-0000-0000570E0000}"/>
    <cellStyle name="Обычный 4 21" xfId="4763" xr:uid="{00000000-0005-0000-0000-0000580E0000}"/>
    <cellStyle name="Обычный 4 22" xfId="4764" xr:uid="{00000000-0005-0000-0000-0000590E0000}"/>
    <cellStyle name="Обычный 4 3" xfId="82" xr:uid="{00000000-0005-0000-0000-00005A0E0000}"/>
    <cellStyle name="Обычный 4 3 2" xfId="2257" xr:uid="{00000000-0005-0000-0000-00005B0E0000}"/>
    <cellStyle name="Обычный 4 3 3" xfId="2258" xr:uid="{00000000-0005-0000-0000-00005C0E0000}"/>
    <cellStyle name="Обычный 4 3 4" xfId="3648" xr:uid="{00000000-0005-0000-0000-00005D0E0000}"/>
    <cellStyle name="Обычный 4 3 5" xfId="3649" xr:uid="{00000000-0005-0000-0000-00005E0E0000}"/>
    <cellStyle name="Обычный 4 3_Свод гостин" xfId="3650" xr:uid="{00000000-0005-0000-0000-00005F0E0000}"/>
    <cellStyle name="Обычный 4 4" xfId="83" xr:uid="{00000000-0005-0000-0000-0000600E0000}"/>
    <cellStyle name="Обычный 4 4 2" xfId="3651" xr:uid="{00000000-0005-0000-0000-0000610E0000}"/>
    <cellStyle name="Обычный 4 4 3" xfId="3652" xr:uid="{00000000-0005-0000-0000-0000620E0000}"/>
    <cellStyle name="Обычный 4 5" xfId="84" xr:uid="{00000000-0005-0000-0000-0000630E0000}"/>
    <cellStyle name="Обычный 4 5 2" xfId="3653" xr:uid="{00000000-0005-0000-0000-0000640E0000}"/>
    <cellStyle name="Обычный 4 5 3" xfId="3654" xr:uid="{00000000-0005-0000-0000-0000650E0000}"/>
    <cellStyle name="Обычный 4 6" xfId="85" xr:uid="{00000000-0005-0000-0000-0000660E0000}"/>
    <cellStyle name="Обычный 4 6 2" xfId="3655" xr:uid="{00000000-0005-0000-0000-0000670E0000}"/>
    <cellStyle name="Обычный 4 6 3" xfId="3656" xr:uid="{00000000-0005-0000-0000-0000680E0000}"/>
    <cellStyle name="Обычный 4 7" xfId="86" xr:uid="{00000000-0005-0000-0000-0000690E0000}"/>
    <cellStyle name="Обычный 4 7 2" xfId="3657" xr:uid="{00000000-0005-0000-0000-00006A0E0000}"/>
    <cellStyle name="Обычный 4 7 3" xfId="3658" xr:uid="{00000000-0005-0000-0000-00006B0E0000}"/>
    <cellStyle name="Обычный 4 8" xfId="2259" xr:uid="{00000000-0005-0000-0000-00006C0E0000}"/>
    <cellStyle name="Обычный 4 9" xfId="2260" xr:uid="{00000000-0005-0000-0000-00006D0E0000}"/>
    <cellStyle name="Обычный 4_Свод гостин" xfId="3659" xr:uid="{00000000-0005-0000-0000-00006E0E0000}"/>
    <cellStyle name="Обычный 40" xfId="87" xr:uid="{00000000-0005-0000-0000-00006F0E0000}"/>
    <cellStyle name="Обычный 40 2" xfId="2261" xr:uid="{00000000-0005-0000-0000-0000700E0000}"/>
    <cellStyle name="Обычный 40_Свод гостин" xfId="3660" xr:uid="{00000000-0005-0000-0000-0000710E0000}"/>
    <cellStyle name="Обычный 41" xfId="88" xr:uid="{00000000-0005-0000-0000-0000720E0000}"/>
    <cellStyle name="Обычный 41 2" xfId="2262" xr:uid="{00000000-0005-0000-0000-0000730E0000}"/>
    <cellStyle name="Обычный 41_Свод гостин" xfId="3661" xr:uid="{00000000-0005-0000-0000-0000740E0000}"/>
    <cellStyle name="Обычный 42" xfId="89" xr:uid="{00000000-0005-0000-0000-0000750E0000}"/>
    <cellStyle name="Обычный 42 2" xfId="2263" xr:uid="{00000000-0005-0000-0000-0000760E0000}"/>
    <cellStyle name="Обычный 42 3" xfId="2264" xr:uid="{00000000-0005-0000-0000-0000770E0000}"/>
    <cellStyle name="Обычный 42 4" xfId="3662" xr:uid="{00000000-0005-0000-0000-0000780E0000}"/>
    <cellStyle name="Обычный 42 5" xfId="3663" xr:uid="{00000000-0005-0000-0000-0000790E0000}"/>
    <cellStyle name="Обычный 42_Свод гостин" xfId="3664" xr:uid="{00000000-0005-0000-0000-00007A0E0000}"/>
    <cellStyle name="Обычный 43" xfId="90" xr:uid="{00000000-0005-0000-0000-00007B0E0000}"/>
    <cellStyle name="Обычный 43 2" xfId="2265" xr:uid="{00000000-0005-0000-0000-00007C0E0000}"/>
    <cellStyle name="Обычный 43 3" xfId="3665" xr:uid="{00000000-0005-0000-0000-00007D0E0000}"/>
    <cellStyle name="Обычный 43 4" xfId="3666" xr:uid="{00000000-0005-0000-0000-00007E0E0000}"/>
    <cellStyle name="Обычный 43_Свод гостин" xfId="3667" xr:uid="{00000000-0005-0000-0000-00007F0E0000}"/>
    <cellStyle name="Обычный 44" xfId="91" xr:uid="{00000000-0005-0000-0000-0000800E0000}"/>
    <cellStyle name="Обычный 44 2" xfId="2266" xr:uid="{00000000-0005-0000-0000-0000810E0000}"/>
    <cellStyle name="Обычный 44 3" xfId="3668" xr:uid="{00000000-0005-0000-0000-0000820E0000}"/>
    <cellStyle name="Обычный 44 4" xfId="3669" xr:uid="{00000000-0005-0000-0000-0000830E0000}"/>
    <cellStyle name="Обычный 44_Свод гостин" xfId="3670" xr:uid="{00000000-0005-0000-0000-0000840E0000}"/>
    <cellStyle name="Обычный 45" xfId="92" xr:uid="{00000000-0005-0000-0000-0000850E0000}"/>
    <cellStyle name="Обычный 45 2" xfId="3671" xr:uid="{00000000-0005-0000-0000-0000860E0000}"/>
    <cellStyle name="Обычный 45 3" xfId="3672" xr:uid="{00000000-0005-0000-0000-0000870E0000}"/>
    <cellStyle name="Обычный 46" xfId="2267" xr:uid="{00000000-0005-0000-0000-0000880E0000}"/>
    <cellStyle name="Обычный 46 2" xfId="93" xr:uid="{00000000-0005-0000-0000-0000890E0000}"/>
    <cellStyle name="Обычный 46 2 2" xfId="2268" xr:uid="{00000000-0005-0000-0000-00008A0E0000}"/>
    <cellStyle name="Обычный 46 2 3" xfId="3673" xr:uid="{00000000-0005-0000-0000-00008B0E0000}"/>
    <cellStyle name="Обычный 46 2 4" xfId="3674" xr:uid="{00000000-0005-0000-0000-00008C0E0000}"/>
    <cellStyle name="Обычный 46 2_Свод гостин" xfId="3675" xr:uid="{00000000-0005-0000-0000-00008D0E0000}"/>
    <cellStyle name="Обычный 46 3" xfId="2269" xr:uid="{00000000-0005-0000-0000-00008E0E0000}"/>
    <cellStyle name="Обычный 46 4" xfId="2270" xr:uid="{00000000-0005-0000-0000-00008F0E0000}"/>
    <cellStyle name="Обычный 46_Свод гостин" xfId="3676" xr:uid="{00000000-0005-0000-0000-0000900E0000}"/>
    <cellStyle name="Обычный 47" xfId="94" xr:uid="{00000000-0005-0000-0000-0000910E0000}"/>
    <cellStyle name="Обычный 47 2" xfId="2271" xr:uid="{00000000-0005-0000-0000-0000920E0000}"/>
    <cellStyle name="Обычный 47 2 2" xfId="4765" xr:uid="{00000000-0005-0000-0000-0000930E0000}"/>
    <cellStyle name="Обычный 47 3" xfId="4429" xr:uid="{00000000-0005-0000-0000-0000940E0000}"/>
    <cellStyle name="Обычный 47 7" xfId="4430" xr:uid="{00000000-0005-0000-0000-0000950E0000}"/>
    <cellStyle name="Обычный 47_Свод гостин" xfId="3677" xr:uid="{00000000-0005-0000-0000-0000960E0000}"/>
    <cellStyle name="Обычный 48" xfId="2272" xr:uid="{00000000-0005-0000-0000-0000970E0000}"/>
    <cellStyle name="Обычный 48 2" xfId="2273" xr:uid="{00000000-0005-0000-0000-0000980E0000}"/>
    <cellStyle name="Обычный 48_Свод гостин" xfId="3678" xr:uid="{00000000-0005-0000-0000-0000990E0000}"/>
    <cellStyle name="Обычный 49" xfId="2274" xr:uid="{00000000-0005-0000-0000-00009A0E0000}"/>
    <cellStyle name="Обычный 49 2" xfId="2275" xr:uid="{00000000-0005-0000-0000-00009B0E0000}"/>
    <cellStyle name="Обычный 49 2 2" xfId="4431" xr:uid="{00000000-0005-0000-0000-00009C0E0000}"/>
    <cellStyle name="Обычный 49_Свод гостин" xfId="3679" xr:uid="{00000000-0005-0000-0000-00009D0E0000}"/>
    <cellStyle name="Обычный 5" xfId="95" xr:uid="{00000000-0005-0000-0000-00009E0E0000}"/>
    <cellStyle name="Обычный 5 10" xfId="3680" xr:uid="{00000000-0005-0000-0000-00009F0E0000}"/>
    <cellStyle name="Обычный 5 11" xfId="3681" xr:uid="{00000000-0005-0000-0000-0000A00E0000}"/>
    <cellStyle name="Обычный 5 12" xfId="3682" xr:uid="{00000000-0005-0000-0000-0000A10E0000}"/>
    <cellStyle name="Обычный 5 2" xfId="96" xr:uid="{00000000-0005-0000-0000-0000A20E0000}"/>
    <cellStyle name="Обычный 5 3" xfId="97" xr:uid="{00000000-0005-0000-0000-0000A30E0000}"/>
    <cellStyle name="Обычный 5 4" xfId="98" xr:uid="{00000000-0005-0000-0000-0000A40E0000}"/>
    <cellStyle name="Обычный 5 5" xfId="2276" xr:uid="{00000000-0005-0000-0000-0000A50E0000}"/>
    <cellStyle name="Обычный 5 5 2" xfId="2277" xr:uid="{00000000-0005-0000-0000-0000A60E0000}"/>
    <cellStyle name="Обычный 5 5_Свод гостин" xfId="3683" xr:uid="{00000000-0005-0000-0000-0000A70E0000}"/>
    <cellStyle name="Обычный 5 6" xfId="2278" xr:uid="{00000000-0005-0000-0000-0000A80E0000}"/>
    <cellStyle name="Обычный 5 6 2" xfId="2279" xr:uid="{00000000-0005-0000-0000-0000A90E0000}"/>
    <cellStyle name="Обычный 5 6_Свод гостин" xfId="3684" xr:uid="{00000000-0005-0000-0000-0000AA0E0000}"/>
    <cellStyle name="Обычный 5 7" xfId="2280" xr:uid="{00000000-0005-0000-0000-0000AB0E0000}"/>
    <cellStyle name="Обычный 5 8" xfId="3685" xr:uid="{00000000-0005-0000-0000-0000AC0E0000}"/>
    <cellStyle name="Обычный 5 9" xfId="3686" xr:uid="{00000000-0005-0000-0000-0000AD0E0000}"/>
    <cellStyle name="Обычный 5_Свод гостин" xfId="3687" xr:uid="{00000000-0005-0000-0000-0000AE0E0000}"/>
    <cellStyle name="Обычный 50" xfId="2281" xr:uid="{00000000-0005-0000-0000-0000AF0E0000}"/>
    <cellStyle name="Обычный 50 2" xfId="2282" xr:uid="{00000000-0005-0000-0000-0000B00E0000}"/>
    <cellStyle name="Обычный 50_Свод гостин" xfId="3688" xr:uid="{00000000-0005-0000-0000-0000B10E0000}"/>
    <cellStyle name="Обычный 51" xfId="2283" xr:uid="{00000000-0005-0000-0000-0000B20E0000}"/>
    <cellStyle name="Обычный 51 2" xfId="2284" xr:uid="{00000000-0005-0000-0000-0000B30E0000}"/>
    <cellStyle name="Обычный 51_Свод гостин" xfId="3689" xr:uid="{00000000-0005-0000-0000-0000B40E0000}"/>
    <cellStyle name="Обычный 52" xfId="2285" xr:uid="{00000000-0005-0000-0000-0000B50E0000}"/>
    <cellStyle name="Обычный 52 2" xfId="2286" xr:uid="{00000000-0005-0000-0000-0000B60E0000}"/>
    <cellStyle name="Обычный 52_Свод гостин" xfId="3690" xr:uid="{00000000-0005-0000-0000-0000B70E0000}"/>
    <cellStyle name="Обычный 53" xfId="2287" xr:uid="{00000000-0005-0000-0000-0000B80E0000}"/>
    <cellStyle name="Обычный 53 10" xfId="99" xr:uid="{00000000-0005-0000-0000-0000B90E0000}"/>
    <cellStyle name="Обычный 53 2" xfId="2288" xr:uid="{00000000-0005-0000-0000-0000BA0E0000}"/>
    <cellStyle name="Обычный 53 2 2" xfId="4766" xr:uid="{00000000-0005-0000-0000-0000BB0E0000}"/>
    <cellStyle name="Обычный 53 2 4 2" xfId="100" xr:uid="{00000000-0005-0000-0000-0000BC0E0000}"/>
    <cellStyle name="Обычный 53 3" xfId="2289" xr:uid="{00000000-0005-0000-0000-0000BD0E0000}"/>
    <cellStyle name="Обычный 53 4" xfId="2290" xr:uid="{00000000-0005-0000-0000-0000BE0E0000}"/>
    <cellStyle name="Обычный 53_Свод гостин" xfId="3691" xr:uid="{00000000-0005-0000-0000-0000BF0E0000}"/>
    <cellStyle name="Обычный 54" xfId="2291" xr:uid="{00000000-0005-0000-0000-0000C00E0000}"/>
    <cellStyle name="Обычный 54 2" xfId="2292" xr:uid="{00000000-0005-0000-0000-0000C10E0000}"/>
    <cellStyle name="Обычный 54_Свод гостин" xfId="3692" xr:uid="{00000000-0005-0000-0000-0000C20E0000}"/>
    <cellStyle name="Обычный 55" xfId="2293" xr:uid="{00000000-0005-0000-0000-0000C30E0000}"/>
    <cellStyle name="Обычный 55 2" xfId="2294" xr:uid="{00000000-0005-0000-0000-0000C40E0000}"/>
    <cellStyle name="Обычный 55_Свод гостин" xfId="3693" xr:uid="{00000000-0005-0000-0000-0000C50E0000}"/>
    <cellStyle name="Обычный 56" xfId="2295" xr:uid="{00000000-0005-0000-0000-0000C60E0000}"/>
    <cellStyle name="Обычный 56 2" xfId="2296" xr:uid="{00000000-0005-0000-0000-0000C70E0000}"/>
    <cellStyle name="Обычный 56 3" xfId="2297" xr:uid="{00000000-0005-0000-0000-0000C80E0000}"/>
    <cellStyle name="Обычный 56_Свод гостин" xfId="3694" xr:uid="{00000000-0005-0000-0000-0000C90E0000}"/>
    <cellStyle name="Обычный 57" xfId="2298" xr:uid="{00000000-0005-0000-0000-0000CA0E0000}"/>
    <cellStyle name="Обычный 57 2" xfId="2299" xr:uid="{00000000-0005-0000-0000-0000CB0E0000}"/>
    <cellStyle name="Обычный 57 3" xfId="2300" xr:uid="{00000000-0005-0000-0000-0000CC0E0000}"/>
    <cellStyle name="Обычный 57_Свод гостин" xfId="3695" xr:uid="{00000000-0005-0000-0000-0000CD0E0000}"/>
    <cellStyle name="Обычный 58" xfId="2301" xr:uid="{00000000-0005-0000-0000-0000CE0E0000}"/>
    <cellStyle name="Обычный 58 2" xfId="2302" xr:uid="{00000000-0005-0000-0000-0000CF0E0000}"/>
    <cellStyle name="Обычный 58_Свод гостин" xfId="3696" xr:uid="{00000000-0005-0000-0000-0000D00E0000}"/>
    <cellStyle name="Обычный 59" xfId="2303" xr:uid="{00000000-0005-0000-0000-0000D10E0000}"/>
    <cellStyle name="Обычный 59 2" xfId="2304" xr:uid="{00000000-0005-0000-0000-0000D20E0000}"/>
    <cellStyle name="Обычный 59 3" xfId="2305" xr:uid="{00000000-0005-0000-0000-0000D30E0000}"/>
    <cellStyle name="Обычный 59_Свод гостин" xfId="3697" xr:uid="{00000000-0005-0000-0000-0000D40E0000}"/>
    <cellStyle name="Обычный 6" xfId="101" xr:uid="{00000000-0005-0000-0000-0000D50E0000}"/>
    <cellStyle name="Обычный 6 10" xfId="3698" xr:uid="{00000000-0005-0000-0000-0000D60E0000}"/>
    <cellStyle name="Обычный 6 11" xfId="3699" xr:uid="{00000000-0005-0000-0000-0000D70E0000}"/>
    <cellStyle name="Обычный 6 2" xfId="2306" xr:uid="{00000000-0005-0000-0000-0000D80E0000}"/>
    <cellStyle name="Обычный 6 2 2" xfId="2307" xr:uid="{00000000-0005-0000-0000-0000D90E0000}"/>
    <cellStyle name="Обычный 6 2_Свод гостин" xfId="3700" xr:uid="{00000000-0005-0000-0000-0000DA0E0000}"/>
    <cellStyle name="Обычный 6 3" xfId="2308" xr:uid="{00000000-0005-0000-0000-0000DB0E0000}"/>
    <cellStyle name="Обычный 6 3 2" xfId="2309" xr:uid="{00000000-0005-0000-0000-0000DC0E0000}"/>
    <cellStyle name="Обычный 6 3_Свод гостин" xfId="3701" xr:uid="{00000000-0005-0000-0000-0000DD0E0000}"/>
    <cellStyle name="Обычный 6 4" xfId="2310" xr:uid="{00000000-0005-0000-0000-0000DE0E0000}"/>
    <cellStyle name="Обычный 6 4 2" xfId="2311" xr:uid="{00000000-0005-0000-0000-0000DF0E0000}"/>
    <cellStyle name="Обычный 6 4_Свод гостин" xfId="3702" xr:uid="{00000000-0005-0000-0000-0000E00E0000}"/>
    <cellStyle name="Обычный 6 5" xfId="2312" xr:uid="{00000000-0005-0000-0000-0000E10E0000}"/>
    <cellStyle name="Обычный 6 6" xfId="3703" xr:uid="{00000000-0005-0000-0000-0000E20E0000}"/>
    <cellStyle name="Обычный 6 7" xfId="3704" xr:uid="{00000000-0005-0000-0000-0000E30E0000}"/>
    <cellStyle name="Обычный 6 8" xfId="3705" xr:uid="{00000000-0005-0000-0000-0000E40E0000}"/>
    <cellStyle name="Обычный 6 9" xfId="3706" xr:uid="{00000000-0005-0000-0000-0000E50E0000}"/>
    <cellStyle name="Обычный 6_Свод гостин" xfId="3707" xr:uid="{00000000-0005-0000-0000-0000E60E0000}"/>
    <cellStyle name="Обычный 60" xfId="2313" xr:uid="{00000000-0005-0000-0000-0000E70E0000}"/>
    <cellStyle name="Обычный 60 2" xfId="102" xr:uid="{00000000-0005-0000-0000-0000E80E0000}"/>
    <cellStyle name="Обычный 60_Свод гостин" xfId="3708" xr:uid="{00000000-0005-0000-0000-0000E90E0000}"/>
    <cellStyle name="Обычный 61" xfId="2314" xr:uid="{00000000-0005-0000-0000-0000EA0E0000}"/>
    <cellStyle name="Обычный 61 2" xfId="2315" xr:uid="{00000000-0005-0000-0000-0000EB0E0000}"/>
    <cellStyle name="Обычный 61_Свод гостин" xfId="3709" xr:uid="{00000000-0005-0000-0000-0000EC0E0000}"/>
    <cellStyle name="Обычный 62" xfId="2316" xr:uid="{00000000-0005-0000-0000-0000ED0E0000}"/>
    <cellStyle name="Обычный 62 2" xfId="2317" xr:uid="{00000000-0005-0000-0000-0000EE0E0000}"/>
    <cellStyle name="Обычный 62_Свод гостин" xfId="3710" xr:uid="{00000000-0005-0000-0000-0000EF0E0000}"/>
    <cellStyle name="Обычный 63" xfId="2318" xr:uid="{00000000-0005-0000-0000-0000F00E0000}"/>
    <cellStyle name="Обычный 63 2" xfId="2319" xr:uid="{00000000-0005-0000-0000-0000F10E0000}"/>
    <cellStyle name="Обычный 63_Свод гостин" xfId="3711" xr:uid="{00000000-0005-0000-0000-0000F20E0000}"/>
    <cellStyle name="Обычный 64" xfId="2320" xr:uid="{00000000-0005-0000-0000-0000F30E0000}"/>
    <cellStyle name="Обычный 65" xfId="103" xr:uid="{00000000-0005-0000-0000-0000F40E0000}"/>
    <cellStyle name="Обычный 66" xfId="3712" xr:uid="{00000000-0005-0000-0000-0000F50E0000}"/>
    <cellStyle name="Обычный 67" xfId="3713" xr:uid="{00000000-0005-0000-0000-0000F60E0000}"/>
    <cellStyle name="Обычный 68" xfId="3714" xr:uid="{00000000-0005-0000-0000-0000F70E0000}"/>
    <cellStyle name="Обычный 69" xfId="3715" xr:uid="{00000000-0005-0000-0000-0000F80E0000}"/>
    <cellStyle name="Обычный 7" xfId="104" xr:uid="{00000000-0005-0000-0000-0000F90E0000}"/>
    <cellStyle name="Обычный 7 2" xfId="105" xr:uid="{00000000-0005-0000-0000-0000FA0E0000}"/>
    <cellStyle name="Обычный 7 2 2" xfId="2321" xr:uid="{00000000-0005-0000-0000-0000FB0E0000}"/>
    <cellStyle name="Обычный 7 2 3" xfId="3716" xr:uid="{00000000-0005-0000-0000-0000FC0E0000}"/>
    <cellStyle name="Обычный 7 2 4" xfId="3717" xr:uid="{00000000-0005-0000-0000-0000FD0E0000}"/>
    <cellStyle name="Обычный 7 2_Свод гостин" xfId="3718" xr:uid="{00000000-0005-0000-0000-0000FE0E0000}"/>
    <cellStyle name="Обычный 7 3" xfId="2322" xr:uid="{00000000-0005-0000-0000-0000FF0E0000}"/>
    <cellStyle name="Обычный 7 3 2" xfId="2323" xr:uid="{00000000-0005-0000-0000-0000000F0000}"/>
    <cellStyle name="Обычный 7 3_Свод гостин" xfId="3719" xr:uid="{00000000-0005-0000-0000-0000010F0000}"/>
    <cellStyle name="Обычный 7 4" xfId="2324" xr:uid="{00000000-0005-0000-0000-0000020F0000}"/>
    <cellStyle name="Обычный 7 5" xfId="3720" xr:uid="{00000000-0005-0000-0000-0000030F0000}"/>
    <cellStyle name="Обычный 7 6" xfId="3721" xr:uid="{00000000-0005-0000-0000-0000040F0000}"/>
    <cellStyle name="Обычный 7 7" xfId="3722" xr:uid="{00000000-0005-0000-0000-0000050F0000}"/>
    <cellStyle name="Обычный 7_Свод гостин" xfId="3723" xr:uid="{00000000-0005-0000-0000-0000060F0000}"/>
    <cellStyle name="Обычный 70" xfId="106" xr:uid="{00000000-0005-0000-0000-0000070F0000}"/>
    <cellStyle name="Обычный 71" xfId="3724" xr:uid="{00000000-0005-0000-0000-0000080F0000}"/>
    <cellStyle name="Обычный 72" xfId="4767" xr:uid="{00000000-0005-0000-0000-0000090F0000}"/>
    <cellStyle name="Обычный 73" xfId="4768" xr:uid="{00000000-0005-0000-0000-00000A0F0000}"/>
    <cellStyle name="Обычный 74" xfId="4769" xr:uid="{00000000-0005-0000-0000-00000B0F0000}"/>
    <cellStyle name="Обычный 75" xfId="4770" xr:uid="{00000000-0005-0000-0000-00000C0F0000}"/>
    <cellStyle name="Обычный 76" xfId="4771" xr:uid="{00000000-0005-0000-0000-00000D0F0000}"/>
    <cellStyle name="Обычный 77" xfId="4772" xr:uid="{00000000-0005-0000-0000-00000E0F0000}"/>
    <cellStyle name="Обычный 78" xfId="4773" xr:uid="{00000000-0005-0000-0000-00000F0F0000}"/>
    <cellStyle name="Обычный 79" xfId="4774" xr:uid="{00000000-0005-0000-0000-0000100F0000}"/>
    <cellStyle name="Обычный 8" xfId="107" xr:uid="{00000000-0005-0000-0000-0000110F0000}"/>
    <cellStyle name="Обычный 8 10" xfId="4443" xr:uid="{00000000-0005-0000-0000-0000120F0000}"/>
    <cellStyle name="Обычный 8 2" xfId="108" xr:uid="{00000000-0005-0000-0000-0000130F0000}"/>
    <cellStyle name="Обычный 8 2 2" xfId="2325" xr:uid="{00000000-0005-0000-0000-0000140F0000}"/>
    <cellStyle name="Обычный 8 2 2 2" xfId="4775" xr:uid="{00000000-0005-0000-0000-0000150F0000}"/>
    <cellStyle name="Обычный 8 2 2 3" xfId="4776" xr:uid="{00000000-0005-0000-0000-0000160F0000}"/>
    <cellStyle name="Обычный 8 2 2_ТУП" xfId="4777" xr:uid="{00000000-0005-0000-0000-0000170F0000}"/>
    <cellStyle name="Обычный 8 2 3" xfId="3725" xr:uid="{00000000-0005-0000-0000-0000180F0000}"/>
    <cellStyle name="Обычный 8 2 4" xfId="3726" xr:uid="{00000000-0005-0000-0000-0000190F0000}"/>
    <cellStyle name="Обычный 8 2 5" xfId="4778" xr:uid="{00000000-0005-0000-0000-00001A0F0000}"/>
    <cellStyle name="Обычный 8 2 6" xfId="4779" xr:uid="{00000000-0005-0000-0000-00001B0F0000}"/>
    <cellStyle name="Обычный 8 2_Свод гостин" xfId="3727" xr:uid="{00000000-0005-0000-0000-00001C0F0000}"/>
    <cellStyle name="Обычный 8 3" xfId="2326" xr:uid="{00000000-0005-0000-0000-00001D0F0000}"/>
    <cellStyle name="Обычный 8 3 2" xfId="4780" xr:uid="{00000000-0005-0000-0000-00001E0F0000}"/>
    <cellStyle name="Обычный 8 3 3" xfId="4781" xr:uid="{00000000-0005-0000-0000-00001F0F0000}"/>
    <cellStyle name="Обычный 8 3_ТУП" xfId="4782" xr:uid="{00000000-0005-0000-0000-0000200F0000}"/>
    <cellStyle name="Обычный 8 4" xfId="3728" xr:uid="{00000000-0005-0000-0000-0000210F0000}"/>
    <cellStyle name="Обычный 8 5" xfId="3729" xr:uid="{00000000-0005-0000-0000-0000220F0000}"/>
    <cellStyle name="Обычный 8 6" xfId="3730" xr:uid="{00000000-0005-0000-0000-0000230F0000}"/>
    <cellStyle name="Обычный 8 7" xfId="3731" xr:uid="{00000000-0005-0000-0000-0000240F0000}"/>
    <cellStyle name="Обычный 8 8" xfId="3732" xr:uid="{00000000-0005-0000-0000-0000250F0000}"/>
    <cellStyle name="Обычный 8 9" xfId="3733" xr:uid="{00000000-0005-0000-0000-0000260F0000}"/>
    <cellStyle name="Обычный 8_Свод гостин" xfId="3734" xr:uid="{00000000-0005-0000-0000-0000270F0000}"/>
    <cellStyle name="Обычный 80" xfId="4783" xr:uid="{00000000-0005-0000-0000-0000280F0000}"/>
    <cellStyle name="Обычный 81" xfId="4784" xr:uid="{00000000-0005-0000-0000-0000290F0000}"/>
    <cellStyle name="Обычный 82" xfId="4785" xr:uid="{00000000-0005-0000-0000-00002A0F0000}"/>
    <cellStyle name="Обычный 83" xfId="4786" xr:uid="{00000000-0005-0000-0000-00002B0F0000}"/>
    <cellStyle name="Обычный 84" xfId="4787" xr:uid="{00000000-0005-0000-0000-00002C0F0000}"/>
    <cellStyle name="Обычный 85" xfId="4788" xr:uid="{00000000-0005-0000-0000-00002D0F0000}"/>
    <cellStyle name="Обычный 86" xfId="4789" xr:uid="{00000000-0005-0000-0000-00002E0F0000}"/>
    <cellStyle name="Обычный 87" xfId="4790" xr:uid="{00000000-0005-0000-0000-00002F0F0000}"/>
    <cellStyle name="Обычный 88" xfId="4791" xr:uid="{00000000-0005-0000-0000-0000300F0000}"/>
    <cellStyle name="Обычный 89" xfId="4792" xr:uid="{00000000-0005-0000-0000-0000310F0000}"/>
    <cellStyle name="Обычный 9" xfId="109" xr:uid="{00000000-0005-0000-0000-0000320F0000}"/>
    <cellStyle name="Обычный 9 2" xfId="2327" xr:uid="{00000000-0005-0000-0000-0000330F0000}"/>
    <cellStyle name="Обычный 9 3" xfId="3735" xr:uid="{00000000-0005-0000-0000-0000340F0000}"/>
    <cellStyle name="Обычный 9 4" xfId="3736" xr:uid="{00000000-0005-0000-0000-0000350F0000}"/>
    <cellStyle name="Обычный 9_Свод гостин" xfId="3737" xr:uid="{00000000-0005-0000-0000-0000360F0000}"/>
    <cellStyle name="Обычный 90" xfId="4793" xr:uid="{00000000-0005-0000-0000-0000370F0000}"/>
    <cellStyle name="Обычный 91" xfId="4794" xr:uid="{00000000-0005-0000-0000-0000380F0000}"/>
    <cellStyle name="Обычный 92" xfId="4795" xr:uid="{00000000-0005-0000-0000-0000390F0000}"/>
    <cellStyle name="Обычный 93" xfId="4796" xr:uid="{00000000-0005-0000-0000-00003A0F0000}"/>
    <cellStyle name="Обычный 94" xfId="4797" xr:uid="{00000000-0005-0000-0000-00003B0F0000}"/>
    <cellStyle name="Обычный 95" xfId="110" xr:uid="{00000000-0005-0000-0000-00003C0F0000}"/>
    <cellStyle name="Обычный 96" xfId="4798" xr:uid="{00000000-0005-0000-0000-00003D0F0000}"/>
    <cellStyle name="Обычный 97" xfId="4799" xr:uid="{00000000-0005-0000-0000-00003E0F0000}"/>
    <cellStyle name="Обычный 98" xfId="4800" xr:uid="{00000000-0005-0000-0000-00003F0F0000}"/>
    <cellStyle name="Обычный 99" xfId="4801" xr:uid="{00000000-0005-0000-0000-0000400F0000}"/>
    <cellStyle name="Обычный_БЮДЖЕТ ГСМ (откорректирован)" xfId="111" xr:uid="{00000000-0005-0000-0000-0000410F0000}"/>
    <cellStyle name="Обычный_Лист1_1" xfId="112" xr:uid="{00000000-0005-0000-0000-0000420F0000}"/>
    <cellStyle name="Обычный_моющ МБ 2.03.05" xfId="4841" xr:uid="{00000000-0005-0000-0000-0000430F0000}"/>
    <cellStyle name="Обычный_пр запасы мб 2.03.09." xfId="4840" xr:uid="{00000000-0005-0000-0000-0000440F0000}"/>
    <cellStyle name="Обычный_свод разверн" xfId="4436" xr:uid="{00000000-0005-0000-0000-0000450F0000}"/>
    <cellStyle name="Плохой 2" xfId="2328" xr:uid="{00000000-0005-0000-0000-0000460F0000}"/>
    <cellStyle name="Примечание 10" xfId="2329" xr:uid="{00000000-0005-0000-0000-0000470F0000}"/>
    <cellStyle name="Примечание 10 2" xfId="2330" xr:uid="{00000000-0005-0000-0000-0000480F0000}"/>
    <cellStyle name="Примечание 10 2 2" xfId="3738" xr:uid="{00000000-0005-0000-0000-0000490F0000}"/>
    <cellStyle name="Примечание 10 2 3" xfId="3739" xr:uid="{00000000-0005-0000-0000-00004A0F0000}"/>
    <cellStyle name="Примечание 10 2 4" xfId="3740" xr:uid="{00000000-0005-0000-0000-00004B0F0000}"/>
    <cellStyle name="Примечание 10 3" xfId="3741" xr:uid="{00000000-0005-0000-0000-00004C0F0000}"/>
    <cellStyle name="Примечание 10 4" xfId="3742" xr:uid="{00000000-0005-0000-0000-00004D0F0000}"/>
    <cellStyle name="Примечание 10 5" xfId="3743" xr:uid="{00000000-0005-0000-0000-00004E0F0000}"/>
    <cellStyle name="Примечание 10_Свод гостин" xfId="3744" xr:uid="{00000000-0005-0000-0000-00004F0F0000}"/>
    <cellStyle name="Примечание 11" xfId="2331" xr:uid="{00000000-0005-0000-0000-0000500F0000}"/>
    <cellStyle name="Примечание 11 2" xfId="2332" xr:uid="{00000000-0005-0000-0000-0000510F0000}"/>
    <cellStyle name="Примечание 11 2 2" xfId="3745" xr:uid="{00000000-0005-0000-0000-0000520F0000}"/>
    <cellStyle name="Примечание 11 2 3" xfId="3746" xr:uid="{00000000-0005-0000-0000-0000530F0000}"/>
    <cellStyle name="Примечание 11 2 4" xfId="3747" xr:uid="{00000000-0005-0000-0000-0000540F0000}"/>
    <cellStyle name="Примечание 11 3" xfId="3748" xr:uid="{00000000-0005-0000-0000-0000550F0000}"/>
    <cellStyle name="Примечание 11 4" xfId="3749" xr:uid="{00000000-0005-0000-0000-0000560F0000}"/>
    <cellStyle name="Примечание 11 5" xfId="3750" xr:uid="{00000000-0005-0000-0000-0000570F0000}"/>
    <cellStyle name="Примечание 11_Свод гостин" xfId="3751" xr:uid="{00000000-0005-0000-0000-0000580F0000}"/>
    <cellStyle name="Примечание 12" xfId="2333" xr:uid="{00000000-0005-0000-0000-0000590F0000}"/>
    <cellStyle name="Примечание 12 2" xfId="2334" xr:uid="{00000000-0005-0000-0000-00005A0F0000}"/>
    <cellStyle name="Примечание 12 2 2" xfId="3752" xr:uid="{00000000-0005-0000-0000-00005B0F0000}"/>
    <cellStyle name="Примечание 12 2 3" xfId="3753" xr:uid="{00000000-0005-0000-0000-00005C0F0000}"/>
    <cellStyle name="Примечание 12 2 4" xfId="3754" xr:uid="{00000000-0005-0000-0000-00005D0F0000}"/>
    <cellStyle name="Примечание 12 3" xfId="3755" xr:uid="{00000000-0005-0000-0000-00005E0F0000}"/>
    <cellStyle name="Примечание 12 4" xfId="3756" xr:uid="{00000000-0005-0000-0000-00005F0F0000}"/>
    <cellStyle name="Примечание 12 5" xfId="3757" xr:uid="{00000000-0005-0000-0000-0000600F0000}"/>
    <cellStyle name="Примечание 12_Свод гостин" xfId="3758" xr:uid="{00000000-0005-0000-0000-0000610F0000}"/>
    <cellStyle name="Примечание 13" xfId="2335" xr:uid="{00000000-0005-0000-0000-0000620F0000}"/>
    <cellStyle name="Примечание 13 2" xfId="2336" xr:uid="{00000000-0005-0000-0000-0000630F0000}"/>
    <cellStyle name="Примечание 13 2 2" xfId="3759" xr:uid="{00000000-0005-0000-0000-0000640F0000}"/>
    <cellStyle name="Примечание 13 2 3" xfId="3760" xr:uid="{00000000-0005-0000-0000-0000650F0000}"/>
    <cellStyle name="Примечание 13 2 4" xfId="3761" xr:uid="{00000000-0005-0000-0000-0000660F0000}"/>
    <cellStyle name="Примечание 13 3" xfId="3762" xr:uid="{00000000-0005-0000-0000-0000670F0000}"/>
    <cellStyle name="Примечание 13 4" xfId="3763" xr:uid="{00000000-0005-0000-0000-0000680F0000}"/>
    <cellStyle name="Примечание 13 5" xfId="3764" xr:uid="{00000000-0005-0000-0000-0000690F0000}"/>
    <cellStyle name="Примечание 13_Свод гостин" xfId="3765" xr:uid="{00000000-0005-0000-0000-00006A0F0000}"/>
    <cellStyle name="Примечание 14" xfId="2337" xr:uid="{00000000-0005-0000-0000-00006B0F0000}"/>
    <cellStyle name="Примечание 14 2" xfId="2338" xr:uid="{00000000-0005-0000-0000-00006C0F0000}"/>
    <cellStyle name="Примечание 14 2 2" xfId="3766" xr:uid="{00000000-0005-0000-0000-00006D0F0000}"/>
    <cellStyle name="Примечание 14 2 3" xfId="3767" xr:uid="{00000000-0005-0000-0000-00006E0F0000}"/>
    <cellStyle name="Примечание 14 2 4" xfId="3768" xr:uid="{00000000-0005-0000-0000-00006F0F0000}"/>
    <cellStyle name="Примечание 14 3" xfId="3769" xr:uid="{00000000-0005-0000-0000-0000700F0000}"/>
    <cellStyle name="Примечание 14 4" xfId="3770" xr:uid="{00000000-0005-0000-0000-0000710F0000}"/>
    <cellStyle name="Примечание 14 5" xfId="3771" xr:uid="{00000000-0005-0000-0000-0000720F0000}"/>
    <cellStyle name="Примечание 14_Свод гостин" xfId="3772" xr:uid="{00000000-0005-0000-0000-0000730F0000}"/>
    <cellStyle name="Примечание 15" xfId="2339" xr:uid="{00000000-0005-0000-0000-0000740F0000}"/>
    <cellStyle name="Примечание 15 2" xfId="2340" xr:uid="{00000000-0005-0000-0000-0000750F0000}"/>
    <cellStyle name="Примечание 15 2 2" xfId="3773" xr:uid="{00000000-0005-0000-0000-0000760F0000}"/>
    <cellStyle name="Примечание 15 2 3" xfId="3774" xr:uid="{00000000-0005-0000-0000-0000770F0000}"/>
    <cellStyle name="Примечание 15 2 4" xfId="3775" xr:uid="{00000000-0005-0000-0000-0000780F0000}"/>
    <cellStyle name="Примечание 15 3" xfId="3776" xr:uid="{00000000-0005-0000-0000-0000790F0000}"/>
    <cellStyle name="Примечание 15 4" xfId="3777" xr:uid="{00000000-0005-0000-0000-00007A0F0000}"/>
    <cellStyle name="Примечание 15 5" xfId="3778" xr:uid="{00000000-0005-0000-0000-00007B0F0000}"/>
    <cellStyle name="Примечание 15_Свод гостин" xfId="3779" xr:uid="{00000000-0005-0000-0000-00007C0F0000}"/>
    <cellStyle name="Примечание 16" xfId="2341" xr:uid="{00000000-0005-0000-0000-00007D0F0000}"/>
    <cellStyle name="Примечание 16 2" xfId="2342" xr:uid="{00000000-0005-0000-0000-00007E0F0000}"/>
    <cellStyle name="Примечание 16 2 2" xfId="3780" xr:uid="{00000000-0005-0000-0000-00007F0F0000}"/>
    <cellStyle name="Примечание 16 2 3" xfId="3781" xr:uid="{00000000-0005-0000-0000-0000800F0000}"/>
    <cellStyle name="Примечание 16 2 4" xfId="3782" xr:uid="{00000000-0005-0000-0000-0000810F0000}"/>
    <cellStyle name="Примечание 16 3" xfId="3783" xr:uid="{00000000-0005-0000-0000-0000820F0000}"/>
    <cellStyle name="Примечание 16 4" xfId="3784" xr:uid="{00000000-0005-0000-0000-0000830F0000}"/>
    <cellStyle name="Примечание 16 5" xfId="3785" xr:uid="{00000000-0005-0000-0000-0000840F0000}"/>
    <cellStyle name="Примечание 16_Свод гостин" xfId="3786" xr:uid="{00000000-0005-0000-0000-0000850F0000}"/>
    <cellStyle name="Примечание 17" xfId="2343" xr:uid="{00000000-0005-0000-0000-0000860F0000}"/>
    <cellStyle name="Примечание 17 2" xfId="2344" xr:uid="{00000000-0005-0000-0000-0000870F0000}"/>
    <cellStyle name="Примечание 17 2 2" xfId="3787" xr:uid="{00000000-0005-0000-0000-0000880F0000}"/>
    <cellStyle name="Примечание 17 2 3" xfId="3788" xr:uid="{00000000-0005-0000-0000-0000890F0000}"/>
    <cellStyle name="Примечание 17 2 4" xfId="3789" xr:uid="{00000000-0005-0000-0000-00008A0F0000}"/>
    <cellStyle name="Примечание 17 3" xfId="3790" xr:uid="{00000000-0005-0000-0000-00008B0F0000}"/>
    <cellStyle name="Примечание 17 4" xfId="3791" xr:uid="{00000000-0005-0000-0000-00008C0F0000}"/>
    <cellStyle name="Примечание 17 5" xfId="3792" xr:uid="{00000000-0005-0000-0000-00008D0F0000}"/>
    <cellStyle name="Примечание 17_Свод гостин" xfId="3793" xr:uid="{00000000-0005-0000-0000-00008E0F0000}"/>
    <cellStyle name="Примечание 18" xfId="2345" xr:uid="{00000000-0005-0000-0000-00008F0F0000}"/>
    <cellStyle name="Примечание 18 2" xfId="2346" xr:uid="{00000000-0005-0000-0000-0000900F0000}"/>
    <cellStyle name="Примечание 18 2 2" xfId="3794" xr:uid="{00000000-0005-0000-0000-0000910F0000}"/>
    <cellStyle name="Примечание 18 2 3" xfId="3795" xr:uid="{00000000-0005-0000-0000-0000920F0000}"/>
    <cellStyle name="Примечание 18 2 4" xfId="3796" xr:uid="{00000000-0005-0000-0000-0000930F0000}"/>
    <cellStyle name="Примечание 18 3" xfId="3797" xr:uid="{00000000-0005-0000-0000-0000940F0000}"/>
    <cellStyle name="Примечание 18 4" xfId="3798" xr:uid="{00000000-0005-0000-0000-0000950F0000}"/>
    <cellStyle name="Примечание 18 5" xfId="3799" xr:uid="{00000000-0005-0000-0000-0000960F0000}"/>
    <cellStyle name="Примечание 18_Свод гостин" xfId="3800" xr:uid="{00000000-0005-0000-0000-0000970F0000}"/>
    <cellStyle name="Примечание 19" xfId="2347" xr:uid="{00000000-0005-0000-0000-0000980F0000}"/>
    <cellStyle name="Примечание 19 2" xfId="2348" xr:uid="{00000000-0005-0000-0000-0000990F0000}"/>
    <cellStyle name="Примечание 19 2 2" xfId="3801" xr:uid="{00000000-0005-0000-0000-00009A0F0000}"/>
    <cellStyle name="Примечание 19 2 3" xfId="3802" xr:uid="{00000000-0005-0000-0000-00009B0F0000}"/>
    <cellStyle name="Примечание 19 2 4" xfId="3803" xr:uid="{00000000-0005-0000-0000-00009C0F0000}"/>
    <cellStyle name="Примечание 19 3" xfId="3804" xr:uid="{00000000-0005-0000-0000-00009D0F0000}"/>
    <cellStyle name="Примечание 19 4" xfId="3805" xr:uid="{00000000-0005-0000-0000-00009E0F0000}"/>
    <cellStyle name="Примечание 19 5" xfId="3806" xr:uid="{00000000-0005-0000-0000-00009F0F0000}"/>
    <cellStyle name="Примечание 19_Свод гостин" xfId="3807" xr:uid="{00000000-0005-0000-0000-0000A00F0000}"/>
    <cellStyle name="Примечание 2" xfId="2349" xr:uid="{00000000-0005-0000-0000-0000A10F0000}"/>
    <cellStyle name="Примечание 20" xfId="2350" xr:uid="{00000000-0005-0000-0000-0000A20F0000}"/>
    <cellStyle name="Примечание 20 2" xfId="2351" xr:uid="{00000000-0005-0000-0000-0000A30F0000}"/>
    <cellStyle name="Примечание 20 2 2" xfId="3808" xr:uid="{00000000-0005-0000-0000-0000A40F0000}"/>
    <cellStyle name="Примечание 20 2 3" xfId="3809" xr:uid="{00000000-0005-0000-0000-0000A50F0000}"/>
    <cellStyle name="Примечание 20 2 4" xfId="3810" xr:uid="{00000000-0005-0000-0000-0000A60F0000}"/>
    <cellStyle name="Примечание 20 3" xfId="3811" xr:uid="{00000000-0005-0000-0000-0000A70F0000}"/>
    <cellStyle name="Примечание 20 4" xfId="3812" xr:uid="{00000000-0005-0000-0000-0000A80F0000}"/>
    <cellStyle name="Примечание 20 5" xfId="3813" xr:uid="{00000000-0005-0000-0000-0000A90F0000}"/>
    <cellStyle name="Примечание 20_Свод гостин" xfId="3814" xr:uid="{00000000-0005-0000-0000-0000AA0F0000}"/>
    <cellStyle name="Примечание 21" xfId="2352" xr:uid="{00000000-0005-0000-0000-0000AB0F0000}"/>
    <cellStyle name="Примечание 21 2" xfId="2353" xr:uid="{00000000-0005-0000-0000-0000AC0F0000}"/>
    <cellStyle name="Примечание 21 2 2" xfId="3815" xr:uid="{00000000-0005-0000-0000-0000AD0F0000}"/>
    <cellStyle name="Примечание 21 2 3" xfId="3816" xr:uid="{00000000-0005-0000-0000-0000AE0F0000}"/>
    <cellStyle name="Примечание 21 2 4" xfId="3817" xr:uid="{00000000-0005-0000-0000-0000AF0F0000}"/>
    <cellStyle name="Примечание 21 3" xfId="3818" xr:uid="{00000000-0005-0000-0000-0000B00F0000}"/>
    <cellStyle name="Примечание 21 4" xfId="3819" xr:uid="{00000000-0005-0000-0000-0000B10F0000}"/>
    <cellStyle name="Примечание 21 5" xfId="3820" xr:uid="{00000000-0005-0000-0000-0000B20F0000}"/>
    <cellStyle name="Примечание 21_Свод гостин" xfId="3821" xr:uid="{00000000-0005-0000-0000-0000B30F0000}"/>
    <cellStyle name="Примечание 22" xfId="2354" xr:uid="{00000000-0005-0000-0000-0000B40F0000}"/>
    <cellStyle name="Примечание 22 2" xfId="2355" xr:uid="{00000000-0005-0000-0000-0000B50F0000}"/>
    <cellStyle name="Примечание 22 2 2" xfId="3822" xr:uid="{00000000-0005-0000-0000-0000B60F0000}"/>
    <cellStyle name="Примечание 22 2 3" xfId="3823" xr:uid="{00000000-0005-0000-0000-0000B70F0000}"/>
    <cellStyle name="Примечание 22 2 4" xfId="3824" xr:uid="{00000000-0005-0000-0000-0000B80F0000}"/>
    <cellStyle name="Примечание 22 3" xfId="3825" xr:uid="{00000000-0005-0000-0000-0000B90F0000}"/>
    <cellStyle name="Примечание 22 4" xfId="3826" xr:uid="{00000000-0005-0000-0000-0000BA0F0000}"/>
    <cellStyle name="Примечание 22 5" xfId="3827" xr:uid="{00000000-0005-0000-0000-0000BB0F0000}"/>
    <cellStyle name="Примечание 22_Свод гостин" xfId="3828" xr:uid="{00000000-0005-0000-0000-0000BC0F0000}"/>
    <cellStyle name="Примечание 23" xfId="2356" xr:uid="{00000000-0005-0000-0000-0000BD0F0000}"/>
    <cellStyle name="Примечание 23 2" xfId="2357" xr:uid="{00000000-0005-0000-0000-0000BE0F0000}"/>
    <cellStyle name="Примечание 23 2 2" xfId="3829" xr:uid="{00000000-0005-0000-0000-0000BF0F0000}"/>
    <cellStyle name="Примечание 23 2 3" xfId="3830" xr:uid="{00000000-0005-0000-0000-0000C00F0000}"/>
    <cellStyle name="Примечание 23 2 4" xfId="3831" xr:uid="{00000000-0005-0000-0000-0000C10F0000}"/>
    <cellStyle name="Примечание 23 3" xfId="3832" xr:uid="{00000000-0005-0000-0000-0000C20F0000}"/>
    <cellStyle name="Примечание 23 4" xfId="3833" xr:uid="{00000000-0005-0000-0000-0000C30F0000}"/>
    <cellStyle name="Примечание 23 5" xfId="3834" xr:uid="{00000000-0005-0000-0000-0000C40F0000}"/>
    <cellStyle name="Примечание 23_Свод гостин" xfId="3835" xr:uid="{00000000-0005-0000-0000-0000C50F0000}"/>
    <cellStyle name="Примечание 24" xfId="2358" xr:uid="{00000000-0005-0000-0000-0000C60F0000}"/>
    <cellStyle name="Примечание 24 2" xfId="2359" xr:uid="{00000000-0005-0000-0000-0000C70F0000}"/>
    <cellStyle name="Примечание 24 2 2" xfId="3836" xr:uid="{00000000-0005-0000-0000-0000C80F0000}"/>
    <cellStyle name="Примечание 24 2 3" xfId="3837" xr:uid="{00000000-0005-0000-0000-0000C90F0000}"/>
    <cellStyle name="Примечание 24 2 4" xfId="3838" xr:uid="{00000000-0005-0000-0000-0000CA0F0000}"/>
    <cellStyle name="Примечание 24 3" xfId="3839" xr:uid="{00000000-0005-0000-0000-0000CB0F0000}"/>
    <cellStyle name="Примечание 24 4" xfId="3840" xr:uid="{00000000-0005-0000-0000-0000CC0F0000}"/>
    <cellStyle name="Примечание 24 5" xfId="3841" xr:uid="{00000000-0005-0000-0000-0000CD0F0000}"/>
    <cellStyle name="Примечание 24_Свод гостин" xfId="3842" xr:uid="{00000000-0005-0000-0000-0000CE0F0000}"/>
    <cellStyle name="Примечание 25" xfId="2360" xr:uid="{00000000-0005-0000-0000-0000CF0F0000}"/>
    <cellStyle name="Примечание 25 2" xfId="2361" xr:uid="{00000000-0005-0000-0000-0000D00F0000}"/>
    <cellStyle name="Примечание 25 2 2" xfId="3843" xr:uid="{00000000-0005-0000-0000-0000D10F0000}"/>
    <cellStyle name="Примечание 25 2 3" xfId="3844" xr:uid="{00000000-0005-0000-0000-0000D20F0000}"/>
    <cellStyle name="Примечание 25 2 4" xfId="3845" xr:uid="{00000000-0005-0000-0000-0000D30F0000}"/>
    <cellStyle name="Примечание 25 3" xfId="3846" xr:uid="{00000000-0005-0000-0000-0000D40F0000}"/>
    <cellStyle name="Примечание 25 4" xfId="3847" xr:uid="{00000000-0005-0000-0000-0000D50F0000}"/>
    <cellStyle name="Примечание 25 5" xfId="3848" xr:uid="{00000000-0005-0000-0000-0000D60F0000}"/>
    <cellStyle name="Примечание 25_Свод гостин" xfId="3849" xr:uid="{00000000-0005-0000-0000-0000D70F0000}"/>
    <cellStyle name="Примечание 26" xfId="2362" xr:uid="{00000000-0005-0000-0000-0000D80F0000}"/>
    <cellStyle name="Примечание 26 2" xfId="2363" xr:uid="{00000000-0005-0000-0000-0000D90F0000}"/>
    <cellStyle name="Примечание 26 2 2" xfId="3850" xr:uid="{00000000-0005-0000-0000-0000DA0F0000}"/>
    <cellStyle name="Примечание 26 2 3" xfId="3851" xr:uid="{00000000-0005-0000-0000-0000DB0F0000}"/>
    <cellStyle name="Примечание 26 2 4" xfId="3852" xr:uid="{00000000-0005-0000-0000-0000DC0F0000}"/>
    <cellStyle name="Примечание 26 3" xfId="3853" xr:uid="{00000000-0005-0000-0000-0000DD0F0000}"/>
    <cellStyle name="Примечание 26 4" xfId="3854" xr:uid="{00000000-0005-0000-0000-0000DE0F0000}"/>
    <cellStyle name="Примечание 26 5" xfId="3855" xr:uid="{00000000-0005-0000-0000-0000DF0F0000}"/>
    <cellStyle name="Примечание 26_Свод гостин" xfId="3856" xr:uid="{00000000-0005-0000-0000-0000E00F0000}"/>
    <cellStyle name="Примечание 27" xfId="2364" xr:uid="{00000000-0005-0000-0000-0000E10F0000}"/>
    <cellStyle name="Примечание 27 2" xfId="2365" xr:uid="{00000000-0005-0000-0000-0000E20F0000}"/>
    <cellStyle name="Примечание 27 2 2" xfId="3857" xr:uid="{00000000-0005-0000-0000-0000E30F0000}"/>
    <cellStyle name="Примечание 27 2 3" xfId="3858" xr:uid="{00000000-0005-0000-0000-0000E40F0000}"/>
    <cellStyle name="Примечание 27 2 4" xfId="3859" xr:uid="{00000000-0005-0000-0000-0000E50F0000}"/>
    <cellStyle name="Примечание 27 3" xfId="3860" xr:uid="{00000000-0005-0000-0000-0000E60F0000}"/>
    <cellStyle name="Примечание 27 4" xfId="3861" xr:uid="{00000000-0005-0000-0000-0000E70F0000}"/>
    <cellStyle name="Примечание 27 5" xfId="3862" xr:uid="{00000000-0005-0000-0000-0000E80F0000}"/>
    <cellStyle name="Примечание 27_Свод гостин" xfId="3863" xr:uid="{00000000-0005-0000-0000-0000E90F0000}"/>
    <cellStyle name="Примечание 28" xfId="2366" xr:uid="{00000000-0005-0000-0000-0000EA0F0000}"/>
    <cellStyle name="Примечание 28 2" xfId="2367" xr:uid="{00000000-0005-0000-0000-0000EB0F0000}"/>
    <cellStyle name="Примечание 28 2 2" xfId="3864" xr:uid="{00000000-0005-0000-0000-0000EC0F0000}"/>
    <cellStyle name="Примечание 28 2 3" xfId="3865" xr:uid="{00000000-0005-0000-0000-0000ED0F0000}"/>
    <cellStyle name="Примечание 28 2 4" xfId="3866" xr:uid="{00000000-0005-0000-0000-0000EE0F0000}"/>
    <cellStyle name="Примечание 28 3" xfId="3867" xr:uid="{00000000-0005-0000-0000-0000EF0F0000}"/>
    <cellStyle name="Примечание 28 4" xfId="3868" xr:uid="{00000000-0005-0000-0000-0000F00F0000}"/>
    <cellStyle name="Примечание 28 5" xfId="3869" xr:uid="{00000000-0005-0000-0000-0000F10F0000}"/>
    <cellStyle name="Примечание 28_Свод гостин" xfId="3870" xr:uid="{00000000-0005-0000-0000-0000F20F0000}"/>
    <cellStyle name="Примечание 29" xfId="2368" xr:uid="{00000000-0005-0000-0000-0000F30F0000}"/>
    <cellStyle name="Примечание 29 2" xfId="2369" xr:uid="{00000000-0005-0000-0000-0000F40F0000}"/>
    <cellStyle name="Примечание 29 2 2" xfId="3871" xr:uid="{00000000-0005-0000-0000-0000F50F0000}"/>
    <cellStyle name="Примечание 29 2 3" xfId="3872" xr:uid="{00000000-0005-0000-0000-0000F60F0000}"/>
    <cellStyle name="Примечание 29 2 4" xfId="3873" xr:uid="{00000000-0005-0000-0000-0000F70F0000}"/>
    <cellStyle name="Примечание 29 3" xfId="3874" xr:uid="{00000000-0005-0000-0000-0000F80F0000}"/>
    <cellStyle name="Примечание 29 4" xfId="3875" xr:uid="{00000000-0005-0000-0000-0000F90F0000}"/>
    <cellStyle name="Примечание 29 5" xfId="3876" xr:uid="{00000000-0005-0000-0000-0000FA0F0000}"/>
    <cellStyle name="Примечание 29_Свод гостин" xfId="3877" xr:uid="{00000000-0005-0000-0000-0000FB0F0000}"/>
    <cellStyle name="Примечание 3" xfId="2370" xr:uid="{00000000-0005-0000-0000-0000FC0F0000}"/>
    <cellStyle name="Примечание 30" xfId="2371" xr:uid="{00000000-0005-0000-0000-0000FD0F0000}"/>
    <cellStyle name="Примечание 30 2" xfId="2372" xr:uid="{00000000-0005-0000-0000-0000FE0F0000}"/>
    <cellStyle name="Примечание 30 2 2" xfId="3878" xr:uid="{00000000-0005-0000-0000-0000FF0F0000}"/>
    <cellStyle name="Примечание 30 2 3" xfId="3879" xr:uid="{00000000-0005-0000-0000-000000100000}"/>
    <cellStyle name="Примечание 30 2 4" xfId="3880" xr:uid="{00000000-0005-0000-0000-000001100000}"/>
    <cellStyle name="Примечание 30 3" xfId="3881" xr:uid="{00000000-0005-0000-0000-000002100000}"/>
    <cellStyle name="Примечание 30 4" xfId="3882" xr:uid="{00000000-0005-0000-0000-000003100000}"/>
    <cellStyle name="Примечание 30 5" xfId="3883" xr:uid="{00000000-0005-0000-0000-000004100000}"/>
    <cellStyle name="Примечание 30_Свод гостин" xfId="3884" xr:uid="{00000000-0005-0000-0000-000005100000}"/>
    <cellStyle name="Примечание 31" xfId="2373" xr:uid="{00000000-0005-0000-0000-000006100000}"/>
    <cellStyle name="Примечание 31 2" xfId="2374" xr:uid="{00000000-0005-0000-0000-000007100000}"/>
    <cellStyle name="Примечание 31 2 2" xfId="3885" xr:uid="{00000000-0005-0000-0000-000008100000}"/>
    <cellStyle name="Примечание 31 2 3" xfId="3886" xr:uid="{00000000-0005-0000-0000-000009100000}"/>
    <cellStyle name="Примечание 31 2 4" xfId="3887" xr:uid="{00000000-0005-0000-0000-00000A100000}"/>
    <cellStyle name="Примечание 31 3" xfId="3888" xr:uid="{00000000-0005-0000-0000-00000B100000}"/>
    <cellStyle name="Примечание 31 4" xfId="3889" xr:uid="{00000000-0005-0000-0000-00000C100000}"/>
    <cellStyle name="Примечание 31 5" xfId="3890" xr:uid="{00000000-0005-0000-0000-00000D100000}"/>
    <cellStyle name="Примечание 31_Свод гостин" xfId="3891" xr:uid="{00000000-0005-0000-0000-00000E100000}"/>
    <cellStyle name="Примечание 32" xfId="2375" xr:uid="{00000000-0005-0000-0000-00000F100000}"/>
    <cellStyle name="Примечание 32 2" xfId="2376" xr:uid="{00000000-0005-0000-0000-000010100000}"/>
    <cellStyle name="Примечание 32 2 2" xfId="3892" xr:uid="{00000000-0005-0000-0000-000011100000}"/>
    <cellStyle name="Примечание 32 2 3" xfId="3893" xr:uid="{00000000-0005-0000-0000-000012100000}"/>
    <cellStyle name="Примечание 32 2 4" xfId="3894" xr:uid="{00000000-0005-0000-0000-000013100000}"/>
    <cellStyle name="Примечание 32 3" xfId="3895" xr:uid="{00000000-0005-0000-0000-000014100000}"/>
    <cellStyle name="Примечание 32 4" xfId="3896" xr:uid="{00000000-0005-0000-0000-000015100000}"/>
    <cellStyle name="Примечание 32 5" xfId="3897" xr:uid="{00000000-0005-0000-0000-000016100000}"/>
    <cellStyle name="Примечание 32_Свод гостин" xfId="3898" xr:uid="{00000000-0005-0000-0000-000017100000}"/>
    <cellStyle name="Примечание 33" xfId="2377" xr:uid="{00000000-0005-0000-0000-000018100000}"/>
    <cellStyle name="Примечание 33 2" xfId="2378" xr:uid="{00000000-0005-0000-0000-000019100000}"/>
    <cellStyle name="Примечание 33 2 2" xfId="3899" xr:uid="{00000000-0005-0000-0000-00001A100000}"/>
    <cellStyle name="Примечание 33 2 3" xfId="3900" xr:uid="{00000000-0005-0000-0000-00001B100000}"/>
    <cellStyle name="Примечание 33 2 4" xfId="3901" xr:uid="{00000000-0005-0000-0000-00001C100000}"/>
    <cellStyle name="Примечание 33 3" xfId="3902" xr:uid="{00000000-0005-0000-0000-00001D100000}"/>
    <cellStyle name="Примечание 33 4" xfId="3903" xr:uid="{00000000-0005-0000-0000-00001E100000}"/>
    <cellStyle name="Примечание 33 5" xfId="3904" xr:uid="{00000000-0005-0000-0000-00001F100000}"/>
    <cellStyle name="Примечание 33_Свод гостин" xfId="3905" xr:uid="{00000000-0005-0000-0000-000020100000}"/>
    <cellStyle name="Примечание 34" xfId="2379" xr:uid="{00000000-0005-0000-0000-000021100000}"/>
    <cellStyle name="Примечание 34 2" xfId="2380" xr:uid="{00000000-0005-0000-0000-000022100000}"/>
    <cellStyle name="Примечание 34 2 2" xfId="3906" xr:uid="{00000000-0005-0000-0000-000023100000}"/>
    <cellStyle name="Примечание 34 2 3" xfId="3907" xr:uid="{00000000-0005-0000-0000-000024100000}"/>
    <cellStyle name="Примечание 34 2 4" xfId="3908" xr:uid="{00000000-0005-0000-0000-000025100000}"/>
    <cellStyle name="Примечание 34 3" xfId="3909" xr:uid="{00000000-0005-0000-0000-000026100000}"/>
    <cellStyle name="Примечание 34 4" xfId="3910" xr:uid="{00000000-0005-0000-0000-000027100000}"/>
    <cellStyle name="Примечание 34 5" xfId="3911" xr:uid="{00000000-0005-0000-0000-000028100000}"/>
    <cellStyle name="Примечание 34_Свод гостин" xfId="3912" xr:uid="{00000000-0005-0000-0000-000029100000}"/>
    <cellStyle name="Примечание 35" xfId="2381" xr:uid="{00000000-0005-0000-0000-00002A100000}"/>
    <cellStyle name="Примечание 35 2" xfId="2382" xr:uid="{00000000-0005-0000-0000-00002B100000}"/>
    <cellStyle name="Примечание 35 2 2" xfId="3913" xr:uid="{00000000-0005-0000-0000-00002C100000}"/>
    <cellStyle name="Примечание 35 2 3" xfId="3914" xr:uid="{00000000-0005-0000-0000-00002D100000}"/>
    <cellStyle name="Примечание 35 2 4" xfId="3915" xr:uid="{00000000-0005-0000-0000-00002E100000}"/>
    <cellStyle name="Примечание 35 3" xfId="3916" xr:uid="{00000000-0005-0000-0000-00002F100000}"/>
    <cellStyle name="Примечание 35 4" xfId="3917" xr:uid="{00000000-0005-0000-0000-000030100000}"/>
    <cellStyle name="Примечание 35 5" xfId="3918" xr:uid="{00000000-0005-0000-0000-000031100000}"/>
    <cellStyle name="Примечание 35_Свод гостин" xfId="3919" xr:uid="{00000000-0005-0000-0000-000032100000}"/>
    <cellStyle name="Примечание 36" xfId="2383" xr:uid="{00000000-0005-0000-0000-000033100000}"/>
    <cellStyle name="Примечание 36 2" xfId="2384" xr:uid="{00000000-0005-0000-0000-000034100000}"/>
    <cellStyle name="Примечание 36 2 2" xfId="3920" xr:uid="{00000000-0005-0000-0000-000035100000}"/>
    <cellStyle name="Примечание 36 2 3" xfId="3921" xr:uid="{00000000-0005-0000-0000-000036100000}"/>
    <cellStyle name="Примечание 36 2 4" xfId="3922" xr:uid="{00000000-0005-0000-0000-000037100000}"/>
    <cellStyle name="Примечание 36 3" xfId="3923" xr:uid="{00000000-0005-0000-0000-000038100000}"/>
    <cellStyle name="Примечание 36 4" xfId="3924" xr:uid="{00000000-0005-0000-0000-000039100000}"/>
    <cellStyle name="Примечание 36 5" xfId="3925" xr:uid="{00000000-0005-0000-0000-00003A100000}"/>
    <cellStyle name="Примечание 36_Свод гостин" xfId="3926" xr:uid="{00000000-0005-0000-0000-00003B100000}"/>
    <cellStyle name="Примечание 37" xfId="2385" xr:uid="{00000000-0005-0000-0000-00003C100000}"/>
    <cellStyle name="Примечание 37 2" xfId="2386" xr:uid="{00000000-0005-0000-0000-00003D100000}"/>
    <cellStyle name="Примечание 37 2 2" xfId="3927" xr:uid="{00000000-0005-0000-0000-00003E100000}"/>
    <cellStyle name="Примечание 37 2 3" xfId="3928" xr:uid="{00000000-0005-0000-0000-00003F100000}"/>
    <cellStyle name="Примечание 37 2 4" xfId="3929" xr:uid="{00000000-0005-0000-0000-000040100000}"/>
    <cellStyle name="Примечание 37 3" xfId="3930" xr:uid="{00000000-0005-0000-0000-000041100000}"/>
    <cellStyle name="Примечание 37 4" xfId="3931" xr:uid="{00000000-0005-0000-0000-000042100000}"/>
    <cellStyle name="Примечание 37 5" xfId="3932" xr:uid="{00000000-0005-0000-0000-000043100000}"/>
    <cellStyle name="Примечание 37_Свод гостин" xfId="3933" xr:uid="{00000000-0005-0000-0000-000044100000}"/>
    <cellStyle name="Примечание 38" xfId="2387" xr:uid="{00000000-0005-0000-0000-000045100000}"/>
    <cellStyle name="Примечание 38 2" xfId="2388" xr:uid="{00000000-0005-0000-0000-000046100000}"/>
    <cellStyle name="Примечание 38 2 2" xfId="3934" xr:uid="{00000000-0005-0000-0000-000047100000}"/>
    <cellStyle name="Примечание 38 2 3" xfId="3935" xr:uid="{00000000-0005-0000-0000-000048100000}"/>
    <cellStyle name="Примечание 38 2 4" xfId="3936" xr:uid="{00000000-0005-0000-0000-000049100000}"/>
    <cellStyle name="Примечание 38 3" xfId="3937" xr:uid="{00000000-0005-0000-0000-00004A100000}"/>
    <cellStyle name="Примечание 38 4" xfId="3938" xr:uid="{00000000-0005-0000-0000-00004B100000}"/>
    <cellStyle name="Примечание 38 5" xfId="3939" xr:uid="{00000000-0005-0000-0000-00004C100000}"/>
    <cellStyle name="Примечание 38_Свод гостин" xfId="3940" xr:uid="{00000000-0005-0000-0000-00004D100000}"/>
    <cellStyle name="Примечание 39" xfId="2389" xr:uid="{00000000-0005-0000-0000-00004E100000}"/>
    <cellStyle name="Примечание 39 2" xfId="2390" xr:uid="{00000000-0005-0000-0000-00004F100000}"/>
    <cellStyle name="Примечание 39 2 2" xfId="3941" xr:uid="{00000000-0005-0000-0000-000050100000}"/>
    <cellStyle name="Примечание 39 2 3" xfId="3942" xr:uid="{00000000-0005-0000-0000-000051100000}"/>
    <cellStyle name="Примечание 39 2 4" xfId="3943" xr:uid="{00000000-0005-0000-0000-000052100000}"/>
    <cellStyle name="Примечание 39 3" xfId="3944" xr:uid="{00000000-0005-0000-0000-000053100000}"/>
    <cellStyle name="Примечание 39 4" xfId="3945" xr:uid="{00000000-0005-0000-0000-000054100000}"/>
    <cellStyle name="Примечание 39 5" xfId="3946" xr:uid="{00000000-0005-0000-0000-000055100000}"/>
    <cellStyle name="Примечание 39_Свод гостин" xfId="3947" xr:uid="{00000000-0005-0000-0000-000056100000}"/>
    <cellStyle name="Примечание 4" xfId="2391" xr:uid="{00000000-0005-0000-0000-000057100000}"/>
    <cellStyle name="Примечание 40" xfId="2392" xr:uid="{00000000-0005-0000-0000-000058100000}"/>
    <cellStyle name="Примечание 40 2" xfId="2393" xr:uid="{00000000-0005-0000-0000-000059100000}"/>
    <cellStyle name="Примечание 40 2 2" xfId="3948" xr:uid="{00000000-0005-0000-0000-00005A100000}"/>
    <cellStyle name="Примечание 40 2 3" xfId="3949" xr:uid="{00000000-0005-0000-0000-00005B100000}"/>
    <cellStyle name="Примечание 40 2 4" xfId="3950" xr:uid="{00000000-0005-0000-0000-00005C100000}"/>
    <cellStyle name="Примечание 40 3" xfId="3951" xr:uid="{00000000-0005-0000-0000-00005D100000}"/>
    <cellStyle name="Примечание 40 4" xfId="3952" xr:uid="{00000000-0005-0000-0000-00005E100000}"/>
    <cellStyle name="Примечание 40 5" xfId="3953" xr:uid="{00000000-0005-0000-0000-00005F100000}"/>
    <cellStyle name="Примечание 40_Свод гостин" xfId="3954" xr:uid="{00000000-0005-0000-0000-000060100000}"/>
    <cellStyle name="Примечание 41" xfId="2394" xr:uid="{00000000-0005-0000-0000-000061100000}"/>
    <cellStyle name="Примечание 41 2" xfId="2395" xr:uid="{00000000-0005-0000-0000-000062100000}"/>
    <cellStyle name="Примечание 41 2 2" xfId="3955" xr:uid="{00000000-0005-0000-0000-000063100000}"/>
    <cellStyle name="Примечание 41 2 3" xfId="3956" xr:uid="{00000000-0005-0000-0000-000064100000}"/>
    <cellStyle name="Примечание 41 2 4" xfId="3957" xr:uid="{00000000-0005-0000-0000-000065100000}"/>
    <cellStyle name="Примечание 41 3" xfId="3958" xr:uid="{00000000-0005-0000-0000-000066100000}"/>
    <cellStyle name="Примечание 41 4" xfId="3959" xr:uid="{00000000-0005-0000-0000-000067100000}"/>
    <cellStyle name="Примечание 41 5" xfId="3960" xr:uid="{00000000-0005-0000-0000-000068100000}"/>
    <cellStyle name="Примечание 41_Свод гостин" xfId="3961" xr:uid="{00000000-0005-0000-0000-000069100000}"/>
    <cellStyle name="Примечание 42" xfId="2396" xr:uid="{00000000-0005-0000-0000-00006A100000}"/>
    <cellStyle name="Примечание 42 2" xfId="2397" xr:uid="{00000000-0005-0000-0000-00006B100000}"/>
    <cellStyle name="Примечание 42 2 2" xfId="3962" xr:uid="{00000000-0005-0000-0000-00006C100000}"/>
    <cellStyle name="Примечание 42 2 3" xfId="3963" xr:uid="{00000000-0005-0000-0000-00006D100000}"/>
    <cellStyle name="Примечание 42 2 4" xfId="3964" xr:uid="{00000000-0005-0000-0000-00006E100000}"/>
    <cellStyle name="Примечание 42 3" xfId="3965" xr:uid="{00000000-0005-0000-0000-00006F100000}"/>
    <cellStyle name="Примечание 42 4" xfId="3966" xr:uid="{00000000-0005-0000-0000-000070100000}"/>
    <cellStyle name="Примечание 42 5" xfId="3967" xr:uid="{00000000-0005-0000-0000-000071100000}"/>
    <cellStyle name="Примечание 42_Свод гостин" xfId="3968" xr:uid="{00000000-0005-0000-0000-000072100000}"/>
    <cellStyle name="Примечание 43" xfId="2398" xr:uid="{00000000-0005-0000-0000-000073100000}"/>
    <cellStyle name="Примечание 43 2" xfId="2399" xr:uid="{00000000-0005-0000-0000-000074100000}"/>
    <cellStyle name="Примечание 43 2 2" xfId="3969" xr:uid="{00000000-0005-0000-0000-000075100000}"/>
    <cellStyle name="Примечание 43 2 3" xfId="3970" xr:uid="{00000000-0005-0000-0000-000076100000}"/>
    <cellStyle name="Примечание 43 2 4" xfId="3971" xr:uid="{00000000-0005-0000-0000-000077100000}"/>
    <cellStyle name="Примечание 43 3" xfId="3972" xr:uid="{00000000-0005-0000-0000-000078100000}"/>
    <cellStyle name="Примечание 43 4" xfId="3973" xr:uid="{00000000-0005-0000-0000-000079100000}"/>
    <cellStyle name="Примечание 43 5" xfId="3974" xr:uid="{00000000-0005-0000-0000-00007A100000}"/>
    <cellStyle name="Примечание 43_Свод гостин" xfId="3975" xr:uid="{00000000-0005-0000-0000-00007B100000}"/>
    <cellStyle name="Примечание 44" xfId="2400" xr:uid="{00000000-0005-0000-0000-00007C100000}"/>
    <cellStyle name="Примечание 44 2" xfId="2401" xr:uid="{00000000-0005-0000-0000-00007D100000}"/>
    <cellStyle name="Примечание 44 2 2" xfId="3976" xr:uid="{00000000-0005-0000-0000-00007E100000}"/>
    <cellStyle name="Примечание 44 2 3" xfId="3977" xr:uid="{00000000-0005-0000-0000-00007F100000}"/>
    <cellStyle name="Примечание 44 2 4" xfId="3978" xr:uid="{00000000-0005-0000-0000-000080100000}"/>
    <cellStyle name="Примечание 44 3" xfId="3979" xr:uid="{00000000-0005-0000-0000-000081100000}"/>
    <cellStyle name="Примечание 44 4" xfId="3980" xr:uid="{00000000-0005-0000-0000-000082100000}"/>
    <cellStyle name="Примечание 44 5" xfId="3981" xr:uid="{00000000-0005-0000-0000-000083100000}"/>
    <cellStyle name="Примечание 44_Свод гостин" xfId="3982" xr:uid="{00000000-0005-0000-0000-000084100000}"/>
    <cellStyle name="Примечание 45" xfId="2402" xr:uid="{00000000-0005-0000-0000-000085100000}"/>
    <cellStyle name="Примечание 45 2" xfId="2403" xr:uid="{00000000-0005-0000-0000-000086100000}"/>
    <cellStyle name="Примечание 45 2 2" xfId="3983" xr:uid="{00000000-0005-0000-0000-000087100000}"/>
    <cellStyle name="Примечание 45 2 3" xfId="3984" xr:uid="{00000000-0005-0000-0000-000088100000}"/>
    <cellStyle name="Примечание 45 2 4" xfId="3985" xr:uid="{00000000-0005-0000-0000-000089100000}"/>
    <cellStyle name="Примечание 45 3" xfId="3986" xr:uid="{00000000-0005-0000-0000-00008A100000}"/>
    <cellStyle name="Примечание 45 4" xfId="3987" xr:uid="{00000000-0005-0000-0000-00008B100000}"/>
    <cellStyle name="Примечание 45 5" xfId="3988" xr:uid="{00000000-0005-0000-0000-00008C100000}"/>
    <cellStyle name="Примечание 45_Свод гостин" xfId="3989" xr:uid="{00000000-0005-0000-0000-00008D100000}"/>
    <cellStyle name="Примечание 46" xfId="2404" xr:uid="{00000000-0005-0000-0000-00008E100000}"/>
    <cellStyle name="Примечание 46 2" xfId="2405" xr:uid="{00000000-0005-0000-0000-00008F100000}"/>
    <cellStyle name="Примечание 46 2 2" xfId="3990" xr:uid="{00000000-0005-0000-0000-000090100000}"/>
    <cellStyle name="Примечание 46 2 3" xfId="3991" xr:uid="{00000000-0005-0000-0000-000091100000}"/>
    <cellStyle name="Примечание 46 2 4" xfId="3992" xr:uid="{00000000-0005-0000-0000-000092100000}"/>
    <cellStyle name="Примечание 46 3" xfId="3993" xr:uid="{00000000-0005-0000-0000-000093100000}"/>
    <cellStyle name="Примечание 46 4" xfId="3994" xr:uid="{00000000-0005-0000-0000-000094100000}"/>
    <cellStyle name="Примечание 46 5" xfId="3995" xr:uid="{00000000-0005-0000-0000-000095100000}"/>
    <cellStyle name="Примечание 46_Свод гостин" xfId="3996" xr:uid="{00000000-0005-0000-0000-000096100000}"/>
    <cellStyle name="Примечание 47" xfId="2406" xr:uid="{00000000-0005-0000-0000-000097100000}"/>
    <cellStyle name="Примечание 47 2" xfId="2407" xr:uid="{00000000-0005-0000-0000-000098100000}"/>
    <cellStyle name="Примечание 47 2 2" xfId="3997" xr:uid="{00000000-0005-0000-0000-000099100000}"/>
    <cellStyle name="Примечание 47 2 3" xfId="3998" xr:uid="{00000000-0005-0000-0000-00009A100000}"/>
    <cellStyle name="Примечание 47 2 4" xfId="3999" xr:uid="{00000000-0005-0000-0000-00009B100000}"/>
    <cellStyle name="Примечание 47 3" xfId="4000" xr:uid="{00000000-0005-0000-0000-00009C100000}"/>
    <cellStyle name="Примечание 47 4" xfId="4001" xr:uid="{00000000-0005-0000-0000-00009D100000}"/>
    <cellStyle name="Примечание 47 5" xfId="4002" xr:uid="{00000000-0005-0000-0000-00009E100000}"/>
    <cellStyle name="Примечание 47_Свод гостин" xfId="4003" xr:uid="{00000000-0005-0000-0000-00009F100000}"/>
    <cellStyle name="Примечание 48" xfId="2408" xr:uid="{00000000-0005-0000-0000-0000A0100000}"/>
    <cellStyle name="Примечание 48 2" xfId="2409" xr:uid="{00000000-0005-0000-0000-0000A1100000}"/>
    <cellStyle name="Примечание 48 2 2" xfId="4004" xr:uid="{00000000-0005-0000-0000-0000A2100000}"/>
    <cellStyle name="Примечание 48 2 3" xfId="4005" xr:uid="{00000000-0005-0000-0000-0000A3100000}"/>
    <cellStyle name="Примечание 48 2 4" xfId="4006" xr:uid="{00000000-0005-0000-0000-0000A4100000}"/>
    <cellStyle name="Примечание 48 3" xfId="4007" xr:uid="{00000000-0005-0000-0000-0000A5100000}"/>
    <cellStyle name="Примечание 48 4" xfId="4008" xr:uid="{00000000-0005-0000-0000-0000A6100000}"/>
    <cellStyle name="Примечание 48 5" xfId="4009" xr:uid="{00000000-0005-0000-0000-0000A7100000}"/>
    <cellStyle name="Примечание 48_Свод гостин" xfId="4010" xr:uid="{00000000-0005-0000-0000-0000A8100000}"/>
    <cellStyle name="Примечание 49" xfId="2410" xr:uid="{00000000-0005-0000-0000-0000A9100000}"/>
    <cellStyle name="Примечание 49 2" xfId="2411" xr:uid="{00000000-0005-0000-0000-0000AA100000}"/>
    <cellStyle name="Примечание 49 2 2" xfId="4011" xr:uid="{00000000-0005-0000-0000-0000AB100000}"/>
    <cellStyle name="Примечание 49 2 3" xfId="4012" xr:uid="{00000000-0005-0000-0000-0000AC100000}"/>
    <cellStyle name="Примечание 49 2 4" xfId="4013" xr:uid="{00000000-0005-0000-0000-0000AD100000}"/>
    <cellStyle name="Примечание 49 3" xfId="4014" xr:uid="{00000000-0005-0000-0000-0000AE100000}"/>
    <cellStyle name="Примечание 49 4" xfId="4015" xr:uid="{00000000-0005-0000-0000-0000AF100000}"/>
    <cellStyle name="Примечание 49 5" xfId="4016" xr:uid="{00000000-0005-0000-0000-0000B0100000}"/>
    <cellStyle name="Примечание 49_Свод гостин" xfId="4017" xr:uid="{00000000-0005-0000-0000-0000B1100000}"/>
    <cellStyle name="Примечание 5" xfId="2412" xr:uid="{00000000-0005-0000-0000-0000B2100000}"/>
    <cellStyle name="Примечание 50" xfId="2413" xr:uid="{00000000-0005-0000-0000-0000B3100000}"/>
    <cellStyle name="Примечание 50 2" xfId="2414" xr:uid="{00000000-0005-0000-0000-0000B4100000}"/>
    <cellStyle name="Примечание 50 2 2" xfId="4018" xr:uid="{00000000-0005-0000-0000-0000B5100000}"/>
    <cellStyle name="Примечание 50 2 3" xfId="4019" xr:uid="{00000000-0005-0000-0000-0000B6100000}"/>
    <cellStyle name="Примечание 50 2 4" xfId="4020" xr:uid="{00000000-0005-0000-0000-0000B7100000}"/>
    <cellStyle name="Примечание 50 3" xfId="4021" xr:uid="{00000000-0005-0000-0000-0000B8100000}"/>
    <cellStyle name="Примечание 50 4" xfId="4022" xr:uid="{00000000-0005-0000-0000-0000B9100000}"/>
    <cellStyle name="Примечание 50 5" xfId="4023" xr:uid="{00000000-0005-0000-0000-0000BA100000}"/>
    <cellStyle name="Примечание 50_Свод гостин" xfId="4024" xr:uid="{00000000-0005-0000-0000-0000BB100000}"/>
    <cellStyle name="Примечание 51" xfId="2415" xr:uid="{00000000-0005-0000-0000-0000BC100000}"/>
    <cellStyle name="Примечание 51 2" xfId="2416" xr:uid="{00000000-0005-0000-0000-0000BD100000}"/>
    <cellStyle name="Примечание 51 2 2" xfId="4025" xr:uid="{00000000-0005-0000-0000-0000BE100000}"/>
    <cellStyle name="Примечание 51 2 3" xfId="4026" xr:uid="{00000000-0005-0000-0000-0000BF100000}"/>
    <cellStyle name="Примечание 51 2 4" xfId="4027" xr:uid="{00000000-0005-0000-0000-0000C0100000}"/>
    <cellStyle name="Примечание 51 3" xfId="4028" xr:uid="{00000000-0005-0000-0000-0000C1100000}"/>
    <cellStyle name="Примечание 51 4" xfId="4029" xr:uid="{00000000-0005-0000-0000-0000C2100000}"/>
    <cellStyle name="Примечание 51 5" xfId="4030" xr:uid="{00000000-0005-0000-0000-0000C3100000}"/>
    <cellStyle name="Примечание 51_Свод гостин" xfId="4031" xr:uid="{00000000-0005-0000-0000-0000C4100000}"/>
    <cellStyle name="Примечание 52" xfId="2417" xr:uid="{00000000-0005-0000-0000-0000C5100000}"/>
    <cellStyle name="Примечание 52 2" xfId="2418" xr:uid="{00000000-0005-0000-0000-0000C6100000}"/>
    <cellStyle name="Примечание 52 2 2" xfId="4032" xr:uid="{00000000-0005-0000-0000-0000C7100000}"/>
    <cellStyle name="Примечание 52 2 3" xfId="4033" xr:uid="{00000000-0005-0000-0000-0000C8100000}"/>
    <cellStyle name="Примечание 52 2 4" xfId="4034" xr:uid="{00000000-0005-0000-0000-0000C9100000}"/>
    <cellStyle name="Примечание 52 3" xfId="4035" xr:uid="{00000000-0005-0000-0000-0000CA100000}"/>
    <cellStyle name="Примечание 52 4" xfId="4036" xr:uid="{00000000-0005-0000-0000-0000CB100000}"/>
    <cellStyle name="Примечание 52 5" xfId="4037" xr:uid="{00000000-0005-0000-0000-0000CC100000}"/>
    <cellStyle name="Примечание 52_Свод гостин" xfId="4038" xr:uid="{00000000-0005-0000-0000-0000CD100000}"/>
    <cellStyle name="Примечание 53" xfId="2419" xr:uid="{00000000-0005-0000-0000-0000CE100000}"/>
    <cellStyle name="Примечание 53 2" xfId="2420" xr:uid="{00000000-0005-0000-0000-0000CF100000}"/>
    <cellStyle name="Примечание 53 2 2" xfId="4039" xr:uid="{00000000-0005-0000-0000-0000D0100000}"/>
    <cellStyle name="Примечание 53 2 3" xfId="4040" xr:uid="{00000000-0005-0000-0000-0000D1100000}"/>
    <cellStyle name="Примечание 53 2 4" xfId="4041" xr:uid="{00000000-0005-0000-0000-0000D2100000}"/>
    <cellStyle name="Примечание 53 3" xfId="4042" xr:uid="{00000000-0005-0000-0000-0000D3100000}"/>
    <cellStyle name="Примечание 53 4" xfId="4043" xr:uid="{00000000-0005-0000-0000-0000D4100000}"/>
    <cellStyle name="Примечание 53 5" xfId="4044" xr:uid="{00000000-0005-0000-0000-0000D5100000}"/>
    <cellStyle name="Примечание 53_Свод гостин" xfId="4045" xr:uid="{00000000-0005-0000-0000-0000D6100000}"/>
    <cellStyle name="Примечание 54" xfId="2421" xr:uid="{00000000-0005-0000-0000-0000D7100000}"/>
    <cellStyle name="Примечание 54 2" xfId="2422" xr:uid="{00000000-0005-0000-0000-0000D8100000}"/>
    <cellStyle name="Примечание 54 2 2" xfId="4046" xr:uid="{00000000-0005-0000-0000-0000D9100000}"/>
    <cellStyle name="Примечание 54 2 3" xfId="4047" xr:uid="{00000000-0005-0000-0000-0000DA100000}"/>
    <cellStyle name="Примечание 54 2 4" xfId="4048" xr:uid="{00000000-0005-0000-0000-0000DB100000}"/>
    <cellStyle name="Примечание 54 3" xfId="4049" xr:uid="{00000000-0005-0000-0000-0000DC100000}"/>
    <cellStyle name="Примечание 54 4" xfId="4050" xr:uid="{00000000-0005-0000-0000-0000DD100000}"/>
    <cellStyle name="Примечание 54 5" xfId="4051" xr:uid="{00000000-0005-0000-0000-0000DE100000}"/>
    <cellStyle name="Примечание 54_Свод гостин" xfId="4052" xr:uid="{00000000-0005-0000-0000-0000DF100000}"/>
    <cellStyle name="Примечание 55" xfId="2423" xr:uid="{00000000-0005-0000-0000-0000E0100000}"/>
    <cellStyle name="Примечание 55 2" xfId="2424" xr:uid="{00000000-0005-0000-0000-0000E1100000}"/>
    <cellStyle name="Примечание 55 2 2" xfId="4053" xr:uid="{00000000-0005-0000-0000-0000E2100000}"/>
    <cellStyle name="Примечание 55 2 3" xfId="4054" xr:uid="{00000000-0005-0000-0000-0000E3100000}"/>
    <cellStyle name="Примечание 55 2 4" xfId="4055" xr:uid="{00000000-0005-0000-0000-0000E4100000}"/>
    <cellStyle name="Примечание 55 3" xfId="4056" xr:uid="{00000000-0005-0000-0000-0000E5100000}"/>
    <cellStyle name="Примечание 55 4" xfId="4057" xr:uid="{00000000-0005-0000-0000-0000E6100000}"/>
    <cellStyle name="Примечание 55 5" xfId="4058" xr:uid="{00000000-0005-0000-0000-0000E7100000}"/>
    <cellStyle name="Примечание 55_Свод гостин" xfId="4059" xr:uid="{00000000-0005-0000-0000-0000E8100000}"/>
    <cellStyle name="Примечание 56" xfId="2425" xr:uid="{00000000-0005-0000-0000-0000E9100000}"/>
    <cellStyle name="Примечание 56 2" xfId="2426" xr:uid="{00000000-0005-0000-0000-0000EA100000}"/>
    <cellStyle name="Примечание 56 2 2" xfId="4060" xr:uid="{00000000-0005-0000-0000-0000EB100000}"/>
    <cellStyle name="Примечание 56 2 3" xfId="4061" xr:uid="{00000000-0005-0000-0000-0000EC100000}"/>
    <cellStyle name="Примечание 56 2 4" xfId="4062" xr:uid="{00000000-0005-0000-0000-0000ED100000}"/>
    <cellStyle name="Примечание 56 3" xfId="4063" xr:uid="{00000000-0005-0000-0000-0000EE100000}"/>
    <cellStyle name="Примечание 56 4" xfId="4064" xr:uid="{00000000-0005-0000-0000-0000EF100000}"/>
    <cellStyle name="Примечание 56 5" xfId="4065" xr:uid="{00000000-0005-0000-0000-0000F0100000}"/>
    <cellStyle name="Примечание 56_Свод гостин" xfId="4066" xr:uid="{00000000-0005-0000-0000-0000F1100000}"/>
    <cellStyle name="Примечание 57" xfId="2427" xr:uid="{00000000-0005-0000-0000-0000F2100000}"/>
    <cellStyle name="Примечание 57 2" xfId="2428" xr:uid="{00000000-0005-0000-0000-0000F3100000}"/>
    <cellStyle name="Примечание 57 2 2" xfId="4067" xr:uid="{00000000-0005-0000-0000-0000F4100000}"/>
    <cellStyle name="Примечание 57 2 3" xfId="4068" xr:uid="{00000000-0005-0000-0000-0000F5100000}"/>
    <cellStyle name="Примечание 57 2 4" xfId="4069" xr:uid="{00000000-0005-0000-0000-0000F6100000}"/>
    <cellStyle name="Примечание 57 3" xfId="4070" xr:uid="{00000000-0005-0000-0000-0000F7100000}"/>
    <cellStyle name="Примечание 57 4" xfId="4071" xr:uid="{00000000-0005-0000-0000-0000F8100000}"/>
    <cellStyle name="Примечание 57 5" xfId="4072" xr:uid="{00000000-0005-0000-0000-0000F9100000}"/>
    <cellStyle name="Примечание 57_Свод гостин" xfId="4073" xr:uid="{00000000-0005-0000-0000-0000FA100000}"/>
    <cellStyle name="Примечание 58" xfId="2429" xr:uid="{00000000-0005-0000-0000-0000FB100000}"/>
    <cellStyle name="Примечание 58 2" xfId="2430" xr:uid="{00000000-0005-0000-0000-0000FC100000}"/>
    <cellStyle name="Примечание 58 2 2" xfId="4074" xr:uid="{00000000-0005-0000-0000-0000FD100000}"/>
    <cellStyle name="Примечание 58 2 3" xfId="4075" xr:uid="{00000000-0005-0000-0000-0000FE100000}"/>
    <cellStyle name="Примечание 58 2 4" xfId="4076" xr:uid="{00000000-0005-0000-0000-0000FF100000}"/>
    <cellStyle name="Примечание 58 3" xfId="4077" xr:uid="{00000000-0005-0000-0000-000000110000}"/>
    <cellStyle name="Примечание 58 4" xfId="4078" xr:uid="{00000000-0005-0000-0000-000001110000}"/>
    <cellStyle name="Примечание 58 5" xfId="4079" xr:uid="{00000000-0005-0000-0000-000002110000}"/>
    <cellStyle name="Примечание 58_Свод гостин" xfId="4080" xr:uid="{00000000-0005-0000-0000-000003110000}"/>
    <cellStyle name="Примечание 59" xfId="2431" xr:uid="{00000000-0005-0000-0000-000004110000}"/>
    <cellStyle name="Примечание 59 2" xfId="2432" xr:uid="{00000000-0005-0000-0000-000005110000}"/>
    <cellStyle name="Примечание 59 2 2" xfId="4081" xr:uid="{00000000-0005-0000-0000-000006110000}"/>
    <cellStyle name="Примечание 59 2 3" xfId="4082" xr:uid="{00000000-0005-0000-0000-000007110000}"/>
    <cellStyle name="Примечание 59 2 4" xfId="4083" xr:uid="{00000000-0005-0000-0000-000008110000}"/>
    <cellStyle name="Примечание 59 3" xfId="4084" xr:uid="{00000000-0005-0000-0000-000009110000}"/>
    <cellStyle name="Примечание 59 4" xfId="4085" xr:uid="{00000000-0005-0000-0000-00000A110000}"/>
    <cellStyle name="Примечание 59 5" xfId="4086" xr:uid="{00000000-0005-0000-0000-00000B110000}"/>
    <cellStyle name="Примечание 59_Свод гостин" xfId="4087" xr:uid="{00000000-0005-0000-0000-00000C110000}"/>
    <cellStyle name="Примечание 6" xfId="2433" xr:uid="{00000000-0005-0000-0000-00000D110000}"/>
    <cellStyle name="Примечание 60" xfId="2434" xr:uid="{00000000-0005-0000-0000-00000E110000}"/>
    <cellStyle name="Примечание 60 2" xfId="2435" xr:uid="{00000000-0005-0000-0000-00000F110000}"/>
    <cellStyle name="Примечание 60 2 2" xfId="4088" xr:uid="{00000000-0005-0000-0000-000010110000}"/>
    <cellStyle name="Примечание 60 2 3" xfId="4089" xr:uid="{00000000-0005-0000-0000-000011110000}"/>
    <cellStyle name="Примечание 60 2 4" xfId="4090" xr:uid="{00000000-0005-0000-0000-000012110000}"/>
    <cellStyle name="Примечание 60 3" xfId="4091" xr:uid="{00000000-0005-0000-0000-000013110000}"/>
    <cellStyle name="Примечание 60 4" xfId="4092" xr:uid="{00000000-0005-0000-0000-000014110000}"/>
    <cellStyle name="Примечание 60 5" xfId="4093" xr:uid="{00000000-0005-0000-0000-000015110000}"/>
    <cellStyle name="Примечание 60_Свод гостин" xfId="4094" xr:uid="{00000000-0005-0000-0000-000016110000}"/>
    <cellStyle name="Примечание 61" xfId="2436" xr:uid="{00000000-0005-0000-0000-000017110000}"/>
    <cellStyle name="Примечание 61 2" xfId="2437" xr:uid="{00000000-0005-0000-0000-000018110000}"/>
    <cellStyle name="Примечание 61 2 2" xfId="4095" xr:uid="{00000000-0005-0000-0000-000019110000}"/>
    <cellStyle name="Примечание 61 2 3" xfId="4096" xr:uid="{00000000-0005-0000-0000-00001A110000}"/>
    <cellStyle name="Примечание 61 2 4" xfId="4097" xr:uid="{00000000-0005-0000-0000-00001B110000}"/>
    <cellStyle name="Примечание 61 3" xfId="4098" xr:uid="{00000000-0005-0000-0000-00001C110000}"/>
    <cellStyle name="Примечание 61 4" xfId="4099" xr:uid="{00000000-0005-0000-0000-00001D110000}"/>
    <cellStyle name="Примечание 61 5" xfId="4100" xr:uid="{00000000-0005-0000-0000-00001E110000}"/>
    <cellStyle name="Примечание 61_Свод гостин" xfId="4101" xr:uid="{00000000-0005-0000-0000-00001F110000}"/>
    <cellStyle name="Примечание 62" xfId="2438" xr:uid="{00000000-0005-0000-0000-000020110000}"/>
    <cellStyle name="Примечание 62 2" xfId="2439" xr:uid="{00000000-0005-0000-0000-000021110000}"/>
    <cellStyle name="Примечание 62 2 2" xfId="4102" xr:uid="{00000000-0005-0000-0000-000022110000}"/>
    <cellStyle name="Примечание 62 2 3" xfId="4103" xr:uid="{00000000-0005-0000-0000-000023110000}"/>
    <cellStyle name="Примечание 62 2 4" xfId="4104" xr:uid="{00000000-0005-0000-0000-000024110000}"/>
    <cellStyle name="Примечание 62 3" xfId="4105" xr:uid="{00000000-0005-0000-0000-000025110000}"/>
    <cellStyle name="Примечание 62 4" xfId="4106" xr:uid="{00000000-0005-0000-0000-000026110000}"/>
    <cellStyle name="Примечание 62 5" xfId="4107" xr:uid="{00000000-0005-0000-0000-000027110000}"/>
    <cellStyle name="Примечание 62_Свод гостин" xfId="4108" xr:uid="{00000000-0005-0000-0000-000028110000}"/>
    <cellStyle name="Примечание 63" xfId="2440" xr:uid="{00000000-0005-0000-0000-000029110000}"/>
    <cellStyle name="Примечание 63 2" xfId="2441" xr:uid="{00000000-0005-0000-0000-00002A110000}"/>
    <cellStyle name="Примечание 63 2 2" xfId="4109" xr:uid="{00000000-0005-0000-0000-00002B110000}"/>
    <cellStyle name="Примечание 63 2 3" xfId="4110" xr:uid="{00000000-0005-0000-0000-00002C110000}"/>
    <cellStyle name="Примечание 63 2 4" xfId="4111" xr:uid="{00000000-0005-0000-0000-00002D110000}"/>
    <cellStyle name="Примечание 63 3" xfId="4112" xr:uid="{00000000-0005-0000-0000-00002E110000}"/>
    <cellStyle name="Примечание 63 4" xfId="4113" xr:uid="{00000000-0005-0000-0000-00002F110000}"/>
    <cellStyle name="Примечание 63 5" xfId="4114" xr:uid="{00000000-0005-0000-0000-000030110000}"/>
    <cellStyle name="Примечание 63_Свод гостин" xfId="4115" xr:uid="{00000000-0005-0000-0000-000031110000}"/>
    <cellStyle name="Примечание 64" xfId="2442" xr:uid="{00000000-0005-0000-0000-000032110000}"/>
    <cellStyle name="Примечание 64 2" xfId="2443" xr:uid="{00000000-0005-0000-0000-000033110000}"/>
    <cellStyle name="Примечание 64 2 2" xfId="4116" xr:uid="{00000000-0005-0000-0000-000034110000}"/>
    <cellStyle name="Примечание 64 2 3" xfId="4117" xr:uid="{00000000-0005-0000-0000-000035110000}"/>
    <cellStyle name="Примечание 64 2 4" xfId="4118" xr:uid="{00000000-0005-0000-0000-000036110000}"/>
    <cellStyle name="Примечание 64 3" xfId="4119" xr:uid="{00000000-0005-0000-0000-000037110000}"/>
    <cellStyle name="Примечание 64 4" xfId="4120" xr:uid="{00000000-0005-0000-0000-000038110000}"/>
    <cellStyle name="Примечание 64 5" xfId="4121" xr:uid="{00000000-0005-0000-0000-000039110000}"/>
    <cellStyle name="Примечание 64_Свод гостин" xfId="4122" xr:uid="{00000000-0005-0000-0000-00003A110000}"/>
    <cellStyle name="Примечание 65" xfId="2444" xr:uid="{00000000-0005-0000-0000-00003B110000}"/>
    <cellStyle name="Примечание 65 2" xfId="2445" xr:uid="{00000000-0005-0000-0000-00003C110000}"/>
    <cellStyle name="Примечание 65 2 2" xfId="4123" xr:uid="{00000000-0005-0000-0000-00003D110000}"/>
    <cellStyle name="Примечание 65 2 3" xfId="4124" xr:uid="{00000000-0005-0000-0000-00003E110000}"/>
    <cellStyle name="Примечание 65 2 4" xfId="4125" xr:uid="{00000000-0005-0000-0000-00003F110000}"/>
    <cellStyle name="Примечание 65 3" xfId="4126" xr:uid="{00000000-0005-0000-0000-000040110000}"/>
    <cellStyle name="Примечание 65 4" xfId="4127" xr:uid="{00000000-0005-0000-0000-000041110000}"/>
    <cellStyle name="Примечание 65 5" xfId="4128" xr:uid="{00000000-0005-0000-0000-000042110000}"/>
    <cellStyle name="Примечание 65_Свод гостин" xfId="4129" xr:uid="{00000000-0005-0000-0000-000043110000}"/>
    <cellStyle name="Примечание 66" xfId="2446" xr:uid="{00000000-0005-0000-0000-000044110000}"/>
    <cellStyle name="Примечание 66 2" xfId="2447" xr:uid="{00000000-0005-0000-0000-000045110000}"/>
    <cellStyle name="Примечание 66 2 2" xfId="4130" xr:uid="{00000000-0005-0000-0000-000046110000}"/>
    <cellStyle name="Примечание 66 2 3" xfId="4131" xr:uid="{00000000-0005-0000-0000-000047110000}"/>
    <cellStyle name="Примечание 66 2 4" xfId="4132" xr:uid="{00000000-0005-0000-0000-000048110000}"/>
    <cellStyle name="Примечание 66 3" xfId="4133" xr:uid="{00000000-0005-0000-0000-000049110000}"/>
    <cellStyle name="Примечание 66 4" xfId="4134" xr:uid="{00000000-0005-0000-0000-00004A110000}"/>
    <cellStyle name="Примечание 66 5" xfId="4135" xr:uid="{00000000-0005-0000-0000-00004B110000}"/>
    <cellStyle name="Примечание 66_Свод гостин" xfId="4136" xr:uid="{00000000-0005-0000-0000-00004C110000}"/>
    <cellStyle name="Примечание 67" xfId="2448" xr:uid="{00000000-0005-0000-0000-00004D110000}"/>
    <cellStyle name="Примечание 67 2" xfId="2449" xr:uid="{00000000-0005-0000-0000-00004E110000}"/>
    <cellStyle name="Примечание 67 2 2" xfId="4137" xr:uid="{00000000-0005-0000-0000-00004F110000}"/>
    <cellStyle name="Примечание 67 2 3" xfId="4138" xr:uid="{00000000-0005-0000-0000-000050110000}"/>
    <cellStyle name="Примечание 67 2 4" xfId="4139" xr:uid="{00000000-0005-0000-0000-000051110000}"/>
    <cellStyle name="Примечание 67 3" xfId="4140" xr:uid="{00000000-0005-0000-0000-000052110000}"/>
    <cellStyle name="Примечание 67 4" xfId="4141" xr:uid="{00000000-0005-0000-0000-000053110000}"/>
    <cellStyle name="Примечание 67 5" xfId="4142" xr:uid="{00000000-0005-0000-0000-000054110000}"/>
    <cellStyle name="Примечание 67_Свод гостин" xfId="4143" xr:uid="{00000000-0005-0000-0000-000055110000}"/>
    <cellStyle name="Примечание 68" xfId="2450" xr:uid="{00000000-0005-0000-0000-000056110000}"/>
    <cellStyle name="Примечание 68 2" xfId="2451" xr:uid="{00000000-0005-0000-0000-000057110000}"/>
    <cellStyle name="Примечание 68 2 2" xfId="4144" xr:uid="{00000000-0005-0000-0000-000058110000}"/>
    <cellStyle name="Примечание 68 2 3" xfId="4145" xr:uid="{00000000-0005-0000-0000-000059110000}"/>
    <cellStyle name="Примечание 68 2 4" xfId="4146" xr:uid="{00000000-0005-0000-0000-00005A110000}"/>
    <cellStyle name="Примечание 68 3" xfId="4147" xr:uid="{00000000-0005-0000-0000-00005B110000}"/>
    <cellStyle name="Примечание 68 4" xfId="4148" xr:uid="{00000000-0005-0000-0000-00005C110000}"/>
    <cellStyle name="Примечание 68 5" xfId="4149" xr:uid="{00000000-0005-0000-0000-00005D110000}"/>
    <cellStyle name="Примечание 68_Свод гостин" xfId="4150" xr:uid="{00000000-0005-0000-0000-00005E110000}"/>
    <cellStyle name="Примечание 69" xfId="2452" xr:uid="{00000000-0005-0000-0000-00005F110000}"/>
    <cellStyle name="Примечание 69 2" xfId="2453" xr:uid="{00000000-0005-0000-0000-000060110000}"/>
    <cellStyle name="Примечание 69 2 2" xfId="4151" xr:uid="{00000000-0005-0000-0000-000061110000}"/>
    <cellStyle name="Примечание 69 2 3" xfId="4152" xr:uid="{00000000-0005-0000-0000-000062110000}"/>
    <cellStyle name="Примечание 69 2 4" xfId="4153" xr:uid="{00000000-0005-0000-0000-000063110000}"/>
    <cellStyle name="Примечание 69 3" xfId="4154" xr:uid="{00000000-0005-0000-0000-000064110000}"/>
    <cellStyle name="Примечание 69 4" xfId="4155" xr:uid="{00000000-0005-0000-0000-000065110000}"/>
    <cellStyle name="Примечание 69 5" xfId="4156" xr:uid="{00000000-0005-0000-0000-000066110000}"/>
    <cellStyle name="Примечание 69_Свод гостин" xfId="4157" xr:uid="{00000000-0005-0000-0000-000067110000}"/>
    <cellStyle name="Примечание 7" xfId="2454" xr:uid="{00000000-0005-0000-0000-000068110000}"/>
    <cellStyle name="Примечание 70" xfId="2455" xr:uid="{00000000-0005-0000-0000-000069110000}"/>
    <cellStyle name="Примечание 70 2" xfId="2456" xr:uid="{00000000-0005-0000-0000-00006A110000}"/>
    <cellStyle name="Примечание 70 2 2" xfId="4158" xr:uid="{00000000-0005-0000-0000-00006B110000}"/>
    <cellStyle name="Примечание 70 2 3" xfId="4159" xr:uid="{00000000-0005-0000-0000-00006C110000}"/>
    <cellStyle name="Примечание 70 2 4" xfId="4160" xr:uid="{00000000-0005-0000-0000-00006D110000}"/>
    <cellStyle name="Примечание 70 3" xfId="4161" xr:uid="{00000000-0005-0000-0000-00006E110000}"/>
    <cellStyle name="Примечание 70 4" xfId="4162" xr:uid="{00000000-0005-0000-0000-00006F110000}"/>
    <cellStyle name="Примечание 70 5" xfId="4163" xr:uid="{00000000-0005-0000-0000-000070110000}"/>
    <cellStyle name="Примечание 70_Свод гостин" xfId="4164" xr:uid="{00000000-0005-0000-0000-000071110000}"/>
    <cellStyle name="Примечание 71" xfId="2457" xr:uid="{00000000-0005-0000-0000-000072110000}"/>
    <cellStyle name="Примечание 71 2" xfId="2458" xr:uid="{00000000-0005-0000-0000-000073110000}"/>
    <cellStyle name="Примечание 71 2 2" xfId="4165" xr:uid="{00000000-0005-0000-0000-000074110000}"/>
    <cellStyle name="Примечание 71 2 3" xfId="4166" xr:uid="{00000000-0005-0000-0000-000075110000}"/>
    <cellStyle name="Примечание 71 2 4" xfId="4167" xr:uid="{00000000-0005-0000-0000-000076110000}"/>
    <cellStyle name="Примечание 71 3" xfId="4168" xr:uid="{00000000-0005-0000-0000-000077110000}"/>
    <cellStyle name="Примечание 71 4" xfId="4169" xr:uid="{00000000-0005-0000-0000-000078110000}"/>
    <cellStyle name="Примечание 71 5" xfId="4170" xr:uid="{00000000-0005-0000-0000-000079110000}"/>
    <cellStyle name="Примечание 71_Свод гостин" xfId="4171" xr:uid="{00000000-0005-0000-0000-00007A110000}"/>
    <cellStyle name="Примечание 72" xfId="2459" xr:uid="{00000000-0005-0000-0000-00007B110000}"/>
    <cellStyle name="Примечание 72 2" xfId="2460" xr:uid="{00000000-0005-0000-0000-00007C110000}"/>
    <cellStyle name="Примечание 72 2 2" xfId="4172" xr:uid="{00000000-0005-0000-0000-00007D110000}"/>
    <cellStyle name="Примечание 72 2 3" xfId="4173" xr:uid="{00000000-0005-0000-0000-00007E110000}"/>
    <cellStyle name="Примечание 72 2 4" xfId="4174" xr:uid="{00000000-0005-0000-0000-00007F110000}"/>
    <cellStyle name="Примечание 72 3" xfId="4175" xr:uid="{00000000-0005-0000-0000-000080110000}"/>
    <cellStyle name="Примечание 72 4" xfId="4176" xr:uid="{00000000-0005-0000-0000-000081110000}"/>
    <cellStyle name="Примечание 72 5" xfId="4177" xr:uid="{00000000-0005-0000-0000-000082110000}"/>
    <cellStyle name="Примечание 72_Свод гостин" xfId="4178" xr:uid="{00000000-0005-0000-0000-000083110000}"/>
    <cellStyle name="Примечание 73" xfId="2461" xr:uid="{00000000-0005-0000-0000-000084110000}"/>
    <cellStyle name="Примечание 73 2" xfId="2462" xr:uid="{00000000-0005-0000-0000-000085110000}"/>
    <cellStyle name="Примечание 73 2 2" xfId="4179" xr:uid="{00000000-0005-0000-0000-000086110000}"/>
    <cellStyle name="Примечание 73 2 3" xfId="4180" xr:uid="{00000000-0005-0000-0000-000087110000}"/>
    <cellStyle name="Примечание 73 2 4" xfId="4181" xr:uid="{00000000-0005-0000-0000-000088110000}"/>
    <cellStyle name="Примечание 73 3" xfId="4182" xr:uid="{00000000-0005-0000-0000-000089110000}"/>
    <cellStyle name="Примечание 73 4" xfId="4183" xr:uid="{00000000-0005-0000-0000-00008A110000}"/>
    <cellStyle name="Примечание 73 5" xfId="4184" xr:uid="{00000000-0005-0000-0000-00008B110000}"/>
    <cellStyle name="Примечание 73_Свод гостин" xfId="4185" xr:uid="{00000000-0005-0000-0000-00008C110000}"/>
    <cellStyle name="Примечание 74" xfId="2463" xr:uid="{00000000-0005-0000-0000-00008D110000}"/>
    <cellStyle name="Примечание 74 2" xfId="2464" xr:uid="{00000000-0005-0000-0000-00008E110000}"/>
    <cellStyle name="Примечание 74 2 2" xfId="4186" xr:uid="{00000000-0005-0000-0000-00008F110000}"/>
    <cellStyle name="Примечание 74 2 3" xfId="4187" xr:uid="{00000000-0005-0000-0000-000090110000}"/>
    <cellStyle name="Примечание 74 2 4" xfId="4188" xr:uid="{00000000-0005-0000-0000-000091110000}"/>
    <cellStyle name="Примечание 74 3" xfId="4189" xr:uid="{00000000-0005-0000-0000-000092110000}"/>
    <cellStyle name="Примечание 74 4" xfId="4190" xr:uid="{00000000-0005-0000-0000-000093110000}"/>
    <cellStyle name="Примечание 74 5" xfId="4191" xr:uid="{00000000-0005-0000-0000-000094110000}"/>
    <cellStyle name="Примечание 74_Свод гостин" xfId="4192" xr:uid="{00000000-0005-0000-0000-000095110000}"/>
    <cellStyle name="Примечание 75" xfId="2465" xr:uid="{00000000-0005-0000-0000-000096110000}"/>
    <cellStyle name="Примечание 75 2" xfId="2466" xr:uid="{00000000-0005-0000-0000-000097110000}"/>
    <cellStyle name="Примечание 75 2 2" xfId="4193" xr:uid="{00000000-0005-0000-0000-000098110000}"/>
    <cellStyle name="Примечание 75 2 3" xfId="4194" xr:uid="{00000000-0005-0000-0000-000099110000}"/>
    <cellStyle name="Примечание 75 2 4" xfId="4195" xr:uid="{00000000-0005-0000-0000-00009A110000}"/>
    <cellStyle name="Примечание 75 3" xfId="4196" xr:uid="{00000000-0005-0000-0000-00009B110000}"/>
    <cellStyle name="Примечание 75 4" xfId="4197" xr:uid="{00000000-0005-0000-0000-00009C110000}"/>
    <cellStyle name="Примечание 75 5" xfId="4198" xr:uid="{00000000-0005-0000-0000-00009D110000}"/>
    <cellStyle name="Примечание 75_Свод гостин" xfId="4199" xr:uid="{00000000-0005-0000-0000-00009E110000}"/>
    <cellStyle name="Примечание 76" xfId="2467" xr:uid="{00000000-0005-0000-0000-00009F110000}"/>
    <cellStyle name="Примечание 76 2" xfId="2468" xr:uid="{00000000-0005-0000-0000-0000A0110000}"/>
    <cellStyle name="Примечание 76 2 2" xfId="4200" xr:uid="{00000000-0005-0000-0000-0000A1110000}"/>
    <cellStyle name="Примечание 76 2 3" xfId="4201" xr:uid="{00000000-0005-0000-0000-0000A2110000}"/>
    <cellStyle name="Примечание 76 2 4" xfId="4202" xr:uid="{00000000-0005-0000-0000-0000A3110000}"/>
    <cellStyle name="Примечание 76 3" xfId="4203" xr:uid="{00000000-0005-0000-0000-0000A4110000}"/>
    <cellStyle name="Примечание 76 4" xfId="4204" xr:uid="{00000000-0005-0000-0000-0000A5110000}"/>
    <cellStyle name="Примечание 76 5" xfId="4205" xr:uid="{00000000-0005-0000-0000-0000A6110000}"/>
    <cellStyle name="Примечание 76_Свод гостин" xfId="4206" xr:uid="{00000000-0005-0000-0000-0000A7110000}"/>
    <cellStyle name="Примечание 77" xfId="2469" xr:uid="{00000000-0005-0000-0000-0000A8110000}"/>
    <cellStyle name="Примечание 77 2" xfId="2470" xr:uid="{00000000-0005-0000-0000-0000A9110000}"/>
    <cellStyle name="Примечание 77 2 2" xfId="4207" xr:uid="{00000000-0005-0000-0000-0000AA110000}"/>
    <cellStyle name="Примечание 77 2 3" xfId="4208" xr:uid="{00000000-0005-0000-0000-0000AB110000}"/>
    <cellStyle name="Примечание 77 2 4" xfId="4209" xr:uid="{00000000-0005-0000-0000-0000AC110000}"/>
    <cellStyle name="Примечание 77 3" xfId="4210" xr:uid="{00000000-0005-0000-0000-0000AD110000}"/>
    <cellStyle name="Примечание 77 4" xfId="4211" xr:uid="{00000000-0005-0000-0000-0000AE110000}"/>
    <cellStyle name="Примечание 77 5" xfId="4212" xr:uid="{00000000-0005-0000-0000-0000AF110000}"/>
    <cellStyle name="Примечание 77_Свод гостин" xfId="4213" xr:uid="{00000000-0005-0000-0000-0000B0110000}"/>
    <cellStyle name="Примечание 78" xfId="2471" xr:uid="{00000000-0005-0000-0000-0000B1110000}"/>
    <cellStyle name="Примечание 78 2" xfId="2472" xr:uid="{00000000-0005-0000-0000-0000B2110000}"/>
    <cellStyle name="Примечание 78 2 2" xfId="4214" xr:uid="{00000000-0005-0000-0000-0000B3110000}"/>
    <cellStyle name="Примечание 78 2 3" xfId="4215" xr:uid="{00000000-0005-0000-0000-0000B4110000}"/>
    <cellStyle name="Примечание 78 2 4" xfId="4216" xr:uid="{00000000-0005-0000-0000-0000B5110000}"/>
    <cellStyle name="Примечание 78 3" xfId="4217" xr:uid="{00000000-0005-0000-0000-0000B6110000}"/>
    <cellStyle name="Примечание 78 4" xfId="4218" xr:uid="{00000000-0005-0000-0000-0000B7110000}"/>
    <cellStyle name="Примечание 78 5" xfId="4219" xr:uid="{00000000-0005-0000-0000-0000B8110000}"/>
    <cellStyle name="Примечание 78_Свод гостин" xfId="4220" xr:uid="{00000000-0005-0000-0000-0000B9110000}"/>
    <cellStyle name="Примечание 79" xfId="2473" xr:uid="{00000000-0005-0000-0000-0000BA110000}"/>
    <cellStyle name="Примечание 79 2" xfId="2474" xr:uid="{00000000-0005-0000-0000-0000BB110000}"/>
    <cellStyle name="Примечание 79 2 2" xfId="4221" xr:uid="{00000000-0005-0000-0000-0000BC110000}"/>
    <cellStyle name="Примечание 79 2 3" xfId="4222" xr:uid="{00000000-0005-0000-0000-0000BD110000}"/>
    <cellStyle name="Примечание 79 2 4" xfId="4223" xr:uid="{00000000-0005-0000-0000-0000BE110000}"/>
    <cellStyle name="Примечание 79 3" xfId="4224" xr:uid="{00000000-0005-0000-0000-0000BF110000}"/>
    <cellStyle name="Примечание 79 4" xfId="4225" xr:uid="{00000000-0005-0000-0000-0000C0110000}"/>
    <cellStyle name="Примечание 79 5" xfId="4226" xr:uid="{00000000-0005-0000-0000-0000C1110000}"/>
    <cellStyle name="Примечание 79_Свод гостин" xfId="4227" xr:uid="{00000000-0005-0000-0000-0000C2110000}"/>
    <cellStyle name="Примечание 8" xfId="2475" xr:uid="{00000000-0005-0000-0000-0000C3110000}"/>
    <cellStyle name="Примечание 8 2" xfId="2476" xr:uid="{00000000-0005-0000-0000-0000C4110000}"/>
    <cellStyle name="Примечание 8 2 2" xfId="4228" xr:uid="{00000000-0005-0000-0000-0000C5110000}"/>
    <cellStyle name="Примечание 8 2 3" xfId="4229" xr:uid="{00000000-0005-0000-0000-0000C6110000}"/>
    <cellStyle name="Примечание 8 2 4" xfId="4230" xr:uid="{00000000-0005-0000-0000-0000C7110000}"/>
    <cellStyle name="Примечание 8 3" xfId="4231" xr:uid="{00000000-0005-0000-0000-0000C8110000}"/>
    <cellStyle name="Примечание 8 4" xfId="4232" xr:uid="{00000000-0005-0000-0000-0000C9110000}"/>
    <cellStyle name="Примечание 8 5" xfId="4233" xr:uid="{00000000-0005-0000-0000-0000CA110000}"/>
    <cellStyle name="Примечание 8_Свод гостин" xfId="4234" xr:uid="{00000000-0005-0000-0000-0000CB110000}"/>
    <cellStyle name="Примечание 80" xfId="2477" xr:uid="{00000000-0005-0000-0000-0000CC110000}"/>
    <cellStyle name="Примечание 80 2" xfId="2478" xr:uid="{00000000-0005-0000-0000-0000CD110000}"/>
    <cellStyle name="Примечание 80 2 2" xfId="4235" xr:uid="{00000000-0005-0000-0000-0000CE110000}"/>
    <cellStyle name="Примечание 80 2 3" xfId="4236" xr:uid="{00000000-0005-0000-0000-0000CF110000}"/>
    <cellStyle name="Примечание 80 2 4" xfId="4237" xr:uid="{00000000-0005-0000-0000-0000D0110000}"/>
    <cellStyle name="Примечание 80 3" xfId="4238" xr:uid="{00000000-0005-0000-0000-0000D1110000}"/>
    <cellStyle name="Примечание 80 4" xfId="4239" xr:uid="{00000000-0005-0000-0000-0000D2110000}"/>
    <cellStyle name="Примечание 80 5" xfId="4240" xr:uid="{00000000-0005-0000-0000-0000D3110000}"/>
    <cellStyle name="Примечание 80_Свод гостин" xfId="4241" xr:uid="{00000000-0005-0000-0000-0000D4110000}"/>
    <cellStyle name="Примечание 81" xfId="2479" xr:uid="{00000000-0005-0000-0000-0000D5110000}"/>
    <cellStyle name="Примечание 81 2" xfId="2480" xr:uid="{00000000-0005-0000-0000-0000D6110000}"/>
    <cellStyle name="Примечание 81 2 2" xfId="4242" xr:uid="{00000000-0005-0000-0000-0000D7110000}"/>
    <cellStyle name="Примечание 81 2 3" xfId="4243" xr:uid="{00000000-0005-0000-0000-0000D8110000}"/>
    <cellStyle name="Примечание 81 2 4" xfId="4244" xr:uid="{00000000-0005-0000-0000-0000D9110000}"/>
    <cellStyle name="Примечание 81 3" xfId="4245" xr:uid="{00000000-0005-0000-0000-0000DA110000}"/>
    <cellStyle name="Примечание 81 4" xfId="4246" xr:uid="{00000000-0005-0000-0000-0000DB110000}"/>
    <cellStyle name="Примечание 81 5" xfId="4247" xr:uid="{00000000-0005-0000-0000-0000DC110000}"/>
    <cellStyle name="Примечание 81_Свод гостин" xfId="4248" xr:uid="{00000000-0005-0000-0000-0000DD110000}"/>
    <cellStyle name="Примечание 82" xfId="2481" xr:uid="{00000000-0005-0000-0000-0000DE110000}"/>
    <cellStyle name="Примечание 82 2" xfId="2482" xr:uid="{00000000-0005-0000-0000-0000DF110000}"/>
    <cellStyle name="Примечание 82 2 2" xfId="4249" xr:uid="{00000000-0005-0000-0000-0000E0110000}"/>
    <cellStyle name="Примечание 82 2 3" xfId="4250" xr:uid="{00000000-0005-0000-0000-0000E1110000}"/>
    <cellStyle name="Примечание 82 2 4" xfId="4251" xr:uid="{00000000-0005-0000-0000-0000E2110000}"/>
    <cellStyle name="Примечание 82 3" xfId="4252" xr:uid="{00000000-0005-0000-0000-0000E3110000}"/>
    <cellStyle name="Примечание 82 4" xfId="4253" xr:uid="{00000000-0005-0000-0000-0000E4110000}"/>
    <cellStyle name="Примечание 82 5" xfId="4254" xr:uid="{00000000-0005-0000-0000-0000E5110000}"/>
    <cellStyle name="Примечание 82_Свод гостин" xfId="4255" xr:uid="{00000000-0005-0000-0000-0000E6110000}"/>
    <cellStyle name="Примечание 83" xfId="2483" xr:uid="{00000000-0005-0000-0000-0000E7110000}"/>
    <cellStyle name="Примечание 83 2" xfId="2484" xr:uid="{00000000-0005-0000-0000-0000E8110000}"/>
    <cellStyle name="Примечание 83 2 2" xfId="4256" xr:uid="{00000000-0005-0000-0000-0000E9110000}"/>
    <cellStyle name="Примечание 83 2 3" xfId="4257" xr:uid="{00000000-0005-0000-0000-0000EA110000}"/>
    <cellStyle name="Примечание 83 2 4" xfId="4258" xr:uid="{00000000-0005-0000-0000-0000EB110000}"/>
    <cellStyle name="Примечание 83 3" xfId="4259" xr:uid="{00000000-0005-0000-0000-0000EC110000}"/>
    <cellStyle name="Примечание 83 4" xfId="4260" xr:uid="{00000000-0005-0000-0000-0000ED110000}"/>
    <cellStyle name="Примечание 83 5" xfId="4261" xr:uid="{00000000-0005-0000-0000-0000EE110000}"/>
    <cellStyle name="Примечание 83_Свод гостин" xfId="4262" xr:uid="{00000000-0005-0000-0000-0000EF110000}"/>
    <cellStyle name="Примечание 84" xfId="2485" xr:uid="{00000000-0005-0000-0000-0000F0110000}"/>
    <cellStyle name="Примечание 84 2" xfId="2486" xr:uid="{00000000-0005-0000-0000-0000F1110000}"/>
    <cellStyle name="Примечание 84 2 2" xfId="4263" xr:uid="{00000000-0005-0000-0000-0000F2110000}"/>
    <cellStyle name="Примечание 84 2 3" xfId="4264" xr:uid="{00000000-0005-0000-0000-0000F3110000}"/>
    <cellStyle name="Примечание 84 2 4" xfId="4265" xr:uid="{00000000-0005-0000-0000-0000F4110000}"/>
    <cellStyle name="Примечание 84 3" xfId="4266" xr:uid="{00000000-0005-0000-0000-0000F5110000}"/>
    <cellStyle name="Примечание 84 4" xfId="4267" xr:uid="{00000000-0005-0000-0000-0000F6110000}"/>
    <cellStyle name="Примечание 84 5" xfId="4268" xr:uid="{00000000-0005-0000-0000-0000F7110000}"/>
    <cellStyle name="Примечание 84_Свод гостин" xfId="4269" xr:uid="{00000000-0005-0000-0000-0000F8110000}"/>
    <cellStyle name="Примечание 85" xfId="2487" xr:uid="{00000000-0005-0000-0000-0000F9110000}"/>
    <cellStyle name="Примечание 85 2" xfId="2488" xr:uid="{00000000-0005-0000-0000-0000FA110000}"/>
    <cellStyle name="Примечание 85 2 2" xfId="4270" xr:uid="{00000000-0005-0000-0000-0000FB110000}"/>
    <cellStyle name="Примечание 85 2 3" xfId="4271" xr:uid="{00000000-0005-0000-0000-0000FC110000}"/>
    <cellStyle name="Примечание 85 2 4" xfId="4272" xr:uid="{00000000-0005-0000-0000-0000FD110000}"/>
    <cellStyle name="Примечание 85 3" xfId="4273" xr:uid="{00000000-0005-0000-0000-0000FE110000}"/>
    <cellStyle name="Примечание 85 4" xfId="4274" xr:uid="{00000000-0005-0000-0000-0000FF110000}"/>
    <cellStyle name="Примечание 85 5" xfId="4275" xr:uid="{00000000-0005-0000-0000-000000120000}"/>
    <cellStyle name="Примечание 85_Свод гостин" xfId="4276" xr:uid="{00000000-0005-0000-0000-000001120000}"/>
    <cellStyle name="Примечание 86" xfId="2489" xr:uid="{00000000-0005-0000-0000-000002120000}"/>
    <cellStyle name="Примечание 86 2" xfId="2490" xr:uid="{00000000-0005-0000-0000-000003120000}"/>
    <cellStyle name="Примечание 86 2 2" xfId="4277" xr:uid="{00000000-0005-0000-0000-000004120000}"/>
    <cellStyle name="Примечание 86 2 3" xfId="4278" xr:uid="{00000000-0005-0000-0000-000005120000}"/>
    <cellStyle name="Примечание 86 2 4" xfId="4279" xr:uid="{00000000-0005-0000-0000-000006120000}"/>
    <cellStyle name="Примечание 86 3" xfId="4280" xr:uid="{00000000-0005-0000-0000-000007120000}"/>
    <cellStyle name="Примечание 86 4" xfId="4281" xr:uid="{00000000-0005-0000-0000-000008120000}"/>
    <cellStyle name="Примечание 86 5" xfId="4282" xr:uid="{00000000-0005-0000-0000-000009120000}"/>
    <cellStyle name="Примечание 86_Свод гостин" xfId="4283" xr:uid="{00000000-0005-0000-0000-00000A120000}"/>
    <cellStyle name="Примечание 87" xfId="2491" xr:uid="{00000000-0005-0000-0000-00000B120000}"/>
    <cellStyle name="Примечание 87 2" xfId="2492" xr:uid="{00000000-0005-0000-0000-00000C120000}"/>
    <cellStyle name="Примечание 87 2 2" xfId="4284" xr:uid="{00000000-0005-0000-0000-00000D120000}"/>
    <cellStyle name="Примечание 87 2 3" xfId="4285" xr:uid="{00000000-0005-0000-0000-00000E120000}"/>
    <cellStyle name="Примечание 87 2 4" xfId="4286" xr:uid="{00000000-0005-0000-0000-00000F120000}"/>
    <cellStyle name="Примечание 87 3" xfId="4287" xr:uid="{00000000-0005-0000-0000-000010120000}"/>
    <cellStyle name="Примечание 87 4" xfId="4288" xr:uid="{00000000-0005-0000-0000-000011120000}"/>
    <cellStyle name="Примечание 87 5" xfId="4289" xr:uid="{00000000-0005-0000-0000-000012120000}"/>
    <cellStyle name="Примечание 87_Свод гостин" xfId="4290" xr:uid="{00000000-0005-0000-0000-000013120000}"/>
    <cellStyle name="Примечание 88" xfId="2493" xr:uid="{00000000-0005-0000-0000-000014120000}"/>
    <cellStyle name="Примечание 88 2" xfId="2494" xr:uid="{00000000-0005-0000-0000-000015120000}"/>
    <cellStyle name="Примечание 88 2 2" xfId="4291" xr:uid="{00000000-0005-0000-0000-000016120000}"/>
    <cellStyle name="Примечание 88 2 3" xfId="4292" xr:uid="{00000000-0005-0000-0000-000017120000}"/>
    <cellStyle name="Примечание 88 2 4" xfId="4293" xr:uid="{00000000-0005-0000-0000-000018120000}"/>
    <cellStyle name="Примечание 88 3" xfId="4294" xr:uid="{00000000-0005-0000-0000-000019120000}"/>
    <cellStyle name="Примечание 88 4" xfId="4295" xr:uid="{00000000-0005-0000-0000-00001A120000}"/>
    <cellStyle name="Примечание 88 5" xfId="4296" xr:uid="{00000000-0005-0000-0000-00001B120000}"/>
    <cellStyle name="Примечание 88_Свод гостин" xfId="4297" xr:uid="{00000000-0005-0000-0000-00001C120000}"/>
    <cellStyle name="Примечание 89" xfId="2495" xr:uid="{00000000-0005-0000-0000-00001D120000}"/>
    <cellStyle name="Примечание 89 2" xfId="2496" xr:uid="{00000000-0005-0000-0000-00001E120000}"/>
    <cellStyle name="Примечание 89 2 2" xfId="4298" xr:uid="{00000000-0005-0000-0000-00001F120000}"/>
    <cellStyle name="Примечание 89 2 3" xfId="4299" xr:uid="{00000000-0005-0000-0000-000020120000}"/>
    <cellStyle name="Примечание 89 2 4" xfId="4300" xr:uid="{00000000-0005-0000-0000-000021120000}"/>
    <cellStyle name="Примечание 89 3" xfId="4301" xr:uid="{00000000-0005-0000-0000-000022120000}"/>
    <cellStyle name="Примечание 89 4" xfId="4302" xr:uid="{00000000-0005-0000-0000-000023120000}"/>
    <cellStyle name="Примечание 89 5" xfId="4303" xr:uid="{00000000-0005-0000-0000-000024120000}"/>
    <cellStyle name="Примечание 89_Свод гостин" xfId="4304" xr:uid="{00000000-0005-0000-0000-000025120000}"/>
    <cellStyle name="Примечание 9" xfId="2497" xr:uid="{00000000-0005-0000-0000-000026120000}"/>
    <cellStyle name="Примечание 9 2" xfId="2498" xr:uid="{00000000-0005-0000-0000-000027120000}"/>
    <cellStyle name="Примечание 9 2 2" xfId="4305" xr:uid="{00000000-0005-0000-0000-000028120000}"/>
    <cellStyle name="Примечание 9 2 3" xfId="4306" xr:uid="{00000000-0005-0000-0000-000029120000}"/>
    <cellStyle name="Примечание 9 2 4" xfId="4307" xr:uid="{00000000-0005-0000-0000-00002A120000}"/>
    <cellStyle name="Примечание 9 3" xfId="4308" xr:uid="{00000000-0005-0000-0000-00002B120000}"/>
    <cellStyle name="Примечание 9 4" xfId="4309" xr:uid="{00000000-0005-0000-0000-00002C120000}"/>
    <cellStyle name="Примечание 9 5" xfId="4310" xr:uid="{00000000-0005-0000-0000-00002D120000}"/>
    <cellStyle name="Примечание 9_Свод гостин" xfId="4311" xr:uid="{00000000-0005-0000-0000-00002E120000}"/>
    <cellStyle name="Процентный" xfId="4412" builtinId="5"/>
    <cellStyle name="Процентный 2" xfId="113" xr:uid="{00000000-0005-0000-0000-000030120000}"/>
    <cellStyle name="Процентный 2 2" xfId="2499" xr:uid="{00000000-0005-0000-0000-000031120000}"/>
    <cellStyle name="Процентный 2 2 2" xfId="4312" xr:uid="{00000000-0005-0000-0000-000032120000}"/>
    <cellStyle name="Процентный 2 2 3" xfId="4313" xr:uid="{00000000-0005-0000-0000-000033120000}"/>
    <cellStyle name="Процентный 2 2 4" xfId="4314" xr:uid="{00000000-0005-0000-0000-000034120000}"/>
    <cellStyle name="Процентный 3" xfId="2500" xr:uid="{00000000-0005-0000-0000-000035120000}"/>
    <cellStyle name="Процентный 3 2" xfId="4315" xr:uid="{00000000-0005-0000-0000-000036120000}"/>
    <cellStyle name="Процентный 3 3" xfId="4316" xr:uid="{00000000-0005-0000-0000-000037120000}"/>
    <cellStyle name="Процентный 3 4" xfId="4317" xr:uid="{00000000-0005-0000-0000-000038120000}"/>
    <cellStyle name="Процентный 4" xfId="2501" xr:uid="{00000000-0005-0000-0000-000039120000}"/>
    <cellStyle name="Процентный 4 2" xfId="4318" xr:uid="{00000000-0005-0000-0000-00003A120000}"/>
    <cellStyle name="Процентный 4 3" xfId="4319" xr:uid="{00000000-0005-0000-0000-00003B120000}"/>
    <cellStyle name="Процентный 5" xfId="4320" xr:uid="{00000000-0005-0000-0000-00003C120000}"/>
    <cellStyle name="Процентный 6" xfId="4842" xr:uid="{00000000-0005-0000-0000-00003D120000}"/>
    <cellStyle name="Стиль 1" xfId="114" xr:uid="{00000000-0005-0000-0000-00003E120000}"/>
    <cellStyle name="Стиль 1 2" xfId="115" xr:uid="{00000000-0005-0000-0000-00003F120000}"/>
    <cellStyle name="Стиль 1 2 2" xfId="2502" xr:uid="{00000000-0005-0000-0000-000040120000}"/>
    <cellStyle name="Стиль 1 2 3" xfId="4321" xr:uid="{00000000-0005-0000-0000-000041120000}"/>
    <cellStyle name="Стиль 1 2 4" xfId="4322" xr:uid="{00000000-0005-0000-0000-000042120000}"/>
    <cellStyle name="Стиль 1 2_Свод гостин" xfId="4323" xr:uid="{00000000-0005-0000-0000-000043120000}"/>
    <cellStyle name="Стиль 1 3" xfId="2503" xr:uid="{00000000-0005-0000-0000-000044120000}"/>
    <cellStyle name="Стиль 1 3 2" xfId="4802" xr:uid="{00000000-0005-0000-0000-000045120000}"/>
    <cellStyle name="Стиль 1 4" xfId="4324" xr:uid="{00000000-0005-0000-0000-000046120000}"/>
    <cellStyle name="Стиль 1 5" xfId="4325" xr:uid="{00000000-0005-0000-0000-000047120000}"/>
    <cellStyle name="Стиль 1_Свод гостин" xfId="4326" xr:uid="{00000000-0005-0000-0000-000048120000}"/>
    <cellStyle name="Стиль 2" xfId="4803" xr:uid="{00000000-0005-0000-0000-000049120000}"/>
    <cellStyle name="Стиль 3" xfId="4804" xr:uid="{00000000-0005-0000-0000-00004A120000}"/>
    <cellStyle name="Стиль 4" xfId="4805" xr:uid="{00000000-0005-0000-0000-00004B120000}"/>
    <cellStyle name="Стиль_названий" xfId="4806" xr:uid="{00000000-0005-0000-0000-00004C120000}"/>
    <cellStyle name="Тысячи [0]" xfId="4807" xr:uid="{00000000-0005-0000-0000-00004D120000}"/>
    <cellStyle name="Тысячи_010SN05" xfId="4808" xr:uid="{00000000-0005-0000-0000-00004E120000}"/>
    <cellStyle name="Финансовый" xfId="116" builtinId="3"/>
    <cellStyle name="Финансовый 10" xfId="2504" xr:uid="{00000000-0005-0000-0000-000050120000}"/>
    <cellStyle name="Финансовый 10 2" xfId="4432" xr:uid="{00000000-0005-0000-0000-000051120000}"/>
    <cellStyle name="Финансовый 11" xfId="117" xr:uid="{00000000-0005-0000-0000-000052120000}"/>
    <cellStyle name="Финансовый 11 2" xfId="4327" xr:uid="{00000000-0005-0000-0000-000053120000}"/>
    <cellStyle name="Финансовый 11 3" xfId="4328" xr:uid="{00000000-0005-0000-0000-000054120000}"/>
    <cellStyle name="Финансовый 11 4" xfId="4809" xr:uid="{00000000-0005-0000-0000-000055120000}"/>
    <cellStyle name="Финансовый 12" xfId="4329" xr:uid="{00000000-0005-0000-0000-000056120000}"/>
    <cellStyle name="Финансовый 13" xfId="4330" xr:uid="{00000000-0005-0000-0000-000057120000}"/>
    <cellStyle name="Финансовый 14" xfId="4810" xr:uid="{00000000-0005-0000-0000-000058120000}"/>
    <cellStyle name="Финансовый 15" xfId="4811" xr:uid="{00000000-0005-0000-0000-000059120000}"/>
    <cellStyle name="Финансовый 16" xfId="4812" xr:uid="{00000000-0005-0000-0000-00005A120000}"/>
    <cellStyle name="Финансовый 17" xfId="4813" xr:uid="{00000000-0005-0000-0000-00005B120000}"/>
    <cellStyle name="Финансовый 18" xfId="4814" xr:uid="{00000000-0005-0000-0000-00005C120000}"/>
    <cellStyle name="Финансовый 19" xfId="4815" xr:uid="{00000000-0005-0000-0000-00005D120000}"/>
    <cellStyle name="Финансовый 2" xfId="118" xr:uid="{00000000-0005-0000-0000-00005E120000}"/>
    <cellStyle name="Финансовый 2 2" xfId="119" xr:uid="{00000000-0005-0000-0000-00005F120000}"/>
    <cellStyle name="Финансовый 2 2 2" xfId="120" xr:uid="{00000000-0005-0000-0000-000060120000}"/>
    <cellStyle name="Финансовый 2 2 2 2" xfId="2505" xr:uid="{00000000-0005-0000-0000-000061120000}"/>
    <cellStyle name="Финансовый 2 2 2 3" xfId="4331" xr:uid="{00000000-0005-0000-0000-000062120000}"/>
    <cellStyle name="Финансовый 2 2 2 4" xfId="4332" xr:uid="{00000000-0005-0000-0000-000063120000}"/>
    <cellStyle name="Финансовый 2 2 3" xfId="121" xr:uid="{00000000-0005-0000-0000-000064120000}"/>
    <cellStyle name="Финансовый 2 2 3 2" xfId="4333" xr:uid="{00000000-0005-0000-0000-000065120000}"/>
    <cellStyle name="Финансовый 2 2 3 3" xfId="4334" xr:uid="{00000000-0005-0000-0000-000066120000}"/>
    <cellStyle name="Финансовый 2 2 3 4" xfId="4335" xr:uid="{00000000-0005-0000-0000-000067120000}"/>
    <cellStyle name="Финансовый 2 2 4" xfId="2506" xr:uid="{00000000-0005-0000-0000-000068120000}"/>
    <cellStyle name="Финансовый 2 2 5" xfId="4336" xr:uid="{00000000-0005-0000-0000-000069120000}"/>
    <cellStyle name="Финансовый 2 2 6" xfId="4337" xr:uid="{00000000-0005-0000-0000-00006A120000}"/>
    <cellStyle name="Финансовый 2 3" xfId="122" xr:uid="{00000000-0005-0000-0000-00006B120000}"/>
    <cellStyle name="Финансовый 2 3 2" xfId="2507" xr:uid="{00000000-0005-0000-0000-00006C120000}"/>
    <cellStyle name="Финансовый 2 3 2 2" xfId="4338" xr:uid="{00000000-0005-0000-0000-00006D120000}"/>
    <cellStyle name="Финансовый 2 3 2 3" xfId="4339" xr:uid="{00000000-0005-0000-0000-00006E120000}"/>
    <cellStyle name="Финансовый 2 3 2 4" xfId="4340" xr:uid="{00000000-0005-0000-0000-00006F120000}"/>
    <cellStyle name="Финансовый 2 4" xfId="2508" xr:uid="{00000000-0005-0000-0000-000070120000}"/>
    <cellStyle name="Финансовый 2 4 2" xfId="123" xr:uid="{00000000-0005-0000-0000-000071120000}"/>
    <cellStyle name="Финансовый 2 4 2 2" xfId="4341" xr:uid="{00000000-0005-0000-0000-000072120000}"/>
    <cellStyle name="Финансовый 2 4 2 3" xfId="4342" xr:uid="{00000000-0005-0000-0000-000073120000}"/>
    <cellStyle name="Финансовый 2 4 2 4" xfId="4343" xr:uid="{00000000-0005-0000-0000-000074120000}"/>
    <cellStyle name="Финансовый 2 4 3" xfId="4816" xr:uid="{00000000-0005-0000-0000-000075120000}"/>
    <cellStyle name="Финансовый 2 4 4" xfId="4817" xr:uid="{00000000-0005-0000-0000-000076120000}"/>
    <cellStyle name="Финансовый 2 4 5" xfId="4818" xr:uid="{00000000-0005-0000-0000-000077120000}"/>
    <cellStyle name="Финансовый 2 4 6" xfId="4819" xr:uid="{00000000-0005-0000-0000-000078120000}"/>
    <cellStyle name="Финансовый 2 5" xfId="2509" xr:uid="{00000000-0005-0000-0000-000079120000}"/>
    <cellStyle name="Финансовый 2 5 2" xfId="4820" xr:uid="{00000000-0005-0000-0000-00007A120000}"/>
    <cellStyle name="Финансовый 2 5 3" xfId="4821" xr:uid="{00000000-0005-0000-0000-00007B120000}"/>
    <cellStyle name="Финансовый 2 6" xfId="4433" xr:uid="{00000000-0005-0000-0000-00007C120000}"/>
    <cellStyle name="Финансовый 2 7" xfId="4822" xr:uid="{00000000-0005-0000-0000-00007D120000}"/>
    <cellStyle name="Финансовый 2 8" xfId="4823" xr:uid="{00000000-0005-0000-0000-00007E120000}"/>
    <cellStyle name="Финансовый 2 9" xfId="4824" xr:uid="{00000000-0005-0000-0000-00007F120000}"/>
    <cellStyle name="Финансовый 2_3FB0480D" xfId="4825" xr:uid="{00000000-0005-0000-0000-000080120000}"/>
    <cellStyle name="Финансовый 20" xfId="4826" xr:uid="{00000000-0005-0000-0000-000081120000}"/>
    <cellStyle name="Финансовый 21" xfId="4827" xr:uid="{00000000-0005-0000-0000-000082120000}"/>
    <cellStyle name="Финансовый 22" xfId="4828" xr:uid="{00000000-0005-0000-0000-000083120000}"/>
    <cellStyle name="Финансовый 23" xfId="4829" xr:uid="{00000000-0005-0000-0000-000084120000}"/>
    <cellStyle name="Финансовый 24" xfId="4830" xr:uid="{00000000-0005-0000-0000-000085120000}"/>
    <cellStyle name="Финансовый 25" xfId="4831" xr:uid="{00000000-0005-0000-0000-000086120000}"/>
    <cellStyle name="Финансовый 26" xfId="4832" xr:uid="{00000000-0005-0000-0000-000087120000}"/>
    <cellStyle name="Финансовый 27" xfId="4833" xr:uid="{00000000-0005-0000-0000-000088120000}"/>
    <cellStyle name="Финансовый 28" xfId="4846" xr:uid="{C84C3EA0-F88C-4F83-91E4-789A21FFD3B1}"/>
    <cellStyle name="Финансовый 3" xfId="124" xr:uid="{00000000-0005-0000-0000-000089120000}"/>
    <cellStyle name="Финансовый 3 2" xfId="125" xr:uid="{00000000-0005-0000-0000-00008A120000}"/>
    <cellStyle name="Финансовый 3 2 2" xfId="2510" xr:uid="{00000000-0005-0000-0000-00008B120000}"/>
    <cellStyle name="Финансовый 3 2 2 2" xfId="4344" xr:uid="{00000000-0005-0000-0000-00008C120000}"/>
    <cellStyle name="Финансовый 3 2 2 3" xfId="4345" xr:uid="{00000000-0005-0000-0000-00008D120000}"/>
    <cellStyle name="Финансовый 3 2 2 4" xfId="4346" xr:uid="{00000000-0005-0000-0000-00008E120000}"/>
    <cellStyle name="Финансовый 3 2 3" xfId="4347" xr:uid="{00000000-0005-0000-0000-00008F120000}"/>
    <cellStyle name="Финансовый 3 2 4" xfId="4348" xr:uid="{00000000-0005-0000-0000-000090120000}"/>
    <cellStyle name="Финансовый 3 2_Свод гостин" xfId="4349" xr:uid="{00000000-0005-0000-0000-000091120000}"/>
    <cellStyle name="Финансовый 3 3" xfId="2511" xr:uid="{00000000-0005-0000-0000-000092120000}"/>
    <cellStyle name="Финансовый 3 3 2" xfId="4350" xr:uid="{00000000-0005-0000-0000-000093120000}"/>
    <cellStyle name="Финансовый 3 3 3" xfId="4351" xr:uid="{00000000-0005-0000-0000-000094120000}"/>
    <cellStyle name="Финансовый 3 3 4" xfId="4352" xr:uid="{00000000-0005-0000-0000-000095120000}"/>
    <cellStyle name="Финансовый 3 4" xfId="2512" xr:uid="{00000000-0005-0000-0000-000096120000}"/>
    <cellStyle name="Финансовый 3 4 2" xfId="4353" xr:uid="{00000000-0005-0000-0000-000097120000}"/>
    <cellStyle name="Финансовый 3 4 3" xfId="4354" xr:uid="{00000000-0005-0000-0000-000098120000}"/>
    <cellStyle name="Финансовый 3 4 4" xfId="4355" xr:uid="{00000000-0005-0000-0000-000099120000}"/>
    <cellStyle name="Финансовый 3 5" xfId="2513" xr:uid="{00000000-0005-0000-0000-00009A120000}"/>
    <cellStyle name="Финансовый 3 5 2" xfId="4356" xr:uid="{00000000-0005-0000-0000-00009B120000}"/>
    <cellStyle name="Финансовый 3 5 3" xfId="4357" xr:uid="{00000000-0005-0000-0000-00009C120000}"/>
    <cellStyle name="Финансовый 3 5 4" xfId="4358" xr:uid="{00000000-0005-0000-0000-00009D120000}"/>
    <cellStyle name="Финансовый 3 6" xfId="4359" xr:uid="{00000000-0005-0000-0000-00009E120000}"/>
    <cellStyle name="Финансовый 3 7" xfId="4360" xr:uid="{00000000-0005-0000-0000-00009F120000}"/>
    <cellStyle name="Финансовый 32" xfId="4834" xr:uid="{00000000-0005-0000-0000-0000A0120000}"/>
    <cellStyle name="Финансовый 4" xfId="126" xr:uid="{00000000-0005-0000-0000-0000A1120000}"/>
    <cellStyle name="Финансовый 4 2" xfId="127" xr:uid="{00000000-0005-0000-0000-0000A2120000}"/>
    <cellStyle name="Финансовый 4 2 2" xfId="4361" xr:uid="{00000000-0005-0000-0000-0000A3120000}"/>
    <cellStyle name="Финансовый 4 2 3" xfId="4362" xr:uid="{00000000-0005-0000-0000-0000A4120000}"/>
    <cellStyle name="Финансовый 4 3" xfId="2514" xr:uid="{00000000-0005-0000-0000-0000A5120000}"/>
    <cellStyle name="Финансовый 4 3 2" xfId="4363" xr:uid="{00000000-0005-0000-0000-0000A6120000}"/>
    <cellStyle name="Финансовый 4 3 3" xfId="4364" xr:uid="{00000000-0005-0000-0000-0000A7120000}"/>
    <cellStyle name="Финансовый 4 3 4" xfId="4365" xr:uid="{00000000-0005-0000-0000-0000A8120000}"/>
    <cellStyle name="Финансовый 4 4" xfId="4366" xr:uid="{00000000-0005-0000-0000-0000A9120000}"/>
    <cellStyle name="Финансовый 4 5" xfId="4367" xr:uid="{00000000-0005-0000-0000-0000AA120000}"/>
    <cellStyle name="Финансовый 5" xfId="128" xr:uid="{00000000-0005-0000-0000-0000AB120000}"/>
    <cellStyle name="Финансовый 5 2" xfId="2515" xr:uid="{00000000-0005-0000-0000-0000AC120000}"/>
    <cellStyle name="Финансовый 5 2 2" xfId="4434" xr:uid="{00000000-0005-0000-0000-0000AD120000}"/>
    <cellStyle name="Финансовый 5 3" xfId="4435" xr:uid="{00000000-0005-0000-0000-0000AE120000}"/>
    <cellStyle name="Финансовый 6" xfId="2516" xr:uid="{00000000-0005-0000-0000-0000AF120000}"/>
    <cellStyle name="Финансовый 6 2" xfId="2517" xr:uid="{00000000-0005-0000-0000-0000B0120000}"/>
    <cellStyle name="Финансовый 6 2 2" xfId="2518" xr:uid="{00000000-0005-0000-0000-0000B1120000}"/>
    <cellStyle name="Финансовый 6 2 2 2" xfId="4368" xr:uid="{00000000-0005-0000-0000-0000B2120000}"/>
    <cellStyle name="Финансовый 6 2 2 3" xfId="4369" xr:uid="{00000000-0005-0000-0000-0000B3120000}"/>
    <cellStyle name="Финансовый 6 2 2 4" xfId="4370" xr:uid="{00000000-0005-0000-0000-0000B4120000}"/>
    <cellStyle name="Финансовый 6 2 3" xfId="4371" xr:uid="{00000000-0005-0000-0000-0000B5120000}"/>
    <cellStyle name="Финансовый 6 2 4" xfId="4372" xr:uid="{00000000-0005-0000-0000-0000B6120000}"/>
    <cellStyle name="Финансовый 6 2 5" xfId="4373" xr:uid="{00000000-0005-0000-0000-0000B7120000}"/>
    <cellStyle name="Финансовый 6 3" xfId="2519" xr:uid="{00000000-0005-0000-0000-0000B8120000}"/>
    <cellStyle name="Финансовый 6 3 2" xfId="4374" xr:uid="{00000000-0005-0000-0000-0000B9120000}"/>
    <cellStyle name="Финансовый 6 3 3" xfId="4375" xr:uid="{00000000-0005-0000-0000-0000BA120000}"/>
    <cellStyle name="Финансовый 6 3 4" xfId="4376" xr:uid="{00000000-0005-0000-0000-0000BB120000}"/>
    <cellStyle name="Финансовый 6 4" xfId="129" xr:uid="{00000000-0005-0000-0000-0000BC120000}"/>
    <cellStyle name="Финансовый 6 4 2" xfId="4377" xr:uid="{00000000-0005-0000-0000-0000BD120000}"/>
    <cellStyle name="Финансовый 6 4 2 2" xfId="4378" xr:uid="{00000000-0005-0000-0000-0000BE120000}"/>
    <cellStyle name="Финансовый 6 4 2 3" xfId="4379" xr:uid="{00000000-0005-0000-0000-0000BF120000}"/>
    <cellStyle name="Финансовый 6 4 2 4" xfId="4380" xr:uid="{00000000-0005-0000-0000-0000C0120000}"/>
    <cellStyle name="Финансовый 6 4 3" xfId="4381" xr:uid="{00000000-0005-0000-0000-0000C1120000}"/>
    <cellStyle name="Финансовый 6 4 4" xfId="4382" xr:uid="{00000000-0005-0000-0000-0000C2120000}"/>
    <cellStyle name="Финансовый 6 4 5" xfId="4383" xr:uid="{00000000-0005-0000-0000-0000C3120000}"/>
    <cellStyle name="Финансовый 6 4 6" xfId="4384" xr:uid="{00000000-0005-0000-0000-0000C4120000}"/>
    <cellStyle name="Финансовый 6 5" xfId="4385" xr:uid="{00000000-0005-0000-0000-0000C5120000}"/>
    <cellStyle name="Финансовый 6 6" xfId="4386" xr:uid="{00000000-0005-0000-0000-0000C6120000}"/>
    <cellStyle name="Финансовый 6 7" xfId="4387" xr:uid="{00000000-0005-0000-0000-0000C7120000}"/>
    <cellStyle name="Финансовый 7" xfId="2520" xr:uid="{00000000-0005-0000-0000-0000C8120000}"/>
    <cellStyle name="Финансовый 7 2" xfId="2521" xr:uid="{00000000-0005-0000-0000-0000C9120000}"/>
    <cellStyle name="Финансовый 7 2 2" xfId="4388" xr:uid="{00000000-0005-0000-0000-0000CA120000}"/>
    <cellStyle name="Финансовый 7 2 3" xfId="4389" xr:uid="{00000000-0005-0000-0000-0000CB120000}"/>
    <cellStyle name="Финансовый 7 2 4" xfId="4390" xr:uid="{00000000-0005-0000-0000-0000CC120000}"/>
    <cellStyle name="Финансовый 7 3" xfId="130" xr:uid="{00000000-0005-0000-0000-0000CD120000}"/>
    <cellStyle name="Финансовый 7 3 2" xfId="4391" xr:uid="{00000000-0005-0000-0000-0000CE120000}"/>
    <cellStyle name="Финансовый 7 3 2 2" xfId="4392" xr:uid="{00000000-0005-0000-0000-0000CF120000}"/>
    <cellStyle name="Финансовый 7 3 2 3" xfId="4393" xr:uid="{00000000-0005-0000-0000-0000D0120000}"/>
    <cellStyle name="Финансовый 7 3 2 4" xfId="4394" xr:uid="{00000000-0005-0000-0000-0000D1120000}"/>
    <cellStyle name="Финансовый 7 3 3" xfId="4395" xr:uid="{00000000-0005-0000-0000-0000D2120000}"/>
    <cellStyle name="Финансовый 7 3 4" xfId="4396" xr:uid="{00000000-0005-0000-0000-0000D3120000}"/>
    <cellStyle name="Финансовый 7 3 5" xfId="4397" xr:uid="{00000000-0005-0000-0000-0000D4120000}"/>
    <cellStyle name="Финансовый 7 3 6" xfId="4398" xr:uid="{00000000-0005-0000-0000-0000D5120000}"/>
    <cellStyle name="Финансовый 7 4" xfId="4399" xr:uid="{00000000-0005-0000-0000-0000D6120000}"/>
    <cellStyle name="Финансовый 7 5" xfId="4400" xr:uid="{00000000-0005-0000-0000-0000D7120000}"/>
    <cellStyle name="Финансовый 7 6" xfId="4401" xr:uid="{00000000-0005-0000-0000-0000D8120000}"/>
    <cellStyle name="Финансовый 8" xfId="2522" xr:uid="{00000000-0005-0000-0000-0000D9120000}"/>
    <cellStyle name="Финансовый 8 2" xfId="2523" xr:uid="{00000000-0005-0000-0000-0000DA120000}"/>
    <cellStyle name="Финансовый 8 2 2" xfId="4402" xr:uid="{00000000-0005-0000-0000-0000DB120000}"/>
    <cellStyle name="Финансовый 8 2 3" xfId="4403" xr:uid="{00000000-0005-0000-0000-0000DC120000}"/>
    <cellStyle name="Финансовый 8 2 4" xfId="4404" xr:uid="{00000000-0005-0000-0000-0000DD120000}"/>
    <cellStyle name="Финансовый 8 3" xfId="4405" xr:uid="{00000000-0005-0000-0000-0000DE120000}"/>
    <cellStyle name="Финансовый 8 4" xfId="4406" xr:uid="{00000000-0005-0000-0000-0000DF120000}"/>
    <cellStyle name="Финансовый 8 5" xfId="4407" xr:uid="{00000000-0005-0000-0000-0000E0120000}"/>
    <cellStyle name="Финансовый 8_Свод гостин" xfId="4408" xr:uid="{00000000-0005-0000-0000-0000E1120000}"/>
    <cellStyle name="Финансовый 9" xfId="2524" xr:uid="{00000000-0005-0000-0000-0000E2120000}"/>
    <cellStyle name="Финансовый 9 2" xfId="4409" xr:uid="{00000000-0005-0000-0000-0000E3120000}"/>
    <cellStyle name="Финансовый 9 3" xfId="4410" xr:uid="{00000000-0005-0000-0000-0000E4120000}"/>
    <cellStyle name="Финансовый 9 4" xfId="4411" xr:uid="{00000000-0005-0000-0000-0000E5120000}"/>
    <cellStyle name="Финансовый_БЮДЖЕТ ГСМ (откорректирован) 2" xfId="131" xr:uid="{00000000-0005-0000-0000-0000E6120000}"/>
    <cellStyle name="Хороший 2" xfId="2525" xr:uid="{00000000-0005-0000-0000-0000E7120000}"/>
    <cellStyle name="Цена" xfId="4835" xr:uid="{00000000-0005-0000-0000-0000E8120000}"/>
    <cellStyle name="Цена 2" xfId="4836" xr:uid="{00000000-0005-0000-0000-0000E9120000}"/>
    <cellStyle name="Џђћ–…ќ’ќ›‰" xfId="4837" xr:uid="{00000000-0005-0000-0000-0000EA120000}"/>
  </cellStyles>
  <dxfs count="1">
    <dxf>
      <fill>
        <patternFill patternType="solid">
          <fgColor rgb="FF92D050"/>
          <bgColor rgb="FF000000"/>
        </patternFill>
      </fill>
    </dxf>
  </dxfs>
  <tableStyles count="0" defaultTableStyle="TableStyleMedium9" defaultPivotStyle="PivotStyleLight16"/>
  <colors>
    <mruColors>
      <color rgb="FFFF99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externalLink" Target="externalLinks/externalLink18.xml"/><Relationship Id="rId170" Type="http://schemas.openxmlformats.org/officeDocument/2006/relationships/externalLink" Target="externalLinks/externalLink29.xml"/><Relationship Id="rId191" Type="http://schemas.openxmlformats.org/officeDocument/2006/relationships/externalLink" Target="externalLinks/externalLink50.xml"/><Relationship Id="rId205" Type="http://schemas.openxmlformats.org/officeDocument/2006/relationships/externalLink" Target="externalLinks/externalLink64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externalLink" Target="externalLinks/externalLink8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19.xml"/><Relationship Id="rId181" Type="http://schemas.openxmlformats.org/officeDocument/2006/relationships/externalLink" Target="externalLinks/externalLink40.xml"/><Relationship Id="rId216" Type="http://schemas.openxmlformats.org/officeDocument/2006/relationships/sharedStrings" Target="sharedStrings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9.xml"/><Relationship Id="rId171" Type="http://schemas.openxmlformats.org/officeDocument/2006/relationships/externalLink" Target="externalLinks/externalLink30.xml"/><Relationship Id="rId192" Type="http://schemas.openxmlformats.org/officeDocument/2006/relationships/externalLink" Target="externalLinks/externalLink51.xml"/><Relationship Id="rId206" Type="http://schemas.openxmlformats.org/officeDocument/2006/relationships/externalLink" Target="externalLinks/externalLink65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externalLink" Target="externalLinks/externalLink20.xml"/><Relationship Id="rId182" Type="http://schemas.openxmlformats.org/officeDocument/2006/relationships/externalLink" Target="externalLinks/externalLink41.xml"/><Relationship Id="rId217" Type="http://schemas.openxmlformats.org/officeDocument/2006/relationships/calcChain" Target="calcChain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externalLink" Target="externalLinks/externalLink10.xml"/><Relationship Id="rId172" Type="http://schemas.openxmlformats.org/officeDocument/2006/relationships/externalLink" Target="externalLinks/externalLink31.xml"/><Relationship Id="rId193" Type="http://schemas.openxmlformats.org/officeDocument/2006/relationships/externalLink" Target="externalLinks/externalLink52.xml"/><Relationship Id="rId207" Type="http://schemas.openxmlformats.org/officeDocument/2006/relationships/externalLink" Target="externalLinks/externalLink66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21.xml"/><Relationship Id="rId183" Type="http://schemas.openxmlformats.org/officeDocument/2006/relationships/externalLink" Target="externalLinks/externalLink42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externalLink" Target="externalLinks/externalLink11.xml"/><Relationship Id="rId173" Type="http://schemas.openxmlformats.org/officeDocument/2006/relationships/externalLink" Target="externalLinks/externalLink32.xml"/><Relationship Id="rId194" Type="http://schemas.openxmlformats.org/officeDocument/2006/relationships/externalLink" Target="externalLinks/externalLink53.xml"/><Relationship Id="rId208" Type="http://schemas.openxmlformats.org/officeDocument/2006/relationships/externalLink" Target="externalLinks/externalLink67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externalLink" Target="externalLinks/externalLink6.xml"/><Relationship Id="rId168" Type="http://schemas.openxmlformats.org/officeDocument/2006/relationships/externalLink" Target="externalLinks/externalLink2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externalLink" Target="externalLinks/externalLink1.xml"/><Relationship Id="rId163" Type="http://schemas.openxmlformats.org/officeDocument/2006/relationships/externalLink" Target="externalLinks/externalLink22.xml"/><Relationship Id="rId184" Type="http://schemas.openxmlformats.org/officeDocument/2006/relationships/externalLink" Target="externalLinks/externalLink43.xml"/><Relationship Id="rId189" Type="http://schemas.openxmlformats.org/officeDocument/2006/relationships/externalLink" Target="externalLinks/externalLink48.xml"/><Relationship Id="rId3" Type="http://schemas.openxmlformats.org/officeDocument/2006/relationships/worksheet" Target="worksheets/sheet3.xml"/><Relationship Id="rId214" Type="http://schemas.openxmlformats.org/officeDocument/2006/relationships/theme" Target="theme/theme1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externalLink" Target="externalLinks/externalLink1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externalLink" Target="externalLinks/externalLink12.xml"/><Relationship Id="rId174" Type="http://schemas.openxmlformats.org/officeDocument/2006/relationships/externalLink" Target="externalLinks/externalLink33.xml"/><Relationship Id="rId179" Type="http://schemas.openxmlformats.org/officeDocument/2006/relationships/externalLink" Target="externalLinks/externalLink38.xml"/><Relationship Id="rId195" Type="http://schemas.openxmlformats.org/officeDocument/2006/relationships/externalLink" Target="externalLinks/externalLink54.xml"/><Relationship Id="rId209" Type="http://schemas.openxmlformats.org/officeDocument/2006/relationships/externalLink" Target="externalLinks/externalLink68.xml"/><Relationship Id="rId190" Type="http://schemas.openxmlformats.org/officeDocument/2006/relationships/externalLink" Target="externalLinks/externalLink49.xml"/><Relationship Id="rId204" Type="http://schemas.openxmlformats.org/officeDocument/2006/relationships/externalLink" Target="externalLinks/externalLink63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externalLink" Target="externalLinks/externalLink2.xml"/><Relationship Id="rId148" Type="http://schemas.openxmlformats.org/officeDocument/2006/relationships/externalLink" Target="externalLinks/externalLink7.xml"/><Relationship Id="rId164" Type="http://schemas.openxmlformats.org/officeDocument/2006/relationships/externalLink" Target="externalLinks/externalLink23.xml"/><Relationship Id="rId169" Type="http://schemas.openxmlformats.org/officeDocument/2006/relationships/externalLink" Target="externalLinks/externalLink28.xml"/><Relationship Id="rId185" Type="http://schemas.openxmlformats.org/officeDocument/2006/relationships/externalLink" Target="externalLinks/externalLink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39.xml"/><Relationship Id="rId210" Type="http://schemas.openxmlformats.org/officeDocument/2006/relationships/externalLink" Target="externalLinks/externalLink69.xml"/><Relationship Id="rId215" Type="http://schemas.openxmlformats.org/officeDocument/2006/relationships/styles" Target="style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externalLink" Target="externalLinks/externalLink13.xml"/><Relationship Id="rId175" Type="http://schemas.openxmlformats.org/officeDocument/2006/relationships/externalLink" Target="externalLinks/externalLink34.xml"/><Relationship Id="rId196" Type="http://schemas.openxmlformats.org/officeDocument/2006/relationships/externalLink" Target="externalLinks/externalLink55.xml"/><Relationship Id="rId200" Type="http://schemas.openxmlformats.org/officeDocument/2006/relationships/externalLink" Target="externalLinks/externalLink59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externalLink" Target="externalLinks/externalLink3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24.xml"/><Relationship Id="rId186" Type="http://schemas.openxmlformats.org/officeDocument/2006/relationships/externalLink" Target="externalLinks/externalLink45.xml"/><Relationship Id="rId211" Type="http://schemas.openxmlformats.org/officeDocument/2006/relationships/externalLink" Target="externalLinks/externalLink70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14.xml"/><Relationship Id="rId176" Type="http://schemas.openxmlformats.org/officeDocument/2006/relationships/externalLink" Target="externalLinks/externalLink35.xml"/><Relationship Id="rId197" Type="http://schemas.openxmlformats.org/officeDocument/2006/relationships/externalLink" Target="externalLinks/externalLink56.xml"/><Relationship Id="rId201" Type="http://schemas.openxmlformats.org/officeDocument/2006/relationships/externalLink" Target="externalLinks/externalLink60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4.xml"/><Relationship Id="rId166" Type="http://schemas.openxmlformats.org/officeDocument/2006/relationships/externalLink" Target="externalLinks/externalLink25.xml"/><Relationship Id="rId187" Type="http://schemas.openxmlformats.org/officeDocument/2006/relationships/externalLink" Target="externalLinks/externalLink46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7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externalLink" Target="externalLinks/externalLink15.xml"/><Relationship Id="rId177" Type="http://schemas.openxmlformats.org/officeDocument/2006/relationships/externalLink" Target="externalLinks/externalLink36.xml"/><Relationship Id="rId198" Type="http://schemas.openxmlformats.org/officeDocument/2006/relationships/externalLink" Target="externalLinks/externalLink57.xml"/><Relationship Id="rId202" Type="http://schemas.openxmlformats.org/officeDocument/2006/relationships/externalLink" Target="externalLinks/externalLink61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externalLink" Target="externalLinks/externalLink5.xml"/><Relationship Id="rId167" Type="http://schemas.openxmlformats.org/officeDocument/2006/relationships/externalLink" Target="externalLinks/externalLink26.xml"/><Relationship Id="rId188" Type="http://schemas.openxmlformats.org/officeDocument/2006/relationships/externalLink" Target="externalLinks/externalLink4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7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externalLink" Target="externalLinks/externalLink16.xml"/><Relationship Id="rId178" Type="http://schemas.openxmlformats.org/officeDocument/2006/relationships/externalLink" Target="externalLinks/externalLink3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58.xml"/><Relationship Id="rId203" Type="http://schemas.openxmlformats.org/officeDocument/2006/relationships/externalLink" Target="externalLinks/externalLink62.xml"/><Relationship Id="rId19" Type="http://schemas.openxmlformats.org/officeDocument/2006/relationships/worksheet" Target="worksheets/sheet1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27000</xdr:colOff>
      <xdr:row>8</xdr:row>
      <xdr:rowOff>191160</xdr:rowOff>
    </xdr:from>
    <xdr:to>
      <xdr:col>2</xdr:col>
      <xdr:colOff>379080</xdr:colOff>
      <xdr:row>9</xdr:row>
      <xdr:rowOff>1185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0000000-0008-0000-8A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370275" y="1848510"/>
          <a:ext cx="352080" cy="5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27000</xdr:colOff>
      <xdr:row>8</xdr:row>
      <xdr:rowOff>191160</xdr:rowOff>
    </xdr:from>
    <xdr:to>
      <xdr:col>2</xdr:col>
      <xdr:colOff>379080</xdr:colOff>
      <xdr:row>9</xdr:row>
      <xdr:rowOff>1185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00000000-0008-0000-8A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370275" y="1848510"/>
          <a:ext cx="352080" cy="5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27000</xdr:colOff>
      <xdr:row>8</xdr:row>
      <xdr:rowOff>191160</xdr:rowOff>
    </xdr:from>
    <xdr:to>
      <xdr:col>2</xdr:col>
      <xdr:colOff>379080</xdr:colOff>
      <xdr:row>9</xdr:row>
      <xdr:rowOff>1185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8A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370275" y="1848510"/>
          <a:ext cx="352080" cy="5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27000</xdr:colOff>
      <xdr:row>8</xdr:row>
      <xdr:rowOff>191160</xdr:rowOff>
    </xdr:from>
    <xdr:to>
      <xdr:col>2</xdr:col>
      <xdr:colOff>379080</xdr:colOff>
      <xdr:row>9</xdr:row>
      <xdr:rowOff>1185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8A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370275" y="1848510"/>
          <a:ext cx="352080" cy="5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27000</xdr:colOff>
      <xdr:row>8</xdr:row>
      <xdr:rowOff>191160</xdr:rowOff>
    </xdr:from>
    <xdr:to>
      <xdr:col>2</xdr:col>
      <xdr:colOff>379080</xdr:colOff>
      <xdr:row>9</xdr:row>
      <xdr:rowOff>1185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8A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370275" y="1848510"/>
          <a:ext cx="352080" cy="5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27000</xdr:colOff>
      <xdr:row>8</xdr:row>
      <xdr:rowOff>191160</xdr:rowOff>
    </xdr:from>
    <xdr:to>
      <xdr:col>2</xdr:col>
      <xdr:colOff>379080</xdr:colOff>
      <xdr:row>9</xdr:row>
      <xdr:rowOff>1185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00000000-0008-0000-8A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370275" y="1848510"/>
          <a:ext cx="352080" cy="5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27000</xdr:colOff>
      <xdr:row>8</xdr:row>
      <xdr:rowOff>191160</xdr:rowOff>
    </xdr:from>
    <xdr:to>
      <xdr:col>2</xdr:col>
      <xdr:colOff>379080</xdr:colOff>
      <xdr:row>9</xdr:row>
      <xdr:rowOff>1185</xdr:rowOff>
    </xdr:to>
    <xdr:pic>
      <xdr:nvPicPr>
        <xdr:cNvPr id="8" name="Picture 5">
          <a:extLst>
            <a:ext uri="{FF2B5EF4-FFF2-40B4-BE49-F238E27FC236}">
              <a16:creationId xmlns:a16="http://schemas.microsoft.com/office/drawing/2014/main" id="{00000000-0008-0000-8A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370275" y="1848510"/>
          <a:ext cx="352080" cy="52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8</xdr:row>
      <xdr:rowOff>25400</xdr:rowOff>
    </xdr:from>
    <xdr:to>
      <xdr:col>15</xdr:col>
      <xdr:colOff>571500</xdr:colOff>
      <xdr:row>38</xdr:row>
      <xdr:rowOff>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8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904875"/>
          <a:ext cx="5937250" cy="0"/>
        </a:xfrm>
        <a:prstGeom prst="rect">
          <a:avLst/>
        </a:prstGeom>
      </xdr:spPr>
    </xdr:pic>
    <xdr:clientData/>
  </xdr:twoCellAnchor>
  <xdr:twoCellAnchor>
    <xdr:from>
      <xdr:col>0</xdr:col>
      <xdr:colOff>25400</xdr:colOff>
      <xdr:row>38</xdr:row>
      <xdr:rowOff>25400</xdr:rowOff>
    </xdr:from>
    <xdr:to>
      <xdr:col>15</xdr:col>
      <xdr:colOff>571500</xdr:colOff>
      <xdr:row>68</xdr:row>
      <xdr:rowOff>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8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904875"/>
          <a:ext cx="5937250" cy="0"/>
        </a:xfrm>
        <a:prstGeom prst="rect">
          <a:avLst/>
        </a:prstGeom>
      </xdr:spPr>
    </xdr:pic>
    <xdr:clientData/>
  </xdr:twoCellAnchor>
  <xdr:twoCellAnchor>
    <xdr:from>
      <xdr:col>0</xdr:col>
      <xdr:colOff>25400</xdr:colOff>
      <xdr:row>68</xdr:row>
      <xdr:rowOff>25400</xdr:rowOff>
    </xdr:from>
    <xdr:to>
      <xdr:col>15</xdr:col>
      <xdr:colOff>571500</xdr:colOff>
      <xdr:row>98</xdr:row>
      <xdr:rowOff>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8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904875"/>
          <a:ext cx="5937250" cy="0"/>
        </a:xfrm>
        <a:prstGeom prst="rect">
          <a:avLst/>
        </a:prstGeom>
      </xdr:spPr>
    </xdr:pic>
    <xdr:clientData/>
  </xdr:twoCellAnchor>
  <xdr:twoCellAnchor>
    <xdr:from>
      <xdr:col>0</xdr:col>
      <xdr:colOff>25400</xdr:colOff>
      <xdr:row>98</xdr:row>
      <xdr:rowOff>25400</xdr:rowOff>
    </xdr:from>
    <xdr:to>
      <xdr:col>15</xdr:col>
      <xdr:colOff>571500</xdr:colOff>
      <xdr:row>128</xdr:row>
      <xdr:rowOff>0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8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904875"/>
          <a:ext cx="5937250" cy="0"/>
        </a:xfrm>
        <a:prstGeom prst="rect">
          <a:avLst/>
        </a:prstGeom>
      </xdr:spPr>
    </xdr:pic>
    <xdr:clientData/>
  </xdr:twoCellAnchor>
  <xdr:twoCellAnchor>
    <xdr:from>
      <xdr:col>0</xdr:col>
      <xdr:colOff>25400</xdr:colOff>
      <xdr:row>128</xdr:row>
      <xdr:rowOff>25400</xdr:rowOff>
    </xdr:from>
    <xdr:to>
      <xdr:col>15</xdr:col>
      <xdr:colOff>571500</xdr:colOff>
      <xdr:row>158</xdr:row>
      <xdr:rowOff>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8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904875"/>
          <a:ext cx="5937250" cy="0"/>
        </a:xfrm>
        <a:prstGeom prst="rect">
          <a:avLst/>
        </a:prstGeom>
      </xdr:spPr>
    </xdr:pic>
    <xdr:clientData/>
  </xdr:twoCellAnchor>
  <xdr:twoCellAnchor>
    <xdr:from>
      <xdr:col>0</xdr:col>
      <xdr:colOff>25400</xdr:colOff>
      <xdr:row>158</xdr:row>
      <xdr:rowOff>25400</xdr:rowOff>
    </xdr:from>
    <xdr:to>
      <xdr:col>15</xdr:col>
      <xdr:colOff>571500</xdr:colOff>
      <xdr:row>188</xdr:row>
      <xdr:rowOff>0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8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904875"/>
          <a:ext cx="593725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257175</xdr:colOff>
      <xdr:row>4</xdr:row>
      <xdr:rowOff>0</xdr:rowOff>
    </xdr:from>
    <xdr:to>
      <xdr:col>18</xdr:col>
      <xdr:colOff>295275</xdr:colOff>
      <xdr:row>4</xdr:row>
      <xdr:rowOff>0</xdr:rowOff>
    </xdr:to>
    <xdr:pic>
      <xdr:nvPicPr>
        <xdr:cNvPr id="2" name="Picture 5" descr="кровать детская">
          <a:extLst>
            <a:ext uri="{FF2B5EF4-FFF2-40B4-BE49-F238E27FC236}">
              <a16:creationId xmlns:a16="http://schemas.microsoft.com/office/drawing/2014/main" id="{00000000-0008-0000-8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971550"/>
          <a:ext cx="1514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257175</xdr:colOff>
      <xdr:row>4</xdr:row>
      <xdr:rowOff>0</xdr:rowOff>
    </xdr:from>
    <xdr:to>
      <xdr:col>18</xdr:col>
      <xdr:colOff>409575</xdr:colOff>
      <xdr:row>4</xdr:row>
      <xdr:rowOff>0</xdr:rowOff>
    </xdr:to>
    <xdr:pic>
      <xdr:nvPicPr>
        <xdr:cNvPr id="3" name="Picture 5" descr="кровать детская">
          <a:extLst>
            <a:ext uri="{FF2B5EF4-FFF2-40B4-BE49-F238E27FC236}">
              <a16:creationId xmlns:a16="http://schemas.microsoft.com/office/drawing/2014/main" id="{00000000-0008-0000-8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971550"/>
          <a:ext cx="1628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7</xdr:row>
      <xdr:rowOff>57150</xdr:rowOff>
    </xdr:to>
    <xdr:pic>
      <xdr:nvPicPr>
        <xdr:cNvPr id="4" name="Picture 4" descr="Mars">
          <a:extLst>
            <a:ext uri="{FF2B5EF4-FFF2-40B4-BE49-F238E27FC236}">
              <a16:creationId xmlns:a16="http://schemas.microsoft.com/office/drawing/2014/main" id="{00000000-0008-0000-8E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971550"/>
          <a:ext cx="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6</xdr:row>
      <xdr:rowOff>133350</xdr:rowOff>
    </xdr:to>
    <xdr:pic>
      <xdr:nvPicPr>
        <xdr:cNvPr id="5" name="Picture 4" descr="Mars">
          <a:extLst>
            <a:ext uri="{FF2B5EF4-FFF2-40B4-BE49-F238E27FC236}">
              <a16:creationId xmlns:a16="http://schemas.microsoft.com/office/drawing/2014/main" id="{00000000-0008-0000-8E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9715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257175</xdr:colOff>
      <xdr:row>4</xdr:row>
      <xdr:rowOff>0</xdr:rowOff>
    </xdr:from>
    <xdr:to>
      <xdr:col>18</xdr:col>
      <xdr:colOff>409575</xdr:colOff>
      <xdr:row>4</xdr:row>
      <xdr:rowOff>0</xdr:rowOff>
    </xdr:to>
    <xdr:pic>
      <xdr:nvPicPr>
        <xdr:cNvPr id="6" name="Picture 5" descr="кровать детская">
          <a:extLst>
            <a:ext uri="{FF2B5EF4-FFF2-40B4-BE49-F238E27FC236}">
              <a16:creationId xmlns:a16="http://schemas.microsoft.com/office/drawing/2014/main" id="{00000000-0008-0000-8E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971550"/>
          <a:ext cx="1628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7</xdr:row>
      <xdr:rowOff>57150</xdr:rowOff>
    </xdr:to>
    <xdr:pic>
      <xdr:nvPicPr>
        <xdr:cNvPr id="7" name="Picture 4" descr="Mars">
          <a:extLst>
            <a:ext uri="{FF2B5EF4-FFF2-40B4-BE49-F238E27FC236}">
              <a16:creationId xmlns:a16="http://schemas.microsoft.com/office/drawing/2014/main" id="{00000000-0008-0000-8E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971550"/>
          <a:ext cx="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6</xdr:row>
      <xdr:rowOff>133350</xdr:rowOff>
    </xdr:to>
    <xdr:pic>
      <xdr:nvPicPr>
        <xdr:cNvPr id="8" name="Picture 4" descr="Mars">
          <a:extLst>
            <a:ext uri="{FF2B5EF4-FFF2-40B4-BE49-F238E27FC236}">
              <a16:creationId xmlns:a16="http://schemas.microsoft.com/office/drawing/2014/main" id="{00000000-0008-0000-8E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9715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257175</xdr:colOff>
      <xdr:row>4</xdr:row>
      <xdr:rowOff>0</xdr:rowOff>
    </xdr:from>
    <xdr:to>
      <xdr:col>18</xdr:col>
      <xdr:colOff>295275</xdr:colOff>
      <xdr:row>4</xdr:row>
      <xdr:rowOff>0</xdr:rowOff>
    </xdr:to>
    <xdr:pic>
      <xdr:nvPicPr>
        <xdr:cNvPr id="9" name="Picture 5" descr="кровать детская">
          <a:extLst>
            <a:ext uri="{FF2B5EF4-FFF2-40B4-BE49-F238E27FC236}">
              <a16:creationId xmlns:a16="http://schemas.microsoft.com/office/drawing/2014/main" id="{00000000-0008-0000-8E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971550"/>
          <a:ext cx="1514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257175</xdr:colOff>
      <xdr:row>4</xdr:row>
      <xdr:rowOff>0</xdr:rowOff>
    </xdr:from>
    <xdr:to>
      <xdr:col>18</xdr:col>
      <xdr:colOff>295275</xdr:colOff>
      <xdr:row>4</xdr:row>
      <xdr:rowOff>0</xdr:rowOff>
    </xdr:to>
    <xdr:pic>
      <xdr:nvPicPr>
        <xdr:cNvPr id="10" name="Picture 5" descr="кровать детская">
          <a:extLst>
            <a:ext uri="{FF2B5EF4-FFF2-40B4-BE49-F238E27FC236}">
              <a16:creationId xmlns:a16="http://schemas.microsoft.com/office/drawing/2014/main" id="{00000000-0008-0000-8E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971550"/>
          <a:ext cx="1514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257175</xdr:colOff>
      <xdr:row>4</xdr:row>
      <xdr:rowOff>0</xdr:rowOff>
    </xdr:from>
    <xdr:to>
      <xdr:col>18</xdr:col>
      <xdr:colOff>295275</xdr:colOff>
      <xdr:row>4</xdr:row>
      <xdr:rowOff>0</xdr:rowOff>
    </xdr:to>
    <xdr:pic>
      <xdr:nvPicPr>
        <xdr:cNvPr id="11" name="Picture 5" descr="кровать детская">
          <a:extLst>
            <a:ext uri="{FF2B5EF4-FFF2-40B4-BE49-F238E27FC236}">
              <a16:creationId xmlns:a16="http://schemas.microsoft.com/office/drawing/2014/main" id="{00000000-0008-0000-8E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971550"/>
          <a:ext cx="1514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257175</xdr:colOff>
      <xdr:row>4</xdr:row>
      <xdr:rowOff>0</xdr:rowOff>
    </xdr:from>
    <xdr:to>
      <xdr:col>18</xdr:col>
      <xdr:colOff>409575</xdr:colOff>
      <xdr:row>4</xdr:row>
      <xdr:rowOff>0</xdr:rowOff>
    </xdr:to>
    <xdr:pic>
      <xdr:nvPicPr>
        <xdr:cNvPr id="12" name="Picture 5" descr="кровать детская">
          <a:extLst>
            <a:ext uri="{FF2B5EF4-FFF2-40B4-BE49-F238E27FC236}">
              <a16:creationId xmlns:a16="http://schemas.microsoft.com/office/drawing/2014/main" id="{00000000-0008-0000-8E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971550"/>
          <a:ext cx="1628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5</xdr:row>
      <xdr:rowOff>180975</xdr:rowOff>
    </xdr:to>
    <xdr:pic>
      <xdr:nvPicPr>
        <xdr:cNvPr id="13" name="Picture 4" descr="Mars">
          <a:extLst>
            <a:ext uri="{FF2B5EF4-FFF2-40B4-BE49-F238E27FC236}">
              <a16:creationId xmlns:a16="http://schemas.microsoft.com/office/drawing/2014/main" id="{00000000-0008-0000-8E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971550"/>
          <a:ext cx="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5</xdr:row>
      <xdr:rowOff>180975</xdr:rowOff>
    </xdr:to>
    <xdr:pic>
      <xdr:nvPicPr>
        <xdr:cNvPr id="14" name="Picture 4" descr="Mars">
          <a:extLst>
            <a:ext uri="{FF2B5EF4-FFF2-40B4-BE49-F238E27FC236}">
              <a16:creationId xmlns:a16="http://schemas.microsoft.com/office/drawing/2014/main" id="{00000000-0008-0000-8E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971550"/>
          <a:ext cx="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257175</xdr:colOff>
      <xdr:row>4</xdr:row>
      <xdr:rowOff>0</xdr:rowOff>
    </xdr:from>
    <xdr:to>
      <xdr:col>18</xdr:col>
      <xdr:colOff>409575</xdr:colOff>
      <xdr:row>4</xdr:row>
      <xdr:rowOff>0</xdr:rowOff>
    </xdr:to>
    <xdr:pic>
      <xdr:nvPicPr>
        <xdr:cNvPr id="15" name="Picture 5" descr="кровать детская">
          <a:extLst>
            <a:ext uri="{FF2B5EF4-FFF2-40B4-BE49-F238E27FC236}">
              <a16:creationId xmlns:a16="http://schemas.microsoft.com/office/drawing/2014/main" id="{00000000-0008-0000-8E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971550"/>
          <a:ext cx="1628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5</xdr:row>
      <xdr:rowOff>180975</xdr:rowOff>
    </xdr:to>
    <xdr:pic>
      <xdr:nvPicPr>
        <xdr:cNvPr id="16" name="Picture 4" descr="Mars">
          <a:extLst>
            <a:ext uri="{FF2B5EF4-FFF2-40B4-BE49-F238E27FC236}">
              <a16:creationId xmlns:a16="http://schemas.microsoft.com/office/drawing/2014/main" id="{00000000-0008-0000-8E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971550"/>
          <a:ext cx="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5</xdr:row>
      <xdr:rowOff>180975</xdr:rowOff>
    </xdr:to>
    <xdr:pic>
      <xdr:nvPicPr>
        <xdr:cNvPr id="17" name="Picture 4" descr="Mars">
          <a:extLst>
            <a:ext uri="{FF2B5EF4-FFF2-40B4-BE49-F238E27FC236}">
              <a16:creationId xmlns:a16="http://schemas.microsoft.com/office/drawing/2014/main" id="{00000000-0008-0000-8E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971550"/>
          <a:ext cx="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257175</xdr:colOff>
      <xdr:row>4</xdr:row>
      <xdr:rowOff>0</xdr:rowOff>
    </xdr:from>
    <xdr:to>
      <xdr:col>18</xdr:col>
      <xdr:colOff>295275</xdr:colOff>
      <xdr:row>4</xdr:row>
      <xdr:rowOff>0</xdr:rowOff>
    </xdr:to>
    <xdr:pic>
      <xdr:nvPicPr>
        <xdr:cNvPr id="18" name="Picture 5" descr="кровать детская">
          <a:extLst>
            <a:ext uri="{FF2B5EF4-FFF2-40B4-BE49-F238E27FC236}">
              <a16:creationId xmlns:a16="http://schemas.microsoft.com/office/drawing/2014/main" id="{00000000-0008-0000-8E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971550"/>
          <a:ext cx="1514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257175</xdr:colOff>
      <xdr:row>4</xdr:row>
      <xdr:rowOff>0</xdr:rowOff>
    </xdr:from>
    <xdr:to>
      <xdr:col>18</xdr:col>
      <xdr:colOff>295275</xdr:colOff>
      <xdr:row>4</xdr:row>
      <xdr:rowOff>0</xdr:rowOff>
    </xdr:to>
    <xdr:pic>
      <xdr:nvPicPr>
        <xdr:cNvPr id="19" name="Picture 5" descr="кровать детская">
          <a:extLst>
            <a:ext uri="{FF2B5EF4-FFF2-40B4-BE49-F238E27FC236}">
              <a16:creationId xmlns:a16="http://schemas.microsoft.com/office/drawing/2014/main" id="{00000000-0008-0000-8E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971550"/>
          <a:ext cx="1514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257175</xdr:colOff>
      <xdr:row>4</xdr:row>
      <xdr:rowOff>0</xdr:rowOff>
    </xdr:from>
    <xdr:to>
      <xdr:col>18</xdr:col>
      <xdr:colOff>295275</xdr:colOff>
      <xdr:row>4</xdr:row>
      <xdr:rowOff>0</xdr:rowOff>
    </xdr:to>
    <xdr:pic>
      <xdr:nvPicPr>
        <xdr:cNvPr id="20" name="Picture 5" descr="кровать детская">
          <a:extLst>
            <a:ext uri="{FF2B5EF4-FFF2-40B4-BE49-F238E27FC236}">
              <a16:creationId xmlns:a16="http://schemas.microsoft.com/office/drawing/2014/main" id="{00000000-0008-0000-8E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971550"/>
          <a:ext cx="1514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257175</xdr:colOff>
      <xdr:row>4</xdr:row>
      <xdr:rowOff>0</xdr:rowOff>
    </xdr:from>
    <xdr:to>
      <xdr:col>18</xdr:col>
      <xdr:colOff>409575</xdr:colOff>
      <xdr:row>4</xdr:row>
      <xdr:rowOff>0</xdr:rowOff>
    </xdr:to>
    <xdr:pic>
      <xdr:nvPicPr>
        <xdr:cNvPr id="21" name="Picture 5" descr="кровать детская">
          <a:extLst>
            <a:ext uri="{FF2B5EF4-FFF2-40B4-BE49-F238E27FC236}">
              <a16:creationId xmlns:a16="http://schemas.microsoft.com/office/drawing/2014/main" id="{00000000-0008-0000-8E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971550"/>
          <a:ext cx="1628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7</xdr:row>
      <xdr:rowOff>38100</xdr:rowOff>
    </xdr:to>
    <xdr:pic>
      <xdr:nvPicPr>
        <xdr:cNvPr id="22" name="Picture 4" descr="Mars">
          <a:extLst>
            <a:ext uri="{FF2B5EF4-FFF2-40B4-BE49-F238E27FC236}">
              <a16:creationId xmlns:a16="http://schemas.microsoft.com/office/drawing/2014/main" id="{00000000-0008-0000-8E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9715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6</xdr:row>
      <xdr:rowOff>66675</xdr:rowOff>
    </xdr:to>
    <xdr:pic>
      <xdr:nvPicPr>
        <xdr:cNvPr id="23" name="Picture 4" descr="Mars">
          <a:extLst>
            <a:ext uri="{FF2B5EF4-FFF2-40B4-BE49-F238E27FC236}">
              <a16:creationId xmlns:a16="http://schemas.microsoft.com/office/drawing/2014/main" id="{00000000-0008-0000-8E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971550"/>
          <a:ext cx="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257175</xdr:colOff>
      <xdr:row>4</xdr:row>
      <xdr:rowOff>0</xdr:rowOff>
    </xdr:from>
    <xdr:to>
      <xdr:col>18</xdr:col>
      <xdr:colOff>409575</xdr:colOff>
      <xdr:row>4</xdr:row>
      <xdr:rowOff>0</xdr:rowOff>
    </xdr:to>
    <xdr:pic>
      <xdr:nvPicPr>
        <xdr:cNvPr id="24" name="Picture 5" descr="кровать детская">
          <a:extLst>
            <a:ext uri="{FF2B5EF4-FFF2-40B4-BE49-F238E27FC236}">
              <a16:creationId xmlns:a16="http://schemas.microsoft.com/office/drawing/2014/main" id="{00000000-0008-0000-8E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971550"/>
          <a:ext cx="1628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7</xdr:row>
      <xdr:rowOff>38100</xdr:rowOff>
    </xdr:to>
    <xdr:pic>
      <xdr:nvPicPr>
        <xdr:cNvPr id="25" name="Picture 4" descr="Mars">
          <a:extLst>
            <a:ext uri="{FF2B5EF4-FFF2-40B4-BE49-F238E27FC236}">
              <a16:creationId xmlns:a16="http://schemas.microsoft.com/office/drawing/2014/main" id="{00000000-0008-0000-8E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9715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6</xdr:row>
      <xdr:rowOff>66675</xdr:rowOff>
    </xdr:to>
    <xdr:pic>
      <xdr:nvPicPr>
        <xdr:cNvPr id="26" name="Picture 4" descr="Mars">
          <a:extLst>
            <a:ext uri="{FF2B5EF4-FFF2-40B4-BE49-F238E27FC236}">
              <a16:creationId xmlns:a16="http://schemas.microsoft.com/office/drawing/2014/main" id="{00000000-0008-0000-8E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971550"/>
          <a:ext cx="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257175</xdr:colOff>
      <xdr:row>4</xdr:row>
      <xdr:rowOff>0</xdr:rowOff>
    </xdr:from>
    <xdr:to>
      <xdr:col>18</xdr:col>
      <xdr:colOff>295275</xdr:colOff>
      <xdr:row>4</xdr:row>
      <xdr:rowOff>0</xdr:rowOff>
    </xdr:to>
    <xdr:pic>
      <xdr:nvPicPr>
        <xdr:cNvPr id="27" name="Picture 5" descr="кровать детская">
          <a:extLst>
            <a:ext uri="{FF2B5EF4-FFF2-40B4-BE49-F238E27FC236}">
              <a16:creationId xmlns:a16="http://schemas.microsoft.com/office/drawing/2014/main" id="{00000000-0008-0000-8E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971550"/>
          <a:ext cx="1514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7</xdr:row>
      <xdr:rowOff>28575</xdr:rowOff>
    </xdr:to>
    <xdr:pic>
      <xdr:nvPicPr>
        <xdr:cNvPr id="28" name="Picture 4" descr="Mars">
          <a:extLst>
            <a:ext uri="{FF2B5EF4-FFF2-40B4-BE49-F238E27FC236}">
              <a16:creationId xmlns:a16="http://schemas.microsoft.com/office/drawing/2014/main" id="{00000000-0008-0000-8E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97155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6</xdr:row>
      <xdr:rowOff>57150</xdr:rowOff>
    </xdr:to>
    <xdr:pic>
      <xdr:nvPicPr>
        <xdr:cNvPr id="29" name="Picture 4" descr="Mars">
          <a:extLst>
            <a:ext uri="{FF2B5EF4-FFF2-40B4-BE49-F238E27FC236}">
              <a16:creationId xmlns:a16="http://schemas.microsoft.com/office/drawing/2014/main" id="{00000000-0008-0000-8E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971550"/>
          <a:ext cx="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7</xdr:row>
      <xdr:rowOff>28575</xdr:rowOff>
    </xdr:to>
    <xdr:pic>
      <xdr:nvPicPr>
        <xdr:cNvPr id="30" name="Picture 4" descr="Mars">
          <a:extLst>
            <a:ext uri="{FF2B5EF4-FFF2-40B4-BE49-F238E27FC236}">
              <a16:creationId xmlns:a16="http://schemas.microsoft.com/office/drawing/2014/main" id="{00000000-0008-0000-8E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97155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6</xdr:row>
      <xdr:rowOff>57150</xdr:rowOff>
    </xdr:to>
    <xdr:pic>
      <xdr:nvPicPr>
        <xdr:cNvPr id="31" name="Picture 4" descr="Mars">
          <a:extLst>
            <a:ext uri="{FF2B5EF4-FFF2-40B4-BE49-F238E27FC236}">
              <a16:creationId xmlns:a16="http://schemas.microsoft.com/office/drawing/2014/main" id="{00000000-0008-0000-8E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971550"/>
          <a:ext cx="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257175</xdr:colOff>
      <xdr:row>38</xdr:row>
      <xdr:rowOff>457200</xdr:rowOff>
    </xdr:from>
    <xdr:to>
      <xdr:col>18</xdr:col>
      <xdr:colOff>295275</xdr:colOff>
      <xdr:row>39</xdr:row>
      <xdr:rowOff>9525</xdr:rowOff>
    </xdr:to>
    <xdr:pic>
      <xdr:nvPicPr>
        <xdr:cNvPr id="32" name="Picture 5" descr="кровать детская">
          <a:extLst>
            <a:ext uri="{FF2B5EF4-FFF2-40B4-BE49-F238E27FC236}">
              <a16:creationId xmlns:a16="http://schemas.microsoft.com/office/drawing/2014/main" id="{00000000-0008-0000-8E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11039475"/>
          <a:ext cx="15144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257175</xdr:colOff>
      <xdr:row>38</xdr:row>
      <xdr:rowOff>457200</xdr:rowOff>
    </xdr:from>
    <xdr:to>
      <xdr:col>18</xdr:col>
      <xdr:colOff>295275</xdr:colOff>
      <xdr:row>39</xdr:row>
      <xdr:rowOff>9525</xdr:rowOff>
    </xdr:to>
    <xdr:pic>
      <xdr:nvPicPr>
        <xdr:cNvPr id="33" name="Picture 5" descr="кровать детская">
          <a:extLst>
            <a:ext uri="{FF2B5EF4-FFF2-40B4-BE49-F238E27FC236}">
              <a16:creationId xmlns:a16="http://schemas.microsoft.com/office/drawing/2014/main" id="{00000000-0008-0000-8E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11039475"/>
          <a:ext cx="15144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7</xdr:row>
      <xdr:rowOff>57150</xdr:rowOff>
    </xdr:to>
    <xdr:pic>
      <xdr:nvPicPr>
        <xdr:cNvPr id="34" name="Picture 4" descr="Mars">
          <a:extLst>
            <a:ext uri="{FF2B5EF4-FFF2-40B4-BE49-F238E27FC236}">
              <a16:creationId xmlns:a16="http://schemas.microsoft.com/office/drawing/2014/main" id="{00000000-0008-0000-8E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971550"/>
          <a:ext cx="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6</xdr:row>
      <xdr:rowOff>133350</xdr:rowOff>
    </xdr:to>
    <xdr:pic>
      <xdr:nvPicPr>
        <xdr:cNvPr id="35" name="Picture 4" descr="Mars">
          <a:extLst>
            <a:ext uri="{FF2B5EF4-FFF2-40B4-BE49-F238E27FC236}">
              <a16:creationId xmlns:a16="http://schemas.microsoft.com/office/drawing/2014/main" id="{00000000-0008-0000-8E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9715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7</xdr:row>
      <xdr:rowOff>57150</xdr:rowOff>
    </xdr:to>
    <xdr:pic>
      <xdr:nvPicPr>
        <xdr:cNvPr id="36" name="Picture 4" descr="Mars">
          <a:extLst>
            <a:ext uri="{FF2B5EF4-FFF2-40B4-BE49-F238E27FC236}">
              <a16:creationId xmlns:a16="http://schemas.microsoft.com/office/drawing/2014/main" id="{00000000-0008-0000-8E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971550"/>
          <a:ext cx="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6</xdr:row>
      <xdr:rowOff>133350</xdr:rowOff>
    </xdr:to>
    <xdr:pic>
      <xdr:nvPicPr>
        <xdr:cNvPr id="37" name="Picture 4" descr="Mars">
          <a:extLst>
            <a:ext uri="{FF2B5EF4-FFF2-40B4-BE49-F238E27FC236}">
              <a16:creationId xmlns:a16="http://schemas.microsoft.com/office/drawing/2014/main" id="{00000000-0008-0000-8E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9715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KTG%20LNG\FIN%20DOC\&#1041;&#1080;&#1079;&#1085;&#1077;&#1089;-&#1087;&#1083;&#1072;&#1085;%202009\&#1041;&#1055;%202009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009\&#1073;&#1102;&#1076;&#1078;&#1077;&#1090;%20&#1082;&#1090;&#1075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KTG%20LNG\FIN%20DOC\&#1041;&#1080;&#1079;&#1085;&#1077;&#1089;-&#1087;&#1083;&#1072;&#1085;%202009\&#1041;&#1055;%202009\Documents%20and%20Settings\L.Agimbetova.ICA\&#1056;&#1072;&#1073;&#1086;&#1095;&#1080;&#1081;%20&#1089;&#1090;&#1086;&#1083;\DOCUME~1\ZHUNUS~1\LOCALS~1\Temp\Rar$DI00.674\&#1053;&#1072;&#1083;&#1086;&#1075;&#1080;\&#1044;&#1077;&#1082;&#1083;&#1072;&#1088;&#1072;&#1094;&#1080;&#1103;%20&#1050;&#1055;&#1053;%20&#1087;&#1083;&#1072;&#1085;%202006%20&#1075;+&#1072;&#1084;&#1086;&#1088;&#1090;%202004-2005&#1075;%20%20&#1101;&#1082;&#1089;&#1087;&#1077;&#1088;%20&#1089;&#1090;&#1072;&#1074;&#1082;&#1080;%2020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\SharedDocs\Documents%20and%20Settings\ageyze\My%20Documents\Projects\KMG\additional_dat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syzdykbaeva\Local%20Settings\Temporary%20Internet%20Files\OLK8D\My%20document\&#1040;&#1085;&#1072;&#1083;&#1080;&#1079;\&#1055;&#1088;&#1072;&#1074;&#1080;&#1083;&#1072;_&#1087;&#1086;&#1083;&#1085;&#1099;&#1081;%20&#1087;&#1072;&#1082;&#1077;&#1090;\1\form_&#1101;&#1083;&#1077;&#1082;&#1090;&#1088;&#1086;&#108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303\&#1076;&#1086;&#1075;&#1086;&#1074;&#1086;&#1088;&#1072;\Documents%20and%20Settings\Syzdykbaeva\&#1052;&#1086;&#1080;%20&#1076;&#1086;&#1082;&#1091;&#1084;&#1077;&#1085;&#1090;&#1099;\&#1044;&#1086;&#1075;&#1086;&#1074;&#1086;&#1088;&#1072;\2005%20&#1075;&#1086;&#1076;\Documents%20and%20Settings\K-Samarova\&#1052;&#1086;&#1080;%20&#1076;&#1086;&#1082;&#1091;&#1084;&#1077;&#1085;&#1090;&#1099;\&#1055;&#1088;&#1080;&#1082;&#1072;&#1079;_182\form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tp200\&#1041;&#1055;6-10\DOCUME~1\M-AITZ~1\LOCALS~1\Temp\C.Lotus.Notes.Data\Documents%20and%20Settings\K-Samarova\&#1052;&#1086;&#1080;%20&#1076;&#1086;&#1082;&#1091;&#1084;&#1077;&#1085;&#1090;&#1099;\&#1055;&#1088;&#1080;&#1082;&#1072;&#1079;_182\form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tp200\&#1041;&#1055;6-10\DOCUME~1\ZH-SAM~1\LOCALS~1\Temp\C.Lotus.Notes.Data\57_1NKs%20&#1087;&#1083;&#1102;&#1089;%20&#1040;&#1040;_&#1053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009\&#1073;&#1102;&#1076;&#1078;&#1077;&#1090;%20&#1082;&#1090;&#1075;\DOCUME~1\G-SHET~1\LOCALS~1\Temp\notesE1EF34\KTG_1_200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o-m4\Work\DOCUME~1\M-AITZ~1\LOCALS~1\Temp\C.Lotus.Notes.Data\Documents%20and%20Settings\K-Samarova\&#1052;&#1086;&#1080;%20&#1076;&#1086;&#1082;&#1091;&#1084;&#1077;&#1085;&#1090;&#1099;\&#1055;&#1088;&#1080;&#1082;&#1072;&#1079;_182\form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-ds-ws-ek1\Users\user\AppData\Roaming\Skype\My%20Skype%20Received%20Files\Users\&#1040;&#1076;&#1084;&#1080;&#1085;\Documents\&#1087;&#1088;&#1086;&#1090;&#1086;&#1082;&#1086;&#1083;%20&#1087;&#1077;&#1076;.&#1089;&#1090;&#1072;&#1078;&#1072;11-12\&#1087;&#1077;&#1076;&#1089;&#1090;&#1072;&#1078;%20&#1087;&#1088;&#1086;&#1090;&#1086;&#1082;&#1086;&#1083;%20&#8470;17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-ds-ws-ek1\Users\&#1040;&#1076;&#1084;&#1080;&#1085;\Documents\&#1087;&#1088;&#1086;&#1090;&#1086;&#1082;&#1086;&#1083;%20&#1087;&#1077;&#1076;.&#1089;&#1090;&#1072;&#1078;&#1072;11-12\&#1087;&#1077;&#1076;&#1089;&#1090;&#1072;&#1078;%20&#1087;&#1088;&#1086;&#1090;&#1086;&#1082;&#1086;&#1083;%20&#8470;17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8;&#1072;&#1088;&#1072;&#1079;%20&#1086;&#1090;%20&#1082;&#1086;&#1084;&#1087;&#1072;%20&#1043;&#1091;&#1083;&#1100;&#1078;&#1072;&#1085;%20&#1052;&#1072;&#1078;&#1077;&#1085;&#1086;&#1074;&#1086;&#1081;\&#1054;&#1090;%20&#1040;&#1081;&#1076;&#1099;&#1085;&#1072;\&#1041;&#1102;&#1076;&#1078;&#1077;&#1090;%202014&#1075;\Users\&#1040;&#1076;&#1084;&#1080;&#1085;\Documents\&#1087;&#1088;&#1086;&#1090;&#1086;&#1082;&#1086;&#1083;%20&#1087;&#1077;&#1076;.&#1089;&#1090;&#1072;&#1078;&#1072;11-12\&#1087;&#1077;&#1076;&#1089;&#1090;&#1072;&#1078;%20&#1087;&#1088;&#1086;&#1090;&#1086;&#1082;&#1086;&#1083;%20&#8470;1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az-13\&#1054;&#1073;&#1097;&#1072;&#1103;\Documents%20and%20Settings\araimbekova\Local%20Settings\Temporary%20Internet%20Files\OLK578\Projects\D%20B%20K\2001\DBK_2001_Trial%20Balance_22%2001%200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almnb3321\d\My%20Documents\Projects\T%20K%20I\TKI%202001_12\Key%20Process%20Binder\TKI_2001_12_WP_Treasury%20Management_14010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50%20PP&amp;E%20movement%20-%20%20Final%20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009\&#1073;&#1102;&#1076;&#1078;&#1077;&#1090;%20&#1082;&#1090;&#1075;\Documents%20and%20Settings\S-Terekhov\Local%20Settings\Temporary%20Internet%20Files\OLK21\&#1092;&#1077;&#1074;%202002\&#1044;&#1041;&#1057;&#1055;_02_%20200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5;&#1083;&#1072;&#1085;&#1099;\&#1054;&#1094;&#1077;&#1085;&#1082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009\&#1073;&#1102;&#1076;&#1078;&#1077;&#1090;%20&#1082;&#1090;&#1075;\Documents%20and%20Settings\S.Turehanova\&#1056;&#1072;&#1073;&#1086;&#1095;&#1080;&#1081;%20&#1089;&#1090;&#1086;&#1083;\&#1050;&#1052;&#1043;%20&#1056;&#1044;\Documents%20and%20Settings\&#1041;&#1072;&#1075;&#1080;&#1090;&#1078;&#1072;&#1085;%20&#1050;&#1072;&#1080;&#1088;&#1073;&#1072;&#1077;&#1074;\Local%20Settings\Temporary%20Internet%20Files\Content.IE5\3AGFRT81\&#1092;&#1077;&#1074;%202002\&#1044;&#1041;&#1057;&#1055;_02_%2020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009\&#1073;&#1102;&#1076;&#1078;&#1077;&#1090;%20&#1082;&#1090;&#1075;\DOCUME~1\STERLI~1\LOCALS~1\Temp\bat\Documents%20and%20Settings\Sterligov_d\&#1052;&#1086;&#1080;%20&#1076;&#1086;&#1082;&#1091;&#1084;&#1077;&#1085;&#1090;&#1099;\&#1041;&#1102;&#1076;&#1078;&#1077;&#1090;&#1099;\&#1041;&#1102;&#1076;&#1078;&#1077;&#1090;&#1099;\2004&#1075;&#1086;&#1076;\&#1055;&#1088;&#1080;&#1082;&#1072;&#1079;_182\form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KTG%20LNG\FIN%20DOC\&#1041;&#1080;&#1079;&#1085;&#1077;&#1089;-&#1087;&#1083;&#1072;&#1085;%202009\DOCUME~1\KAKIMO~1\LOCALS~1\Temp\Rar$DI06.656\Documents%20and%20Settings\&#1040;&#1076;&#1084;&#1080;&#1085;&#1080;&#1089;&#1090;&#1088;&#1072;&#1090;&#1086;&#1088;\&#1056;&#1072;&#1073;&#1086;&#1095;&#1080;&#1081;%20&#1089;&#1090;&#1086;&#1083;\&#1041;&#1070;&#1044;&#1046;&#1045;&#1058;%202008&#1075;\&#1055;&#1083;&#1072;&#1085;&#1099;\&#1054;&#1094;&#1077;&#1085;&#1082;&#107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KTG%20LNG\FIN%20DOC\&#1041;&#1080;&#1079;&#1085;&#1077;&#1089;-&#1087;&#1083;&#1072;&#1085;%202009\DOCUME~1\M-AITZ~1\LOCALS~1\Temp\C.Lotus.Notes.Data\Documents%20and%20Settings\K-Samarova\&#1052;&#1086;&#1080;%20&#1076;&#1086;&#1082;&#1091;&#1084;&#1077;&#1085;&#1090;&#1099;\&#1055;&#1088;&#1080;&#1082;&#1072;&#1079;_182\for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orage\&#1048;&#1058;\Documents%20and%20Settings\K-Samarova\&#1052;&#1086;&#1080;%20&#1076;&#1086;&#1082;&#1091;&#1084;&#1077;&#1085;&#1090;&#1099;\&#1055;&#1088;&#1080;&#1082;&#1072;&#1079;_182\form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o13\Indicate%20Plan%202003-2005\DOCUME~1\M-AITZ~1\LOCALS~1\Temp\C.Lotus.Notes.Data\My%20document\&#1040;&#1085;&#1072;&#1083;&#1080;&#1079;\&#1055;&#1088;&#1072;&#1074;&#1080;&#1083;&#1072;_&#1087;&#1086;&#1083;&#1085;&#1099;&#1081;%20&#1087;&#1072;&#1082;&#1077;&#1090;\1\form_&#1101;&#1083;&#1077;&#1082;&#1090;&#1088;&#1086;&#1085;.xls" TargetMode="External"/></Relationships>
</file>

<file path=xl/externalLinks/_rels/externalLink25.xml.rels><?xml version="1.0" encoding="UTF-8" standalone="yes"?>
<Relationships xmlns="http://schemas.openxmlformats.org/package/2006/relationships"><Relationship Id="rId2" Type="http://schemas.microsoft.com/office/2019/04/relationships/externalLinkLongPath" Target="file:///I:\KTG%20LNG\FIN%20DOC\&#1041;&#1080;&#1079;&#1085;&#1077;&#1089;-&#1087;&#1083;&#1072;&#1085;%202009\DOCUME~1\KAKIMO~1\LOCALS~1\Temp\Rar$DI06.656\Documents%20and%20Settings\buharbaev_c\&#1052;&#1086;&#1080;%20&#1076;&#1086;&#1082;&#1091;&#1084;&#1077;&#1085;&#1090;&#1099;\&#1052;&#1086;&#1080;%20&#1076;&#1086;&#1082;&#1091;&#1084;&#1077;&#1085;&#1090;&#1099;\about%20Budget\&#1041;&#1102;&#1076;&#1078;&#1077;&#1090;%202008%20&#1075;&#1086;&#1076;\&#1050;&#1086;&#1087;&#1080;&#1103;%20&#1050;&#1086;&#1088;&#1088;&#1041;&#1102;&#1076;&#1078;&#1077;&#1090;_19.09.07\&#1050;&#1086;&#1085;&#1089;&#1086;&#1083;_&#1073;&#1102;&#1076;&#1078;&#1077;&#1090;_2008%20&#1050;&#1058;&#1043;%20&#1040;&#1081;&#1084;&#1072;&#1082;\&#1070;&#1050;%20&#1059;&#1043;&#1061;\Sysoev?2664EA7F" TargetMode="External"/><Relationship Id="rId1" Type="http://schemas.openxmlformats.org/officeDocument/2006/relationships/externalLinkPath" Target="file:///\\2664EA7F\Sysoev" TargetMode="External"/></Relationships>
</file>

<file path=xl/externalLinks/_rels/externalLink26.xml.rels><?xml version="1.0" encoding="UTF-8" standalone="yes"?>
<Relationships xmlns="http://schemas.openxmlformats.org/package/2006/relationships"><Relationship Id="rId2" Type="http://schemas.microsoft.com/office/2019/04/relationships/externalLinkLongPath" Target="file:///I:\KTG%20LNG\FIN%20DOC\&#1041;&#1080;&#1079;&#1085;&#1077;&#1089;-&#1087;&#1083;&#1072;&#1085;%202009\DOCUME~1\KAKIMO~1\LOCALS~1\Temp\Rar$DI06.656\Documents%20and%20Settings\buharbaev_c\&#1052;&#1086;&#1080;%20&#1076;&#1086;&#1082;&#1091;&#1084;&#1077;&#1085;&#1090;&#1099;\&#1052;&#1086;&#1080;%20&#1076;&#1086;&#1082;&#1091;&#1084;&#1077;&#1085;&#1090;&#1099;\about%20Budget\&#1041;&#1102;&#1076;&#1078;&#1077;&#1090;%202008%20&#1075;&#1086;&#1076;\&#1050;&#1086;&#1087;&#1080;&#1103;%20&#1050;&#1086;&#1088;&#1088;&#1041;&#1102;&#1076;&#1078;&#1077;&#1090;_19.09.07\&#1050;&#1086;&#1085;&#1089;&#1086;&#1083;_&#1073;&#1102;&#1076;&#1078;&#1077;&#1090;_2008%20&#1050;&#1058;&#1043;%20&#1040;&#1081;&#1084;&#1072;&#1082;\&#1070;&#1050;%20&#1059;&#1043;&#1061;\Sterli?2664EA7F" TargetMode="External"/><Relationship Id="rId1" Type="http://schemas.openxmlformats.org/officeDocument/2006/relationships/externalLinkPath" Target="file:///\\2664EA7F\Sterli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orage\&#1048;&#1058;\Documents%20and%20Settings\Zhugurova\Local%20Settings\Temporary%20Internet%20Files\OLK12\&#1092;&#1077;&#1074;%202002\&#1044;&#1041;&#1057;&#1055;_02_%20200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8;&#1072;&#1088;&#1072;&#1079;%20&#1086;&#1090;%20&#1082;&#1086;&#1084;&#1087;&#1072;%20&#1043;&#1091;&#1083;&#1100;&#1078;&#1072;&#1085;%20&#1052;&#1072;&#1078;&#1077;&#1085;&#1086;&#1074;&#1086;&#1081;\Users\user\Desktop\&#1055;&#1083;&#1072;&#1085;%20&#1079;&#1072;&#1082;&#1091;&#1087;&#1086;&#1082;%20&#1075;.%20&#1059;&#1089;&#1090;&#1100;-&#1050;&#1072;&#1084;&#1077;&#1085;&#1086;&#1075;&#1086;&#1088;&#1089;&#1082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o-m4\Work\Documents%20and%20Settings\ordabaev.ATYRAU\&#1052;&#1086;&#1080;%20&#1076;&#1086;&#1082;&#1091;&#1084;&#1077;&#1085;&#1090;&#1099;\&#1055;&#1083;&#1072;&#1085;&#1080;&#1088;&#1086;&#1074;&#1072;&#1085;&#1080;&#1077;\&#1041;&#1102;&#1076;&#1078;&#1077;&#1090;\&#1041;&#1102;&#1076;&#1078;&#1077;&#1090;%202004&#1075;\&#1057;&#1082;&#1086;&#1088;&#1088;.%20&#1041;&#1102;&#1076;&#1078;&#1077;&#1090;%20&#1047;&#1060;%202004%20&#1075;%20&#1057;&#1042;&#1054;&#1044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az-13\&#1054;&#1073;&#1097;&#1072;&#1103;\Documents%20and%20Settings\Umurzakov_t\Local%20Settings\Temporary%20Internet%20Files\OLK221\&#1055;&#1088;&#1080;&#1082;&#1072;&#1079;_182\form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KTG%20LNG\FIN%20DOC\&#1041;&#1080;&#1079;&#1085;&#1077;&#1089;-&#1087;&#1083;&#1072;&#1085;%202009\Documents%20and%20Settings\nkhabibullin\My%20Documents\KMG\Transformation\&#1057;&#1082;&#1086;&#1088;&#1088;&#1077;&#1082;&#1090;&#1080;&#1088;%20&#1056;&#1044;_&#1084;&#1077;&#1089;&#1103;&#1094;_&#1085;&#1072;_20_CF%20Calc%20(version%202)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ysoeva_n\C\Documents%20and%20Settings\S-Terekhov\Local%20Settings\Temporary%20Internet%20Files\OLK21\&#1092;&#1077;&#1074;%202002\&#1044;&#1041;&#1057;&#1055;_02_%202002.xls" TargetMode="External"/></Relationships>
</file>

<file path=xl/externalLinks/_rels/externalLink33.xml.rels><?xml version="1.0" encoding="UTF-8" standalone="yes"?>
<Relationships xmlns="http://schemas.openxmlformats.org/package/2006/relationships"><Relationship Id="rId2" Type="http://schemas.microsoft.com/office/2019/04/relationships/externalLinkLongPath" Target="file:///I:\KTG%20LNG\FIN%20DOC\&#1041;&#1080;&#1079;&#1085;&#1077;&#1089;-&#1087;&#1083;&#1072;&#1085;%202009\DOCUME~1\KAKIMO~1\LOCALS~1\Temp\Rar$DI06.656\Documents%20and%20Settings\buharbaev_c\&#1052;&#1086;&#1080;%20&#1076;&#1086;&#1082;&#1091;&#1084;&#1077;&#1085;&#1090;&#1099;\&#1052;&#1086;&#1080;%20&#1076;&#1086;&#1082;&#1091;&#1084;&#1077;&#1085;&#1090;&#1099;\about%20Budget\&#1041;&#1102;&#1076;&#1078;&#1077;&#1090;%202008%20&#1075;&#1086;&#1076;\&#1050;&#1086;&#1087;&#1080;&#1103;%20&#1050;&#1086;&#1088;&#1088;&#1041;&#1102;&#1076;&#1078;&#1077;&#1090;_19.09.07\&#1050;&#1086;&#1085;&#1089;&#1086;&#1083;_&#1073;&#1102;&#1076;&#1078;&#1077;&#1090;_2008%20&#1050;&#1058;&#1043;%20&#1040;&#1081;&#1084;&#1072;&#1082;\&#1070;&#1050;%20&#1059;&#1043;&#1061;\&#1103;&#1085;&#1074;&#1072;&#1088;&#1100;?2664EA7F" TargetMode="External"/><Relationship Id="rId1" Type="http://schemas.openxmlformats.org/officeDocument/2006/relationships/externalLinkPath" Target="file:///\\2664EA7F\&#1103;&#1085;&#1074;&#1072;&#1088;&#1100;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ps\&#1044;&#1072;&#1085;&#1085;&#1099;&#1077;\Documents%20and%20Settings\Sterligov_d\&#1052;&#1086;&#1080;%20&#1076;&#1086;&#1082;&#1091;&#1084;&#1077;&#1085;&#1090;&#1099;\&#1041;&#1102;&#1076;&#1078;&#1077;&#1090;&#1099;\&#1041;&#1102;&#1076;&#1078;&#1077;&#1090;&#1099;\2004&#1075;&#1086;&#1076;\&#1055;&#1088;&#1080;&#1082;&#1072;&#1079;_182\form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KTG%20LNG\FIN%20DOC\&#1041;&#1080;&#1079;&#1085;&#1077;&#1089;-&#1087;&#1083;&#1072;&#1085;%202009\Documents%20and%20Settings\User\&#1056;&#1072;&#1073;&#1086;&#1095;&#1080;&#1081;%20&#1089;&#1090;&#1086;&#1083;\&#1050;&#1072;&#1089;&#1089;&#1072;_&#1087;&#1086;&#1089;&#1083;\&#1050;&#1086;&#1087;&#1080;&#1103;%20&#1056;&#1072;&#1073;&#1086;&#1095;&#1072;&#1103;%20&#1074;&#1077;&#1088;&#1089;&#1080;&#1103;_&#1057;&#1072;&#1088;&#1073;&#1080;&#1085;&#1072;&#1079;_29\&#1053;&#1086;&#1074;&#1072;&#1103;%20&#1087;&#1072;&#1087;&#1082;&#1072;\&#1056;&#1044;_29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yzdykbaeva\&#1044;&#1086;&#1075;&#1086;&#1074;&#1086;&#1088;&#1072;\Documents%20and%20Settings\syzdykbaeva\Local%20Settings\Temporary%20Internet%20Files\OLK8D\&#1092;&#1077;&#1074;%202002\&#1044;&#1041;&#1057;&#1055;_02_%20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o13\Indicate%20Plan%202003-2005\DOCUME~1\M-AITZ~1\LOCALS~1\Temp\C.Lotus.Notes.Data\Documents%20and%20Settings\N-Novgorodskaya\Local%20Settings\Temporary%20Internet%20Files\OLK1A\KTG_m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009\&#1073;&#1102;&#1076;&#1078;&#1077;&#1090;%20&#1082;&#1090;&#1075;\Documents%20and%20Settings\&#1040;&#1076;&#1084;&#1080;&#1085;&#1080;&#1089;&#1090;&#1088;&#1072;&#1090;&#1086;&#1088;\Local%20Settings\Temporary%20Internet%20Files\Content.IE5\MTOJGRST\&#1056;&#1072;&#1089;&#1096;&#1080;&#1092;&#1088;&#1086;&#1074;&#1082;&#1080;%20&#1062;&#1040;%202005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ysoeva_n\C\Documents%20and%20Settings\Umurzakov_t\Local%20Settings\Temporary%20Internet%20Files\OLK221\&#1055;&#1088;&#1080;&#1082;&#1072;&#1079;_182\form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KTG%20LNG\FIN%20DOC\&#1041;&#1080;&#1079;&#1085;&#1077;&#1089;-&#1087;&#1083;&#1072;&#1085;%202009\Documents%20and%20Settings\Abraeva\Local%20Settings\Temporary%20Internet%20Files\OLKD7\&#1058;&#1088;%20&#1090;&#1072;&#1088;&#1080;&#1092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009\&#1073;&#1102;&#1076;&#1078;&#1077;&#1090;%20&#1082;&#1090;&#1075;\Documents%20and%20Settings\Abraeva\Local%20Settings\Temporary%20Internet%20Files\OLKD7\&#1058;&#1088;%20&#1090;&#1072;&#1088;&#1080;&#1092;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KTG%20LNG\FIN%20DOC\&#1041;&#1080;&#1079;&#1085;&#1077;&#1089;-&#1087;&#1083;&#1072;&#1085;%202009\Documents%20and%20Settings\Rahmetova_a.OFFICE\&#1052;&#1086;&#1080;%20&#1076;&#1086;&#1082;&#1091;&#1084;&#1077;&#1085;&#1090;&#1099;\&#1050;&#1058;&#1043;&#1044;_&#1073;&#1102;&#1076;&#1078;&#1077;&#1090;%202006\2006\last3\&#1055;&#1088;&#1080;&#1082;&#1072;&#1079;_182\form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o-m4\Work\Documents%20and%20Settings\Seilov\Local%20Settings\Temporary%20Internet%20Files\OLK80\&#1088;&#1072;&#1073;.&#1092;&#1072;&#1081;&#1083;%20&#1087;&#1086;%20&#1079;&#1072;&#1090;&#1088;&#1072;&#1090;&#1072;&#1084;%207-1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bsp-natalya\&#1053;&#1086;&#1074;&#1075;&#1086;&#1088;&#1086;&#1076;&#1089;&#1082;&#1072;&#1103;\Documents%20and%20Settings\N-Novgorodskaya\Local%20Settings\Temporary%20Internet%20Files\OLKCD\&#1060;&#1086;&#1088;&#1084;&#1072;2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8;&#1072;&#1088;&#1072;&#1079;%20&#1086;&#1090;%20&#1082;&#1086;&#1084;&#1087;&#1072;%20&#1043;&#1091;&#1083;&#1100;&#1078;&#1072;&#1085;%20&#1052;&#1072;&#1078;&#1077;&#1085;&#1086;&#1074;&#1086;&#1081;\&#1054;&#1090;%20&#1040;&#1081;&#1076;&#1099;&#1085;&#1072;\&#1041;&#1102;&#1076;&#1078;&#1077;&#1090;%202014&#1075;\windows\temp\Rar$DI00.484\&#1064;&#1072;&#1073;&#1083;&#1086;&#1085;%20&#1087;&#1083;&#1072;&#1085;&#1072;%20&#1043;&#1047;_2010%20&#1061;&#1086;&#1079;.%20&#1087;&#1088;&#1086;&#1095;&#1080;&#1077;%20&#1058;&#1052;&#1062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az-13\&#1054;&#1073;&#1097;&#1072;&#1103;\WINDOWS\TEMP\OTCGOD99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8;&#1072;&#1088;&#1072;&#1079;%20&#1086;&#1090;%20&#1082;&#1086;&#1084;&#1087;&#1072;%20&#1043;&#1091;&#1083;&#1100;&#1078;&#1072;&#1085;%20&#1052;&#1072;&#1078;&#1077;&#1085;&#1086;&#1074;&#1086;&#1081;\&#1054;&#1090;%20&#1040;&#1081;&#1076;&#1099;&#1085;&#1072;\&#1041;&#1102;&#1076;&#1078;&#1077;&#1090;%202014&#1075;\&#1074;&#1089;&#1103;%20&#1088;&#1072;&#1073;&#1086;&#1090;&#1072;%2027.10.2013%20&#1053;&#1072;%20&#1080;&#1089;&#1087;&#1086;&#1083;&#1085;&#1089;&#1072;&#1084;&#1072;&#1103;%20&#1087;&#1086;&#1089;&#1083;&#1077;&#1076;&#1085;&#1103;&#1103;\&#1060;&#1048;&#1051;&#1068;&#1058;&#1056;\&#1055;&#1083;&#1072;&#1085;%20&#1079;&#1072;&#1082;&#1091;&#1087;&#1086;&#1082;\2013%20&#1075;.%20&#1087;&#1083;&#1072;&#1085;%20&#1079;&#1072;&#1082;&#1091;&#1087;&#1086;&#1082;\2013%20&#1075;.%20&#1057;&#1077;&#1084;&#1077;&#1081;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lentina\&#1076;&#1086;&#1082;&#1091;&#1084;&#1077;&#1085;&#1090;&#1099;\Documents%20and%20Settings\Sysoeva_n\Local%20Settings\Temporary%20Internet%20Files\Content.IE5\S1Y7W1QN\&#1041;&#1102;&#1076;&#1078;&#1077;&#1090;&#1099;\2004&#1075;&#1086;&#1076;\&#1055;&#1088;&#1080;&#1082;&#1072;&#1079;_182\form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Umurzakov_t\Local%20Settings\Temporary%20Internet%20Files\OLK221\&#1055;&#1088;&#1080;&#1082;&#1072;&#1079;_182\form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tp200\&#1055;&#1056;6-8\DOCUME~1\T-NURK~1\LOCALS~1\Temp\Rar$DI78.703\Documents%20and%20Settings\A-Abilov\Local%20Settings\Temporary%20Internet%20Files\OLK12E\&#1060;&#1086;&#1088;&#1084;&#1072;2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o13\Indicate%20Plan%202003-2005\DOCUME~1\M-AITZ~1\LOCALS~1\Temp\C.Lotus.Notes.Data\&#1041;&#1044;\&#1050;&#1086;&#1101;&#1092;&#1092;&#1080;&#1094;&#1080;&#1077;&#1085;&#1090;&#1099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lentina\&#1076;&#1086;&#1082;&#1091;&#1084;&#1077;&#1085;&#1090;&#1099;\DOCUME~1\STERLI~1\LOCALS~1\Temp\bat\&#1052;&#1086;&#1080;%20&#1076;&#1086;&#1082;&#1091;&#1084;&#1077;&#1085;&#1090;&#1099;\about%20Budget\&#1041;&#1102;&#1076;&#1078;&#1077;&#1090;%202004%20&#1075;&#1086;&#1076;%20(&#1082;&#1086;&#1088;&#1088;)\&#1041;&#1102;&#1076;&#1078;&#1077;&#1090;%202004%20&#1075;.%20&#1082;&#1086;&#1088;&#1088;&#1077;&#1082;&#1090;&#1080;&#1088;%20&#1086;&#1082;&#1086;&#1085;&#1095;&#1072;&#1090;\&#1084;&#1072;&#1090;&#1077;&#1088;&#1080;&#1072;&#1083;&#1099;\&#1053;&#1086;&#1074;&#1099;&#1077;&#1056;&#1072;&#1089;&#1095;&#1077;&#1090;&#1099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o13\Indicate%20Plan%202003-2005\DOCUME~1\M-AITZ~1\LOCALS~1\Temp\C.Lotus.Notes.Data\&#1041;&#1044;\&#1057;&#1090;&#1072;&#1090;&#1100;&#1080;%20&#1058;&#1069;&#1055;_&#1089;&#1090;&#1072;&#1088;&#1072;&#1103;%20&#1089;&#1090;&#1088;&#1091;&#1082;&#1090;&#1091;&#1088;&#1072;.xls" TargetMode="External"/></Relationships>
</file>

<file path=xl/externalLinks/_rels/externalLink54.xml.rels><?xml version="1.0" encoding="UTF-8" standalone="yes"?>
<Relationships xmlns="http://schemas.openxmlformats.org/package/2006/relationships"><Relationship Id="rId2" Type="http://schemas.microsoft.com/office/2019/04/relationships/externalLinkLongPath" Target="file:///I:\KTG%20LNG\FIN%20DOC\&#1041;&#1080;&#1079;&#1085;&#1077;&#1089;-&#1087;&#1083;&#1072;&#1085;%202009\Documents%20and%20Settings\Rahmetova_a.OFFICE\&#1052;&#1086;&#1080;%20&#1076;&#1086;&#1082;&#1091;&#1084;&#1077;&#1085;&#1090;&#1099;\&#1050;&#1058;&#1043;&#1044;_&#1073;&#1102;&#1076;&#1078;&#1077;&#1090;%202006\2006\Documents%20and%20Settings\S-Terekhov\Local%20Settings\Temporary%20Internet%20Files\OLK21\&#1092;&#1077;&#1074;%202002\&#1044;&#1041;&#1057;&#1055;_02_%202002.xls?22AAD090" TargetMode="External"/><Relationship Id="rId1" Type="http://schemas.openxmlformats.org/officeDocument/2006/relationships/externalLinkPath" Target="file:///\\22AAD090\&#1044;&#1041;&#1057;&#1055;_02_%202002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bud-8\&#1044;&#1077;&#1083;&#1086;\Documents%20and%20Settings\S.Turehanova\&#1056;&#1072;&#1073;&#1086;&#1095;&#1080;&#1081;%20&#1089;&#1090;&#1086;&#1083;\&#1050;&#1052;&#1043;%20&#1056;&#1044;\Documents%20and%20Settings\A-Abilov\Local%20Settings\Temporary%20Internet%20Files\OLK12E\&#1060;&#1086;&#1088;&#1084;&#1072;2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8;&#1072;&#1088;&#1072;&#1079;%20&#1086;&#1090;%20&#1082;&#1086;&#1084;&#1087;&#1072;%20&#1043;&#1091;&#1083;&#1100;&#1078;&#1072;&#1085;%20&#1052;&#1072;&#1078;&#1077;&#1085;&#1086;&#1074;&#1086;&#1081;\&#1054;&#1090;%20&#1040;&#1081;&#1076;&#1099;&#1085;&#1072;\&#1041;&#1102;&#1076;&#1078;&#1077;&#1090;%202014&#1075;\2013%20&#1075;.%20&#1087;&#1083;&#1072;&#1085;%20&#1079;&#1072;&#1082;&#1091;&#1087;&#1086;&#1082;\&#1055;&#1083;&#1072;&#1085;%20&#1085;&#1072;%202013%20&#1075;&#1086;&#1076;\&#1050;&#1054;&#1050;&#1064;&#1045;&#1058;&#1040;&#1059;\2010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o13\Indicate%20Plan%202003-2005\DOCUME~1\M-AITZ~1\LOCALS~1\Temp\C.Lotus.Notes.Data\&#1057;&#1074;&#1086;&#1073;&#1086;&#1076;&#1085;&#1072;&#1103;\&#1050;&#1052;&#1043;%202003%20&#1080;&#1102;&#1085;&#1100;\&#1040;&#1053;&#1055;&#1047;_06_2003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-Abilov\Local%20Settings\Temporary%20Internet%20Files\OLK12E\&#1060;&#1086;&#1088;&#1084;&#1072;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-ds-ws-ek1\Users\Asel\Documents\&#1073;&#1102;&#1076;&#1078;&#1077;&#1090;%202015\&#1041;&#1070;&#1044;&#1046;&#1045;&#1058;%20&#1044;&#1048;&#1056;&#1045;&#1050;&#1062;&#1048;&#1071;%202015%20&#1075;&#1086;&#1076;&#1040;&#1044;&#1052;%2009.04.2015&#1075;.(1)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-ds-ws-ek1\Users\Asel\Documents\&#1073;&#1102;&#1076;&#1078;&#1077;&#1090;%202015\&#1041;&#1070;&#1044;&#1046;&#1045;&#1058;%20&#1044;&#1048;&#1056;&#1045;&#1050;&#1062;&#1048;&#1071;%202015%20&#1075;&#1086;&#1076;&#1040;&#1044;&#1052;!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-ds-ws-ek1\Users\Asel\Documents\&#1073;&#1102;&#1076;&#1078;&#1077;&#1090;%202015\Users\adamkaliev_d\AppData\Roaming\Skype\My%20Skype%20Received%20Files\Users\laura_2\AppData\Local\Temp\Rar$DIa0.224\Users\user\Downloads\&#1041;&#1102;&#1076;&#1078;&#1077;&#1090;%202015%20&#1050;&#1086;&#1084;&#1087;&#1083;&#1077;&#1082;&#1089;%2025.11.14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-ds-ws-ek1\Users\Asel\Documents\&#1073;&#1102;&#1076;&#1078;&#1077;&#1090;%202015\Users\adamkaliev_d\AppData\Roaming\Skype\My%20Skype%20Received%20Files\Users\laura_2\AppData\Local\Temp\Rar$DIa0.224\&#1041;&#1102;&#1076;&#1078;&#1077;&#1090;%20&#1096;&#1082;&#1086;&#1083;%20&#1089;&#1074;&#1086;&#1076;%2016%2010%2014%20&#1073;&#1077;&#1079;%20&#1088;&#1072;&#1089;&#1087;&#1088;&#1077;&#1076;%20&#1040;&#1059;&#1055;.xlsx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-ds-ws-ek1\Users\Asel\Documents\&#1073;&#1102;&#1076;&#1078;&#1077;&#1090;%202015\Users\adamkaliev_d\AppData\Roaming\Skype\My%20Skype%20Received%20Files\Users\laura_2\AppData\Local\Temp\Rar$DIa0.224\&#1050;&#1072;&#1083;&#1100;&#1082;&#1091;&#1083;&#1103;&#1094;&#1080;&#1080;%2025%2010%2014%20&#1073;&#1077;&#1079;%20&#1088;&#1072;&#1089;&#1087;&#1088;&#1077;&#1076;%20&#1040;&#1059;&#1055;.xlsx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-ds-ws-ek1\Users\turlubekova_a\Downloads\&#1041;&#1102;&#1076;&#1078;&#1077;&#1090;%20&#1096;&#1082;&#1086;&#1083;%20&#1089;&#1074;&#1086;&#1076;%2025%2010%2014%20&#1089;%20&#1088;&#1072;&#1089;&#1087;&#1088;&#1077;&#1076;%20&#1040;&#1059;&#1055;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-ds-ws-ek1\Users\turlubekova_a\Downloads\Users\duygay_i\&#1048;&#1088;&#1080;&#1085;&#1072;\&#1054;&#1088;&#1082;&#1077;&#1085;%20111\2015-2017&#1075;&#1075;\&#1063;&#1059;%20&#1044;&#1080;&#1088;&#1077;&#1082;&#1094;&#1080;&#1103;\2014_&#1089;&#1086;%20&#1096;&#1082;&#1086;&#1083;&#1072;&#1084;&#1080;&#1080;%20&#1072;&#1076;&#1084;%20&#1079;&#1076;&#1072;&#1085;&#1080;&#1077;&#1084;.xlsx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-ds-ws-ek1\Users\turlubekova_a\Downloads\&#1060;&#1054;&#1058;%20&#1082;&#1086;&#1084;&#1087;&#1083;%202015%20&#1052;&#1064;%20c%20&#1088;&#1072;&#1079;&#1073;&#1080;&#1074;&#1082;&#1086;&#1081;%20&#1085;&#1072;%201%20&#1095;&#1077;&#1083;%202&#1085;&#1086;&#1074;.xlsx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-ds-ws-ek1\Users\user\AppData\Roaming\Skype\My%20Skype%20Received%20Files\&#1073;&#1102;&#1076;&#1078;&#1077;&#1090;%20&#1050;&#1086;&#1084;&#1087;%20&#1089;%20&#1082;&#1086;&#1090;&#1077;&#1083;&#1100;&#1097;\&#1073;&#1102;&#1076;&#1078;&#1077;&#1090;%202016%20&#1057;&#1083;&#1091;&#1078;&#1073;&#1072;%20&#1089;%20&#1082;&#1086;&#1090;&#1077;&#1083;&#1100;&#1097;&#1080;&#1082;&#1072;&#1084;&#1080;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-ds-ws-ek1\Users\Asel\Documents\2016%20&#1075;&#1086;&#1076;\&#1073;&#1102;&#1076;&#1078;&#1077;&#1090;%202017-2019&#1075;&#1075;\Users\user\Desktop\&#1064;&#1050;&#1054;&#1051;&#1067;\&#1040;&#1089;&#1090;&#1072;&#1085;&#1072;\&#1085;&#1072;%20&#1073;&#1072;&#1083;&#1072;&#1085;&#1089;%20&#1058;&#1061;\&#1040;&#1076;&#1084;\&#1042;&#1089;&#1077;%20&#1072;&#1082;&#1090;&#1099;%202%20&#1086;&#1095;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-ds-ws-ek1\Users\Asel\Documents\2016%20&#1075;&#1086;&#1076;\&#1073;&#1102;&#1076;&#1078;&#1077;&#1090;%202017-2019&#1075;&#1075;\&#1089;&#1090;&#1086;&#1083;&#1086;&#1074;&#1072;&#1103;\&#1042;&#1089;&#1077;%20&#1072;&#1082;&#1090;&#1099;%202%20&#1086;&#1095;.xlsx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-ds-ws-ek1\Users\turlubekova_a\Downloads\&#1050;&#1072;&#1083;&#1100;&#1082;&#1091;&#1083;&#1103;&#1094;&#1080;&#1103;%20&#1089;&#1090;&#1086;&#1083;&#1086;&#1074;&#1086;&#1081;%20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-ds-ws-ek1\Users\turlubekova_a\Downloads\Users\ismagulova_aizhan\Desktop\&#1064;&#1082;&#1086;&#1083;&#1099;%202015\&#1050;&#1072;&#1088;&#1072;&#1075;&#1072;&#1085;&#1076;&#1072;\&#1056;&#1072;&#1089;&#1095;&#1077;&#1090;%20&#1076;&#1077;&#1079;&#1089;&#1088;&#1077;&#1076;&#1089;&#1090;&#1074;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ilnisedu-my.sharepoint.com/Users/Makhanova_r/AppData/Roaming/Skype/My%20Skype%20Received%20Files/&#1073;&#1102;&#1076;&#1078;&#1077;&#1090;%202018%20&#1087;&#1088;&#1086;&#1077;&#1082;&#1090;%20&#1086;&#1073;&#1089;&#1083;&#1091;&#1078;%20&#1086;&#1073;&#1098;&#1077;&#1082;&#1090;&#1086;&#1074;%20&#1089;%20&#1091;&#1074;&#1077;&#1083;&#1080;&#1095;%20&#1092;&#1086;&#10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отбо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0"/>
      <sheetName val="1.1"/>
      <sheetName val="1"/>
      <sheetName val="2"/>
      <sheetName val="2.1"/>
      <sheetName val="2.2"/>
      <sheetName val="2.3"/>
      <sheetName val="2.4"/>
      <sheetName val="2.5"/>
      <sheetName val="2.6"/>
      <sheetName val="2.7"/>
      <sheetName val="2.8"/>
      <sheetName val="2.9"/>
      <sheetName val="2.10"/>
      <sheetName val="3"/>
      <sheetName val="3.1"/>
      <sheetName val="3.2"/>
      <sheetName val="4"/>
      <sheetName val="5"/>
      <sheetName val="4.1"/>
      <sheetName val="5."/>
      <sheetName val="5.1"/>
      <sheetName val="5.2"/>
      <sheetName val="5.3"/>
      <sheetName val="6"/>
      <sheetName val="6.1"/>
      <sheetName val="6.2"/>
      <sheetName val="6.3"/>
      <sheetName val="7"/>
      <sheetName val="7.1"/>
      <sheetName val="8"/>
      <sheetName val="8.1"/>
      <sheetName val="8.2"/>
      <sheetName val="8.3"/>
      <sheetName val="9"/>
      <sheetName val="9.1"/>
      <sheetName val="10"/>
      <sheetName val="11"/>
      <sheetName val="Д.11"/>
      <sheetName val="12"/>
      <sheetName val="3А"/>
      <sheetName val="3В"/>
      <sheetName val="3С"/>
      <sheetName val="3E"/>
      <sheetName val="3D"/>
      <sheetName val="3F"/>
      <sheetName val="3H"/>
      <sheetName val="3J"/>
      <sheetName val="3K"/>
      <sheetName val="3L"/>
      <sheetName val="3M"/>
      <sheetName val="3N"/>
      <sheetName val="3O"/>
      <sheetName val="3P"/>
      <sheetName val="13"/>
      <sheetName val="13.1"/>
      <sheetName val="13.2"/>
      <sheetName val="13.4"/>
      <sheetName val="13.5"/>
      <sheetName val="14"/>
      <sheetName val="14.1"/>
      <sheetName val="15"/>
      <sheetName val="15.1"/>
      <sheetName val="16"/>
      <sheetName val="16.1"/>
      <sheetName val="17"/>
      <sheetName val="17.1"/>
      <sheetName val="17.2"/>
      <sheetName val="18"/>
      <sheetName val="19"/>
      <sheetName val="20"/>
      <sheetName val="20.1"/>
      <sheetName val="21"/>
      <sheetName val="д21"/>
      <sheetName val="22 (6"/>
      <sheetName val="22.1(6"/>
      <sheetName val="22.2(6"/>
      <sheetName val="22.3(6"/>
      <sheetName val="свод"/>
      <sheetName val="22 (5"/>
      <sheetName val="22.1(5"/>
      <sheetName val="22.2(5"/>
      <sheetName val="22.3(5"/>
      <sheetName val="22.5(5"/>
      <sheetName val="22.7"/>
      <sheetName val="22 (4)"/>
      <sheetName val="22.1 (4"/>
      <sheetName val="22.2 (4"/>
      <sheetName val="22.3 (4"/>
      <sheetName val="22.5 (4"/>
      <sheetName val="23"/>
      <sheetName val="д.23"/>
      <sheetName val="24"/>
      <sheetName val="24."/>
      <sheetName val="24.1)"/>
      <sheetName val="25"/>
      <sheetName val="25.1"/>
      <sheetName val="26"/>
      <sheetName val="27"/>
      <sheetName val="27.1"/>
      <sheetName val="28"/>
      <sheetName val="28.1"/>
      <sheetName val="28.2"/>
      <sheetName val="28.3"/>
      <sheetName val="28.4"/>
      <sheetName val="28.5"/>
      <sheetName val="28.6"/>
      <sheetName val="29"/>
      <sheetName val="30"/>
      <sheetName val="31"/>
      <sheetName val="д31"/>
      <sheetName val="32"/>
      <sheetName val="Лист1"/>
      <sheetName val="форма № 1 "/>
      <sheetName val="Форма №2"/>
      <sheetName val="Форма №3"/>
      <sheetName val="Формат №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-1"/>
      <sheetName val="TB-2"/>
      <sheetName val="AutoAdj"/>
      <sheetName val="Info"/>
      <sheetName val="Control"/>
      <sheetName val="A1"/>
      <sheetName val="A1-1"/>
      <sheetName val="A2"/>
      <sheetName val="A3"/>
      <sheetName val="A3-1"/>
      <sheetName val="A4"/>
      <sheetName val="A4-1"/>
      <sheetName val="A5"/>
      <sheetName val="O1"/>
      <sheetName val="O2"/>
      <sheetName val="O3"/>
      <sheetName val="O3-1"/>
      <sheetName val="O4"/>
      <sheetName val="K1"/>
      <sheetName val="P1"/>
      <sheetName val="P2"/>
      <sheetName val="P3"/>
      <sheetName val="C1"/>
      <sheetName val="C2-1"/>
      <sheetName val="C2-2"/>
      <sheetName val="C3-1"/>
      <sheetName val="C3-2"/>
      <sheetName val="C4"/>
      <sheetName val="C5"/>
      <sheetName val="C6"/>
      <sheetName val="Акт"/>
      <sheetName val="C7"/>
      <sheetName val="Grouplist"/>
      <sheetName val="Rates"/>
      <sheetName val="PP&amp;E mvt for 2003"/>
      <sheetName val="Àêò"/>
      <sheetName val="additional_data"/>
      <sheetName val="страхов"/>
      <sheetName val="комм"/>
      <sheetName val="ГПХ"/>
      <sheetName val="Plrap"/>
      <sheetName val="Plsum"/>
      <sheetName val="Pladj"/>
      <sheetName val="Cash Flow - 2004 Workings"/>
      <sheetName val="7.1"/>
      <sheetName val="2.2 ОтклОТМ"/>
      <sheetName val="1.3.2 ОТМ"/>
      <sheetName val="PP_E mvt for 2003"/>
      <sheetName val="Форма2"/>
      <sheetName val="Форма1"/>
      <sheetName val="Предпр"/>
      <sheetName val="ЦентрЗатр"/>
      <sheetName val="ЕдИзм"/>
      <sheetName val="yO302.1"/>
      <sheetName val="#ССЫЛКА"/>
      <sheetName val="ЯНВ_99"/>
      <sheetName val="N_SVOD"/>
      <sheetName val="1NK"/>
      <sheetName val="FES"/>
      <sheetName val="L-1"/>
      <sheetName val="Содержание"/>
      <sheetName val="PP&amp;E_mvt_for_2003"/>
      <sheetName val="2_2_ОтклОТМ"/>
      <sheetName val="1_3_2_ОТМ"/>
      <sheetName val="PP_E_mvt_for_2003"/>
      <sheetName val="Cash_Flow_-_2004_Workings"/>
      <sheetName val="7_1"/>
      <sheetName val="PP&amp;E_mvt_for_20031"/>
      <sheetName val="2_2_ОтклОТМ1"/>
      <sheetName val="1_3_2_ОТМ1"/>
      <sheetName val="PP_E_mvt_for_20031"/>
      <sheetName val="Cash_Flow_-_2004_Workings1"/>
      <sheetName val="7_11"/>
      <sheetName val="NOV"/>
      <sheetName val="Def"/>
      <sheetName val="Anlagevermögen"/>
      <sheetName val="2БО"/>
      <sheetName val="Sheet1"/>
      <sheetName val="ñòðàõîâ"/>
      <sheetName val="êîìì"/>
      <sheetName val="ÃÏÕ"/>
      <sheetName val="2.2 ÎòêëÎÒÌ"/>
      <sheetName val="1.3.2 ÎÒÌ"/>
      <sheetName val="Ôîðìà2"/>
      <sheetName val="Ôîðìà1"/>
      <sheetName val="Ïðåäïð"/>
      <sheetName val="ÖåíòðÇàòð"/>
      <sheetName val="ÅäÈçì"/>
      <sheetName val="#ÑÑÛËÊÀ"/>
      <sheetName val="ßÍÂ_99"/>
      <sheetName val="д.7.001"/>
      <sheetName val="свод"/>
      <sheetName val="группа"/>
      <sheetName val="Расчеты"/>
      <sheetName val="Данные"/>
      <sheetName val="VLOOKUP"/>
      <sheetName val="INPUTMASTER"/>
      <sheetName val="Capex"/>
      <sheetName val="Assump"/>
      <sheetName val="Ввод"/>
      <sheetName val="Standing data"/>
      <sheetName val="2005 Social"/>
      <sheetName val="Cash Flow - CY Workings"/>
      <sheetName val="Собственный капитал"/>
      <sheetName val="US Dollar 2003"/>
      <sheetName val="SDR 2003"/>
      <sheetName val="Пр2"/>
      <sheetName val="Inputs - general"/>
      <sheetName val="ATI"/>
      <sheetName val="I KEY INFORMATION"/>
      <sheetName val="VI REVENUE OOD"/>
      <sheetName val="IIb P&amp;L short"/>
      <sheetName val="IV REVENUE ROOMS"/>
      <sheetName val="IV REVENUE  F&amp;B"/>
      <sheetName val="Assp"/>
      <sheetName val="ToggleBox"/>
      <sheetName val="Cash CCI Detail"/>
      <sheetName val="Disclosure"/>
      <sheetName val="IIb P_L short"/>
      <sheetName val="IV REVENUE  F_B"/>
      <sheetName val="Параметры"/>
      <sheetName val="TERMS"/>
      <sheetName val="Sensitivity"/>
      <sheetName val="Threshold Table"/>
      <sheetName val="БРК 1"/>
      <sheetName val="БРК 2"/>
      <sheetName val="БРК 3"/>
      <sheetName val="Управление"/>
      <sheetName val="ГБРК"/>
      <sheetName val="Произв. затраты"/>
      <sheetName val="PP&amp;E_mvt_for_20032"/>
      <sheetName val="2_2_ОтклОТМ2"/>
      <sheetName val="1_3_2_ОТМ2"/>
      <sheetName val="Cash_Flow_-_2004_Workings2"/>
      <sheetName val="7_12"/>
      <sheetName val="PP_E_mvt_for_20032"/>
      <sheetName val="yO302_1"/>
      <sheetName val="2_2_ÎòêëÎÒÌ"/>
      <sheetName val="1_3_2_ÎÒÌ"/>
      <sheetName val="д_7_001"/>
      <sheetName val="Standing_data"/>
      <sheetName val="2005_Social"/>
      <sheetName val="US_Dollar_2003"/>
      <sheetName val="SDR_2003"/>
      <sheetName val="Cash_Flow_-_CY_Workings"/>
      <sheetName val="Собственный_капитал"/>
      <sheetName val="Inputs_-_general"/>
      <sheetName val="I_KEY_INFORMATION"/>
      <sheetName val="VI_REVENUE_OOD"/>
      <sheetName val="IIb_P&amp;L_short"/>
      <sheetName val="IV_REVENUE_ROOMS"/>
      <sheetName val="IV_REVENUE__F&amp;B"/>
      <sheetName val="Cash_CCI_Detail"/>
      <sheetName val="input_data"/>
      <sheetName val="внутр обороты ОАР"/>
      <sheetName val="Инв освоение"/>
      <sheetName val="Инв финас"/>
      <sheetName val="внутр обороты ОПУ"/>
      <sheetName val="внутр обороты БС"/>
      <sheetName val="внутр обороты ДДС"/>
      <sheetName val="Фин.дох.и расх."/>
      <sheetName val="Баланс"/>
      <sheetName val="Обор капитал"/>
      <sheetName val="ОДД"/>
      <sheetName val="Доп.показатели"/>
      <sheetName val="ОПУ"/>
      <sheetName val="Объёмы продаж"/>
      <sheetName val="Запасы готовой продукции"/>
      <sheetName val="Цены"/>
      <sheetName val="Уд.себ-сть"/>
      <sheetName val="расш.пр.в уд себ-сти 12 мес"/>
      <sheetName val="расш.пр.в ан-зе себ-сти 12 мес"/>
      <sheetName val="расш.пр.в ан-зе себ-сти 11м к п"/>
      <sheetName val="расш.пр.в уд себ-сти к пр г"/>
      <sheetName val="расш.пр.в ОАР"/>
      <sheetName val="Пр.опер.дох.и расх."/>
      <sheetName val="расш.пр.в расх.по реализ."/>
      <sheetName val="Расх.по реализ."/>
      <sheetName val="эффект нал ставка"/>
      <sheetName val="Ан-з себ-сти 12 мес"/>
      <sheetName val="Sheet2"/>
      <sheetName val="Hidden"/>
      <sheetName val="Scenarios"/>
      <sheetName val="Workings"/>
      <sheetName val="Macroeconomic Assumptions"/>
      <sheetName val="PP&amp;E_mvt_for_20033"/>
      <sheetName val="2_2_ОтклОТМ3"/>
      <sheetName val="1_3_2_ОТМ3"/>
      <sheetName val="Cash_Flow_-_2004_Workings3"/>
      <sheetName val="7_13"/>
      <sheetName val="PP_E_mvt_for_20033"/>
      <sheetName val="yO302_11"/>
      <sheetName val="2_2_ÎòêëÎÒÌ1"/>
      <sheetName val="1_3_2_ÎÒÌ1"/>
      <sheetName val="д_7_0011"/>
      <sheetName val="Standing_data1"/>
      <sheetName val="2005_Social1"/>
      <sheetName val="US_Dollar_20031"/>
      <sheetName val="SDR_20031"/>
      <sheetName val="Cash_Flow_-_CY_Workings1"/>
      <sheetName val="Собственный_капитал1"/>
      <sheetName val="Inputs_-_general1"/>
      <sheetName val="I_KEY_INFORMATION1"/>
      <sheetName val="VI_REVENUE_OOD1"/>
      <sheetName val="IIb_P&amp;L_short1"/>
      <sheetName val="IV_REVENUE_ROOMS1"/>
      <sheetName val="IV_REVENUE__F&amp;B1"/>
      <sheetName val="Cash_CCI_Detail1"/>
      <sheetName val="IIb_P_L_short"/>
      <sheetName val="IV_REVENUE__F_B"/>
      <sheetName val="Macroeconomic_Assumptions"/>
      <sheetName val="FA register"/>
      <sheetName val="PP&amp;E_mvt_for_20034"/>
      <sheetName val="Cash_Flow_-_2004_Workings4"/>
      <sheetName val="7_14"/>
      <sheetName val="2_2_ОтклОТМ4"/>
      <sheetName val="1_3_2_ОТМ4"/>
      <sheetName val="PP_E_mvt_for_20034"/>
      <sheetName val="yO302_12"/>
      <sheetName val="2_2_ÎòêëÎÒÌ2"/>
      <sheetName val="1_3_2_ÎÒÌ2"/>
      <sheetName val="д_7_0012"/>
      <sheetName val="Standing_data2"/>
      <sheetName val="2005_Social2"/>
      <sheetName val="US_Dollar_20032"/>
      <sheetName val="SDR_20032"/>
      <sheetName val="Cash_Flow_-_CY_Workings2"/>
      <sheetName val="Собственный_капитал2"/>
      <sheetName val="Inputs_-_general2"/>
      <sheetName val="I_KEY_INFORMATION2"/>
      <sheetName val="VI_REVENUE_OOD2"/>
      <sheetName val="IIb_P&amp;L_short2"/>
      <sheetName val="IV_REVENUE_ROOMS2"/>
      <sheetName val="IV_REVENUE__F&amp;B2"/>
      <sheetName val="Cash_CCI_Detail2"/>
      <sheetName val="Macroeconomic_Assumptions1"/>
      <sheetName val="IIb_P_L_short1"/>
      <sheetName val="IV_REVENUE__F_B1"/>
      <sheetName val="внутр_обороты_ОАР"/>
      <sheetName val="Инв_освоение"/>
      <sheetName val="Инв_финас"/>
      <sheetName val="внутр_обороты_ОПУ"/>
      <sheetName val="внутр_обороты_БС"/>
      <sheetName val="внутр_обороты_ДДС"/>
      <sheetName val="Фин_дох_и_расх_"/>
      <sheetName val="Обор_капитал"/>
      <sheetName val="Доп_показатели"/>
      <sheetName val="Объёмы_продаж"/>
      <sheetName val="Запасы_готовой_продукции"/>
      <sheetName val="Уд_себ-сть"/>
      <sheetName val="расш_пр_в_уд_себ-сти_12_мес"/>
      <sheetName val="расш_пр_в_ан-зе_себ-сти_12_мес"/>
      <sheetName val="расш_пр_в_ан-зе_себ-сти_11м_к_п"/>
      <sheetName val="расш_пр_в_уд_себ-сти_к_пр_г"/>
      <sheetName val="расш_пр_в_ОАР"/>
      <sheetName val="Пр_опер_дох_и_расх_"/>
      <sheetName val="расш_пр_в_расх_по_реализ_"/>
      <sheetName val="Расх_по_реализ_"/>
      <sheetName val="эффект_нал_ставка"/>
      <sheetName val="Ан-з_себ-сти_12_мес"/>
      <sheetName val="БРК_1"/>
      <sheetName val="БРК_2"/>
      <sheetName val="БРК_3"/>
      <sheetName val="Произв__затраты"/>
      <sheetName val="Threshold_Table"/>
      <sheetName val="Controls"/>
      <sheetName val="Prelim Cost"/>
      <sheetName val="Treatment Summary"/>
      <sheetName val="cash product. plan"/>
      <sheetName val="Chart"/>
      <sheetName val="PP&amp;E_mvt_for_20035"/>
      <sheetName val="Cash_Flow_-_2004_Workings5"/>
      <sheetName val="7_15"/>
      <sheetName val="2_2_ОтклОТМ5"/>
      <sheetName val="1_3_2_ОТМ5"/>
      <sheetName val="PP_E_mvt_for_20035"/>
      <sheetName val="yO302_13"/>
      <sheetName val="2_2_ÎòêëÎÒÌ3"/>
      <sheetName val="1_3_2_ÎÒÌ3"/>
      <sheetName val="д_7_0013"/>
      <sheetName val="Standing_data3"/>
      <sheetName val="2005_Social3"/>
      <sheetName val="Cash_Flow_-_CY_Workings3"/>
      <sheetName val="Собственный_капитал3"/>
      <sheetName val="US_Dollar_20033"/>
      <sheetName val="SDR_20033"/>
      <sheetName val="Inputs_-_general3"/>
      <sheetName val="I_KEY_INFORMATION3"/>
      <sheetName val="VI_REVENUE_OOD3"/>
      <sheetName val="IIb_P&amp;L_short3"/>
      <sheetName val="IV_REVENUE_ROOMS3"/>
      <sheetName val="IV_REVENUE__F&amp;B3"/>
      <sheetName val="Cash_CCI_Detail3"/>
      <sheetName val="IIb_P_L_short2"/>
      <sheetName val="IV_REVENUE__F_B2"/>
      <sheetName val="Threshold_Table1"/>
      <sheetName val="БРК_11"/>
      <sheetName val="БРК_21"/>
      <sheetName val="БРК_31"/>
      <sheetName val="Произв__затраты1"/>
      <sheetName val="внутр_обороты_ОАР1"/>
      <sheetName val="Инв_освоение1"/>
      <sheetName val="Инв_финас1"/>
      <sheetName val="внутр_обороты_ОПУ1"/>
      <sheetName val="внутр_обороты_БС1"/>
      <sheetName val="внутр_обороты_ДДС1"/>
      <sheetName val="Фин_дох_и_расх_1"/>
      <sheetName val="Обор_капитал1"/>
      <sheetName val="Доп_показатели1"/>
      <sheetName val="Объёмы_продаж1"/>
      <sheetName val="Запасы_готовой_продукции1"/>
      <sheetName val="Уд_себ-сть1"/>
      <sheetName val="расш_пр_в_уд_себ-сти_12_мес1"/>
      <sheetName val="расш_пр_в_ан-зе_себ-сти_12_мес1"/>
      <sheetName val="расш_пр_в_ан-зе_себ-сти_11м_к_1"/>
      <sheetName val="расш_пр_в_уд_себ-сти_к_пр_г1"/>
      <sheetName val="расш_пр_в_ОАР1"/>
      <sheetName val="Пр_опер_дох_и_расх_1"/>
      <sheetName val="расш_пр_в_расх_по_реализ_1"/>
      <sheetName val="Расх_по_реализ_1"/>
      <sheetName val="эффект_нал_ставка1"/>
      <sheetName val="Ан-з_себ-сти_12_мес1"/>
      <sheetName val="Macroeconomic_Assumptions2"/>
      <sheetName val="FA_register"/>
      <sheetName val="Prelim_Cost"/>
      <sheetName val="Dictionaries"/>
      <sheetName val="Range data"/>
      <sheetName val="XREF"/>
      <sheetName val="GAAP TB 30.09.01  detail p&amp;l"/>
      <sheetName val="PRECA citadis"/>
      <sheetName val="ОПГЗ"/>
      <sheetName val="План ГЗ"/>
      <sheetName val=" По скв"/>
      <sheetName val="Распределение"/>
      <sheetName val="ЦХЛ 2004"/>
      <sheetName val="Read me first"/>
      <sheetName val="DB"/>
      <sheetName val="13. Проверка"/>
      <sheetName val="11. Тест на обесценение"/>
      <sheetName val="map_nat"/>
      <sheetName val="map_RPG"/>
      <sheetName val="январь"/>
      <sheetName val="ремонт 25"/>
      <sheetName val="CPI"/>
      <sheetName val="Depr"/>
      <sheetName val="Other software VCR"/>
      <sheetName val="Control Settings"/>
      <sheetName val="M1-Main Assu"/>
      <sheetName val="Cover"/>
      <sheetName val="Master Inputs Start here"/>
      <sheetName val="I-Index"/>
      <sheetName val="доп.дан."/>
      <sheetName val="База"/>
      <sheetName val="приложение№3"/>
      <sheetName val="Range_data"/>
      <sheetName val="GAAP_TB_30_09_01__detail_p&amp;l"/>
      <sheetName val="Команда и роли"/>
      <sheetName val="NPV"/>
      <sheetName val="Служебный лист"/>
      <sheetName val="1"/>
      <sheetName val="2"/>
      <sheetName val="8"/>
      <sheetName val="H"/>
      <sheetName val="4"/>
      <sheetName val="10"/>
      <sheetName val="11"/>
      <sheetName val="3"/>
      <sheetName val="5"/>
      <sheetName val="6"/>
      <sheetName val="7"/>
      <sheetName val="9"/>
      <sheetName val="1@"/>
      <sheetName val="10@"/>
      <sheetName val="2@"/>
      <sheetName val="3@"/>
      <sheetName val="4@"/>
      <sheetName val="5@"/>
      <sheetName val="6@"/>
      <sheetName val="7@"/>
      <sheetName val="8@"/>
      <sheetName val="9@"/>
      <sheetName val="План_ГЗ"/>
      <sheetName val="Master_Inputs_Start_here"/>
      <sheetName val="консалт"/>
      <sheetName val="Royalty"/>
      <sheetName val="Master roll out plan"/>
      <sheetName val="KAZAK RECO ST 99"/>
      <sheetName val=""/>
      <sheetName val="payments"/>
      <sheetName val="WW"/>
      <sheetName val="Cash flows - PBC"/>
      <sheetName val="PP&amp;E_mvt_for_20036"/>
      <sheetName val="2_2_ОтклОТМ6"/>
      <sheetName val="1_3_2_ОТМ6"/>
      <sheetName val="Cash_Flow_-_2004_Workings6"/>
      <sheetName val="7_16"/>
      <sheetName val="PP_E_mvt_for_20036"/>
      <sheetName val="yO302_14"/>
      <sheetName val="2_2_ÎòêëÎÒÌ4"/>
      <sheetName val="1_3_2_ÎÒÌ4"/>
      <sheetName val="д_7_0014"/>
      <sheetName val="Standing_data4"/>
      <sheetName val="2005_Social4"/>
      <sheetName val="US_Dollar_20034"/>
      <sheetName val="SDR_20034"/>
      <sheetName val="Cash_Flow_-_CY_Workings4"/>
      <sheetName val="Собственный_капитал4"/>
      <sheetName val="Inputs_-_general4"/>
      <sheetName val="I_KEY_INFORMATION4"/>
      <sheetName val="VI_REVENUE_OOD4"/>
      <sheetName val="IIb_P&amp;L_short4"/>
      <sheetName val="IV_REVENUE_ROOMS4"/>
      <sheetName val="IV_REVENUE__F&amp;B4"/>
      <sheetName val="Cash_CCI_Detail4"/>
      <sheetName val="Macroeconomic_Assumptions3"/>
      <sheetName val="внутр_обороты_ОАР2"/>
      <sheetName val="Инв_освоение2"/>
      <sheetName val="Инв_финас2"/>
      <sheetName val="внутр_обороты_ОПУ2"/>
      <sheetName val="внутр_обороты_БС2"/>
      <sheetName val="внутр_обороты_ДДС2"/>
      <sheetName val="Фин_дох_и_расх_2"/>
      <sheetName val="Обор_капитал2"/>
      <sheetName val="Доп_показатели2"/>
      <sheetName val="Объёмы_продаж2"/>
      <sheetName val="Запасы_готовой_продукции2"/>
      <sheetName val="Уд_себ-сть2"/>
      <sheetName val="расш_пр_в_уд_себ-сти_12_мес2"/>
      <sheetName val="расш_пр_в_ан-зе_себ-сти_12_мес2"/>
      <sheetName val="расш_пр_в_ан-зе_себ-сти_11м_к_2"/>
      <sheetName val="расш_пр_в_уд_себ-сти_к_пр_г2"/>
      <sheetName val="расш_пр_в_ОАР2"/>
      <sheetName val="Пр_опер_дох_и_расх_2"/>
      <sheetName val="расш_пр_в_расх_по_реализ_2"/>
      <sheetName val="Расх_по_реализ_2"/>
      <sheetName val="эффект_нал_ставка2"/>
      <sheetName val="Ан-з_себ-сти_12_мес2"/>
      <sheetName val="IIb_P_L_short3"/>
      <sheetName val="IV_REVENUE__F_B3"/>
      <sheetName val="БРК_12"/>
      <sheetName val="БРК_22"/>
      <sheetName val="БРК_32"/>
      <sheetName val="Произв__затраты2"/>
      <sheetName val="Threshold_Table2"/>
      <sheetName val="FA_register1"/>
      <sheetName val="Prelim_Cost1"/>
      <sheetName val="Treatment_Summary"/>
      <sheetName val="cash_product__plan"/>
      <sheetName val="GAAP_TB_30_09_01__detail_p&amp;l1"/>
      <sheetName val="_По_скв"/>
      <sheetName val="ЦХЛ_2004"/>
      <sheetName val="Read_me_first"/>
      <sheetName val="13__Проверка"/>
      <sheetName val="11__Тест_на_обесценение"/>
      <sheetName val="Range_data1"/>
      <sheetName val="PRECA_citadis"/>
      <sheetName val="Other_software_VCR"/>
      <sheetName val="M1-Main_Assu"/>
      <sheetName val="Control_Settings"/>
      <sheetName val="План_ГЗ1"/>
      <sheetName val="Master_Inputs_Start_here1"/>
      <sheetName val="доп_дан_"/>
      <sheetName val="Команда_и_роли"/>
      <sheetName val="Служебный_лист"/>
      <sheetName val="Master_roll_out_plan"/>
      <sheetName val="ремонт_25"/>
      <sheetName val="loans out"/>
      <sheetName val="18."/>
      <sheetName val="08."/>
      <sheetName val="11."/>
      <sheetName val="14."/>
      <sheetName val="15."/>
      <sheetName val="05."/>
      <sheetName val="09."/>
      <sheetName val="04."/>
      <sheetName val="19."/>
      <sheetName val="01."/>
      <sheetName val="17."/>
      <sheetName val="07."/>
      <sheetName val="06."/>
      <sheetName val="16."/>
      <sheetName val="10."/>
      <sheetName val="28."/>
      <sheetName val="13."/>
      <sheetName val="03."/>
      <sheetName val="29."/>
      <sheetName val="30."/>
      <sheetName val="31."/>
      <sheetName val="27."/>
      <sheetName val="12."/>
      <sheetName val="20."/>
      <sheetName val="24."/>
      <sheetName val="25."/>
      <sheetName val="02."/>
      <sheetName val="21."/>
      <sheetName val="26."/>
      <sheetName val="23."/>
      <sheetName val="22."/>
      <sheetName val="потр"/>
      <sheetName val="налоги"/>
      <sheetName val="Ratios, Margins &amp; Multiples"/>
      <sheetName val="PP&amp;E_mvt_for_20037"/>
      <sheetName val="2_2_ОтклОТМ7"/>
      <sheetName val="1_3_2_ОТМ7"/>
      <sheetName val="Cash_Flow_-_2004_Workings7"/>
      <sheetName val="7_17"/>
      <sheetName val="PP_E_mvt_for_20037"/>
      <sheetName val="yO302_15"/>
      <sheetName val="2_2_ÎòêëÎÒÌ5"/>
      <sheetName val="1_3_2_ÎÒÌ5"/>
      <sheetName val="д_7_0015"/>
      <sheetName val="Standing_data5"/>
      <sheetName val="2005_Social5"/>
      <sheetName val="US_Dollar_20035"/>
      <sheetName val="SDR_20035"/>
      <sheetName val="Cash_Flow_-_CY_Workings5"/>
      <sheetName val="Собственный_капитал5"/>
      <sheetName val="Inputs_-_general5"/>
      <sheetName val="I_KEY_INFORMATION5"/>
      <sheetName val="VI_REVENUE_OOD5"/>
      <sheetName val="IIb_P&amp;L_short5"/>
      <sheetName val="IV_REVENUE_ROOMS5"/>
      <sheetName val="IV_REVENUE__F&amp;B5"/>
      <sheetName val="Cash_CCI_Detail5"/>
      <sheetName val="Macroeconomic_Assumptions4"/>
      <sheetName val="внутр_обороты_ОАР3"/>
      <sheetName val="Инв_освоение3"/>
      <sheetName val="Инв_финас3"/>
      <sheetName val="внутр_обороты_ОПУ3"/>
      <sheetName val="внутр_обороты_БС3"/>
      <sheetName val="внутр_обороты_ДДС3"/>
      <sheetName val="Фин_дох_и_расх_3"/>
      <sheetName val="Обор_капитал3"/>
      <sheetName val="Доп_показатели3"/>
      <sheetName val="Объёмы_продаж3"/>
      <sheetName val="Запасы_готовой_продукции3"/>
      <sheetName val="Уд_себ-сть3"/>
      <sheetName val="расш_пр_в_уд_себ-сти_12_мес3"/>
      <sheetName val="расш_пр_в_ан-зе_себ-сти_12_мес3"/>
      <sheetName val="расш_пр_в_ан-зе_себ-сти_11м_к_3"/>
      <sheetName val="расш_пр_в_уд_себ-сти_к_пр_г3"/>
      <sheetName val="расш_пр_в_ОАР3"/>
      <sheetName val="Пр_опер_дох_и_расх_3"/>
      <sheetName val="расш_пр_в_расх_по_реализ_3"/>
      <sheetName val="Расх_по_реализ_3"/>
      <sheetName val="эффект_нал_ставка3"/>
      <sheetName val="Ан-з_себ-сти_12_мес3"/>
      <sheetName val="IIb_P_L_short4"/>
      <sheetName val="IV_REVENUE__F_B4"/>
      <sheetName val="БРК_13"/>
      <sheetName val="БРК_23"/>
      <sheetName val="БРК_33"/>
      <sheetName val="Произв__затраты3"/>
      <sheetName val="Threshold_Table3"/>
      <sheetName val="FA_register2"/>
      <sheetName val="Prelim_Cost2"/>
      <sheetName val="Treatment_Summary1"/>
      <sheetName val="cash_product__plan1"/>
      <sheetName val="GAAP_TB_30_09_01__detail_p&amp;l2"/>
      <sheetName val="_По_скв1"/>
      <sheetName val="ЦХЛ_20041"/>
      <sheetName val="Read_me_first1"/>
      <sheetName val="13__Проверка1"/>
      <sheetName val="11__Тест_на_обесценение1"/>
      <sheetName val="Range_data2"/>
      <sheetName val="PRECA_citadis1"/>
      <sheetName val="Other_software_VCR1"/>
      <sheetName val="M1-Main_Assu1"/>
      <sheetName val="Control_Settings1"/>
      <sheetName val="План_ГЗ2"/>
      <sheetName val="Master_Inputs_Start_here2"/>
      <sheetName val="доп_дан_1"/>
      <sheetName val="Команда_и_роли1"/>
      <sheetName val="Служебный_лист1"/>
      <sheetName val="Master_roll_out_plan1"/>
      <sheetName val="ремонт_251"/>
      <sheetName val="KAZAK_RECO_ST_99"/>
    </sheetNames>
    <sheetDataSet>
      <sheetData sheetId="0" refreshError="1"/>
      <sheetData sheetId="1" refreshError="1"/>
      <sheetData sheetId="2" refreshError="1"/>
      <sheetData sheetId="3" refreshError="1">
        <row r="5">
          <cell r="G5" t="str">
            <v>ДД ММММ ГГГГ</v>
          </cell>
        </row>
        <row r="6">
          <cell r="G6" t="str">
            <v>ДД ММММ ГГГГ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/>
      <sheetData sheetId="340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 refreshError="1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 refreshError="1"/>
      <sheetData sheetId="499" refreshError="1"/>
      <sheetData sheetId="500" refreshError="1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1"/>
      <sheetName val="Форма2"/>
      <sheetName val="Памятка"/>
      <sheetName val="Форма3"/>
      <sheetName val="Форма4"/>
      <sheetName val="Форма5"/>
      <sheetName val="Форма6"/>
      <sheetName val="Форма7"/>
      <sheetName val="Форма8"/>
      <sheetName val="fes"/>
      <sheetName val="Добыча нефти4"/>
      <sheetName val="definitions"/>
      <sheetName val="101"/>
      <sheetName val="поставка сравн13"/>
      <sheetName val="Sheet1"/>
      <sheetName val="form_электрон"/>
      <sheetName val="7.1"/>
      <sheetName val="Преискурант"/>
      <sheetName val="ЦентрЗатр"/>
      <sheetName val="из сем"/>
      <sheetName val="6НК-cт."/>
      <sheetName val="6 NK"/>
      <sheetName val="Info"/>
      <sheetName val="ЕдИзм"/>
      <sheetName val="Предпр"/>
      <sheetName val="1BO"/>
      <sheetName val="База"/>
      <sheetName val="Расчеты"/>
      <sheetName val="Данные"/>
      <sheetName val="CO11"/>
      <sheetName val="CO12"/>
      <sheetName val="CO13"/>
      <sheetName val="CO16"/>
      <sheetName val="CO17"/>
      <sheetName val="CO18"/>
      <sheetName val="CO19"/>
      <sheetName val="CO2"/>
      <sheetName val="CO20"/>
      <sheetName val="CO21"/>
      <sheetName val="CO22"/>
      <sheetName val="CO26"/>
      <sheetName val="CO27"/>
      <sheetName val="CO3"/>
      <sheetName val="CO30"/>
      <sheetName val="CO4"/>
      <sheetName val="CO5"/>
      <sheetName val="CO6"/>
      <sheetName val="CO7"/>
      <sheetName val="Пр 41"/>
      <sheetName val="I KEY INFORMATION"/>
      <sheetName val="PP&amp;E mvt for 2003"/>
      <sheetName val="Добыча_нефти4"/>
      <sheetName val="поставка_сравн13"/>
      <sheetName val="7_1"/>
      <sheetName val="из_сем"/>
      <sheetName val="6НК-cт_"/>
      <sheetName val="6_NK"/>
      <sheetName val="Пр_41"/>
      <sheetName val="I_KEY_INFORMATION"/>
      <sheetName val="PP&amp;E_mvt_for_2003"/>
      <sheetName val="TOC"/>
      <sheetName val="Лист1"/>
      <sheetName val="Param"/>
      <sheetName val="Ôîðìà2"/>
      <sheetName val="Plrap"/>
      <sheetName val="Plsum"/>
      <sheetName val="Pladj"/>
      <sheetName val="XLR_NoRangeSheet"/>
      <sheetName val="Gen Data"/>
      <sheetName val="Control"/>
      <sheetName val="Hidden"/>
      <sheetName val="ОТиТБ"/>
      <sheetName val="Пр2"/>
      <sheetName val="ДС МЗК"/>
      <sheetName val="Титул1"/>
      <sheetName val="ТМЗ-6"/>
      <sheetName val="Flash Report SDC(EUR)"/>
      <sheetName val="П"/>
      <sheetName val="FS-97"/>
      <sheetName val="БР"/>
      <sheetName val="SAPBEXfilters"/>
      <sheetName val="XREF"/>
      <sheetName val="Б.мчас (П)"/>
      <sheetName val="Movements"/>
      <sheetName val="Balance Sheet"/>
      <sheetName val="8180 (8181,8182)"/>
      <sheetName val="8082"/>
      <sheetName val="8250"/>
      <sheetName val="8140"/>
      <sheetName val="8070"/>
      <sheetName val="8145"/>
      <sheetName val="8200"/>
      <sheetName val="8113"/>
      <sheetName val="summary"/>
      <sheetName val="8210"/>
      <sheetName val="Собственный капитал"/>
      <sheetName val="ОТЧЕТ КТЖ 01.01.09"/>
      <sheetName val="sheet0"/>
      <sheetName val="стр.234"/>
      <sheetName val="стр.242"/>
      <sheetName val="стр.241(2)"/>
      <sheetName val="стр.950"/>
      <sheetName val="Загрузка в ХД"/>
      <sheetName val="стр.512"/>
      <sheetName val="Баланс"/>
      <sheetName val="Форма №2 руб."/>
      <sheetName val="стр.260"/>
      <sheetName val="стр.626"/>
      <sheetName val="стр.515 рос."/>
      <sheetName val="№10  КРА Прочая Реализация  "/>
      <sheetName val="№ 11 КРА Прочее Приобретение"/>
      <sheetName val="стр.232"/>
      <sheetName val="стр. 529(2)"/>
      <sheetName val="ПУ №13 ОФА"/>
      <sheetName val="№12  КРА Проценты"/>
      <sheetName val="стр.640"/>
      <sheetName val="стр.611"/>
      <sheetName val="ПУ №3 OFA"/>
      <sheetName val="ПУ №9 OFA"/>
      <sheetName val="стр.621 (1)"/>
      <sheetName val="ПУ №8 OFA"/>
      <sheetName val="ПУ №7 OFA"/>
      <sheetName val="стр.245"/>
      <sheetName val="стр.246 (1)"/>
      <sheetName val="стр.625 (1)"/>
      <sheetName val="стр.660 (2)"/>
      <sheetName val="стр.960"/>
      <sheetName val="Настройки"/>
      <sheetName val="cтр.253"/>
      <sheetName val="стр.627"/>
      <sheetName val="стр.630"/>
      <sheetName val="стр.624"/>
      <sheetName val="стр.625 (2)"/>
      <sheetName val="стр.623"/>
      <sheetName val="стр.251"/>
      <sheetName val="стр.650"/>
      <sheetName val="Выбор"/>
      <sheetName val="Master Daten"/>
      <sheetName val="Unconsol"/>
      <sheetName val="Monthly Graphs 0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мятка"/>
      <sheetName val="Форма1"/>
      <sheetName val="Форма2"/>
      <sheetName val="Форма3"/>
      <sheetName val="Форма4"/>
      <sheetName val="Форма5"/>
      <sheetName val="Форма6"/>
      <sheetName val="Форма7"/>
      <sheetName val="Форма8"/>
      <sheetName val="Содержание"/>
      <sheetName val="7.1"/>
      <sheetName val="Info"/>
      <sheetName val="7НК"/>
      <sheetName val="CO1"/>
      <sheetName val="CO11"/>
      <sheetName val="CO12"/>
      <sheetName val="CO13"/>
      <sheetName val="CO16"/>
      <sheetName val="CO17"/>
      <sheetName val="CO18"/>
      <sheetName val="CO19"/>
      <sheetName val="CO2"/>
      <sheetName val="CO20"/>
      <sheetName val="CO21"/>
      <sheetName val="CO22"/>
      <sheetName val="CO26"/>
      <sheetName val="CO27"/>
      <sheetName val="CO3"/>
      <sheetName val="CO30"/>
      <sheetName val="CO4"/>
      <sheetName val="CO5"/>
      <sheetName val="CO6"/>
      <sheetName val="CO7"/>
      <sheetName val="MACRO2.XLM"/>
      <sheetName val="U-ZR_AT1.XLS"/>
      <sheetName val="Comp06"/>
      <sheetName val="TOC"/>
      <sheetName val="ЕдИзм"/>
      <sheetName val="I KEY INFORMATION"/>
      <sheetName val="Sheet1"/>
      <sheetName val="из сем"/>
      <sheetName val="Instructions"/>
      <sheetName val="US Dollar 2003"/>
      <sheetName val="SDR 2003"/>
      <sheetName val="1NK"/>
      <sheetName val="Captions"/>
      <sheetName val="form"/>
      <sheetName val="#ССЫЛКА"/>
      <sheetName val="Пр2"/>
      <sheetName val="из_сем1"/>
      <sheetName val="US_Dollar_20031"/>
      <sheetName val="SDR_20031"/>
      <sheetName val="из_сем"/>
      <sheetName val="US_Dollar_2003"/>
      <sheetName val="SDR_2003"/>
      <sheetName val="из_сем2"/>
      <sheetName val="US_Dollar_20032"/>
      <sheetName val="SDR_20032"/>
      <sheetName val="Статьи"/>
      <sheetName val="Input"/>
      <sheetName val="Anlagevermögen"/>
      <sheetName val="Control Settings"/>
      <sheetName val="Добыча нефти4"/>
      <sheetName val="поставка сравн13"/>
      <sheetName val="Budget"/>
      <sheetName val="2.2 ОтклОТМ"/>
      <sheetName val="1.3.2 ОТМ"/>
      <sheetName val="Предпр"/>
      <sheetName val="ЦентрЗатр"/>
      <sheetName val="Cost 99v98"/>
      <sheetName val="cant sim"/>
      <sheetName val="PYTB"/>
      <sheetName val="XLR_NoRangeSheet"/>
      <sheetName val="1"/>
      <sheetName val="фот пп2000разбивка"/>
      <sheetName val="Production_Ref Q-1-3"/>
      <sheetName val="ЗАО_н.ит"/>
      <sheetName val="ЗАО_мес"/>
      <sheetName val="Aug"/>
      <sheetName val="Apr"/>
      <sheetName val="Dec"/>
      <sheetName val="Jul"/>
      <sheetName val="Jun"/>
      <sheetName val="May"/>
      <sheetName val="Mar"/>
      <sheetName val="Nov"/>
      <sheetName val="Oct"/>
      <sheetName val="Sep"/>
      <sheetName val="Feb"/>
      <sheetName val="Jan"/>
      <sheetName val="Нефть"/>
      <sheetName val="PP&amp;E mvt for 2003"/>
      <sheetName val="ЯНВАРЬ"/>
      <sheetName val="FP20DB (3)"/>
      <sheetName val="Курс валют"/>
      <sheetName val="АЗФ"/>
      <sheetName val="АК"/>
      <sheetName val="Актюбе"/>
      <sheetName val="ССГПО"/>
      <sheetName val="Другие расходы"/>
      <sheetName val="Форма 4 кап.зат-ты (2)"/>
      <sheetName val="2006 AJE RJE"/>
      <sheetName val="FES"/>
      <sheetName val="группа"/>
      <sheetName val="GAAP TB 31.12.01  detail p&amp;l"/>
      <sheetName val="КЭШ"/>
      <sheetName val="ОПиУ"/>
      <sheetName val="Лист1"/>
      <sheetName val="1БО"/>
      <sheetName val="штат"/>
      <sheetName val="КВЛ"/>
      <sheetName val="Канцтовары"/>
      <sheetName val="аренда"/>
      <sheetName val="связь"/>
      <sheetName val="реклама"/>
      <sheetName val="расхмат"/>
      <sheetName val="прочие стор"/>
      <sheetName val="услуги прочие"/>
      <sheetName val="обуч"/>
      <sheetName val="ком"/>
      <sheetName val="Выкуп порталов"/>
      <sheetName val="представ"/>
      <sheetName val="обуч (2)"/>
      <sheetName val="прочие стор (2)"/>
      <sheetName val="ком (2)"/>
      <sheetName val="КВЛ (2)"/>
      <sheetName val="СД"/>
      <sheetName val="прочие расходы"/>
      <sheetName val="шт (2)"/>
      <sheetName val="аренда (2)"/>
      <sheetName val="прогноз движения денег в ежемес"/>
      <sheetName val="ОПиУ в ежемес."/>
      <sheetName val="Баланс"/>
      <sheetName val="курсы"/>
      <sheetName val="Добыча_нефти41"/>
      <sheetName val="Добыча_нефти4"/>
      <sheetName val="Добыча_нефти42"/>
      <sheetName val="Добычанефти4"/>
      <sheetName val="поставкасравн13"/>
      <sheetName val="XREF"/>
      <sheetName val="Movements"/>
      <sheetName val="АПК реформа"/>
      <sheetName val="База"/>
      <sheetName val="Преискурант"/>
      <sheetName val="стр.245 (2)"/>
      <sheetName val="SETUP"/>
      <sheetName val="топливо"/>
      <sheetName val="Потребители"/>
      <sheetName val="Сдача "/>
      <sheetName val="МО 0012"/>
      <sheetName val="класс"/>
      <sheetName val="14.1.2.2.(Услуги связи)"/>
      <sheetName val="Осн"/>
      <sheetName val="13 NGDO"/>
      <sheetName val="  2.3.2"/>
      <sheetName val=""/>
      <sheetName val="Ввод"/>
      <sheetName val="СписокТЭП"/>
      <sheetName val="12 из 57 АЗС"/>
      <sheetName val="Авансы-1"/>
      <sheetName val="постоянные затраты"/>
      <sheetName val="Бюджет"/>
      <sheetName val="Пок"/>
      <sheetName val="почтов."/>
      <sheetName val="GTM BK"/>
      <sheetName val="Const"/>
      <sheetName val="Dep_OpEx"/>
      <sheetName val="5R"/>
      <sheetName val="Consolidator Inputs"/>
      <sheetName val="Auxilliary_Info"/>
      <sheetName val="KreПК"/>
      <sheetName val="11"/>
      <sheetName val="SMSTemp"/>
      <sheetName val="6НК-cт."/>
      <sheetName val="Interco payables&amp;receivables"/>
      <sheetName val="Налоги"/>
      <sheetName val="Б.мчас (П)"/>
      <sheetName val="IS"/>
      <sheetName val="свод"/>
      <sheetName val="calc"/>
      <sheetName val="предприятия"/>
      <sheetName val="7_1"/>
      <sheetName val="MACRO2_XLM"/>
      <sheetName val="U-ZR_AT1_XLS"/>
      <sheetName val="I_KEY_INFORMATION"/>
      <sheetName val="из_сем3"/>
      <sheetName val="US_Dollar_20033"/>
      <sheetName val="SDR_20033"/>
      <sheetName val="Control_Settings"/>
      <sheetName val="Добыча_нефти43"/>
      <sheetName val="поставка_сравн13"/>
      <sheetName val="2_2_ОтклОТМ"/>
      <sheetName val="1_3_2_ОТМ"/>
      <sheetName val="Cost_99v98"/>
      <sheetName val="cant_sim"/>
      <sheetName val="фот_пп2000разбивка"/>
      <sheetName val="Production_Ref_Q-1-3"/>
      <sheetName val="ЗАО_н_ит"/>
      <sheetName val="PP&amp;E_mvt_for_2003"/>
      <sheetName val="FP20DB_(3)"/>
      <sheetName val="Курс_валют"/>
      <sheetName val="Другие_расходы"/>
      <sheetName val="Форма_4_кап_зат-ты_(2)"/>
      <sheetName val="2006_AJE_RJE"/>
      <sheetName val="GAAP_TB_31_12_01__detail_p&amp;l"/>
      <sheetName val="прочие_стор"/>
      <sheetName val="услуги_прочие"/>
      <sheetName val="Выкуп_порталов"/>
      <sheetName val="обуч_(2)"/>
      <sheetName val="прочие_стор_(2)"/>
      <sheetName val="ком_(2)"/>
      <sheetName val="КВЛ_(2)"/>
      <sheetName val="прочие_расходы"/>
      <sheetName val="шт_(2)"/>
      <sheetName val="аренда_(2)"/>
      <sheetName val="прогноз_движения_денег_в_ежемес"/>
      <sheetName val="ОПиУ_в_ежемес_"/>
      <sheetName val="АПК_реформа"/>
      <sheetName val="стр_245_(2)"/>
      <sheetName val="Сдача_"/>
      <sheetName val="МО_0012"/>
      <sheetName val="14_1_2_2_(Услуги_связи)"/>
      <sheetName val="13_NGDO"/>
      <sheetName val="__2_3_2"/>
      <sheetName val="12_из_57_АЗС"/>
      <sheetName val="постоянные_затраты"/>
      <sheetName val="почтов_"/>
      <sheetName val="GTM_BK"/>
      <sheetName val="Consolidator_Inputs"/>
      <sheetName val="6НК-cт_"/>
      <sheetName val="Interco_payables&amp;receivables"/>
      <sheetName val="Б_мчас_(П)"/>
      <sheetName val="Трафик по АУП"/>
      <sheetName val="Трафик по ЦБПТО"/>
      <sheetName val="Трафик по ПНУ"/>
      <sheetName val="Трафик по ЖНУ"/>
      <sheetName val="Трафик по ШНУ"/>
      <sheetName val="Пр 41"/>
      <sheetName val="Russia Print Version"/>
      <sheetName val="U2 775 - COGS comparison per su"/>
      <sheetName val="finbal10"/>
      <sheetName val="12НК"/>
      <sheetName val="3НК"/>
      <sheetName val="KCC"/>
      <sheetName val="Данные"/>
      <sheetName val="П"/>
      <sheetName val="I. Прогноз доходов"/>
      <sheetName val="Financial ratios А3"/>
      <sheetName val="2_2 ОтклОТМ"/>
      <sheetName val="1_3_2 ОТМ"/>
      <sheetName val="2008 ГСМ"/>
      <sheetName val="Плата за загрязнение "/>
      <sheetName val="Типограф"/>
      <sheetName val="Собственный капитал"/>
      <sheetName val="ОборБалФормОтч"/>
      <sheetName val="ТитулЛистОтч"/>
      <sheetName val="2кв."/>
      <sheetName val="ОТиТБ"/>
      <sheetName val="Production_ref_Q4"/>
      <sheetName val="Sales-COS"/>
      <sheetName val="Non-Statistical Sampling Master"/>
      <sheetName val="Global Data"/>
      <sheetName val="A-20"/>
      <sheetName val="канц"/>
      <sheetName val="Апрель"/>
      <sheetName val="Сентябрь"/>
      <sheetName val="Декабрь"/>
      <sheetName val="Ноябрь"/>
      <sheetName val="Квартал"/>
      <sheetName val="Июль"/>
      <sheetName val="Июнь"/>
      <sheetName val="Март"/>
      <sheetName val="H3.100 Rollforward"/>
      <sheetName val="факс(2005-20гг.)"/>
      <sheetName val="Инв.вл"/>
      <sheetName val="факт 2005 г."/>
      <sheetName val="д.7.001"/>
      <sheetName val="свод грузоотпр."/>
      <sheetName val="Курс"/>
      <sheetName val="Inputs"/>
      <sheetName val="Оборудование_стоим"/>
      <sheetName val="NPV"/>
      <sheetName val="План произв-ва (мес.) (бюджет)"/>
      <sheetName val="Лист3"/>
      <sheetName val="Итоговая таблица"/>
      <sheetName val="Расчет2000Прямой"/>
      <sheetName val="Common"/>
      <sheetName val="OPEX&amp;FIN"/>
      <sheetName val="1 (2)"/>
      <sheetName val="ППД"/>
      <sheetName val="2в"/>
      <sheetName val="общ-нефт"/>
      <sheetName val="Hidden"/>
      <sheetName val="ОТЧЕТ КТЖ 01.01.09"/>
      <sheetName val="8180 (8181,8182)"/>
      <sheetName val="8082"/>
      <sheetName val="8250"/>
      <sheetName val="8140"/>
      <sheetName val="8070"/>
      <sheetName val="8145"/>
      <sheetName val="8200"/>
      <sheetName val="8113"/>
      <sheetName val="8210"/>
      <sheetName val="Balance Sheet"/>
      <sheetName val="summary"/>
      <sheetName val="Datasheet"/>
      <sheetName val="1 вариант  2009 "/>
      <sheetName val="Лист2"/>
      <sheetName val="Список документов"/>
      <sheetName val="GAAP TB 30.09.01  detail p&amp;l"/>
      <sheetName val="18."/>
      <sheetName val="08."/>
      <sheetName val="11."/>
      <sheetName val="14."/>
      <sheetName val="15."/>
      <sheetName val="05."/>
      <sheetName val="09."/>
      <sheetName val="04."/>
      <sheetName val="19."/>
      <sheetName val="01."/>
      <sheetName val="17."/>
      <sheetName val="07."/>
      <sheetName val="06."/>
      <sheetName val="16."/>
      <sheetName val="10."/>
      <sheetName val="28."/>
      <sheetName val="13."/>
      <sheetName val="03."/>
      <sheetName val="29."/>
      <sheetName val="30."/>
      <sheetName val="31."/>
      <sheetName val="27."/>
      <sheetName val="12."/>
      <sheetName val="20."/>
      <sheetName val="24."/>
      <sheetName val="25."/>
      <sheetName val="02."/>
      <sheetName val="21."/>
      <sheetName val="26."/>
      <sheetName val="23."/>
      <sheetName val="22."/>
      <sheetName val="altai income statement"/>
      <sheetName val="O.500 Property Tax"/>
      <sheetName val="Cashflow"/>
      <sheetName val="форма 3 смета затрат"/>
      <sheetName val="Подразделения"/>
      <sheetName val="Проекты"/>
      <sheetName val="Сотрудники"/>
      <sheetName val="прил№10"/>
      <sheetName val="2008_ГСМ"/>
      <sheetName val="Плата_за_загрязнение_"/>
      <sheetName val="факс(2005-20гг_)"/>
      <sheetName val="Гр5(о)"/>
      <sheetName val="Макро"/>
      <sheetName val="$ IS"/>
      <sheetName val="7"/>
      <sheetName val="10"/>
      <sheetName val="УПРАВЛЕНИЕ11"/>
      <sheetName val="Авансы_уплач,деньги в регионах"/>
      <sheetName val="Авансы_уплач,деньги в регионах,"/>
      <sheetName val="d_pok"/>
      <sheetName val="б"/>
      <sheetName val="PLтв - Б"/>
      <sheetName val="Спр. раб."/>
      <sheetName val="ДД"/>
      <sheetName val="ATI"/>
      <sheetName val="Блоки"/>
      <sheetName val="_ССЫЛКА"/>
      <sheetName val="Справочник"/>
      <sheetName val="ГСМ Гараж"/>
      <sheetName val="ГСМ по инвест"/>
      <sheetName val="аморт"/>
      <sheetName val="Запчасти Гараж"/>
      <sheetName val="Стор Орг.РМУ"/>
      <sheetName val="Материалы РМУ"/>
      <sheetName val="Постановка на учет авто"/>
      <sheetName val="Размножение проектов"/>
      <sheetName val="материалы ВДГО"/>
      <sheetName val="Тех осмотр"/>
      <sheetName val="Проект 1"/>
      <sheetName val="Объем ВДГО"/>
      <sheetName val="Фин.обязат."/>
      <sheetName val="спецпит,проездн."/>
      <sheetName val="Бюджет тек. затрат"/>
      <sheetName val="коммун."/>
      <sheetName val="K-800 Imp. test"/>
      <sheetName val="FA register"/>
      <sheetName val="Пр_41"/>
      <sheetName val="Russia_Print_Version"/>
      <sheetName val="U2_775_-_COGS_comparison_per_su"/>
      <sheetName val="I__Прогноз_доходов"/>
      <sheetName val="Financial_ratios_А3"/>
      <sheetName val="2_2_ОтклОТМ1"/>
      <sheetName val="1_3_2_ОТМ1"/>
      <sheetName val="Собственный_капитал"/>
      <sheetName val="2кв_"/>
      <sheetName val="Non-Statistical_Sampling_Master"/>
      <sheetName val="Global_Data"/>
      <sheetName val="H3_100_Rollforward"/>
      <sheetName val="План_произв-ва_(мес_)_(бюджет)"/>
      <sheetName val="Инв_вл"/>
      <sheetName val="факт_2005_г_"/>
      <sheetName val="д_7_001"/>
      <sheetName val="свод_грузоотпр_"/>
      <sheetName val="Итоговая_таблица"/>
      <sheetName val="Securities"/>
      <sheetName val="Capex"/>
      <sheetName val="Kolommen_balans"/>
      <sheetName val="SA Procedures"/>
      <sheetName val="ГМ "/>
      <sheetName val="-расчет налогов от ФОТ  на 2014"/>
      <sheetName val="Analytics"/>
      <sheetName val="FA Movement Kyrg"/>
      <sheetName val="Reference"/>
      <sheetName val="перевозки"/>
      <sheetName val="9"/>
      <sheetName val="L-1"/>
      <sheetName val="ввод-вывод ОС авг2004- 2005"/>
      <sheetName val="Форма3.6"/>
      <sheetName val="Graph"/>
      <sheetName val="Pbs_Wbs_ATC"/>
      <sheetName val="FA Movement "/>
      <sheetName val="depreciation testing"/>
      <sheetName val="misc"/>
      <sheetName val="6 NK"/>
      <sheetName val="1кв. "/>
      <sheetName val="замер"/>
      <sheetName val="78"/>
      <sheetName val="PM-TE"/>
      <sheetName val="Test"/>
      <sheetName val="Keys"/>
      <sheetName val="Precios"/>
      <sheetName val="Settings"/>
      <sheetName val="7_11"/>
      <sheetName val="MACRO2_XLM1"/>
      <sheetName val="U-ZR_AT1_XLS1"/>
      <sheetName val="I_KEY_INFORMATION1"/>
      <sheetName val="из_сем4"/>
      <sheetName val="US_Dollar_20034"/>
      <sheetName val="SDR_20034"/>
      <sheetName val="Control_Settings1"/>
      <sheetName val="Добыча_нефти44"/>
      <sheetName val="поставка_сравн131"/>
      <sheetName val="Cost_99v981"/>
      <sheetName val="cant_sim1"/>
      <sheetName val="фот_пп2000разбивка1"/>
      <sheetName val="Production_Ref_Q-1-31"/>
      <sheetName val="ЗАО_н_ит1"/>
      <sheetName val="PP&amp;E_mvt_for_20031"/>
      <sheetName val="FP20DB_(3)1"/>
      <sheetName val="Курс_валют1"/>
      <sheetName val="Другие_расходы1"/>
      <sheetName val="Форма_4_кап_зат-ты_(2)1"/>
      <sheetName val="2006_AJE_RJE1"/>
      <sheetName val="GAAP_TB_31_12_01__detail_p&amp;l1"/>
      <sheetName val="прочие_стор1"/>
      <sheetName val="услуги_прочие1"/>
      <sheetName val="Выкуп_порталов1"/>
      <sheetName val="обуч_(2)1"/>
      <sheetName val="прочие_стор_(2)1"/>
      <sheetName val="ком_(2)1"/>
      <sheetName val="КВЛ_(2)1"/>
      <sheetName val="прочие_расходы1"/>
      <sheetName val="шт_(2)1"/>
      <sheetName val="аренда_(2)1"/>
      <sheetName val="прогноз_движения_денег_в_ежеме1"/>
      <sheetName val="ОПиУ_в_ежемес_1"/>
      <sheetName val="АПК_реформа1"/>
      <sheetName val="стр_245_(2)1"/>
      <sheetName val="Сдача_1"/>
      <sheetName val="МО_00121"/>
      <sheetName val="14_1_2_2_(Услуги_связи)1"/>
      <sheetName val="13_NGDO1"/>
      <sheetName val="__2_3_21"/>
      <sheetName val="12_из_57_АЗС1"/>
      <sheetName val="постоянные_затраты1"/>
      <sheetName val="почтов_1"/>
      <sheetName val="GTM_BK1"/>
      <sheetName val="Consolidator_Inputs1"/>
      <sheetName val="6НК-cт_1"/>
      <sheetName val="Interco_payables&amp;receivables1"/>
      <sheetName val="Б_мчас_(П)1"/>
      <sheetName val="2_2_ОтклОТМ2"/>
      <sheetName val="1_3_2_ОТМ2"/>
      <sheetName val="Трафик_по_АУП"/>
      <sheetName val="Трафик_по_ЦБПТО"/>
      <sheetName val="Трафик_по_ПНУ"/>
      <sheetName val="Трафик_по_ЖНУ"/>
      <sheetName val="Трафик_по_ШНУ"/>
      <sheetName val="1_(2)"/>
      <sheetName val="ОТЧЕТ_КТЖ_01_01_09"/>
      <sheetName val="8180_(8181,8182)"/>
      <sheetName val="Balance_Sheet"/>
      <sheetName val="1_вариант__2009_"/>
      <sheetName val="Список_документов"/>
      <sheetName val="GAAP_TB_30_09_01__detail_p&amp;l"/>
      <sheetName val="18_"/>
      <sheetName val="08_"/>
      <sheetName val="11_"/>
      <sheetName val="14_"/>
      <sheetName val="15_"/>
      <sheetName val="05_"/>
      <sheetName val="09_"/>
      <sheetName val="04_"/>
      <sheetName val="19_"/>
      <sheetName val="01_"/>
      <sheetName val="17_"/>
      <sheetName val="07_"/>
      <sheetName val="06_"/>
      <sheetName val="16_"/>
      <sheetName val="10_"/>
      <sheetName val="28_"/>
      <sheetName val="13_"/>
      <sheetName val="03_"/>
      <sheetName val="29_"/>
      <sheetName val="30_"/>
      <sheetName val="31_"/>
      <sheetName val="27_"/>
      <sheetName val="12_"/>
      <sheetName val="20_"/>
      <sheetName val="24_"/>
      <sheetName val="25_"/>
      <sheetName val="02_"/>
      <sheetName val="21_"/>
      <sheetName val="26_"/>
      <sheetName val="23_"/>
      <sheetName val="22_"/>
      <sheetName val="altai_income_statement"/>
      <sheetName val="2008_ГСМ1"/>
      <sheetName val="Плата_за_загрязнение_1"/>
      <sheetName val="факс(2005-20гг_)1"/>
      <sheetName val="O_500_Property_Tax"/>
      <sheetName val="форма_3_смета_затрат"/>
      <sheetName val="$_IS"/>
      <sheetName val="Авансы_уплач,деньги_в_регионах"/>
      <sheetName val="Авансы_уплач,деньги_в_регионах,"/>
      <sheetName val="PLтв_-_Б"/>
      <sheetName val="Спр__раб_"/>
      <sheetName val="ГСМ_Гараж"/>
      <sheetName val="ГСМ_по_инвест"/>
      <sheetName val="Запчасти_Гараж"/>
      <sheetName val="Стор_Орг_РМУ"/>
      <sheetName val="Материалы_РМУ"/>
      <sheetName val="Постановка_на_учет_авто"/>
      <sheetName val="Размножение_проектов"/>
      <sheetName val="материалы_ВДГО"/>
      <sheetName val="Тех_осмотр"/>
      <sheetName val="Проект_1"/>
      <sheetName val="Объем_ВДГО"/>
      <sheetName val="Фин_обязат_"/>
      <sheetName val="спецпит,проездн_"/>
      <sheetName val="коммун_"/>
      <sheetName val="Бюджет_тек__затрат"/>
      <sheetName val="K-800_Imp__test"/>
      <sheetName val="FA_register"/>
      <sheetName val="не_удалять!"/>
      <sheetName val="Disclosure"/>
      <sheetName val="4"/>
      <sheetName val="Служебный ФКРБ"/>
      <sheetName val="Источник финансирования"/>
      <sheetName val="Способ закупки"/>
      <sheetName val="Тип пункта плана"/>
      <sheetName val="Movement"/>
      <sheetName val="заявка_на_произ"/>
      <sheetName val="Additions_Disposals"/>
      <sheetName val="Пр_411"/>
      <sheetName val="Russia_Print_Version1"/>
      <sheetName val="U2_775_-_COGS_comparison_per_s1"/>
      <sheetName val="I__Прогноз_доходов1"/>
      <sheetName val="Financial_ratios_А31"/>
      <sheetName val="2_2_ОтклОТМ3"/>
      <sheetName val="1_3_2_ОТМ3"/>
      <sheetName val="Собственный_капитал1"/>
      <sheetName val="2кв_1"/>
      <sheetName val="Non-Statistical_Sampling_Maste1"/>
      <sheetName val="Global_Data1"/>
      <sheetName val="H3_100_Rollforward1"/>
      <sheetName val="План_произв-ва_(мес_)_(бюджет)1"/>
      <sheetName val="Инв_вл1"/>
      <sheetName val="факт_2005_г_1"/>
      <sheetName val="д_7_0011"/>
      <sheetName val="свод_грузоотпр_1"/>
      <sheetName val="Итоговая_таблица1"/>
      <sheetName val="SA_Procedures"/>
      <sheetName val="ГМ_"/>
      <sheetName val="-расчет_налогов_от_ФОТ__на_2014"/>
      <sheetName val="FA_Movement_Kyrg"/>
      <sheetName val="ввод-вывод_ОС_авг2004-_2005"/>
      <sheetName val="Форма3_6"/>
      <sheetName val="FA_Movement_"/>
      <sheetName val="depreciation_testing"/>
      <sheetName val="16.12"/>
      <sheetName val="5"/>
      <sheetName val="4b - P&amp;L ProductLine"/>
      <sheetName val="4a - Revenue ProductLine"/>
      <sheetName val="5a - Orders analysis"/>
      <sheetName val="8 - Receivables"/>
      <sheetName val="D1 - Balances input"/>
      <sheetName val="D3 - DBmagn"/>
      <sheetName val="MetaData"/>
      <sheetName val="ЛСЦ начисленное на 31.12.08"/>
      <sheetName val="ЛЛизинг начис. на 31.12.08"/>
      <sheetName val="ВОЛС"/>
      <sheetName val="исп.см."/>
      <sheetName val="L&amp;E"/>
      <sheetName val="Cash flows - PBC"/>
      <sheetName val="Assumptions"/>
      <sheetName val="эксп"/>
      <sheetName val="1кв__"/>
      <sheetName val="2БО"/>
      <sheetName val="6_NK"/>
      <sheetName val="Все ТЭП"/>
      <sheetName val="1БК"/>
      <sheetName val="Ôîðìà2"/>
      <sheetName val="Ïàìÿòêà"/>
      <sheetName val="Ôîðìà1"/>
      <sheetName val="Ôîðìà3"/>
      <sheetName val="Ôîðìà4"/>
      <sheetName val="Ôîðìà5"/>
      <sheetName val="Ôîðìà6"/>
      <sheetName val="Ôîðìà7"/>
      <sheetName val="Ôîðìà8"/>
      <sheetName val="èç ñåì"/>
      <sheetName val="Ïð2"/>
      <sheetName val="ÅäÈçì"/>
      <sheetName val="Ïðåäïð"/>
      <sheetName val="ТД РАП"/>
      <sheetName val="7_12"/>
      <sheetName val="MACRO2_XLM2"/>
      <sheetName val="U-ZR_AT1_XLS2"/>
      <sheetName val="из_сем5"/>
      <sheetName val="US_Dollar_20035"/>
      <sheetName val="SDR_20035"/>
      <sheetName val="Control_Settings2"/>
      <sheetName val="Добыча_нефти45"/>
      <sheetName val="поставка_сравн132"/>
      <sheetName val="Cost_99v982"/>
      <sheetName val="cant_sim2"/>
      <sheetName val="фот_пп2000разбивка2"/>
      <sheetName val="Production_Ref_Q-1-32"/>
      <sheetName val="ЗАО_н_ит2"/>
      <sheetName val="PP&amp;E_mvt_for_20032"/>
      <sheetName val="FP20DB_(3)2"/>
      <sheetName val="Курс_валют2"/>
      <sheetName val="Другие_расходы2"/>
      <sheetName val="Форма_4_кап_зат-ты_(2)2"/>
      <sheetName val="2006_AJE_RJE2"/>
      <sheetName val="GAAP_TB_31_12_01__detail_p&amp;l2"/>
      <sheetName val="прочие_стор2"/>
      <sheetName val="услуги_прочие2"/>
      <sheetName val="Выкуп_порталов2"/>
      <sheetName val="обуч_(2)2"/>
      <sheetName val="прочие_стор_(2)2"/>
      <sheetName val="ком_(2)2"/>
      <sheetName val="КВЛ_(2)2"/>
      <sheetName val="прочие_расходы2"/>
      <sheetName val="шт_(2)2"/>
      <sheetName val="аренда_(2)2"/>
      <sheetName val="прогноз_движения_денег_в_ежеме2"/>
      <sheetName val="ОПиУ_в_ежемес_2"/>
      <sheetName val="АПК_реформа2"/>
      <sheetName val="стр_245_(2)2"/>
      <sheetName val="Сдача_2"/>
      <sheetName val="МО_00122"/>
      <sheetName val="14_1_2_2_(Услуги_связи)2"/>
      <sheetName val="13_NGDO2"/>
      <sheetName val="__2_3_22"/>
      <sheetName val="12_из_57_АЗС2"/>
      <sheetName val="постоянные_затраты2"/>
      <sheetName val="I_KEY_INFORMATION2"/>
      <sheetName val="почтов_2"/>
      <sheetName val="GTM_BK2"/>
      <sheetName val="Consolidator_Inputs2"/>
      <sheetName val="6НК-cт_2"/>
      <sheetName val="Interco_payables&amp;receivables2"/>
      <sheetName val="Б_мчас_(П)2"/>
      <sheetName val="Трафик_по_АУП1"/>
      <sheetName val="Трафик_по_ЦБПТО1"/>
      <sheetName val="Трафик_по_ПНУ1"/>
      <sheetName val="Трафик_по_ЖНУ1"/>
      <sheetName val="Трафик_по_ШНУ1"/>
      <sheetName val="2_2_ОтклОТМ4"/>
      <sheetName val="1_3_2_ОТМ4"/>
      <sheetName val="1_(2)1"/>
      <sheetName val="ОТЧЕТ_КТЖ_01_01_091"/>
      <sheetName val="8180_(8181,8182)1"/>
      <sheetName val="Balance_Sheet1"/>
      <sheetName val="1_вариант__2009_1"/>
      <sheetName val="Список_документов1"/>
      <sheetName val="GAAP_TB_30_09_01__detail_p&amp;l1"/>
      <sheetName val="18_1"/>
      <sheetName val="08_1"/>
      <sheetName val="11_1"/>
      <sheetName val="14_1"/>
      <sheetName val="15_1"/>
      <sheetName val="05_1"/>
      <sheetName val="09_1"/>
      <sheetName val="Profiles"/>
      <sheetName val="Wells"/>
      <sheetName val="fish"/>
      <sheetName val="Пр_412"/>
      <sheetName val="Russia_Print_Version2"/>
      <sheetName val="U2_775_-_COGS_comparison_per_s2"/>
      <sheetName val="I__Прогноз_доходов2"/>
      <sheetName val="Financial_ratios_А32"/>
      <sheetName val="2_2_ОтклОТМ5"/>
      <sheetName val="1_3_2_ОТМ5"/>
      <sheetName val="2008_ГСМ2"/>
      <sheetName val="Плата_за_загрязнение_2"/>
      <sheetName val="Собственный_капитал2"/>
      <sheetName val="2кв_2"/>
      <sheetName val="Non-Statistical_Sampling_Maste2"/>
      <sheetName val="Global_Data2"/>
      <sheetName val="H3_100_Rollforward2"/>
      <sheetName val="План_произв-ва_(мес_)_(бюджет)2"/>
      <sheetName val="Инв_вл2"/>
      <sheetName val="факт_2005_г_2"/>
      <sheetName val="д_7_0012"/>
      <sheetName val="свод_грузоотпр_2"/>
      <sheetName val="Итоговая_таблица2"/>
      <sheetName val="факс(2005-20гг_)2"/>
      <sheetName val="O_500_Property_Tax1"/>
      <sheetName val="SA_Procedures1"/>
      <sheetName val="ГМ_1"/>
      <sheetName val="ГСМ_Гараж1"/>
      <sheetName val="ГСМ_по_инвест1"/>
      <sheetName val="Запчасти_Гараж1"/>
      <sheetName val="Стор_Орг_РМУ1"/>
      <sheetName val="Материалы_РМУ1"/>
      <sheetName val="Постановка_на_учет_авто1"/>
      <sheetName val="Размножение_проектов1"/>
      <sheetName val="материалы_ВДГО1"/>
      <sheetName val="Тех_осмотр1"/>
      <sheetName val="Проект_11"/>
      <sheetName val="Объем_ВДГО1"/>
      <sheetName val="Фин_обязат_1"/>
      <sheetName val="спецпит,проездн_1"/>
      <sheetName val="-расчет_налогов_от_ФОТ__на_2011"/>
      <sheetName val="FA_Movement_Kyrg1"/>
      <sheetName val="ввод-вывод_ОС_авг2004-_20051"/>
      <sheetName val="Форма3_61"/>
      <sheetName val="FA_Movement_1"/>
      <sheetName val="depreciation_testing1"/>
      <sheetName val="форма_3_смета_затрат1"/>
      <sheetName val="$_IS1"/>
      <sheetName val="Авансы_уплач,деньги_в_регионах1"/>
      <sheetName val="Авансы_уплач,деньги_в_регионах2"/>
      <sheetName val="PLтв_-_Б1"/>
      <sheetName val="Спр__раб_1"/>
      <sheetName val="K-800_Imp__test1"/>
      <sheetName val="FA_register1"/>
      <sheetName val="Бюджет_тек__затрат1"/>
      <sheetName val="16_12"/>
      <sheetName val="4b_-_P&amp;L_ProductLine"/>
      <sheetName val="4a_-_Revenue_ProductLine"/>
      <sheetName val="5a_-_Orders_analysis"/>
      <sheetName val="8_-_Receivables"/>
      <sheetName val="D1_-_Balances_input"/>
      <sheetName val="D3_-_DBmagn"/>
      <sheetName val="ЛСЦ_начисленное_на_31_12_08"/>
      <sheetName val="ЛЛизинг_начис__на_31_12_08"/>
      <sheetName val="исп_см_"/>
      <sheetName val="Служебный_ФКРБ"/>
      <sheetName val="Источник_финансирования"/>
      <sheetName val="Способ_закупки"/>
      <sheetName val="Тип_пункта_плана"/>
      <sheetName val="Cash_flows_-_PBC"/>
      <sheetName val="коммун_1"/>
      <sheetName val="ТД_РАП"/>
      <sheetName val="Служебный ФК_x0005__x0000_"/>
      <sheetName val="6НК簀⽕쐀⽕"/>
      <sheetName val="Loaded"/>
      <sheetName val="InputTI"/>
      <sheetName val="6НКԯ_x0000_缀_x0000_"/>
      <sheetName val="Служебный ФК_x0000__x0000_"/>
      <sheetName val="6НК0_x0000_堀-"/>
      <sheetName val="6НК0_x0000_瀀"/>
      <sheetName val="6НК0_x0000_"/>
      <sheetName val="6НК0_x0000_　Y"/>
      <sheetName val="Служебный ФК恔_x001c_"/>
      <sheetName val="Служебный ФК皸ɫ"/>
      <sheetName val="Служебный ФК_x0017_"/>
      <sheetName val="Служебный ФК_xdd10__x001f_"/>
      <sheetName val="Служебный ФК悄,"/>
      <sheetName val="6НК_x0007__x001c__x0009__x000d_"/>
      <sheetName val="_x0000__x000e__x0000__x000a__x0000__x0008__x0000__x000a__x0000__x000b__x0000__x0010__x0000__x0007_"/>
      <sheetName val="6НК_x0007__x001c_ _x000d_"/>
      <sheetName val="Служебный ФК_xdd90__x0012_"/>
      <sheetName val="Служебный ФК峔("/>
      <sheetName val="Служебный_ФК"/>
      <sheetName val="Служебный ФК厈-"/>
      <sheetName val="Служебный ФК⽄"/>
      <sheetName val="Служебный ФК⽬"/>
      <sheetName val="Служебный ФК嵔 "/>
      <sheetName val="Служебный ФК『"/>
      <sheetName val="Служебный ФК⿯"/>
      <sheetName val="Служебный ФКૐǪ"/>
      <sheetName val="Служебный ФК　"/>
      <sheetName val="6НК/_x0000_쀀"/>
      <sheetName val="6НК/_x0000_栀)"/>
      <sheetName val="6НК/_x0000_瀀à"/>
      <sheetName val="6НК/_x0000_⠀´"/>
      <sheetName val="6НК/_x0000_ࠀµ"/>
      <sheetName val="6НК/_x0000_쀀Ø"/>
      <sheetName val="доп_дан_"/>
      <sheetName val="доп.дан."/>
      <sheetName val="PIT&amp;PP(2)"/>
      <sheetName val="Links"/>
      <sheetName val="Production_analysis"/>
      <sheetName val="Исх.данные"/>
      <sheetName val="распределение модели"/>
      <sheetName val="цеховые"/>
      <sheetName val="без НДС"/>
      <sheetName val="Затраты утил.ТБО"/>
      <sheetName val="ВСДС_1 (MAIN)"/>
      <sheetName val="тиме"/>
      <sheetName val="Input_Assumptions"/>
      <sheetName val="Технический"/>
      <sheetName val="6НК/_x0000_蠀"/>
      <sheetName val="6НК/_x0000_ü"/>
      <sheetName val="6НК/_x0000_£"/>
      <sheetName val="6НК/_x0000_蠀_x0008_"/>
      <sheetName val="6НК/_x0000_頀K"/>
      <sheetName val="ноябрь - декабрь"/>
      <sheetName val="Summary &amp; Variables"/>
      <sheetName val="Индексы"/>
      <sheetName val="Служебный ФК_x0005_"/>
      <sheetName val="6НКԯ"/>
      <sheetName val="Служебный ФК"/>
      <sheetName val="6НК0"/>
      <sheetName val="Служебный ФК_x001f_"/>
      <sheetName val="Служебный ФК_x0012_"/>
      <sheetName val="6НК/_x0000__xd800_¹"/>
      <sheetName val="Админ и ОPEX 2010-12гг"/>
      <sheetName val="14_1_2_2__Услуги связи_"/>
      <sheetName val="Общие данные"/>
      <sheetName val="breakdown"/>
      <sheetName val="P&amp;L"/>
      <sheetName val="Provisions"/>
      <sheetName val="FA depreciation"/>
      <sheetName val="N"/>
      <sheetName val="бартер"/>
      <sheetName val="ПАРАМ"/>
      <sheetName val="6НК퐀ᵝഀ놃"/>
      <sheetName val=" По скв"/>
      <sheetName val="канат.прод."/>
      <sheetName val="канат_прод_"/>
      <sheetName val="ноябрь_-_декабрь"/>
      <sheetName val="Ф3"/>
      <sheetName val="4НК"/>
      <sheetName val="Resource Sheet"/>
      <sheetName val="Main Sheet"/>
      <sheetName val="153541"/>
      <sheetName val="[form.xls]6НК/_x0000_쀀Ø"/>
      <sheetName val="[form.xls]6НК/_x0000_쀀"/>
      <sheetName val="[form.xls]6НК/_x0000_栀)"/>
      <sheetName val="[form.xls]6НК/_x0000_瀀à"/>
      <sheetName val="[form.xls]6НК/_x0000_⠀´"/>
      <sheetName val="[form.xls]6НК/_x0000_ࠀµ"/>
      <sheetName val="[form.xls]6НК/_x0000_蠀"/>
      <sheetName val="[form.xls]6НК/_x0000_ü"/>
      <sheetName val="[form.xls]6НК/_x0000_£"/>
      <sheetName val="[form.xls]6НК/_x0000_蠀_x0008_"/>
      <sheetName val="[form.xls]6НК/_x0000_頀K"/>
      <sheetName val="Программа(М)"/>
      <sheetName val="[form.xls][form.xls]6НК/_x0000_쀀"/>
      <sheetName val="[form.xls][form.xls]6НК/_x0000_栀)"/>
      <sheetName val="[form.xls][form.xls]6НК/_x0000_瀀à"/>
      <sheetName val="[form.xls][form.xls]6НК/_x0000_⠀´"/>
      <sheetName val="[form.xls][form.xls]6НК/_x0000_ࠀµ"/>
      <sheetName val="[form.xls][form.xls]6НК/_x0000_쀀Ø"/>
      <sheetName val="[form.xls]6НК/_x0000__xd800_¹"/>
      <sheetName val="6НК≟ഀﲃ"/>
      <sheetName val="[form.xls][form.xls]6НК/_x0000_蠀"/>
      <sheetName val="[form.xls][form.xls]6НК/_x0000_ü"/>
      <sheetName val="[form.xls][form.xls]6НК/_x0000_£"/>
      <sheetName val="[form.xls][form.xls]6НК/_x0000_蠀_x0008_"/>
      <sheetName val="[form.xls][form.xls]6НК/_x0000_頀K"/>
      <sheetName val="6НК/_x0000_렀£"/>
      <sheetName val="6НК/_x0000_�¹"/>
      <sheetName val="полугодие"/>
      <sheetName val="Вып.П.П."/>
      <sheetName val="кварталы"/>
      <sheetName val="план"/>
      <sheetName val="Россия-экспорт"/>
      <sheetName val="[form.xls][form.xls]6НК/_x0000__xd800_¹"/>
      <sheetName val="[form.xls]6НК/_x0000_렀£"/>
      <sheetName val="План_произв-в_x0006__x000c__x0007__x000f__x0010__x0011__x0007__x0007_贰΢ǅ_x0000_Ā_x0000__x0000__x0000__x0000_"/>
      <sheetName val="КР з.ч"/>
      <sheetName val="БРК УЖ"/>
      <sheetName val="БРК ЮКО свод"/>
      <sheetName val="Сбер 1450"/>
      <sheetName val="Сбер 1300"/>
      <sheetName val="Сбер 2500"/>
      <sheetName val="Сбер 3750"/>
      <sheetName val="Служебный ФК悤_x001d_"/>
      <sheetName val="Служебный ФК?_x001f_"/>
      <sheetName val="Служебный ФК?_x0012_"/>
      <sheetName val="6НК/"/>
      <sheetName val="[form.xls]6НК/"/>
      <sheetName val="[form.xls][form.xls]6НК/"/>
      <sheetName val="CD-실적"/>
      <sheetName val="6НК吀ᥢഀ榃"/>
      <sheetName val="Project Detail Inputs"/>
      <sheetName val="[form.xls]6НК/_x0000_�¹"/>
      <sheetName val="[form.xls][form.xls]6НК/_x0000_�¹"/>
      <sheetName val="Test of FA Installation"/>
      <sheetName val="Additions"/>
      <sheetName val="Пром1"/>
      <sheetName val="Ural med"/>
      <sheetName val="НДПИ"/>
      <sheetName val="CONB001A_010_30"/>
      <sheetName val="Store"/>
      <sheetName val="КС 2018"/>
      <sheetName val="Все виды материалов D`1-18"/>
      <sheetName val="фот_пп2000разби㑠ു੶⿖"/>
      <sheetName val="фот_пп2000разби골ೡ੶⽢"/>
      <sheetName val="LTM"/>
      <sheetName val="CREDIT STATS"/>
      <sheetName val="DropZone"/>
      <sheetName val="Analitics"/>
      <sheetName val="Расчет объема СУИБ"/>
      <sheetName val="Энергия"/>
      <sheetName val="FS-97"/>
      <sheetName val="всп"/>
      <sheetName val="Staff"/>
      <sheetName val="Lists"/>
      <sheetName val="Коэфф"/>
      <sheetName val="98-02E&amp;PSUM"/>
      <sheetName val="Input TI"/>
      <sheetName val="3.ФОТ"/>
      <sheetName val="4.Налоги"/>
      <sheetName val="План_произв-в_x0006__x000c__x0007__x000f__x0010__x0011__x0007__x0007_贰΢ǅ"/>
      <sheetName val="b-4"/>
      <sheetName val="Product Assumptions"/>
      <sheetName val="ConsumptionPerUnit"/>
      <sheetName val="14.1.8.11.(Прочие)"/>
      <sheetName val="Залоги c RS"/>
      <sheetName val="Исх"/>
      <sheetName val="WBS98"/>
      <sheetName val="Служебный ФК _x0000_"/>
      <sheetName val="Служебный ФК "/>
      <sheetName val="Chart_data"/>
      <sheetName val="01-45"/>
      <sheetName val="Sheet3"/>
      <sheetName val="14"/>
      <sheetName val="ОПГЗ"/>
      <sheetName val="План ГЗ"/>
      <sheetName val="Вид предмета"/>
      <sheetName val="Год"/>
      <sheetName val="Месяцы"/>
      <sheetName val="ЭКРБ"/>
      <sheetName val="Фонд"/>
      <sheetName val="Конс "/>
      <sheetName val="6НК쌊 /"/>
      <sheetName val="Конфигурация МАКРО"/>
      <sheetName val="ожид ФОТ_2010_форма1"/>
      <sheetName val="свод ФОТ"/>
      <sheetName val="Актив(1)"/>
      <sheetName val="6НК  _x0009__x000d_"/>
      <sheetName val="Служебный ФК恔 "/>
      <sheetName val="Служебный ФК "/>
      <sheetName val="Служебный ФК  "/>
      <sheetName val="6НК   _x000d_"/>
      <sheetName val="Индексы перероценки"/>
      <sheetName val="Управление"/>
      <sheetName val="input_data"/>
      <sheetName val="Финбюджет свод "/>
      <sheetName val="MS"/>
      <sheetName val="ïîñòàâêà ñðàâí13"/>
      <sheetName val="[form.xls][form.xls]6НК/_x0000_렀£"/>
      <sheetName val="6НК쌊 /_x0000_"/>
      <sheetName val="показатели"/>
      <sheetName val="3.3.31."/>
      <sheetName val="TMP"/>
      <sheetName val="_x0000_ _x0000__x000a__x0000_ _x0000__x000a__x0000_ _x0000_ _x0000_ "/>
      <sheetName val="6НК/_x0000_蠀 "/>
      <sheetName val="[form.xls]6НК/_x0000_蠀 "/>
      <sheetName val="6НК/_x0000_ ¹"/>
      <sheetName val="[form.xls][form.xls]6НК/_x0000_蠀 "/>
      <sheetName val="6НК/_x0000_ó"/>
      <sheetName val="расчет премии за 4 кв_12г"/>
      <sheetName val="ФОТ_2013 (2)"/>
      <sheetName val="Ком услуги аренды"/>
      <sheetName val="СВОД по НД расх"/>
      <sheetName val="Свод Мат по Тр 2012"/>
      <sheetName val="февраль"/>
      <sheetName val="VI REVENUE OOD"/>
      <sheetName val="IIb P&amp;L short"/>
      <sheetName val="IV REVENUE ROOMS"/>
      <sheetName val="IV REVENUE  F&amp;B"/>
      <sheetName val="год(отг)"/>
      <sheetName val="год(опл)"/>
      <sheetName val="бланк"/>
      <sheetName val="Лист4"/>
      <sheetName val="Лист7"/>
      <sheetName val="Лист8"/>
      <sheetName val="Лист9"/>
      <sheetName val="Лист10"/>
      <sheetName val="Лист11"/>
      <sheetName val="Лист12"/>
      <sheetName val="Лист13"/>
      <sheetName val="Лист14"/>
      <sheetName val="Лист15"/>
      <sheetName val="Лист16"/>
      <sheetName val="????3"/>
      <sheetName val="OTCGOD99"/>
      <sheetName val="МП не вход.ФОТ"/>
      <sheetName val="Запрос"/>
      <sheetName val="month"/>
      <sheetName val="численность"/>
      <sheetName val="МП_не_вход_ФОТ"/>
      <sheetName val="Gas1999"/>
      <sheetName val="IS2000"/>
      <sheetName val="Бонды стр.341"/>
      <sheetName val="Threshold Table"/>
      <sheetName val="Простой 5-10 тн"/>
      <sheetName val="Фонд 15гор"/>
      <sheetName val="рев дф (1.08.) (3)"/>
      <sheetName val="Variables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/>
      <sheetData sheetId="701"/>
      <sheetData sheetId="702"/>
      <sheetData sheetId="703"/>
      <sheetData sheetId="704"/>
      <sheetData sheetId="705"/>
      <sheetData sheetId="706"/>
      <sheetData sheetId="707" refreshError="1"/>
      <sheetData sheetId="708" refreshError="1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 refreshError="1"/>
      <sheetData sheetId="721" refreshError="1"/>
      <sheetData sheetId="722"/>
      <sheetData sheetId="723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/>
      <sheetData sheetId="738"/>
      <sheetData sheetId="739"/>
      <sheetData sheetId="740"/>
      <sheetData sheetId="741"/>
      <sheetData sheetId="742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 refreshError="1"/>
      <sheetData sheetId="763" refreshError="1"/>
      <sheetData sheetId="764" refreshError="1"/>
      <sheetData sheetId="765" refreshError="1"/>
      <sheetData sheetId="766"/>
      <sheetData sheetId="767" refreshError="1"/>
      <sheetData sheetId="768" refreshError="1"/>
      <sheetData sheetId="769" refreshError="1"/>
      <sheetData sheetId="770" refreshError="1"/>
      <sheetData sheetId="771"/>
      <sheetData sheetId="772" refreshError="1"/>
      <sheetData sheetId="773" refreshError="1"/>
      <sheetData sheetId="774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/>
      <sheetData sheetId="933" refreshError="1"/>
      <sheetData sheetId="934"/>
      <sheetData sheetId="935"/>
      <sheetData sheetId="936"/>
      <sheetData sheetId="937" refreshError="1"/>
      <sheetData sheetId="938" refreshError="1"/>
      <sheetData sheetId="939" refreshError="1"/>
      <sheetData sheetId="940"/>
      <sheetData sheetId="94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/>
      <sheetData sheetId="955" refreshError="1"/>
      <sheetData sheetId="956" refreshError="1"/>
      <sheetData sheetId="957" refreshError="1"/>
      <sheetData sheetId="958" refreshError="1"/>
      <sheetData sheetId="959"/>
      <sheetData sheetId="960"/>
      <sheetData sheetId="961"/>
      <sheetData sheetId="962"/>
      <sheetData sheetId="963"/>
      <sheetData sheetId="964" refreshError="1"/>
      <sheetData sheetId="965" refreshError="1"/>
      <sheetData sheetId="966" refreshError="1"/>
      <sheetData sheetId="967"/>
      <sheetData sheetId="968" refreshError="1"/>
      <sheetData sheetId="969" refreshError="1"/>
      <sheetData sheetId="970"/>
      <sheetData sheetId="971" refreshError="1"/>
      <sheetData sheetId="972" refreshError="1"/>
      <sheetData sheetId="973"/>
      <sheetData sheetId="974"/>
      <sheetData sheetId="975"/>
      <sheetData sheetId="976"/>
      <sheetData sheetId="977"/>
      <sheetData sheetId="978"/>
      <sheetData sheetId="979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мятка"/>
      <sheetName val="Форма1"/>
      <sheetName val="Форма2"/>
      <sheetName val="Форма3"/>
      <sheetName val="Форма4"/>
      <sheetName val="Форма5"/>
      <sheetName val="Форма6"/>
      <sheetName val="Форма7"/>
      <sheetName val="Форма8"/>
      <sheetName val="исп.см."/>
      <sheetName val="из сем"/>
      <sheetName val="Instructions"/>
      <sheetName val="US Dollar 2003"/>
      <sheetName val="SDR 2003"/>
      <sheetName val="Captions"/>
      <sheetName val="1NK"/>
      <sheetName val="form"/>
      <sheetName val="Info"/>
      <sheetName val="#ССЫЛКА"/>
      <sheetName val="Пр2"/>
      <sheetName val="из_сем1"/>
      <sheetName val="US_Dollar_20031"/>
      <sheetName val="SDR_20031"/>
      <sheetName val="из_сем"/>
      <sheetName val="US_Dollar_2003"/>
      <sheetName val="SDR_2003"/>
      <sheetName val="из_сем2"/>
      <sheetName val="US_Dollar_20032"/>
      <sheetName val="SDR_20032"/>
      <sheetName val="Статьи"/>
      <sheetName val="Anlagevermögen"/>
      <sheetName val="Control Settings"/>
      <sheetName val="L&amp;E"/>
      <sheetName val="Const"/>
      <sheetName val="Dep_OpEx"/>
      <sheetName val="Input"/>
      <sheetName val="GTM BK"/>
      <sheetName val="Consolidator Inputs"/>
      <sheetName val="Auxilliary_Info"/>
      <sheetName val="KreПК"/>
      <sheetName val="Sheet1"/>
      <sheetName val="7.1"/>
      <sheetName val="Добыча нефти4"/>
      <sheetName val="поставка сравн13"/>
      <sheetName val="Budget"/>
      <sheetName val="2.2 ОтклОТМ"/>
      <sheetName val="1.3.2 ОТМ"/>
      <sheetName val="Предпр"/>
      <sheetName val="ЦентрЗатр"/>
      <sheetName val="ЕдИзм"/>
      <sheetName val="Cost 99v98"/>
      <sheetName val="cant sim"/>
      <sheetName val="PYTB"/>
      <sheetName val="XLR_NoRangeSheet"/>
      <sheetName val="1"/>
      <sheetName val="фот пп2000разбивка"/>
      <sheetName val="Production_Ref Q-1-3"/>
      <sheetName val="ЗАО_н.ит"/>
      <sheetName val="ЗАО_мес"/>
      <sheetName val="Aug"/>
      <sheetName val="Apr"/>
      <sheetName val="Dec"/>
      <sheetName val="Jul"/>
      <sheetName val="Jun"/>
      <sheetName val="May"/>
      <sheetName val="Mar"/>
      <sheetName val="Nov"/>
      <sheetName val="Oct"/>
      <sheetName val="Sep"/>
      <sheetName val="Feb"/>
      <sheetName val="Jan"/>
      <sheetName val="Нефть"/>
      <sheetName val="PP&amp;E mvt for 2003"/>
      <sheetName val="ЯНВАРЬ"/>
      <sheetName val="FP20DB (3)"/>
      <sheetName val="Курс валют"/>
      <sheetName val="АЗФ"/>
      <sheetName val="АК"/>
      <sheetName val="Актюбе"/>
      <sheetName val="ССГПО"/>
      <sheetName val="Другие расходы"/>
      <sheetName val="Форма 4 кап.зат-ты (2)"/>
      <sheetName val="2006 AJE RJE"/>
      <sheetName val="FES"/>
      <sheetName val="группа"/>
      <sheetName val="GAAP TB 31.12.01  detail p&amp;l"/>
      <sheetName val="КЭШ"/>
      <sheetName val="ОПиУ"/>
      <sheetName val="Лист1"/>
      <sheetName val="1БО"/>
      <sheetName val="штат"/>
      <sheetName val="КВЛ"/>
      <sheetName val="Канцтовары"/>
      <sheetName val="аренда"/>
      <sheetName val="связь"/>
      <sheetName val="реклама"/>
      <sheetName val="расхмат"/>
      <sheetName val="прочие стор"/>
      <sheetName val="услуги прочие"/>
      <sheetName val="обуч"/>
      <sheetName val="ком"/>
      <sheetName val="Выкуп порталов"/>
      <sheetName val="представ"/>
      <sheetName val="обуч (2)"/>
      <sheetName val="прочие стор (2)"/>
      <sheetName val="ком (2)"/>
      <sheetName val="КВЛ (2)"/>
      <sheetName val="СД"/>
      <sheetName val="прочие расходы"/>
      <sheetName val="шт (2)"/>
      <sheetName val="аренда (2)"/>
      <sheetName val="прогноз движения денег в ежемес"/>
      <sheetName val="ОПиУ в ежемес."/>
      <sheetName val="Баланс"/>
      <sheetName val="курсы"/>
      <sheetName val="Добыча_нефти41"/>
      <sheetName val="Добыча_нефти4"/>
      <sheetName val="Добыча_нефти42"/>
      <sheetName val="Добычанефти4"/>
      <sheetName val="поставкасравн13"/>
      <sheetName val="XREF"/>
      <sheetName val="Movements"/>
      <sheetName val="АПК реформа"/>
      <sheetName val="База"/>
      <sheetName val="Преискурант"/>
      <sheetName val="стр.245 (2)"/>
      <sheetName val="SETUP"/>
      <sheetName val="топливо"/>
      <sheetName val="Потребители"/>
      <sheetName val="Сдача "/>
      <sheetName val="МО 0012"/>
      <sheetName val="класс"/>
      <sheetName val="14.1.2.2.(Услуги связи)"/>
      <sheetName val="Осн"/>
      <sheetName val="13 NGDO"/>
      <sheetName val="  2.3.2"/>
      <sheetName val=""/>
      <sheetName val="Ввод"/>
      <sheetName val="СписокТЭП"/>
      <sheetName val="12 из 57 АЗС"/>
      <sheetName val="Авансы-1"/>
      <sheetName val="постоянные затраты"/>
      <sheetName val="Бюджет"/>
      <sheetName val="Пок"/>
      <sheetName val="U2 775 - COGS comparison per su"/>
      <sheetName val="Financial ratios А3"/>
      <sheetName val="2_2 ОтклОТМ"/>
      <sheetName val="1_3_2 ОТМ"/>
      <sheetName val="I. Прогноз доходов"/>
      <sheetName val="Production_ref_Q4"/>
      <sheetName val="Sales-COS"/>
      <sheetName val="SMSTemp"/>
      <sheetName val="Non-Statistical Sampling Master"/>
      <sheetName val="Global Data"/>
      <sheetName val="Cash flows - PBC"/>
      <sheetName val="FA register"/>
      <sheetName val="H3.100 Rollforward"/>
      <sheetName val="свод"/>
      <sheetName val="calc"/>
      <sheetName val="Налоги"/>
      <sheetName val="Б.мчас (П)"/>
      <sheetName val="Собственный капитал"/>
      <sheetName val="IS"/>
      <sheetName val="2008 ГСМ"/>
      <sheetName val="Плата за загрязнение "/>
      <sheetName val="Типограф"/>
      <sheetName val="факс(2005-20гг.)"/>
      <sheetName val="канц"/>
      <sheetName val="Апрель"/>
      <sheetName val="Сентябрь"/>
      <sheetName val="Декабрь"/>
      <sheetName val="Ноябрь"/>
      <sheetName val="Квартал"/>
      <sheetName val="Июль"/>
      <sheetName val="Июнь"/>
      <sheetName val="Март"/>
      <sheetName val="5R"/>
      <sheetName val="Пр 41"/>
      <sheetName val="Russia Print Version"/>
      <sheetName val="finbal10"/>
      <sheetName val="12НК"/>
      <sheetName val="3НК"/>
      <sheetName val="7НК"/>
      <sheetName val="KCC"/>
      <sheetName val="Данные"/>
      <sheetName val="П"/>
      <sheetName val="ОборБалФормОтч"/>
      <sheetName val="ТитулЛистОтч"/>
      <sheetName val="2кв."/>
      <sheetName val="ОТиТБ"/>
      <sheetName val="A-20"/>
      <sheetName val="Содержание"/>
      <sheetName val="CO1"/>
      <sheetName val="CO11"/>
      <sheetName val="CO12"/>
      <sheetName val="CO13"/>
      <sheetName val="CO16"/>
      <sheetName val="CO17"/>
      <sheetName val="CO18"/>
      <sheetName val="CO19"/>
      <sheetName val="CO2"/>
      <sheetName val="CO20"/>
      <sheetName val="CO21"/>
      <sheetName val="CO22"/>
      <sheetName val="CO26"/>
      <sheetName val="CO27"/>
      <sheetName val="CO3"/>
      <sheetName val="CO30"/>
      <sheetName val="CO4"/>
      <sheetName val="CO5"/>
      <sheetName val="CO6"/>
      <sheetName val="CO7"/>
      <sheetName val="Comp06"/>
      <sheetName val="MACRO2.XLM"/>
      <sheetName val="U-ZR_AT1.XLS"/>
      <sheetName val="TOC"/>
      <sheetName val="NPV"/>
      <sheetName val="План произв-ва (мес.) (бюджет)"/>
      <sheetName val="Инв.вл"/>
      <sheetName val="факт 2005 г."/>
      <sheetName val="д.7.001"/>
      <sheetName val="свод грузоотпр."/>
      <sheetName val="Курс"/>
      <sheetName val="Inputs"/>
      <sheetName val="Лист3"/>
      <sheetName val="Итоговая таблица"/>
      <sheetName val="Расчет2000Прямой"/>
      <sheetName val="ДД"/>
      <sheetName val="ATI"/>
      <sheetName val="1 (2)"/>
      <sheetName val="ППД"/>
      <sheetName val="2в"/>
      <sheetName val="общ-нефт"/>
      <sheetName val="Hidden"/>
      <sheetName val="ОТЧЕТ КТЖ 01.01.09"/>
      <sheetName val="8180 (8181,8182)"/>
      <sheetName val="8082"/>
      <sheetName val="8250"/>
      <sheetName val="8140"/>
      <sheetName val="8070"/>
      <sheetName val="8145"/>
      <sheetName val="8200"/>
      <sheetName val="8113"/>
      <sheetName val="8210"/>
      <sheetName val="Balance Sheet"/>
      <sheetName val="summary"/>
      <sheetName val="Datasheet"/>
      <sheetName val="1 вариант  2009 "/>
      <sheetName val="Лист2"/>
      <sheetName val="Список документов"/>
      <sheetName val="GAAP TB 30.09.01  detail p&amp;l"/>
      <sheetName val="O.500 Property Tax"/>
      <sheetName val="Блоки"/>
      <sheetName val="_ССЫЛКА"/>
      <sheetName val="Справочник"/>
      <sheetName val="I KEY INFORMATION"/>
      <sheetName val="почтов."/>
      <sheetName val="11"/>
      <sheetName val="6НК-cт."/>
      <sheetName val="Interco payables&amp;receivables"/>
      <sheetName val="предприятия"/>
      <sheetName val="Common"/>
      <sheetName val="OPEX&amp;FIN"/>
      <sheetName val="Оборудование_стоим"/>
      <sheetName val="из_сем3"/>
      <sheetName val="US_Dollar_20033"/>
      <sheetName val="SDR_20033"/>
      <sheetName val="Control_Settings"/>
      <sheetName val="GTM_BK"/>
      <sheetName val="Consolidator_Inputs"/>
      <sheetName val="Добыча_нефти43"/>
      <sheetName val="поставка_сравн13"/>
      <sheetName val="2_2_ОтклОТМ"/>
      <sheetName val="1_3_2_ОТМ"/>
      <sheetName val="Cost_99v98"/>
      <sheetName val="cant_sim"/>
      <sheetName val="фот_пп2000разбивка"/>
      <sheetName val="Production_Ref_Q-1-3"/>
      <sheetName val="ЗАО_н_ит"/>
      <sheetName val="PP&amp;E_mvt_for_2003"/>
      <sheetName val="FP20DB_(3)"/>
      <sheetName val="Курс_валют"/>
      <sheetName val="Другие_расходы"/>
      <sheetName val="Форма_4_кап_зат-ты_(2)"/>
      <sheetName val="2006_AJE_RJE"/>
      <sheetName val="GAAP_TB_31_12_01__detail_p&amp;l"/>
      <sheetName val="прочие_стор"/>
      <sheetName val="услуги_прочие"/>
      <sheetName val="Выкуп_порталов"/>
      <sheetName val="обуч_(2)"/>
      <sheetName val="прочие_стор_(2)"/>
      <sheetName val="ком_(2)"/>
      <sheetName val="КВЛ_(2)"/>
      <sheetName val="прочие_расходы"/>
      <sheetName val="шт_(2)"/>
      <sheetName val="аренда_(2)"/>
      <sheetName val="прогноз_движения_денег_в_ежемес"/>
      <sheetName val="ОПиУ_в_ежемес_"/>
      <sheetName val="АПК_реформа"/>
      <sheetName val="стр_245_(2)"/>
      <sheetName val="Сдача_"/>
      <sheetName val="МО_0012"/>
      <sheetName val="14_1_2_2_(Услуги_связи)"/>
      <sheetName val="13_NGDO"/>
      <sheetName val="__2_3_2"/>
      <sheetName val="12_из_57_АЗС"/>
      <sheetName val="постоянные_затраты"/>
      <sheetName val="7_1"/>
      <sheetName val="Пр_41"/>
      <sheetName val="Russia_Print_Version"/>
      <sheetName val="U2_775_-_COGS_comparison_per_su"/>
      <sheetName val="I__Прогноз_доходов"/>
      <sheetName val="Financial_ratios_А3"/>
      <sheetName val="2_2_ОтклОТМ1"/>
      <sheetName val="1_3_2_ОТМ1"/>
      <sheetName val="Б_мчас_(П)"/>
      <sheetName val="2008_ГСМ"/>
      <sheetName val="Плата_за_загрязнение_"/>
      <sheetName val="Собственный_капитал"/>
      <sheetName val="2кв_"/>
      <sheetName val="Non-Statistical_Sampling_Master"/>
      <sheetName val="Global_Data"/>
      <sheetName val="H3_100_Rollforward"/>
      <sheetName val="MACRO2_XLM"/>
      <sheetName val="U-ZR_AT1_XLS"/>
      <sheetName val="План_произв-ва_(мес_)_(бюджет)"/>
      <sheetName val="Инв_вл"/>
      <sheetName val="факт_2005_г_"/>
      <sheetName val="д_7_001"/>
      <sheetName val="свод_грузоотпр_"/>
      <sheetName val="Итоговая_таблица"/>
      <sheetName val="Securities"/>
      <sheetName val="ГСМ Гараж"/>
      <sheetName val="ГСМ по инвест"/>
      <sheetName val="аморт"/>
      <sheetName val="Запчасти Гараж"/>
      <sheetName val="Стор Орг.РМУ"/>
      <sheetName val="Материалы РМУ"/>
      <sheetName val="Постановка на учет авто"/>
      <sheetName val="Размножение проектов"/>
      <sheetName val="материалы ВДГО"/>
      <sheetName val="Тех осмотр"/>
      <sheetName val="Проект 1"/>
      <sheetName val="Объем ВДГО"/>
      <sheetName val="Фин.обязат."/>
      <sheetName val="спецпит,проездн."/>
      <sheetName val="Capex"/>
      <sheetName val="Kolommen_balans"/>
      <sheetName val="SA Procedures"/>
      <sheetName val="ГМ "/>
      <sheetName val="форма 3 смета затрат"/>
      <sheetName val="Подразделения"/>
      <sheetName val="Проекты"/>
      <sheetName val="Сотрудники"/>
      <sheetName val="прил№10"/>
      <sheetName val="Cashflow"/>
      <sheetName val="Спр. раб."/>
      <sheetName val="Авансы_уплач,деньги в регионах"/>
      <sheetName val="Авансы_уплач,деньги в регионах,"/>
      <sheetName val="d_pok"/>
      <sheetName val="б"/>
      <sheetName val="PLтв - Б"/>
      <sheetName val="K-800 Imp. test"/>
      <sheetName val="Гр5(о)"/>
      <sheetName val="Макро"/>
      <sheetName val="$ IS"/>
      <sheetName val="7"/>
      <sheetName val="10"/>
      <sheetName val="УПРАВЛЕНИЕ11"/>
      <sheetName val="факс(2005-20гг_)"/>
      <sheetName val="misc"/>
      <sheetName val="-расчет налогов от ФОТ  на 2014"/>
      <sheetName val="Analytics"/>
      <sheetName val="FA Movement Kyrg"/>
      <sheetName val="Reference"/>
      <sheetName val="перевозки"/>
      <sheetName val="9"/>
      <sheetName val="L-1"/>
      <sheetName val="ввод-вывод ОС авг2004- 2005"/>
      <sheetName val="Форма3.6"/>
      <sheetName val="Graph"/>
      <sheetName val="Pbs_Wbs_ATC"/>
      <sheetName val="FA Movement "/>
      <sheetName val="depreciation testing"/>
      <sheetName val="MetaData"/>
      <sheetName val="Служебный ФКРБ"/>
      <sheetName val="Источник финансирования"/>
      <sheetName val="Способ закупки"/>
      <sheetName val="Тип пункта плана"/>
      <sheetName val="Keys"/>
      <sheetName val="Precios"/>
      <sheetName val="16.12"/>
      <sheetName val="5"/>
      <sheetName val="78"/>
      <sheetName val="PM-TE"/>
      <sheetName val="Test"/>
      <sheetName val="PIT&amp;PP(2)"/>
      <sheetName val="Settings"/>
      <sheetName val="153541"/>
      <sheetName val="Бюджет тек. затрат"/>
      <sheetName val="коммун."/>
      <sheetName val="4b - P&amp;L ProductLine"/>
      <sheetName val="4a - Revenue ProductLine"/>
      <sheetName val="5a - Orders analysis"/>
      <sheetName val="8 - Receivables"/>
      <sheetName val="D1 - Balances input"/>
      <sheetName val="D3 - DBmagn"/>
      <sheetName val="fish"/>
      <sheetName val="ЛСЦ начисленное на 31.12.08"/>
      <sheetName val="ЛЛизинг начис. на 31.12.08"/>
      <sheetName val="ВОЛС"/>
      <sheetName val="из_сем4"/>
      <sheetName val="US_Dollar_20034"/>
      <sheetName val="SDR_20034"/>
      <sheetName val="Control_Settings1"/>
      <sheetName val="GTM_BK1"/>
      <sheetName val="Consolidator_Inputs1"/>
      <sheetName val="Добыча_нефти44"/>
      <sheetName val="поставка_сравн131"/>
      <sheetName val="2_2_ОтклОТМ2"/>
      <sheetName val="1_3_2_ОТМ2"/>
      <sheetName val="Cost_99v981"/>
      <sheetName val="cant_sim1"/>
      <sheetName val="фот_пп2000разбивка1"/>
      <sheetName val="Production_Ref_Q-1-31"/>
      <sheetName val="ЗАО_н_ит1"/>
      <sheetName val="PP&amp;E_mvt_for_20031"/>
      <sheetName val="FP20DB_(3)1"/>
      <sheetName val="Курс_валют1"/>
      <sheetName val="Другие_расходы1"/>
      <sheetName val="Форма_4_кап_зат-ты_(2)1"/>
      <sheetName val="2006_AJE_RJE1"/>
      <sheetName val="GAAP_TB_31_12_01__detail_p&amp;l1"/>
      <sheetName val="прочие_стор1"/>
      <sheetName val="услуги_прочие1"/>
      <sheetName val="Выкуп_порталов1"/>
      <sheetName val="обуч_(2)1"/>
      <sheetName val="прочие_стор_(2)1"/>
      <sheetName val="ком_(2)1"/>
      <sheetName val="КВЛ_(2)1"/>
      <sheetName val="прочие_расходы1"/>
      <sheetName val="шт_(2)1"/>
      <sheetName val="аренда_(2)1"/>
      <sheetName val="прогноз_движения_денег_в_ежеме1"/>
      <sheetName val="ОПиУ_в_ежемес_1"/>
      <sheetName val="АПК_реформа1"/>
      <sheetName val="стр_245_(2)1"/>
      <sheetName val="Сдача_1"/>
      <sheetName val="МО_00121"/>
      <sheetName val="14_1_2_2_(Услуги_связи)1"/>
      <sheetName val="13_NGDO1"/>
      <sheetName val="__2_3_21"/>
      <sheetName val="12_из_57_АЗС1"/>
      <sheetName val="постоянные_затраты1"/>
      <sheetName val="7_11"/>
      <sheetName val="Пр_411"/>
      <sheetName val="Russia_Print_Version1"/>
      <sheetName val="U2_775_-_COGS_comparison_per_s1"/>
      <sheetName val="I__Прогноз_доходов1"/>
      <sheetName val="Financial_ratios_А31"/>
      <sheetName val="2_2_ОтклОТМ3"/>
      <sheetName val="1_3_2_ОТМ3"/>
      <sheetName val="Б_мчас_(П)1"/>
      <sheetName val="2008_ГСМ1"/>
      <sheetName val="Плата_за_загрязнение_1"/>
      <sheetName val="Собственный_капитал1"/>
      <sheetName val="2кв_1"/>
      <sheetName val="Non-Statistical_Sampling_Maste1"/>
      <sheetName val="Global_Data1"/>
      <sheetName val="H3_100_Rollforward1"/>
      <sheetName val="MACRO2_XLM1"/>
      <sheetName val="U-ZR_AT1_XLS1"/>
      <sheetName val="План_произв-ва_(мес_)_(бюджет)1"/>
      <sheetName val="Инв_вл1"/>
      <sheetName val="факт_2005_г_1"/>
      <sheetName val="д_7_0011"/>
      <sheetName val="свод_грузоотпр_1"/>
      <sheetName val="Итоговая_таблица1"/>
      <sheetName val="I_KEY_INFORMATION"/>
      <sheetName val="факс(2005-20гг_)1"/>
      <sheetName val="6НК-cт_"/>
      <sheetName val="Interco_payables&amp;receivables"/>
      <sheetName val="1_(2)"/>
      <sheetName val="ОТЧЕТ_КТЖ_01_01_09"/>
      <sheetName val="8180_(8181,8182)"/>
      <sheetName val="Balance_Sheet"/>
      <sheetName val="1_вариант__2009_"/>
      <sheetName val="Список_документов"/>
      <sheetName val="GAAP_TB_30_09_01__detail_p&amp;l"/>
      <sheetName val="O_500_Property_Tax"/>
      <sheetName val="SA_Procedures"/>
      <sheetName val="ГМ_"/>
      <sheetName val="почтов_"/>
      <sheetName val="ГСМ_Гараж"/>
      <sheetName val="ГСМ_по_инвест"/>
      <sheetName val="Запчасти_Гараж"/>
      <sheetName val="Стор_Орг_РМУ"/>
      <sheetName val="Материалы_РМУ"/>
      <sheetName val="Постановка_на_учет_авто"/>
      <sheetName val="Размножение_проектов"/>
      <sheetName val="материалы_ВДГО"/>
      <sheetName val="Тех_осмотр"/>
      <sheetName val="Проект_1"/>
      <sheetName val="Объем_ВДГО"/>
      <sheetName val="Фин_обязат_"/>
      <sheetName val="спецпит,проездн_"/>
      <sheetName val="-расчет_налогов_от_ФОТ__на_2014"/>
      <sheetName val="FA_Movement_Kyrg"/>
      <sheetName val="ввод-вывод_ОС_авг2004-_2005"/>
      <sheetName val="Форма3_6"/>
      <sheetName val="FA_Movement_"/>
      <sheetName val="depreciation_testing"/>
      <sheetName val="форма_3_смета_затрат"/>
      <sheetName val="$_IS"/>
      <sheetName val="Авансы_уплач,деньги_в_регионах"/>
      <sheetName val="Авансы_уплач,деньги_в_регионах,"/>
      <sheetName val="PLтв_-_Б"/>
      <sheetName val="Спр__раб_"/>
      <sheetName val="6 NK"/>
      <sheetName val="1кв. "/>
      <sheetName val="замер"/>
      <sheetName val="Трафик по АУП"/>
      <sheetName val="Трафик по ЦБПТО"/>
      <sheetName val="Трафик по ПНУ"/>
      <sheetName val="Трафик по ЖНУ"/>
      <sheetName val="Трафик по ШНУ"/>
      <sheetName val="18."/>
      <sheetName val="08."/>
      <sheetName val="11."/>
      <sheetName val="14."/>
      <sheetName val="15."/>
      <sheetName val="05."/>
      <sheetName val="09."/>
      <sheetName val="04."/>
      <sheetName val="19."/>
      <sheetName val="01."/>
      <sheetName val="17."/>
      <sheetName val="07."/>
      <sheetName val="06."/>
      <sheetName val="16."/>
      <sheetName val="10."/>
      <sheetName val="28."/>
      <sheetName val="13."/>
      <sheetName val="03."/>
      <sheetName val="29."/>
      <sheetName val="30."/>
      <sheetName val="31."/>
      <sheetName val="27."/>
      <sheetName val="12."/>
      <sheetName val="20."/>
      <sheetName val="24."/>
      <sheetName val="25."/>
      <sheetName val="02."/>
      <sheetName val="21."/>
      <sheetName val="26."/>
      <sheetName val="23."/>
      <sheetName val="22."/>
      <sheetName val="altai income statement"/>
      <sheetName val="коммун_"/>
      <sheetName val="Бюджет_тек__затрат"/>
      <sheetName val="K-800_Imp__test"/>
      <sheetName val="FA_register"/>
      <sheetName val="не_удалять!"/>
      <sheetName val="Disclosure"/>
      <sheetName val="4"/>
      <sheetName val="Movement"/>
      <sheetName val="заявка_на_произ"/>
      <sheetName val="ТД РАП"/>
      <sheetName val="I_KEY_INFORMATION1"/>
      <sheetName val="почтов_1"/>
      <sheetName val="6НК-cт_1"/>
      <sheetName val="Interco_payables&amp;receivables1"/>
      <sheetName val="Трафик_по_АУП"/>
      <sheetName val="Трафик_по_ЦБПТО"/>
      <sheetName val="Трафик_по_ПНУ"/>
      <sheetName val="Трафик_по_ЖНУ"/>
      <sheetName val="Трафик_по_ШНУ"/>
      <sheetName val="18_"/>
      <sheetName val="08_"/>
      <sheetName val="11_"/>
      <sheetName val="14_"/>
      <sheetName val="15_"/>
      <sheetName val="05_"/>
      <sheetName val="09_"/>
      <sheetName val="04_"/>
      <sheetName val="19_"/>
      <sheetName val="01_"/>
      <sheetName val="17_"/>
      <sheetName val="07_"/>
      <sheetName val="06_"/>
      <sheetName val="16_"/>
      <sheetName val="10_"/>
      <sheetName val="28_"/>
      <sheetName val="13_"/>
      <sheetName val="03_"/>
      <sheetName val="29_"/>
      <sheetName val="30_"/>
      <sheetName val="31_"/>
      <sheetName val="27_"/>
      <sheetName val="12_"/>
      <sheetName val="20_"/>
      <sheetName val="24_"/>
      <sheetName val="25_"/>
      <sheetName val="02_"/>
      <sheetName val="21_"/>
      <sheetName val="26_"/>
      <sheetName val="23_"/>
      <sheetName val="22_"/>
      <sheetName val="altai_income_statement"/>
      <sheetName val="Additions_Disposals"/>
      <sheetName val="Assumptions"/>
      <sheetName val="эксп"/>
      <sheetName val="1кв__"/>
      <sheetName val="2БО"/>
      <sheetName val="6_NK"/>
      <sheetName val="Все ТЭП"/>
      <sheetName val="1БК"/>
      <sheetName val="Ôîðìà2"/>
      <sheetName val="Ïàìÿòêà"/>
      <sheetName val="Ôîðìà1"/>
      <sheetName val="Ôîðìà3"/>
      <sheetName val="Ôîðìà4"/>
      <sheetName val="Ôîðìà5"/>
      <sheetName val="Ôîðìà6"/>
      <sheetName val="Ôîðìà7"/>
      <sheetName val="Ôîðìà8"/>
      <sheetName val="èç ñåì"/>
      <sheetName val="Ïð2"/>
      <sheetName val="ÅäÈçì"/>
      <sheetName val="Ïðåäïð"/>
      <sheetName val="Profiles"/>
      <sheetName val="Wells"/>
      <sheetName val="из_сем5"/>
      <sheetName val="US_Dollar_20035"/>
      <sheetName val="SDR_20035"/>
      <sheetName val="Control_Settings2"/>
      <sheetName val="GTM_BK2"/>
      <sheetName val="Добыча_нефти45"/>
      <sheetName val="поставка_сравн132"/>
      <sheetName val="2_2_ОтклОТМ4"/>
      <sheetName val="1_3_2_ОТМ4"/>
      <sheetName val="Cost_99v982"/>
      <sheetName val="cant_sim2"/>
      <sheetName val="фот_пп2000разбивка2"/>
      <sheetName val="Production_Ref_Q-1-32"/>
      <sheetName val="ЗАО_н_ит2"/>
      <sheetName val="PP&amp;E_mvt_for_20032"/>
      <sheetName val="FP20DB_(3)2"/>
      <sheetName val="Курс_валют2"/>
      <sheetName val="Другие_расходы2"/>
      <sheetName val="Форма_4_кап_зат-ты_(2)2"/>
      <sheetName val="2006_AJE_RJE2"/>
      <sheetName val="GAAP_TB_31_12_01__detail_p&amp;l2"/>
      <sheetName val="прочие_стор2"/>
      <sheetName val="услуги_прочие2"/>
      <sheetName val="Выкуп_порталов2"/>
      <sheetName val="обуч_(2)2"/>
      <sheetName val="прочие_стор_(2)2"/>
      <sheetName val="ком_(2)2"/>
      <sheetName val="КВЛ_(2)2"/>
      <sheetName val="прочие_расходы2"/>
      <sheetName val="шт_(2)2"/>
      <sheetName val="аренда_(2)2"/>
      <sheetName val="прогноз_движения_денег_в_ежеме2"/>
      <sheetName val="ОПиУ_в_ежемес_2"/>
      <sheetName val="АПК_реформа2"/>
      <sheetName val="стр_245_(2)2"/>
      <sheetName val="Сдача_2"/>
      <sheetName val="МО_00122"/>
      <sheetName val="14_1_2_2_(Услуги_связи)2"/>
      <sheetName val="13_NGDO2"/>
      <sheetName val="__2_3_22"/>
      <sheetName val="12_из_57_АЗС2"/>
      <sheetName val="постоянные_затраты2"/>
      <sheetName val="Consolidator_Inputs2"/>
      <sheetName val="7_12"/>
      <sheetName val="Пр_412"/>
      <sheetName val="Russia_Print_Version2"/>
      <sheetName val="U2_775_-_COGS_comparison_per_s2"/>
      <sheetName val="I__Прогноз_доходов2"/>
      <sheetName val="Financial_ratios_А32"/>
      <sheetName val="2_2_ОтклОТМ5"/>
      <sheetName val="1_3_2_ОТМ5"/>
      <sheetName val="Б_мчас_(П)2"/>
      <sheetName val="2008_ГСМ2"/>
      <sheetName val="Плата_за_загрязнение_2"/>
      <sheetName val="Собственный_капитал2"/>
      <sheetName val="2кв_2"/>
      <sheetName val="Non-Statistical_Sampling_Maste2"/>
      <sheetName val="Global_Data2"/>
      <sheetName val="H3_100_Rollforward2"/>
      <sheetName val="MACRO2_XLM2"/>
      <sheetName val="U-ZR_AT1_XLS2"/>
      <sheetName val="План_произв-ва_(мес_)_(бюджет)2"/>
      <sheetName val="Инв_вл2"/>
      <sheetName val="факт_2005_г_2"/>
      <sheetName val="д_7_0012"/>
      <sheetName val="свод_грузоотпр_2"/>
      <sheetName val="Итоговая_таблица2"/>
      <sheetName val="факс(2005-20гг_)2"/>
      <sheetName val="1_(2)1"/>
      <sheetName val="ОТЧЕТ_КТЖ_01_01_091"/>
      <sheetName val="8180_(8181,8182)1"/>
      <sheetName val="Balance_Sheet1"/>
      <sheetName val="1_вариант__2009_1"/>
      <sheetName val="Список_документов1"/>
      <sheetName val="GAAP_TB_30_09_01__detail_p&amp;l1"/>
      <sheetName val="O_500_Property_Tax1"/>
      <sheetName val="SA_Procedures1"/>
      <sheetName val="ГМ_1"/>
      <sheetName val="ГСМ_Гараж1"/>
      <sheetName val="ГСМ_по_инвест1"/>
      <sheetName val="Запчасти_Гараж1"/>
      <sheetName val="Стор_Орг_РМУ1"/>
      <sheetName val="Материалы_РМУ1"/>
      <sheetName val="Постановка_на_учет_авто1"/>
      <sheetName val="Размножение_проектов1"/>
      <sheetName val="материалы_ВДГО1"/>
      <sheetName val="Тех_осмотр1"/>
      <sheetName val="Проект_11"/>
      <sheetName val="Объем_ВДГО1"/>
      <sheetName val="Фин_обязат_1"/>
      <sheetName val="спецпит,проездн_1"/>
      <sheetName val="-расчет_налогов_от_ФОТ__на_2011"/>
      <sheetName val="FA_Movement_Kyrg1"/>
      <sheetName val="ввод-вывод_ОС_авг2004-_20051"/>
      <sheetName val="Форма3_61"/>
      <sheetName val="FA_Movement_1"/>
      <sheetName val="depreciation_testing1"/>
      <sheetName val="форма_3_смета_затрат1"/>
      <sheetName val="$_IS1"/>
      <sheetName val="Авансы_уплач,деньги_в_регионах1"/>
      <sheetName val="Авансы_уплач,деньги_в_регионах2"/>
      <sheetName val="PLтв_-_Б1"/>
      <sheetName val="Спр__раб_1"/>
      <sheetName val="K-800_Imp__test1"/>
      <sheetName val="FA_register1"/>
      <sheetName val="Бюджет_тек__затрат1"/>
      <sheetName val="16_12"/>
      <sheetName val="4b_-_P&amp;L_ProductLine"/>
      <sheetName val="4a_-_Revenue_ProductLine"/>
      <sheetName val="5a_-_Orders_analysis"/>
      <sheetName val="8_-_Receivables"/>
      <sheetName val="D1_-_Balances_input"/>
      <sheetName val="D3_-_DBmagn"/>
      <sheetName val="ЛСЦ_начисленное_на_31_12_08"/>
      <sheetName val="ЛЛизинг_начис__на_31_12_08"/>
      <sheetName val="исп_см_"/>
      <sheetName val="Служебный_ФКРБ"/>
      <sheetName val="Источник_финансирования"/>
      <sheetName val="Способ_закупки"/>
      <sheetName val="Тип_пункта_плана"/>
      <sheetName val="Cash_flows_-_PBC"/>
      <sheetName val="коммун_1"/>
      <sheetName val="ТД_РАП"/>
      <sheetName val="Служебный ФК_x0005__x0000_"/>
      <sheetName val="6НК簀⽕쐀⽕"/>
      <sheetName val="Loaded"/>
      <sheetName val="КР з.ч"/>
      <sheetName val="Chart_data"/>
      <sheetName val="Project Detail Inputs"/>
      <sheetName val="тиме"/>
      <sheetName val="InputTI"/>
      <sheetName val="6НКԯ_x0000_缀_x0000_"/>
      <sheetName val="Служебный ФК_x0000__x0000_"/>
      <sheetName val="6НК0_x0000_堀-"/>
      <sheetName val="6НК0_x0000_瀀"/>
      <sheetName val="6НК0_x0000_"/>
      <sheetName val="6НК0_x0000_　Y"/>
      <sheetName val="Служебный ФК恔_x001c_"/>
      <sheetName val="Служебный ФК皸ɫ"/>
      <sheetName val="Служебный ФК_x0017_"/>
      <sheetName val="Служебный ФК_xdd10__x001f_"/>
      <sheetName val="Служебный ФК悄,"/>
      <sheetName val="6НК_x0007__x001c__x0009__x000d_"/>
      <sheetName val="_x0000__x000e__x0000__x000a__x0000__x0008__x0000__x000a__x0000__x000b__x0000__x0010__x0000__x0007_"/>
      <sheetName val="6НК_x0007__x001c_ _x000d_"/>
      <sheetName val="Служебный ФК_xdd90__x0012_"/>
      <sheetName val="Служебный ФК峔("/>
      <sheetName val="Служебный_ФК"/>
      <sheetName val="Служебный ФК厈-"/>
      <sheetName val="Служебный ФК⽄"/>
      <sheetName val="Служебный ФК⽬"/>
      <sheetName val="Служебный ФК嵔 "/>
      <sheetName val="Служебный ФК『"/>
      <sheetName val="Служебный ФК⿯"/>
      <sheetName val="Служебный ФКૐǪ"/>
      <sheetName val="Служебный ФК　"/>
      <sheetName val="6НК/_x0000_쀀"/>
      <sheetName val="6НК/_x0000_栀)"/>
      <sheetName val="6НК/_x0000_瀀à"/>
      <sheetName val="6НК/_x0000_⠀´"/>
      <sheetName val="6НК/_x0000_ࠀµ"/>
      <sheetName val="6НК/_x0000_쀀Ø"/>
      <sheetName val="доп_дан_"/>
      <sheetName val="доп.дан."/>
      <sheetName val="ВСДС_1 (MAIN)"/>
      <sheetName val="без НДС"/>
      <sheetName val="Служебный ФК_x0005_"/>
      <sheetName val="Input_Assumptions"/>
      <sheetName val="бартер"/>
      <sheetName val="6НК/_x0000_蠀"/>
      <sheetName val="6НК/_x0000_ü"/>
      <sheetName val="6НК/_x0000_£"/>
      <sheetName val="6НК/_x0000_蠀_x0008_"/>
      <sheetName val="6НК/_x0000_頀K"/>
      <sheetName val="ноябрь - декабрь"/>
      <sheetName val="Summary &amp; Variables"/>
      <sheetName val="Технический"/>
      <sheetName val="Индексы"/>
      <sheetName val="6НКԯ"/>
      <sheetName val="Служебный ФК"/>
      <sheetName val="6НК0"/>
      <sheetName val="Служебный ФК_x001f_"/>
      <sheetName val="Служебный ФК_x0012_"/>
      <sheetName val="6НК/_x0000__xd800_¹"/>
      <sheetName val="Админ и ОPEX 2010-12гг"/>
      <sheetName val="Общие данные"/>
      <sheetName val="Затраты утил.ТБО"/>
      <sheetName val="14_1_2_2__Услуги связи_"/>
      <sheetName val="Links"/>
      <sheetName val="Production_analysis"/>
      <sheetName val="breakdown"/>
      <sheetName val="P&amp;L"/>
      <sheetName val="Provisions"/>
      <sheetName val="FA depreciation"/>
      <sheetName val="N"/>
      <sheetName val="Исх.данные"/>
      <sheetName val="распределение модели"/>
      <sheetName val="цеховые"/>
      <sheetName val="ПАРАМ"/>
      <sheetName val="6НК퐀ᵝഀ놃"/>
      <sheetName val="[form.xls]6НК/_x0000_쀀Ø"/>
      <sheetName val="[form.xls]6НК/_x0000_쀀"/>
      <sheetName val="[form.xls]6НК/_x0000_栀)"/>
      <sheetName val="[form.xls]6НК/_x0000_瀀à"/>
      <sheetName val="[form.xls]6НК/_x0000_⠀´"/>
      <sheetName val="[form.xls]6НК/_x0000_ࠀµ"/>
      <sheetName val="[form.xls]6НК/_x0000_蠀"/>
      <sheetName val="[form.xls]6НК/_x0000_ü"/>
      <sheetName val="[form.xls]6НК/_x0000_£"/>
      <sheetName val="[form.xls]6НК/_x0000_蠀_x0008_"/>
      <sheetName val="[form.xls]6НК/_x0000_頀K"/>
      <sheetName val=" По скв"/>
      <sheetName val="Программа(М)"/>
      <sheetName val="[form.xls][form.xls]6НК/_x0000_쀀"/>
      <sheetName val="[form.xls][form.xls]6НК/_x0000_栀)"/>
      <sheetName val="[form.xls][form.xls]6НК/_x0000_瀀à"/>
      <sheetName val="[form.xls][form.xls]6НК/_x0000_⠀´"/>
      <sheetName val="[form.xls][form.xls]6НК/_x0000_ࠀµ"/>
      <sheetName val="[form.xls][form.xls]6НК/_x0000_쀀Ø"/>
      <sheetName val="6НК≟ഀﲃ"/>
      <sheetName val="канат.прод."/>
      <sheetName val="канат_прод_"/>
      <sheetName val="ноябрь_-_декабрь"/>
      <sheetName val="Ф3"/>
      <sheetName val="I_KEY_INFORMATION2"/>
      <sheetName val="почтов_2"/>
      <sheetName val="6НК-cт_2"/>
      <sheetName val="Interco_payables&amp;receivables2"/>
      <sheetName val="Трафик_по_АУП1"/>
      <sheetName val="Трафик_по_ЦБПТО1"/>
      <sheetName val="Трафик_по_ПНУ1"/>
      <sheetName val="Трафик_по_ЖНУ1"/>
      <sheetName val="Трафик_по_ШНУ1"/>
      <sheetName val="18_1"/>
      <sheetName val="08_1"/>
      <sheetName val="11_1"/>
      <sheetName val="14_1"/>
      <sheetName val="15_1"/>
      <sheetName val="05_1"/>
      <sheetName val="09_1"/>
      <sheetName val="6НК/"/>
      <sheetName val="Test of FA Installation"/>
      <sheetName val="Additions"/>
      <sheetName val="Расчет объема СУИБ"/>
      <sheetName val="LTM"/>
      <sheetName val="CREDIT STATS"/>
      <sheetName val="DropZone"/>
      <sheetName val="Analitics"/>
      <sheetName val="исп_см_1"/>
      <sheetName val="из_сем6"/>
      <sheetName val="US_Dollar_20036"/>
      <sheetName val="SDR_20036"/>
      <sheetName val="Control_Settings3"/>
      <sheetName val="GTM_BK3"/>
      <sheetName val="Consolidator_Inputs3"/>
      <sheetName val="7_13"/>
      <sheetName val="Добыча_нефти46"/>
      <sheetName val="поставка_сравн133"/>
      <sheetName val="2_2_ОтклОТМ6"/>
      <sheetName val="1_3_2_ОТМ6"/>
      <sheetName val="Cost_99v983"/>
      <sheetName val="cant_sim3"/>
      <sheetName val="фот_пп2000разбивка3"/>
      <sheetName val="Production_Ref_Q-1-33"/>
      <sheetName val="ЗАО_н_ит3"/>
      <sheetName val="PP&amp;E_mvt_for_20033"/>
      <sheetName val="FP20DB_(3)3"/>
      <sheetName val="Курс_валют3"/>
      <sheetName val="Другие_расходы3"/>
      <sheetName val="Форма_4_кап_зат-ты_(2)3"/>
      <sheetName val="2006_AJE_RJE3"/>
      <sheetName val="GAAP_TB_31_12_01__detail_p&amp;l3"/>
      <sheetName val="прочие_стор3"/>
      <sheetName val="услуги_прочие3"/>
      <sheetName val="Выкуп_порталов3"/>
      <sheetName val="обуч_(2)3"/>
      <sheetName val="прочие_стор_(2)3"/>
      <sheetName val="ком_(2)3"/>
      <sheetName val="КВЛ_(2)3"/>
      <sheetName val="прочие_расходы3"/>
      <sheetName val="шт_(2)3"/>
      <sheetName val="аренда_(2)3"/>
      <sheetName val="прогноз_движения_денег_в_ежеме3"/>
      <sheetName val="ОПиУ_в_ежемес_3"/>
      <sheetName val="АПК_реформа3"/>
      <sheetName val="стр_245_(2)3"/>
      <sheetName val="Сдача_3"/>
      <sheetName val="МО_00123"/>
      <sheetName val="14_1_2_2_(Услуги_связи)3"/>
      <sheetName val="13_NGDO3"/>
      <sheetName val="__2_3_23"/>
      <sheetName val="12_из_57_АЗС3"/>
      <sheetName val="постоянные_затраты3"/>
      <sheetName val="U2_775_-_COGS_comparison_per_s3"/>
      <sheetName val="Financial_ratios_А33"/>
      <sheetName val="2_2_ОтклОТМ7"/>
      <sheetName val="1_3_2_ОТМ7"/>
      <sheetName val="I__Прогноз_доходов3"/>
      <sheetName val="Non-Statistical_Sampling_Maste3"/>
      <sheetName val="Global_Data3"/>
      <sheetName val="Cash_flows_-_PBC1"/>
      <sheetName val="FA_register2"/>
      <sheetName val="H3_100_Rollforward3"/>
      <sheetName val="Б_мчас_(П)3"/>
      <sheetName val="Собственный_капитал3"/>
      <sheetName val="2008_ГСМ3"/>
      <sheetName val="Плата_за_загрязнение_3"/>
      <sheetName val="факс(2005-20гг_)3"/>
      <sheetName val="Пр_413"/>
      <sheetName val="Russia_Print_Version3"/>
      <sheetName val="2кв_3"/>
      <sheetName val="MACRO2_XLM3"/>
      <sheetName val="U-ZR_AT1_XLS3"/>
      <sheetName val="План_произв-ва_(мес_)_(бюджет)3"/>
      <sheetName val="Инв_вл3"/>
      <sheetName val="факт_2005_г_3"/>
      <sheetName val="д_7_0013"/>
      <sheetName val="свод_грузоотпр_3"/>
      <sheetName val="Итоговая_таблица3"/>
      <sheetName val="1_(2)2"/>
      <sheetName val="ОТЧЕТ_КТЖ_01_01_092"/>
      <sheetName val="8180_(8181,8182)2"/>
      <sheetName val="Balance_Sheet2"/>
      <sheetName val="1_вариант__2009_2"/>
      <sheetName val="Список_документов2"/>
      <sheetName val="GAAP_TB_30_09_01__detail_p&amp;l2"/>
      <sheetName val="O_500_Property_Tax2"/>
      <sheetName val="ГСМ_Гараж2"/>
      <sheetName val="ГСМ_по_инвест2"/>
      <sheetName val="Запчасти_Гараж2"/>
      <sheetName val="Стор_Орг_РМУ2"/>
      <sheetName val="Материалы_РМУ2"/>
      <sheetName val="Постановка_на_учет_авто2"/>
      <sheetName val="Размножение_проектов2"/>
      <sheetName val="материалы_ВДГО2"/>
      <sheetName val="Тех_осмотр2"/>
      <sheetName val="Проект_12"/>
      <sheetName val="Объем_ВДГО2"/>
      <sheetName val="Фин_обязат_2"/>
      <sheetName val="спецпит,проездн_2"/>
      <sheetName val="SA_Procedures2"/>
      <sheetName val="ГМ_2"/>
      <sheetName val="форма_3_смета_затрат2"/>
      <sheetName val="Спр__раб_2"/>
      <sheetName val="Авансы_уплач,деньги_в_регионах3"/>
      <sheetName val="Авансы_уплач,деньги_в_регионах4"/>
      <sheetName val="PLтв_-_Б2"/>
      <sheetName val="K-800_Imp__test2"/>
      <sheetName val="$_IS2"/>
      <sheetName val="-расчет_налогов_от_ФОТ__на_2012"/>
      <sheetName val="FA_Movement_Kyrg2"/>
      <sheetName val="ввод-вывод_ОС_авг2004-_20052"/>
      <sheetName val="Форма3_62"/>
      <sheetName val="FA_Movement_2"/>
      <sheetName val="depreciation_testing2"/>
      <sheetName val="Служебный_ФКРБ1"/>
      <sheetName val="Источник_финансирования1"/>
      <sheetName val="Способ_закупки1"/>
      <sheetName val="Тип_пункта_плана1"/>
      <sheetName val="16_121"/>
      <sheetName val="Бюджет_тек__затрат2"/>
      <sheetName val="коммун_2"/>
      <sheetName val="4b_-_P&amp;L_ProductLine1"/>
      <sheetName val="4a_-_Revenue_ProductLine1"/>
      <sheetName val="5a_-_Orders_analysis1"/>
      <sheetName val="8_-_Receivables1"/>
      <sheetName val="D1_-_Balances_input1"/>
      <sheetName val="D3_-_DBmagn1"/>
      <sheetName val="ЛСЦ_начисленное_на_31_12_081"/>
      <sheetName val="ЛЛизинг_начис__на_31_12_081"/>
      <sheetName val="6_NK1"/>
      <sheetName val="1кв__1"/>
      <sheetName val="04_1"/>
      <sheetName val="19_1"/>
      <sheetName val="01_1"/>
      <sheetName val="17_1"/>
      <sheetName val="07_1"/>
      <sheetName val="06_1"/>
      <sheetName val="16_1"/>
      <sheetName val="10_1"/>
      <sheetName val="28_1"/>
      <sheetName val="13_1"/>
      <sheetName val="03_1"/>
      <sheetName val="29_1"/>
      <sheetName val="30_1"/>
      <sheetName val="31_1"/>
      <sheetName val="27_1"/>
      <sheetName val="12_1"/>
      <sheetName val="20_1"/>
      <sheetName val="24_1"/>
      <sheetName val="25_1"/>
      <sheetName val="02_1"/>
      <sheetName val="21_1"/>
      <sheetName val="26_1"/>
      <sheetName val="23_1"/>
      <sheetName val="22_1"/>
      <sheetName val="altai_income_statement1"/>
      <sheetName val="ТД_РАП1"/>
      <sheetName val="Все_ТЭП"/>
      <sheetName val="èç_ñåì"/>
      <sheetName val="[form.xls]6НК/"/>
      <sheetName val="[form.xls][form.xls]6НК/"/>
      <sheetName val="Lists"/>
      <sheetName val="[form.xls]6НК/_x0000__xd800_¹"/>
      <sheetName val="Staff"/>
      <sheetName val="CD-실적"/>
      <sheetName val="MS"/>
      <sheetName val="assumpt."/>
      <sheetName val="НДПИ"/>
      <sheetName val="25. Hidden"/>
      <sheetName val="2. Inputs"/>
      <sheetName val="Залоги c RS"/>
      <sheetName val="FS-97"/>
      <sheetName val="Управление"/>
      <sheetName val="input_data"/>
      <sheetName val="Финбюджет свод "/>
      <sheetName val="[form.xls][form.xls]6НК/_x0000_蠀"/>
      <sheetName val="[form.xls][form.xls]6НК/_x0000_ü"/>
      <sheetName val="[form.xls][form.xls]6НК/_x0000_£"/>
      <sheetName val="[form.xls][form.xls]6НК/_x0000_蠀_x0008_"/>
      <sheetName val="[form.xls][form.xls]6НК/_x0000_頀K"/>
      <sheetName val="[form.xls][form.xls]6НК/_x0000__xd800_¹"/>
      <sheetName val="полугодие"/>
      <sheetName val="Вып.П.П."/>
      <sheetName val="кварталы"/>
      <sheetName val="план"/>
      <sheetName val="Россия-экспорт"/>
      <sheetName val="6НК/_x0000_�¹"/>
      <sheetName val="Энергия"/>
      <sheetName val="всп"/>
      <sheetName val="6НК/_x0000_렀£"/>
      <sheetName val="Пром1"/>
      <sheetName val="Ural med"/>
      <sheetName val="CONB001A_010_30"/>
      <sheetName val="Store"/>
      <sheetName val="КС 2018"/>
      <sheetName val="Коэфф"/>
      <sheetName val="[form.xls]6НК/_x0000_렀£"/>
      <sheetName val="98-02E&amp;PSUM"/>
      <sheetName val="4НК"/>
      <sheetName val="БРК УЖ"/>
      <sheetName val="БРК ЮКО свод"/>
      <sheetName val="Сбер 1450"/>
      <sheetName val="Сбер 1300"/>
      <sheetName val="Сбер 2500"/>
      <sheetName val="Сбер 3750"/>
      <sheetName val="[form.xls]6НК/_x0000_�¹"/>
      <sheetName val="[form.xls][form.xls]6НК/_x0000_�¹"/>
      <sheetName val="Все виды материалов D`1-18"/>
      <sheetName val="b-4"/>
      <sheetName val="Product Assumptions"/>
      <sheetName val="План_произв-в_x0006__x000c__x0007__x000f__x0010__x0011__x0007__x0007_贰΢ǅ"/>
      <sheetName val="Служебный ФК?_x001f_"/>
      <sheetName val="Служебный ФК?_x0012_"/>
      <sheetName val="Служебный ФК悤_x001d_"/>
      <sheetName val="6НК吀ᥢഀ榃"/>
      <sheetName val="ConsumptionPerUnit"/>
      <sheetName val="14.1.8.11.(Прочие)"/>
      <sheetName val="План_произв-в_x0006__x000c__x0007__x000f__x0010__x0011__x0007__x0007_贰΢ǅ_x0000_Ā_x0000__x0000__x0000__x0000_"/>
      <sheetName val="3.ФОТ"/>
      <sheetName val="4.Налоги"/>
      <sheetName val="Исх"/>
      <sheetName val="WBS98"/>
      <sheetName val="Служебный ФК _x0000_"/>
      <sheetName val="Служебный ФК "/>
      <sheetName val="[form.xls][form.xls]6НК/_x0000_렀£"/>
      <sheetName val="6НК쌊 /_x0000_"/>
      <sheetName val="Конс "/>
      <sheetName val="Конфигурация МАКРО"/>
      <sheetName val="показатели"/>
      <sheetName val="3.3.31."/>
      <sheetName val="TMP"/>
      <sheetName val="01-45"/>
      <sheetName val="Sheet3"/>
      <sheetName val="14"/>
      <sheetName val="ОПГЗ"/>
      <sheetName val="План ГЗ"/>
      <sheetName val="Вид предмета"/>
      <sheetName val="Год"/>
      <sheetName val="Месяцы"/>
      <sheetName val="ЭКРБ"/>
      <sheetName val="Фонд"/>
      <sheetName val="Input TI"/>
      <sheetName val="6НК쌊 /"/>
      <sheetName val="ожид ФОТ_2010_форма1"/>
      <sheetName val="свод ФОТ"/>
      <sheetName val="Актив(1)"/>
      <sheetName val="6НК  _x0009__x000d_"/>
      <sheetName val="Служебный ФК恔 "/>
      <sheetName val="Служебный ФК "/>
      <sheetName val="Служебный ФК  "/>
      <sheetName val="6НК   _x000d_"/>
      <sheetName val="Индексы перероценки"/>
      <sheetName val="ïîñòàâêà ñðàâí13"/>
      <sheetName val="новая _5"/>
      <sheetName val="_x0000_ _x0000__x000a__x0000_ _x0000__x000a__x0000_ _x0000_ _x0000_ "/>
      <sheetName val="6НК/_x0000_蠀 "/>
      <sheetName val="[form.xls]6НК/_x0000_蠀 "/>
      <sheetName val="6НК/_x0000_ ¹"/>
      <sheetName val="[form.xls][form.xls]6НК/_x0000_蠀 "/>
      <sheetName val="DATA"/>
      <sheetName val="Resource Sheet"/>
      <sheetName val="Main Sheet"/>
      <sheetName val="фот_пп2000разби㑠ു੶⿖"/>
      <sheetName val="фот_пп2000разби골ೡ੶⽢"/>
      <sheetName val="расчет премии за 4 кв_12г"/>
      <sheetName val="ФОТ_2013 (2)"/>
      <sheetName val="Ком услуги аренды"/>
      <sheetName val="СВОД по НД расх"/>
      <sheetName val="Свод Мат по Тр 2012"/>
      <sheetName val="февраль"/>
      <sheetName val="6НК/_x0000_ó"/>
      <sheetName val="VI REVENUE OOD"/>
      <sheetName val="IIb P&amp;L short"/>
      <sheetName val="IV REVENUE ROOMS"/>
      <sheetName val="IV REVENUE  F&amp;B"/>
      <sheetName val="22"/>
      <sheetName val="Checks"/>
      <sheetName val="Дин. оборотн. ср-в!!!"/>
      <sheetName val="Уровень показателей!!!"/>
      <sheetName val="Б3!!!"/>
      <sheetName val="Б1"/>
      <sheetName val="ЗАО_н.ит_x0000_伔⡇躁⬦_x0011_[form.xl"/>
      <sheetName val="form.xls"/>
      <sheetName val="Depr"/>
      <sheetName val="ф 03а-03(1)"/>
      <sheetName val="консалт"/>
      <sheetName val="НД_Доходы скорр "/>
      <sheetName val="НД_Расходы"/>
      <sheetName val="Страхование ГПО работников"/>
      <sheetName val="год(отг)"/>
      <sheetName val="год(опл)"/>
      <sheetName val="бланк"/>
      <sheetName val="Лист4"/>
      <sheetName val="Лист7"/>
      <sheetName val="Лист8"/>
      <sheetName val="Лист9"/>
      <sheetName val="Лист10"/>
      <sheetName val="Лист11"/>
      <sheetName val="Лист12"/>
      <sheetName val="Лист13"/>
      <sheetName val="Лист14"/>
      <sheetName val="Лист15"/>
      <sheetName val="Лист16"/>
      <sheetName val="????3"/>
      <sheetName val="OTCGOD99"/>
      <sheetName val="МП не вход.ФОТ"/>
      <sheetName val="Запрос"/>
      <sheetName val="month"/>
      <sheetName val="численность"/>
      <sheetName val="МП_не_вход_ФОТ"/>
      <sheetName val="Gas1999"/>
      <sheetName val="IS2000"/>
      <sheetName val="Бонды стр.341"/>
      <sheetName val="Threshold Table"/>
      <sheetName val="Простой 5-10 тн"/>
      <sheetName val="Фонд 15гор"/>
      <sheetName val="рев дф (1.08.) (3)"/>
      <sheetName val="КАТО"/>
      <sheetName val="CURCURS"/>
      <sheetName val="Utility"/>
      <sheetName val="ГБ"/>
      <sheetName val="доп_дан_1"/>
      <sheetName val="6НК__x000a_"/>
      <sheetName val="_x000a__x000a_"/>
      <sheetName val="6НК _x000a_"/>
      <sheetName val="Вып_П_П_"/>
      <sheetName val="План_произв-в贰΢ǅĀ"/>
      <sheetName val="Служебный_ФК恔"/>
      <sheetName val="Служебный_ФК皸ɫ"/>
      <sheetName val="Служебный_ФК"/>
      <sheetName val="Служебный_ФК悄,"/>
      <sheetName val="Служебный_ФК峔("/>
      <sheetName val="Служебный_ФК厈-"/>
      <sheetName val="Служебный_ФК⽄"/>
      <sheetName val="Служебный_ФК⽬"/>
      <sheetName val="Служебный_ФК嵔_"/>
      <sheetName val="Служебный_ФК『"/>
      <sheetName val="Служебный_ФК⿯"/>
      <sheetName val="Служебный_ФКૐǪ"/>
      <sheetName val="Служебный_ФК　"/>
      <sheetName val="6НК/蠀"/>
      <sheetName val="Summary_&amp;_Variables"/>
      <sheetName val="Служебный_ФК1"/>
      <sheetName val="[form_xls]6НК/쀀"/>
      <sheetName val="[form_xls]6НК/栀)"/>
      <sheetName val="[form_xls]6НК/瀀à"/>
      <sheetName val="[form_xls]6НК/⠀´"/>
      <sheetName val="[form_xls]6НК/ࠀµ"/>
      <sheetName val="[form_xls]6НК/쀀Ø"/>
      <sheetName val="[form_xls]6НК/蠀"/>
      <sheetName val="[form_xls]6НК/ü"/>
      <sheetName val="[form_xls]6НК/£"/>
      <sheetName val="[form_xls]6НК/蠀"/>
      <sheetName val="[form_xls]6НК/頀K"/>
      <sheetName val="[form_xls][form_xls]6НК/쀀"/>
      <sheetName val="[form_xls][form_xls]6НК/栀)"/>
      <sheetName val="[form_xls][form_xls]6НК/瀀à"/>
      <sheetName val="[form_xls][form_xls]6НК/⠀´"/>
      <sheetName val="[form_xls][form_xls]6НК/ࠀµ"/>
      <sheetName val="[form_xls][form_xls]6НК/쀀Ø"/>
      <sheetName val="[form_xls][form_xls]6НК/蠀"/>
      <sheetName val="[form_xls][form_xls]6НК/ü"/>
      <sheetName val="[form_xls][form_xls]6НК/£"/>
      <sheetName val="[form_xls][form_xls]6НК/蠀"/>
      <sheetName val="[form_xls][form_xls]6НК/頀K"/>
      <sheetName val="Comp"/>
      <sheetName val="List of Functions"/>
      <sheetName val="sma"/>
      <sheetName val="mfb"/>
      <sheetName val="Условия"/>
      <sheetName val="Расч-прибыли"/>
      <sheetName val="Аморт-я ввод ОС"/>
      <sheetName val="ТехЗ"/>
      <sheetName val="зд"/>
      <sheetName val="Таб"/>
      <sheetName val="___________________________20_2"/>
      <sheetName val="мат расходы"/>
      <sheetName val="Шт расписание"/>
      <sheetName val="Prelim Cost"/>
      <sheetName val="PY misstatements"/>
      <sheetName val="A4-1&amp;2"/>
      <sheetName val="TPC con vs bdg"/>
      <sheetName val="Planned VoWD"/>
      <sheetName val="KONSOLID"/>
      <sheetName val="Код_ГТМ"/>
      <sheetName val="Lead"/>
      <sheetName val="Variants"/>
      <sheetName val="FA_depreciation"/>
      <sheetName val="PY_misstatements"/>
      <sheetName val="treatment summary"/>
      <sheetName val="sheet0"/>
      <sheetName val="25__Hidden"/>
      <sheetName val="2__Inputs"/>
      <sheetName val="Sup"/>
      <sheetName val="Здания "/>
      <sheetName val="акт10"/>
      <sheetName val="Фин. пок-ли"/>
      <sheetName val="Foglio1"/>
      <sheetName val="Gen Data"/>
      <sheetName val="instruqcia"/>
      <sheetName val="1НК_объемы"/>
      <sheetName val="бензин по авто"/>
      <sheetName val="Др адм"/>
      <sheetName val="Осн.ср-ва"/>
      <sheetName val="не удалять!"/>
      <sheetName val="ÑïèñîêÒÝÏ"/>
      <sheetName val="Свод тех.харак"/>
      <sheetName val="Расчет"/>
      <sheetName val="Ф-13"/>
      <sheetName val="Шым"/>
      <sheetName val="р-ны"/>
      <sheetName val="кол-во договоров ОЗ"/>
      <sheetName val="вх.исх.корр"/>
      <sheetName val="площадь"/>
      <sheetName val="орг.тех"/>
      <sheetName val="приборы"/>
      <sheetName val="Мат.пом"/>
      <sheetName val="НД_2017"/>
      <sheetName val="общ.фонд  "/>
      <sheetName val="Схема доплат"/>
      <sheetName val="Повышающие коэф ОМГ"/>
      <sheetName val="D_Opex"/>
      <sheetName val="031218"/>
      <sheetName val="хим.реаг."/>
      <sheetName val="БПО"/>
      <sheetName val="6НК/_x0000_瀀G"/>
      <sheetName val="6НК0_x0000_#"/>
      <sheetName val="6НК0_x0000_Å"/>
      <sheetName val="пост. пар."/>
      <sheetName val="6НК예썘/_x0000_"/>
      <sheetName val="COS"/>
      <sheetName val="пассоб"/>
      <sheetName val="Royalty"/>
      <sheetName val="1610"/>
      <sheetName val="1210"/>
      <sheetName val="Drop-Downs"/>
      <sheetName val="PY Audit WP 2011"/>
      <sheetName val="Лв 1715 (сб)"/>
      <sheetName val="Expenses"/>
      <sheetName val="DCF"/>
      <sheetName val="Prep"/>
      <sheetName val="Проектные работы"/>
      <sheetName val="Спецтехника, оборудование, база"/>
      <sheetName val="Первоначальные условия"/>
      <sheetName val="Себестоимость"/>
      <sheetName val="Master Inputs Start here"/>
      <sheetName val="1 квартал"/>
      <sheetName val="6НК_x0007__x001c_  "/>
      <sheetName val="План_ГЗ"/>
      <sheetName val="Вид_предмета"/>
      <sheetName val="6НК예썘/"/>
      <sheetName val="_x000e__x000a__x0008__x000a__x000b__x0010__x0007_"/>
      <sheetName val="6НК    "/>
      <sheetName val=" _x000a_ _x000a_   "/>
      <sheetName val="6НК/ 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/>
      <sheetData sheetId="82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/>
      <sheetData sheetId="1083"/>
      <sheetData sheetId="1084" refreshError="1"/>
      <sheetData sheetId="1085" refreshError="1"/>
      <sheetData sheetId="1086" refreshError="1"/>
      <sheetData sheetId="1087" refreshError="1"/>
      <sheetData sheetId="1088"/>
      <sheetData sheetId="1089"/>
      <sheetData sheetId="1090" refreshError="1"/>
      <sheetData sheetId="1091"/>
      <sheetData sheetId="1092"/>
      <sheetData sheetId="1093" refreshError="1"/>
      <sheetData sheetId="1094" refreshError="1"/>
      <sheetData sheetId="1095"/>
      <sheetData sheetId="1096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 refreshError="1"/>
      <sheetData sheetId="1126" refreshError="1"/>
      <sheetData sheetId="1127"/>
      <sheetData sheetId="1128"/>
      <sheetData sheetId="1129"/>
      <sheetData sheetId="1130"/>
      <sheetData sheetId="113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/>
      <sheetData sheetId="1265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ажн.2004"/>
      <sheetName val="Query1NK"/>
      <sheetName val="Query1NK_KZ"/>
      <sheetName val="1NK"/>
      <sheetName val="РасчСрЗП"/>
      <sheetName val="Предпр"/>
      <sheetName val="ЦентрЗатр"/>
      <sheetName val="ЕдИзм"/>
      <sheetName val="Группы"/>
      <sheetName val="7.1"/>
      <sheetName val="ШРР"/>
      <sheetName val="3НК"/>
      <sheetName val="Баланс ТД"/>
      <sheetName val="12НК"/>
      <sheetName val="7НК"/>
      <sheetName val="Форма2"/>
      <sheetName val="2БО"/>
      <sheetName val="2НК"/>
      <sheetName val="Труд"/>
      <sheetName val="CO1"/>
      <sheetName val="CO11"/>
      <sheetName val="CO12"/>
      <sheetName val="CO13"/>
      <sheetName val="CO16"/>
      <sheetName val="CO17"/>
      <sheetName val="CO18"/>
      <sheetName val="CO19"/>
      <sheetName val="CO2"/>
      <sheetName val="CO20"/>
      <sheetName val="CO21"/>
      <sheetName val="CO22"/>
      <sheetName val="CO26"/>
      <sheetName val="CO27"/>
      <sheetName val="CO3"/>
      <sheetName val="CO30"/>
      <sheetName val="CO4"/>
      <sheetName val="CO5"/>
      <sheetName val="CO6"/>
      <sheetName val="CO7"/>
      <sheetName val="Info"/>
      <sheetName val="OffshoreBatchReport"/>
      <sheetName val="KAZAK RECO ST 99"/>
      <sheetName val="Profit &amp; Loss Total"/>
      <sheetName val="Assumptions"/>
      <sheetName val="5R"/>
      <sheetName val="Важн_2004"/>
      <sheetName val="Важн_20041"/>
      <sheetName val="Перечень данных"/>
      <sheetName val="Статьи"/>
      <sheetName val="ГСМ Гараж"/>
      <sheetName val="ГСМ по инвест"/>
      <sheetName val="аморт"/>
      <sheetName val="Запчасти Гараж"/>
      <sheetName val="Материалы РМУ"/>
      <sheetName val="Постановка на учет авто"/>
      <sheetName val="Размножение проектов"/>
      <sheetName val="материалы ВДГО"/>
      <sheetName val="Тех осмотр"/>
      <sheetName val="Проект 1"/>
      <sheetName val="Объем ВДГО"/>
      <sheetName val="Стор Орг.РМУ"/>
      <sheetName val="FS-97"/>
      <sheetName val="57_1NKs плюс АА_Н"/>
      <sheetName val="Links"/>
      <sheetName val="Лист5"/>
      <sheetName val="Loaded"/>
      <sheetName val="OPEX_FIN _свод_"/>
      <sheetName val="OPEX_FIN вспом"/>
      <sheetName val="OPEX_FIN уосы_ иац_ ца"/>
      <sheetName val="Gas1999"/>
      <sheetName val="2.2 ОтклОТМ"/>
      <sheetName val="1.3.2 ОТМ"/>
      <sheetName val="FES"/>
      <sheetName val="База"/>
      <sheetName val="Важн_20042"/>
      <sheetName val="7_1"/>
      <sheetName val="Баланс_ТД"/>
      <sheetName val="ГСМ_Гараж"/>
      <sheetName val="ГСМ_по_инвест"/>
      <sheetName val="Запчасти_Гараж"/>
      <sheetName val="Материалы_РМУ"/>
      <sheetName val="Постановка_на_учет_авто"/>
      <sheetName val="Размножение_проектов"/>
      <sheetName val="материалы_ВДГО"/>
      <sheetName val="Тех_осмотр"/>
      <sheetName val="Проект_1"/>
      <sheetName val="Объем_ВДГО"/>
      <sheetName val="Стор_Орг_РМУ"/>
      <sheetName val="KAZAK_RECO_ST_99"/>
      <sheetName val="Profit_&amp;_Loss_Total"/>
      <sheetName val="Перечень_данных"/>
      <sheetName val="57_1NKs_плюс_АА_Н"/>
      <sheetName val=""/>
      <sheetName val="Плата по %"/>
      <sheetName val="Sheet1"/>
      <sheetName val="Форма1"/>
      <sheetName val="ЗАО_н.ит"/>
      <sheetName val="11"/>
      <sheetName val="ЗАО_мес"/>
      <sheetName val="Осн"/>
      <sheetName val="Сдача "/>
      <sheetName val="Пром1"/>
      <sheetName val="предприятия"/>
      <sheetName val="Hidden"/>
      <sheetName val="Sample"/>
      <sheetName val="name"/>
      <sheetName val="PROGNOS"/>
      <sheetName val="свод"/>
      <sheetName val="группа"/>
      <sheetName val="Норм потери_БУ"/>
      <sheetName val="5"/>
      <sheetName val="ВОЛС"/>
      <sheetName val="Lead"/>
      <sheetName val="Содержание"/>
      <sheetName val="д.7.001"/>
      <sheetName val="SA Procedures"/>
      <sheetName val="MetaData"/>
      <sheetName val="Kolommen_balans"/>
      <sheetName val="GAAP TB 30.09.01  detail p&amp;l"/>
      <sheetName val="misc"/>
      <sheetName val="LBS Reminder"/>
      <sheetName val="Управление"/>
      <sheetName val="ЯНВАРЬ"/>
      <sheetName val="Кодировка кап.затрат в SUN_Ф4"/>
      <sheetName val="Control"/>
      <sheetName val="Language"/>
      <sheetName val="Configuration"/>
      <sheetName val="Lists"/>
      <sheetName val="Checks"/>
      <sheetName val="P9-BS by Co"/>
      <sheetName val="Footer Calculator"/>
      <sheetName val="год (2)"/>
      <sheetName val="ÎÒèÒÁ"/>
      <sheetName val="Anlagevermögen"/>
      <sheetName val="I. Прогноз доходов"/>
      <sheetName val="Калькуляции"/>
      <sheetName val="ОТиТБ"/>
      <sheetName val="Fin.cost"/>
      <sheetName val="из сем"/>
      <sheetName val="Consolidator Inputs"/>
      <sheetName val="CONSO"/>
      <sheetName val="Inputs"/>
    </sheetNames>
    <sheetDataSet>
      <sheetData sheetId="0" refreshError="1"/>
      <sheetData sheetId="1" refreshError="1"/>
      <sheetData sheetId="2" refreshError="1"/>
      <sheetData sheetId="3" refreshError="1">
        <row r="11">
          <cell r="R11">
            <v>9322.9</v>
          </cell>
          <cell r="S11">
            <v>9450.3700000000008</v>
          </cell>
          <cell r="T11">
            <v>9518.6299999999992</v>
          </cell>
        </row>
        <row r="12">
          <cell r="R12">
            <v>9322.9</v>
          </cell>
          <cell r="S12">
            <v>9450.3700000000008</v>
          </cell>
          <cell r="T12">
            <v>9518.6299999999992</v>
          </cell>
        </row>
        <row r="13">
          <cell r="R13">
            <v>9300</v>
          </cell>
          <cell r="S13">
            <v>9430</v>
          </cell>
          <cell r="T13">
            <v>9500</v>
          </cell>
        </row>
        <row r="14">
          <cell r="R14">
            <v>22.9</v>
          </cell>
          <cell r="S14">
            <v>20.37</v>
          </cell>
          <cell r="T14">
            <v>18.63</v>
          </cell>
        </row>
        <row r="15">
          <cell r="R15">
            <v>2150</v>
          </cell>
          <cell r="S15">
            <v>2200</v>
          </cell>
          <cell r="T15">
            <v>2200</v>
          </cell>
        </row>
        <row r="16">
          <cell r="R16">
            <v>808.2</v>
          </cell>
          <cell r="S16">
            <v>751.62</v>
          </cell>
          <cell r="T16">
            <v>699.1</v>
          </cell>
        </row>
        <row r="17">
          <cell r="R17">
            <v>136</v>
          </cell>
          <cell r="S17">
            <v>133.56</v>
          </cell>
          <cell r="T17">
            <v>131.91</v>
          </cell>
        </row>
        <row r="18">
          <cell r="R18">
            <v>3900</v>
          </cell>
          <cell r="S18">
            <v>3900</v>
          </cell>
          <cell r="T18">
            <v>3900</v>
          </cell>
        </row>
        <row r="19">
          <cell r="R19">
            <v>0</v>
          </cell>
          <cell r="S19">
            <v>0</v>
          </cell>
          <cell r="T19">
            <v>0</v>
          </cell>
        </row>
        <row r="25">
          <cell r="R25">
            <v>0</v>
          </cell>
          <cell r="S25">
            <v>0</v>
          </cell>
        </row>
        <row r="26">
          <cell r="R26" t="str">
            <v>-</v>
          </cell>
          <cell r="S26" t="str">
            <v>-</v>
          </cell>
          <cell r="T26" t="str">
            <v>-</v>
          </cell>
        </row>
        <row r="27">
          <cell r="R27" t="str">
            <v>-</v>
          </cell>
          <cell r="S27" t="str">
            <v>-</v>
          </cell>
          <cell r="T27" t="str">
            <v>-</v>
          </cell>
        </row>
        <row r="28">
          <cell r="R28" t="str">
            <v>-</v>
          </cell>
          <cell r="S28" t="str">
            <v>-</v>
          </cell>
          <cell r="T28" t="str">
            <v>-</v>
          </cell>
        </row>
        <row r="29">
          <cell r="R29" t="str">
            <v>-</v>
          </cell>
          <cell r="S29" t="str">
            <v>-</v>
          </cell>
          <cell r="T29" t="str">
            <v>-</v>
          </cell>
        </row>
        <row r="30">
          <cell r="R30" t="str">
            <v>-</v>
          </cell>
          <cell r="S30" t="str">
            <v>-</v>
          </cell>
          <cell r="T30" t="str">
            <v>-</v>
          </cell>
        </row>
        <row r="31">
          <cell r="R31">
            <v>0</v>
          </cell>
          <cell r="S31">
            <v>0</v>
          </cell>
        </row>
        <row r="32">
          <cell r="R32">
            <v>0</v>
          </cell>
          <cell r="S32">
            <v>0</v>
          </cell>
          <cell r="T32">
            <v>0</v>
          </cell>
        </row>
        <row r="33">
          <cell r="R33">
            <v>0</v>
          </cell>
          <cell r="S33">
            <v>0</v>
          </cell>
          <cell r="T33">
            <v>0</v>
          </cell>
        </row>
        <row r="34">
          <cell r="R34">
            <v>0</v>
          </cell>
          <cell r="S34">
            <v>0</v>
          </cell>
          <cell r="T34">
            <v>0</v>
          </cell>
        </row>
        <row r="35">
          <cell r="R35">
            <v>0</v>
          </cell>
          <cell r="S35">
            <v>0</v>
          </cell>
          <cell r="T35">
            <v>0</v>
          </cell>
        </row>
        <row r="36">
          <cell r="R36">
            <v>0</v>
          </cell>
          <cell r="S36">
            <v>0</v>
          </cell>
          <cell r="T36">
            <v>0</v>
          </cell>
        </row>
        <row r="37">
          <cell r="R37">
            <v>41194</v>
          </cell>
          <cell r="S37">
            <v>50248</v>
          </cell>
          <cell r="T37">
            <v>51309</v>
          </cell>
        </row>
        <row r="38">
          <cell r="R38">
            <v>36574</v>
          </cell>
          <cell r="S38">
            <v>44148</v>
          </cell>
          <cell r="T38">
            <v>45009</v>
          </cell>
        </row>
        <row r="39">
          <cell r="R39">
            <v>36574</v>
          </cell>
          <cell r="S39">
            <v>44148</v>
          </cell>
          <cell r="T39">
            <v>45009</v>
          </cell>
        </row>
        <row r="40">
          <cell r="R40">
            <v>36574</v>
          </cell>
          <cell r="S40">
            <v>44148</v>
          </cell>
          <cell r="T40">
            <v>45009</v>
          </cell>
        </row>
        <row r="41">
          <cell r="R41">
            <v>18078</v>
          </cell>
          <cell r="S41">
            <v>18439.560000000001</v>
          </cell>
          <cell r="T41">
            <v>18808.351200000001</v>
          </cell>
        </row>
        <row r="42">
          <cell r="R42">
            <v>0</v>
          </cell>
          <cell r="S42">
            <v>0</v>
          </cell>
          <cell r="T42">
            <v>0</v>
          </cell>
        </row>
        <row r="43">
          <cell r="R43" t="str">
            <v>-</v>
          </cell>
          <cell r="S43" t="str">
            <v>-</v>
          </cell>
          <cell r="T43" t="str">
            <v>-</v>
          </cell>
        </row>
        <row r="44">
          <cell r="R44" t="str">
            <v>-</v>
          </cell>
          <cell r="S44" t="str">
            <v>-</v>
          </cell>
          <cell r="T44" t="str">
            <v>-</v>
          </cell>
        </row>
        <row r="45">
          <cell r="R45">
            <v>0</v>
          </cell>
          <cell r="S45">
            <v>0</v>
          </cell>
          <cell r="T45">
            <v>0</v>
          </cell>
        </row>
        <row r="46">
          <cell r="R46">
            <v>0</v>
          </cell>
          <cell r="S46">
            <v>0</v>
          </cell>
          <cell r="T46">
            <v>0</v>
          </cell>
        </row>
        <row r="47">
          <cell r="R47" t="str">
            <v>-</v>
          </cell>
          <cell r="S47" t="str">
            <v>-</v>
          </cell>
          <cell r="T47" t="str">
            <v>-</v>
          </cell>
        </row>
        <row r="48">
          <cell r="R48" t="str">
            <v>-</v>
          </cell>
          <cell r="S48" t="str">
            <v>-</v>
          </cell>
          <cell r="T48" t="str">
            <v>-</v>
          </cell>
        </row>
        <row r="49">
          <cell r="R49" t="str">
            <v>-</v>
          </cell>
          <cell r="S49" t="str">
            <v>-</v>
          </cell>
          <cell r="T49" t="str">
            <v>-</v>
          </cell>
        </row>
        <row r="50">
          <cell r="R50">
            <v>0</v>
          </cell>
          <cell r="S50">
            <v>0</v>
          </cell>
          <cell r="T50">
            <v>0</v>
          </cell>
        </row>
        <row r="51">
          <cell r="R51">
            <v>4620</v>
          </cell>
          <cell r="S51">
            <v>6100</v>
          </cell>
          <cell r="T51">
            <v>6300</v>
          </cell>
        </row>
        <row r="52">
          <cell r="R52">
            <v>4620</v>
          </cell>
          <cell r="S52">
            <v>6100</v>
          </cell>
          <cell r="T52">
            <v>6300</v>
          </cell>
        </row>
        <row r="53">
          <cell r="R53">
            <v>4620</v>
          </cell>
          <cell r="S53">
            <v>6100</v>
          </cell>
          <cell r="T53">
            <v>6300</v>
          </cell>
        </row>
        <row r="54">
          <cell r="R54">
            <v>7920</v>
          </cell>
          <cell r="S54">
            <v>8040</v>
          </cell>
          <cell r="T54">
            <v>8080</v>
          </cell>
        </row>
        <row r="55">
          <cell r="R55" t="str">
            <v>-</v>
          </cell>
          <cell r="S55" t="str">
            <v>-</v>
          </cell>
          <cell r="T55" t="str">
            <v>-</v>
          </cell>
        </row>
        <row r="56">
          <cell r="R56" t="str">
            <v>-</v>
          </cell>
          <cell r="S56" t="str">
            <v>-</v>
          </cell>
          <cell r="T56" t="str">
            <v>-</v>
          </cell>
        </row>
        <row r="57">
          <cell r="R57">
            <v>1600</v>
          </cell>
          <cell r="S57">
            <v>571</v>
          </cell>
          <cell r="T57">
            <v>571</v>
          </cell>
        </row>
        <row r="58">
          <cell r="R58">
            <v>116712</v>
          </cell>
          <cell r="S58">
            <v>128266</v>
          </cell>
          <cell r="T58">
            <v>137386</v>
          </cell>
        </row>
        <row r="59">
          <cell r="R59">
            <v>116712</v>
          </cell>
          <cell r="S59">
            <v>128266</v>
          </cell>
          <cell r="T59">
            <v>137386</v>
          </cell>
        </row>
        <row r="60">
          <cell r="R60">
            <v>116712</v>
          </cell>
          <cell r="S60">
            <v>128266</v>
          </cell>
          <cell r="T60">
            <v>137386</v>
          </cell>
        </row>
        <row r="61">
          <cell r="R61">
            <v>2469.9199520000002</v>
          </cell>
          <cell r="S61">
            <v>2697</v>
          </cell>
          <cell r="T61">
            <v>2737</v>
          </cell>
        </row>
        <row r="62">
          <cell r="R62">
            <v>3534.5</v>
          </cell>
          <cell r="S62">
            <v>4223</v>
          </cell>
          <cell r="T62">
            <v>4256</v>
          </cell>
        </row>
        <row r="63">
          <cell r="R63">
            <v>0</v>
          </cell>
          <cell r="S63">
            <v>2469078.29</v>
          </cell>
          <cell r="T63">
            <v>2469078.29</v>
          </cell>
        </row>
        <row r="64">
          <cell r="R64">
            <v>50350</v>
          </cell>
          <cell r="S64">
            <v>50350</v>
          </cell>
          <cell r="T64">
            <v>50350</v>
          </cell>
        </row>
        <row r="65">
          <cell r="R65">
            <v>2900</v>
          </cell>
          <cell r="S65">
            <v>3200</v>
          </cell>
          <cell r="T65">
            <v>3500</v>
          </cell>
        </row>
        <row r="66">
          <cell r="R66">
            <v>2900</v>
          </cell>
          <cell r="S66">
            <v>3200</v>
          </cell>
          <cell r="T66">
            <v>3500</v>
          </cell>
        </row>
        <row r="67">
          <cell r="R67">
            <v>2900</v>
          </cell>
          <cell r="S67">
            <v>3200</v>
          </cell>
          <cell r="T67">
            <v>3500</v>
          </cell>
        </row>
        <row r="68">
          <cell r="R68" t="str">
            <v>-</v>
          </cell>
          <cell r="S68" t="str">
            <v>-</v>
          </cell>
          <cell r="T68" t="str">
            <v>-</v>
          </cell>
        </row>
        <row r="69">
          <cell r="R69" t="str">
            <v>-</v>
          </cell>
          <cell r="S69" t="str">
            <v>-</v>
          </cell>
          <cell r="T69" t="str">
            <v>-</v>
          </cell>
        </row>
        <row r="70">
          <cell r="R70" t="str">
            <v>-</v>
          </cell>
          <cell r="S70" t="str">
            <v>-</v>
          </cell>
          <cell r="T70" t="str">
            <v>-</v>
          </cell>
        </row>
        <row r="71">
          <cell r="R71">
            <v>0</v>
          </cell>
          <cell r="S71">
            <v>0</v>
          </cell>
          <cell r="T71">
            <v>0</v>
          </cell>
        </row>
        <row r="73">
          <cell r="R73">
            <v>1961960</v>
          </cell>
          <cell r="S73">
            <v>2009460</v>
          </cell>
          <cell r="T73">
            <v>2006460</v>
          </cell>
        </row>
        <row r="74">
          <cell r="R74">
            <v>134700.5</v>
          </cell>
          <cell r="S74">
            <v>141440</v>
          </cell>
          <cell r="T74">
            <v>142430</v>
          </cell>
        </row>
        <row r="75">
          <cell r="R75">
            <v>9530100</v>
          </cell>
          <cell r="S75">
            <v>9610500</v>
          </cell>
          <cell r="T75">
            <v>9680500</v>
          </cell>
        </row>
        <row r="76">
          <cell r="R76">
            <v>1419613</v>
          </cell>
          <cell r="S76">
            <v>1419613</v>
          </cell>
          <cell r="T76">
            <v>1419613</v>
          </cell>
        </row>
        <row r="77">
          <cell r="R77">
            <v>5511613</v>
          </cell>
          <cell r="S77">
            <v>5511613</v>
          </cell>
          <cell r="T77">
            <v>5511613</v>
          </cell>
        </row>
        <row r="78">
          <cell r="R78">
            <v>481408241.04862428</v>
          </cell>
          <cell r="S78">
            <v>447493322.9770565</v>
          </cell>
          <cell r="T78">
            <v>455610109.99936372</v>
          </cell>
        </row>
        <row r="79">
          <cell r="R79">
            <v>217330568.95936</v>
          </cell>
          <cell r="S79">
            <v>188060279.00523299</v>
          </cell>
          <cell r="T79">
            <v>183965935.0315696</v>
          </cell>
        </row>
        <row r="80">
          <cell r="R80">
            <v>217330568.95936</v>
          </cell>
          <cell r="S80">
            <v>188060279.00523299</v>
          </cell>
          <cell r="T80">
            <v>183965935.0315696</v>
          </cell>
        </row>
        <row r="81">
          <cell r="R81">
            <v>189298931.15211999</v>
          </cell>
          <cell r="S81">
            <v>164134972.88840002</v>
          </cell>
          <cell r="T81">
            <v>160783713.53599998</v>
          </cell>
        </row>
        <row r="82">
          <cell r="R82">
            <v>24571785.849999998</v>
          </cell>
          <cell r="S82">
            <v>21463697.544072948</v>
          </cell>
          <cell r="T82">
            <v>20897717.689969603</v>
          </cell>
        </row>
        <row r="83">
          <cell r="R83">
            <v>1865670.5000000002</v>
          </cell>
          <cell r="S83">
            <v>928610.79999999993</v>
          </cell>
          <cell r="T83">
            <v>783494.4</v>
          </cell>
        </row>
        <row r="84">
          <cell r="R84">
            <v>1432174.0712399997</v>
          </cell>
          <cell r="S84">
            <v>1371056.8727599997</v>
          </cell>
          <cell r="T84">
            <v>1339068.5056</v>
          </cell>
        </row>
        <row r="85">
          <cell r="R85">
            <v>162007.386</v>
          </cell>
          <cell r="S85">
            <v>161940.9</v>
          </cell>
          <cell r="T85">
            <v>161940.9</v>
          </cell>
        </row>
        <row r="86">
          <cell r="R86">
            <v>2484252</v>
          </cell>
          <cell r="S86">
            <v>2533937.04</v>
          </cell>
          <cell r="T86">
            <v>2584615.7808000003</v>
          </cell>
        </row>
        <row r="87">
          <cell r="R87">
            <v>0</v>
          </cell>
          <cell r="S87">
            <v>0</v>
          </cell>
          <cell r="T87">
            <v>0</v>
          </cell>
        </row>
        <row r="93">
          <cell r="R93">
            <v>0</v>
          </cell>
          <cell r="S93">
            <v>0</v>
          </cell>
          <cell r="T93">
            <v>0</v>
          </cell>
        </row>
        <row r="94">
          <cell r="R94" t="str">
            <v>-</v>
          </cell>
          <cell r="S94" t="str">
            <v>-</v>
          </cell>
          <cell r="T94" t="str">
            <v>-</v>
          </cell>
        </row>
        <row r="95">
          <cell r="R95" t="str">
            <v>-</v>
          </cell>
          <cell r="S95" t="str">
            <v>-</v>
          </cell>
          <cell r="T95" t="str">
            <v>-</v>
          </cell>
        </row>
        <row r="96">
          <cell r="R96" t="str">
            <v>-</v>
          </cell>
          <cell r="S96" t="str">
            <v>-</v>
          </cell>
          <cell r="T96" t="str">
            <v>-</v>
          </cell>
        </row>
        <row r="97">
          <cell r="R97" t="str">
            <v>-</v>
          </cell>
          <cell r="S97" t="str">
            <v>-</v>
          </cell>
          <cell r="T97" t="str">
            <v>-</v>
          </cell>
        </row>
        <row r="98">
          <cell r="R98" t="str">
            <v>-</v>
          </cell>
          <cell r="S98" t="str">
            <v>-</v>
          </cell>
          <cell r="T98" t="str">
            <v>-</v>
          </cell>
        </row>
        <row r="99">
          <cell r="R99">
            <v>0</v>
          </cell>
          <cell r="S99">
            <v>0</v>
          </cell>
          <cell r="T99">
            <v>0</v>
          </cell>
        </row>
        <row r="100">
          <cell r="R100">
            <v>0</v>
          </cell>
          <cell r="S100">
            <v>0</v>
          </cell>
          <cell r="T100">
            <v>0</v>
          </cell>
        </row>
        <row r="101">
          <cell r="R101">
            <v>0</v>
          </cell>
          <cell r="S101">
            <v>0</v>
          </cell>
          <cell r="T101">
            <v>0</v>
          </cell>
        </row>
        <row r="102">
          <cell r="R102">
            <v>0</v>
          </cell>
          <cell r="S102">
            <v>0</v>
          </cell>
          <cell r="T102">
            <v>0</v>
          </cell>
        </row>
        <row r="103">
          <cell r="R103" t="str">
            <v>-</v>
          </cell>
          <cell r="S103" t="str">
            <v>-</v>
          </cell>
          <cell r="T103" t="str">
            <v>-</v>
          </cell>
        </row>
        <row r="104">
          <cell r="R104" t="str">
            <v>-</v>
          </cell>
          <cell r="S104" t="str">
            <v>-</v>
          </cell>
          <cell r="T104" t="str">
            <v>-</v>
          </cell>
        </row>
        <row r="105">
          <cell r="R105">
            <v>132040253.43151005</v>
          </cell>
          <cell r="S105">
            <v>139401605.23566487</v>
          </cell>
          <cell r="T105">
            <v>146568195.60971832</v>
          </cell>
        </row>
        <row r="106">
          <cell r="R106">
            <v>71376584.355121985</v>
          </cell>
          <cell r="S106">
            <v>72970472.240720004</v>
          </cell>
          <cell r="T106">
            <v>74221882.778113201</v>
          </cell>
        </row>
        <row r="107">
          <cell r="R107">
            <v>57837346.705999993</v>
          </cell>
          <cell r="S107">
            <v>63320604.70792</v>
          </cell>
          <cell r="T107">
            <v>64436937.626113206</v>
          </cell>
        </row>
        <row r="108">
          <cell r="R108">
            <v>55258493.799999997</v>
          </cell>
          <cell r="S108">
            <v>60647907.843999997</v>
          </cell>
          <cell r="T108">
            <v>61689013.990000002</v>
          </cell>
        </row>
        <row r="109">
          <cell r="R109">
            <v>1719873.47</v>
          </cell>
          <cell r="S109">
            <v>1754270.9394</v>
          </cell>
          <cell r="T109">
            <v>1789356.358188</v>
          </cell>
        </row>
        <row r="110">
          <cell r="R110" t="str">
            <v>-</v>
          </cell>
          <cell r="S110" t="str">
            <v>-</v>
          </cell>
          <cell r="T110" t="str">
            <v>-</v>
          </cell>
        </row>
        <row r="111">
          <cell r="R111" t="str">
            <v>-</v>
          </cell>
          <cell r="S111" t="str">
            <v>-</v>
          </cell>
          <cell r="T111" t="str">
            <v>-</v>
          </cell>
        </row>
        <row r="112">
          <cell r="R112">
            <v>858979.43599999999</v>
          </cell>
          <cell r="S112">
            <v>918425.92452000012</v>
          </cell>
          <cell r="T112">
            <v>958567.27792520006</v>
          </cell>
        </row>
        <row r="113">
          <cell r="R113">
            <v>13539237.649121998</v>
          </cell>
          <cell r="S113">
            <v>9649867.5328000002</v>
          </cell>
          <cell r="T113">
            <v>9784945.1520000007</v>
          </cell>
        </row>
        <row r="114">
          <cell r="R114">
            <v>8960867.9999999981</v>
          </cell>
          <cell r="S114">
            <v>6770080</v>
          </cell>
          <cell r="T114">
            <v>6912000</v>
          </cell>
        </row>
        <row r="115">
          <cell r="R115">
            <v>1607702.4</v>
          </cell>
          <cell r="S115">
            <v>1282461.6000000001</v>
          </cell>
          <cell r="T115">
            <v>1290427.2</v>
          </cell>
        </row>
        <row r="116">
          <cell r="R116">
            <v>148162.5</v>
          </cell>
          <cell r="S116">
            <v>145350</v>
          </cell>
          <cell r="T116">
            <v>144000</v>
          </cell>
        </row>
        <row r="117">
          <cell r="R117">
            <v>396042</v>
          </cell>
          <cell r="S117">
            <v>3000</v>
          </cell>
          <cell r="T117">
            <v>3000</v>
          </cell>
        </row>
        <row r="118">
          <cell r="R118">
            <v>2426462.7491219994</v>
          </cell>
          <cell r="S118">
            <v>1448975.9327999998</v>
          </cell>
          <cell r="T118">
            <v>1435517.952</v>
          </cell>
        </row>
        <row r="119">
          <cell r="R119">
            <v>0</v>
          </cell>
          <cell r="S119">
            <v>0</v>
          </cell>
          <cell r="T119">
            <v>0</v>
          </cell>
        </row>
        <row r="120">
          <cell r="R120">
            <v>0</v>
          </cell>
          <cell r="S120">
            <v>0</v>
          </cell>
          <cell r="T120">
            <v>0</v>
          </cell>
        </row>
        <row r="121">
          <cell r="R121" t="str">
            <v>-</v>
          </cell>
          <cell r="S121" t="str">
            <v>-</v>
          </cell>
          <cell r="T121" t="str">
            <v>-</v>
          </cell>
        </row>
        <row r="122">
          <cell r="R122" t="str">
            <v>-</v>
          </cell>
          <cell r="S122" t="str">
            <v>-</v>
          </cell>
          <cell r="T122" t="str">
            <v>-</v>
          </cell>
        </row>
        <row r="123">
          <cell r="R123" t="str">
            <v>-</v>
          </cell>
          <cell r="S123" t="str">
            <v>-</v>
          </cell>
          <cell r="T123" t="str">
            <v>-</v>
          </cell>
        </row>
        <row r="124">
          <cell r="R124">
            <v>0</v>
          </cell>
          <cell r="S124">
            <v>0</v>
          </cell>
          <cell r="T124">
            <v>0</v>
          </cell>
        </row>
        <row r="125">
          <cell r="R125">
            <v>60663669.076388061</v>
          </cell>
          <cell r="S125">
            <v>66431132.994944863</v>
          </cell>
          <cell r="T125">
            <v>72346312.831605107</v>
          </cell>
        </row>
        <row r="126">
          <cell r="R126">
            <v>60663669.076388061</v>
          </cell>
          <cell r="S126">
            <v>66431132.994944863</v>
          </cell>
          <cell r="T126">
            <v>72346312.831605107</v>
          </cell>
        </row>
        <row r="127">
          <cell r="R127">
            <v>47105188</v>
          </cell>
          <cell r="S127">
            <v>52357989</v>
          </cell>
          <cell r="T127">
            <v>58136347</v>
          </cell>
        </row>
        <row r="128">
          <cell r="R128">
            <v>12397600.467692414</v>
          </cell>
          <cell r="S128">
            <v>13296330.386249218</v>
          </cell>
          <cell r="T128">
            <v>13434652.222909443</v>
          </cell>
        </row>
        <row r="129">
          <cell r="R129" t="str">
            <v>-</v>
          </cell>
          <cell r="S129" t="str">
            <v>-</v>
          </cell>
          <cell r="T129" t="str">
            <v>-</v>
          </cell>
        </row>
        <row r="130">
          <cell r="R130" t="str">
            <v>-</v>
          </cell>
          <cell r="S130" t="str">
            <v>-</v>
          </cell>
          <cell r="T130" t="str">
            <v>-</v>
          </cell>
        </row>
        <row r="131">
          <cell r="R131">
            <v>1160880.6086956523</v>
          </cell>
          <cell r="S131">
            <v>776813.60869565222</v>
          </cell>
          <cell r="T131">
            <v>775313.60869565222</v>
          </cell>
        </row>
        <row r="132">
          <cell r="R132">
            <v>0</v>
          </cell>
          <cell r="S132">
            <v>0</v>
          </cell>
          <cell r="T132">
            <v>0</v>
          </cell>
        </row>
        <row r="138">
          <cell r="R138">
            <v>92360051.432727501</v>
          </cell>
          <cell r="S138">
            <v>86111457.365097493</v>
          </cell>
          <cell r="T138">
            <v>87290671.258897498</v>
          </cell>
        </row>
        <row r="139">
          <cell r="R139">
            <v>11453401.278279999</v>
          </cell>
          <cell r="S139">
            <v>16035917.012</v>
          </cell>
          <cell r="T139">
            <v>18818097.920000002</v>
          </cell>
        </row>
        <row r="140">
          <cell r="R140">
            <v>6745750</v>
          </cell>
          <cell r="S140">
            <v>7113700</v>
          </cell>
          <cell r="T140">
            <v>7604300</v>
          </cell>
        </row>
        <row r="141">
          <cell r="R141">
            <v>4267511.2782799993</v>
          </cell>
          <cell r="S141">
            <v>8586517.0120000001</v>
          </cell>
          <cell r="T141">
            <v>10878097.92</v>
          </cell>
        </row>
        <row r="142">
          <cell r="R142" t="str">
            <v>-</v>
          </cell>
          <cell r="S142" t="str">
            <v>-</v>
          </cell>
          <cell r="T142" t="str">
            <v>-</v>
          </cell>
        </row>
        <row r="143">
          <cell r="R143" t="str">
            <v>-</v>
          </cell>
          <cell r="S143" t="str">
            <v>-</v>
          </cell>
          <cell r="T143" t="str">
            <v>-</v>
          </cell>
        </row>
        <row r="144">
          <cell r="R144">
            <v>440140</v>
          </cell>
          <cell r="S144">
            <v>335700</v>
          </cell>
          <cell r="T144">
            <v>335700</v>
          </cell>
        </row>
        <row r="145">
          <cell r="R145">
            <v>80906650.154447496</v>
          </cell>
          <cell r="S145">
            <v>70075540.353097498</v>
          </cell>
          <cell r="T145">
            <v>68472573.338897496</v>
          </cell>
        </row>
        <row r="146">
          <cell r="R146">
            <v>258390.13199999998</v>
          </cell>
          <cell r="S146">
            <v>259622.23199999996</v>
          </cell>
          <cell r="T146">
            <v>256826.88</v>
          </cell>
        </row>
        <row r="147">
          <cell r="R147">
            <v>17740.055849999997</v>
          </cell>
          <cell r="S147">
            <v>18274.047999999999</v>
          </cell>
          <cell r="T147">
            <v>18231.04</v>
          </cell>
        </row>
        <row r="148">
          <cell r="R148">
            <v>73983188.945700005</v>
          </cell>
          <cell r="S148">
            <v>62950313.052199997</v>
          </cell>
          <cell r="T148">
            <v>61150184.398000002</v>
          </cell>
        </row>
        <row r="149">
          <cell r="R149">
            <v>372801.02089749998</v>
          </cell>
          <cell r="S149">
            <v>372801.02089749998</v>
          </cell>
          <cell r="T149">
            <v>372801.02089749998</v>
          </cell>
        </row>
        <row r="150">
          <cell r="R150">
            <v>6274530</v>
          </cell>
          <cell r="S150">
            <v>6474530</v>
          </cell>
          <cell r="T150">
            <v>6674530</v>
          </cell>
        </row>
        <row r="151">
          <cell r="R151">
            <v>0</v>
          </cell>
          <cell r="S151">
            <v>0</v>
          </cell>
        </row>
        <row r="157">
          <cell r="R157">
            <v>24191596.68020704</v>
          </cell>
          <cell r="S157">
            <v>18692224</v>
          </cell>
          <cell r="T157">
            <v>22324578.636363637</v>
          </cell>
        </row>
        <row r="158">
          <cell r="R158">
            <v>0</v>
          </cell>
          <cell r="S158">
            <v>0</v>
          </cell>
          <cell r="T158">
            <v>0</v>
          </cell>
        </row>
        <row r="159">
          <cell r="R159">
            <v>0</v>
          </cell>
          <cell r="S159">
            <v>0</v>
          </cell>
          <cell r="T159">
            <v>0</v>
          </cell>
        </row>
        <row r="160">
          <cell r="R160" t="str">
            <v>-</v>
          </cell>
          <cell r="S160" t="str">
            <v>-</v>
          </cell>
          <cell r="T160" t="str">
            <v>-</v>
          </cell>
        </row>
        <row r="161">
          <cell r="R161" t="str">
            <v>-</v>
          </cell>
          <cell r="S161" t="str">
            <v>-</v>
          </cell>
          <cell r="T161" t="str">
            <v>-</v>
          </cell>
        </row>
        <row r="162">
          <cell r="R162" t="str">
            <v>-</v>
          </cell>
          <cell r="S162" t="str">
            <v>-</v>
          </cell>
          <cell r="T162" t="str">
            <v>-</v>
          </cell>
        </row>
        <row r="163">
          <cell r="R163" t="str">
            <v>-</v>
          </cell>
          <cell r="S163" t="str">
            <v>-</v>
          </cell>
          <cell r="T163" t="str">
            <v>-</v>
          </cell>
        </row>
        <row r="164">
          <cell r="R164">
            <v>0</v>
          </cell>
          <cell r="S164">
            <v>0</v>
          </cell>
          <cell r="T164">
            <v>0</v>
          </cell>
        </row>
        <row r="165">
          <cell r="R165">
            <v>0</v>
          </cell>
          <cell r="S165">
            <v>0</v>
          </cell>
          <cell r="T165">
            <v>0</v>
          </cell>
        </row>
        <row r="166">
          <cell r="R166" t="str">
            <v>-</v>
          </cell>
          <cell r="S166" t="str">
            <v>-</v>
          </cell>
          <cell r="T166" t="str">
            <v>-</v>
          </cell>
        </row>
        <row r="167">
          <cell r="R167" t="str">
            <v>-</v>
          </cell>
          <cell r="S167" t="str">
            <v>-</v>
          </cell>
          <cell r="T167" t="str">
            <v>-</v>
          </cell>
        </row>
        <row r="168">
          <cell r="R168" t="str">
            <v>-</v>
          </cell>
          <cell r="S168" t="str">
            <v>-</v>
          </cell>
          <cell r="T168" t="str">
            <v>-</v>
          </cell>
        </row>
        <row r="169">
          <cell r="R169">
            <v>0</v>
          </cell>
          <cell r="S169">
            <v>0</v>
          </cell>
          <cell r="T169">
            <v>0</v>
          </cell>
        </row>
        <row r="170">
          <cell r="R170">
            <v>4644999.999716999</v>
          </cell>
          <cell r="S170">
            <v>4102099.9999999995</v>
          </cell>
          <cell r="T170">
            <v>4140800</v>
          </cell>
        </row>
        <row r="171">
          <cell r="R171">
            <v>4201999.9998539994</v>
          </cell>
          <cell r="S171">
            <v>3320439.9999999995</v>
          </cell>
          <cell r="T171">
            <v>3302400</v>
          </cell>
        </row>
        <row r="172">
          <cell r="R172">
            <v>131999.99943</v>
          </cell>
          <cell r="S172">
            <v>516799.99999999994</v>
          </cell>
          <cell r="T172">
            <v>576000</v>
          </cell>
        </row>
        <row r="173">
          <cell r="R173">
            <v>311000.00043299998</v>
          </cell>
          <cell r="S173">
            <v>264860</v>
          </cell>
          <cell r="T173">
            <v>262400</v>
          </cell>
        </row>
        <row r="174">
          <cell r="R174" t="str">
            <v>-</v>
          </cell>
          <cell r="S174" t="str">
            <v>-</v>
          </cell>
          <cell r="T174" t="str">
            <v>-</v>
          </cell>
        </row>
        <row r="176">
          <cell r="R176">
            <v>3869445.9348800434</v>
          </cell>
          <cell r="S176">
            <v>4131952</v>
          </cell>
          <cell r="T176">
            <v>4545407</v>
          </cell>
        </row>
        <row r="177">
          <cell r="R177" t="str">
            <v>-</v>
          </cell>
          <cell r="S177" t="str">
            <v>-</v>
          </cell>
          <cell r="T177" t="str">
            <v>-</v>
          </cell>
        </row>
        <row r="178">
          <cell r="R178" t="str">
            <v>-</v>
          </cell>
          <cell r="S178" t="str">
            <v>-</v>
          </cell>
          <cell r="T178" t="str">
            <v>-</v>
          </cell>
        </row>
        <row r="179">
          <cell r="R179" t="str">
            <v>-</v>
          </cell>
          <cell r="S179" t="str">
            <v>-</v>
          </cell>
          <cell r="T179" t="str">
            <v>-</v>
          </cell>
        </row>
        <row r="180">
          <cell r="R180" t="str">
            <v>-</v>
          </cell>
          <cell r="S180" t="str">
            <v>-</v>
          </cell>
          <cell r="T180" t="str">
            <v>-</v>
          </cell>
        </row>
        <row r="181">
          <cell r="R181">
            <v>3869445.9348800434</v>
          </cell>
          <cell r="S181">
            <v>4131952</v>
          </cell>
          <cell r="T181">
            <v>4545407</v>
          </cell>
        </row>
        <row r="182">
          <cell r="R182">
            <v>9898229</v>
          </cell>
          <cell r="S182">
            <v>2303526</v>
          </cell>
          <cell r="T182">
            <v>2533879</v>
          </cell>
        </row>
        <row r="183">
          <cell r="R183">
            <v>9898229</v>
          </cell>
          <cell r="S183">
            <v>2303526</v>
          </cell>
          <cell r="T183">
            <v>2533879</v>
          </cell>
        </row>
        <row r="184">
          <cell r="R184" t="str">
            <v>-</v>
          </cell>
          <cell r="S184" t="str">
            <v>-</v>
          </cell>
          <cell r="T184" t="str">
            <v>-</v>
          </cell>
        </row>
        <row r="185">
          <cell r="R185" t="str">
            <v>-</v>
          </cell>
          <cell r="S185" t="str">
            <v>-</v>
          </cell>
          <cell r="T185" t="str">
            <v>-</v>
          </cell>
        </row>
        <row r="186">
          <cell r="R186" t="str">
            <v>-</v>
          </cell>
          <cell r="S186" t="str">
            <v>-</v>
          </cell>
          <cell r="T186" t="str">
            <v>-</v>
          </cell>
        </row>
        <row r="187">
          <cell r="R187">
            <v>0</v>
          </cell>
          <cell r="S187">
            <v>0</v>
          </cell>
          <cell r="T187">
            <v>0</v>
          </cell>
        </row>
        <row r="188">
          <cell r="R188">
            <v>376394</v>
          </cell>
          <cell r="S188">
            <v>466218</v>
          </cell>
          <cell r="T188">
            <v>536151</v>
          </cell>
        </row>
        <row r="189">
          <cell r="R189">
            <v>376394</v>
          </cell>
          <cell r="S189">
            <v>466218</v>
          </cell>
          <cell r="T189">
            <v>536151</v>
          </cell>
        </row>
        <row r="190">
          <cell r="R190" t="str">
            <v>-</v>
          </cell>
          <cell r="S190" t="str">
            <v>-</v>
          </cell>
          <cell r="T190" t="str">
            <v>-</v>
          </cell>
        </row>
        <row r="191">
          <cell r="R191" t="str">
            <v>-</v>
          </cell>
          <cell r="S191" t="str">
            <v>-</v>
          </cell>
          <cell r="T191" t="str">
            <v>-</v>
          </cell>
        </row>
        <row r="192">
          <cell r="R192" t="str">
            <v>-</v>
          </cell>
          <cell r="S192" t="str">
            <v>-</v>
          </cell>
          <cell r="T192" t="str">
            <v>-</v>
          </cell>
        </row>
        <row r="193">
          <cell r="R193" t="str">
            <v>-</v>
          </cell>
          <cell r="S193" t="str">
            <v>-</v>
          </cell>
          <cell r="T193" t="str">
            <v>-</v>
          </cell>
        </row>
        <row r="194">
          <cell r="R194">
            <v>2956097</v>
          </cell>
          <cell r="S194">
            <v>3035986</v>
          </cell>
          <cell r="T194">
            <v>3756854</v>
          </cell>
        </row>
        <row r="195">
          <cell r="R195">
            <v>331435</v>
          </cell>
          <cell r="S195">
            <v>293462</v>
          </cell>
          <cell r="T195">
            <v>304282</v>
          </cell>
        </row>
        <row r="196">
          <cell r="R196">
            <v>401210</v>
          </cell>
          <cell r="S196">
            <v>399910</v>
          </cell>
          <cell r="T196">
            <v>416544</v>
          </cell>
        </row>
        <row r="197">
          <cell r="R197">
            <v>541650</v>
          </cell>
          <cell r="S197">
            <v>509300</v>
          </cell>
          <cell r="T197">
            <v>509300</v>
          </cell>
        </row>
        <row r="198">
          <cell r="R198">
            <v>1247188</v>
          </cell>
          <cell r="S198">
            <v>1179740</v>
          </cell>
          <cell r="T198">
            <v>1296800</v>
          </cell>
        </row>
        <row r="199">
          <cell r="R199">
            <v>434614</v>
          </cell>
          <cell r="S199">
            <v>653574</v>
          </cell>
          <cell r="T199">
            <v>1229928</v>
          </cell>
        </row>
        <row r="200">
          <cell r="R200">
            <v>1903717</v>
          </cell>
          <cell r="S200">
            <v>2072442</v>
          </cell>
          <cell r="T200">
            <v>2215124</v>
          </cell>
        </row>
        <row r="201">
          <cell r="R201" t="str">
            <v>-</v>
          </cell>
          <cell r="S201" t="str">
            <v>-</v>
          </cell>
          <cell r="T201" t="str">
            <v>-</v>
          </cell>
        </row>
        <row r="202">
          <cell r="R202" t="str">
            <v>-</v>
          </cell>
          <cell r="S202" t="str">
            <v>-</v>
          </cell>
          <cell r="T202" t="str">
            <v>-</v>
          </cell>
        </row>
        <row r="203">
          <cell r="R203" t="str">
            <v>-</v>
          </cell>
          <cell r="S203" t="str">
            <v>-</v>
          </cell>
          <cell r="T203" t="str">
            <v>-</v>
          </cell>
        </row>
        <row r="204">
          <cell r="R204" t="str">
            <v>-</v>
          </cell>
          <cell r="S204" t="str">
            <v>-</v>
          </cell>
          <cell r="T204" t="str">
            <v>-</v>
          </cell>
        </row>
        <row r="205">
          <cell r="R205">
            <v>1903717</v>
          </cell>
          <cell r="S205">
            <v>2072442</v>
          </cell>
          <cell r="T205">
            <v>2215124</v>
          </cell>
        </row>
        <row r="206">
          <cell r="R206">
            <v>542713.74560999998</v>
          </cell>
          <cell r="S206">
            <v>2580000</v>
          </cell>
          <cell r="T206">
            <v>4596363.6363636358</v>
          </cell>
        </row>
        <row r="207">
          <cell r="R207" t="str">
            <v>-</v>
          </cell>
          <cell r="S207" t="str">
            <v>-</v>
          </cell>
          <cell r="T207" t="str">
            <v>-</v>
          </cell>
        </row>
        <row r="208">
          <cell r="R208" t="str">
            <v>-</v>
          </cell>
          <cell r="S208" t="str">
            <v>-</v>
          </cell>
          <cell r="T208" t="str">
            <v>-</v>
          </cell>
        </row>
        <row r="209">
          <cell r="R209">
            <v>0</v>
          </cell>
          <cell r="S209">
            <v>0</v>
          </cell>
          <cell r="T209">
            <v>0</v>
          </cell>
        </row>
        <row r="210">
          <cell r="R210" t="str">
            <v>-</v>
          </cell>
          <cell r="S210" t="str">
            <v>-</v>
          </cell>
          <cell r="T210" t="str">
            <v>-</v>
          </cell>
        </row>
        <row r="211">
          <cell r="R211">
            <v>542713.74560999998</v>
          </cell>
          <cell r="S211">
            <v>2580000</v>
          </cell>
          <cell r="T211">
            <v>4596363.6363636358</v>
          </cell>
        </row>
        <row r="212">
          <cell r="R212">
            <v>0</v>
          </cell>
          <cell r="S212">
            <v>0</v>
          </cell>
          <cell r="T212">
            <v>0</v>
          </cell>
        </row>
        <row r="218">
          <cell r="R218">
            <v>0</v>
          </cell>
          <cell r="S218">
            <v>0</v>
          </cell>
          <cell r="T218">
            <v>0</v>
          </cell>
        </row>
        <row r="224">
          <cell r="R224">
            <v>1445813.5448197101</v>
          </cell>
          <cell r="S224">
            <v>1765597.3710610881</v>
          </cell>
          <cell r="T224">
            <v>1998569.4628146994</v>
          </cell>
        </row>
        <row r="225">
          <cell r="R225">
            <v>730435</v>
          </cell>
          <cell r="S225">
            <v>766956.75</v>
          </cell>
          <cell r="T225">
            <v>805304.58750000002</v>
          </cell>
        </row>
        <row r="226">
          <cell r="R226" t="str">
            <v>-</v>
          </cell>
          <cell r="S226" t="str">
            <v>-</v>
          </cell>
          <cell r="T226" t="str">
            <v>-</v>
          </cell>
        </row>
        <row r="228">
          <cell r="R228" t="str">
            <v>-</v>
          </cell>
          <cell r="S228" t="str">
            <v>-</v>
          </cell>
          <cell r="T228" t="str">
            <v>-</v>
          </cell>
        </row>
        <row r="229">
          <cell r="R229" t="str">
            <v>-</v>
          </cell>
          <cell r="S229" t="str">
            <v>-</v>
          </cell>
          <cell r="T229" t="str">
            <v>-</v>
          </cell>
        </row>
        <row r="230">
          <cell r="R230">
            <v>730435</v>
          </cell>
          <cell r="S230">
            <v>766956.75</v>
          </cell>
          <cell r="T230">
            <v>805304.58750000002</v>
          </cell>
        </row>
        <row r="231">
          <cell r="R231">
            <v>715378.54481971008</v>
          </cell>
          <cell r="S231">
            <v>998640.62106108794</v>
          </cell>
          <cell r="T231">
            <v>1193264.8753146993</v>
          </cell>
        </row>
        <row r="232">
          <cell r="R232" t="str">
            <v>-</v>
          </cell>
          <cell r="S232" t="str">
            <v>-</v>
          </cell>
          <cell r="T232" t="str">
            <v>-</v>
          </cell>
        </row>
        <row r="233">
          <cell r="R233" t="str">
            <v>-</v>
          </cell>
          <cell r="S233" t="str">
            <v>-</v>
          </cell>
          <cell r="T233" t="str">
            <v>-</v>
          </cell>
        </row>
        <row r="234">
          <cell r="R234" t="str">
            <v>-</v>
          </cell>
          <cell r="S234" t="str">
            <v>-</v>
          </cell>
          <cell r="T234" t="str">
            <v>-</v>
          </cell>
        </row>
        <row r="235">
          <cell r="R235" t="str">
            <v>-</v>
          </cell>
          <cell r="S235" t="str">
            <v>-</v>
          </cell>
          <cell r="T235" t="str">
            <v>-</v>
          </cell>
        </row>
        <row r="236">
          <cell r="R236">
            <v>715378.54481971008</v>
          </cell>
          <cell r="S236">
            <v>998640.62106108794</v>
          </cell>
          <cell r="T236">
            <v>1193264.8753146993</v>
          </cell>
        </row>
        <row r="237">
          <cell r="R237">
            <v>0</v>
          </cell>
          <cell r="S237">
            <v>0</v>
          </cell>
          <cell r="T237">
            <v>0</v>
          </cell>
        </row>
        <row r="243">
          <cell r="R243">
            <v>14039957</v>
          </cell>
          <cell r="S243">
            <v>13462160</v>
          </cell>
          <cell r="T243">
            <v>13462160</v>
          </cell>
        </row>
        <row r="244">
          <cell r="R244">
            <v>14039957</v>
          </cell>
          <cell r="S244">
            <v>13462160</v>
          </cell>
          <cell r="T244">
            <v>13462160</v>
          </cell>
        </row>
        <row r="245">
          <cell r="R245" t="str">
            <v>-</v>
          </cell>
          <cell r="S245" t="str">
            <v>-</v>
          </cell>
          <cell r="T245" t="str">
            <v>-</v>
          </cell>
        </row>
        <row r="246">
          <cell r="R246" t="str">
            <v>-</v>
          </cell>
          <cell r="S246" t="str">
            <v>-</v>
          </cell>
          <cell r="T246" t="str">
            <v>-</v>
          </cell>
        </row>
        <row r="247">
          <cell r="R247" t="str">
            <v>-</v>
          </cell>
          <cell r="S247" t="str">
            <v>-</v>
          </cell>
          <cell r="T247" t="str">
            <v>-</v>
          </cell>
        </row>
        <row r="248">
          <cell r="R248" t="str">
            <v>-</v>
          </cell>
          <cell r="S248" t="str">
            <v>-</v>
          </cell>
          <cell r="T248" t="str">
            <v>-</v>
          </cell>
        </row>
        <row r="249">
          <cell r="R249">
            <v>14039957</v>
          </cell>
          <cell r="S249">
            <v>13462160</v>
          </cell>
          <cell r="T249">
            <v>13462160</v>
          </cell>
        </row>
        <row r="250">
          <cell r="R250">
            <v>366698542.02723891</v>
          </cell>
          <cell r="S250">
            <v>338617382.68060005</v>
          </cell>
          <cell r="T250">
            <v>340360010.60400003</v>
          </cell>
        </row>
        <row r="251">
          <cell r="R251">
            <v>189186986.15211999</v>
          </cell>
          <cell r="S251">
            <v>164025152.88840002</v>
          </cell>
          <cell r="T251">
            <v>160674913.53599998</v>
          </cell>
        </row>
        <row r="252">
          <cell r="R252">
            <v>189186986.15211999</v>
          </cell>
          <cell r="S252">
            <v>164025152.88840002</v>
          </cell>
          <cell r="T252">
            <v>160674913.53599998</v>
          </cell>
        </row>
        <row r="254">
          <cell r="R254">
            <v>0</v>
          </cell>
          <cell r="S254">
            <v>0</v>
          </cell>
          <cell r="T254">
            <v>0</v>
          </cell>
        </row>
        <row r="255">
          <cell r="R255">
            <v>0</v>
          </cell>
          <cell r="S255">
            <v>0</v>
          </cell>
          <cell r="T255">
            <v>0</v>
          </cell>
        </row>
        <row r="256">
          <cell r="R256">
            <v>105172353.60999998</v>
          </cell>
          <cell r="S256">
            <v>112942297.94400001</v>
          </cell>
          <cell r="T256">
            <v>119783753.63</v>
          </cell>
        </row>
        <row r="257">
          <cell r="R257">
            <v>59853287.609999992</v>
          </cell>
          <cell r="S257">
            <v>62378634.943999998</v>
          </cell>
          <cell r="T257">
            <v>63456341.630000003</v>
          </cell>
        </row>
        <row r="258">
          <cell r="R258">
            <v>48888675.209999993</v>
          </cell>
          <cell r="S258">
            <v>54323093.343999997</v>
          </cell>
          <cell r="T258">
            <v>55250914.43</v>
          </cell>
        </row>
        <row r="259">
          <cell r="R259">
            <v>10964612.399999999</v>
          </cell>
          <cell r="S259">
            <v>8055541.5999999996</v>
          </cell>
          <cell r="T259">
            <v>8205427.2000000002</v>
          </cell>
        </row>
        <row r="260">
          <cell r="R260">
            <v>0</v>
          </cell>
          <cell r="S260">
            <v>0</v>
          </cell>
          <cell r="T260">
            <v>0</v>
          </cell>
        </row>
        <row r="261">
          <cell r="R261">
            <v>45319066</v>
          </cell>
          <cell r="S261">
            <v>50563663</v>
          </cell>
          <cell r="T261">
            <v>56327412</v>
          </cell>
        </row>
        <row r="262">
          <cell r="R262">
            <v>45319066</v>
          </cell>
          <cell r="S262">
            <v>50563663</v>
          </cell>
          <cell r="T262">
            <v>56327412</v>
          </cell>
        </row>
        <row r="264">
          <cell r="R264">
            <v>72339202.265118912</v>
          </cell>
          <cell r="S264">
            <v>61649931.848199993</v>
          </cell>
          <cell r="T264">
            <v>59901343.438000001</v>
          </cell>
        </row>
        <row r="265">
          <cell r="R265">
            <v>0</v>
          </cell>
          <cell r="S265">
            <v>0</v>
          </cell>
          <cell r="T265">
            <v>0</v>
          </cell>
        </row>
        <row r="266">
          <cell r="R266">
            <v>72339202.265118912</v>
          </cell>
          <cell r="S266">
            <v>61649931.848199993</v>
          </cell>
          <cell r="T266">
            <v>59901343.438000001</v>
          </cell>
        </row>
        <row r="270">
          <cell r="R270">
            <v>0</v>
          </cell>
          <cell r="S270">
            <v>0</v>
          </cell>
          <cell r="T270">
            <v>0</v>
          </cell>
        </row>
        <row r="271">
          <cell r="R271">
            <v>0</v>
          </cell>
          <cell r="S271">
            <v>0</v>
          </cell>
          <cell r="T271">
            <v>0</v>
          </cell>
        </row>
        <row r="272">
          <cell r="R272">
            <v>0</v>
          </cell>
          <cell r="S272">
            <v>0</v>
          </cell>
          <cell r="T272">
            <v>0</v>
          </cell>
        </row>
        <row r="273">
          <cell r="R273">
            <v>0</v>
          </cell>
          <cell r="S273">
            <v>0</v>
          </cell>
          <cell r="T273">
            <v>0</v>
          </cell>
        </row>
        <row r="274">
          <cell r="R274">
            <v>0</v>
          </cell>
          <cell r="S274">
            <v>0</v>
          </cell>
          <cell r="T274">
            <v>0</v>
          </cell>
        </row>
        <row r="275">
          <cell r="R275">
            <v>0</v>
          </cell>
          <cell r="S275">
            <v>0</v>
          </cell>
          <cell r="T275">
            <v>0</v>
          </cell>
        </row>
        <row r="276">
          <cell r="R276">
            <v>0</v>
          </cell>
          <cell r="S276">
            <v>0</v>
          </cell>
          <cell r="T276">
            <v>0</v>
          </cell>
        </row>
        <row r="277">
          <cell r="R277">
            <v>0</v>
          </cell>
          <cell r="S277">
            <v>0</v>
          </cell>
          <cell r="T277">
            <v>0</v>
          </cell>
        </row>
        <row r="278">
          <cell r="R278">
            <v>0</v>
          </cell>
          <cell r="S278">
            <v>0</v>
          </cell>
          <cell r="T278">
            <v>0</v>
          </cell>
        </row>
        <row r="279">
          <cell r="R279">
            <v>0</v>
          </cell>
          <cell r="S279">
            <v>0</v>
          </cell>
          <cell r="T279">
            <v>0</v>
          </cell>
        </row>
        <row r="282">
          <cell r="R282">
            <v>0</v>
          </cell>
          <cell r="S282">
            <v>0</v>
          </cell>
          <cell r="T282">
            <v>0</v>
          </cell>
        </row>
        <row r="283">
          <cell r="R283">
            <v>0</v>
          </cell>
          <cell r="S283">
            <v>0</v>
          </cell>
          <cell r="T283">
            <v>0</v>
          </cell>
        </row>
        <row r="284">
          <cell r="R284">
            <v>0</v>
          </cell>
          <cell r="S284">
            <v>0</v>
          </cell>
          <cell r="T284">
            <v>0</v>
          </cell>
        </row>
        <row r="286">
          <cell r="R286">
            <v>0</v>
          </cell>
          <cell r="S286">
            <v>0</v>
          </cell>
          <cell r="T286">
            <v>0</v>
          </cell>
        </row>
        <row r="287">
          <cell r="R287">
            <v>0</v>
          </cell>
          <cell r="S287">
            <v>0</v>
          </cell>
          <cell r="T287">
            <v>0</v>
          </cell>
        </row>
        <row r="290">
          <cell r="R290">
            <v>57769998.120000005</v>
          </cell>
          <cell r="S290">
            <v>58248752.68</v>
          </cell>
          <cell r="T290">
            <v>62089133.200000003</v>
          </cell>
        </row>
        <row r="291">
          <cell r="R291">
            <v>12683500.120000001</v>
          </cell>
          <cell r="S291">
            <v>10256593.680000002</v>
          </cell>
          <cell r="T291">
            <v>9883699.2000000011</v>
          </cell>
        </row>
        <row r="292">
          <cell r="R292">
            <v>12683500.120000001</v>
          </cell>
          <cell r="S292">
            <v>10256593.680000002</v>
          </cell>
          <cell r="T292">
            <v>9883699.2000000011</v>
          </cell>
        </row>
        <row r="294">
          <cell r="R294">
            <v>0</v>
          </cell>
          <cell r="S294">
            <v>0</v>
          </cell>
          <cell r="T294">
            <v>0</v>
          </cell>
        </row>
        <row r="295">
          <cell r="R295">
            <v>0</v>
          </cell>
          <cell r="S295">
            <v>0</v>
          </cell>
          <cell r="T295">
            <v>0</v>
          </cell>
        </row>
        <row r="296">
          <cell r="R296">
            <v>45046988</v>
          </cell>
          <cell r="S296">
            <v>47953399</v>
          </cell>
          <cell r="T296">
            <v>52167034</v>
          </cell>
        </row>
        <row r="297">
          <cell r="R297">
            <v>2607659.9999999995</v>
          </cell>
          <cell r="S297">
            <v>2170560</v>
          </cell>
          <cell r="T297">
            <v>2150400</v>
          </cell>
        </row>
        <row r="298">
          <cell r="R298">
            <v>0</v>
          </cell>
          <cell r="S298">
            <v>0</v>
          </cell>
          <cell r="T298">
            <v>0</v>
          </cell>
        </row>
        <row r="299">
          <cell r="R299">
            <v>2607659.9999999995</v>
          </cell>
          <cell r="S299">
            <v>2170560</v>
          </cell>
          <cell r="T299">
            <v>2150400</v>
          </cell>
        </row>
        <row r="300">
          <cell r="R300">
            <v>0</v>
          </cell>
          <cell r="S300">
            <v>0</v>
          </cell>
          <cell r="T300">
            <v>0</v>
          </cell>
        </row>
        <row r="301">
          <cell r="R301">
            <v>42439328</v>
          </cell>
          <cell r="S301">
            <v>45782839</v>
          </cell>
          <cell r="T301">
            <v>50016634</v>
          </cell>
        </row>
        <row r="302">
          <cell r="R302">
            <v>42439328</v>
          </cell>
          <cell r="S302">
            <v>45782839</v>
          </cell>
          <cell r="T302">
            <v>50016634</v>
          </cell>
        </row>
        <row r="304">
          <cell r="R304">
            <v>39509.999999999993</v>
          </cell>
          <cell r="S304">
            <v>38759.999999999993</v>
          </cell>
          <cell r="T304">
            <v>38400</v>
          </cell>
        </row>
        <row r="305">
          <cell r="R305">
            <v>0</v>
          </cell>
          <cell r="S305">
            <v>0</v>
          </cell>
          <cell r="T305">
            <v>0</v>
          </cell>
        </row>
        <row r="306">
          <cell r="R306">
            <v>39509.999999999993</v>
          </cell>
          <cell r="S306">
            <v>38759.999999999993</v>
          </cell>
          <cell r="T306">
            <v>38400</v>
          </cell>
        </row>
        <row r="310">
          <cell r="R310">
            <v>0</v>
          </cell>
          <cell r="S310">
            <v>0</v>
          </cell>
          <cell r="T310">
            <v>0</v>
          </cell>
        </row>
        <row r="311">
          <cell r="R311">
            <v>0</v>
          </cell>
          <cell r="S311">
            <v>0</v>
          </cell>
          <cell r="T311">
            <v>0</v>
          </cell>
        </row>
        <row r="312">
          <cell r="R312">
            <v>0</v>
          </cell>
          <cell r="S312">
            <v>0</v>
          </cell>
          <cell r="T312">
            <v>0</v>
          </cell>
        </row>
        <row r="313">
          <cell r="R313">
            <v>0</v>
          </cell>
          <cell r="S313">
            <v>0</v>
          </cell>
          <cell r="T313">
            <v>0</v>
          </cell>
        </row>
        <row r="314">
          <cell r="R314">
            <v>0</v>
          </cell>
          <cell r="S314">
            <v>0</v>
          </cell>
          <cell r="T314">
            <v>0</v>
          </cell>
        </row>
        <row r="315">
          <cell r="R315">
            <v>0</v>
          </cell>
          <cell r="S315">
            <v>0</v>
          </cell>
          <cell r="T315">
            <v>0</v>
          </cell>
        </row>
        <row r="316">
          <cell r="R316">
            <v>0</v>
          </cell>
          <cell r="S316">
            <v>0</v>
          </cell>
          <cell r="T316">
            <v>0</v>
          </cell>
        </row>
        <row r="317">
          <cell r="R317">
            <v>0</v>
          </cell>
          <cell r="S317">
            <v>0</v>
          </cell>
          <cell r="T317">
            <v>0</v>
          </cell>
        </row>
        <row r="318">
          <cell r="R318">
            <v>0</v>
          </cell>
          <cell r="S318">
            <v>0</v>
          </cell>
          <cell r="T318">
            <v>0</v>
          </cell>
        </row>
        <row r="319">
          <cell r="R319">
            <v>0</v>
          </cell>
          <cell r="S319">
            <v>0</v>
          </cell>
          <cell r="T319">
            <v>0</v>
          </cell>
        </row>
        <row r="322">
          <cell r="R322">
            <v>0</v>
          </cell>
          <cell r="S322">
            <v>0</v>
          </cell>
          <cell r="T322">
            <v>0</v>
          </cell>
        </row>
        <row r="323">
          <cell r="R323">
            <v>0</v>
          </cell>
          <cell r="S323">
            <v>0</v>
          </cell>
          <cell r="T323">
            <v>0</v>
          </cell>
        </row>
        <row r="324">
          <cell r="R324">
            <v>0</v>
          </cell>
          <cell r="S324">
            <v>0</v>
          </cell>
          <cell r="T324">
            <v>0</v>
          </cell>
        </row>
        <row r="326">
          <cell r="R326">
            <v>0</v>
          </cell>
          <cell r="S326">
            <v>0</v>
          </cell>
          <cell r="T326">
            <v>0</v>
          </cell>
        </row>
        <row r="327">
          <cell r="R327">
            <v>0</v>
          </cell>
          <cell r="S327">
            <v>0</v>
          </cell>
          <cell r="T327">
            <v>0</v>
          </cell>
        </row>
        <row r="330">
          <cell r="R330">
            <v>308928543.9072389</v>
          </cell>
          <cell r="S330">
            <v>280368630.00059998</v>
          </cell>
          <cell r="T330">
            <v>278270877.40399998</v>
          </cell>
        </row>
        <row r="331">
          <cell r="R331">
            <v>176503486.03211999</v>
          </cell>
          <cell r="S331">
            <v>153768559.20840001</v>
          </cell>
          <cell r="T331">
            <v>150791214.336</v>
          </cell>
        </row>
        <row r="332">
          <cell r="R332">
            <v>176503486.03211999</v>
          </cell>
          <cell r="S332">
            <v>153768559.20840001</v>
          </cell>
          <cell r="T332">
            <v>150791214.336</v>
          </cell>
        </row>
        <row r="334">
          <cell r="R334">
            <v>0</v>
          </cell>
          <cell r="S334">
            <v>0</v>
          </cell>
          <cell r="T334">
            <v>0</v>
          </cell>
        </row>
        <row r="335">
          <cell r="R335">
            <v>0</v>
          </cell>
          <cell r="S335">
            <v>0</v>
          </cell>
          <cell r="T335">
            <v>0</v>
          </cell>
        </row>
        <row r="336">
          <cell r="R336">
            <v>60125365.609999992</v>
          </cell>
          <cell r="S336">
            <v>64988898.943999998</v>
          </cell>
          <cell r="T336">
            <v>67616719.629999995</v>
          </cell>
        </row>
        <row r="337">
          <cell r="R337">
            <v>57245627.609999992</v>
          </cell>
          <cell r="S337">
            <v>60208074.943999998</v>
          </cell>
          <cell r="T337">
            <v>61305941.630000003</v>
          </cell>
        </row>
        <row r="338">
          <cell r="R338">
            <v>48888675.209999993</v>
          </cell>
          <cell r="S338">
            <v>54323093.343999997</v>
          </cell>
          <cell r="T338">
            <v>55250914.43</v>
          </cell>
        </row>
        <row r="339">
          <cell r="R339">
            <v>8356952.3999999985</v>
          </cell>
          <cell r="S339">
            <v>5884981.5999999996</v>
          </cell>
          <cell r="T339">
            <v>6055027.2000000002</v>
          </cell>
        </row>
        <row r="340">
          <cell r="R340">
            <v>0</v>
          </cell>
          <cell r="S340">
            <v>0</v>
          </cell>
          <cell r="T340">
            <v>0</v>
          </cell>
        </row>
        <row r="341">
          <cell r="R341">
            <v>2879738</v>
          </cell>
          <cell r="S341">
            <v>4780824</v>
          </cell>
          <cell r="T341">
            <v>6310778</v>
          </cell>
        </row>
        <row r="342">
          <cell r="R342">
            <v>2879738</v>
          </cell>
          <cell r="S342">
            <v>4780824</v>
          </cell>
          <cell r="T342">
            <v>6310778</v>
          </cell>
        </row>
        <row r="344">
          <cell r="R344">
            <v>72299692.265118912</v>
          </cell>
          <cell r="S344">
            <v>61611171.848199993</v>
          </cell>
          <cell r="T344">
            <v>59862943.438000001</v>
          </cell>
        </row>
        <row r="345">
          <cell r="R345">
            <v>0</v>
          </cell>
          <cell r="S345">
            <v>0</v>
          </cell>
          <cell r="T345">
            <v>0</v>
          </cell>
        </row>
        <row r="346">
          <cell r="R346">
            <v>72299692.265118912</v>
          </cell>
          <cell r="S346">
            <v>61611171.848199993</v>
          </cell>
          <cell r="T346">
            <v>59862943.438000001</v>
          </cell>
        </row>
        <row r="350">
          <cell r="R350">
            <v>0</v>
          </cell>
          <cell r="S350">
            <v>0</v>
          </cell>
          <cell r="T350">
            <v>0</v>
          </cell>
        </row>
        <row r="351">
          <cell r="R351">
            <v>0</v>
          </cell>
          <cell r="S351">
            <v>0</v>
          </cell>
          <cell r="T351">
            <v>0</v>
          </cell>
        </row>
        <row r="352">
          <cell r="R352">
            <v>0</v>
          </cell>
          <cell r="S352">
            <v>0</v>
          </cell>
          <cell r="T352">
            <v>0</v>
          </cell>
        </row>
        <row r="353">
          <cell r="R353">
            <v>0</v>
          </cell>
          <cell r="S353">
            <v>0</v>
          </cell>
          <cell r="T353">
            <v>0</v>
          </cell>
        </row>
        <row r="354">
          <cell r="R354">
            <v>0</v>
          </cell>
          <cell r="S354">
            <v>0</v>
          </cell>
          <cell r="T354">
            <v>0</v>
          </cell>
        </row>
        <row r="355">
          <cell r="R355">
            <v>0</v>
          </cell>
          <cell r="S355">
            <v>0</v>
          </cell>
          <cell r="T355">
            <v>0</v>
          </cell>
        </row>
        <row r="356">
          <cell r="R356">
            <v>0</v>
          </cell>
          <cell r="S356">
            <v>0</v>
          </cell>
          <cell r="T356">
            <v>0</v>
          </cell>
        </row>
        <row r="357">
          <cell r="R357">
            <v>0</v>
          </cell>
          <cell r="S357">
            <v>0</v>
          </cell>
          <cell r="T357">
            <v>0</v>
          </cell>
        </row>
        <row r="358">
          <cell r="R358">
            <v>0</v>
          </cell>
          <cell r="S358">
            <v>0</v>
          </cell>
          <cell r="T358">
            <v>0</v>
          </cell>
        </row>
        <row r="359">
          <cell r="R359">
            <v>0</v>
          </cell>
          <cell r="S359">
            <v>0</v>
          </cell>
          <cell r="T359">
            <v>0</v>
          </cell>
        </row>
        <row r="362">
          <cell r="R362">
            <v>0</v>
          </cell>
          <cell r="S362">
            <v>0</v>
          </cell>
          <cell r="T362">
            <v>0</v>
          </cell>
        </row>
        <row r="363">
          <cell r="R363">
            <v>0</v>
          </cell>
          <cell r="S363">
            <v>0</v>
          </cell>
          <cell r="T363">
            <v>0</v>
          </cell>
        </row>
        <row r="364">
          <cell r="R364">
            <v>0</v>
          </cell>
          <cell r="S364">
            <v>0</v>
          </cell>
          <cell r="T364">
            <v>0</v>
          </cell>
        </row>
        <row r="366">
          <cell r="R366">
            <v>0</v>
          </cell>
          <cell r="S366">
            <v>0</v>
          </cell>
          <cell r="T366">
            <v>0</v>
          </cell>
        </row>
        <row r="367">
          <cell r="R367">
            <v>0</v>
          </cell>
          <cell r="S367">
            <v>0</v>
          </cell>
          <cell r="T367">
            <v>0</v>
          </cell>
        </row>
        <row r="370">
          <cell r="R370">
            <v>366302500.02723891</v>
          </cell>
          <cell r="S370">
            <v>338614382.68060005</v>
          </cell>
          <cell r="T370">
            <v>340357010.60400003</v>
          </cell>
        </row>
        <row r="371">
          <cell r="R371">
            <v>189186986.15211999</v>
          </cell>
          <cell r="S371">
            <v>164025152.88840002</v>
          </cell>
          <cell r="T371">
            <v>160674913.53599998</v>
          </cell>
        </row>
        <row r="372">
          <cell r="R372">
            <v>189186986.15211999</v>
          </cell>
          <cell r="S372">
            <v>164025152.88840002</v>
          </cell>
          <cell r="T372">
            <v>160674913.53599998</v>
          </cell>
        </row>
        <row r="373">
          <cell r="R373">
            <v>189186986.15211999</v>
          </cell>
          <cell r="S373">
            <v>164025152.88840002</v>
          </cell>
          <cell r="T373">
            <v>160674913.53599998</v>
          </cell>
        </row>
        <row r="374">
          <cell r="R374">
            <v>0</v>
          </cell>
          <cell r="S374">
            <v>0</v>
          </cell>
          <cell r="T374">
            <v>0</v>
          </cell>
        </row>
        <row r="375">
          <cell r="R375">
            <v>0</v>
          </cell>
          <cell r="S375">
            <v>0</v>
          </cell>
          <cell r="T375">
            <v>0</v>
          </cell>
        </row>
        <row r="376">
          <cell r="R376">
            <v>0</v>
          </cell>
          <cell r="S376">
            <v>0</v>
          </cell>
          <cell r="T376">
            <v>0</v>
          </cell>
        </row>
        <row r="377">
          <cell r="R377" t="str">
            <v>-</v>
          </cell>
          <cell r="S377" t="str">
            <v>-</v>
          </cell>
          <cell r="T377" t="str">
            <v>-</v>
          </cell>
        </row>
        <row r="378">
          <cell r="R378">
            <v>0</v>
          </cell>
          <cell r="S378">
            <v>0</v>
          </cell>
          <cell r="T378">
            <v>0</v>
          </cell>
        </row>
        <row r="379">
          <cell r="R379">
            <v>0</v>
          </cell>
          <cell r="S379">
            <v>0</v>
          </cell>
          <cell r="T379">
            <v>0</v>
          </cell>
        </row>
        <row r="385">
          <cell r="R385">
            <v>0</v>
          </cell>
          <cell r="S385">
            <v>0</v>
          </cell>
          <cell r="T385">
            <v>0</v>
          </cell>
        </row>
        <row r="386">
          <cell r="R386" t="str">
            <v>-</v>
          </cell>
          <cell r="S386" t="str">
            <v>-</v>
          </cell>
          <cell r="T386" t="str">
            <v>-</v>
          </cell>
        </row>
        <row r="387">
          <cell r="R387">
            <v>0</v>
          </cell>
          <cell r="S387">
            <v>0</v>
          </cell>
          <cell r="T387">
            <v>0</v>
          </cell>
        </row>
        <row r="388">
          <cell r="R388" t="str">
            <v>-</v>
          </cell>
          <cell r="S388" t="str">
            <v>-</v>
          </cell>
          <cell r="T388" t="str">
            <v>-</v>
          </cell>
        </row>
        <row r="389">
          <cell r="R389" t="str">
            <v>-</v>
          </cell>
          <cell r="S389" t="str">
            <v>-</v>
          </cell>
          <cell r="T389" t="str">
            <v>-</v>
          </cell>
        </row>
        <row r="390">
          <cell r="R390" t="str">
            <v>-</v>
          </cell>
          <cell r="S390" t="str">
            <v>-</v>
          </cell>
          <cell r="T390" t="str">
            <v>-</v>
          </cell>
        </row>
        <row r="391">
          <cell r="R391">
            <v>0</v>
          </cell>
          <cell r="S391">
            <v>0</v>
          </cell>
          <cell r="T391">
            <v>0</v>
          </cell>
        </row>
        <row r="397">
          <cell r="R397">
            <v>104776311.60999998</v>
          </cell>
          <cell r="S397">
            <v>112939297.94400001</v>
          </cell>
          <cell r="T397">
            <v>119780753.63</v>
          </cell>
        </row>
        <row r="398">
          <cell r="R398">
            <v>59457245.609999992</v>
          </cell>
          <cell r="S398">
            <v>62375634.943999998</v>
          </cell>
          <cell r="T398">
            <v>63453341.630000003</v>
          </cell>
        </row>
        <row r="399">
          <cell r="R399">
            <v>48888675.209999993</v>
          </cell>
          <cell r="S399">
            <v>54323093.343999997</v>
          </cell>
          <cell r="T399">
            <v>55250914.43</v>
          </cell>
        </row>
        <row r="400">
          <cell r="R400">
            <v>48888675.209999993</v>
          </cell>
          <cell r="S400">
            <v>54323093.343999997</v>
          </cell>
          <cell r="T400">
            <v>55250914.43</v>
          </cell>
        </row>
        <row r="401">
          <cell r="R401" t="str">
            <v>-</v>
          </cell>
          <cell r="S401" t="str">
            <v>-</v>
          </cell>
          <cell r="T401" t="str">
            <v>-</v>
          </cell>
        </row>
        <row r="402">
          <cell r="R402" t="str">
            <v>-</v>
          </cell>
          <cell r="S402" t="str">
            <v>-</v>
          </cell>
          <cell r="T402" t="str">
            <v>-</v>
          </cell>
        </row>
        <row r="403">
          <cell r="R403" t="str">
            <v>-</v>
          </cell>
          <cell r="S403" t="str">
            <v>-</v>
          </cell>
          <cell r="T403" t="str">
            <v>-</v>
          </cell>
        </row>
        <row r="404">
          <cell r="R404" t="str">
            <v>-</v>
          </cell>
          <cell r="S404" t="str">
            <v>-</v>
          </cell>
          <cell r="T404" t="str">
            <v>-</v>
          </cell>
        </row>
        <row r="405">
          <cell r="R405">
            <v>10568570.399999999</v>
          </cell>
          <cell r="S405">
            <v>8052541.5999999996</v>
          </cell>
          <cell r="T405">
            <v>8202427.2000000002</v>
          </cell>
        </row>
        <row r="406">
          <cell r="R406">
            <v>8960867.9999999981</v>
          </cell>
          <cell r="S406">
            <v>6770080</v>
          </cell>
          <cell r="T406">
            <v>6912000</v>
          </cell>
        </row>
        <row r="407">
          <cell r="R407">
            <v>1607702.4</v>
          </cell>
          <cell r="S407">
            <v>1282461.6000000001</v>
          </cell>
          <cell r="T407">
            <v>1290427.2</v>
          </cell>
        </row>
        <row r="408">
          <cell r="R408" t="str">
            <v>-</v>
          </cell>
          <cell r="S408" t="str">
            <v>-</v>
          </cell>
          <cell r="T408" t="str">
            <v>-</v>
          </cell>
        </row>
        <row r="409">
          <cell r="R409" t="str">
            <v>-</v>
          </cell>
          <cell r="S409" t="str">
            <v>-</v>
          </cell>
          <cell r="T409" t="str">
            <v>-</v>
          </cell>
        </row>
        <row r="410">
          <cell r="R410" t="str">
            <v>-</v>
          </cell>
          <cell r="S410" t="str">
            <v>-</v>
          </cell>
          <cell r="T410" t="str">
            <v>-</v>
          </cell>
        </row>
        <row r="411">
          <cell r="R411">
            <v>0</v>
          </cell>
          <cell r="S411">
            <v>0</v>
          </cell>
          <cell r="T411">
            <v>0</v>
          </cell>
        </row>
        <row r="412">
          <cell r="R412" t="str">
            <v>-</v>
          </cell>
          <cell r="S412" t="str">
            <v>-</v>
          </cell>
          <cell r="T412" t="str">
            <v>-</v>
          </cell>
        </row>
        <row r="413">
          <cell r="R413" t="str">
            <v>-</v>
          </cell>
          <cell r="S413" t="str">
            <v>-</v>
          </cell>
          <cell r="T413" t="str">
            <v>-</v>
          </cell>
        </row>
        <row r="414">
          <cell r="R414" t="str">
            <v>-</v>
          </cell>
          <cell r="S414" t="str">
            <v>-</v>
          </cell>
          <cell r="T414" t="str">
            <v>-</v>
          </cell>
        </row>
        <row r="415">
          <cell r="R415" t="str">
            <v>-</v>
          </cell>
          <cell r="S415" t="str">
            <v>-</v>
          </cell>
          <cell r="T415" t="str">
            <v>-</v>
          </cell>
        </row>
        <row r="416">
          <cell r="R416" t="str">
            <v>-</v>
          </cell>
          <cell r="S416" t="str">
            <v>-</v>
          </cell>
          <cell r="T416" t="str">
            <v>-</v>
          </cell>
        </row>
        <row r="417">
          <cell r="R417">
            <v>45319066</v>
          </cell>
          <cell r="S417">
            <v>50563663</v>
          </cell>
          <cell r="T417">
            <v>56327412</v>
          </cell>
        </row>
        <row r="418">
          <cell r="R418">
            <v>45319066</v>
          </cell>
          <cell r="S418">
            <v>50563663</v>
          </cell>
          <cell r="T418">
            <v>56327412</v>
          </cell>
        </row>
        <row r="419">
          <cell r="R419">
            <v>45319066</v>
          </cell>
          <cell r="S419">
            <v>50563663</v>
          </cell>
          <cell r="T419">
            <v>56327412</v>
          </cell>
        </row>
        <row r="420">
          <cell r="R420" t="str">
            <v>-</v>
          </cell>
          <cell r="S420" t="str">
            <v>-</v>
          </cell>
          <cell r="T420" t="str">
            <v>-</v>
          </cell>
        </row>
        <row r="421">
          <cell r="R421" t="str">
            <v>-</v>
          </cell>
          <cell r="S421" t="str">
            <v>-</v>
          </cell>
          <cell r="T421" t="str">
            <v>-</v>
          </cell>
        </row>
        <row r="422">
          <cell r="R422" t="str">
            <v>-</v>
          </cell>
          <cell r="S422" t="str">
            <v>-</v>
          </cell>
          <cell r="T422" t="str">
            <v>-</v>
          </cell>
        </row>
        <row r="423">
          <cell r="R423" t="str">
            <v>-</v>
          </cell>
          <cell r="S423" t="str">
            <v>-</v>
          </cell>
          <cell r="T423" t="str">
            <v>-</v>
          </cell>
        </row>
        <row r="424">
          <cell r="R424">
            <v>72339202.265118912</v>
          </cell>
          <cell r="S424">
            <v>61649931.848199993</v>
          </cell>
          <cell r="T424">
            <v>59901343.438000001</v>
          </cell>
        </row>
        <row r="425">
          <cell r="R425">
            <v>0</v>
          </cell>
          <cell r="S425">
            <v>0</v>
          </cell>
          <cell r="T425">
            <v>0</v>
          </cell>
        </row>
        <row r="426">
          <cell r="R426">
            <v>0</v>
          </cell>
          <cell r="S426">
            <v>0</v>
          </cell>
          <cell r="T426">
            <v>0</v>
          </cell>
        </row>
        <row r="427">
          <cell r="R427">
            <v>0</v>
          </cell>
          <cell r="S427">
            <v>0</v>
          </cell>
          <cell r="T427">
            <v>0</v>
          </cell>
        </row>
        <row r="428">
          <cell r="R428">
            <v>0</v>
          </cell>
          <cell r="S428">
            <v>0</v>
          </cell>
          <cell r="T428">
            <v>0</v>
          </cell>
        </row>
        <row r="429">
          <cell r="R429">
            <v>0</v>
          </cell>
          <cell r="S429">
            <v>0</v>
          </cell>
          <cell r="T429">
            <v>0</v>
          </cell>
        </row>
        <row r="430">
          <cell r="R430">
            <v>0</v>
          </cell>
          <cell r="S430">
            <v>0</v>
          </cell>
          <cell r="T430">
            <v>0</v>
          </cell>
        </row>
        <row r="431">
          <cell r="R431">
            <v>72339202.265118912</v>
          </cell>
          <cell r="S431">
            <v>61649931.848199993</v>
          </cell>
          <cell r="T431">
            <v>59901343.438000001</v>
          </cell>
        </row>
        <row r="432">
          <cell r="R432">
            <v>104893.17841889999</v>
          </cell>
          <cell r="S432">
            <v>104801.87199999999</v>
          </cell>
          <cell r="T432">
            <v>103828.48</v>
          </cell>
        </row>
        <row r="433">
          <cell r="R433">
            <v>5364.1409999999996</v>
          </cell>
          <cell r="S433">
            <v>5525.8839999999991</v>
          </cell>
          <cell r="T433">
            <v>5512.96</v>
          </cell>
        </row>
        <row r="434">
          <cell r="R434">
            <v>72228944.945700005</v>
          </cell>
          <cell r="S434">
            <v>61539604.092199996</v>
          </cell>
          <cell r="T434">
            <v>59792001.998000003</v>
          </cell>
        </row>
        <row r="435">
          <cell r="R435" t="str">
            <v>-</v>
          </cell>
          <cell r="S435" t="str">
            <v>-</v>
          </cell>
          <cell r="T435" t="str">
            <v>-</v>
          </cell>
        </row>
        <row r="436">
          <cell r="R436" t="str">
            <v>-</v>
          </cell>
          <cell r="S436" t="str">
            <v>-</v>
          </cell>
          <cell r="T436" t="str">
            <v>-</v>
          </cell>
        </row>
        <row r="437">
          <cell r="R437">
            <v>0</v>
          </cell>
          <cell r="S437">
            <v>0</v>
          </cell>
          <cell r="T437">
            <v>0</v>
          </cell>
        </row>
        <row r="443">
          <cell r="R443">
            <v>1032728</v>
          </cell>
          <cell r="S443">
            <v>933879</v>
          </cell>
          <cell r="T443">
            <v>934309</v>
          </cell>
        </row>
        <row r="444">
          <cell r="R444">
            <v>0</v>
          </cell>
          <cell r="S444">
            <v>0</v>
          </cell>
          <cell r="T444">
            <v>0</v>
          </cell>
        </row>
        <row r="445">
          <cell r="R445">
            <v>0</v>
          </cell>
          <cell r="S445">
            <v>0</v>
          </cell>
          <cell r="T445">
            <v>0</v>
          </cell>
        </row>
        <row r="447">
          <cell r="R447">
            <v>0</v>
          </cell>
          <cell r="S447">
            <v>0</v>
          </cell>
          <cell r="T447">
            <v>0</v>
          </cell>
        </row>
        <row r="449">
          <cell r="R449">
            <v>0</v>
          </cell>
          <cell r="S449">
            <v>0</v>
          </cell>
          <cell r="T449">
            <v>0</v>
          </cell>
        </row>
        <row r="450">
          <cell r="R450">
            <v>0</v>
          </cell>
          <cell r="S450">
            <v>0</v>
          </cell>
          <cell r="T450">
            <v>0</v>
          </cell>
        </row>
        <row r="451">
          <cell r="R451">
            <v>0</v>
          </cell>
          <cell r="S451">
            <v>0</v>
          </cell>
          <cell r="T451">
            <v>0</v>
          </cell>
        </row>
        <row r="452">
          <cell r="R452">
            <v>0</v>
          </cell>
          <cell r="S452">
            <v>0</v>
          </cell>
          <cell r="T452">
            <v>0</v>
          </cell>
        </row>
        <row r="453">
          <cell r="R453">
            <v>0</v>
          </cell>
          <cell r="S453">
            <v>0</v>
          </cell>
          <cell r="T453">
            <v>0</v>
          </cell>
        </row>
        <row r="454">
          <cell r="R454">
            <v>0</v>
          </cell>
          <cell r="S454">
            <v>0</v>
          </cell>
          <cell r="T454">
            <v>0</v>
          </cell>
        </row>
        <row r="455">
          <cell r="R455">
            <v>0</v>
          </cell>
          <cell r="S455">
            <v>0</v>
          </cell>
          <cell r="T455">
            <v>0</v>
          </cell>
        </row>
        <row r="457">
          <cell r="R457">
            <v>882885</v>
          </cell>
          <cell r="S457">
            <v>778624</v>
          </cell>
          <cell r="T457">
            <v>794060</v>
          </cell>
        </row>
        <row r="458">
          <cell r="R458">
            <v>882885</v>
          </cell>
          <cell r="S458">
            <v>778624</v>
          </cell>
          <cell r="T458">
            <v>794060</v>
          </cell>
        </row>
        <row r="459">
          <cell r="R459">
            <v>0</v>
          </cell>
          <cell r="S459">
            <v>0</v>
          </cell>
          <cell r="T459">
            <v>0</v>
          </cell>
        </row>
        <row r="463">
          <cell r="R463">
            <v>149843</v>
          </cell>
          <cell r="S463">
            <v>155255</v>
          </cell>
          <cell r="T463">
            <v>140249</v>
          </cell>
        </row>
        <row r="464">
          <cell r="R464">
            <v>0</v>
          </cell>
          <cell r="S464">
            <v>0</v>
          </cell>
          <cell r="T464">
            <v>0</v>
          </cell>
        </row>
        <row r="465">
          <cell r="R465">
            <v>0</v>
          </cell>
          <cell r="S465">
            <v>0</v>
          </cell>
          <cell r="T465">
            <v>0</v>
          </cell>
        </row>
        <row r="466">
          <cell r="R466">
            <v>0</v>
          </cell>
          <cell r="S466">
            <v>0</v>
          </cell>
          <cell r="T466">
            <v>0</v>
          </cell>
        </row>
        <row r="467">
          <cell r="R467">
            <v>149843</v>
          </cell>
          <cell r="S467">
            <v>155255</v>
          </cell>
          <cell r="T467">
            <v>140249</v>
          </cell>
        </row>
        <row r="468">
          <cell r="R468">
            <v>0</v>
          </cell>
          <cell r="S468">
            <v>0</v>
          </cell>
          <cell r="T468">
            <v>0</v>
          </cell>
        </row>
        <row r="469">
          <cell r="R469">
            <v>0</v>
          </cell>
          <cell r="S469">
            <v>0</v>
          </cell>
          <cell r="T469">
            <v>0</v>
          </cell>
        </row>
        <row r="470">
          <cell r="R470">
            <v>0</v>
          </cell>
          <cell r="S470">
            <v>0</v>
          </cell>
          <cell r="T470">
            <v>0</v>
          </cell>
        </row>
        <row r="471">
          <cell r="R471">
            <v>0</v>
          </cell>
          <cell r="S471">
            <v>0</v>
          </cell>
          <cell r="T471">
            <v>0</v>
          </cell>
        </row>
        <row r="472">
          <cell r="R472">
            <v>0</v>
          </cell>
          <cell r="S472">
            <v>0</v>
          </cell>
          <cell r="T472">
            <v>0</v>
          </cell>
        </row>
        <row r="475">
          <cell r="R475">
            <v>0</v>
          </cell>
          <cell r="S475">
            <v>0</v>
          </cell>
          <cell r="T475">
            <v>0</v>
          </cell>
        </row>
        <row r="476">
          <cell r="R476">
            <v>0</v>
          </cell>
          <cell r="S476">
            <v>0</v>
          </cell>
          <cell r="T476">
            <v>0</v>
          </cell>
        </row>
        <row r="477">
          <cell r="R477">
            <v>0</v>
          </cell>
          <cell r="S477">
            <v>0</v>
          </cell>
          <cell r="T477">
            <v>0</v>
          </cell>
        </row>
        <row r="479">
          <cell r="R479">
            <v>0</v>
          </cell>
          <cell r="S479">
            <v>0</v>
          </cell>
          <cell r="T479">
            <v>0</v>
          </cell>
        </row>
        <row r="480">
          <cell r="R480">
            <v>0</v>
          </cell>
          <cell r="S480">
            <v>0</v>
          </cell>
          <cell r="T480">
            <v>0</v>
          </cell>
        </row>
        <row r="483">
          <cell r="R483">
            <v>0</v>
          </cell>
          <cell r="S483">
            <v>0</v>
          </cell>
          <cell r="T483">
            <v>0</v>
          </cell>
        </row>
        <row r="484">
          <cell r="R484">
            <v>0</v>
          </cell>
          <cell r="S484">
            <v>0</v>
          </cell>
          <cell r="T484">
            <v>0</v>
          </cell>
        </row>
        <row r="485">
          <cell r="R485">
            <v>0</v>
          </cell>
          <cell r="S485">
            <v>0</v>
          </cell>
          <cell r="T485">
            <v>0</v>
          </cell>
        </row>
        <row r="487">
          <cell r="R487">
            <v>0</v>
          </cell>
          <cell r="S487">
            <v>0</v>
          </cell>
          <cell r="T487">
            <v>0</v>
          </cell>
        </row>
        <row r="489">
          <cell r="R489">
            <v>0</v>
          </cell>
          <cell r="S489">
            <v>0</v>
          </cell>
          <cell r="T489">
            <v>0</v>
          </cell>
        </row>
        <row r="490">
          <cell r="R490">
            <v>0</v>
          </cell>
          <cell r="S490">
            <v>0</v>
          </cell>
          <cell r="T490">
            <v>0</v>
          </cell>
        </row>
        <row r="491">
          <cell r="R491">
            <v>0</v>
          </cell>
          <cell r="S491">
            <v>0</v>
          </cell>
          <cell r="T491">
            <v>0</v>
          </cell>
        </row>
        <row r="492">
          <cell r="R492">
            <v>0</v>
          </cell>
          <cell r="S492">
            <v>0</v>
          </cell>
          <cell r="T492">
            <v>0</v>
          </cell>
        </row>
        <row r="493">
          <cell r="R493">
            <v>0</v>
          </cell>
          <cell r="S493">
            <v>0</v>
          </cell>
          <cell r="T493">
            <v>0</v>
          </cell>
        </row>
        <row r="494">
          <cell r="R494">
            <v>0</v>
          </cell>
          <cell r="S494">
            <v>0</v>
          </cell>
          <cell r="T494">
            <v>0</v>
          </cell>
        </row>
        <row r="495">
          <cell r="R495">
            <v>0</v>
          </cell>
          <cell r="S495">
            <v>0</v>
          </cell>
          <cell r="T495">
            <v>0</v>
          </cell>
        </row>
        <row r="497">
          <cell r="R497">
            <v>676065</v>
          </cell>
          <cell r="S497">
            <v>651462</v>
          </cell>
          <cell r="T497">
            <v>661233</v>
          </cell>
        </row>
        <row r="498">
          <cell r="R498">
            <v>676065</v>
          </cell>
          <cell r="S498">
            <v>651462</v>
          </cell>
          <cell r="T498">
            <v>661233</v>
          </cell>
        </row>
        <row r="499">
          <cell r="R499">
            <v>0</v>
          </cell>
          <cell r="S499">
            <v>0</v>
          </cell>
          <cell r="T499">
            <v>0</v>
          </cell>
        </row>
        <row r="503">
          <cell r="R503">
            <v>109304</v>
          </cell>
          <cell r="S503">
            <v>115000</v>
          </cell>
          <cell r="T503">
            <v>100000</v>
          </cell>
        </row>
        <row r="504">
          <cell r="R504">
            <v>0</v>
          </cell>
          <cell r="S504">
            <v>0</v>
          </cell>
          <cell r="T504">
            <v>0</v>
          </cell>
        </row>
        <row r="505">
          <cell r="R505">
            <v>0</v>
          </cell>
          <cell r="S505">
            <v>0</v>
          </cell>
          <cell r="T505">
            <v>0</v>
          </cell>
        </row>
        <row r="506">
          <cell r="R506">
            <v>0</v>
          </cell>
          <cell r="S506">
            <v>0</v>
          </cell>
          <cell r="T506">
            <v>0</v>
          </cell>
        </row>
        <row r="507">
          <cell r="R507">
            <v>109304</v>
          </cell>
          <cell r="S507">
            <v>115000</v>
          </cell>
          <cell r="T507">
            <v>100000</v>
          </cell>
        </row>
        <row r="508">
          <cell r="R508">
            <v>0</v>
          </cell>
          <cell r="S508">
            <v>0</v>
          </cell>
          <cell r="T508">
            <v>0</v>
          </cell>
        </row>
        <row r="509">
          <cell r="R509">
            <v>0</v>
          </cell>
          <cell r="S509">
            <v>0</v>
          </cell>
          <cell r="T509">
            <v>0</v>
          </cell>
        </row>
        <row r="510">
          <cell r="R510">
            <v>0</v>
          </cell>
          <cell r="S510">
            <v>0</v>
          </cell>
          <cell r="T510">
            <v>0</v>
          </cell>
        </row>
        <row r="511">
          <cell r="R511">
            <v>0</v>
          </cell>
          <cell r="S511">
            <v>0</v>
          </cell>
          <cell r="T511">
            <v>0</v>
          </cell>
        </row>
        <row r="512">
          <cell r="R512">
            <v>0</v>
          </cell>
          <cell r="S512">
            <v>0</v>
          </cell>
          <cell r="T512">
            <v>0</v>
          </cell>
        </row>
        <row r="515">
          <cell r="R515">
            <v>0</v>
          </cell>
          <cell r="S515">
            <v>0</v>
          </cell>
          <cell r="T515">
            <v>0</v>
          </cell>
        </row>
        <row r="516">
          <cell r="R516">
            <v>0</v>
          </cell>
          <cell r="S516">
            <v>0</v>
          </cell>
          <cell r="T516">
            <v>0</v>
          </cell>
        </row>
        <row r="517">
          <cell r="R517">
            <v>0</v>
          </cell>
          <cell r="S517">
            <v>0</v>
          </cell>
          <cell r="T517">
            <v>0</v>
          </cell>
        </row>
        <row r="519">
          <cell r="R519">
            <v>0</v>
          </cell>
          <cell r="S519">
            <v>0</v>
          </cell>
          <cell r="T519">
            <v>0</v>
          </cell>
        </row>
        <row r="520">
          <cell r="R520">
            <v>0</v>
          </cell>
          <cell r="S520">
            <v>0</v>
          </cell>
          <cell r="T520">
            <v>0</v>
          </cell>
        </row>
        <row r="523">
          <cell r="R523">
            <v>247359</v>
          </cell>
          <cell r="S523">
            <v>167417</v>
          </cell>
          <cell r="T523">
            <v>173076</v>
          </cell>
        </row>
        <row r="524">
          <cell r="R524">
            <v>0</v>
          </cell>
          <cell r="S524">
            <v>0</v>
          </cell>
          <cell r="T524">
            <v>0</v>
          </cell>
        </row>
        <row r="525">
          <cell r="R525">
            <v>0</v>
          </cell>
          <cell r="S525">
            <v>0</v>
          </cell>
          <cell r="T525">
            <v>0</v>
          </cell>
        </row>
        <row r="527">
          <cell r="R527">
            <v>0</v>
          </cell>
          <cell r="S527">
            <v>0</v>
          </cell>
          <cell r="T527">
            <v>0</v>
          </cell>
        </row>
        <row r="529">
          <cell r="R529">
            <v>0</v>
          </cell>
          <cell r="S529">
            <v>0</v>
          </cell>
          <cell r="T529">
            <v>0</v>
          </cell>
        </row>
        <row r="530">
          <cell r="R530">
            <v>0</v>
          </cell>
          <cell r="S530">
            <v>0</v>
          </cell>
          <cell r="T530">
            <v>0</v>
          </cell>
        </row>
        <row r="531">
          <cell r="R531">
            <v>0</v>
          </cell>
          <cell r="S531">
            <v>0</v>
          </cell>
          <cell r="T531">
            <v>0</v>
          </cell>
        </row>
        <row r="532">
          <cell r="R532">
            <v>0</v>
          </cell>
          <cell r="S532">
            <v>0</v>
          </cell>
          <cell r="T532">
            <v>0</v>
          </cell>
        </row>
        <row r="533">
          <cell r="R533">
            <v>0</v>
          </cell>
          <cell r="S533">
            <v>0</v>
          </cell>
          <cell r="T533">
            <v>0</v>
          </cell>
        </row>
        <row r="534">
          <cell r="R534">
            <v>0</v>
          </cell>
          <cell r="S534">
            <v>0</v>
          </cell>
          <cell r="T534">
            <v>0</v>
          </cell>
        </row>
        <row r="535">
          <cell r="R535">
            <v>0</v>
          </cell>
          <cell r="S535">
            <v>0</v>
          </cell>
          <cell r="T535">
            <v>0</v>
          </cell>
        </row>
        <row r="537">
          <cell r="R537">
            <v>206820</v>
          </cell>
          <cell r="S537">
            <v>127162</v>
          </cell>
          <cell r="T537">
            <v>132827</v>
          </cell>
        </row>
        <row r="538">
          <cell r="R538">
            <v>206820</v>
          </cell>
          <cell r="S538">
            <v>127162</v>
          </cell>
          <cell r="T538">
            <v>132827</v>
          </cell>
        </row>
        <row r="539">
          <cell r="R539">
            <v>0</v>
          </cell>
          <cell r="S539">
            <v>0</v>
          </cell>
          <cell r="T539">
            <v>0</v>
          </cell>
        </row>
        <row r="543">
          <cell r="R543">
            <v>40539</v>
          </cell>
          <cell r="S543">
            <v>40255</v>
          </cell>
          <cell r="T543">
            <v>40249</v>
          </cell>
        </row>
        <row r="544">
          <cell r="R544">
            <v>0</v>
          </cell>
          <cell r="S544">
            <v>0</v>
          </cell>
          <cell r="T544">
            <v>0</v>
          </cell>
        </row>
        <row r="545">
          <cell r="R545">
            <v>0</v>
          </cell>
          <cell r="S545">
            <v>0</v>
          </cell>
          <cell r="T545">
            <v>0</v>
          </cell>
        </row>
        <row r="546">
          <cell r="R546">
            <v>0</v>
          </cell>
          <cell r="S546">
            <v>0</v>
          </cell>
          <cell r="T546">
            <v>0</v>
          </cell>
        </row>
        <row r="547">
          <cell r="R547">
            <v>40539</v>
          </cell>
          <cell r="S547">
            <v>40255</v>
          </cell>
          <cell r="T547">
            <v>40249</v>
          </cell>
        </row>
        <row r="548">
          <cell r="R548">
            <v>0</v>
          </cell>
          <cell r="S548">
            <v>0</v>
          </cell>
          <cell r="T548">
            <v>0</v>
          </cell>
        </row>
        <row r="549">
          <cell r="R549">
            <v>0</v>
          </cell>
          <cell r="S549">
            <v>0</v>
          </cell>
          <cell r="T549">
            <v>0</v>
          </cell>
        </row>
        <row r="550">
          <cell r="R550">
            <v>0</v>
          </cell>
          <cell r="S550">
            <v>0</v>
          </cell>
          <cell r="T550">
            <v>0</v>
          </cell>
        </row>
        <row r="551">
          <cell r="R551">
            <v>0</v>
          </cell>
          <cell r="S551">
            <v>0</v>
          </cell>
          <cell r="T551">
            <v>0</v>
          </cell>
        </row>
        <row r="552">
          <cell r="R552">
            <v>0</v>
          </cell>
          <cell r="S552">
            <v>0</v>
          </cell>
          <cell r="T552">
            <v>0</v>
          </cell>
        </row>
        <row r="555">
          <cell r="R555">
            <v>0</v>
          </cell>
          <cell r="S555">
            <v>0</v>
          </cell>
          <cell r="T555">
            <v>0</v>
          </cell>
        </row>
        <row r="556">
          <cell r="R556">
            <v>0</v>
          </cell>
          <cell r="S556">
            <v>0</v>
          </cell>
          <cell r="T556">
            <v>0</v>
          </cell>
        </row>
        <row r="557">
          <cell r="R557">
            <v>0</v>
          </cell>
          <cell r="S557">
            <v>0</v>
          </cell>
          <cell r="T557">
            <v>0</v>
          </cell>
        </row>
        <row r="559">
          <cell r="R559">
            <v>0</v>
          </cell>
          <cell r="S559">
            <v>0</v>
          </cell>
          <cell r="T559">
            <v>0</v>
          </cell>
        </row>
        <row r="560">
          <cell r="R560">
            <v>0</v>
          </cell>
          <cell r="S560">
            <v>0</v>
          </cell>
          <cell r="T560">
            <v>0</v>
          </cell>
        </row>
        <row r="564">
          <cell r="R564">
            <v>0</v>
          </cell>
          <cell r="S564">
            <v>0</v>
          </cell>
          <cell r="T564">
            <v>0</v>
          </cell>
        </row>
        <row r="565">
          <cell r="R565">
            <v>0</v>
          </cell>
          <cell r="S565">
            <v>0</v>
          </cell>
          <cell r="T565">
            <v>0</v>
          </cell>
        </row>
        <row r="566">
          <cell r="R566">
            <v>0</v>
          </cell>
          <cell r="S566">
            <v>0</v>
          </cell>
          <cell r="T566">
            <v>0</v>
          </cell>
        </row>
        <row r="567">
          <cell r="R567">
            <v>0</v>
          </cell>
          <cell r="S567">
            <v>0</v>
          </cell>
          <cell r="T567">
            <v>0</v>
          </cell>
        </row>
        <row r="568">
          <cell r="R568">
            <v>0</v>
          </cell>
          <cell r="S568">
            <v>0</v>
          </cell>
          <cell r="T568">
            <v>0</v>
          </cell>
        </row>
        <row r="569">
          <cell r="R569" t="str">
            <v>-</v>
          </cell>
          <cell r="S569" t="str">
            <v>-</v>
          </cell>
          <cell r="T569" t="str">
            <v>-</v>
          </cell>
        </row>
        <row r="570">
          <cell r="R570" t="str">
            <v>-</v>
          </cell>
          <cell r="S570" t="str">
            <v>-</v>
          </cell>
          <cell r="T570" t="str">
            <v>-</v>
          </cell>
        </row>
        <row r="571">
          <cell r="R571">
            <v>0</v>
          </cell>
          <cell r="S571">
            <v>0</v>
          </cell>
          <cell r="T571">
            <v>0</v>
          </cell>
        </row>
        <row r="577">
          <cell r="R577">
            <v>0</v>
          </cell>
          <cell r="S577">
            <v>0</v>
          </cell>
          <cell r="T577">
            <v>0</v>
          </cell>
        </row>
        <row r="578">
          <cell r="R578">
            <v>0</v>
          </cell>
          <cell r="S578">
            <v>0</v>
          </cell>
          <cell r="T578">
            <v>0</v>
          </cell>
        </row>
        <row r="579">
          <cell r="R579">
            <v>0</v>
          </cell>
          <cell r="S579">
            <v>0</v>
          </cell>
          <cell r="T579">
            <v>0</v>
          </cell>
        </row>
        <row r="580">
          <cell r="R580">
            <v>0</v>
          </cell>
          <cell r="S580">
            <v>0</v>
          </cell>
          <cell r="T580">
            <v>0</v>
          </cell>
        </row>
        <row r="581">
          <cell r="R581">
            <v>0</v>
          </cell>
          <cell r="S581">
            <v>0</v>
          </cell>
          <cell r="T581">
            <v>0</v>
          </cell>
        </row>
        <row r="582">
          <cell r="R582">
            <v>0</v>
          </cell>
          <cell r="S582">
            <v>0</v>
          </cell>
          <cell r="T582">
            <v>0</v>
          </cell>
        </row>
        <row r="583">
          <cell r="R583">
            <v>0</v>
          </cell>
          <cell r="S583">
            <v>0</v>
          </cell>
          <cell r="T583">
            <v>0</v>
          </cell>
        </row>
        <row r="589">
          <cell r="R589">
            <v>502500</v>
          </cell>
          <cell r="S589">
            <v>502500</v>
          </cell>
          <cell r="T589">
            <v>502500</v>
          </cell>
        </row>
        <row r="590">
          <cell r="R590">
            <v>502500</v>
          </cell>
          <cell r="S590">
            <v>502500</v>
          </cell>
          <cell r="T590">
            <v>502500</v>
          </cell>
        </row>
        <row r="591">
          <cell r="R591">
            <v>502500</v>
          </cell>
          <cell r="S591">
            <v>502500</v>
          </cell>
          <cell r="T591">
            <v>502500</v>
          </cell>
        </row>
        <row r="592">
          <cell r="R592">
            <v>0</v>
          </cell>
          <cell r="S592">
            <v>0</v>
          </cell>
          <cell r="T592">
            <v>0</v>
          </cell>
        </row>
        <row r="593">
          <cell r="R593">
            <v>0</v>
          </cell>
          <cell r="S593">
            <v>0</v>
          </cell>
          <cell r="T593">
            <v>0</v>
          </cell>
        </row>
        <row r="594">
          <cell r="R594">
            <v>0</v>
          </cell>
          <cell r="S594">
            <v>0</v>
          </cell>
          <cell r="T594">
            <v>0</v>
          </cell>
        </row>
        <row r="595">
          <cell r="R595">
            <v>0</v>
          </cell>
          <cell r="S595">
            <v>0</v>
          </cell>
          <cell r="T595">
            <v>0</v>
          </cell>
        </row>
        <row r="596">
          <cell r="R596">
            <v>0</v>
          </cell>
          <cell r="S596">
            <v>0</v>
          </cell>
          <cell r="T596">
            <v>0</v>
          </cell>
        </row>
        <row r="597">
          <cell r="R597">
            <v>0</v>
          </cell>
          <cell r="S597">
            <v>0</v>
          </cell>
          <cell r="T597">
            <v>0</v>
          </cell>
        </row>
        <row r="598">
          <cell r="R598">
            <v>0</v>
          </cell>
          <cell r="S598">
            <v>0</v>
          </cell>
          <cell r="T598">
            <v>0</v>
          </cell>
        </row>
        <row r="599">
          <cell r="R599">
            <v>0</v>
          </cell>
          <cell r="S599">
            <v>0</v>
          </cell>
          <cell r="T599">
            <v>0</v>
          </cell>
        </row>
        <row r="600">
          <cell r="R600">
            <v>0</v>
          </cell>
          <cell r="S600">
            <v>0</v>
          </cell>
          <cell r="T600">
            <v>0</v>
          </cell>
        </row>
        <row r="601">
          <cell r="R601">
            <v>0</v>
          </cell>
          <cell r="S601">
            <v>0</v>
          </cell>
          <cell r="T601">
            <v>0</v>
          </cell>
        </row>
        <row r="602">
          <cell r="R602">
            <v>0</v>
          </cell>
          <cell r="S602">
            <v>0</v>
          </cell>
          <cell r="T602">
            <v>0</v>
          </cell>
        </row>
        <row r="603">
          <cell r="R603">
            <v>0</v>
          </cell>
          <cell r="S603">
            <v>0</v>
          </cell>
          <cell r="T603">
            <v>0</v>
          </cell>
        </row>
        <row r="604">
          <cell r="R604">
            <v>0</v>
          </cell>
          <cell r="S604">
            <v>0</v>
          </cell>
          <cell r="T604">
            <v>0</v>
          </cell>
        </row>
        <row r="605">
          <cell r="R605">
            <v>0</v>
          </cell>
          <cell r="S605">
            <v>0</v>
          </cell>
          <cell r="T605">
            <v>0</v>
          </cell>
        </row>
        <row r="606">
          <cell r="R606">
            <v>0</v>
          </cell>
          <cell r="S606">
            <v>0</v>
          </cell>
          <cell r="T606">
            <v>0</v>
          </cell>
        </row>
        <row r="607">
          <cell r="R607">
            <v>0</v>
          </cell>
          <cell r="S607">
            <v>0</v>
          </cell>
          <cell r="T607">
            <v>0</v>
          </cell>
        </row>
        <row r="608">
          <cell r="R608">
            <v>2076700</v>
          </cell>
          <cell r="S608">
            <v>2162000</v>
          </cell>
          <cell r="T608">
            <v>2440000</v>
          </cell>
        </row>
        <row r="609">
          <cell r="R609">
            <v>2076700</v>
          </cell>
          <cell r="S609">
            <v>2162000</v>
          </cell>
          <cell r="T609">
            <v>2440000</v>
          </cell>
        </row>
        <row r="610">
          <cell r="R610">
            <v>1230100</v>
          </cell>
          <cell r="S610">
            <v>1320000</v>
          </cell>
          <cell r="T610">
            <v>1500000</v>
          </cell>
        </row>
        <row r="611">
          <cell r="R611">
            <v>120000</v>
          </cell>
          <cell r="S611">
            <v>132000</v>
          </cell>
          <cell r="T611">
            <v>150000</v>
          </cell>
        </row>
        <row r="612">
          <cell r="R612">
            <v>528450</v>
          </cell>
          <cell r="S612">
            <v>500000</v>
          </cell>
          <cell r="T612">
            <v>550000</v>
          </cell>
        </row>
        <row r="613">
          <cell r="R613">
            <v>138000</v>
          </cell>
          <cell r="S613">
            <v>145000</v>
          </cell>
          <cell r="T613">
            <v>170000</v>
          </cell>
        </row>
        <row r="614">
          <cell r="R614">
            <v>60150</v>
          </cell>
          <cell r="S614">
            <v>65000</v>
          </cell>
          <cell r="T614">
            <v>70000</v>
          </cell>
        </row>
        <row r="615">
          <cell r="R615">
            <v>866516</v>
          </cell>
          <cell r="S615">
            <v>761645</v>
          </cell>
          <cell r="T615">
            <v>776583</v>
          </cell>
        </row>
        <row r="616">
          <cell r="R616">
            <v>866516</v>
          </cell>
          <cell r="S616">
            <v>761645</v>
          </cell>
          <cell r="T616">
            <v>776583</v>
          </cell>
        </row>
        <row r="617">
          <cell r="R617">
            <v>404000</v>
          </cell>
          <cell r="S617">
            <v>408000</v>
          </cell>
          <cell r="T617">
            <v>412000</v>
          </cell>
        </row>
        <row r="618">
          <cell r="R618">
            <v>95000</v>
          </cell>
          <cell r="S618">
            <v>98000</v>
          </cell>
          <cell r="T618">
            <v>100000</v>
          </cell>
        </row>
        <row r="619">
          <cell r="R619">
            <v>226000</v>
          </cell>
          <cell r="S619">
            <v>222000</v>
          </cell>
          <cell r="T619">
            <v>237000</v>
          </cell>
        </row>
        <row r="620">
          <cell r="R620">
            <v>141516</v>
          </cell>
          <cell r="S620">
            <v>33645</v>
          </cell>
          <cell r="T620">
            <v>27583</v>
          </cell>
        </row>
        <row r="621">
          <cell r="R621">
            <v>0</v>
          </cell>
          <cell r="S621">
            <v>0</v>
          </cell>
          <cell r="T621">
            <v>0</v>
          </cell>
        </row>
        <row r="622">
          <cell r="R622">
            <v>0</v>
          </cell>
          <cell r="S622">
            <v>0</v>
          </cell>
          <cell r="T622">
            <v>0</v>
          </cell>
        </row>
        <row r="623">
          <cell r="R623">
            <v>0</v>
          </cell>
          <cell r="S623">
            <v>0</v>
          </cell>
          <cell r="T623">
            <v>0</v>
          </cell>
        </row>
        <row r="624">
          <cell r="R624">
            <v>0</v>
          </cell>
          <cell r="S624">
            <v>0</v>
          </cell>
          <cell r="T624">
            <v>0</v>
          </cell>
        </row>
        <row r="625">
          <cell r="R625">
            <v>0</v>
          </cell>
          <cell r="S625">
            <v>0</v>
          </cell>
          <cell r="T625">
            <v>0</v>
          </cell>
        </row>
        <row r="626">
          <cell r="R626">
            <v>0</v>
          </cell>
          <cell r="S626">
            <v>0</v>
          </cell>
          <cell r="T626">
            <v>0</v>
          </cell>
        </row>
        <row r="627">
          <cell r="R627">
            <v>0</v>
          </cell>
          <cell r="S627">
            <v>0</v>
          </cell>
          <cell r="T627">
            <v>0</v>
          </cell>
        </row>
        <row r="628">
          <cell r="R628">
            <v>0</v>
          </cell>
          <cell r="S628">
            <v>0</v>
          </cell>
          <cell r="T628">
            <v>0</v>
          </cell>
        </row>
        <row r="634">
          <cell r="R634">
            <v>140776583.64619938</v>
          </cell>
          <cell r="S634">
            <v>123059908.37309137</v>
          </cell>
          <cell r="T634">
            <v>95098550.578498721</v>
          </cell>
        </row>
        <row r="635">
          <cell r="R635">
            <v>48691923.25</v>
          </cell>
          <cell r="S635">
            <v>37222775</v>
          </cell>
          <cell r="T635">
            <v>32530196</v>
          </cell>
        </row>
        <row r="636">
          <cell r="R636">
            <v>47104944</v>
          </cell>
          <cell r="S636">
            <v>35031534.5</v>
          </cell>
          <cell r="T636">
            <v>29036955.5</v>
          </cell>
        </row>
        <row r="638">
          <cell r="R638">
            <v>1586979.25</v>
          </cell>
          <cell r="S638">
            <v>2191240.5</v>
          </cell>
          <cell r="T638">
            <v>3493240.5</v>
          </cell>
        </row>
        <row r="639">
          <cell r="R639">
            <v>0</v>
          </cell>
          <cell r="S639">
            <v>0</v>
          </cell>
          <cell r="T639">
            <v>0</v>
          </cell>
        </row>
        <row r="640">
          <cell r="R640">
            <v>43268219.019198939</v>
          </cell>
          <cell r="S640">
            <v>56156869.304189213</v>
          </cell>
          <cell r="T640">
            <v>49101905.339526981</v>
          </cell>
        </row>
        <row r="641">
          <cell r="R641">
            <v>27545711.019198939</v>
          </cell>
          <cell r="S641">
            <v>34616000.304189213</v>
          </cell>
          <cell r="T641">
            <v>21046071.339526985</v>
          </cell>
        </row>
        <row r="642">
          <cell r="R642">
            <v>22495367</v>
          </cell>
          <cell r="S642">
            <v>28659880.304189213</v>
          </cell>
          <cell r="T642">
            <v>21046071.339526985</v>
          </cell>
        </row>
        <row r="643">
          <cell r="R643">
            <v>5050344.0191989392</v>
          </cell>
          <cell r="S643">
            <v>5956119.9999999991</v>
          </cell>
          <cell r="T643">
            <v>0</v>
          </cell>
        </row>
        <row r="644">
          <cell r="R644">
            <v>0</v>
          </cell>
          <cell r="S644">
            <v>0</v>
          </cell>
          <cell r="T644">
            <v>0</v>
          </cell>
        </row>
        <row r="645">
          <cell r="R645">
            <v>15722508</v>
          </cell>
          <cell r="S645">
            <v>21540869</v>
          </cell>
          <cell r="T645">
            <v>28055834</v>
          </cell>
        </row>
        <row r="646">
          <cell r="R646">
            <v>15722508</v>
          </cell>
          <cell r="S646">
            <v>21540869</v>
          </cell>
          <cell r="T646">
            <v>28055834</v>
          </cell>
        </row>
        <row r="648">
          <cell r="R648">
            <v>31607093.072666667</v>
          </cell>
          <cell r="S648">
            <v>8693833.8812499996</v>
          </cell>
          <cell r="T648">
            <v>638681.34944999998</v>
          </cell>
        </row>
        <row r="649">
          <cell r="R649">
            <v>22111190</v>
          </cell>
          <cell r="S649">
            <v>8368652.9400000004</v>
          </cell>
          <cell r="T649">
            <v>470719.20819999999</v>
          </cell>
        </row>
        <row r="650">
          <cell r="R650">
            <v>9495903.0726666674</v>
          </cell>
          <cell r="S650">
            <v>325180.94125000003</v>
          </cell>
          <cell r="T650">
            <v>167962.14124999999</v>
          </cell>
        </row>
        <row r="654">
          <cell r="R654">
            <v>11153588.870464191</v>
          </cell>
          <cell r="S654">
            <v>17831200.057217389</v>
          </cell>
          <cell r="T654">
            <v>9777189.9329999983</v>
          </cell>
        </row>
        <row r="655">
          <cell r="R655">
            <v>0</v>
          </cell>
          <cell r="S655">
            <v>0</v>
          </cell>
          <cell r="T655">
            <v>0</v>
          </cell>
        </row>
        <row r="656">
          <cell r="R656">
            <v>0</v>
          </cell>
          <cell r="S656">
            <v>0</v>
          </cell>
          <cell r="T656">
            <v>0</v>
          </cell>
        </row>
        <row r="657">
          <cell r="R657">
            <v>362323.43530000001</v>
          </cell>
          <cell r="S657">
            <v>916213</v>
          </cell>
          <cell r="T657">
            <v>800583</v>
          </cell>
        </row>
        <row r="658">
          <cell r="R658">
            <v>1526229.8451641907</v>
          </cell>
          <cell r="S658">
            <v>463433</v>
          </cell>
          <cell r="T658">
            <v>475647</v>
          </cell>
        </row>
        <row r="659">
          <cell r="R659">
            <v>100742</v>
          </cell>
          <cell r="S659">
            <v>260000</v>
          </cell>
          <cell r="T659">
            <v>262000</v>
          </cell>
        </row>
        <row r="660">
          <cell r="R660">
            <v>1540938</v>
          </cell>
          <cell r="S660">
            <v>6725000</v>
          </cell>
          <cell r="T660">
            <v>170000</v>
          </cell>
        </row>
        <row r="661">
          <cell r="R661">
            <v>201216</v>
          </cell>
          <cell r="S661">
            <v>40000</v>
          </cell>
          <cell r="T661">
            <v>2448000</v>
          </cell>
        </row>
        <row r="662">
          <cell r="R662">
            <v>4944544</v>
          </cell>
          <cell r="S662">
            <v>3328704.8072173917</v>
          </cell>
          <cell r="T662">
            <v>286610.08299999998</v>
          </cell>
        </row>
        <row r="663">
          <cell r="R663">
            <v>2477595.59</v>
          </cell>
          <cell r="S663">
            <v>6097849.25</v>
          </cell>
          <cell r="T663">
            <v>5334349.8499999996</v>
          </cell>
        </row>
        <row r="666">
          <cell r="R666">
            <v>528873.43386956526</v>
          </cell>
          <cell r="S666">
            <v>268739.13043478259</v>
          </cell>
          <cell r="T666">
            <v>164086.95652173914</v>
          </cell>
        </row>
        <row r="667">
          <cell r="R667">
            <v>10679.020869565218</v>
          </cell>
          <cell r="S667">
            <v>3739.130434782609</v>
          </cell>
          <cell r="T667">
            <v>4086.9565217391309</v>
          </cell>
        </row>
        <row r="668">
          <cell r="R668">
            <v>518194.413</v>
          </cell>
          <cell r="S668">
            <v>265000</v>
          </cell>
          <cell r="T668">
            <v>160000</v>
          </cell>
        </row>
        <row r="670">
          <cell r="R670">
            <v>5526886</v>
          </cell>
          <cell r="S670">
            <v>2886491</v>
          </cell>
          <cell r="T670">
            <v>2886491</v>
          </cell>
        </row>
        <row r="671">
          <cell r="R671">
            <v>5526886</v>
          </cell>
          <cell r="S671">
            <v>2886491</v>
          </cell>
          <cell r="T671">
            <v>2886491</v>
          </cell>
        </row>
        <row r="674">
          <cell r="R674">
            <v>37696768.270854667</v>
          </cell>
          <cell r="S674">
            <v>38554172.630434781</v>
          </cell>
          <cell r="T674">
            <v>34296933.456521742</v>
          </cell>
        </row>
        <row r="675">
          <cell r="R675">
            <v>3234481.25</v>
          </cell>
          <cell r="S675">
            <v>12527240.5</v>
          </cell>
          <cell r="T675">
            <v>16293240.5</v>
          </cell>
        </row>
        <row r="676">
          <cell r="R676">
            <v>1647502</v>
          </cell>
          <cell r="S676">
            <v>10336000</v>
          </cell>
          <cell r="T676">
            <v>12800000</v>
          </cell>
        </row>
        <row r="677">
          <cell r="R677" t="str">
            <v>-</v>
          </cell>
          <cell r="S677" t="str">
            <v>-</v>
          </cell>
          <cell r="T677" t="str">
            <v>-</v>
          </cell>
        </row>
        <row r="678">
          <cell r="R678">
            <v>1586979.25</v>
          </cell>
          <cell r="S678">
            <v>2191240.5</v>
          </cell>
          <cell r="T678">
            <v>3493240.5</v>
          </cell>
        </row>
        <row r="679">
          <cell r="R679">
            <v>0</v>
          </cell>
          <cell r="S679">
            <v>0</v>
          </cell>
          <cell r="T679">
            <v>0</v>
          </cell>
        </row>
        <row r="680">
          <cell r="R680">
            <v>12043117.999985099</v>
          </cell>
          <cell r="S680">
            <v>12143151</v>
          </cell>
          <cell r="T680">
            <v>10230806</v>
          </cell>
        </row>
        <row r="681">
          <cell r="R681">
            <v>10607511.999985099</v>
          </cell>
          <cell r="S681">
            <v>5956119.9999999991</v>
          </cell>
          <cell r="T681">
            <v>0</v>
          </cell>
        </row>
        <row r="682">
          <cell r="R682">
            <v>6364509</v>
          </cell>
          <cell r="S682">
            <v>0</v>
          </cell>
          <cell r="T682">
            <v>0</v>
          </cell>
        </row>
        <row r="683">
          <cell r="R683">
            <v>4243002.9999850998</v>
          </cell>
          <cell r="S683">
            <v>5956119.9999999991</v>
          </cell>
          <cell r="T683">
            <v>0</v>
          </cell>
        </row>
        <row r="684">
          <cell r="R684">
            <v>0</v>
          </cell>
          <cell r="S684">
            <v>0</v>
          </cell>
          <cell r="T684">
            <v>0</v>
          </cell>
        </row>
        <row r="685">
          <cell r="R685">
            <v>1435606</v>
          </cell>
          <cell r="S685">
            <v>6187031</v>
          </cell>
          <cell r="T685">
            <v>10230806</v>
          </cell>
        </row>
        <row r="686">
          <cell r="R686">
            <v>1435606</v>
          </cell>
          <cell r="S686">
            <v>6187031</v>
          </cell>
          <cell r="T686">
            <v>10230806</v>
          </cell>
        </row>
        <row r="688">
          <cell r="R688">
            <v>18455877</v>
          </cell>
          <cell r="S688">
            <v>1262542</v>
          </cell>
          <cell r="T688">
            <v>0</v>
          </cell>
        </row>
        <row r="689">
          <cell r="R689">
            <v>14862846</v>
          </cell>
          <cell r="S689">
            <v>1262542</v>
          </cell>
          <cell r="T689">
            <v>0</v>
          </cell>
        </row>
        <row r="690">
          <cell r="R690">
            <v>3593031</v>
          </cell>
          <cell r="S690">
            <v>0</v>
          </cell>
          <cell r="T690">
            <v>0</v>
          </cell>
        </row>
        <row r="694">
          <cell r="R694">
            <v>3952613</v>
          </cell>
          <cell r="S694">
            <v>12617500</v>
          </cell>
          <cell r="T694">
            <v>7768800</v>
          </cell>
        </row>
        <row r="695">
          <cell r="R695">
            <v>0</v>
          </cell>
          <cell r="S695">
            <v>0</v>
          </cell>
          <cell r="T695">
            <v>0</v>
          </cell>
        </row>
        <row r="696">
          <cell r="R696">
            <v>0</v>
          </cell>
          <cell r="S696">
            <v>0</v>
          </cell>
          <cell r="T696">
            <v>0</v>
          </cell>
        </row>
        <row r="697">
          <cell r="R697">
            <v>0</v>
          </cell>
          <cell r="S697">
            <v>0</v>
          </cell>
          <cell r="T697">
            <v>0</v>
          </cell>
        </row>
        <row r="698">
          <cell r="R698">
            <v>192500</v>
          </cell>
          <cell r="S698">
            <v>0</v>
          </cell>
          <cell r="T698">
            <v>0</v>
          </cell>
        </row>
        <row r="699">
          <cell r="R699">
            <v>0</v>
          </cell>
          <cell r="S699">
            <v>0</v>
          </cell>
          <cell r="T699">
            <v>0</v>
          </cell>
        </row>
        <row r="700">
          <cell r="R700">
            <v>1329595</v>
          </cell>
          <cell r="S700">
            <v>6560000</v>
          </cell>
          <cell r="T700">
            <v>0</v>
          </cell>
        </row>
        <row r="701">
          <cell r="R701">
            <v>86922</v>
          </cell>
          <cell r="S701">
            <v>0</v>
          </cell>
          <cell r="T701">
            <v>2448000</v>
          </cell>
        </row>
        <row r="702">
          <cell r="R702">
            <v>0</v>
          </cell>
          <cell r="S702">
            <v>0</v>
          </cell>
          <cell r="T702">
            <v>0</v>
          </cell>
        </row>
        <row r="703">
          <cell r="R703">
            <v>2343596</v>
          </cell>
          <cell r="S703">
            <v>6057500</v>
          </cell>
          <cell r="T703">
            <v>5320800</v>
          </cell>
        </row>
        <row r="706">
          <cell r="R706">
            <v>10679.020869565218</v>
          </cell>
          <cell r="S706">
            <v>3739.130434782609</v>
          </cell>
          <cell r="T706">
            <v>4086.9565217391309</v>
          </cell>
        </row>
        <row r="707">
          <cell r="R707">
            <v>10679.020869565218</v>
          </cell>
          <cell r="S707">
            <v>3739.130434782609</v>
          </cell>
          <cell r="T707">
            <v>4086.9565217391309</v>
          </cell>
        </row>
        <row r="708">
          <cell r="R708">
            <v>0</v>
          </cell>
          <cell r="S708">
            <v>0</v>
          </cell>
          <cell r="T708">
            <v>0</v>
          </cell>
        </row>
        <row r="710">
          <cell r="R710">
            <v>0</v>
          </cell>
          <cell r="S710">
            <v>0</v>
          </cell>
          <cell r="T710">
            <v>0</v>
          </cell>
        </row>
        <row r="711">
          <cell r="R711">
            <v>0</v>
          </cell>
          <cell r="S711">
            <v>0</v>
          </cell>
          <cell r="T711">
            <v>0</v>
          </cell>
        </row>
        <row r="714">
          <cell r="R714">
            <v>0</v>
          </cell>
          <cell r="S714">
            <v>0</v>
          </cell>
          <cell r="T714">
            <v>0</v>
          </cell>
        </row>
        <row r="715">
          <cell r="R715">
            <v>0</v>
          </cell>
          <cell r="S715">
            <v>0</v>
          </cell>
          <cell r="T715">
            <v>0</v>
          </cell>
        </row>
        <row r="716">
          <cell r="R716">
            <v>0</v>
          </cell>
          <cell r="S716">
            <v>0</v>
          </cell>
          <cell r="T716">
            <v>0</v>
          </cell>
        </row>
        <row r="717">
          <cell r="R717" t="str">
            <v>-</v>
          </cell>
          <cell r="S717" t="str">
            <v>-</v>
          </cell>
          <cell r="T717" t="str">
            <v>-</v>
          </cell>
        </row>
        <row r="718">
          <cell r="R718">
            <v>0</v>
          </cell>
          <cell r="S718">
            <v>0</v>
          </cell>
          <cell r="T718">
            <v>0</v>
          </cell>
        </row>
        <row r="719">
          <cell r="R719">
            <v>0</v>
          </cell>
          <cell r="S719">
            <v>0</v>
          </cell>
          <cell r="T719">
            <v>0</v>
          </cell>
        </row>
        <row r="720">
          <cell r="R720">
            <v>0</v>
          </cell>
          <cell r="S720">
            <v>0</v>
          </cell>
          <cell r="T720">
            <v>0</v>
          </cell>
        </row>
        <row r="721">
          <cell r="R721">
            <v>0</v>
          </cell>
          <cell r="S721">
            <v>0</v>
          </cell>
          <cell r="T721">
            <v>0</v>
          </cell>
        </row>
        <row r="722">
          <cell r="R722">
            <v>0</v>
          </cell>
          <cell r="S722">
            <v>0</v>
          </cell>
          <cell r="T722">
            <v>0</v>
          </cell>
        </row>
        <row r="723">
          <cell r="R723">
            <v>0</v>
          </cell>
          <cell r="S723">
            <v>0</v>
          </cell>
          <cell r="T723">
            <v>0</v>
          </cell>
        </row>
        <row r="724">
          <cell r="R724">
            <v>0</v>
          </cell>
          <cell r="S724">
            <v>0</v>
          </cell>
          <cell r="T724">
            <v>0</v>
          </cell>
        </row>
        <row r="725">
          <cell r="R725">
            <v>0</v>
          </cell>
          <cell r="S725">
            <v>0</v>
          </cell>
          <cell r="T725">
            <v>0</v>
          </cell>
        </row>
        <row r="726">
          <cell r="R726">
            <v>0</v>
          </cell>
          <cell r="S726">
            <v>0</v>
          </cell>
          <cell r="T726">
            <v>0</v>
          </cell>
        </row>
        <row r="728">
          <cell r="R728">
            <v>0</v>
          </cell>
          <cell r="S728">
            <v>0</v>
          </cell>
          <cell r="T728">
            <v>0</v>
          </cell>
        </row>
        <row r="729">
          <cell r="R729">
            <v>0</v>
          </cell>
          <cell r="S729">
            <v>0</v>
          </cell>
          <cell r="T729">
            <v>0</v>
          </cell>
        </row>
        <row r="730">
          <cell r="R730">
            <v>0</v>
          </cell>
          <cell r="S730">
            <v>0</v>
          </cell>
          <cell r="T730">
            <v>0</v>
          </cell>
        </row>
        <row r="734">
          <cell r="R734">
            <v>0</v>
          </cell>
          <cell r="S734">
            <v>0</v>
          </cell>
          <cell r="T734">
            <v>0</v>
          </cell>
        </row>
        <row r="735">
          <cell r="R735">
            <v>0</v>
          </cell>
          <cell r="S735">
            <v>0</v>
          </cell>
          <cell r="T735">
            <v>0</v>
          </cell>
        </row>
        <row r="736">
          <cell r="R736">
            <v>0</v>
          </cell>
          <cell r="S736">
            <v>0</v>
          </cell>
          <cell r="T736">
            <v>0</v>
          </cell>
        </row>
        <row r="737">
          <cell r="R737">
            <v>0</v>
          </cell>
          <cell r="S737">
            <v>0</v>
          </cell>
          <cell r="T737">
            <v>0</v>
          </cell>
        </row>
        <row r="738">
          <cell r="R738">
            <v>0</v>
          </cell>
          <cell r="S738">
            <v>0</v>
          </cell>
          <cell r="T738">
            <v>0</v>
          </cell>
        </row>
        <row r="739">
          <cell r="R739">
            <v>0</v>
          </cell>
          <cell r="S739">
            <v>0</v>
          </cell>
          <cell r="T739">
            <v>0</v>
          </cell>
        </row>
        <row r="740">
          <cell r="R740">
            <v>0</v>
          </cell>
          <cell r="S740">
            <v>0</v>
          </cell>
          <cell r="T740">
            <v>0</v>
          </cell>
        </row>
        <row r="741">
          <cell r="R741">
            <v>0</v>
          </cell>
          <cell r="S741">
            <v>0</v>
          </cell>
          <cell r="T741">
            <v>0</v>
          </cell>
        </row>
        <row r="742">
          <cell r="R742">
            <v>0</v>
          </cell>
          <cell r="S742">
            <v>0</v>
          </cell>
          <cell r="T742">
            <v>0</v>
          </cell>
        </row>
        <row r="743">
          <cell r="R743">
            <v>0</v>
          </cell>
          <cell r="S743">
            <v>0</v>
          </cell>
          <cell r="T743">
            <v>0</v>
          </cell>
        </row>
        <row r="746">
          <cell r="R746">
            <v>0</v>
          </cell>
          <cell r="S746">
            <v>0</v>
          </cell>
          <cell r="T746">
            <v>0</v>
          </cell>
        </row>
        <row r="747">
          <cell r="R747">
            <v>0</v>
          </cell>
          <cell r="S747">
            <v>0</v>
          </cell>
          <cell r="T747">
            <v>0</v>
          </cell>
        </row>
        <row r="748">
          <cell r="R748">
            <v>0</v>
          </cell>
          <cell r="S748">
            <v>0</v>
          </cell>
          <cell r="T748">
            <v>0</v>
          </cell>
        </row>
        <row r="750">
          <cell r="R750">
            <v>0</v>
          </cell>
          <cell r="S750">
            <v>0</v>
          </cell>
          <cell r="T750">
            <v>0</v>
          </cell>
        </row>
        <row r="751">
          <cell r="R751">
            <v>0</v>
          </cell>
          <cell r="S751">
            <v>0</v>
          </cell>
          <cell r="T751">
            <v>0</v>
          </cell>
        </row>
        <row r="754">
          <cell r="R754">
            <v>103079815.37534469</v>
          </cell>
          <cell r="S754">
            <v>84505735.742656589</v>
          </cell>
          <cell r="T754">
            <v>60801617.121976979</v>
          </cell>
        </row>
        <row r="755">
          <cell r="R755">
            <v>45457442</v>
          </cell>
          <cell r="S755">
            <v>24695534.5</v>
          </cell>
          <cell r="T755">
            <v>16236955.5</v>
          </cell>
        </row>
        <row r="756">
          <cell r="R756">
            <v>45457442</v>
          </cell>
          <cell r="S756">
            <v>24695534.5</v>
          </cell>
          <cell r="T756">
            <v>16236955.5</v>
          </cell>
        </row>
        <row r="757">
          <cell r="R757" t="str">
            <v>-</v>
          </cell>
          <cell r="S757" t="str">
            <v>-</v>
          </cell>
          <cell r="T757" t="str">
            <v>-</v>
          </cell>
        </row>
        <row r="758">
          <cell r="R758">
            <v>0</v>
          </cell>
          <cell r="S758">
            <v>0</v>
          </cell>
          <cell r="T758">
            <v>0</v>
          </cell>
        </row>
        <row r="759">
          <cell r="R759">
            <v>0</v>
          </cell>
          <cell r="S759">
            <v>0</v>
          </cell>
          <cell r="T759">
            <v>0</v>
          </cell>
        </row>
        <row r="760">
          <cell r="R760">
            <v>31225101.01921384</v>
          </cell>
          <cell r="S760">
            <v>44013718.304189213</v>
          </cell>
          <cell r="T760">
            <v>38871099.339526981</v>
          </cell>
        </row>
        <row r="761">
          <cell r="R761">
            <v>16938199.01921384</v>
          </cell>
          <cell r="S761">
            <v>28659880.304189213</v>
          </cell>
          <cell r="T761">
            <v>21046071.339526985</v>
          </cell>
        </row>
        <row r="762">
          <cell r="R762">
            <v>16130858</v>
          </cell>
          <cell r="S762">
            <v>28659880.304189213</v>
          </cell>
          <cell r="T762">
            <v>21046071.339526985</v>
          </cell>
        </row>
        <row r="763">
          <cell r="R763">
            <v>807341.0192138399</v>
          </cell>
          <cell r="S763">
            <v>0</v>
          </cell>
          <cell r="T763">
            <v>0</v>
          </cell>
        </row>
        <row r="764">
          <cell r="R764">
            <v>0</v>
          </cell>
          <cell r="S764">
            <v>0</v>
          </cell>
          <cell r="T764">
            <v>0</v>
          </cell>
        </row>
        <row r="765">
          <cell r="R765">
            <v>14286902</v>
          </cell>
          <cell r="S765">
            <v>15353838</v>
          </cell>
          <cell r="T765">
            <v>17825028</v>
          </cell>
        </row>
        <row r="766">
          <cell r="R766">
            <v>14286902</v>
          </cell>
          <cell r="S766">
            <v>15353838</v>
          </cell>
          <cell r="T766">
            <v>17825028</v>
          </cell>
        </row>
        <row r="768">
          <cell r="R768">
            <v>13151216.072666667</v>
          </cell>
          <cell r="S768">
            <v>7431291.8812500006</v>
          </cell>
          <cell r="T768">
            <v>638681.34944999998</v>
          </cell>
        </row>
        <row r="769">
          <cell r="R769">
            <v>7248344</v>
          </cell>
          <cell r="S769">
            <v>7106110.9400000004</v>
          </cell>
          <cell r="T769">
            <v>470719.20819999999</v>
          </cell>
        </row>
        <row r="770">
          <cell r="R770">
            <v>5902872.0726666674</v>
          </cell>
          <cell r="S770">
            <v>325180.94125000003</v>
          </cell>
          <cell r="T770">
            <v>167962.14124999999</v>
          </cell>
        </row>
        <row r="774">
          <cell r="R774">
            <v>7200975.8704641908</v>
          </cell>
          <cell r="S774">
            <v>5213700.0572173912</v>
          </cell>
          <cell r="T774">
            <v>2008389.9330000002</v>
          </cell>
        </row>
        <row r="775">
          <cell r="R775">
            <v>0</v>
          </cell>
          <cell r="S775">
            <v>0</v>
          </cell>
          <cell r="T775">
            <v>0</v>
          </cell>
        </row>
        <row r="776">
          <cell r="R776">
            <v>0</v>
          </cell>
          <cell r="S776">
            <v>0</v>
          </cell>
          <cell r="T776">
            <v>0</v>
          </cell>
        </row>
        <row r="777">
          <cell r="R777">
            <v>362323.43530000001</v>
          </cell>
          <cell r="S777">
            <v>916213</v>
          </cell>
          <cell r="T777">
            <v>800583</v>
          </cell>
        </row>
        <row r="778">
          <cell r="R778">
            <v>1333729.8451641907</v>
          </cell>
          <cell r="S778">
            <v>463433</v>
          </cell>
          <cell r="T778">
            <v>475647</v>
          </cell>
        </row>
        <row r="779">
          <cell r="R779">
            <v>100742</v>
          </cell>
          <cell r="S779">
            <v>260000</v>
          </cell>
          <cell r="T779">
            <v>262000</v>
          </cell>
        </row>
        <row r="780">
          <cell r="R780">
            <v>211343</v>
          </cell>
          <cell r="S780">
            <v>165000</v>
          </cell>
          <cell r="T780">
            <v>170000</v>
          </cell>
        </row>
        <row r="781">
          <cell r="R781">
            <v>114294</v>
          </cell>
          <cell r="S781">
            <v>40000</v>
          </cell>
          <cell r="T781">
            <v>0</v>
          </cell>
        </row>
        <row r="782">
          <cell r="R782">
            <v>4944544</v>
          </cell>
          <cell r="S782">
            <v>3328704.8072173917</v>
          </cell>
          <cell r="T782">
            <v>286610.08299999998</v>
          </cell>
        </row>
        <row r="783">
          <cell r="R783">
            <v>133999.59000000008</v>
          </cell>
          <cell r="S783">
            <v>40349.25</v>
          </cell>
          <cell r="T783">
            <v>13549.849999999999</v>
          </cell>
        </row>
        <row r="786">
          <cell r="R786">
            <v>518194.413</v>
          </cell>
          <cell r="S786">
            <v>265000</v>
          </cell>
          <cell r="T786">
            <v>160000</v>
          </cell>
        </row>
        <row r="787">
          <cell r="R787">
            <v>0</v>
          </cell>
          <cell r="S787">
            <v>0</v>
          </cell>
          <cell r="T787">
            <v>0</v>
          </cell>
        </row>
        <row r="788">
          <cell r="R788">
            <v>518194.413</v>
          </cell>
          <cell r="S788">
            <v>265000</v>
          </cell>
          <cell r="T788">
            <v>160000</v>
          </cell>
        </row>
        <row r="790">
          <cell r="R790">
            <v>5526886</v>
          </cell>
          <cell r="S790">
            <v>2886491</v>
          </cell>
          <cell r="T790">
            <v>2886491</v>
          </cell>
        </row>
        <row r="791">
          <cell r="R791">
            <v>5526886</v>
          </cell>
          <cell r="S791">
            <v>2886491</v>
          </cell>
          <cell r="T791">
            <v>2886491</v>
          </cell>
        </row>
        <row r="794">
          <cell r="R794">
            <v>487621400.73833525</v>
          </cell>
          <cell r="S794">
            <v>454009793.01705647</v>
          </cell>
          <cell r="T794">
            <v>462378447.78016371</v>
          </cell>
        </row>
        <row r="795">
          <cell r="R795">
            <v>219291909.95936</v>
          </cell>
          <cell r="S795">
            <v>190594216.04523298</v>
          </cell>
          <cell r="T795">
            <v>186550550.81236961</v>
          </cell>
        </row>
        <row r="796">
          <cell r="R796">
            <v>219291909.95936</v>
          </cell>
          <cell r="S796">
            <v>190594216.04523298</v>
          </cell>
          <cell r="T796">
            <v>186550550.81236961</v>
          </cell>
        </row>
        <row r="797">
          <cell r="R797" t="str">
            <v>-</v>
          </cell>
          <cell r="S797" t="str">
            <v>-</v>
          </cell>
          <cell r="T797" t="str">
            <v>-</v>
          </cell>
        </row>
        <row r="798">
          <cell r="R798">
            <v>0</v>
          </cell>
          <cell r="S798">
            <v>0</v>
          </cell>
          <cell r="T798">
            <v>0</v>
          </cell>
        </row>
        <row r="799">
          <cell r="R799">
            <v>0</v>
          </cell>
          <cell r="S799">
            <v>0</v>
          </cell>
          <cell r="T799">
            <v>0</v>
          </cell>
        </row>
        <row r="800">
          <cell r="R800">
            <v>133575514.61140144</v>
          </cell>
          <cell r="S800">
            <v>142086665.23566487</v>
          </cell>
          <cell r="T800">
            <v>149303416.60971832</v>
          </cell>
        </row>
        <row r="801">
          <cell r="R801">
            <v>72877895.535013378</v>
          </cell>
          <cell r="S801">
            <v>74220472.240720004</v>
          </cell>
          <cell r="T801">
            <v>75521882.778113201</v>
          </cell>
        </row>
        <row r="802">
          <cell r="R802">
            <v>59756755.705999993</v>
          </cell>
          <cell r="S802">
            <v>64570604.70792</v>
          </cell>
          <cell r="T802">
            <v>65736937.626113206</v>
          </cell>
        </row>
        <row r="803">
          <cell r="R803">
            <v>13121139.829013389</v>
          </cell>
          <cell r="S803">
            <v>9649867.5328000002</v>
          </cell>
          <cell r="T803">
            <v>9784945.1520000007</v>
          </cell>
        </row>
        <row r="804">
          <cell r="R804">
            <v>0</v>
          </cell>
          <cell r="S804">
            <v>0</v>
          </cell>
          <cell r="T804">
            <v>0</v>
          </cell>
        </row>
        <row r="805">
          <cell r="R805">
            <v>60697619.076388061</v>
          </cell>
          <cell r="S805">
            <v>67866192.99494487</v>
          </cell>
          <cell r="T805">
            <v>73781533.831605107</v>
          </cell>
        </row>
        <row r="806">
          <cell r="R806">
            <v>60697619.076388061</v>
          </cell>
          <cell r="S806">
            <v>67866192.99494487</v>
          </cell>
          <cell r="T806">
            <v>73781533.831605107</v>
          </cell>
        </row>
        <row r="808">
          <cell r="R808">
            <v>92626730.432727501</v>
          </cell>
          <cell r="S808">
            <v>86111457.365097493</v>
          </cell>
          <cell r="T808">
            <v>87290671.258897498</v>
          </cell>
        </row>
        <row r="809">
          <cell r="R809">
            <v>11634088.278279999</v>
          </cell>
          <cell r="S809">
            <v>16035917.012</v>
          </cell>
          <cell r="T809">
            <v>18818097.920000002</v>
          </cell>
        </row>
        <row r="810">
          <cell r="R810">
            <v>80992642.154447496</v>
          </cell>
          <cell r="S810">
            <v>70075540.353097498</v>
          </cell>
          <cell r="T810">
            <v>68472573.338897496</v>
          </cell>
        </row>
        <row r="814">
          <cell r="R814">
            <v>25268315.190026607</v>
          </cell>
          <cell r="S814">
            <v>19989697</v>
          </cell>
          <cell r="T814">
            <v>23773079.636363637</v>
          </cell>
        </row>
        <row r="815">
          <cell r="R815">
            <v>0</v>
          </cell>
          <cell r="S815">
            <v>0</v>
          </cell>
          <cell r="T815">
            <v>0</v>
          </cell>
        </row>
        <row r="816">
          <cell r="R816">
            <v>0</v>
          </cell>
          <cell r="S816">
            <v>0</v>
          </cell>
          <cell r="T816">
            <v>0</v>
          </cell>
        </row>
        <row r="817">
          <cell r="R817">
            <v>4603058.9376369994</v>
          </cell>
          <cell r="S817">
            <v>4161139.9999999995</v>
          </cell>
          <cell r="T817">
            <v>4199300</v>
          </cell>
        </row>
        <row r="818">
          <cell r="R818">
            <v>3830542.7732962631</v>
          </cell>
          <cell r="S818">
            <v>4131952</v>
          </cell>
          <cell r="T818">
            <v>4545407</v>
          </cell>
        </row>
        <row r="819">
          <cell r="R819">
            <v>9896100</v>
          </cell>
          <cell r="S819">
            <v>2303526</v>
          </cell>
          <cell r="T819">
            <v>2533879</v>
          </cell>
        </row>
        <row r="820">
          <cell r="R820">
            <v>1381243</v>
          </cell>
          <cell r="S820">
            <v>1620336</v>
          </cell>
          <cell r="T820">
            <v>1847157</v>
          </cell>
        </row>
        <row r="821">
          <cell r="R821">
            <v>2956097</v>
          </cell>
          <cell r="S821">
            <v>3035986</v>
          </cell>
          <cell r="T821">
            <v>3756854</v>
          </cell>
        </row>
        <row r="822">
          <cell r="R822">
            <v>2035647</v>
          </cell>
          <cell r="S822">
            <v>2156757</v>
          </cell>
          <cell r="T822">
            <v>2294119</v>
          </cell>
        </row>
        <row r="823">
          <cell r="R823">
            <v>565626.47909334628</v>
          </cell>
          <cell r="S823">
            <v>2580000</v>
          </cell>
          <cell r="T823">
            <v>4596363.6363636358</v>
          </cell>
        </row>
        <row r="826">
          <cell r="R826">
            <v>1445813.5448197101</v>
          </cell>
          <cell r="S826">
            <v>1765597.3710610881</v>
          </cell>
          <cell r="T826">
            <v>1998569.4628146994</v>
          </cell>
        </row>
        <row r="827">
          <cell r="R827">
            <v>730435</v>
          </cell>
          <cell r="S827">
            <v>766956.75</v>
          </cell>
          <cell r="T827">
            <v>805304.58750000002</v>
          </cell>
        </row>
        <row r="828">
          <cell r="R828">
            <v>715378.54481971008</v>
          </cell>
          <cell r="S828">
            <v>998640.62106108794</v>
          </cell>
          <cell r="T828">
            <v>1193264.8753146993</v>
          </cell>
        </row>
        <row r="830">
          <cell r="R830">
            <v>15413117</v>
          </cell>
          <cell r="S830">
            <v>13462160</v>
          </cell>
          <cell r="T830">
            <v>13462160</v>
          </cell>
        </row>
        <row r="831">
          <cell r="R831">
            <v>15413117</v>
          </cell>
          <cell r="S831">
            <v>13462160</v>
          </cell>
          <cell r="T831">
            <v>13462160</v>
          </cell>
        </row>
        <row r="834">
          <cell r="R834">
            <v>2669845.6897109747</v>
          </cell>
          <cell r="S834">
            <v>1336506</v>
          </cell>
          <cell r="T834">
            <v>1381186</v>
          </cell>
        </row>
        <row r="835">
          <cell r="R835">
            <v>400638475.87071991</v>
          </cell>
          <cell r="S835">
            <v>390177433.75796986</v>
          </cell>
          <cell r="T835">
            <v>400909334.53956842</v>
          </cell>
        </row>
        <row r="836">
          <cell r="R836">
            <v>164836226.97542241</v>
          </cell>
          <cell r="S836">
            <v>163739167.00668985</v>
          </cell>
          <cell r="T836">
            <v>168230922.27030075</v>
          </cell>
        </row>
        <row r="837">
          <cell r="R837">
            <v>164612048.97542241</v>
          </cell>
          <cell r="S837">
            <v>163499342.90545648</v>
          </cell>
          <cell r="T837">
            <v>167833910.08434397</v>
          </cell>
        </row>
        <row r="838">
          <cell r="R838" t="str">
            <v>-</v>
          </cell>
          <cell r="S838" t="str">
            <v>-</v>
          </cell>
          <cell r="T838" t="str">
            <v>-</v>
          </cell>
        </row>
        <row r="839">
          <cell r="R839">
            <v>224178</v>
          </cell>
          <cell r="S839">
            <v>239824.10123336446</v>
          </cell>
          <cell r="T839">
            <v>397012.18595677341</v>
          </cell>
        </row>
        <row r="840">
          <cell r="R840">
            <v>0</v>
          </cell>
          <cell r="S840">
            <v>0</v>
          </cell>
          <cell r="T840">
            <v>0</v>
          </cell>
        </row>
        <row r="841">
          <cell r="R841">
            <v>111200503.98397507</v>
          </cell>
          <cell r="S841">
            <v>111759598.16121574</v>
          </cell>
          <cell r="T841">
            <v>114314557.06994687</v>
          </cell>
        </row>
        <row r="842">
          <cell r="R842">
            <v>60626546.300566494</v>
          </cell>
          <cell r="S842">
            <v>60016695.432757959</v>
          </cell>
          <cell r="T842">
            <v>61004539.495689914</v>
          </cell>
        </row>
        <row r="843">
          <cell r="R843">
            <v>48563003.922646224</v>
          </cell>
          <cell r="S843">
            <v>51539417.079851188</v>
          </cell>
          <cell r="T843">
            <v>52477706.568145826</v>
          </cell>
        </row>
        <row r="844">
          <cell r="R844">
            <v>12063542.377920268</v>
          </cell>
          <cell r="S844">
            <v>8477278.3529067729</v>
          </cell>
          <cell r="T844">
            <v>8526832.9275440909</v>
          </cell>
        </row>
        <row r="845">
          <cell r="R845">
            <v>0</v>
          </cell>
          <cell r="S845">
            <v>0</v>
          </cell>
          <cell r="T845">
            <v>0</v>
          </cell>
        </row>
        <row r="846">
          <cell r="R846">
            <v>50573957.683408573</v>
          </cell>
          <cell r="S846">
            <v>51742902.728457779</v>
          </cell>
          <cell r="T846">
            <v>53310017.574256957</v>
          </cell>
        </row>
        <row r="847">
          <cell r="R847">
            <v>50573957.683408573</v>
          </cell>
          <cell r="S847">
            <v>51742902.728457779</v>
          </cell>
          <cell r="T847">
            <v>53310017.574256957</v>
          </cell>
        </row>
        <row r="849">
          <cell r="R849">
            <v>88252715.155379981</v>
          </cell>
          <cell r="S849">
            <v>84582908.125576586</v>
          </cell>
          <cell r="T849">
            <v>85268811.066367224</v>
          </cell>
        </row>
        <row r="850">
          <cell r="R850">
            <v>9133670.6799999997</v>
          </cell>
          <cell r="S850">
            <v>15915411.535296597</v>
          </cell>
          <cell r="T850">
            <v>18234919.901167233</v>
          </cell>
        </row>
        <row r="851">
          <cell r="R851">
            <v>79119044.475379989</v>
          </cell>
          <cell r="S851">
            <v>68667496.590279996</v>
          </cell>
          <cell r="T851">
            <v>67033891.165199995</v>
          </cell>
        </row>
        <row r="855">
          <cell r="R855">
            <v>24285305.210899554</v>
          </cell>
          <cell r="S855">
            <v>18223673.53431021</v>
          </cell>
          <cell r="T855">
            <v>21097674.551630884</v>
          </cell>
        </row>
        <row r="856">
          <cell r="R856">
            <v>0</v>
          </cell>
          <cell r="S856">
            <v>0</v>
          </cell>
          <cell r="T856">
            <v>0</v>
          </cell>
        </row>
        <row r="857">
          <cell r="R857">
            <v>0</v>
          </cell>
          <cell r="S857">
            <v>0</v>
          </cell>
          <cell r="T857">
            <v>0</v>
          </cell>
        </row>
        <row r="858">
          <cell r="R858">
            <v>3875803.6749734096</v>
          </cell>
          <cell r="S858">
            <v>3252460.5367072471</v>
          </cell>
          <cell r="T858">
            <v>3353930.1737607345</v>
          </cell>
        </row>
        <row r="859">
          <cell r="R859">
            <v>3672383.7435501739</v>
          </cell>
          <cell r="S859">
            <v>3975286.5522721894</v>
          </cell>
          <cell r="T859">
            <v>4373918.9854594115</v>
          </cell>
        </row>
        <row r="860">
          <cell r="R860">
            <v>9652672</v>
          </cell>
          <cell r="S860">
            <v>1977760.37</v>
          </cell>
          <cell r="T860">
            <v>2008962.0630000001</v>
          </cell>
        </row>
        <row r="861">
          <cell r="R861">
            <v>1309497.06</v>
          </cell>
          <cell r="S861">
            <v>1740454.02</v>
          </cell>
          <cell r="T861">
            <v>1770278.3303999999</v>
          </cell>
        </row>
        <row r="862">
          <cell r="R862">
            <v>2851006</v>
          </cell>
          <cell r="S862">
            <v>2905507.69</v>
          </cell>
          <cell r="T862">
            <v>3608246.74</v>
          </cell>
        </row>
        <row r="863">
          <cell r="R863">
            <v>2025284</v>
          </cell>
          <cell r="S863">
            <v>2064256.3199999998</v>
          </cell>
          <cell r="T863">
            <v>2132430.98</v>
          </cell>
        </row>
        <row r="864">
          <cell r="R864">
            <v>898658.73237597081</v>
          </cell>
          <cell r="S864">
            <v>2307948.0453307773</v>
          </cell>
          <cell r="T864">
            <v>3849907.2790107392</v>
          </cell>
        </row>
        <row r="867">
          <cell r="R867">
            <v>1792943.5450429246</v>
          </cell>
          <cell r="S867">
            <v>2123772.4901774395</v>
          </cell>
          <cell r="T867">
            <v>2184643.7613226566</v>
          </cell>
        </row>
        <row r="868">
          <cell r="R868">
            <v>697296.12591000006</v>
          </cell>
          <cell r="S868">
            <v>730449.75362400012</v>
          </cell>
          <cell r="T868">
            <v>734142.60368405003</v>
          </cell>
        </row>
        <row r="869">
          <cell r="R869">
            <v>1095647.4191329246</v>
          </cell>
          <cell r="S869">
            <v>1393322.7365534394</v>
          </cell>
          <cell r="T869">
            <v>1450501.1576386064</v>
          </cell>
        </row>
        <row r="871">
          <cell r="R871">
            <v>10270782</v>
          </cell>
          <cell r="S871">
            <v>9748315.4399999995</v>
          </cell>
          <cell r="T871">
            <v>9812726.8200000022</v>
          </cell>
        </row>
        <row r="872">
          <cell r="R872">
            <v>10270782</v>
          </cell>
          <cell r="S872">
            <v>9748315.4399999995</v>
          </cell>
          <cell r="T872">
            <v>9812726.8200000022</v>
          </cell>
        </row>
        <row r="875">
          <cell r="R875">
            <v>-1</v>
          </cell>
          <cell r="S875">
            <v>-0.99999994039535522</v>
          </cell>
          <cell r="T875">
            <v>-1</v>
          </cell>
        </row>
        <row r="876">
          <cell r="R876">
            <v>484951555.04862428</v>
          </cell>
          <cell r="S876">
            <v>452673287.01705647</v>
          </cell>
          <cell r="T876">
            <v>460997261.78016371</v>
          </cell>
        </row>
        <row r="877">
          <cell r="R877">
            <v>219814820.95936</v>
          </cell>
          <cell r="S877">
            <v>190594216.04523298</v>
          </cell>
          <cell r="T877">
            <v>186550550.81236961</v>
          </cell>
        </row>
        <row r="878">
          <cell r="R878">
            <v>219814820.95936</v>
          </cell>
          <cell r="S878">
            <v>190594216.04523298</v>
          </cell>
          <cell r="T878">
            <v>186550550.81236961</v>
          </cell>
        </row>
        <row r="879">
          <cell r="R879" t="str">
            <v>-</v>
          </cell>
          <cell r="S879" t="str">
            <v>-</v>
          </cell>
          <cell r="T879" t="str">
            <v>-</v>
          </cell>
        </row>
        <row r="880">
          <cell r="R880">
            <v>0</v>
          </cell>
          <cell r="S880">
            <v>0</v>
          </cell>
          <cell r="T880">
            <v>0</v>
          </cell>
        </row>
        <row r="881">
          <cell r="R881">
            <v>0</v>
          </cell>
          <cell r="S881">
            <v>0</v>
          </cell>
          <cell r="T881">
            <v>0</v>
          </cell>
        </row>
        <row r="882">
          <cell r="R882">
            <v>132057466.43151005</v>
          </cell>
          <cell r="S882">
            <v>140834474.23566487</v>
          </cell>
          <cell r="T882">
            <v>148001225.60971832</v>
          </cell>
        </row>
        <row r="883">
          <cell r="R883">
            <v>71376584.355121985</v>
          </cell>
          <cell r="S883">
            <v>72970472.240720004</v>
          </cell>
          <cell r="T883">
            <v>74221882.778113201</v>
          </cell>
        </row>
        <row r="884">
          <cell r="R884">
            <v>57837346.705999993</v>
          </cell>
          <cell r="S884">
            <v>63320604.70792</v>
          </cell>
          <cell r="T884">
            <v>64436937.626113206</v>
          </cell>
        </row>
        <row r="885">
          <cell r="R885">
            <v>13539237.649121998</v>
          </cell>
          <cell r="S885">
            <v>9649867.5328000002</v>
          </cell>
          <cell r="T885">
            <v>9784945.1520000007</v>
          </cell>
        </row>
        <row r="886">
          <cell r="R886">
            <v>0</v>
          </cell>
          <cell r="S886">
            <v>0</v>
          </cell>
          <cell r="T886">
            <v>0</v>
          </cell>
        </row>
        <row r="887">
          <cell r="R887">
            <v>60680882.076388061</v>
          </cell>
          <cell r="S887">
            <v>67864001.99494487</v>
          </cell>
          <cell r="T887">
            <v>73779342.831605107</v>
          </cell>
        </row>
        <row r="888">
          <cell r="R888">
            <v>60680882.076388061</v>
          </cell>
          <cell r="S888">
            <v>67864001.99494487</v>
          </cell>
          <cell r="T888">
            <v>73779342.831605107</v>
          </cell>
        </row>
        <row r="890">
          <cell r="R890">
            <v>92360051.432727501</v>
          </cell>
          <cell r="S890">
            <v>86111457.365097493</v>
          </cell>
          <cell r="T890">
            <v>87290671.258897498</v>
          </cell>
        </row>
        <row r="891">
          <cell r="R891">
            <v>11453401.278279999</v>
          </cell>
          <cell r="S891">
            <v>16035917.012</v>
          </cell>
          <cell r="T891">
            <v>18818097.920000002</v>
          </cell>
        </row>
        <row r="892">
          <cell r="R892">
            <v>80906650.154447496</v>
          </cell>
          <cell r="S892">
            <v>70075540.353097498</v>
          </cell>
          <cell r="T892">
            <v>68472573.338897496</v>
          </cell>
        </row>
        <row r="896">
          <cell r="R896">
            <v>25233445.68020704</v>
          </cell>
          <cell r="S896">
            <v>19905382</v>
          </cell>
          <cell r="T896">
            <v>23694084.636363637</v>
          </cell>
        </row>
        <row r="897">
          <cell r="R897">
            <v>0</v>
          </cell>
          <cell r="S897">
            <v>0</v>
          </cell>
          <cell r="T897">
            <v>0</v>
          </cell>
        </row>
        <row r="898">
          <cell r="R898">
            <v>0</v>
          </cell>
          <cell r="S898">
            <v>0</v>
          </cell>
          <cell r="T898">
            <v>0</v>
          </cell>
        </row>
        <row r="899">
          <cell r="R899">
            <v>4681999.999716999</v>
          </cell>
          <cell r="S899">
            <v>4161139.9999999995</v>
          </cell>
          <cell r="T899">
            <v>4199300</v>
          </cell>
        </row>
        <row r="900">
          <cell r="R900">
            <v>3869445.9348800434</v>
          </cell>
          <cell r="S900">
            <v>4131952</v>
          </cell>
          <cell r="T900">
            <v>4545407</v>
          </cell>
        </row>
        <row r="901">
          <cell r="R901">
            <v>9898229</v>
          </cell>
          <cell r="S901">
            <v>2303526</v>
          </cell>
          <cell r="T901">
            <v>2533879</v>
          </cell>
        </row>
        <row r="902">
          <cell r="R902">
            <v>1381243</v>
          </cell>
          <cell r="S902">
            <v>1620336</v>
          </cell>
          <cell r="T902">
            <v>1847157</v>
          </cell>
        </row>
        <row r="903">
          <cell r="R903">
            <v>2956097</v>
          </cell>
          <cell r="S903">
            <v>3035986</v>
          </cell>
          <cell r="T903">
            <v>3756854</v>
          </cell>
        </row>
        <row r="904">
          <cell r="R904">
            <v>1903717</v>
          </cell>
          <cell r="S904">
            <v>2072442</v>
          </cell>
          <cell r="T904">
            <v>2215124</v>
          </cell>
        </row>
        <row r="905">
          <cell r="R905">
            <v>542713.74560999998</v>
          </cell>
          <cell r="S905">
            <v>2580000</v>
          </cell>
          <cell r="T905">
            <v>4596363.6363636358</v>
          </cell>
        </row>
        <row r="908">
          <cell r="R908">
            <v>1445813.5448197101</v>
          </cell>
          <cell r="S908">
            <v>1765597.3710610881</v>
          </cell>
          <cell r="T908">
            <v>1998569.4628146994</v>
          </cell>
        </row>
        <row r="909">
          <cell r="R909">
            <v>730435</v>
          </cell>
          <cell r="S909">
            <v>766956.75</v>
          </cell>
          <cell r="T909">
            <v>805304.58750000002</v>
          </cell>
        </row>
        <row r="910">
          <cell r="R910">
            <v>715378.54481971008</v>
          </cell>
          <cell r="S910">
            <v>998640.62106108794</v>
          </cell>
          <cell r="T910">
            <v>1193264.8753146993</v>
          </cell>
        </row>
        <row r="912">
          <cell r="R912">
            <v>14039957</v>
          </cell>
          <cell r="S912">
            <v>13462160</v>
          </cell>
          <cell r="T912">
            <v>13462160</v>
          </cell>
        </row>
        <row r="913">
          <cell r="R913">
            <v>14039957</v>
          </cell>
          <cell r="S913">
            <v>13462160</v>
          </cell>
          <cell r="T913">
            <v>13462160</v>
          </cell>
        </row>
        <row r="916">
          <cell r="R916">
            <v>275285916.47395772</v>
          </cell>
          <cell r="S916">
            <v>267440839.9805018</v>
          </cell>
          <cell r="T916">
            <v>276958600.23430741</v>
          </cell>
        </row>
        <row r="917">
          <cell r="R917">
            <v>99426801.662198529</v>
          </cell>
          <cell r="S917">
            <v>99939814.821222886</v>
          </cell>
          <cell r="T917">
            <v>103289007.23582977</v>
          </cell>
        </row>
        <row r="918">
          <cell r="R918">
            <v>99426801.662198529</v>
          </cell>
          <cell r="S918">
            <v>99939814.821222886</v>
          </cell>
          <cell r="T918">
            <v>103289007.23582977</v>
          </cell>
        </row>
        <row r="919">
          <cell r="R919" t="str">
            <v>-</v>
          </cell>
          <cell r="S919" t="str">
            <v>-</v>
          </cell>
          <cell r="T919" t="str">
            <v>-</v>
          </cell>
        </row>
        <row r="920">
          <cell r="R920">
            <v>0</v>
          </cell>
          <cell r="S920">
            <v>0</v>
          </cell>
          <cell r="T920">
            <v>0</v>
          </cell>
        </row>
        <row r="921">
          <cell r="R921">
            <v>0</v>
          </cell>
          <cell r="S921">
            <v>0</v>
          </cell>
          <cell r="T921">
            <v>0</v>
          </cell>
        </row>
        <row r="922">
          <cell r="R922">
            <v>87137078.277109921</v>
          </cell>
          <cell r="S922">
            <v>89698725.476217479</v>
          </cell>
          <cell r="T922">
            <v>92910125.916540414</v>
          </cell>
        </row>
        <row r="923">
          <cell r="R923">
            <v>48620085.072744504</v>
          </cell>
          <cell r="S923">
            <v>48475621.973929524</v>
          </cell>
          <cell r="T923">
            <v>50263715.918665268</v>
          </cell>
        </row>
        <row r="924">
          <cell r="R924">
            <v>37804631.473556764</v>
          </cell>
          <cell r="S924">
            <v>41268538.839826502</v>
          </cell>
          <cell r="T924">
            <v>42940190.884438857</v>
          </cell>
        </row>
        <row r="925">
          <cell r="R925">
            <v>10815453.599187735</v>
          </cell>
          <cell r="S925">
            <v>7207083.1341030216</v>
          </cell>
          <cell r="T925">
            <v>7323525.0342264092</v>
          </cell>
        </row>
        <row r="926">
          <cell r="R926">
            <v>0</v>
          </cell>
          <cell r="S926">
            <v>0</v>
          </cell>
          <cell r="T926">
            <v>0</v>
          </cell>
        </row>
        <row r="927">
          <cell r="R927">
            <v>38516993.204365417</v>
          </cell>
          <cell r="S927">
            <v>41223103.502287962</v>
          </cell>
          <cell r="T927">
            <v>42646409.997875139</v>
          </cell>
        </row>
        <row r="928">
          <cell r="R928">
            <v>38516993.204365417</v>
          </cell>
          <cell r="S928">
            <v>41223103.502287962</v>
          </cell>
          <cell r="T928">
            <v>42646409.997875139</v>
          </cell>
        </row>
        <row r="930">
          <cell r="R930">
            <v>66405016.300379992</v>
          </cell>
          <cell r="S930">
            <v>61593404.425576597</v>
          </cell>
          <cell r="T930">
            <v>62128721.122567229</v>
          </cell>
        </row>
        <row r="931">
          <cell r="R931">
            <v>7343318</v>
          </cell>
          <cell r="S931">
            <v>13296143.215296596</v>
          </cell>
          <cell r="T931">
            <v>15467297.747367231</v>
          </cell>
        </row>
        <row r="932">
          <cell r="R932">
            <v>59061698.300379992</v>
          </cell>
          <cell r="S932">
            <v>48297261.210280001</v>
          </cell>
          <cell r="T932">
            <v>46661423.375199996</v>
          </cell>
        </row>
        <row r="936">
          <cell r="R936">
            <v>20924142.46111162</v>
          </cell>
          <cell r="S936">
            <v>14622655.003225859</v>
          </cell>
          <cell r="T936">
            <v>17018259.861667819</v>
          </cell>
        </row>
        <row r="937">
          <cell r="R937">
            <v>0</v>
          </cell>
          <cell r="S937">
            <v>0</v>
          </cell>
          <cell r="T937">
            <v>0</v>
          </cell>
        </row>
        <row r="938">
          <cell r="R938">
            <v>0</v>
          </cell>
          <cell r="S938">
            <v>0</v>
          </cell>
          <cell r="T938">
            <v>0</v>
          </cell>
        </row>
        <row r="939">
          <cell r="R939">
            <v>2897305.0137094427</v>
          </cell>
          <cell r="S939">
            <v>2565644.9079989586</v>
          </cell>
          <cell r="T939">
            <v>2670605.1376559008</v>
          </cell>
        </row>
        <row r="940">
          <cell r="R940">
            <v>2686626.5547048626</v>
          </cell>
          <cell r="S940">
            <v>2865886.5952269002</v>
          </cell>
          <cell r="T940">
            <v>3194469.6248300998</v>
          </cell>
        </row>
        <row r="941">
          <cell r="R941">
            <v>9467185</v>
          </cell>
          <cell r="S941">
            <v>1757848.21</v>
          </cell>
          <cell r="T941">
            <v>1808667.9910000002</v>
          </cell>
        </row>
        <row r="942">
          <cell r="R942">
            <v>1160823.06</v>
          </cell>
          <cell r="S942">
            <v>1421857.7</v>
          </cell>
          <cell r="T942">
            <v>1439399.2</v>
          </cell>
        </row>
        <row r="943">
          <cell r="R943">
            <v>2568236</v>
          </cell>
          <cell r="S943">
            <v>2610330.69</v>
          </cell>
          <cell r="T943">
            <v>3210242.74</v>
          </cell>
        </row>
        <row r="944">
          <cell r="R944">
            <v>1793989</v>
          </cell>
          <cell r="S944">
            <v>1827286.9</v>
          </cell>
          <cell r="T944">
            <v>1891093.35</v>
          </cell>
        </row>
        <row r="945">
          <cell r="R945">
            <v>349977.83269731607</v>
          </cell>
          <cell r="S945">
            <v>1573800</v>
          </cell>
          <cell r="T945">
            <v>2803781.8181818179</v>
          </cell>
        </row>
        <row r="948">
          <cell r="R948">
            <v>1392877.7731576674</v>
          </cell>
          <cell r="S948">
            <v>1586240.2542590038</v>
          </cell>
          <cell r="T948">
            <v>1612486.0977021432</v>
          </cell>
        </row>
        <row r="949">
          <cell r="R949">
            <v>566213.28</v>
          </cell>
          <cell r="S949">
            <v>592473.9</v>
          </cell>
          <cell r="T949">
            <v>590891.75</v>
          </cell>
        </row>
        <row r="950">
          <cell r="R950">
            <v>826664.49315766722</v>
          </cell>
          <cell r="S950">
            <v>993766.35425900365</v>
          </cell>
          <cell r="T950">
            <v>1021594.3477021432</v>
          </cell>
        </row>
        <row r="952">
          <cell r="R952">
            <v>0</v>
          </cell>
          <cell r="S952">
            <v>0</v>
          </cell>
          <cell r="T952">
            <v>0</v>
          </cell>
        </row>
        <row r="953">
          <cell r="R953">
            <v>0</v>
          </cell>
          <cell r="S953">
            <v>0</v>
          </cell>
          <cell r="T953">
            <v>0</v>
          </cell>
        </row>
        <row r="956">
          <cell r="R956">
            <v>209665638.57466656</v>
          </cell>
          <cell r="S956">
            <v>185232447.0365546</v>
          </cell>
          <cell r="T956">
            <v>184038661.54585639</v>
          </cell>
        </row>
        <row r="957">
          <cell r="R957">
            <v>120388019.29716147</v>
          </cell>
          <cell r="S957">
            <v>90654401.224010095</v>
          </cell>
          <cell r="T957">
            <v>83261543.576539844</v>
          </cell>
        </row>
        <row r="958">
          <cell r="R958">
            <v>120388019.29716147</v>
          </cell>
          <cell r="S958">
            <v>90654401.224010095</v>
          </cell>
          <cell r="T958">
            <v>83261543.576539844</v>
          </cell>
        </row>
        <row r="959">
          <cell r="R959" t="str">
            <v>-</v>
          </cell>
          <cell r="S959" t="str">
            <v>-</v>
          </cell>
          <cell r="T959" t="str">
            <v>-</v>
          </cell>
        </row>
        <row r="960">
          <cell r="R960">
            <v>0</v>
          </cell>
          <cell r="S960">
            <v>0</v>
          </cell>
          <cell r="T960">
            <v>0</v>
          </cell>
        </row>
        <row r="961">
          <cell r="R961">
            <v>0</v>
          </cell>
          <cell r="S961">
            <v>0</v>
          </cell>
          <cell r="T961">
            <v>0</v>
          </cell>
        </row>
        <row r="962">
          <cell r="R962">
            <v>44920388.154400133</v>
          </cell>
          <cell r="S962">
            <v>51135748.759447381</v>
          </cell>
          <cell r="T962">
            <v>55091099.693177909</v>
          </cell>
        </row>
        <row r="963">
          <cell r="R963">
            <v>22756499.282377489</v>
          </cell>
          <cell r="S963">
            <v>24494850.266790476</v>
          </cell>
          <cell r="T963">
            <v>23958166.859447941</v>
          </cell>
        </row>
        <row r="964">
          <cell r="R964">
            <v>20032715.232443228</v>
          </cell>
          <cell r="S964">
            <v>22052065.868093498</v>
          </cell>
          <cell r="T964">
            <v>21496746.741674349</v>
          </cell>
        </row>
        <row r="965">
          <cell r="R965">
            <v>2723784.0499342624</v>
          </cell>
          <cell r="S965">
            <v>2442784.3986969786</v>
          </cell>
          <cell r="T965">
            <v>2461420.1177735915</v>
          </cell>
        </row>
        <row r="966">
          <cell r="R966">
            <v>0</v>
          </cell>
          <cell r="S966">
            <v>0</v>
          </cell>
          <cell r="T966">
            <v>0</v>
          </cell>
        </row>
        <row r="967">
          <cell r="R967">
            <v>22163888.872022644</v>
          </cell>
          <cell r="S967">
            <v>26640898.492656909</v>
          </cell>
          <cell r="T967">
            <v>31132932.833729967</v>
          </cell>
        </row>
        <row r="968">
          <cell r="R968">
            <v>22163888.872022644</v>
          </cell>
          <cell r="S968">
            <v>26640898.492656909</v>
          </cell>
          <cell r="T968">
            <v>31132932.833729967</v>
          </cell>
        </row>
        <row r="970">
          <cell r="R970">
            <v>25955035.132347502</v>
          </cell>
          <cell r="S970">
            <v>24518052.939520903</v>
          </cell>
          <cell r="T970">
            <v>25161950.136330269</v>
          </cell>
        </row>
        <row r="971">
          <cell r="R971">
            <v>4110083.2782799993</v>
          </cell>
          <cell r="S971">
            <v>2739773.7967034038</v>
          </cell>
          <cell r="T971">
            <v>3350800.1726327706</v>
          </cell>
        </row>
        <row r="972">
          <cell r="R972">
            <v>21844951.854067504</v>
          </cell>
          <cell r="S972">
            <v>21778279.142817497</v>
          </cell>
          <cell r="T972">
            <v>21811149.963697501</v>
          </cell>
        </row>
        <row r="976">
          <cell r="R976">
            <v>4309303.219095421</v>
          </cell>
          <cell r="S976">
            <v>5282726.9967741407</v>
          </cell>
          <cell r="T976">
            <v>6675824.7746958174</v>
          </cell>
        </row>
        <row r="977">
          <cell r="R977">
            <v>0</v>
          </cell>
          <cell r="S977">
            <v>0</v>
          </cell>
          <cell r="T977">
            <v>0</v>
          </cell>
        </row>
        <row r="978">
          <cell r="R978">
            <v>0</v>
          </cell>
          <cell r="S978">
            <v>0</v>
          </cell>
          <cell r="T978">
            <v>0</v>
          </cell>
        </row>
        <row r="979">
          <cell r="R979">
            <v>1784694.9860075563</v>
          </cell>
          <cell r="S979">
            <v>1595495.0920010409</v>
          </cell>
          <cell r="T979">
            <v>1528694.8623440992</v>
          </cell>
        </row>
        <row r="980">
          <cell r="R980">
            <v>1182819.3801751807</v>
          </cell>
          <cell r="S980">
            <v>1266065.4047730998</v>
          </cell>
          <cell r="T980">
            <v>1350937.3751699002</v>
          </cell>
        </row>
        <row r="981">
          <cell r="R981">
            <v>431044</v>
          </cell>
          <cell r="S981">
            <v>545677.79</v>
          </cell>
          <cell r="T981">
            <v>725211.00899999985</v>
          </cell>
        </row>
        <row r="982">
          <cell r="R982">
            <v>220419.93999999994</v>
          </cell>
          <cell r="S982">
            <v>198478.30000000005</v>
          </cell>
          <cell r="T982">
            <v>407757.80000000005</v>
          </cell>
        </row>
        <row r="983">
          <cell r="R983">
            <v>387861</v>
          </cell>
          <cell r="S983">
            <v>425655.31000000006</v>
          </cell>
          <cell r="T983">
            <v>546611.25999999978</v>
          </cell>
        </row>
        <row r="984">
          <cell r="R984">
            <v>109728</v>
          </cell>
          <cell r="S984">
            <v>245155.10000000009</v>
          </cell>
          <cell r="T984">
            <v>324030.64999999991</v>
          </cell>
        </row>
        <row r="985">
          <cell r="R985">
            <v>192735.91291268391</v>
          </cell>
          <cell r="S985">
            <v>1006200</v>
          </cell>
          <cell r="T985">
            <v>1792581.8181818179</v>
          </cell>
        </row>
        <row r="988">
          <cell r="R988">
            <v>52935.771662042825</v>
          </cell>
          <cell r="S988">
            <v>179357.11680208426</v>
          </cell>
          <cell r="T988">
            <v>386083.36511255603</v>
          </cell>
        </row>
        <row r="989">
          <cell r="R989">
            <v>164221.71999999997</v>
          </cell>
          <cell r="S989">
            <v>174482.84999999998</v>
          </cell>
          <cell r="T989">
            <v>214412.83750000002</v>
          </cell>
        </row>
        <row r="990">
          <cell r="R990">
            <v>-111285.94833795715</v>
          </cell>
          <cell r="S990">
            <v>4874.266802084283</v>
          </cell>
          <cell r="T990">
            <v>171670.527612556</v>
          </cell>
        </row>
        <row r="992">
          <cell r="R992">
            <v>14039957</v>
          </cell>
          <cell r="S992">
            <v>13462160</v>
          </cell>
          <cell r="T992">
            <v>13462160</v>
          </cell>
        </row>
        <row r="993">
          <cell r="R993">
            <v>14039957</v>
          </cell>
          <cell r="S993">
            <v>13462160</v>
          </cell>
          <cell r="T993">
            <v>13462160</v>
          </cell>
        </row>
        <row r="996">
          <cell r="R996">
            <v>0</v>
          </cell>
          <cell r="S996">
            <v>0</v>
          </cell>
          <cell r="T996">
            <v>0</v>
          </cell>
        </row>
        <row r="997">
          <cell r="R997">
            <v>125352560.39676221</v>
          </cell>
          <cell r="S997">
            <v>122736594.777468</v>
          </cell>
          <cell r="T997">
            <v>123950735.30526105</v>
          </cell>
        </row>
        <row r="998">
          <cell r="R998">
            <v>65409425.313223891</v>
          </cell>
          <cell r="S998">
            <v>63799352.185466953</v>
          </cell>
          <cell r="T998">
            <v>64941915.034470968</v>
          </cell>
        </row>
        <row r="999">
          <cell r="R999">
            <v>65185247.313223891</v>
          </cell>
          <cell r="S999">
            <v>63559528.084233589</v>
          </cell>
          <cell r="T999">
            <v>64544902.848514192</v>
          </cell>
        </row>
        <row r="1000">
          <cell r="R1000" t="str">
            <v>-</v>
          </cell>
          <cell r="S1000" t="str">
            <v>-</v>
          </cell>
          <cell r="T1000" t="str">
            <v>-</v>
          </cell>
        </row>
        <row r="1001">
          <cell r="R1001">
            <v>224178</v>
          </cell>
          <cell r="S1001">
            <v>239824.10123336446</v>
          </cell>
          <cell r="T1001">
            <v>397012.18595677341</v>
          </cell>
        </row>
        <row r="1002">
          <cell r="R1002">
            <v>0</v>
          </cell>
          <cell r="S1002">
            <v>0</v>
          </cell>
          <cell r="T1002">
            <v>0</v>
          </cell>
        </row>
        <row r="1003">
          <cell r="R1003">
            <v>24063425.706865147</v>
          </cell>
          <cell r="S1003">
            <v>22060872.684998255</v>
          </cell>
          <cell r="T1003">
            <v>21404431.153406471</v>
          </cell>
        </row>
        <row r="1004">
          <cell r="R1004">
            <v>12006461.227821989</v>
          </cell>
          <cell r="S1004">
            <v>11541073.458828434</v>
          </cell>
          <cell r="T1004">
            <v>10740823.577024652</v>
          </cell>
        </row>
        <row r="1005">
          <cell r="R1005">
            <v>10758372.449089456</v>
          </cell>
          <cell r="S1005">
            <v>10270878.240024684</v>
          </cell>
          <cell r="T1005">
            <v>9537515.683706969</v>
          </cell>
        </row>
        <row r="1006">
          <cell r="R1006">
            <v>1248088.7787325329</v>
          </cell>
          <cell r="S1006">
            <v>1270195.2188037513</v>
          </cell>
          <cell r="T1006">
            <v>1203307.8933176822</v>
          </cell>
        </row>
        <row r="1007">
          <cell r="R1007">
            <v>0</v>
          </cell>
          <cell r="S1007">
            <v>0</v>
          </cell>
          <cell r="T1007">
            <v>0</v>
          </cell>
        </row>
        <row r="1008">
          <cell r="R1008">
            <v>12056964.47904316</v>
          </cell>
          <cell r="S1008">
            <v>10519799.226169821</v>
          </cell>
          <cell r="T1008">
            <v>10663607.576381821</v>
          </cell>
        </row>
        <row r="1009">
          <cell r="R1009">
            <v>12056964.47904316</v>
          </cell>
          <cell r="S1009">
            <v>10519799.226169821</v>
          </cell>
          <cell r="T1009">
            <v>10663607.576381821</v>
          </cell>
        </row>
        <row r="1011">
          <cell r="R1011">
            <v>21847698.854999997</v>
          </cell>
          <cell r="S1011">
            <v>22989503.699999999</v>
          </cell>
          <cell r="T1011">
            <v>23140089.943799999</v>
          </cell>
        </row>
        <row r="1012">
          <cell r="R1012">
            <v>1790352.6799999997</v>
          </cell>
          <cell r="S1012">
            <v>2619268.3199999998</v>
          </cell>
          <cell r="T1012">
            <v>2767622.1538</v>
          </cell>
        </row>
        <row r="1013">
          <cell r="R1013">
            <v>20057346.174999997</v>
          </cell>
          <cell r="S1013">
            <v>20370235.379999999</v>
          </cell>
          <cell r="T1013">
            <v>20372467.789999999</v>
          </cell>
        </row>
        <row r="1017">
          <cell r="R1017">
            <v>3361162.7497879323</v>
          </cell>
          <cell r="S1017">
            <v>3601018.5310843545</v>
          </cell>
          <cell r="T1017">
            <v>4079414.689963067</v>
          </cell>
        </row>
        <row r="1018">
          <cell r="R1018">
            <v>0</v>
          </cell>
          <cell r="S1018">
            <v>0</v>
          </cell>
          <cell r="T1018">
            <v>0</v>
          </cell>
        </row>
        <row r="1019">
          <cell r="R1019">
            <v>0</v>
          </cell>
          <cell r="S1019">
            <v>0</v>
          </cell>
          <cell r="T1019">
            <v>0</v>
          </cell>
        </row>
        <row r="1020">
          <cell r="R1020">
            <v>978498.6612639667</v>
          </cell>
          <cell r="S1020">
            <v>686815.62870828842</v>
          </cell>
          <cell r="T1020">
            <v>683325.03610483382</v>
          </cell>
        </row>
        <row r="1021">
          <cell r="R1021">
            <v>985757.18884531106</v>
          </cell>
          <cell r="S1021">
            <v>1109399.957045289</v>
          </cell>
          <cell r="T1021">
            <v>1179449.3606293122</v>
          </cell>
        </row>
        <row r="1022">
          <cell r="R1022">
            <v>185487</v>
          </cell>
          <cell r="S1022">
            <v>219912.16000000003</v>
          </cell>
          <cell r="T1022">
            <v>200294.07199999999</v>
          </cell>
        </row>
        <row r="1023">
          <cell r="R1023">
            <v>148674</v>
          </cell>
          <cell r="S1023">
            <v>318596.31999999995</v>
          </cell>
          <cell r="T1023">
            <v>330879.13039999991</v>
          </cell>
        </row>
        <row r="1024">
          <cell r="R1024">
            <v>282770</v>
          </cell>
          <cell r="S1024">
            <v>295177</v>
          </cell>
          <cell r="T1024">
            <v>398004</v>
          </cell>
        </row>
        <row r="1025">
          <cell r="R1025">
            <v>231295</v>
          </cell>
          <cell r="S1025">
            <v>236969.41999999998</v>
          </cell>
          <cell r="T1025">
            <v>241337.63</v>
          </cell>
        </row>
        <row r="1026">
          <cell r="R1026">
            <v>548680.89967865474</v>
          </cell>
          <cell r="S1026">
            <v>734148.0453307773</v>
          </cell>
          <cell r="T1026">
            <v>1046125.4608289213</v>
          </cell>
        </row>
        <row r="1029">
          <cell r="R1029">
            <v>400065.77188525756</v>
          </cell>
          <cell r="S1029">
            <v>537532.23591843585</v>
          </cell>
          <cell r="T1029">
            <v>572157.66362051328</v>
          </cell>
        </row>
        <row r="1030">
          <cell r="R1030">
            <v>131082.84591000003</v>
          </cell>
          <cell r="S1030">
            <v>137975.85362400007</v>
          </cell>
          <cell r="T1030">
            <v>143250.85368405006</v>
          </cell>
        </row>
        <row r="1031">
          <cell r="R1031">
            <v>268982.92597525753</v>
          </cell>
          <cell r="S1031">
            <v>399556.38229443581</v>
          </cell>
          <cell r="T1031">
            <v>428906.80993646319</v>
          </cell>
        </row>
        <row r="1033">
          <cell r="R1033">
            <v>10270782</v>
          </cell>
          <cell r="S1033">
            <v>9748315.4399999995</v>
          </cell>
          <cell r="T1033">
            <v>9812726.8200000022</v>
          </cell>
        </row>
        <row r="1034">
          <cell r="R1034">
            <v>10270782</v>
          </cell>
          <cell r="S1034">
            <v>9748315.4399999995</v>
          </cell>
          <cell r="T1034">
            <v>9812726.8200000022</v>
          </cell>
        </row>
        <row r="1037">
          <cell r="R1037">
            <v>55236983.867747091</v>
          </cell>
          <cell r="S1037">
            <v>50683909.348896585</v>
          </cell>
          <cell r="T1037">
            <v>50694956.304248638</v>
          </cell>
        </row>
        <row r="1038">
          <cell r="R1038">
            <v>21226617.322023895</v>
          </cell>
          <cell r="S1038">
            <v>17469767.044954404</v>
          </cell>
          <cell r="T1038">
            <v>17225599.777559966</v>
          </cell>
        </row>
        <row r="1039">
          <cell r="R1039">
            <v>21045883.322023895</v>
          </cell>
          <cell r="S1039">
            <v>17370069.904954404</v>
          </cell>
          <cell r="T1039">
            <v>17124535.767559964</v>
          </cell>
        </row>
        <row r="1040">
          <cell r="R1040" t="str">
            <v>-</v>
          </cell>
          <cell r="S1040" t="str">
            <v>-</v>
          </cell>
          <cell r="T1040" t="str">
            <v>-</v>
          </cell>
        </row>
        <row r="1041">
          <cell r="R1041">
            <v>180734</v>
          </cell>
          <cell r="S1041">
            <v>99697.139999999956</v>
          </cell>
          <cell r="T1041">
            <v>101064.01000000001</v>
          </cell>
        </row>
        <row r="1042">
          <cell r="R1042">
            <v>0</v>
          </cell>
          <cell r="S1042">
            <v>0</v>
          </cell>
          <cell r="T1042">
            <v>0</v>
          </cell>
        </row>
        <row r="1043">
          <cell r="R1043">
            <v>18539587.577560127</v>
          </cell>
          <cell r="S1043">
            <v>17520184.141532309</v>
          </cell>
          <cell r="T1043">
            <v>17757324.845347106</v>
          </cell>
        </row>
        <row r="1044">
          <cell r="R1044">
            <v>9870419.1778146997</v>
          </cell>
          <cell r="S1044">
            <v>10141890.19373182</v>
          </cell>
          <cell r="T1044">
            <v>10268988.054838616</v>
          </cell>
        </row>
        <row r="1045">
          <cell r="R1045">
            <v>8971889.5481414571</v>
          </cell>
          <cell r="S1045">
            <v>9414071.9024246838</v>
          </cell>
          <cell r="T1045">
            <v>9528658.2117069699</v>
          </cell>
        </row>
        <row r="1046">
          <cell r="R1046">
            <v>898529.6296732421</v>
          </cell>
          <cell r="S1046">
            <v>727818.29130713677</v>
          </cell>
          <cell r="T1046">
            <v>740329.8431316457</v>
          </cell>
        </row>
        <row r="1047">
          <cell r="R1047">
            <v>0</v>
          </cell>
          <cell r="S1047">
            <v>0</v>
          </cell>
          <cell r="T1047">
            <v>0</v>
          </cell>
        </row>
        <row r="1048">
          <cell r="R1048">
            <v>8669168.3997454271</v>
          </cell>
          <cell r="S1048">
            <v>7378293.9478004891</v>
          </cell>
          <cell r="T1048">
            <v>7488336.7905084882</v>
          </cell>
        </row>
        <row r="1049">
          <cell r="R1049">
            <v>8669168.3997454271</v>
          </cell>
          <cell r="S1049">
            <v>7378293.9478004891</v>
          </cell>
          <cell r="T1049">
            <v>7488336.7905084882</v>
          </cell>
        </row>
        <row r="1051">
          <cell r="R1051">
            <v>3828296.2949999999</v>
          </cell>
          <cell r="S1051">
            <v>4423068.1400000006</v>
          </cell>
          <cell r="T1051">
            <v>4236055.3838</v>
          </cell>
        </row>
        <row r="1052">
          <cell r="R1052">
            <v>1600748.6799999997</v>
          </cell>
          <cell r="S1052">
            <v>1882631.3199999998</v>
          </cell>
          <cell r="T1052">
            <v>1693386.1538</v>
          </cell>
        </row>
        <row r="1053">
          <cell r="R1053">
            <v>2227547.6150000002</v>
          </cell>
          <cell r="S1053">
            <v>2540436.8200000003</v>
          </cell>
          <cell r="T1053">
            <v>2542669.2300000004</v>
          </cell>
        </row>
        <row r="1057">
          <cell r="R1057">
            <v>2687285.4230169323</v>
          </cell>
          <cell r="S1057">
            <v>2586022.6052631703</v>
          </cell>
          <cell r="T1057">
            <v>2692389.1411138298</v>
          </cell>
        </row>
        <row r="1058">
          <cell r="R1058">
            <v>0</v>
          </cell>
          <cell r="S1058">
            <v>0</v>
          </cell>
          <cell r="T1058">
            <v>0</v>
          </cell>
        </row>
        <row r="1059">
          <cell r="R1059">
            <v>0</v>
          </cell>
          <cell r="S1059">
            <v>0</v>
          </cell>
          <cell r="T1059">
            <v>0</v>
          </cell>
        </row>
        <row r="1060">
          <cell r="R1060">
            <v>923347.35949296667</v>
          </cell>
          <cell r="S1060">
            <v>660148.74870828842</v>
          </cell>
          <cell r="T1060">
            <v>663950.95610483387</v>
          </cell>
        </row>
        <row r="1061">
          <cell r="R1061">
            <v>584116.18884531106</v>
          </cell>
          <cell r="S1061">
            <v>700994.31254528894</v>
          </cell>
          <cell r="T1061">
            <v>762535.03173931222</v>
          </cell>
        </row>
        <row r="1062">
          <cell r="R1062">
            <v>181441</v>
          </cell>
          <cell r="S1062">
            <v>219125.16000000003</v>
          </cell>
          <cell r="T1062">
            <v>199429.07199999999</v>
          </cell>
        </row>
        <row r="1063">
          <cell r="R1063">
            <v>107518</v>
          </cell>
          <cell r="S1063">
            <v>164628.68</v>
          </cell>
          <cell r="T1063">
            <v>192523.9303999999</v>
          </cell>
        </row>
        <row r="1064">
          <cell r="R1064">
            <v>251825</v>
          </cell>
          <cell r="S1064">
            <v>280644</v>
          </cell>
          <cell r="T1064">
            <v>283489</v>
          </cell>
        </row>
        <row r="1065">
          <cell r="R1065">
            <v>231295</v>
          </cell>
          <cell r="S1065">
            <v>236969.41999999998</v>
          </cell>
          <cell r="T1065">
            <v>241337.63</v>
          </cell>
        </row>
        <row r="1066">
          <cell r="R1066">
            <v>407742.87467865471</v>
          </cell>
          <cell r="S1066">
            <v>323512.28400959278</v>
          </cell>
          <cell r="T1066">
            <v>349123.52086968371</v>
          </cell>
        </row>
        <row r="1069">
          <cell r="R1069">
            <v>388157.25014612713</v>
          </cell>
          <cell r="S1069">
            <v>520509.97714669676</v>
          </cell>
          <cell r="T1069">
            <v>554818.33642773062</v>
          </cell>
        </row>
        <row r="1070">
          <cell r="R1070">
            <v>131082.84591000003</v>
          </cell>
          <cell r="S1070">
            <v>137975.85362400007</v>
          </cell>
          <cell r="T1070">
            <v>143250.85368405006</v>
          </cell>
        </row>
        <row r="1071">
          <cell r="R1071">
            <v>257074.4042361271</v>
          </cell>
          <cell r="S1071">
            <v>382534.12352269667</v>
          </cell>
          <cell r="T1071">
            <v>411567.48274368059</v>
          </cell>
        </row>
        <row r="1073">
          <cell r="R1073">
            <v>8567040</v>
          </cell>
          <cell r="S1073">
            <v>8164357.4399999995</v>
          </cell>
          <cell r="T1073">
            <v>8228768.8200000022</v>
          </cell>
        </row>
        <row r="1074">
          <cell r="R1074">
            <v>8567040</v>
          </cell>
          <cell r="S1074">
            <v>8164357.4399999995</v>
          </cell>
          <cell r="T1074">
            <v>8228768.8200000022</v>
          </cell>
        </row>
        <row r="1077">
          <cell r="R1077">
            <v>60376768.416565083</v>
          </cell>
          <cell r="S1077">
            <v>61729741.470308669</v>
          </cell>
          <cell r="T1077">
            <v>61890910.54623507</v>
          </cell>
        </row>
        <row r="1078">
          <cell r="R1078">
            <v>41539641.58919999</v>
          </cell>
          <cell r="S1078">
            <v>42879171.881406978</v>
          </cell>
          <cell r="T1078">
            <v>43017681.981832914</v>
          </cell>
        </row>
        <row r="1079">
          <cell r="R1079">
            <v>41539641.58919999</v>
          </cell>
          <cell r="S1079">
            <v>42879171.881406978</v>
          </cell>
          <cell r="T1079">
            <v>43017681.981832914</v>
          </cell>
        </row>
        <row r="1080">
          <cell r="R1080" t="str">
            <v>-</v>
          </cell>
          <cell r="S1080" t="str">
            <v>-</v>
          </cell>
          <cell r="T1080" t="str">
            <v>-</v>
          </cell>
        </row>
        <row r="1081">
          <cell r="R1081">
            <v>0</v>
          </cell>
          <cell r="S1081">
            <v>0</v>
          </cell>
          <cell r="T1081">
            <v>0</v>
          </cell>
        </row>
        <row r="1082">
          <cell r="R1082">
            <v>0</v>
          </cell>
          <cell r="S1082">
            <v>0</v>
          </cell>
          <cell r="T1082">
            <v>0</v>
          </cell>
        </row>
        <row r="1083">
          <cell r="R1083">
            <v>731286.7456259575</v>
          </cell>
          <cell r="S1083">
            <v>751708.12562994799</v>
          </cell>
          <cell r="T1083">
            <v>760440.14831936976</v>
          </cell>
        </row>
        <row r="1084">
          <cell r="R1084">
            <v>124856.63322595753</v>
          </cell>
          <cell r="S1084">
            <v>157878.52749661464</v>
          </cell>
          <cell r="T1084">
            <v>166610.55018603639</v>
          </cell>
        </row>
        <row r="1085">
          <cell r="R1085">
            <v>0</v>
          </cell>
          <cell r="S1085">
            <v>0</v>
          </cell>
          <cell r="T1085">
            <v>0</v>
          </cell>
        </row>
        <row r="1086">
          <cell r="R1086">
            <v>124856.63322595753</v>
          </cell>
          <cell r="S1086">
            <v>157878.52749661464</v>
          </cell>
          <cell r="T1086">
            <v>166610.55018603639</v>
          </cell>
        </row>
        <row r="1087">
          <cell r="R1087">
            <v>0</v>
          </cell>
          <cell r="S1087">
            <v>0</v>
          </cell>
          <cell r="T1087">
            <v>0</v>
          </cell>
        </row>
        <row r="1088">
          <cell r="R1088">
            <v>606430.11239999998</v>
          </cell>
          <cell r="S1088">
            <v>593829.59813333338</v>
          </cell>
          <cell r="T1088">
            <v>593829.59813333338</v>
          </cell>
        </row>
        <row r="1089">
          <cell r="R1089">
            <v>606430.11239999998</v>
          </cell>
          <cell r="S1089">
            <v>593829.59813333338</v>
          </cell>
          <cell r="T1089">
            <v>593829.59813333338</v>
          </cell>
        </row>
        <row r="1091">
          <cell r="R1091">
            <v>17925800.559999999</v>
          </cell>
          <cell r="S1091">
            <v>17925800.559999999</v>
          </cell>
          <cell r="T1091">
            <v>17925800.559999999</v>
          </cell>
        </row>
        <row r="1092">
          <cell r="R1092">
            <v>189604</v>
          </cell>
          <cell r="S1092">
            <v>189604</v>
          </cell>
          <cell r="T1092">
            <v>189604</v>
          </cell>
        </row>
        <row r="1093">
          <cell r="R1093">
            <v>17736196.559999999</v>
          </cell>
          <cell r="S1093">
            <v>17736196.559999999</v>
          </cell>
          <cell r="T1093">
            <v>17736196.559999999</v>
          </cell>
        </row>
        <row r="1097">
          <cell r="R1097">
            <v>168131</v>
          </cell>
          <cell r="S1097">
            <v>156038.64449999999</v>
          </cell>
          <cell r="T1097">
            <v>169648.52889000002</v>
          </cell>
        </row>
        <row r="1098">
          <cell r="R1098">
            <v>0</v>
          </cell>
          <cell r="S1098">
            <v>0</v>
          </cell>
          <cell r="T1098">
            <v>0</v>
          </cell>
        </row>
        <row r="1099">
          <cell r="R1099">
            <v>0</v>
          </cell>
          <cell r="S1099">
            <v>0</v>
          </cell>
          <cell r="T1099">
            <v>0</v>
          </cell>
        </row>
        <row r="1100">
          <cell r="R1100">
            <v>0</v>
          </cell>
          <cell r="S1100">
            <v>0</v>
          </cell>
          <cell r="T1100">
            <v>0</v>
          </cell>
        </row>
        <row r="1101">
          <cell r="R1101">
            <v>162686</v>
          </cell>
          <cell r="S1101">
            <v>151661.64449999999</v>
          </cell>
          <cell r="T1101">
            <v>165193.52889000002</v>
          </cell>
        </row>
        <row r="1102">
          <cell r="R1102">
            <v>1500</v>
          </cell>
          <cell r="S1102">
            <v>787</v>
          </cell>
          <cell r="T1102">
            <v>865</v>
          </cell>
        </row>
        <row r="1103">
          <cell r="R1103">
            <v>0</v>
          </cell>
          <cell r="S1103">
            <v>0</v>
          </cell>
          <cell r="T1103">
            <v>0</v>
          </cell>
        </row>
        <row r="1104">
          <cell r="R1104">
            <v>3945</v>
          </cell>
          <cell r="S1104">
            <v>3590</v>
          </cell>
          <cell r="T1104">
            <v>3590</v>
          </cell>
        </row>
        <row r="1105">
          <cell r="R1105">
            <v>0</v>
          </cell>
          <cell r="S1105">
            <v>0</v>
          </cell>
          <cell r="T1105">
            <v>0</v>
          </cell>
        </row>
        <row r="1106">
          <cell r="R1106">
            <v>0</v>
          </cell>
          <cell r="S1106">
            <v>0</v>
          </cell>
          <cell r="T1106">
            <v>0</v>
          </cell>
        </row>
        <row r="1109">
          <cell r="R1109">
            <v>11908.521739130434</v>
          </cell>
          <cell r="S1109">
            <v>17022.258771739129</v>
          </cell>
          <cell r="T1109">
            <v>17339.32719278261</v>
          </cell>
        </row>
        <row r="1110">
          <cell r="R1110">
            <v>0</v>
          </cell>
          <cell r="S1110">
            <v>0</v>
          </cell>
          <cell r="T1110">
            <v>0</v>
          </cell>
        </row>
        <row r="1111">
          <cell r="R1111">
            <v>11908.521739130434</v>
          </cell>
          <cell r="S1111">
            <v>17022.258771739129</v>
          </cell>
          <cell r="T1111">
            <v>17339.32719278261</v>
          </cell>
        </row>
        <row r="1113">
          <cell r="R1113">
            <v>0</v>
          </cell>
          <cell r="S1113">
            <v>0</v>
          </cell>
          <cell r="T1113">
            <v>0</v>
          </cell>
        </row>
        <row r="1114">
          <cell r="R1114">
            <v>0</v>
          </cell>
          <cell r="S1114">
            <v>0</v>
          </cell>
          <cell r="T1114">
            <v>0</v>
          </cell>
        </row>
        <row r="1117">
          <cell r="R1117">
            <v>9738808.112450067</v>
          </cell>
          <cell r="S1117">
            <v>10322943.958262756</v>
          </cell>
          <cell r="T1117">
            <v>11364868.454777323</v>
          </cell>
        </row>
        <row r="1118">
          <cell r="R1118">
            <v>2643166.4019999998</v>
          </cell>
          <cell r="S1118">
            <v>3450413.2591055725</v>
          </cell>
          <cell r="T1118">
            <v>4698633.2750780853</v>
          </cell>
        </row>
        <row r="1119">
          <cell r="R1119">
            <v>2599722.4019999998</v>
          </cell>
          <cell r="S1119">
            <v>3310286.2978722081</v>
          </cell>
          <cell r="T1119">
            <v>4402685.0991213117</v>
          </cell>
        </row>
        <row r="1120">
          <cell r="R1120" t="str">
            <v>-</v>
          </cell>
          <cell r="S1120" t="str">
            <v>-</v>
          </cell>
          <cell r="T1120" t="str">
            <v>-</v>
          </cell>
        </row>
        <row r="1121">
          <cell r="R1121">
            <v>43444</v>
          </cell>
          <cell r="S1121">
            <v>140126.96123336451</v>
          </cell>
          <cell r="T1121">
            <v>295948.1759567734</v>
          </cell>
        </row>
        <row r="1122">
          <cell r="R1122">
            <v>0</v>
          </cell>
          <cell r="S1122">
            <v>0</v>
          </cell>
          <cell r="T1122">
            <v>0</v>
          </cell>
        </row>
        <row r="1123">
          <cell r="R1123">
            <v>4792551.3836790659</v>
          </cell>
          <cell r="S1123">
            <v>3788980.4178359993</v>
          </cell>
          <cell r="T1123">
            <v>2886666.15974</v>
          </cell>
        </row>
        <row r="1124">
          <cell r="R1124">
            <v>2011185.416781333</v>
          </cell>
          <cell r="S1124">
            <v>1241304.7375999999</v>
          </cell>
          <cell r="T1124">
            <v>305224.97200000001</v>
          </cell>
        </row>
        <row r="1125">
          <cell r="R1125">
            <v>1786482.9009479997</v>
          </cell>
          <cell r="S1125">
            <v>856806.33759999985</v>
          </cell>
          <cell r="T1125">
            <v>8857.4719999999998</v>
          </cell>
        </row>
        <row r="1126">
          <cell r="R1126">
            <v>224702.51583333331</v>
          </cell>
          <cell r="S1126">
            <v>384498.4</v>
          </cell>
          <cell r="T1126">
            <v>296367.5</v>
          </cell>
        </row>
        <row r="1127">
          <cell r="R1127">
            <v>0</v>
          </cell>
          <cell r="S1127">
            <v>0</v>
          </cell>
          <cell r="T1127">
            <v>0</v>
          </cell>
        </row>
        <row r="1128">
          <cell r="R1128">
            <v>2781365.966897733</v>
          </cell>
          <cell r="S1128">
            <v>2547675.6802359996</v>
          </cell>
          <cell r="T1128">
            <v>2581441.18774</v>
          </cell>
        </row>
        <row r="1129">
          <cell r="R1129">
            <v>2781365.966897733</v>
          </cell>
          <cell r="S1129">
            <v>2547675.6802359996</v>
          </cell>
          <cell r="T1129">
            <v>2581441.18774</v>
          </cell>
        </row>
        <row r="1131">
          <cell r="R1131">
            <v>93602</v>
          </cell>
          <cell r="S1131">
            <v>640635</v>
          </cell>
          <cell r="T1131">
            <v>978234</v>
          </cell>
        </row>
        <row r="1132">
          <cell r="R1132">
            <v>0</v>
          </cell>
          <cell r="S1132">
            <v>547033</v>
          </cell>
          <cell r="T1132">
            <v>884632</v>
          </cell>
        </row>
        <row r="1133">
          <cell r="R1133">
            <v>93602</v>
          </cell>
          <cell r="S1133">
            <v>93602</v>
          </cell>
          <cell r="T1133">
            <v>93602</v>
          </cell>
        </row>
        <row r="1137">
          <cell r="R1137">
            <v>505746.32677100005</v>
          </cell>
          <cell r="S1137">
            <v>858957.28132118459</v>
          </cell>
          <cell r="T1137">
            <v>1217377.0199592377</v>
          </cell>
        </row>
        <row r="1138">
          <cell r="R1138">
            <v>0</v>
          </cell>
          <cell r="S1138">
            <v>0</v>
          </cell>
          <cell r="T1138">
            <v>0</v>
          </cell>
        </row>
        <row r="1139">
          <cell r="R1139">
            <v>0</v>
          </cell>
          <cell r="S1139">
            <v>0</v>
          </cell>
          <cell r="T1139">
            <v>0</v>
          </cell>
        </row>
        <row r="1140">
          <cell r="R1140">
            <v>55151.301770999999</v>
          </cell>
          <cell r="S1140">
            <v>26666.879999999997</v>
          </cell>
          <cell r="T1140">
            <v>19374.080000000002</v>
          </cell>
        </row>
        <row r="1141">
          <cell r="R1141">
            <v>238955</v>
          </cell>
          <cell r="S1141">
            <v>256744</v>
          </cell>
          <cell r="T1141">
            <v>251720.8</v>
          </cell>
        </row>
        <row r="1142">
          <cell r="R1142">
            <v>2546</v>
          </cell>
          <cell r="S1142">
            <v>0</v>
          </cell>
          <cell r="T1142">
            <v>0</v>
          </cell>
        </row>
        <row r="1143">
          <cell r="R1143">
            <v>41156</v>
          </cell>
          <cell r="S1143">
            <v>153967.63999999998</v>
          </cell>
          <cell r="T1143">
            <v>138355.20000000001</v>
          </cell>
        </row>
        <row r="1144">
          <cell r="R1144">
            <v>27000</v>
          </cell>
          <cell r="S1144">
            <v>10943</v>
          </cell>
          <cell r="T1144">
            <v>110925</v>
          </cell>
        </row>
        <row r="1145">
          <cell r="R1145">
            <v>0</v>
          </cell>
          <cell r="S1145">
            <v>0</v>
          </cell>
          <cell r="T1145">
            <v>0</v>
          </cell>
        </row>
        <row r="1146">
          <cell r="R1146">
            <v>140938.02499999999</v>
          </cell>
          <cell r="S1146">
            <v>410635.76132118457</v>
          </cell>
          <cell r="T1146">
            <v>697001.93995923758</v>
          </cell>
        </row>
        <row r="1149">
          <cell r="R1149">
            <v>0</v>
          </cell>
          <cell r="S1149">
            <v>0</v>
          </cell>
          <cell r="T1149">
            <v>0</v>
          </cell>
        </row>
        <row r="1150">
          <cell r="R1150">
            <v>0</v>
          </cell>
          <cell r="S1150">
            <v>0</v>
          </cell>
          <cell r="T1150">
            <v>0</v>
          </cell>
        </row>
        <row r="1151">
          <cell r="R1151">
            <v>0</v>
          </cell>
          <cell r="S1151">
            <v>0</v>
          </cell>
          <cell r="T1151">
            <v>0</v>
          </cell>
        </row>
        <row r="1153">
          <cell r="R1153">
            <v>1703742</v>
          </cell>
          <cell r="S1153">
            <v>1583958</v>
          </cell>
          <cell r="T1153">
            <v>1583958</v>
          </cell>
        </row>
        <row r="1154">
          <cell r="R1154">
            <v>1703742</v>
          </cell>
          <cell r="S1154">
            <v>1583958</v>
          </cell>
          <cell r="T1154">
            <v>1583958</v>
          </cell>
        </row>
        <row r="1157">
          <cell r="R1157">
            <v>86982923.867615297</v>
          </cell>
          <cell r="S1157">
            <v>63832358.259086609</v>
          </cell>
          <cell r="T1157">
            <v>61469112.240595385</v>
          </cell>
        </row>
        <row r="1158">
          <cell r="R1158">
            <v>54455682.983937584</v>
          </cell>
          <cell r="S1158">
            <v>26855049.038543142</v>
          </cell>
          <cell r="T1158">
            <v>18319628.54206888</v>
          </cell>
        </row>
        <row r="1159">
          <cell r="R1159">
            <v>54679860.983937584</v>
          </cell>
          <cell r="S1159">
            <v>27094873.139776506</v>
          </cell>
          <cell r="T1159">
            <v>18716640.728025652</v>
          </cell>
        </row>
        <row r="1160">
          <cell r="R1160" t="str">
            <v>-</v>
          </cell>
          <cell r="S1160" t="str">
            <v>-</v>
          </cell>
          <cell r="T1160" t="str">
            <v>-</v>
          </cell>
        </row>
        <row r="1161">
          <cell r="R1161">
            <v>-224178</v>
          </cell>
          <cell r="S1161">
            <v>-239824.10123336446</v>
          </cell>
          <cell r="T1161">
            <v>-397012.18595677341</v>
          </cell>
        </row>
        <row r="1162">
          <cell r="R1162">
            <v>0</v>
          </cell>
          <cell r="S1162">
            <v>0</v>
          </cell>
          <cell r="T1162">
            <v>0</v>
          </cell>
        </row>
        <row r="1163">
          <cell r="R1163">
            <v>22375010.627426378</v>
          </cell>
          <cell r="S1163">
            <v>30327067.074449129</v>
          </cell>
          <cell r="T1163">
            <v>34988859.539771438</v>
          </cell>
        </row>
        <row r="1164">
          <cell r="R1164">
            <v>12251349.234446893</v>
          </cell>
          <cell r="S1164">
            <v>14203776.807962041</v>
          </cell>
          <cell r="T1164">
            <v>14517343.282423289</v>
          </cell>
        </row>
        <row r="1165">
          <cell r="R1165">
            <v>11193751.783353772</v>
          </cell>
          <cell r="S1165">
            <v>13031187.628068814</v>
          </cell>
          <cell r="T1165">
            <v>13259231.05796738</v>
          </cell>
        </row>
        <row r="1166">
          <cell r="R1166">
            <v>1057597.4510931205</v>
          </cell>
          <cell r="S1166">
            <v>1172589.1798932273</v>
          </cell>
          <cell r="T1166">
            <v>1258112.2244559093</v>
          </cell>
        </row>
        <row r="1167">
          <cell r="R1167">
            <v>0</v>
          </cell>
          <cell r="S1167">
            <v>0</v>
          </cell>
          <cell r="T1167">
            <v>0</v>
          </cell>
        </row>
        <row r="1168">
          <cell r="R1168">
            <v>10123661.392979484</v>
          </cell>
          <cell r="S1168">
            <v>16123290.266487088</v>
          </cell>
          <cell r="T1168">
            <v>20471516.257348146</v>
          </cell>
        </row>
        <row r="1169">
          <cell r="R1169">
            <v>10123661.392979484</v>
          </cell>
          <cell r="S1169">
            <v>16123290.266487088</v>
          </cell>
          <cell r="T1169">
            <v>20471516.257348146</v>
          </cell>
        </row>
        <row r="1171">
          <cell r="R1171">
            <v>4374015.277347507</v>
          </cell>
          <cell r="S1171">
            <v>1528549.2395209023</v>
          </cell>
          <cell r="T1171">
            <v>2021860.1925302721</v>
          </cell>
        </row>
        <row r="1172">
          <cell r="R1172">
            <v>2500417.5982799996</v>
          </cell>
          <cell r="S1172">
            <v>120505.47670340398</v>
          </cell>
          <cell r="T1172">
            <v>583178.01883277064</v>
          </cell>
        </row>
        <row r="1173">
          <cell r="R1173">
            <v>1873597.6790675074</v>
          </cell>
          <cell r="S1173">
            <v>1408043.7628174983</v>
          </cell>
          <cell r="T1173">
            <v>1438682.1736975014</v>
          </cell>
        </row>
        <row r="1177">
          <cell r="R1177">
            <v>983009.9791270541</v>
          </cell>
          <cell r="S1177">
            <v>1766023.4656897862</v>
          </cell>
          <cell r="T1177">
            <v>2675405.08473275</v>
          </cell>
        </row>
        <row r="1178">
          <cell r="R1178">
            <v>0</v>
          </cell>
          <cell r="S1178">
            <v>0</v>
          </cell>
          <cell r="T1178">
            <v>0</v>
          </cell>
        </row>
        <row r="1179">
          <cell r="R1179">
            <v>0</v>
          </cell>
          <cell r="S1179">
            <v>0</v>
          </cell>
          <cell r="T1179">
            <v>0</v>
          </cell>
        </row>
        <row r="1180">
          <cell r="R1180">
            <v>727255.26266358956</v>
          </cell>
          <cell r="S1180">
            <v>908679.46329275251</v>
          </cell>
          <cell r="T1180">
            <v>845369.82623926539</v>
          </cell>
        </row>
        <row r="1181">
          <cell r="R1181">
            <v>158159.02974608919</v>
          </cell>
          <cell r="S1181">
            <v>156665.44772781082</v>
          </cell>
          <cell r="T1181">
            <v>171488.01454058802</v>
          </cell>
        </row>
        <row r="1182">
          <cell r="R1182">
            <v>243428</v>
          </cell>
          <cell r="S1182">
            <v>325765.63</v>
          </cell>
          <cell r="T1182">
            <v>524916.93699999992</v>
          </cell>
        </row>
        <row r="1183">
          <cell r="R1183">
            <v>71745.939999999944</v>
          </cell>
          <cell r="S1183">
            <v>-120118.0199999999</v>
          </cell>
          <cell r="T1183">
            <v>76878.669600000139</v>
          </cell>
        </row>
        <row r="1184">
          <cell r="R1184">
            <v>105091</v>
          </cell>
          <cell r="S1184">
            <v>130478.31000000006</v>
          </cell>
          <cell r="T1184">
            <v>148607.25999999978</v>
          </cell>
        </row>
        <row r="1185">
          <cell r="R1185">
            <v>10363</v>
          </cell>
          <cell r="S1185">
            <v>92500.680000000109</v>
          </cell>
          <cell r="T1185">
            <v>161688.0199999999</v>
          </cell>
        </row>
        <row r="1186">
          <cell r="R1186">
            <v>-333032.25328262453</v>
          </cell>
          <cell r="S1186">
            <v>272051.9546692227</v>
          </cell>
          <cell r="T1186">
            <v>746456.35735289659</v>
          </cell>
        </row>
        <row r="1189">
          <cell r="R1189">
            <v>-347130.00022321474</v>
          </cell>
          <cell r="S1189">
            <v>-358175.11911635159</v>
          </cell>
          <cell r="T1189">
            <v>-186074.29850795722</v>
          </cell>
        </row>
        <row r="1190">
          <cell r="R1190">
            <v>33138.874089999939</v>
          </cell>
          <cell r="S1190">
            <v>36506.996375999908</v>
          </cell>
          <cell r="T1190">
            <v>71161.983815949963</v>
          </cell>
        </row>
        <row r="1191">
          <cell r="R1191">
            <v>-380268.87431321468</v>
          </cell>
          <cell r="S1191">
            <v>-394682.11549235153</v>
          </cell>
          <cell r="T1191">
            <v>-257236.28232390719</v>
          </cell>
        </row>
        <row r="1193">
          <cell r="R1193">
            <v>5142335</v>
          </cell>
          <cell r="S1193">
            <v>3713844.5600000005</v>
          </cell>
          <cell r="T1193">
            <v>3649433.1799999978</v>
          </cell>
        </row>
        <row r="1194">
          <cell r="R1194">
            <v>5142335</v>
          </cell>
          <cell r="S1194">
            <v>3713844.5600000005</v>
          </cell>
          <cell r="T1194">
            <v>3649433.1799999978</v>
          </cell>
        </row>
        <row r="1197">
          <cell r="R1197">
            <v>30755314.120981365</v>
          </cell>
          <cell r="S1197">
            <v>21940208.975576278</v>
          </cell>
          <cell r="T1197">
            <v>20934734.674810667</v>
          </cell>
        </row>
        <row r="1198">
          <cell r="R1198">
            <v>19218675.673660353</v>
          </cell>
          <cell r="S1198">
            <v>11135026.513142198</v>
          </cell>
          <cell r="T1198">
            <v>8623528.3348763902</v>
          </cell>
        </row>
        <row r="1199">
          <cell r="R1199">
            <v>19218675.673660353</v>
          </cell>
          <cell r="S1199">
            <v>11135026.513142198</v>
          </cell>
          <cell r="T1199">
            <v>8623528.3348763902</v>
          </cell>
        </row>
        <row r="1200">
          <cell r="R1200" t="str">
            <v>-</v>
          </cell>
          <cell r="S1200" t="str">
            <v>-</v>
          </cell>
          <cell r="T1200" t="str">
            <v>-</v>
          </cell>
        </row>
        <row r="1201">
          <cell r="R1201">
            <v>0</v>
          </cell>
          <cell r="S1201">
            <v>0</v>
          </cell>
          <cell r="T1201">
            <v>0</v>
          </cell>
        </row>
        <row r="1202">
          <cell r="R1202">
            <v>0</v>
          </cell>
          <cell r="S1202">
            <v>0</v>
          </cell>
          <cell r="T1202">
            <v>0</v>
          </cell>
        </row>
        <row r="1203">
          <cell r="R1203">
            <v>6687358.4473210108</v>
          </cell>
          <cell r="S1203">
            <v>7775106.6533494256</v>
          </cell>
          <cell r="T1203">
            <v>9102357.4070270024</v>
          </cell>
        </row>
        <row r="1204">
          <cell r="R1204">
            <v>3168637.6047055754</v>
          </cell>
          <cell r="S1204">
            <v>3446428.7249036552</v>
          </cell>
          <cell r="T1204">
            <v>3505352.3312265053</v>
          </cell>
        </row>
        <row r="1205">
          <cell r="R1205">
            <v>2689391.6244830033</v>
          </cell>
          <cell r="S1205">
            <v>3130850.8123354726</v>
          </cell>
          <cell r="T1205">
            <v>3185640.1360812089</v>
          </cell>
        </row>
        <row r="1206">
          <cell r="R1206">
            <v>479245.98022257199</v>
          </cell>
          <cell r="S1206">
            <v>315577.91256818286</v>
          </cell>
          <cell r="T1206">
            <v>319712.19514529651</v>
          </cell>
        </row>
        <row r="1207">
          <cell r="R1207">
            <v>0</v>
          </cell>
          <cell r="S1207">
            <v>0</v>
          </cell>
          <cell r="T1207">
            <v>0</v>
          </cell>
        </row>
        <row r="1208">
          <cell r="R1208">
            <v>3518720.8426154358</v>
          </cell>
          <cell r="S1208">
            <v>4328677.9284457704</v>
          </cell>
          <cell r="T1208">
            <v>5597005.075800498</v>
          </cell>
        </row>
        <row r="1209">
          <cell r="R1209">
            <v>3518720.8426154358</v>
          </cell>
          <cell r="S1209">
            <v>4328677.9284457704</v>
          </cell>
          <cell r="T1209">
            <v>5597005.075800498</v>
          </cell>
        </row>
        <row r="1211">
          <cell r="R1211">
            <v>1830222</v>
          </cell>
          <cell r="S1211">
            <v>422413.12884524948</v>
          </cell>
          <cell r="T1211">
            <v>431604.65210925043</v>
          </cell>
        </row>
        <row r="1212">
          <cell r="R1212">
            <v>1151160</v>
          </cell>
          <cell r="S1212">
            <v>0</v>
          </cell>
          <cell r="T1212">
            <v>0</v>
          </cell>
        </row>
        <row r="1213">
          <cell r="R1213">
            <v>679062</v>
          </cell>
          <cell r="S1213">
            <v>422413.12884524948</v>
          </cell>
          <cell r="T1213">
            <v>431604.65210925043</v>
          </cell>
        </row>
        <row r="1217">
          <cell r="R1217">
            <v>530697</v>
          </cell>
          <cell r="S1217">
            <v>592461.55801090808</v>
          </cell>
          <cell r="T1217">
            <v>751460.55820315669</v>
          </cell>
        </row>
        <row r="1218">
          <cell r="R1218">
            <v>0</v>
          </cell>
          <cell r="S1218">
            <v>0</v>
          </cell>
          <cell r="T1218">
            <v>0</v>
          </cell>
        </row>
        <row r="1219">
          <cell r="R1219">
            <v>0</v>
          </cell>
          <cell r="S1219">
            <v>0</v>
          </cell>
          <cell r="T1219">
            <v>0</v>
          </cell>
        </row>
        <row r="1220">
          <cell r="R1220">
            <v>291338</v>
          </cell>
          <cell r="S1220">
            <v>256343</v>
          </cell>
          <cell r="T1220">
            <v>259725</v>
          </cell>
        </row>
        <row r="1221">
          <cell r="R1221">
            <v>66319.000000000058</v>
          </cell>
          <cell r="S1221">
            <v>38165.324761731412</v>
          </cell>
          <cell r="T1221">
            <v>42087.115428172052</v>
          </cell>
        </row>
        <row r="1222">
          <cell r="R1222">
            <v>73793</v>
          </cell>
          <cell r="S1222">
            <v>41414</v>
          </cell>
          <cell r="T1222">
            <v>57131</v>
          </cell>
        </row>
        <row r="1223">
          <cell r="R1223">
            <v>27904</v>
          </cell>
          <cell r="S1223">
            <v>95944.430569379256</v>
          </cell>
          <cell r="T1223">
            <v>109375.10895100948</v>
          </cell>
        </row>
        <row r="1224">
          <cell r="R1224">
            <v>67445</v>
          </cell>
          <cell r="S1224">
            <v>41550</v>
          </cell>
          <cell r="T1224">
            <v>0</v>
          </cell>
        </row>
        <row r="1225">
          <cell r="R1225">
            <v>3898</v>
          </cell>
          <cell r="S1225">
            <v>37429.216279030588</v>
          </cell>
          <cell r="T1225">
            <v>59205.426618106241</v>
          </cell>
        </row>
        <row r="1226">
          <cell r="R1226">
            <v>0</v>
          </cell>
          <cell r="S1226">
            <v>81615.586400766813</v>
          </cell>
          <cell r="T1226">
            <v>223936.90720586898</v>
          </cell>
        </row>
        <row r="1229">
          <cell r="R1229">
            <v>9942</v>
          </cell>
          <cell r="S1229">
            <v>15201.122228496253</v>
          </cell>
          <cell r="T1229">
            <v>25783.722594865761</v>
          </cell>
        </row>
        <row r="1230">
          <cell r="R1230">
            <v>9942</v>
          </cell>
          <cell r="S1230">
            <v>15201.122228496253</v>
          </cell>
          <cell r="T1230">
            <v>25783.722594865761</v>
          </cell>
        </row>
        <row r="1231">
          <cell r="R1231">
            <v>0</v>
          </cell>
          <cell r="S1231">
            <v>0</v>
          </cell>
          <cell r="T1231">
            <v>0</v>
          </cell>
        </row>
        <row r="1233">
          <cell r="R1233">
            <v>2478419</v>
          </cell>
          <cell r="S1233">
            <v>2000000</v>
          </cell>
          <cell r="T1233">
            <v>2000000</v>
          </cell>
        </row>
        <row r="1234">
          <cell r="R1234">
            <v>2478419</v>
          </cell>
          <cell r="S1234">
            <v>2000000</v>
          </cell>
          <cell r="T1234">
            <v>2000000</v>
          </cell>
        </row>
        <row r="1237">
          <cell r="R1237">
            <v>48167022.523550779</v>
          </cell>
          <cell r="S1237">
            <v>39035946.295520045</v>
          </cell>
          <cell r="T1237">
            <v>39440194.847839937</v>
          </cell>
        </row>
        <row r="1238">
          <cell r="R1238">
            <v>25605547.087194063</v>
          </cell>
          <cell r="S1238">
            <v>11432068.53741065</v>
          </cell>
          <cell r="T1238">
            <v>7168166.4892477104</v>
          </cell>
        </row>
        <row r="1239">
          <cell r="R1239">
            <v>25829725.087194063</v>
          </cell>
          <cell r="S1239">
            <v>11671892.638644015</v>
          </cell>
          <cell r="T1239">
            <v>7565178.6752044838</v>
          </cell>
        </row>
        <row r="1240">
          <cell r="R1240" t="str">
            <v>-</v>
          </cell>
          <cell r="S1240" t="str">
            <v>-</v>
          </cell>
          <cell r="T1240" t="str">
            <v>-</v>
          </cell>
        </row>
        <row r="1241">
          <cell r="R1241">
            <v>-224178</v>
          </cell>
          <cell r="S1241">
            <v>-239824.10123336446</v>
          </cell>
          <cell r="T1241">
            <v>-397012.18595677341</v>
          </cell>
        </row>
        <row r="1242">
          <cell r="R1242">
            <v>0</v>
          </cell>
          <cell r="S1242">
            <v>0</v>
          </cell>
          <cell r="T1242">
            <v>0</v>
          </cell>
        </row>
        <row r="1243">
          <cell r="R1243">
            <v>16879063.180105366</v>
          </cell>
          <cell r="S1243">
            <v>23743371.4210997</v>
          </cell>
          <cell r="T1243">
            <v>27077913.132744431</v>
          </cell>
        </row>
        <row r="1244">
          <cell r="R1244">
            <v>10274122.629741317</v>
          </cell>
          <cell r="S1244">
            <v>11948759.083058385</v>
          </cell>
          <cell r="T1244">
            <v>12203401.951196782</v>
          </cell>
        </row>
        <row r="1245">
          <cell r="R1245">
            <v>9695771.1588707678</v>
          </cell>
          <cell r="S1245">
            <v>11091747.815733342</v>
          </cell>
          <cell r="T1245">
            <v>11265001.92188617</v>
          </cell>
        </row>
        <row r="1246">
          <cell r="R1246">
            <v>578351.47087054851</v>
          </cell>
          <cell r="S1246">
            <v>857011.26732504438</v>
          </cell>
          <cell r="T1246">
            <v>938400.02931061282</v>
          </cell>
        </row>
        <row r="1247">
          <cell r="R1247">
            <v>0</v>
          </cell>
          <cell r="S1247">
            <v>0</v>
          </cell>
          <cell r="T1247">
            <v>0</v>
          </cell>
        </row>
        <row r="1248">
          <cell r="R1248">
            <v>6604940.5503640482</v>
          </cell>
          <cell r="S1248">
            <v>11794612.338041317</v>
          </cell>
          <cell r="T1248">
            <v>14874511.181547649</v>
          </cell>
        </row>
        <row r="1249">
          <cell r="R1249">
            <v>6604940.5503640482</v>
          </cell>
          <cell r="S1249">
            <v>11794612.338041317</v>
          </cell>
          <cell r="T1249">
            <v>14874511.181547649</v>
          </cell>
        </row>
        <row r="1251">
          <cell r="R1251">
            <v>2610133.277347507</v>
          </cell>
          <cell r="S1251">
            <v>1172476.1106756527</v>
          </cell>
          <cell r="T1251">
            <v>1656595.5404210216</v>
          </cell>
        </row>
        <row r="1252">
          <cell r="R1252">
            <v>1359697.5982799996</v>
          </cell>
          <cell r="S1252">
            <v>130945.47670340398</v>
          </cell>
          <cell r="T1252">
            <v>593618.01883277064</v>
          </cell>
        </row>
        <row r="1253">
          <cell r="R1253">
            <v>1250435.6790675074</v>
          </cell>
          <cell r="S1253">
            <v>1041530.6339722488</v>
          </cell>
          <cell r="T1253">
            <v>1062977.521588251</v>
          </cell>
        </row>
        <row r="1257">
          <cell r="R1257">
            <v>765434.9791270541</v>
          </cell>
          <cell r="S1257">
            <v>1347561.9076788782</v>
          </cell>
          <cell r="T1257">
            <v>2099944.5265295929</v>
          </cell>
        </row>
        <row r="1258">
          <cell r="R1258">
            <v>0</v>
          </cell>
          <cell r="S1258">
            <v>0</v>
          </cell>
          <cell r="T1258">
            <v>0</v>
          </cell>
        </row>
        <row r="1259">
          <cell r="R1259">
            <v>0</v>
          </cell>
          <cell r="S1259">
            <v>0</v>
          </cell>
          <cell r="T1259">
            <v>0</v>
          </cell>
        </row>
        <row r="1260">
          <cell r="R1260">
            <v>435917.26266358956</v>
          </cell>
          <cell r="S1260">
            <v>652336.46329275251</v>
          </cell>
          <cell r="T1260">
            <v>585644.82623926539</v>
          </cell>
        </row>
        <row r="1261">
          <cell r="R1261">
            <v>91840.029746089131</v>
          </cell>
          <cell r="S1261">
            <v>118500.12296607942</v>
          </cell>
          <cell r="T1261">
            <v>129400.89911241597</v>
          </cell>
        </row>
        <row r="1262">
          <cell r="R1262">
            <v>482757</v>
          </cell>
          <cell r="S1262">
            <v>458351.63</v>
          </cell>
          <cell r="T1262">
            <v>643785.93699999992</v>
          </cell>
        </row>
        <row r="1263">
          <cell r="R1263">
            <v>43841.939999999944</v>
          </cell>
          <cell r="S1263">
            <v>-216062.45056937914</v>
          </cell>
          <cell r="T1263">
            <v>-32496.439351009336</v>
          </cell>
        </row>
        <row r="1264">
          <cell r="R1264">
            <v>37646</v>
          </cell>
          <cell r="S1264">
            <v>88928.310000000056</v>
          </cell>
          <cell r="T1264">
            <v>148607.25999999978</v>
          </cell>
        </row>
        <row r="1265">
          <cell r="R1265">
            <v>6465</v>
          </cell>
          <cell r="S1265">
            <v>55071.463720969521</v>
          </cell>
          <cell r="T1265">
            <v>102482.59338189366</v>
          </cell>
        </row>
        <row r="1266">
          <cell r="R1266">
            <v>-333032.25328262453</v>
          </cell>
          <cell r="S1266">
            <v>190436.3682684559</v>
          </cell>
          <cell r="T1266">
            <v>522519.45014702762</v>
          </cell>
        </row>
        <row r="1269">
          <cell r="R1269">
            <v>-357072.00022321474</v>
          </cell>
          <cell r="S1269">
            <v>-373376.24134484789</v>
          </cell>
          <cell r="T1269">
            <v>-211858.02110282297</v>
          </cell>
        </row>
        <row r="1270">
          <cell r="R1270">
            <v>23196.874089999939</v>
          </cell>
          <cell r="S1270">
            <v>21305.874147503655</v>
          </cell>
          <cell r="T1270">
            <v>45378.261221084205</v>
          </cell>
        </row>
        <row r="1271">
          <cell r="R1271">
            <v>-380268.87431321468</v>
          </cell>
          <cell r="S1271">
            <v>-394682.11549235153</v>
          </cell>
          <cell r="T1271">
            <v>-257236.28232390719</v>
          </cell>
        </row>
        <row r="1273">
          <cell r="R1273">
            <v>2663916</v>
          </cell>
          <cell r="S1273">
            <v>1713844.5600000005</v>
          </cell>
          <cell r="T1273">
            <v>1649433.1799999978</v>
          </cell>
        </row>
        <row r="1274">
          <cell r="R1274">
            <v>2663916</v>
          </cell>
          <cell r="S1274">
            <v>1713844.5600000005</v>
          </cell>
          <cell r="T1274">
            <v>1649433.1799999978</v>
          </cell>
        </row>
        <row r="1277">
          <cell r="R1277">
            <v>2510145.5407230551</v>
          </cell>
          <cell r="S1277">
            <v>2504493.0804440416</v>
          </cell>
          <cell r="T1277">
            <v>2507126.3372843945</v>
          </cell>
        </row>
        <row r="1278">
          <cell r="R1278">
            <v>1173513.0447131628</v>
          </cell>
          <cell r="S1278">
            <v>900196.50056196889</v>
          </cell>
          <cell r="T1278">
            <v>739746.24526697956</v>
          </cell>
        </row>
        <row r="1279">
          <cell r="R1279">
            <v>1173513.0447131628</v>
          </cell>
          <cell r="S1279">
            <v>900196.50056196889</v>
          </cell>
          <cell r="T1279">
            <v>739746.24526697956</v>
          </cell>
        </row>
        <row r="1280">
          <cell r="R1280" t="str">
            <v>-</v>
          </cell>
          <cell r="S1280" t="str">
            <v>-</v>
          </cell>
          <cell r="T1280" t="str">
            <v>-</v>
          </cell>
        </row>
        <row r="1281">
          <cell r="R1281">
            <v>0</v>
          </cell>
          <cell r="S1281">
            <v>0</v>
          </cell>
          <cell r="T1281">
            <v>0</v>
          </cell>
        </row>
        <row r="1282">
          <cell r="R1282">
            <v>0</v>
          </cell>
          <cell r="S1282">
            <v>0</v>
          </cell>
          <cell r="T1282">
            <v>0</v>
          </cell>
        </row>
        <row r="1283">
          <cell r="R1283">
            <v>1231147.277634664</v>
          </cell>
          <cell r="S1283">
            <v>1410566.0239689471</v>
          </cell>
          <cell r="T1283">
            <v>1453553.9268974878</v>
          </cell>
        </row>
        <row r="1284">
          <cell r="R1284">
            <v>995853.15998760518</v>
          </cell>
          <cell r="S1284">
            <v>1175271.9063218883</v>
          </cell>
          <cell r="T1284">
            <v>1218259.809250429</v>
          </cell>
        </row>
        <row r="1285">
          <cell r="R1285">
            <v>969577.11588707683</v>
          </cell>
          <cell r="S1285">
            <v>1109174.7815733342</v>
          </cell>
          <cell r="T1285">
            <v>1126500.1921886171</v>
          </cell>
        </row>
        <row r="1286">
          <cell r="R1286">
            <v>26276.044100528306</v>
          </cell>
          <cell r="S1286">
            <v>66097.124748554037</v>
          </cell>
          <cell r="T1286">
            <v>91759.617061811965</v>
          </cell>
        </row>
        <row r="1287">
          <cell r="R1287">
            <v>0</v>
          </cell>
          <cell r="S1287">
            <v>0</v>
          </cell>
          <cell r="T1287">
            <v>0</v>
          </cell>
        </row>
        <row r="1288">
          <cell r="R1288">
            <v>235294.11764705883</v>
          </cell>
          <cell r="S1288">
            <v>235294.11764705883</v>
          </cell>
          <cell r="T1288">
            <v>235294.11764705883</v>
          </cell>
        </row>
        <row r="1289">
          <cell r="R1289">
            <v>235294.11764705883</v>
          </cell>
          <cell r="S1289">
            <v>235294.11764705883</v>
          </cell>
          <cell r="T1289">
            <v>235294.11764705883</v>
          </cell>
        </row>
        <row r="1291">
          <cell r="R1291">
            <v>56810.615521726759</v>
          </cell>
          <cell r="S1291">
            <v>90427.398923140587</v>
          </cell>
          <cell r="T1291">
            <v>161986.9646924565</v>
          </cell>
        </row>
        <row r="1292">
          <cell r="R1292">
            <v>0</v>
          </cell>
          <cell r="S1292">
            <v>10099.189869391863</v>
          </cell>
          <cell r="T1292">
            <v>58045.780464331969</v>
          </cell>
        </row>
        <row r="1293">
          <cell r="R1293">
            <v>56810.615521726759</v>
          </cell>
          <cell r="S1293">
            <v>80328.209053748724</v>
          </cell>
          <cell r="T1293">
            <v>103941.18422812453</v>
          </cell>
        </row>
        <row r="1297">
          <cell r="R1297">
            <v>47620.707225527105</v>
          </cell>
          <cell r="S1297">
            <v>101659.93819567453</v>
          </cell>
          <cell r="T1297">
            <v>147401.97563791403</v>
          </cell>
        </row>
        <row r="1298">
          <cell r="R1298">
            <v>0</v>
          </cell>
          <cell r="S1298">
            <v>0</v>
          </cell>
          <cell r="T1298">
            <v>0</v>
          </cell>
        </row>
        <row r="1299">
          <cell r="R1299">
            <v>0</v>
          </cell>
          <cell r="S1299">
            <v>0</v>
          </cell>
          <cell r="T1299">
            <v>0</v>
          </cell>
        </row>
        <row r="1300">
          <cell r="R1300">
            <v>19804.879549608391</v>
          </cell>
          <cell r="S1300">
            <v>50311.549259874686</v>
          </cell>
          <cell r="T1300">
            <v>57266.137373658166</v>
          </cell>
        </row>
        <row r="1301">
          <cell r="R1301">
            <v>4172.5365860480542</v>
          </cell>
          <cell r="S1301">
            <v>9139.3400635854814</v>
          </cell>
          <cell r="T1301">
            <v>12653.21459839725</v>
          </cell>
        </row>
        <row r="1302">
          <cell r="R1302">
            <v>21932.933278003184</v>
          </cell>
          <cell r="S1302">
            <v>35350.439395474859</v>
          </cell>
          <cell r="T1302">
            <v>62951.352518922715</v>
          </cell>
        </row>
        <row r="1303">
          <cell r="R1303">
            <v>0</v>
          </cell>
          <cell r="S1303">
            <v>0</v>
          </cell>
          <cell r="T1303">
            <v>0</v>
          </cell>
        </row>
        <row r="1304">
          <cell r="R1304">
            <v>1710.3578118674777</v>
          </cell>
          <cell r="S1304">
            <v>6858.6094767395125</v>
          </cell>
          <cell r="T1304">
            <v>14531.271146935895</v>
          </cell>
        </row>
        <row r="1305">
          <cell r="R1305">
            <v>0</v>
          </cell>
          <cell r="S1305">
            <v>0</v>
          </cell>
          <cell r="T1305">
            <v>0</v>
          </cell>
        </row>
        <row r="1306">
          <cell r="R1306">
            <v>0</v>
          </cell>
          <cell r="S1306">
            <v>0</v>
          </cell>
          <cell r="T1306">
            <v>0</v>
          </cell>
        </row>
        <row r="1309">
          <cell r="R1309">
            <v>1053.8956279747565</v>
          </cell>
          <cell r="S1309">
            <v>1643.2187943106965</v>
          </cell>
          <cell r="T1309">
            <v>4437.2247895564587</v>
          </cell>
        </row>
        <row r="1310">
          <cell r="R1310">
            <v>1053.8956279747565</v>
          </cell>
          <cell r="S1310">
            <v>1643.2187943106965</v>
          </cell>
          <cell r="T1310">
            <v>4437.2247895564587</v>
          </cell>
        </row>
        <row r="1311">
          <cell r="R1311">
            <v>0</v>
          </cell>
          <cell r="S1311">
            <v>0</v>
          </cell>
          <cell r="T1311">
            <v>0</v>
          </cell>
        </row>
        <row r="1313">
          <cell r="R1313">
            <v>2000000</v>
          </cell>
          <cell r="S1313">
            <v>2000000</v>
          </cell>
          <cell r="T1313">
            <v>2000000</v>
          </cell>
        </row>
        <row r="1314">
          <cell r="R1314">
            <v>2000000</v>
          </cell>
          <cell r="S1314">
            <v>2000000</v>
          </cell>
          <cell r="T1314">
            <v>2000000</v>
          </cell>
        </row>
        <row r="1317">
          <cell r="R1317">
            <v>2000000</v>
          </cell>
          <cell r="S1317">
            <v>2000000</v>
          </cell>
          <cell r="T1317">
            <v>2000000</v>
          </cell>
        </row>
        <row r="1318">
          <cell r="R1318">
            <v>0</v>
          </cell>
          <cell r="S1318">
            <v>0</v>
          </cell>
          <cell r="T1318">
            <v>0</v>
          </cell>
        </row>
        <row r="1319">
          <cell r="R1319">
            <v>0</v>
          </cell>
          <cell r="S1319">
            <v>0</v>
          </cell>
          <cell r="T1319">
            <v>0</v>
          </cell>
        </row>
        <row r="1320">
          <cell r="R1320" t="str">
            <v>-</v>
          </cell>
          <cell r="S1320" t="str">
            <v>-</v>
          </cell>
          <cell r="T1320" t="str">
            <v>-</v>
          </cell>
        </row>
        <row r="1321">
          <cell r="R1321">
            <v>0</v>
          </cell>
          <cell r="S1321">
            <v>0</v>
          </cell>
          <cell r="T1321">
            <v>0</v>
          </cell>
        </row>
        <row r="1322">
          <cell r="R1322">
            <v>0</v>
          </cell>
          <cell r="S1322">
            <v>0</v>
          </cell>
          <cell r="T1322">
            <v>0</v>
          </cell>
        </row>
        <row r="1323">
          <cell r="R1323" t="e">
            <v>#REF!</v>
          </cell>
          <cell r="S1323" t="e">
            <v>#REF!</v>
          </cell>
          <cell r="T1323" t="e">
            <v>#REF!</v>
          </cell>
        </row>
        <row r="1324">
          <cell r="R1324">
            <v>0</v>
          </cell>
          <cell r="S1324">
            <v>0</v>
          </cell>
          <cell r="T1324">
            <v>0</v>
          </cell>
        </row>
        <row r="1325">
          <cell r="R1325">
            <v>0</v>
          </cell>
          <cell r="S1325">
            <v>0</v>
          </cell>
          <cell r="T1325">
            <v>0</v>
          </cell>
        </row>
        <row r="1326">
          <cell r="R1326">
            <v>0</v>
          </cell>
          <cell r="S1326">
            <v>0</v>
          </cell>
          <cell r="T1326">
            <v>0</v>
          </cell>
        </row>
        <row r="1327">
          <cell r="R1327">
            <v>0</v>
          </cell>
          <cell r="S1327">
            <v>0</v>
          </cell>
          <cell r="T1327">
            <v>0</v>
          </cell>
        </row>
        <row r="1328">
          <cell r="R1328" t="e">
            <v>#REF!</v>
          </cell>
          <cell r="S1328" t="e">
            <v>#REF!</v>
          </cell>
          <cell r="T1328" t="e">
            <v>#REF!</v>
          </cell>
        </row>
        <row r="1329">
          <cell r="R1329">
            <v>0</v>
          </cell>
          <cell r="S1329">
            <v>0</v>
          </cell>
          <cell r="T1329">
            <v>0</v>
          </cell>
        </row>
        <row r="1330">
          <cell r="R1330" t="e">
            <v>#REF!</v>
          </cell>
          <cell r="S1330" t="e">
            <v>#REF!</v>
          </cell>
          <cell r="T1330" t="e">
            <v>#REF!</v>
          </cell>
        </row>
        <row r="1331">
          <cell r="R1331">
            <v>0</v>
          </cell>
          <cell r="S1331">
            <v>0</v>
          </cell>
          <cell r="T1331">
            <v>0</v>
          </cell>
        </row>
        <row r="1332">
          <cell r="R1332">
            <v>0</v>
          </cell>
          <cell r="S1332">
            <v>0</v>
          </cell>
          <cell r="T1332">
            <v>0</v>
          </cell>
        </row>
        <row r="1333">
          <cell r="R1333">
            <v>0</v>
          </cell>
          <cell r="S1333">
            <v>0</v>
          </cell>
          <cell r="T1333">
            <v>0</v>
          </cell>
        </row>
        <row r="1337">
          <cell r="R1337">
            <v>0</v>
          </cell>
          <cell r="S1337">
            <v>0</v>
          </cell>
          <cell r="T1337">
            <v>0</v>
          </cell>
        </row>
        <row r="1338">
          <cell r="R1338">
            <v>0</v>
          </cell>
          <cell r="S1338">
            <v>0</v>
          </cell>
          <cell r="T1338">
            <v>0</v>
          </cell>
        </row>
        <row r="1339">
          <cell r="R1339">
            <v>0</v>
          </cell>
          <cell r="S1339">
            <v>0</v>
          </cell>
          <cell r="T1339">
            <v>0</v>
          </cell>
        </row>
        <row r="1340">
          <cell r="R1340">
            <v>0</v>
          </cell>
          <cell r="S1340">
            <v>0</v>
          </cell>
          <cell r="T1340">
            <v>0</v>
          </cell>
        </row>
        <row r="1341">
          <cell r="R1341">
            <v>0</v>
          </cell>
          <cell r="S1341">
            <v>0</v>
          </cell>
          <cell r="T1341">
            <v>0</v>
          </cell>
        </row>
        <row r="1342">
          <cell r="R1342">
            <v>0</v>
          </cell>
          <cell r="S1342">
            <v>0</v>
          </cell>
          <cell r="T1342">
            <v>0</v>
          </cell>
        </row>
        <row r="1343">
          <cell r="R1343">
            <v>0</v>
          </cell>
          <cell r="S1343">
            <v>0</v>
          </cell>
          <cell r="T1343">
            <v>0</v>
          </cell>
        </row>
        <row r="1344">
          <cell r="R1344">
            <v>0</v>
          </cell>
          <cell r="S1344">
            <v>0</v>
          </cell>
          <cell r="T1344">
            <v>0</v>
          </cell>
        </row>
        <row r="1345">
          <cell r="R1345">
            <v>0</v>
          </cell>
          <cell r="S1345">
            <v>0</v>
          </cell>
          <cell r="T1345">
            <v>0</v>
          </cell>
        </row>
        <row r="1346">
          <cell r="R1346">
            <v>0</v>
          </cell>
          <cell r="S1346">
            <v>0</v>
          </cell>
          <cell r="T1346">
            <v>0</v>
          </cell>
        </row>
        <row r="1349">
          <cell r="R1349">
            <v>0</v>
          </cell>
          <cell r="S1349">
            <v>0</v>
          </cell>
          <cell r="T1349">
            <v>0</v>
          </cell>
        </row>
        <row r="1350">
          <cell r="R1350">
            <v>0</v>
          </cell>
          <cell r="S1350">
            <v>0</v>
          </cell>
          <cell r="T1350">
            <v>0</v>
          </cell>
        </row>
        <row r="1351">
          <cell r="R1351">
            <v>0</v>
          </cell>
          <cell r="S1351">
            <v>0</v>
          </cell>
          <cell r="T1351">
            <v>0</v>
          </cell>
        </row>
        <row r="1353">
          <cell r="R1353">
            <v>2000000</v>
          </cell>
          <cell r="S1353">
            <v>2000000</v>
          </cell>
          <cell r="T1353">
            <v>2000000</v>
          </cell>
        </row>
        <row r="1354">
          <cell r="R1354">
            <v>2000000</v>
          </cell>
          <cell r="S1354">
            <v>2000000</v>
          </cell>
          <cell r="T1354">
            <v>2000000</v>
          </cell>
        </row>
        <row r="1358">
          <cell r="R1358">
            <v>0.76162864145104603</v>
          </cell>
          <cell r="S1358">
            <v>0.69261092303650906</v>
          </cell>
          <cell r="T1358">
            <v>0.66449881458874827</v>
          </cell>
        </row>
        <row r="1359">
          <cell r="R1359">
            <v>1.2108205965045367</v>
          </cell>
          <cell r="S1359">
            <v>0.90708994594573766</v>
          </cell>
          <cell r="T1359">
            <v>0.80610266091953853</v>
          </cell>
        </row>
        <row r="1360">
          <cell r="R1360">
            <v>1.2108205965045367</v>
          </cell>
          <cell r="S1360">
            <v>0.90708994594573766</v>
          </cell>
          <cell r="T1360">
            <v>0.80610266091953853</v>
          </cell>
        </row>
        <row r="1362">
          <cell r="R1362" t="str">
            <v>-</v>
          </cell>
          <cell r="S1362" t="str">
            <v>-</v>
          </cell>
          <cell r="T1362" t="str">
            <v>-</v>
          </cell>
        </row>
        <row r="1363">
          <cell r="R1363" t="str">
            <v>-</v>
          </cell>
          <cell r="S1363" t="str">
            <v>-</v>
          </cell>
          <cell r="T1363" t="str">
            <v>-</v>
          </cell>
        </row>
        <row r="1364">
          <cell r="R1364">
            <v>0.51551405030526809</v>
          </cell>
          <cell r="S1364">
            <v>0.57008333717077631</v>
          </cell>
          <cell r="T1364">
            <v>0.59295043623840638</v>
          </cell>
        </row>
        <row r="1365">
          <cell r="R1365">
            <v>0.46804729461763822</v>
          </cell>
          <cell r="S1365">
            <v>0.50530244418450065</v>
          </cell>
          <cell r="T1365">
            <v>0.4766493368340709</v>
          </cell>
        </row>
        <row r="1366">
          <cell r="R1366">
            <v>0.52990108490954413</v>
          </cell>
          <cell r="S1366">
            <v>0.53435538276950079</v>
          </cell>
          <cell r="T1366">
            <v>0.50062066094504898</v>
          </cell>
        </row>
        <row r="1367">
          <cell r="R1367">
            <v>0.25184186913240741</v>
          </cell>
          <cell r="S1367">
            <v>0.33894217025720524</v>
          </cell>
          <cell r="T1367">
            <v>0.33609772701945761</v>
          </cell>
        </row>
        <row r="1368">
          <cell r="R1368" t="e">
            <v>#DIV/0!</v>
          </cell>
          <cell r="S1368" t="e">
            <v>#DIV/0!</v>
          </cell>
          <cell r="T1368" t="e">
            <v>#DIV/0!</v>
          </cell>
        </row>
        <row r="1369">
          <cell r="R1369">
            <v>0.57543144020677728</v>
          </cell>
          <cell r="S1369">
            <v>0.64626134932267498</v>
          </cell>
          <cell r="T1369">
            <v>0.73002470396174424</v>
          </cell>
        </row>
        <row r="1370">
          <cell r="R1370">
            <v>0.57543144020677728</v>
          </cell>
          <cell r="S1370">
            <v>0.64626134932267498</v>
          </cell>
          <cell r="T1370">
            <v>0.73002470396174424</v>
          </cell>
        </row>
        <row r="1372">
          <cell r="R1372">
            <v>0.39085955517187315</v>
          </cell>
          <cell r="S1372">
            <v>0.39806296093189808</v>
          </cell>
          <cell r="T1372">
            <v>0.40499707191285816</v>
          </cell>
        </row>
        <row r="1373">
          <cell r="R1373">
            <v>0.55970383936525681</v>
          </cell>
          <cell r="S1373">
            <v>0.20605778324886129</v>
          </cell>
          <cell r="T1373">
            <v>0.2166377234965382</v>
          </cell>
        </row>
        <row r="1374">
          <cell r="R1374">
            <v>0.36986663917056645</v>
          </cell>
          <cell r="S1374">
            <v>0.45092161743908621</v>
          </cell>
          <cell r="T1374">
            <v>0.46743430409990178</v>
          </cell>
        </row>
        <row r="1378">
          <cell r="R1378">
            <v>0.20594885678609948</v>
          </cell>
          <cell r="S1378">
            <v>0.36127002897960286</v>
          </cell>
          <cell r="T1378">
            <v>0.39227422950172153</v>
          </cell>
        </row>
        <row r="1379">
          <cell r="R1379">
            <v>0</v>
          </cell>
          <cell r="S1379">
            <v>0</v>
          </cell>
          <cell r="T1379">
            <v>0</v>
          </cell>
        </row>
        <row r="1380">
          <cell r="R1380">
            <v>0</v>
          </cell>
          <cell r="S1380">
            <v>0</v>
          </cell>
          <cell r="T1380">
            <v>0</v>
          </cell>
        </row>
        <row r="1381">
          <cell r="R1381">
            <v>0.61598450199849586</v>
          </cell>
          <cell r="S1381">
            <v>0.62186902288260404</v>
          </cell>
          <cell r="T1381">
            <v>0.5724151581936584</v>
          </cell>
        </row>
        <row r="1382">
          <cell r="R1382">
            <v>0.44026192553773758</v>
          </cell>
          <cell r="S1382">
            <v>0.44177093639424414</v>
          </cell>
          <cell r="T1382">
            <v>0.42289880131251861</v>
          </cell>
        </row>
        <row r="1383">
          <cell r="R1383">
            <v>4.5530323955853824E-2</v>
          </cell>
          <cell r="S1383">
            <v>0.31042372537956509</v>
          </cell>
          <cell r="T1383">
            <v>0.40096414190369767</v>
          </cell>
        </row>
        <row r="1384">
          <cell r="R1384">
            <v>0.18988246150106627</v>
          </cell>
          <cell r="S1384">
            <v>0.1395908324721947</v>
          </cell>
          <cell r="T1384">
            <v>0.28328333098976299</v>
          </cell>
        </row>
        <row r="1385">
          <cell r="R1385">
            <v>0.15102233595354944</v>
          </cell>
          <cell r="S1385">
            <v>0.16306566506330278</v>
          </cell>
          <cell r="T1385">
            <v>0.17027100573709256</v>
          </cell>
        </row>
        <row r="1386">
          <cell r="R1386">
            <v>6.1164254630323822E-2</v>
          </cell>
          <cell r="S1386">
            <v>0.13416344198603958</v>
          </cell>
          <cell r="T1386">
            <v>0.17134566625174791</v>
          </cell>
        </row>
        <row r="1387">
          <cell r="R1387">
            <v>0.55070891612548112</v>
          </cell>
          <cell r="S1387">
            <v>0.63934426229508201</v>
          </cell>
          <cell r="T1387">
            <v>0.6393442622950819</v>
          </cell>
        </row>
        <row r="1391">
          <cell r="R1391">
            <v>0.29003509066406913</v>
          </cell>
          <cell r="S1391">
            <v>0.29449879564314979</v>
          </cell>
          <cell r="T1391">
            <v>0.362863142868385</v>
          </cell>
        </row>
        <row r="1392">
          <cell r="R1392">
            <v>-0.13462045274603551</v>
          </cell>
          <cell r="S1392">
            <v>4.9048418485839688E-3</v>
          </cell>
          <cell r="T1392">
            <v>0.16804177509271848</v>
          </cell>
        </row>
        <row r="1395">
          <cell r="R1395" t="str">
            <v>-</v>
          </cell>
          <cell r="S1395" t="str">
            <v>-</v>
          </cell>
          <cell r="T1395" t="str">
            <v>-</v>
          </cell>
        </row>
        <row r="1398">
          <cell r="R1398">
            <v>30918886.924349856</v>
          </cell>
          <cell r="S1398">
            <v>38547176.630839437</v>
          </cell>
          <cell r="T1398">
            <v>40753420.714704707</v>
          </cell>
        </row>
        <row r="1399">
          <cell r="R1399">
            <v>9669049.5999999996</v>
          </cell>
          <cell r="S1399">
            <v>11305384.798716936</v>
          </cell>
          <cell r="T1399">
            <v>12297361.989084128</v>
          </cell>
        </row>
        <row r="1400">
          <cell r="R1400">
            <v>9659547.5999999996</v>
          </cell>
          <cell r="S1400">
            <v>11305372.798716936</v>
          </cell>
          <cell r="T1400">
            <v>12297349.989084128</v>
          </cell>
        </row>
        <row r="1401">
          <cell r="R1401" t="str">
            <v>-</v>
          </cell>
          <cell r="S1401" t="str">
            <v>-</v>
          </cell>
          <cell r="T1401" t="str">
            <v>-</v>
          </cell>
        </row>
        <row r="1402">
          <cell r="R1402">
            <v>9502</v>
          </cell>
          <cell r="S1402">
            <v>12</v>
          </cell>
          <cell r="T1402">
            <v>12</v>
          </cell>
        </row>
        <row r="1403">
          <cell r="R1403">
            <v>0</v>
          </cell>
          <cell r="S1403">
            <v>0</v>
          </cell>
          <cell r="T1403">
            <v>0</v>
          </cell>
        </row>
        <row r="1404">
          <cell r="R1404">
            <v>17391518.460006665</v>
          </cell>
          <cell r="S1404">
            <v>19117294.129007347</v>
          </cell>
          <cell r="T1404">
            <v>20454384.527846772</v>
          </cell>
        </row>
        <row r="1405">
          <cell r="R1405">
            <v>11848984.895006666</v>
          </cell>
          <cell r="S1405">
            <v>13132660.564007347</v>
          </cell>
          <cell r="T1405">
            <v>13953869.722846773</v>
          </cell>
        </row>
        <row r="1406">
          <cell r="R1406">
            <v>11715766</v>
          </cell>
          <cell r="S1406">
            <v>12875775.174507348</v>
          </cell>
          <cell r="T1406">
            <v>13682428.888471773</v>
          </cell>
        </row>
        <row r="1407">
          <cell r="R1407">
            <v>133218.89500666666</v>
          </cell>
          <cell r="S1407">
            <v>256885.38950000002</v>
          </cell>
          <cell r="T1407">
            <v>271440.83437499998</v>
          </cell>
        </row>
        <row r="1408">
          <cell r="R1408">
            <v>0</v>
          </cell>
          <cell r="S1408">
            <v>0</v>
          </cell>
          <cell r="T1408">
            <v>0</v>
          </cell>
        </row>
        <row r="1409">
          <cell r="R1409">
            <v>5542533.5650000004</v>
          </cell>
          <cell r="S1409">
            <v>5984633.5650000004</v>
          </cell>
          <cell r="T1409">
            <v>6500514.8050000006</v>
          </cell>
        </row>
        <row r="1410">
          <cell r="R1410">
            <v>5542533.5650000004</v>
          </cell>
          <cell r="S1410">
            <v>5984633.5650000004</v>
          </cell>
          <cell r="T1410">
            <v>6500514.8050000006</v>
          </cell>
        </row>
        <row r="1412">
          <cell r="R1412">
            <v>1254512</v>
          </cell>
          <cell r="S1412">
            <v>4417465.76</v>
          </cell>
          <cell r="T1412">
            <v>4216722.3838</v>
          </cell>
        </row>
        <row r="1413">
          <cell r="R1413">
            <v>877896</v>
          </cell>
          <cell r="S1413">
            <v>3500849.7600000002</v>
          </cell>
          <cell r="T1413">
            <v>3300106.3838</v>
          </cell>
        </row>
        <row r="1414">
          <cell r="R1414">
            <v>376616</v>
          </cell>
          <cell r="S1414">
            <v>916616</v>
          </cell>
          <cell r="T1414">
            <v>916616</v>
          </cell>
        </row>
        <row r="1418">
          <cell r="R1418">
            <v>1416444.2863511918</v>
          </cell>
          <cell r="S1418">
            <v>2495239.2431231532</v>
          </cell>
          <cell r="T1418">
            <v>2563632.5964818057</v>
          </cell>
        </row>
        <row r="1419">
          <cell r="R1419">
            <v>0</v>
          </cell>
          <cell r="S1419">
            <v>0</v>
          </cell>
          <cell r="T1419">
            <v>0</v>
          </cell>
        </row>
        <row r="1420">
          <cell r="R1420">
            <v>0</v>
          </cell>
          <cell r="S1420">
            <v>0</v>
          </cell>
          <cell r="T1420">
            <v>0</v>
          </cell>
        </row>
        <row r="1421">
          <cell r="R1421">
            <v>416829.92482999997</v>
          </cell>
          <cell r="S1421">
            <v>522334.96110000001</v>
          </cell>
          <cell r="T1421">
            <v>522704.61109999998</v>
          </cell>
        </row>
        <row r="1422">
          <cell r="R1422">
            <v>395918.07285666344</v>
          </cell>
          <cell r="S1422">
            <v>405772</v>
          </cell>
          <cell r="T1422">
            <v>410026</v>
          </cell>
        </row>
        <row r="1423">
          <cell r="R1423">
            <v>43635</v>
          </cell>
          <cell r="S1423">
            <v>112830.02</v>
          </cell>
          <cell r="T1423">
            <v>124113.22200000001</v>
          </cell>
        </row>
        <row r="1424">
          <cell r="R1424">
            <v>138614</v>
          </cell>
          <cell r="S1424">
            <v>434494.2</v>
          </cell>
          <cell r="T1424">
            <v>434671.2</v>
          </cell>
        </row>
        <row r="1425">
          <cell r="R1425">
            <v>158105</v>
          </cell>
          <cell r="S1425">
            <v>146217</v>
          </cell>
          <cell r="T1425">
            <v>228748</v>
          </cell>
        </row>
        <row r="1426">
          <cell r="R1426">
            <v>123627</v>
          </cell>
          <cell r="S1426">
            <v>130197</v>
          </cell>
          <cell r="T1426">
            <v>135534</v>
          </cell>
        </row>
        <row r="1427">
          <cell r="R1427">
            <v>139715.28866452843</v>
          </cell>
          <cell r="S1427">
            <v>743394.06202315306</v>
          </cell>
          <cell r="T1427">
            <v>707835.5633818059</v>
          </cell>
        </row>
        <row r="1430">
          <cell r="R1430">
            <v>194977.57799200001</v>
          </cell>
          <cell r="S1430">
            <v>219407.69999200001</v>
          </cell>
          <cell r="T1430">
            <v>228934.21749200003</v>
          </cell>
        </row>
        <row r="1431">
          <cell r="R1431">
            <v>7294</v>
          </cell>
          <cell r="S1431">
            <v>7775.5500000000011</v>
          </cell>
          <cell r="T1431">
            <v>5802.0675000000001</v>
          </cell>
        </row>
        <row r="1432">
          <cell r="R1432">
            <v>187683.57799200001</v>
          </cell>
          <cell r="S1432">
            <v>211632.14999200002</v>
          </cell>
          <cell r="T1432">
            <v>223132.14999200002</v>
          </cell>
        </row>
        <row r="1434">
          <cell r="R1434">
            <v>992385</v>
          </cell>
          <cell r="S1434">
            <v>992385</v>
          </cell>
          <cell r="T1434">
            <v>992385</v>
          </cell>
        </row>
        <row r="1435">
          <cell r="R1435">
            <v>992385</v>
          </cell>
          <cell r="S1435">
            <v>992385</v>
          </cell>
          <cell r="T1435">
            <v>992385</v>
          </cell>
        </row>
        <row r="1438">
          <cell r="R1438">
            <v>34986.541666666664</v>
          </cell>
          <cell r="S1438">
            <v>37871</v>
          </cell>
          <cell r="T1438">
            <v>38030</v>
          </cell>
        </row>
        <row r="1439">
          <cell r="R1439">
            <v>16505</v>
          </cell>
          <cell r="S1439">
            <v>16508</v>
          </cell>
          <cell r="T1439">
            <v>16508</v>
          </cell>
        </row>
        <row r="1440">
          <cell r="R1440">
            <v>16497</v>
          </cell>
          <cell r="S1440">
            <v>16500</v>
          </cell>
          <cell r="T1440">
            <v>16500</v>
          </cell>
        </row>
        <row r="1441">
          <cell r="R1441" t="str">
            <v>-</v>
          </cell>
          <cell r="S1441" t="str">
            <v>-</v>
          </cell>
          <cell r="T1441" t="str">
            <v>-</v>
          </cell>
        </row>
        <row r="1442">
          <cell r="R1442">
            <v>8</v>
          </cell>
          <cell r="S1442">
            <v>8</v>
          </cell>
          <cell r="T1442">
            <v>8</v>
          </cell>
        </row>
        <row r="1443">
          <cell r="R1443">
            <v>0</v>
          </cell>
          <cell r="S1443">
            <v>0</v>
          </cell>
          <cell r="T1443">
            <v>0</v>
          </cell>
        </row>
        <row r="1444">
          <cell r="R1444">
            <v>11112</v>
          </cell>
          <cell r="S1444">
            <v>13565</v>
          </cell>
          <cell r="T1444">
            <v>13752</v>
          </cell>
        </row>
        <row r="1445">
          <cell r="R1445">
            <v>6732</v>
          </cell>
          <cell r="S1445">
            <v>6871</v>
          </cell>
          <cell r="T1445">
            <v>6910</v>
          </cell>
        </row>
        <row r="1446">
          <cell r="R1446">
            <v>6575</v>
          </cell>
          <cell r="S1446">
            <v>6736</v>
          </cell>
          <cell r="T1446">
            <v>6775</v>
          </cell>
        </row>
        <row r="1447">
          <cell r="R1447">
            <v>157</v>
          </cell>
          <cell r="S1447">
            <v>135</v>
          </cell>
          <cell r="T1447">
            <v>135</v>
          </cell>
        </row>
        <row r="1448">
          <cell r="R1448">
            <v>0</v>
          </cell>
          <cell r="S1448">
            <v>0</v>
          </cell>
          <cell r="T1448">
            <v>0</v>
          </cell>
        </row>
        <row r="1449">
          <cell r="R1449">
            <v>4380</v>
          </cell>
          <cell r="S1449">
            <v>6694</v>
          </cell>
          <cell r="T1449">
            <v>6842</v>
          </cell>
        </row>
        <row r="1450">
          <cell r="R1450">
            <v>4380</v>
          </cell>
          <cell r="S1450">
            <v>6694</v>
          </cell>
          <cell r="T1450">
            <v>6842</v>
          </cell>
        </row>
        <row r="1452">
          <cell r="R1452">
            <v>2238</v>
          </cell>
          <cell r="S1452">
            <v>2403</v>
          </cell>
          <cell r="T1452">
            <v>2323</v>
          </cell>
        </row>
        <row r="1453">
          <cell r="R1453">
            <v>2118</v>
          </cell>
          <cell r="S1453">
            <v>2283</v>
          </cell>
          <cell r="T1453">
            <v>2203</v>
          </cell>
        </row>
        <row r="1454">
          <cell r="R1454">
            <v>120</v>
          </cell>
          <cell r="S1454">
            <v>120</v>
          </cell>
          <cell r="T1454">
            <v>120</v>
          </cell>
        </row>
        <row r="1458">
          <cell r="R1458">
            <v>4199</v>
          </cell>
          <cell r="S1458">
            <v>4374</v>
          </cell>
          <cell r="T1458">
            <v>4416</v>
          </cell>
        </row>
        <row r="1459">
          <cell r="R1459">
            <v>0</v>
          </cell>
          <cell r="S1459">
            <v>0</v>
          </cell>
          <cell r="T1459">
            <v>0</v>
          </cell>
        </row>
        <row r="1460">
          <cell r="R1460">
            <v>0</v>
          </cell>
          <cell r="S1460">
            <v>0</v>
          </cell>
          <cell r="T1460">
            <v>0</v>
          </cell>
        </row>
        <row r="1461">
          <cell r="R1461">
            <v>732</v>
          </cell>
          <cell r="S1461">
            <v>505</v>
          </cell>
          <cell r="T1461">
            <v>505</v>
          </cell>
        </row>
        <row r="1462">
          <cell r="R1462">
            <v>1561</v>
          </cell>
          <cell r="S1462">
            <v>1557</v>
          </cell>
          <cell r="T1462">
            <v>1590</v>
          </cell>
        </row>
        <row r="1463">
          <cell r="R1463">
            <v>162</v>
          </cell>
          <cell r="S1463">
            <v>230</v>
          </cell>
          <cell r="T1463">
            <v>230</v>
          </cell>
        </row>
        <row r="1464">
          <cell r="R1464">
            <v>315</v>
          </cell>
          <cell r="S1464">
            <v>375</v>
          </cell>
          <cell r="T1464">
            <v>375</v>
          </cell>
        </row>
        <row r="1465">
          <cell r="R1465">
            <v>555</v>
          </cell>
          <cell r="S1465">
            <v>569</v>
          </cell>
          <cell r="T1465">
            <v>573</v>
          </cell>
        </row>
        <row r="1466">
          <cell r="R1466">
            <v>740</v>
          </cell>
          <cell r="S1466">
            <v>778</v>
          </cell>
          <cell r="T1466">
            <v>778</v>
          </cell>
        </row>
        <row r="1467">
          <cell r="R1467">
            <v>134</v>
          </cell>
          <cell r="S1467">
            <v>360</v>
          </cell>
          <cell r="T1467">
            <v>365</v>
          </cell>
        </row>
        <row r="1470">
          <cell r="R1470">
            <v>477.54166666666663</v>
          </cell>
          <cell r="S1470">
            <v>566</v>
          </cell>
          <cell r="T1470">
            <v>576</v>
          </cell>
        </row>
        <row r="1471">
          <cell r="R1471">
            <v>54</v>
          </cell>
          <cell r="S1471">
            <v>65</v>
          </cell>
          <cell r="T1471">
            <v>75</v>
          </cell>
        </row>
        <row r="1472">
          <cell r="R1472">
            <v>423.54166666666663</v>
          </cell>
          <cell r="S1472">
            <v>501</v>
          </cell>
          <cell r="T1472">
            <v>501</v>
          </cell>
        </row>
        <row r="1474">
          <cell r="R1474">
            <v>455</v>
          </cell>
          <cell r="S1474">
            <v>455</v>
          </cell>
          <cell r="T1474">
            <v>455</v>
          </cell>
        </row>
        <row r="1475">
          <cell r="R1475">
            <v>455</v>
          </cell>
          <cell r="S1475">
            <v>455</v>
          </cell>
          <cell r="T1475">
            <v>455</v>
          </cell>
        </row>
        <row r="1478">
          <cell r="R1478">
            <v>3128</v>
          </cell>
          <cell r="S1478">
            <v>3364</v>
          </cell>
          <cell r="T1478">
            <v>3299</v>
          </cell>
        </row>
        <row r="1479">
          <cell r="R1479">
            <v>190</v>
          </cell>
          <cell r="S1479">
            <v>193</v>
          </cell>
          <cell r="T1479">
            <v>193</v>
          </cell>
        </row>
        <row r="1480">
          <cell r="R1480">
            <v>182</v>
          </cell>
          <cell r="S1480">
            <v>185</v>
          </cell>
          <cell r="T1480">
            <v>185</v>
          </cell>
        </row>
        <row r="1481">
          <cell r="R1481" t="str">
            <v>-</v>
          </cell>
          <cell r="S1481" t="str">
            <v>-</v>
          </cell>
          <cell r="T1481" t="str">
            <v>-</v>
          </cell>
        </row>
        <row r="1482">
          <cell r="R1482">
            <v>8</v>
          </cell>
          <cell r="S1482">
            <v>8</v>
          </cell>
          <cell r="T1482">
            <v>8</v>
          </cell>
        </row>
        <row r="1483">
          <cell r="R1483">
            <v>0</v>
          </cell>
          <cell r="S1483">
            <v>0</v>
          </cell>
          <cell r="T1483">
            <v>0</v>
          </cell>
        </row>
        <row r="1484">
          <cell r="R1484">
            <v>1044</v>
          </cell>
          <cell r="S1484">
            <v>1255</v>
          </cell>
          <cell r="T1484">
            <v>1255</v>
          </cell>
        </row>
        <row r="1485">
          <cell r="R1485">
            <v>357</v>
          </cell>
          <cell r="S1485">
            <v>319</v>
          </cell>
          <cell r="T1485">
            <v>319</v>
          </cell>
        </row>
        <row r="1486">
          <cell r="R1486">
            <v>227</v>
          </cell>
          <cell r="S1486">
            <v>227</v>
          </cell>
          <cell r="T1486">
            <v>227</v>
          </cell>
        </row>
        <row r="1487">
          <cell r="R1487">
            <v>130</v>
          </cell>
          <cell r="S1487">
            <v>92</v>
          </cell>
          <cell r="T1487">
            <v>92</v>
          </cell>
        </row>
        <row r="1488">
          <cell r="R1488">
            <v>0</v>
          </cell>
          <cell r="S1488">
            <v>0</v>
          </cell>
          <cell r="T1488">
            <v>0</v>
          </cell>
        </row>
        <row r="1489">
          <cell r="R1489">
            <v>687</v>
          </cell>
          <cell r="S1489">
            <v>936</v>
          </cell>
          <cell r="T1489">
            <v>936</v>
          </cell>
        </row>
        <row r="1490">
          <cell r="R1490">
            <v>687</v>
          </cell>
          <cell r="S1490">
            <v>936</v>
          </cell>
          <cell r="T1490">
            <v>936</v>
          </cell>
        </row>
        <row r="1492">
          <cell r="R1492">
            <v>554</v>
          </cell>
          <cell r="S1492">
            <v>556</v>
          </cell>
          <cell r="T1492">
            <v>476</v>
          </cell>
        </row>
        <row r="1493">
          <cell r="R1493">
            <v>434</v>
          </cell>
          <cell r="S1493">
            <v>436</v>
          </cell>
          <cell r="T1493">
            <v>356</v>
          </cell>
        </row>
        <row r="1494">
          <cell r="R1494">
            <v>120</v>
          </cell>
          <cell r="S1494">
            <v>120</v>
          </cell>
          <cell r="T1494">
            <v>120</v>
          </cell>
        </row>
        <row r="1498">
          <cell r="R1498">
            <v>694</v>
          </cell>
          <cell r="S1498">
            <v>702</v>
          </cell>
          <cell r="T1498">
            <v>712</v>
          </cell>
        </row>
        <row r="1499">
          <cell r="R1499">
            <v>0</v>
          </cell>
          <cell r="S1499">
            <v>0</v>
          </cell>
          <cell r="T1499">
            <v>0</v>
          </cell>
        </row>
        <row r="1500">
          <cell r="R1500">
            <v>0</v>
          </cell>
          <cell r="S1500">
            <v>0</v>
          </cell>
          <cell r="T1500">
            <v>0</v>
          </cell>
        </row>
        <row r="1501">
          <cell r="R1501">
            <v>109</v>
          </cell>
          <cell r="S1501">
            <v>90</v>
          </cell>
          <cell r="T1501">
            <v>90</v>
          </cell>
        </row>
        <row r="1502">
          <cell r="R1502">
            <v>189</v>
          </cell>
          <cell r="S1502">
            <v>199</v>
          </cell>
          <cell r="T1502">
            <v>204</v>
          </cell>
        </row>
        <row r="1503">
          <cell r="R1503">
            <v>61</v>
          </cell>
          <cell r="S1503">
            <v>52</v>
          </cell>
          <cell r="T1503">
            <v>52</v>
          </cell>
        </row>
        <row r="1504">
          <cell r="R1504">
            <v>32</v>
          </cell>
          <cell r="S1504">
            <v>35</v>
          </cell>
          <cell r="T1504">
            <v>35</v>
          </cell>
        </row>
        <row r="1505">
          <cell r="R1505">
            <v>206</v>
          </cell>
          <cell r="S1505">
            <v>230</v>
          </cell>
          <cell r="T1505">
            <v>230</v>
          </cell>
        </row>
        <row r="1506">
          <cell r="R1506">
            <v>52</v>
          </cell>
          <cell r="S1506">
            <v>51</v>
          </cell>
          <cell r="T1506">
            <v>51</v>
          </cell>
        </row>
        <row r="1507">
          <cell r="R1507">
            <v>45</v>
          </cell>
          <cell r="S1507">
            <v>45</v>
          </cell>
          <cell r="T1507">
            <v>50</v>
          </cell>
        </row>
        <row r="1510">
          <cell r="R1510">
            <v>191</v>
          </cell>
          <cell r="S1510">
            <v>203</v>
          </cell>
          <cell r="T1510">
            <v>208</v>
          </cell>
        </row>
        <row r="1511">
          <cell r="R1511">
            <v>17</v>
          </cell>
          <cell r="S1511">
            <v>20</v>
          </cell>
          <cell r="T1511">
            <v>25</v>
          </cell>
        </row>
        <row r="1512">
          <cell r="R1512">
            <v>174</v>
          </cell>
          <cell r="S1512">
            <v>183</v>
          </cell>
          <cell r="T1512">
            <v>183</v>
          </cell>
        </row>
        <row r="1514">
          <cell r="R1514">
            <v>455</v>
          </cell>
          <cell r="S1514">
            <v>455</v>
          </cell>
          <cell r="T1514">
            <v>455</v>
          </cell>
        </row>
        <row r="1515">
          <cell r="R1515">
            <v>455</v>
          </cell>
          <cell r="S1515">
            <v>455</v>
          </cell>
          <cell r="T1515">
            <v>455</v>
          </cell>
        </row>
        <row r="1518">
          <cell r="R1518">
            <v>41347908.321565516</v>
          </cell>
          <cell r="S1518">
            <v>43768871.759681426</v>
          </cell>
          <cell r="T1518">
            <v>44599413.645690039</v>
          </cell>
        </row>
        <row r="1519">
          <cell r="R1519">
            <v>13948913.526252765</v>
          </cell>
          <cell r="S1519">
            <v>14266648.517058322</v>
          </cell>
          <cell r="T1519">
            <v>14407433.19629848</v>
          </cell>
        </row>
        <row r="1520">
          <cell r="R1520">
            <v>13912046.526252765</v>
          </cell>
          <cell r="S1520">
            <v>14229481.517058322</v>
          </cell>
          <cell r="T1520">
            <v>14370266.19629848</v>
          </cell>
        </row>
        <row r="1521">
          <cell r="R1521" t="str">
            <v>-</v>
          </cell>
          <cell r="S1521" t="str">
            <v>-</v>
          </cell>
          <cell r="T1521" t="str">
            <v>-</v>
          </cell>
        </row>
        <row r="1522">
          <cell r="R1522">
            <v>36867</v>
          </cell>
          <cell r="S1522">
            <v>37167</v>
          </cell>
          <cell r="T1522">
            <v>37167</v>
          </cell>
        </row>
        <row r="1523">
          <cell r="R1523">
            <v>0</v>
          </cell>
          <cell r="S1523">
            <v>0</v>
          </cell>
          <cell r="T1523">
            <v>0</v>
          </cell>
        </row>
        <row r="1524">
          <cell r="R1524">
            <v>17538684.658764198</v>
          </cell>
          <cell r="S1524">
            <v>18881814.70551385</v>
          </cell>
          <cell r="T1524">
            <v>19232541.51867222</v>
          </cell>
        </row>
        <row r="1525">
          <cell r="R1525">
            <v>11370898.888457008</v>
          </cell>
          <cell r="S1525">
            <v>11742528.007213851</v>
          </cell>
          <cell r="T1525">
            <v>11850723.376497218</v>
          </cell>
        </row>
        <row r="1526">
          <cell r="R1526">
            <v>10863795.942266585</v>
          </cell>
          <cell r="S1526">
            <v>11150572.657692803</v>
          </cell>
          <cell r="T1526">
            <v>11235339.021940719</v>
          </cell>
        </row>
        <row r="1527">
          <cell r="R1527">
            <v>507102.94619042194</v>
          </cell>
          <cell r="S1527">
            <v>591955.34952104907</v>
          </cell>
          <cell r="T1527">
            <v>615384.35455649893</v>
          </cell>
        </row>
        <row r="1528">
          <cell r="R1528">
            <v>0</v>
          </cell>
          <cell r="S1528">
            <v>0</v>
          </cell>
          <cell r="T1528">
            <v>0</v>
          </cell>
        </row>
        <row r="1529">
          <cell r="R1529">
            <v>6167785.7703071898</v>
          </cell>
          <cell r="S1529">
            <v>7139286.6983000003</v>
          </cell>
          <cell r="T1529">
            <v>7381818.1421750002</v>
          </cell>
        </row>
        <row r="1530">
          <cell r="R1530">
            <v>6167785.7703071898</v>
          </cell>
          <cell r="S1530">
            <v>7139286.6983000003</v>
          </cell>
          <cell r="T1530">
            <v>7381818.1421750002</v>
          </cell>
        </row>
        <row r="1532">
          <cell r="R1532">
            <v>2871151</v>
          </cell>
          <cell r="S1532">
            <v>3222860</v>
          </cell>
          <cell r="T1532">
            <v>3326458</v>
          </cell>
        </row>
        <row r="1533">
          <cell r="R1533">
            <v>2347910</v>
          </cell>
          <cell r="S1533">
            <v>2699619</v>
          </cell>
          <cell r="T1533">
            <v>2803217</v>
          </cell>
        </row>
        <row r="1534">
          <cell r="R1534">
            <v>523241</v>
          </cell>
          <cell r="S1534">
            <v>523241</v>
          </cell>
          <cell r="T1534">
            <v>523241</v>
          </cell>
        </row>
        <row r="1538">
          <cell r="R1538">
            <v>4171553.2597505827</v>
          </cell>
          <cell r="S1538">
            <v>4570272.3706112783</v>
          </cell>
          <cell r="T1538">
            <v>4803486.1100363676</v>
          </cell>
        </row>
        <row r="1539">
          <cell r="R1539">
            <v>0</v>
          </cell>
          <cell r="S1539">
            <v>0</v>
          </cell>
          <cell r="T1539">
            <v>0</v>
          </cell>
        </row>
        <row r="1540">
          <cell r="R1540">
            <v>0</v>
          </cell>
          <cell r="S1540">
            <v>0</v>
          </cell>
          <cell r="T1540">
            <v>0</v>
          </cell>
        </row>
        <row r="1541">
          <cell r="R1541">
            <v>932123.75269026658</v>
          </cell>
          <cell r="S1541">
            <v>749902.61424677819</v>
          </cell>
          <cell r="T1541">
            <v>791161.17066096235</v>
          </cell>
        </row>
        <row r="1542">
          <cell r="R1542">
            <v>1315013.2282838374</v>
          </cell>
          <cell r="S1542">
            <v>1534469.6</v>
          </cell>
          <cell r="T1542">
            <v>1707694.66</v>
          </cell>
        </row>
        <row r="1543">
          <cell r="R1543">
            <v>269503</v>
          </cell>
          <cell r="S1543">
            <v>401232</v>
          </cell>
          <cell r="T1543">
            <v>401232</v>
          </cell>
        </row>
        <row r="1544">
          <cell r="R1544">
            <v>199408</v>
          </cell>
          <cell r="S1544">
            <v>242850</v>
          </cell>
          <cell r="T1544">
            <v>242850</v>
          </cell>
        </row>
        <row r="1545">
          <cell r="R1545">
            <v>383029</v>
          </cell>
          <cell r="S1545">
            <v>451515.2</v>
          </cell>
          <cell r="T1545">
            <v>454012</v>
          </cell>
        </row>
        <row r="1546">
          <cell r="R1546">
            <v>825530</v>
          </cell>
          <cell r="S1546">
            <v>874666</v>
          </cell>
          <cell r="T1546">
            <v>874666</v>
          </cell>
        </row>
        <row r="1547">
          <cell r="R1547">
            <v>246946.27877647843</v>
          </cell>
          <cell r="S1547">
            <v>315636.95636449975</v>
          </cell>
          <cell r="T1547">
            <v>331870.2793754047</v>
          </cell>
        </row>
        <row r="1550">
          <cell r="R1550">
            <v>670559.87679797388</v>
          </cell>
          <cell r="S1550">
            <v>680230.16649797396</v>
          </cell>
          <cell r="T1550">
            <v>682448.82068297383</v>
          </cell>
        </row>
        <row r="1551">
          <cell r="R1551">
            <v>234497.79399999999</v>
          </cell>
          <cell r="S1551">
            <v>244168.08370000002</v>
          </cell>
          <cell r="T1551">
            <v>246386.73788500001</v>
          </cell>
        </row>
        <row r="1552">
          <cell r="R1552">
            <v>436062.08279797388</v>
          </cell>
          <cell r="S1552">
            <v>436062.08279797388</v>
          </cell>
          <cell r="T1552">
            <v>436062.08279797388</v>
          </cell>
        </row>
        <row r="1554">
          <cell r="R1554">
            <v>2147046</v>
          </cell>
          <cell r="S1554">
            <v>2147046</v>
          </cell>
          <cell r="T1554">
            <v>2147046</v>
          </cell>
        </row>
        <row r="1555">
          <cell r="R1555">
            <v>2147046</v>
          </cell>
          <cell r="S1555">
            <v>2147046</v>
          </cell>
          <cell r="T1555">
            <v>2147046</v>
          </cell>
        </row>
        <row r="1558">
          <cell r="R1558">
            <v>126452.49914572375</v>
          </cell>
          <cell r="S1558">
            <v>122687.51977345755</v>
          </cell>
          <cell r="T1558">
            <v>124249.51411086544</v>
          </cell>
        </row>
        <row r="1559">
          <cell r="R1559">
            <v>128511.19902567187</v>
          </cell>
          <cell r="S1559">
            <v>131397.12812709098</v>
          </cell>
          <cell r="T1559">
            <v>132695.29829094472</v>
          </cell>
        </row>
        <row r="1560">
          <cell r="R1560">
            <v>128387.28798682877</v>
          </cell>
          <cell r="S1560">
            <v>131273.12370436476</v>
          </cell>
          <cell r="T1560">
            <v>132571.92328405549</v>
          </cell>
        </row>
        <row r="1561">
          <cell r="R1561" t="str">
            <v>-</v>
          </cell>
          <cell r="S1561" t="str">
            <v>-</v>
          </cell>
          <cell r="T1561" t="str">
            <v>-</v>
          </cell>
        </row>
        <row r="1562">
          <cell r="R1562">
            <v>384031.25</v>
          </cell>
          <cell r="S1562">
            <v>387156.25</v>
          </cell>
          <cell r="T1562">
            <v>387156.25</v>
          </cell>
        </row>
        <row r="1563">
          <cell r="R1563">
            <v>0</v>
          </cell>
          <cell r="S1563">
            <v>0</v>
          </cell>
          <cell r="T1563">
            <v>0</v>
          </cell>
        </row>
        <row r="1564">
          <cell r="R1564">
            <v>131529.61257172574</v>
          </cell>
          <cell r="S1564">
            <v>115995.91292243428</v>
          </cell>
          <cell r="T1564">
            <v>116543.90584807191</v>
          </cell>
        </row>
        <row r="1565">
          <cell r="R1565">
            <v>140756.81927679994</v>
          </cell>
          <cell r="S1565">
            <v>142416.53334320395</v>
          </cell>
          <cell r="T1565">
            <v>142917.55157377254</v>
          </cell>
        </row>
        <row r="1566">
          <cell r="R1566">
            <v>137690.69635318866</v>
          </cell>
          <cell r="S1566">
            <v>137947.50417771182</v>
          </cell>
          <cell r="T1566">
            <v>138196.05193039015</v>
          </cell>
        </row>
        <row r="1567">
          <cell r="R1567">
            <v>269162.92260638106</v>
          </cell>
          <cell r="S1567">
            <v>365404.53674138832</v>
          </cell>
          <cell r="T1567">
            <v>379866.88552870305</v>
          </cell>
        </row>
        <row r="1568">
          <cell r="R1568">
            <v>0</v>
          </cell>
          <cell r="S1568">
            <v>0</v>
          </cell>
          <cell r="T1568">
            <v>0</v>
          </cell>
        </row>
        <row r="1569">
          <cell r="R1569">
            <v>117347.52226611854</v>
          </cell>
          <cell r="S1569">
            <v>88876.689302609317</v>
          </cell>
          <cell r="T1569">
            <v>89908.142626120534</v>
          </cell>
        </row>
        <row r="1570">
          <cell r="R1570">
            <v>117347.52226611854</v>
          </cell>
          <cell r="S1570">
            <v>88876.689302609317</v>
          </cell>
          <cell r="T1570">
            <v>89908.142626120534</v>
          </cell>
        </row>
        <row r="1572">
          <cell r="R1572">
            <v>106909.10783437593</v>
          </cell>
          <cell r="S1572">
            <v>111765.15466777638</v>
          </cell>
          <cell r="T1572">
            <v>119330.53522743577</v>
          </cell>
        </row>
        <row r="1573">
          <cell r="R1573">
            <v>92379.209946490402</v>
          </cell>
          <cell r="S1573">
            <v>98540.626368812969</v>
          </cell>
          <cell r="T1573">
            <v>106037.86503253139</v>
          </cell>
        </row>
        <row r="1574">
          <cell r="R1574">
            <v>363361.8055555555</v>
          </cell>
          <cell r="S1574">
            <v>363361.8055555555</v>
          </cell>
          <cell r="T1574">
            <v>363361.8055555555</v>
          </cell>
        </row>
        <row r="1578">
          <cell r="R1578">
            <v>83058.227117670904</v>
          </cell>
          <cell r="S1578">
            <v>87072.709392837947</v>
          </cell>
          <cell r="T1578">
            <v>90645.495735891571</v>
          </cell>
        </row>
        <row r="1579">
          <cell r="R1579">
            <v>0</v>
          </cell>
          <cell r="S1579">
            <v>0</v>
          </cell>
          <cell r="T1579">
            <v>0</v>
          </cell>
        </row>
        <row r="1580">
          <cell r="R1580">
            <v>0</v>
          </cell>
          <cell r="S1580">
            <v>0</v>
          </cell>
          <cell r="T1580">
            <v>0</v>
          </cell>
        </row>
        <row r="1581">
          <cell r="R1581">
            <v>106116.09206401031</v>
          </cell>
          <cell r="S1581">
            <v>123746.30598131655</v>
          </cell>
          <cell r="T1581">
            <v>130554.64862392117</v>
          </cell>
        </row>
        <row r="1582">
          <cell r="R1582">
            <v>70201.432216732734</v>
          </cell>
          <cell r="S1582">
            <v>82127.46735174481</v>
          </cell>
          <cell r="T1582">
            <v>89501.816561844855</v>
          </cell>
        </row>
        <row r="1583">
          <cell r="R1583">
            <v>138633.23045267491</v>
          </cell>
          <cell r="S1583">
            <v>145373.91304347824</v>
          </cell>
          <cell r="T1583">
            <v>145373.91304347824</v>
          </cell>
        </row>
        <row r="1584">
          <cell r="R1584">
            <v>52753.439153439154</v>
          </cell>
          <cell r="S1584">
            <v>53966.666666666664</v>
          </cell>
          <cell r="T1584">
            <v>53966.666666666664</v>
          </cell>
        </row>
        <row r="1585">
          <cell r="R1585">
            <v>57511.861861861864</v>
          </cell>
          <cell r="S1585">
            <v>66127.006444053899</v>
          </cell>
          <cell r="T1585">
            <v>66028.504944735309</v>
          </cell>
        </row>
        <row r="1586">
          <cell r="R1586">
            <v>92965.090090090074</v>
          </cell>
          <cell r="S1586">
            <v>93687.446443873167</v>
          </cell>
          <cell r="T1586">
            <v>93687.446443873167</v>
          </cell>
        </row>
        <row r="1587">
          <cell r="R1587">
            <v>162021.74566610515</v>
          </cell>
          <cell r="S1587">
            <v>73064.110269560129</v>
          </cell>
          <cell r="T1587">
            <v>75769.470177033028</v>
          </cell>
        </row>
        <row r="1590">
          <cell r="R1590">
            <v>117015.94569373944</v>
          </cell>
          <cell r="S1590">
            <v>100151.67351265812</v>
          </cell>
          <cell r="T1590">
            <v>98733.915029365438</v>
          </cell>
        </row>
        <row r="1591">
          <cell r="R1591">
            <v>361879.31172839506</v>
          </cell>
          <cell r="S1591">
            <v>313036.00474358973</v>
          </cell>
          <cell r="T1591">
            <v>273763.04209444445</v>
          </cell>
        </row>
        <row r="1592">
          <cell r="R1592">
            <v>85796.769856955027</v>
          </cell>
          <cell r="S1592">
            <v>72531.949899862593</v>
          </cell>
          <cell r="T1592">
            <v>72531.949899862593</v>
          </cell>
        </row>
        <row r="1594">
          <cell r="R1594">
            <v>434279.48717948713</v>
          </cell>
          <cell r="S1594">
            <v>434279.48717948713</v>
          </cell>
          <cell r="T1594">
            <v>434279.48717948713</v>
          </cell>
        </row>
        <row r="1595">
          <cell r="R1595">
            <v>434279.48717948719</v>
          </cell>
          <cell r="S1595">
            <v>434279.48717948719</v>
          </cell>
          <cell r="T1595">
            <v>434279.48717948719</v>
          </cell>
        </row>
        <row r="1598">
          <cell r="R1598">
            <v>236168.10575355191</v>
          </cell>
          <cell r="S1598">
            <v>225863.38154830888</v>
          </cell>
          <cell r="T1598">
            <v>228860.58313983417</v>
          </cell>
        </row>
        <row r="1599">
          <cell r="R1599">
            <v>404871.49122807017</v>
          </cell>
          <cell r="S1599">
            <v>409493.63952722587</v>
          </cell>
          <cell r="T1599">
            <v>411575.64476373448</v>
          </cell>
        </row>
        <row r="1600">
          <cell r="R1600">
            <v>405787.54578754579</v>
          </cell>
          <cell r="S1600">
            <v>410459.58069597068</v>
          </cell>
          <cell r="T1600">
            <v>412631.61859135539</v>
          </cell>
        </row>
        <row r="1601">
          <cell r="R1601" t="str">
            <v>-</v>
          </cell>
          <cell r="S1601" t="str">
            <v>-</v>
          </cell>
          <cell r="T1601" t="str">
            <v>-</v>
          </cell>
        </row>
        <row r="1602">
          <cell r="R1602">
            <v>384031.25</v>
          </cell>
          <cell r="S1602">
            <v>387156.25</v>
          </cell>
          <cell r="T1602">
            <v>387156.25</v>
          </cell>
        </row>
        <row r="1603">
          <cell r="R1603">
            <v>0</v>
          </cell>
          <cell r="S1603">
            <v>0</v>
          </cell>
          <cell r="T1603">
            <v>0</v>
          </cell>
        </row>
        <row r="1604">
          <cell r="R1604">
            <v>252955.14192739117</v>
          </cell>
          <cell r="S1604">
            <v>221569.1305235684</v>
          </cell>
          <cell r="T1604">
            <v>222393.345017421</v>
          </cell>
        </row>
        <row r="1605">
          <cell r="R1605">
            <v>321679.79639569717</v>
          </cell>
          <cell r="S1605">
            <v>348496.41715907538</v>
          </cell>
          <cell r="T1605">
            <v>351739.01650009421</v>
          </cell>
        </row>
        <row r="1606">
          <cell r="R1606">
            <v>340525.33039647579</v>
          </cell>
          <cell r="S1606">
            <v>350326.92637527524</v>
          </cell>
          <cell r="T1606">
            <v>354883.70694701537</v>
          </cell>
        </row>
        <row r="1607">
          <cell r="R1607">
            <v>288772.59471741464</v>
          </cell>
          <cell r="S1607">
            <v>343979.83463649516</v>
          </cell>
          <cell r="T1607">
            <v>343979.83463649516</v>
          </cell>
        </row>
        <row r="1608">
          <cell r="R1608">
            <v>0</v>
          </cell>
          <cell r="S1608">
            <v>0</v>
          </cell>
          <cell r="T1608">
            <v>0</v>
          </cell>
        </row>
        <row r="1609">
          <cell r="R1609">
            <v>217242.33021678671</v>
          </cell>
          <cell r="S1609">
            <v>178310.79245014244</v>
          </cell>
          <cell r="T1609">
            <v>178310.79245014244</v>
          </cell>
        </row>
        <row r="1610">
          <cell r="R1610">
            <v>217242.33021678671</v>
          </cell>
          <cell r="S1610">
            <v>178310.79245014244</v>
          </cell>
          <cell r="T1610">
            <v>178310.79245014244</v>
          </cell>
        </row>
        <row r="1612">
          <cell r="R1612">
            <v>163353.79061371839</v>
          </cell>
          <cell r="S1612">
            <v>163154.82613908872</v>
          </cell>
          <cell r="T1612">
            <v>172415.79131652659</v>
          </cell>
        </row>
        <row r="1613">
          <cell r="R1613">
            <v>108052.03533026115</v>
          </cell>
          <cell r="S1613">
            <v>108051.9877675841</v>
          </cell>
          <cell r="T1613">
            <v>108051.96629213484</v>
          </cell>
        </row>
        <row r="1614">
          <cell r="R1614">
            <v>363361.8055555555</v>
          </cell>
          <cell r="S1614">
            <v>363361.8055555555</v>
          </cell>
          <cell r="T1614">
            <v>363361.8055555555</v>
          </cell>
        </row>
        <row r="1618">
          <cell r="R1618">
            <v>130706.19662571656</v>
          </cell>
          <cell r="S1618">
            <v>135619.48335851569</v>
          </cell>
          <cell r="T1618">
            <v>136709.39351821007</v>
          </cell>
        </row>
        <row r="1619">
          <cell r="R1619">
            <v>0</v>
          </cell>
          <cell r="S1619">
            <v>0</v>
          </cell>
          <cell r="T1619">
            <v>0</v>
          </cell>
        </row>
        <row r="1620">
          <cell r="R1620">
            <v>0</v>
          </cell>
          <cell r="S1620">
            <v>0</v>
          </cell>
          <cell r="T1620">
            <v>0</v>
          </cell>
        </row>
        <row r="1621">
          <cell r="R1621">
            <v>284971.76591743116</v>
          </cell>
          <cell r="S1621">
            <v>269941.80967373733</v>
          </cell>
          <cell r="T1621">
            <v>272588.29800387204</v>
          </cell>
        </row>
        <row r="1622">
          <cell r="R1622">
            <v>93231.316313238291</v>
          </cell>
          <cell r="S1622">
            <v>108936.34840871021</v>
          </cell>
          <cell r="T1622">
            <v>120158.08823529411</v>
          </cell>
        </row>
        <row r="1623">
          <cell r="R1623">
            <v>121372.95081967214</v>
          </cell>
          <cell r="S1623">
            <v>202094.55128205125</v>
          </cell>
          <cell r="T1623">
            <v>158004.80769230772</v>
          </cell>
        </row>
        <row r="1624">
          <cell r="R1624">
            <v>88031.25</v>
          </cell>
          <cell r="S1624">
            <v>70714.28571428571</v>
          </cell>
          <cell r="T1624">
            <v>70714.28571428571</v>
          </cell>
        </row>
        <row r="1625">
          <cell r="R1625">
            <v>52766.181229773465</v>
          </cell>
          <cell r="S1625">
            <v>54891.304347826081</v>
          </cell>
          <cell r="T1625">
            <v>54891.304347826081</v>
          </cell>
        </row>
        <row r="1626">
          <cell r="R1626">
            <v>235977.56410256409</v>
          </cell>
          <cell r="S1626">
            <v>226831.69934640522</v>
          </cell>
          <cell r="T1626">
            <v>226831.69934640522</v>
          </cell>
        </row>
        <row r="1627">
          <cell r="R1627">
            <v>192578.72274174631</v>
          </cell>
          <cell r="S1627">
            <v>267876.61734166654</v>
          </cell>
          <cell r="T1627">
            <v>268144.49395900819</v>
          </cell>
        </row>
        <row r="1630">
          <cell r="R1630">
            <v>99046.157940663194</v>
          </cell>
          <cell r="S1630">
            <v>94516.044211822664</v>
          </cell>
          <cell r="T1630">
            <v>93601.657806490388</v>
          </cell>
        </row>
        <row r="1631">
          <cell r="R1631">
            <v>316400.95098039217</v>
          </cell>
          <cell r="S1631">
            <v>282387.84875000006</v>
          </cell>
          <cell r="T1631">
            <v>237205.79295000003</v>
          </cell>
        </row>
        <row r="1632">
          <cell r="R1632">
            <v>77810.344827586217</v>
          </cell>
          <cell r="S1632">
            <v>73983.606557377047</v>
          </cell>
          <cell r="T1632">
            <v>73983.606557377047</v>
          </cell>
        </row>
        <row r="1634">
          <cell r="R1634">
            <v>434279.48717948713</v>
          </cell>
          <cell r="S1634">
            <v>434279.48717948713</v>
          </cell>
          <cell r="T1634">
            <v>434279.48717948713</v>
          </cell>
        </row>
        <row r="1635">
          <cell r="R1635">
            <v>434279.48717948719</v>
          </cell>
          <cell r="S1635">
            <v>434279.48717948719</v>
          </cell>
          <cell r="T1635">
            <v>434279.48717948719</v>
          </cell>
        </row>
        <row r="1638">
          <cell r="R1638">
            <v>23172.262828521278</v>
          </cell>
          <cell r="S1638">
            <v>19828.917781247113</v>
          </cell>
          <cell r="T1638">
            <v>19266.323565850435</v>
          </cell>
        </row>
        <row r="1640">
          <cell r="R1640">
            <v>23172.262828521278</v>
          </cell>
          <cell r="S1640">
            <v>19828.917781247113</v>
          </cell>
          <cell r="T1640">
            <v>19266.323565850435</v>
          </cell>
        </row>
        <row r="1641">
          <cell r="R1641" t="str">
            <v>-</v>
          </cell>
          <cell r="S1641" t="str">
            <v>-</v>
          </cell>
          <cell r="T1641" t="str">
            <v>-</v>
          </cell>
        </row>
        <row r="1642">
          <cell r="R1642">
            <v>0</v>
          </cell>
          <cell r="S1642">
            <v>0</v>
          </cell>
          <cell r="T1642">
            <v>0</v>
          </cell>
        </row>
        <row r="1643">
          <cell r="R1643">
            <v>0</v>
          </cell>
          <cell r="S1643">
            <v>0</v>
          </cell>
          <cell r="T1643">
            <v>0</v>
          </cell>
        </row>
        <row r="1646">
          <cell r="R1646">
            <v>2413</v>
          </cell>
          <cell r="S1646">
            <v>2413</v>
          </cell>
          <cell r="T1646">
            <v>2413</v>
          </cell>
        </row>
        <row r="1647">
          <cell r="R1647">
            <v>199.14</v>
          </cell>
          <cell r="S1647">
            <v>199.14</v>
          </cell>
          <cell r="T1647">
            <v>199.14</v>
          </cell>
        </row>
        <row r="1648">
          <cell r="R1648">
            <v>0</v>
          </cell>
          <cell r="S1648">
            <v>0</v>
          </cell>
          <cell r="T1648">
            <v>0</v>
          </cell>
        </row>
        <row r="1650">
          <cell r="R1650" t="str">
            <v>-</v>
          </cell>
          <cell r="S1650" t="str">
            <v>-</v>
          </cell>
          <cell r="T1650" t="str">
            <v>-</v>
          </cell>
        </row>
        <row r="1653">
          <cell r="R1653">
            <v>2453</v>
          </cell>
          <cell r="S1653">
            <v>2453</v>
          </cell>
          <cell r="T1653">
            <v>2453</v>
          </cell>
        </row>
        <row r="1654">
          <cell r="R1654">
            <v>4359.6674754800315</v>
          </cell>
          <cell r="S1654">
            <v>3748.8333823774947</v>
          </cell>
          <cell r="T1654">
            <v>3649.8041076528348</v>
          </cell>
        </row>
        <row r="1659">
          <cell r="R1659">
            <v>0</v>
          </cell>
          <cell r="S1659">
            <v>0</v>
          </cell>
          <cell r="T1659">
            <v>0</v>
          </cell>
        </row>
        <row r="1660">
          <cell r="R1660">
            <v>0</v>
          </cell>
          <cell r="S1660">
            <v>0</v>
          </cell>
          <cell r="T1660">
            <v>0</v>
          </cell>
        </row>
        <row r="1661">
          <cell r="R1661">
            <v>0</v>
          </cell>
          <cell r="S1661">
            <v>0</v>
          </cell>
          <cell r="T1661">
            <v>0</v>
          </cell>
        </row>
        <row r="1662">
          <cell r="R1662">
            <v>0</v>
          </cell>
          <cell r="S1662">
            <v>0</v>
          </cell>
          <cell r="T1662">
            <v>0</v>
          </cell>
        </row>
        <row r="1663">
          <cell r="R1663">
            <v>0</v>
          </cell>
          <cell r="S1663">
            <v>0</v>
          </cell>
          <cell r="T1663">
            <v>0</v>
          </cell>
        </row>
        <row r="1664">
          <cell r="R1664">
            <v>0</v>
          </cell>
          <cell r="S1664">
            <v>0</v>
          </cell>
          <cell r="T1664">
            <v>0</v>
          </cell>
        </row>
        <row r="1665">
          <cell r="R1665">
            <v>0</v>
          </cell>
          <cell r="S1665">
            <v>0</v>
          </cell>
          <cell r="T1665">
            <v>0</v>
          </cell>
        </row>
        <row r="1666">
          <cell r="R1666">
            <v>0</v>
          </cell>
          <cell r="S1666">
            <v>0</v>
          </cell>
          <cell r="T1666">
            <v>0</v>
          </cell>
        </row>
        <row r="1667">
          <cell r="R1667">
            <v>0</v>
          </cell>
          <cell r="S1667">
            <v>0</v>
          </cell>
          <cell r="T1667">
            <v>0</v>
          </cell>
        </row>
        <row r="1671">
          <cell r="R1671">
            <v>0</v>
          </cell>
          <cell r="S1671">
            <v>0</v>
          </cell>
          <cell r="T1671">
            <v>0</v>
          </cell>
        </row>
        <row r="1672">
          <cell r="R1672">
            <v>0</v>
          </cell>
          <cell r="S1672">
            <v>0</v>
          </cell>
          <cell r="T1672">
            <v>0</v>
          </cell>
        </row>
        <row r="1675">
          <cell r="R1675">
            <v>0</v>
          </cell>
          <cell r="S1675">
            <v>0</v>
          </cell>
          <cell r="T1675">
            <v>0</v>
          </cell>
        </row>
        <row r="1678">
          <cell r="R1678">
            <v>0.86513192547869666</v>
          </cell>
          <cell r="S1678">
            <v>0.85571780054388769</v>
          </cell>
          <cell r="T1678">
            <v>0.97162758847440767</v>
          </cell>
        </row>
        <row r="1680">
          <cell r="R1680">
            <v>0.86513192547869666</v>
          </cell>
          <cell r="S1680">
            <v>0.85571780054388769</v>
          </cell>
          <cell r="T1680">
            <v>0.97162758847440767</v>
          </cell>
        </row>
        <row r="1681">
          <cell r="R1681" t="str">
            <v>-</v>
          </cell>
          <cell r="S1681" t="str">
            <v>-</v>
          </cell>
          <cell r="T1681" t="str">
            <v>-</v>
          </cell>
        </row>
        <row r="1682">
          <cell r="R1682" t="str">
            <v>-</v>
          </cell>
          <cell r="S1682" t="str">
            <v>-</v>
          </cell>
          <cell r="T1682" t="str">
            <v>-</v>
          </cell>
        </row>
        <row r="1683">
          <cell r="R1683">
            <v>0</v>
          </cell>
          <cell r="S1683">
            <v>0</v>
          </cell>
          <cell r="T1683">
            <v>0</v>
          </cell>
        </row>
        <row r="1686">
          <cell r="R1686">
            <v>1</v>
          </cell>
          <cell r="S1686">
            <v>1</v>
          </cell>
          <cell r="T1686">
            <v>1</v>
          </cell>
        </row>
        <row r="1687">
          <cell r="R1687">
            <v>1</v>
          </cell>
          <cell r="S1687">
            <v>1</v>
          </cell>
          <cell r="T1687">
            <v>1</v>
          </cell>
        </row>
        <row r="1688">
          <cell r="R1688">
            <v>0</v>
          </cell>
          <cell r="S1688">
            <v>0</v>
          </cell>
          <cell r="T1688">
            <v>0</v>
          </cell>
        </row>
        <row r="1690">
          <cell r="R1690" t="str">
            <v>-</v>
          </cell>
          <cell r="S1690" t="str">
            <v>-</v>
          </cell>
          <cell r="T1690" t="str">
            <v>-</v>
          </cell>
        </row>
        <row r="1693">
          <cell r="R1693">
            <v>1</v>
          </cell>
          <cell r="S1693">
            <v>1</v>
          </cell>
          <cell r="T1693">
            <v>1</v>
          </cell>
        </row>
        <row r="1694">
          <cell r="R1694">
            <v>1.530521053269924</v>
          </cell>
          <cell r="S1694">
            <v>0.85988975156063263</v>
          </cell>
          <cell r="T1694">
            <v>0.97358397543348385</v>
          </cell>
        </row>
        <row r="1699">
          <cell r="R1699">
            <v>0</v>
          </cell>
          <cell r="S1699">
            <v>0</v>
          </cell>
          <cell r="T1699">
            <v>0</v>
          </cell>
        </row>
        <row r="1700">
          <cell r="R1700">
            <v>0</v>
          </cell>
          <cell r="S1700">
            <v>0</v>
          </cell>
          <cell r="T1700">
            <v>0</v>
          </cell>
        </row>
        <row r="1701">
          <cell r="R1701" t="str">
            <v>-</v>
          </cell>
          <cell r="S1701" t="str">
            <v>-</v>
          </cell>
          <cell r="T1701" t="str">
            <v>-</v>
          </cell>
        </row>
        <row r="1702">
          <cell r="R1702" t="str">
            <v>-</v>
          </cell>
          <cell r="S1702" t="str">
            <v>-</v>
          </cell>
          <cell r="T1702" t="str">
            <v>-</v>
          </cell>
        </row>
        <row r="1703">
          <cell r="R1703" t="str">
            <v>-</v>
          </cell>
          <cell r="S1703" t="str">
            <v>-</v>
          </cell>
          <cell r="T1703" t="str">
            <v>-</v>
          </cell>
        </row>
        <row r="1704">
          <cell r="R1704" t="str">
            <v>-</v>
          </cell>
          <cell r="S1704" t="str">
            <v>-</v>
          </cell>
          <cell r="T1704" t="str">
            <v>-</v>
          </cell>
        </row>
        <row r="1705">
          <cell r="R1705" t="str">
            <v>-</v>
          </cell>
          <cell r="S1705" t="str">
            <v>-</v>
          </cell>
          <cell r="T1705" t="str">
            <v>-</v>
          </cell>
        </row>
        <row r="1706">
          <cell r="R1706" t="str">
            <v>-</v>
          </cell>
          <cell r="S1706" t="str">
            <v>-</v>
          </cell>
          <cell r="T1706" t="str">
            <v>-</v>
          </cell>
        </row>
        <row r="1707">
          <cell r="R1707" t="str">
            <v>-</v>
          </cell>
          <cell r="S1707" t="str">
            <v>-</v>
          </cell>
          <cell r="T1707" t="str">
            <v>-</v>
          </cell>
        </row>
        <row r="1711">
          <cell r="R1711" t="str">
            <v>-</v>
          </cell>
          <cell r="S1711" t="str">
            <v>-</v>
          </cell>
          <cell r="T1711" t="str">
            <v>-</v>
          </cell>
        </row>
        <row r="1712">
          <cell r="R1712" t="str">
            <v>-</v>
          </cell>
          <cell r="S1712" t="str">
            <v>-</v>
          </cell>
          <cell r="T1712" t="str">
            <v>-</v>
          </cell>
        </row>
        <row r="1715">
          <cell r="R1715" t="str">
            <v>-</v>
          </cell>
          <cell r="S1715" t="str">
            <v>-</v>
          </cell>
          <cell r="T1715" t="str">
            <v>-</v>
          </cell>
        </row>
        <row r="1718">
          <cell r="R1718">
            <v>232881057.20074755</v>
          </cell>
          <cell r="S1718">
            <v>251423584.88241917</v>
          </cell>
          <cell r="T1718">
            <v>261931665.87953913</v>
          </cell>
        </row>
        <row r="1719">
          <cell r="R1719">
            <v>101400535.25</v>
          </cell>
          <cell r="S1719">
            <v>112813584.2604036</v>
          </cell>
          <cell r="T1719">
            <v>129106824.7604036</v>
          </cell>
        </row>
        <row r="1720">
          <cell r="R1720">
            <v>99409905</v>
          </cell>
          <cell r="S1720">
            <v>108631713.5104036</v>
          </cell>
          <cell r="T1720">
            <v>121431713.5104036</v>
          </cell>
        </row>
        <row r="1721">
          <cell r="R1721" t="str">
            <v>-</v>
          </cell>
          <cell r="S1721" t="str">
            <v>-</v>
          </cell>
          <cell r="T1721" t="str">
            <v>-</v>
          </cell>
        </row>
        <row r="1722">
          <cell r="R1722">
            <v>1990630.25</v>
          </cell>
          <cell r="S1722">
            <v>4181870.75</v>
          </cell>
          <cell r="T1722">
            <v>7675111.25</v>
          </cell>
        </row>
        <row r="1723">
          <cell r="R1723">
            <v>0</v>
          </cell>
          <cell r="S1723">
            <v>0</v>
          </cell>
          <cell r="T1723">
            <v>0</v>
          </cell>
        </row>
        <row r="1724">
          <cell r="R1724">
            <v>30034123.013399996</v>
          </cell>
          <cell r="S1724">
            <v>33230094.258999996</v>
          </cell>
          <cell r="T1724">
            <v>32328794.930999994</v>
          </cell>
        </row>
        <row r="1725">
          <cell r="R1725">
            <v>23022261.013399996</v>
          </cell>
          <cell r="S1725">
            <v>26218232.258999996</v>
          </cell>
          <cell r="T1725">
            <v>25316932.930999994</v>
          </cell>
        </row>
        <row r="1726">
          <cell r="R1726">
            <v>16058913.013399996</v>
          </cell>
          <cell r="S1726">
            <v>15011933.258999996</v>
          </cell>
          <cell r="T1726">
            <v>14890633.930999994</v>
          </cell>
        </row>
        <row r="1727">
          <cell r="R1727">
            <v>6963348</v>
          </cell>
          <cell r="S1727">
            <v>11206299</v>
          </cell>
          <cell r="T1727">
            <v>10426299</v>
          </cell>
        </row>
        <row r="1728">
          <cell r="R1728">
            <v>0</v>
          </cell>
          <cell r="S1728">
            <v>0</v>
          </cell>
          <cell r="T1728">
            <v>0</v>
          </cell>
        </row>
        <row r="1729">
          <cell r="R1729">
            <v>7011862</v>
          </cell>
          <cell r="S1729">
            <v>7011862</v>
          </cell>
          <cell r="T1729">
            <v>7011862</v>
          </cell>
        </row>
        <row r="1730">
          <cell r="R1730">
            <v>7011862</v>
          </cell>
          <cell r="S1730">
            <v>7011862</v>
          </cell>
          <cell r="T1730">
            <v>7011862</v>
          </cell>
        </row>
        <row r="1732">
          <cell r="R1732">
            <v>68340478.696930557</v>
          </cell>
          <cell r="S1732">
            <v>63657696.702598557</v>
          </cell>
          <cell r="T1732">
            <v>57570598.127718553</v>
          </cell>
        </row>
        <row r="1733">
          <cell r="R1733">
            <v>60806686.789999999</v>
          </cell>
          <cell r="S1733">
            <v>57548270.649999999</v>
          </cell>
          <cell r="T1733">
            <v>53066586.049999997</v>
          </cell>
        </row>
        <row r="1734">
          <cell r="R1734">
            <v>7533791.9069305584</v>
          </cell>
          <cell r="S1734">
            <v>6109426.0525985584</v>
          </cell>
          <cell r="T1734">
            <v>4504012.0777185587</v>
          </cell>
        </row>
        <row r="1738">
          <cell r="R1738">
            <v>15655400.067416999</v>
          </cell>
          <cell r="S1738">
            <v>24733409.487417001</v>
          </cell>
          <cell r="T1738">
            <v>26078367.887417</v>
          </cell>
        </row>
        <row r="1739">
          <cell r="R1739">
            <v>0</v>
          </cell>
          <cell r="S1739">
            <v>0</v>
          </cell>
          <cell r="T1739">
            <v>0</v>
          </cell>
        </row>
        <row r="1740">
          <cell r="R1740">
            <v>0</v>
          </cell>
          <cell r="S1740">
            <v>0</v>
          </cell>
          <cell r="T1740">
            <v>0</v>
          </cell>
        </row>
        <row r="1741">
          <cell r="R1741">
            <v>1061226.847417</v>
          </cell>
          <cell r="S1741">
            <v>854506.84741699998</v>
          </cell>
          <cell r="T1741">
            <v>649706.84741699998</v>
          </cell>
        </row>
        <row r="1742">
          <cell r="R1742">
            <v>3757697</v>
          </cell>
          <cell r="S1742">
            <v>3719057</v>
          </cell>
          <cell r="T1742">
            <v>3680417</v>
          </cell>
        </row>
        <row r="1743">
          <cell r="R1743">
            <v>1235386</v>
          </cell>
          <cell r="S1743">
            <v>1235386</v>
          </cell>
          <cell r="T1743">
            <v>1235386</v>
          </cell>
        </row>
        <row r="1744">
          <cell r="R1744">
            <v>4243983.2200000007</v>
          </cell>
          <cell r="S1744">
            <v>10646188.940000001</v>
          </cell>
          <cell r="T1744">
            <v>10309781.340000002</v>
          </cell>
        </row>
        <row r="1745">
          <cell r="R1745">
            <v>302028</v>
          </cell>
          <cell r="S1745">
            <v>166004</v>
          </cell>
          <cell r="T1745">
            <v>2180810</v>
          </cell>
        </row>
        <row r="1746">
          <cell r="R1746">
            <v>5055036</v>
          </cell>
          <cell r="S1746">
            <v>8112223.6999999993</v>
          </cell>
          <cell r="T1746">
            <v>8022223.6999999993</v>
          </cell>
        </row>
        <row r="1747">
          <cell r="R1747">
            <v>43</v>
          </cell>
          <cell r="S1747">
            <v>43</v>
          </cell>
          <cell r="T1747">
            <v>43</v>
          </cell>
        </row>
        <row r="1750">
          <cell r="R1750">
            <v>639014.17299999995</v>
          </cell>
          <cell r="S1750">
            <v>319014.17300000001</v>
          </cell>
          <cell r="T1750">
            <v>319014.17300000001</v>
          </cell>
        </row>
        <row r="1751">
          <cell r="R1751">
            <v>446839</v>
          </cell>
          <cell r="S1751">
            <v>126839</v>
          </cell>
          <cell r="T1751">
            <v>126839</v>
          </cell>
        </row>
        <row r="1752">
          <cell r="R1752">
            <v>192175.17300000001</v>
          </cell>
          <cell r="S1752">
            <v>192175.17300000001</v>
          </cell>
          <cell r="T1752">
            <v>192175.17300000001</v>
          </cell>
        </row>
        <row r="1754">
          <cell r="R1754">
            <v>16811506</v>
          </cell>
          <cell r="S1754">
            <v>16669786</v>
          </cell>
          <cell r="T1754">
            <v>16528066</v>
          </cell>
        </row>
        <row r="1755">
          <cell r="R1755">
            <v>16811506</v>
          </cell>
          <cell r="S1755">
            <v>16669786</v>
          </cell>
          <cell r="T1755">
            <v>16528066</v>
          </cell>
        </row>
        <row r="1798">
          <cell r="R1798">
            <v>119527917.0167395</v>
          </cell>
          <cell r="S1798">
            <v>123998812.55653378</v>
          </cell>
          <cell r="T1798">
            <v>129238129.37260026</v>
          </cell>
        </row>
        <row r="1799">
          <cell r="R1799">
            <v>36463325.978742972</v>
          </cell>
          <cell r="S1799">
            <v>37376839.411808312</v>
          </cell>
          <cell r="T1799">
            <v>38454805.393264219</v>
          </cell>
        </row>
        <row r="1800">
          <cell r="R1800">
            <v>36347236.420671135</v>
          </cell>
          <cell r="S1800">
            <v>37250366.375664636</v>
          </cell>
          <cell r="T1800">
            <v>38317799.599048704</v>
          </cell>
        </row>
        <row r="1801">
          <cell r="R1801" t="str">
            <v>-</v>
          </cell>
          <cell r="S1801" t="str">
            <v>-</v>
          </cell>
          <cell r="T1801" t="str">
            <v>-</v>
          </cell>
        </row>
        <row r="1802">
          <cell r="R1802">
            <v>116089.55807183938</v>
          </cell>
          <cell r="S1802">
            <v>126473.03614367874</v>
          </cell>
          <cell r="T1802">
            <v>137005.79421551811</v>
          </cell>
        </row>
        <row r="1803">
          <cell r="R1803">
            <v>0</v>
          </cell>
          <cell r="S1803">
            <v>0</v>
          </cell>
          <cell r="T1803">
            <v>0</v>
          </cell>
        </row>
        <row r="1804">
          <cell r="R1804">
            <v>43854057.910908073</v>
          </cell>
          <cell r="S1804">
            <v>47102561.72050108</v>
          </cell>
          <cell r="T1804">
            <v>50798718.897087499</v>
          </cell>
        </row>
        <row r="1805">
          <cell r="R1805">
            <v>20670282.742481045</v>
          </cell>
          <cell r="S1805">
            <v>22178910.585545328</v>
          </cell>
          <cell r="T1805">
            <v>23320322.651733771</v>
          </cell>
        </row>
        <row r="1806">
          <cell r="R1806">
            <v>19425129.742481045</v>
          </cell>
          <cell r="S1806">
            <v>21034218.021654516</v>
          </cell>
          <cell r="T1806">
            <v>22175630.08784296</v>
          </cell>
        </row>
        <row r="1807">
          <cell r="R1807">
            <v>1245153</v>
          </cell>
          <cell r="S1807">
            <v>1144692.5638908118</v>
          </cell>
          <cell r="T1807">
            <v>1144692.5638908118</v>
          </cell>
        </row>
        <row r="1808">
          <cell r="R1808">
            <v>0</v>
          </cell>
          <cell r="S1808">
            <v>0</v>
          </cell>
          <cell r="T1808">
            <v>0</v>
          </cell>
        </row>
        <row r="1809">
          <cell r="R1809">
            <v>23183775.168427028</v>
          </cell>
          <cell r="S1809">
            <v>24923651.134955756</v>
          </cell>
          <cell r="T1809">
            <v>27478396.245353729</v>
          </cell>
        </row>
        <row r="1810">
          <cell r="R1810">
            <v>23183775.168427028</v>
          </cell>
          <cell r="S1810">
            <v>24923651.134955756</v>
          </cell>
          <cell r="T1810">
            <v>27478396.245353729</v>
          </cell>
        </row>
        <row r="1812">
          <cell r="R1812">
            <v>7764462.1490080003</v>
          </cell>
          <cell r="S1812">
            <v>7764462.1490080003</v>
          </cell>
          <cell r="T1812">
            <v>7764462.1490080003</v>
          </cell>
        </row>
        <row r="1813">
          <cell r="R1813">
            <v>7581188.0490080006</v>
          </cell>
          <cell r="S1813">
            <v>7581188.0490080006</v>
          </cell>
          <cell r="T1813">
            <v>7581188.0490080006</v>
          </cell>
        </row>
        <row r="1814">
          <cell r="R1814">
            <v>183274.09999999963</v>
          </cell>
          <cell r="S1814">
            <v>183274.09999999963</v>
          </cell>
          <cell r="T1814">
            <v>183274.09999999963</v>
          </cell>
        </row>
        <row r="1818">
          <cell r="R1818">
            <v>2701130.6337621608</v>
          </cell>
          <cell r="S1818">
            <v>3304488.0597640867</v>
          </cell>
          <cell r="T1818">
            <v>3724151.9598793532</v>
          </cell>
        </row>
        <row r="1819">
          <cell r="R1819">
            <v>0</v>
          </cell>
          <cell r="S1819">
            <v>0</v>
          </cell>
          <cell r="T1819">
            <v>0</v>
          </cell>
        </row>
        <row r="1820">
          <cell r="R1820">
            <v>0</v>
          </cell>
          <cell r="S1820">
            <v>0</v>
          </cell>
          <cell r="T1820">
            <v>0</v>
          </cell>
        </row>
        <row r="1821">
          <cell r="R1821">
            <v>49555.8</v>
          </cell>
          <cell r="S1821">
            <v>49555.8</v>
          </cell>
          <cell r="T1821">
            <v>49555.8</v>
          </cell>
        </row>
        <row r="1822">
          <cell r="R1822">
            <v>666103.27963342064</v>
          </cell>
          <cell r="S1822">
            <v>609693.60741561349</v>
          </cell>
          <cell r="T1822">
            <v>614552.53944460116</v>
          </cell>
        </row>
        <row r="1823">
          <cell r="R1823">
            <v>709327</v>
          </cell>
          <cell r="S1823">
            <v>709327</v>
          </cell>
          <cell r="T1823">
            <v>709327</v>
          </cell>
        </row>
        <row r="1824">
          <cell r="R1824">
            <v>483398.6</v>
          </cell>
          <cell r="S1824">
            <v>499033.027</v>
          </cell>
          <cell r="T1824">
            <v>514667.99155999999</v>
          </cell>
        </row>
        <row r="1825">
          <cell r="R1825">
            <v>189994</v>
          </cell>
          <cell r="S1825">
            <v>189994</v>
          </cell>
          <cell r="T1825">
            <v>189994</v>
          </cell>
        </row>
        <row r="1826">
          <cell r="R1826">
            <v>252509</v>
          </cell>
          <cell r="S1826">
            <v>252509</v>
          </cell>
          <cell r="T1826">
            <v>252509</v>
          </cell>
        </row>
        <row r="1827">
          <cell r="R1827">
            <v>350242.95412873995</v>
          </cell>
          <cell r="S1827">
            <v>994375.62534847343</v>
          </cell>
          <cell r="T1827">
            <v>1393545.6288747522</v>
          </cell>
        </row>
        <row r="1830">
          <cell r="R1830">
            <v>629590.34431828256</v>
          </cell>
          <cell r="S1830">
            <v>335111.21545229817</v>
          </cell>
          <cell r="T1830">
            <v>380640.97336118401</v>
          </cell>
        </row>
        <row r="1831">
          <cell r="R1831">
            <v>472369.17693223909</v>
          </cell>
          <cell r="S1831">
            <v>177882.20785995648</v>
          </cell>
          <cell r="T1831">
            <v>223411.96576884235</v>
          </cell>
        </row>
        <row r="1832">
          <cell r="R1832">
            <v>157221.16738604347</v>
          </cell>
          <cell r="S1832">
            <v>157229.00759234169</v>
          </cell>
          <cell r="T1832">
            <v>157229.00759234169</v>
          </cell>
        </row>
        <row r="1834">
          <cell r="R1834">
            <v>28115350</v>
          </cell>
          <cell r="S1834">
            <v>28115350</v>
          </cell>
          <cell r="T1834">
            <v>28115350</v>
          </cell>
        </row>
        <row r="1835">
          <cell r="R1835">
            <v>28115350</v>
          </cell>
          <cell r="S1835">
            <v>28115350</v>
          </cell>
          <cell r="T1835">
            <v>28115350</v>
          </cell>
        </row>
        <row r="1840">
          <cell r="R1840">
            <v>-3543314</v>
          </cell>
        </row>
        <row r="1842">
          <cell r="R1842">
            <v>217330568.95936</v>
          </cell>
        </row>
        <row r="1843">
          <cell r="R1843">
            <v>0</v>
          </cell>
        </row>
        <row r="1844">
          <cell r="R1844">
            <v>0</v>
          </cell>
        </row>
        <row r="1848">
          <cell r="R1848">
            <v>57837346.705999993</v>
          </cell>
        </row>
        <row r="1849">
          <cell r="R1849">
            <v>13539237.649121998</v>
          </cell>
        </row>
        <row r="1850">
          <cell r="R1850">
            <v>0</v>
          </cell>
        </row>
        <row r="1852">
          <cell r="R1852">
            <v>60663669.076388061</v>
          </cell>
        </row>
        <row r="1855">
          <cell r="R1855">
            <v>11453401.278279999</v>
          </cell>
        </row>
        <row r="1856">
          <cell r="R1856">
            <v>80906650.154447496</v>
          </cell>
        </row>
        <row r="1861">
          <cell r="R1861">
            <v>0</v>
          </cell>
        </row>
        <row r="1862">
          <cell r="R1862">
            <v>0</v>
          </cell>
        </row>
        <row r="1863">
          <cell r="R1863">
            <v>4644999.999716999</v>
          </cell>
        </row>
        <row r="1864">
          <cell r="R1864">
            <v>3869445.9348800434</v>
          </cell>
        </row>
        <row r="1865">
          <cell r="R1865">
            <v>9898229</v>
          </cell>
        </row>
        <row r="1866">
          <cell r="R1866">
            <v>376394</v>
          </cell>
        </row>
        <row r="1867">
          <cell r="R1867">
            <v>2956097</v>
          </cell>
        </row>
        <row r="1868">
          <cell r="R1868">
            <v>1903717</v>
          </cell>
        </row>
        <row r="1869">
          <cell r="R1869">
            <v>542713.74560999998</v>
          </cell>
        </row>
        <row r="1870">
          <cell r="R1870">
            <v>0</v>
          </cell>
        </row>
        <row r="1873">
          <cell r="R1873">
            <v>730435</v>
          </cell>
        </row>
        <row r="1874">
          <cell r="R1874">
            <v>715378.54481971008</v>
          </cell>
        </row>
        <row r="1875">
          <cell r="R1875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раметры"/>
      <sheetName val="ТЭП"/>
      <sheetName val="2006"/>
      <sheetName val="АдмРасх"/>
      <sheetName val="Форма"/>
      <sheetName val="АнЗатр"/>
      <sheetName val="Gr"/>
      <sheetName val="Comp06"/>
      <sheetName val="Описание"/>
      <sheetName val="Форма2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 refreshError="1">
        <row r="2">
          <cell r="B2">
            <v>1</v>
          </cell>
        </row>
        <row r="3">
          <cell r="B3">
            <v>2</v>
          </cell>
          <cell r="C3" t="str">
            <v>АО РД "КазМунайГаз"</v>
          </cell>
        </row>
        <row r="4">
          <cell r="B4">
            <v>10</v>
          </cell>
          <cell r="C4" t="str">
            <v>ТОО "Атырауский НПЗ"</v>
          </cell>
        </row>
        <row r="5">
          <cell r="B5">
            <v>3</v>
          </cell>
          <cell r="C5" t="str">
            <v>АО "КазМунайТениз"</v>
          </cell>
        </row>
        <row r="6">
          <cell r="B6">
            <v>19</v>
          </cell>
          <cell r="C6" t="str">
            <v>ТОО "Жамбай"</v>
          </cell>
        </row>
        <row r="7">
          <cell r="B7">
            <v>4</v>
          </cell>
          <cell r="C7" t="str">
            <v>АО "КазТрансОйл"</v>
          </cell>
        </row>
        <row r="8">
          <cell r="B8">
            <v>8</v>
          </cell>
          <cell r="C8" t="str">
            <v>ЗАО "СЗТК "МунайТас"</v>
          </cell>
        </row>
        <row r="9">
          <cell r="B9">
            <v>5</v>
          </cell>
          <cell r="C9" t="str">
            <v>АО "КазМорТрансФлот"</v>
          </cell>
        </row>
        <row r="10">
          <cell r="B10">
            <v>7</v>
          </cell>
          <cell r="C10" t="str">
            <v>АО "КазТрансГаз"</v>
          </cell>
        </row>
        <row r="11">
          <cell r="B11">
            <v>25</v>
          </cell>
          <cell r="C11" t="str">
            <v>АО "Интергаз Центральная Азия"</v>
          </cell>
        </row>
        <row r="12">
          <cell r="B12">
            <v>32</v>
          </cell>
          <cell r="C12" t="str">
            <v>АО "Региональная газотранспортная система"</v>
          </cell>
        </row>
        <row r="13">
          <cell r="B13">
            <v>11</v>
          </cell>
          <cell r="C13" t="str">
            <v>АО "Торговый дом "КазМунайГаз"</v>
          </cell>
        </row>
        <row r="14">
          <cell r="B14">
            <v>12</v>
          </cell>
          <cell r="C14" t="str">
            <v>ТОО "КазМунайГаз-Бурение"</v>
          </cell>
        </row>
        <row r="15">
          <cell r="B15">
            <v>13</v>
          </cell>
          <cell r="C15" t="str">
            <v>ЗАО "КазСтройСервис"</v>
          </cell>
        </row>
        <row r="16">
          <cell r="B16">
            <v>14</v>
          </cell>
          <cell r="C16" t="str">
            <v>АО "Казахстанкаспийшельф"</v>
          </cell>
        </row>
        <row r="17">
          <cell r="B17">
            <v>15</v>
          </cell>
          <cell r="C17" t="str">
            <v>АО "КазТрансКом"</v>
          </cell>
        </row>
        <row r="18">
          <cell r="B18">
            <v>17</v>
          </cell>
          <cell r="C18" t="str">
            <v>АО "Международный аэропорт Атырау"</v>
          </cell>
        </row>
        <row r="19">
          <cell r="B19">
            <v>18</v>
          </cell>
          <cell r="C19" t="str">
            <v>АО "Евро-Азия Эйр"</v>
          </cell>
        </row>
        <row r="20">
          <cell r="B20">
            <v>20</v>
          </cell>
          <cell r="C20" t="str">
            <v>ТОО "КазМунайГаз-Сервис"</v>
          </cell>
        </row>
        <row r="21">
          <cell r="B21">
            <v>34</v>
          </cell>
          <cell r="C21" t="str">
            <v>ТОО "Тениз Сервис"</v>
          </cell>
        </row>
        <row r="22">
          <cell r="B22">
            <v>16</v>
          </cell>
          <cell r="C22" t="str">
            <v>АО "Казахский институт нефти и газа"</v>
          </cell>
        </row>
        <row r="23">
          <cell r="B23">
            <v>31</v>
          </cell>
          <cell r="C23" t="str">
            <v>АО "Казахстанско-Британский технический университет"</v>
          </cell>
        </row>
        <row r="24">
          <cell r="B24">
            <v>21</v>
          </cell>
          <cell r="C24" t="str">
            <v>АО "Казмунайгазконсалтинг"</v>
          </cell>
        </row>
        <row r="25">
          <cell r="B25">
            <v>33</v>
          </cell>
          <cell r="C25" t="str">
            <v>АО "Рауан Медиа Груп"</v>
          </cell>
        </row>
        <row r="26">
          <cell r="B26">
            <v>29</v>
          </cell>
          <cell r="C26" t="str">
            <v>ОАО "Мунаймаш"</v>
          </cell>
        </row>
        <row r="27">
          <cell r="B27">
            <v>30</v>
          </cell>
          <cell r="C27" t="str">
            <v>ТОО "ЦТИ"</v>
          </cell>
        </row>
        <row r="28">
          <cell r="B28">
            <v>22</v>
          </cell>
          <cell r="C28" t="str">
            <v>АО НК "КазМунайГаз"</v>
          </cell>
        </row>
      </sheetData>
      <sheetData sheetId="8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мятка"/>
      <sheetName val="Форма1"/>
      <sheetName val="Форма2"/>
      <sheetName val="Форма3"/>
      <sheetName val="Форма4"/>
      <sheetName val="Форма5"/>
      <sheetName val="Форма6"/>
      <sheetName val="Форма7"/>
      <sheetName val="Форма8"/>
      <sheetName val="ЦентрЗатр"/>
      <sheetName val="Добыча нефти4"/>
      <sheetName val="поставка сравн13"/>
      <sheetName val="11"/>
      <sheetName val="SMSTemp"/>
      <sheetName val="1NK"/>
      <sheetName val="Interco payables&amp;receivables"/>
      <sheetName val="6НК-cт."/>
      <sheetName val="cant sim"/>
      <sheetName val="form"/>
      <sheetName val="Comp06"/>
      <sheetName val="calc"/>
      <sheetName val="#ССЫЛКА"/>
      <sheetName val="Common"/>
      <sheetName val="OPEX&amp;FIN"/>
      <sheetName val="Предпр"/>
      <sheetName val="ЕдИзм"/>
      <sheetName val="Добыча_нефти4"/>
      <sheetName val="поставка_сравн13"/>
      <sheetName val="6НК-cт_"/>
      <sheetName val="Interco_payables&amp;receivables"/>
      <sheetName val="cant_sim"/>
      <sheetName val="Precios"/>
      <sheetName val="PYTB"/>
      <sheetName val="InputTI"/>
      <sheetName val="из сем"/>
      <sheetName val="Instructions"/>
      <sheetName val="US Dollar 2003"/>
      <sheetName val="SDR 2003"/>
      <sheetName val="Captions"/>
      <sheetName val="Info"/>
      <sheetName val="Пр2"/>
      <sheetName val="из_сем1"/>
      <sheetName val="US_Dollar_20031"/>
      <sheetName val="SDR_20031"/>
      <sheetName val="из_сем"/>
      <sheetName val="US_Dollar_2003"/>
      <sheetName val="SDR_2003"/>
      <sheetName val="из_сем2"/>
      <sheetName val="US_Dollar_20032"/>
      <sheetName val="SDR_20032"/>
      <sheetName val="Статьи"/>
      <sheetName val="Input"/>
      <sheetName val="Control Settings"/>
      <sheetName val="Anlagevermögen"/>
      <sheetName val="GTM BK"/>
      <sheetName val="Const"/>
      <sheetName val="Dep_OpEx"/>
      <sheetName val="Consolidator Inputs"/>
      <sheetName val="Auxilliary_Info"/>
      <sheetName val="Budget"/>
      <sheetName val="2.2 ОтклОТМ"/>
      <sheetName val="1.3.2 ОТМ"/>
      <sheetName val="Cost 99v98"/>
      <sheetName val="XLR_NoRangeSheet"/>
      <sheetName val="1"/>
      <sheetName val="фот пп2000разбивка"/>
      <sheetName val="Production_Ref Q-1-3"/>
      <sheetName val="ЗАО_н.ит"/>
      <sheetName val="ЗАО_мес"/>
      <sheetName val="Aug"/>
      <sheetName val="Apr"/>
      <sheetName val="Dec"/>
      <sheetName val="Jul"/>
      <sheetName val="Jun"/>
      <sheetName val="May"/>
      <sheetName val="Mar"/>
      <sheetName val="Nov"/>
      <sheetName val="Oct"/>
      <sheetName val="Sep"/>
      <sheetName val="Feb"/>
      <sheetName val="Jan"/>
      <sheetName val="Нефть"/>
      <sheetName val="PP&amp;E mvt for 2003"/>
      <sheetName val="ЯНВАРЬ"/>
      <sheetName val="FP20DB (3)"/>
      <sheetName val="Курс валют"/>
      <sheetName val="АЗФ"/>
      <sheetName val="АК"/>
      <sheetName val="Актюбе"/>
      <sheetName val="ССГПО"/>
      <sheetName val="Другие расходы"/>
      <sheetName val="Форма 4 кап.зат-ты (2)"/>
      <sheetName val="2006 AJE RJE"/>
      <sheetName val="FES"/>
      <sheetName val="группа"/>
      <sheetName val="GAAP TB 31.12.01  detail p&amp;l"/>
      <sheetName val="КЭШ"/>
      <sheetName val="ОПиУ"/>
      <sheetName val="Лист1"/>
      <sheetName val="1БО"/>
      <sheetName val="штат"/>
      <sheetName val="КВЛ"/>
      <sheetName val="Канцтовары"/>
      <sheetName val="аренда"/>
      <sheetName val="связь"/>
      <sheetName val="реклама"/>
      <sheetName val="расхмат"/>
      <sheetName val="прочие стор"/>
      <sheetName val="услуги прочие"/>
      <sheetName val="обуч"/>
      <sheetName val="ком"/>
      <sheetName val="Выкуп порталов"/>
      <sheetName val="представ"/>
      <sheetName val="обуч (2)"/>
      <sheetName val="прочие стор (2)"/>
      <sheetName val="ком (2)"/>
      <sheetName val="КВЛ (2)"/>
      <sheetName val="СД"/>
      <sheetName val="прочие расходы"/>
      <sheetName val="шт (2)"/>
      <sheetName val="аренда (2)"/>
      <sheetName val="прогноз движения денег в ежемес"/>
      <sheetName val="ОПиУ в ежемес."/>
      <sheetName val="Баланс"/>
      <sheetName val="курсы"/>
      <sheetName val="Добыча_нефти41"/>
      <sheetName val="Добыча_нефти42"/>
      <sheetName val="Добычанефти4"/>
      <sheetName val="поставкасравн13"/>
      <sheetName val="XREF"/>
      <sheetName val="Movements"/>
      <sheetName val="АПК реформа"/>
      <sheetName val="База"/>
      <sheetName val="Преискурант"/>
      <sheetName val="стр.245 (2)"/>
      <sheetName val="SETUP"/>
      <sheetName val="топливо"/>
      <sheetName val="Потребители"/>
      <sheetName val="Сдача "/>
      <sheetName val="МО 0012"/>
      <sheetName val="класс"/>
      <sheetName val="14.1.2.2.(Услуги связи)"/>
      <sheetName val="Осн"/>
      <sheetName val="13 NGDO"/>
      <sheetName val="  2.3.2"/>
      <sheetName val=""/>
      <sheetName val="Ввод"/>
      <sheetName val="СписокТЭП"/>
      <sheetName val="12 из 57 АЗС"/>
      <sheetName val="Авансы-1"/>
      <sheetName val="постоянные затраты"/>
      <sheetName val="Бюджет"/>
      <sheetName val="Пок"/>
      <sheetName val="5R"/>
      <sheetName val="KreПК"/>
      <sheetName val="Sheet1"/>
      <sheetName val="7.1"/>
      <sheetName val="Russia Print Version"/>
      <sheetName val="Пр 41"/>
      <sheetName val="U2 775 - COGS comparison per su"/>
      <sheetName val="finbal10"/>
      <sheetName val="12НК"/>
      <sheetName val="3НК"/>
      <sheetName val="7НК"/>
      <sheetName val="KCC"/>
      <sheetName val="Данные"/>
      <sheetName val="П"/>
      <sheetName val="I. Прогноз доходов"/>
      <sheetName val="Financial ratios А3"/>
      <sheetName val="2_2 ОтклОТМ"/>
      <sheetName val="1_3_2 ОТМ"/>
      <sheetName val="Б.мчас (П)"/>
      <sheetName val="свод"/>
      <sheetName val="2008 ГСМ"/>
      <sheetName val="Плата за загрязнение "/>
      <sheetName val="Типограф"/>
      <sheetName val="IS"/>
      <sheetName val="Собственный капитал"/>
      <sheetName val="ОборБалФормОтч"/>
      <sheetName val="ТитулЛистОтч"/>
      <sheetName val="2кв."/>
      <sheetName val="ОТиТБ"/>
      <sheetName val="Production_ref_Q4"/>
      <sheetName val="Sales-COS"/>
      <sheetName val="Non-Statistical Sampling Master"/>
      <sheetName val="Global Data"/>
      <sheetName val="A-20"/>
      <sheetName val="канц"/>
      <sheetName val="Апрель"/>
      <sheetName val="Сентябрь"/>
      <sheetName val="Декабрь"/>
      <sheetName val="Ноябрь"/>
      <sheetName val="Квартал"/>
      <sheetName val="Июль"/>
      <sheetName val="Июнь"/>
      <sheetName val="Март"/>
      <sheetName val="H3.100 Rollforward"/>
      <sheetName val="Налоги"/>
      <sheetName val="Содержание"/>
      <sheetName val="CO1"/>
      <sheetName val="CO11"/>
      <sheetName val="CO12"/>
      <sheetName val="CO13"/>
      <sheetName val="CO16"/>
      <sheetName val="CO17"/>
      <sheetName val="CO18"/>
      <sheetName val="CO19"/>
      <sheetName val="CO2"/>
      <sheetName val="CO20"/>
      <sheetName val="CO21"/>
      <sheetName val="CO22"/>
      <sheetName val="CO26"/>
      <sheetName val="CO27"/>
      <sheetName val="CO3"/>
      <sheetName val="CO30"/>
      <sheetName val="CO4"/>
      <sheetName val="CO5"/>
      <sheetName val="CO6"/>
      <sheetName val="CO7"/>
      <sheetName val="MACRO2.XLM"/>
      <sheetName val="U-ZR_AT1.XLS"/>
      <sheetName val="TOC"/>
      <sheetName val="NPV"/>
      <sheetName val="План произв-ва (мес.) (бюджет)"/>
      <sheetName val="Инв.вл"/>
      <sheetName val="факт 2005 г."/>
      <sheetName val="д.7.001"/>
      <sheetName val="свод грузоотпр."/>
      <sheetName val="Курс"/>
      <sheetName val="Inputs"/>
      <sheetName val="Лист3"/>
      <sheetName val="Итоговая таблица"/>
      <sheetName val="Расчет2000Прямой"/>
      <sheetName val="I KEY INFORMATION"/>
      <sheetName val="факс(2005-20гг.)"/>
      <sheetName val="1 (2)"/>
      <sheetName val="ППД"/>
      <sheetName val="2в"/>
      <sheetName val="общ-нефт"/>
      <sheetName val="Hidden"/>
      <sheetName val="ОТЧЕТ КТЖ 01.01.09"/>
      <sheetName val="8180 (8181,8182)"/>
      <sheetName val="8082"/>
      <sheetName val="8250"/>
      <sheetName val="8140"/>
      <sheetName val="8070"/>
      <sheetName val="8145"/>
      <sheetName val="8200"/>
      <sheetName val="8113"/>
      <sheetName val="8210"/>
      <sheetName val="Balance Sheet"/>
      <sheetName val="summary"/>
      <sheetName val="Datasheet"/>
      <sheetName val="1 вариант  2009 "/>
      <sheetName val="Лист2"/>
      <sheetName val="Список документов"/>
      <sheetName val="GAAP TB 30.09.01  detail p&amp;l"/>
      <sheetName val="Оборудование_стоим"/>
      <sheetName val="O.500 Property Tax"/>
      <sheetName val="предприятия"/>
      <sheetName val="Securities"/>
      <sheetName val="из_сем3"/>
      <sheetName val="US_Dollar_20033"/>
      <sheetName val="SDR_20033"/>
      <sheetName val="Control_Settings"/>
      <sheetName val="GTM_BK"/>
      <sheetName val="Consolidator_Inputs"/>
      <sheetName val="Добыча_нефти43"/>
      <sheetName val="2_2_ОтклОТМ"/>
      <sheetName val="1_3_2_ОТМ"/>
      <sheetName val="Cost_99v98"/>
      <sheetName val="фот_пп2000разбивка"/>
      <sheetName val="Production_Ref_Q-1-3"/>
      <sheetName val="ЗАО_н_ит"/>
      <sheetName val="PP&amp;E_mvt_for_2003"/>
      <sheetName val="FP20DB_(3)"/>
      <sheetName val="Курс_валют"/>
      <sheetName val="Другие_расходы"/>
      <sheetName val="Форма_4_кап_зат-ты_(2)"/>
      <sheetName val="2006_AJE_RJE"/>
      <sheetName val="GAAP_TB_31_12_01__detail_p&amp;l"/>
      <sheetName val="прочие_стор"/>
      <sheetName val="услуги_прочие"/>
      <sheetName val="Выкуп_порталов"/>
      <sheetName val="обуч_(2)"/>
      <sheetName val="прочие_стор_(2)"/>
      <sheetName val="ком_(2)"/>
      <sheetName val="КВЛ_(2)"/>
      <sheetName val="прочие_расходы"/>
      <sheetName val="шт_(2)"/>
      <sheetName val="аренда_(2)"/>
      <sheetName val="прогноз_движения_денег_в_ежемес"/>
      <sheetName val="ОПиУ_в_ежемес_"/>
      <sheetName val="АПК_реформа"/>
      <sheetName val="стр_245_(2)"/>
      <sheetName val="Сдача_"/>
      <sheetName val="МО_0012"/>
      <sheetName val="14_1_2_2_(Услуги_связи)"/>
      <sheetName val="13_NGDO"/>
      <sheetName val="__2_3_2"/>
      <sheetName val="12_из_57_АЗС"/>
      <sheetName val="постоянные_затраты"/>
      <sheetName val="7_1"/>
      <sheetName val="Пр_41"/>
      <sheetName val="Russia_Print_Version"/>
      <sheetName val="U2_775_-_COGS_comparison_per_su"/>
      <sheetName val="I__Прогноз_доходов"/>
      <sheetName val="Financial_ratios_А3"/>
      <sheetName val="2_2_ОтклОТМ1"/>
      <sheetName val="1_3_2_ОТМ1"/>
      <sheetName val="Б_мчас_(П)"/>
      <sheetName val="2008_ГСМ"/>
      <sheetName val="Плата_за_загрязнение_"/>
      <sheetName val="Собственный_капитал"/>
      <sheetName val="2кв_"/>
      <sheetName val="Non-Statistical_Sampling_Master"/>
      <sheetName val="Global_Data"/>
      <sheetName val="H3_100_Rollforward"/>
      <sheetName val="MACRO2_XLM"/>
      <sheetName val="U-ZR_AT1_XLS"/>
      <sheetName val="План_произв-ва_(мес_)_(бюджет)"/>
      <sheetName val="Инв_вл"/>
      <sheetName val="факт_2005_г_"/>
      <sheetName val="д_7_001"/>
      <sheetName val="свод_грузоотпр_"/>
      <sheetName val="Итоговая_таблица"/>
      <sheetName val="Capex"/>
      <sheetName val="Kolommen_balans"/>
      <sheetName val="SA Procedures"/>
      <sheetName val="ГМ "/>
      <sheetName val="ДД"/>
      <sheetName val="ATI"/>
      <sheetName val="Блоки"/>
      <sheetName val="_ССЫЛКА"/>
      <sheetName val="Справочник"/>
      <sheetName val="почтов."/>
      <sheetName val="ГСМ Гараж"/>
      <sheetName val="ГСМ по инвест"/>
      <sheetName val="аморт"/>
      <sheetName val="Запчасти Гараж"/>
      <sheetName val="Стор Орг.РМУ"/>
      <sheetName val="Материалы РМУ"/>
      <sheetName val="Постановка на учет авто"/>
      <sheetName val="Размножение проектов"/>
      <sheetName val="материалы ВДГО"/>
      <sheetName val="Тех осмотр"/>
      <sheetName val="Проект 1"/>
      <sheetName val="Объем ВДГО"/>
      <sheetName val="Фин.обязат."/>
      <sheetName val="спецпит,проездн."/>
      <sheetName val="Product Assumptions"/>
      <sheetName val="98-02E&amp;PSUM"/>
      <sheetName val="Sheet3"/>
      <sheetName val="Subgroups"/>
      <sheetName val="PCA's &amp; SI's"/>
      <sheetName val="Utilitis Plan_Units"/>
      <sheetName val="Все виды материалов D`1-18"/>
      <sheetName val="Cov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бщеобразовательные ступени"/>
      <sheetName val="Учебные периоды"/>
      <sheetName val="Профиль"/>
      <sheetName val="Предметные группы"/>
      <sheetName val="Учителя и сотруд"/>
      <sheetName val="Служебные справочники"/>
      <sheetName val="Лист1"/>
    </sheetNames>
    <sheetDataSet>
      <sheetData sheetId="0"/>
      <sheetData sheetId="1"/>
      <sheetData sheetId="2"/>
      <sheetData sheetId="3"/>
      <sheetData sheetId="4"/>
      <sheetData sheetId="5">
        <row r="2">
          <cell r="E2" t="str">
            <v>Директор</v>
          </cell>
        </row>
        <row r="3">
          <cell r="E3" t="str">
            <v>Завуч</v>
          </cell>
        </row>
        <row r="4">
          <cell r="E4" t="str">
            <v>Учитель</v>
          </cell>
        </row>
      </sheetData>
      <sheetData sheetId="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бщеобразовательные ступени"/>
      <sheetName val="Учебные периоды"/>
      <sheetName val="Профиль"/>
      <sheetName val="Предметные группы"/>
      <sheetName val="Учителя и сотруд"/>
      <sheetName val="Служебные справочники"/>
      <sheetName val="Лист1"/>
    </sheetNames>
    <sheetDataSet>
      <sheetData sheetId="0"/>
      <sheetData sheetId="1"/>
      <sheetData sheetId="2"/>
      <sheetData sheetId="3"/>
      <sheetData sheetId="4"/>
      <sheetData sheetId="5">
        <row r="2">
          <cell r="E2" t="str">
            <v>Директор</v>
          </cell>
        </row>
        <row r="3">
          <cell r="E3" t="str">
            <v>Завуч</v>
          </cell>
        </row>
        <row r="4">
          <cell r="E4" t="str">
            <v>Учитель</v>
          </cell>
        </row>
      </sheetData>
      <sheetData sheetId="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бщеобразовательные ступени"/>
      <sheetName val="Учебные периоды"/>
      <sheetName val="Профиль"/>
      <sheetName val="Предметные группы"/>
      <sheetName val="Учителя и сотруд"/>
      <sheetName val="Служебные справочники"/>
      <sheetName val="Лист1"/>
    </sheetNames>
    <sheetDataSet>
      <sheetData sheetId="0"/>
      <sheetData sheetId="1"/>
      <sheetData sheetId="2"/>
      <sheetData sheetId="3"/>
      <sheetData sheetId="4"/>
      <sheetData sheetId="5">
        <row r="2">
          <cell r="E2" t="str">
            <v>Директор</v>
          </cell>
        </row>
        <row r="3">
          <cell r="E3" t="str">
            <v>Завуч</v>
          </cell>
        </row>
        <row r="4">
          <cell r="E4" t="str">
            <v>Учитель</v>
          </cell>
        </row>
      </sheetData>
      <sheetData sheetId="6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 80"/>
      <sheetName val="J 81"/>
      <sheetName val="J 82"/>
      <sheetName val="J 129"/>
      <sheetName val="CHECK KAS"/>
      <sheetName val="CHECK IAS"/>
      <sheetName val="A 100"/>
      <sheetName val="A 110"/>
      <sheetName val="A 120"/>
      <sheetName val="A 130 "/>
      <sheetName val="A 140 "/>
      <sheetName val="A 150"/>
      <sheetName val="A 155"/>
      <sheetName val="A 160 "/>
      <sheetName val="A 200"/>
      <sheetName val="A 210"/>
      <sheetName val="A 220"/>
      <sheetName val="A 230"/>
      <sheetName val="A 240"/>
      <sheetName val="A 250"/>
      <sheetName val="A 255"/>
      <sheetName val="A 260"/>
      <sheetName val="B 1"/>
      <sheetName val="C 1"/>
      <sheetName val="F 1"/>
      <sheetName val="G 1"/>
      <sheetName val="H 1"/>
      <sheetName val="H 2"/>
      <sheetName val="I  "/>
      <sheetName val="K1 "/>
      <sheetName val="K 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-Index"/>
      <sheetName val="C-Summary"/>
      <sheetName val="C-MLP"/>
      <sheetName val="C 25"/>
    </sheetNames>
    <sheetDataSet>
      <sheetData sheetId="0"/>
      <sheetData sheetId="1"/>
      <sheetData sheetId="2"/>
      <sheetData sheetId="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closure"/>
      <sheetName val="PP&amp;E mvt for 2003"/>
      <sheetName val="Rollfwd 2 mths all"/>
      <sheetName val="PP&amp;E mvt for 2003 - ID"/>
      <sheetName val="Rollfwd 2 mths - ID"/>
      <sheetName val="Sample size calc"/>
      <sheetName val="Additions selection"/>
      <sheetName val="Additions test"/>
      <sheetName val="Disposals selection"/>
      <sheetName val="Disposals test"/>
      <sheetName val="Depreciation test"/>
      <sheetName val="Threshold Calc"/>
      <sheetName val="122"/>
      <sheetName val="123.4"/>
      <sheetName val="XREF"/>
      <sheetName val="Tickmarks"/>
      <sheetName val="PP&amp;E mvt PBC"/>
      <sheetName val="PP&amp;E mvt 2 mths PBC"/>
      <sheetName val="PP&amp;E mvt ID 2003 PBC"/>
      <sheetName val="PP&amp;E mvt 2 mths ID-PBC"/>
      <sheetName val="PP_E mvt for 2003"/>
      <sheetName val="Добыча нефти4"/>
      <sheetName val="Äîáû÷à íåôòè4"/>
      <sheetName val="FES"/>
      <sheetName val="Worksheet in 5650 PP&amp;E movement"/>
      <sheetName val="Форма2"/>
      <sheetName val="FA register"/>
      <sheetName val="2.2 ОтклОТМ"/>
      <sheetName val="1.3.2 ОТМ"/>
      <sheetName val="Предпр"/>
      <sheetName val="ЦентрЗатр"/>
      <sheetName val="ЕдИзм"/>
      <sheetName val="14.1.2.2.(Услуги связи)"/>
      <sheetName val="7.1"/>
      <sheetName val="Transportation Services"/>
      <sheetName val="Summary"/>
      <sheetName val="Workover service"/>
      <sheetName val="Utilities Expense"/>
      <sheetName val="Royalty"/>
      <sheetName val="Def"/>
      <sheetName val="L-1"/>
      <sheetName val="Собственный капитал"/>
      <sheetName val="- 1 -"/>
      <sheetName val="ставки"/>
      <sheetName val="Test of FA Installation"/>
      <sheetName val="Additions"/>
      <sheetName val="VLOOKUP"/>
      <sheetName val="INPUTMASTER"/>
      <sheetName val="Book Adjustments"/>
      <sheetName val="Notes IS"/>
      <sheetName val="Inventory Count Sheet"/>
      <sheetName val="Ôîðìà2"/>
      <sheetName val="Ñîáñòâåííûé êàïèòàë"/>
      <sheetName val="Данные"/>
      <sheetName val="TB"/>
      <sheetName val="InputTD"/>
      <sheetName val="Kas FA Movement"/>
      <sheetName val="00"/>
      <sheetName val="July_03_Pg8"/>
      <sheetName val="Depr"/>
      <sheetName val="2_Loans to customers"/>
      <sheetName val="Financial ratios А3"/>
      <sheetName val="9"/>
      <sheetName val="2005 Social"/>
      <sheetName val="C 25"/>
      <sheetName val="Data-in"/>
      <sheetName val="Info"/>
      <sheetName val="Содержание"/>
      <sheetName val="General Assumptions"/>
      <sheetName val="Movements"/>
      <sheetName val="Movement"/>
      <sheetName val="P&amp;L"/>
      <sheetName val="Provisions"/>
      <sheetName val="9-1"/>
      <sheetName val="4"/>
      <sheetName val="1-1"/>
      <sheetName val="1"/>
      <sheetName val="Datasheet"/>
      <sheetName val="Capex"/>
      <sheetName val="Anlagevermögen"/>
      <sheetName val="Deferred tax"/>
      <sheetName val="Hidden"/>
      <sheetName val="консолид Нурсат"/>
      <sheetName val="TB-KZT"/>
      <sheetName val="TB USD"/>
      <sheetName val="Production_Ref Q-1-3"/>
      <sheetName val="FA Movement Kyrg"/>
      <sheetName val="ЛСЦ начисленное на 31.12.08"/>
      <sheetName val="ЛЛизинг начис. на 31.12.08"/>
      <sheetName val="GAAP TB 31.12.01  detail p&amp;l"/>
      <sheetName val="8082"/>
      <sheetName val="8145"/>
      <sheetName val="8200"/>
      <sheetName val="8113"/>
      <sheetName val="8140"/>
      <sheetName val="8070"/>
      <sheetName val="PL"/>
      <sheetName val="24"/>
      <sheetName val="8"/>
      <sheetName val="SE"/>
      <sheetName val="10"/>
      <sheetName val="7"/>
      <sheetName val="11"/>
      <sheetName val="12"/>
      <sheetName val="14"/>
      <sheetName val="16"/>
      <sheetName val="17"/>
      <sheetName val="23"/>
      <sheetName val="18"/>
      <sheetName val="6"/>
      <sheetName val="CFS"/>
      <sheetName val="21"/>
      <sheetName val="19"/>
      <sheetName val="1НК_объемы"/>
      <sheetName val="Control"/>
      <sheetName val="Interco payables&amp;receivables"/>
      <sheetName val="breakdown"/>
      <sheetName val="FA depreciation"/>
      <sheetName val="IS"/>
      <sheetName val="Intercompany transactions"/>
      <sheetName val="MODEL500"/>
      <sheetName val="$ IS"/>
      <sheetName val="Cur portion of L-t loans 2006"/>
      <sheetName val=""/>
      <sheetName val="BS"/>
      <sheetName val="Dept"/>
      <sheetName val="Project Detail Inputs"/>
      <sheetName val="1NK"/>
      <sheetName val="100.00"/>
      <sheetName val="FS"/>
      <sheetName val="LTM"/>
      <sheetName val="CREDIT STATS"/>
      <sheetName val="DropZone"/>
      <sheetName val="Analitics"/>
      <sheetName val="B 1"/>
      <sheetName val="A 100"/>
      <sheetName val="Additions testing"/>
      <sheetName val="Movement schedule"/>
      <sheetName val="depreciation testing"/>
      <sheetName val="FA Movement "/>
      <sheetName val="Lookup"/>
      <sheetName val="DRILL"/>
      <sheetName val="Управление"/>
      <sheetName val="SATIŞ LİTRE"/>
      <sheetName val="TL B.Y. DATA"/>
      <sheetName val="TL F.Y. DATA"/>
      <sheetName val="TL R.B.Y. DATA"/>
      <sheetName val="99累油"/>
      <sheetName val="3НК"/>
      <sheetName val="Historical cost"/>
      <sheetName val="Spreadsheet # 2"/>
      <sheetName val="КРАТКИЕ СВЕДЕНИЯ"/>
      <sheetName val="ФС-75"/>
      <sheetName val="ФСМн "/>
      <sheetName val="ФХ "/>
      <sheetName val="ФХС-40 "/>
      <sheetName val="ФХС-48 "/>
      <sheetName val="Managed Capacity"/>
      <sheetName val="Статьи"/>
      <sheetName val="Control Settings"/>
      <sheetName val="income_expenses 2004"/>
      <sheetName val="10. Входные данные"/>
      <sheetName val="O.500 Property Tax"/>
      <sheetName val="Команда и роли"/>
      <sheetName val="12НК"/>
      <sheetName val="7НК"/>
      <sheetName val="объекты обществаКокшетау"/>
      <sheetName val="отложенные налоги"/>
      <sheetName val="Графики В2С"/>
      <sheetName val="2"/>
      <sheetName val="Actuals Input"/>
      <sheetName val="Table"/>
      <sheetName val="Строки 20_21_27"/>
      <sheetName val="TL G.Y. DATA"/>
      <sheetName val="Оценка"/>
      <sheetName val="ДД"/>
      <sheetName val="ГСМ Гараж"/>
      <sheetName val="ГСМ по инвест"/>
      <sheetName val="аморт"/>
      <sheetName val="Запчасти Гараж"/>
      <sheetName val="Материалы РМУ"/>
      <sheetName val="Постановка на учет авто"/>
      <sheetName val="Размножение проектов"/>
      <sheetName val="материалы ВДГО"/>
      <sheetName val="Тех осмотр"/>
      <sheetName val="Проект 1"/>
      <sheetName val="Объем ВДГО"/>
      <sheetName val="Стор Орг.РМУ"/>
    </sheetNames>
    <sheetDataSet>
      <sheetData sheetId="0" refreshError="1"/>
      <sheetData sheetId="1" refreshError="1">
        <row r="18">
          <cell r="R18">
            <v>-785</v>
          </cell>
        </row>
        <row r="19">
          <cell r="P19">
            <v>-534835</v>
          </cell>
        </row>
        <row r="25">
          <cell r="P25">
            <v>-24272</v>
          </cell>
        </row>
        <row r="26">
          <cell r="P26">
            <v>-8148</v>
          </cell>
        </row>
        <row r="46">
          <cell r="P46">
            <v>180009</v>
          </cell>
        </row>
        <row r="52">
          <cell r="P52">
            <v>18427</v>
          </cell>
        </row>
        <row r="53">
          <cell r="P53">
            <v>5489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18">
          <cell r="R18">
            <v>-785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раметры"/>
      <sheetName val="Титул1"/>
      <sheetName val="ОснПок2"/>
      <sheetName val="Производство3"/>
      <sheetName val="Добыча нефти4"/>
      <sheetName val="ПроизвПрогр5"/>
      <sheetName val="АнТрнНефт5_1"/>
      <sheetName val="АнУМГ6"/>
      <sheetName val="АнЭмба7"/>
      <sheetName val="АнАНПЗ"/>
      <sheetName val="АНПЗ7_1"/>
      <sheetName val="АНПЗ7_2"/>
      <sheetName val="Продактс"/>
      <sheetName val="Продактс капвл"/>
      <sheetName val="КапВл8"/>
      <sheetName val="КапСтроит9"/>
      <sheetName val="СтрСоцНазн10"/>
      <sheetName val="Маркетинг12"/>
      <sheetName val="поставка сравн13"/>
      <sheetName val="цены14"/>
      <sheetName val="ЦеныНефтепрод15"/>
      <sheetName val="цены16"/>
      <sheetName val="Доход17"/>
      <sheetName val="Чдоход18"/>
      <sheetName val="Капвл.всего"/>
      <sheetName val="ПлатВбюджет19"/>
      <sheetName val="ДебКр20"/>
      <sheetName val="ДвДенСредств21"/>
      <sheetName val="Инв Прог22"/>
      <sheetName val="Все пок23_24"/>
      <sheetName val="Comp06"/>
    </sheetNames>
    <sheetDataSet>
      <sheetData sheetId="0"/>
      <sheetData sheetId="1"/>
      <sheetData sheetId="2"/>
      <sheetData sheetId="3"/>
      <sheetData sheetId="4" refreshError="1">
        <row r="11">
          <cell r="F11">
            <v>193.8</v>
          </cell>
          <cell r="G11">
            <v>175.79499999999999</v>
          </cell>
          <cell r="H11">
            <v>201.48500000000001</v>
          </cell>
          <cell r="I11">
            <v>195.45</v>
          </cell>
          <cell r="J11">
            <v>199.42</v>
          </cell>
          <cell r="K11">
            <v>206.91</v>
          </cell>
          <cell r="L11">
            <v>208.9</v>
          </cell>
          <cell r="M11">
            <v>207.56800000000001</v>
          </cell>
          <cell r="N11">
            <v>202.71</v>
          </cell>
          <cell r="O11">
            <v>208</v>
          </cell>
          <cell r="P11">
            <v>199</v>
          </cell>
          <cell r="Q11">
            <v>201.262</v>
          </cell>
        </row>
        <row r="12">
          <cell r="F12">
            <v>335.23</v>
          </cell>
          <cell r="G12">
            <v>293</v>
          </cell>
          <cell r="H12">
            <v>327.25</v>
          </cell>
          <cell r="I12">
            <v>340.12</v>
          </cell>
          <cell r="J12">
            <v>360.1</v>
          </cell>
          <cell r="K12">
            <v>356.02</v>
          </cell>
          <cell r="L12">
            <v>370.1</v>
          </cell>
          <cell r="M12">
            <v>372.6</v>
          </cell>
          <cell r="N12">
            <v>351.5</v>
          </cell>
          <cell r="O12">
            <v>364.4</v>
          </cell>
          <cell r="P12">
            <v>344.65</v>
          </cell>
          <cell r="Q12">
            <v>354.8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Оценка"/>
      <sheetName val="Добыча нефти4"/>
    </sheetNames>
    <sheetDataSet>
      <sheetData sheetId="0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раметры"/>
      <sheetName val="Титул1"/>
      <sheetName val="ОснПок2"/>
      <sheetName val="Производство3"/>
      <sheetName val="Добыча нефти4"/>
      <sheetName val="ПроизвПрогр5"/>
      <sheetName val="АнТрнНефт5_1"/>
      <sheetName val="АнУМГ6"/>
      <sheetName val="АнЭмба7"/>
      <sheetName val="АнАНПЗ"/>
      <sheetName val="АНПЗ7_1"/>
      <sheetName val="АНПЗ7_2"/>
      <sheetName val="Продактс"/>
      <sheetName val="Продактс капвл"/>
      <sheetName val="КапВл8"/>
      <sheetName val="КапСтроит9"/>
      <sheetName val="СтрСоцНазн10"/>
      <sheetName val="Маркетинг12"/>
      <sheetName val="поставка сравн13"/>
      <sheetName val="цены14"/>
      <sheetName val="ЦеныНефтепрод15"/>
      <sheetName val="цены16"/>
      <sheetName val="Доход17"/>
      <sheetName val="Чдоход18"/>
      <sheetName val="Капвл.всего"/>
      <sheetName val="ПлатВбюджет19"/>
      <sheetName val="ДебКр20"/>
      <sheetName val="ДвДенСредств21"/>
      <sheetName val="Инв Прог22"/>
      <sheetName val="Все пок23_24"/>
      <sheetName val="14.1.2.2.(Услуги связи)"/>
      <sheetName val="ДБСП_02_ 2002"/>
      <sheetName val="Форма2"/>
    </sheetNames>
    <sheetDataSet>
      <sheetData sheetId="0"/>
      <sheetData sheetId="1"/>
      <sheetData sheetId="2"/>
      <sheetData sheetId="3"/>
      <sheetData sheetId="4" refreshError="1">
        <row r="11">
          <cell r="F11">
            <v>193.8</v>
          </cell>
          <cell r="G11">
            <v>175.79499999999999</v>
          </cell>
          <cell r="H11">
            <v>201.48500000000001</v>
          </cell>
          <cell r="I11">
            <v>195.45</v>
          </cell>
          <cell r="J11">
            <v>199.42</v>
          </cell>
          <cell r="K11">
            <v>206.91</v>
          </cell>
          <cell r="L11">
            <v>208.9</v>
          </cell>
          <cell r="M11">
            <v>207.56800000000001</v>
          </cell>
          <cell r="N11">
            <v>202.71</v>
          </cell>
          <cell r="O11">
            <v>208</v>
          </cell>
          <cell r="P11">
            <v>199</v>
          </cell>
          <cell r="Q11">
            <v>201.262</v>
          </cell>
        </row>
        <row r="12">
          <cell r="F12">
            <v>335.23</v>
          </cell>
          <cell r="G12">
            <v>293</v>
          </cell>
          <cell r="H12">
            <v>327.25</v>
          </cell>
          <cell r="I12">
            <v>340.12</v>
          </cell>
          <cell r="J12">
            <v>360.1</v>
          </cell>
          <cell r="K12">
            <v>356.02</v>
          </cell>
          <cell r="L12">
            <v>370.1</v>
          </cell>
          <cell r="M12">
            <v>372.6</v>
          </cell>
          <cell r="N12">
            <v>351.5</v>
          </cell>
          <cell r="O12">
            <v>364.4</v>
          </cell>
          <cell r="P12">
            <v>344.65</v>
          </cell>
          <cell r="Q12">
            <v>354.8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мятка"/>
      <sheetName val="Форма1"/>
      <sheetName val="Форма2"/>
      <sheetName val="Форма3"/>
      <sheetName val="Форма4"/>
      <sheetName val="Форма5"/>
      <sheetName val="Форма6"/>
      <sheetName val="Форма7"/>
      <sheetName val="Форма8"/>
      <sheetName val="Служебные справочники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Оценка"/>
    </sheetNames>
    <sheetDataSet>
      <sheetData sheetId="0" refreshError="1"/>
      <sheetData sheetId="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мятка"/>
      <sheetName val="Форма1"/>
      <sheetName val="Форма2"/>
      <sheetName val="Форма3"/>
      <sheetName val="Форма4"/>
      <sheetName val="Форма5"/>
      <sheetName val="Форма6"/>
      <sheetName val="Форма7"/>
      <sheetName val="Форма8"/>
      <sheetName val="Служебные справочники"/>
      <sheetName val="b 1"/>
      <sheetName val="a 1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мятка"/>
      <sheetName val="Форма1"/>
      <sheetName val="Форма2"/>
      <sheetName val="Форма3"/>
      <sheetName val="Форма4"/>
      <sheetName val="Форма5"/>
      <sheetName val="Форма6"/>
      <sheetName val="Форма7"/>
      <sheetName val="Форма8"/>
      <sheetName val="ЦентрЗатр"/>
      <sheetName val="Добыча нефти4"/>
      <sheetName val="группа"/>
      <sheetName val="GAAP TB 31.12.01  detail p&amp;l"/>
      <sheetName val="КЭШ"/>
      <sheetName val="ОПиУ"/>
      <sheetName val="Лист1"/>
      <sheetName val="1БО"/>
      <sheetName val="штат"/>
      <sheetName val="КВЛ"/>
      <sheetName val="Канцтовары"/>
      <sheetName val="аренда"/>
      <sheetName val="связь"/>
      <sheetName val="реклама"/>
      <sheetName val="расхмат"/>
      <sheetName val="прочие стор"/>
      <sheetName val="услуги прочие"/>
      <sheetName val="обуч"/>
      <sheetName val="ком"/>
      <sheetName val="Выкуп порталов"/>
      <sheetName val="представ"/>
      <sheetName val="обуч (2)"/>
      <sheetName val="прочие стор (2)"/>
      <sheetName val="ком (2)"/>
      <sheetName val="КВЛ (2)"/>
      <sheetName val="СД"/>
      <sheetName val="прочие расходы"/>
      <sheetName val="шт (2)"/>
      <sheetName val="аренда (2)"/>
      <sheetName val="прогноз движения денег в ежемес"/>
      <sheetName val="ОПиУ в ежемес."/>
      <sheetName val="Баланс"/>
      <sheetName val="курсы"/>
      <sheetName val="form"/>
      <sheetName val="Добыча_нефти41"/>
      <sheetName val="Добыча_нефти4"/>
      <sheetName val="Добыча_нефти42"/>
      <sheetName val="ЯНВАРЬ"/>
      <sheetName val="Добычанефти4"/>
      <sheetName val="поставкасравн13"/>
      <sheetName val="XREF"/>
      <sheetName val="Movements"/>
      <sheetName val="АПК реформа"/>
      <sheetName val="PP&amp;E mvt for 2003"/>
      <sheetName val="Б.мчас (П)"/>
      <sheetName val="из сем"/>
      <sheetName val="свод"/>
      <sheetName val="calc"/>
      <sheetName val="IS"/>
      <sheetName val="2008 ГСМ"/>
      <sheetName val="Плата за загрязнение "/>
      <sheetName val="Типограф"/>
      <sheetName val="класс"/>
      <sheetName val="факс(2005-20гг.)"/>
      <sheetName val="канц"/>
      <sheetName val="Апрель"/>
      <sheetName val="Сентябрь"/>
      <sheetName val="Декабрь"/>
      <sheetName val="Ноябрь"/>
      <sheetName val="Квартал"/>
      <sheetName val="Июль"/>
      <sheetName val="Июнь"/>
      <sheetName val="Март"/>
      <sheetName val="поставка сравн13"/>
      <sheetName val="База"/>
      <sheetName val="1 (2)"/>
      <sheetName val="ППД"/>
      <sheetName val="2в"/>
      <sheetName val="общ-нефт"/>
      <sheetName val="Budget"/>
      <sheetName val="2.2 ОтклОТМ"/>
      <sheetName val="1.3.2 ОТМ"/>
      <sheetName val="Предпр"/>
      <sheetName val="ЕдИзм"/>
      <sheetName val="Cost 99v98"/>
      <sheetName val="cant sim"/>
      <sheetName val="PYTB"/>
      <sheetName val="1"/>
      <sheetName val="XLR_NoRangeSheet"/>
      <sheetName val="Production_Ref Q-1-3"/>
      <sheetName val="Production_ref_Q4"/>
      <sheetName val="1NK"/>
      <sheetName val="фот пп2000разбивка"/>
      <sheetName val="ЗАО_н.ит"/>
      <sheetName val="#ССЫЛКА"/>
      <sheetName val="ЗАО_мес"/>
      <sheetName val="Sales-COS"/>
      <sheetName val="Financial ratios А3"/>
      <sheetName val="2_2 ОтклОТМ"/>
      <sheetName val="1_3_2 ОТМ"/>
      <sheetName val="U2 775 - COGS comparison per su"/>
      <sheetName val="SMSTemp"/>
      <sheetName val="I. Прогноз доходов"/>
      <sheetName val="Hidden"/>
      <sheetName val="ОТЧЕТ КТЖ 01.01.09"/>
      <sheetName val="FES"/>
      <sheetName val="8180 (8181,8182)"/>
      <sheetName val="8082"/>
      <sheetName val="8250"/>
      <sheetName val="8140"/>
      <sheetName val="8070"/>
      <sheetName val="8145"/>
      <sheetName val="8200"/>
      <sheetName val="8113"/>
      <sheetName val="8210"/>
      <sheetName val="Balance Sheet"/>
      <sheetName val="summary"/>
      <sheetName val="Datasheet"/>
      <sheetName val="1 вариант  2009 "/>
      <sheetName val="Лист2"/>
      <sheetName val="Список документов"/>
      <sheetName val="GAAP TB 30.09.01  detail p&amp;l"/>
      <sheetName val="O.500 Property Tax"/>
      <sheetName val="Common"/>
      <sheetName val="OPEX&amp;FIN"/>
      <sheetName val="форма 3 смета затрат"/>
      <sheetName val="Подразделения"/>
      <sheetName val="Проекты"/>
      <sheetName val="Сотрудники"/>
      <sheetName val="прил№10"/>
      <sheetName val="Авансы_уплач,деньги в регионах"/>
      <sheetName val="Авансы_уплач,деньги в регионах,"/>
      <sheetName val="d_pok"/>
      <sheetName val="б"/>
      <sheetName val="PLтв - Б"/>
      <sheetName val="Спр. раб."/>
      <sheetName val="Содержание"/>
      <sheetName val="Гр5(о)"/>
      <sheetName val="Макро"/>
      <sheetName val="$ IS"/>
      <sheetName val="7"/>
      <sheetName val="10"/>
      <sheetName val="Собственный капитал"/>
      <sheetName val="УПРАВЛЕНИЕ11"/>
      <sheetName val="Cashflow"/>
      <sheetName val="Info"/>
      <sheetName val="Бюджет тек. затрат"/>
      <sheetName val="Добыча_нефти43"/>
      <sheetName val="GAAP_TB_31_12_01__detail_p&amp;l"/>
      <sheetName val="прочие_стор"/>
      <sheetName val="услуги_прочие"/>
      <sheetName val="Выкуп_порталов"/>
      <sheetName val="обуч_(2)"/>
      <sheetName val="прочие_стор_(2)"/>
      <sheetName val="ком_(2)"/>
      <sheetName val="КВЛ_(2)"/>
      <sheetName val="прочие_расходы"/>
      <sheetName val="шт_(2)"/>
      <sheetName val="аренда_(2)"/>
      <sheetName val="прогноз_движения_денег_в_ежемес"/>
      <sheetName val="ОПиУ_в_ежемес_"/>
      <sheetName val="АПК_реформа"/>
      <sheetName val="из_сем"/>
      <sheetName val="Б_мчас_(П)"/>
      <sheetName val="PP&amp;E_mvt_for_2003"/>
      <sheetName val="2008_ГСМ"/>
      <sheetName val="Плата_за_загрязнение_"/>
      <sheetName val="факс(2005-20гг_)"/>
      <sheetName val="поставка_сравн13"/>
      <sheetName val="K-800 Imp. test"/>
      <sheetName val="FA register"/>
      <sheetName val="Instructions"/>
      <sheetName val="US Dollar 2003"/>
      <sheetName val="SDR 2003"/>
      <sheetName val="Captions"/>
      <sheetName val="Пр2"/>
      <sheetName val="из_сем1"/>
      <sheetName val="US_Dollar_20031"/>
      <sheetName val="SDR_20031"/>
      <sheetName val="US_Dollar_2003"/>
      <sheetName val="SDR_2003"/>
      <sheetName val="из_сем2"/>
      <sheetName val="US_Dollar_20032"/>
      <sheetName val="SDR_20032"/>
      <sheetName val="Статьи"/>
      <sheetName val="Input"/>
      <sheetName val="Control Settings"/>
      <sheetName val="Anlagevermögen"/>
      <sheetName val="GTM BK"/>
      <sheetName val="Const"/>
      <sheetName val="Dep_OpEx"/>
      <sheetName val="Consolidator Inputs"/>
      <sheetName val="Auxilliary_Info"/>
      <sheetName val="Aug"/>
      <sheetName val="Apr"/>
      <sheetName val="Dec"/>
      <sheetName val="Jul"/>
      <sheetName val="Jun"/>
      <sheetName val="May"/>
      <sheetName val="Mar"/>
      <sheetName val="Nov"/>
      <sheetName val="Oct"/>
      <sheetName val="Sep"/>
      <sheetName val="Feb"/>
      <sheetName val="Jan"/>
      <sheetName val="Нефть"/>
      <sheetName val="FP20DB (3)"/>
      <sheetName val="Курс валют"/>
      <sheetName val="АЗФ"/>
      <sheetName val="АК"/>
      <sheetName val="Актюбе"/>
      <sheetName val="ССГПО"/>
      <sheetName val="Другие расходы"/>
      <sheetName val="Форма 4 кап.зат-ты (2)"/>
      <sheetName val="2006 AJE RJE"/>
      <sheetName val="Преискурант"/>
      <sheetName val="стр.245 (2)"/>
      <sheetName val="SETUP"/>
      <sheetName val="топливо"/>
      <sheetName val="Потребители"/>
      <sheetName val="Сдача "/>
      <sheetName val="МО 0012"/>
      <sheetName val="14.1.2.2.(Услуги связи)"/>
      <sheetName val="Осн"/>
      <sheetName val="13 NGDO"/>
      <sheetName val="  2.3.2"/>
      <sheetName val=""/>
      <sheetName val="Ввод"/>
      <sheetName val="СписокТЭП"/>
      <sheetName val="12 из 57 АЗС"/>
      <sheetName val="Авансы-1"/>
      <sheetName val="постоянные затраты"/>
      <sheetName val="Бюджет"/>
      <sheetName val="Пок"/>
      <sheetName val="5R"/>
      <sheetName val="KreПК"/>
      <sheetName val="Sheet1"/>
      <sheetName val="7.1"/>
      <sheetName val="Пр 41"/>
      <sheetName val="Russia Print Version"/>
      <sheetName val="finbal10"/>
      <sheetName val="12НК"/>
      <sheetName val="3НК"/>
      <sheetName val="7НК"/>
      <sheetName val="KCC"/>
      <sheetName val="Данные"/>
      <sheetName val="П"/>
      <sheetName val="ОборБалФормОтч"/>
      <sheetName val="ТитулЛистОтч"/>
      <sheetName val="2кв."/>
      <sheetName val="ОТиТБ"/>
      <sheetName val="Non-Statistical Sampling Master"/>
      <sheetName val="Global Data"/>
      <sheetName val="A-20"/>
      <sheetName val="H3.100 Rollforward"/>
      <sheetName val="Налоги"/>
      <sheetName val="CO1"/>
      <sheetName val="CO11"/>
      <sheetName val="CO12"/>
      <sheetName val="CO13"/>
      <sheetName val="CO16"/>
      <sheetName val="CO17"/>
      <sheetName val="CO18"/>
      <sheetName val="CO19"/>
      <sheetName val="CO2"/>
      <sheetName val="CO20"/>
      <sheetName val="CO21"/>
      <sheetName val="CO22"/>
      <sheetName val="CO26"/>
      <sheetName val="CO27"/>
      <sheetName val="CO3"/>
      <sheetName val="CO30"/>
      <sheetName val="CO4"/>
      <sheetName val="CO5"/>
      <sheetName val="CO6"/>
      <sheetName val="CO7"/>
      <sheetName val="Comp06"/>
      <sheetName val="MACRO2.XLM"/>
      <sheetName val="U-ZR_AT1.XLS"/>
      <sheetName val="TOC"/>
      <sheetName val="NPV"/>
      <sheetName val="План произв-ва (мес.) (бюджет)"/>
      <sheetName val="Инв.вл"/>
      <sheetName val="факт 2005 г."/>
      <sheetName val="д.7.001"/>
      <sheetName val="свод грузоотпр."/>
      <sheetName val="Курс"/>
      <sheetName val="Inputs"/>
      <sheetName val="Лист3"/>
      <sheetName val="Итоговая таблица"/>
      <sheetName val="Расчет2000Прямой"/>
      <sheetName val="ДД"/>
      <sheetName val="ATI"/>
      <sheetName val="Блоки"/>
      <sheetName val="_ССЫЛКА"/>
      <sheetName val="Справочник"/>
      <sheetName val="I KEY INFORMATION"/>
      <sheetName val="почтов."/>
      <sheetName val="11"/>
      <sheetName val="6НК-cт."/>
      <sheetName val="Interco payables&amp;receivables"/>
      <sheetName val="предприятия"/>
      <sheetName val="Оборудование_стоим"/>
      <sheetName val="ГСМ Гараж"/>
      <sheetName val="ГСМ по инвест"/>
      <sheetName val="аморт"/>
      <sheetName val="Запчасти Гараж"/>
      <sheetName val="Стор Орг.РМУ"/>
      <sheetName val="Материалы РМУ"/>
      <sheetName val="Постановка на учет авто"/>
      <sheetName val="Размножение проектов"/>
      <sheetName val="материалы ВДГО"/>
      <sheetName val="Тех осмотр"/>
      <sheetName val="Проект 1"/>
      <sheetName val="Объем ВДГО"/>
      <sheetName val="Фин.обязат."/>
      <sheetName val="спецпит,проездн."/>
      <sheetName val="коммун."/>
      <sheetName val="Служебный ФКРБ"/>
      <sheetName val="Источник финансирования"/>
      <sheetName val="Способ закупки"/>
      <sheetName val="Тип пункта плана"/>
      <sheetName val="Disclosure"/>
      <sheetName val="4"/>
      <sheetName val="Movement"/>
      <sheetName val="Analytics"/>
      <sheetName val="FA Movement Kyrg"/>
      <sheetName val="Reference"/>
      <sheetName val="Pbs_Wbs_ATC"/>
      <sheetName val="перевозки"/>
      <sheetName val="Capex"/>
      <sheetName val="Kolommen_balans"/>
      <sheetName val="SA Procedures"/>
      <sheetName val="9"/>
      <sheetName val="L-1"/>
      <sheetName val="ввод-вывод ОС авг2004- 2005"/>
      <sheetName val="Graph"/>
      <sheetName val="FA Movement "/>
      <sheetName val="depreciation testing"/>
      <sheetName val="Loaded"/>
      <sheetName val="ТД РАП"/>
      <sheetName val="доп.дан."/>
      <sheetName val="Добыча_нефти44"/>
      <sheetName val="GAAP_TB_31_12_01__detail_p&amp;l1"/>
      <sheetName val="прочие_стор1"/>
      <sheetName val="услуги_прочие1"/>
      <sheetName val="Выкуп_порталов1"/>
      <sheetName val="обуч_(2)1"/>
      <sheetName val="прочие_стор_(2)1"/>
      <sheetName val="ком_(2)1"/>
      <sheetName val="КВЛ_(2)1"/>
      <sheetName val="прочие_расходы1"/>
      <sheetName val="шт_(2)1"/>
      <sheetName val="аренда_(2)1"/>
      <sheetName val="прогноз_движения_денег_в_ежеме1"/>
      <sheetName val="ОПиУ_в_ежемес_1"/>
      <sheetName val="АПК_реформа1"/>
      <sheetName val="из_сем3"/>
      <sheetName val="Б_мчас_(П)1"/>
      <sheetName val="PP&amp;E_mvt_for_20031"/>
      <sheetName val="2008_ГСМ1"/>
      <sheetName val="Плата_за_загрязнение_1"/>
      <sheetName val="факс(2005-20гг_)1"/>
      <sheetName val="поставка_сравн131"/>
      <sheetName val="ОТЧЕТ_КТЖ_01_01_09"/>
      <sheetName val="8180_(8181,8182)"/>
      <sheetName val="Balance_Sheet"/>
      <sheetName val="1_вариант__2009_"/>
      <sheetName val="Список_документов"/>
      <sheetName val="GAAP_TB_30_09_01__detail_p&amp;l"/>
      <sheetName val="1_(2)"/>
      <sheetName val="2_2_ОтклОТМ"/>
      <sheetName val="1_3_2_ОТМ"/>
      <sheetName val="Cost_99v98"/>
      <sheetName val="cant_sim"/>
      <sheetName val="Production_Ref_Q-1-3"/>
      <sheetName val="фот_пп2000разбивка"/>
      <sheetName val="ЗАО_н_ит"/>
      <sheetName val="Financial_ratios_А3"/>
      <sheetName val="2_2_ОтклОТМ1"/>
      <sheetName val="1_3_2_ОТМ1"/>
      <sheetName val="U2_775_-_COGS_comparison_per_su"/>
      <sheetName val="I__Прогноз_доходов"/>
      <sheetName val="O_500_Property_Tax"/>
      <sheetName val="форма_3_смета_затрат"/>
      <sheetName val="$_IS"/>
      <sheetName val="Собственный_капитал"/>
      <sheetName val="Авансы_уплач,деньги_в_регионах"/>
      <sheetName val="Авансы_уплач,деньги_в_регионах,"/>
      <sheetName val="PLтв_-_Б"/>
      <sheetName val="Спр__раб_"/>
      <sheetName val="US_Dollar_20033"/>
      <sheetName val="SDR_20033"/>
      <sheetName val="Control_Settings"/>
      <sheetName val="GTM_BK"/>
      <sheetName val="Consolidator_Inputs"/>
      <sheetName val="FP20DB_(3)"/>
      <sheetName val="Курс_валют"/>
      <sheetName val="Другие_расходы"/>
      <sheetName val="Форма_4_кап_зат-ты_(2)"/>
      <sheetName val="2006_AJE_RJE"/>
      <sheetName val="стр_245_(2)"/>
      <sheetName val="Сдача_"/>
      <sheetName val="МО_0012"/>
      <sheetName val="14_1_2_2_(Услуги_связи)"/>
      <sheetName val="13_NGDO"/>
      <sheetName val="__2_3_2"/>
      <sheetName val="12_из_57_АЗС"/>
      <sheetName val="постоянные_затраты"/>
      <sheetName val="7_1"/>
      <sheetName val="Пр_41"/>
      <sheetName val="Russia_Print_Version"/>
      <sheetName val="2кв_"/>
      <sheetName val="исп.см."/>
      <sheetName val="L&amp;E"/>
      <sheetName val="Cash flows - PBC"/>
      <sheetName val="Non-Statistical_Sampling_Master"/>
      <sheetName val="Global_Data"/>
      <sheetName val="H3_100_Rollforward"/>
      <sheetName val="MACRO2_XLM"/>
      <sheetName val="U-ZR_AT1_XLS"/>
      <sheetName val="План_произв-ва_(мес_)_(бюджет)"/>
      <sheetName val="Инв_вл"/>
      <sheetName val="факт_2005_г_"/>
      <sheetName val="д_7_001"/>
      <sheetName val="свод_грузоотпр_"/>
      <sheetName val="Итоговая_таблица"/>
      <sheetName val="I_KEY_INFORMATION"/>
      <sheetName val="почтов_"/>
      <sheetName val="6НК-cт_"/>
      <sheetName val="Interco_payables&amp;receivables"/>
      <sheetName val="ГСМ_Гараж"/>
      <sheetName val="ГСМ_по_инвест"/>
      <sheetName val="Запчасти_Гараж"/>
      <sheetName val="Стор_Орг_РМУ"/>
      <sheetName val="Материалы_РМУ"/>
      <sheetName val="Постановка_на_учет_авто"/>
      <sheetName val="Размножение_проектов"/>
      <sheetName val="материалы_ВДГО"/>
      <sheetName val="Тех_осмотр"/>
      <sheetName val="Проект_1"/>
      <sheetName val="Объем_ВДГО"/>
      <sheetName val="Фин_обязат_"/>
      <sheetName val="спецпит,проездн_"/>
      <sheetName val="коммун_"/>
      <sheetName val="Бюджет_тек__затрат"/>
      <sheetName val="K-800_Imp__test"/>
      <sheetName val="FA_register"/>
      <sheetName val="не_удалять!"/>
      <sheetName val="заявка_на_произ"/>
      <sheetName val="Служебный ФК_x0005__x0000_"/>
      <sheetName val="Securities"/>
      <sheetName val="ГМ "/>
      <sheetName val="6НК簀⽕쐀⽕"/>
      <sheetName val="6НКԯ_x0000_缀_x0000_"/>
      <sheetName val="Служебный ФК_x0000__x0000_"/>
      <sheetName val="6НК_x0007__x001c__x0009__x000d_"/>
      <sheetName val="_x0000__x000e__x0000__x000a__x0000__x0008__x0000__x000a__x0000__x000b__x0000__x0010__x0000__x0007_"/>
      <sheetName val="6НК_x0007__x001c_ _x000d_"/>
      <sheetName val="Добыча_нефти45"/>
      <sheetName val="GAAP_TB_31_12_01__detail_p&amp;l2"/>
      <sheetName val="прочие_стор2"/>
      <sheetName val="услуги_прочие2"/>
      <sheetName val="Выкуп_порталов2"/>
      <sheetName val="обуч_(2)2"/>
      <sheetName val="прочие_стор_(2)2"/>
      <sheetName val="ком_(2)2"/>
      <sheetName val="КВЛ_(2)2"/>
      <sheetName val="прочие_расходы2"/>
      <sheetName val="шт_(2)2"/>
      <sheetName val="аренда_(2)2"/>
      <sheetName val="прогноз_движения_денег_в_ежеме2"/>
      <sheetName val="ОПиУ_в_ежемес_2"/>
      <sheetName val="АПК_реформа2"/>
      <sheetName val="из_сем4"/>
      <sheetName val="Б_мчас_(П)2"/>
      <sheetName val="PP&amp;E_mvt_for_20032"/>
      <sheetName val="2008_ГСМ2"/>
      <sheetName val="Плата_за_загрязнение_2"/>
      <sheetName val="факс(2005-20гг_)2"/>
      <sheetName val="поставка_сравн132"/>
      <sheetName val="форма_3_смета_затрат1"/>
      <sheetName val="1_(2)1"/>
      <sheetName val="2_2_ОтклОТМ2"/>
      <sheetName val="1_3_2_ОТМ2"/>
      <sheetName val="Cost_99v981"/>
      <sheetName val="cant_sim1"/>
      <sheetName val="Production_Ref_Q-1-31"/>
      <sheetName val="фот_пп2000разбивка1"/>
      <sheetName val="ЗАО_н_ит1"/>
      <sheetName val="Financial_ratios_А31"/>
      <sheetName val="2_2_ОтклОТМ3"/>
      <sheetName val="1_3_2_ОТМ3"/>
      <sheetName val="U2_775_-_COGS_comparison_per_s1"/>
      <sheetName val="I__Прогноз_доходов1"/>
      <sheetName val="ОТЧЕТ_КТЖ_01_01_091"/>
      <sheetName val="8180_(8181,8182)1"/>
      <sheetName val="Balance_Sheet1"/>
      <sheetName val="1_вариант__2009_1"/>
      <sheetName val="Список_документов1"/>
      <sheetName val="GAAP_TB_30_09_01__detail_p&amp;l1"/>
      <sheetName val="O_500_Property_Tax1"/>
      <sheetName val="Авансы_уплач,деньги_в_регионах1"/>
      <sheetName val="Авансы_уплач,деньги_в_регионах2"/>
      <sheetName val="PLтв_-_Б1"/>
      <sheetName val="Спр__раб_1"/>
      <sheetName val="$_IS1"/>
      <sheetName val="Собственный_капитал1"/>
      <sheetName val="K-800_Imp__test1"/>
      <sheetName val="FA_register1"/>
      <sheetName val="US_Dollar_20034"/>
      <sheetName val="SDR_20034"/>
      <sheetName val="Control_Settings1"/>
      <sheetName val="GTM_BK1"/>
      <sheetName val="Consolidator_Inputs1"/>
      <sheetName val="FP20DB_(3)1"/>
      <sheetName val="Курс_валют1"/>
      <sheetName val="Другие_расходы1"/>
      <sheetName val="Форма_4_кап_зат-ты_(2)1"/>
      <sheetName val="2006_AJE_RJE1"/>
      <sheetName val="стр_245_(2)1"/>
      <sheetName val="Сдача_1"/>
      <sheetName val="МО_00121"/>
      <sheetName val="14_1_2_2_(Услуги_связи)1"/>
      <sheetName val="13_NGDO1"/>
      <sheetName val="__2_3_21"/>
      <sheetName val="12_из_57_АЗС1"/>
      <sheetName val="постоянные_затраты1"/>
      <sheetName val="7_11"/>
      <sheetName val="Пр_411"/>
      <sheetName val="Russia_Print_Version1"/>
      <sheetName val="2кв_1"/>
      <sheetName val="Non-Statistical_Sampling_Maste1"/>
      <sheetName val="Global_Data1"/>
      <sheetName val="H3_100_Rollforward1"/>
      <sheetName val="MACRO2_XLM1"/>
      <sheetName val="U-ZR_AT1_XLS1"/>
      <sheetName val="План_произв-ва_(мес_)_(бюджет)1"/>
      <sheetName val="Инв_вл1"/>
      <sheetName val="факт_2005_г_1"/>
      <sheetName val="д_7_0011"/>
      <sheetName val="свод_грузоотпр_1"/>
      <sheetName val="Итоговая_таблица1"/>
      <sheetName val="I_KEY_INFORMATION1"/>
      <sheetName val="почтов_1"/>
      <sheetName val="6НК-cт_1"/>
      <sheetName val="Interco_payables&amp;receivables1"/>
      <sheetName val="ГСМ_Гараж1"/>
      <sheetName val="ГСМ_по_инвест1"/>
      <sheetName val="Запчасти_Гараж1"/>
      <sheetName val="Стор_Орг_РМУ1"/>
      <sheetName val="Материалы_РМУ1"/>
      <sheetName val="Постановка_на_учет_авто1"/>
      <sheetName val="Размножение_проектов1"/>
      <sheetName val="материалы_ВДГО1"/>
      <sheetName val="Тех_осмотр1"/>
      <sheetName val="Проект_11"/>
      <sheetName val="Объем_ВДГО1"/>
      <sheetName val="Фин_обязат_1"/>
      <sheetName val="спецпит,проездн_1"/>
      <sheetName val="Бюджет_тек__затрат1"/>
      <sheetName val="коммун_1"/>
      <sheetName val="Служебный_ФКРБ"/>
      <sheetName val="Источник_финансирования"/>
      <sheetName val="Способ_закупки"/>
      <sheetName val="Тип_пункта_плана"/>
      <sheetName val="ТД_РАП"/>
      <sheetName val="FA_Movement_Kyrg"/>
      <sheetName val="SA_Procedures"/>
      <sheetName val="ввод-вывод_ОС_авг2004-_2005"/>
      <sheetName val="Служебный_ФК"/>
      <sheetName val="ГМ_"/>
      <sheetName val="Служебный ФК厈-"/>
      <sheetName val="6НК0_x0000_堀-"/>
      <sheetName val="6НК0_x0000_瀀"/>
      <sheetName val="6НК0_x0000_"/>
      <sheetName val="6НК0_x0000_　Y"/>
      <sheetName val="Служебный ФК恔_x001c_"/>
      <sheetName val="Служебный ФК皸ɫ"/>
      <sheetName val="Служебный ФК_x0017_"/>
      <sheetName val="Служебный ФК_xdd10__x001f_"/>
      <sheetName val="Служебный ФК悄,"/>
      <sheetName val="Служебный ФК⽄"/>
      <sheetName val="Служебный ФК⽬"/>
      <sheetName val="Служебный ФК嵔 "/>
      <sheetName val="Служебный ФК_xdd90__x0012_"/>
      <sheetName val="Служебный ФК峔("/>
      <sheetName val="FA_Movement_"/>
      <sheetName val="depreciation_testing"/>
      <sheetName val="доп_дан_"/>
      <sheetName val="Служебный ФК『"/>
      <sheetName val="Input_Assumptions"/>
      <sheetName val="Технический"/>
      <sheetName val="Служебный ФК⿯"/>
      <sheetName val="Служебный ФКૐǪ"/>
      <sheetName val="Служебный ФК　"/>
      <sheetName val="6НК/_x0000_쀀"/>
      <sheetName val="6НК/_x0000_栀)"/>
      <sheetName val="6НК/_x0000_瀀à"/>
      <sheetName val="6НК/_x0000_⠀´"/>
      <sheetName val="6НК/_x0000_ࠀµ"/>
      <sheetName val="6НК/_x0000_쀀Ø"/>
      <sheetName val="Индексы"/>
      <sheetName val="КР з.ч"/>
      <sheetName val="ноябрь - декабрь"/>
      <sheetName val="Summary &amp; Variables"/>
      <sheetName val="Служебный ФК_x0005_"/>
      <sheetName val="6НКԯ"/>
      <sheetName val="Служебный ФК"/>
      <sheetName val="6НК0"/>
      <sheetName val="Служебный ФК_x001f_"/>
      <sheetName val="Служебный ФК_x0012_"/>
      <sheetName val="6НК/_x0000_蠀"/>
      <sheetName val="6НК/_x0000_ü"/>
      <sheetName val="6НК/_x0000_£"/>
      <sheetName val="6НК/_x0000_蠀_x0008_"/>
      <sheetName val="6НК/_x0000_頀K"/>
      <sheetName val="бартер"/>
      <sheetName val="Проектные работы"/>
      <sheetName val="Спецтехника, оборудование, база"/>
      <sheetName val="Первоначальные условия"/>
      <sheetName val="Себестоимость"/>
      <sheetName val="6НК/_x0000__xd800_¹"/>
      <sheetName val="[form.xls]6НК/_x0000_쀀"/>
      <sheetName val="[form.xls]6НК/_x0000_栀)"/>
      <sheetName val="[form.xls]6НК/_x0000_瀀à"/>
      <sheetName val="[form.xls]6НК/_x0000_⠀´"/>
      <sheetName val="[form.xls]6НК/_x0000_ࠀµ"/>
      <sheetName val="[form.xls]6НК/_x0000_쀀Ø"/>
      <sheetName val="[form.xls]6НК/_x0000_蠀"/>
      <sheetName val="[form.xls]6НК/_x0000_ü"/>
      <sheetName val="[form.xls]6НК/_x0000_£"/>
      <sheetName val="[form.xls]6НК/_x0000_蠀_x0008_"/>
      <sheetName val="[form.xls]6НК/_x0000_頀K"/>
      <sheetName val="[form.xls]6НК/_x0000__xd800_¹"/>
      <sheetName val="полугодие"/>
      <sheetName val="Вып.П.П."/>
      <sheetName val="кварталы"/>
      <sheetName val="план"/>
      <sheetName val="Россия-экспорт"/>
      <sheetName val="[form.xls][form.xls]6НК/_x0000_쀀"/>
      <sheetName val="[form.xls][form.xls]6НК/_x0000_栀)"/>
      <sheetName val="[form.xls][form.xls]6НК/_x0000_瀀à"/>
      <sheetName val="[form.xls][form.xls]6НК/_x0000_⠀´"/>
      <sheetName val="[form.xls][form.xls]6НК/_x0000_ࠀµ"/>
      <sheetName val="[form.xls][form.xls]6НК/_x0000_쀀Ø"/>
      <sheetName val="[form.xls][form.xls]6НК/_x0000_蠀"/>
      <sheetName val="[form.xls][form.xls]6НК/_x0000_ü"/>
      <sheetName val="[form.xls][form.xls]6НК/_x0000_£"/>
      <sheetName val="[form.xls][form.xls]6НК/_x0000_蠀_x0008_"/>
      <sheetName val="[form.xls][form.xls]6НК/_x0000_頀K"/>
      <sheetName val="[form.xls][form.xls]6НК/_x0000__xd800_¹"/>
      <sheetName val=" По скв"/>
      <sheetName val="Программа(М)"/>
      <sheetName val="6НК퐀ᵝഀ놃"/>
      <sheetName val="6НК≟ഀﲃ"/>
      <sheetName val="6НК/_x0000_�¹"/>
      <sheetName val="6НК/_x0000_렀£"/>
      <sheetName val="[form.xls]6НК/_x0000_렀£"/>
      <sheetName val="БРК ЮКО свод"/>
      <sheetName val="Сбер 1450"/>
      <sheetName val="Сбер 1300"/>
      <sheetName val="Сбер 2500"/>
      <sheetName val="Сбер 3750"/>
      <sheetName val="Добыча_нефти46"/>
      <sheetName val="GAAP_TB_31_12_01__detail_p&amp;l3"/>
      <sheetName val="прочие_стор3"/>
      <sheetName val="услуги_прочие3"/>
      <sheetName val="Выкуп_порталов3"/>
      <sheetName val="обуч_(2)3"/>
      <sheetName val="прочие_стор_(2)3"/>
      <sheetName val="ком_(2)3"/>
      <sheetName val="КВЛ_(2)3"/>
      <sheetName val="прочие_расходы3"/>
      <sheetName val="шт_(2)3"/>
      <sheetName val="аренда_(2)3"/>
      <sheetName val="прогноз_движения_денег_в_ежеме3"/>
      <sheetName val="ОПиУ_в_ежемес_3"/>
      <sheetName val="АПК_реформа3"/>
      <sheetName val="PP&amp;E_mvt_for_20033"/>
      <sheetName val="Б_мчас_(П)3"/>
      <sheetName val="из_сем5"/>
      <sheetName val="2008_ГСМ3"/>
      <sheetName val="Плата_за_загрязнение_3"/>
      <sheetName val="факс(2005-20гг_)3"/>
      <sheetName val="поставка_сравн133"/>
      <sheetName val="1_(2)2"/>
      <sheetName val="2_2_ОтклОТМ4"/>
      <sheetName val="1_3_2_ОТМ4"/>
      <sheetName val="Cost_99v982"/>
      <sheetName val="cant_sim2"/>
      <sheetName val="Production_Ref_Q-1-32"/>
      <sheetName val="фот_пп2000разбивка2"/>
      <sheetName val="ЗАО_н_ит2"/>
      <sheetName val="Financial_ratios_А32"/>
      <sheetName val="2_2_ОтклОТМ5"/>
      <sheetName val="1_3_2_ОТМ5"/>
      <sheetName val="U2_775_-_COGS_comparison_per_s2"/>
      <sheetName val="I__Прогноз_доходов2"/>
      <sheetName val="ОТЧЕТ_КТЖ_01_01_092"/>
      <sheetName val="8180_(8181,8182)2"/>
      <sheetName val="Balance_Sheet2"/>
      <sheetName val="1_вариант__2009_2"/>
      <sheetName val="Список_документов2"/>
      <sheetName val="GAAP_TB_30_09_01__detail_p&amp;l2"/>
      <sheetName val="O_500_Property_Tax2"/>
      <sheetName val="форма_3_смета_затрат2"/>
      <sheetName val="Авансы_уплач,деньги_в_регионах3"/>
      <sheetName val="Авансы_уплач,деньги_в_регионах4"/>
      <sheetName val="PLтв_-_Б2"/>
      <sheetName val="Спр__раб_2"/>
      <sheetName val="$_IS2"/>
      <sheetName val="Собственный_капитал2"/>
      <sheetName val="Бюджет_тек__затрат2"/>
      <sheetName val="K-800_Imp__test2"/>
      <sheetName val="FA_register2"/>
      <sheetName val="US_Dollar_20035"/>
      <sheetName val="SDR_20035"/>
      <sheetName val="Control_Settings2"/>
      <sheetName val="GTM_BK2"/>
      <sheetName val="Consolidator_Inputs2"/>
      <sheetName val="FP20DB_(3)2"/>
      <sheetName val="Курс_валют2"/>
      <sheetName val="Другие_расходы2"/>
      <sheetName val="Форма_4_кап_зат-ты_(2)2"/>
      <sheetName val="2006_AJE_RJE2"/>
      <sheetName val="стр_245_(2)2"/>
      <sheetName val="Сдача_2"/>
      <sheetName val="МО_00122"/>
      <sheetName val="14_1_2_2_(Услуги_связи)2"/>
      <sheetName val="13_NGDO2"/>
      <sheetName val="__2_3_22"/>
      <sheetName val="12_из_57_АЗС2"/>
      <sheetName val="постоянные_затраты2"/>
      <sheetName val="7_12"/>
      <sheetName val="Пр_412"/>
      <sheetName val="Russia_Print_Version2"/>
      <sheetName val="2кв_2"/>
      <sheetName val="Non-Statistical_Sampling_Maste2"/>
      <sheetName val="Global_Data2"/>
      <sheetName val="H3_100_Rollforward2"/>
      <sheetName val="MACRO2_XLM2"/>
      <sheetName val="U-ZR_AT1_XLS2"/>
      <sheetName val="План_произв-ва_(мес_)_(бюджет)2"/>
      <sheetName val="Инв_вл2"/>
      <sheetName val="факт_2005_г_2"/>
      <sheetName val="д_7_0012"/>
      <sheetName val="свод_грузоотпр_2"/>
      <sheetName val="Итоговая_таблица2"/>
      <sheetName val="I_KEY_INFORMATION2"/>
      <sheetName val="почтов_2"/>
      <sheetName val="6НК-cт_2"/>
      <sheetName val="Interco_payables&amp;receivables2"/>
      <sheetName val="ГСМ_Гараж2"/>
      <sheetName val="ГСМ_по_инвест2"/>
      <sheetName val="Запчасти_Гараж2"/>
      <sheetName val="Стор_Орг_РМУ2"/>
      <sheetName val="Материалы_РМУ2"/>
      <sheetName val="Постановка_на_учет_авто2"/>
      <sheetName val="Размножение_проектов2"/>
      <sheetName val="материалы_ВДГО2"/>
      <sheetName val="Тех_осмотр2"/>
      <sheetName val="Проект_12"/>
      <sheetName val="Объем_ВДГО2"/>
      <sheetName val="Фин_обязат_2"/>
      <sheetName val="спецпит,проездн_2"/>
      <sheetName val="коммун_2"/>
      <sheetName val="Служебный_ФКРБ1"/>
      <sheetName val="Источник_финансирования1"/>
      <sheetName val="Способ_закупки1"/>
      <sheetName val="Тип_пункта_плана1"/>
      <sheetName val="FA_Movement_Kyrg1"/>
      <sheetName val="SA_Procedures1"/>
      <sheetName val="ввод-вывод_ОС_авг2004-_20051"/>
      <sheetName val="FA_Movement_1"/>
      <sheetName val="depreciation_testing1"/>
      <sheetName val="ТД_РАП1"/>
      <sheetName val="доп_дан_1"/>
      <sheetName val="исп_см_"/>
      <sheetName val="Cash_flows_-_PBC"/>
      <sheetName val="ГМ_1"/>
      <sheetName val="6НК _x000a_"/>
      <sheetName val="_x000a__x000a_"/>
      <sheetName val="6НК__x000a_"/>
      <sheetName val="Служебный_ФК厈-"/>
      <sheetName val="Служебный_ФК恔"/>
      <sheetName val="Служебный_ФК皸ɫ"/>
      <sheetName val="Служебный_ФК"/>
      <sheetName val="Служебный_ФК悄,"/>
      <sheetName val="Служебный_ФК⽄"/>
      <sheetName val="Служебный_ФК⽬"/>
      <sheetName val="Служебный_ФК嵔_"/>
      <sheetName val="Служебный_ФК峔("/>
      <sheetName val="Служебный_ФК『"/>
      <sheetName val="Служебный_ФК⿯"/>
      <sheetName val="Служебный_ФКૐǪ"/>
      <sheetName val="Служебный_ФК　"/>
      <sheetName val="Залоги c RS"/>
      <sheetName val="6НК/"/>
      <sheetName val="[form.xls]6НК/"/>
      <sheetName val="[form.xls][form.xls]6НК/"/>
      <sheetName val="ОПГЗ"/>
      <sheetName val="План ГЗ"/>
      <sheetName val="Вид предмета"/>
      <sheetName val="Год"/>
      <sheetName val="Месяцы"/>
      <sheetName val="ЭКРБ"/>
      <sheetName val="Фонд"/>
      <sheetName val="[form.xls]6НК/_x0000_�¹"/>
      <sheetName val="Служебный ФК?_x001f_"/>
      <sheetName val="Служебный ФК?_x0012_"/>
      <sheetName val="План_произв-в_x0006__x000c__x0007__x000f__x0010__x0011__x0007__x0007_贰΢ǅ_x0000_Ā_x0000__x0000__x0000__x0000_"/>
      <sheetName val="БРК УЖ"/>
      <sheetName val="Служебный ФК悤_x001d_"/>
      <sheetName val="5"/>
      <sheetName val="4b - P&amp;L ProductLine"/>
      <sheetName val="4a - Revenue ProductLine"/>
      <sheetName val="5a - Orders analysis"/>
      <sheetName val="8 - Receivables"/>
      <sheetName val="D1 - Balances input"/>
      <sheetName val="D3 - DBmagn"/>
      <sheetName val="Precios"/>
      <sheetName val="Исх.данные"/>
      <sheetName val="распределение модели"/>
      <sheetName val="цеховые"/>
      <sheetName val="misc"/>
      <sheetName val="-расчет налогов от ФОТ  на 2014"/>
      <sheetName val="Форма3.6"/>
      <sheetName val="MetaData"/>
      <sheetName val="fish"/>
      <sheetName val="16.12"/>
      <sheetName val="ЛСЦ начисленное на 31.12.08"/>
      <sheetName val="ЛЛизинг начис. на 31.12.08"/>
      <sheetName val="ВОЛС"/>
      <sheetName val="Keys"/>
      <sheetName val="18."/>
      <sheetName val="08."/>
      <sheetName val="11."/>
      <sheetName val="14."/>
      <sheetName val="15."/>
      <sheetName val="05."/>
      <sheetName val="09."/>
      <sheetName val="04."/>
      <sheetName val="19."/>
      <sheetName val="01."/>
      <sheetName val="17."/>
      <sheetName val="07."/>
      <sheetName val="06."/>
      <sheetName val="16."/>
      <sheetName val="10."/>
      <sheetName val="28."/>
      <sheetName val="13."/>
      <sheetName val="03."/>
      <sheetName val="29."/>
      <sheetName val="30."/>
      <sheetName val="31."/>
      <sheetName val="27."/>
      <sheetName val="12."/>
      <sheetName val="20."/>
      <sheetName val="24."/>
      <sheetName val="25."/>
      <sheetName val="02."/>
      <sheetName val="21."/>
      <sheetName val="26."/>
      <sheetName val="23."/>
      <sheetName val="22."/>
      <sheetName val="altai income statement"/>
      <sheetName val="-расчет_налогов_от_ФОТ__на_2014"/>
      <sheetName val="Форма3_6"/>
      <sheetName val="6 NK"/>
      <sheetName val="1кв. "/>
      <sheetName val="замер"/>
      <sheetName val="78"/>
      <sheetName val="PM-TE"/>
      <sheetName val="Test"/>
      <sheetName val="Settings"/>
      <sheetName val="Трафик по АУП"/>
      <sheetName val="Трафик по ЦБПТО"/>
      <sheetName val="Трафик по ПНУ"/>
      <sheetName val="Трафик по ЖНУ"/>
      <sheetName val="Трафик по ШНУ"/>
      <sheetName val="PIT&amp;PP(2)"/>
      <sheetName val="Links"/>
      <sheetName val="Production_analysis"/>
      <sheetName val="N"/>
      <sheetName val="breakdown"/>
      <sheetName val="P&amp;L"/>
      <sheetName val="Provisions"/>
      <sheetName val="FA depreciation"/>
      <sheetName val="Profiles"/>
      <sheetName val="Wells"/>
      <sheetName val="InputTI"/>
      <sheetName val="153541"/>
      <sheetName val="CD-실적"/>
      <sheetName val="Additions_Disposals"/>
      <sheetName val="без НДС"/>
      <sheetName val="6НК吀ᥢഀ榃"/>
      <sheetName val="[form.xls][form.xls]6НК/_x0000_�¹"/>
      <sheetName val="Трафик_по_АУП"/>
      <sheetName val="Трафик_по_ЦБПТО"/>
      <sheetName val="Трафик_по_ПНУ"/>
      <sheetName val="Трафик_по_ЖНУ"/>
      <sheetName val="Трафик_по_ШНУ"/>
      <sheetName val="18_"/>
      <sheetName val="08_"/>
      <sheetName val="11_"/>
      <sheetName val="14_"/>
      <sheetName val="15_"/>
      <sheetName val="05_"/>
      <sheetName val="09_"/>
      <sheetName val="04_"/>
      <sheetName val="19_"/>
      <sheetName val="01_"/>
      <sheetName val="17_"/>
      <sheetName val="07_"/>
      <sheetName val="06_"/>
      <sheetName val="16_"/>
      <sheetName val="10_"/>
      <sheetName val="28_"/>
      <sheetName val="13_"/>
      <sheetName val="03_"/>
      <sheetName val="29_"/>
      <sheetName val="30_"/>
      <sheetName val="31_"/>
      <sheetName val="27_"/>
      <sheetName val="12_"/>
      <sheetName val="20_"/>
      <sheetName val="24_"/>
      <sheetName val="25_"/>
      <sheetName val="02_"/>
      <sheetName val="21_"/>
      <sheetName val="26_"/>
      <sheetName val="23_"/>
      <sheetName val="22_"/>
      <sheetName val="altai_income_statement"/>
      <sheetName val="Assumptions"/>
      <sheetName val="эксп"/>
      <sheetName val="1кв__"/>
      <sheetName val="2БО"/>
      <sheetName val="6_NK"/>
      <sheetName val="Все ТЭП"/>
      <sheetName val="1БК"/>
      <sheetName val="Ôîðìà2"/>
      <sheetName val="Ïàìÿòêà"/>
      <sheetName val="Ôîðìà1"/>
      <sheetName val="Ôîðìà3"/>
      <sheetName val="Ôîðìà4"/>
      <sheetName val="Ôîðìà5"/>
      <sheetName val="Ôîðìà6"/>
      <sheetName val="Ôîðìà7"/>
      <sheetName val="Ôîðìà8"/>
      <sheetName val="èç ñåì"/>
      <sheetName val="Ïð2"/>
      <sheetName val="ÅäÈçì"/>
      <sheetName val="Ïðåäïð"/>
      <sheetName val="-расчет_налогов_от_ФОТ__на_2011"/>
      <sheetName val="Форма3_61"/>
      <sheetName val="16_12"/>
      <sheetName val="4b_-_P&amp;L_ProductLine"/>
      <sheetName val="4a_-_Revenue_ProductLine"/>
      <sheetName val="5a_-_Orders_analysis"/>
      <sheetName val="8_-_Receivables"/>
      <sheetName val="D1_-_Balances_input"/>
      <sheetName val="D3_-_DBmagn"/>
      <sheetName val="ЛСЦ_начисленное_на_31_12_08"/>
      <sheetName val="ЛЛизинг_начис__на_31_12_08"/>
      <sheetName val="тиме"/>
      <sheetName val="Исх"/>
      <sheetName val="[form.xls][form.xls]6НК/_x0000_렀£"/>
      <sheetName val="План_произв-в_x0006__x000c__x0007__x000f__x0010__x0011__x0007__x0007_贰΢ǅ"/>
      <sheetName val="Project Detail Inputs"/>
      <sheetName val="ВСДС_1 (MAIN)"/>
      <sheetName val="6НК쌊 /_x0000_"/>
      <sheetName val="14"/>
      <sheetName val="Трафик_по_АУП1"/>
      <sheetName val="Трафик_по_ЦБПТО1"/>
      <sheetName val="Трафик_по_ПНУ1"/>
      <sheetName val="Трафик_по_ЖНУ1"/>
      <sheetName val="Трафик_по_ШНУ1"/>
      <sheetName val="18_1"/>
      <sheetName val="08_1"/>
      <sheetName val="11_1"/>
      <sheetName val="14_1"/>
      <sheetName val="15_1"/>
      <sheetName val="05_1"/>
      <sheetName val="09_1"/>
      <sheetName val="Затраты утил.ТБО"/>
      <sheetName val="Админ и ОPEX 2010-12гг"/>
      <sheetName val="14_1_2_2__Услуги связи_"/>
      <sheetName val="Общие данные"/>
      <sheetName val="ПАРАМ"/>
      <sheetName val="канат.прод."/>
      <sheetName val="канат_прод_"/>
      <sheetName val="ноябрь_-_декабрь"/>
      <sheetName val="Ф3"/>
      <sheetName val="4НК"/>
      <sheetName val="LTM"/>
      <sheetName val="CREDIT STATS"/>
      <sheetName val="DropZone"/>
      <sheetName val="Analitics"/>
      <sheetName val="Test of FA Installation"/>
      <sheetName val="Additions"/>
      <sheetName val="Расчет объема СУИБ"/>
      <sheetName val="Энергия"/>
      <sheetName val="FS-97"/>
      <sheetName val="всп"/>
      <sheetName val="Staff"/>
      <sheetName val="Пром1"/>
      <sheetName val="Ural med"/>
      <sheetName val="НДПИ"/>
      <sheetName val="CONB001A_010_30"/>
      <sheetName val="Store"/>
      <sheetName val="КС 2018"/>
      <sheetName val="Lists"/>
      <sheetName val="Коэфф"/>
      <sheetName val="98-02E&amp;PSUM"/>
      <sheetName val="Input TI"/>
      <sheetName val="3.ФОТ"/>
      <sheetName val="4.Налоги"/>
      <sheetName val="Конс "/>
      <sheetName val="Актив(1)"/>
      <sheetName val="Служебный ФК _x0000_"/>
      <sheetName val="6НК  _x0009__x000d_"/>
      <sheetName val="_x0000_ _x0000__x000a__x0000_ _x0000__x000a__x0000_ _x0000_ _x0000_ "/>
      <sheetName val="Служебный ФК恔 "/>
      <sheetName val="Служебный ФК "/>
      <sheetName val="Служебный ФК  "/>
      <sheetName val="6НК   _x000d_"/>
      <sheetName val="6НК/_x0000_蠀 "/>
      <sheetName val="[form.xls]6НК/_x0000_蠀 "/>
      <sheetName val="Служебный ФК "/>
      <sheetName val="6НК/_x0000_ ¹"/>
      <sheetName val="[form.xls][form.xls]6НК/_x0000_蠀 "/>
      <sheetName val="Индексы перероценки"/>
      <sheetName val="6НК/_x0000_ó"/>
      <sheetName val="Конфигурация МАКРО"/>
      <sheetName val="Product Assumptions"/>
      <sheetName val="ConsumptionPerUnit"/>
      <sheetName val="14.1.8.11.(Прочие)"/>
      <sheetName val="Все виды материалов D`1-18"/>
      <sheetName val="01-45"/>
      <sheetName val="b-4"/>
      <sheetName val="Sheet3"/>
      <sheetName val="6НК쌊 /"/>
      <sheetName val="ожид ФОТ_2010_форма1"/>
      <sheetName val="свод ФОТ"/>
      <sheetName val="расчет премии за 4 кв_12г"/>
      <sheetName val="ФОТ_2013 (2)"/>
      <sheetName val="Ком услуги аренды"/>
      <sheetName val="СВОД по НД расх"/>
      <sheetName val="Свод Мат по Тр 2012"/>
      <sheetName val="февраль"/>
      <sheetName val="VI REVENUE OOD"/>
      <sheetName val="IIb P&amp;L short"/>
      <sheetName val="IV REVENUE ROOMS"/>
      <sheetName val="IV REVENUE  F&amp;B"/>
      <sheetName val="COS"/>
      <sheetName val="пассоб"/>
      <sheetName val="Royalty"/>
      <sheetName val="пост. пар."/>
      <sheetName val="CURCURS"/>
      <sheetName val="КАТО"/>
      <sheetName val="Фин. пок-ли"/>
      <sheetName val="DCF"/>
      <sheetName val="Prep"/>
      <sheetName val="Utility"/>
      <sheetName val="ГБ"/>
      <sheetName val="Вып_П_П_"/>
      <sheetName val="План_произв-в贰΢ǅĀ"/>
      <sheetName val="6НК/蠀"/>
      <sheetName val="Summary_&amp;_Variables"/>
      <sheetName val="Служебный_ФК1"/>
      <sheetName val="[form_xls]6НК/쀀"/>
      <sheetName val="[form_xls]6НК/栀)"/>
      <sheetName val="[form_xls]6НК/瀀à"/>
      <sheetName val="[form_xls]6НК/⠀´"/>
      <sheetName val="[form_xls]6НК/ࠀµ"/>
      <sheetName val="[form_xls]6НК/쀀Ø"/>
      <sheetName val="[form_xls]6НК/蠀"/>
      <sheetName val="[form_xls]6НК/ü"/>
      <sheetName val="[form_xls]6НК/£"/>
      <sheetName val="[form_xls]6НК/蠀"/>
      <sheetName val="[form_xls]6НК/頀K"/>
      <sheetName val="[form_xls][form_xls]6НК/쀀"/>
      <sheetName val="[form_xls][form_xls]6НК/栀)"/>
      <sheetName val="[form_xls][form_xls]6НК/瀀à"/>
      <sheetName val="[form_xls][form_xls]6НК/⠀´"/>
      <sheetName val="[form_xls][form_xls]6НК/ࠀµ"/>
      <sheetName val="[form_xls][form_xls]6НК/쀀Ø"/>
      <sheetName val="[form_xls][form_xls]6НК/蠀"/>
      <sheetName val="[form_xls][form_xls]6НК/ü"/>
      <sheetName val="[form_xls][form_xls]6НК/£"/>
      <sheetName val="[form_xls][form_xls]6НК/蠀"/>
      <sheetName val="[form_xls][form_xls]6НК/頀K"/>
      <sheetName val="Comp"/>
      <sheetName val="показатели"/>
      <sheetName val="рев дф (1.08.) (3)"/>
      <sheetName val="Фонд 15гор"/>
      <sheetName val="List of Functions"/>
      <sheetName val="WBS98"/>
      <sheetName val="Chart_data"/>
      <sheetName val="Управление"/>
      <sheetName val="input_data"/>
      <sheetName val="Финбюджет свод "/>
      <sheetName val="MS"/>
      <sheetName val="ïîñòàâêà ñðàâí13"/>
      <sheetName val="акт10"/>
      <sheetName val="Служебные справочники"/>
      <sheetName val="c 25"/>
      <sheetName val="Master Inputs Start here"/>
      <sheetName val="1 квартал"/>
      <sheetName val="консалт"/>
      <sheetName val="6НК_x0007__x001c_  "/>
      <sheetName val="6НК/_x0000_瀀G"/>
      <sheetName val="6НК0_x0000_#"/>
      <sheetName val="6НК0_x0000_Å"/>
      <sheetName val="6НК예썘/_x0000_"/>
      <sheetName val="1610"/>
      <sheetName val="1210"/>
      <sheetName val="Drop-Downs"/>
      <sheetName val="Resource Sheet"/>
      <sheetName val="Main Sheet"/>
      <sheetName val="фот_пп2000разби㑠ു੶⿖"/>
      <sheetName val="фот_пп2000разби골ೡ੶⽢"/>
      <sheetName val="июль ппд(факт)"/>
      <sheetName val="25.07.08г (2)"/>
      <sheetName val="Бонды стр.341"/>
      <sheetName val="6НК예썘/"/>
      <sheetName val="поч԰_x0000_缀_x0000_"/>
      <sheetName val="6НКက_x0000_퀀ѫ"/>
      <sheetName val="почЀⵟഀꚃ"/>
      <sheetName val="Production"/>
      <sheetName val="План_ГЗ"/>
      <sheetName val="Вид_предмета"/>
      <sheetName val="АлЭС"/>
      <sheetName val="[form.xls][form.xls]_form_xls_2"/>
      <sheetName val="[form.xls][form.xls]_form_xls_3"/>
      <sheetName val="[form.xls][form.xls]_form_xls_4"/>
      <sheetName val="[form.xls][form.xls]_form_xls_5"/>
      <sheetName val="[form.xls][form.xls]_form_xls_6"/>
      <sheetName val="[form.xls][form.xls]_form_xls_7"/>
      <sheetName val="25. Hidden"/>
      <sheetName val="2. Inputs"/>
      <sheetName val="мат расходы"/>
      <sheetName val="Шт расписание"/>
      <sheetName val="Prelim Cost"/>
      <sheetName val="PY misstatements"/>
      <sheetName val="A4-1&amp;2"/>
      <sheetName val="TPC con vs bdg"/>
      <sheetName val="Planned VoWD"/>
      <sheetName val="KONSOLID"/>
      <sheetName val="Код_ГТМ"/>
      <sheetName val="Lead"/>
      <sheetName val="Threshold Table"/>
      <sheetName val="Простой 5-10 тн"/>
      <sheetName val="3.3.31."/>
      <sheetName val="TMP"/>
      <sheetName val="год(отг)"/>
      <sheetName val="год(опл)"/>
      <sheetName val="бланк"/>
      <sheetName val="Лист4"/>
      <sheetName val="Лист7"/>
      <sheetName val="Лист8"/>
      <sheetName val="Лист9"/>
      <sheetName val="Лист10"/>
      <sheetName val="Лист11"/>
      <sheetName val="Лист12"/>
      <sheetName val="Лист13"/>
      <sheetName val="Лист14"/>
      <sheetName val="Лист15"/>
      <sheetName val="Лист16"/>
      <sheetName val="????3"/>
      <sheetName val="OTCGOD99"/>
      <sheetName val="МП не вход.ФОТ"/>
      <sheetName val="Запрос"/>
      <sheetName val="month"/>
      <sheetName val="численность"/>
      <sheetName val="МП_не_вход_ФОТ"/>
      <sheetName val="Gas1999"/>
      <sheetName val="IS2000"/>
      <sheetName val="поч԰"/>
      <sheetName val="6НКက"/>
      <sheetName val="сводУМЗ"/>
      <sheetName val="Acct Numb"/>
      <sheetName val="Pivot"/>
      <sheetName val="Variants"/>
      <sheetName val="FA_depreciation"/>
      <sheetName val="PY_misstatements"/>
      <sheetName val="treatment summary"/>
      <sheetName val="sheet0"/>
      <sheetName val="25__Hidden"/>
      <sheetName val="2__Inputs"/>
      <sheetName val="новая _5"/>
      <sheetName val="FA database (production)299"/>
      <sheetName val="Бюдж-тенге"/>
      <sheetName val="运行成本 OPEX"/>
      <sheetName val="_x000e__x000a__x0008__x000a__x000b__x0010__x0007_"/>
      <sheetName val=" _x000a_ _x000a_   "/>
      <sheetName val="6НК/ ¹"/>
      <sheetName val="O_GLOBE"/>
      <sheetName val="Лв 1715 (сб)"/>
      <sheetName val="1.401.2"/>
      <sheetName val="Приход по вагонам"/>
      <sheetName val="ОГВ"/>
      <sheetName val="3А КНС"/>
      <sheetName val="ТМЗ-6"/>
      <sheetName val="Qпр(12)"/>
      <sheetName val="тех"/>
      <sheetName val="замерная 11"/>
      <sheetName val="общ Дф 01.11."/>
      <sheetName val="Capex_KZT"/>
      <sheetName val="Sheet5"/>
      <sheetName val="Справочник профессий"/>
      <sheetName val="Об-я св-а"/>
      <sheetName val="2_2_6_"/>
      <sheetName val="общ.фонд  "/>
      <sheetName val="Схема доплат"/>
      <sheetName val="Повышающие коэф ОМГ"/>
      <sheetName val="Foglio1"/>
      <sheetName val="Gen Data"/>
      <sheetName val="instruqcia"/>
      <sheetName val="1НК_объемы"/>
      <sheetName val="бензин по авто"/>
      <sheetName val="Др адм"/>
      <sheetName val="Осн.ср-ва"/>
      <sheetName val="не удалять!"/>
      <sheetName val="ÑïèñîêÒÝÏ"/>
      <sheetName val="Свод тех.харак"/>
      <sheetName val="Расчет"/>
      <sheetName val="Ф-13"/>
      <sheetName val="Шым"/>
      <sheetName val="р-ны"/>
      <sheetName val="кол-во договоров ОЗ"/>
      <sheetName val="вх.исх.корр"/>
      <sheetName val="площадь"/>
      <sheetName val="орг.тех"/>
      <sheetName val="приборы"/>
      <sheetName val="Мат.пом"/>
      <sheetName val="НД_2017"/>
      <sheetName val="D_Opex"/>
      <sheetName val="031218"/>
      <sheetName val="хим.реаг."/>
      <sheetName val="БПО"/>
      <sheetName val="PY Audit WP 2011"/>
      <sheetName val="общ скв"/>
      <sheetName val="6НК    "/>
      <sheetName val="00. ОСВ"/>
      <sheetName val="Добыча_нефти47"/>
      <sheetName val="прочие_стор4"/>
      <sheetName val="услуги_прочие4"/>
      <sheetName val="Выкуп_порталов4"/>
      <sheetName val="обуч_(2)4"/>
      <sheetName val="прочие_стор_(2)4"/>
      <sheetName val="ком_(2)4"/>
      <sheetName val="КВЛ_(2)4"/>
      <sheetName val="прочие_расходы4"/>
      <sheetName val="шт_(2)4"/>
      <sheetName val="аренда_(2)4"/>
      <sheetName val="прогноз_движения_денег_в_ежеме4"/>
      <sheetName val="ОПиУ_в_ежемес_4"/>
      <sheetName val="GAAP_TB_31_12_01__detail_p&amp;l4"/>
      <sheetName val="Б_мчас_(П)4"/>
      <sheetName val="АПК_реформа4"/>
      <sheetName val="из_сем7"/>
      <sheetName val="PP&amp;E_mvt_for_20034"/>
      <sheetName val="2008_ГСМ4"/>
      <sheetName val="Плата_за_загрязнение_4"/>
      <sheetName val="факс(2005-20гг_)4"/>
      <sheetName val="поставка_сравн134"/>
      <sheetName val="1_(2)3"/>
      <sheetName val="2_2_ОтклОТМ8"/>
      <sheetName val="1_3_2_ОТМ8"/>
      <sheetName val="Cost_99v984"/>
      <sheetName val="cant_sim4"/>
      <sheetName val="Production_Ref_Q-1-34"/>
      <sheetName val="фот_пп2000разбивка4"/>
      <sheetName val="ЗАО_н_ит4"/>
      <sheetName val="Financial_ratios_А34"/>
      <sheetName val="2_2_ОтклОТМ9"/>
      <sheetName val="1_3_2_ОТМ9"/>
      <sheetName val="U2_775_-_COGS_comparison_per_s4"/>
      <sheetName val="I__Прогноз_доходов4"/>
      <sheetName val="ОТЧЕТ_КТЖ_01_01_093"/>
      <sheetName val="8180_(8181,8182)3"/>
      <sheetName val="Balance_Sheet3"/>
      <sheetName val="1_вариант__2009_3"/>
      <sheetName val="Список_документов3"/>
      <sheetName val="GAAP_TB_30_09_01__detail_p&amp;l3"/>
      <sheetName val="O_500_Property_Tax3"/>
      <sheetName val="форма_3_смета_затрат3"/>
      <sheetName val="ТД_РАП2"/>
      <sheetName val="Спр__раб_3"/>
      <sheetName val="Авансы_уплач,деньги_в_регионах5"/>
      <sheetName val="Авансы_уплач,деньги_в_регионах6"/>
      <sheetName val="PLтв_-_Б3"/>
      <sheetName val="$_IS3"/>
      <sheetName val="Собственный_капитал4"/>
      <sheetName val="Служебный_ФКРБ2"/>
      <sheetName val="Источник_финансирования2"/>
      <sheetName val="Способ_закупки2"/>
      <sheetName val="Тип_пункта_плана2"/>
      <sheetName val="FA_Movement_Kyrg3"/>
      <sheetName val="Non-Statistical_Sampling_Maste4"/>
      <sheetName val="Global_Data4"/>
      <sheetName val="US_Dollar_20037"/>
      <sheetName val="SDR_20037"/>
      <sheetName val="Control_Settings4"/>
      <sheetName val="GTM_BK4"/>
      <sheetName val="Consolidator_Inputs4"/>
      <sheetName val="7_14"/>
      <sheetName val="FP20DB_(3)4"/>
      <sheetName val="Курс_валют4"/>
      <sheetName val="Другие_расходы4"/>
      <sheetName val="Форма_4_кап_зат-ты_(2)4"/>
      <sheetName val="2006_AJE_RJE4"/>
      <sheetName val="стр_245_(2)4"/>
      <sheetName val="Сдача_4"/>
      <sheetName val="МО_00124"/>
      <sheetName val="14_1_2_2_(Услуги_связи)4"/>
      <sheetName val="13_NGDO4"/>
      <sheetName val="__2_3_24"/>
      <sheetName val="12_из_57_АЗС4"/>
      <sheetName val="постоянные_затраты4"/>
      <sheetName val="H3_100_Rollforward4"/>
      <sheetName val="SA_Procedures3"/>
      <sheetName val="Пр_414"/>
      <sheetName val="ввод-вывод_ОС_авг2004-_20053"/>
      <sheetName val="Russia_Print_Version4"/>
      <sheetName val="2кв_4"/>
      <sheetName val="MACRO2_XLM4"/>
      <sheetName val="U-ZR_AT1_XLS4"/>
      <sheetName val="План_произв-ва_(мес_)_(бюджет)4"/>
      <sheetName val="Инв_вл4"/>
      <sheetName val="факт_2005_г_4"/>
      <sheetName val="д_7_0014"/>
      <sheetName val="свод_грузоотпр_4"/>
      <sheetName val="Итоговая_таблица4"/>
      <sheetName val="I_KEY_INFORMATION4"/>
      <sheetName val="почтов_4"/>
      <sheetName val="6НК-cт_4"/>
      <sheetName val="Interco_payables&amp;receivables4"/>
      <sheetName val="ГСМ_Гараж3"/>
      <sheetName val="ГСМ_по_инвест3"/>
      <sheetName val="Запчасти_Гараж3"/>
      <sheetName val="Стор_Орг_РМУ3"/>
      <sheetName val="Материалы_РМУ3"/>
      <sheetName val="Постановка_на_учет_авто3"/>
      <sheetName val="Размножение_проектов3"/>
      <sheetName val="материалы_ВДГО3"/>
      <sheetName val="Тех_осмотр3"/>
      <sheetName val="Проект_13"/>
      <sheetName val="Объем_ВДГО3"/>
      <sheetName val="Фин_обязат_3"/>
      <sheetName val="спецпит,проездн_3"/>
      <sheetName val="K-800_Imp__test3"/>
      <sheetName val="FA_register3"/>
      <sheetName val="коммун_3"/>
      <sheetName val="Бюджет_тек__затрат3"/>
      <sheetName val="ГМ_3"/>
      <sheetName val="6НК__x000a_2"/>
      <sheetName val="Служебный_ФК皸ɫ1"/>
      <sheetName val="Служебный_ФК悄,1"/>
      <sheetName val="Служебный_ФК厈-1"/>
      <sheetName val="Служебный_ФК⽄1"/>
      <sheetName val="Служебный_ФК⽬1"/>
      <sheetName val="Служебный_ФК嵔_1"/>
      <sheetName val="Служебный_ФК峔(1"/>
      <sheetName val="Служебный_ФКૐǪ1"/>
      <sheetName val="Служебный_ФК⿯1"/>
      <sheetName val="Служебный_ФК『1"/>
      <sheetName val="Служебный_ФК　1"/>
      <sheetName val="FA_Movement_3"/>
      <sheetName val="depreciation_testing3"/>
      <sheetName val="доп_дан_2"/>
      <sheetName val="ноябрь_-_декабрь2"/>
      <sheetName val="Summary_&amp;_Variables1"/>
      <sheetName val="Служебный_ФК2"/>
      <sheetName val="_По_скв1"/>
      <sheetName val="[form_xls]6НК/¹"/>
      <sheetName val="исп_см_2"/>
      <sheetName val="Cash_flows_-_PBC2"/>
      <sheetName val="[form_xls]6НК/렀£"/>
      <sheetName val="[form_xls][form_xls]6НК/¹"/>
      <sheetName val="Вып_П_П_1"/>
      <sheetName val="КР_з_ч1"/>
      <sheetName val="4b_-_P&amp;L_ProductLine2"/>
      <sheetName val="4a_-_Revenue_ProductLine2"/>
      <sheetName val="5a_-_Orders_analysis2"/>
      <sheetName val="8_-_Receivables2"/>
      <sheetName val="D1_-_Balances_input2"/>
      <sheetName val="D3_-_DBmagn2"/>
      <sheetName val="Исх_данные1"/>
      <sheetName val="распределение_модели1"/>
      <sheetName val="-расчет_налогов_от_ФОТ__на_2013"/>
      <sheetName val="Форма3_63"/>
      <sheetName val="16_122"/>
      <sheetName val="ЛСЦ_начисленное_на_31_12_082"/>
      <sheetName val="ЛЛизинг_начис__на_31_12_082"/>
      <sheetName val="18_3"/>
      <sheetName val="08_3"/>
      <sheetName val="11_3"/>
      <sheetName val="14_3"/>
      <sheetName val="15_3"/>
      <sheetName val="05_3"/>
      <sheetName val="09_3"/>
      <sheetName val="04_2"/>
      <sheetName val="19_2"/>
      <sheetName val="01_2"/>
      <sheetName val="17_2"/>
      <sheetName val="07_2"/>
      <sheetName val="06_2"/>
      <sheetName val="16_2"/>
      <sheetName val="10_2"/>
      <sheetName val="28_2"/>
      <sheetName val="13_2"/>
      <sheetName val="03_2"/>
      <sheetName val="29_2"/>
      <sheetName val="30_2"/>
      <sheetName val="31_2"/>
      <sheetName val="27_2"/>
      <sheetName val="12_2"/>
      <sheetName val="20_2"/>
      <sheetName val="24_2"/>
      <sheetName val="25_2"/>
      <sheetName val="02_2"/>
      <sheetName val="21_2"/>
      <sheetName val="26_2"/>
      <sheetName val="23_2"/>
      <sheetName val="22_2"/>
      <sheetName val="altai_income_statement2"/>
      <sheetName val="6_NK2"/>
      <sheetName val="1кв__2"/>
      <sheetName val="Трафик_по_АУП3"/>
      <sheetName val="Трафик_по_ЦБПТО3"/>
      <sheetName val="Трафик_по_ПНУ3"/>
      <sheetName val="Трафик_по_ЖНУ3"/>
      <sheetName val="Трафик_по_ШНУ3"/>
      <sheetName val="FA_depreciation1"/>
      <sheetName val="без_НДС1"/>
      <sheetName val="Служебный_ФК悤"/>
      <sheetName val="Служебный_ФК?"/>
      <sheetName val="[form_xls]6НК/1"/>
      <sheetName val="[form_xls][form_xls]6НК/1"/>
      <sheetName val="БРК_УЖ1"/>
      <sheetName val="БРК_ЮКО_свод1"/>
      <sheetName val="Сбер_14501"/>
      <sheetName val="Сбер_13001"/>
      <sheetName val="Сбер_25001"/>
      <sheetName val="Сбер_37501"/>
      <sheetName val="Все_ТЭП1"/>
      <sheetName val="èç_ñåì1"/>
      <sheetName val="План_произв-в贰΢ǅ"/>
      <sheetName val="Залоги_c_RS1"/>
      <sheetName val="Индексы_перероценки1"/>
      <sheetName val="Project_Detail_Inputs1"/>
      <sheetName val="ВСДС_1_(MAIN)1"/>
      <sheetName val="[form_xls][form_xls]6НК/렀£"/>
      <sheetName val="План_ГЗ1"/>
      <sheetName val="Вид_предмета1"/>
      <sheetName val="Служебный_ФК_"/>
      <sheetName val="6НК____x000a_2"/>
      <sheetName val="__x000a___x000a____"/>
      <sheetName val="Служебный_ФК恔_1"/>
      <sheetName val="Служебный_ФК_1"/>
      <sheetName val="Служебный_ФК__1"/>
      <sheetName val="6НК____x000a_"/>
      <sheetName val="6НК/蠀_"/>
      <sheetName val="[form_xls]6НК/蠀_"/>
      <sheetName val="Служебный_ФК_1"/>
      <sheetName val="6НК/_¹"/>
      <sheetName val="[form_xls][form_xls]6НК/蠀_"/>
      <sheetName val="Затраты_утил_ТБО1"/>
      <sheetName val="Админ_и_ОPEX_2010-12гг1"/>
      <sheetName val="14_1_2_2__Услуги_связи_1"/>
      <sheetName val="Общие_данные1"/>
      <sheetName val="канат_прод_2"/>
      <sheetName val="CREDIT_STATS1"/>
      <sheetName val="Test_of_FA_Installation1"/>
      <sheetName val="Расчет_объема_СУИБ1"/>
      <sheetName val="Ural_med1"/>
      <sheetName val="КС_20181"/>
      <sheetName val="Input_TI1"/>
      <sheetName val="3_ФОТ1"/>
      <sheetName val="4_Налоги1"/>
      <sheetName val="Конс_1"/>
      <sheetName val="Фин__пок-ли1"/>
      <sheetName val="Проектные_работы1"/>
      <sheetName val="Спецтехника,_оборудование,_баз1"/>
      <sheetName val="Первоначальные_условия1"/>
      <sheetName val="VI_REVENUE_OOD1"/>
      <sheetName val="IIb_P&amp;L_short1"/>
      <sheetName val="IV_REVENUE_ROOMS1"/>
      <sheetName val="IV_REVENUE__F&amp;B1"/>
      <sheetName val="расчет_премии_за_4_кв_12г1"/>
      <sheetName val="ФОТ_2013_(2)1"/>
      <sheetName val="Ком_услуги_аренды1"/>
      <sheetName val="СВОД_по_НД_расх1"/>
      <sheetName val="Свод_Мат_по_Тр_20121"/>
      <sheetName val="Конфигурация_МАКРО1"/>
      <sheetName val="Product_Assumptions1"/>
      <sheetName val="14_1_8_11_(Прочие)1"/>
      <sheetName val="Все_виды_материалов_D`1-181"/>
      <sheetName val="ожид_ФОТ_2010_форма11"/>
      <sheetName val="свод_ФОТ1"/>
      <sheetName val="из_сем6"/>
      <sheetName val="2_2_ОтклОТМ6"/>
      <sheetName val="1_3_2_ОТМ6"/>
      <sheetName val="Cost_99v983"/>
      <sheetName val="cant_sim3"/>
      <sheetName val="Production_Ref_Q-1-33"/>
      <sheetName val="фот_пп2000разбивка3"/>
      <sheetName val="ЗАО_н_ит3"/>
      <sheetName val="Financial_ratios_А33"/>
      <sheetName val="2_2_ОтклОТМ7"/>
      <sheetName val="1_3_2_ОТМ7"/>
      <sheetName val="U2_775_-_COGS_comparison_per_s3"/>
      <sheetName val="I__Прогноз_доходов3"/>
      <sheetName val="Собственный_капитал3"/>
      <sheetName val="FA_Movement_Kyrg2"/>
      <sheetName val="Non-Statistical_Sampling_Maste3"/>
      <sheetName val="Global_Data3"/>
      <sheetName val="US_Dollar_20036"/>
      <sheetName val="SDR_20036"/>
      <sheetName val="Control_Settings3"/>
      <sheetName val="GTM_BK3"/>
      <sheetName val="Consolidator_Inputs3"/>
      <sheetName val="7_13"/>
      <sheetName val="FP20DB_(3)3"/>
      <sheetName val="Курс_валют3"/>
      <sheetName val="Другие_расходы3"/>
      <sheetName val="Форма_4_кап_зат-ты_(2)3"/>
      <sheetName val="2006_AJE_RJE3"/>
      <sheetName val="стр_245_(2)3"/>
      <sheetName val="Сдача_3"/>
      <sheetName val="МО_00123"/>
      <sheetName val="14_1_2_2_(Услуги_связи)3"/>
      <sheetName val="13_NGDO3"/>
      <sheetName val="__2_3_23"/>
      <sheetName val="12_из_57_АЗС3"/>
      <sheetName val="постоянные_затраты3"/>
      <sheetName val="H3_100_Rollforward3"/>
      <sheetName val="SA_Procedures2"/>
      <sheetName val="Пр_413"/>
      <sheetName val="ввод-вывод_ОС_авг2004-_20052"/>
      <sheetName val="Russia_Print_Version3"/>
      <sheetName val="2кв_3"/>
      <sheetName val="MACRO2_XLM3"/>
      <sheetName val="U-ZR_AT1_XLS3"/>
      <sheetName val="План_произв-ва_(мес_)_(бюджет)3"/>
      <sheetName val="Инв_вл3"/>
      <sheetName val="факт_2005_г_3"/>
      <sheetName val="д_7_0013"/>
      <sheetName val="свод_грузоотпр_3"/>
      <sheetName val="Итоговая_таблица3"/>
      <sheetName val="I_KEY_INFORMATION3"/>
      <sheetName val="почтов_3"/>
      <sheetName val="6НК-cт_3"/>
      <sheetName val="Interco_payables&amp;receivables3"/>
      <sheetName val="ГМ_2"/>
      <sheetName val="6НК__x000a_1"/>
      <sheetName val="FA_Movement_2"/>
      <sheetName val="depreciation_testing2"/>
      <sheetName val="ноябрь_-_декабрь1"/>
      <sheetName val="_По_скв"/>
      <sheetName val="исп_см_1"/>
      <sheetName val="Cash_flows_-_PBC1"/>
      <sheetName val="КР_з_ч"/>
      <sheetName val="4b_-_P&amp;L_ProductLine1"/>
      <sheetName val="4a_-_Revenue_ProductLine1"/>
      <sheetName val="5a_-_Orders_analysis1"/>
      <sheetName val="8_-_Receivables1"/>
      <sheetName val="D1_-_Balances_input1"/>
      <sheetName val="D3_-_DBmagn1"/>
      <sheetName val="Исх_данные"/>
      <sheetName val="распределение_модели"/>
      <sheetName val="-расчет_налогов_от_ФОТ__на_2012"/>
      <sheetName val="Форма3_62"/>
      <sheetName val="16_121"/>
      <sheetName val="ЛСЦ_начисленное_на_31_12_081"/>
      <sheetName val="ЛЛизинг_начис__на_31_12_081"/>
      <sheetName val="18_2"/>
      <sheetName val="08_2"/>
      <sheetName val="11_2"/>
      <sheetName val="14_2"/>
      <sheetName val="15_2"/>
      <sheetName val="05_2"/>
      <sheetName val="09_2"/>
      <sheetName val="04_1"/>
      <sheetName val="19_1"/>
      <sheetName val="01_1"/>
      <sheetName val="17_1"/>
      <sheetName val="07_1"/>
      <sheetName val="06_1"/>
      <sheetName val="16_1"/>
      <sheetName val="10_1"/>
      <sheetName val="28_1"/>
      <sheetName val="13_1"/>
      <sheetName val="03_1"/>
      <sheetName val="29_1"/>
      <sheetName val="30_1"/>
      <sheetName val="31_1"/>
      <sheetName val="27_1"/>
      <sheetName val="12_1"/>
      <sheetName val="20_1"/>
      <sheetName val="24_1"/>
      <sheetName val="25_1"/>
      <sheetName val="02_1"/>
      <sheetName val="21_1"/>
      <sheetName val="26_1"/>
      <sheetName val="23_1"/>
      <sheetName val="22_1"/>
      <sheetName val="altai_income_statement1"/>
      <sheetName val="6_NK1"/>
      <sheetName val="1кв__1"/>
      <sheetName val="Трафик_по_АУП2"/>
      <sheetName val="Трафик_по_ЦБПТО2"/>
      <sheetName val="Трафик_по_ПНУ2"/>
      <sheetName val="Трафик_по_ЖНУ2"/>
      <sheetName val="Трафик_по_ШНУ2"/>
      <sheetName val="без_НДС"/>
      <sheetName val="[form_xls]6НК/"/>
      <sheetName val="[form_xls][form_xls]6НК/"/>
      <sheetName val="БРК_УЖ"/>
      <sheetName val="БРК_ЮКО_свод"/>
      <sheetName val="Сбер_1450"/>
      <sheetName val="Сбер_1300"/>
      <sheetName val="Сбер_2500"/>
      <sheetName val="Сбер_3750"/>
      <sheetName val="Все_ТЭП"/>
      <sheetName val="èç_ñåì"/>
      <sheetName val="Залоги_c_RS"/>
      <sheetName val="Индексы_перероценки"/>
      <sheetName val="Project_Detail_Inputs"/>
      <sheetName val="ВСДС_1_(MAIN)"/>
      <sheetName val="6НК____x000a_1"/>
      <sheetName val="Служебный_ФК恔_"/>
      <sheetName val="Служебный_ФК_"/>
      <sheetName val="Служебный_ФК__"/>
      <sheetName val="Затраты_утил_ТБО"/>
      <sheetName val="Админ_и_ОPEX_2010-12гг"/>
      <sheetName val="14_1_2_2__Услуги_связи_"/>
      <sheetName val="Общие_данные"/>
      <sheetName val="канат_прод_1"/>
      <sheetName val="CREDIT_STATS"/>
      <sheetName val="Test_of_FA_Installation"/>
      <sheetName val="Расчет_объема_СУИБ"/>
      <sheetName val="Ural_med"/>
      <sheetName val="КС_2018"/>
      <sheetName val="Input_TI"/>
      <sheetName val="3_ФОТ"/>
      <sheetName val="4_Налоги"/>
      <sheetName val="Конс_"/>
      <sheetName val="Фин__пок-ли"/>
      <sheetName val="Проектные_работы"/>
      <sheetName val="Спецтехника,_оборудование,_база"/>
      <sheetName val="Первоначальные_условия"/>
      <sheetName val="VI_REVENUE_OOD"/>
      <sheetName val="IIb_P&amp;L_short"/>
      <sheetName val="IV_REVENUE_ROOMS"/>
      <sheetName val="IV_REVENUE__F&amp;B"/>
      <sheetName val="расчет_премии_за_4_кв_12г"/>
      <sheetName val="ФОТ_2013_(2)"/>
      <sheetName val="Ком_услуги_аренды"/>
      <sheetName val="СВОД_по_НД_расх"/>
      <sheetName val="Свод_Мат_по_Тр_2012"/>
      <sheetName val="Конфигурация_МАКРО"/>
      <sheetName val="Product_Assumptions"/>
      <sheetName val="14_1_8_11_(Прочие)"/>
      <sheetName val="Все_виды_материалов_D`1-18"/>
      <sheetName val="ожид_ФОТ_2010_форма1"/>
      <sheetName val="свод_ФОТ"/>
      <sheetName val="6НК/_x0000_?¹"/>
      <sheetName val="[form.xls]6НК/_x0000_?¹"/>
      <sheetName val="[form.xls][form.xls]6НК/_x0000_?¹"/>
      <sheetName val="Б.Д."/>
      <sheetName val="MAIN"/>
      <sheetName val="Cover"/>
      <sheetName val="List_of_Functions"/>
      <sheetName val="Финбюджет_свод_"/>
      <sheetName val="ïîñòàâêà_ñðàâí13"/>
      <sheetName val="рев_дф_(1_08_)_(3)"/>
      <sheetName val="Фонд_15гор"/>
      <sheetName val="пост__пар_"/>
      <sheetName val="Бонды_стр_341"/>
      <sheetName val="Master_Inputs_Start_here"/>
      <sheetName val="1_квартал"/>
      <sheetName val="6НК__"/>
      <sheetName val="Resource_Sheet"/>
      <sheetName val="Main_Sheet"/>
      <sheetName val="[form_xls][form_xls]_form_xls_2"/>
      <sheetName val="[form_xls][form_xls]_form_xls_3"/>
      <sheetName val="[form_xls][form_xls]_form_xls_4"/>
      <sheetName val="[form_xls][form_xls]_form_xls_5"/>
      <sheetName val="[form_xls][form_xls]_form_xls_6"/>
      <sheetName val="[form_xls][form_xls]_form_xls_7"/>
      <sheetName val="июль_ппд(факт)"/>
      <sheetName val="25_07_08г_(2)"/>
      <sheetName val="мат_расходы"/>
      <sheetName val="Шт_расписание"/>
      <sheetName val="Prelim_Cost"/>
      <sheetName val="TPC_con_vs_bdg"/>
      <sheetName val="Planned_VoWD"/>
      <sheetName val="Threshold_Table"/>
      <sheetName val="Простой_5-10_тн"/>
      <sheetName val="3_3_31_"/>
      <sheetName val="МП_не_вход_ФОТ1"/>
      <sheetName val="Acct_Numb"/>
      <sheetName val="6НК__ _x000a_"/>
      <sheetName val="Добыча_нефти48"/>
      <sheetName val="GAAP_TB_31_12_01__detail_p&amp;l5"/>
      <sheetName val="прочие_стор5"/>
      <sheetName val="услуги_прочие5"/>
      <sheetName val="Выкуп_порталов5"/>
      <sheetName val="обуч_(2)5"/>
      <sheetName val="прочие_стор_(2)5"/>
      <sheetName val="ком_(2)5"/>
      <sheetName val="КВЛ_(2)5"/>
      <sheetName val="прочие_расходы5"/>
      <sheetName val="шт_(2)5"/>
      <sheetName val="аренда_(2)5"/>
      <sheetName val="прогноз_движения_денег_в_ежеме5"/>
      <sheetName val="ОПиУ_в_ежемес_5"/>
      <sheetName val="АПК_реформа5"/>
      <sheetName val="Б_мчас_(П)5"/>
      <sheetName val="PP&amp;E_mvt_for_20035"/>
      <sheetName val="2008_ГСМ5"/>
      <sheetName val="Плата_за_загрязнение_5"/>
      <sheetName val="факс(2005-20гг_)5"/>
      <sheetName val="поставка_сравн135"/>
      <sheetName val="1_(2)4"/>
      <sheetName val="ОТЧЕТ_КТЖ_01_01_094"/>
      <sheetName val="8180_(8181,8182)4"/>
      <sheetName val="Balance_Sheet4"/>
      <sheetName val="1_вариант__2009_4"/>
      <sheetName val="Список_документов4"/>
      <sheetName val="GAAP_TB_30_09_01__detail_p&amp;l4"/>
      <sheetName val="O_500_Property_Tax4"/>
      <sheetName val="форма_3_смета_затрат4"/>
      <sheetName val="$_IS4"/>
      <sheetName val="Спр__раб_4"/>
      <sheetName val="Авансы_уплач,деньги_в_регионах7"/>
      <sheetName val="Авансы_уплач,деньги_в_регионах8"/>
      <sheetName val="PLтв_-_Б4"/>
      <sheetName val="K-800_Imp__test4"/>
      <sheetName val="FA_register4"/>
      <sheetName val="ГСМ_Гараж4"/>
      <sheetName val="ГСМ_по_инвест4"/>
      <sheetName val="Запчасти_Гараж4"/>
      <sheetName val="Стор_Орг_РМУ4"/>
      <sheetName val="Материалы_РМУ4"/>
      <sheetName val="Постановка_на_учет_авто4"/>
      <sheetName val="Размножение_проектов4"/>
      <sheetName val="материалы_ВДГО4"/>
      <sheetName val="Тех_осмотр4"/>
      <sheetName val="Проект_14"/>
      <sheetName val="Объем_ВДГО4"/>
      <sheetName val="Фин_обязат_4"/>
      <sheetName val="спецпит,проездн_4"/>
      <sheetName val="Бюджет_тек__затрат4"/>
      <sheetName val="коммун_4"/>
      <sheetName val="Служебный_ФКРБ3"/>
      <sheetName val="Источник_финансирования3"/>
      <sheetName val="Способ_закупки3"/>
      <sheetName val="Тип_пункта_плана3"/>
      <sheetName val="ТД_РАП3"/>
      <sheetName val="Служебный_ФК皸ɫ2"/>
      <sheetName val="Служебный_ФК悄,2"/>
      <sheetName val="Служебный_ФК厈-2"/>
      <sheetName val="Служебный_ФК⽄2"/>
      <sheetName val="Служебный_ФК⽬2"/>
      <sheetName val="Служебный_ФК嵔_2"/>
      <sheetName val="Служебный_ФК峔(2"/>
      <sheetName val="Служебный_ФК⿯2"/>
      <sheetName val="Служебный_ФК『2"/>
      <sheetName val="Служебный_ФК　2"/>
      <sheetName val="доп_дан_3"/>
      <sheetName val="Служебный_ФКૐǪ2"/>
      <sheetName val="Summary_&amp;_Variables2"/>
      <sheetName val="Служебный_ФК3"/>
      <sheetName val="Вып_П_П_2"/>
      <sheetName val="План_ГЗ2"/>
      <sheetName val="Вид_предмета2"/>
      <sheetName val="6НК__x000a_3"/>
      <sheetName val="List_of_Functions1"/>
      <sheetName val="Финбюджет_свод_1"/>
      <sheetName val="ïîñòàâêà_ñðàâí131"/>
      <sheetName val="рев_дф_(1_08_)_(3)1"/>
      <sheetName val="Фонд_15гор1"/>
      <sheetName val="пост__пар_1"/>
      <sheetName val="Бонды_стр_3411"/>
      <sheetName val="Master_Inputs_Start_here1"/>
      <sheetName val="1_квартал1"/>
      <sheetName val="Resource_Sheet1"/>
      <sheetName val="Main_Sheet1"/>
      <sheetName val="июль_ппд(факт)1"/>
      <sheetName val="25_07_08г_(2)1"/>
      <sheetName val="[form_xls][form_xls]_form_xls_1"/>
      <sheetName val="[form_xls][form_xls]_form_xls_8"/>
      <sheetName val="[form_xls][form_xls]_form_xls_9"/>
      <sheetName val="[form_xls][form_xls]_form_xls10"/>
      <sheetName val="[form_xls][form_xls]_form_xls11"/>
      <sheetName val="[form_xls][form_xls]_form_xls12"/>
      <sheetName val="25__Hidden1"/>
      <sheetName val="2__Inputs1"/>
      <sheetName val="мат_расходы1"/>
      <sheetName val="Шт_расписание1"/>
      <sheetName val="Prelim_Cost1"/>
      <sheetName val="PY_misstatements1"/>
      <sheetName val="TPC_con_vs_bdg1"/>
      <sheetName val="Planned_VoWD1"/>
      <sheetName val="Threshold_Table1"/>
      <sheetName val="Простой_5-10_тн1"/>
      <sheetName val="3_3_31_1"/>
      <sheetName val="МП_не_вход_ФОТ2"/>
      <sheetName val="Acct_Numb1"/>
      <sheetName val="运行成本_OPEX"/>
      <sheetName val="__x000a___x000a____1"/>
      <sheetName val="6НК/_¹1"/>
      <sheetName val="Лв_1715_(сб)"/>
      <sheetName val="1_401_2"/>
      <sheetName val="Приход_по_вагонам"/>
      <sheetName val="3А_КНС"/>
      <sheetName val="замерная_11"/>
      <sheetName val="общ_Дф_01_11_"/>
      <sheetName val="Sheet223"/>
      <sheetName val="6НК/?¹"/>
      <sheetName val="[form.xls]6НК/?¹"/>
      <sheetName val="[form.xls][form.xls]6НК/?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 refreshError="1"/>
      <sheetData sheetId="168"/>
      <sheetData sheetId="169"/>
      <sheetData sheetId="170" refreshError="1"/>
      <sheetData sheetId="171" refreshError="1"/>
      <sheetData sheetId="172" refreshError="1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/>
      <sheetData sheetId="709"/>
      <sheetData sheetId="710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/>
      <sheetData sheetId="969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 refreshError="1"/>
      <sheetData sheetId="1033" refreshError="1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/>
      <sheetData sheetId="1099"/>
      <sheetData sheetId="1100"/>
      <sheetData sheetId="1101"/>
      <sheetData sheetId="1102"/>
      <sheetData sheetId="1103"/>
      <sheetData sheetId="1104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 refreshError="1"/>
      <sheetData sheetId="1825" refreshError="1"/>
      <sheetData sheetId="182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мятка"/>
      <sheetName val="Форма1"/>
      <sheetName val="Форма2"/>
      <sheetName val="Форма3"/>
      <sheetName val="Форма4"/>
      <sheetName val="Форма5"/>
      <sheetName val="Форма6"/>
      <sheetName val="Форма7"/>
      <sheetName val="Форма8"/>
      <sheetName val="Добыча нефти4"/>
      <sheetName val="поставка сравн13"/>
      <sheetName val="Преискурант"/>
      <sheetName val="7.1"/>
      <sheetName val="ЦентрЗатр"/>
      <sheetName val="из сем"/>
      <sheetName val="FES"/>
      <sheetName val="Добыча_нефти4"/>
      <sheetName val="поставка_сравн13"/>
      <sheetName val="7_1"/>
      <sheetName val="из_сем"/>
      <sheetName val="6НК-cт."/>
      <sheetName val="ЕдИзм"/>
      <sheetName val="База"/>
      <sheetName val="Hidden"/>
      <sheetName val="ОТиТБ"/>
      <sheetName val="Пр2"/>
      <sheetName val="ДС МЗК"/>
      <sheetName val="Титул1"/>
      <sheetName val="PP&amp;E mvt for 2003"/>
      <sheetName val="definitions"/>
      <sheetName val="101"/>
      <sheetName val="Sheet1"/>
      <sheetName val="b 1"/>
      <sheetName val="a 100"/>
      <sheetName val="1BO"/>
      <sheetName val="Info"/>
      <sheetName val="Предпр"/>
      <sheetName val="Control"/>
      <sheetName val="form_электрон"/>
      <sheetName val="6 NK"/>
      <sheetName val="ТМЗ-6"/>
      <sheetName val="Расчеты"/>
      <sheetName val="Данные"/>
      <sheetName val="Пр 41"/>
      <sheetName val="I KEY INFORMATION"/>
      <sheetName val="CO11"/>
      <sheetName val="CO12"/>
      <sheetName val="CO13"/>
      <sheetName val="CO16"/>
      <sheetName val="CO17"/>
      <sheetName val="CO18"/>
      <sheetName val="CO19"/>
      <sheetName val="CO2"/>
      <sheetName val="CO20"/>
      <sheetName val="CO21"/>
      <sheetName val="CO22"/>
      <sheetName val="CO26"/>
      <sheetName val="CO27"/>
      <sheetName val="CO3"/>
      <sheetName val="CO30"/>
      <sheetName val="CO4"/>
      <sheetName val="CO5"/>
      <sheetName val="CO6"/>
      <sheetName val="CO7"/>
      <sheetName val="6НК-cт_"/>
      <sheetName val="6_NK"/>
      <sheetName val="Пр_41"/>
      <sheetName val="I_KEY_INFORMATION"/>
      <sheetName val="PP&amp;E_mvt_for_2003"/>
      <sheetName val="TOC"/>
      <sheetName val="Лист1"/>
      <sheetName val="Param"/>
      <sheetName val="Flash Report SDC(EUR)"/>
      <sheetName val="П"/>
      <sheetName val="Ôîðìà2"/>
      <sheetName val="XREF"/>
      <sheetName val="Б.мчас (П)"/>
      <sheetName val="Plrap"/>
      <sheetName val="Plsum"/>
      <sheetName val="Pladj"/>
      <sheetName val="XLR_NoRangeSheet"/>
      <sheetName val="Gen Data"/>
      <sheetName val="FS-97"/>
      <sheetName val="Movements"/>
      <sheetName val="Balance Sheet"/>
      <sheetName val="8180 (8181,8182)"/>
      <sheetName val="8082"/>
      <sheetName val="8250"/>
      <sheetName val="8140"/>
      <sheetName val="8070"/>
      <sheetName val="8145"/>
      <sheetName val="8200"/>
      <sheetName val="8113"/>
      <sheetName val="summary"/>
      <sheetName val="8210"/>
      <sheetName val="Собственный капитал"/>
      <sheetName val="ОТЧЕТ КТЖ 01.01.09"/>
      <sheetName val="sheet0"/>
      <sheetName val="precios"/>
      <sheetName val="БР"/>
      <sheetName val="SAPBEXfilters"/>
      <sheetName val="стр.234"/>
      <sheetName val="стр.242"/>
      <sheetName val="стр.241(2)"/>
      <sheetName val="стр.950"/>
      <sheetName val="Загрузка в ХД"/>
      <sheetName val="стр.512"/>
      <sheetName val="Баланс"/>
      <sheetName val="Форма №2 руб."/>
      <sheetName val="стр.260"/>
      <sheetName val="стр.626"/>
      <sheetName val="стр.515 рос."/>
      <sheetName val="№10  КРА Прочая Реализация  "/>
      <sheetName val="№ 11 КРА Прочее Приобретение"/>
      <sheetName val="стр.232"/>
      <sheetName val="стр. 529(2)"/>
      <sheetName val="ПУ №13 ОФА"/>
      <sheetName val="№12  КРА Проценты"/>
      <sheetName val="стр.640"/>
      <sheetName val="стр.611"/>
      <sheetName val="ПУ №3 OFA"/>
      <sheetName val="ПУ №9 OFA"/>
      <sheetName val="стр.621 (1)"/>
      <sheetName val="ПУ №8 OFA"/>
      <sheetName val="ПУ №7 OFA"/>
      <sheetName val="стр.245"/>
      <sheetName val="стр.246 (1)"/>
      <sheetName val="стр.625 (1)"/>
      <sheetName val="стр.660 (2)"/>
      <sheetName val="стр.960"/>
      <sheetName val="Настройки"/>
      <sheetName val="cтр.253"/>
      <sheetName val="стр.627"/>
      <sheetName val="стр.630"/>
      <sheetName val="стр.624"/>
      <sheetName val="стр.625 (2)"/>
      <sheetName val="стр.623"/>
      <sheetName val="стр.251"/>
      <sheetName val="стр.650"/>
      <sheetName val="P&amp;L"/>
      <sheetName val="Provisions"/>
      <sheetName val="Cur portion of L-t loans 2006"/>
      <sheetName val="9-1"/>
      <sheetName val="4"/>
      <sheetName val="1-1"/>
      <sheetName val="1"/>
      <sheetName val="СписокТЭП"/>
      <sheetName val="L-1"/>
      <sheetName val="ДС_МЗК"/>
      <sheetName val="Flash_Report_SDC(EUR)"/>
      <sheetName val="ОТЧЕТ_КТЖ_01_01_09"/>
      <sheetName val="Б_мчас_(П)"/>
      <sheetName val="Собственный_капитал"/>
      <sheetName val="Лист2"/>
      <sheetName val="12НК"/>
      <sheetName val="LME_pric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1"/>
      <sheetName val="Форма2"/>
    </sheetNames>
    <sheetDataSet>
      <sheetData sheetId="0"/>
      <sheetData sheetId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1"/>
      <sheetName val="Форма2"/>
    </sheetNames>
    <sheetDataSet>
      <sheetData sheetId="0"/>
      <sheetData sheetId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раметры"/>
      <sheetName val="Титул1"/>
      <sheetName val="ОснПок2"/>
      <sheetName val="Производство3"/>
      <sheetName val="Добыча нефти4"/>
      <sheetName val="ПроизвПрогр5"/>
      <sheetName val="АнТрнНефт5_1"/>
      <sheetName val="АнУМГ6"/>
      <sheetName val="АнЭмба7"/>
      <sheetName val="АнАНПЗ"/>
      <sheetName val="АНПЗ7_1"/>
      <sheetName val="АНПЗ7_2"/>
      <sheetName val="Продактс"/>
      <sheetName val="Продактс капвл"/>
      <sheetName val="КапВл8"/>
      <sheetName val="КапСтроит9"/>
      <sheetName val="СтрСоцНазн10"/>
      <sheetName val="Маркетинг12"/>
      <sheetName val="поставка сравн13"/>
      <sheetName val="цены14"/>
      <sheetName val="ЦеныНефтепрод15"/>
      <sheetName val="цены16"/>
      <sheetName val="Доход17"/>
      <sheetName val="Чдоход18"/>
      <sheetName val="Капвл.всего"/>
      <sheetName val="ПлатВбюджет19"/>
      <sheetName val="ДебКр20"/>
      <sheetName val="ДвДенСредств21"/>
      <sheetName val="Инв Прог22"/>
      <sheetName val="Все пок23_24"/>
      <sheetName val="Лист3"/>
      <sheetName val="Расчет2000Прямой"/>
      <sheetName val="Форма2"/>
      <sheetName val="топливо"/>
      <sheetName val="Потребители"/>
      <sheetName val="Осн"/>
      <sheetName val="План закупок"/>
      <sheetName val="0. Данные"/>
      <sheetName val="Командировочные расходы"/>
      <sheetName val="Ввод"/>
      <sheetName val="12 из 57 АЗС"/>
      <sheetName val="точн2"/>
      <sheetName val="MS"/>
      <sheetName val="ОборБалФормОтч"/>
      <sheetName val="  2.3.2"/>
      <sheetName val="МО 0012"/>
      <sheetName val="из сем"/>
      <sheetName val="цены"/>
      <sheetName val="name"/>
      <sheetName val="аренда цс"/>
      <sheetName val="Лист1"/>
      <sheetName val="пр 6 дох"/>
      <sheetName val="KTG_m"/>
      <sheetName val="СПгнг"/>
      <sheetName val="справка"/>
      <sheetName val="персонала"/>
      <sheetName val="мат расходы"/>
      <sheetName val="6 NK"/>
      <sheetName val="Налоги на транспорт"/>
      <sheetName val="Sheet1"/>
      <sheetName val="ОХР"/>
      <sheetName val="#ССЫЛКА"/>
      <sheetName val="Форма1"/>
      <sheetName val="Январь"/>
      <sheetName val="UNITPRICES"/>
      <sheetName val="Info"/>
      <sheetName val="Счет-ф"/>
      <sheetName val="Sheet3"/>
      <sheetName val="Sheet4"/>
      <sheetName val="исп.см."/>
      <sheetName val="Свод"/>
      <sheetName val="Исход"/>
      <sheetName val="янв"/>
      <sheetName val="Сдача "/>
      <sheetName val="Ф3"/>
      <sheetName val="всп"/>
      <sheetName val="ДБСП_02_ 2002"/>
      <sheetName val="свод2010г по гр."/>
      <sheetName val="Статьи затрат"/>
      <sheetName val="НДС"/>
      <sheetName val="14.1.2.2.(Услуги связи)"/>
      <sheetName val="Бюдж-тенге"/>
      <sheetName val="2в"/>
      <sheetName val="общ-нефт"/>
      <sheetName val="2а (4)"/>
      <sheetName val="Изменяемые данные"/>
      <sheetName val="Financial ratios А3"/>
      <sheetName val="группа"/>
      <sheetName val="Пр2"/>
      <sheetName val="факт 2005 г."/>
      <sheetName val="balans 3"/>
      <sheetName val="З"/>
      <sheetName val="1.411.1"/>
      <sheetName val="ОТиТБ"/>
      <sheetName val="Ден потоки"/>
      <sheetName val="00"/>
      <sheetName val="Haul cons"/>
      <sheetName val="Распределение прибыли"/>
      <sheetName val="Comp06"/>
      <sheetName val="предприятия"/>
      <sheetName val="PP&amp;E mvt for 2003"/>
      <sheetName val="оборудование"/>
      <sheetName val="SUN TB"/>
      <sheetName val="ЦентрЗатр"/>
      <sheetName val="ЕдИзм"/>
      <sheetName val="Предпр"/>
      <sheetName val="Добычанефти4"/>
      <sheetName val="поставкасравн13"/>
      <sheetName val="7.1"/>
      <sheetName val="Преискурант"/>
      <sheetName val="Добыча_нефти4"/>
      <sheetName val="Продактс_капвл"/>
      <sheetName val="поставка_сравн13"/>
      <sheetName val="Капвл_всего"/>
      <sheetName val="Инв_Прог22"/>
      <sheetName val="Все_пок23_24"/>
      <sheetName val="из_сем"/>
      <sheetName val="Добыча_нефти41"/>
      <sheetName val="Продактс_капвл1"/>
      <sheetName val="поставка_сравн131"/>
      <sheetName val="Капвл_всего1"/>
      <sheetName val="Инв_Прог221"/>
      <sheetName val="Все_пок23_241"/>
      <sheetName val="из_сем1"/>
      <sheetName val="аренда"/>
      <sheetName val="Справочник"/>
      <sheetName val="Баланс"/>
      <sheetName val="Лист1 (3)"/>
      <sheetName val="на 31.12.07 (4)"/>
      <sheetName val="CIP Dec 2006"/>
      <sheetName val="КлассификаторЗнач"/>
      <sheetName val="Assumptions"/>
      <sheetName val="эксп"/>
      <sheetName val="СписокТЭП"/>
      <sheetName val="s"/>
      <sheetName val="C-Total Market"/>
      <sheetName val="I-Demand Drivers"/>
      <sheetName val="ECM_PP"/>
      <sheetName val="выданы таб № (от 25.01.12 ОК)"/>
      <sheetName val="F1002"/>
      <sheetName val="3.ФОТ"/>
      <sheetName val="Income $"/>
      <sheetName val="НДПИ"/>
      <sheetName val="по 2007 году план на 2008 год"/>
      <sheetName val="Movements"/>
      <sheetName val="XLR_NoRangeSheet"/>
      <sheetName val="расчет ГСМ НА 2013Г"/>
      <sheetName val="канат.прод."/>
      <sheetName val="Страхование ГПО охр.2"/>
      <sheetName val="ведомость"/>
      <sheetName val="26.04.2013 (2)"/>
      <sheetName val="2.2 ОтклОТМ"/>
      <sheetName val="1.3.2 ОТМ"/>
      <sheetName val="1БО"/>
      <sheetName val="EVA"/>
      <sheetName val="коэфф"/>
      <sheetName val="2БК"/>
      <sheetName val="3БО"/>
      <sheetName val="3БК"/>
      <sheetName val="5П"/>
      <sheetName val="4П"/>
      <sheetName val="WACC"/>
      <sheetName val="Курсы"/>
      <sheetName val="д.7.001"/>
      <sheetName val="3БК Инвестиции"/>
      <sheetName val="2008 ГСМ"/>
      <sheetName val="Плата за загрязнение "/>
      <sheetName val="Типограф"/>
      <sheetName val="ремонт 25"/>
      <sheetName val="1610"/>
      <sheetName val="1210"/>
      <sheetName val="TB"/>
      <sheetName val="PR CN"/>
      <sheetName val="SAD Schedule"/>
      <sheetName val="NPV"/>
      <sheetName val="Запрос"/>
      <sheetName val="month"/>
      <sheetName val="Лист2"/>
      <sheetName val="линии"/>
      <sheetName val="счетчики"/>
      <sheetName val="СВОД Логистика"/>
      <sheetName val="апрель"/>
      <sheetName val="май"/>
      <sheetName val="март"/>
      <sheetName val="фев"/>
      <sheetName val="класс"/>
      <sheetName val="Список"/>
      <sheetName val="Treatment Summary"/>
      <sheetName val="ДД"/>
      <sheetName val="канц"/>
      <sheetName val="FES"/>
      <sheetName val="Добыча_нефти42"/>
      <sheetName val="Продактс_капвл2"/>
      <sheetName val="поставка_сравн132"/>
      <sheetName val="Капвл_всего2"/>
      <sheetName val="Инв_Прог222"/>
      <sheetName val="Все_пок23_242"/>
      <sheetName val="План_закупок"/>
      <sheetName val="Командировочные_расходы"/>
      <sheetName val="12_из_57_АЗС"/>
      <sheetName val="__2_3_2"/>
      <sheetName val="МО_0012"/>
      <sheetName val="из_сем2"/>
      <sheetName val="0__Данные"/>
      <sheetName val="аренда_цс"/>
      <sheetName val="пр_6_дох"/>
      <sheetName val="мат_расходы"/>
      <sheetName val="Налоги_на_транспорт"/>
      <sheetName val="6_NK"/>
      <sheetName val="Сдача_"/>
      <sheetName val="ДБСП_02__2002"/>
      <sheetName val="свод2010г_по_гр_"/>
      <sheetName val="Статьи_затрат"/>
      <sheetName val="14_1_2_2_(Услуги_связи)"/>
      <sheetName val="2а_(4)"/>
      <sheetName val="выданы_таб_№_(от_25_01_12_ОК)"/>
      <sheetName val="3_ФОТ"/>
      <sheetName val="Income_$"/>
      <sheetName val="по_2007_году_план_на_2008_год"/>
      <sheetName val="расчет_ГСМ_НА_2013Г"/>
      <sheetName val="канат_прод_"/>
      <sheetName val="Страхование_ГПО_охр_2"/>
      <sheetName val="исп_см_"/>
      <sheetName val="Изменяемые_данные"/>
      <sheetName val="Financial_ratios_А3"/>
      <sheetName val="факт_2005_г_"/>
      <sheetName val="balans_3"/>
      <sheetName val="1_411_1"/>
      <sheetName val="Ден_потоки"/>
      <sheetName val="Haul_cons"/>
      <sheetName val="Распределение_прибыли"/>
      <sheetName val="PP&amp;E_mvt_for_2003"/>
      <sheetName val="SUN_TB"/>
      <sheetName val="7_1"/>
      <sheetName val="Лист1_(3)"/>
      <sheetName val="на_31_12_07_(4)"/>
      <sheetName val="CIP_Dec_2006"/>
      <sheetName val="C-Total_Market"/>
      <sheetName val="I-Demand_Drivers"/>
      <sheetName val="2_2_ОтклОТМ"/>
      <sheetName val="1_3_2_ОТМ"/>
      <sheetName val="д_7_001"/>
      <sheetName val="3БК_Инвестиции"/>
      <sheetName val="2008_ГСМ"/>
      <sheetName val="Плата_за_загрязнение_"/>
      <sheetName val="26_04_2013_(2)"/>
      <sheetName val="ремонт_25"/>
      <sheetName val="PR_CN"/>
      <sheetName val="Treatment_Summary"/>
      <sheetName val="СВОД_Логистика"/>
      <sheetName val="_ 2_3_2"/>
      <sheetName val="расчет прибыли"/>
      <sheetName val="амортиз_ввод"/>
      <sheetName val="H3.100 Rollforward"/>
      <sheetName val="PKF-2005"/>
      <sheetName val="GAAP TB 31.12.01  detail p&amp;l"/>
      <sheetName val="Sheet2"/>
      <sheetName val="РСза 6-м 2012"/>
      <sheetName val="июнь"/>
      <sheetName val="Пр3"/>
      <sheetName val="опотиз"/>
      <sheetName val="Ком плат"/>
      <sheetName val="Кабельная продукция"/>
      <sheetName val="4.Налоги"/>
      <sheetName val="Логистика"/>
      <sheetName val="потр"/>
      <sheetName val="СН"/>
      <sheetName val="Списки"/>
      <sheetName val="УО"/>
      <sheetName val="ГПЗ_ПОСД_Способ закупок"/>
      <sheetName val="план07"/>
      <sheetName val="п11"/>
      <sheetName val="п25ЦТАИ"/>
      <sheetName val="п25"/>
      <sheetName val="п23"/>
      <sheetName val="п26"/>
      <sheetName val="п31"/>
      <sheetName val="п4"/>
      <sheetName val="п5"/>
      <sheetName val="п7"/>
      <sheetName val="п8"/>
      <sheetName val="Индексы"/>
      <sheetName val="ФС-75"/>
      <sheetName val="ФСМн "/>
      <sheetName val="ФХ "/>
      <sheetName val="ФХС-40 "/>
      <sheetName val="ФХС-48 "/>
      <sheetName val="Hidden"/>
      <sheetName val="ДС МЗК"/>
      <sheetName val="Источник финансирования"/>
      <sheetName val="Месяцы"/>
      <sheetName val="ЭКРБ"/>
      <sheetName val="Способ закупки"/>
      <sheetName val="ГБ"/>
      <sheetName val="Текущие цены"/>
      <sheetName val="рабочий"/>
      <sheetName val="окраска"/>
      <sheetName val="Книга1"/>
      <sheetName val="5NK "/>
      <sheetName val="XREF"/>
      <sheetName val="summary"/>
      <sheetName val="1 вариант  2009 "/>
      <sheetName val="База"/>
      <sheetName val="Инвест"/>
      <sheetName val="Допущения"/>
      <sheetName val="34-143"/>
      <sheetName val="Транспорт"/>
      <sheetName val="Depr"/>
      <sheetName val="Добыча_нефти43"/>
      <sheetName val="Продактс_капвл3"/>
      <sheetName val="поставка_сравн133"/>
      <sheetName val="Капвл_всего3"/>
      <sheetName val="Инв_Прог223"/>
      <sheetName val="Все_пок23_243"/>
      <sheetName val="План_закупок1"/>
      <sheetName val="Командировочные_расходы1"/>
      <sheetName val="12_из_57_АЗС1"/>
      <sheetName val="__2_3_21"/>
      <sheetName val="МО_00121"/>
      <sheetName val="из_сем3"/>
      <sheetName val="0__Данные1"/>
      <sheetName val="аренда_цс1"/>
      <sheetName val="пр_6_дох1"/>
      <sheetName val="мат_расходы1"/>
      <sheetName val="Налоги_на_транспорт1"/>
      <sheetName val="6_NK1"/>
      <sheetName val="Сдача_1"/>
      <sheetName val="ДБСП_02__20021"/>
      <sheetName val="свод2010г_по_гр_1"/>
      <sheetName val="Статьи_затрат1"/>
      <sheetName val="14_1_2_2_(Услуги_связи)1"/>
      <sheetName val="3_ФОТ1"/>
      <sheetName val="Income_$1"/>
      <sheetName val="2а_(4)1"/>
      <sheetName val="выданы_таб_№_(от_25_01_12_ОК)1"/>
      <sheetName val="по_2007_году_план_на_2008_год1"/>
      <sheetName val="Страхование_ГПО_охр_21"/>
      <sheetName val="исп_см_1"/>
      <sheetName val="Изменяемые_данные1"/>
      <sheetName val="Financial_ratios_А31"/>
      <sheetName val="факт_2005_г_1"/>
      <sheetName val="balans_31"/>
      <sheetName val="1_411_11"/>
      <sheetName val="Ден_потоки1"/>
      <sheetName val="Haul_cons1"/>
      <sheetName val="Распределение_прибыли1"/>
      <sheetName val="PP&amp;E_mvt_for_20031"/>
      <sheetName val="SUN_TB1"/>
      <sheetName val="7_11"/>
      <sheetName val="Лист1_(3)1"/>
      <sheetName val="на_31_12_07_(4)1"/>
      <sheetName val="CIP_Dec_20061"/>
      <sheetName val="C-Total_Market1"/>
      <sheetName val="I-Demand_Drivers1"/>
      <sheetName val="расчет_ГСМ_НА_2013Г1"/>
      <sheetName val="канат_прод_1"/>
      <sheetName val="2_2_ОтклОТМ1"/>
      <sheetName val="1_3_2_ОТМ1"/>
      <sheetName val="д_7_0011"/>
      <sheetName val="3БК_Инвестиции1"/>
      <sheetName val="2008_ГСМ1"/>
      <sheetName val="Плата_за_загрязнение_1"/>
      <sheetName val="26_04_2013_(2)1"/>
      <sheetName val="СВОД_Логистика1"/>
      <sheetName val="Treatment_Summary1"/>
      <sheetName val="ремонт_251"/>
      <sheetName val="PR_CN1"/>
      <sheetName val="Кабельная_продукция"/>
      <sheetName val="Ком_плат"/>
      <sheetName val="__2_3_22"/>
      <sheetName val="Control"/>
      <sheetName val="VLOOKUP"/>
      <sheetName val="INPUTMASTER"/>
      <sheetName val="t0_name"/>
      <sheetName val="B 1"/>
      <sheetName val="C 25"/>
      <sheetName val="A 100"/>
      <sheetName val="B_1"/>
      <sheetName val="C_25"/>
      <sheetName val="A_100"/>
      <sheetName val="2БО"/>
      <sheetName val="Cashflow"/>
      <sheetName val="14_1_2_2__Услуги связи_"/>
      <sheetName val="14_1_2_2__Услуги_связи_"/>
      <sheetName val="муз колледж"/>
      <sheetName val="стр.145 рос. исп"/>
      <sheetName val="Отд.расх"/>
      <sheetName val="Зам.нгду-1(наг)"/>
      <sheetName val="Зам.нгду-1"/>
      <sheetName val="Зам.ОЭПУ(доб)"/>
      <sheetName val="Зам.нгду-2(наг)"/>
      <sheetName val="Зам.ОЭПУ(наг)"/>
      <sheetName val="сут рап снижПТО по мероп"/>
      <sheetName val="ГТМ"/>
      <sheetName val="Заявлени+сдач.обх.по 22.02.12"/>
      <sheetName val="для рекомендации на 09.02.12г"/>
      <sheetName val="рев на 09.06."/>
      <sheetName val="83"/>
      <sheetName val="Добыча_нефти44"/>
      <sheetName val="Продактс_капвл4"/>
      <sheetName val="поставка_сравн134"/>
      <sheetName val="Капвл_всего4"/>
      <sheetName val="Инв_Прог224"/>
      <sheetName val="Все_пок23_244"/>
      <sheetName val="План_закупок2"/>
      <sheetName val="__2_3_23"/>
      <sheetName val="Командировочные_расходы2"/>
      <sheetName val="12_из_57_АЗС2"/>
      <sheetName val="МО_00122"/>
      <sheetName val="из_сем4"/>
      <sheetName val="0__Данные2"/>
      <sheetName val="аренда_цс2"/>
      <sheetName val="пр_6_дох2"/>
      <sheetName val="мат_расходы2"/>
      <sheetName val="Налоги_на_транспорт2"/>
      <sheetName val="6_NK2"/>
      <sheetName val="Сдача_2"/>
      <sheetName val="ДБСП_02__20022"/>
      <sheetName val="свод2010г_по_гр_2"/>
      <sheetName val="Статьи_затрат2"/>
      <sheetName val="14_1_2_2_(Услуги_связи)2"/>
      <sheetName val="3_ФОТ2"/>
      <sheetName val="Income_$2"/>
      <sheetName val="выданы_таб_№_(от_25_01_12_ОК)2"/>
      <sheetName val="2а_(4)2"/>
      <sheetName val="канат_прод_2"/>
      <sheetName val="по_2007_году_план_на_2008_год2"/>
      <sheetName val="расчет_ГСМ_НА_2013Г2"/>
      <sheetName val="Страхование_ГПО_охр_22"/>
      <sheetName val="исп_см_2"/>
      <sheetName val="Изменяемые_данные2"/>
      <sheetName val="Financial_ratios_А32"/>
      <sheetName val="факт_2005_г_2"/>
      <sheetName val="balans_32"/>
      <sheetName val="1_411_12"/>
      <sheetName val="Ден_потоки2"/>
      <sheetName val="Haul_cons2"/>
      <sheetName val="Распределение_прибыли2"/>
      <sheetName val="PP&amp;E_mvt_for_20032"/>
      <sheetName val="SUN_TB2"/>
      <sheetName val="7_12"/>
      <sheetName val="Лист1_(3)2"/>
      <sheetName val="на_31_12_07_(4)2"/>
      <sheetName val="CIP_Dec_20062"/>
      <sheetName val="C-Total_Market2"/>
      <sheetName val="I-Demand_Drivers2"/>
      <sheetName val="2_2_ОтклОТМ2"/>
      <sheetName val="1_3_2_ОТМ2"/>
      <sheetName val="д_7_0012"/>
      <sheetName val="3БК_Инвестиции2"/>
      <sheetName val="2008_ГСМ2"/>
      <sheetName val="Плата_за_загрязнение_2"/>
      <sheetName val="26_04_2013_(2)2"/>
      <sheetName val="ремонт_252"/>
      <sheetName val="PR_CN2"/>
      <sheetName val="Treatment_Summary2"/>
      <sheetName val="СВОД_Логистика2"/>
      <sheetName val="Ком_плат1"/>
      <sheetName val="__2_3_24"/>
      <sheetName val="H3_100_Rollforward"/>
      <sheetName val="GAAP_TB_31_12_01__detail_p&amp;l"/>
      <sheetName val="РСза_6-м_2012"/>
      <sheetName val="Кабельная_продукция1"/>
      <sheetName val="4_Налоги"/>
      <sheetName val="7НК"/>
      <sheetName val=" По скв"/>
      <sheetName val="общ.фонд  "/>
      <sheetName val="Б.мчас (П)"/>
      <sheetName val="list"/>
      <sheetName val="стр_145_рос__исп"/>
      <sheetName val="SAD_Schedule"/>
      <sheetName val="расчет_прибыли"/>
      <sheetName val="ГПЗ_ПОСД_Способ_закупок"/>
      <sheetName val="ДС_МЗК"/>
      <sheetName val="Отд_расх"/>
      <sheetName val=""/>
      <sheetName val="5.3. Усл. связи"/>
      <sheetName val="Макро"/>
      <sheetName val="Input TI"/>
      <sheetName val="Все_по䀀歎쬂⾕⠠倀"/>
      <sheetName val="Все_по⠠렀ኣ㠾ኡ耾"/>
      <sheetName val="ФБ-1"/>
      <sheetName val="АСТВ"/>
      <sheetName val=" 4"/>
      <sheetName val="Main Page"/>
      <sheetName val="L-1"/>
      <sheetName val="вознаграждение"/>
      <sheetName val="Технический"/>
      <sheetName val="10 БО (kzt)"/>
      <sheetName val="EMPLANM"/>
      <sheetName val="IFRS FS"/>
      <sheetName val="Лист 1"/>
      <sheetName val="9-1"/>
      <sheetName val="4"/>
      <sheetName val="1-1"/>
      <sheetName val="1"/>
      <sheetName val="Strat 1H 2008"/>
      <sheetName val="Список документов"/>
      <sheetName val="с 01.08 по 17.10 = 1569 вагонов"/>
      <sheetName val="Все_по䐀⩛ഀ䎃԰_x0000_缀"/>
      <sheetName val="7  (3)"/>
      <sheetName val="Кнфиг сетка"/>
      <sheetName val="1кв. "/>
      <sheetName val="2кв."/>
      <sheetName val="Бюджет"/>
      <sheetName val="Data"/>
      <sheetName val="ЦЕХА"/>
      <sheetName val="Все_по/_x0000_耀S_x0000__x0000_缀"/>
      <sheetName val="3НК"/>
      <sheetName val="Все_по吀ᥢഀ榃԰_x0000_缀"/>
      <sheetName val="Все_по䐀⩛ഀ䎃԰"/>
      <sheetName val="Все_по/"/>
      <sheetName val="Все_по吀ᥢഀ榃԰"/>
      <sheetName val="july_03_pg8"/>
      <sheetName val="Все_по쬂᎕鐁ᘲ䠺"/>
      <sheetName val="расчет"/>
      <sheetName val="Текущие_цены"/>
      <sheetName val="ФСМн_"/>
      <sheetName val="ФХ_"/>
      <sheetName val="ФХС-40_"/>
      <sheetName val="ФХС-48_"/>
      <sheetName val="1_вариант__2009_"/>
      <sheetName val="Б_мчас_(П)"/>
      <sheetName val="I__Прогноз_доходов"/>
      <sheetName val="общ скв"/>
      <sheetName val="сводУМЗ"/>
      <sheetName val="План произв-ва (мес.) (бюджет)"/>
      <sheetName val="Загрузка "/>
      <sheetName val="Все_поԯ_x0000_缀_x0000__x0000__x0000_턀"/>
      <sheetName val="Проект"/>
      <sheetName val="Т2"/>
      <sheetName val="КАТО"/>
      <sheetName val="Loans out"/>
      <sheetName val="ОПГЗ"/>
      <sheetName val="План ГЗ"/>
      <sheetName val="Справка ИЦА"/>
      <sheetName val="Справка 2"/>
      <sheetName val="на 10.02.06"/>
      <sheetName val="_ССЫЛКА"/>
      <sheetName val="Пок"/>
      <sheetName val="Справка "/>
      <sheetName val="ЖГРЭС за 09.02.06"/>
      <sheetName val="EXR"/>
      <sheetName val="Вход.данные"/>
      <sheetName val="Настройки"/>
      <sheetName val="breakdown"/>
      <sheetName val="P&amp;L"/>
      <sheetName val="Provisions"/>
      <sheetName val="FA depreciation"/>
      <sheetName val="ремонтТ9"/>
      <sheetName val="Ф1"/>
      <sheetName val="ОПУ_сверка"/>
      <sheetName val="доходы и расходы "/>
      <sheetName val="титфин"/>
      <sheetName val="Пр.М"/>
      <sheetName val="Ф7"/>
      <sheetName val="Ф10"/>
      <sheetName val="Пр1"/>
      <sheetName val="Пр2.2"/>
      <sheetName val="Ф11"/>
      <sheetName val="Пр4 (2)"/>
      <sheetName val="Пр4"/>
      <sheetName val="Расчеты ОСД"/>
      <sheetName val="Общие"/>
      <sheetName val="I. Прогноз доходов"/>
      <sheetName val="RSOILBAL"/>
      <sheetName val="Все_поԯ_x0000_缀_x0000__x0000__x0000_됀"/>
      <sheetName val="расш. себестоим."/>
      <sheetName val="расш реал"/>
      <sheetName val="расш ОАР"/>
      <sheetName val="Ф2"/>
      <sheetName val="Ф4"/>
      <sheetName val="CURCURS"/>
      <sheetName val="Год"/>
      <sheetName val="Пром1"/>
      <sheetName val="план"/>
      <sheetName val="Сводная по цехам"/>
      <sheetName val="НР"/>
      <sheetName val="ОАР"/>
      <sheetName val="РР"/>
      <sheetName val="Все_по㐀ᕞഀ䞃԰_x0000_缀"/>
      <sheetName val="Все_поԯ"/>
      <sheetName val="КОРП-1"/>
      <sheetName val="ГСМ Гараж"/>
      <sheetName val="ГСМ по инвест"/>
      <sheetName val="аморт"/>
      <sheetName val="Запчасти Гараж"/>
      <sheetName val="Материалы РМУ"/>
      <sheetName val="Постановка на учет авто"/>
      <sheetName val="Размножение проектов"/>
      <sheetName val="материалы ВДГО"/>
      <sheetName val="Тех осмотр"/>
      <sheetName val="Проект 1"/>
      <sheetName val="Объем ВДГО"/>
      <sheetName val="Стор Орг.РМУ"/>
      <sheetName val="12НК"/>
      <sheetName val="MCC"/>
      <sheetName val="Datasheet"/>
      <sheetName val="IS-Cash"/>
      <sheetName val="Loan"/>
      <sheetName val="8180 (8181,8182)"/>
      <sheetName val="8082"/>
      <sheetName val="8250"/>
      <sheetName val="8140"/>
      <sheetName val="8070"/>
      <sheetName val="8145"/>
      <sheetName val="8200"/>
      <sheetName val="8113"/>
      <sheetName val="8210"/>
      <sheetName val="2_Уст_у_ж.д._тупика"/>
      <sheetName val="амортизация"/>
      <sheetName val="Вариант2,1"/>
      <sheetName val="Цена"/>
      <sheetName val="станции"/>
      <sheetName val="Prelim Cost"/>
      <sheetName val="700-H"/>
      <sheetName val="Все_по/_x0000_瀀G_x0000__x0000_ꀀ"/>
      <sheetName val="Все_по0_x0000_#_x0000__x0000_ꀀ"/>
      <sheetName val="Все_по0_x0000_Å_x0000__x0000_ꀀ"/>
      <sheetName val="Все_по԰_x0000_缀_x0000__x0000__x0000_缀"/>
      <sheetName val="Все_по԰_x0000_缀_x0000__x0000__x0000_퐀"/>
      <sheetName val="Все_по예썘/_x0000_쀀_x001f__x0000_"/>
      <sheetName val="ТитулЛистОтч"/>
      <sheetName val="IS"/>
      <sheetName val="Презентация"/>
      <sheetName val="Отчет_Компания"/>
      <sheetName val="PLM"/>
      <sheetName val="коммент"/>
      <sheetName val="IB"/>
      <sheetName val="2019"/>
      <sheetName val="PL"/>
      <sheetName val="ББ"/>
      <sheetName val="ДДС"/>
      <sheetName val="Бюджет 2019"/>
      <sheetName val="Бюджет 2020"/>
      <sheetName val="Petroleum"/>
      <sheetName val="Задействованность (%U)"/>
      <sheetName val="Обслуживание (𝑬𝒇)"/>
      <sheetName val="Ремонты (%Rep)"/>
      <sheetName val="Все_по㐀ᕞഀ䞃԰"/>
      <sheetName val="Все_по0"/>
      <sheetName val="SAPBEXfilters"/>
      <sheetName val="calc"/>
      <sheetName val="[ДБСП_02_ 2002.xls]___Syzdyk_34"/>
      <sheetName val="4НК"/>
      <sheetName val="[ДБСП_02_ 2002.xls]___Syzdykb_2"/>
      <sheetName val="[ДБСП_02_ 2002.xls]___Syzdyk_10"/>
      <sheetName val="[ДБСП_02_ 2002.xls]___Syzdykb_9"/>
      <sheetName val="[ДБСП_02_ 2002.xls]___Syzdykb_3"/>
      <sheetName val="[ДБСП_02_ 2002.xls]___Syzdykb_4"/>
      <sheetName val="[ДБСП_02_ 2002.xls]___Syzdykb_5"/>
      <sheetName val="[ДБСП_02_ 2002.xls]___Syzdykb_6"/>
      <sheetName val="[ДБСП_02_ 2002.xls]___Syzdykb_8"/>
      <sheetName val="[ДБСП_02_ 2002.xls]___Syzdykb_7"/>
      <sheetName val="[ДБСП_02_ 2002.xls]___Syzdyk_11"/>
      <sheetName val="[ДБСП_02_ 2002.xls]___Syzdyk_12"/>
      <sheetName val="Data-in"/>
      <sheetName val="[ДБСП_02_ 2002.xls]___Syzdyk_13"/>
      <sheetName val="[ДБСП_02_ 2002.xls]___Syzdyk_19"/>
      <sheetName val="[ДБСП_02_ 2002.xls]___Syzdyk_18"/>
      <sheetName val="[ДБСП_02_ 2002.xls]___Syzdyk_15"/>
      <sheetName val="[ДБСП_02_ 2002.xls]___Syzdyk_14"/>
      <sheetName val="[ДБСП_02_ 2002.xls]___Syzdyk_16"/>
      <sheetName val="[ДБСП_02_ 2002.xls]___Syzdyk_17"/>
      <sheetName val="Статьи"/>
      <sheetName val="[ДБСП_02_ 2002.xls]___Syzdyk_21"/>
      <sheetName val="[ДБСП_02_ 2002.xls]___Syzdyk_20"/>
      <sheetName val="___Syzdykb_2"/>
      <sheetName val="___Syzdyk_10"/>
      <sheetName val="___Syzdykb_9"/>
      <sheetName val="___Syzdykb_3"/>
      <sheetName val="___Syzdykb_4"/>
      <sheetName val="___Syzdykb_5"/>
      <sheetName val="___Syzdykb_6"/>
      <sheetName val="___Syzdykb_8"/>
      <sheetName val="___Syzdykb_7"/>
      <sheetName val="___Syzdyk_11"/>
      <sheetName val="___Syzdyk_12"/>
      <sheetName val="___Syzdyk_13"/>
      <sheetName val="___Syzdyk_19"/>
      <sheetName val="___Syzdyk_18"/>
      <sheetName val="___Syzdyk_15"/>
      <sheetName val="___Syzdyk_14"/>
      <sheetName val="___Syzdyk_16"/>
      <sheetName val="___Syzdyk_17"/>
      <sheetName val="___Syzdyk_21"/>
      <sheetName val="___Syzdyk_20"/>
      <sheetName val="[ДБСП_02_ 2002.xls]___Syzdyk_22"/>
      <sheetName val="[ДБСП_02_ 2002.xls]___Syzdyk_23"/>
      <sheetName val="[ДБСП_02_ 2002.xls]___Syzdyk_27"/>
      <sheetName val="[ДБСП_02_ 2002.xls]___Syzdyk_24"/>
      <sheetName val="[ДБСП_02_ 2002.xls]___Syzdyk_25"/>
      <sheetName val="[ДБСП_02_ 2002.xls]___Syzdyk_26"/>
      <sheetName val="[ДБСП_02_ 2002.xls]___Syzdyk_28"/>
      <sheetName val="[ДБСП_02_ 2002.xls]___Syzdyk_29"/>
      <sheetName val="[ДБСП_02_ 2002.xls]___Syzdyk_30"/>
      <sheetName val="[ДБСП_02_ 2002.xls]___Syzdyk_31"/>
      <sheetName val="[ДБСП_02_ 2002.xls]___Syzdyk_32"/>
      <sheetName val="[ДБСП_02_ 2002.xls]___Syzdyk_33"/>
      <sheetName val="рев ДФ (св)"/>
      <sheetName val="общ"/>
      <sheetName val="Бонды стр.341"/>
      <sheetName val="Project Detail Inputs"/>
      <sheetName val="I KEY INFORMATION"/>
      <sheetName val="VI REVENUE OOD"/>
      <sheetName val="IIb P&amp;L short"/>
      <sheetName val="IV REVENUE ROOMS"/>
      <sheetName val="IV REVENUE  F&amp;B"/>
      <sheetName val="Parameters"/>
      <sheetName val="SBM Reserve"/>
      <sheetName val="собственный капитал"/>
      <sheetName val="Фонд"/>
      <sheetName val="Assump"/>
      <sheetName val="5NK_"/>
      <sheetName val="Main_Page"/>
      <sheetName val="Источник_финансирования"/>
      <sheetName val="Способ_закупки"/>
      <sheetName val="Зам_нгду-1(наг)"/>
      <sheetName val="Зам_нгду-1"/>
      <sheetName val="Зам_ОЭПУ(доб)"/>
      <sheetName val="Зам_нгду-2(наг)"/>
      <sheetName val="Зам_ОЭПУ(наг)"/>
      <sheetName val="сут_рап_снижПТО_по_мероп"/>
      <sheetName val="Заявлени+сдач_обх_по_22_02_12"/>
      <sheetName val="для_рекомендации_на_09_02_12г"/>
      <sheetName val="рев_на_09_06_"/>
      <sheetName val="IFRS_FS"/>
      <sheetName val="Список_документов"/>
      <sheetName val="с_01_08_по_17_10_=_1569_вагонов"/>
      <sheetName val="Лист_1"/>
      <sheetName val="Strat_1H_2008"/>
      <sheetName val="[ДБСП_02_ 2002.xls]___Syzdyk_35"/>
      <sheetName val="[ДБСП_02_ 2002.xls]___Syzdyk_37"/>
      <sheetName val="[ДБСП_02_ 2002.xls]___Syzdyk_36"/>
      <sheetName val="[ДБСП_02_ 2002.xls]___Syzdyk_43"/>
      <sheetName val="[ДБСП_02_ 2002.xls]___Syzdyk_38"/>
      <sheetName val="[ДБСП_02_ 2002.xls]___Syzdyk_39"/>
      <sheetName val="[ДБСП_02_ 2002.xls]___Syzdyk_40"/>
      <sheetName val="[ДБСП_02_ 2002.xls]___Syzdyk_41"/>
      <sheetName val="[ДБСП_02_ 2002.xls]___Syzdyk_42"/>
      <sheetName val="Осн.показ"/>
      <sheetName val="Input 2"/>
      <sheetName val="[ДБСП_02_ 2002.xls]___Syzdyk_54"/>
      <sheetName val="[ДБСП_02_ 2002.xls]___Syzdyk_44"/>
      <sheetName val="[ДБСП_02_ 2002.xls]___Syzdyk_45"/>
      <sheetName val="[ДБСП_02_ 2002.xls]___Syzdyk_46"/>
      <sheetName val="[ДБСП_02_ 2002.xls]___Syzdyk_49"/>
      <sheetName val="[ДБСП_02_ 2002.xls]___Syzdyk_47"/>
      <sheetName val="[ДБСП_02_ 2002.xls]___Syzdyk_48"/>
      <sheetName val="[ДБСП_02_ 2002.xls]___Syzdyk_50"/>
      <sheetName val="[ДБСП_02_ 2002.xls]___Syzdyk_53"/>
      <sheetName val="[ДБСП_02_ 2002.xls]___Syzdyk_52"/>
      <sheetName val="[ДБСП_02_ 2002.xls]___Syzdyk_51"/>
      <sheetName val="1NK"/>
      <sheetName val="Налоги"/>
      <sheetName val="[ДБСП_02_ 2002.xls]___Syzdyk_59"/>
      <sheetName val="[ДБСП_02_ 2002.xls]___Syzdyk_55"/>
      <sheetName val="[ДБСП_02_ 2002.xls]___Syzdyk_56"/>
      <sheetName val="[ДБСП_02_ 2002.xls]___Syzdyk_57"/>
      <sheetName val="[ДБСП_02_ 2002.xls]___Syzdyk_58"/>
      <sheetName val="[ДБСП_02_ 2002.xls]___Syzdyk_65"/>
      <sheetName val="[ДБСП_02_ 2002.xls]___Syzdyk_60"/>
      <sheetName val="[ДБСП_02_ 2002.xls]___Syzdyk_61"/>
      <sheetName val="[ДБСП_02_ 2002.xls]___Syzdyk_62"/>
      <sheetName val="[ДБСП_02_ 2002.xls]___Syzdyk_63"/>
      <sheetName val="[ДБСП_02_ 2002.xls]___Syzdyk_64"/>
      <sheetName val="[ДБСП_02_ 2002.xls]___Syzdyk_67"/>
      <sheetName val="[ДБСП_02_ 2002.xls]___Syzdyk_66"/>
      <sheetName val="[ДБСП_02_ 2002.xls]___Syzdyk_69"/>
      <sheetName val="[ДБСП_02_ 2002.xls]___Syzdyk_68"/>
      <sheetName val="объекты обществаКокшетау"/>
      <sheetName val="Фин. пок-ли"/>
      <sheetName val="Loans_out"/>
      <sheetName val="План_ГЗ"/>
      <sheetName val="доходы_и_расходы_"/>
      <sheetName val="B_11"/>
      <sheetName val="C_251"/>
      <sheetName val="A_1001"/>
      <sheetName val="14_1_2_2__Услуги_связи_1"/>
      <sheetName val="расш__себестоим_"/>
      <sheetName val="расш_реал"/>
      <sheetName val="расш_ОАР"/>
      <sheetName val="муз_колледж"/>
      <sheetName val="консалт"/>
      <sheetName val="Sample"/>
      <sheetName val="Свод за 2008г"/>
      <sheetName val="ЦФО"/>
      <sheetName val="наличие_НДС"/>
      <sheetName val="Тип_учета"/>
      <sheetName val="PP_E mvt for 2003"/>
      <sheetName val="данн"/>
      <sheetName val="H"/>
      <sheetName val="2@"/>
      <sheetName val="L202 - КПСБ"/>
      <sheetName val="Все_поက_x0000_퀀ѫ爃䅄/"/>
      <sheetName val="показатели"/>
      <sheetName val="Лист4"/>
      <sheetName val="Лист1 (2)"/>
      <sheetName val="Схема доплат"/>
      <sheetName val="Повышающие коэф ОМГ"/>
      <sheetName val="CO1"/>
      <sheetName val="CO11"/>
      <sheetName val="CO12"/>
      <sheetName val="CO13"/>
      <sheetName val="CO16"/>
      <sheetName val="CO17"/>
      <sheetName val="CO18"/>
      <sheetName val="CO19"/>
      <sheetName val="CO2"/>
      <sheetName val="CO20"/>
      <sheetName val="CO21"/>
      <sheetName val="CO22"/>
      <sheetName val="CO26"/>
      <sheetName val="CO27"/>
      <sheetName val="CO3"/>
      <sheetName val="CO30"/>
      <sheetName val="CO4"/>
      <sheetName val="CO5"/>
      <sheetName val="CO6"/>
      <sheetName val="CO7"/>
      <sheetName val="TARIF2"/>
      <sheetName val="17-21 апреля"/>
      <sheetName val="Все_по예썘/"/>
      <sheetName val="материалы"/>
      <sheetName val="КОНФИГУРАЦИЯ"/>
      <sheetName val="[ДБСП_02_ 2002.xls]___Syzdyk_71"/>
      <sheetName val="[ДБСП_02_ 2002.xls]___Syzdyk_70"/>
      <sheetName val="[ДБСП_02_ 2002.xls]___Syzdyk_74"/>
      <sheetName val="[ДБСП_02_ 2002.xls]___Syzdyk_72"/>
      <sheetName val="[ДБСП_02_ 2002.xls]___Syzdyk_73"/>
      <sheetName val="[ДБСП_02_ 2002.xls]___Syzdyk_76"/>
      <sheetName val="[ДБСП_02_ 2002.xls]___Syzdyk_75"/>
      <sheetName val="[ДБСП_02_ 2002.xls]___Syzdyk_77"/>
      <sheetName val="[ДБСП_02_ 2002.xls]___Syzdyk_79"/>
      <sheetName val="[ДБСП_02_ 2002.xls]___Syzdyk_78"/>
      <sheetName val="[ДБСП_02_ 2002.xls]___Syzdyk_81"/>
      <sheetName val="[ДБСП_02_ 2002.xls]___Syzdyk_80"/>
      <sheetName val="[ДБСП_02_ 2002.xls]___Syzdyk_84"/>
      <sheetName val="[ДБСП_02_ 2002.xls]___Syzdyk_82"/>
      <sheetName val="[ДБСП_02_ 2002.xls]___Syzdyk_83"/>
      <sheetName val="[ДБСП_02_ 2002.xls]___Syzdyk_89"/>
      <sheetName val="[ДБСП_02_ 2002.xls]___Syzdyk_85"/>
      <sheetName val="[ДБСП_02_ 2002.xls]___Syzdyk_86"/>
      <sheetName val="[ДБСП_02_ 2002.xls]___Syzdyk_87"/>
      <sheetName val="[ДБСП_02_ 2002.xls]___Syzdyk_88"/>
      <sheetName val="[ДБСП_02_ 2002.xls]___Syzdyk_90"/>
      <sheetName val="[ДБСП_02_ 2002.xls]___Syzdyk_91"/>
      <sheetName val="[ДБСП_02_ 2002.xls]___Syzdyk_93"/>
      <sheetName val="[ДБСП_02_ 2002.xls]___Syzdyk_92"/>
      <sheetName val="[ДБСП_02_ 2002.xls]___Syzdyk_95"/>
      <sheetName val="[ДБСП_02_ 2002.xls]___Syzdyk_94"/>
      <sheetName val="[ДБСП_02_ 2002.xls]___Syzdyk_98"/>
      <sheetName val="[ДБСП_02_ 2002.xls]___Syzdyk_96"/>
      <sheetName val="[ДБСП_02_ 2002.xls]___Syzdyk_97"/>
      <sheetName val="[ДБСП_02_ 2002.xls]___Syzdy_104"/>
      <sheetName val="[ДБСП_02_ 2002.xls]___Syzdyk_99"/>
      <sheetName val="[ДБСП_02_ 2002.xls]___Syzdy_100"/>
      <sheetName val="[ДБСП_02_ 2002.xls]___Syzdy_101"/>
      <sheetName val="[ДБСП_02_ 2002.xls]___Syzdy_102"/>
      <sheetName val="[ДБСП_02_ 2002.xls]___Syzdy_103"/>
      <sheetName val="лим_пр _затр"/>
      <sheetName val="Курс"/>
      <sheetName val="[ДБСП_02_ 2002.xls]___Syzdy_116"/>
      <sheetName val="[ДБСП_02_ 2002.xls]___Syzdy_114"/>
      <sheetName val="[ДБСП_02_ 2002.xls]___Syzdy_105"/>
      <sheetName val="[ДБСП_02_ 2002.xls]___Syzdy_106"/>
      <sheetName val="[ДБСП_02_ 2002.xls]___Syzdy_110"/>
      <sheetName val="[ДБСП_02_ 2002.xls]___Syzdy_109"/>
      <sheetName val="[ДБСП_02_ 2002.xls]___Syzdy_107"/>
      <sheetName val="[ДБСП_02_ 2002.xls]___Syzdy_108"/>
      <sheetName val="[ДБСП_02_ 2002.xls]___Syzdy_111"/>
      <sheetName val="[ДБСП_02_ 2002.xls]___Syzdy_112"/>
      <sheetName val="[ДБСП_02_ 2002.xls]___Syzdy_113"/>
      <sheetName val="[ДБСП_02_ 2002.xls]___Syzdy_115"/>
      <sheetName val="[ДБСП_02_ 2002.xls]___Syzdy_117"/>
      <sheetName val="[ДБСП_02_ 2002.xls]___Syzdy_118"/>
      <sheetName val="[ДБСП_02_ 2002.xls]___Syzdy_119"/>
      <sheetName val="Консол_ф1"/>
      <sheetName val="[ДБСП_02_ 2002.xls]___Syzdy_124"/>
      <sheetName val="[ДБСП_02_ 2002.xls]___Syzdy_122"/>
      <sheetName val="[ДБСП_02_ 2002.xls]___Syzdy_120"/>
      <sheetName val="[ДБСП_02_ 2002.xls]___Syzdy_121"/>
      <sheetName val="[ДБСП_02_ 2002.xls]___Syzdy_123"/>
      <sheetName val="[ДБСП_02_ 2002.xls]___Syzdy_125"/>
      <sheetName val="[ДБСП_02_ 2002.xls]___Syzdy_130"/>
      <sheetName val="[ДБСП_02_ 2002.xls]___Syzdy_126"/>
      <sheetName val="[ДБСП_02_ 2002.xls]___Syzdy_127"/>
      <sheetName val="[ДБСП_02_ 2002.xls]___Syzdy_128"/>
      <sheetName val="[ДБСП_02_ 2002.xls]___Syzdy_129"/>
      <sheetName val="[ДБСП_02_ 2002.xls]___Syzdy_168"/>
      <sheetName val="[ДБСП_02_ 2002.xls]___Syzdy_132"/>
      <sheetName val="[ДБСП_02_ 2002.xls]___Syzdy_131"/>
      <sheetName val="[ДБСП_02_ 2002.xls]___Syzdy_146"/>
      <sheetName val="[ДБСП_02_ 2002.xls]___Syzdy_138"/>
      <sheetName val="[ДБСП_02_ 2002.xls]___Syzdy_135"/>
      <sheetName val="[ДБСП_02_ 2002.xls]___Syzdy_133"/>
      <sheetName val="[ДБСП_02_ 2002.xls]___Syzdy_134"/>
      <sheetName val="[ДБСП_02_ 2002.xls]___Syzdy_136"/>
      <sheetName val="[ДБСП_02_ 2002.xls]___Syzdy_137"/>
      <sheetName val="[ДБСП_02_ 2002.xls]___Syzdy_139"/>
      <sheetName val="[ДБСП_02_ 2002.xls]___Syzdy_141"/>
      <sheetName val="[ДБСП_02_ 2002.xls]___Syzdy_140"/>
      <sheetName val="[ДБСП_02_ 2002.xls]___Syzdy_142"/>
      <sheetName val="[ДБСП_02_ 2002.xls]___Syzdy_143"/>
      <sheetName val="[ДБСП_02_ 2002.xls]___Syzdy_144"/>
      <sheetName val="[ДБСП_02_ 2002.xls]___Syzdy_145"/>
      <sheetName val="[ДБСП_02_ 2002.xls]___Syzdy_153"/>
      <sheetName val="[ДБСП_02_ 2002.xls]___Syzdy_150"/>
      <sheetName val="[ДБСП_02_ 2002.xls]___Syzdy_147"/>
      <sheetName val="[ДБСП_02_ 2002.xls]___Syzdy_148"/>
      <sheetName val="[ДБСП_02_ 2002.xls]___Syzdy_149"/>
      <sheetName val="[ДБСП_02_ 2002.xls]___Syzdy_151"/>
      <sheetName val="[ДБСП_02_ 2002.xls]___Syzdy_152"/>
      <sheetName val="[ДБСП_02_ 2002.xls]___Syzdy_154"/>
      <sheetName val="[ДБСП_02_ 2002.xls]___Syzdy_155"/>
      <sheetName val="[ДБСП_02_ 2002.xls]___Syzdy_158"/>
      <sheetName val="[ДБСП_02_ 2002.xls]___Syzdy_157"/>
      <sheetName val="[ДБСП_02_ 2002.xls]___Syzdy_156"/>
      <sheetName val="[ДБСП_02_ 2002.xls]___Syzdy_160"/>
      <sheetName val="[ДБСП_02_ 2002.xls]___Syzdy_159"/>
      <sheetName val="[ДБСП_02_ 2002.xls]___Syzdy_161"/>
      <sheetName val="[ДБСП_02_ 2002.xls]___Syzdy_164"/>
      <sheetName val="[ДБСП_02_ 2002.xls]___Syzdy_162"/>
      <sheetName val="[ДБСП_02_ 2002.xls]___Syzdy_163"/>
      <sheetName val="[ДБСП_02_ 2002.xls]___Syzdy_165"/>
      <sheetName val="[ДБСП_02_ 2002.xls]___Syzdy_167"/>
      <sheetName val="[ДБСП_02_ 2002.xls]___Syzdy_166"/>
      <sheetName val="Все_поက"/>
      <sheetName val="[ДБСП_02_ 2002.xls]___Syzdy_171"/>
      <sheetName val="[ДБСП_02_ 2002.xls]___Syzdy_169"/>
      <sheetName val="[ДБСП_02_ 2002.xls]___Syzdy_170"/>
      <sheetName val="[ДБСП_02_ 2002.xls]___Syzdy_173"/>
      <sheetName val="[ДБСП_02_ 2002.xls]___Syzdy_172"/>
      <sheetName val="все-доб.осн ГТМ (+-) (2)"/>
      <sheetName val="[ДБСП_02_ 2002.xls]___Syzdy_175"/>
      <sheetName val="[ДБСП_02_ 2002.xls]___Syzdy_174"/>
      <sheetName val="[ДБСП_02_ 2002.xls]___Syzdy_176"/>
      <sheetName val="[ДБСП_02_ 2002.xls]___Syzdy_177"/>
      <sheetName val="[ДБСП_02_ 2002.xls]___Syzdy_178"/>
      <sheetName val="[ДБСП_02_ 2002.xls]___Syzdy_184"/>
      <sheetName val="[ДБСП_02_ 2002.xls]___Syzdy_179"/>
      <sheetName val="[ДБСП_02_ 2002.xls]___Syzdy_181"/>
      <sheetName val="[ДБСП_02_ 2002.xls]___Syzdy_180"/>
      <sheetName val="[ДБСП_02_ 2002.xls]___Syzdy_182"/>
      <sheetName val="[ДБСП_02_ 2002.xls]___Syzdy_183"/>
      <sheetName val="pip.summ."/>
      <sheetName val="[ДБСП_02_ 2002.xls]___Syzdy_187"/>
      <sheetName val="[ДБСП_02_ 2002.xls]___Syzdy_186"/>
      <sheetName val="[ДБСП_02_ 2002.xls]___Syzdy_185"/>
      <sheetName val="[ДБСП_02_ 2002.xls]___Syzdy_188"/>
      <sheetName val="[ДБСП_02_ 2002.xls]___Syzdy_190"/>
      <sheetName val="[ДБСП_02_ 2002.xls]___Syzdy_189"/>
      <sheetName val="[ДБСП_02_ 2002.xls]___Syzdy_196"/>
      <sheetName val="[ДБСП_02_ 2002.xls]___Syzdy_192"/>
      <sheetName val="[ДБСП_02_ 2002.xls]___Syzdy_191"/>
      <sheetName val="[ДБСП_02_ 2002.xls]___Syzdy_193"/>
      <sheetName val="[ДБСП_02_ 2002.xls]___Syzdy_194"/>
      <sheetName val="[ДБСП_02_ 2002.xls]___Syzdy_195"/>
      <sheetName val="[ДБСП_02_ 2002.xls]___Syzdy_197"/>
      <sheetName val="[ДБСП_02_ 2002.xls]___Syzdy_198"/>
      <sheetName val="[ДБСП_02_ 2002.xls]___Syzdy_201"/>
      <sheetName val="[ДБСП_02_ 2002.xls]___Syzdy_200"/>
      <sheetName val="[ДБСП_02_ 2002.xls]___Syzdy_199"/>
      <sheetName val="[ДБСП_02_ 2002.xls]___Syzdy_211"/>
      <sheetName val="[ДБСП_02_ 2002.xls]___Syzdy_202"/>
      <sheetName val="[ДБСП_02_ 2002.xls]___Syzdy_203"/>
      <sheetName val="[ДБСП_02_ 2002.xls]___Syzdy_204"/>
      <sheetName val="[ДБСП_02_ 2002.xls]___Syzdy_206"/>
      <sheetName val="[ДБСП_02_ 2002.xls]___Syzdy_205"/>
      <sheetName val="[ДБСП_02_ 2002.xls]___Syzdy_208"/>
      <sheetName val="[ДБСП_02_ 2002.xls]___Syzdy_207"/>
      <sheetName val="[ДБСП_02_ 2002.xls]___Syzdy_209"/>
      <sheetName val="[ДБСП_02_ 2002.xls]___Syzdy_210"/>
      <sheetName val="[ДБСП_02_ 2002.xls]___Syzdy_216"/>
      <sheetName val="[ДБСП_02_ 2002.xls]___Syzdy_212"/>
      <sheetName val="[ДБСП_02_ 2002.xls]___Syzdy_214"/>
      <sheetName val="[ДБСП_02_ 2002.xls]___Syzdy_213"/>
      <sheetName val="[ДБСП_02_ 2002.xls]___Syzdy_215"/>
      <sheetName val="[ДБСП_02_ 2002.xls]___Syzdy_217"/>
      <sheetName val="LEAD"/>
      <sheetName val="Rollforward"/>
      <sheetName val="ИП_ДО_БЛ "/>
      <sheetName val="макропоказ"/>
      <sheetName val="[ДБСП_02_ 2002.xls]___Syzdy_218"/>
      <sheetName val="[ДБСП_02_ 2002.xls]___Syzdy_219"/>
      <sheetName val="[ДБСП_02_ 2002.xls]___Syzdy_220"/>
      <sheetName val="[ДБСП_02_ 2002.xls]___Syzdy_222"/>
      <sheetName val="[ДБСП_02_ 2002.xls]___Syzdy_221"/>
      <sheetName val="[ДБСП_02_ 2002.xls]___Syzdy_225"/>
      <sheetName val="[ДБСП_02_ 2002.xls]___Syzdy_223"/>
      <sheetName val="[ДБСП_02_ 2002.xls]___Syzdy_224"/>
      <sheetName val="[ДБСП_02_ 2002.xls]___Syzdy_229"/>
      <sheetName val="[ДБСП_02_ 2002.xls]___Syzdy_226"/>
      <sheetName val="[ДБСП_02_ 2002.xls]___Syzdy_227"/>
      <sheetName val="[ДБСП_02_ 2002.xls]___Syzdy_228"/>
      <sheetName val="___Syzdykbaeva__________Docum_2"/>
      <sheetName val="___Syzdykbaeva__________Docum_3"/>
      <sheetName val="пр-во"/>
      <sheetName val="22"/>
      <sheetName val="Brand valuation"/>
      <sheetName val="ДИП проч"/>
      <sheetName val="ДМИР НОВЫЙ"/>
      <sheetName val="ДУП проч"/>
      <sheetName val="Тип пункта плана"/>
      <sheetName val="Добыча_нефти45"/>
      <sheetName val="Продактс_капвл5"/>
      <sheetName val="поставка_сравн135"/>
      <sheetName val="Капвл_всего5"/>
      <sheetName val="Инв_Прог225"/>
      <sheetName val="Все_пок23_245"/>
      <sheetName val="План_закупок3"/>
      <sheetName val="Командировочные_расходы3"/>
      <sheetName val="12_из_57_АЗС3"/>
      <sheetName val="МО_00123"/>
      <sheetName val="из_сем5"/>
      <sheetName val="__2_3_25"/>
      <sheetName val="0__Данные3"/>
      <sheetName val="аренда_цс3"/>
      <sheetName val="пр_6_дох3"/>
      <sheetName val="мат_расходы3"/>
      <sheetName val="Налоги_на_транспорт3"/>
      <sheetName val="6_NK3"/>
      <sheetName val="Сдача_3"/>
      <sheetName val="ДБСП_02__20023"/>
      <sheetName val="свод2010г_по_гр_3"/>
      <sheetName val="Статьи_затрат3"/>
      <sheetName val="14_1_2_2_(Услуги_связи)3"/>
      <sheetName val="Income_$3"/>
      <sheetName val="3_ФОТ3"/>
      <sheetName val="2а_(4)3"/>
      <sheetName val="выданы_таб_№_(от_25_01_12_ОК)3"/>
      <sheetName val="по_2007_году_план_на_2008_год3"/>
      <sheetName val="Изменяемые_данные3"/>
      <sheetName val="расчет_ГСМ_НА_2013Г3"/>
      <sheetName val="Страхование_ГПО_охр_23"/>
      <sheetName val="канат_прод_3"/>
      <sheetName val="исп_см_3"/>
      <sheetName val="Financial_ratios_А33"/>
      <sheetName val="факт_2005_г_3"/>
      <sheetName val="balans_33"/>
      <sheetName val="1_411_13"/>
      <sheetName val="Ден_потоки3"/>
      <sheetName val="Haul_cons3"/>
      <sheetName val="Распределение_прибыли3"/>
      <sheetName val="PP&amp;E_mvt_for_20033"/>
      <sheetName val="SUN_TB3"/>
      <sheetName val="7_13"/>
      <sheetName val="Лист1_(3)3"/>
      <sheetName val="на_31_12_07_(4)3"/>
      <sheetName val="CIP_Dec_20063"/>
      <sheetName val="C-Total_Market3"/>
      <sheetName val="I-Demand_Drivers3"/>
      <sheetName val="2_2_ОтклОТМ3"/>
      <sheetName val="1_3_2_ОТМ3"/>
      <sheetName val="д_7_0013"/>
      <sheetName val="3БК_Инвестиции3"/>
      <sheetName val="2008_ГСМ3"/>
      <sheetName val="Плата_за_загрязнение_3"/>
      <sheetName val="26_04_2013_(2)3"/>
      <sheetName val="СВОД_Логистика3"/>
      <sheetName val="Treatment_Summary3"/>
      <sheetName val="4_Налоги1"/>
      <sheetName val="ремонт_253"/>
      <sheetName val="PR_CN3"/>
      <sheetName val="__2_3_26"/>
      <sheetName val="Кабельная_продукция2"/>
      <sheetName val="Ком_плат2"/>
      <sheetName val="SAD_Schedule1"/>
      <sheetName val="расчет_прибыли1"/>
      <sheetName val="ГПЗ_ПОСД_Способ_закупок1"/>
      <sheetName val="ДС_МЗК1"/>
      <sheetName val="H3_100_Rollforward1"/>
      <sheetName val="GAAP_TB_31_12_01__detail_p&amp;l1"/>
      <sheetName val="РСза_6-м_20121"/>
      <sheetName val="Отд_расх1"/>
      <sheetName val="стр_145_рос__исп1"/>
      <sheetName val="Anlagevermögen"/>
      <sheetName val="[ДБСП_02_ 2002.xls]___Syzdy_246"/>
      <sheetName val="[ДБСП_02_ 2002.xls]___Syzdy_241"/>
      <sheetName val="[ДБСП_02_ 2002.xls]___Syzdy_233"/>
      <sheetName val="[ДБСП_02_ 2002.xls]___Syzdy_230"/>
      <sheetName val="[ДБСП_02_ 2002.xls]___Syzdy_231"/>
      <sheetName val="[ДБСП_02_ 2002.xls]___Syzdy_232"/>
      <sheetName val="[ДБСП_02_ 2002.xls]___Syzdy_235"/>
      <sheetName val="[ДБСП_02_ 2002.xls]___Syzdy_234"/>
      <sheetName val="[ДБСП_02_ 2002.xls]___Syzdy_236"/>
      <sheetName val="[ДБСП_02_ 2002.xls]___Syzdy_239"/>
      <sheetName val="[ДБСП_02_ 2002.xls]___Syzdy_237"/>
      <sheetName val="[ДБСП_02_ 2002.xls]___Syzdy_238"/>
      <sheetName val="[ДБСП_02_ 2002.xls]___Syzdy_240"/>
      <sheetName val="[ДБСП_02_ 2002.xls]___Syzdy_242"/>
      <sheetName val="[ДБСП_02_ 2002.xls]___Syzdy_243"/>
      <sheetName val="[ДБСП_02_ 2002.xls]___Syzdy_244"/>
      <sheetName val="[ДБСП_02_ 2002.xls]___Syzdy_245"/>
      <sheetName val="[ДБСП_02_ 2002.xls]___Syzdy_247"/>
      <sheetName val="[ДБСП_02_ 2002.xls]___Syzdy_249"/>
      <sheetName val="[ДБСП_02_ 2002.xls]___Syzdy_248"/>
      <sheetName val="[ДБСП_02_ 2002.xls]___Syzdy_250"/>
      <sheetName val="[ДБСП_02_ 2002.xls]___Syzdy_251"/>
      <sheetName val="[ДБСП_02_ 2002.xls]___Syzdy_266"/>
      <sheetName val="[ДБСП_02_ 2002.xls]___Syzdy_265"/>
      <sheetName val="[ДБСП_02_ 2002.xls]___Syzdy_257"/>
      <sheetName val="[ДБСП_02_ 2002.xls]___Syzdy_254"/>
      <sheetName val="[ДБСП_02_ 2002.xls]___Syzdy_252"/>
      <sheetName val="[ДБСП_02_ 2002.xls]___Syzdy_253"/>
      <sheetName val="[ДБСП_02_ 2002.xls]___Syzdy_255"/>
      <sheetName val="[ДБСП_02_ 2002.xls]___Syzdy_256"/>
      <sheetName val="[ДБСП_02_ 2002.xls]___Syzdy_258"/>
      <sheetName val="[ДБСП_02_ 2002.xls]___Syzdy_260"/>
      <sheetName val="[ДБСП_02_ 2002.xls]___Syzdy_259"/>
      <sheetName val="[ДБСП_02_ 2002.xls]___Syzdy_261"/>
      <sheetName val="[ДБСП_02_ 2002.xls]___Syzdy_262"/>
      <sheetName val="[ДБСП_02_ 2002.xls]___Syzdy_263"/>
      <sheetName val="[ДБСП_02_ 2002.xls]___Syzdy_264"/>
      <sheetName val="[ДБСП_02_ 2002.xls]___Syzdy_267"/>
      <sheetName val="[ДБСП_02_ 2002.xls]___Syzdy_268"/>
      <sheetName val="[ДБСП_02_ 2002.xls]___Syzdy_287"/>
      <sheetName val="[ДБСП_02_ 2002.xls]___Syzdy_283"/>
      <sheetName val="[ДБСП_02_ 2002.xls]___Syzdy_280"/>
      <sheetName val="[ДБСП_02_ 2002.xls]___Syzdy_269"/>
      <sheetName val="[ДБСП_02_ 2002.xls]___Syzdy_270"/>
      <sheetName val="[ДБСП_02_ 2002.xls]___Syzdy_271"/>
      <sheetName val="[ДБСП_02_ 2002.xls]___Syzdy_272"/>
      <sheetName val="[ДБСП_02_ 2002.xls]___Syzdy_273"/>
      <sheetName val="[ДБСП_02_ 2002.xls]___Syzdy_274"/>
      <sheetName val="[ДБСП_02_ 2002.xls]___Syzdy_275"/>
      <sheetName val="[ДБСП_02_ 2002.xls]___Syzdy_276"/>
      <sheetName val="[ДБСП_02_ 2002.xls]___Syzdy_277"/>
      <sheetName val="[ДБСП_02_ 2002.xls]___Syzdy_279"/>
      <sheetName val="[ДБСП_02_ 2002.xls]___Syzdy_278"/>
      <sheetName val="[ДБСП_02_ 2002.xls]___Syzdy_281"/>
      <sheetName val="[ДБСП_02_ 2002.xls]___Syzdy_282"/>
      <sheetName val="[ДБСП_02_ 2002.xls]___Syzdy_284"/>
      <sheetName val="[ДБСП_02_ 2002.xls]___Syzdy_285"/>
      <sheetName val="[ДБСП_02_ 2002.xls]___Syzdy_286"/>
      <sheetName val="[ДБСП_02_ 2002.xls]___Syzdy_288"/>
      <sheetName val="[ДБСП_02_ 2002.xls]___Syzdy_289"/>
      <sheetName val="[ДБСП_02_ 2002.xls]___Syzdy_290"/>
      <sheetName val="[ДБСП_02_ 2002.xls]___Syzdy_292"/>
      <sheetName val="[ДБСП_02_ 2002.xls]___Syzdy_291"/>
      <sheetName val="[ДБСП_02_ 2002.xls]___Syzdy_294"/>
      <sheetName val="[ДБСП_02_ 2002.xls]___Syzdy_293"/>
      <sheetName val="Product Assumptions"/>
      <sheetName val="объемы"/>
      <sheetName val="Вход"/>
      <sheetName val="Comp"/>
      <sheetName val="[ДБСП_02_ 2002.xls]___Syzdy_295"/>
      <sheetName val="Баланс корп"/>
      <sheetName val="Официальные курсы"/>
      <sheetName val="Дт-Кт"/>
      <sheetName val="[ДБСП_02_ 2002.xls]___Syzdy_296"/>
      <sheetName val="[ДБСП_02_ 2002.xls]___Syzdy_303"/>
      <sheetName val="[ДБСП_02_ 2002.xls]___Syzdy_297"/>
      <sheetName val="[ДБСП_02_ 2002.xls]___Syzdy_298"/>
      <sheetName val="[ДБСП_02_ 2002.xls]___Syzdy_301"/>
      <sheetName val="[ДБСП_02_ 2002.xls]___Syzdy_300"/>
      <sheetName val="[ДБСП_02_ 2002.xls]___Syzdy_299"/>
      <sheetName val="[ДБСП_02_ 2002.xls]___Syzdy_302"/>
      <sheetName val="[ДБСП_02_ 2002.xls]___Syzdy_306"/>
      <sheetName val="[ДБСП_02_ 2002.xls]___Syzdy_304"/>
      <sheetName val="[ДБСП_02_ 2002.xls]___Syzdy_305"/>
      <sheetName val="[ДБСП_02_ 2002.xls]___Syzdy_315"/>
      <sheetName val="[ДБСП_02_ 2002.xls]___Syzdy_307"/>
      <sheetName val="[ДБСП_02_ 2002.xls]___Syzdy_308"/>
      <sheetName val="[ДБСП_02_ 2002.xls]___Syzdy_309"/>
      <sheetName val="[ДБСП_02_ 2002.xls]___Syzdy_310"/>
      <sheetName val="[ДБСП_02_ 2002.xls]___Syzdy_312"/>
      <sheetName val="[ДБСП_02_ 2002.xls]___Syzdy_311"/>
      <sheetName val="[ДБСП_02_ 2002.xls]___Syzdy_313"/>
      <sheetName val="[ДБСП_02_ 2002.xls]___Syzdy_314"/>
      <sheetName val="[ДБСП_02_ 2002.xls]___Syzdy_316"/>
      <sheetName val="[ДБСП_02_ 2002.xls]___Syzdy_318"/>
      <sheetName val="[ДБСП_02_ 2002.xls]___Syzdy_317"/>
      <sheetName val="[ДБСП_02_ 2002.xls]___Syzdy_320"/>
      <sheetName val="[ДБСП_02_ 2002.xls]___Syzdy_319"/>
      <sheetName val="[ДБСП_02_ 2002.xls]___Syzdy_321"/>
      <sheetName val="нояб 08"/>
      <sheetName val="Common"/>
      <sheetName val="OPEX&amp;FIN"/>
      <sheetName val="[ДБСП_02_ 2002.xls]___Syzdy_322"/>
      <sheetName val="Other AR"/>
      <sheetName val="[ДБСП_02_ 2002.xls]___Syzdy_325"/>
      <sheetName val="[ДБСП_02_ 2002.xls]___Syzdy_324"/>
      <sheetName val="[ДБСП_02_ 2002.xls]___Syzdy_323"/>
      <sheetName val="[ДБСП_02_ 2002.xls]___Syzdy_326"/>
      <sheetName val="[ДБСП_02_ 2002.xls]___Syzdy_327"/>
      <sheetName val="[ДБСП_02_ 2002.xls]___Syzdy_328"/>
      <sheetName val="[ДБСП_02_ 2002.xls]___Syzdy_329"/>
      <sheetName val="[ДБСП_02_ 2002.xls]___Syzdy_330"/>
      <sheetName val="[ДБСП_02_ 2002.xls]___Syzdy_331"/>
      <sheetName val="[ДБСП_02_ 2002.xls]___Syzdy_338"/>
      <sheetName val="[ДБСП_02_ 2002.xls]___Syzdy_332"/>
      <sheetName val="[ДБСП_02_ 2002.xls]___Syzdy_333"/>
      <sheetName val="[ДБСП_02_ 2002.xls]___Syzdy_334"/>
      <sheetName val="[ДБСП_02_ 2002.xls]___Syzdy_335"/>
      <sheetName val="[ДБСП_02_ 2002.xls]___Syzdy_336"/>
      <sheetName val="[ДБСП_02_ 2002.xls]___Syzdy_337"/>
      <sheetName val="[ДБСП_02_ 2002.xls]___Syzdy_340"/>
      <sheetName val="[ДБСП_02_ 2002.xls]___Syzdy_339"/>
      <sheetName val="[ДБСП_02_ 2002.xls]___Syzdy_359"/>
      <sheetName val="[ДБСП_02_ 2002.xls]___Syzdy_346"/>
      <sheetName val="[ДБСП_02_ 2002.xls]___Syzdy_341"/>
      <sheetName val="[ДБСП_02_ 2002.xls]___Syzdy_342"/>
      <sheetName val="[ДБСП_02_ 2002.xls]___Syzdy_343"/>
      <sheetName val="[ДБСП_02_ 2002.xls]___Syzdy_345"/>
      <sheetName val="[ДБСП_02_ 2002.xls]___Syzdy_344"/>
      <sheetName val="[ДБСП_02_ 2002.xls]___Syzdy_357"/>
      <sheetName val="[ДБСП_02_ 2002.xls]___Syzdy_354"/>
      <sheetName val="[ДБСП_02_ 2002.xls]___Syzdy_347"/>
      <sheetName val="[ДБСП_02_ 2002.xls]___Syzdy_348"/>
      <sheetName val="[ДБСП_02_ 2002.xls]___Syzdy_349"/>
      <sheetName val="[ДБСП_02_ 2002.xls]___Syzdy_350"/>
      <sheetName val="[ДБСП_02_ 2002.xls]___Syzdy_351"/>
      <sheetName val="[ДБСП_02_ 2002.xls]___Syzdy_352"/>
      <sheetName val="[ДБСП_02_ 2002.xls]___Syzdy_353"/>
      <sheetName val="[ДБСП_02_ 2002.xls]___Syzdy_356"/>
      <sheetName val="[ДБСП_02_ 2002.xls]___Syzdy_355"/>
      <sheetName val="[ДБСП_02_ 2002.xls]___Syzdy_358"/>
      <sheetName val="[ДБСП_02_ 2002.xls]___Syzdy_360"/>
      <sheetName val="МБК"/>
      <sheetName val="Корп кре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>
        <row r="1">
          <cell r="G1">
            <v>0</v>
          </cell>
        </row>
      </sheetData>
      <sheetData sheetId="192">
        <row r="1">
          <cell r="G1">
            <v>0</v>
          </cell>
        </row>
      </sheetData>
      <sheetData sheetId="193" refreshError="1"/>
      <sheetData sheetId="194">
        <row r="1">
          <cell r="G1">
            <v>0</v>
          </cell>
        </row>
      </sheetData>
      <sheetData sheetId="195">
        <row r="1">
          <cell r="G1">
            <v>0</v>
          </cell>
        </row>
      </sheetData>
      <sheetData sheetId="196">
        <row r="1">
          <cell r="G1">
            <v>0</v>
          </cell>
        </row>
      </sheetData>
      <sheetData sheetId="197">
        <row r="1">
          <cell r="G1">
            <v>0</v>
          </cell>
        </row>
      </sheetData>
      <sheetData sheetId="198">
        <row r="1">
          <cell r="G1">
            <v>0</v>
          </cell>
        </row>
      </sheetData>
      <sheetData sheetId="199">
        <row r="1">
          <cell r="G1">
            <v>0</v>
          </cell>
        </row>
      </sheetData>
      <sheetData sheetId="200">
        <row r="1">
          <cell r="G1">
            <v>0</v>
          </cell>
        </row>
      </sheetData>
      <sheetData sheetId="201">
        <row r="1">
          <cell r="G1">
            <v>0</v>
          </cell>
        </row>
      </sheetData>
      <sheetData sheetId="202">
        <row r="1">
          <cell r="G1">
            <v>0</v>
          </cell>
        </row>
      </sheetData>
      <sheetData sheetId="203">
        <row r="1">
          <cell r="G1">
            <v>0</v>
          </cell>
        </row>
      </sheetData>
      <sheetData sheetId="204">
        <row r="1">
          <cell r="G1">
            <v>0</v>
          </cell>
        </row>
      </sheetData>
      <sheetData sheetId="205">
        <row r="1">
          <cell r="G1">
            <v>0</v>
          </cell>
        </row>
      </sheetData>
      <sheetData sheetId="206">
        <row r="1">
          <cell r="G1">
            <v>0</v>
          </cell>
        </row>
      </sheetData>
      <sheetData sheetId="207">
        <row r="1">
          <cell r="G1">
            <v>0</v>
          </cell>
        </row>
      </sheetData>
      <sheetData sheetId="208">
        <row r="1">
          <cell r="G1" t="str">
            <v xml:space="preserve"> </v>
          </cell>
        </row>
      </sheetData>
      <sheetData sheetId="209">
        <row r="1">
          <cell r="G1">
            <v>0</v>
          </cell>
        </row>
      </sheetData>
      <sheetData sheetId="210">
        <row r="1">
          <cell r="G1">
            <v>0</v>
          </cell>
        </row>
      </sheetData>
      <sheetData sheetId="211">
        <row r="1">
          <cell r="G1" t="str">
            <v xml:space="preserve"> </v>
          </cell>
        </row>
      </sheetData>
      <sheetData sheetId="212">
        <row r="1">
          <cell r="G1">
            <v>0</v>
          </cell>
        </row>
      </sheetData>
      <sheetData sheetId="213">
        <row r="1">
          <cell r="G1" t="str">
            <v xml:space="preserve"> </v>
          </cell>
        </row>
      </sheetData>
      <sheetData sheetId="214">
        <row r="1">
          <cell r="G1">
            <v>0</v>
          </cell>
        </row>
      </sheetData>
      <sheetData sheetId="215">
        <row r="1">
          <cell r="G1" t="str">
            <v xml:space="preserve"> </v>
          </cell>
        </row>
      </sheetData>
      <sheetData sheetId="216">
        <row r="1">
          <cell r="G1">
            <v>0</v>
          </cell>
        </row>
      </sheetData>
      <sheetData sheetId="217">
        <row r="1">
          <cell r="G1">
            <v>0</v>
          </cell>
        </row>
      </sheetData>
      <sheetData sheetId="218">
        <row r="1">
          <cell r="G1">
            <v>0</v>
          </cell>
        </row>
      </sheetData>
      <sheetData sheetId="219">
        <row r="1">
          <cell r="G1">
            <v>0</v>
          </cell>
        </row>
      </sheetData>
      <sheetData sheetId="220">
        <row r="1">
          <cell r="G1">
            <v>0</v>
          </cell>
        </row>
      </sheetData>
      <sheetData sheetId="221">
        <row r="1">
          <cell r="G1" t="str">
            <v xml:space="preserve"> </v>
          </cell>
        </row>
      </sheetData>
      <sheetData sheetId="222">
        <row r="1">
          <cell r="G1">
            <v>0</v>
          </cell>
        </row>
      </sheetData>
      <sheetData sheetId="223">
        <row r="1">
          <cell r="G1">
            <v>0</v>
          </cell>
        </row>
      </sheetData>
      <sheetData sheetId="224">
        <row r="1">
          <cell r="G1" t="str">
            <v xml:space="preserve"> </v>
          </cell>
        </row>
      </sheetData>
      <sheetData sheetId="225">
        <row r="1">
          <cell r="G1">
            <v>0</v>
          </cell>
        </row>
      </sheetData>
      <sheetData sheetId="226">
        <row r="1">
          <cell r="G1" t="str">
            <v xml:space="preserve"> </v>
          </cell>
        </row>
      </sheetData>
      <sheetData sheetId="227">
        <row r="1">
          <cell r="G1" t="str">
            <v xml:space="preserve"> </v>
          </cell>
        </row>
      </sheetData>
      <sheetData sheetId="228">
        <row r="1">
          <cell r="G1">
            <v>0</v>
          </cell>
        </row>
      </sheetData>
      <sheetData sheetId="229">
        <row r="1">
          <cell r="G1">
            <v>0</v>
          </cell>
        </row>
      </sheetData>
      <sheetData sheetId="230">
        <row r="1">
          <cell r="G1">
            <v>0</v>
          </cell>
        </row>
      </sheetData>
      <sheetData sheetId="231">
        <row r="1">
          <cell r="G1">
            <v>0</v>
          </cell>
        </row>
      </sheetData>
      <sheetData sheetId="232">
        <row r="1">
          <cell r="G1">
            <v>0</v>
          </cell>
        </row>
      </sheetData>
      <sheetData sheetId="233">
        <row r="1">
          <cell r="G1">
            <v>0</v>
          </cell>
        </row>
      </sheetData>
      <sheetData sheetId="234">
        <row r="1">
          <cell r="G1">
            <v>0</v>
          </cell>
        </row>
      </sheetData>
      <sheetData sheetId="235">
        <row r="1">
          <cell r="G1">
            <v>0</v>
          </cell>
        </row>
      </sheetData>
      <sheetData sheetId="236">
        <row r="1">
          <cell r="G1">
            <v>0</v>
          </cell>
        </row>
      </sheetData>
      <sheetData sheetId="237">
        <row r="1">
          <cell r="G1">
            <v>0</v>
          </cell>
        </row>
      </sheetData>
      <sheetData sheetId="238">
        <row r="1">
          <cell r="G1">
            <v>0</v>
          </cell>
        </row>
      </sheetData>
      <sheetData sheetId="239">
        <row r="1">
          <cell r="G1">
            <v>0</v>
          </cell>
        </row>
      </sheetData>
      <sheetData sheetId="240">
        <row r="1">
          <cell r="G1">
            <v>0</v>
          </cell>
        </row>
      </sheetData>
      <sheetData sheetId="241">
        <row r="1">
          <cell r="G1">
            <v>0</v>
          </cell>
        </row>
      </sheetData>
      <sheetData sheetId="242">
        <row r="1">
          <cell r="G1">
            <v>0</v>
          </cell>
        </row>
      </sheetData>
      <sheetData sheetId="243">
        <row r="1">
          <cell r="G1">
            <v>0</v>
          </cell>
        </row>
      </sheetData>
      <sheetData sheetId="244">
        <row r="1">
          <cell r="G1">
            <v>0</v>
          </cell>
        </row>
      </sheetData>
      <sheetData sheetId="245">
        <row r="1">
          <cell r="G1">
            <v>0</v>
          </cell>
        </row>
      </sheetData>
      <sheetData sheetId="246">
        <row r="1">
          <cell r="G1">
            <v>0</v>
          </cell>
        </row>
      </sheetData>
      <sheetData sheetId="247">
        <row r="1">
          <cell r="G1">
            <v>0</v>
          </cell>
        </row>
      </sheetData>
      <sheetData sheetId="248">
        <row r="1">
          <cell r="G1">
            <v>0</v>
          </cell>
        </row>
      </sheetData>
      <sheetData sheetId="249">
        <row r="1">
          <cell r="G1">
            <v>0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/>
      <sheetData sheetId="511"/>
      <sheetData sheetId="512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/>
      <sheetData sheetId="578" refreshError="1"/>
      <sheetData sheetId="579" refreshError="1"/>
      <sheetData sheetId="580" refreshError="1"/>
      <sheetData sheetId="58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 refreshError="1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 refreshError="1"/>
      <sheetData sheetId="741" refreshError="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 refreshError="1"/>
      <sheetData sheetId="754" refreshError="1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 refreshError="1"/>
      <sheetData sheetId="771" refreshError="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 refreshError="1"/>
      <sheetData sheetId="861" refreshError="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 refreshError="1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 refreshError="1"/>
      <sheetData sheetId="928"/>
      <sheetData sheetId="929"/>
      <sheetData sheetId="930"/>
      <sheetData sheetId="931"/>
      <sheetData sheetId="932"/>
      <sheetData sheetId="933" refreshError="1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 refreshError="1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 refreshError="1"/>
      <sheetData sheetId="980" refreshError="1"/>
      <sheetData sheetId="981" refreshError="1"/>
      <sheetData sheetId="982" refreshError="1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 refreshError="1"/>
      <sheetData sheetId="1065" refreshError="1"/>
      <sheetData sheetId="1066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 refreshError="1"/>
      <sheetData sheetId="1143" refreshError="1"/>
      <sheetData sheetId="1144" refreshError="1"/>
      <sheetData sheetId="1145" refreshError="1"/>
      <sheetData sheetId="1146"/>
      <sheetData sheetId="1147" refreshError="1"/>
      <sheetData sheetId="1148" refreshError="1"/>
      <sheetData sheetId="1149" refreshError="1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 refreshError="1"/>
      <sheetData sheetId="1177" refreshError="1"/>
      <sheetData sheetId="1178" refreshError="1"/>
      <sheetData sheetId="1179"/>
      <sheetData sheetId="1180" refreshError="1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 refreshError="1"/>
      <sheetData sheetId="122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н"/>
      <sheetName val="Год"/>
      <sheetName val="Тип пункта плана"/>
      <sheetName val="Способ закупки"/>
      <sheetName val="Вид предмета"/>
      <sheetName val="ОКЕИ"/>
      <sheetName val="Месяцы"/>
      <sheetName val="КАТО"/>
      <sheetName val="Служебный"/>
      <sheetName val="админ"/>
    </sheetNames>
    <sheetDataSet>
      <sheetData sheetId="0" refreshError="1"/>
      <sheetData sheetId="1">
        <row r="1">
          <cell r="A1">
            <v>2012</v>
          </cell>
        </row>
        <row r="2">
          <cell r="A2">
            <v>2013</v>
          </cell>
        </row>
        <row r="3">
          <cell r="A3">
            <v>2014</v>
          </cell>
        </row>
        <row r="4">
          <cell r="A4">
            <v>2015</v>
          </cell>
        </row>
        <row r="5">
          <cell r="A5">
            <v>2016</v>
          </cell>
        </row>
      </sheetData>
      <sheetData sheetId="2">
        <row r="1">
          <cell r="A1" t="str">
            <v>Закупки, НПФГ</v>
          </cell>
        </row>
        <row r="2">
          <cell r="A2" t="str">
            <v>Закупки, ПФГ</v>
          </cell>
        </row>
      </sheetData>
      <sheetData sheetId="3">
        <row r="1">
          <cell r="A1" t="str">
            <v>Тендер</v>
          </cell>
        </row>
      </sheetData>
      <sheetData sheetId="4">
        <row r="1">
          <cell r="A1" t="str">
            <v>Товар</v>
          </cell>
        </row>
        <row r="2">
          <cell r="A2" t="str">
            <v>Работа</v>
          </cell>
        </row>
        <row r="3">
          <cell r="A3" t="str">
            <v>Услуга</v>
          </cell>
        </row>
      </sheetData>
      <sheetData sheetId="5" refreshError="1"/>
      <sheetData sheetId="6">
        <row r="1">
          <cell r="A1" t="str">
            <v>Январь</v>
          </cell>
        </row>
        <row r="2">
          <cell r="A2" t="str">
            <v>Февраль</v>
          </cell>
        </row>
        <row r="3">
          <cell r="A3" t="str">
            <v xml:space="preserve">Март </v>
          </cell>
        </row>
        <row r="4">
          <cell r="A4" t="str">
            <v>Апрель</v>
          </cell>
        </row>
        <row r="5">
          <cell r="A5" t="str">
            <v>Май</v>
          </cell>
        </row>
        <row r="6">
          <cell r="A6" t="str">
            <v>Июнь</v>
          </cell>
        </row>
        <row r="7">
          <cell r="A7" t="str">
            <v>Июль</v>
          </cell>
        </row>
        <row r="8">
          <cell r="A8" t="str">
            <v>Август</v>
          </cell>
        </row>
        <row r="9">
          <cell r="A9" t="str">
            <v>Сентябрь</v>
          </cell>
        </row>
        <row r="10">
          <cell r="A10" t="str">
            <v>Октябрь</v>
          </cell>
        </row>
        <row r="11">
          <cell r="A11" t="str">
            <v>Ноябрь</v>
          </cell>
        </row>
        <row r="12">
          <cell r="A12" t="str">
            <v>Декабрь</v>
          </cell>
        </row>
        <row r="13">
          <cell r="A13" t="str">
            <v>в течение года</v>
          </cell>
        </row>
      </sheetData>
      <sheetData sheetId="7">
        <row r="2">
          <cell r="C2" t="str">
            <v>г.Астана</v>
          </cell>
        </row>
      </sheetData>
      <sheetData sheetId="8">
        <row r="2">
          <cell r="B2" t="str">
            <v>АОО</v>
          </cell>
          <cell r="C2" t="str">
            <v>Образование</v>
          </cell>
          <cell r="D2" t="str">
            <v>Учебный</v>
          </cell>
          <cell r="E2" t="str">
            <v>2.03 Запасы</v>
          </cell>
        </row>
        <row r="3">
          <cell r="B3" t="str">
            <v>Астана ФМН</v>
          </cell>
          <cell r="C3" t="str">
            <v>ЦА</v>
          </cell>
          <cell r="D3" t="str">
            <v>Детский сад</v>
          </cell>
          <cell r="E3" t="str">
            <v>2.03.01 Комплектующие части</v>
          </cell>
        </row>
        <row r="4">
          <cell r="B4" t="str">
            <v>Семей ФМН</v>
          </cell>
          <cell r="C4" t="str">
            <v>ЦВ</v>
          </cell>
          <cell r="D4" t="str">
            <v>Интернат</v>
          </cell>
          <cell r="E4" t="str">
            <v>2.03.01.01 Комплектующие части к оборудованию</v>
          </cell>
        </row>
        <row r="5">
          <cell r="B5" t="str">
            <v>Кокшетау ФМН</v>
          </cell>
          <cell r="D5" t="str">
            <v>Разработка, внедрение и авторизация программ международного бакалавриата</v>
          </cell>
          <cell r="E5" t="str">
            <v>2.03.01.02 Комплектующие части к автомобилям</v>
          </cell>
        </row>
        <row r="6">
          <cell r="B6" t="str">
            <v>Астана МБ</v>
          </cell>
          <cell r="D6" t="str">
            <v>Международная школа</v>
          </cell>
          <cell r="E6" t="str">
            <v>2.03.02 ГСМ</v>
          </cell>
        </row>
        <row r="7">
          <cell r="B7" t="str">
            <v>Талдыкорган ФМН</v>
          </cell>
          <cell r="D7" t="str">
            <v>Учебно оздоровительный</v>
          </cell>
          <cell r="E7" t="str">
            <v>2.03.03 Канц.товары</v>
          </cell>
        </row>
        <row r="8">
          <cell r="B8" t="str">
            <v>Усть-Каменогорск ХБН</v>
          </cell>
          <cell r="D8" t="str">
            <v>Обеспечение функционирования</v>
          </cell>
          <cell r="E8" t="str">
            <v>2.03.04 Медикаменты</v>
          </cell>
        </row>
        <row r="9">
          <cell r="B9" t="str">
            <v>Алматы ФМН</v>
          </cell>
          <cell r="D9" t="str">
            <v>Повышение квалификации сотрудников филиалов АОО</v>
          </cell>
          <cell r="E9" t="str">
            <v>2.03.05 Моющие средства</v>
          </cell>
        </row>
        <row r="10">
          <cell r="B10" t="str">
            <v>Петропавловск ХБН</v>
          </cell>
          <cell r="D10" t="str">
            <v>Методологическое обеспечение филиалов АОО и анализ качества образовательных услуг</v>
          </cell>
          <cell r="E10" t="str">
            <v>2.03.06 Хозяйственные товары</v>
          </cell>
        </row>
        <row r="11">
          <cell r="B11" t="str">
            <v>Тараз ФМН</v>
          </cell>
          <cell r="D11" t="str">
            <v>Автоматизация АОО</v>
          </cell>
          <cell r="E11" t="str">
            <v>2.03.07 Типографская продукция</v>
          </cell>
        </row>
        <row r="12">
          <cell r="B12" t="str">
            <v>Алматы ХБН</v>
          </cell>
          <cell r="D12" t="str">
            <v>Организация встреч, проведение семинаров, тренингов, участие в съездах конференциях</v>
          </cell>
          <cell r="E12" t="str">
            <v>2.03.08 Прочие ТМЦ</v>
          </cell>
        </row>
        <row r="13">
          <cell r="B13" t="str">
            <v>Уральск ФМН</v>
          </cell>
          <cell r="D13" t="str">
            <v>Проведение и участие в олимпиадах, элективных курсах, виртуальная и каникулярная школа</v>
          </cell>
          <cell r="E13" t="str">
            <v>2.03.09 Прочие запасы</v>
          </cell>
        </row>
        <row r="14">
          <cell r="B14" t="str">
            <v>ЦПМ</v>
          </cell>
          <cell r="D14" t="str">
            <v>Привлечение иностранных педагогов в филиалы АОО</v>
          </cell>
          <cell r="E14" t="str">
            <v>2.04 Коммунальные услуги</v>
          </cell>
        </row>
        <row r="15">
          <cell r="B15" t="str">
            <v>ДСП</v>
          </cell>
          <cell r="D15" t="str">
            <v>Повышение квалификации педагогических работников общеобразовательных школ РК</v>
          </cell>
          <cell r="E15" t="str">
            <v>2.04.01 Тепловая энергия</v>
          </cell>
        </row>
        <row r="16">
          <cell r="B16" t="str">
            <v>Актобе ФМН</v>
          </cell>
          <cell r="D16" t="str">
            <v>Проведение on-line уроков и on-line семинаров</v>
          </cell>
          <cell r="E16" t="str">
            <v>2.04.02 Электрическая энергия</v>
          </cell>
        </row>
        <row r="17">
          <cell r="B17" t="str">
            <v>Павлодар ХБН</v>
          </cell>
          <cell r="D17" t="str">
            <v>Разработка и внедрение экспериментальных интегрированных программ учебной и методической литературы</v>
          </cell>
          <cell r="E17" t="str">
            <v>2.04.03 Водоснабжение и канализация</v>
          </cell>
        </row>
        <row r="18">
          <cell r="B18" t="str">
            <v>Шымкент ФМН</v>
          </cell>
          <cell r="D18" t="str">
            <v>Стажировка руководящих работников организаций образования РК</v>
          </cell>
          <cell r="E18" t="str">
            <v>2.04.04 Природный газ</v>
          </cell>
        </row>
        <row r="19">
          <cell r="B19" t="str">
            <v>Шымкент ХБН</v>
          </cell>
          <cell r="D19" t="str">
            <v>Строительство</v>
          </cell>
          <cell r="E19" t="str">
            <v>2.04.05 Вывоз мусора</v>
          </cell>
        </row>
        <row r="20">
          <cell r="B20" t="str">
            <v>Кызылорда ХБН</v>
          </cell>
          <cell r="D20" t="str">
            <v>УМТБ</v>
          </cell>
          <cell r="E20" t="str">
            <v>2.05 Связь</v>
          </cell>
        </row>
        <row r="21">
          <cell r="B21" t="str">
            <v>Костанай ФМН</v>
          </cell>
          <cell r="E21" t="str">
            <v>2.05.01 Абоненская плата</v>
          </cell>
        </row>
        <row r="22">
          <cell r="B22" t="str">
            <v>Актау ХБН</v>
          </cell>
          <cell r="E22" t="str">
            <v>2.05.02 Услуги междугородней и международной связи</v>
          </cell>
        </row>
        <row r="23">
          <cell r="B23" t="str">
            <v>Караганда ХБН</v>
          </cell>
          <cell r="E23" t="str">
            <v>2.05.03 Услуги интернета</v>
          </cell>
        </row>
        <row r="24">
          <cell r="B24" t="str">
            <v>Атырау ХБН</v>
          </cell>
          <cell r="E24" t="str">
            <v>2.05.04 VPN канал</v>
          </cell>
        </row>
        <row r="25">
          <cell r="B25" t="str">
            <v>ЦОП</v>
          </cell>
          <cell r="E25" t="str">
            <v>2.05.05 Прочие расходы по услугам связи</v>
          </cell>
        </row>
        <row r="26">
          <cell r="B26" t="str">
            <v>ЦПИ</v>
          </cell>
          <cell r="E26" t="str">
            <v>2.05.06 Установка телефонов</v>
          </cell>
        </row>
        <row r="27">
          <cell r="B27" t="str">
            <v>Астана МШ</v>
          </cell>
          <cell r="E27" t="str">
            <v>2.05.07 Хостинг</v>
          </cell>
        </row>
        <row r="28">
          <cell r="B28" t="str">
            <v>ОРЦ</v>
          </cell>
          <cell r="E28" t="str">
            <v>2.07 Оплата работ (услуг) производственных подрядчикам</v>
          </cell>
        </row>
        <row r="29">
          <cell r="E29" t="str">
            <v>2.07.01 Услуги по созданию ФА</v>
          </cell>
        </row>
        <row r="30">
          <cell r="E30" t="str">
            <v>2.07.01.01 Услуги по созданию ОС</v>
          </cell>
        </row>
        <row r="31">
          <cell r="E31" t="str">
            <v>2.07.01.01.01 Проведение предпроектных и проектных (разработка ЭП,ТЭО, ПСД и т.д.)</v>
          </cell>
        </row>
        <row r="32">
          <cell r="E32" t="str">
            <v>2.07.01.01.02 Отвод земли</v>
          </cell>
        </row>
        <row r="33">
          <cell r="E33" t="str">
            <v>2.07.01.01.03 ?</v>
          </cell>
        </row>
        <row r="34">
          <cell r="E34" t="str">
            <v>2.07.01.01.04 ?</v>
          </cell>
        </row>
        <row r="35">
          <cell r="E35" t="str">
            <v>2.07.01.01.05 Разработка ПСД на строительство</v>
          </cell>
        </row>
        <row r="36">
          <cell r="E36" t="str">
            <v>2.07.01.01.06 Строительно-монтажные работы</v>
          </cell>
        </row>
        <row r="37">
          <cell r="E37" t="str">
            <v>2.07.01.01.07 Авторский надзор</v>
          </cell>
        </row>
        <row r="38">
          <cell r="E38" t="str">
            <v>2.07.01.01.08 Технический надзор</v>
          </cell>
        </row>
        <row r="39">
          <cell r="E39" t="str">
            <v>2.07.01.01.09 Стоимость экспертизы тех.спецификации на тендер</v>
          </cell>
        </row>
        <row r="40">
          <cell r="E40" t="str">
            <v>2.07.01.01.10 Стоимость услуг на проведение прочих экспертиз на тендер</v>
          </cell>
        </row>
        <row r="41">
          <cell r="E41" t="str">
            <v>2.07.01.01.11 Гос.регистрация имущества (госпошлина.техобследование,энергоэкспертиза,тех.пасп)</v>
          </cell>
        </row>
        <row r="42">
          <cell r="E42" t="str">
            <v>2.07.01.01.12 Прочие расходы (услуги экспертов, тех.обследование и т.д.)</v>
          </cell>
        </row>
        <row r="43">
          <cell r="E43" t="str">
            <v>2.07.01.02 Услуги по разработке программного обеспечения</v>
          </cell>
        </row>
        <row r="44">
          <cell r="E44" t="str">
            <v>2.07.01.02.01 Услуги по разработке программного обеспечения</v>
          </cell>
        </row>
        <row r="45">
          <cell r="E45" t="str">
            <v>2.07.01.02.02 Разработка программного обеспечения процесса бюджетирования АОО и его филиалов</v>
          </cell>
        </row>
        <row r="46">
          <cell r="E46" t="str">
            <v>2.07.01.02.03 система управления человеческими ресурсами</v>
          </cell>
        </row>
        <row r="47">
          <cell r="E47" t="str">
            <v>2.07.01.02.04 система подготовки и отбора претендентов</v>
          </cell>
        </row>
        <row r="48">
          <cell r="E48" t="str">
            <v>2.07.01.02.05 прочие</v>
          </cell>
        </row>
        <row r="49">
          <cell r="E49" t="str">
            <v>2.07.01.03 Методологическое сопровождение</v>
          </cell>
        </row>
        <row r="50">
          <cell r="E50" t="str">
            <v>2.07.01.03.01 внедрение интегр.образ.программ естеств.-мат.направл</v>
          </cell>
        </row>
        <row r="51">
          <cell r="E51" t="str">
            <v>2.07.01.03.02 внедрение и авторизация программ Международного Бакалавриата</v>
          </cell>
        </row>
        <row r="52">
          <cell r="E52" t="str">
            <v>2.07.01.03.03 методологическое сопровождение конкурсного отбора учащихся</v>
          </cell>
        </row>
        <row r="53">
          <cell r="E53" t="str">
            <v>2.07.01.03.04 методологическое сопровождение конкурсного отбора педагогических работников</v>
          </cell>
        </row>
        <row r="54">
          <cell r="E54" t="str">
            <v>2.07.01.03.05 методологическое сопровождение тестов и инструм.для оценки учебных достиж.учащих</v>
          </cell>
        </row>
        <row r="55">
          <cell r="E55" t="str">
            <v>2.07.01.03.06 методологическое сопровождение технол.и инструм.для пров.исслед.по оценке содерж</v>
          </cell>
        </row>
        <row r="56">
          <cell r="E56" t="str">
            <v>2.07.01.03.07 методологическое сопровождение психометр.тестов отбора учителей и одар.детей</v>
          </cell>
        </row>
        <row r="57">
          <cell r="E57" t="str">
            <v>2.07.01.03.08 метологическое сопровождение анкет для уч-ся, учит.и родит.по оценке дейст.образ</v>
          </cell>
        </row>
        <row r="58">
          <cell r="E58" t="str">
            <v>2.07.01.03.09 методологическое сопровождение программ курсов пов.квал.учителей по интегр.прогр</v>
          </cell>
        </row>
        <row r="59">
          <cell r="E59" t="str">
            <v>2.07.01.03.10 критериальное оценивание</v>
          </cell>
        </row>
        <row r="60">
          <cell r="E60" t="str">
            <v>2.07.01.04 Методологическое обеспечение</v>
          </cell>
        </row>
        <row r="61">
          <cell r="E61" t="str">
            <v>2.07.01.05 Услуги по созданию ОС</v>
          </cell>
        </row>
        <row r="62">
          <cell r="E62" t="str">
            <v>2.07.01.06 Услуги по созданию НМА</v>
          </cell>
        </row>
        <row r="63">
          <cell r="E63" t="str">
            <v>2.07.02 Обслуживание НМА</v>
          </cell>
        </row>
        <row r="64">
          <cell r="E64" t="str">
            <v>2.07.02.01 Модернизация программного обеспечения</v>
          </cell>
        </row>
        <row r="65">
          <cell r="E65" t="str">
            <v>2.07.02.02 Сопровождение программного обеспечения</v>
          </cell>
        </row>
        <row r="66">
          <cell r="E66" t="str">
            <v>2.07.03 Обслуживание ОС</v>
          </cell>
        </row>
        <row r="67">
          <cell r="E67" t="str">
            <v>2.07.03.01 Текущий ремонт и обслуживание автомобилей</v>
          </cell>
        </row>
        <row r="68">
          <cell r="E68" t="str">
            <v>2.07.03.02 Текущий ремонт и обслуживание спец. тех.оборудования</v>
          </cell>
        </row>
        <row r="69">
          <cell r="E69" t="str">
            <v>2.07.04 Обслуживание зданий и сооружений</v>
          </cell>
        </row>
        <row r="70">
          <cell r="E70" t="str">
            <v>2.07.05 Текущий ремонт зданий и помещений</v>
          </cell>
        </row>
        <row r="71">
          <cell r="E71" t="str">
            <v>2.07.06 Капитальный ремонт зданий и помещений</v>
          </cell>
        </row>
        <row r="72">
          <cell r="E72" t="str">
            <v>2.07.07 Реконструкция зданий и помещений</v>
          </cell>
        </row>
        <row r="73">
          <cell r="E73" t="str">
            <v>2.07.08 Прочие услуги</v>
          </cell>
        </row>
        <row r="74">
          <cell r="E74" t="str">
            <v>2.07.08.01 Услуги питания учащихся и воспитанников</v>
          </cell>
        </row>
        <row r="75">
          <cell r="E75" t="str">
            <v>2.07.08.02 Привлечение специалистов для участия в аппеляционной коммиссии по отбору уч.ИШПП</v>
          </cell>
        </row>
        <row r="76">
          <cell r="E76" t="str">
            <v>2.07.08.03 ?</v>
          </cell>
        </row>
        <row r="77">
          <cell r="E77" t="str">
            <v>2.07.08.04 Услуги химчистки и стирки белья</v>
          </cell>
        </row>
        <row r="78">
          <cell r="E78" t="str">
            <v>2.07.08.05 Услуги экспертов</v>
          </cell>
        </row>
        <row r="79">
          <cell r="E79" t="str">
            <v>2.07.08.06 Прочие услуги</v>
          </cell>
        </row>
        <row r="80">
          <cell r="E80" t="str">
            <v>2.08 Страхование</v>
          </cell>
        </row>
        <row r="81">
          <cell r="E81" t="str">
            <v>2.08.01 Обязательное страхование ГПО работодателя за причинение вреда</v>
          </cell>
        </row>
        <row r="82">
          <cell r="E82" t="str">
            <v>2.08.02 Обязательное страхование гражданско-правовой ответственности</v>
          </cell>
        </row>
        <row r="83">
          <cell r="E83" t="str">
            <v>2.08.03 Добровольное страхование</v>
          </cell>
        </row>
        <row r="84">
          <cell r="E84" t="str">
            <v>2.08.04 Медицинское страхование</v>
          </cell>
        </row>
        <row r="85">
          <cell r="E85" t="str">
            <v>2.09 Медицинское обслуживание</v>
          </cell>
        </row>
        <row r="86">
          <cell r="E86" t="str">
            <v>2.10 Услуги почты</v>
          </cell>
        </row>
        <row r="87">
          <cell r="E87" t="str">
            <v>2.11 Услуги по охране</v>
          </cell>
        </row>
        <row r="88">
          <cell r="E88" t="str">
            <v>2.12 Консультационные услуги</v>
          </cell>
        </row>
        <row r="89">
          <cell r="E89" t="str">
            <v>2.13 Аудиторские услуги</v>
          </cell>
        </row>
        <row r="90">
          <cell r="E90" t="str">
            <v>2.14 Информационные услуги</v>
          </cell>
        </row>
        <row r="91">
          <cell r="E91" t="str">
            <v>2.15 Услуги посредников, в т.ч. дилеров (брокеров)</v>
          </cell>
        </row>
        <row r="92">
          <cell r="E92" t="str">
            <v>2.17 Услуги на рекламу</v>
          </cell>
        </row>
        <row r="93">
          <cell r="E93" t="str">
            <v>2.18 Маркетинговые услуги</v>
          </cell>
        </row>
        <row r="94">
          <cell r="E94" t="str">
            <v>2.19 Содержание Совета директоров</v>
          </cell>
        </row>
        <row r="95">
          <cell r="E95" t="str">
            <v>2.20 Транспортные услуги</v>
          </cell>
        </row>
        <row r="96">
          <cell r="E96" t="str">
            <v>2.20.01 Аренда транспорта</v>
          </cell>
        </row>
        <row r="97">
          <cell r="E97" t="str">
            <v>2.20.02 Прочие транспортные услуги</v>
          </cell>
        </row>
        <row r="98">
          <cell r="E98" t="str">
            <v>2.21 Периодические печатные издания</v>
          </cell>
        </row>
        <row r="99">
          <cell r="E99" t="str">
            <v>2.23 Операционная аренда</v>
          </cell>
        </row>
        <row r="100">
          <cell r="E100" t="str">
            <v>2.23.01 Аренда зданий и сооружений</v>
          </cell>
        </row>
        <row r="101">
          <cell r="E101" t="str">
            <v>2.23.01 Аренда земли</v>
          </cell>
        </row>
        <row r="102">
          <cell r="E102" t="str">
            <v>2.23.01 Аренда прочих ОС</v>
          </cell>
        </row>
        <row r="103">
          <cell r="E103" t="str">
            <v>2.24 Противопожарная охрана и затраты связанные с соблюдением специальных требований</v>
          </cell>
        </row>
        <row r="104">
          <cell r="E104" t="str">
            <v>2.25 Обучение и повышение  квалификации персонала</v>
          </cell>
        </row>
        <row r="105">
          <cell r="E105" t="str">
            <v>2.25.01 Обучение и повышение  квалификации учителей ИШПП за рубежом</v>
          </cell>
        </row>
        <row r="106">
          <cell r="E106" t="str">
            <v>2.25.02 Обучение и повышение  квалификации учителей внутри страны</v>
          </cell>
        </row>
        <row r="107">
          <cell r="E107" t="str">
            <v>2.25.03 Обучение и повышение  квалификации администрации ИШПП за рубежом</v>
          </cell>
        </row>
        <row r="108">
          <cell r="E108" t="str">
            <v>2.25.04 Обучение и повышение  квалификации администрации внутри страны</v>
          </cell>
        </row>
        <row r="109">
          <cell r="E109" t="str">
            <v>2.25.05 Обучение и повышение  квалификации сотрудников ЦА</v>
          </cell>
        </row>
        <row r="110">
          <cell r="E110" t="str">
            <v>2.25.06 Обучение и повышение  квалификации за рубежом</v>
          </cell>
        </row>
        <row r="111">
          <cell r="E111" t="str">
            <v>2.25.07 Обучение и повышение  квалификации внутри страны</v>
          </cell>
        </row>
        <row r="112">
          <cell r="E112" t="str">
            <v>2.26 Дополнительные образовательные услуги в ИШПП</v>
          </cell>
        </row>
        <row r="113">
          <cell r="E113" t="str">
            <v>2.26.01 Элективные курсы, летний лагерь, виртуальная и летняя школы</v>
          </cell>
        </row>
        <row r="114">
          <cell r="E114" t="str">
            <v>2.26.02 Участие учащихся в олимпиадах за пределами РК</v>
          </cell>
        </row>
        <row r="115">
          <cell r="E115" t="str">
            <v>2.26.03 Участие учащихся в олимпиадах в пределах РК</v>
          </cell>
        </row>
        <row r="116">
          <cell r="E116" t="str">
            <v>2.26.04 Расходы на проведение олимпиад</v>
          </cell>
        </row>
        <row r="117">
          <cell r="E117" t="str">
            <v>2.26.05 Прочие внешкольные мероприятия</v>
          </cell>
        </row>
        <row r="118">
          <cell r="E118" t="str">
            <v>2.26.06 Кружковые мероприятия</v>
          </cell>
        </row>
        <row r="119">
          <cell r="E119" t="str">
            <v>2.26.07 Дополнительные образовательные услуги в ИШПП</v>
          </cell>
        </row>
        <row r="120">
          <cell r="E120" t="str">
            <v>2.27 Представительские расходы</v>
          </cell>
        </row>
        <row r="121">
          <cell r="E121" t="str">
            <v>2.27.01 Расходы по проведению приемов</v>
          </cell>
        </row>
        <row r="122">
          <cell r="E122" t="str">
            <v>2.27.02 Расходы по найму транспорта для официальных приемов</v>
          </cell>
        </row>
        <row r="123">
          <cell r="E123" t="str">
            <v>2.27.03 Расходы на питание во время официальных приемов и переговоров</v>
          </cell>
        </row>
        <row r="124">
          <cell r="E124" t="str">
            <v>2.27.04 Расходы по оплате услуг переводчиков</v>
          </cell>
        </row>
        <row r="125">
          <cell r="E125" t="str">
            <v>2.27.05 Сувенирная и прочая раздаточная продукция</v>
          </cell>
        </row>
        <row r="126">
          <cell r="E126" t="str">
            <v>2.27.06 Прочие расходы</v>
          </cell>
        </row>
        <row r="127">
          <cell r="E127" t="str">
            <v>2.28 Расходы на проведение семинаров круглых столов конференций</v>
          </cell>
        </row>
        <row r="128">
          <cell r="E128" t="str">
            <v>2.28.01 Расходы на проведение семинаров круглых столов конференций</v>
          </cell>
        </row>
        <row r="129">
          <cell r="E129" t="str">
            <v>2.28.02 Расходы по найму транспорта для обслуживания официальных приёмов</v>
          </cell>
        </row>
        <row r="130">
          <cell r="E130" t="str">
            <v>2.28.03 Расходы на питание во время официальных приёмов и переговоров</v>
          </cell>
        </row>
        <row r="131">
          <cell r="E131" t="str">
            <v>2.28.04 Расходы по оплате услуг переводчиков</v>
          </cell>
        </row>
        <row r="132">
          <cell r="E132" t="str">
            <v>2.28.05 Сувенирная и прочая раздаточная продукция</v>
          </cell>
        </row>
        <row r="133">
          <cell r="E133" t="str">
            <v>2.28.06 Взнос за участие</v>
          </cell>
        </row>
        <row r="134">
          <cell r="E134" t="str">
            <v>2.28.07 Расходы по аренде помещений</v>
          </cell>
        </row>
        <row r="135">
          <cell r="E135" t="str">
            <v>2.28.08 Прочие расходы</v>
          </cell>
        </row>
        <row r="136">
          <cell r="E136" t="str">
            <v>2.29 Расходы на социальную сферу</v>
          </cell>
        </row>
        <row r="137">
          <cell r="E137" t="str">
            <v>2.29.01 культурно-оздоровительные мероприятия</v>
          </cell>
        </row>
        <row r="138">
          <cell r="E138" t="str">
            <v>2.29.02 Прочие мероприятия</v>
          </cell>
        </row>
        <row r="139">
          <cell r="E139" t="str">
            <v>2.29.03 Фонд всеобуча</v>
          </cell>
        </row>
        <row r="140">
          <cell r="E140" t="str">
            <v>2.31 Прочие</v>
          </cell>
        </row>
        <row r="141">
          <cell r="E141" t="str">
            <v>2.31.01 Дератизация и дезинфекция</v>
          </cell>
        </row>
        <row r="142">
          <cell r="E142" t="str">
            <v>2.31.02 ?</v>
          </cell>
        </row>
        <row r="143">
          <cell r="E143" t="str">
            <v>2.31.03 Объявления в СМИ</v>
          </cell>
        </row>
        <row r="144">
          <cell r="E144" t="str">
            <v>2.31.04 Расходы по проведению закупок</v>
          </cell>
        </row>
        <row r="145">
          <cell r="E145" t="str">
            <v>2.31.05 Нотариальные услуги</v>
          </cell>
        </row>
        <row r="146">
          <cell r="E146" t="str">
            <v>2.31.06 Услуги переводчика</v>
          </cell>
        </row>
        <row r="147">
          <cell r="E147" t="str">
            <v>2.31.07 Типографские услуги</v>
          </cell>
        </row>
        <row r="148">
          <cell r="E148" t="str">
            <v>2.31.08 Услуги советника Председателя Правления</v>
          </cell>
        </row>
        <row r="149">
          <cell r="E149" t="str">
            <v>2.31.09 Услуги водителей</v>
          </cell>
        </row>
        <row r="150">
          <cell r="E150" t="str">
            <v>2.31.10 Переплет документов</v>
          </cell>
        </row>
        <row r="151">
          <cell r="E151" t="str">
            <v>2.31.11 Изготовление жалюзи</v>
          </cell>
        </row>
        <row r="152">
          <cell r="E152" t="str">
            <v>2.31.12 ?</v>
          </cell>
        </row>
        <row r="153">
          <cell r="E153" t="str">
            <v>2.31.13 Демеркуризация отработанных ртутьсодержащих ламп и приборов</v>
          </cell>
        </row>
        <row r="154">
          <cell r="E154" t="str">
            <v>2.31.14 Услуги утилизации медицинских отходов</v>
          </cell>
        </row>
        <row r="155">
          <cell r="E155" t="str">
            <v>2.31.15 Прочие непредвиденные расходы</v>
          </cell>
        </row>
        <row r="156">
          <cell r="E156" t="str">
            <v>2.31.15 Прочие расходы</v>
          </cell>
        </row>
        <row r="157">
          <cell r="E157" t="str">
            <v>2.32 Приобретение оборудования и других основных средств</v>
          </cell>
        </row>
        <row r="158">
          <cell r="E158" t="str">
            <v>2.32.01 Земля</v>
          </cell>
        </row>
        <row r="159">
          <cell r="E159" t="str">
            <v>2.32.02 Здания и сооружения</v>
          </cell>
        </row>
        <row r="160">
          <cell r="E160" t="str">
            <v>2.32.03 Машины</v>
          </cell>
        </row>
        <row r="161">
          <cell r="E161" t="str">
            <v>2.32.04 Оборудование</v>
          </cell>
        </row>
        <row r="162">
          <cell r="E162" t="str">
            <v>2.32.05 Передаточные устройства</v>
          </cell>
        </row>
        <row r="163">
          <cell r="E163" t="str">
            <v>2.32.06 Транспортные средства</v>
          </cell>
        </row>
        <row r="164">
          <cell r="E164" t="str">
            <v>2.32.07 Компьютерные и периферийные устройства</v>
          </cell>
        </row>
        <row r="165">
          <cell r="E165" t="str">
            <v>2.32.08 Офисная мебель</v>
          </cell>
        </row>
        <row r="166">
          <cell r="E166" t="str">
            <v>2.32.09 Приобретение учебно-методической литературы</v>
          </cell>
        </row>
        <row r="167">
          <cell r="E167" t="str">
            <v>2.32.10 Приобретение служебных квартир</v>
          </cell>
        </row>
        <row r="168">
          <cell r="E168" t="str">
            <v>2.32.11 Прочие основные средства</v>
          </cell>
        </row>
        <row r="169">
          <cell r="E169" t="str">
            <v>2.33 Приобретение  НМА</v>
          </cell>
        </row>
        <row r="170">
          <cell r="E170" t="str">
            <v>2.33.01 Нематериальные активы</v>
          </cell>
        </row>
        <row r="171">
          <cell r="E171" t="str">
            <v>2.33.02 Прочие нематериальные активы</v>
          </cell>
        </row>
        <row r="172">
          <cell r="E172" t="str">
            <v>2.34 ?</v>
          </cell>
        </row>
        <row r="173">
          <cell r="E173" t="str">
            <v>2.34.01 ?</v>
          </cell>
        </row>
        <row r="174">
          <cell r="E174" t="str">
            <v>2.34.01.01 ?</v>
          </cell>
        </row>
        <row r="175">
          <cell r="E175" t="str">
            <v>2.35 Разработка концепции</v>
          </cell>
        </row>
        <row r="176">
          <cell r="E176" t="str">
            <v>2.35.01 ?</v>
          </cell>
        </row>
        <row r="177">
          <cell r="E177" t="str">
            <v>2.35.01.01 ?</v>
          </cell>
        </row>
        <row r="178">
          <cell r="E178" t="str">
            <v>2.36 ?</v>
          </cell>
        </row>
        <row r="179">
          <cell r="E179" t="str">
            <v>2.36.01 ?</v>
          </cell>
        </row>
        <row r="180">
          <cell r="E180" t="str">
            <v>2.36.01.01 ?</v>
          </cell>
        </row>
        <row r="181">
          <cell r="E181" t="str">
            <v>2.37 ?</v>
          </cell>
        </row>
        <row r="182">
          <cell r="E182" t="str">
            <v>2.37.01 ?</v>
          </cell>
        </row>
        <row r="183">
          <cell r="E183" t="str">
            <v>2.37.01.01 ?</v>
          </cell>
        </row>
        <row r="184">
          <cell r="E184" t="str">
            <v>2.38 ?</v>
          </cell>
        </row>
        <row r="185">
          <cell r="E185" t="str">
            <v>2.38.01 ?</v>
          </cell>
        </row>
        <row r="186">
          <cell r="E186" t="str">
            <v>2.38.01.01 ?</v>
          </cell>
        </row>
        <row r="187">
          <cell r="E187" t="str">
            <v>2.39 ?</v>
          </cell>
        </row>
        <row r="188">
          <cell r="E188" t="str">
            <v>2.39.01 ?</v>
          </cell>
        </row>
        <row r="189">
          <cell r="E189" t="str">
            <v>2.39.01.01 ?</v>
          </cell>
        </row>
        <row r="190">
          <cell r="E190" t="str">
            <v>2.40 Строительство</v>
          </cell>
        </row>
        <row r="191">
          <cell r="E191" t="str">
            <v>2.40.01 Предпроектные работы</v>
          </cell>
        </row>
        <row r="192">
          <cell r="E192" t="str">
            <v>2.40.01.01 Оформление отвода земельного участка</v>
          </cell>
        </row>
        <row r="193">
          <cell r="E193" t="str">
            <v>2.40.01.02 Изготовление макета</v>
          </cell>
        </row>
        <row r="194">
          <cell r="E194" t="str">
            <v>2.40.01.03 Прочие услуги на предпроектные работы</v>
          </cell>
        </row>
        <row r="195">
          <cell r="E195" t="str">
            <v>2.40.01.04 Снос строений под строительство</v>
          </cell>
        </row>
        <row r="196">
          <cell r="E196" t="str">
            <v>2.40.02 Разработка ПСД</v>
          </cell>
        </row>
        <row r="197">
          <cell r="E197" t="str">
            <v>2.40.02.01 ПСД с госэкпертизой</v>
          </cell>
        </row>
        <row r="198">
          <cell r="E198" t="str">
            <v>2.40.02.02 Корректировка ПСД</v>
          </cell>
        </row>
        <row r="199">
          <cell r="E199" t="str">
            <v>2.40.02.03 Прочие расходы при разработке ПСД</v>
          </cell>
        </row>
        <row r="200">
          <cell r="E200" t="str">
            <v>2.40.03 Тех.надзор</v>
          </cell>
        </row>
        <row r="201">
          <cell r="E201" t="str">
            <v>2.40.04 Авторский надзор</v>
          </cell>
        </row>
        <row r="202">
          <cell r="E202" t="str">
            <v>2.40.05 Строительно-монтажные работы</v>
          </cell>
        </row>
        <row r="203">
          <cell r="E203" t="str">
            <v>2.40.06 Госрегистрация имущества (гос.пошлина, техобследование, энергоэкспертиза, техпас</v>
          </cell>
        </row>
        <row r="204">
          <cell r="E204" t="str">
            <v>2.40.07 Прочие расходы (услуги экспертов, тех.обследование и т.д.)</v>
          </cell>
        </row>
      </sheetData>
      <sheetData sheetId="9">
        <row r="4">
          <cell r="D4" t="str">
            <v>АОО</v>
          </cell>
        </row>
        <row r="5">
          <cell r="D5" t="str">
            <v>ЦПМ</v>
          </cell>
        </row>
        <row r="6">
          <cell r="D6" t="str">
            <v>ДСП</v>
          </cell>
        </row>
        <row r="7">
          <cell r="D7" t="str">
            <v>ОРЦ</v>
          </cell>
        </row>
        <row r="8">
          <cell r="D8" t="str">
            <v>Астана ФМН</v>
          </cell>
        </row>
        <row r="9">
          <cell r="D9" t="str">
            <v>Семей ФМН</v>
          </cell>
        </row>
        <row r="10">
          <cell r="D10" t="str">
            <v>Кокшетау ФМН</v>
          </cell>
        </row>
        <row r="11">
          <cell r="D11" t="str">
            <v>Астана МБ</v>
          </cell>
        </row>
        <row r="12">
          <cell r="D12" t="str">
            <v>Талдыкорган ФМН</v>
          </cell>
        </row>
        <row r="13">
          <cell r="D13" t="str">
            <v>Усть-Каменогорск ХБН</v>
          </cell>
        </row>
        <row r="14">
          <cell r="D14" t="str">
            <v>Алматы ФМН</v>
          </cell>
        </row>
        <row r="15">
          <cell r="D15" t="str">
            <v>Петропавловск ХБН</v>
          </cell>
        </row>
        <row r="16">
          <cell r="D16" t="str">
            <v>Тараз ФМН</v>
          </cell>
        </row>
        <row r="17">
          <cell r="D17" t="str">
            <v>Алматы ХБН</v>
          </cell>
        </row>
        <row r="18">
          <cell r="D18" t="str">
            <v>Уральск ФМН</v>
          </cell>
        </row>
        <row r="19">
          <cell r="D19" t="str">
            <v>Актобе ФМН</v>
          </cell>
        </row>
        <row r="20">
          <cell r="D20" t="str">
            <v>Павлодар ХБН</v>
          </cell>
        </row>
        <row r="21">
          <cell r="D21" t="str">
            <v>Шымкент ФМН</v>
          </cell>
        </row>
        <row r="22">
          <cell r="D22" t="str">
            <v>Шымкент ХБН</v>
          </cell>
        </row>
        <row r="23">
          <cell r="D23" t="str">
            <v>Кызылорда ХБН</v>
          </cell>
        </row>
        <row r="24">
          <cell r="D24" t="str">
            <v>Костанай ФМН</v>
          </cell>
        </row>
        <row r="25">
          <cell r="D25" t="str">
            <v>Актау ХБН</v>
          </cell>
        </row>
        <row r="26">
          <cell r="D26" t="str">
            <v>Караганда ХБН</v>
          </cell>
        </row>
        <row r="27">
          <cell r="D27" t="str">
            <v>Атырау ХБН</v>
          </cell>
        </row>
        <row r="28">
          <cell r="D28" t="str">
            <v>ЦОП</v>
          </cell>
        </row>
        <row r="29">
          <cell r="D29" t="str">
            <v>ЦПИ</v>
          </cell>
        </row>
        <row r="30">
          <cell r="D30" t="str">
            <v>Астана МШ</v>
          </cell>
        </row>
        <row r="31">
          <cell r="D31" t="str">
            <v>ДОПП</v>
          </cell>
        </row>
        <row r="32">
          <cell r="D32" t="str">
            <v>ДОКО</v>
          </cell>
        </row>
        <row r="33">
          <cell r="D33" t="str">
            <v>ДРЧР</v>
          </cell>
        </row>
        <row r="34">
          <cell r="D34" t="str">
            <v>ДРУ</v>
          </cell>
        </row>
        <row r="35">
          <cell r="D35" t="str">
            <v>ДИТ</v>
          </cell>
        </row>
        <row r="36">
          <cell r="D36" t="str">
            <v>ДС</v>
          </cell>
        </row>
        <row r="37">
          <cell r="D37" t="str">
            <v>БД</v>
          </cell>
        </row>
        <row r="38">
          <cell r="D38" t="str">
            <v>ДБУ</v>
          </cell>
        </row>
        <row r="39">
          <cell r="D39" t="str">
            <v>ЮД</v>
          </cell>
        </row>
        <row r="40">
          <cell r="D40" t="str">
            <v>ДОД</v>
          </cell>
        </row>
        <row r="41">
          <cell r="D41" t="str">
            <v>ДЗ</v>
          </cell>
        </row>
        <row r="42">
          <cell r="D42" t="str">
            <v>ОВА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одель (н)"/>
      <sheetName val="модель (в)"/>
      <sheetName val="модель (свод)"/>
      <sheetName val="нефть"/>
      <sheetName val="вода"/>
      <sheetName val="свод"/>
      <sheetName val="нефть (2)"/>
      <sheetName val="вода (2)"/>
      <sheetName val="свод (2)"/>
      <sheetName val="Анализ"/>
      <sheetName val="Анализ2"/>
      <sheetName val="Сырье и материалы"/>
      <sheetName val="ГСМ"/>
      <sheetName val="Лист4"/>
      <sheetName val="Энергия"/>
      <sheetName val="Топливо"/>
      <sheetName val="ФОТ"/>
      <sheetName val="ФОТ2"/>
      <sheetName val="ФОТ3"/>
      <sheetName val="Соцналог"/>
      <sheetName val="соцналог2"/>
      <sheetName val="Амортизация"/>
      <sheetName val="Кап. ремонт"/>
      <sheetName val="Капитализация (ЗФ)"/>
      <sheetName val="ЗФ КР"/>
      <sheetName val="Тек.ремонт"/>
      <sheetName val="ПНР"/>
      <sheetName val="Технол.расходы"/>
      <sheetName val="Связь"/>
      <sheetName val="Связь2"/>
      <sheetName val="Приложение связь"/>
      <sheetName val="Транспорт грузов"/>
      <sheetName val="Авиа"/>
      <sheetName val="метрология"/>
      <sheetName val="Ком.расходы"/>
      <sheetName val="Диагностика"/>
      <sheetName val="ОТиТБ"/>
      <sheetName val="НИОКР"/>
      <sheetName val="НТД"/>
      <sheetName val="подготовка кадров 2"/>
      <sheetName val="подгот кадров 3"/>
      <sheetName val="под кад"/>
      <sheetName val="Охрана окр.среды"/>
      <sheetName val="Исп.природ.сырья"/>
      <sheetName val="Страхование"/>
      <sheetName val="сод. и лиц. автотр."/>
      <sheetName val="охрана"/>
      <sheetName val="Другие прочие "/>
      <sheetName val="Услуги банков"/>
      <sheetName val="почтово-канц. расходы"/>
      <sheetName val="Канцтовары"/>
      <sheetName val="Аренда"/>
      <sheetName val="Сод.адм.зданий"/>
      <sheetName val="юр конслт услуги"/>
      <sheetName val="Налоги"/>
      <sheetName val="Реклама"/>
      <sheetName val="Имиджевая"/>
      <sheetName val="Другие2"/>
      <sheetName val="Соцпособия2"/>
      <sheetName val="Спонсорская"/>
      <sheetName val="Социальная сфера"/>
      <sheetName val="Расх.на кул.озд.мер."/>
      <sheetName val="Пр. соцвыплаты"/>
      <sheetName val="КВЛ"/>
      <sheetName val="ПИР"/>
      <sheetName val="Лист1"/>
      <sheetName val="Лист2"/>
      <sheetName val="Форма2"/>
      <sheetName val="Форма1"/>
      <sheetName val="База"/>
      <sheetName val="6НК-cт."/>
      <sheetName val="Добыча нефти4"/>
      <sheetName val="поставка сравн13"/>
      <sheetName val="2.2 ОтклОТМ"/>
      <sheetName val="1.3.2 ОТМ"/>
      <sheetName val="модель_(н)1"/>
      <sheetName val="модель_(в)1"/>
      <sheetName val="модель_(свод)1"/>
      <sheetName val="нефть_(2)1"/>
      <sheetName val="вода_(2)1"/>
      <sheetName val="свод_(2)1"/>
      <sheetName val="Сырье_и_материалы1"/>
      <sheetName val="Кап__ремонт1"/>
      <sheetName val="Капитализация_(ЗФ)1"/>
      <sheetName val="ЗФ_КР1"/>
      <sheetName val="Тек_ремонт1"/>
      <sheetName val="Технол_расходы1"/>
      <sheetName val="Приложение_связь1"/>
      <sheetName val="Транспорт_грузов1"/>
      <sheetName val="Ком_расходы1"/>
      <sheetName val="подготовка_кадров_21"/>
      <sheetName val="подгот_кадров_31"/>
      <sheetName val="под_кад1"/>
      <sheetName val="Охрана_окр_среды1"/>
      <sheetName val="Исп_природ_сырья1"/>
      <sheetName val="сод__и_лиц__автотр_1"/>
      <sheetName val="Другие_прочие_1"/>
      <sheetName val="Услуги_банков1"/>
      <sheetName val="почтово-канц__расходы1"/>
      <sheetName val="Сод_адм_зданий1"/>
      <sheetName val="юр_конслт_услуги1"/>
      <sheetName val="Социальная_сфера1"/>
      <sheetName val="Расх_на_кул_озд_мер_1"/>
      <sheetName val="Пр__соцвыплаты1"/>
      <sheetName val="модель_(н)"/>
      <sheetName val="модель_(в)"/>
      <sheetName val="модель_(свод)"/>
      <sheetName val="нефть_(2)"/>
      <sheetName val="вода_(2)"/>
      <sheetName val="свод_(2)"/>
      <sheetName val="Сырье_и_материалы"/>
      <sheetName val="Кап__ремонт"/>
      <sheetName val="Капитализация_(ЗФ)"/>
      <sheetName val="ЗФ_КР"/>
      <sheetName val="Тек_ремонт"/>
      <sheetName val="Технол_расходы"/>
      <sheetName val="Приложение_связь"/>
      <sheetName val="Транспорт_грузов"/>
      <sheetName val="Ком_расходы"/>
      <sheetName val="подготовка_кадров_2"/>
      <sheetName val="подгот_кадров_3"/>
      <sheetName val="под_кад"/>
      <sheetName val="Охрана_окр_среды"/>
      <sheetName val="Исп_природ_сырья"/>
      <sheetName val="сод__и_лиц__автотр_"/>
      <sheetName val="Другие_прочие_"/>
      <sheetName val="Услуги_банков"/>
      <sheetName val="почтово-канц__расходы"/>
      <sheetName val="Сод_адм_зданий"/>
      <sheetName val="юр_конслт_услуги"/>
      <sheetName val="Социальная_сфера"/>
      <sheetName val="Расх_на_кул_озд_мер_"/>
      <sheetName val="Пр__соцвыплаты"/>
      <sheetName val="модель_(н)2"/>
      <sheetName val="модель_(в)2"/>
      <sheetName val="модель_(свод)2"/>
      <sheetName val="нефть_(2)2"/>
      <sheetName val="вода_(2)2"/>
      <sheetName val="свод_(2)2"/>
      <sheetName val="Сырье_и_материалы2"/>
      <sheetName val="Кап__ремонт2"/>
      <sheetName val="Капитализация_(ЗФ)2"/>
      <sheetName val="ЗФ_КР2"/>
      <sheetName val="Тек_ремонт2"/>
      <sheetName val="Технол_расходы2"/>
      <sheetName val="Приложение_связь2"/>
      <sheetName val="Транспорт_грузов2"/>
      <sheetName val="Ком_расходы2"/>
      <sheetName val="подготовка_кадров_22"/>
      <sheetName val="подгот_кадров_32"/>
      <sheetName val="под_кад2"/>
      <sheetName val="Охрана_окр_среды2"/>
      <sheetName val="Исп_природ_сырья2"/>
      <sheetName val="сод__и_лиц__автотр_2"/>
      <sheetName val="Другие_прочие_2"/>
      <sheetName val="Услуги_банков2"/>
      <sheetName val="почтово-канц__расходы2"/>
      <sheetName val="Сод_адм_зданий2"/>
      <sheetName val="юр_конслт_услуги2"/>
      <sheetName val="Социальная_сфера2"/>
      <sheetName val="Расх_на_кул_озд_мер_2"/>
      <sheetName val="Пр__соцвыплаты2"/>
      <sheetName val="ЦентрЗатр"/>
      <sheetName val="ЕдИзм"/>
      <sheetName val="Предпр"/>
      <sheetName val="Апрель"/>
      <sheetName val="Январь"/>
      <sheetName val="Сентябрь"/>
      <sheetName val="Ноябрь"/>
      <sheetName val="Квартал"/>
      <sheetName val="Июль"/>
      <sheetName val="Март"/>
      <sheetName val="Июнь"/>
      <sheetName val="Comp"/>
      <sheetName val="#ССЫЛКА"/>
      <sheetName val="Преискурант"/>
      <sheetName val="12НК"/>
      <sheetName val="FES"/>
      <sheetName val="из сем"/>
      <sheetName val="Спр_ пласт"/>
      <sheetName val="Спр_ мест"/>
      <sheetName val="Плата за загрязнение "/>
      <sheetName val="Типограф"/>
      <sheetName val="Hidden"/>
      <sheetName val="2008 ГСМ"/>
      <sheetName val="Б.мчас (П)"/>
      <sheetName val="д.7.001"/>
      <sheetName val="list"/>
      <sheetName val="PP&amp;E mvt for 2003"/>
      <sheetName val="Пр2"/>
      <sheetName val="Титул1"/>
      <sheetName val="1NK"/>
      <sheetName val="модель_(н)3"/>
      <sheetName val="модель_(в)3"/>
      <sheetName val="модель_(свод)3"/>
      <sheetName val="нефть_(2)3"/>
      <sheetName val="вода_(2)3"/>
      <sheetName val="свод_(2)3"/>
      <sheetName val="Сырье_и_материалы3"/>
      <sheetName val="Кап__ремонт3"/>
      <sheetName val="Капитализация_(ЗФ)3"/>
      <sheetName val="ЗФ_КР3"/>
      <sheetName val="Тек_ремонт3"/>
      <sheetName val="Технол_расходы3"/>
      <sheetName val="Приложение_связь3"/>
      <sheetName val="Транспорт_грузов3"/>
      <sheetName val="Ком_расходы3"/>
      <sheetName val="подготовка_кадров_23"/>
      <sheetName val="подгот_кадров_33"/>
      <sheetName val="под_кад3"/>
      <sheetName val="Охрана_окр_среды3"/>
      <sheetName val="Исп_природ_сырья3"/>
      <sheetName val="сод__и_лиц__автотр_3"/>
      <sheetName val="Другие_прочие_3"/>
      <sheetName val="Услуги_банков3"/>
      <sheetName val="почтово-канц__расходы3"/>
      <sheetName val="Сод_адм_зданий3"/>
      <sheetName val="юр_конслт_услуги3"/>
      <sheetName val="Социальная_сфера3"/>
      <sheetName val="Расх_на_кул_озд_мер_3"/>
      <sheetName val="Пр__соцвыплаты3"/>
      <sheetName val="Добыча_нефти4"/>
      <sheetName val="поставка_сравн13"/>
      <sheetName val="2_2_ОтклОТМ"/>
      <sheetName val="1_3_2_ОТМ"/>
      <sheetName val="6НК-cт_"/>
      <sheetName val="из_сем"/>
      <sheetName val="Спр__пласт"/>
      <sheetName val="Спр__мест"/>
      <sheetName val="Плата_за_загрязнение_"/>
      <sheetName val="2008_ГСМ"/>
      <sheetName val="Ф №10"/>
      <sheetName val="Cash flow 2003 PBC"/>
      <sheetName val="G201"/>
      <sheetName val="G301"/>
      <sheetName val="модель_(н)4"/>
      <sheetName val="модель_(в)4"/>
      <sheetName val="модель_(свод)4"/>
      <sheetName val="нефть_(2)4"/>
      <sheetName val="вода_(2)4"/>
      <sheetName val="свод_(2)4"/>
      <sheetName val="Сырье_и_материалы4"/>
      <sheetName val="Кап__ремонт4"/>
      <sheetName val="Капитализация_(ЗФ)4"/>
      <sheetName val="ЗФ_КР4"/>
      <sheetName val="Тек_ремонт4"/>
      <sheetName val="Технол_расходы4"/>
      <sheetName val="Приложение_связь4"/>
      <sheetName val="Транспорт_грузов4"/>
      <sheetName val="Ком_расходы4"/>
      <sheetName val="подготовка_кадров_24"/>
      <sheetName val="подгот_кадров_34"/>
      <sheetName val="под_кад4"/>
      <sheetName val="Охрана_окр_среды4"/>
      <sheetName val="Исп_природ_сырья4"/>
      <sheetName val="сод__и_лиц__автотр_4"/>
      <sheetName val="Другие_прочие_4"/>
      <sheetName val="Услуги_банков4"/>
      <sheetName val="почтово-канц__расходы4"/>
      <sheetName val="Сод_адм_зданий4"/>
      <sheetName val="юр_конслт_услуги4"/>
      <sheetName val="Социальная_сфера4"/>
      <sheetName val="Расх_на_кул_озд_мер_4"/>
      <sheetName val="Пр__соцвыплаты4"/>
      <sheetName val="Добыча_нефти41"/>
      <sheetName val="поставка_сравн131"/>
      <sheetName val="2_2_ОтклОТМ1"/>
      <sheetName val="1_3_2_ОТМ1"/>
      <sheetName val="6НК-cт_1"/>
      <sheetName val="из_сем1"/>
      <sheetName val="Спр__пласт1"/>
      <sheetName val="Спр__мест1"/>
      <sheetName val="Плата_за_загрязнение_1"/>
      <sheetName val="2008_ГСМ1"/>
      <sheetName val="Б_мчас_(П)"/>
      <sheetName val="д_7_001"/>
      <sheetName val="PP&amp;E_mvt_for_2003"/>
      <sheetName val="Cash_flow_2003_PBC"/>
      <sheetName val="модель_(н)5"/>
      <sheetName val="модель_(в)5"/>
      <sheetName val="модель_(свод)5"/>
      <sheetName val="нефть_(2)5"/>
      <sheetName val="вода_(2)5"/>
      <sheetName val="свод_(2)5"/>
      <sheetName val="Сырье_и_материалы5"/>
      <sheetName val="Кап__ремонт5"/>
      <sheetName val="Капитализация_(ЗФ)5"/>
      <sheetName val="ЗФ_КР5"/>
      <sheetName val="Тек_ремонт5"/>
      <sheetName val="Технол_расходы5"/>
      <sheetName val="Приложение_связь5"/>
      <sheetName val="Транспорт_грузов5"/>
      <sheetName val="Ком_расходы5"/>
      <sheetName val="подготовка_кадров_25"/>
      <sheetName val="подгот_кадров_35"/>
      <sheetName val="под_кад5"/>
      <sheetName val="Охрана_окр_среды5"/>
      <sheetName val="Исп_природ_сырья5"/>
      <sheetName val="сод__и_лиц__автотр_5"/>
      <sheetName val="Другие_прочие_5"/>
      <sheetName val="Услуги_банков5"/>
      <sheetName val="почтово-канц__расходы5"/>
      <sheetName val="Сод_адм_зданий5"/>
      <sheetName val="юр_конслт_услуги5"/>
      <sheetName val="Социальная_сфера5"/>
      <sheetName val="Расх_на_кул_озд_мер_5"/>
      <sheetName val="Пр__соцвыплаты5"/>
      <sheetName val="Добыча_нефти42"/>
      <sheetName val="поставка_сравн132"/>
      <sheetName val="2_2_ОтклОТМ2"/>
      <sheetName val="1_3_2_ОТМ2"/>
      <sheetName val="6НК-cт_2"/>
      <sheetName val="из_сем2"/>
      <sheetName val="Спр__пласт2"/>
      <sheetName val="Спр__мест2"/>
      <sheetName val="Плата_за_загрязнение_2"/>
      <sheetName val="2008_ГСМ2"/>
      <sheetName val="Б_мчас_(П)1"/>
      <sheetName val="д_7_0011"/>
      <sheetName val="PP&amp;E_mvt_for_20031"/>
      <sheetName val="Cash_flow_2003_PBC1"/>
      <sheetName val="Ф_№10"/>
      <sheetName val="модель_(н)6"/>
      <sheetName val="модель_(в)6"/>
      <sheetName val="модель_(свод)6"/>
      <sheetName val="нефть_(2)6"/>
      <sheetName val="вода_(2)6"/>
      <sheetName val="свод_(2)6"/>
      <sheetName val="Сырье_и_материалы6"/>
      <sheetName val="Кап__ремонт6"/>
      <sheetName val="Капитализация_(ЗФ)6"/>
      <sheetName val="ЗФ_КР6"/>
      <sheetName val="Тек_ремонт6"/>
      <sheetName val="Технол_расходы6"/>
      <sheetName val="Приложение_связь6"/>
      <sheetName val="Транспорт_грузов6"/>
      <sheetName val="Ком_расходы6"/>
      <sheetName val="подготовка_кадров_26"/>
      <sheetName val="подгот_кадров_36"/>
      <sheetName val="под_кад6"/>
      <sheetName val="Охрана_окр_среды6"/>
      <sheetName val="Исп_природ_сырья6"/>
      <sheetName val="сод__и_лиц__автотр_6"/>
      <sheetName val="Другие_прочие_6"/>
      <sheetName val="Услуги_банков6"/>
      <sheetName val="почтово-канц__расходы6"/>
      <sheetName val="Сод_адм_зданий6"/>
      <sheetName val="юр_конслт_услуги6"/>
      <sheetName val="Социальная_сфера6"/>
      <sheetName val="Расх_на_кул_озд_мер_6"/>
      <sheetName val="Пр__соцвыплаты6"/>
      <sheetName val="6НК-cт_3"/>
      <sheetName val="Добыча_нефти43"/>
      <sheetName val="поставка_сравн133"/>
      <sheetName val="2_2_ОтклОТМ3"/>
      <sheetName val="1_3_2_ОТМ3"/>
      <sheetName val="из_сем3"/>
      <sheetName val="Спр__пласт3"/>
      <sheetName val="Спр__мест3"/>
      <sheetName val="Плата_за_загрязнение_3"/>
      <sheetName val="2008_ГСМ3"/>
      <sheetName val="Б_мчас_(П)2"/>
      <sheetName val="д_7_0012"/>
      <sheetName val="PP&amp;E_mvt_for_20032"/>
      <sheetName val="Ф_№101"/>
      <sheetName val="Cash_flow_2003_PBC2"/>
      <sheetName val=""/>
      <sheetName val="производство"/>
      <sheetName val="Mvmnt (consolidated)"/>
      <sheetName val="XREF"/>
      <sheetName val="Mvmnt CIP"/>
      <sheetName val="Datasheet"/>
      <sheetName val="8180 (8181,8182)"/>
      <sheetName val="8082"/>
      <sheetName val="8250"/>
      <sheetName val="8140"/>
      <sheetName val="8070"/>
      <sheetName val="8145"/>
      <sheetName val="8200"/>
      <sheetName val="8113"/>
      <sheetName val="8210"/>
      <sheetName val="summary"/>
      <sheetName val="стр.234"/>
      <sheetName val="стр.242"/>
      <sheetName val="стр.241(2)"/>
      <sheetName val="стр.950"/>
      <sheetName val="Загрузка в ХД"/>
      <sheetName val="стр.512"/>
      <sheetName val="Баланс"/>
      <sheetName val="Форма №2 руб."/>
      <sheetName val="стр.260"/>
      <sheetName val="стр.626"/>
      <sheetName val="стр.515 рос."/>
      <sheetName val="№10  КРА Прочая Реализация  "/>
      <sheetName val="№ 11 КРА Прочее Приобретение"/>
      <sheetName val="стр.232"/>
      <sheetName val="стр. 529(2)"/>
      <sheetName val="ПУ №13 ОФА"/>
      <sheetName val="№12  КРА Проценты"/>
      <sheetName val="стр.640"/>
      <sheetName val="стр.611"/>
      <sheetName val="ПУ №3 OFA"/>
      <sheetName val="ПУ №9 OFA"/>
      <sheetName val="стр.621 (1)"/>
      <sheetName val="ПУ №8 OFA"/>
      <sheetName val="ПУ №7 OFA"/>
      <sheetName val="стр.245"/>
      <sheetName val="стр.246 (1)"/>
      <sheetName val="стр.625 (1)"/>
      <sheetName val="стр.660 (2)"/>
      <sheetName val="стр.960"/>
      <sheetName val="Настройки"/>
      <sheetName val="cтр.253"/>
      <sheetName val="стр.627"/>
      <sheetName val="стр.630"/>
      <sheetName val="стр.624"/>
      <sheetName val="стр.625 (2)"/>
      <sheetName val="стр.623"/>
      <sheetName val="стр.251"/>
      <sheetName val="стр.650"/>
      <sheetName val="Lay-off provision"/>
      <sheetName val="ДС МЗК"/>
      <sheetName val="клиенты на 30_09(перв_источник)"/>
      <sheetName val="P&amp;L"/>
      <sheetName val="Provisions"/>
      <sheetName val="Disclosure"/>
      <sheetName val="Исх.данные"/>
      <sheetName val="Кэш-фло (текущий)"/>
      <sheetName val="Показ.Эфф.Инвест."/>
      <sheetName val="9-1"/>
      <sheetName val="4"/>
      <sheetName val="1-1"/>
      <sheetName val="1"/>
      <sheetName val="АПК реформа"/>
      <sheetName val="Гр5(о)"/>
      <sheetName val="ДС_МЗК"/>
      <sheetName val="Movements"/>
      <sheetName val="допущения"/>
      <sheetName val="Конс "/>
      <sheetName val="A-6"/>
      <sheetName val="1 вариант  2009 "/>
      <sheetName val="ПКОП_3_100%"/>
      <sheetName val="ПКОП_2_100%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мятка"/>
      <sheetName val="Форма1"/>
      <sheetName val="Форма2"/>
      <sheetName val="Форма3"/>
      <sheetName val="Форма4"/>
      <sheetName val="Форма5"/>
      <sheetName val="Форма6"/>
      <sheetName val="Форма7"/>
      <sheetName val="Форма8"/>
      <sheetName val="sheet1"/>
      <sheetName val="Добыча нефти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итфин"/>
      <sheetName val="Пр.М"/>
      <sheetName val="Ф7"/>
      <sheetName val="Баланс"/>
      <sheetName val="Ф10"/>
      <sheetName val="Пр1"/>
      <sheetName val="Пр2"/>
      <sheetName val="Пр2.2"/>
      <sheetName val="Пр3"/>
      <sheetName val="Пр4"/>
      <sheetName val="Расчеты ОС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раметры"/>
      <sheetName val="Титул1"/>
      <sheetName val="ОснПок2"/>
      <sheetName val="Производство3"/>
      <sheetName val="Добыча нефти4"/>
      <sheetName val="ПроизвПрогр5"/>
      <sheetName val="АнТрнНефт5_1"/>
      <sheetName val="АнУМГ6"/>
      <sheetName val="АнЭмба7"/>
      <sheetName val="АнАНПЗ"/>
      <sheetName val="АНПЗ7_1"/>
      <sheetName val="АНПЗ7_2"/>
      <sheetName val="Продактс"/>
      <sheetName val="Продактс капвл"/>
      <sheetName val="КапВл8"/>
      <sheetName val="КапСтроит9"/>
      <sheetName val="СтрСоцНазн10"/>
      <sheetName val="Маркетинг12"/>
      <sheetName val="поставка сравн13"/>
      <sheetName val="цены14"/>
      <sheetName val="ЦеныНефтепрод15"/>
      <sheetName val="цены16"/>
      <sheetName val="Доход17"/>
      <sheetName val="Чдоход18"/>
      <sheetName val="Капвл.всего"/>
      <sheetName val="ПлатВбюджет19"/>
      <sheetName val="ДебКр20"/>
      <sheetName val="ДвДенСредств21"/>
      <sheetName val="Инв Прог22"/>
      <sheetName val="Все пок23_24"/>
      <sheetName val="Форма2"/>
      <sheetName val="Форма1"/>
      <sheetName val="sheet1"/>
      <sheetName val="Пр2"/>
      <sheetName val="7.1"/>
      <sheetName val="Comp06"/>
      <sheetName val="NPV"/>
      <sheetName val="14.1.2.2.(Услуги связи)"/>
      <sheetName val="#ССЫЛКА"/>
      <sheetName val="14_1_2_2__Услуги связи_"/>
      <sheetName val="Добыча_нефти4"/>
      <sheetName val="Продактс_капвл"/>
      <sheetName val="поставка_сравн13"/>
      <sheetName val="Капвл_всего"/>
      <sheetName val="Инв_Прог22"/>
      <sheetName val="Все_пок23_24"/>
      <sheetName val="7_1"/>
      <sheetName val="14_1_2_2_(Услуги_связи)"/>
      <sheetName val="14_1_2_2__Услуги_связи_"/>
      <sheetName val="Лист3"/>
      <sheetName val="Расчет2000Прямой"/>
      <sheetName val="топливо"/>
      <sheetName val="Потребители"/>
      <sheetName val="Осн"/>
      <sheetName val="План закупок"/>
      <sheetName val="Командировочные расходы"/>
      <sheetName val="Ввод"/>
      <sheetName val="12 из 57 АЗС"/>
      <sheetName val="ОборБалФормОтч"/>
      <sheetName val="  2.3.2"/>
      <sheetName val="МО 0012"/>
      <sheetName val="из сем"/>
      <sheetName val="0. Данные"/>
      <sheetName val="цены"/>
      <sheetName val="аренда цс"/>
      <sheetName val="Лист1"/>
      <sheetName val="пр 6 дох"/>
      <sheetName val="точн2"/>
      <sheetName val="KTG_m"/>
      <sheetName val="СПгнг"/>
      <sheetName val="MS"/>
      <sheetName val="name"/>
      <sheetName val="мат расходы"/>
      <sheetName val="Налоги на транспорт"/>
      <sheetName val="6 NK"/>
      <sheetName val="справка"/>
      <sheetName val="ОХР"/>
      <sheetName val="Январь"/>
      <sheetName val="UNITPRICES"/>
      <sheetName val="Info"/>
      <sheetName val="Счет-ф"/>
      <sheetName val="Sheet3"/>
      <sheetName val="Sheet4"/>
      <sheetName val="янв"/>
      <sheetName val="Свод"/>
      <sheetName val="Исход"/>
      <sheetName val="Сдача "/>
      <sheetName val="ДБСП_02_ 2002"/>
      <sheetName val="всп"/>
      <sheetName val="свод2010г по гр."/>
      <sheetName val="Статьи затрат"/>
      <sheetName val="Ф3"/>
      <sheetName val="НДС"/>
      <sheetName val="3.ФОТ"/>
      <sheetName val="Income $"/>
      <sheetName val="Бюдж-тенге"/>
      <sheetName val="2а (4)"/>
      <sheetName val="2в"/>
      <sheetName val="общ-нефт"/>
      <sheetName val="выданы таб № (от 25.01.12 ОК)"/>
      <sheetName val="F1002"/>
      <sheetName val="НДПИ"/>
      <sheetName val="персонала"/>
      <sheetName val="по 2007 году план на 2008 год"/>
      <sheetName val="Movements"/>
      <sheetName val="Преискурант"/>
      <sheetName val="Страхование ГПО охр.2"/>
      <sheetName val="исп.см."/>
      <sheetName val="Изменяемые данные"/>
      <sheetName val="Financial ratios А3"/>
      <sheetName val="группа"/>
      <sheetName val="факт 2005 г."/>
      <sheetName val="balans 3"/>
      <sheetName val="З"/>
      <sheetName val="1.411.1"/>
      <sheetName val="ОТиТБ"/>
      <sheetName val="Ден потоки"/>
      <sheetName val="00"/>
      <sheetName val="Haul cons"/>
      <sheetName val="Распределение прибыли"/>
      <sheetName val="предприятия"/>
      <sheetName val="PP&amp;E mvt for 2003"/>
      <sheetName val="оборудование"/>
      <sheetName val="SUN TB"/>
      <sheetName val="ЦентрЗатр"/>
      <sheetName val="ЕдИзм"/>
      <sheetName val="Предпр"/>
      <sheetName val="Добычанефти4"/>
      <sheetName val="поставкасравн13"/>
      <sheetName val="из_сем"/>
      <sheetName val="Добыча_нефти41"/>
      <sheetName val="Продактс_капвл1"/>
      <sheetName val="поставка_сравн131"/>
      <sheetName val="Капвл_всего1"/>
      <sheetName val="Инв_Прог221"/>
      <sheetName val="Все_пок23_241"/>
      <sheetName val="из_сем1"/>
      <sheetName val="аренда"/>
      <sheetName val="Справочник"/>
      <sheetName val="Баланс"/>
      <sheetName val="Лист1 (3)"/>
      <sheetName val="на 31.12.07 (4)"/>
      <sheetName val="CIP Dec 2006"/>
      <sheetName val="КлассификаторЗнач"/>
      <sheetName val="Assumptions"/>
      <sheetName val="эксп"/>
      <sheetName val="СписокТЭП"/>
      <sheetName val="s"/>
      <sheetName val="C-Total Market"/>
      <sheetName val="I-Demand Drivers"/>
      <sheetName val="ECM_PP"/>
      <sheetName val="XLR_NoRangeSheet"/>
      <sheetName val="ведомость"/>
      <sheetName val="расчет ГСМ НА 2013Г"/>
      <sheetName val="канат.прод."/>
      <sheetName val="1БО"/>
      <sheetName val="EVA"/>
      <sheetName val="коэфф"/>
      <sheetName val="2БК"/>
      <sheetName val="3БО"/>
      <sheetName val="3БК"/>
      <sheetName val="5П"/>
      <sheetName val="4П"/>
      <sheetName val="WACC"/>
      <sheetName val="2.2 ОтклОТМ"/>
      <sheetName val="1.3.2 ОТМ"/>
      <sheetName val="Курсы"/>
      <sheetName val="д.7.001"/>
      <sheetName val="3БК Инвестиции"/>
      <sheetName val="2008 ГСМ"/>
      <sheetName val="Плата за загрязнение "/>
      <sheetName val="Типограф"/>
      <sheetName val="26.04.2013 (2)"/>
      <sheetName val="апрель"/>
      <sheetName val="май"/>
      <sheetName val="март"/>
      <sheetName val="фев"/>
      <sheetName val="Запрос"/>
      <sheetName val="month"/>
      <sheetName val="Лист2"/>
      <sheetName val="линии"/>
      <sheetName val="счетчики"/>
      <sheetName val="СВОД Логистика"/>
      <sheetName val="класс"/>
      <sheetName val="Список"/>
      <sheetName val="Treatment Summary"/>
      <sheetName val="ДД"/>
      <sheetName val="канц"/>
      <sheetName val="ремонт 25"/>
      <sheetName val="1610"/>
      <sheetName val="1210"/>
      <sheetName val="TB"/>
      <sheetName val="PR CN"/>
      <sheetName val="FES"/>
      <sheetName val="Транспорт"/>
      <sheetName val="Depr"/>
      <sheetName val="Добыча_нефти42"/>
      <sheetName val="Продактс_капвл2"/>
      <sheetName val="поставка_сравн132"/>
      <sheetName val="Капвл_всего2"/>
      <sheetName val="Инв_Прог222"/>
      <sheetName val="Все_пок23_242"/>
      <sheetName val="План_закупок"/>
      <sheetName val="Командировочные_расходы"/>
      <sheetName val="12_из_57_АЗС"/>
      <sheetName val="__2_3_2"/>
      <sheetName val="МО_0012"/>
      <sheetName val="из_сем2"/>
      <sheetName val="0__Данные"/>
      <sheetName val="аренда_цс"/>
      <sheetName val="пр_6_дох"/>
      <sheetName val="мат_расходы"/>
      <sheetName val="Налоги_на_транспорт"/>
      <sheetName val="6_NK"/>
      <sheetName val="Сдача_"/>
      <sheetName val="ДБСП_02__2002"/>
      <sheetName val="свод2010г_по_гр_"/>
      <sheetName val="Статьи_затрат"/>
      <sheetName val="2а_(4)"/>
      <sheetName val="выданы_таб_№_(от_25_01_12_ОК)"/>
      <sheetName val="3_ФОТ"/>
      <sheetName val="Income_$"/>
      <sheetName val="по_2007_году_план_на_2008_год"/>
      <sheetName val="расчет_ГСМ_НА_2013Г"/>
      <sheetName val="канат_прод_"/>
      <sheetName val="Страхование_ГПО_охр_2"/>
      <sheetName val="исп_см_"/>
      <sheetName val="Изменяемые_данные"/>
      <sheetName val="Financial_ratios_А3"/>
      <sheetName val="факт_2005_г_"/>
      <sheetName val="balans_3"/>
      <sheetName val="1_411_1"/>
      <sheetName val="Ден_потоки"/>
      <sheetName val="Haul_cons"/>
      <sheetName val="Распределение_прибыли"/>
      <sheetName val="PP&amp;E_mvt_for_2003"/>
      <sheetName val="SUN_TB"/>
      <sheetName val="Лист1_(3)"/>
      <sheetName val="на_31_12_07_(4)"/>
      <sheetName val="CIP_Dec_2006"/>
      <sheetName val="C-Total_Market"/>
      <sheetName val="I-Demand_Drivers"/>
      <sheetName val="2_2_ОтклОТМ"/>
      <sheetName val="1_3_2_ОТМ"/>
      <sheetName val="д_7_001"/>
      <sheetName val="3БК_Инвестиции"/>
      <sheetName val="2008_ГСМ"/>
      <sheetName val="Плата_за_загрязнение_"/>
      <sheetName val="26_04_2013_(2)"/>
      <sheetName val="ремонт_25"/>
      <sheetName val="PR_CN"/>
      <sheetName val="Treatment_Summary"/>
      <sheetName val="СВОД_Логистика"/>
      <sheetName val="потр"/>
      <sheetName val="СН"/>
      <sheetName val="Кабельная продукция"/>
      <sheetName val="Ком плат"/>
      <sheetName val="Списки"/>
      <sheetName val="УО"/>
      <sheetName val="_ 2_3_2"/>
      <sheetName val="SAD Schedule"/>
      <sheetName val="расчет прибыли"/>
      <sheetName val="амортиз_ввод"/>
      <sheetName val="ГПЗ_ПОСД_Способ закупок"/>
      <sheetName val="план07"/>
      <sheetName val="п11"/>
      <sheetName val="п25ЦТАИ"/>
      <sheetName val="п25"/>
      <sheetName val="п23"/>
      <sheetName val="п26"/>
      <sheetName val="п31"/>
      <sheetName val="п4"/>
      <sheetName val="п5"/>
      <sheetName val="п7"/>
      <sheetName val="п8"/>
      <sheetName val="Hidden"/>
      <sheetName val="ДС МЗК"/>
      <sheetName val="Control"/>
      <sheetName val="VLOOKUP"/>
      <sheetName val="INPUTMASTER"/>
      <sheetName val="Добыча_нефти43"/>
      <sheetName val="Продактс_капвл3"/>
      <sheetName val="поставка_сравн133"/>
      <sheetName val="Капвл_всего3"/>
      <sheetName val="Инв_Прог223"/>
      <sheetName val="Все_пок23_243"/>
      <sheetName val="План_закупок1"/>
      <sheetName val="Командировочные_расходы1"/>
      <sheetName val="12_из_57_АЗС1"/>
      <sheetName val="__2_3_21"/>
      <sheetName val="МО_00121"/>
      <sheetName val="из_сем3"/>
      <sheetName val="0__Данные1"/>
      <sheetName val="аренда_цс1"/>
      <sheetName val="пр_6_дох1"/>
      <sheetName val="мат_расходы1"/>
      <sheetName val="Налоги_на_транспорт1"/>
      <sheetName val="6_NK1"/>
      <sheetName val="Сдача_1"/>
      <sheetName val="ДБСП_02__20021"/>
      <sheetName val="свод2010г_по_гр_1"/>
      <sheetName val="Статьи_затрат1"/>
      <sheetName val="14_1_2_2_(Услуги_связи)1"/>
      <sheetName val="3_ФОТ1"/>
      <sheetName val="Income_$1"/>
      <sheetName val="2а_(4)1"/>
      <sheetName val="выданы_таб_№_(от_25_01_12_ОК)1"/>
      <sheetName val="по_2007_году_план_на_2008_год1"/>
      <sheetName val="Страхование_ГПО_охр_21"/>
      <sheetName val="исп_см_1"/>
      <sheetName val="Изменяемые_данные1"/>
      <sheetName val="Financial_ratios_А31"/>
      <sheetName val="факт_2005_г_1"/>
      <sheetName val="balans_31"/>
      <sheetName val="1_411_11"/>
      <sheetName val="Ден_потоки1"/>
      <sheetName val="Haul_cons1"/>
      <sheetName val="Распределение_прибыли1"/>
      <sheetName val="PP&amp;E_mvt_for_20031"/>
      <sheetName val="SUN_TB1"/>
      <sheetName val="7_11"/>
      <sheetName val="Лист1_(3)1"/>
      <sheetName val="на_31_12_07_(4)1"/>
      <sheetName val="CIP_Dec_20061"/>
      <sheetName val="C-Total_Market1"/>
      <sheetName val="I-Demand_Drivers1"/>
      <sheetName val="расчет_ГСМ_НА_2013Г1"/>
      <sheetName val="канат_прод_1"/>
      <sheetName val="2_2_ОтклОТМ1"/>
      <sheetName val="1_3_2_ОТМ1"/>
      <sheetName val="д_7_0011"/>
      <sheetName val="3БК_Инвестиции1"/>
      <sheetName val="2008_ГСМ1"/>
      <sheetName val="Плата_за_загрязнение_1"/>
      <sheetName val="26_04_2013_(2)1"/>
      <sheetName val="СВОД_Логистика1"/>
      <sheetName val="Treatment_Summary1"/>
      <sheetName val="ремонт_251"/>
      <sheetName val="PR_CN1"/>
      <sheetName val="Кабельная_продукция"/>
      <sheetName val="Ком_плат"/>
      <sheetName val="__2_3_22"/>
      <sheetName val="t0_name"/>
      <sheetName val="B 1"/>
      <sheetName val="C 25"/>
      <sheetName val="A 100"/>
      <sheetName val="B_1"/>
      <sheetName val="C_25"/>
      <sheetName val="A_100"/>
      <sheetName val="2БО"/>
      <sheetName val="Cashflow"/>
      <sheetName val="титфин"/>
      <sheetName val="Пр.М"/>
      <sheetName val="Ф7"/>
      <sheetName val="Ф10"/>
      <sheetName val="Пр1"/>
      <sheetName val="Пр2.2"/>
      <sheetName val="Пр3"/>
      <sheetName val="Пр4"/>
      <sheetName val="Расчеты ОСД"/>
      <sheetName val="Product Assumptions"/>
      <sheetName val="H3.100 Rollforward"/>
      <sheetName val="PKF-2005"/>
      <sheetName val="GAAP TB 31.12.01  detail p&amp;l"/>
      <sheetName val="Sheet2"/>
      <sheetName val="РСза 6-м 2012"/>
      <sheetName val="июнь"/>
      <sheetName val="4.Налоги"/>
      <sheetName val="Логистика"/>
      <sheetName val="опотиз"/>
      <sheetName val="1 вариант  2009 "/>
      <sheetName val="База"/>
      <sheetName val="XREF"/>
      <sheetName val="Текущие цены"/>
      <sheetName val="рабочий"/>
      <sheetName val="окраска"/>
      <sheetName val="ФС-75"/>
      <sheetName val="ФСМн "/>
      <sheetName val="ФХ "/>
      <sheetName val="ФХС-40 "/>
      <sheetName val="ФХС-48 "/>
      <sheetName val="summary"/>
      <sheetName val="Инвест"/>
      <sheetName val="Вход"/>
      <sheetName val="объемы"/>
      <sheetName val="макро"/>
      <sheetName val="Общие"/>
      <sheetName val="муз колледж"/>
      <sheetName val="Книга1"/>
      <sheetName val="5NK "/>
      <sheetName val="Main Page"/>
      <sheetName val="L-1"/>
      <sheetName val="Индексы"/>
      <sheetName val="EMPLANM"/>
      <sheetName val="Б.мчас (П)"/>
      <sheetName val="list"/>
      <sheetName val="стр.145 рос. исп"/>
      <sheetName val="Отд.расх"/>
      <sheetName val="Зам.нгду-1(наг)"/>
      <sheetName val="Зам.нгду-1"/>
      <sheetName val="Зам.ОЭПУ(доб)"/>
      <sheetName val="Зам.нгду-2(наг)"/>
      <sheetName val="Зам.ОЭПУ(наг)"/>
      <sheetName val="сут рап снижПТО по мероп"/>
      <sheetName val="ГТМ"/>
      <sheetName val="Заявлени+сдач.обх.по 22.02.12"/>
      <sheetName val="для рекомендации на 09.02.12г"/>
      <sheetName val="рев на 09.06."/>
      <sheetName val="вознаграждение"/>
      <sheetName val="IFRS FS"/>
      <sheetName val="Лист 1"/>
      <sheetName val="9-1"/>
      <sheetName val="4"/>
      <sheetName val="1-1"/>
      <sheetName val="1"/>
      <sheetName val="Добыча_нефти44"/>
      <sheetName val="Продактс_капвл4"/>
      <sheetName val="поставка_сравн134"/>
      <sheetName val="Капвл_всего4"/>
      <sheetName val="Инв_Прог224"/>
      <sheetName val="Все_пок23_244"/>
      <sheetName val="План_закупок2"/>
      <sheetName val="__2_3_23"/>
      <sheetName val="Командировочные_расходы2"/>
      <sheetName val="12_из_57_АЗС2"/>
      <sheetName val="МО_00122"/>
      <sheetName val="из_сем4"/>
      <sheetName val="0__Данные2"/>
      <sheetName val="аренда_цс2"/>
      <sheetName val="пр_6_дох2"/>
      <sheetName val="мат_расходы2"/>
      <sheetName val="Налоги_на_транспорт2"/>
      <sheetName val="6_NK2"/>
      <sheetName val="Сдача_2"/>
      <sheetName val="ДБСП_02__20022"/>
      <sheetName val="83"/>
      <sheetName val=" 4"/>
      <sheetName val=""/>
      <sheetName val="Технический"/>
      <sheetName val="свод2010г_по_гр_2"/>
      <sheetName val="Статьи_затрат2"/>
      <sheetName val="14_1_2_2_(Услуги_связи)2"/>
      <sheetName val="3_ФОТ2"/>
      <sheetName val="Income_$2"/>
      <sheetName val="выданы_таб_№_(от_25_01_12_ОК)2"/>
      <sheetName val="2а_(4)2"/>
      <sheetName val="канат_прод_2"/>
      <sheetName val="по_2007_году_план_на_2008_год2"/>
      <sheetName val="расчет_ГСМ_НА_2013Г2"/>
      <sheetName val="Страхование_ГПО_охр_22"/>
      <sheetName val="исп_см_2"/>
      <sheetName val="Изменяемые_данные2"/>
      <sheetName val="Financial_ratios_А32"/>
      <sheetName val="факт_2005_г_2"/>
      <sheetName val="balans_32"/>
      <sheetName val="1_411_12"/>
      <sheetName val="Ден_потоки2"/>
      <sheetName val="Haul_cons2"/>
      <sheetName val="Распределение_прибыли2"/>
      <sheetName val="PP&amp;E_mvt_for_20032"/>
      <sheetName val="SUN_TB2"/>
      <sheetName val="7_12"/>
      <sheetName val="Лист1_(3)2"/>
      <sheetName val="на_31_12_07_(4)2"/>
      <sheetName val="CIP_Dec_20062"/>
      <sheetName val="C-Total_Market2"/>
      <sheetName val="I-Demand_Drivers2"/>
      <sheetName val="2_2_ОтклОТМ2"/>
      <sheetName val="1_3_2_ОТМ2"/>
      <sheetName val="д_7_0012"/>
      <sheetName val="3БК_Инвестиции2"/>
      <sheetName val="2008_ГСМ2"/>
      <sheetName val="Плата_за_загрязнение_2"/>
      <sheetName val="26_04_2013_(2)2"/>
      <sheetName val="ремонт_252"/>
      <sheetName val="PR_CN2"/>
      <sheetName val="Treatment_Summary2"/>
      <sheetName val="СВОД_Логистика2"/>
      <sheetName val="Ком_плат1"/>
      <sheetName val="__2_3_24"/>
      <sheetName val="H3_100_Rollforward"/>
      <sheetName val="GAAP_TB_31_12_01__detail_p&amp;l"/>
      <sheetName val="РСза_6-м_2012"/>
      <sheetName val="Кабельная_продукция1"/>
      <sheetName val="4_Налоги"/>
      <sheetName val="7НК"/>
      <sheetName val="ФБ-1"/>
      <sheetName val="АСТВ"/>
      <sheetName val="стр_145_рос__исп"/>
      <sheetName val="SAD_Schedule"/>
      <sheetName val="расчет_прибыли"/>
      <sheetName val="ГПЗ_ПОСД_Способ_закупок"/>
      <sheetName val="ДС_МЗК"/>
      <sheetName val="Отд_расх"/>
      <sheetName val="10 БО (kzt)"/>
      <sheetName val=" По скв"/>
      <sheetName val="5.3. Усл. связи"/>
      <sheetName val="Input TI"/>
      <sheetName val="Strat 1H 2008"/>
      <sheetName val="Список документов"/>
      <sheetName val="с 01.08 по 17.10 = 1569 вагонов"/>
      <sheetName val="общ.фонд  "/>
      <sheetName val="Все_по䀀歎쬂⾕⠠倀"/>
      <sheetName val="Все_по䐀⩛ഀ䎃԰_x0000_缀"/>
      <sheetName val="Все_по⠠렀ኣ㠾ኡ耾"/>
      <sheetName val="Источник финансирования"/>
      <sheetName val="Месяцы"/>
      <sheetName val="ЭКРБ"/>
      <sheetName val="Способ закупки"/>
      <sheetName val="ГБ"/>
      <sheetName val="Допущения"/>
      <sheetName val="34-143"/>
      <sheetName val="7  (3)"/>
      <sheetName val="Кнфиг сетка"/>
      <sheetName val="1кв. "/>
      <sheetName val="2кв."/>
      <sheetName val="Бюджет"/>
      <sheetName val="Data"/>
      <sheetName val="ЦЕХА"/>
      <sheetName val="Все_по/_x0000_耀S_x0000__x0000_缀"/>
      <sheetName val="3НК"/>
      <sheetName val="Все_по吀ᥢഀ榃԰_x0000_缀"/>
      <sheetName val="Все_по䐀⩛ഀ䎃԰"/>
      <sheetName val="Все_по/"/>
      <sheetName val="Все_по吀ᥢഀ榃԰"/>
      <sheetName val="july_03_pg8"/>
      <sheetName val="Все_по쬂᎕鐁ᘲ䠺"/>
      <sheetName val="расчет"/>
      <sheetName val="Текущие_цены"/>
      <sheetName val="ФСМн_"/>
      <sheetName val="ФХ_"/>
      <sheetName val="ФХС-40_"/>
      <sheetName val="ФХС-48_"/>
      <sheetName val="1_вариант__2009_"/>
      <sheetName val="Б_мчас_(П)"/>
      <sheetName val="I__Прогноз_доходов"/>
      <sheetName val="общ скв"/>
      <sheetName val="сводУМЗ"/>
      <sheetName val="План произв-ва (мес.) (бюджет)"/>
      <sheetName val="Загрузка "/>
      <sheetName val="Все_поԯ_x0000_缀_x0000__x0000__x0000_턀"/>
      <sheetName val="Проект"/>
      <sheetName val="Т2"/>
      <sheetName val="КАТО"/>
      <sheetName val="Loans out"/>
      <sheetName val="ОПГЗ"/>
      <sheetName val="План ГЗ"/>
      <sheetName val="Справка ИЦА"/>
      <sheetName val="Справка 2"/>
      <sheetName val="на 10.02.06"/>
      <sheetName val="_ССЫЛКА"/>
      <sheetName val="Пок"/>
      <sheetName val="Справка "/>
      <sheetName val="ЖГРЭС за 09.02.06"/>
      <sheetName val="Настройки"/>
      <sheetName val="breakdown"/>
      <sheetName val="P&amp;L"/>
      <sheetName val="Provisions"/>
      <sheetName val="FA depreciation"/>
      <sheetName val="ремонтТ9"/>
      <sheetName val="Ф1"/>
      <sheetName val="ОПУ_сверка"/>
      <sheetName val="доходы и расходы "/>
      <sheetName val="Datasheet"/>
      <sheetName val="8180 (8181,8182)"/>
      <sheetName val="8082"/>
      <sheetName val="8250"/>
      <sheetName val="8140"/>
      <sheetName val="8070"/>
      <sheetName val="8145"/>
      <sheetName val="8200"/>
      <sheetName val="8113"/>
      <sheetName val="8210"/>
      <sheetName val="станции"/>
      <sheetName val="собственный капитал"/>
      <sheetName val="Год"/>
      <sheetName val="Фонд"/>
      <sheetName val="Assump"/>
      <sheetName val="Prelim Cost"/>
      <sheetName val="IS-Cash"/>
      <sheetName val="Loan"/>
      <sheetName val="2_Уст_у_ж.д._тупика"/>
      <sheetName val="амортизация"/>
      <sheetName val="Вариант2,1"/>
      <sheetName val="Цена"/>
      <sheetName val="700-H"/>
      <sheetName val="EXR"/>
      <sheetName val="Вход.данные"/>
      <sheetName val="Ф11"/>
      <sheetName val="Пр4 (2)"/>
      <sheetName val="I. Прогноз доходов"/>
      <sheetName val="RSOILBAL"/>
      <sheetName val="Все_поԯ_x0000_缀_x0000__x0000__x0000_됀"/>
      <sheetName val="расш. себестоим."/>
      <sheetName val="расш реал"/>
      <sheetName val="расш ОАР"/>
      <sheetName val="Ф2"/>
      <sheetName val="Ф4"/>
      <sheetName val="CURCURS"/>
      <sheetName val="Пром1"/>
      <sheetName val="план"/>
      <sheetName val="Сводная по цехам"/>
      <sheetName val="НР"/>
      <sheetName val="ОАР"/>
      <sheetName val="РР"/>
      <sheetName val="Все_по㐀ᕞഀ䞃԰_x0000_缀"/>
      <sheetName val="Parameters"/>
      <sheetName val="SBM Reserve"/>
      <sheetName val="объекты обществаКокшетау"/>
      <sheetName val="Фин. пок-ли"/>
      <sheetName val="Бонды стр.341"/>
      <sheetName val="5NK_"/>
      <sheetName val="Источник_финансирования"/>
      <sheetName val="Способ_закупки"/>
      <sheetName val="Main_Page"/>
      <sheetName val="Loans_out"/>
      <sheetName val="План_ГЗ"/>
      <sheetName val="доходы_и_расходы_"/>
      <sheetName val="B_11"/>
      <sheetName val="C_251"/>
      <sheetName val="A_1001"/>
      <sheetName val="14_1_2_2__Услуги_связи_1"/>
      <sheetName val="расш__себестоим_"/>
      <sheetName val="расш_реал"/>
      <sheetName val="расш_ОАР"/>
      <sheetName val="Зам_нгду-1(наг)"/>
      <sheetName val="Зам_нгду-1"/>
      <sheetName val="Зам_ОЭПУ(доб)"/>
      <sheetName val="Зам_нгду-2(наг)"/>
      <sheetName val="Зам_ОЭПУ(наг)"/>
      <sheetName val="сут_рап_снижПТО_по_мероп"/>
      <sheetName val="Заявлени+сдач_обх_по_22_02_12"/>
      <sheetName val="для_рекомендации_на_09_02_12г"/>
      <sheetName val="рев_на_09_06_"/>
      <sheetName val="муз_колледж"/>
      <sheetName val="консалт"/>
      <sheetName val="Sample"/>
      <sheetName val="Свод за 2008г"/>
      <sheetName val="ЦФО"/>
      <sheetName val="наличие_НДС"/>
      <sheetName val="Тип_учета"/>
      <sheetName val="Все_поԯ"/>
      <sheetName val="[ДБСП_02_ 2002.xls]___Syzdykb_2"/>
      <sheetName val="[ДБСП_02_ 2002.xls]___Syzdyk_10"/>
      <sheetName val="[ДБСП_02_ 2002.xls]___Syzdykb_9"/>
      <sheetName val="[ДБСП_02_ 2002.xls]___Syzdykb_3"/>
      <sheetName val="[ДБСП_02_ 2002.xls]___Syzdykb_4"/>
      <sheetName val="[ДБСП_02_ 2002.xls]___Syzdykb_5"/>
      <sheetName val="[ДБСП_02_ 2002.xls]___Syzdykb_6"/>
      <sheetName val="[ДБСП_02_ 2002.xls]___Syzdykb_8"/>
      <sheetName val="[ДБСП_02_ 2002.xls]___Syzdykb_7"/>
      <sheetName val="4НК"/>
      <sheetName val="КОРП-1"/>
      <sheetName val="MCC"/>
      <sheetName val="Все_по/_x0000_瀀G_x0000__x0000_ꀀ"/>
      <sheetName val="Все_по԰_x0000_缀_x0000__x0000__x0000_缀"/>
      <sheetName val="Все_по0_x0000_#_x0000__x0000_ꀀ"/>
      <sheetName val="Все_по0_x0000_Å_x0000__x0000_ꀀ"/>
      <sheetName val="ГСМ Гараж"/>
      <sheetName val="ГСМ по инвест"/>
      <sheetName val="аморт"/>
      <sheetName val="Запчасти Гараж"/>
      <sheetName val="Материалы РМУ"/>
      <sheetName val="Постановка на учет авто"/>
      <sheetName val="Размножение проектов"/>
      <sheetName val="материалы ВДГО"/>
      <sheetName val="Тех осмотр"/>
      <sheetName val="Проект 1"/>
      <sheetName val="Объем ВДГО"/>
      <sheetName val="Стор Орг.РМУ"/>
      <sheetName val="12НК"/>
      <sheetName val="Все_по԰_x0000_缀_x0000__x0000__x0000_퐀"/>
      <sheetName val="Все_по예썘/_x0000_쀀_x001f__x0000_"/>
      <sheetName val="ТитулЛистОтч"/>
      <sheetName val="SAPBEXfilters"/>
      <sheetName val="calc"/>
      <sheetName val="[ДБСП_02_ 2002.xls]___Syzdyk_34"/>
      <sheetName val="[ДБСП_02_ 2002.xls]___Syzdyk_11"/>
      <sheetName val="[ДБСП_02_ 2002.xls]___Syzdyk_12"/>
      <sheetName val="Data-in"/>
      <sheetName val="[ДБСП_02_ 2002.xls]___Syzdyk_13"/>
      <sheetName val="[ДБСП_02_ 2002.xls]___Syzdyk_19"/>
      <sheetName val="[ДБСП_02_ 2002.xls]___Syzdyk_18"/>
      <sheetName val="[ДБСП_02_ 2002.xls]___Syzdyk_15"/>
      <sheetName val="[ДБСП_02_ 2002.xls]___Syzdyk_14"/>
      <sheetName val="[ДБСП_02_ 2002.xls]___Syzdyk_16"/>
      <sheetName val="[ДБСП_02_ 2002.xls]___Syzdyk_17"/>
      <sheetName val="Статьи"/>
      <sheetName val="[ДБСП_02_ 2002.xls]___Syzdyk_21"/>
      <sheetName val="[ДБСП_02_ 2002.xls]___Syzdyk_20"/>
      <sheetName val="___Syzdykb_2"/>
      <sheetName val="___Syzdyk_10"/>
      <sheetName val="___Syzdykb_9"/>
      <sheetName val="___Syzdykb_3"/>
      <sheetName val="___Syzdykb_4"/>
      <sheetName val="___Syzdykb_5"/>
      <sheetName val="___Syzdykb_6"/>
      <sheetName val="___Syzdykb_8"/>
      <sheetName val="___Syzdykb_7"/>
      <sheetName val="___Syzdyk_11"/>
      <sheetName val="___Syzdyk_12"/>
      <sheetName val="___Syzdyk_13"/>
      <sheetName val="___Syzdyk_19"/>
      <sheetName val="___Syzdyk_18"/>
      <sheetName val="___Syzdyk_15"/>
      <sheetName val="___Syzdyk_14"/>
      <sheetName val="___Syzdyk_16"/>
      <sheetName val="___Syzdyk_17"/>
      <sheetName val="___Syzdyk_21"/>
      <sheetName val="___Syzdyk_20"/>
      <sheetName val="[ДБСП_02_ 2002.xls]___Syzdyk_22"/>
      <sheetName val="[ДБСП_02_ 2002.xls]___Syzdyk_23"/>
      <sheetName val="[ДБСП_02_ 2002.xls]___Syzdyk_27"/>
      <sheetName val="[ДБСП_02_ 2002.xls]___Syzdyk_24"/>
      <sheetName val="[ДБСП_02_ 2002.xls]___Syzdyk_25"/>
      <sheetName val="[ДБСП_02_ 2002.xls]___Syzdyk_26"/>
      <sheetName val="[ДБСП_02_ 2002.xls]___Syzdyk_28"/>
      <sheetName val="[ДБСП_02_ 2002.xls]___Syzdyk_29"/>
      <sheetName val="[ДБСП_02_ 2002.xls]___Syzdyk_30"/>
      <sheetName val="[ДБСП_02_ 2002.xls]___Syzdyk_31"/>
      <sheetName val="[ДБСП_02_ 2002.xls]___Syzdyk_32"/>
      <sheetName val="[ДБСП_02_ 2002.xls]___Syzdyk_33"/>
      <sheetName val="рев ДФ (св)"/>
      <sheetName val="общ"/>
      <sheetName val="IS"/>
      <sheetName val="Презентация"/>
      <sheetName val="Отчет_Компания"/>
      <sheetName val="PLM"/>
      <sheetName val="коммент"/>
      <sheetName val="IB"/>
      <sheetName val="2019"/>
      <sheetName val="PL"/>
      <sheetName val="ББ"/>
      <sheetName val="ДДС"/>
      <sheetName val="Бюджет 2019"/>
      <sheetName val="Бюджет 2020"/>
      <sheetName val="Petroleum"/>
      <sheetName val="Задействованность (%U)"/>
      <sheetName val="Обслуживание (𝑬𝒇)"/>
      <sheetName val="Ремонты (%Rep)"/>
      <sheetName val="Все_по㐀ᕞഀ䞃԰"/>
      <sheetName val="Все_по0"/>
      <sheetName val="Project Detail Inputs"/>
      <sheetName val="I KEY INFORMATION"/>
      <sheetName val="VI REVENUE OOD"/>
      <sheetName val="IIb P&amp;L short"/>
      <sheetName val="IV REVENUE ROOMS"/>
      <sheetName val="IV REVENUE  F&amp;B"/>
      <sheetName val="IFRS_FS"/>
      <sheetName val="Список_документов"/>
      <sheetName val="с_01_08_по_17_10_=_1569_вагонов"/>
      <sheetName val="Лист_1"/>
      <sheetName val="Strat_1H_2008"/>
      <sheetName val="PP_E mvt for 2003"/>
      <sheetName val="[ДБСП_02_ 2002.xls]___Syzdyk_35"/>
      <sheetName val="[ДБСП_02_ 2002.xls]___Syzdyk_37"/>
      <sheetName val="[ДБСП_02_ 2002.xls]___Syzdyk_36"/>
      <sheetName val="[ДБСП_02_ 2002.xls]___Syzdyk_43"/>
      <sheetName val="[ДБСП_02_ 2002.xls]___Syzdyk_38"/>
      <sheetName val="[ДБСП_02_ 2002.xls]___Syzdyk_39"/>
      <sheetName val="[ДБСП_02_ 2002.xls]___Syzdyk_40"/>
      <sheetName val="[ДБСП_02_ 2002.xls]___Syzdyk_41"/>
      <sheetName val="[ДБСП_02_ 2002.xls]___Syzdyk_42"/>
      <sheetName val="Осн.показ"/>
      <sheetName val="Input 2"/>
      <sheetName val="[ДБСП_02_ 2002.xls]___Syzdyk_54"/>
      <sheetName val="[ДБСП_02_ 2002.xls]___Syzdyk_44"/>
      <sheetName val="[ДБСП_02_ 2002.xls]___Syzdyk_45"/>
      <sheetName val="[ДБСП_02_ 2002.xls]___Syzdyk_46"/>
      <sheetName val="[ДБСП_02_ 2002.xls]___Syzdyk_49"/>
      <sheetName val="[ДБСП_02_ 2002.xls]___Syzdyk_47"/>
      <sheetName val="[ДБСП_02_ 2002.xls]___Syzdyk_48"/>
      <sheetName val="[ДБСП_02_ 2002.xls]___Syzdyk_50"/>
      <sheetName val="[ДБСП_02_ 2002.xls]___Syzdyk_53"/>
      <sheetName val="[ДБСП_02_ 2002.xls]___Syzdyk_52"/>
      <sheetName val="[ДБСП_02_ 2002.xls]___Syzdyk_51"/>
      <sheetName val="1NK"/>
      <sheetName val="Налоги"/>
      <sheetName val="[ДБСП_02_ 2002.xls]___Syzdyk_59"/>
      <sheetName val="[ДБСП_02_ 2002.xls]___Syzdyk_55"/>
      <sheetName val="[ДБСП_02_ 2002.xls]___Syzdyk_56"/>
      <sheetName val="[ДБСП_02_ 2002.xls]___Syzdyk_57"/>
      <sheetName val="[ДБСП_02_ 2002.xls]___Syzdyk_58"/>
      <sheetName val="[ДБСП_02_ 2002.xls]___Syzdyk_65"/>
      <sheetName val="[ДБСП_02_ 2002.xls]___Syzdyk_60"/>
      <sheetName val="[ДБСП_02_ 2002.xls]___Syzdyk_61"/>
      <sheetName val="[ДБСП_02_ 2002.xls]___Syzdyk_62"/>
      <sheetName val="[ДБСП_02_ 2002.xls]___Syzdyk_63"/>
      <sheetName val="[ДБСП_02_ 2002.xls]___Syzdyk_64"/>
      <sheetName val="[ДБСП_02_ 2002.xls]___Syzdyk_67"/>
      <sheetName val="[ДБСП_02_ 2002.xls]___Syzdyk_66"/>
      <sheetName val="[ДБСП_02_ 2002.xls]___Syzdyk_69"/>
      <sheetName val="[ДБСП_02_ 2002.xls]___Syzdyk_68"/>
      <sheetName val="данн"/>
      <sheetName val="H"/>
      <sheetName val="2@"/>
      <sheetName val="CO1"/>
      <sheetName val="CO11"/>
      <sheetName val="CO12"/>
      <sheetName val="CO13"/>
      <sheetName val="CO16"/>
      <sheetName val="CO17"/>
      <sheetName val="CO18"/>
      <sheetName val="CO19"/>
      <sheetName val="CO2"/>
      <sheetName val="CO20"/>
      <sheetName val="CO21"/>
      <sheetName val="CO22"/>
      <sheetName val="CO26"/>
      <sheetName val="CO27"/>
      <sheetName val="CO3"/>
      <sheetName val="CO30"/>
      <sheetName val="CO4"/>
      <sheetName val="CO5"/>
      <sheetName val="CO6"/>
      <sheetName val="CO7"/>
      <sheetName val="[ДБСП_02_ 2002.xls]___Syzdyk_74"/>
      <sheetName val="[ДБСП_02_ 2002.xls]___Syzdyk_70"/>
      <sheetName val="[ДБСП_02_ 2002.xls]___Syzdyk_71"/>
      <sheetName val="[ДБСП_02_ 2002.xls]___Syzdyk_72"/>
      <sheetName val="[ДБСП_02_ 2002.xls]___Syzdyk_73"/>
      <sheetName val="[ДБСП_02_ 2002.xls]___Syzdyk_76"/>
      <sheetName val="[ДБСП_02_ 2002.xls]___Syzdyk_75"/>
      <sheetName val="[ДБСП_02_ 2002.xls]___Syzdyk_77"/>
      <sheetName val="[ДБСП_02_ 2002.xls]___Syzdyk_79"/>
      <sheetName val="[ДБСП_02_ 2002.xls]___Syzdyk_78"/>
      <sheetName val="[ДБСП_02_ 2002.xls]___Syzdyk_81"/>
      <sheetName val="[ДБСП_02_ 2002.xls]___Syzdyk_80"/>
      <sheetName val="[ДБСП_02_ 2002.xls]___Syzdyk_83"/>
      <sheetName val="[ДБСП_02_ 2002.xls]___Syzdyk_82"/>
      <sheetName val="Схема доплат"/>
      <sheetName val="Повышающие коэф ОМГ"/>
      <sheetName val="TARIF2"/>
      <sheetName val="17-21 апреля"/>
      <sheetName val="L202 - КПСБ"/>
      <sheetName val="Все_поက_x0000_퀀ѫ爃䅄/"/>
      <sheetName val="показатели"/>
      <sheetName val="Лист4"/>
      <sheetName val="Лист1 (2)"/>
      <sheetName val="[ДБСП_02_ 2002.xls]___Syzdyk_84"/>
      <sheetName val="[ДБСП_02_ 2002.xls]___Syzdyk_88"/>
      <sheetName val="[ДБСП_02_ 2002.xls]___Syzdyk_87"/>
      <sheetName val="[ДБСП_02_ 2002.xls]___Syzdyk_85"/>
      <sheetName val="[ДБСП_02_ 2002.xls]___Syzdyk_86"/>
      <sheetName val="[ДБСП_02_ 2002.xls]___Syzdyk_89"/>
      <sheetName val="[ДБСП_02_ 2002.xls]___Syzdyk_90"/>
      <sheetName val="[ДБСП_02_ 2002.xls]___Syzdyk_91"/>
      <sheetName val="Все_по예썘/"/>
      <sheetName val="материалы"/>
      <sheetName val="КОНФИГУРАЦИЯ"/>
      <sheetName val="[ДБСП_02_ 2002.xls]___Syzdyk_93"/>
      <sheetName val="[ДБСП_02_ 2002.xls]___Syzdyk_92"/>
      <sheetName val="[ДБСП_02_ 2002.xls]___Syzdyk_95"/>
      <sheetName val="[ДБСП_02_ 2002.xls]___Syzdyk_94"/>
      <sheetName val="[ДБСП_02_ 2002.xls]___Syzdyk_98"/>
      <sheetName val="[ДБСП_02_ 2002.xls]___Syzdyk_96"/>
      <sheetName val="[ДБСП_02_ 2002.xls]___Syzdyk_97"/>
      <sheetName val="[ДБСП_02_ 2002.xls]___Syzdy_104"/>
      <sheetName val="[ДБСП_02_ 2002.xls]___Syzdyk_99"/>
      <sheetName val="[ДБСП_02_ 2002.xls]___Syzdy_100"/>
      <sheetName val="[ДБСП_02_ 2002.xls]___Syzdy_101"/>
      <sheetName val="[ДБСП_02_ 2002.xls]___Syzdy_102"/>
      <sheetName val="[ДБСП_02_ 2002.xls]___Syzdy_103"/>
      <sheetName val="___Syzdykbaeva__________Docum_2"/>
      <sheetName val="___Syzdykbaeva__________Docum_3"/>
      <sheetName val="лим_пр _затр"/>
      <sheetName val="пр-во"/>
      <sheetName val="22"/>
      <sheetName val="Brand valuation"/>
      <sheetName val="Anlagevermögen"/>
      <sheetName val="[ДБСП_02_ 2002.xls]___Syzdy_204"/>
      <sheetName val="[ДБСП_02_ 2002.xls]___Syzdy_106"/>
      <sheetName val="[ДБСП_02_ 2002.xls]___Syzdy_105"/>
      <sheetName val="[ДБСП_02_ 2002.xls]___Syzdy_109"/>
      <sheetName val="[ДБСП_02_ 2002.xls]___Syzdy_107"/>
      <sheetName val="[ДБСП_02_ 2002.xls]___Syzdy_108"/>
      <sheetName val="[ДБСП_02_ 2002.xls]___Syzdy_113"/>
      <sheetName val="[ДБСП_02_ 2002.xls]___Syzdy_110"/>
      <sheetName val="[ДБСП_02_ 2002.xls]___Syzdy_111"/>
      <sheetName val="[ДБСП_02_ 2002.xls]___Syzdy_112"/>
      <sheetName val="[ДБСП_02_ 2002.xls]___Syzdy_115"/>
      <sheetName val="[ДБСП_02_ 2002.xls]___Syzdy_114"/>
      <sheetName val="[ДБСП_02_ 2002.xls]___Syzdy_117"/>
      <sheetName val="[ДБСП_02_ 2002.xls]___Syzdy_116"/>
      <sheetName val="[ДБСП_02_ 2002.xls]___Syzdy_123"/>
      <sheetName val="[ДБСП_02_ 2002.xls]___Syzdy_119"/>
      <sheetName val="[ДБСП_02_ 2002.xls]___Syzdy_118"/>
      <sheetName val="[ДБСП_02_ 2002.xls]___Syzdy_120"/>
      <sheetName val="[ДБСП_02_ 2002.xls]___Syzdy_121"/>
      <sheetName val="[ДБСП_02_ 2002.xls]___Syzdy_122"/>
      <sheetName val="[ДБСП_02_ 2002.xls]___Syzdy_125"/>
      <sheetName val="[ДБСП_02_ 2002.xls]___Syzdy_124"/>
      <sheetName val="[ДБСП_02_ 2002.xls]___Syzdy_126"/>
      <sheetName val="[ДБСП_02_ 2002.xls]___Syzdy_127"/>
      <sheetName val="[ДБСП_02_ 2002.xls]___Syzdy_129"/>
      <sheetName val="[ДБСП_02_ 2002.xls]___Syzdy_128"/>
      <sheetName val="[ДБСП_02_ 2002.xls]___Syzdy_130"/>
      <sheetName val="[ДБСП_02_ 2002.xls]___Syzdy_131"/>
      <sheetName val="[ДБСП_02_ 2002.xls]___Syzdy_134"/>
      <sheetName val="[ДБСП_02_ 2002.xls]___Syzdy_133"/>
      <sheetName val="[ДБСП_02_ 2002.xls]___Syzdy_132"/>
      <sheetName val="[ДБСП_02_ 2002.xls]___Syzdy_139"/>
      <sheetName val="[ДБСП_02_ 2002.xls]___Syzdy_135"/>
      <sheetName val="[ДБСП_02_ 2002.xls]___Syzdy_136"/>
      <sheetName val="[ДБСП_02_ 2002.xls]___Syzdy_137"/>
      <sheetName val="[ДБСП_02_ 2002.xls]___Syzdy_138"/>
      <sheetName val="[ДБСП_02_ 2002.xls]___Syzdy_168"/>
      <sheetName val="[ДБСП_02_ 2002.xls]___Syzdy_140"/>
      <sheetName val="[ДБСП_02_ 2002.xls]___Syzdy_145"/>
      <sheetName val="[ДБСП_02_ 2002.xls]___Syzdy_141"/>
      <sheetName val="[ДБСП_02_ 2002.xls]___Syzdy_142"/>
      <sheetName val="[ДБСП_02_ 2002.xls]___Syzdy_143"/>
      <sheetName val="[ДБСП_02_ 2002.xls]___Syzdy_144"/>
      <sheetName val="[ДБСП_02_ 2002.xls]___Syzdy_151"/>
      <sheetName val="[ДБСП_02_ 2002.xls]___Syzdy_150"/>
      <sheetName val="[ДБСП_02_ 2002.xls]___Syzdy_146"/>
      <sheetName val="[ДБСП_02_ 2002.xls]___Syzdy_147"/>
      <sheetName val="[ДБСП_02_ 2002.xls]___Syzdy_148"/>
      <sheetName val="[ДБСП_02_ 2002.xls]___Syzdy_149"/>
      <sheetName val="[ДБСП_02_ 2002.xls]___Syzdy_152"/>
      <sheetName val="[ДБСП_02_ 2002.xls]___Syzdy_154"/>
      <sheetName val="[ДБСП_02_ 2002.xls]___Syzdy_153"/>
      <sheetName val="[ДБСП_02_ 2002.xls]___Syzdy_157"/>
      <sheetName val="[ДБСП_02_ 2002.xls]___Syzdy_155"/>
      <sheetName val="[ДБСП_02_ 2002.xls]___Syzdy_156"/>
      <sheetName val="[ДБСП_02_ 2002.xls]___Syzdy_158"/>
      <sheetName val="[ДБСП_02_ 2002.xls]___Syzdy_159"/>
      <sheetName val="[ДБСП_02_ 2002.xls]___Syzdy_160"/>
      <sheetName val="[ДБСП_02_ 2002.xls]___Syzdy_161"/>
      <sheetName val="[ДБСП_02_ 2002.xls]___Syzdy_163"/>
      <sheetName val="[ДБСП_02_ 2002.xls]___Syzdy_162"/>
      <sheetName val="[ДБСП_02_ 2002.xls]___Syzdy_164"/>
      <sheetName val="[ДБСП_02_ 2002.xls]___Syzdy_165"/>
      <sheetName val="[ДБСП_02_ 2002.xls]___Syzdy_166"/>
      <sheetName val="[ДБСП_02_ 2002.xls]___Syzdy_167"/>
      <sheetName val="[ДБСП_02_ 2002.xls]___Syzdy_169"/>
      <sheetName val="[ДБСП_02_ 2002.xls]___Syzdy_172"/>
      <sheetName val="[ДБСП_02_ 2002.xls]___Syzdy_170"/>
      <sheetName val="[ДБСП_02_ 2002.xls]___Syzdy_171"/>
      <sheetName val="[ДБСП_02_ 2002.xls]___Syzdy_173"/>
      <sheetName val="[ДБСП_02_ 2002.xls]___Syzdy_175"/>
      <sheetName val="[ДБСП_02_ 2002.xls]___Syzdy_174"/>
      <sheetName val="[ДБСП_02_ 2002.xls]___Syzdy_176"/>
      <sheetName val="[ДБСП_02_ 2002.xls]___Syzdy_177"/>
      <sheetName val="[ДБСП_02_ 2002.xls]___Syzdy_179"/>
      <sheetName val="[ДБСП_02_ 2002.xls]___Syzdy_178"/>
      <sheetName val="[ДБСП_02_ 2002.xls]___Syzdy_180"/>
      <sheetName val="[ДБСП_02_ 2002.xls]___Syzdy_191"/>
      <sheetName val="[ДБСП_02_ 2002.xls]___Syzdy_187"/>
      <sheetName val="[ДБСП_02_ 2002.xls]___Syzdy_181"/>
      <sheetName val="[ДБСП_02_ 2002.xls]___Syzdy_182"/>
      <sheetName val="[ДБСП_02_ 2002.xls]___Syzdy_183"/>
      <sheetName val="[ДБСП_02_ 2002.xls]___Syzdy_184"/>
      <sheetName val="[ДБСП_02_ 2002.xls]___Syzdy_185"/>
      <sheetName val="[ДБСП_02_ 2002.xls]___Syzdy_186"/>
      <sheetName val="[ДБСП_02_ 2002.xls]___Syzdy_188"/>
      <sheetName val="[ДБСП_02_ 2002.xls]___Syzdy_189"/>
      <sheetName val="[ДБСП_02_ 2002.xls]___Syzdy_190"/>
      <sheetName val="[ДБСП_02_ 2002.xls]___Syzdy_192"/>
      <sheetName val="[ДБСП_02_ 2002.xls]___Syzdy_193"/>
      <sheetName val="[ДБСП_02_ 2002.xls]___Syzdy_194"/>
      <sheetName val="[ДБСП_02_ 2002.xls]___Syzdy_195"/>
      <sheetName val="[ДБСП_02_ 2002.xls]___Syzdy_196"/>
      <sheetName val="[ДБСП_02_ 2002.xls]___Syzdy_197"/>
      <sheetName val="[ДБСП_02_ 2002.xls]___Syzdy_198"/>
      <sheetName val="[ДБСП_02_ 2002.xls]___Syzdy_199"/>
      <sheetName val="[ДБСП_02_ 2002.xls]___Syzdy_200"/>
      <sheetName val="[ДБСП_02_ 2002.xls]___Syzdy_201"/>
      <sheetName val="[ДБСП_02_ 2002.xls]___Syzdy_202"/>
      <sheetName val="[ДБСП_02_ 2002.xls]___Syzdy_203"/>
      <sheetName val="[ДБСП_02_ 2002.xls]___Syzdy_205"/>
      <sheetName val="[ДБСП_02_ 2002.xls]___Syzdy_206"/>
      <sheetName val="[ДБСП_02_ 2002.xls]___Syzdy_207"/>
      <sheetName val="[ДБСП_02_ 2002.xls]___Syzdy_208"/>
      <sheetName val="[ДБСП_02_ 2002.xls]___Syzdy_214"/>
      <sheetName val="[ДБСП_02_ 2002.xls]___Syzdy_209"/>
      <sheetName val="[ДБСП_02_ 2002.xls]___Syzdy_210"/>
      <sheetName val="[ДБСП_02_ 2002.xls]___Syzdy_211"/>
      <sheetName val="[ДБСП_02_ 2002.xls]___Syzdy_212"/>
      <sheetName val="[ДБСП_02_ 2002.xls]___Syzdy_213"/>
      <sheetName val="[ДБСП_02_ 2002.xls]___Syzdy_246"/>
      <sheetName val="[ДБСП_02_ 2002.xls]___Syzdy_241"/>
      <sheetName val="[ДБСП_02_ 2002.xls]___Syzdy_233"/>
      <sheetName val="[ДБСП_02_ 2002.xls]___Syzdy_215"/>
      <sheetName val="[ДБСП_02_ 2002.xls]___Syzdy_217"/>
      <sheetName val="[ДБСП_02_ 2002.xls]___Syzdy_216"/>
      <sheetName val="[ДБСП_02_ 2002.xls]___Syzdy_228"/>
      <sheetName val="[ДБСП_02_ 2002.xls]___Syzdy_218"/>
      <sheetName val="[ДБСП_02_ 2002.xls]___Syzdy_219"/>
      <sheetName val="[ДБСП_02_ 2002.xls]___Syzdy_220"/>
      <sheetName val="[ДБСП_02_ 2002.xls]___Syzdy_221"/>
      <sheetName val="[ДБСП_02_ 2002.xls]___Syzdy_222"/>
      <sheetName val="[ДБСП_02_ 2002.xls]___Syzdy_224"/>
      <sheetName val="[ДБСП_02_ 2002.xls]___Syzdy_223"/>
      <sheetName val="[ДБСП_02_ 2002.xls]___Syzdy_227"/>
      <sheetName val="[ДБСП_02_ 2002.xls]___Syzdy_226"/>
      <sheetName val="[ДБСП_02_ 2002.xls]___Syzdy_225"/>
      <sheetName val="[ДБСП_02_ 2002.xls]___Syzdy_230"/>
      <sheetName val="[ДБСП_02_ 2002.xls]___Syzdy_229"/>
      <sheetName val="[ДБСП_02_ 2002.xls]___Syzdy_231"/>
      <sheetName val="[ДБСП_02_ 2002.xls]___Syzdy_232"/>
      <sheetName val="[ДБСП_02_ 2002.xls]___Syzdy_235"/>
      <sheetName val="[ДБСП_02_ 2002.xls]___Syzdy_234"/>
      <sheetName val="[ДБСП_02_ 2002.xls]___Syzdy_236"/>
      <sheetName val="[ДБСП_02_ 2002.xls]___Syzdy_239"/>
      <sheetName val="[ДБСП_02_ 2002.xls]___Syzdy_237"/>
      <sheetName val="[ДБСП_02_ 2002.xls]___Syzdy_238"/>
      <sheetName val="[ДБСП_02_ 2002.xls]___Syzdy_240"/>
      <sheetName val="[ДБСП_02_ 2002.xls]___Syzdy_242"/>
      <sheetName val="[ДБСП_02_ 2002.xls]___Syzdy_243"/>
      <sheetName val="[ДБСП_02_ 2002.xls]___Syzdy_244"/>
      <sheetName val="[ДБСП_02_ 2002.xls]___Syzdy_245"/>
      <sheetName val="[ДБСП_02_ 2002.xls]___Syzdy_247"/>
      <sheetName val="[ДБСП_02_ 2002.xls]___Syzdy_249"/>
      <sheetName val="[ДБСП_02_ 2002.xls]___Syzdy_248"/>
      <sheetName val="[ДБСП_02_ 2002.xls]___Syzdy_250"/>
      <sheetName val="[ДБСП_02_ 2002.xls]___Syzdy_251"/>
      <sheetName val="Справочник Инкотермс"/>
      <sheetName val="Основание из одного источника"/>
      <sheetName val="Приоритет закупок"/>
      <sheetName val="Способы закупок"/>
      <sheetName val="Тип дней"/>
    </sheetNames>
    <sheetDataSet>
      <sheetData sheetId="0"/>
      <sheetData sheetId="1"/>
      <sheetData sheetId="2"/>
      <sheetData sheetId="3"/>
      <sheetData sheetId="4" refreshError="1">
        <row r="11">
          <cell r="F11">
            <v>193.8</v>
          </cell>
          <cell r="G11">
            <v>175.79499999999999</v>
          </cell>
          <cell r="H11">
            <v>201.48500000000001</v>
          </cell>
          <cell r="I11">
            <v>195.45</v>
          </cell>
          <cell r="J11">
            <v>199.42</v>
          </cell>
          <cell r="K11">
            <v>206.91</v>
          </cell>
          <cell r="L11">
            <v>208.9</v>
          </cell>
          <cell r="M11">
            <v>207.56800000000001</v>
          </cell>
          <cell r="N11">
            <v>202.71</v>
          </cell>
          <cell r="O11">
            <v>208</v>
          </cell>
          <cell r="P11">
            <v>199</v>
          </cell>
          <cell r="Q11">
            <v>201.262</v>
          </cell>
        </row>
        <row r="12">
          <cell r="F12">
            <v>335.23</v>
          </cell>
          <cell r="G12">
            <v>293</v>
          </cell>
          <cell r="H12">
            <v>327.25</v>
          </cell>
          <cell r="I12">
            <v>340.12</v>
          </cell>
          <cell r="J12">
            <v>360.1</v>
          </cell>
          <cell r="K12">
            <v>356.02</v>
          </cell>
          <cell r="L12">
            <v>370.1</v>
          </cell>
          <cell r="M12">
            <v>372.6</v>
          </cell>
          <cell r="N12">
            <v>351.5</v>
          </cell>
          <cell r="O12">
            <v>364.4</v>
          </cell>
          <cell r="P12">
            <v>344.65</v>
          </cell>
          <cell r="Q12">
            <v>354.8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/>
      <sheetData sheetId="197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/>
      <sheetData sheetId="489"/>
      <sheetData sheetId="490"/>
      <sheetData sheetId="491"/>
      <sheetData sheetId="492"/>
      <sheetData sheetId="493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/>
      <sheetData sheetId="523"/>
      <sheetData sheetId="524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/>
      <sheetData sheetId="589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/>
      <sheetData sheetId="677"/>
      <sheetData sheetId="678"/>
      <sheetData sheetId="679" refreshError="1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 refreshError="1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/>
      <sheetData sheetId="749"/>
      <sheetData sheetId="750"/>
      <sheetData sheetId="751"/>
      <sheetData sheetId="752"/>
      <sheetData sheetId="753" refreshError="1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 refreshError="1"/>
      <sheetData sheetId="764" refreshError="1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 refreshError="1"/>
      <sheetData sheetId="777" refreshError="1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 refreshError="1"/>
      <sheetData sheetId="848" refreshError="1"/>
      <sheetData sheetId="849" refreshError="1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 refreshError="1"/>
      <sheetData sheetId="1018" refreshError="1"/>
      <sheetData sheetId="1019" refreshError="1"/>
      <sheetData sheetId="1020" refreshError="1"/>
      <sheetData sheetId="102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мятка"/>
      <sheetName val="Форма1"/>
      <sheetName val="Форма2"/>
      <sheetName val="Форма3"/>
      <sheetName val="Форма4"/>
      <sheetName val="Форма5"/>
      <sheetName val="Форма6"/>
      <sheetName val="Форма7"/>
      <sheetName val="Форма8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мятка"/>
      <sheetName val="Форма1"/>
      <sheetName val="Форма2"/>
      <sheetName val="Форма3"/>
      <sheetName val="Форма4"/>
      <sheetName val="Форма5"/>
      <sheetName val="Форма6"/>
      <sheetName val="Форма7"/>
      <sheetName val="Форма8"/>
      <sheetName val="sheet1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итфин"/>
      <sheetName val="Пр.М"/>
      <sheetName val="Ф7"/>
      <sheetName val="Баланс"/>
      <sheetName val="Ф10"/>
      <sheetName val="Пр1"/>
      <sheetName val="Пр2"/>
      <sheetName val="Пр2.2"/>
      <sheetName val="Пр3"/>
      <sheetName val="Ф11"/>
      <sheetName val="Пр4 (2)"/>
      <sheetName val="Лист1"/>
      <sheetName val="#ССЫЛКА"/>
      <sheetName val="Форма2"/>
      <sheetName val="Форма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раметры"/>
      <sheetName val="Титул1"/>
      <sheetName val="ОснПок2"/>
      <sheetName val="Производство3"/>
      <sheetName val="Добыча нефти4"/>
      <sheetName val="ПроизвПрогр5"/>
      <sheetName val="АнТрнНефт5_1"/>
      <sheetName val="АнУМГ6"/>
      <sheetName val="АнЭмба7"/>
      <sheetName val="АнАНПЗ"/>
      <sheetName val="АНПЗ7_1"/>
      <sheetName val="АНПЗ7_2"/>
      <sheetName val="Продактс"/>
      <sheetName val="Продактс капвл"/>
      <sheetName val="КапВл8"/>
      <sheetName val="КапСтроит9"/>
      <sheetName val="СтрСоцНазн10"/>
      <sheetName val="Маркетинг12"/>
      <sheetName val="поставка сравн13"/>
      <sheetName val="цены14"/>
      <sheetName val="ЦеныНефтепрод15"/>
      <sheetName val="цены16"/>
      <sheetName val="Доход17"/>
      <sheetName val="Чдоход18"/>
      <sheetName val="Капвл.всего"/>
      <sheetName val="ПлатВбюджет19"/>
      <sheetName val="ДебКр20"/>
      <sheetName val="ДвДенСредств21"/>
      <sheetName val="Инв Прог22"/>
      <sheetName val="Все пок23_24"/>
      <sheetName val="Добычанефти4"/>
      <sheetName val="поставкасравн13"/>
      <sheetName val="Форма2"/>
      <sheetName val="из сем"/>
      <sheetName val="Пр2"/>
      <sheetName val="Преискурант"/>
      <sheetName val="Добыча_нефти4"/>
      <sheetName val="Продактс_капвл"/>
      <sheetName val="поставка_сравн13"/>
      <sheetName val="Капвл_всего"/>
      <sheetName val="Инв_Прог22"/>
      <sheetName val="Все_пок23_24"/>
      <sheetName val="из_сем"/>
      <sheetName val="Добыча_нефти41"/>
      <sheetName val="Продактс_капвл1"/>
      <sheetName val="поставка_сравн131"/>
      <sheetName val="Капвл_всего1"/>
      <sheetName val="Инв_Прог221"/>
      <sheetName val="Все_пок23_241"/>
      <sheetName val="из_сем1"/>
      <sheetName val="группа"/>
      <sheetName val="PP&amp;E mvt for 2003"/>
      <sheetName val="аренда"/>
      <sheetName val="Справочник"/>
      <sheetName val="ДБСП_02_ 2002"/>
      <sheetName val="Лист1 (3)"/>
      <sheetName val="на 31.12.07 (4)"/>
      <sheetName val="CIP Dec 2006"/>
      <sheetName val="Лист1"/>
      <sheetName val="Баланс"/>
      <sheetName val="факт 2005 г."/>
      <sheetName val="7.1"/>
      <sheetName val="КлассификаторЗнач"/>
      <sheetName val="Изменяемые данные"/>
      <sheetName val="Форма1"/>
      <sheetName val="Assumptions"/>
      <sheetName val="эксп"/>
      <sheetName val="Financial ratios А3"/>
      <sheetName val="Лист3"/>
      <sheetName val="Расчет2000Прямой"/>
      <sheetName val="топливо"/>
      <sheetName val="Потребители"/>
      <sheetName val="Осн"/>
      <sheetName val="План закупок"/>
      <sheetName val="Командировочные расходы"/>
      <sheetName val="Ввод"/>
      <sheetName val="12 из 57 АЗС"/>
      <sheetName val="ОборБалФормОтч"/>
      <sheetName val="  2.3.2"/>
      <sheetName val="МО 0012"/>
      <sheetName val="0. Данные"/>
      <sheetName val="цены"/>
      <sheetName val="аренда цс"/>
      <sheetName val="пр 6 дох"/>
      <sheetName val="точн2"/>
      <sheetName val="KTG_m"/>
      <sheetName val="СПгнг"/>
      <sheetName val="MS"/>
      <sheetName val="name"/>
      <sheetName val="мат расходы"/>
      <sheetName val="Налоги на транспорт"/>
      <sheetName val="6 NK"/>
      <sheetName val="справка"/>
      <sheetName val="Sheet1"/>
      <sheetName val="ОХР"/>
      <sheetName val="#ССЫЛКА"/>
      <sheetName val="Январь"/>
      <sheetName val="UNITPRICES"/>
      <sheetName val="Info"/>
      <sheetName val="Счет-ф"/>
      <sheetName val="Sheet3"/>
      <sheetName val="Sheet4"/>
      <sheetName val="Свод"/>
      <sheetName val="Исход"/>
      <sheetName val="янв"/>
      <sheetName val="Сдача "/>
      <sheetName val="всп"/>
      <sheetName val="свод2010г по гр."/>
      <sheetName val="Статьи затрат"/>
      <sheetName val="Income $"/>
      <sheetName val="14.1.2.2.(Услуги связи)"/>
      <sheetName val="Ф3"/>
      <sheetName val="НДС"/>
      <sheetName val="balans 3"/>
      <sheetName val="З"/>
      <sheetName val="1.411.1"/>
      <sheetName val="ОТиТБ"/>
      <sheetName val="Ден потоки"/>
      <sheetName val="00"/>
      <sheetName val="Haul cons"/>
      <sheetName val="Распределение прибыли"/>
      <sheetName val="s"/>
      <sheetName val="2008 ГСМ"/>
      <sheetName val="канц"/>
      <sheetName val="Плата за загрязнение "/>
      <sheetName val="Типограф"/>
      <sheetName val="потр"/>
      <sheetName val="СН"/>
      <sheetName val="план07"/>
      <sheetName val="ДД"/>
      <sheetName val="3.ФОТ"/>
      <sheetName val="Бюдж-тенге"/>
      <sheetName val="2а (4)"/>
      <sheetName val="2в"/>
      <sheetName val="общ-нефт"/>
      <sheetName val="выданы таб № (от 25.01.12 ОК)"/>
      <sheetName val="F1002"/>
      <sheetName val="НДПИ"/>
      <sheetName val="персонала"/>
      <sheetName val="по 2007 году план на 2008 год"/>
      <sheetName val="Movements"/>
      <sheetName val="Страхование ГПО охр.2"/>
      <sheetName val="исп.см."/>
      <sheetName val="Comp06"/>
      <sheetName val="предприятия"/>
      <sheetName val="оборудование"/>
      <sheetName val="SUN TB"/>
      <sheetName val="ЦентрЗатр"/>
      <sheetName val="ЕдИзм"/>
      <sheetName val="Предпр"/>
      <sheetName val="СписокТЭП"/>
      <sheetName val="C-Total Market"/>
      <sheetName val="I-Demand Drivers"/>
      <sheetName val="ECM_PP"/>
      <sheetName val="XLR_NoRangeSheet"/>
      <sheetName val="ведомость"/>
      <sheetName val="расчет ГСМ НА 2013Г"/>
      <sheetName val="канат.прод."/>
      <sheetName val="NPV"/>
      <sheetName val="1БО"/>
      <sheetName val="EVA"/>
      <sheetName val="коэфф"/>
      <sheetName val="2БК"/>
      <sheetName val="3БО"/>
      <sheetName val="3БК"/>
      <sheetName val="5П"/>
      <sheetName val="4П"/>
      <sheetName val="WACC"/>
      <sheetName val="2.2 ОтклОТМ"/>
      <sheetName val="1.3.2 ОТМ"/>
      <sheetName val="Курсы"/>
      <sheetName val="д.7.001"/>
      <sheetName val="3БК Инвестиции"/>
      <sheetName val="26.04.2013 (2)"/>
      <sheetName val="Транспорт"/>
      <sheetName val="Depr"/>
      <sheetName val="Control"/>
      <sheetName val="VLOOKUP"/>
      <sheetName val="INPUTMASTER"/>
      <sheetName val="Добыча_нефти42"/>
      <sheetName val="Продактс_капвл2"/>
      <sheetName val="поставка_сравн132"/>
      <sheetName val="Капвл_всего2"/>
      <sheetName val="Инв_Прог222"/>
      <sheetName val="Все_пок23_242"/>
      <sheetName val="из_сем2"/>
      <sheetName val="PP&amp;E_mvt_for_2003"/>
      <sheetName val="ДБСП_02__2002"/>
      <sheetName val="Лист1_(3)"/>
      <sheetName val="на_31_12_07_(4)"/>
      <sheetName val="CIP_Dec_2006"/>
      <sheetName val="факт_2005_г_"/>
      <sheetName val="7_1"/>
      <sheetName val="Изменяемые_данные"/>
      <sheetName val="Financial_ratios_А3"/>
      <sheetName val="План_закупок"/>
      <sheetName val="Командировочные_расходы"/>
      <sheetName val="12_из_57_АЗС"/>
      <sheetName val="__2_3_2"/>
      <sheetName val="МО_0012"/>
      <sheetName val="0__Данные"/>
      <sheetName val="аренда_цс"/>
      <sheetName val="пр_6_дох"/>
      <sheetName val="мат_расходы"/>
      <sheetName val="Налоги_на_транспорт"/>
      <sheetName val="6_NK"/>
      <sheetName val="Сдача_"/>
      <sheetName val="свод2010г_по_гр_"/>
      <sheetName val="Статьи_затрат"/>
      <sheetName val="Income_$"/>
      <sheetName val="14_1_2_2_(Услуги_связи)"/>
      <sheetName val="balans_3"/>
      <sheetName val="1_411_1"/>
      <sheetName val="Ден_потоки"/>
      <sheetName val="Haul_cons"/>
      <sheetName val="Распределение_прибыли"/>
      <sheetName val="2008_ГСМ"/>
      <sheetName val="Плата_за_загрязнение_"/>
      <sheetName val="3_ФОТ"/>
      <sheetName val="2а_(4)"/>
      <sheetName val="выданы_таб_№_(от_25_01_12_ОК)"/>
      <sheetName val="по_2007_году_план_на_2008_год"/>
      <sheetName val="Страхование_ГПО_охр_2"/>
      <sheetName val="исп_см_"/>
      <sheetName val="SUN_TB"/>
      <sheetName val="C-Total_Market"/>
      <sheetName val="I-Demand_Drivers"/>
      <sheetName val="расчет_ГСМ_НА_2013Г"/>
      <sheetName val="канат_прод_"/>
      <sheetName val="2_2_ОтклОТМ"/>
      <sheetName val="1_3_2_ОТМ"/>
      <sheetName val="д_7_001"/>
      <sheetName val="3БК_Инвестиции"/>
      <sheetName val="26_04_2013_(2)"/>
      <sheetName val="Запрос"/>
      <sheetName val="month"/>
      <sheetName val="Лист2"/>
      <sheetName val="линии"/>
      <sheetName val="счетчики"/>
      <sheetName val="СВОД Логистика"/>
      <sheetName val="апрель"/>
      <sheetName val="май"/>
      <sheetName val="март"/>
      <sheetName val="фев"/>
      <sheetName val="класс"/>
      <sheetName val="Список"/>
      <sheetName val="Treatment Summary"/>
      <sheetName val="Добыча_нефти43"/>
      <sheetName val="Продактс_капвл3"/>
      <sheetName val="поставка_сравн133"/>
      <sheetName val="Капвл_всего3"/>
      <sheetName val="Инв_Прог223"/>
      <sheetName val="Все_пок23_243"/>
      <sheetName val="из_сем3"/>
      <sheetName val="PP&amp;E_mvt_for_20031"/>
      <sheetName val="ДБСП_02__20021"/>
      <sheetName val="факт_2005_г_1"/>
      <sheetName val="Лист1_(3)1"/>
      <sheetName val="на_31_12_07_(4)1"/>
      <sheetName val="CIP_Dec_20061"/>
      <sheetName val="7_11"/>
      <sheetName val="Изменяемые_данные1"/>
      <sheetName val="Financial_ratios_А31"/>
      <sheetName val="План_закупок1"/>
      <sheetName val="Командировочные_расходы1"/>
      <sheetName val="12_из_57_АЗС1"/>
      <sheetName val="__2_3_21"/>
      <sheetName val="МО_00121"/>
      <sheetName val="0__Данные1"/>
      <sheetName val="аренда_цс1"/>
      <sheetName val="пр_6_дох1"/>
      <sheetName val="мат_расходы1"/>
      <sheetName val="Налоги_на_транспорт1"/>
      <sheetName val="6_NK1"/>
      <sheetName val="Сдача_1"/>
      <sheetName val="свод2010г_по_гр_1"/>
      <sheetName val="Статьи_затрат1"/>
      <sheetName val="Income_$1"/>
      <sheetName val="14_1_2_2_(Услуги_связи)1"/>
      <sheetName val="balans_31"/>
      <sheetName val="1_411_11"/>
      <sheetName val="Ден_потоки1"/>
      <sheetName val="Haul_cons1"/>
      <sheetName val="Распределение_прибыли1"/>
      <sheetName val="2008_ГСМ1"/>
      <sheetName val="Плата_за_загрязнение_1"/>
      <sheetName val="3_ФОТ1"/>
      <sheetName val="2а_(4)1"/>
      <sheetName val="выданы_таб_№_(от_25_01_12_ОК)1"/>
      <sheetName val="по_2007_году_план_на_2008_год1"/>
      <sheetName val="Страхование_ГПО_охр_21"/>
      <sheetName val="исп_см_1"/>
      <sheetName val="SUN_TB1"/>
      <sheetName val="C-Total_Market1"/>
      <sheetName val="I-Demand_Drivers1"/>
      <sheetName val="расчет_ГСМ_НА_2013Г1"/>
      <sheetName val="канат_прод_1"/>
      <sheetName val="2_2_ОтклОТМ1"/>
      <sheetName val="1_3_2_ОТМ1"/>
      <sheetName val="д_7_0011"/>
      <sheetName val="3БК_Инвестиции1"/>
      <sheetName val="26_04_2013_(2)1"/>
      <sheetName val="СВОД_Логистика"/>
      <sheetName val="Treatment_Summary"/>
      <sheetName val="ремонт 25"/>
      <sheetName val="1610"/>
      <sheetName val="1210"/>
      <sheetName val="TB"/>
      <sheetName val="PR CN"/>
      <sheetName val="Пр3"/>
      <sheetName val="Зам.нгду-1(наг)"/>
      <sheetName val="Зам.нгду-1"/>
      <sheetName val="Зам.ОЭПУ(доб)"/>
      <sheetName val="Зам.нгду-2(наг)"/>
      <sheetName val="Зам.ОЭПУ(наг)"/>
      <sheetName val="сут рап снижПТО по мероп"/>
      <sheetName val="ГТМ"/>
      <sheetName val="Заявлени+сдач.обх.по 22.02.12"/>
      <sheetName val="для рекомендации на 09.02.12г"/>
      <sheetName val="рев на 09.06."/>
      <sheetName val="FES"/>
      <sheetName val="ремонт_25"/>
      <sheetName val="PR_CN"/>
      <sheetName val="_ 2_3_2"/>
      <sheetName val="опотиз"/>
      <sheetName val="H3.100 Rollforward"/>
      <sheetName val="PKF-2005"/>
      <sheetName val="GAAP TB 31.12.01  detail p&amp;l"/>
      <sheetName val="Sheet2"/>
      <sheetName val="РСза 6-м 2012"/>
      <sheetName val="июнь"/>
      <sheetName val="4.Налоги"/>
      <sheetName val="Логистика"/>
      <sheetName val="Кабельная продукция"/>
      <sheetName val="Ком плат"/>
      <sheetName val="Списки"/>
      <sheetName val="УО"/>
      <sheetName val="83"/>
      <sheetName val="SAD Schedule"/>
      <sheetName val="расчет прибыли"/>
      <sheetName val="амортиз_ввод"/>
      <sheetName val="ГПЗ_ПОСД_Способ закупок"/>
      <sheetName val="п11"/>
      <sheetName val="п25ЦТАИ"/>
      <sheetName val="п25"/>
      <sheetName val="п23"/>
      <sheetName val="п26"/>
      <sheetName val="п31"/>
      <sheetName val="п4"/>
      <sheetName val="п5"/>
      <sheetName val="п7"/>
      <sheetName val="п8"/>
      <sheetName val="Hidden"/>
      <sheetName val="ДС МЗК"/>
      <sheetName val="СВОД_Логистика1"/>
      <sheetName val="Treatment_Summary1"/>
      <sheetName val="ремонт_251"/>
      <sheetName val="PR_CN1"/>
      <sheetName val="Кабельная_продукция"/>
      <sheetName val="Ком_плат"/>
      <sheetName val="__2_3_22"/>
      <sheetName val="t0_name"/>
      <sheetName val=""/>
      <sheetName val="B 1"/>
      <sheetName val="C 25"/>
      <sheetName val="A 100"/>
      <sheetName val="B_1"/>
      <sheetName val="C_25"/>
      <sheetName val="A_100"/>
      <sheetName val="2БО"/>
      <sheetName val="Cashflow"/>
      <sheetName val="14_1_2_2__Услуги связи_"/>
      <sheetName val="14_1_2_2__Услуги_связи_"/>
      <sheetName val="5.3. Усл. связи"/>
      <sheetName val="Добыча_нефти44"/>
      <sheetName val="Продактс_капвл4"/>
      <sheetName val="поставка_сравн134"/>
      <sheetName val="Капвл_всего4"/>
      <sheetName val="Инв_Прог224"/>
      <sheetName val="Все_пок23_244"/>
      <sheetName val="из_сем4"/>
      <sheetName val="PP&amp;E_mvt_for_20032"/>
      <sheetName val="факт_2005_г_2"/>
      <sheetName val="ДБСП_02__20022"/>
      <sheetName val="Лист1_(3)2"/>
      <sheetName val="на_31_12_07_(4)2"/>
      <sheetName val="CIP_Dec_20062"/>
      <sheetName val="7_12"/>
      <sheetName val="Изменяемые_данные2"/>
      <sheetName val="Financial_ratios_А32"/>
      <sheetName val="План_закупок2"/>
      <sheetName val="Командировочные_расходы2"/>
      <sheetName val="12_из_57_АЗС2"/>
      <sheetName val="МО_00122"/>
      <sheetName val="0__Данные2"/>
      <sheetName val="аренда_цс2"/>
      <sheetName val="пр_6_дох2"/>
      <sheetName val="мат_расходы2"/>
      <sheetName val="Налоги_на_транспорт2"/>
      <sheetName val="6_NK2"/>
      <sheetName val="Сдача_2"/>
      <sheetName val="свод2010г_по_гр_2"/>
      <sheetName val="Статьи_затрат2"/>
      <sheetName val="Income_$2"/>
      <sheetName val="14_1_2_2_(Услуги_связи)2"/>
      <sheetName val="balans_32"/>
      <sheetName val="1_411_12"/>
      <sheetName val="Ден_потоки2"/>
      <sheetName val="Haul_cons2"/>
      <sheetName val="Распределение_прибыли2"/>
      <sheetName val="2008_ГСМ2"/>
      <sheetName val="Плата_за_загрязнение_2"/>
      <sheetName val="3_ФОТ2"/>
      <sheetName val="2а_(4)2"/>
      <sheetName val="выданы_таб_№_(от_25_01_12_ОК)2"/>
      <sheetName val="по_2007_году_план_на_2008_год2"/>
      <sheetName val="Страхование_ГПО_охр_22"/>
      <sheetName val="исп_см_2"/>
      <sheetName val="SUN_TB2"/>
      <sheetName val="C-Total_Market2"/>
      <sheetName val="I-Demand_Drivers2"/>
      <sheetName val="расчет_ГСМ_НА_2013Г2"/>
      <sheetName val="канат_прод_2"/>
      <sheetName val="2_2_ОтклОТМ2"/>
      <sheetName val="1_3_2_ОТМ2"/>
      <sheetName val="д_7_0012"/>
      <sheetName val="3БК_Инвестиции2"/>
      <sheetName val="26_04_2013_(2)2"/>
      <sheetName val="стр.145 рос. исп"/>
      <sheetName val="Отд.расх"/>
      <sheetName val="1 вариант  2009 "/>
      <sheetName val="База"/>
      <sheetName val="XREF"/>
      <sheetName val="Текущие цены"/>
      <sheetName val="рабочий"/>
      <sheetName val="окраска"/>
      <sheetName val="ФС-75"/>
      <sheetName val="ФСМн "/>
      <sheetName val="ФХ "/>
      <sheetName val="ФХС-40 "/>
      <sheetName val="ФХС-48 "/>
      <sheetName val="summary"/>
      <sheetName val="Инвест"/>
      <sheetName val="муз колледж"/>
      <sheetName val="__2_3_23"/>
      <sheetName val="7НК"/>
      <sheetName val="ремонт_252"/>
      <sheetName val="PR_CN2"/>
      <sheetName val="Treatment_Summary2"/>
      <sheetName val="СВОД_Логистика2"/>
      <sheetName val="Ком_плат1"/>
      <sheetName val="__2_3_24"/>
      <sheetName val="H3_100_Rollforward"/>
      <sheetName val="GAAP_TB_31_12_01__detail_p&amp;l"/>
      <sheetName val="РСза_6-м_2012"/>
      <sheetName val="Кабельная_продукция1"/>
      <sheetName val="4_Налоги"/>
      <sheetName val="стр_145_рос__исп"/>
      <sheetName val="SAD_Schedule"/>
      <sheetName val="расчет_прибыли"/>
      <sheetName val="ГПЗ_ПОСД_Способ_закупок"/>
      <sheetName val="ДС_МЗК"/>
      <sheetName val="Отд_расх"/>
      <sheetName val="Б.мчас (П)"/>
      <sheetName val="list"/>
      <sheetName val="Input TI"/>
      <sheetName val="Макро"/>
      <sheetName val="ЦЕХА"/>
      <sheetName val="общ скв"/>
      <sheetName val="Книга1"/>
      <sheetName val="5NK "/>
      <sheetName val="Main Page"/>
      <sheetName val="L-1"/>
      <sheetName val="Индексы"/>
      <sheetName val="сводУМЗ"/>
      <sheetName val=" По скв"/>
      <sheetName val="1кв. "/>
      <sheetName val="2кв."/>
      <sheetName val="План произв-ва (мес.) (бюджет)"/>
      <sheetName val="Загрузка "/>
      <sheetName val="10 БО (kzt)"/>
      <sheetName val="общ.фонд  "/>
      <sheetName val="Бюджет"/>
      <sheetName val="3НК"/>
      <sheetName val="вознаграждение"/>
      <sheetName val="IFRS FS"/>
      <sheetName val="Общие"/>
      <sheetName val="Технический"/>
      <sheetName val="титфин"/>
      <sheetName val="Пр.М"/>
      <sheetName val="Ф7"/>
      <sheetName val="Ф10"/>
      <sheetName val="Пр1"/>
      <sheetName val="Пр2.2"/>
      <sheetName val="Ф11"/>
      <sheetName val="Пр4 (2)"/>
      <sheetName val="Все_по䀀歎쬂⾕⠠倀"/>
      <sheetName val="Все_по䐀⩛ഀ䎃԰"/>
      <sheetName val="Все_по⠠렀ኣ㠾ኡ耾"/>
      <sheetName val="Источник финансирования"/>
      <sheetName val="Месяцы"/>
      <sheetName val="ЭКРБ"/>
      <sheetName val="Способ закупки"/>
      <sheetName val="ГБ"/>
      <sheetName val="Допущения"/>
      <sheetName val="34-143"/>
      <sheetName val="7  (3)"/>
      <sheetName val="Кнфиг сетка"/>
      <sheetName val="9-1"/>
      <sheetName val="4"/>
      <sheetName val="1-1"/>
      <sheetName val="1"/>
      <sheetName val="Список документов"/>
      <sheetName val="с 01.08 по 17.10 = 1569 вагонов"/>
      <sheetName val="Лист 1"/>
      <sheetName val="Data"/>
      <sheetName val="Все_по/"/>
      <sheetName val="Все_по吀ᥢഀ榃԰"/>
      <sheetName val="Все_по䐀⩛ഀ䎃԰_x0000_缀"/>
      <sheetName val="Все_по/_x0000_耀S_x0000__x0000_缀"/>
      <sheetName val="Все_по吀ᥢഀ榃԰_x0000_缀"/>
      <sheetName val="расчет"/>
      <sheetName val="Текущие_цены"/>
      <sheetName val="ФСМн_"/>
      <sheetName val="ФХ_"/>
      <sheetName val="ФХС-40_"/>
      <sheetName val="ФХС-48_"/>
      <sheetName val="1_вариант__2009_"/>
      <sheetName val="Б_мчас_(П)"/>
      <sheetName val="I__Прогноз_доходов"/>
      <sheetName val=" 4"/>
      <sheetName val="Справка ИЦА"/>
      <sheetName val="Справка 2"/>
      <sheetName val="на 10.02.06"/>
      <sheetName val="_ССЫЛКА"/>
      <sheetName val="Пок"/>
      <sheetName val="Справка "/>
      <sheetName val="ЖГРЭС за 09.02.06"/>
      <sheetName val="КАТО"/>
      <sheetName val="Loans out"/>
      <sheetName val="ОПГЗ"/>
      <sheetName val="План ГЗ"/>
      <sheetName val="Все_по쬂᎕鐁ᘲ䠺"/>
      <sheetName val="july_03_pg8"/>
      <sheetName val="Все_поԯ"/>
      <sheetName val="Проект"/>
      <sheetName val="Пр4"/>
      <sheetName val="Расчеты ОСД"/>
      <sheetName val="[ДБСП_02_ 2002.xls]___Syzdykb_2"/>
      <sheetName val="[ДБСП_02_ 2002.xls]___Syzdyk_10"/>
      <sheetName val="[ДБСП_02_ 2002.xls]___Syzdykb_9"/>
      <sheetName val="[ДБСП_02_ 2002.xls]___Syzdykb_3"/>
      <sheetName val="[ДБСП_02_ 2002.xls]___Syzdykb_4"/>
      <sheetName val="[ДБСП_02_ 2002.xls]___Syzdykb_5"/>
      <sheetName val="[ДБСП_02_ 2002.xls]___Syzdykb_6"/>
      <sheetName val="[ДБСП_02_ 2002.xls]___Syzdykb_8"/>
      <sheetName val="[ДБСП_02_ 2002.xls]___Syzdykb_7"/>
      <sheetName val="4НК"/>
      <sheetName val="Все_поԯ_x0000_缀_x0000__x0000__x0000_턀"/>
      <sheetName val="[ДБСП_02_ 2002.xls]___Syzdyk_11"/>
      <sheetName val="[ДБСП_02_ 2002.xls]___Syzdyk_12"/>
      <sheetName val="[ДБСП_02_ 2002.xls]___Syzdyk_13"/>
      <sheetName val="[ДБСП_02_ 2002.xls]___Syzdyk_19"/>
      <sheetName val="[ДБСП_02_ 2002.xls]___Syzdyk_18"/>
      <sheetName val="[ДБСП_02_ 2002.xls]___Syzdyk_15"/>
      <sheetName val="[ДБСП_02_ 2002.xls]___Syzdyk_14"/>
      <sheetName val="[ДБСП_02_ 2002.xls]___Syzdyk_16"/>
      <sheetName val="[ДБСП_02_ 2002.xls]___Syzdyk_17"/>
      <sheetName val="[ДБСП_02_ 2002.xls]___Syzdyk_21"/>
      <sheetName val="[ДБСП_02_ 2002.xls]___Syzdyk_20"/>
      <sheetName val="[ДБСП_02_ 2002.xls]___Syzdyk_22"/>
      <sheetName val="[ДБСП_02_ 2002.xls]___Syzdyk_23"/>
      <sheetName val="[ДБСП_02_ 2002.xls]___Syzdyk_24"/>
      <sheetName val="Статьи"/>
      <sheetName val="[ДБСП_02_ 2002.xls]___Syzdyk_25"/>
      <sheetName val="[ДБСП_02_ 2002.xls]___Syzdyk_26"/>
      <sheetName val="[ДБСП_02_ 2002.xls]___Syzdyk_27"/>
      <sheetName val="[ДБСП_02_ 2002.xls]___Syzdyk_28"/>
      <sheetName val="[ДБСП_02_ 2002.xls]___Syzdyk_29"/>
      <sheetName val="[ДБСП_02_ 2002.xls]___Syzdyk_30"/>
      <sheetName val="[ДБСП_02_ 2002.xls]___Syzdyk_32"/>
      <sheetName val="[ДБСП_02_ 2002.xls]___Syzdyk_31"/>
      <sheetName val="ГСМ Гараж"/>
      <sheetName val="ГСМ по инвест"/>
      <sheetName val="аморт"/>
      <sheetName val="Запчасти Гараж"/>
      <sheetName val="Материалы РМУ"/>
      <sheetName val="Постановка на учет авто"/>
      <sheetName val="Размножение проектов"/>
      <sheetName val="материалы ВДГО"/>
      <sheetName val="Тех осмотр"/>
      <sheetName val="Проект 1"/>
      <sheetName val="Объем ВДГО"/>
      <sheetName val="Стор Орг.РМУ"/>
      <sheetName val="12НК"/>
      <sheetName val="I. Прогноз доходов"/>
      <sheetName val="ФБ-1"/>
      <sheetName val="АСТВ"/>
      <sheetName val="RSOILBAL"/>
      <sheetName val="Все_поԯ_x0000_缀_x0000__x0000__x0000_됀"/>
      <sheetName val="Т2"/>
      <sheetName val="Пром1"/>
      <sheetName val="MCC"/>
      <sheetName val="план"/>
      <sheetName val="Сводная по цехам"/>
      <sheetName val="НР"/>
      <sheetName val="ОАР"/>
      <sheetName val="РР"/>
      <sheetName val="Input 2"/>
      <sheetName val="[ДБСП_02_ 2002.xls]___Syzdyk_33"/>
      <sheetName val="[ДБСП_02_ 2002.xls]___Syzdyk_34"/>
      <sheetName val="[ДБСП_02_ 2002.xls]___Syzdyk_35"/>
      <sheetName val="[ДБСП_02_ 2002.xls]___Syzdyk_39"/>
      <sheetName val="[ДБСП_02_ 2002.xls]___Syzdyk_36"/>
      <sheetName val="[ДБСП_02_ 2002.xls]___Syzdyk_37"/>
      <sheetName val="[ДБСП_02_ 2002.xls]___Syzdyk_38"/>
      <sheetName val="[ДБСП_02_ 2002.xls]___Syzdyk_41"/>
      <sheetName val="[ДБСП_02_ 2002.xls]___Syzdyk_40"/>
      <sheetName val="[ДБСП_02_ 2002.xls]___Syzdyk_42"/>
      <sheetName val="[ДБСП_02_ 2002.xls]___Syzdyk_43"/>
      <sheetName val="[ДБСП_02_ 2002.xls]___Syzdyk_44"/>
      <sheetName val="[ДБСП_02_ 2002.xls]___Syzdyk_45"/>
      <sheetName val="[ДБСП_02_ 2002.xls]___Syzdyk_46"/>
      <sheetName val="[ДБСП_02_ 2002.xls]___Syzdyk_49"/>
      <sheetName val="[ДБСП_02_ 2002.xls]___Syzdyk_47"/>
      <sheetName val="[ДБСП_02_ 2002.xls]___Syzdyk_48"/>
      <sheetName val="[ДБСП_02_ 2002.xls]___Syzdyk_50"/>
      <sheetName val="[ДБСП_02_ 2002.xls]___Syzdyk_51"/>
      <sheetName val="[ДБСП_02_ 2002.xls]___Syzdyk_52"/>
      <sheetName val="[ДБСП_02_ 2002.xls]___Syzdyk_54"/>
      <sheetName val="[ДБСП_02_ 2002.xls]___Syzdyk_53"/>
      <sheetName val="[ДБСП_02_ 2002.xls]___Syzdyk_55"/>
      <sheetName val="[ДБСП_02_ 2002.xls]___Syzdyk_56"/>
      <sheetName val="[ДБСП_02_ 2002.xls]___Syzdyk_57"/>
      <sheetName val="[ДБСП_02_ 2002.xls]___Syzdyk_59"/>
      <sheetName val="[ДБСП_02_ 2002.xls]___Syzdyk_58"/>
      <sheetName val="[ДБСП_02_ 2002.xls]___Syzdyk_61"/>
      <sheetName val="[ДБСП_02_ 2002.xls]___Syzdyk_60"/>
      <sheetName val="[ДБСП_02_ 2002.xls]___Syzdyk_63"/>
      <sheetName val="[ДБСП_02_ 2002.xls]___Syzdyk_62"/>
      <sheetName val="КОРП-1"/>
      <sheetName val="Все_по㐀ᕞഀ䞃԰_x0000_缀"/>
      <sheetName val="EMPLANM"/>
      <sheetName val="ремонтТ9"/>
      <sheetName val="Ф1"/>
      <sheetName val="ОПУ_сверка"/>
      <sheetName val="доходы и расходы "/>
      <sheetName val="расш. себестоим."/>
      <sheetName val="расш реал"/>
      <sheetName val="расш ОАР"/>
      <sheetName val="Ф2"/>
      <sheetName val="Ф4"/>
      <sheetName val="CURCURS"/>
      <sheetName val="Год"/>
      <sheetName val="Strat 1H 2008"/>
      <sheetName val="Настройки"/>
      <sheetName val="breakdown"/>
      <sheetName val="P&amp;L"/>
      <sheetName val="Provisions"/>
      <sheetName val="FA depreciation"/>
      <sheetName val="Data-in"/>
      <sheetName val="1NK"/>
      <sheetName val="Налоги"/>
      <sheetName val="[ДБСП_02_ 2002.xls]___Syzdyk_64"/>
      <sheetName val="[ДБСП_02_ 2002.xls]___Syzdyk_66"/>
      <sheetName val="[ДБСП_02_ 2002.xls]___Syzdyk_65"/>
      <sheetName val="[ДБСП_02_ 2002.xls]___Syzdyk_68"/>
      <sheetName val="[ДБСП_02_ 2002.xls]___Syzdyk_67"/>
      <sheetName val="[ДБСП_02_ 2002.xls]___Syzdyk_70"/>
      <sheetName val="[ДБСП_02_ 2002.xls]___Syzdyk_69"/>
      <sheetName val="[ДБСП_02_ 2002.xls]___Syzdyk_71"/>
      <sheetName val="[ДБСП_02_ 2002.xls]___Syzdyk_72"/>
      <sheetName val="[ДБСП_02_ 2002.xls]___Syzdyk_73"/>
      <sheetName val="[ДБСП_02_ 2002.xls]___Syzdyk_74"/>
      <sheetName val="[ДБСП_02_ 2002.xls]___Syzdyk_75"/>
      <sheetName val="[ДБСП_02_ 2002.xls]___Syzdyk_76"/>
      <sheetName val="[ДБСП_02_ 2002.xls]___Syzdyk_77"/>
      <sheetName val="___Syzdykbaeva__________Docum_2"/>
      <sheetName val="___Syzdykbaeva__________Docum_3"/>
      <sheetName val="[ДБСП_02_ 2002.xls]___Syzdyk_79"/>
      <sheetName val="[ДБСП_02_ 2002.xls]___Syzdyk_78"/>
      <sheetName val="[ДБСП_02_ 2002.xls]___Syzdyk_80"/>
      <sheetName val="[ДБСП_02_ 2002.xls]___Syzdyk_81"/>
      <sheetName val="[ДБСП_02_ 2002.xls]___Syzdyk_82"/>
      <sheetName val="[ДБСП_02_ 2002.xls]___Syzdyk_86"/>
      <sheetName val="[ДБСП_02_ 2002.xls]___Syzdyk_83"/>
      <sheetName val="[ДБСП_02_ 2002.xls]___Syzdyk_84"/>
      <sheetName val="[ДБСП_02_ 2002.xls]___Syzdyk_85"/>
      <sheetName val="[ДБСП_02_ 2002.xls]___Syzdy_204"/>
      <sheetName val="[ДБСП_02_ 2002.xls]___Syzdyk_89"/>
      <sheetName val="[ДБСП_02_ 2002.xls]___Syzdyk_88"/>
      <sheetName val="[ДБСП_02_ 2002.xls]___Syzdyk_87"/>
      <sheetName val="[ДБСП_02_ 2002.xls]___Syzdyk_90"/>
      <sheetName val="[ДБСП_02_ 2002.xls]___Syzdyk_95"/>
      <sheetName val="[ДБСП_02_ 2002.xls]___Syzdyk_91"/>
      <sheetName val="[ДБСП_02_ 2002.xls]___Syzdyk_92"/>
      <sheetName val="[ДБСП_02_ 2002.xls]___Syzdyk_93"/>
      <sheetName val="[ДБСП_02_ 2002.xls]___Syzdyk_94"/>
      <sheetName val="[ДБСП_02_ 2002.xls]___Syzdyk_97"/>
      <sheetName val="[ДБСП_02_ 2002.xls]___Syzdyk_96"/>
      <sheetName val="[ДБСП_02_ 2002.xls]___Syzdy_104"/>
      <sheetName val="[ДБСП_02_ 2002.xls]___Syzdyk_98"/>
      <sheetName val="[ДБСП_02_ 2002.xls]___Syzdyk_99"/>
      <sheetName val="[ДБСП_02_ 2002.xls]___Syzdy_100"/>
      <sheetName val="[ДБСП_02_ 2002.xls]___Syzdy_101"/>
      <sheetName val="[ДБСП_02_ 2002.xls]___Syzdy_102"/>
      <sheetName val="[ДБСП_02_ 2002.xls]___Syzdy_103"/>
      <sheetName val="[ДБСП_02_ 2002.xls]___Syzdy_106"/>
      <sheetName val="[ДБСП_02_ 2002.xls]___Syzdy_105"/>
      <sheetName val="[ДБСП_02_ 2002.xls]___Syzdy_109"/>
      <sheetName val="[ДБСП_02_ 2002.xls]___Syzdy_107"/>
      <sheetName val="[ДБСП_02_ 2002.xls]___Syzdy_108"/>
      <sheetName val="[ДБСП_02_ 2002.xls]___Syzdy_113"/>
      <sheetName val="[ДБСП_02_ 2002.xls]___Syzdy_110"/>
      <sheetName val="[ДБСП_02_ 2002.xls]___Syzdy_111"/>
      <sheetName val="[ДБСП_02_ 2002.xls]___Syzdy_112"/>
      <sheetName val="[ДБСП_02_ 2002.xls]___Syzdy_115"/>
      <sheetName val="[ДБСП_02_ 2002.xls]___Syzdy_114"/>
      <sheetName val="[ДБСП_02_ 2002.xls]___Syzdy_117"/>
      <sheetName val="[ДБСП_02_ 2002.xls]___Syzdy_116"/>
      <sheetName val="[ДБСП_02_ 2002.xls]___Syzdy_123"/>
      <sheetName val="[ДБСП_02_ 2002.xls]___Syzdy_119"/>
      <sheetName val="[ДБСП_02_ 2002.xls]___Syzdy_118"/>
      <sheetName val="[ДБСП_02_ 2002.xls]___Syzdy_120"/>
      <sheetName val="[ДБСП_02_ 2002.xls]___Syzdy_121"/>
      <sheetName val="[ДБСП_02_ 2002.xls]___Syzdy_122"/>
      <sheetName val="[ДБСП_02_ 2002.xls]___Syzdy_125"/>
      <sheetName val="[ДБСП_02_ 2002.xls]___Syzdy_124"/>
      <sheetName val="[ДБСП_02_ 2002.xls]___Syzdy_126"/>
      <sheetName val="[ДБСП_02_ 2002.xls]___Syzdy_127"/>
      <sheetName val="[ДБСП_02_ 2002.xls]___Syzdy_129"/>
      <sheetName val="[ДБСП_02_ 2002.xls]___Syzdy_128"/>
      <sheetName val="[ДБСП_02_ 2002.xls]___Syzdy_130"/>
      <sheetName val="[ДБСП_02_ 2002.xls]___Syzdy_131"/>
      <sheetName val="[ДБСП_02_ 2002.xls]___Syzdy_134"/>
      <sheetName val="[ДБСП_02_ 2002.xls]___Syzdy_133"/>
      <sheetName val="[ДБСП_02_ 2002.xls]___Syzdy_132"/>
      <sheetName val="[ДБСП_02_ 2002.xls]___Syzdy_139"/>
      <sheetName val="[ДБСП_02_ 2002.xls]___Syzdy_135"/>
      <sheetName val="[ДБСП_02_ 2002.xls]___Syzdy_136"/>
      <sheetName val="[ДБСП_02_ 2002.xls]___Syzdy_137"/>
      <sheetName val="[ДБСП_02_ 2002.xls]___Syzdy_138"/>
      <sheetName val="[ДБСП_02_ 2002.xls]___Syzdy_168"/>
      <sheetName val="[ДБСП_02_ 2002.xls]___Syzdy_140"/>
      <sheetName val="[ДБСП_02_ 2002.xls]___Syzdy_145"/>
      <sheetName val="[ДБСП_02_ 2002.xls]___Syzdy_141"/>
      <sheetName val="[ДБСП_02_ 2002.xls]___Syzdy_142"/>
      <sheetName val="[ДБСП_02_ 2002.xls]___Syzdy_143"/>
      <sheetName val="[ДБСП_02_ 2002.xls]___Syzdy_144"/>
      <sheetName val="[ДБСП_02_ 2002.xls]___Syzdy_151"/>
      <sheetName val="[ДБСП_02_ 2002.xls]___Syzdy_150"/>
      <sheetName val="[ДБСП_02_ 2002.xls]___Syzdy_146"/>
      <sheetName val="[ДБСП_02_ 2002.xls]___Syzdy_147"/>
      <sheetName val="[ДБСП_02_ 2002.xls]___Syzdy_148"/>
      <sheetName val="[ДБСП_02_ 2002.xls]___Syzdy_149"/>
      <sheetName val="[ДБСП_02_ 2002.xls]___Syzdy_152"/>
      <sheetName val="[ДБСП_02_ 2002.xls]___Syzdy_154"/>
      <sheetName val="[ДБСП_02_ 2002.xls]___Syzdy_153"/>
      <sheetName val="[ДБСП_02_ 2002.xls]___Syzdy_157"/>
      <sheetName val="[ДБСП_02_ 2002.xls]___Syzdy_155"/>
      <sheetName val="[ДБСП_02_ 2002.xls]___Syzdy_156"/>
      <sheetName val="[ДБСП_02_ 2002.xls]___Syzdy_158"/>
      <sheetName val="[ДБСП_02_ 2002.xls]___Syzdy_159"/>
      <sheetName val="[ДБСП_02_ 2002.xls]___Syzdy_160"/>
      <sheetName val="[ДБСП_02_ 2002.xls]___Syzdy_161"/>
      <sheetName val="[ДБСП_02_ 2002.xls]___Syzdy_163"/>
      <sheetName val="[ДБСП_02_ 2002.xls]___Syzdy_162"/>
      <sheetName val="[ДБСП_02_ 2002.xls]___Syzdy_164"/>
      <sheetName val="[ДБСП_02_ 2002.xls]___Syzdy_165"/>
      <sheetName val="[ДБСП_02_ 2002.xls]___Syzdy_166"/>
      <sheetName val="[ДБСП_02_ 2002.xls]___Syzdy_167"/>
      <sheetName val="[ДБСП_02_ 2002.xls]___Syzdy_169"/>
      <sheetName val="[ДБСП_02_ 2002.xls]___Syzdy_172"/>
      <sheetName val="[ДБСП_02_ 2002.xls]___Syzdy_170"/>
      <sheetName val="[ДБСП_02_ 2002.xls]___Syzdy_171"/>
      <sheetName val="[ДБСП_02_ 2002.xls]___Syzdy_173"/>
      <sheetName val="[ДБСП_02_ 2002.xls]___Syzdy_175"/>
      <sheetName val="[ДБСП_02_ 2002.xls]___Syzdy_174"/>
      <sheetName val="[ДБСП_02_ 2002.xls]___Syzdy_176"/>
      <sheetName val="[ДБСП_02_ 2002.xls]___Syzdy_177"/>
      <sheetName val="[ДБСП_02_ 2002.xls]___Syzdy_179"/>
      <sheetName val="[ДБСП_02_ 2002.xls]___Syzdy_178"/>
      <sheetName val="[ДБСП_02_ 2002.xls]___Syzdy_180"/>
      <sheetName val="[ДБСП_02_ 2002.xls]___Syzdy_191"/>
      <sheetName val="[ДБСП_02_ 2002.xls]___Syzdy_187"/>
      <sheetName val="[ДБСП_02_ 2002.xls]___Syzdy_181"/>
      <sheetName val="[ДБСП_02_ 2002.xls]___Syzdy_182"/>
      <sheetName val="[ДБСП_02_ 2002.xls]___Syzdy_183"/>
      <sheetName val="[ДБСП_02_ 2002.xls]___Syzdy_184"/>
      <sheetName val="[ДБСП_02_ 2002.xls]___Syzdy_185"/>
      <sheetName val="[ДБСП_02_ 2002.xls]___Syzdy_186"/>
      <sheetName val="[ДБСП_02_ 2002.xls]___Syzdy_188"/>
      <sheetName val="[ДБСП_02_ 2002.xls]___Syzdy_189"/>
      <sheetName val="[ДБСП_02_ 2002.xls]___Syzdy_190"/>
      <sheetName val="[ДБСП_02_ 2002.xls]___Syzdy_192"/>
      <sheetName val="[ДБСП_02_ 2002.xls]___Syzdy_193"/>
      <sheetName val="[ДБСП_02_ 2002.xls]___Syzdy_194"/>
      <sheetName val="[ДБСП_02_ 2002.xls]___Syzdy_195"/>
      <sheetName val="[ДБСП_02_ 2002.xls]___Syzdy_196"/>
      <sheetName val="[ДБСП_02_ 2002.xls]___Syzdy_197"/>
      <sheetName val="[ДБСП_02_ 2002.xls]___Syzdy_198"/>
      <sheetName val="[ДБСП_02_ 2002.xls]___Syzdy_199"/>
      <sheetName val="[ДБСП_02_ 2002.xls]___Syzdy_200"/>
      <sheetName val="[ДБСП_02_ 2002.xls]___Syzdy_201"/>
      <sheetName val="[ДБСП_02_ 2002.xls]___Syzdy_202"/>
      <sheetName val="[ДБСП_02_ 2002.xls]___Syzdy_203"/>
      <sheetName val="[ДБСП_02_ 2002.xls]___Syzdy_205"/>
      <sheetName val="[ДБСП_02_ 2002.xls]___Syzdy_251"/>
      <sheetName val="[ДБСП_02_ 2002.xls]___Syzdy_210"/>
      <sheetName val="[ДБСП_02_ 2002.xls]___Syzdy_208"/>
      <sheetName val="[ДБСП_02_ 2002.xls]___Syzdy_207"/>
      <sheetName val="[ДБСП_02_ 2002.xls]___Syzdy_206"/>
      <sheetName val="[ДБСП_02_ 2002.xls]___Syzdy_209"/>
      <sheetName val="[ДБСП_02_ 2002.xls]___Syzdy_211"/>
      <sheetName val="[ДБСП_02_ 2002.xls]___Syzdy_212"/>
      <sheetName val="[ДБСП_02_ 2002.xls]___Syzdy_213"/>
      <sheetName val="[ДБСП_02_ 2002.xls]___Syzdy_214"/>
      <sheetName val="[ДБСП_02_ 2002.xls]___Syzdy_215"/>
      <sheetName val="[ДБСП_02_ 2002.xls]___Syzdy_216"/>
      <sheetName val="[ДБСП_02_ 2002.xls]___Syzdy_217"/>
      <sheetName val="[ДБСП_02_ 2002.xls]___Syzdy_221"/>
      <sheetName val="[ДБСП_02_ 2002.xls]___Syzdy_219"/>
      <sheetName val="[ДБСП_02_ 2002.xls]___Syzdy_218"/>
      <sheetName val="[ДБСП_02_ 2002.xls]___Syzdy_220"/>
      <sheetName val="[ДБСП_02_ 2002.xls]___Syzdy_224"/>
      <sheetName val="[ДБСП_02_ 2002.xls]___Syzdy_222"/>
      <sheetName val="[ДБСП_02_ 2002.xls]___Syzdy_223"/>
      <sheetName val="[ДБСП_02_ 2002.xls]___Syzdy_232"/>
      <sheetName val="[ДБСП_02_ 2002.xls]___Syzdy_230"/>
      <sheetName val="[ДБСП_02_ 2002.xls]___Syzdy_229"/>
      <sheetName val="[ДБСП_02_ 2002.xls]___Syzdy_225"/>
      <sheetName val="[ДБСП_02_ 2002.xls]___Syzdy_226"/>
      <sheetName val="[ДБСП_02_ 2002.xls]___Syzdy_227"/>
      <sheetName val="[ДБСП_02_ 2002.xls]___Syzdy_228"/>
      <sheetName val="[ДБСП_02_ 2002.xls]___Syzdy_231"/>
      <sheetName val="[ДБСП_02_ 2002.xls]___Syzdy_233"/>
      <sheetName val="[ДБСП_02_ 2002.xls]___Syzdy_239"/>
      <sheetName val="[ДБСП_02_ 2002.xls]___Syzdy_235"/>
      <sheetName val="[ДБСП_02_ 2002.xls]___Syzdy_234"/>
      <sheetName val="[ДБСП_02_ 2002.xls]___Syzdy_236"/>
      <sheetName val="[ДБСП_02_ 2002.xls]___Syzdy_238"/>
      <sheetName val="[ДБСП_02_ 2002.xls]___Syzdy_237"/>
      <sheetName val="[ДБСП_02_ 2002.xls]___Syzdy_240"/>
      <sheetName val="[ДБСП_02_ 2002.xls]___Syzdy_241"/>
      <sheetName val="[ДБСП_02_ 2002.xls]___Syzdy_243"/>
      <sheetName val="[ДБСП_02_ 2002.xls]___Syzdy_242"/>
      <sheetName val="[ДБСП_02_ 2002.xls]___Syzdy_245"/>
      <sheetName val="[ДБСП_02_ 2002.xls]___Syzdy_244"/>
      <sheetName val="[ДБСП_02_ 2002.xls]___Syzdy_246"/>
      <sheetName val="[ДБСП_02_ 2002.xls]___Syzdy_247"/>
      <sheetName val="[ДБСП_02_ 2002.xls]___Syzdy_248"/>
      <sheetName val="[ДБСП_02_ 2002.xls]___Syzdy_250"/>
      <sheetName val="[ДБСП_02_ 2002.xls]___Syzdy_249"/>
      <sheetName val="[ДБСП_02_ 2002.xls]___Syzdy_252"/>
      <sheetName val="[ДБСП_02_ 2002.xls]___Syzdy_255"/>
      <sheetName val="[ДБСП_02_ 2002.xls]___Syzdy_254"/>
      <sheetName val="[ДБСП_02_ 2002.xls]___Syzdy_253"/>
      <sheetName val="[ДБСП_02_ 2002.xls]___Syzdy_258"/>
      <sheetName val="[ДБСП_02_ 2002.xls]___Syzdy_256"/>
      <sheetName val="[ДБСП_02_ 2002.xls]___Syzdy_257"/>
      <sheetName val="[ДБСП_02_ 2002.xls]___Syzdy_259"/>
      <sheetName val="[ДБСП_02_ 2002.xls]___Syzdy_260"/>
      <sheetName val="[ДБСП_02_ 2002.xls]___Syzdy_261"/>
      <sheetName val="[ДБСП_02_ 2002.xls]___Syzdy_263"/>
      <sheetName val="[ДБСП_02_ 2002.xls]___Syzdy_262"/>
      <sheetName val="[ДБСП_02_ 2002.xls]___Syzdy_266"/>
      <sheetName val="[ДБСП_02_ 2002.xls]___Syzdy_264"/>
      <sheetName val="[ДБСП_02_ 2002.xls]___Syzdy_265"/>
      <sheetName val="[ДБСП_02_ 2002.xls]___Syzdy_269"/>
      <sheetName val="[ДБСП_02_ 2002.xls]___Syzdy_267"/>
      <sheetName val="[ДБСП_02_ 2002.xls]___Syzdy_268"/>
      <sheetName val="[ДБСП_02_ 2002.xls]___Syzdy_275"/>
      <sheetName val="[ДБСП_02_ 2002.xls]___Syzdy_270"/>
      <sheetName val="[ДБСП_02_ 2002.xls]___Syzdy_274"/>
      <sheetName val="[ДБСП_02_ 2002.xls]___Syzdy_271"/>
      <sheetName val="[ДБСП_02_ 2002.xls]___Syzdy_272"/>
      <sheetName val="[ДБСП_02_ 2002.xls]___Syzdy_273"/>
      <sheetName val="[ДБСП_02_ 2002.xls]___Syzdy_276"/>
      <sheetName val="Все_по㐀ᕞഀ䞃԰"/>
      <sheetName val="[ДБСП_02_ 2002.xls]___Syzdy_304"/>
      <sheetName val="[ДБСП_02_ 2002.xls]___Syzdy_277"/>
      <sheetName val="[ДБСП_02_ 2002.xls]___Syzdy_278"/>
      <sheetName val="[ДБСП_02_ 2002.xls]___Syzdy_282"/>
      <sheetName val="[ДБСП_02_ 2002.xls]___Syzdy_279"/>
      <sheetName val="[ДБСП_02_ 2002.xls]___Syzdy_280"/>
      <sheetName val="[ДБСП_02_ 2002.xls]___Syzdy_281"/>
      <sheetName val="[ДБСП_02_ 2002.xls]___Syzdy_283"/>
      <sheetName val="[ДБСП_02_ 2002.xls]___Syzdy_284"/>
      <sheetName val="[ДБСП_02_ 2002.xls]___Syzdy_297"/>
      <sheetName val="[ДБСП_02_ 2002.xls]___Syzdy_287"/>
      <sheetName val="[ДБСП_02_ 2002.xls]___Syzdy_285"/>
      <sheetName val="[ДБСП_02_ 2002.xls]___Syzdy_286"/>
      <sheetName val="[ДБСП_02_ 2002.xls]___Syzdy_288"/>
      <sheetName val="[ДБСП_02_ 2002.xls]___Syzdy_289"/>
      <sheetName val="[ДБСП_02_ 2002.xls]___Syzdy_290"/>
      <sheetName val="[ДБСП_02_ 2002.xls]___Syzdy_292"/>
      <sheetName val="[ДБСП_02_ 2002.xls]___Syzdy_291"/>
      <sheetName val="[ДБСП_02_ 2002.xls]___Syzdy_294"/>
      <sheetName val="[ДБСП_02_ 2002.xls]___Syzdy_293"/>
      <sheetName val="[ДБСП_02_ 2002.xls]___Syzdy_295"/>
      <sheetName val="[ДБСП_02_ 2002.xls]___Syzdy_296"/>
      <sheetName val="[ДБСП_02_ 2002.xls]___Syzdy_301"/>
      <sheetName val="[ДБСП_02_ 2002.xls]___Syzdy_298"/>
      <sheetName val="[ДБСП_02_ 2002.xls]___Syzdy_299"/>
      <sheetName val="[ДБСП_02_ 2002.xls]___Syzdy_300"/>
      <sheetName val="[ДБСП_02_ 2002.xls]___Syzdy_302"/>
      <sheetName val="[ДБСП_02_ 2002.xls]___Syzdy_303"/>
      <sheetName val="[ДБСП_02_ 2002.xls]___Syzdy_305"/>
      <sheetName val="[ДБСП_02_ 2002.xls]___Syzdy_306"/>
      <sheetName val="[ДБСП_02_ 2002.xls]___Syzdy_325"/>
      <sheetName val="[ДБСП_02_ 2002.xls]___Syzdy_308"/>
      <sheetName val="[ДБСП_02_ 2002.xls]___Syzdy_307"/>
      <sheetName val="[ДБСП_02_ 2002.xls]___Syzdy_309"/>
      <sheetName val="[ДБСП_02_ 2002.xls]___Syzdy_311"/>
      <sheetName val="[ДБСП_02_ 2002.xls]___Syzdy_310"/>
      <sheetName val="[ДБСП_02_ 2002.xls]___Syzdy_314"/>
      <sheetName val="[ДБСП_02_ 2002.xls]___Syzdy_313"/>
      <sheetName val="[ДБСП_02_ 2002.xls]___Syzdy_312"/>
      <sheetName val="[ДБСП_02_ 2002.xls]___Syzdy_315"/>
      <sheetName val="[ДБСП_02_ 2002.xls]___Syzdy_316"/>
      <sheetName val="[ДБСП_02_ 2002.xls]___Syzdy_317"/>
      <sheetName val="[ДБСП_02_ 2002.xls]___Syzdy_320"/>
      <sheetName val="[ДБСП_02_ 2002.xls]___Syzdy_318"/>
      <sheetName val="[ДБСП_02_ 2002.xls]___Syzdy_319"/>
      <sheetName val="[ДБСП_02_ 2002.xls]___Syzdy_321"/>
      <sheetName val="[ДБСП_02_ 2002.xls]___Syzdy_322"/>
      <sheetName val="[ДБСП_02_ 2002.xls]___Syzdy_323"/>
      <sheetName val="[ДБСП_02_ 2002.xls]___Syzdy_324"/>
      <sheetName val="[ДБСП_02_ 2002.xls]___Syzdy_326"/>
      <sheetName val="[ДБСП_02_ 2002.xls]___Syzdy_327"/>
      <sheetName val="[ДБСП_02_ 2002.xls]___Syzdy_328"/>
      <sheetName val="Datasheet"/>
      <sheetName val="8180 (8181,8182)"/>
      <sheetName val="8082"/>
      <sheetName val="8250"/>
      <sheetName val="8140"/>
      <sheetName val="8070"/>
      <sheetName val="8145"/>
      <sheetName val="8200"/>
      <sheetName val="8113"/>
      <sheetName val="8210"/>
      <sheetName val="станции"/>
      <sheetName val="собственный капитал"/>
      <sheetName val="Фонд"/>
      <sheetName val="Assump"/>
      <sheetName val="Prelim Cost"/>
      <sheetName val="IS-Cash"/>
      <sheetName val="Loan"/>
      <sheetName val="2_Уст_у_ж.д._тупика"/>
      <sheetName val="амортизация"/>
      <sheetName val="Вариант2,1"/>
      <sheetName val="Цена"/>
      <sheetName val="700-H"/>
      <sheetName val="EXR"/>
      <sheetName val="Вход.данные"/>
      <sheetName val="Parameters"/>
      <sheetName val="SBM Reserve"/>
      <sheetName val="объекты обществаКокшетау"/>
      <sheetName val="Фин. пок-ли"/>
      <sheetName val="Бонды стр.341"/>
      <sheetName val="5NK_"/>
      <sheetName val="Источник_финансирования"/>
      <sheetName val="Способ_закупки"/>
      <sheetName val="Main_Page"/>
      <sheetName val="Loans_out"/>
      <sheetName val="План_ГЗ"/>
      <sheetName val="доходы_и_расходы_"/>
      <sheetName val="B_11"/>
      <sheetName val="C_251"/>
      <sheetName val="A_1001"/>
      <sheetName val="14_1_2_2__Услуги_связи_1"/>
      <sheetName val="расш__себестоим_"/>
      <sheetName val="расш_реал"/>
      <sheetName val="расш_ОАР"/>
      <sheetName val="Зам_нгду-1(наг)"/>
      <sheetName val="Зам_нгду-1"/>
      <sheetName val="Зам_ОЭПУ(доб)"/>
      <sheetName val="Зам_нгду-2(наг)"/>
      <sheetName val="Зам_ОЭПУ(наг)"/>
      <sheetName val="сут_рап_снижПТО_по_мероп"/>
      <sheetName val="Заявлени+сдач_обх_по_22_02_12"/>
      <sheetName val="для_рекомендации_на_09_02_12г"/>
      <sheetName val="рев_на_09_06_"/>
      <sheetName val="муз_колледж"/>
      <sheetName val="консалт"/>
      <sheetName val="Sample"/>
      <sheetName val="Свод за 2008г"/>
      <sheetName val="ЦФО"/>
      <sheetName val="наличие_НДС"/>
      <sheetName val="Тип_учета"/>
      <sheetName val="Все_по/_x0000_瀀G_x0000__x0000_ꀀ"/>
      <sheetName val="Все_по԰_x0000_缀_x0000__x0000__x0000_缀"/>
      <sheetName val="Все_по0_x0000_#_x0000__x0000_ꀀ"/>
      <sheetName val="Все_по0_x0000_Å_x0000__x0000_ꀀ"/>
      <sheetName val="Все_по԰_x0000_缀_x0000__x0000__x0000_퐀"/>
      <sheetName val="Все_по예썘/_x0000_쀀_x001f__x0000_"/>
      <sheetName val="ТитулЛистОтч"/>
      <sheetName val="SAPBEXfilters"/>
      <sheetName val="calc"/>
      <sheetName val="___Syzdykb_2"/>
      <sheetName val="___Syzdyk_10"/>
      <sheetName val="___Syzdykb_9"/>
      <sheetName val="___Syzdykb_3"/>
      <sheetName val="___Syzdykb_4"/>
      <sheetName val="___Syzdykb_5"/>
      <sheetName val="___Syzdykb_6"/>
      <sheetName val="___Syzdykb_8"/>
      <sheetName val="___Syzdykb_7"/>
      <sheetName val="___Syzdyk_11"/>
      <sheetName val="___Syzdyk_12"/>
      <sheetName val="___Syzdyk_13"/>
      <sheetName val="___Syzdyk_19"/>
      <sheetName val="___Syzdyk_18"/>
      <sheetName val="___Syzdyk_15"/>
      <sheetName val="___Syzdyk_14"/>
      <sheetName val="___Syzdyk_16"/>
      <sheetName val="___Syzdyk_17"/>
      <sheetName val="___Syzdyk_21"/>
      <sheetName val="___Syzdyk_20"/>
      <sheetName val="рев ДФ (св)"/>
      <sheetName val="общ"/>
      <sheetName val="IS"/>
      <sheetName val="Презентация"/>
      <sheetName val="Отчет_Компания"/>
      <sheetName val="PLM"/>
      <sheetName val="коммент"/>
      <sheetName val="IB"/>
      <sheetName val="2019"/>
      <sheetName val="PL"/>
      <sheetName val="ББ"/>
      <sheetName val="ДДС"/>
      <sheetName val="Бюджет 2019"/>
      <sheetName val="Бюджет 2020"/>
      <sheetName val="Petroleum"/>
      <sheetName val="Задействованность (%U)"/>
      <sheetName val="Обслуживание (𝑬𝒇)"/>
      <sheetName val="Ремонты (%Rep)"/>
      <sheetName val="Все_по0"/>
      <sheetName val="Project Detail Inputs"/>
      <sheetName val="I KEY INFORMATION"/>
      <sheetName val="VI REVENUE OOD"/>
      <sheetName val="IIb P&amp;L short"/>
      <sheetName val="IV REVENUE ROOMS"/>
      <sheetName val="IV REVENUE  F&amp;B"/>
      <sheetName val="IFRS_FS"/>
      <sheetName val="Список_документов"/>
      <sheetName val="с_01_08_по_17_10_=_1569_вагонов"/>
      <sheetName val="Лист_1"/>
      <sheetName val="Strat_1H_2008"/>
      <sheetName val="PP_E mvt for 2003"/>
      <sheetName val="Осн.показ"/>
      <sheetName val="данн"/>
      <sheetName val="H"/>
      <sheetName val="2@"/>
      <sheetName val="CO1"/>
      <sheetName val="CO11"/>
      <sheetName val="CO12"/>
      <sheetName val="CO13"/>
      <sheetName val="CO16"/>
      <sheetName val="CO17"/>
      <sheetName val="CO18"/>
      <sheetName val="CO19"/>
      <sheetName val="CO2"/>
      <sheetName val="CO20"/>
      <sheetName val="CO21"/>
      <sheetName val="CO22"/>
      <sheetName val="CO26"/>
      <sheetName val="CO27"/>
      <sheetName val="CO3"/>
      <sheetName val="CO30"/>
      <sheetName val="CO4"/>
      <sheetName val="CO5"/>
      <sheetName val="CO6"/>
      <sheetName val="CO7"/>
      <sheetName val="[ДБСП_02_ 2002.xls]___Syzdy_329"/>
      <sheetName val="[ДБСП_02_ 2002.xls]___Syzdy_330"/>
      <sheetName val="[ДБСП_02_ 2002.xls]___Syzdy_346"/>
      <sheetName val="Схема доплат"/>
      <sheetName val="Повышающие коэф ОМГ"/>
      <sheetName val="TARIF2"/>
      <sheetName val="17-21 апреля"/>
      <sheetName val="L202 - КПСБ"/>
      <sheetName val="Все_поက_x0000_퀀ѫ爃䅄/"/>
      <sheetName val="показатели"/>
      <sheetName val="Лист4"/>
      <sheetName val="Лист1 (2)"/>
      <sheetName val="[ДБСП_02_ 2002.xls]___Syzdy_331"/>
      <sheetName val="[ДБСП_02_ 2002.xls]___Syzdy_332"/>
      <sheetName val="[ДБСП_02_ 2002.xls]___Syzdy_334"/>
      <sheetName val="[ДБСП_02_ 2002.xls]___Syzdy_333"/>
      <sheetName val="[ДБСП_02_ 2002.xls]___Syzdy_335"/>
      <sheetName val="[ДБСП_02_ 2002.xls]___Syzdy_345"/>
      <sheetName val="[ДБСП_02_ 2002.xls]___Syzdy_336"/>
      <sheetName val="[ДБСП_02_ 2002.xls]___Syzdy_337"/>
      <sheetName val="[ДБСП_02_ 2002.xls]___Syzdy_338"/>
      <sheetName val="[ДБСП_02_ 2002.xls]___Syzdy_339"/>
      <sheetName val="[ДБСП_02_ 2002.xls]___Syzdy_340"/>
      <sheetName val="[ДБСП_02_ 2002.xls]___Syzdy_344"/>
      <sheetName val="[ДБСП_02_ 2002.xls]___Syzdy_341"/>
      <sheetName val="[ДБСП_02_ 2002.xls]___Syzdy_342"/>
      <sheetName val="[ДБСП_02_ 2002.xls]___Syzdy_343"/>
      <sheetName val="[ДБСП_02_ 2002.xls]___Syzdy_348"/>
      <sheetName val="[ДБСП_02_ 2002.xls]___Syzdy_347"/>
      <sheetName val="[ДБСП_02_ 2002.xls]___Syzdy_349"/>
      <sheetName val="[ДБСП_02_ 2002.xls]___Syzdy_374"/>
      <sheetName val="[ДБСП_02_ 2002.xls]___Syzdy_357"/>
      <sheetName val="[ДБСП_02_ 2002.xls]___Syzdy_352"/>
      <sheetName val="[ДБСП_02_ 2002.xls]___Syzdy_351"/>
      <sheetName val="[ДБСП_02_ 2002.xls]___Syzdy_350"/>
      <sheetName val="[ДБСП_02_ 2002.xls]___Syzdy_353"/>
      <sheetName val="[ДБСП_02_ 2002.xls]___Syzdy_354"/>
      <sheetName val="[ДБСП_02_ 2002.xls]___Syzdy_355"/>
      <sheetName val="[ДБСП_02_ 2002.xls]___Syzdy_356"/>
      <sheetName val="[ДБСП_02_ 2002.xls]___Syzdy_358"/>
      <sheetName val="[ДБСП_02_ 2002.xls]___Syzdy_360"/>
      <sheetName val="[ДБСП_02_ 2002.xls]___Syzdy_359"/>
      <sheetName val="[ДБСП_02_ 2002.xls]___Syzdy_362"/>
      <sheetName val="[ДБСП_02_ 2002.xls]___Syzdy_361"/>
      <sheetName val="[ДБСП_02_ 2002.xls]___Syzdy_372"/>
      <sheetName val="[ДБСП_02_ 2002.xls]___Syzdy_363"/>
      <sheetName val="[ДБСП_02_ 2002.xls]___Syzdy_364"/>
      <sheetName val="[ДБСП_02_ 2002.xls]___Syzdy_365"/>
      <sheetName val="[ДБСП_02_ 2002.xls]___Syzdy_366"/>
      <sheetName val="[ДБСП_02_ 2002.xls]___Syzdy_369"/>
      <sheetName val="[ДБСП_02_ 2002.xls]___Syzdy_367"/>
      <sheetName val="[ДБСП_02_ 2002.xls]___Syzdy_368"/>
      <sheetName val="[ДБСП_02_ 2002.xls]___Syzdy_370"/>
      <sheetName val="[ДБСП_02_ 2002.xls]___Syzdy_371"/>
      <sheetName val="[ДБСП_02_ 2002.xls]___Syzdy_373"/>
      <sheetName val="[ДБСП_02_ 2002.xls]___Syzdy_379"/>
      <sheetName val="[ДБСП_02_ 2002.xls]___Syzdy_378"/>
      <sheetName val="[ДБСП_02_ 2002.xls]___Syzdy_375"/>
      <sheetName val="[ДБСП_02_ 2002.xls]___Syzdy_377"/>
      <sheetName val="[ДБСП_02_ 2002.xls]___Syzdy_376"/>
      <sheetName val="[ДБСП_02_ 2002.xls]___Syzdy_380"/>
      <sheetName val="[ДБСП_02_ 2002.xls]___Syzdy_381"/>
      <sheetName val="[ДБСП_02_ 2002.xls]___Syzdy_384"/>
      <sheetName val="[ДБСП_02_ 2002.xls]___Syzdy_382"/>
      <sheetName val="[ДБСП_02_ 2002.xls]___Syzdy_383"/>
      <sheetName val="[ДБСП_02_ 2002.xls]___Syzdy_545"/>
      <sheetName val="[ДБСП_02_ 2002.xls]___Syzdy_415"/>
      <sheetName val="[ДБСП_02_ 2002.xls]___Syzdy_387"/>
      <sheetName val="[ДБСП_02_ 2002.xls]___Syzdy_385"/>
      <sheetName val="[ДБСП_02_ 2002.xls]___Syzdy_386"/>
      <sheetName val="[ДБСП_02_ 2002.xls]___Syzdy_389"/>
      <sheetName val="[ДБСП_02_ 2002.xls]___Syzdy_388"/>
      <sheetName val="[ДБСП_02_ 2002.xls]___Syzdy_393"/>
      <sheetName val="[ДБСП_02_ 2002.xls]___Syzdy_390"/>
      <sheetName val="[ДБСП_02_ 2002.xls]___Syzdy_391"/>
      <sheetName val="[ДБСП_02_ 2002.xls]___Syzdy_392"/>
      <sheetName val="[ДБСП_02_ 2002.xls]___Syzdy_395"/>
      <sheetName val="[ДБСП_02_ 2002.xls]___Syzdy_394"/>
      <sheetName val="[ДБСП_02_ 2002.xls]___Syzdy_399"/>
      <sheetName val="[ДБСП_02_ 2002.xls]___Syzdy_396"/>
      <sheetName val="[ДБСП_02_ 2002.xls]___Syzdy_398"/>
      <sheetName val="[ДБСП_02_ 2002.xls]___Syzdy_397"/>
      <sheetName val="[ДБСП_02_ 2002.xls]___Syzdy_400"/>
      <sheetName val="[ДБСП_02_ 2002.xls]___Syzdy_403"/>
      <sheetName val="[ДБСП_02_ 2002.xls]___Syzdy_401"/>
      <sheetName val="[ДБСП_02_ 2002.xls]___Syzdy_402"/>
      <sheetName val="[ДБСП_02_ 2002.xls]___Syzdy_408"/>
      <sheetName val="[ДБСП_02_ 2002.xls]___Syzdy_404"/>
      <sheetName val="[ДБСП_02_ 2002.xls]___Syzdy_405"/>
      <sheetName val="[ДБСП_02_ 2002.xls]___Syzdy_406"/>
      <sheetName val="[ДБСП_02_ 2002.xls]___Syzdy_407"/>
      <sheetName val="[ДБСП_02_ 2002.xls]___Syzdy_409"/>
      <sheetName val="[ДБСП_02_ 2002.xls]___Syzdy_412"/>
      <sheetName val="[ДБСП_02_ 2002.xls]___Syzdy_410"/>
      <sheetName val="[ДБСП_02_ 2002.xls]___Syzdy_411"/>
      <sheetName val="[ДБСП_02_ 2002.xls]___Syzdy_413"/>
      <sheetName val="[ДБСП_02_ 2002.xls]___Syzdy_414"/>
      <sheetName val="[ДБСП_02_ 2002.xls]___Syzdy_416"/>
      <sheetName val="[ДБСП_02_ 2002.xls]___Syzdy_417"/>
      <sheetName val="[ДБСП_02_ 2002.xls]___Syzdy_418"/>
      <sheetName val="[ДБСП_02_ 2002.xls]___Syzdy_419"/>
      <sheetName val="[ДБСП_02_ 2002.xls]___Syzdy_425"/>
      <sheetName val="[ДБСП_02_ 2002.xls]___Syzdy_420"/>
      <sheetName val="[ДБСП_02_ 2002.xls]___Syzdy_421"/>
      <sheetName val="[ДБСП_02_ 2002.xls]___Syzdy_422"/>
      <sheetName val="[ДБСП_02_ 2002.xls]___Syzdy_424"/>
      <sheetName val="[ДБСП_02_ 2002.xls]___Syzdy_423"/>
      <sheetName val="[ДБСП_02_ 2002.xls]___Syzdy_538"/>
      <sheetName val="[ДБСП_02_ 2002.xls]___Syzdy_519"/>
      <sheetName val="[ДБСП_02_ 2002.xls]___Syzdy_512"/>
      <sheetName val="[ДБСП_02_ 2002.xls]___Syzdy_426"/>
      <sheetName val="[ДБСП_02_ 2002.xls]___Syzdy_427"/>
      <sheetName val="[ДБСП_02_ 2002.xls]___Syzdy_430"/>
      <sheetName val="[ДБСП_02_ 2002.xls]___Syzdy_428"/>
      <sheetName val="[ДБСП_02_ 2002.xls]___Syzdy_429"/>
      <sheetName val="[ДБСП_02_ 2002.xls]___Syzdy_431"/>
      <sheetName val="[ДБСП_02_ 2002.xls]___Syzdy_432"/>
      <sheetName val="[ДБСП_02_ 2002.xls]___Syzdy_433"/>
      <sheetName val="[ДБСП_02_ 2002.xls]___Syzdy_434"/>
      <sheetName val="[ДБСП_02_ 2002.xls]___Syzdy_435"/>
      <sheetName val="[ДБСП_02_ 2002.xls]___Syzdy_440"/>
      <sheetName val="[ДБСП_02_ 2002.xls]___Syzdy_436"/>
      <sheetName val="[ДБСП_02_ 2002.xls]___Syzdy_437"/>
      <sheetName val="[ДБСП_02_ 2002.xls]___Syzdy_438"/>
      <sheetName val="[ДБСП_02_ 2002.xls]___Syzdy_439"/>
      <sheetName val="[ДБСП_02_ 2002.xls]___Syzdy_441"/>
      <sheetName val="[ДБСП_02_ 2002.xls]___Syzdy_442"/>
      <sheetName val="[ДБСП_02_ 2002.xls]___Syzdy_443"/>
      <sheetName val="[ДБСП_02_ 2002.xls]___Syzdy_444"/>
      <sheetName val="[ДБСП_02_ 2002.xls]___Syzdy_445"/>
      <sheetName val="[ДБСП_02_ 2002.xls]___Syzdy_446"/>
      <sheetName val="[ДБСП_02_ 2002.xls]___Syzdy_447"/>
      <sheetName val="[ДБСП_02_ 2002.xls]___Syzdy_448"/>
      <sheetName val="[ДБСП_02_ 2002.xls]___Syzdy_452"/>
      <sheetName val="[ДБСП_02_ 2002.xls]___Syzdy_451"/>
      <sheetName val="[ДБСП_02_ 2002.xls]___Syzdy_450"/>
      <sheetName val="[ДБСП_02_ 2002.xls]___Syzdy_449"/>
      <sheetName val="[ДБСП_02_ 2002.xls]___Syzdy_453"/>
      <sheetName val="[ДБСП_02_ 2002.xls]___Syzdy_455"/>
      <sheetName val="[ДБСП_02_ 2002.xls]___Syzdy_454"/>
      <sheetName val="[ДБСП_02_ 2002.xls]___Syzdy_458"/>
      <sheetName val="[ДБСП_02_ 2002.xls]___Syzdy_456"/>
      <sheetName val="[ДБСП_02_ 2002.xls]___Syzdy_457"/>
      <sheetName val="[ДБСП_02_ 2002.xls]___Syzdy_459"/>
      <sheetName val="[ДБСП_02_ 2002.xls]___Syzdy_461"/>
      <sheetName val="[ДБСП_02_ 2002.xls]___Syzdy_460"/>
      <sheetName val="[ДБСП_02_ 2002.xls]___Syzdy_463"/>
      <sheetName val="[ДБСП_02_ 2002.xls]___Syzdy_462"/>
      <sheetName val="[ДБСП_02_ 2002.xls]___Syzdy_464"/>
      <sheetName val="[ДБСП_02_ 2002.xls]___Syzdy_467"/>
      <sheetName val="[ДБСП_02_ 2002.xls]___Syzdy_466"/>
      <sheetName val="[ДБСП_02_ 2002.xls]___Syzdy_465"/>
      <sheetName val="[ДБСП_02_ 2002.xls]___Syzdy_468"/>
      <sheetName val="[ДБСП_02_ 2002.xls]___Syzdy_472"/>
      <sheetName val="[ДБСП_02_ 2002.xls]___Syzdy_470"/>
      <sheetName val="[ДБСП_02_ 2002.xls]___Syzdy_469"/>
      <sheetName val="[ДБСП_02_ 2002.xls]___Syzdy_471"/>
      <sheetName val="[ДБСП_02_ 2002.xls]___Syzdy_473"/>
      <sheetName val="[ДБСП_02_ 2002.xls]___Syzdy_474"/>
      <sheetName val="[ДБСП_02_ 2002.xls]___Syzdy_476"/>
      <sheetName val="[ДБСП_02_ 2002.xls]___Syzdy_475"/>
      <sheetName val="[ДБСП_02_ 2002.xls]___Syzdy_477"/>
      <sheetName val="[ДБСП_02_ 2002.xls]___Syzdy_478"/>
      <sheetName val="[ДБСП_02_ 2002.xls]___Syzdy_479"/>
      <sheetName val="[ДБСП_02_ 2002.xls]___Syzdy_481"/>
      <sheetName val="[ДБСП_02_ 2002.xls]___Syzdy_480"/>
      <sheetName val="[ДБСП_02_ 2002.xls]___Syzdy_482"/>
      <sheetName val="[ДБСП_02_ 2002.xls]___Syzdy_483"/>
      <sheetName val="[ДБСП_02_ 2002.xls]___Syzdy_484"/>
      <sheetName val="[ДБСП_02_ 2002.xls]___Syzdy_485"/>
      <sheetName val="[ДБСП_02_ 2002.xls]___Syzdy_486"/>
      <sheetName val="[ДБСП_02_ 2002.xls]___Syzdy_487"/>
      <sheetName val="[ДБСП_02_ 2002.xls]___Syzdy_488"/>
      <sheetName val="[ДБСП_02_ 2002.xls]___Syzdy_490"/>
      <sheetName val="[ДБСП_02_ 2002.xls]___Syzdy_489"/>
      <sheetName val="[ДБСП_02_ 2002.xls]___Syzdy_493"/>
      <sheetName val="[ДБСП_02_ 2002.xls]___Syzdy_491"/>
      <sheetName val="[ДБСП_02_ 2002.xls]___Syzdy_492"/>
      <sheetName val="[ДБСП_02_ 2002.xls]___Syzdy_495"/>
      <sheetName val="[ДБСП_02_ 2002.xls]___Syzdy_494"/>
      <sheetName val="[ДБСП_02_ 2002.xls]___Syzdy_496"/>
      <sheetName val="[ДБСП_02_ 2002.xls]___Syzdy_501"/>
      <sheetName val="[ДБСП_02_ 2002.xls]___Syzdy_498"/>
      <sheetName val="[ДБСП_02_ 2002.xls]___Syzdy_497"/>
      <sheetName val="[ДБСП_02_ 2002.xls]___Syzdy_500"/>
      <sheetName val="[ДБСП_02_ 2002.xls]___Syzdy_499"/>
      <sheetName val="[ДБСП_02_ 2002.xls]___Syzdy_502"/>
      <sheetName val="[ДБСП_02_ 2002.xls]___Syzdy_505"/>
      <sheetName val="[ДБСП_02_ 2002.xls]___Syzdy_503"/>
      <sheetName val="[ДБСП_02_ 2002.xls]___Syzdy_504"/>
      <sheetName val="[ДБСП_02_ 2002.xls]___Syzdy_507"/>
      <sheetName val="[ДБСП_02_ 2002.xls]___Syzdy_506"/>
      <sheetName val="[ДБСП_02_ 2002.xls]___Syzdy_509"/>
      <sheetName val="[ДБСП_02_ 2002.xls]___Syzdy_508"/>
      <sheetName val="[ДБСП_02_ 2002.xls]___Syzdy_510"/>
      <sheetName val="[ДБСП_02_ 2002.xls]___Syzdy_511"/>
      <sheetName val="[ДБСП_02_ 2002.xls]___Syzdy_517"/>
      <sheetName val="[ДБСП_02_ 2002.xls]___Syzdy_515"/>
      <sheetName val="[ДБСП_02_ 2002.xls]___Syzdy_513"/>
      <sheetName val="[ДБСП_02_ 2002.xls]___Syzdy_514"/>
      <sheetName val="[ДБСП_02_ 2002.xls]___Syzdy_516"/>
      <sheetName val="[ДБСП_02_ 2002.xls]___Syzdy_518"/>
      <sheetName val="[ДБСП_02_ 2002.xls]___Syzdy_521"/>
      <sheetName val="[ДБСП_02_ 2002.xls]___Syzdy_520"/>
      <sheetName val="[ДБСП_02_ 2002.xls]___Syzdy_522"/>
      <sheetName val="[ДБСП_02_ 2002.xls]___Syzdy_526"/>
      <sheetName val="[ДБСП_02_ 2002.xls]___Syzdy_523"/>
      <sheetName val="[ДБСП_02_ 2002.xls]___Syzdy_524"/>
      <sheetName val="[ДБСП_02_ 2002.xls]___Syzdy_525"/>
      <sheetName val="[ДБСП_02_ 2002.xls]___Syzdy_527"/>
      <sheetName val="[ДБСП_02_ 2002.xls]___Syzdy_531"/>
      <sheetName val="[ДБСП_02_ 2002.xls]___Syzdy_528"/>
      <sheetName val="[ДБСП_02_ 2002.xls]___Syzdy_529"/>
      <sheetName val="[ДБСП_02_ 2002.xls]___Syzdy_530"/>
      <sheetName val="[ДБСП_02_ 2002.xls]___Syzdy_532"/>
      <sheetName val="[ДБСП_02_ 2002.xls]___Syzdy_533"/>
      <sheetName val="[ДБСП_02_ 2002.xls]___Syzdy_534"/>
      <sheetName val="[ДБСП_02_ 2002.xls]___Syzdy_536"/>
      <sheetName val="[ДБСП_02_ 2002.xls]___Syzdy_535"/>
      <sheetName val="[ДБСП_02_ 2002.xls]___Syzdy_537"/>
      <sheetName val="[ДБСП_02_ 2002.xls]___Syzdy_541"/>
      <sheetName val="[ДБСП_02_ 2002.xls]___Syzdy_540"/>
      <sheetName val="[ДБСП_02_ 2002.xls]___Syzdy_539"/>
      <sheetName val="[ДБСП_02_ 2002.xls]___Syzdy_542"/>
      <sheetName val="[ДБСП_02_ 2002.xls]___Syzdy_543"/>
      <sheetName val="[ДБСП_02_ 2002.xls]___Syzdy_544"/>
      <sheetName val="[ДБСП_02_ 2002.xls]___Syzdy_546"/>
      <sheetName val="Все_по예썘/"/>
      <sheetName val="материалы"/>
      <sheetName val="КОНФИГУРАЦИЯ"/>
      <sheetName val="лим_пр _затр"/>
      <sheetName val="пр-во"/>
      <sheetName val="22"/>
      <sheetName val="Brand valuation"/>
      <sheetName val="Anlagevermögen"/>
      <sheetName val="[ДБСП_02_ 2002.xls]___Syzdy_560"/>
      <sheetName val="[ДБСП_02_ 2002.xls]___Syzdy_549"/>
      <sheetName val="[ДБСП_02_ 2002.xls]___Syzdy_547"/>
      <sheetName val="[ДБСП_02_ 2002.xls]___Syzdy_548"/>
      <sheetName val="[ДБСП_02_ 2002.xls]___Syzdy_550"/>
      <sheetName val="[ДБСП_02_ 2002.xls]___Syzdy_551"/>
      <sheetName val="[ДБСП_02_ 2002.xls]___Syzdy_552"/>
      <sheetName val="[ДБСП_02_ 2002.xls]___Syzdy_554"/>
      <sheetName val="[ДБСП_02_ 2002.xls]___Syzdy_553"/>
      <sheetName val="[ДБСП_02_ 2002.xls]___Syzdy_556"/>
      <sheetName val="[ДБСП_02_ 2002.xls]___Syzdy_555"/>
      <sheetName val="[ДБСП_02_ 2002.xls]___Syzdy_557"/>
      <sheetName val="[ДБСП_02_ 2002.xls]___Syzdy_558"/>
      <sheetName val="[ДБСП_02_ 2002.xls]___Syzdy_559"/>
      <sheetName val="[ДБСП_02_ 2002.xls]___Syzdy_561"/>
      <sheetName val="[ДБСП_02_ 2002.xls]___Syzdy_563"/>
      <sheetName val="[ДБСП_02_ 2002.xls]___Syzdy_562"/>
      <sheetName val="[ДБСП_02_ 2002.xls]___Syzdy_564"/>
      <sheetName val="[ДБСП_02_ 2002.xls]___Syzdy_565"/>
      <sheetName val="[ДБСП_02_ 2002.xls]___Syzdy_567"/>
      <sheetName val="[ДБСП_02_ 2002.xls]___Syzdy_566"/>
      <sheetName val="[ДБСП_02_ 2002.xls]___Syzdy_568"/>
      <sheetName val="[ДБСП_02_ 2002.xls]___Syzdy_569"/>
      <sheetName val="[ДБСП_02_ 2002.xls]___Syzdy_570"/>
      <sheetName val="[ДБСП_02_ 2002.xls]___Syzdy_573"/>
      <sheetName val="[ДБСП_02_ 2002.xls]___Syzdy_571"/>
      <sheetName val="[ДБСП_02_ 2002.xls]___Syzdy_572"/>
      <sheetName val="[ДБСП_02_ 2002.xls]___Syzdy_575"/>
      <sheetName val="[ДБСП_02_ 2002.xls]___Syzdy_574"/>
      <sheetName val="[ДБСП_02_ 2002.xls]___Syzdy_576"/>
      <sheetName val="[ДБСП_02_ 2002.xls]___Syzdy_577"/>
      <sheetName val="[ДБСП_02_ 2002.xls]___Syzdy_578"/>
      <sheetName val="[ДБСП_02_ 2002.xls]___Syzdy_580"/>
      <sheetName val="[ДБСП_02_ 2002.xls]___Syzdy_579"/>
      <sheetName val="[ДБСП_02_ 2002.xls]___Syzdy_581"/>
      <sheetName val="Все_по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/>
      <sheetData sheetId="322"/>
      <sheetData sheetId="323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 refreshError="1"/>
      <sheetData sheetId="464" refreshError="1"/>
      <sheetData sheetId="465"/>
      <sheetData sheetId="466" refreshError="1"/>
      <sheetData sheetId="467" refreshError="1"/>
      <sheetData sheetId="468" refreshError="1"/>
      <sheetData sheetId="469"/>
      <sheetData sheetId="470"/>
      <sheetData sheetId="471"/>
      <sheetData sheetId="472"/>
      <sheetData sheetId="473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/>
      <sheetData sheetId="489"/>
      <sheetData sheetId="490"/>
      <sheetData sheetId="491"/>
      <sheetData sheetId="492"/>
      <sheetData sheetId="493"/>
      <sheetData sheetId="494" refreshError="1"/>
      <sheetData sheetId="495" refreshError="1"/>
      <sheetData sheetId="496"/>
      <sheetData sheetId="497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/>
      <sheetData sheetId="516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 refreshError="1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 refreshError="1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 refreshError="1"/>
      <sheetData sheetId="922" refreshError="1"/>
      <sheetData sheetId="923" refreshError="1"/>
      <sheetData sheetId="924"/>
      <sheetData sheetId="925"/>
      <sheetData sheetId="926"/>
      <sheetData sheetId="927"/>
      <sheetData sheetId="928"/>
      <sheetData sheetId="929"/>
      <sheetData sheetId="930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 refreshError="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/>
      <sheetData sheetId="1045"/>
      <sheetData sheetId="1046"/>
      <sheetData sheetId="1047"/>
      <sheetData sheetId="1048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/>
      <sheetData sheetId="1075"/>
      <sheetData sheetId="1076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 refreshError="1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 refreshError="1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NK"/>
      <sheetName val="2NK"/>
      <sheetName val="3NK"/>
      <sheetName val="4NK"/>
      <sheetName val="5NK "/>
      <sheetName val="5NK КТГ_ИЦА_Шатекову"/>
      <sheetName val="Налоги 2002-2006"/>
      <sheetName val="Cashflows"/>
      <sheetName val="Добыча нефти4"/>
      <sheetName val="поставка сравн13"/>
      <sheetName val="Добычанефти4"/>
      <sheetName val="поставкасравн13"/>
      <sheetName val="из сем"/>
      <sheetName val="Control"/>
      <sheetName val="Форма2"/>
      <sheetName val="Форма1"/>
      <sheetName val="Служебный"/>
      <sheetName val="Вид предмета"/>
      <sheetName val="Год"/>
      <sheetName val="КАТО"/>
      <sheetName val="Месяцы"/>
      <sheetName val="админ"/>
      <sheetName val="Способ закупки"/>
      <sheetName val="Тип пункта плана"/>
      <sheetName val="Справочник"/>
      <sheetName val="Содержание"/>
      <sheetName val="Пр2"/>
      <sheetName val="July_03_Pg8"/>
      <sheetName val="cant sim"/>
      <sheetName val="группа"/>
      <sheetName val="Изменяемые данные"/>
      <sheetName val="Info"/>
      <sheetName val="Ввод"/>
      <sheetName val="PP&amp;E mvt for 2003"/>
      <sheetName val="14.1.2.2.(Услуги связи)"/>
      <sheetName val="Индексы"/>
      <sheetName val="Осн"/>
      <sheetName val="5NK_"/>
      <sheetName val="5NK_КТГ_ИЦА_Шатекову"/>
      <sheetName val="Налоги_2002-2006"/>
      <sheetName val="Добыча_нефти4"/>
      <sheetName val="поставка_сравн13"/>
      <sheetName val="из_сем"/>
      <sheetName val="Распределение прибыли"/>
      <sheetName val="Water trucking 2005"/>
      <sheetName val="дебит на 31 06 05"/>
      <sheetName val="Лист1 (3)"/>
      <sheetName val="на 31.12.07 (4)"/>
      <sheetName val="CIP Dec 2006"/>
      <sheetName val="Лист1"/>
      <sheetName val="Sheet2"/>
      <sheetName val="РСза 6-м 2012"/>
      <sheetName val="июнь"/>
      <sheetName val="ГТМ"/>
      <sheetName val="ЕДСТВЫП"/>
      <sheetName val="FES"/>
      <sheetName val="Assumptions"/>
      <sheetName val="эксп"/>
      <sheetName val="1.411.1"/>
      <sheetName val="1"/>
      <sheetName val="Input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.1.1 (ФОТ)"/>
      <sheetName val="14.1.2.2.(Услуги связи)"/>
      <sheetName val="Амортизация"/>
      <sheetName val="14.1.5.(Командиров.)"/>
      <sheetName val="14.1.6.(Представит.расх.)"/>
      <sheetName val="14.1.7(Подг.и пов-е квалиф.)"/>
      <sheetName val="14.1.8.1.(Обслуж.здания)"/>
      <sheetName val="14.1.8.3(Охрана)"/>
      <sheetName val="14.1.8.4.(Материалы)"/>
      <sheetName val="14.1.8.5. (Обсл.Орг.техн)"/>
      <sheetName val="14.1.8.7."/>
      <sheetName val="14.1.8.8 (Больничн.)"/>
      <sheetName val="14.1.8.11.(Прочие)"/>
      <sheetName val="14.1.9.1.(Соц.налог)"/>
      <sheetName val="Налог на имущ."/>
      <sheetName val="Налог у ист.выплаты"/>
      <sheetName val="14.2.2.3.(аудит)"/>
      <sheetName val="14.2.2.8.(Авиауслуги)"/>
      <sheetName val="14.2.2.11.(Имидж.прод-я)"/>
      <sheetName val="14.2.2.12(Расходы по аренде)"/>
      <sheetName val="14.2.2.13(Перев. вместе с орг)"/>
      <sheetName val="Спонс.помощь"/>
      <sheetName val="Лист22"/>
      <sheetName val="Лист25"/>
      <sheetName val="Лист26"/>
      <sheetName val="Лист27"/>
      <sheetName val="Лист29"/>
      <sheetName val="Лист28"/>
      <sheetName val="Лист3"/>
      <sheetName val="Форма2"/>
      <sheetName val="  2.3.2"/>
      <sheetName val="Форма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мятка"/>
      <sheetName val="Форма1"/>
      <sheetName val="Форма2"/>
      <sheetName val="Форма3"/>
      <sheetName val="Форма4"/>
      <sheetName val="Форма5"/>
      <sheetName val="Форма6"/>
      <sheetName val="Форма7"/>
      <sheetName val="Форма8"/>
      <sheetName val="NPV"/>
      <sheetName val="Бюджет"/>
      <sheetName val="14.1.2.2.(Услуги связи)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аза"/>
      <sheetName val="Штатка"/>
      <sheetName val="Инвестиции"/>
      <sheetName val="Прибыль"/>
      <sheetName val="смета"/>
      <sheetName val="NPV"/>
      <sheetName val="14.1.2.2.(Услуги связи)"/>
      <sheetName val="Форма2"/>
      <sheetName val="Форма1"/>
      <sheetName val="отитб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аза"/>
      <sheetName val="Штатка"/>
      <sheetName val="Инвестиции"/>
      <sheetName val="Прибыль"/>
      <sheetName val="смета"/>
      <sheetName val="NPV"/>
      <sheetName val="Форма2"/>
      <sheetName val="14.1.2.2.(Услуги связи)"/>
      <sheetName val="Форма1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мятка"/>
      <sheetName val="Форма1"/>
      <sheetName val="Форма2"/>
      <sheetName val="Форма3"/>
      <sheetName val="Форма4"/>
      <sheetName val="Форма5"/>
      <sheetName val="Форма6"/>
      <sheetName val="Форма7"/>
      <sheetName val="Форма8"/>
      <sheetName val="14.1.2.2.(Услуги связи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анные деп-ов (вода)"/>
      <sheetName val="Затраты по нефти"/>
      <sheetName val="Данные деп-ов (всего)"/>
      <sheetName val="ДЭ"/>
      <sheetName val="Служба метрологии"/>
      <sheetName val="ОТиТБ"/>
      <sheetName val="Охрана ОС"/>
      <sheetName val="ДКФ"/>
      <sheetName val="налоги"/>
      <sheetName val="ТР ДТК"/>
      <sheetName val="КР"/>
      <sheetName val="Услуги связи"/>
      <sheetName val="Казн"/>
      <sheetName val="соц.налог"/>
      <sheetName val="Труд"/>
      <sheetName val="НТД и НИОКР"/>
      <sheetName val="соц.прогр всего"/>
      <sheetName val="соц.программа вода"/>
      <sheetName val="подготовка кадров ДУП"/>
      <sheetName val="ИСО"/>
      <sheetName val="1.2 Сценарий"/>
      <sheetName val="ТР АСУТПиМО"/>
      <sheetName val="NPV"/>
      <sheetName val="Добыча нефти4"/>
      <sheetName val="поставка сравн13"/>
      <sheetName val="Форма2"/>
      <sheetName val="Справка ИЦА"/>
      <sheetName val="14.1.2.2.(Услуги связи)"/>
      <sheetName val="1кв. "/>
      <sheetName val="2кв."/>
      <sheetName val="#REF"/>
      <sheetName val="Изменяемые данные"/>
      <sheetName val="д.7.001"/>
      <sheetName val="Статьи затрат"/>
      <sheetName val="list"/>
      <sheetName val="Balance Sheet"/>
      <sheetName val="входные данные"/>
      <sheetName val="цена реал-ии"/>
      <sheetName val="класс"/>
      <sheetName val="факт 2005 г."/>
      <sheetName val="из сем"/>
      <sheetName val="1НК"/>
      <sheetName val="БДР (50) "/>
      <sheetName val="затр на пр-во НиГ"/>
      <sheetName val="БДД (ЛИБОР%)"/>
      <sheetName val="для БДД (КМГ)"/>
      <sheetName val="для БДД расх (КМГ)"/>
      <sheetName val="налогия"/>
      <sheetName val="объемы"/>
      <sheetName val="Inputs"/>
      <sheetName val="Форма 3"/>
      <sheetName val="Форма 2"/>
      <sheetName val="Register"/>
      <sheetName val="7.1"/>
      <sheetName val="Форма1"/>
      <sheetName val="FES"/>
      <sheetName val="Лист1"/>
      <sheetName val="исп.см."/>
      <sheetName val="9 мес 2006 Еркен заполни здесь"/>
      <sheetName val="Анализ раздельный"/>
      <sheetName val="раб.файл по затратам 7-10"/>
      <sheetName val="данн"/>
      <sheetName val="Сводная смета затрат"/>
      <sheetName val="приложение№3"/>
      <sheetName val="Приложение 3"/>
      <sheetName val="Registr_kredit_06"/>
      <sheetName val="7НК"/>
      <sheetName val="Энергия"/>
      <sheetName val="5NK "/>
      <sheetName val="#ССЫЛКА"/>
      <sheetName val="ПКОП_3_100%"/>
      <sheetName val="ПКОП_2_100%"/>
      <sheetName val="3.ФОТ"/>
      <sheetName val="4.Налоги"/>
      <sheetName val="Ввод"/>
      <sheetName val="1,3 новая"/>
      <sheetName val="Брутто"/>
      <sheetName val="ТЭП старая"/>
      <sheetName val="H"/>
      <sheetName val="2@"/>
      <sheetName val="Balance"/>
      <sheetName val=" 4"/>
      <sheetName val="КПН"/>
      <sheetName val="  2.3.2"/>
      <sheetName val="Ф3"/>
      <sheetName val="ремонт 25"/>
      <sheetName val="2БО"/>
      <sheetName val="6БО"/>
      <sheetName val="2 БО"/>
      <sheetName val="База"/>
      <sheetName val="Фин.обяз."/>
      <sheetName val="Курсы"/>
      <sheetName val="Exp"/>
      <sheetName val="Добычанефти4"/>
      <sheetName val="поставкасравн13"/>
      <sheetName val="3БО (форма сбора)"/>
      <sheetName val="План произв-ва (мес.) (бюджет)"/>
      <sheetName val="свод"/>
      <sheetName val="ФОТ (2)"/>
      <sheetName val="ОРУ ктж"/>
      <sheetName val="Hidden"/>
      <sheetName val="ЕдИзм"/>
      <sheetName val="УПРАВЛЕНИЕ11"/>
      <sheetName val="Пр2"/>
      <sheetName val="Титул1"/>
      <sheetName val="СписокТЭП"/>
      <sheetName val="L-1"/>
      <sheetName val="XREF"/>
      <sheetName val="№1 Общие данные"/>
      <sheetName val="I KEY INFORMATION"/>
      <sheetName val="Счетчики"/>
      <sheetName val="баки _2_"/>
      <sheetName val="группа"/>
      <sheetName val="Официальные курсы"/>
      <sheetName val="Другие расходы"/>
      <sheetName val="Содержание"/>
      <sheetName val="Тыныс"/>
      <sheetName val="Справочник"/>
      <sheetName val="химвода ноябрь"/>
      <sheetName val="Химвода 2000"/>
      <sheetName val="Данные_деп-ов_(вода)"/>
      <sheetName val="Затраты_по_нефти"/>
      <sheetName val="Данные_деп-ов_(всего)"/>
      <sheetName val="Служба_метрологии"/>
      <sheetName val="Охрана_ОС"/>
      <sheetName val="ТР_ДТК"/>
      <sheetName val="Услуги_связи"/>
      <sheetName val="соц_налог"/>
      <sheetName val="НТД_и_НИОКР"/>
      <sheetName val="соц_прогр_всего"/>
      <sheetName val="соц_программа_вода"/>
      <sheetName val="подготовка_кадров_ДУП"/>
      <sheetName val="1_2_Сценарий"/>
      <sheetName val="ТР_АСУТПиМО"/>
      <sheetName val="Справка_ИЦА"/>
      <sheetName val="14_1_2_2_(Услуги_связи)"/>
      <sheetName val="1кв__"/>
      <sheetName val="2кв_"/>
      <sheetName val="Статьи_затрат"/>
      <sheetName val="входные_данные"/>
      <sheetName val="факт_2005_г_"/>
      <sheetName val="из_сем"/>
      <sheetName val="д_7_001"/>
      <sheetName val="БДР_(50)_"/>
      <sheetName val="затр_на_пр-во_НиГ"/>
      <sheetName val="БДД_(ЛИБОР%)"/>
      <sheetName val="для_БДД_(КМГ)"/>
      <sheetName val="для_БДД_расх_(КМГ)"/>
      <sheetName val="Изменяемые_данные"/>
      <sheetName val="Добыча_нефти4"/>
      <sheetName val="поставка_сравн13"/>
      <sheetName val="Форма_3"/>
      <sheetName val="Форма_2"/>
      <sheetName val="7_1"/>
      <sheetName val="Balance_Sheet"/>
      <sheetName val="цена_реал-ии"/>
      <sheetName val="9_мес_2006_Еркен_заполни_здесь"/>
      <sheetName val="Анализ_раздельный"/>
      <sheetName val="Сводная_смета_затрат"/>
      <sheetName val="раб_файл_по_затратам_7-10"/>
      <sheetName val="3_ФОТ"/>
      <sheetName val="4_Налоги"/>
      <sheetName val="1,3_новая"/>
      <sheetName val="ТЭП_старая"/>
      <sheetName val="Приложение_3"/>
      <sheetName val="__2_3_2"/>
      <sheetName val="_4"/>
      <sheetName val="2_БО"/>
      <sheetName val="Фин_обяз_"/>
      <sheetName val="3БО_(форма_сбора)"/>
      <sheetName val="План_произв-ва_(мес_)_(бюджет)"/>
      <sheetName val="5NK_"/>
      <sheetName val="I_KEY_INFORMATION"/>
      <sheetName val="ОРУ_ктж"/>
      <sheetName val="Официальные_курсы"/>
      <sheetName val="Другие_расходы"/>
      <sheetName val="баки__2_"/>
      <sheetName val="исп_см_"/>
      <sheetName val="ремонт_25"/>
      <sheetName val="Исх.данные"/>
      <sheetName val="L202 - КПСБ"/>
      <sheetName val="исходные данные "/>
      <sheetName val="ФП"/>
      <sheetName val="ДС МЗК"/>
      <sheetName val="Cashflow"/>
      <sheetName val="s"/>
      <sheetName val="Штатка"/>
      <sheetName val="Инвестиции"/>
      <sheetName val="Прибыль"/>
      <sheetName val="смета"/>
      <sheetName val="ЦХЛ 2004"/>
      <sheetName val="А_Газ"/>
      <sheetName val="Начисления процентов"/>
      <sheetName val="Input"/>
      <sheetName val="Fin.Model - Rev.exp. ,PL,BS,CF"/>
      <sheetName val="Предпосылки"/>
      <sheetName val="Макро"/>
      <sheetName val="КПВЭ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лементы"/>
      <sheetName val="флормиро"/>
      <sheetName val="Форма 7.1."/>
      <sheetName val="Форма 7 (2)"/>
      <sheetName val="Форма 7 балансировка (2)"/>
      <sheetName val="Форма 7 балансировка"/>
      <sheetName val="Лист1"/>
      <sheetName val="Форма 7 пр"/>
      <sheetName val="Лист2"/>
      <sheetName val="Форма 1"/>
      <sheetName val="Форма 2"/>
      <sheetName val="Форма 2.1."/>
      <sheetName val="Форма 3"/>
      <sheetName val="Форма 3.1"/>
      <sheetName val="Форма3.2"/>
      <sheetName val="Форма3.3"/>
      <sheetName val="Форма3.4"/>
      <sheetName val="Форма3.5"/>
      <sheetName val="Форма3.6"/>
      <sheetName val="Форма3.7"/>
      <sheetName val="Форма3.8"/>
      <sheetName val="Форма3.9"/>
      <sheetName val="Форма 3.10"/>
      <sheetName val="Форма4"/>
      <sheetName val="Форма5"/>
      <sheetName val="Форма5.1"/>
      <sheetName val="Форма5.2"/>
      <sheetName val="Форма6"/>
      <sheetName val="Форма6.1"/>
      <sheetName val="Форма 7."/>
      <sheetName val="Форма 7 фин"/>
      <sheetName val="Форма 7 кас (2)"/>
      <sheetName val="Форма 7 кас (3)"/>
      <sheetName val="Форма 7 кас"/>
      <sheetName val="Форма 7 .1"/>
      <sheetName val="Форма7."/>
      <sheetName val="Форма 6стара"/>
      <sheetName val="Форма 7"/>
      <sheetName val="Форма 8"/>
      <sheetName val="Форма 11"/>
      <sheetName val="FES"/>
      <sheetName val="  2.3.2"/>
      <sheetName val="NPV"/>
      <sheetName val="Форма2"/>
      <sheetName val="из сем"/>
      <sheetName val="поставка сравн13"/>
      <sheetName val="#ССЫЛКА"/>
      <sheetName val="ОТиТБ"/>
      <sheetName val="Инв.вл тыс.ед"/>
      <sheetName val="Добыча нефти4"/>
      <sheetName val="14.1.2.2.(Услуги связи)"/>
      <sheetName val="Содержание"/>
      <sheetName val="7.1"/>
      <sheetName val="IS"/>
      <sheetName val="2.2 ОтклОТМ"/>
      <sheetName val="1.3.2 ОТМ"/>
      <sheetName val="Предпр"/>
      <sheetName val="ЦентрЗатр"/>
      <sheetName val="ЕдИзм"/>
      <sheetName val="1кв. "/>
      <sheetName val="2кв."/>
      <sheetName val="Sheet1"/>
      <sheetName val="Дт-Кт"/>
      <sheetName val="Дт-Кт_АНАЛ"/>
      <sheetName val="Добычанефти4"/>
      <sheetName val="поставкасравн13"/>
      <sheetName val="Статьи затрат"/>
      <sheetName val="indices"/>
      <sheetName val="Форма_7_1_1"/>
      <sheetName val="Форма_7_(2)1"/>
      <sheetName val="Форма_7_балансировка_(2)1"/>
      <sheetName val="Форма_7_балансировка1"/>
      <sheetName val="Форма_7_пр1"/>
      <sheetName val="Форма_12"/>
      <sheetName val="Форма_21"/>
      <sheetName val="Форма_2_1_1"/>
      <sheetName val="Форма_31"/>
      <sheetName val="Форма_3_11"/>
      <sheetName val="Форма3_21"/>
      <sheetName val="Форма3_31"/>
      <sheetName val="Форма3_41"/>
      <sheetName val="Форма3_51"/>
      <sheetName val="Форма3_61"/>
      <sheetName val="Форма3_71"/>
      <sheetName val="Форма3_81"/>
      <sheetName val="Форма3_91"/>
      <sheetName val="Форма_3_101"/>
      <sheetName val="Форма5_11"/>
      <sheetName val="Форма5_21"/>
      <sheetName val="Форма6_11"/>
      <sheetName val="Форма_7_1"/>
      <sheetName val="Форма_7_фин1"/>
      <sheetName val="Форма_7_кас_(2)1"/>
      <sheetName val="Форма_7_кас_(3)1"/>
      <sheetName val="Форма_7_кас1"/>
      <sheetName val="Форма_7__11"/>
      <sheetName val="Форма7_1"/>
      <sheetName val="Форма_6стара1"/>
      <sheetName val="Форма_71"/>
      <sheetName val="Форма_81"/>
      <sheetName val="Форма_111"/>
      <sheetName val="__2_3_21"/>
      <sheetName val="из_сем1"/>
      <sheetName val="поставка_сравн131"/>
      <sheetName val="Форма_7_1_"/>
      <sheetName val="Форма_7_(2)"/>
      <sheetName val="Форма_7_балансировка_(2)"/>
      <sheetName val="Форма_7_балансировка"/>
      <sheetName val="Форма_7_пр"/>
      <sheetName val="Форма_1"/>
      <sheetName val="Форма_2"/>
      <sheetName val="Форма_2_1_"/>
      <sheetName val="Форма_3"/>
      <sheetName val="Форма_3_1"/>
      <sheetName val="Форма3_2"/>
      <sheetName val="Форма3_3"/>
      <sheetName val="Форма3_4"/>
      <sheetName val="Форма3_5"/>
      <sheetName val="Форма3_6"/>
      <sheetName val="Форма3_7"/>
      <sheetName val="Форма3_8"/>
      <sheetName val="Форма3_9"/>
      <sheetName val="Форма_3_10"/>
      <sheetName val="Форма5_1"/>
      <sheetName val="Форма5_2"/>
      <sheetName val="Форма6_1"/>
      <sheetName val="Форма_7_"/>
      <sheetName val="Форма_7_фин"/>
      <sheetName val="Форма_7_кас_(2)"/>
      <sheetName val="Форма_7_кас_(3)"/>
      <sheetName val="Форма_7_кас"/>
      <sheetName val="Форма_7__1"/>
      <sheetName val="Форма7_"/>
      <sheetName val="Форма_6стара"/>
      <sheetName val="Форма_7"/>
      <sheetName val="Форма_8"/>
      <sheetName val="Форма_11"/>
      <sheetName val="__2_3_2"/>
      <sheetName val="из_сем"/>
      <sheetName val="поставка_сравн13"/>
      <sheetName val="Форма_7_1_2"/>
      <sheetName val="Форма_7_(2)2"/>
      <sheetName val="Форма_7_балансировка_(2)2"/>
      <sheetName val="Форма_7_балансировка2"/>
      <sheetName val="Форма_7_пр2"/>
      <sheetName val="Форма_13"/>
      <sheetName val="Форма_22"/>
      <sheetName val="Форма_2_1_2"/>
      <sheetName val="Форма_32"/>
      <sheetName val="Форма_3_12"/>
      <sheetName val="Форма3_22"/>
      <sheetName val="Форма3_32"/>
      <sheetName val="Форма3_42"/>
      <sheetName val="Форма3_52"/>
      <sheetName val="Форма3_62"/>
      <sheetName val="Форма3_72"/>
      <sheetName val="Форма3_82"/>
      <sheetName val="Форма3_92"/>
      <sheetName val="Форма_3_102"/>
      <sheetName val="Форма5_12"/>
      <sheetName val="Форма5_22"/>
      <sheetName val="Форма6_12"/>
      <sheetName val="Форма_7_2"/>
      <sheetName val="Форма_7_фин2"/>
      <sheetName val="Форма_7_кас_(2)2"/>
      <sheetName val="Форма_7_кас_(3)2"/>
      <sheetName val="Форма_7_кас2"/>
      <sheetName val="Форма_7__12"/>
      <sheetName val="Форма7_2"/>
      <sheetName val="Форма_6стара2"/>
      <sheetName val="Форма_72"/>
      <sheetName val="Форма_82"/>
      <sheetName val="Форма_112"/>
      <sheetName val="__2_3_22"/>
      <sheetName val="из_сем2"/>
      <sheetName val="поставка_сравн132"/>
      <sheetName val="свод"/>
      <sheetName val="_ 2_3_2"/>
      <sheetName val="3.ФОТ"/>
      <sheetName val="потр"/>
      <sheetName val="СН"/>
      <sheetName val="Потребители"/>
      <sheetName val="Блоки"/>
      <sheetName val="Пок"/>
      <sheetName val="Сдача "/>
      <sheetName val="ОборБалФормОтч"/>
      <sheetName val="МО 0012"/>
      <sheetName val="NOV"/>
      <sheetName val="Бюджет"/>
      <sheetName val="Пр2"/>
      <sheetName val="Assumptions"/>
      <sheetName val="СПгнг"/>
      <sheetName val="ведомость"/>
      <sheetName val="Лист3"/>
      <sheetName val="Ввод"/>
      <sheetName val="N_SVOD"/>
      <sheetName val="1,3 новая"/>
      <sheetName val="12 из 57 АЗС"/>
      <sheetName val="ТЭП"/>
      <sheetName val="СписокТЭП"/>
      <sheetName val="Счетчики"/>
      <sheetName val="L-1"/>
      <sheetName val="I KEY INFORMATION"/>
      <sheetName val="ввод-вывод ОС авг2004- 2005"/>
      <sheetName val="группа"/>
      <sheetName val="ID-06"/>
      <sheetName val="глина"/>
      <sheetName val="13 NGDO"/>
      <sheetName val="жд тарифы"/>
      <sheetName val="сырье и материалы"/>
      <sheetName val="L-1 (БРК)"/>
      <sheetName val="g-1"/>
      <sheetName val="Resp _2_"/>
      <sheetName val="2@"/>
      <sheetName val="2 БО (тенге)"/>
      <sheetName val="Счет-ф"/>
      <sheetName val="Список инв. недвижимости с норм"/>
      <sheetName val="1"/>
      <sheetName val="1 класс"/>
      <sheetName val="2 класс"/>
      <sheetName val="3 класс"/>
      <sheetName val="4 класс"/>
      <sheetName val="5 класс"/>
      <sheetName val="t0_name"/>
      <sheetName val="I. Прогноз доходов"/>
      <sheetName val="Добыча_нефти4"/>
      <sheetName val="I_KEY_INFORMATION"/>
      <sheetName val="ввод-вывод_ОС_авг2004-_2005"/>
      <sheetName val="Добыча_нефти41"/>
      <sheetName val="I_KEY_INFORMATION1"/>
      <sheetName val="ввод-вывод_ОС_авг2004-_20051"/>
      <sheetName val="Input TD"/>
      <sheetName val="2БО"/>
      <sheetName val="#REF"/>
      <sheetName val="ФОТ"/>
      <sheetName val="Содерж сов.дир"/>
      <sheetName val="Консультац"/>
      <sheetName val="Соц"/>
      <sheetName val="Осн"/>
      <sheetName val="Изменяемые данные"/>
      <sheetName val="мат расходы"/>
      <sheetName val="класс"/>
      <sheetName val="факт 2005 г."/>
      <sheetName val="Info"/>
      <sheetName val="MS"/>
      <sheetName val="ИП_ДО_БЛ "/>
      <sheetName val="аренда цс"/>
      <sheetName val="всп"/>
      <sheetName val="2007 0,01"/>
      <sheetName val="Исх.данные"/>
      <sheetName val="Лист 1"/>
      <sheetName val="3НК"/>
      <sheetName val="ОКВЭД_свод"/>
      <sheetName val="нч"/>
      <sheetName val="Лист1 (3)"/>
      <sheetName val="на 31.12.07 (4)"/>
      <sheetName val="CIP Dec 2006"/>
      <sheetName val="2 БО"/>
      <sheetName val="Income $"/>
      <sheetName val="База"/>
      <sheetName val="10 БО (kzt)"/>
      <sheetName val="UNITPRICES"/>
      <sheetName val="Нефть"/>
      <sheetName val="Баланс"/>
      <sheetName val="SAD Schedule"/>
      <sheetName val="A4.100"/>
      <sheetName val="LME_prices"/>
      <sheetName val="подготовка кадр."/>
      <sheetName val="Форма1"/>
      <sheetName val="авансы выданные-1"/>
      <sheetName val="Деб-1"/>
      <sheetName val="Исходн"/>
      <sheetName val="1NK"/>
      <sheetName val="5R"/>
      <sheetName val="предприятия"/>
      <sheetName val="Объемы газ"/>
      <sheetName val="Лист5"/>
      <sheetName val="Титульный лист"/>
      <sheetName val="Ф2"/>
      <sheetName val="Ф3"/>
      <sheetName val="Ф4"/>
      <sheetName val="Ф7"/>
      <sheetName val="Ф8"/>
      <sheetName val="Ф9"/>
      <sheetName val="баланс Ф10"/>
      <sheetName val="транспорт"/>
      <sheetName val="кадры"/>
      <sheetName val="команд"/>
      <sheetName val="охр"/>
      <sheetName val="адм"/>
      <sheetName val="канцеляр"/>
      <sheetName val="к адм и предст"/>
      <sheetName val="конс"/>
      <sheetName val="Предст.расходы"/>
      <sheetName val="инфор усл"/>
      <sheetName val="Связь"/>
      <sheetName val="Юр усл"/>
      <sheetName val="Аренда офиса"/>
      <sheetName val="Предст.Москва "/>
      <sheetName val="машины"/>
      <sheetName val="Аморт"/>
      <sheetName val="страх"/>
      <sheetName val="СтрахМаш"/>
      <sheetName val="Kozh Prod"/>
      <sheetName val="Alibek Prod"/>
      <sheetName val="Кож+loss"/>
      <sheetName val="Алиб+loss"/>
      <sheetName val="хим К"/>
      <sheetName val="хим А-ла"/>
      <sheetName val="Intr-n"/>
      <sheetName val="Variants"/>
      <sheetName val="Input(mark)"/>
      <sheetName val="Prod-n"/>
      <sheetName val="Sales"/>
      <sheetName val="Sales Exp-s"/>
      <sheetName val="Elements"/>
      <sheetName val="Cost center"/>
      <sheetName val="страхование"/>
      <sheetName val="Обучение"/>
      <sheetName val="Сот.связь"/>
      <sheetName val="Depr-n"/>
      <sheetName val="Well CAPEX"/>
      <sheetName val="CashFlowDir"/>
      <sheetName val="CAPEX"/>
      <sheetName val="24-2"/>
      <sheetName val="Debt"/>
      <sheetName val="Prod-n график"/>
      <sheetName val="P&amp;L"/>
      <sheetName val="CFS"/>
      <sheetName val="Себест А"/>
      <sheetName val="Себест (К)"/>
      <sheetName val="себест на ед"/>
      <sheetName val="ГСМ А"/>
      <sheetName val="Комрасходы"/>
      <sheetName val="ГСМ К"/>
      <sheetName val="BS"/>
      <sheetName val="февраль"/>
      <sheetName val="март"/>
      <sheetName val="Тит"/>
      <sheetName val="МАТРИЦА ЗАТРАТ"/>
      <sheetName val="Доходы"/>
      <sheetName val="Buy-Out"/>
      <sheetName val="Outline"/>
      <sheetName val="IS_BS_CF"/>
      <sheetName val="PL"/>
      <sheetName val="CASH прямой метод"/>
      <sheetName val="CF"/>
      <sheetName val="Кап.з-ты"/>
      <sheetName val="З.пл"/>
      <sheetName val="Налоги по зп"/>
      <sheetName val="Усл.стор"/>
      <sheetName val="Свод налогов"/>
      <sheetName val="Обслуживание ВС"/>
      <sheetName val="Эксплуатац"/>
      <sheetName val="ОС"/>
      <sheetName val="Стр.затрат"/>
      <sheetName val="График,диагр"/>
      <sheetName val="Доли Акционеров"/>
      <sheetName val="Apr"/>
      <sheetName val="Aug"/>
      <sheetName val="Dec"/>
      <sheetName val="Feb"/>
      <sheetName val="Jan"/>
      <sheetName val="Jul"/>
      <sheetName val="Jun"/>
      <sheetName val="Mar"/>
      <sheetName val="May"/>
      <sheetName val="Oct"/>
      <sheetName val="Sep"/>
      <sheetName val="_x0000_"/>
      <sheetName val="Profit &amp; Loss Total"/>
      <sheetName val="TB 2005"/>
      <sheetName val="B-4"/>
      <sheetName val="Links"/>
      <sheetName val="GAAP TB 31.12.01  detail p&amp;l"/>
      <sheetName val="?"/>
      <sheetName val=""/>
      <sheetName val="Settings"/>
      <sheetName val="1.1 Паспорт"/>
      <sheetName val="1.401.2"/>
      <sheetName val="2_"/>
      <sheetName val="ТЭП старая"/>
      <sheetName val="д.7.001"/>
      <sheetName val="постоянные затраты"/>
      <sheetName val="Позиция"/>
      <sheetName val="пожар.охрана"/>
      <sheetName val="Курсы"/>
      <sheetName val="7НК"/>
      <sheetName val="данн"/>
      <sheetName val="indx"/>
      <sheetName val="Об-я св-а"/>
      <sheetName val="рев на 09.06."/>
      <sheetName val="Расчет2000Прямой"/>
      <sheetName val="сброс"/>
      <sheetName val="Бал. тов. пр.-1"/>
      <sheetName val="Пром1"/>
      <sheetName val="исходА"/>
      <sheetName val="п11"/>
      <sheetName val="п25ЦТАИ"/>
      <sheetName val="п25"/>
      <sheetName val="п23"/>
      <sheetName val="п26"/>
      <sheetName val="п31"/>
      <sheetName val="п4"/>
      <sheetName val="п5"/>
      <sheetName val="п7"/>
      <sheetName val="п8"/>
      <sheetName val="форма 3 смета затрат"/>
      <sheetName val="Dictionaries"/>
      <sheetName val="Исход"/>
      <sheetName val="4.Налоги"/>
      <sheetName val="базовые допущения"/>
      <sheetName val="Sheet2"/>
      <sheetName val="РСза 6-м 2012"/>
      <sheetName val="июнь"/>
      <sheetName val="Справка ИЦА"/>
      <sheetName val="КОнфиг"/>
      <sheetName val="табель"/>
      <sheetName val="Способ закупки"/>
      <sheetName val="Отпуск продукции"/>
      <sheetName val="Транс12дек"/>
      <sheetName val="Форма_7_1_3"/>
      <sheetName val="Форма_7_(2)3"/>
      <sheetName val="Форма_7_балансировка_(2)3"/>
      <sheetName val="Форма_7_балансировка3"/>
      <sheetName val="Форма_7_пр3"/>
      <sheetName val="Форма_14"/>
      <sheetName val="Форма_23"/>
      <sheetName val="Форма_2_1_3"/>
      <sheetName val="Форма_33"/>
      <sheetName val="Форма_3_13"/>
      <sheetName val="Форма3_23"/>
      <sheetName val="Форма3_33"/>
      <sheetName val="Форма3_43"/>
      <sheetName val="Форма3_53"/>
      <sheetName val="Форма3_63"/>
      <sheetName val="Форма3_73"/>
      <sheetName val="Форма3_83"/>
      <sheetName val="Форма3_93"/>
      <sheetName val="Форма_3_103"/>
      <sheetName val="Форма5_13"/>
      <sheetName val="Форма5_23"/>
      <sheetName val="Форма6_13"/>
      <sheetName val="Форма_7_3"/>
      <sheetName val="Форма_7_фин3"/>
      <sheetName val="Форма_7_кас_(2)3"/>
      <sheetName val="Форма_7_кас_(3)3"/>
      <sheetName val="Форма_7_кас3"/>
      <sheetName val="Форма_7__13"/>
      <sheetName val="Форма7_3"/>
      <sheetName val="Форма_6стара3"/>
      <sheetName val="Форма_73"/>
      <sheetName val="Форма_83"/>
      <sheetName val="Форма_113"/>
      <sheetName val="__2_3_23"/>
      <sheetName val="из_сем3"/>
      <sheetName val="поставка_сравн133"/>
      <sheetName val="Инв_вл_тыс_ед"/>
      <sheetName val="Добыча_нефти42"/>
      <sheetName val="14_1_2_2_(Услуги_связи)"/>
      <sheetName val="7_1"/>
      <sheetName val="2_2_ОтклОТМ"/>
      <sheetName val="1_3_2_ОТМ"/>
      <sheetName val="1кв__"/>
      <sheetName val="2кв_"/>
      <sheetName val="Статьи_затрат"/>
      <sheetName val="__2_3_24"/>
      <sheetName val="3_ФОТ"/>
      <sheetName val="Сдача_"/>
      <sheetName val="МО_0012"/>
      <sheetName val="1,3_новая"/>
      <sheetName val="12_из_57_АЗС"/>
      <sheetName val="I_KEY_INFORMATION2"/>
      <sheetName val="ввод-вывод_ОС_авг2004-_20052"/>
      <sheetName val="13_NGDO"/>
      <sheetName val="жд_тарифы"/>
      <sheetName val="сырье_и_материалы"/>
      <sheetName val="L-1_(БРК)"/>
      <sheetName val="Resp__2_"/>
      <sheetName val="2_БО_(тенге)"/>
      <sheetName val="Список_инв__недвижимости_с_норм"/>
      <sheetName val="1_класс"/>
      <sheetName val="2_класс"/>
      <sheetName val="3_класс"/>
      <sheetName val="4_класс"/>
      <sheetName val="5_класс"/>
      <sheetName val="I__Прогноз_доходов"/>
      <sheetName val="Input_TD"/>
      <sheetName val="Содерж_сов_дир"/>
      <sheetName val="Изменяемые_данные"/>
      <sheetName val="мат_расходы"/>
      <sheetName val="факт_2005_г_"/>
      <sheetName val="ИП_ДО_БЛ_"/>
      <sheetName val="аренда_цс"/>
      <sheetName val="2007_0,01"/>
      <sheetName val="Исх_данные"/>
      <sheetName val="Лист_1"/>
      <sheetName val="Лист1_(3)"/>
      <sheetName val="на_31_12_07_(4)"/>
      <sheetName val="CIP_Dec_2006"/>
      <sheetName val="2_БО"/>
      <sheetName val="Income_$"/>
      <sheetName val="10_БО_(kzt)"/>
      <sheetName val="SAD_Schedule"/>
      <sheetName val="A4_100"/>
      <sheetName val="подготовка_кадр_"/>
      <sheetName val="авансы_выданные-1"/>
      <sheetName val="Объемы_газ"/>
      <sheetName val="Титульный_лист"/>
      <sheetName val="баланс_Ф10"/>
      <sheetName val="к_адм_и_предст"/>
      <sheetName val="Предст_расходы"/>
      <sheetName val="инфор_усл"/>
      <sheetName val="Юр_усл"/>
      <sheetName val="Аренда_офиса"/>
      <sheetName val="Предст_Москва_"/>
      <sheetName val="Kozh_Prod"/>
      <sheetName val="Alibek_Prod"/>
      <sheetName val="хим_К"/>
      <sheetName val="хим_А-ла"/>
      <sheetName val="Sales_Exp-s"/>
      <sheetName val="Cost_center"/>
      <sheetName val="Сот_связь"/>
      <sheetName val="Well_CAPEX"/>
      <sheetName val="Prod-n_график"/>
      <sheetName val="Себест_А"/>
      <sheetName val="Себест_(К)"/>
      <sheetName val="себест_на_ед"/>
      <sheetName val="ГСМ_А"/>
      <sheetName val="ГСМ_К"/>
      <sheetName val="МАТРИЦА_ЗАТРАТ"/>
      <sheetName val="CASH_прямой_метод"/>
      <sheetName val="Кап_з-ты"/>
      <sheetName val="З_пл"/>
      <sheetName val="Налоги_по_зп"/>
      <sheetName val="Усл_стор"/>
      <sheetName val="Свод_налогов"/>
      <sheetName val="Обслуживание_ВС"/>
      <sheetName val="Стр_затрат"/>
      <sheetName val="Доли_Акционеров"/>
      <sheetName val="Profit_&amp;_Loss_Total"/>
      <sheetName val="TB_2005"/>
      <sheetName val="GAAP_TB_31_12_01__detail_p&amp;l"/>
      <sheetName val="1_1_Паспорт"/>
      <sheetName val="1_401_2"/>
      <sheetName val="ТЭП_старая"/>
      <sheetName val="д_7_001"/>
      <sheetName val="постоянные_затраты"/>
      <sheetName val="пожар_охрана"/>
      <sheetName val="Об-я_св-а"/>
      <sheetName val="рев_на_09_06_"/>
      <sheetName val="Бал__тов__пр_-1"/>
      <sheetName val="форма_3_смета_затрат"/>
      <sheetName val="4_Налоги"/>
      <sheetName val="базовые_допущения"/>
      <sheetName val="РСза_6-м_2012"/>
      <sheetName val="Справка_ИЦА"/>
      <sheetName val="Способ_закупки"/>
      <sheetName val="Отпуск_продукции"/>
      <sheetName val="путевки"/>
      <sheetName val="Заявлени+сдач.обх.по 22.02.12"/>
      <sheetName val="K_100_LS (2)"/>
      <sheetName val="H3.300 (2)"/>
      <sheetName val="K_300_RFD (2)"/>
      <sheetName val="SMSTemp"/>
      <sheetName val="ТитулЛистОтч"/>
      <sheetName val="definitions"/>
      <sheetName val="PV-date"/>
      <sheetName val="Data"/>
      <sheetName val="баки _2_"/>
      <sheetName val="Спецификация"/>
      <sheetName val="МодельППП (Свод)"/>
      <sheetName val="Сеть"/>
      <sheetName val="PL12"/>
      <sheetName val="list"/>
      <sheetName val="Loans out"/>
      <sheetName val="#"/>
      <sheetName val="Форма2.xls"/>
      <sheetName val="5NK "/>
      <sheetName val="по 2007 году план на 2008 год"/>
      <sheetName val="Труд."/>
      <sheetName val="цеховые"/>
      <sheetName val="ЭМГ"/>
      <sheetName val="14_1_2_2__Услуги связи_"/>
      <sheetName val="Common"/>
      <sheetName val="OPEX&amp;FIN"/>
      <sheetName val="Comp"/>
      <sheetName val="показатели"/>
      <sheetName val="черновик"/>
      <sheetName val="2в"/>
      <sheetName val="общ-нефт"/>
      <sheetName val="ОГВ"/>
      <sheetName val="общ.фонд  "/>
      <sheetName val="гор"/>
      <sheetName val="Месяц"/>
      <sheetName val="зоны"/>
      <sheetName val="МАТЕР.433,452"/>
      <sheetName val="_"/>
      <sheetName val="исп.см."/>
      <sheetName val="KTG_m"/>
      <sheetName val="План произв-ва (мес.) (бюджет)"/>
      <sheetName val="Prelim Cost"/>
      <sheetName val="спр. АРЕМ"/>
      <sheetName val="Январь"/>
      <sheetName val="Официальные курсы"/>
      <sheetName val="1. Доходы"/>
      <sheetName val="ИД"/>
      <sheetName val="смета"/>
      <sheetName val="Накл"/>
      <sheetName val="MATRIX_DA_10"/>
      <sheetName val="АУП командировочные"/>
      <sheetName val="БиВи (290)"/>
      <sheetName val="450"/>
      <sheetName val="Налоги"/>
      <sheetName val="план07"/>
      <sheetName val="TOC"/>
      <sheetName val="Test of FA Installation"/>
      <sheetName val="Additions"/>
      <sheetName val="шкала"/>
      <sheetName val="персонала"/>
      <sheetName val="ремонт 25"/>
      <sheetName val="пр 6 дох"/>
      <sheetName val="Касс книга"/>
      <sheetName val="Кнфиг сетка"/>
      <sheetName val="справочник"/>
      <sheetName val="Hidden"/>
      <sheetName val="Титул1"/>
      <sheetName val="Tier1"/>
      <sheetName val="СВОД Логистика"/>
      <sheetName val="PP&amp;E mvt for 2003"/>
      <sheetName val="Control"/>
      <sheetName val="Treatment Summary"/>
      <sheetName val="01-45"/>
      <sheetName val="Sheet5"/>
      <sheetName val="2002(v2)"/>
      <sheetName val="BS new"/>
      <sheetName val="Анализ"/>
      <sheetName val="Коэффициенты"/>
      <sheetName val="_ССЫЛКА"/>
      <sheetName val="объемы"/>
      <sheetName val="ИзменяемыеДанные"/>
      <sheetName val="14_1_2_2_(Услуги_связи)1"/>
      <sheetName val="14_1_2_2_(Услуги_связи)2"/>
      <sheetName val="Ф4_КБМ+АФ"/>
      <sheetName val="11"/>
      <sheetName val="Register"/>
      <sheetName val="Comp06"/>
      <sheetName val="Займы"/>
      <sheetName val="вход.параметры"/>
      <sheetName val="справка"/>
      <sheetName val="L-1 Займ БРК инвест цели"/>
      <sheetName val="1Утв ТК  Capex 07 "/>
      <sheetName val="май"/>
      <sheetName val="апрель"/>
      <sheetName val="Фонд 15гор"/>
      <sheetName val="Фонд Кар-с"/>
      <sheetName val="Фонд Купола"/>
      <sheetName val="Фонд 14 гор."/>
      <sheetName val="Фонд 16 гор."/>
      <sheetName val="Фонд 17 гор."/>
      <sheetName val="Фонд 18 гор."/>
      <sheetName val="материалы"/>
      <sheetName val="Keys"/>
      <sheetName val="ОСВ"/>
      <sheetName val="Add-s test"/>
      <sheetName val="АЗФ"/>
      <sheetName val="АК"/>
      <sheetName val="Актюбе"/>
      <sheetName val="ССГПО"/>
      <sheetName val="2002(v1)"/>
      <sheetName val="AFS"/>
      <sheetName val="май 203"/>
      <sheetName val="Лист6"/>
      <sheetName val="6БО"/>
      <sheetName val="Базовые данные"/>
      <sheetName val="14_1_2_2_(Услуги_связи)3"/>
      <sheetName val="Treatment_Summary"/>
      <sheetName val="14_1_2_2__Услуги_связи_"/>
      <sheetName val="Базовые_данные"/>
      <sheetName val="L-1_Займ_БРК_инвест_цели"/>
      <sheetName val="исп_см_"/>
      <sheetName val="вход_параметры"/>
      <sheetName val="1Утв_ТК__Capex_07_"/>
      <sheetName val="Фонд_15гор"/>
      <sheetName val="Фонд_Кар-с"/>
      <sheetName val="Фонд_Купола"/>
      <sheetName val="Фонд_14_гор_"/>
      <sheetName val="Фонд_16_гор_"/>
      <sheetName val="Фонд_17_гор_"/>
      <sheetName val="Фонд_18_гор_"/>
      <sheetName val="Prelim_Cost"/>
      <sheetName val="по_2007_году_план_на_2008_год"/>
      <sheetName val="5NK_"/>
      <sheetName val="Add-s_test"/>
      <sheetName val="точн2"/>
      <sheetName val="Зам.нгду-1"/>
      <sheetName val="Зам.ОЭПУ(доб)"/>
      <sheetName val="замер"/>
      <sheetName val="обв"/>
      <sheetName val="тех режим"/>
      <sheetName val="Зам.нгду-2(наг)"/>
      <sheetName val="исходные данные"/>
      <sheetName val="приложение№3"/>
      <sheetName val="общие данные"/>
      <sheetName val="отделы"/>
      <sheetName val="текст"/>
      <sheetName val="филиалы"/>
      <sheetName val="Макро"/>
      <sheetName val="Сводная"/>
      <sheetName val="ФП"/>
      <sheetName val="450 (2)"/>
      <sheetName val="Гр5(о)"/>
      <sheetName val="2.8. стр-ра себестоимости"/>
      <sheetName val="ГБ"/>
      <sheetName val="Подразд"/>
      <sheetName val="Спр_ пласт"/>
      <sheetName val="#REF!"/>
      <sheetName val="Преискурант"/>
      <sheetName val="план"/>
      <sheetName val="списки"/>
      <sheetName val="6НК-cт."/>
      <sheetName val="2008"/>
      <sheetName val="2009"/>
      <sheetName val="Sheet3"/>
      <sheetName val="Продактс"/>
      <sheetName val="Р.11. пр 11.1"/>
      <sheetName val="НДПИ"/>
      <sheetName val="сетка"/>
      <sheetName val="ЦЕХА"/>
      <sheetName val="Справка "/>
      <sheetName val="precios"/>
      <sheetName val="распределение модели"/>
      <sheetName val="конфир"/>
      <sheetName val="таблица"/>
      <sheetName val="Факт-Бюджет"/>
      <sheetName val="Факт"/>
      <sheetName val="Реализация"/>
      <sheetName val="Евкарпиди "/>
      <sheetName val="без НДС"/>
      <sheetName val="Бюджет-факт"/>
      <sheetName val="Форма 18"/>
      <sheetName val="K6210"/>
      <sheetName val="МТ_CapexDepreciation"/>
      <sheetName val="МУНАЙТАС L-1"/>
      <sheetName val="3а"/>
      <sheetName val="4"/>
      <sheetName val="4а"/>
      <sheetName val="5"/>
      <sheetName val="8180 (8181,8182)"/>
      <sheetName val="8082"/>
      <sheetName val="8250"/>
      <sheetName val="8140"/>
      <sheetName val="8070"/>
      <sheetName val="8145"/>
      <sheetName val="8200"/>
      <sheetName val="8113"/>
      <sheetName val="XREF"/>
      <sheetName val="8210"/>
      <sheetName val="_x0000__x0003__x0000__x0004__x0000_"/>
      <sheetName val="_x0000_ _x0000_"/>
      <sheetName val="_x0000__x0009__x0000_"/>
      <sheetName val="Распределение"/>
      <sheetName val="Ф"/>
      <sheetName val="Собственный капитал"/>
      <sheetName val="i-index"/>
      <sheetName val="ЭКРБ"/>
      <sheetName val="I1"/>
      <sheetName val="I2"/>
      <sheetName val="цхл 2004"/>
      <sheetName val="список"/>
      <sheetName val="ДС МЗК"/>
      <sheetName val="Anlagevermögen"/>
      <sheetName val="name"/>
      <sheetName val="Additions testing"/>
      <sheetName val="Movement schedule"/>
      <sheetName val="depreciation testing"/>
      <sheetName val="анализ кт"/>
      <sheetName val="H"/>
      <sheetName val="Лв 1715 (сб)"/>
      <sheetName val="2а (4)"/>
      <sheetName val="Схема доплат"/>
      <sheetName val="Повышающие коэф ОМГ"/>
      <sheetName val="Приход по вагонам"/>
      <sheetName val="ставки"/>
      <sheetName val="ЛКУ_2008_измен_270209"/>
      <sheetName val="КОРП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/>
      <sheetData sheetId="735"/>
      <sheetData sheetId="736"/>
      <sheetData sheetId="737"/>
      <sheetData sheetId="738"/>
      <sheetData sheetId="739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Год"/>
      <sheetName val="Тип пункта плана"/>
      <sheetName val="Служебный ФКРБ"/>
      <sheetName val="План_ГЗ2"/>
      <sheetName val="Источник_финансирования2"/>
      <sheetName val="Способ_закупки2"/>
      <sheetName val="Вид_предмета2"/>
      <sheetName val="Тип_пункта_плана2"/>
      <sheetName val="Служебный_ФКРБ2"/>
      <sheetName val="План_ГЗ1"/>
      <sheetName val="Источник_финансирования1"/>
      <sheetName val="Способ_закупки1"/>
      <sheetName val="Вид_предмета1"/>
      <sheetName val="Тип_пункта_плана1"/>
      <sheetName val="Служебный_ФКРБ1"/>
      <sheetName val="План_ГЗ"/>
      <sheetName val="Источник_финансирования"/>
      <sheetName val="Способ_закупки"/>
      <sheetName val="Вид_предмета"/>
      <sheetName val="Тип_пункта_плана"/>
      <sheetName val="Служебный_ФКРБ"/>
      <sheetName val="План_ГЗ3"/>
      <sheetName val="Источник_финансирования3"/>
      <sheetName val="Способ_закупки3"/>
      <sheetName val="Вид_предмета3"/>
      <sheetName val="Тип_пункта_плана3"/>
      <sheetName val="Служебный_ФКРБ3"/>
      <sheetName val="Служебный"/>
      <sheetName val="админ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На организованных электронных торгах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>
        <row r="1">
          <cell r="A1" t="str">
            <v>01 Конкурс</v>
          </cell>
        </row>
      </sheetData>
      <sheetData sheetId="17"/>
      <sheetData sheetId="18"/>
      <sheetData sheetId="19"/>
      <sheetData sheetId="20"/>
      <sheetData sheetId="21"/>
      <sheetData sheetId="22">
        <row r="1">
          <cell r="A1" t="str">
            <v>01 Конкурс</v>
          </cell>
        </row>
      </sheetData>
      <sheetData sheetId="23"/>
      <sheetData sheetId="24"/>
      <sheetData sheetId="25"/>
      <sheetData sheetId="26"/>
      <sheetData sheetId="27"/>
      <sheetData sheetId="28">
        <row r="1">
          <cell r="A1" t="str">
            <v>01 Конкурс</v>
          </cell>
        </row>
      </sheetData>
      <sheetData sheetId="29"/>
      <sheetData sheetId="30"/>
      <sheetData sheetId="31"/>
      <sheetData sheetId="32"/>
      <sheetData sheetId="33"/>
      <sheetData sheetId="34">
        <row r="1">
          <cell r="A1" t="str">
            <v>01 Конкурс</v>
          </cell>
        </row>
      </sheetData>
      <sheetData sheetId="35"/>
      <sheetData sheetId="36"/>
      <sheetData sheetId="37"/>
      <sheetData sheetId="38" refreshError="1"/>
      <sheetData sheetId="39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Лист2"/>
      <sheetName val="год(отг)"/>
      <sheetName val="год(опл)"/>
      <sheetName val="бланк"/>
      <sheetName val="Лист3"/>
      <sheetName val="Лист4"/>
      <sheetName val="Лист7"/>
      <sheetName val="Лист8"/>
      <sheetName val="Лист9"/>
      <sheetName val="Лист10"/>
      <sheetName val="Лист11"/>
      <sheetName val="Лист12"/>
      <sheetName val="Лист13"/>
      <sheetName val="Лист14"/>
      <sheetName val="Лист15"/>
      <sheetName val="Лист16"/>
      <sheetName val="????3"/>
      <sheetName val="Расчет2000Прямой"/>
      <sheetName val="OTCGOD9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н ГЗ"/>
      <sheetName val="План ГЗ (2)"/>
      <sheetName val="Фонд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Служебный ФКРБ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На организованных электронных торгах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5" refreshError="1"/>
      <sheetData sheetId="6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</sheetData>
      <sheetData sheetId="7" refreshError="1"/>
      <sheetData sheetId="8" refreshError="1"/>
      <sheetData sheetId="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мятка"/>
      <sheetName val="Форма1"/>
      <sheetName val="Форма2"/>
      <sheetName val="Форма3"/>
      <sheetName val="Форма4"/>
      <sheetName val="Форма5"/>
      <sheetName val="Форма6"/>
      <sheetName val="Форма7"/>
      <sheetName val="Форма8"/>
      <sheetName val="поставка сравн13"/>
      <sheetName val="Лист3"/>
      <sheetName val="Sheet1"/>
      <sheetName val="Итоговая таблица"/>
      <sheetName val="Добыча нефти4"/>
      <sheetName val="form"/>
      <sheetName val="Расчет2000Прямой"/>
      <sheetName val="топливо"/>
      <sheetName val="Потребители"/>
      <sheetName val="ОДТ и ГЦТ"/>
      <sheetName val="Осн"/>
      <sheetName val="7НК"/>
      <sheetName val="Пр2"/>
      <sheetName val="ОборБалФормОтч"/>
      <sheetName val="1кв. "/>
      <sheetName val="2кв."/>
      <sheetName val="Январь"/>
      <sheetName val="Фин.обязат."/>
      <sheetName val="поставка_сравн13"/>
      <sheetName val="Итоговая_таблица"/>
      <sheetName val="Добыча_нефти4"/>
      <sheetName val="1кв__"/>
      <sheetName val="2кв_"/>
      <sheetName val="Фин_обязат_"/>
      <sheetName val="FES"/>
      <sheetName val="Налоги на транспорт"/>
      <sheetName val="Лист1"/>
      <sheetName val="Лист2"/>
      <sheetName val="год(отг)"/>
      <sheetName val="год(опл)"/>
      <sheetName val="бланк"/>
      <sheetName val="Лист4"/>
      <sheetName val="Лист7"/>
      <sheetName val="Лист8"/>
      <sheetName val="Лист9"/>
      <sheetName val="Лист10"/>
      <sheetName val="Лист11"/>
      <sheetName val="Лист12"/>
      <sheetName val="Лист13"/>
      <sheetName val="Лист14"/>
      <sheetName val="Лист15"/>
      <sheetName val="Лист16"/>
      <sheetName val="????3"/>
      <sheetName val="OTCGOD99"/>
      <sheetName val="  2.3.2"/>
      <sheetName val="14.1.2.2.(Услуги связи)"/>
      <sheetName val="Ввод"/>
      <sheetName val="МП не вход.ФОТ"/>
      <sheetName val="NPV"/>
      <sheetName val="Добычанефти4"/>
      <sheetName val="поставкасравн13"/>
      <sheetName val="Запрос"/>
      <sheetName val="month"/>
      <sheetName val="численность"/>
      <sheetName val="2БО"/>
      <sheetName val="__2_3_2"/>
      <sheetName val="14_1_2_2_(Услуги_связи)"/>
      <sheetName val="МП_не_вход_ФОТ"/>
      <sheetName val="класс"/>
      <sheetName val="Мат.пом"/>
      <sheetName val="1NK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мятка"/>
      <sheetName val="Форма1"/>
      <sheetName val="Форма2"/>
      <sheetName val="Форма3"/>
      <sheetName val="Форма4"/>
      <sheetName val="Форма5"/>
      <sheetName val="Форма6"/>
      <sheetName val="Форма7"/>
      <sheetName val="Форма8"/>
      <sheetName val="поставка сравн13"/>
      <sheetName val="отитб"/>
      <sheetName val="Лист3"/>
      <sheetName val="form"/>
      <sheetName val="Расчет2000Прямой"/>
      <sheetName val="Итоговая таблица"/>
      <sheetName val="Содержание"/>
      <sheetName val="7.1"/>
      <sheetName val="Info"/>
      <sheetName val="7НК"/>
      <sheetName val="CO1"/>
      <sheetName val="CO11"/>
      <sheetName val="CO12"/>
      <sheetName val="CO13"/>
      <sheetName val="CO16"/>
      <sheetName val="CO17"/>
      <sheetName val="CO18"/>
      <sheetName val="CO19"/>
      <sheetName val="CO2"/>
      <sheetName val="CO20"/>
      <sheetName val="CO21"/>
      <sheetName val="CO22"/>
      <sheetName val="CO26"/>
      <sheetName val="CO27"/>
      <sheetName val="CO3"/>
      <sheetName val="CO30"/>
      <sheetName val="CO4"/>
      <sheetName val="CO5"/>
      <sheetName val="CO6"/>
      <sheetName val="CO7"/>
      <sheetName val="MACRO2.XLM"/>
      <sheetName val="U-ZR_AT1.XLS"/>
      <sheetName val="Comp06"/>
      <sheetName val="TOC"/>
      <sheetName val="ЕдИзм"/>
      <sheetName val="I KEY INFORMATION"/>
      <sheetName val="Sheet1"/>
      <sheetName val="из сем"/>
      <sheetName val="Instructions"/>
      <sheetName val="US Dollar 2003"/>
      <sheetName val="SDR 2003"/>
      <sheetName val="1NK"/>
      <sheetName val="Captions"/>
      <sheetName val="#ССЫЛКА"/>
      <sheetName val="Пр2"/>
      <sheetName val="из_сем1"/>
      <sheetName val="US_Dollar_20031"/>
      <sheetName val="SDR_20031"/>
      <sheetName val="из_сем"/>
      <sheetName val="US_Dollar_2003"/>
      <sheetName val="SDR_2003"/>
      <sheetName val="из_сем2"/>
      <sheetName val="US_Dollar_20032"/>
      <sheetName val="SDR_20032"/>
      <sheetName val="Статьи"/>
      <sheetName val="Input"/>
      <sheetName val="Anlagevermögen"/>
      <sheetName val="Control Settings"/>
      <sheetName val="Добыча нефти4"/>
      <sheetName val="Budget"/>
      <sheetName val="2.2 ОтклОТМ"/>
      <sheetName val="1.3.2 ОТМ"/>
      <sheetName val="Предпр"/>
      <sheetName val="ЦентрЗатр"/>
      <sheetName val="Cost 99v98"/>
      <sheetName val="cant sim"/>
      <sheetName val="PYTB"/>
      <sheetName val="XLR_NoRangeSheet"/>
      <sheetName val="1"/>
      <sheetName val="фот пп2000разбивка"/>
      <sheetName val="Production_Ref Q-1-3"/>
      <sheetName val="ЗАО_н.ит"/>
      <sheetName val="ЗАО_мес"/>
      <sheetName val="Aug"/>
      <sheetName val="Apr"/>
      <sheetName val="Dec"/>
      <sheetName val="Jul"/>
      <sheetName val="Jun"/>
      <sheetName val="May"/>
      <sheetName val="Mar"/>
      <sheetName val="Nov"/>
      <sheetName val="Oct"/>
      <sheetName val="Sep"/>
      <sheetName val="Feb"/>
      <sheetName val="Jan"/>
      <sheetName val="Нефть"/>
      <sheetName val="PP&amp;E mvt for 2003"/>
      <sheetName val="ЯНВАРЬ"/>
      <sheetName val="FP20DB (3)"/>
      <sheetName val="Курс валют"/>
      <sheetName val="АЗФ"/>
      <sheetName val="АК"/>
      <sheetName val="Актюбе"/>
      <sheetName val="ССГПО"/>
      <sheetName val="Другие расходы"/>
      <sheetName val="Форма 4 кап.зат-ты (2)"/>
      <sheetName val="2006 AJE RJE"/>
      <sheetName val="FES"/>
      <sheetName val="группа"/>
      <sheetName val="GAAP TB 31.12.01  detail p&amp;l"/>
      <sheetName val="КЭШ"/>
      <sheetName val="ОПиУ"/>
      <sheetName val="Лист1"/>
      <sheetName val="1БО"/>
      <sheetName val="штат"/>
      <sheetName val="КВЛ"/>
      <sheetName val="Канцтовары"/>
      <sheetName val="аренда"/>
      <sheetName val="связь"/>
      <sheetName val="реклама"/>
      <sheetName val="расхмат"/>
      <sheetName val="прочие стор"/>
      <sheetName val="услуги прочие"/>
      <sheetName val="обуч"/>
      <sheetName val="ком"/>
      <sheetName val="Выкуп порталов"/>
      <sheetName val="представ"/>
      <sheetName val="обуч (2)"/>
      <sheetName val="прочие стор (2)"/>
      <sheetName val="ком (2)"/>
      <sheetName val="КВЛ (2)"/>
      <sheetName val="СД"/>
      <sheetName val="прочие расходы"/>
      <sheetName val="шт (2)"/>
      <sheetName val="аренда (2)"/>
      <sheetName val="прогноз движения денег в ежемес"/>
      <sheetName val="ОПиУ в ежемес."/>
      <sheetName val="Баланс"/>
      <sheetName val="курсы"/>
      <sheetName val="Добыча_нефти41"/>
      <sheetName val="Добыча_нефти4"/>
      <sheetName val="Добыча_нефти42"/>
      <sheetName val="Добычанефти4"/>
      <sheetName val="поставкасравн13"/>
      <sheetName val="XREF"/>
      <sheetName val="Movements"/>
      <sheetName val="АПК реформа"/>
      <sheetName val="База"/>
      <sheetName val="Преискурант"/>
      <sheetName val="стр.245 (2)"/>
      <sheetName val="SETUP"/>
      <sheetName val="топливо"/>
      <sheetName val="Потребители"/>
      <sheetName val="Сдача "/>
      <sheetName val="МО 0012"/>
      <sheetName val="класс"/>
      <sheetName val="14.1.2.2.(Услуги связи)"/>
      <sheetName val="Осн"/>
      <sheetName val="13 NGDO"/>
      <sheetName val="  2.3.2"/>
      <sheetName val=""/>
      <sheetName val="Ввод"/>
      <sheetName val="СписокТЭП"/>
      <sheetName val="12 из 57 АЗС"/>
      <sheetName val="Авансы-1"/>
      <sheetName val="постоянные затраты"/>
      <sheetName val="Бюджет"/>
      <sheetName val="Пок"/>
      <sheetName val="почтов."/>
      <sheetName val="GTM BK"/>
      <sheetName val="Const"/>
      <sheetName val="Dep_OpEx"/>
      <sheetName val="5R"/>
      <sheetName val="Consolidator Inputs"/>
      <sheetName val="Auxilliary_Info"/>
      <sheetName val="KreПК"/>
      <sheetName val="11"/>
      <sheetName val="SMSTemp"/>
      <sheetName val="6НК-cт."/>
      <sheetName val="Interco payables&amp;receivables"/>
      <sheetName val="Налоги"/>
      <sheetName val="Б.мчас (П)"/>
      <sheetName val="IS"/>
      <sheetName val="свод"/>
      <sheetName val="calc"/>
      <sheetName val="предприятия"/>
      <sheetName val="Пр 41"/>
      <sheetName val="Russia Print Version"/>
      <sheetName val="U2 775 - COGS comparison per su"/>
      <sheetName val="finbal10"/>
      <sheetName val="12НК"/>
      <sheetName val="3НК"/>
      <sheetName val="KCC"/>
      <sheetName val="Данные"/>
      <sheetName val="П"/>
      <sheetName val="I. Прогноз доходов"/>
      <sheetName val="Financial ratios А3"/>
      <sheetName val="2_2 ОтклОТМ"/>
      <sheetName val="1_3_2 ОТМ"/>
      <sheetName val="2008 ГСМ"/>
      <sheetName val="Плата за загрязнение "/>
      <sheetName val="Типограф"/>
      <sheetName val="Собственный капитал"/>
      <sheetName val="ОборБалФормОтч"/>
      <sheetName val="ТитулЛистОтч"/>
      <sheetName val="2кв."/>
      <sheetName val="Production_ref_Q4"/>
      <sheetName val="Sales-COS"/>
      <sheetName val="Non-Statistical Sampling Master"/>
      <sheetName val="Global Data"/>
      <sheetName val="A-20"/>
      <sheetName val="канц"/>
      <sheetName val="Апрель"/>
      <sheetName val="Сентябрь"/>
      <sheetName val="Декабрь"/>
      <sheetName val="Ноябрь"/>
      <sheetName val="Квартал"/>
      <sheetName val="Июль"/>
      <sheetName val="Июнь"/>
      <sheetName val="Март"/>
      <sheetName val="H3.100 Rollforward"/>
      <sheetName val="факс(2005-20гг.)"/>
      <sheetName val="Инв.вл"/>
      <sheetName val="факт 2005 г."/>
      <sheetName val="д.7.001"/>
      <sheetName val="свод грузоотпр."/>
      <sheetName val="Курс"/>
      <sheetName val="Inputs"/>
      <sheetName val="Оборудование_стоим"/>
      <sheetName val="поставка_сравн13"/>
      <sheetName val="Итоговая_таблица"/>
      <sheetName val="7_1"/>
      <sheetName val="MACRO2_XLM"/>
      <sheetName val="U-ZR_AT1_XLS"/>
      <sheetName val="I_KEY_INFORMATION"/>
      <sheetName val="из_сем3"/>
      <sheetName val="US_Dollar_20033"/>
      <sheetName val="SDR_20033"/>
      <sheetName val="Control_Settings"/>
      <sheetName val="Добыча_нефти43"/>
      <sheetName val="2_2_ОтклОТМ"/>
      <sheetName val="1_3_2_ОТМ"/>
      <sheetName val="Cost_99v98"/>
      <sheetName val="cant_sim"/>
      <sheetName val="фот_пп2000разбивка"/>
      <sheetName val="Production_Ref_Q-1-3"/>
      <sheetName val="ЗАО_н_ит"/>
      <sheetName val="PP&amp;E_mvt_for_2003"/>
      <sheetName val="FP20DB_(3)"/>
      <sheetName val="Курс_валют"/>
      <sheetName val="Другие_расходы"/>
      <sheetName val="Форма_4_кап_зат-ты_(2)"/>
      <sheetName val="2006_AJE_RJE"/>
      <sheetName val="GAAP_TB_31_12_01__detail_p&amp;l"/>
      <sheetName val="прочие_стор"/>
      <sheetName val="услуги_прочие"/>
      <sheetName val="Выкуп_порталов"/>
      <sheetName val="обуч_(2)"/>
      <sheetName val="прочие_стор_(2)"/>
      <sheetName val="ком_(2)"/>
      <sheetName val="КВЛ_(2)"/>
      <sheetName val="прочие_расходы"/>
      <sheetName val="шт_(2)"/>
      <sheetName val="аренда_(2)"/>
      <sheetName val="прогноз_движения_денег_в_ежемес"/>
      <sheetName val="ОПиУ_в_ежемес_"/>
      <sheetName val="АПК_реформа"/>
      <sheetName val="стр_245_(2)"/>
      <sheetName val="Сдача_"/>
      <sheetName val="МО_0012"/>
      <sheetName val="14_1_2_2_(Услуги_связи)"/>
      <sheetName val="13_NGDO"/>
      <sheetName val="__2_3_2"/>
      <sheetName val="12_из_57_АЗС"/>
      <sheetName val="постоянные_затраты"/>
      <sheetName val="почтов_"/>
      <sheetName val="GTM_BK"/>
      <sheetName val="Consolidator_Inputs"/>
      <sheetName val="6НК-cт_"/>
      <sheetName val="Interco_payables&amp;receivables"/>
      <sheetName val="Б_мчас_(П)"/>
      <sheetName val="Пр_41"/>
      <sheetName val="Russia_Print_Version"/>
      <sheetName val="U2_775_-_COGS_comparison_per_su"/>
      <sheetName val="I__Прогноз_доходов"/>
      <sheetName val="Financial_ratios_А3"/>
      <sheetName val="2_2_ОтклОТМ1"/>
      <sheetName val="1_3_2_ОТМ1"/>
      <sheetName val="2008_ГСМ"/>
      <sheetName val="Плата_за_загрязнение_"/>
      <sheetName val="Собственный_капитал"/>
      <sheetName val="2кв_"/>
      <sheetName val="Non-Statistical_Sampling_Master"/>
      <sheetName val="Global_Data"/>
      <sheetName val="H3_100_Rollforward"/>
      <sheetName val="факс(2005-20гг_)"/>
      <sheetName val="Инв_вл"/>
      <sheetName val="факт_2005_г_"/>
      <sheetName val="д_7_001"/>
      <sheetName val="свод_грузоотпр_"/>
      <sheetName val="Assumptions"/>
      <sheetName val="NPV"/>
      <sheetName val="План произв-ва (мес.) (бюджет)"/>
      <sheetName val="Common"/>
      <sheetName val="OPEX&amp;FIN"/>
      <sheetName val="1 (2)"/>
      <sheetName val="ППД"/>
      <sheetName val="2в"/>
      <sheetName val="общ-нефт"/>
      <sheetName val="Hidden"/>
      <sheetName val="ОТЧЕТ КТЖ 01.01.09"/>
      <sheetName val="8180 (8181,8182)"/>
      <sheetName val="8082"/>
      <sheetName val="8250"/>
      <sheetName val="8140"/>
      <sheetName val="8070"/>
      <sheetName val="8145"/>
      <sheetName val="8200"/>
      <sheetName val="8113"/>
      <sheetName val="8210"/>
      <sheetName val="Balance Sheet"/>
      <sheetName val="summary"/>
      <sheetName val="Datasheet"/>
      <sheetName val="1 вариант  2009 "/>
      <sheetName val="Лист2"/>
      <sheetName val="Список документов"/>
      <sheetName val="GAAP TB 30.09.01  detail p&amp;l"/>
      <sheetName val="O.500 Property Tax"/>
      <sheetName val="План_произв-ва_(мес_)_(бюджет)"/>
      <sheetName val="Securities"/>
      <sheetName val="Capex"/>
      <sheetName val="Kolommen_balans"/>
      <sheetName val="SA Procedures"/>
      <sheetName val="ГМ "/>
      <sheetName val="ДД"/>
      <sheetName val="ATI"/>
      <sheetName val="Блоки"/>
      <sheetName val="_ССЫЛКА"/>
      <sheetName val="Справочник"/>
      <sheetName val="ГСМ Гараж"/>
      <sheetName val="ГСМ по инвест"/>
      <sheetName val="аморт"/>
      <sheetName val="Запчасти Гараж"/>
      <sheetName val="Стор Орг.РМУ"/>
      <sheetName val="Материалы РМУ"/>
      <sheetName val="Постановка на учет авто"/>
      <sheetName val="Размножение проектов"/>
      <sheetName val="материалы ВДГО"/>
      <sheetName val="Тех осмотр"/>
      <sheetName val="Проект 1"/>
      <sheetName val="Объем ВДГО"/>
      <sheetName val="Фин.обязат."/>
      <sheetName val="спецпит,проездн."/>
      <sheetName val="Cashflow"/>
      <sheetName val="форма 3 смета затрат"/>
      <sheetName val="Подразделения"/>
      <sheetName val="Проекты"/>
      <sheetName val="Сотрудники"/>
      <sheetName val="прил№10"/>
      <sheetName val="Гр5(о)"/>
      <sheetName val="Макро"/>
      <sheetName val="$ IS"/>
      <sheetName val="7"/>
      <sheetName val="10"/>
      <sheetName val="УПРАВЛЕНИЕ11"/>
      <sheetName val="Авансы_уплач,деньги в регионах"/>
      <sheetName val="Авансы_уплач,деньги в регионах,"/>
      <sheetName val="d_pok"/>
      <sheetName val="б"/>
      <sheetName val="PLтв - Б"/>
      <sheetName val="Спр. раб."/>
      <sheetName val="-расчет налогов от ФОТ  на 2014"/>
      <sheetName val="Analytics"/>
      <sheetName val="FA Movement Kyrg"/>
      <sheetName val="Reference"/>
      <sheetName val="перевозки"/>
      <sheetName val="9"/>
      <sheetName val="L-1"/>
      <sheetName val="ввод-вывод ОС авг2004- 2005"/>
      <sheetName val="Форма3.6"/>
      <sheetName val="Graph"/>
      <sheetName val="Pbs_Wbs_ATC"/>
      <sheetName val="FA Movement "/>
      <sheetName val="depreciation testing"/>
      <sheetName val="misc"/>
      <sheetName val="6 NK"/>
      <sheetName val="1кв. "/>
      <sheetName val="замер"/>
      <sheetName val="78"/>
      <sheetName val="PM-TE"/>
      <sheetName val="Test"/>
      <sheetName val="Keys"/>
      <sheetName val="Precios"/>
      <sheetName val="Settings"/>
      <sheetName val="Трафик по АУП"/>
      <sheetName val="Трафик по ЦБПТО"/>
      <sheetName val="Трафик по ПНУ"/>
      <sheetName val="Трафик по ЖНУ"/>
      <sheetName val="Трафик по ШНУ"/>
      <sheetName val="18."/>
      <sheetName val="08."/>
      <sheetName val="11."/>
      <sheetName val="14."/>
      <sheetName val="15."/>
      <sheetName val="05."/>
      <sheetName val="09."/>
      <sheetName val="04."/>
      <sheetName val="19."/>
      <sheetName val="01."/>
      <sheetName val="17."/>
      <sheetName val="07."/>
      <sheetName val="06."/>
      <sheetName val="16."/>
      <sheetName val="10."/>
      <sheetName val="28."/>
      <sheetName val="13."/>
      <sheetName val="03."/>
      <sheetName val="29."/>
      <sheetName val="30."/>
      <sheetName val="31."/>
      <sheetName val="27."/>
      <sheetName val="12."/>
      <sheetName val="20."/>
      <sheetName val="24."/>
      <sheetName val="25."/>
      <sheetName val="02."/>
      <sheetName val="21."/>
      <sheetName val="26."/>
      <sheetName val="23."/>
      <sheetName val="22."/>
      <sheetName val="altai income statement"/>
      <sheetName val="Бюджет тек. затрат"/>
      <sheetName val="коммун."/>
      <sheetName val="K-800 Imp. test"/>
      <sheetName val="FA register"/>
      <sheetName val="Добыча_нефти44"/>
      <sheetName val="GAAP_TB_31_12_01__detail_p&amp;l1"/>
      <sheetName val="прочие_стор1"/>
      <sheetName val="услуги_прочие1"/>
      <sheetName val="Выкуп_порталов1"/>
      <sheetName val="обуч_(2)1"/>
      <sheetName val="прочие_стор_(2)1"/>
      <sheetName val="ком_(2)1"/>
      <sheetName val="КВЛ_(2)1"/>
      <sheetName val="прочие_расходы1"/>
      <sheetName val="шт_(2)1"/>
      <sheetName val="аренда_(2)1"/>
      <sheetName val="прогноз_движения_денег_в_ежеме1"/>
      <sheetName val="ОПиУ_в_ежемес_1"/>
      <sheetName val="АПК_реформа1"/>
      <sheetName val="Б_мчас_(П)1"/>
      <sheetName val="PP&amp;E_mvt_for_20031"/>
      <sheetName val="2008_ГСМ1"/>
      <sheetName val="Disclosure"/>
      <sheetName val="4"/>
      <sheetName val="Служебный ФКРБ"/>
      <sheetName val="Источник финансирования"/>
      <sheetName val="Способ закупки"/>
      <sheetName val="Тип пункта плана"/>
      <sheetName val="Movement"/>
      <sheetName val="Плата_за_загрязнение_1"/>
      <sheetName val="факс(2005-20гг_)1"/>
      <sheetName val="поставка_сравн131"/>
      <sheetName val="ОТЧЕТ_КТЖ_01_01_09"/>
      <sheetName val="8180_(8181,8182)"/>
      <sheetName val="Balance_Sheet"/>
      <sheetName val="1_вариант__2009_"/>
      <sheetName val="Список_документов"/>
      <sheetName val="GAAP_TB_30_09_01__detail_p&amp;l"/>
      <sheetName val="1_(2)"/>
      <sheetName val="O_500_Property_Tax"/>
      <sheetName val="форма_3_смета_затрат"/>
      <sheetName val="$_IS"/>
      <sheetName val="Авансы_уплач,деньги_в_регионах"/>
      <sheetName val="Авансы_уплач,деньги_в_регионах,"/>
      <sheetName val="PLтв_-_Б"/>
      <sheetName val="Спр__раб_"/>
      <sheetName val="ГСМ_Гараж"/>
      <sheetName val="ГСМ_по_инвест"/>
      <sheetName val="Запчасти_Гараж"/>
      <sheetName val="Стор_Орг_РМУ"/>
      <sheetName val="Материалы_РМУ"/>
      <sheetName val="Постановка_на_учет_авто"/>
      <sheetName val="Размножение_проектов"/>
      <sheetName val="материалы_ВДГО"/>
      <sheetName val="Тех_осмотр"/>
      <sheetName val="Проект_1"/>
      <sheetName val="Объем_ВДГО"/>
      <sheetName val="Фин_обязат_"/>
      <sheetName val="спецпит,проездн_"/>
      <sheetName val="коммун_"/>
      <sheetName val="Бюджет_тек__затрат"/>
      <sheetName val="K-800_Imp__test"/>
      <sheetName val="FA_register"/>
      <sheetName val="не_удалять!"/>
      <sheetName val="заявка_на_произ"/>
      <sheetName val="7_11"/>
      <sheetName val="MACRO2_XLM1"/>
      <sheetName val="U-ZR_AT1_XLS1"/>
      <sheetName val="I_KEY_INFORMATION1"/>
      <sheetName val="из_сем4"/>
      <sheetName val="US_Dollar_20034"/>
      <sheetName val="SDR_20034"/>
      <sheetName val="Control_Settings1"/>
      <sheetName val="Cost_99v981"/>
      <sheetName val="cant_sim1"/>
      <sheetName val="фот_пп2000разбивка1"/>
      <sheetName val="Production_Ref_Q-1-31"/>
      <sheetName val="ЗАО_н_ит1"/>
      <sheetName val="FP20DB_(3)1"/>
      <sheetName val="Курс_валют1"/>
      <sheetName val="Другие_расходы1"/>
      <sheetName val="Форма_4_кап_зат-ты_(2)1"/>
      <sheetName val="2006_AJE_RJE1"/>
      <sheetName val="стр_245_(2)1"/>
      <sheetName val="Сдача_1"/>
      <sheetName val="МО_00121"/>
      <sheetName val="14_1_2_2_(Услуги_связи)1"/>
      <sheetName val="13_NGDO1"/>
      <sheetName val="__2_3_21"/>
      <sheetName val="12_из_57_АЗС1"/>
      <sheetName val="постоянные_затраты1"/>
      <sheetName val="почтов_1"/>
      <sheetName val="GTM_BK1"/>
      <sheetName val="Consolidator_Inputs1"/>
      <sheetName val="6НК-cт_1"/>
      <sheetName val="Interco_payables&amp;receivables1"/>
      <sheetName val="2_2_ОтклОТМ2"/>
      <sheetName val="1_3_2_ОТМ2"/>
      <sheetName val="Трафик_по_АУП"/>
      <sheetName val="Трафик_по_ЦБПТО"/>
      <sheetName val="Трафик_по_ПНУ"/>
      <sheetName val="Трафик_по_ЖНУ"/>
      <sheetName val="Трафик_по_ШНУ"/>
      <sheetName val="18_"/>
      <sheetName val="08_"/>
      <sheetName val="11_"/>
      <sheetName val="14_"/>
      <sheetName val="15_"/>
      <sheetName val="05_"/>
      <sheetName val="09_"/>
      <sheetName val="04_"/>
      <sheetName val="19_"/>
      <sheetName val="01_"/>
      <sheetName val="17_"/>
      <sheetName val="07_"/>
      <sheetName val="06_"/>
      <sheetName val="16_"/>
      <sheetName val="10_"/>
      <sheetName val="28_"/>
      <sheetName val="13_"/>
      <sheetName val="03_"/>
      <sheetName val="29_"/>
      <sheetName val="30_"/>
      <sheetName val="31_"/>
      <sheetName val="27_"/>
      <sheetName val="12_"/>
      <sheetName val="20_"/>
      <sheetName val="24_"/>
      <sheetName val="25_"/>
      <sheetName val="02_"/>
      <sheetName val="21_"/>
      <sheetName val="26_"/>
      <sheetName val="23_"/>
      <sheetName val="22_"/>
      <sheetName val="altai_income_statement"/>
      <sheetName val="Additions_Disposals"/>
      <sheetName val="Пр_411"/>
      <sheetName val="Russia_Print_Version1"/>
      <sheetName val="U2_775_-_COGS_comparison_per_s1"/>
      <sheetName val="I__Прогноз_доходов1"/>
      <sheetName val="Financial_ratios_А31"/>
      <sheetName val="2_2_ОтклОТМ3"/>
      <sheetName val="1_3_2_ОТМ3"/>
      <sheetName val="Собственный_капитал1"/>
      <sheetName val="2кв_1"/>
      <sheetName val="Non-Statistical_Sampling_Maste1"/>
      <sheetName val="Global_Data1"/>
      <sheetName val="H3_100_Rollforward1"/>
      <sheetName val="План_произв-ва_(мес_)_(бюджет)1"/>
      <sheetName val="Инв_вл1"/>
      <sheetName val="факт_2005_г_1"/>
      <sheetName val="д_7_0011"/>
      <sheetName val="свод_грузоотпр_1"/>
      <sheetName val="Итоговая_таблица1"/>
      <sheetName val="SA_Procedures"/>
      <sheetName val="ГМ_"/>
      <sheetName val="-расчет_налогов_от_ФОТ__на_2014"/>
      <sheetName val="FA_Movement_Kyrg"/>
      <sheetName val="ввод-вывод_ОС_авг2004-_2005"/>
      <sheetName val="Форма3_6"/>
      <sheetName val="FA_Movement_"/>
      <sheetName val="depreciation_testing"/>
      <sheetName val="16.12"/>
      <sheetName val="5"/>
      <sheetName val="4b - P&amp;L ProductLine"/>
      <sheetName val="4a - Revenue ProductLine"/>
      <sheetName val="5a - Orders analysis"/>
      <sheetName val="8 - Receivables"/>
      <sheetName val="D1 - Balances input"/>
      <sheetName val="D3 - DBmagn"/>
      <sheetName val="MetaData"/>
      <sheetName val="ЛСЦ начисленное на 31.12.08"/>
      <sheetName val="ЛЛизинг начис. на 31.12.08"/>
      <sheetName val="ВОЛС"/>
      <sheetName val="исп.см."/>
      <sheetName val="L&amp;E"/>
      <sheetName val="Cash flows - PBC"/>
      <sheetName val="эксп"/>
      <sheetName val="1кв__"/>
      <sheetName val="2БО"/>
      <sheetName val="6_NK"/>
      <sheetName val="НД_2017"/>
      <sheetName val="потр"/>
      <sheetName val="СН"/>
      <sheetName val="ТД РАП"/>
      <sheetName val="Все ТЭП"/>
      <sheetName val="1БК"/>
      <sheetName val="Ôîðìà2"/>
      <sheetName val="Ïàìÿòêà"/>
      <sheetName val="Ôîðìà1"/>
      <sheetName val="Ôîðìà3"/>
      <sheetName val="Ôîðìà4"/>
      <sheetName val="Ôîðìà5"/>
      <sheetName val="Ôîðìà6"/>
      <sheetName val="Ôîðìà7"/>
      <sheetName val="Ôîðìà8"/>
      <sheetName val="èç ñåì"/>
      <sheetName val="Ïð2"/>
      <sheetName val="ÅäÈçì"/>
      <sheetName val="Ïðåäïð"/>
      <sheetName val="Profiles"/>
      <sheetName val="Wells"/>
      <sheetName val="fish"/>
      <sheetName val="из_сем5"/>
      <sheetName val="US_Dollar_20035"/>
      <sheetName val="SDR_20035"/>
      <sheetName val="Control_Settings2"/>
      <sheetName val="GTM_BK2"/>
      <sheetName val="Добыча_нефти45"/>
      <sheetName val="поставка_сравн132"/>
      <sheetName val="2_2_ОтклОТМ4"/>
      <sheetName val="1_3_2_ОТМ4"/>
      <sheetName val="Cost_99v982"/>
      <sheetName val="cant_sim2"/>
      <sheetName val="фот_пп2000разбивка2"/>
      <sheetName val="Production_Ref_Q-1-32"/>
      <sheetName val="ЗАО_н_ит2"/>
      <sheetName val="PP&amp;E_mvt_for_20032"/>
      <sheetName val="FP20DB_(3)2"/>
      <sheetName val="Курс_валют2"/>
      <sheetName val="Другие_расходы2"/>
      <sheetName val="Форма_4_кап_зат-ты_(2)2"/>
      <sheetName val="2006_AJE_RJE2"/>
      <sheetName val="GAAP_TB_31_12_01__detail_p&amp;l2"/>
      <sheetName val="прочие_стор2"/>
      <sheetName val="услуги_прочие2"/>
      <sheetName val="Выкуп_порталов2"/>
      <sheetName val="обуч_(2)2"/>
      <sheetName val="прочие_стор_(2)2"/>
      <sheetName val="ком_(2)2"/>
      <sheetName val="КВЛ_(2)2"/>
      <sheetName val="прочие_расходы2"/>
      <sheetName val="шт_(2)2"/>
      <sheetName val="аренда_(2)2"/>
      <sheetName val="прогноз_движения_денег_в_ежеме2"/>
      <sheetName val="ОПиУ_в_ежемес_2"/>
      <sheetName val="АПК_реформа2"/>
      <sheetName val="стр_245_(2)2"/>
      <sheetName val="Сдача_2"/>
      <sheetName val="МО_00122"/>
      <sheetName val="14_1_2_2_(Услуги_связи)2"/>
      <sheetName val="13_NGDO2"/>
      <sheetName val="__2_3_22"/>
      <sheetName val="12_из_57_АЗС2"/>
      <sheetName val="постоянные_затраты2"/>
      <sheetName val="Consolidator_Inputs2"/>
      <sheetName val="7_12"/>
      <sheetName val="Пр_412"/>
      <sheetName val="Russia_Print_Version2"/>
      <sheetName val="U2_775_-_COGS_comparison_per_s2"/>
      <sheetName val="I__Прогноз_доходов2"/>
      <sheetName val="Financial_ratios_А32"/>
      <sheetName val="2_2_ОтклОТМ5"/>
      <sheetName val="1_3_2_ОТМ5"/>
      <sheetName val="Б_мчас_(П)2"/>
      <sheetName val="2008_ГСМ2"/>
      <sheetName val="Плата_за_загрязнение_2"/>
      <sheetName val="Собственный_капитал2"/>
      <sheetName val="2кв_2"/>
      <sheetName val="Non-Statistical_Sampling_Maste2"/>
      <sheetName val="Global_Data2"/>
      <sheetName val="H3_100_Rollforward2"/>
      <sheetName val="MACRO2_XLM2"/>
      <sheetName val="U-ZR_AT1_XLS2"/>
      <sheetName val="План_произв-ва_(мес_)_(бюджет)2"/>
      <sheetName val="Инв_вл2"/>
      <sheetName val="факт_2005_г_2"/>
      <sheetName val="д_7_0012"/>
      <sheetName val="свод_грузоотпр_2"/>
      <sheetName val="Итоговая_таблица2"/>
      <sheetName val="факс(2005-20гг_)2"/>
      <sheetName val="1_(2)1"/>
      <sheetName val="ОТЧЕТ_КТЖ_01_01_091"/>
      <sheetName val="8180_(8181,8182)1"/>
      <sheetName val="Balance_Sheet1"/>
      <sheetName val="1_вариант__2009_1"/>
      <sheetName val="Список_документов1"/>
      <sheetName val="GAAP_TB_30_09_01__detail_p&amp;l1"/>
      <sheetName val="O_500_Property_Tax1"/>
      <sheetName val="SA_Procedures1"/>
      <sheetName val="ГМ_1"/>
      <sheetName val="ГСМ_Гараж1"/>
      <sheetName val="ГСМ_по_инвест1"/>
      <sheetName val="Запчасти_Гараж1"/>
      <sheetName val="Стор_Орг_РМУ1"/>
      <sheetName val="Материалы_РМУ1"/>
      <sheetName val="Постановка_на_учет_авто1"/>
      <sheetName val="Размножение_проектов1"/>
      <sheetName val="материалы_ВДГО1"/>
      <sheetName val="Тех_осмотр1"/>
      <sheetName val="Проект_11"/>
      <sheetName val="Объем_ВДГО1"/>
      <sheetName val="Фин_обязат_1"/>
      <sheetName val="спецпит,проездн_1"/>
      <sheetName val="-расчет_налогов_от_ФОТ__на_2011"/>
      <sheetName val="FA_Movement_Kyrg1"/>
      <sheetName val="ввод-вывод_ОС_авг2004-_20051"/>
      <sheetName val="Форма3_61"/>
      <sheetName val="FA_Movement_1"/>
      <sheetName val="depreciation_testing1"/>
      <sheetName val="форма_3_смета_затрат1"/>
      <sheetName val="$_IS1"/>
      <sheetName val="Авансы_уплач,деньги_в_регионах1"/>
      <sheetName val="Авансы_уплач,деньги_в_регионах2"/>
      <sheetName val="PLтв_-_Б1"/>
      <sheetName val="Спр__раб_1"/>
      <sheetName val="K-800_Imp__test1"/>
      <sheetName val="FA_register1"/>
      <sheetName val="Бюджет_тек__затрат1"/>
      <sheetName val="16_12"/>
      <sheetName val="4b_-_P&amp;L_ProductLine"/>
      <sheetName val="4a_-_Revenue_ProductLine"/>
      <sheetName val="5a_-_Orders_analysis"/>
      <sheetName val="8_-_Receivables"/>
      <sheetName val="D1_-_Balances_input"/>
      <sheetName val="D3_-_DBmagn"/>
      <sheetName val="ЛСЦ_начисленное_на_31_12_08"/>
      <sheetName val="ЛЛизинг_начис__на_31_12_08"/>
      <sheetName val="исп_см_"/>
      <sheetName val="Служебный_ФКРБ"/>
      <sheetName val="Источник_финансирования"/>
      <sheetName val="Способ_закупки"/>
      <sheetName val="Тип_пункта_плана"/>
      <sheetName val="Cash_flows_-_PBC"/>
      <sheetName val="коммун_1"/>
      <sheetName val="ТД_РАП"/>
      <sheetName val="Служебный ФК_x0005__x0000_"/>
      <sheetName val="6НК簀⽕쐀⽕"/>
      <sheetName val="Loaded"/>
      <sheetName val="PIT&amp;PP(2)"/>
      <sheetName val="153541"/>
      <sheetName val="тиме"/>
      <sheetName val="InputTI"/>
      <sheetName val="N"/>
      <sheetName val="без НДС"/>
      <sheetName val="6НКԯ_x0000_缀_x0000_"/>
      <sheetName val="Служебный ФК_x0000__x0000_"/>
      <sheetName val="6НК_x0007__x001c__x0009__x000d_"/>
      <sheetName val="_x0000__x000e__x0000__x000a__x0000__x0008__x0000__x000a__x0000__x000b__x0000__x0010__x0000__x0007_"/>
      <sheetName val="6НК_x0007__x001c_ _x000d_"/>
      <sheetName val="Служебный_ФК"/>
      <sheetName val="Служебный ФК厈-"/>
      <sheetName val="6НК0_x0000_堀-"/>
      <sheetName val="6НК0_x0000_瀀"/>
      <sheetName val="6НК0_x0000_"/>
      <sheetName val="6НК0_x0000_　Y"/>
      <sheetName val="Служебный ФК恔_x001c_"/>
      <sheetName val="Служебный ФК皸ɫ"/>
      <sheetName val="Служебный ФК_x0017_"/>
      <sheetName val="Служебный ФК_xdd10__x001f_"/>
      <sheetName val="Служебный ФК悄,"/>
      <sheetName val="Служебный ФК⽄"/>
      <sheetName val="Служебный ФК⽬"/>
      <sheetName val="Служебный ФК嵔 "/>
      <sheetName val="Служебный ФК_xdd90__x0012_"/>
      <sheetName val="Служебный ФК峔("/>
      <sheetName val="доп_дан_"/>
      <sheetName val="доп.дан."/>
      <sheetName val="Служебный ФК『"/>
      <sheetName val="Служебный ФК⿯"/>
      <sheetName val="Служебный ФКૐǪ"/>
      <sheetName val="Служебный ФК　"/>
      <sheetName val="6НК/_x0000_쀀"/>
      <sheetName val="6НК/_x0000_栀)"/>
      <sheetName val="6НК/_x0000_瀀à"/>
      <sheetName val="6НК/_x0000_⠀´"/>
      <sheetName val="6НК/_x0000_ࠀµ"/>
      <sheetName val="6НК/_x0000_쀀Ø"/>
      <sheetName val="Индексы"/>
      <sheetName val="Input_Assumptions"/>
      <sheetName val="Технический"/>
      <sheetName val="Служебный ФК_x0005_"/>
      <sheetName val="6НКԯ"/>
      <sheetName val="Служебный ФК"/>
      <sheetName val="6НК0"/>
      <sheetName val="Служебный ФК_x001f_"/>
      <sheetName val="Служебный ФК_x0012_"/>
      <sheetName val="6НК/_x0000_蠀"/>
      <sheetName val="6НК/_x0000_ü"/>
      <sheetName val="6НК/_x0000_£"/>
      <sheetName val="6НК/_x0000_蠀_x0008_"/>
      <sheetName val="6НК/_x0000_頀K"/>
      <sheetName val="ноябрь - декабрь"/>
      <sheetName val="Summary &amp; Variables"/>
      <sheetName val="6НК/_x0000__xd800_¹"/>
      <sheetName val="Links"/>
      <sheetName val="Production_analysis"/>
      <sheetName val="бартер"/>
      <sheetName val="6НК퐀ᵝഀ놃"/>
      <sheetName val="[form.xls]6НК/_x0000_쀀Ø"/>
      <sheetName val="[form.xls]6НК/_x0000_쀀"/>
      <sheetName val="[form.xls]6НК/_x0000_栀)"/>
      <sheetName val="[form.xls]6НК/_x0000_瀀à"/>
      <sheetName val="[form.xls]6НК/_x0000_⠀´"/>
      <sheetName val="[form.xls]6НК/_x0000_ࠀµ"/>
      <sheetName val="[form.xls]6НК/_x0000_蠀"/>
      <sheetName val="[form.xls]6НК/_x0000_ü"/>
      <sheetName val="[form.xls]6НК/_x0000_£"/>
      <sheetName val="[form.xls]6НК/_x0000_蠀_x0008_"/>
      <sheetName val="[form.xls]6НК/_x0000_頀K"/>
      <sheetName val=" По скв"/>
      <sheetName val="Программа(М)"/>
      <sheetName val="[form.xls][form.xls]6НК/_x0000_쀀"/>
      <sheetName val="[form.xls][form.xls]6НК/_x0000_栀)"/>
      <sheetName val="[form.xls][form.xls]6НК/_x0000_瀀à"/>
      <sheetName val="[form.xls][form.xls]6НК/_x0000_⠀´"/>
      <sheetName val="[form.xls][form.xls]6НК/_x0000_ࠀµ"/>
      <sheetName val="[form.xls][form.xls]6НК/_x0000_쀀Ø"/>
      <sheetName val="[form.xls]6НК/_x0000__xd800_¹"/>
      <sheetName val="6НК≟ഀﲃ"/>
      <sheetName val="[form.xls][form.xls]6НК/_x0000_蠀"/>
      <sheetName val="[form.xls][form.xls]6НК/_x0000_ü"/>
      <sheetName val="[form.xls][form.xls]6НК/_x0000_£"/>
      <sheetName val="[form.xls][form.xls]6НК/_x0000_蠀_x0008_"/>
      <sheetName val="[form.xls][form.xls]6НК/_x0000_頀K"/>
      <sheetName val="6НК/_x0000_렀£"/>
      <sheetName val="6НК/_x0000_�¹"/>
      <sheetName val="полугодие"/>
      <sheetName val="Вып.П.П."/>
      <sheetName val="кварталы"/>
      <sheetName val="план"/>
      <sheetName val="Россия-экспорт"/>
      <sheetName val="[form.xls][form.xls]6НК/_x0000__xd800_¹"/>
      <sheetName val="[form.xls]6НК/_x0000_렀£"/>
      <sheetName val="План_произв-в_x0006__x000c__x0007__x000f__x0010__x0011__x0007__x0007_贰΢ǅ_x0000_Ā_x0000__x0000__x0000__x0000_"/>
      <sheetName val="КР з.ч"/>
      <sheetName val="БРК УЖ"/>
      <sheetName val="БРК ЮКО свод"/>
      <sheetName val="Сбер 1450"/>
      <sheetName val="Сбер 1300"/>
      <sheetName val="Сбер 2500"/>
      <sheetName val="Сбер 3750"/>
      <sheetName val="Служебный ФК悤_x001d_"/>
      <sheetName val="Служебный ФК?_x001f_"/>
      <sheetName val="Служебный ФК?_x0012_"/>
      <sheetName val="6НК/"/>
      <sheetName val="[form.xls]6НК/"/>
      <sheetName val="[form.xls][form.xls]6НК/"/>
      <sheetName val="Исх.данные"/>
      <sheetName val="распределение модели"/>
      <sheetName val="цеховые"/>
      <sheetName val="breakdown"/>
      <sheetName val="P&amp;L"/>
      <sheetName val="Provisions"/>
      <sheetName val="FA depreciation"/>
      <sheetName val="CD-실적"/>
      <sheetName val="6НК吀ᥢഀ榃"/>
      <sheetName val="Project Detail Inputs"/>
      <sheetName val="ВСДС_1 (MAIN)"/>
      <sheetName val="[form.xls]6НК/_x0000_�¹"/>
      <sheetName val="[form.xls][form.xls]6НК/_x0000_�¹"/>
      <sheetName val="I_KEY_INFORMATION2"/>
      <sheetName val="почтов_2"/>
      <sheetName val="6НК-cт_2"/>
      <sheetName val="Interco_payables&amp;receivables2"/>
      <sheetName val="Трафик_по_АУП1"/>
      <sheetName val="Трафик_по_ЦБПТО1"/>
      <sheetName val="Трафик_по_ПНУ1"/>
      <sheetName val="Трафик_по_ЖНУ1"/>
      <sheetName val="Трафик_по_ШНУ1"/>
      <sheetName val="18_1"/>
      <sheetName val="08_1"/>
      <sheetName val="11_1"/>
      <sheetName val="14_1"/>
      <sheetName val="15_1"/>
      <sheetName val="05_1"/>
      <sheetName val="09_1"/>
      <sheetName val="Затраты утил.ТБО"/>
      <sheetName val="Админ и ОPEX 2010-12гг"/>
      <sheetName val="14_1_2_2__Услуги связи_"/>
      <sheetName val="Общие данные"/>
      <sheetName val="ПАРАМ"/>
      <sheetName val="канат.прод."/>
      <sheetName val="канат_прод_"/>
      <sheetName val="ноябрь_-_декабрь"/>
      <sheetName val="Ф3"/>
      <sheetName val="4НК"/>
      <sheetName val="LTM"/>
      <sheetName val="CREDIT STATS"/>
      <sheetName val="DropZone"/>
      <sheetName val="Analitics"/>
      <sheetName val="Test of FA Installation"/>
      <sheetName val="Additions"/>
      <sheetName val="Расчет объема СУИБ"/>
      <sheetName val="Энергия"/>
      <sheetName val="FS-97"/>
      <sheetName val="всп"/>
      <sheetName val="Staff"/>
      <sheetName val="Пром1"/>
      <sheetName val="Ural med"/>
      <sheetName val="НДПИ"/>
      <sheetName val="CONB001A_010_30"/>
      <sheetName val="Store"/>
      <sheetName val="КС 2018"/>
      <sheetName val="Lists"/>
      <sheetName val="Коэфф"/>
      <sheetName val="98-02E&amp;PSUM"/>
      <sheetName val="Input TI"/>
      <sheetName val="3.ФОТ"/>
      <sheetName val="4.Налоги"/>
      <sheetName val="расчет премии за 4 кв_12г"/>
      <sheetName val="ФОТ_2013 (2)"/>
      <sheetName val="Ком услуги аренды"/>
      <sheetName val="СВОД по НД расх"/>
      <sheetName val="Свод Мат по Тр 2012"/>
      <sheetName val="февраль"/>
      <sheetName val="Заполните"/>
      <sheetName val="Факт"/>
      <sheetName val="не удалять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/>
      <sheetData sheetId="634"/>
      <sheetData sheetId="635" refreshError="1"/>
      <sheetData sheetId="636"/>
      <sheetData sheetId="637" refreshError="1"/>
      <sheetData sheetId="638" refreshError="1"/>
      <sheetData sheetId="639" refreshError="1"/>
      <sheetData sheetId="640"/>
      <sheetData sheetId="641"/>
      <sheetData sheetId="642"/>
      <sheetData sheetId="643"/>
      <sheetData sheetId="644"/>
      <sheetData sheetId="645"/>
      <sheetData sheetId="646"/>
      <sheetData sheetId="647" refreshError="1"/>
      <sheetData sheetId="648"/>
      <sheetData sheetId="649" refreshError="1"/>
      <sheetData sheetId="650"/>
      <sheetData sheetId="651"/>
      <sheetData sheetId="652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 refreshError="1"/>
      <sheetData sheetId="685" refreshError="1"/>
      <sheetData sheetId="686" refreshError="1"/>
      <sheetData sheetId="687"/>
      <sheetData sheetId="688"/>
      <sheetData sheetId="689"/>
      <sheetData sheetId="690"/>
      <sheetData sheetId="691"/>
      <sheetData sheetId="692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/>
      <sheetData sheetId="878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/>
      <sheetData sheetId="903"/>
      <sheetData sheetId="904"/>
      <sheetData sheetId="905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лементы"/>
      <sheetName val="флормиро"/>
      <sheetName val="Форма 7.1."/>
      <sheetName val="Форма 7 (2)"/>
      <sheetName val="Форма 7 балансировка (2)"/>
      <sheetName val="Форма 7 балансировка"/>
      <sheetName val="Лист1"/>
      <sheetName val="Форма 7 пр"/>
      <sheetName val="Лист2"/>
      <sheetName val="Форма 1"/>
      <sheetName val="Форма 2"/>
      <sheetName val="Форма 2.1."/>
      <sheetName val="Форма 3"/>
      <sheetName val="Форма 3.1"/>
      <sheetName val="Форма3.2"/>
      <sheetName val="Форма3.3"/>
      <sheetName val="Форма3.4"/>
      <sheetName val="Форма3.5"/>
      <sheetName val="Форма3.6"/>
      <sheetName val="Форма3.7"/>
      <sheetName val="Форма3.8"/>
      <sheetName val="Форма3.9"/>
      <sheetName val="Форма 3.10"/>
      <sheetName val="Форма4"/>
      <sheetName val="Форма5"/>
      <sheetName val="Форма5.1"/>
      <sheetName val="Форма5.2"/>
      <sheetName val="Форма6"/>
      <sheetName val="Форма6.1"/>
      <sheetName val="Форма 7."/>
      <sheetName val="Форма 7 фин"/>
      <sheetName val="Форма 7 кас (2)"/>
      <sheetName val="Форма 7 кас (3)"/>
      <sheetName val="Форма 7 кас"/>
      <sheetName val="Форма 7 .1"/>
      <sheetName val="Форма7."/>
      <sheetName val="Форма 6стара"/>
      <sheetName val="Форма 7"/>
      <sheetName val="Форма 8"/>
      <sheetName val="Форма 11"/>
      <sheetName val="#ССЫЛКА"/>
      <sheetName val="поставка сравн13"/>
      <sheetName val="Сдача "/>
      <sheetName val="Форма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ализ"/>
      <sheetName val="Коэффициенты"/>
      <sheetName val="#ССЫЛКА"/>
      <sheetName val="_ССЫЛКА"/>
      <sheetName val="NPV"/>
      <sheetName val="Форма2"/>
      <sheetName val="Форма1"/>
      <sheetName val="14.1.2.2.(Услуги связи)"/>
      <sheetName val="ЦентрЗатр"/>
      <sheetName val="исп.см."/>
      <sheetName val="1NK"/>
      <sheetName val="Добычанефти4"/>
      <sheetName val="поставкасравн13"/>
      <sheetName val="поставка сравн13"/>
      <sheetName val="ТЭП старая"/>
      <sheetName val="N_SVOD"/>
      <sheetName val="объемы"/>
      <sheetName val="из сем"/>
      <sheetName val="14_1_2_2_(Услуги_связи)1"/>
      <sheetName val="14_1_2_2_(Услуги_связи)"/>
      <sheetName val="14_1_2_2_(Услуги_связи)2"/>
      <sheetName val="Справочник"/>
      <sheetName val="ОборБалФормОтч"/>
      <sheetName val="ИзменяемыеДанные"/>
      <sheetName val="Сдача "/>
      <sheetName val="7.1"/>
      <sheetName val="Добыча нефти4"/>
      <sheetName val="Ф4_КБМ+АФ"/>
      <sheetName val="14_1_2_2__Услуги связи_"/>
      <sheetName val="справка"/>
      <sheetName val="группа"/>
      <sheetName val="Treatment Summary"/>
      <sheetName val="Форма3.6"/>
      <sheetName val="Бюджет"/>
      <sheetName val="ЕдИзм"/>
      <sheetName val="Предпр"/>
      <sheetName val="Пром1"/>
      <sheetName val="Assumptions"/>
      <sheetName val="#REF"/>
      <sheetName val="  2.3.2"/>
      <sheetName val="L-1 Займ БРК инвест цели"/>
      <sheetName val="G-1"/>
      <sheetName val="11"/>
      <sheetName val="Содержание"/>
      <sheetName val="Control"/>
      <sheetName val="Register"/>
      <sheetName val="Comp06"/>
      <sheetName val="Income $"/>
      <sheetName val="2 БО"/>
      <sheetName val="10 БО (kzt)"/>
      <sheetName val="7НК"/>
      <sheetName val="3НК"/>
      <sheetName val="FES"/>
      <sheetName val="1кв. "/>
      <sheetName val="2кв."/>
      <sheetName val="Займы"/>
      <sheetName val="indices"/>
      <sheetName val="Инв.вл тыс.ед"/>
      <sheetName val="вход.параметры"/>
      <sheetName val="1Утв ТК  Capex 07 "/>
      <sheetName val="д.7.001"/>
      <sheetName val="май"/>
      <sheetName val="апрель"/>
      <sheetName val="Фонд 15гор"/>
      <sheetName val="Фонд Кар-с"/>
      <sheetName val="Фонд Купола"/>
      <sheetName val="Фонд 14 гор."/>
      <sheetName val="Фонд 16 гор."/>
      <sheetName val="Фонд 17 гор."/>
      <sheetName val="Фонд 18 гор."/>
      <sheetName val="материалы"/>
      <sheetName val="Статьи затрат"/>
      <sheetName val="Справка ИЦА"/>
      <sheetName val="Месяц"/>
      <sheetName val="Keys"/>
      <sheetName val="Prelim Cost"/>
      <sheetName val="Расчет2000Прямой"/>
      <sheetName val="ОСВ"/>
      <sheetName val="по 2007 году план на 2008 год"/>
      <sheetName val="5NK "/>
      <sheetName val="Пр2"/>
      <sheetName val="Add-s test"/>
      <sheetName val="АЗФ"/>
      <sheetName val="АК"/>
      <sheetName val="Актюбе"/>
      <sheetName val="ССГПО"/>
      <sheetName val="ОТиТБ"/>
      <sheetName val="2002(v1)"/>
      <sheetName val="list"/>
      <sheetName val="AFS"/>
      <sheetName val="БиВи (290)"/>
      <sheetName val="СписокТЭП"/>
      <sheetName val="Лист5"/>
      <sheetName val="L-1"/>
      <sheetName val="июнь"/>
      <sheetName val="май 203"/>
      <sheetName val="Лист6"/>
      <sheetName val="Лист1"/>
      <sheetName val="Базовые данные"/>
      <sheetName val="14_1_2_2_(Услуги_связи)3"/>
      <sheetName val="ТЭП_старая"/>
      <sheetName val="поставка_сравн13"/>
      <sheetName val="из_сем"/>
      <sheetName val="Сдача_"/>
      <sheetName val="7_1"/>
      <sheetName val="Treatment_Summary"/>
      <sheetName val="Форма3_6"/>
      <sheetName val="14_1_2_2__Услуги_связи_"/>
      <sheetName val="Базовые_данные"/>
      <sheetName val="L-1_Займ_БРК_инвест_цели"/>
      <sheetName val="исп_см_"/>
      <sheetName val="Добыча_нефти4"/>
      <sheetName val="Лист3"/>
      <sheetName val="6БО"/>
      <sheetName val="Форма 3"/>
      <sheetName val="Форма 2"/>
      <sheetName val="точн2"/>
      <sheetName val="__2_3_2"/>
      <sheetName val="Income_$"/>
      <sheetName val="2_БО"/>
      <sheetName val="10_БО_(kzt)"/>
      <sheetName val="1кв__"/>
      <sheetName val="2кв_"/>
      <sheetName val="Инв_вл_тыс_ед"/>
      <sheetName val="вход_параметры"/>
      <sheetName val="д_7_001"/>
      <sheetName val="1Утв_ТК__Capex_07_"/>
      <sheetName val="Статьи_затрат"/>
      <sheetName val="Справка_ИЦА"/>
      <sheetName val="Фонд_15гор"/>
      <sheetName val="Фонд_Кар-с"/>
      <sheetName val="Фонд_Купола"/>
      <sheetName val="Фонд_14_гор_"/>
      <sheetName val="Фонд_16_гор_"/>
      <sheetName val="Фонд_17_гор_"/>
      <sheetName val="Фонд_18_гор_"/>
      <sheetName val="Prelim_Cost"/>
      <sheetName val="по_2007_году_план_на_2008_год"/>
      <sheetName val="5NK_"/>
      <sheetName val="Add-s_test"/>
      <sheetName val="Зам.нгду-1"/>
      <sheetName val="Зам.ОЭПУ(доб)"/>
      <sheetName val="замер"/>
      <sheetName val="обв"/>
      <sheetName val="тех режим"/>
      <sheetName val="Зам.нгду-2(наг)"/>
      <sheetName val="I. Прогноз доходов"/>
      <sheetName val="Нефть"/>
      <sheetName val="LME_prices"/>
      <sheetName val="МодельППП (Свод)"/>
      <sheetName val="общие данные"/>
      <sheetName val="отделы"/>
      <sheetName val="2002(v2)"/>
      <sheetName val="Титул1"/>
      <sheetName val="текст"/>
      <sheetName val="филиалы"/>
      <sheetName val="Макро"/>
      <sheetName val="ФП"/>
      <sheetName val="450 (2)"/>
      <sheetName val="флормиро"/>
      <sheetName val="приложение№3"/>
      <sheetName val="ввод-вывод ОС авг2004- 2005"/>
      <sheetName val="BS new"/>
      <sheetName val="2007 0,01"/>
      <sheetName val="Накл"/>
      <sheetName val="Loans out"/>
      <sheetName val="Гр5(о)"/>
      <sheetName val="свод"/>
      <sheetName val="МАТЕР.433,452"/>
      <sheetName val="Hidden"/>
      <sheetName val="исходные данные"/>
      <sheetName val="Sheet1"/>
      <sheetName val="ГБ"/>
      <sheetName val="мат расходы"/>
      <sheetName val="2.8. стр-ра себестоимости"/>
      <sheetName val="Сводная"/>
      <sheetName val="#REF!"/>
      <sheetName val="Capex"/>
      <sheetName val="Спр_ пласт"/>
      <sheetName val="класс"/>
      <sheetName val="01-45"/>
      <sheetName val="Преискурант"/>
      <sheetName val="Подразд"/>
      <sheetName val="план"/>
      <sheetName val="Баланс"/>
      <sheetName val="КР материалы"/>
      <sheetName val="Movements"/>
      <sheetName val="ИП_ДО_БЛ "/>
      <sheetName val="14_1_2_2_(Услуги_связи)4"/>
      <sheetName val="исп_см_1"/>
      <sheetName val="поставка_сравн131"/>
      <sheetName val="ТЭП_старая1"/>
      <sheetName val="из_сем1"/>
      <sheetName val="Сдача_1"/>
      <sheetName val="7_11"/>
      <sheetName val="Добыча_нефти41"/>
      <sheetName val="14_1_2_2__Услуги_связи_1"/>
      <sheetName val="Treatment_Summary1"/>
      <sheetName val="Форма3_61"/>
      <sheetName val="__2_3_21"/>
      <sheetName val="L-1_Займ_БРК_инвест_цели1"/>
      <sheetName val="Income_$1"/>
      <sheetName val="2_БО1"/>
      <sheetName val="10_БО_(kzt)1"/>
      <sheetName val="1кв__1"/>
      <sheetName val="2кв_1"/>
      <sheetName val="Инв_вл_тыс_ед1"/>
      <sheetName val="вход_параметры1"/>
      <sheetName val="1Утв_ТК__Capex_07_1"/>
      <sheetName val="д_7_0011"/>
      <sheetName val="Фонд_15гор1"/>
      <sheetName val="Фонд_Кар-с1"/>
      <sheetName val="Фонд_Купола1"/>
      <sheetName val="Фонд_14_гор_1"/>
      <sheetName val="Фонд_16_гор_1"/>
      <sheetName val="Фонд_17_гор_1"/>
      <sheetName val="Фонд_18_гор_1"/>
      <sheetName val="Статьи_затрат1"/>
      <sheetName val="Справка_ИЦА1"/>
      <sheetName val="Prelim_Cost1"/>
      <sheetName val="по_2007_году_план_на_2008_год1"/>
      <sheetName val="5NK_1"/>
      <sheetName val="Add-s_test1"/>
      <sheetName val="БиВи_(290)"/>
      <sheetName val="май_203"/>
      <sheetName val="Базовые_данные1"/>
      <sheetName val="Форма_3"/>
      <sheetName val="Форма_2"/>
      <sheetName val="Зам_нгду-1"/>
      <sheetName val="Зам_ОЭПУ(доб)"/>
      <sheetName val="тех_режим"/>
      <sheetName val="Зам_нгду-2(наг)"/>
      <sheetName val="I__Прогноз_доходов"/>
      <sheetName val="МодельППП_(Свод)"/>
      <sheetName val="общие_данные"/>
      <sheetName val="450_(2)"/>
      <sheetName val="ввод-вывод_ОС_авг2004-_2005"/>
      <sheetName val="BS_new"/>
      <sheetName val="2007_0,01"/>
      <sheetName val="Loans_out"/>
      <sheetName val="МАТЕР_433,452"/>
      <sheetName val="исходные_данные"/>
      <sheetName val="мат_расходы"/>
      <sheetName val="2_8__стр-ра_себестоимости"/>
      <sheetName val="Спр__пласт"/>
      <sheetName val="КАТО"/>
      <sheetName val="ОПГЗ"/>
      <sheetName val="План ГЗ"/>
      <sheetName val="Dictionaries"/>
      <sheetName val="Sheet2"/>
      <sheetName val="РСза 6-м 2012"/>
      <sheetName val="Sheet5"/>
      <sheetName val="ЯНВАРЬ"/>
      <sheetName val=" 2.3.2"/>
      <sheetName val="Предпосылки"/>
      <sheetName val="IS"/>
      <sheetName val="Форма 18"/>
      <sheetName val="факт 2005 г."/>
      <sheetName val="списки"/>
      <sheetName val="База"/>
      <sheetName val="сброс"/>
      <sheetName val="9-1"/>
      <sheetName val="4"/>
      <sheetName val="1-1"/>
      <sheetName val="1"/>
      <sheetName val="Потребители"/>
      <sheetName val="Блоки"/>
      <sheetName val="3.ФОТ"/>
      <sheetName val="4.Налоги"/>
      <sheetName val="Штатка"/>
      <sheetName val="Инвестиции"/>
      <sheetName val="Прибыль"/>
      <sheetName val="смета"/>
      <sheetName val="Исполнение по БЕ"/>
      <sheetName val="Технический"/>
      <sheetName val="Тарифы"/>
      <sheetName val="2_2 ОтклОТМ"/>
      <sheetName val="1_3_2 ОТМ"/>
      <sheetName val="Перем. затр"/>
      <sheetName val="1 вариант  2009 "/>
      <sheetName val="ПО НОВОМУ ШТАТНОМУ"/>
      <sheetName val="34-143"/>
      <sheetName val="PYTB"/>
      <sheetName val="101"/>
      <sheetName val="PP&amp;E mvt for 2003"/>
      <sheetName val="0. Данные"/>
      <sheetName val="suppl-pack"/>
      <sheetName val="Форма_18"/>
      <sheetName val="константы"/>
      <sheetName val="Финпоки1"/>
      <sheetName val="DATA"/>
      <sheetName val="План_ГЗ"/>
      <sheetName val="1_вариант__2009_"/>
      <sheetName val="2.2 ОтклОТМ"/>
      <sheetName val="1.3.2 ОТМ"/>
      <sheetName val="29"/>
      <sheetName val="22"/>
      <sheetName val="- 1 -"/>
      <sheetName val="Ком плат"/>
      <sheetName val="Ф3"/>
      <sheetName val="элементы"/>
      <sheetName val="Industry"/>
      <sheetName val="S|C_2008_Budget"/>
      <sheetName val="доп.дан."/>
      <sheetName val="turnover"/>
      <sheetName val="XREF"/>
      <sheetName val="Бонды стр.341"/>
      <sheetName val="Авансы-1"/>
      <sheetName val="Тарифы и цены "/>
      <sheetName val="11-005"/>
      <sheetName val="UNITPRICES"/>
      <sheetName val="янв 07"/>
      <sheetName val="Информация по введенным добываю"/>
      <sheetName val="общ"/>
      <sheetName val="Лист2"/>
      <sheetName val="Параметры"/>
      <sheetName val="Остатки по бухучету"/>
      <sheetName val="СПгнг"/>
      <sheetName val="ковер"/>
      <sheetName val="собственный капитал"/>
      <sheetName val="КОРП-1"/>
      <sheetName val="Налоги на транспорт"/>
      <sheetName val="План закупок 2012"/>
      <sheetName val="общ.фонд  "/>
      <sheetName val="ИнвестицииСвод"/>
      <sheetName val="ДОУП_111-2_1405"/>
      <sheetName val="ДОУП_111-2_1405,,"/>
      <sheetName val="Лист4"/>
      <sheetName val="A-20"/>
      <sheetName val="Осн"/>
      <sheetName val="МО 0012"/>
      <sheetName val="МТ_CapexDepreciation"/>
      <sheetName val="МУНАЙТАС L-1"/>
      <sheetName val="все-доб.осн ГТМ (+-) (2)"/>
      <sheetName val="финпл "/>
      <sheetName val="макропоказ"/>
      <sheetName val="3а"/>
      <sheetName val="4а"/>
      <sheetName val="5"/>
      <sheetName val="РасчётыКТП"/>
      <sheetName val="3310"/>
      <sheetName val="потр"/>
      <sheetName val="СН"/>
      <sheetName val="зп"/>
      <sheetName val="фев"/>
      <sheetName val="14_1_2_2_(Услуги_связи)5"/>
      <sheetName val="поставка_сравн132"/>
      <sheetName val="ТЭП_старая2"/>
      <sheetName val="из_сем2"/>
      <sheetName val="Сдача_2"/>
      <sheetName val="7_12"/>
      <sheetName val="14_1_2_2__Услуги_связи_2"/>
      <sheetName val="Treatment_Summary2"/>
      <sheetName val="Форма3_62"/>
      <sheetName val="__2_3_22"/>
      <sheetName val="Добыча_нефти42"/>
      <sheetName val="Income_$2"/>
      <sheetName val="2_БО2"/>
      <sheetName val="10_БО_(kzt)2"/>
      <sheetName val="1кв__2"/>
      <sheetName val="2кв_2"/>
      <sheetName val="Инв_вл_тыс_ед2"/>
      <sheetName val="вход_параметры2"/>
      <sheetName val="L-1_Займ_БРК_инвест_цели2"/>
      <sheetName val="исп_см_2"/>
      <sheetName val="д_7_0012"/>
      <sheetName val="1Утв_ТК__Capex_07_2"/>
      <sheetName val="Фонд_15гор2"/>
      <sheetName val="Фонд_Кар-с2"/>
      <sheetName val="Фонд_Купола2"/>
      <sheetName val="Фонд_14_гор_2"/>
      <sheetName val="Фонд_16_гор_2"/>
      <sheetName val="Фонд_17_гор_2"/>
      <sheetName val="Фонд_18_гор_2"/>
      <sheetName val="Статьи_затрат2"/>
      <sheetName val="Справка_ИЦА2"/>
      <sheetName val="Prelim_Cost2"/>
      <sheetName val="по_2007_году_план_на_2008_год2"/>
      <sheetName val="5NK_2"/>
      <sheetName val="Add-s_test2"/>
      <sheetName val="БиВи_(290)1"/>
      <sheetName val="май_2031"/>
      <sheetName val="Форма_31"/>
      <sheetName val="Форма_21"/>
      <sheetName val="Базовые_данные2"/>
      <sheetName val="Зам_нгду-11"/>
      <sheetName val="Зам_ОЭПУ(доб)1"/>
      <sheetName val="тех_режим1"/>
      <sheetName val="Зам_нгду-2(наг)1"/>
      <sheetName val="исходные_данные1"/>
      <sheetName val="I__Прогноз_доходов1"/>
      <sheetName val="МодельППП_(Свод)1"/>
      <sheetName val="общие_данные1"/>
      <sheetName val="450_(2)1"/>
      <sheetName val="ввод-вывод_ОС_авг2004-_20051"/>
      <sheetName val="BS_new1"/>
      <sheetName val="2007_0,011"/>
      <sheetName val="Loans_out1"/>
      <sheetName val="2_8__стр-ра_себестоимости1"/>
      <sheetName val="МАТЕР_433,4521"/>
      <sheetName val="мат_расходы1"/>
      <sheetName val="Спр__пласт1"/>
      <sheetName val="РСза_6-м_2012"/>
      <sheetName val="_2_3_2"/>
      <sheetName val="факт_2005_г_"/>
      <sheetName val="КР_материалы"/>
      <sheetName val="Форма_181"/>
      <sheetName val="3_ФОТ"/>
      <sheetName val="4_Налоги"/>
      <sheetName val="Исполнение_по_БЕ"/>
      <sheetName val="План_ГЗ1"/>
      <sheetName val="2_2_ОтклОТМ"/>
      <sheetName val="1_3_2_ОТМ"/>
      <sheetName val="ИП_ДО_БЛ_"/>
      <sheetName val="1_вариант__2009_1"/>
      <sheetName val="Перем__затр"/>
      <sheetName val="Ком_плат"/>
      <sheetName val="0__Данные"/>
      <sheetName val="доп_дан_"/>
      <sheetName val="Бонды_стр_341"/>
      <sheetName val="Тарифы_и_цены_"/>
      <sheetName val="Информация_по_введенным_добываю"/>
      <sheetName val="янв_07"/>
      <sheetName val="pp&amp;e_mvt_for_2003"/>
      <sheetName val="2_2_ОтклОТМ1"/>
      <sheetName val="1_3_2_ОТМ1"/>
      <sheetName val="Остатки_по_бухучету"/>
      <sheetName val="ПО_НОВОМУ_ШТАТНОМУ"/>
      <sheetName val="собственный_капитал"/>
      <sheetName val="План_закупок_2012"/>
      <sheetName val="общ_фонд__"/>
      <sheetName val="Налоги_на_транспорт"/>
      <sheetName val="МО_0012"/>
      <sheetName val="МУНАЙТАС_L-1"/>
      <sheetName val="все-доб_осн_ГТМ_(+-)_(2)"/>
      <sheetName val="бензин по авто"/>
      <sheetName val="Др адм"/>
      <sheetName val="Осн.ср-ва"/>
      <sheetName val="Другие"/>
      <sheetName val="Прочие"/>
      <sheetName val="Расчеты"/>
      <sheetName val="14_1_2_2_(Услуги_связи)6"/>
      <sheetName val="поставка_сравн133"/>
      <sheetName val="ТЭП_старая3"/>
      <sheetName val="из_сем3"/>
      <sheetName val="Сдача_3"/>
      <sheetName val="7_13"/>
      <sheetName val="14_1_2_2__Услуги_связи_3"/>
      <sheetName val="Treatment_Summary3"/>
      <sheetName val="Форма3_63"/>
      <sheetName val="__2_3_23"/>
      <sheetName val="Добыча_нефти43"/>
      <sheetName val="Income_$3"/>
      <sheetName val="2_БО3"/>
      <sheetName val="10_БО_(kzt)3"/>
      <sheetName val="1кв__3"/>
      <sheetName val="2кв_3"/>
      <sheetName val="Инв_вл_тыс_ед3"/>
      <sheetName val="вход_параметры3"/>
      <sheetName val="L-1_Займ_БРК_инвест_цели3"/>
      <sheetName val="исп_см_3"/>
      <sheetName val="д_7_0013"/>
      <sheetName val="1Утв_ТК__Capex_07_3"/>
      <sheetName val="Фонд_15гор3"/>
      <sheetName val="Фонд_Кар-с3"/>
      <sheetName val="Фонд_Купола3"/>
      <sheetName val="Фонд_14_гор_3"/>
      <sheetName val="Фонд_16_гор_3"/>
      <sheetName val="Фонд_17_гор_3"/>
      <sheetName val="Фонд_18_гор_3"/>
      <sheetName val="Статьи_затрат3"/>
      <sheetName val="Справка_ИЦА3"/>
      <sheetName val="Prelim_Cost3"/>
      <sheetName val="по_2007_году_план_на_2008_год3"/>
      <sheetName val="5NK_3"/>
      <sheetName val="Add-s_test3"/>
      <sheetName val="БиВи_(290)2"/>
      <sheetName val="май_2032"/>
      <sheetName val="Форма_32"/>
      <sheetName val="Форма_22"/>
      <sheetName val="Базовые_данные3"/>
      <sheetName val="Зам_нгду-12"/>
      <sheetName val="Зам_ОЭПУ(доб)2"/>
      <sheetName val="тех_режим2"/>
      <sheetName val="Зам_нгду-2(наг)2"/>
      <sheetName val="исходные_данные2"/>
      <sheetName val="I__Прогноз_доходов2"/>
      <sheetName val="МодельППП_(Свод)2"/>
      <sheetName val="общие_данные2"/>
      <sheetName val="450_(2)2"/>
      <sheetName val="ввод-вывод_ОС_авг2004-_20052"/>
      <sheetName val="BS_new2"/>
      <sheetName val="2007_0,012"/>
      <sheetName val="Loans_out2"/>
      <sheetName val="2_8__стр-ра_себестоимости2"/>
      <sheetName val="МАТЕР_433,4522"/>
      <sheetName val="мат_расходы2"/>
      <sheetName val="Спр__пласт2"/>
      <sheetName val="РСза_6-м_20121"/>
      <sheetName val="_2_3_21"/>
      <sheetName val="факт_2005_г_1"/>
      <sheetName val="КР_материалы1"/>
      <sheetName val="Форма_182"/>
      <sheetName val="3_ФОТ1"/>
      <sheetName val="4_Налоги1"/>
      <sheetName val="Исполнение_по_БЕ1"/>
      <sheetName val="План_ГЗ2"/>
      <sheetName val="2_2_ОтклОТМ2"/>
      <sheetName val="1_3_2_ОТМ2"/>
      <sheetName val="ИП_ДО_БЛ_1"/>
      <sheetName val="1_вариант__2009_2"/>
      <sheetName val="Перем__затр1"/>
      <sheetName val="Ком_плат1"/>
      <sheetName val="0__Данные1"/>
      <sheetName val="доп_дан_1"/>
      <sheetName val="Бонды_стр_3411"/>
      <sheetName val="Тарифы_и_цены_1"/>
      <sheetName val="Информация_по_введенным_добыва1"/>
      <sheetName val="янв_071"/>
      <sheetName val="pp&amp;e_mvt_for_20031"/>
      <sheetName val="2_2_ОтклОТМ3"/>
      <sheetName val="1_3_2_ОТМ3"/>
      <sheetName val="Остатки_по_бухучету1"/>
      <sheetName val="ПО_НОВОМУ_ШТАТНОМУ1"/>
      <sheetName val="собственный_капитал1"/>
      <sheetName val="План_закупок_20121"/>
      <sheetName val="общ_фонд__1"/>
      <sheetName val="Налоги_на_транспорт1"/>
      <sheetName val="МО_00121"/>
      <sheetName val="МУНАЙТАС_L-11"/>
      <sheetName val="все-доб_осн_ГТМ_(+-)_(2)1"/>
      <sheetName val="финпл_"/>
      <sheetName val="-_1_-"/>
      <sheetName val="ИсхД+"/>
      <sheetName val="Нетто3!!!"/>
      <sheetName val="4. NWABC"/>
      <sheetName val="Capex_KZT"/>
      <sheetName val="ШТАТ"/>
      <sheetName val="Sheet3"/>
      <sheetName val="1,3 новая"/>
    </sheetNames>
    <sheetDataSet>
      <sheetData sheetId="0" refreshError="1"/>
      <sheetData sheetId="1" refreshError="1"/>
      <sheetData sheetId="2" refreshError="1">
        <row r="13">
          <cell r="C13" t="str">
            <v/>
          </cell>
          <cell r="D13" t="str">
            <v/>
          </cell>
        </row>
        <row r="14">
          <cell r="C14" t="str">
            <v/>
          </cell>
          <cell r="D14" t="str">
            <v/>
          </cell>
        </row>
        <row r="15">
          <cell r="C15" t="str">
            <v/>
          </cell>
          <cell r="D15" t="str">
            <v/>
          </cell>
        </row>
        <row r="16">
          <cell r="C16" t="str">
            <v/>
          </cell>
          <cell r="D16" t="str">
            <v/>
          </cell>
        </row>
        <row r="17">
          <cell r="C17" t="str">
            <v/>
          </cell>
          <cell r="D17" t="str">
            <v/>
          </cell>
        </row>
        <row r="18">
          <cell r="C18" t="str">
            <v/>
          </cell>
          <cell r="D18" t="str">
            <v/>
          </cell>
        </row>
        <row r="19">
          <cell r="C19" t="str">
            <v/>
          </cell>
          <cell r="D19" t="str">
            <v/>
          </cell>
        </row>
        <row r="20">
          <cell r="C20" t="str">
            <v/>
          </cell>
          <cell r="D20" t="str">
            <v/>
          </cell>
        </row>
        <row r="21">
          <cell r="C21" t="str">
            <v/>
          </cell>
          <cell r="D21" t="str">
            <v/>
          </cell>
        </row>
        <row r="22">
          <cell r="C22" t="str">
            <v/>
          </cell>
          <cell r="D22" t="str">
            <v/>
          </cell>
        </row>
        <row r="23">
          <cell r="C23" t="str">
            <v/>
          </cell>
          <cell r="D23" t="str">
            <v/>
          </cell>
        </row>
        <row r="24">
          <cell r="C24" t="str">
            <v/>
          </cell>
          <cell r="D24" t="str">
            <v/>
          </cell>
        </row>
        <row r="25">
          <cell r="C25" t="str">
            <v/>
          </cell>
          <cell r="D25" t="str">
            <v/>
          </cell>
        </row>
        <row r="26">
          <cell r="C26" t="str">
            <v/>
          </cell>
          <cell r="D26" t="str">
            <v/>
          </cell>
        </row>
        <row r="27">
          <cell r="C27" t="str">
            <v/>
          </cell>
          <cell r="D27" t="str">
            <v/>
          </cell>
        </row>
        <row r="28">
          <cell r="C28" t="str">
            <v/>
          </cell>
          <cell r="D28" t="str">
            <v/>
          </cell>
        </row>
        <row r="29">
          <cell r="C29" t="str">
            <v/>
          </cell>
          <cell r="D29" t="str">
            <v/>
          </cell>
        </row>
        <row r="30">
          <cell r="C30" t="str">
            <v/>
          </cell>
          <cell r="D30" t="str">
            <v/>
          </cell>
        </row>
      </sheetData>
      <sheetData sheetId="3">
        <row r="13">
          <cell r="C13" t="str">
            <v/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/>
      <sheetData sheetId="281" refreshError="1"/>
      <sheetData sheetId="282"/>
      <sheetData sheetId="283" refreshError="1"/>
      <sheetData sheetId="284" refreshError="1"/>
      <sheetData sheetId="285" refreshError="1"/>
      <sheetData sheetId="286" refreshError="1"/>
      <sheetData sheetId="287"/>
      <sheetData sheetId="288" refreshError="1"/>
      <sheetData sheetId="289" refreshError="1"/>
      <sheetData sheetId="290" refreshError="1"/>
      <sheetData sheetId="291"/>
      <sheetData sheetId="292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7"/>
      <sheetName val="Мойка"/>
      <sheetName val="лит-ра"/>
      <sheetName val="КомРасходы"/>
      <sheetName val="ЭлектроСчетчик"/>
      <sheetName val="Хозрасходы"/>
      <sheetName val="обучение"/>
      <sheetName val="Спорт"/>
      <sheetName val="налог земля"/>
      <sheetName val="празд"/>
      <sheetName val="аренда"/>
      <sheetName val="Реклама"/>
      <sheetName val="АвтоРемонт"/>
      <sheetName val="информационные услуги"/>
      <sheetName val="ГСМ"/>
      <sheetName val="Абонплата"/>
      <sheetName val="подписка"/>
      <sheetName val="прочие"/>
      <sheetName val="ногый лист"/>
      <sheetName val="Форма2"/>
      <sheetName val="Добычанефти4"/>
      <sheetName val="поставкасравн13"/>
      <sheetName val="Бюджет"/>
      <sheetName val="NPV"/>
      <sheetName val="Итоговая таблица"/>
      <sheetName val="Расчет2000Прямой"/>
      <sheetName val="потр"/>
      <sheetName val="СН"/>
      <sheetName val="Сдача "/>
      <sheetName val="Потребители"/>
      <sheetName val="поставка сравн13"/>
      <sheetName val="Форма1"/>
      <sheetName val="Лист3"/>
      <sheetName val="налог_земля"/>
      <sheetName val="информационные_услуги"/>
      <sheetName val="ногый_лист"/>
      <sheetName val="Сдача_"/>
      <sheetName val="Итоговая_таблица"/>
      <sheetName val="поставка_сравн13"/>
      <sheetName val="НовыеРасчеты"/>
      <sheetName val="ожид ФОТ_2010_форма1"/>
      <sheetName val="свод ФОТ"/>
      <sheetName val="Баланс"/>
      <sheetName val="топливо"/>
      <sheetName val="Лист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писокТЭП"/>
      <sheetName val="Форма2"/>
      <sheetName val="Пром1"/>
      <sheetName val="#ССЫЛКА"/>
      <sheetName val="2.2 ОтклОТМ"/>
      <sheetName val="1.3.2 ОТМ"/>
      <sheetName val="Предпр"/>
      <sheetName val="ЦентрЗатр"/>
      <sheetName val="ЕдИзм"/>
      <sheetName val="СПгнг"/>
      <sheetName val="жд тарифы"/>
      <sheetName val="ОборБалФормОтч"/>
      <sheetName val="МО 0012"/>
      <sheetName val="Статьи ТЭП_старая структура"/>
      <sheetName val="Добыча нефти4"/>
      <sheetName val="поставка сравн13"/>
      <sheetName val="ОТиТБ"/>
      <sheetName val="I. Прогноз доходов"/>
      <sheetName val="Notes IS"/>
      <sheetName val="Input TD"/>
      <sheetName val="1NK"/>
      <sheetName val="смета"/>
      <sheetName val="бартер"/>
      <sheetName val="Prelim Cost"/>
      <sheetName val="Сверка"/>
      <sheetName val="1 класс"/>
      <sheetName val="2 класс"/>
      <sheetName val="3 класс"/>
      <sheetName val="4 класс"/>
      <sheetName val="5 класс"/>
      <sheetName val="t0_name"/>
      <sheetName val="ИД"/>
      <sheetName val="Отпуск продукции"/>
      <sheetName val="спецпит,проездн."/>
      <sheetName val="13 NGDO"/>
      <sheetName val="1"/>
      <sheetName val="MS"/>
      <sheetName val="табель"/>
      <sheetName val="FES"/>
      <sheetName val="Сеть"/>
      <sheetName val="общие данные"/>
      <sheetName val="Loans out"/>
      <sheetName val="МодельППП (Свод)"/>
      <sheetName val="Способ закупки"/>
      <sheetName val="14.1.2.2.(Услуги связи)"/>
      <sheetName val="Форма1"/>
      <sheetName val="10 БО (kzt)"/>
      <sheetName val="Баланс"/>
      <sheetName val="Лист1"/>
      <sheetName val="2_2_ОтклОТМ"/>
      <sheetName val="1_3_2_ОТМ"/>
      <sheetName val="1кв. "/>
      <sheetName val="2кв."/>
      <sheetName val="Бюджет"/>
      <sheetName val="Штатное 2012-2015"/>
      <sheetName val="Sheet5"/>
      <sheetName val="Cash flow 2011"/>
      <sheetName val="VLOOKUP"/>
      <sheetName val="INPUTMASTER"/>
      <sheetName val="КБ"/>
      <sheetName val="АТиК"/>
      <sheetName val="Потребители"/>
      <sheetName val="Блоки"/>
      <sheetName val="Сдача "/>
      <sheetName val="Datasheet"/>
      <sheetName val="Пр2"/>
      <sheetName val="ввод-вывод ОС авг2004- 2005"/>
      <sheetName val="Форма3.6"/>
      <sheetName val="элементы"/>
      <sheetName val="5NK "/>
      <sheetName val="L-1"/>
      <sheetName val="Нефть"/>
      <sheetName val="флормиро"/>
      <sheetName val="из сем"/>
      <sheetName val="ПРОГНОЗ_1"/>
      <sheetName val="  2.3.2"/>
      <sheetName val="PL12"/>
      <sheetName val="отделы"/>
      <sheetName val="MATRIX_DA_10"/>
      <sheetName val="list"/>
      <sheetName val="AFS"/>
      <sheetName val="План произв-ва (мес.) (бюджет)"/>
      <sheetName val="янв (2)"/>
      <sheetName val="рев дф (1.08.) (3)"/>
      <sheetName val="заявка (2)"/>
      <sheetName val="Материалы для АУП"/>
      <sheetName val="ГТМ"/>
      <sheetName val="тех реж"/>
      <sheetName val="Кап затраты ОМГ 16"/>
      <sheetName val="Сотрудники"/>
      <sheetName val="замер"/>
      <sheetName val="Титул1"/>
      <sheetName val="д.7.001"/>
      <sheetName val="s"/>
      <sheetName val="Hidden"/>
      <sheetName val="ЭКРБ"/>
      <sheetName val="1 (2)"/>
      <sheetName val="Об-я св-а"/>
      <sheetName val="2в"/>
      <sheetName val="УУ 9 мес.2014"/>
      <sheetName val="МОП"/>
      <sheetName val="13_NGDO"/>
      <sheetName val="Добыча_нефти4"/>
      <sheetName val="14_1_2_2_(Услуги_связи)"/>
      <sheetName val="поставка_сравн13"/>
      <sheetName val="жд_тарифы"/>
      <sheetName val="1кв__"/>
      <sheetName val="2кв_"/>
      <sheetName val="янв_(2)"/>
      <sheetName val="рев_дф_(1_08_)_(3)"/>
      <sheetName val="заявка_(2)"/>
      <sheetName val="Материалы_для_АУП"/>
      <sheetName val="МодельППП_(Свод)"/>
      <sheetName val="Input_TD"/>
      <sheetName val="2_2_ОтклОТМ1"/>
      <sheetName val="1_3_2_ОТМ1"/>
      <sheetName val="МО_0012"/>
      <sheetName val="Статьи_ТЭП_старая_структура"/>
      <sheetName val="I__Прогноз_доходов"/>
      <sheetName val="Notes_IS"/>
      <sheetName val="Prelim_Cost"/>
      <sheetName val="Отпуск_продукции"/>
      <sheetName val="1_класс"/>
      <sheetName val="2_класс"/>
      <sheetName val="3_класс"/>
      <sheetName val="4_класс"/>
      <sheetName val="5_класс"/>
      <sheetName val="спецпит,проездн_"/>
      <sheetName val="План_произв-ва_(мес_)_(бюджет)"/>
      <sheetName val="10_БО_(kzt)"/>
      <sheetName val="общие_данные"/>
      <sheetName val="тех_реж"/>
      <sheetName val="Кап_затраты_ОМГ_16"/>
      <sheetName val="1_(2)"/>
      <sheetName val="ввод-вывод_ОС_авг2004-_2005"/>
      <sheetName val="Loans_out"/>
      <sheetName val="Штатное_2012-2015"/>
      <sheetName val="Об-я_св-а"/>
      <sheetName val="Cash_flow_2011"/>
      <sheetName val="5NK_"/>
      <sheetName val="из_сем"/>
      <sheetName val="__2_3_2"/>
      <sheetName val="Форма3_6"/>
      <sheetName val="7НК"/>
      <sheetName val="апрель 09."/>
      <sheetName val="Направления обучения"/>
      <sheetName val="Приложение 7 (ЕНП)"/>
      <sheetName val="потр"/>
      <sheetName val="СН"/>
      <sheetName val="Гр5(о)"/>
      <sheetName val=""/>
      <sheetName val="БПО"/>
      <sheetName val="13_NGDO1"/>
      <sheetName val="Добыча_нефти41"/>
      <sheetName val="14_1_2_2_(Услуги_связи)1"/>
      <sheetName val="поставка_сравн131"/>
      <sheetName val="жд_тарифы1"/>
      <sheetName val="1кв__1"/>
      <sheetName val="2кв_1"/>
      <sheetName val="рев_дф_(1_08_)_(3)1"/>
      <sheetName val="заявка_(2)1"/>
      <sheetName val="янв_(2)1"/>
      <sheetName val="Материалы_для_АУП1"/>
      <sheetName val="МодельППП_(Свод)1"/>
      <sheetName val="Input_TD1"/>
      <sheetName val="2_2_ОтклОТМ2"/>
      <sheetName val="1_3_2_ОТМ2"/>
      <sheetName val="МО_00121"/>
      <sheetName val="Статьи_ТЭП_старая_структура1"/>
      <sheetName val="I__Прогноз_доходов1"/>
      <sheetName val="Notes_IS1"/>
      <sheetName val="Prelim_Cost1"/>
      <sheetName val="Отпуск_продукции1"/>
      <sheetName val="1_класс1"/>
      <sheetName val="2_класс1"/>
      <sheetName val="3_класс1"/>
      <sheetName val="4_класс1"/>
      <sheetName val="5_класс1"/>
      <sheetName val="спецпит,проездн_1"/>
      <sheetName val="План_произв-ва_(мес_)_(бюджет)1"/>
      <sheetName val="10_БО_(kzt)1"/>
      <sheetName val="общие_данные1"/>
      <sheetName val="тех_реж1"/>
      <sheetName val="Кап_затраты_ОМГ_161"/>
      <sheetName val="ввод-вывод_ОС_авг2004-_20051"/>
      <sheetName val="Loans_out1"/>
      <sheetName val="1_(2)1"/>
      <sheetName val="Об-я_св-а1"/>
      <sheetName val="Штатное_2012-20151"/>
      <sheetName val="Cash_flow_20111"/>
      <sheetName val="5NK_1"/>
      <sheetName val="из_сем1"/>
      <sheetName val="__2_3_21"/>
      <sheetName val="Форма3_61"/>
      <sheetName val="апрель_09_"/>
      <sheetName val="PP&amp;E mvt for 2003"/>
      <sheetName val="Capex"/>
      <sheetName val="WBS elements RS-v.02A"/>
      <sheetName val="Прайс 2005"/>
      <sheetName val="BS new"/>
      <sheetName val="сортамент"/>
      <sheetName val="Заполните"/>
      <sheetName val="План"/>
      <sheetName val="Факт"/>
      <sheetName val="Лист5"/>
      <sheetName val="2_2_ОтклОТМ3"/>
      <sheetName val="1_3_2_ОТМ3"/>
      <sheetName val="жд_тарифы2"/>
      <sheetName val="МО_00122"/>
      <sheetName val="Статьи_ТЭП_старая_структура2"/>
      <sheetName val="Добыча_нефти42"/>
      <sheetName val="поставка_сравн132"/>
      <sheetName val="I__Прогноз_доходов2"/>
      <sheetName val="Notes_IS2"/>
      <sheetName val="Input_TD2"/>
      <sheetName val="Prelim_Cost2"/>
      <sheetName val="1_класс2"/>
      <sheetName val="2_класс2"/>
      <sheetName val="3_класс2"/>
      <sheetName val="4_класс2"/>
      <sheetName val="5_класс2"/>
      <sheetName val="Отпуск_продукции2"/>
      <sheetName val="спецпит,проездн_2"/>
      <sheetName val="13_NGDO2"/>
      <sheetName val="общие_данные2"/>
      <sheetName val="Loans_out2"/>
      <sheetName val="МодельППП_(Свод)2"/>
      <sheetName val="Способ_закупки"/>
      <sheetName val="14_1_2_2_(Услуги_связи)2"/>
      <sheetName val="10_БО_(kzt)2"/>
      <sheetName val="1кв__2"/>
      <sheetName val="2кв_2"/>
      <sheetName val="Штатное_2012-20152"/>
      <sheetName val="Cash_flow_20112"/>
      <sheetName val="Сдача_"/>
      <sheetName val="ввод-вывод_ОС_авг2004-_20052"/>
      <sheetName val="Форма3_62"/>
      <sheetName val="5NK_2"/>
      <sheetName val="из_сем2"/>
      <sheetName val="__2_3_22"/>
      <sheetName val="План_произв-ва_(мес_)_(бюджет)2"/>
      <sheetName val="янв_(2)2"/>
      <sheetName val="рев_дф_(1_08_)_(3)2"/>
      <sheetName val="заявка_(2)2"/>
      <sheetName val="Материалы_для_АУП2"/>
      <sheetName val="тех_реж2"/>
      <sheetName val="Кап_затраты_ОМГ_162"/>
      <sheetName val="д_7_001"/>
      <sheetName val="1_(2)2"/>
      <sheetName val="Об-я_св-а2"/>
      <sheetName val="УУ_9_мес_2014"/>
      <sheetName val="апрель_09_1"/>
      <sheetName val="Направления_обучения"/>
      <sheetName val="Приложение_7_(ЕНП)"/>
      <sheetName val="PP&amp;E_mvt_for_2003"/>
      <sheetName val="WBS_elements_RS-v_02A"/>
      <sheetName val="Прайс_2005"/>
      <sheetName val="BS_new"/>
      <sheetName val="Лист3"/>
      <sheetName val="точн2"/>
      <sheetName val="БиВи (290)"/>
      <sheetName val="450 (2)"/>
      <sheetName val="Накл"/>
      <sheetName val="I KEY INFORMATION"/>
      <sheetName val="Спецификация"/>
      <sheetName val="Макро"/>
      <sheetName val="Преискурант"/>
      <sheetName val="Табельные номера сотрудников"/>
      <sheetName val="Лист2"/>
      <sheetName val="Sep"/>
      <sheetName val="массив ДЗО"/>
      <sheetName val="форма 3 смета затрат"/>
      <sheetName val="новая №5"/>
      <sheetName val="Movements"/>
      <sheetName val="Собственный капитал"/>
      <sheetName val="Пок"/>
      <sheetName val="черновик"/>
      <sheetName val="ОП_свод"/>
      <sheetName val="шкала"/>
      <sheetName val="Balance Sheet"/>
      <sheetName val="Sales F"/>
      <sheetName val="глина"/>
      <sheetName val="Лв 1715 (сб)"/>
      <sheetName val="База"/>
      <sheetName val="Ведомость"/>
      <sheetName val="линии"/>
      <sheetName val="нагр.МВт"/>
      <sheetName val="Показатели январь"/>
      <sheetName val="сут.баланс по РДЦ"/>
      <sheetName val="Справочник"/>
      <sheetName val="Итоговая таблица"/>
      <sheetName val="Осн. пара"/>
      <sheetName val="ДД"/>
      <sheetName val="Затраты"/>
      <sheetName val="Осн"/>
      <sheetName val="Тариф"/>
      <sheetName val="Доход"/>
      <sheetName val="БСП"/>
      <sheetName val="Ф3 2019"/>
      <sheetName val="Ф4 2019"/>
      <sheetName val="ДДС"/>
      <sheetName val="КПН"/>
      <sheetName val="БФП"/>
      <sheetName val="Loan"/>
      <sheetName val="07"/>
      <sheetName val="04.1.2"/>
      <sheetName val="04.1.4-05.1.4"/>
      <sheetName val="04.1.5"/>
      <sheetName val="04.1.8"/>
      <sheetName val="04.1.9"/>
      <sheetName val="04.1.99"/>
      <sheetName val="04.2"/>
      <sheetName val="04.2.5"/>
      <sheetName val="04.3.1"/>
      <sheetName val="04.3.2"/>
      <sheetName val="04.4"/>
      <sheetName val="04.5.2"/>
      <sheetName val="04.5.3"/>
      <sheetName val="04.6.1"/>
      <sheetName val="04.6.2"/>
      <sheetName val="04.6.3"/>
      <sheetName val="04.7.1"/>
      <sheetName val="04.7.3 "/>
      <sheetName val="04.7.7"/>
      <sheetName val="04.7.8"/>
      <sheetName val="04.7.9"/>
      <sheetName val="04.7.10"/>
      <sheetName val="04.7.11"/>
      <sheetName val="04.7.12"/>
      <sheetName val="04.7.15"/>
      <sheetName val="04.7.16"/>
      <sheetName val="04.7.99"/>
      <sheetName val="04.8.1"/>
      <sheetName val="04.8.2"/>
      <sheetName val="04.8.3"/>
      <sheetName val="04.8.4"/>
      <sheetName val="04.8.5"/>
      <sheetName val="04.8.6"/>
      <sheetName val="04.8.7"/>
      <sheetName val="04.8.8"/>
      <sheetName val="04.8.12"/>
      <sheetName val="04.8.13"/>
      <sheetName val="04.8.14"/>
      <sheetName val="04.8.99"/>
      <sheetName val="Сигма"/>
      <sheetName val="Расчет ФОТ"/>
      <sheetName val="график смен 2020"/>
      <sheetName val="05.1.3"/>
      <sheetName val="05.1.7"/>
      <sheetName val="05.2"/>
      <sheetName val="5.2.7"/>
      <sheetName val="05.3.1"/>
      <sheetName val="05.3.2"/>
      <sheetName val="05.4"/>
      <sheetName val="05.5.1"/>
      <sheetName val="05.5.2"/>
      <sheetName val="05.5.6"/>
      <sheetName val="05.5.8"/>
      <sheetName val="05.5.9"/>
      <sheetName val="05.5.10"/>
      <sheetName val="05.5.11"/>
      <sheetName val="05.5.13"/>
      <sheetName val="05.5.14"/>
      <sheetName val="05.5.15"/>
      <sheetName val="05.5.16"/>
      <sheetName val="05.5.18"/>
      <sheetName val="05.5.19"/>
      <sheetName val="05.5.20"/>
      <sheetName val="05.5.21"/>
      <sheetName val="04.8.10-05.5.22"/>
      <sheetName val="05.5.24"/>
      <sheetName val="05.6.1"/>
      <sheetName val="05.6.2"/>
      <sheetName val="05.6.3"/>
      <sheetName val="05.6.6"/>
      <sheetName val="05.6.8"/>
      <sheetName val="05.6.10"/>
      <sheetName val="05.6.13"/>
      <sheetName val="05.6.14"/>
      <sheetName val="05.6.99"/>
      <sheetName val="10.1"/>
      <sheetName val="10.2"/>
      <sheetName val="10.3"/>
      <sheetName val="11.2"/>
      <sheetName val="11.3"/>
      <sheetName val="11.4"/>
      <sheetName val="Depreciation"/>
      <sheetName val="налоговая амортиз ФА"/>
      <sheetName val="TB-300699-Final"/>
      <sheetName val="capex_kzt"/>
      <sheetName val="сброс"/>
      <sheetName val="LME_prices"/>
      <sheetName val="ПО НОВОМУ ШТАТНОМУ"/>
      <sheetName val="100 159 -полигр ус (2)"/>
      <sheetName val="хозтов"/>
      <sheetName val="Статьи"/>
      <sheetName val="Выбор"/>
      <sheetName val="Апрель"/>
      <sheetName val="Январь"/>
      <sheetName val="Сентябрь"/>
      <sheetName val="Ноябрь"/>
      <sheetName val="Квартал"/>
      <sheetName val="Июль"/>
      <sheetName val="Март"/>
      <sheetName val="Июнь"/>
      <sheetName val="Лист4"/>
      <sheetName val="Data-in"/>
      <sheetName val="консалт"/>
      <sheetName val="исп_см_"/>
      <sheetName val="Cost 99v98"/>
      <sheetName val="БиВи_(290)"/>
      <sheetName val="450_(2)"/>
      <sheetName val="2002(v2)"/>
      <sheetName val="a"/>
      <sheetName val="ЦФО"/>
      <sheetName val="наличие_НДС"/>
      <sheetName val="Тип_учета"/>
      <sheetName val="tob-assump"/>
      <sheetName val="Info"/>
      <sheetName val="книга предпосылок"/>
      <sheetName val="Данные"/>
      <sheetName val="sov tot"/>
      <sheetName val="общие"/>
      <sheetName val="бензин по авто"/>
      <sheetName val="др адм"/>
      <sheetName val="Осн.ср-ва"/>
      <sheetName val="8180 (8181,8182)"/>
      <sheetName val="8082"/>
      <sheetName val="8250"/>
      <sheetName val="8140"/>
      <sheetName val="8070"/>
      <sheetName val="8145"/>
      <sheetName val="8200"/>
      <sheetName val="8113"/>
      <sheetName val="XREF"/>
      <sheetName val="8210"/>
      <sheetName val=" По скв"/>
      <sheetName val="NOV"/>
      <sheetName val="конфир"/>
      <sheetName val="IS"/>
      <sheetName val="таблица"/>
      <sheetName val="Астана рус"/>
      <sheetName val="Алматы рус"/>
      <sheetName val="Содержание"/>
      <sheetName val="по 2007 году план на 2008 год"/>
      <sheetName val="ati"/>
      <sheetName val="I1"/>
      <sheetName val="I2"/>
      <sheetName val="Dictionaries"/>
      <sheetName val="МТ_CapexDepreciation"/>
      <sheetName val="МУНАЙТАС L-1"/>
      <sheetName val="2003 (215862 тн)"/>
      <sheetName val="Scenar"/>
      <sheetName val="класс"/>
      <sheetName val="К сущ"/>
      <sheetName val="Проект"/>
      <sheetName val="Sheet2"/>
      <sheetName val="Дефл"/>
      <sheetName val="Астана_рус"/>
      <sheetName val="Алматы_рус"/>
      <sheetName val=" 2019 на 24"/>
      <sheetName val="ремонт 25"/>
      <sheetName val="Факт 2017"/>
      <sheetName val="финпл "/>
      <sheetName val="Налоги (ФД)2013"/>
      <sheetName val="расчет налогов транс"/>
      <sheetName val="MAIN"/>
      <sheetName val="КВЛ ЦТТ и СТ"/>
      <sheetName val="Ком плат"/>
      <sheetName val="2_2_ОтклОТМ4"/>
      <sheetName val="1_3_2_ОТМ4"/>
      <sheetName val="жд_тарифы3"/>
      <sheetName val="МО_00123"/>
      <sheetName val="Добыча_нефти43"/>
      <sheetName val="поставка_сравн133"/>
      <sheetName val="Статьи_ТЭП_старая_структура3"/>
      <sheetName val="I__Прогноз_доходов3"/>
      <sheetName val="Notes_IS3"/>
      <sheetName val="Input_TD3"/>
      <sheetName val="Prelim_Cost3"/>
      <sheetName val="Отпуск_продукции3"/>
      <sheetName val="1_класс3"/>
      <sheetName val="2_класс3"/>
      <sheetName val="3_класс3"/>
      <sheetName val="4_класс3"/>
      <sheetName val="5_класс3"/>
      <sheetName val="спецпит,проездн_3"/>
      <sheetName val="13_NGDO3"/>
      <sheetName val="10_БО_(kzt)3"/>
      <sheetName val="14_1_2_2_(Услуги_связи)3"/>
      <sheetName val="общие_данные3"/>
      <sheetName val="1кв__3"/>
      <sheetName val="2кв_3"/>
      <sheetName val="Штатное_2012-20153"/>
      <sheetName val="Cash_flow_20113"/>
      <sheetName val="Loans_out3"/>
      <sheetName val="МодельППП_(Свод)3"/>
      <sheetName val="ввод-вывод_ОС_авг2004-_20053"/>
      <sheetName val="Форма3_63"/>
      <sheetName val="5NK_3"/>
      <sheetName val="из_сем3"/>
      <sheetName val="__2_3_23"/>
      <sheetName val="Способ_закупки1"/>
      <sheetName val="Сдача_1"/>
      <sheetName val="рев_дф_(1_08_)_(3)3"/>
      <sheetName val="янв_(2)3"/>
      <sheetName val="заявка_(2)3"/>
      <sheetName val="Материалы_для_АУП3"/>
      <sheetName val="План_произв-ва_(мес_)_(бюджет)3"/>
      <sheetName val="тех_реж3"/>
      <sheetName val="Кап_затраты_ОМГ_163"/>
      <sheetName val="1_(2)3"/>
      <sheetName val="Об-я_св-а3"/>
      <sheetName val="апрель_09_2"/>
      <sheetName val="д_7_0011"/>
      <sheetName val="Приложение_7_(ЕНП)1"/>
      <sheetName val="Направления_обучения1"/>
      <sheetName val="УУ_9_мес_20141"/>
      <sheetName val="PP&amp;E_mvt_for_20031"/>
      <sheetName val="Табельные_номера_сотрудников"/>
      <sheetName val="массив_ДЗО"/>
      <sheetName val="форма_3_смета_затрат"/>
      <sheetName val="BS_new1"/>
      <sheetName val="WBS_elements_RS-v_02A1"/>
      <sheetName val="Прайс_20051"/>
      <sheetName val="новая_№5"/>
      <sheetName val="Собственный_капитал"/>
      <sheetName val="БиВи_(290)1"/>
      <sheetName val="450_(2)1"/>
      <sheetName val="Sales_F"/>
      <sheetName val="нагр_МВт"/>
      <sheetName val="Показатели_январь"/>
      <sheetName val="сут_баланс_по_РДЦ"/>
      <sheetName val="Итоговая_таблица"/>
      <sheetName val="I_KEY_INFORMATION"/>
      <sheetName val="Balance_Sheet"/>
      <sheetName val="Лв_1715_(сб)"/>
      <sheetName val="Осн__пара"/>
      <sheetName val="Ф3_2019"/>
      <sheetName val="Ф4_2019"/>
      <sheetName val="04_1_2"/>
      <sheetName val="04_1_4-05_1_4"/>
      <sheetName val="04_1_5"/>
      <sheetName val="04_1_8"/>
      <sheetName val="04_1_9"/>
      <sheetName val="04_1_99"/>
      <sheetName val="04_2"/>
      <sheetName val="04_2_5"/>
      <sheetName val="04_3_1"/>
      <sheetName val="04_3_2"/>
      <sheetName val="04_4"/>
      <sheetName val="04_5_2"/>
      <sheetName val="04_5_3"/>
      <sheetName val="04_6_1"/>
      <sheetName val="04_6_2"/>
      <sheetName val="04_6_3"/>
      <sheetName val="04_7_1"/>
      <sheetName val="04_7_3_"/>
      <sheetName val="04_7_7"/>
      <sheetName val="04_7_8"/>
      <sheetName val="04_7_9"/>
      <sheetName val="04_7_10"/>
      <sheetName val="04_7_11"/>
      <sheetName val="04_7_12"/>
      <sheetName val="04_7_15"/>
      <sheetName val="04_7_16"/>
      <sheetName val="04_7_99"/>
      <sheetName val="04_8_1"/>
      <sheetName val="04_8_2"/>
      <sheetName val="04_8_3"/>
      <sheetName val="04_8_4"/>
      <sheetName val="04_8_5"/>
      <sheetName val="04_8_6"/>
      <sheetName val="04_8_7"/>
      <sheetName val="04_8_8"/>
      <sheetName val="04_8_12"/>
      <sheetName val="04_8_13"/>
      <sheetName val="04_8_14"/>
      <sheetName val="04_8_99"/>
      <sheetName val="Расчет_ФОТ"/>
      <sheetName val="график_смен_2020"/>
      <sheetName val="05_1_3"/>
      <sheetName val="05_1_7"/>
      <sheetName val="05_2"/>
      <sheetName val="5_2_7"/>
      <sheetName val="05_3_1"/>
      <sheetName val="05_3_2"/>
      <sheetName val="05_4"/>
      <sheetName val="05_5_1"/>
      <sheetName val="05_5_2"/>
      <sheetName val="05_5_6"/>
      <sheetName val="05_5_8"/>
      <sheetName val="05_5_9"/>
      <sheetName val="05_5_10"/>
      <sheetName val="05_5_11"/>
      <sheetName val="05_5_13"/>
      <sheetName val="05_5_14"/>
      <sheetName val="05_5_15"/>
      <sheetName val="05_5_16"/>
      <sheetName val="05_5_18"/>
      <sheetName val="05_5_19"/>
      <sheetName val="05_5_20"/>
      <sheetName val="05_5_21"/>
      <sheetName val="04_8_10-05_5_22"/>
      <sheetName val="05_5_24"/>
      <sheetName val="05_6_1"/>
      <sheetName val="05_6_2"/>
      <sheetName val="05_6_3"/>
      <sheetName val="05_6_6"/>
      <sheetName val="05_6_8"/>
      <sheetName val="05_6_10"/>
      <sheetName val="05_6_13"/>
      <sheetName val="05_6_14"/>
      <sheetName val="05_6_99"/>
      <sheetName val="10_1"/>
      <sheetName val="10_2"/>
      <sheetName val="10_3"/>
      <sheetName val="11_2"/>
      <sheetName val="11_3"/>
      <sheetName val="11_4"/>
      <sheetName val="налоговая_амортиз_ФА"/>
      <sheetName val="книга_предпосылок"/>
      <sheetName val="sov_tot"/>
      <sheetName val="бензин_по_авто"/>
      <sheetName val="др_адм"/>
      <sheetName val="Осн_ср-ва"/>
      <sheetName val="8180_(8181,8182)"/>
      <sheetName val="_По_скв"/>
      <sheetName val="по_2007_году_план_на_2008_год"/>
      <sheetName val="ПО_НОВОМУ_ШТАТНОМУ"/>
      <sheetName val="100_159_-полигр_ус_(2)"/>
      <sheetName val="МУНАЙТАС_L-1"/>
      <sheetName val="К_сущ"/>
      <sheetName val="список"/>
      <sheetName val="Quots"/>
      <sheetName val="fa movement kyrg"/>
      <sheetName val="P&amp;L"/>
      <sheetName val="Provisions"/>
      <sheetName val="2010"/>
      <sheetName val="КОРП-1"/>
      <sheetName val="черн  гор"/>
      <sheetName val="Сч.фак.пуст."/>
      <sheetName val="Заявл. пуст"/>
      <sheetName val="4. NWABC"/>
      <sheetName val="Финпоки"/>
      <sheetName val="ТР-2кв 2018г"/>
      <sheetName val="2_2_ОтклОТМ5"/>
      <sheetName val="1_3_2_ОТМ5"/>
      <sheetName val="жд_тарифы4"/>
      <sheetName val="МО_00124"/>
      <sheetName val="Добыча_нефти44"/>
      <sheetName val="поставка_сравн134"/>
      <sheetName val="Статьи_ТЭП_старая_структура4"/>
      <sheetName val="I__Прогноз_доходов4"/>
      <sheetName val="Notes_IS4"/>
      <sheetName val="Input_TD4"/>
      <sheetName val="Prelim_Cost4"/>
      <sheetName val="Отпуск_продукции4"/>
      <sheetName val="1_класс4"/>
      <sheetName val="2_класс4"/>
      <sheetName val="3_класс4"/>
      <sheetName val="4_класс4"/>
      <sheetName val="5_класс4"/>
      <sheetName val="спецпит,проездн_4"/>
      <sheetName val="13_NGDO4"/>
      <sheetName val="14_1_2_2_(Услуги_связи)4"/>
      <sheetName val="10_БО_(kzt)4"/>
      <sheetName val="общие_данные4"/>
      <sheetName val="1кв__4"/>
      <sheetName val="2кв_4"/>
      <sheetName val="Штатное_2012-20154"/>
      <sheetName val="Cash_flow_20114"/>
      <sheetName val="Loans_out4"/>
      <sheetName val="МодельППП_(Свод)4"/>
      <sheetName val="ввод-вывод_ОС_авг2004-_20054"/>
      <sheetName val="Форма3_64"/>
      <sheetName val="5NK_4"/>
      <sheetName val="из_сем4"/>
      <sheetName val="__2_3_24"/>
      <sheetName val="Способ_закупки2"/>
      <sheetName val="Сдача_2"/>
      <sheetName val="рев_дф_(1_08_)_(3)4"/>
      <sheetName val="янв_(2)4"/>
      <sheetName val="заявка_(2)4"/>
      <sheetName val="Материалы_для_АУП4"/>
      <sheetName val="План_произв-ва_(мес_)_(бюджет)4"/>
      <sheetName val="тех_реж4"/>
      <sheetName val="Кап_затраты_ОМГ_164"/>
      <sheetName val="1_(2)4"/>
      <sheetName val="Об-я_св-а4"/>
      <sheetName val="апрель_09_3"/>
      <sheetName val="д_7_0012"/>
      <sheetName val="Приложение_7_(ЕНП)2"/>
      <sheetName val="Направления_обучения2"/>
      <sheetName val="УУ_9_мес_20142"/>
      <sheetName val="PP&amp;E_mvt_for_20032"/>
      <sheetName val="Табельные_номера_сотрудников1"/>
      <sheetName val="массив_ДЗО1"/>
      <sheetName val="форма_3_смета_затрат1"/>
      <sheetName val="BS_new2"/>
      <sheetName val="WBS_elements_RS-v_02A2"/>
      <sheetName val="Прайс_20052"/>
      <sheetName val="новая_№51"/>
      <sheetName val="Собственный_капитал1"/>
      <sheetName val="БиВи_(290)2"/>
      <sheetName val="450_(2)2"/>
      <sheetName val="Sales_F1"/>
      <sheetName val="нагр_МВт1"/>
      <sheetName val="Показатели_январь1"/>
      <sheetName val="сут_баланс_по_РДЦ1"/>
      <sheetName val="Итоговая_таблица1"/>
      <sheetName val="I_KEY_INFORMATION1"/>
      <sheetName val="Balance_Sheet1"/>
      <sheetName val="Лв_1715_(сб)1"/>
      <sheetName val="Осн__пара1"/>
      <sheetName val="Ф3_20191"/>
      <sheetName val="Ф4_20191"/>
      <sheetName val="04_1_21"/>
      <sheetName val="04_1_4-05_1_41"/>
      <sheetName val="04_1_51"/>
      <sheetName val="04_1_81"/>
      <sheetName val="04_1_91"/>
      <sheetName val="04_1_991"/>
      <sheetName val="04_21"/>
      <sheetName val="04_2_51"/>
      <sheetName val="04_3_11"/>
      <sheetName val="04_3_21"/>
      <sheetName val="04_41"/>
      <sheetName val="04_5_21"/>
      <sheetName val="04_5_31"/>
      <sheetName val="04_6_11"/>
      <sheetName val="04_6_21"/>
      <sheetName val="04_6_31"/>
      <sheetName val="04_7_13"/>
      <sheetName val="04_7_3_1"/>
      <sheetName val="04_7_71"/>
      <sheetName val="04_7_81"/>
      <sheetName val="04_7_91"/>
      <sheetName val="04_7_101"/>
      <sheetName val="04_7_111"/>
      <sheetName val="04_7_121"/>
      <sheetName val="04_7_151"/>
      <sheetName val="04_7_161"/>
      <sheetName val="04_7_991"/>
      <sheetName val="04_8_11"/>
      <sheetName val="04_8_21"/>
      <sheetName val="04_8_31"/>
      <sheetName val="04_8_41"/>
      <sheetName val="04_8_51"/>
      <sheetName val="04_8_61"/>
      <sheetName val="04_8_71"/>
      <sheetName val="04_8_81"/>
      <sheetName val="04_8_121"/>
      <sheetName val="04_8_131"/>
      <sheetName val="04_8_141"/>
      <sheetName val="04_8_991"/>
      <sheetName val="Расчет_ФОТ1"/>
      <sheetName val="график_смен_20201"/>
      <sheetName val="05_1_31"/>
      <sheetName val="05_1_71"/>
      <sheetName val="05_21"/>
      <sheetName val="5_2_71"/>
      <sheetName val="05_3_11"/>
      <sheetName val="05_3_21"/>
      <sheetName val="05_41"/>
      <sheetName val="05_5_12"/>
      <sheetName val="05_5_22"/>
      <sheetName val="05_5_61"/>
      <sheetName val="05_5_81"/>
      <sheetName val="05_5_91"/>
      <sheetName val="05_5_101"/>
      <sheetName val="05_5_111"/>
      <sheetName val="05_5_131"/>
      <sheetName val="05_5_141"/>
      <sheetName val="05_5_151"/>
      <sheetName val="05_5_161"/>
      <sheetName val="05_5_181"/>
      <sheetName val="05_5_191"/>
      <sheetName val="05_5_201"/>
      <sheetName val="05_5_211"/>
      <sheetName val="04_8_10-05_5_221"/>
      <sheetName val="05_5_241"/>
      <sheetName val="05_6_11"/>
      <sheetName val="05_6_21"/>
      <sheetName val="05_6_31"/>
      <sheetName val="05_6_61"/>
      <sheetName val="05_6_81"/>
      <sheetName val="05_6_101"/>
      <sheetName val="05_6_131"/>
      <sheetName val="05_6_141"/>
      <sheetName val="05_6_991"/>
      <sheetName val="10_11"/>
      <sheetName val="10_21"/>
      <sheetName val="10_31"/>
      <sheetName val="11_21"/>
      <sheetName val="11_31"/>
      <sheetName val="11_41"/>
      <sheetName val="налоговая_амортиз_ФА1"/>
      <sheetName val="книга_предпосылок1"/>
      <sheetName val="sov_tot1"/>
      <sheetName val="бензин_по_авто1"/>
      <sheetName val="др_адм1"/>
      <sheetName val="Осн_ср-ва1"/>
      <sheetName val="8180_(8181,8182)1"/>
      <sheetName val="_По_скв1"/>
      <sheetName val="Астана_рус1"/>
      <sheetName val="Алматы_рус1"/>
      <sheetName val="по_2007_году_план_на_2008_год1"/>
      <sheetName val="ПО_НОВОМУ_ШТАТНОМУ1"/>
      <sheetName val="100_159_-полигр_ус_(2)1"/>
      <sheetName val="МУНАЙТАС_L-11"/>
      <sheetName val="К_сущ1"/>
      <sheetName val="1.401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>
        <row r="3">
          <cell r="A3">
            <v>1</v>
          </cell>
        </row>
      </sheetData>
      <sheetData sheetId="284">
        <row r="3">
          <cell r="A3">
            <v>1</v>
          </cell>
        </row>
      </sheetData>
      <sheetData sheetId="285">
        <row r="3">
          <cell r="A3">
            <v>1</v>
          </cell>
        </row>
      </sheetData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>
        <row r="3">
          <cell r="A3">
            <v>1</v>
          </cell>
        </row>
      </sheetData>
      <sheetData sheetId="393" refreshError="1"/>
      <sheetData sheetId="394">
        <row r="3">
          <cell r="A3">
            <v>1</v>
          </cell>
        </row>
      </sheetData>
      <sheetData sheetId="395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>
        <row r="3">
          <cell r="A3">
            <v>1</v>
          </cell>
        </row>
      </sheetData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>
        <row r="3">
          <cell r="A3">
            <v>1</v>
          </cell>
        </row>
      </sheetData>
      <sheetData sheetId="629"/>
      <sheetData sheetId="630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>
        <row r="3">
          <cell r="A3">
            <v>1</v>
          </cell>
        </row>
      </sheetData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>
        <row r="3">
          <cell r="A3">
            <v>1</v>
          </cell>
        </row>
      </sheetData>
      <sheetData sheetId="808"/>
      <sheetData sheetId="809"/>
      <sheetData sheetId="810"/>
      <sheetData sheetId="811"/>
      <sheetData sheetId="812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раметры"/>
      <sheetName val="Титул1"/>
      <sheetName val="ОснПок2"/>
      <sheetName val="Производство3"/>
      <sheetName val="Добыча нефти4"/>
      <sheetName val="ПроизвПрогр5"/>
      <sheetName val="АнТрнНефт5_1"/>
      <sheetName val="АнУМГ6"/>
      <sheetName val="АнЭмба7"/>
      <sheetName val="АнАНПЗ"/>
      <sheetName val="АНПЗ7_1"/>
      <sheetName val="АНПЗ7_2"/>
      <sheetName val="Продактс"/>
      <sheetName val="Продактс капвл"/>
      <sheetName val="КапВл8"/>
      <sheetName val="КапСтроит9"/>
      <sheetName val="СтрСоцНазн10"/>
      <sheetName val="Маркетинг12"/>
      <sheetName val="поставка сравн13"/>
      <sheetName val="цены14"/>
      <sheetName val="ЦеныНефтепрод15"/>
      <sheetName val="цены16"/>
      <sheetName val="Доход17"/>
      <sheetName val="Чдоход18"/>
      <sheetName val="Капвл.всего"/>
      <sheetName val="ПлатВбюджет19"/>
      <sheetName val="ДебКр20"/>
      <sheetName val="ДвДенСредств21"/>
      <sheetName val="Инв Прог22"/>
      <sheetName val="Все пок23_24"/>
      <sheetName val="СписокТЭП"/>
      <sheetName val="Форма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лементы"/>
      <sheetName val="флормиро"/>
      <sheetName val="Форма 7.1."/>
      <sheetName val="Форма 7 (2)"/>
      <sheetName val="Форма 7 балансировка (2)"/>
      <sheetName val="Форма 7 балансировка"/>
      <sheetName val="Лист1"/>
      <sheetName val="Форма 7 пр"/>
      <sheetName val="Лист2"/>
      <sheetName val="Форма 1"/>
      <sheetName val="Форма 2"/>
      <sheetName val="Форма 2.1."/>
      <sheetName val="Форма 3"/>
      <sheetName val="Форма 3.1"/>
      <sheetName val="Форма3.2"/>
      <sheetName val="Форма3.3"/>
      <sheetName val="Форма3.4"/>
      <sheetName val="Форма3.5"/>
      <sheetName val="Форма3.6"/>
      <sheetName val="Форма3.7"/>
      <sheetName val="Форма3.8"/>
      <sheetName val="Форма3.9"/>
      <sheetName val="Форма 3.10"/>
      <sheetName val="Форма4"/>
      <sheetName val="Форма5"/>
      <sheetName val="Форма5.1"/>
      <sheetName val="Форма5.2"/>
      <sheetName val="Форма6"/>
      <sheetName val="Форма6.1"/>
      <sheetName val="Форма 7."/>
      <sheetName val="Форма 7 фин"/>
      <sheetName val="Форма 7 кас (2)"/>
      <sheetName val="Форма 7 кас (3)"/>
      <sheetName val="Форма 7 кас"/>
      <sheetName val="Форма 7 .1"/>
      <sheetName val="Форма7."/>
      <sheetName val="Форма 6стара"/>
      <sheetName val="Форма 7"/>
      <sheetName val="Форма 8"/>
      <sheetName val="Форма 11"/>
      <sheetName val="#ССЫЛКА"/>
      <sheetName val="ТЭП"/>
      <sheetName val="СписокТЭП"/>
      <sheetName val="Добыча нефти4"/>
      <sheetName val="поставка сравн13"/>
      <sheetName val="Форма2"/>
      <sheetName val="L-1"/>
      <sheetName val="ОТиТБ"/>
      <sheetName val="Счетчики"/>
      <sheetName val="I KEY INFORMATION"/>
      <sheetName val="ввод-вывод ОС авг2004- 2005"/>
      <sheetName val="ID-06"/>
      <sheetName val="СПгнг"/>
      <sheetName val="группа"/>
      <sheetName val="Способ закупки"/>
      <sheetName val="из сем"/>
      <sheetName val="13 NGDO"/>
      <sheetName val="глина"/>
      <sheetName val="сырье и материалы"/>
      <sheetName val="L-1 (БРК)"/>
      <sheetName val="g-1"/>
      <sheetName val="Resp _2_"/>
      <sheetName val="2@"/>
      <sheetName val="жд тарифы"/>
      <sheetName val="2 БО (тенге)"/>
      <sheetName val="FES"/>
      <sheetName val="Счет-ф"/>
      <sheetName val="Список инв. недвижимости с норм"/>
      <sheetName val="1"/>
      <sheetName val="1 класс"/>
      <sheetName val="2 класс"/>
      <sheetName val="3 класс"/>
      <sheetName val="4 класс"/>
      <sheetName val="5 класс"/>
      <sheetName val="t0_name"/>
      <sheetName val="I. Прогноз доходов"/>
      <sheetName val="2_"/>
      <sheetName val="#REF"/>
      <sheetName val="Форма_7_1_"/>
      <sheetName val="Форма_7_(2)"/>
      <sheetName val="Форма_7_балансировка_(2)"/>
      <sheetName val="Форма_7_балансировка"/>
      <sheetName val="Форма_7_пр"/>
      <sheetName val="Форма_1"/>
      <sheetName val="Форма_2"/>
      <sheetName val="Форма_2_1_"/>
      <sheetName val="Форма_3"/>
      <sheetName val="Форма_3_1"/>
      <sheetName val="Форма3_2"/>
      <sheetName val="Форма3_3"/>
      <sheetName val="Форма3_4"/>
      <sheetName val="Форма3_5"/>
      <sheetName val="Форма3_6"/>
      <sheetName val="Форма3_7"/>
      <sheetName val="Форма3_8"/>
      <sheetName val="Форма3_9"/>
      <sheetName val="Форма_3_10"/>
      <sheetName val="Форма5_1"/>
      <sheetName val="Форма5_2"/>
      <sheetName val="Форма6_1"/>
      <sheetName val="Форма_7_"/>
      <sheetName val="Форма_7_фин"/>
      <sheetName val="Форма_7_кас_(2)"/>
      <sheetName val="Форма_7_кас_(3)"/>
      <sheetName val="Форма_7_кас"/>
      <sheetName val="Форма_7__1"/>
      <sheetName val="Форма7_"/>
      <sheetName val="Форма_6стара"/>
      <sheetName val="Форма_7"/>
      <sheetName val="Форма_8"/>
      <sheetName val="Форма_11"/>
      <sheetName val="Добыча_нефти4"/>
      <sheetName val="поставка_сравн13"/>
      <sheetName val="I_KEY_INFORMATION"/>
      <sheetName val="ввод-вывод_ОС_авг2004-_2005"/>
      <sheetName val="Форма_7_1_1"/>
      <sheetName val="Форма_7_(2)1"/>
      <sheetName val="Форма_7_балансировка_(2)1"/>
      <sheetName val="Форма_7_балансировка1"/>
      <sheetName val="Форма_7_пр1"/>
      <sheetName val="Форма_12"/>
      <sheetName val="Форма_21"/>
      <sheetName val="Форма_2_1_1"/>
      <sheetName val="Форма_31"/>
      <sheetName val="Форма_3_11"/>
      <sheetName val="Форма3_21"/>
      <sheetName val="Форма3_31"/>
      <sheetName val="Форма3_41"/>
      <sheetName val="Форма3_51"/>
      <sheetName val="Форма3_61"/>
      <sheetName val="Форма3_71"/>
      <sheetName val="Форма3_81"/>
      <sheetName val="Форма3_91"/>
      <sheetName val="Форма_3_101"/>
      <sheetName val="Форма5_11"/>
      <sheetName val="Форма5_21"/>
      <sheetName val="Форма6_11"/>
      <sheetName val="Форма_7_1"/>
      <sheetName val="Форма_7_фин1"/>
      <sheetName val="Форма_7_кас_(2)1"/>
      <sheetName val="Форма_7_кас_(3)1"/>
      <sheetName val="Форма_7_кас1"/>
      <sheetName val="Форма_7__11"/>
      <sheetName val="Форма7_1"/>
      <sheetName val="Форма_6стара1"/>
      <sheetName val="Форма_71"/>
      <sheetName val="Форма_81"/>
      <sheetName val="Форма_111"/>
      <sheetName val="Добыча_нефти41"/>
      <sheetName val="поставка_сравн131"/>
      <sheetName val="I_KEY_INFORMATION1"/>
      <sheetName val="ввод-вывод_ОС_авг2004-_20051"/>
      <sheetName val="Input TD"/>
      <sheetName val="МО 0012"/>
      <sheetName val="смета"/>
      <sheetName val="класс"/>
      <sheetName val="Об-я св-а"/>
      <sheetName val="2БО"/>
      <sheetName val="Пром1"/>
      <sheetName val="ЦентрЗатр"/>
      <sheetName val="Лист3"/>
      <sheetName val="Отпуск продукции"/>
      <sheetName val="1NK"/>
      <sheetName val="потр"/>
      <sheetName val="СН"/>
      <sheetName val="Осн"/>
      <sheetName val="Статьи затрат"/>
      <sheetName val="ЕдИзм"/>
      <sheetName val="Предпр"/>
      <sheetName val="Изменяемые данные"/>
      <sheetName val="мат расходы"/>
      <sheetName val="  2.3.2"/>
      <sheetName val="Info"/>
      <sheetName val="MS"/>
      <sheetName val="IS"/>
      <sheetName val="Пр2"/>
      <sheetName val="факт 2005 г."/>
      <sheetName val="исп.см."/>
      <sheetName val="Свод"/>
      <sheetName val="ИП_ДО_БЛ "/>
      <sheetName val="14.1.2.2.(Услуги связи)"/>
      <sheetName val="аренда цс"/>
      <sheetName val="всп"/>
      <sheetName val="2007 0,01"/>
      <sheetName val="Исх.данные"/>
      <sheetName val="Лист 1"/>
      <sheetName val="Ввод"/>
      <sheetName val="3НК"/>
      <sheetName val="ОКВЭД_свод"/>
      <sheetName val="нч"/>
      <sheetName val="Лист1 (3)"/>
      <sheetName val="на 31.12.07 (4)"/>
      <sheetName val="CIP Dec 2006"/>
      <sheetName val="2 БО"/>
      <sheetName val="Income $"/>
      <sheetName val="базовые допущения"/>
      <sheetName val="База"/>
      <sheetName val="п11"/>
      <sheetName val="п25ЦТАИ"/>
      <sheetName val="п25"/>
      <sheetName val="п23"/>
      <sheetName val="п26"/>
      <sheetName val="п31"/>
      <sheetName val="п4"/>
      <sheetName val="п5"/>
      <sheetName val="п7"/>
      <sheetName val="п8"/>
      <sheetName val="Потребители"/>
      <sheetName val="Блоки"/>
      <sheetName val="Пок"/>
      <sheetName val="Сдача "/>
      <sheetName val="ОборБалФормОтч"/>
      <sheetName val="NOV"/>
      <sheetName val="Assumptions"/>
      <sheetName val="Бюджет"/>
      <sheetName val="ведомость"/>
      <sheetName val="Дт-Кт"/>
      <sheetName val="N_SVOD"/>
      <sheetName val="1,3 новая"/>
      <sheetName val="12 из 57 АЗС"/>
      <sheetName val="персонала"/>
      <sheetName val="Баланс"/>
      <sheetName val="Нефть"/>
      <sheetName val="LME_prices"/>
      <sheetName val="Исходн"/>
      <sheetName val="SAD Schedule"/>
      <sheetName val="A4.100"/>
      <sheetName val="подготовка кадр."/>
      <sheetName val="Форма1"/>
      <sheetName val="авансы выданные-1"/>
      <sheetName val="Деб-1"/>
      <sheetName val="5R"/>
      <sheetName val="Объемы газ"/>
      <sheetName val="предприятия"/>
      <sheetName val="Добычанефти4"/>
      <sheetName val="поставкасравн13"/>
      <sheetName val="сброс"/>
      <sheetName val="Бал. тов. пр.-1"/>
      <sheetName val="UNITPRICES"/>
      <sheetName val="#"/>
      <sheetName val="Лист5"/>
      <sheetName val="Позиция"/>
      <sheetName val="пожар.охрана"/>
      <sheetName val="рев на 09.06."/>
      <sheetName val="Расчет2000Прямой"/>
      <sheetName val="табель"/>
      <sheetName val="NPV"/>
      <sheetName val="Инв.вл тыс.ед"/>
      <sheetName val="Содержание"/>
      <sheetName val="7.1"/>
      <sheetName val="2.2 ОтклОТМ"/>
      <sheetName val="1.3.2 ОТМ"/>
      <sheetName val="1кв. "/>
      <sheetName val="2кв."/>
      <sheetName val="Sheet1"/>
      <sheetName val="Дт-Кт_АНАЛ"/>
      <sheetName val="indices"/>
      <sheetName val="__2_3_21"/>
      <sheetName val="из_сем1"/>
      <sheetName val="__2_3_2"/>
      <sheetName val="из_сем"/>
      <sheetName val="Форма_7_1_2"/>
      <sheetName val="Форма_7_(2)2"/>
      <sheetName val="Форма_7_балансировка_(2)2"/>
      <sheetName val="Форма_7_балансировка2"/>
      <sheetName val="Форма_7_пр2"/>
      <sheetName val="Форма_13"/>
      <sheetName val="Форма_22"/>
      <sheetName val="Форма_2_1_2"/>
      <sheetName val="Форма_32"/>
      <sheetName val="Форма_3_12"/>
      <sheetName val="Форма3_22"/>
      <sheetName val="Форма3_32"/>
      <sheetName val="Форма3_42"/>
      <sheetName val="Форма3_52"/>
      <sheetName val="Форма3_62"/>
      <sheetName val="Форма3_72"/>
      <sheetName val="Форма3_82"/>
      <sheetName val="Форма3_92"/>
      <sheetName val="Форма_3_102"/>
      <sheetName val="Форма5_12"/>
      <sheetName val="Форма5_22"/>
      <sheetName val="Форма6_12"/>
      <sheetName val="Форма_7_2"/>
      <sheetName val="Форма_7_фин2"/>
      <sheetName val="Форма_7_кас_(2)2"/>
      <sheetName val="Форма_7_кас_(3)2"/>
      <sheetName val="Форма_7_кас2"/>
      <sheetName val="Форма_7__12"/>
      <sheetName val="Форма7_2"/>
      <sheetName val="Форма_6стара2"/>
      <sheetName val="Форма_72"/>
      <sheetName val="Форма_82"/>
      <sheetName val="Форма_112"/>
      <sheetName val="__2_3_22"/>
      <sheetName val="из_сем2"/>
      <sheetName val="поставка_сравн132"/>
      <sheetName val="ФОТ"/>
      <sheetName val="Содерж сов.дир"/>
      <sheetName val="Консультац"/>
      <sheetName val="Соц"/>
      <sheetName val="10 БО (kzt)"/>
      <sheetName val="Титульный лист"/>
      <sheetName val="Ф2"/>
      <sheetName val="Ф3"/>
      <sheetName val="Ф4"/>
      <sheetName val="Ф7"/>
      <sheetName val="Ф8"/>
      <sheetName val="Ф9"/>
      <sheetName val="баланс Ф10"/>
      <sheetName val="транспорт"/>
      <sheetName val="кадры"/>
      <sheetName val="команд"/>
      <sheetName val="охр"/>
      <sheetName val="адм"/>
      <sheetName val="канцеляр"/>
      <sheetName val="к адм и предст"/>
      <sheetName val="конс"/>
      <sheetName val="Предст.расходы"/>
      <sheetName val="инфор усл"/>
      <sheetName val="Связь"/>
      <sheetName val="Юр усл"/>
      <sheetName val="Аренда офиса"/>
      <sheetName val="Предст.Москва "/>
      <sheetName val="машины"/>
      <sheetName val="Аморт"/>
      <sheetName val="страх"/>
      <sheetName val="СтрахМаш"/>
      <sheetName val="Kozh Prod"/>
      <sheetName val="Alibek Prod"/>
      <sheetName val="Кож+loss"/>
      <sheetName val="Алиб+loss"/>
      <sheetName val="хим К"/>
      <sheetName val="хим А-ла"/>
      <sheetName val="Intr-n"/>
      <sheetName val="Variants"/>
      <sheetName val="Input(mark)"/>
      <sheetName val="Prod-n"/>
      <sheetName val="Sales"/>
      <sheetName val="Sales Exp-s"/>
      <sheetName val="Elements"/>
      <sheetName val="Cost center"/>
      <sheetName val="страхование"/>
      <sheetName val="Обучение"/>
      <sheetName val="Сот.связь"/>
      <sheetName val="Depr-n"/>
      <sheetName val="Well CAPEX"/>
      <sheetName val="CashFlowDir"/>
      <sheetName val="CAPEX"/>
      <sheetName val="24-2"/>
      <sheetName val="Debt"/>
      <sheetName val="Prod-n график"/>
      <sheetName val="P&amp;L"/>
      <sheetName val="CFS"/>
      <sheetName val="Себест А"/>
      <sheetName val="Себест (К)"/>
      <sheetName val="себест на ед"/>
      <sheetName val="ГСМ А"/>
      <sheetName val="Комрасходы"/>
      <sheetName val="ГСМ К"/>
      <sheetName val="BS"/>
      <sheetName val="февраль"/>
      <sheetName val="март"/>
      <sheetName val="Тит"/>
      <sheetName val="МАТРИЦА ЗАТРАТ"/>
      <sheetName val="Доходы"/>
      <sheetName val="Buy-Out"/>
      <sheetName val="Outline"/>
      <sheetName val="IS_BS_CF"/>
      <sheetName val="PL"/>
      <sheetName val="CASH прямой метод"/>
      <sheetName val="CF"/>
      <sheetName val="Кап.з-ты"/>
      <sheetName val="З.пл"/>
      <sheetName val="Налоги по зп"/>
      <sheetName val="Усл.стор"/>
      <sheetName val="Свод налогов"/>
      <sheetName val="Обслуживание ВС"/>
      <sheetName val="Эксплуатац"/>
      <sheetName val="ОС"/>
      <sheetName val="Стр.затрат"/>
      <sheetName val="График,диагр"/>
      <sheetName val="Доли Акционеров"/>
      <sheetName val="Apr"/>
      <sheetName val="Aug"/>
      <sheetName val="Dec"/>
      <sheetName val="Feb"/>
      <sheetName val="Jan"/>
      <sheetName val="Jul"/>
      <sheetName val="Jun"/>
      <sheetName val="Mar"/>
      <sheetName val="May"/>
      <sheetName val="Oct"/>
      <sheetName val="Sep"/>
      <sheetName val="_x0000_"/>
      <sheetName val="Profit &amp; Loss Total"/>
      <sheetName val="TB 2005"/>
      <sheetName val="B-4"/>
      <sheetName val="Links"/>
      <sheetName val="GAAP TB 31.12.01  detail p&amp;l"/>
      <sheetName val="?"/>
      <sheetName val=""/>
      <sheetName val="Settings"/>
      <sheetName val="1.1 Паспорт"/>
      <sheetName val="1.401.2"/>
      <sheetName val="_ 2_3_2"/>
      <sheetName val="3.ФОТ"/>
      <sheetName val="Курсы"/>
      <sheetName val="ТЭП старая"/>
      <sheetName val="д.7.001"/>
      <sheetName val="постоянные затраты"/>
      <sheetName val="7НК"/>
      <sheetName val="данн"/>
      <sheetName val="indx"/>
      <sheetName val="Транс12дек"/>
      <sheetName val="PV-date"/>
      <sheetName val="KTG_m"/>
      <sheetName val="5NK "/>
      <sheetName val="ремонт 25"/>
      <sheetName val="пр 6 дох"/>
      <sheetName val="Исход"/>
      <sheetName val="по 2007 году план на 2008 год"/>
      <sheetName val="Труд."/>
      <sheetName val="Loans out"/>
      <sheetName val="Касс книга"/>
      <sheetName val="Спецификация"/>
      <sheetName val="МодельППП (Свод)"/>
      <sheetName val="Сеть"/>
      <sheetName val="PL12"/>
      <sheetName val="list"/>
      <sheetName val="Форма2.xls"/>
      <sheetName val="МАТЕР.433,452"/>
      <sheetName val="1. Доходы"/>
      <sheetName val="Prelim Cost"/>
      <sheetName val="Накл"/>
      <sheetName val="баки _2_"/>
      <sheetName val="MATRIX_DA_10"/>
      <sheetName val="ремон_x0009__x0000__x0000__x0000_"/>
      <sheetName val="Data"/>
      <sheetName val="Добыча_нефти42"/>
      <sheetName val="I_KEY_INFORMATION2"/>
      <sheetName val="ввод-вывод_ОС_авг2004-_20052"/>
      <sheetName val="сырье_и_материалы"/>
      <sheetName val="L-1_(БРК)"/>
      <sheetName val="Resp__2_"/>
      <sheetName val="Список_инв__недвижимости_с_норм"/>
      <sheetName val="1_класс"/>
      <sheetName val="2_класс"/>
      <sheetName val="3_класс"/>
      <sheetName val="4_класс"/>
      <sheetName val="5_класс"/>
      <sheetName val="13_NGDO"/>
      <sheetName val="жд_тарифы"/>
      <sheetName val="2_БО_(тенге)"/>
      <sheetName val="I__Прогноз_доходов"/>
      <sheetName val="Input_TD"/>
      <sheetName val="МО_0012"/>
      <sheetName val="Отпуск_продукции"/>
      <sheetName val="Dictionaries"/>
      <sheetName val="ИД"/>
      <sheetName val="цеховые"/>
      <sheetName val="ремон _x0000__x0000__x0000_"/>
      <sheetName val="исходА"/>
      <sheetName val="форма 3 смета затрат"/>
      <sheetName val="4.Налоги"/>
      <sheetName val="Справка ИЦА"/>
      <sheetName val="Sheet2"/>
      <sheetName val="РСза 6-м 2012"/>
      <sheetName val="июнь"/>
      <sheetName val="КОнфиг"/>
      <sheetName val="путевки"/>
      <sheetName val="Заявлени+сдач.обх.по 22.02.12"/>
      <sheetName val="K_100_LS (2)"/>
      <sheetName val="H3.300 (2)"/>
      <sheetName val="K_300_RFD (2)"/>
      <sheetName val="SMSTemp"/>
      <sheetName val="ТитулЛистОтч"/>
      <sheetName val="definitions"/>
      <sheetName val="ЭМГ"/>
      <sheetName val="14_1_2_2__Услуги связи_"/>
      <sheetName val="Common"/>
      <sheetName val="OPEX&amp;FIN"/>
      <sheetName val="Comp"/>
      <sheetName val="показатели"/>
      <sheetName val="черновик"/>
      <sheetName val="2в"/>
      <sheetName val="общ-нефт"/>
      <sheetName val="ОГВ"/>
      <sheetName val="общ.фонд  "/>
      <sheetName val="гор"/>
      <sheetName val="Месяц"/>
      <sheetName val="зоны"/>
      <sheetName val="Форма_7_1_3"/>
      <sheetName val="Форма_7_(2)3"/>
      <sheetName val="Форма_7_балансировка_(2)3"/>
      <sheetName val="Форма_7_балансировка3"/>
      <sheetName val="Форма_7_пр3"/>
      <sheetName val="Форма_14"/>
      <sheetName val="Форма_23"/>
      <sheetName val="Форма_2_1_3"/>
      <sheetName val="Форма_33"/>
      <sheetName val="Форма_3_13"/>
      <sheetName val="Форма3_23"/>
      <sheetName val="Форма3_33"/>
      <sheetName val="Форма3_43"/>
      <sheetName val="Форма3_53"/>
      <sheetName val="Форма3_63"/>
      <sheetName val="Форма3_73"/>
      <sheetName val="Форма3_83"/>
      <sheetName val="Форма3_93"/>
      <sheetName val="Форма_3_103"/>
      <sheetName val="Форма5_13"/>
      <sheetName val="Форма5_23"/>
      <sheetName val="Форма6_13"/>
      <sheetName val="Форма_7_3"/>
      <sheetName val="Форма_7_фин3"/>
      <sheetName val="Форма_7_кас_(2)3"/>
      <sheetName val="Форма_7_кас_(3)3"/>
      <sheetName val="Форма_7_кас3"/>
      <sheetName val="Форма_7__13"/>
      <sheetName val="Форма7_3"/>
      <sheetName val="Форма_6стара3"/>
      <sheetName val="Форма_73"/>
      <sheetName val="Форма_83"/>
      <sheetName val="Форма_113"/>
      <sheetName val="__2_3_23"/>
      <sheetName val="из_сем3"/>
      <sheetName val="поставка_сравн133"/>
      <sheetName val="Инв_вл_тыс_ед"/>
      <sheetName val="14_1_2_2_(Услуги_связи)"/>
      <sheetName val="7_1"/>
      <sheetName val="2_2_ОтклОТМ"/>
      <sheetName val="1_3_2_ОТМ"/>
      <sheetName val="1кв__"/>
      <sheetName val="2кв_"/>
      <sheetName val="Статьи_затрат"/>
      <sheetName val="__2_3_24"/>
      <sheetName val="3_ФОТ"/>
      <sheetName val="Сдача_"/>
      <sheetName val="1,3_новая"/>
      <sheetName val="12_из_57_АЗС"/>
      <sheetName val="Содерж_сов_дир"/>
      <sheetName val="Изменяемые_данные"/>
      <sheetName val="мат_расходы"/>
      <sheetName val="факт_2005_г_"/>
      <sheetName val="ИП_ДО_БЛ_"/>
      <sheetName val="аренда_цс"/>
      <sheetName val="2007_0,01"/>
      <sheetName val="Исх_данные"/>
      <sheetName val="Лист_1"/>
      <sheetName val="Лист1_(3)"/>
      <sheetName val="на_31_12_07_(4)"/>
      <sheetName val="CIP_Dec_2006"/>
      <sheetName val="2_БО"/>
      <sheetName val="Income_$"/>
      <sheetName val="10_БО_(kzt)"/>
      <sheetName val="SAD_Schedule"/>
      <sheetName val="A4_100"/>
      <sheetName val="подготовка_кадр_"/>
      <sheetName val="авансы_выданные-1"/>
      <sheetName val="Объемы_газ"/>
      <sheetName val="Титульный_лист"/>
      <sheetName val="баланс_Ф10"/>
      <sheetName val="к_адм_и_предст"/>
      <sheetName val="Предст_расходы"/>
      <sheetName val="инфор_усл"/>
      <sheetName val="Юр_усл"/>
      <sheetName val="Аренда_офиса"/>
      <sheetName val="Предст_Москва_"/>
      <sheetName val="Kozh_Prod"/>
      <sheetName val="Alibek_Prod"/>
      <sheetName val="хим_К"/>
      <sheetName val="хим_А-ла"/>
      <sheetName val="Sales_Exp-s"/>
      <sheetName val="Cost_center"/>
      <sheetName val="Сот_связь"/>
      <sheetName val="Well_CAPEX"/>
      <sheetName val="Prod-n_график"/>
      <sheetName val="Себест_А"/>
      <sheetName val="Себест_(К)"/>
      <sheetName val="себест_на_ед"/>
      <sheetName val="ГСМ_А"/>
      <sheetName val="ГСМ_К"/>
      <sheetName val="МАТРИЦА_ЗАТРАТ"/>
      <sheetName val="CASH_прямой_метод"/>
      <sheetName val="Кап_з-ты"/>
      <sheetName val="З_пл"/>
      <sheetName val="Налоги_по_зп"/>
      <sheetName val="Усл_стор"/>
      <sheetName val="Свод_налогов"/>
      <sheetName val="Обслуживание_ВС"/>
      <sheetName val="Стр_затрат"/>
      <sheetName val="Доли_Акционеров"/>
      <sheetName val="Profit_&amp;_Loss_Total"/>
      <sheetName val="TB_2005"/>
      <sheetName val="GAAP_TB_31_12_01__detail_p&amp;l"/>
      <sheetName val="1_1_Паспорт"/>
      <sheetName val="1_401_2"/>
      <sheetName val="ТЭП_старая"/>
      <sheetName val="д_7_001"/>
      <sheetName val="постоянные_затраты"/>
      <sheetName val="пожар_охрана"/>
      <sheetName val="Об-я_св-а"/>
      <sheetName val="рев_на_09_06_"/>
      <sheetName val="Бал__тов__пр_-1"/>
      <sheetName val="форма_3_смета_затрат"/>
      <sheetName val="4_Налоги"/>
      <sheetName val="базовые_допущения"/>
      <sheetName val="РСза_6-м_2012"/>
      <sheetName val="Справка_ИЦА"/>
      <sheetName val="Способ_закупки"/>
      <sheetName val="План произв-ва (мес.) (бюджет)"/>
      <sheetName val="спр. АРЕМ"/>
      <sheetName val="Добыча_нефти43"/>
      <sheetName val="I_KEY_INFORMATION3"/>
      <sheetName val="ввод-вывод_ОС_авг2004-_20053"/>
      <sheetName val="13_NGDO1"/>
      <sheetName val="сырье_и_материалы1"/>
      <sheetName val="L-1_(БРК)1"/>
      <sheetName val="Resp__2_1"/>
      <sheetName val="жд_тарифы1"/>
      <sheetName val="2_БО_(тенге)1"/>
      <sheetName val="Список_инв__недвижимости_с_нор1"/>
      <sheetName val="1_класс1"/>
      <sheetName val="2_класс1"/>
      <sheetName val="3_класс1"/>
      <sheetName val="4_класс1"/>
      <sheetName val="5_класс1"/>
      <sheetName val="I__Прогноз_доходов1"/>
      <sheetName val="Input_TD1"/>
      <sheetName val="МО_00121"/>
      <sheetName val="Отпуск_продукции1"/>
      <sheetName val="исп_см_"/>
      <sheetName val="5NK_"/>
      <sheetName val="ремонт_25"/>
      <sheetName val="пр_6_дох"/>
      <sheetName val="по_2007_году_план_на_2008_год"/>
      <sheetName val="Труд_"/>
      <sheetName val="Loans_out"/>
      <sheetName val="Касс_книга"/>
      <sheetName val="МодельППП_(Свод)"/>
      <sheetName val="Форма2_xls"/>
      <sheetName val="МАТЕР_433,452"/>
      <sheetName val="1__Доходы"/>
      <sheetName val="Prelim_Cost"/>
      <sheetName val="баки__2_"/>
      <sheetName val="ремон "/>
      <sheetName val="Utility"/>
      <sheetName val="ремон_x0009_"/>
      <sheetName val="#REF!"/>
      <sheetName val="_"/>
      <sheetName val="2002(v2)"/>
      <sheetName val="BS new"/>
      <sheetName val="Распределение"/>
      <sheetName val="АУП командировочные"/>
      <sheetName val="Январь"/>
      <sheetName val="Sheet5"/>
      <sheetName val="2008"/>
      <sheetName val="2009"/>
      <sheetName val="Sheet3"/>
      <sheetName val="Продактс"/>
      <sheetName val="Р.11. пр 11.1"/>
      <sheetName val="НДПИ"/>
      <sheetName val="список"/>
      <sheetName val="справка"/>
      <sheetName val="БиВи (290)"/>
      <sheetName val="450"/>
      <sheetName val="Форма 18"/>
      <sheetName val="Ф"/>
      <sheetName val="Собственный капитал"/>
      <sheetName val="8180 (8181,8182)"/>
      <sheetName val="8082"/>
      <sheetName val="8250"/>
      <sheetName val="8140"/>
      <sheetName val="8070"/>
      <sheetName val="8145"/>
      <sheetName val="8200"/>
      <sheetName val="8113"/>
      <sheetName val="XREF"/>
      <sheetName val="8210"/>
      <sheetName val="Hidden"/>
      <sheetName val="Титул1"/>
      <sheetName val="K6210"/>
      <sheetName val="Test of FA Installation"/>
      <sheetName val="Additions"/>
      <sheetName val="i-index"/>
      <sheetName val="план07"/>
      <sheetName val="Налоги"/>
      <sheetName val="шкала"/>
      <sheetName val="Официальные курсы"/>
      <sheetName val="_x0000__x0003__x0000__x0004__x0000_"/>
      <sheetName val="_x0000_ _x0000_"/>
      <sheetName val="_x0000__x0009__x0000_"/>
      <sheetName val="0. Данные"/>
      <sheetName val="бланк"/>
      <sheetName val="Служебный ФКРБ"/>
      <sheetName val="Источник финансирования"/>
      <sheetName val="КАТО"/>
      <sheetName val="КПВЭД"/>
      <sheetName val="ЭКРБ"/>
      <sheetName val="Тип пункта плана"/>
      <sheetName val="_x0003__x0004_"/>
      <sheetName val=" "/>
      <sheetName val="распределение модели"/>
      <sheetName val="I1"/>
      <sheetName val="I2"/>
      <sheetName val="цхл 2004"/>
      <sheetName val="6НК-cт."/>
      <sheetName val="TOC"/>
      <sheetName val="Tier1"/>
      <sheetName val="справочник"/>
      <sheetName val="Кнфиг сетка"/>
      <sheetName val="СВОД Логистика"/>
      <sheetName val="PP&amp;E mvt for 2003"/>
      <sheetName val="Control"/>
      <sheetName val="Treatment Summary"/>
      <sheetName val="01-45"/>
      <sheetName val="Факт-Бюджет"/>
      <sheetName val="Факт"/>
      <sheetName val="Реализация"/>
      <sheetName val="Евкарпиди "/>
      <sheetName val="без НДС"/>
      <sheetName val="Бюджет-факт"/>
      <sheetName val="бартер"/>
      <sheetName val="АНАЛИТ"/>
      <sheetName val="BS_new"/>
      <sheetName val="_"/>
      <sheetName val="10. Входные данные"/>
      <sheetName val="Приложение 7 (ЕНП)"/>
      <sheetName val="сетка"/>
      <sheetName val="Project Detail Inputs"/>
      <sheetName val="years 1-3 by month"/>
      <sheetName val="Анализ"/>
      <sheetName val="Коэффициенты"/>
      <sheetName val="_ССЫЛКА"/>
      <sheetName val="объемы"/>
      <sheetName val="ИзменяемыеДанные"/>
      <sheetName val="14_1_2_2_(Услуги_связи)1"/>
      <sheetName val="14_1_2_2_(Услуги_связи)2"/>
      <sheetName val="Ф4_КБМ+АФ"/>
      <sheetName val="11"/>
      <sheetName val="Register"/>
      <sheetName val="Comp06"/>
      <sheetName val="Займы"/>
      <sheetName val="вход.параметры"/>
      <sheetName val="L-1 Займ БРК инвест цели"/>
      <sheetName val="1Утв ТК  Capex 07 "/>
      <sheetName val="май"/>
      <sheetName val="апрель"/>
      <sheetName val="Фонд 15гор"/>
      <sheetName val="Фонд Кар-с"/>
      <sheetName val="Фонд Купола"/>
      <sheetName val="Фонд 14 гор."/>
      <sheetName val="Фонд 16 гор."/>
      <sheetName val="Фонд 17 гор."/>
      <sheetName val="Фонд 18 гор."/>
      <sheetName val="материалы"/>
      <sheetName val="Keys"/>
      <sheetName val="ОСВ"/>
      <sheetName val="Add-s test"/>
      <sheetName val="АЗФ"/>
      <sheetName val="АК"/>
      <sheetName val="Актюбе"/>
      <sheetName val="ССГПО"/>
      <sheetName val="2002(v1)"/>
      <sheetName val="AFS"/>
      <sheetName val="май 203"/>
      <sheetName val="Лист6"/>
      <sheetName val="6БО"/>
      <sheetName val="Базовые данные"/>
      <sheetName val="14_1_2_2_(Услуги_связи)3"/>
      <sheetName val="Treatment_Summary"/>
      <sheetName val="14_1_2_2__Услуги_связи_"/>
      <sheetName val="Базовые_данные"/>
      <sheetName val="L-1_Займ_БРК_инвест_цели"/>
      <sheetName val="вход_параметры"/>
      <sheetName val="1Утв_ТК__Capex_07_"/>
      <sheetName val="Фонд_15гор"/>
      <sheetName val="Фонд_Кар-с"/>
      <sheetName val="Фонд_Купола"/>
      <sheetName val="Фонд_14_гор_"/>
      <sheetName val="Фонд_16_гор_"/>
      <sheetName val="Фонд_17_гор_"/>
      <sheetName val="Фонд_18_гор_"/>
      <sheetName val="Add-s_test"/>
      <sheetName val="точн2"/>
      <sheetName val="Зам.нгду-1"/>
      <sheetName val="Зам.ОЭПУ(доб)"/>
      <sheetName val="замер"/>
      <sheetName val="обв"/>
      <sheetName val="тех режим"/>
      <sheetName val="Зам.нгду-2(наг)"/>
      <sheetName val="исходные данные"/>
      <sheetName val="приложение№3"/>
      <sheetName val="общие данные"/>
      <sheetName val="отделы"/>
      <sheetName val="текст"/>
      <sheetName val="филиалы"/>
      <sheetName val="Макро"/>
      <sheetName val="Сводная"/>
      <sheetName val="ФП"/>
      <sheetName val="450 (2)"/>
      <sheetName val="Гр5(о)"/>
      <sheetName val="2.8. стр-ра себестоимости"/>
      <sheetName val="ГБ"/>
      <sheetName val="Подразд"/>
      <sheetName val="Спр_ пласт"/>
      <sheetName val="Преискурант"/>
      <sheetName val="план"/>
      <sheetName val="списки"/>
      <sheetName val="ЦЕХА"/>
      <sheetName val="пробег м расх"/>
      <sheetName val="пробмч по город"/>
      <sheetName val="Список документов"/>
      <sheetName val="ДС МЗК"/>
      <sheetName val="Anlagevermögen"/>
      <sheetName val="name"/>
      <sheetName val="янв (2)"/>
      <sheetName val="Sample"/>
      <sheetName val="Свод за 2008г"/>
      <sheetName val="Справочник 2601"/>
      <sheetName val="07_Расчет ПО и оборуд. (сводно)"/>
      <sheetName val="s"/>
      <sheetName val="К сущ"/>
      <sheetName val="600000"/>
      <sheetName val="700000"/>
      <sheetName val="700000 (общая)"/>
      <sheetName val="610000-783000"/>
      <sheetName val="Общий"/>
      <sheetName val="факс(2005-20гг.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/>
      <sheetData sheetId="396" refreshError="1"/>
      <sheetData sheetId="397" refreshError="1"/>
      <sheetData sheetId="398" refreshError="1"/>
      <sheetData sheetId="399" refreshError="1"/>
      <sheetData sheetId="400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>
        <row r="13">
          <cell r="C13" t="str">
            <v/>
          </cell>
        </row>
      </sheetData>
      <sheetData sheetId="640"/>
      <sheetData sheetId="641"/>
      <sheetData sheetId="642"/>
      <sheetData sheetId="643"/>
      <sheetData sheetId="644"/>
      <sheetData sheetId="645"/>
      <sheetData sheetId="646"/>
      <sheetData sheetId="647" refreshError="1"/>
      <sheetData sheetId="648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/>
      <sheetData sheetId="687"/>
      <sheetData sheetId="688"/>
      <sheetData sheetId="689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>
        <row r="13">
          <cell r="C13">
            <v>0</v>
          </cell>
        </row>
      </sheetData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>
        <row r="13">
          <cell r="C13" t="str">
            <v/>
          </cell>
        </row>
      </sheetData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Год"/>
      <sheetName val="Тип пункта плана"/>
      <sheetName val="Служебный ФКРБ"/>
      <sheetName val="План_ГЗ2"/>
      <sheetName val="Источник_финансирования2"/>
      <sheetName val="Способ_закупки2"/>
      <sheetName val="Вид_предмета2"/>
      <sheetName val="Тип_пункта_плана2"/>
      <sheetName val="Служебный_ФКРБ2"/>
      <sheetName val="План_ГЗ1"/>
      <sheetName val="Источник_финансирования1"/>
      <sheetName val="Способ_закупки1"/>
      <sheetName val="Вид_предмета1"/>
      <sheetName val="Тип_пункта_плана1"/>
      <sheetName val="Служебный_ФКРБ1"/>
      <sheetName val="План_ГЗ"/>
      <sheetName val="Источник_финансирования"/>
      <sheetName val="Способ_закупки"/>
      <sheetName val="Вид_предмета"/>
      <sheetName val="Тип_пункта_плана"/>
      <sheetName val="Служебный_ФКРБ"/>
      <sheetName val="План_ГЗ3"/>
      <sheetName val="Источник_финансирования3"/>
      <sheetName val="Способ_закупки3"/>
      <sheetName val="Вид_предмета3"/>
      <sheetName val="Тип_пункта_плана3"/>
      <sheetName val="Служебный_ФКРБ3"/>
      <sheetName val="Добыча нефти4"/>
      <sheetName val="Добычанефти4"/>
      <sheetName val="поставка сравн13"/>
      <sheetName val="поставкасравн13"/>
      <sheetName val="20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>
        <row r="3">
          <cell r="B3" t="str">
            <v>001</v>
          </cell>
        </row>
        <row r="4">
          <cell r="B4" t="str">
            <v>002</v>
          </cell>
        </row>
        <row r="5">
          <cell r="B5" t="str">
            <v>003</v>
          </cell>
        </row>
        <row r="6">
          <cell r="B6" t="str">
            <v>004</v>
          </cell>
        </row>
        <row r="7">
          <cell r="B7" t="str">
            <v>005</v>
          </cell>
        </row>
        <row r="8">
          <cell r="B8" t="str">
            <v>006</v>
          </cell>
        </row>
        <row r="9">
          <cell r="B9" t="str">
            <v>007</v>
          </cell>
        </row>
        <row r="10">
          <cell r="B10" t="str">
            <v>008</v>
          </cell>
        </row>
        <row r="11">
          <cell r="B11" t="str">
            <v>009</v>
          </cell>
        </row>
        <row r="12">
          <cell r="B12" t="str">
            <v>010</v>
          </cell>
        </row>
        <row r="13">
          <cell r="B13" t="str">
            <v>011</v>
          </cell>
        </row>
        <row r="14">
          <cell r="B14" t="str">
            <v>012</v>
          </cell>
        </row>
        <row r="15">
          <cell r="B15" t="str">
            <v>013</v>
          </cell>
        </row>
        <row r="16">
          <cell r="B16" t="str">
            <v>014</v>
          </cell>
        </row>
        <row r="17">
          <cell r="B17" t="str">
            <v>015</v>
          </cell>
        </row>
        <row r="18">
          <cell r="B18" t="str">
            <v>016</v>
          </cell>
        </row>
        <row r="19">
          <cell r="B19" t="str">
            <v>017</v>
          </cell>
        </row>
        <row r="20">
          <cell r="B20" t="str">
            <v>018</v>
          </cell>
        </row>
        <row r="21">
          <cell r="B21" t="str">
            <v>019</v>
          </cell>
        </row>
        <row r="22">
          <cell r="B22" t="str">
            <v>020</v>
          </cell>
        </row>
        <row r="23">
          <cell r="B23" t="str">
            <v>021</v>
          </cell>
        </row>
        <row r="24">
          <cell r="B24" t="str">
            <v>022</v>
          </cell>
        </row>
        <row r="25">
          <cell r="B25" t="str">
            <v>023</v>
          </cell>
        </row>
        <row r="26">
          <cell r="B26" t="str">
            <v>024</v>
          </cell>
        </row>
        <row r="27">
          <cell r="B27" t="str">
            <v>025</v>
          </cell>
        </row>
        <row r="28">
          <cell r="B28" t="str">
            <v>026</v>
          </cell>
        </row>
        <row r="29">
          <cell r="B29" t="str">
            <v>027</v>
          </cell>
        </row>
        <row r="30">
          <cell r="B30" t="str">
            <v>028</v>
          </cell>
        </row>
        <row r="31">
          <cell r="B31" t="str">
            <v>029</v>
          </cell>
        </row>
        <row r="32">
          <cell r="B32" t="str">
            <v>030</v>
          </cell>
        </row>
        <row r="33">
          <cell r="B33" t="str">
            <v>031</v>
          </cell>
        </row>
        <row r="34">
          <cell r="B34" t="str">
            <v>032</v>
          </cell>
        </row>
        <row r="35">
          <cell r="B35" t="str">
            <v>033</v>
          </cell>
        </row>
        <row r="36">
          <cell r="B36" t="str">
            <v>034</v>
          </cell>
        </row>
        <row r="37">
          <cell r="B37" t="str">
            <v>035</v>
          </cell>
        </row>
        <row r="38">
          <cell r="B38" t="str">
            <v>036</v>
          </cell>
        </row>
        <row r="39">
          <cell r="B39" t="str">
            <v>037</v>
          </cell>
        </row>
        <row r="40">
          <cell r="B40" t="str">
            <v>038</v>
          </cell>
        </row>
        <row r="41">
          <cell r="B41" t="str">
            <v>039</v>
          </cell>
        </row>
        <row r="42">
          <cell r="B42" t="str">
            <v>040</v>
          </cell>
        </row>
        <row r="43">
          <cell r="B43" t="str">
            <v>041</v>
          </cell>
        </row>
        <row r="44">
          <cell r="B44" t="str">
            <v>042</v>
          </cell>
        </row>
        <row r="45">
          <cell r="B45" t="str">
            <v>043</v>
          </cell>
        </row>
        <row r="46">
          <cell r="B46" t="str">
            <v>044</v>
          </cell>
        </row>
        <row r="47">
          <cell r="B47" t="str">
            <v>045</v>
          </cell>
        </row>
        <row r="48">
          <cell r="B48" t="str">
            <v>046</v>
          </cell>
        </row>
        <row r="49">
          <cell r="B49" t="str">
            <v>047</v>
          </cell>
        </row>
        <row r="50">
          <cell r="B50" t="str">
            <v>048</v>
          </cell>
        </row>
        <row r="51">
          <cell r="B51" t="str">
            <v>049</v>
          </cell>
        </row>
        <row r="52">
          <cell r="B52" t="str">
            <v>050</v>
          </cell>
        </row>
        <row r="53">
          <cell r="B53" t="str">
            <v>051</v>
          </cell>
        </row>
        <row r="54">
          <cell r="B54" t="str">
            <v>052</v>
          </cell>
        </row>
        <row r="55">
          <cell r="B55" t="str">
            <v>053</v>
          </cell>
        </row>
        <row r="56">
          <cell r="B56" t="str">
            <v>054</v>
          </cell>
        </row>
        <row r="57">
          <cell r="B57" t="str">
            <v>055</v>
          </cell>
        </row>
        <row r="58">
          <cell r="B58" t="str">
            <v>056</v>
          </cell>
        </row>
        <row r="59">
          <cell r="B59" t="str">
            <v>057</v>
          </cell>
        </row>
        <row r="60">
          <cell r="B60" t="str">
            <v>058</v>
          </cell>
        </row>
        <row r="61">
          <cell r="B61" t="str">
            <v>059</v>
          </cell>
        </row>
        <row r="62">
          <cell r="B62" t="str">
            <v>060</v>
          </cell>
        </row>
        <row r="63">
          <cell r="B63" t="str">
            <v>061</v>
          </cell>
        </row>
        <row r="64">
          <cell r="B64" t="str">
            <v>062</v>
          </cell>
        </row>
        <row r="65">
          <cell r="B65" t="str">
            <v>063</v>
          </cell>
        </row>
        <row r="66">
          <cell r="B66" t="str">
            <v>064</v>
          </cell>
        </row>
        <row r="67">
          <cell r="B67" t="str">
            <v>065</v>
          </cell>
        </row>
        <row r="68">
          <cell r="B68" t="str">
            <v>066</v>
          </cell>
        </row>
        <row r="69">
          <cell r="B69" t="str">
            <v>067</v>
          </cell>
        </row>
        <row r="70">
          <cell r="B70" t="str">
            <v>068</v>
          </cell>
        </row>
        <row r="71">
          <cell r="B71" t="str">
            <v>069</v>
          </cell>
        </row>
        <row r="72">
          <cell r="B72" t="str">
            <v>070</v>
          </cell>
        </row>
        <row r="73">
          <cell r="B73" t="str">
            <v>071</v>
          </cell>
        </row>
        <row r="74">
          <cell r="B74" t="str">
            <v>072</v>
          </cell>
        </row>
        <row r="75">
          <cell r="B75" t="str">
            <v>073</v>
          </cell>
        </row>
        <row r="76">
          <cell r="B76" t="str">
            <v>074</v>
          </cell>
        </row>
        <row r="77">
          <cell r="B77" t="str">
            <v>075</v>
          </cell>
        </row>
        <row r="78">
          <cell r="B78" t="str">
            <v>076</v>
          </cell>
        </row>
        <row r="79">
          <cell r="B79" t="str">
            <v>077</v>
          </cell>
        </row>
        <row r="80">
          <cell r="B80" t="str">
            <v>078</v>
          </cell>
        </row>
        <row r="81">
          <cell r="B81" t="str">
            <v>079</v>
          </cell>
        </row>
        <row r="82">
          <cell r="B82" t="str">
            <v>080</v>
          </cell>
        </row>
        <row r="83">
          <cell r="B83" t="str">
            <v>081</v>
          </cell>
        </row>
        <row r="84">
          <cell r="B84" t="str">
            <v>082</v>
          </cell>
        </row>
        <row r="85">
          <cell r="B85" t="str">
            <v>083</v>
          </cell>
        </row>
        <row r="86">
          <cell r="B86" t="str">
            <v>084</v>
          </cell>
        </row>
        <row r="87">
          <cell r="B87" t="str">
            <v>085</v>
          </cell>
        </row>
        <row r="88">
          <cell r="B88" t="str">
            <v>086</v>
          </cell>
        </row>
        <row r="89">
          <cell r="B89" t="str">
            <v>087</v>
          </cell>
        </row>
        <row r="90">
          <cell r="B90" t="str">
            <v>088</v>
          </cell>
        </row>
        <row r="91">
          <cell r="B91" t="str">
            <v>089</v>
          </cell>
        </row>
        <row r="92">
          <cell r="B92" t="str">
            <v>090</v>
          </cell>
        </row>
        <row r="93">
          <cell r="B93" t="str">
            <v>091</v>
          </cell>
        </row>
        <row r="94">
          <cell r="B94" t="str">
            <v>092</v>
          </cell>
        </row>
        <row r="95">
          <cell r="B95" t="str">
            <v>093</v>
          </cell>
        </row>
        <row r="96">
          <cell r="B96" t="str">
            <v>094</v>
          </cell>
        </row>
        <row r="97">
          <cell r="B97" t="str">
            <v>095</v>
          </cell>
        </row>
        <row r="98">
          <cell r="B98" t="str">
            <v>096</v>
          </cell>
        </row>
        <row r="99">
          <cell r="B99" t="str">
            <v>097</v>
          </cell>
        </row>
        <row r="100">
          <cell r="B100" t="str">
            <v>098</v>
          </cell>
        </row>
        <row r="101">
          <cell r="B101" t="str">
            <v>099</v>
          </cell>
        </row>
        <row r="102">
          <cell r="B102">
            <v>100</v>
          </cell>
        </row>
        <row r="103">
          <cell r="B103">
            <v>101</v>
          </cell>
        </row>
        <row r="104">
          <cell r="B104">
            <v>104</v>
          </cell>
        </row>
        <row r="105">
          <cell r="B105">
            <v>105</v>
          </cell>
        </row>
        <row r="106">
          <cell r="B106">
            <v>106</v>
          </cell>
        </row>
        <row r="107">
          <cell r="B107">
            <v>107</v>
          </cell>
        </row>
        <row r="108">
          <cell r="B108">
            <v>108</v>
          </cell>
        </row>
        <row r="109">
          <cell r="B109">
            <v>109</v>
          </cell>
        </row>
        <row r="110">
          <cell r="B110">
            <v>110</v>
          </cell>
        </row>
        <row r="111">
          <cell r="B111">
            <v>111</v>
          </cell>
        </row>
        <row r="112">
          <cell r="B112">
            <v>112</v>
          </cell>
        </row>
        <row r="113">
          <cell r="B113">
            <v>113</v>
          </cell>
        </row>
        <row r="114">
          <cell r="B114">
            <v>114</v>
          </cell>
        </row>
        <row r="115">
          <cell r="B115">
            <v>115</v>
          </cell>
        </row>
        <row r="116">
          <cell r="B116">
            <v>117</v>
          </cell>
        </row>
        <row r="117">
          <cell r="B117">
            <v>118</v>
          </cell>
        </row>
        <row r="118">
          <cell r="B118">
            <v>119</v>
          </cell>
        </row>
        <row r="119">
          <cell r="B119">
            <v>120</v>
          </cell>
        </row>
        <row r="120">
          <cell r="B120">
            <v>122</v>
          </cell>
        </row>
        <row r="121">
          <cell r="B121">
            <v>400</v>
          </cell>
        </row>
        <row r="122">
          <cell r="B122">
            <v>901</v>
          </cell>
        </row>
        <row r="123">
          <cell r="B123">
            <v>902</v>
          </cell>
        </row>
      </sheetData>
      <sheetData sheetId="14"/>
      <sheetData sheetId="15"/>
      <sheetData sheetId="16"/>
      <sheetData sheetId="17"/>
      <sheetData sheetId="18"/>
      <sheetData sheetId="19">
        <row r="3">
          <cell r="B3" t="str">
            <v>001</v>
          </cell>
        </row>
      </sheetData>
      <sheetData sheetId="20"/>
      <sheetData sheetId="21"/>
      <sheetData sheetId="22"/>
      <sheetData sheetId="23"/>
      <sheetData sheetId="24"/>
      <sheetData sheetId="25">
        <row r="3">
          <cell r="B3" t="str">
            <v>001</v>
          </cell>
        </row>
      </sheetData>
      <sheetData sheetId="26"/>
      <sheetData sheetId="27"/>
      <sheetData sheetId="28"/>
      <sheetData sheetId="29"/>
      <sheetData sheetId="30"/>
      <sheetData sheetId="31">
        <row r="3">
          <cell r="B3" t="str">
            <v>001</v>
          </cell>
        </row>
      </sheetData>
      <sheetData sheetId="32"/>
      <sheetData sheetId="33"/>
      <sheetData sheetId="34"/>
      <sheetData sheetId="35"/>
      <sheetData sheetId="36"/>
      <sheetData sheetId="37">
        <row r="3">
          <cell r="B3" t="str">
            <v>001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АНПЗ"/>
      <sheetName val="Нефть"/>
      <sheetName val="Производ"/>
      <sheetName val="ОснПок"/>
      <sheetName val="адм расходы"/>
      <sheetName val="Лист1"/>
      <sheetName val="Форма2"/>
      <sheetName val="СписокТЭП"/>
      <sheetName val="Баланс"/>
      <sheetName val="предприятия"/>
      <sheetName val="АНПЗ_06_2003"/>
      <sheetName val="14.1.2.2.(Услуги связи)"/>
      <sheetName val="Позиция"/>
      <sheetName val="Форма1"/>
      <sheetName val="  2.3.2"/>
      <sheetName val="группа"/>
      <sheetName val="12НК"/>
      <sheetName val="3НК"/>
      <sheetName val="7НК"/>
      <sheetName val="2 БО (тенге)"/>
      <sheetName val="Добыча нефти4"/>
      <sheetName val="поставка сравн13"/>
      <sheetName val="Input TD"/>
      <sheetName val="Фин.обяз."/>
      <sheetName val="Добычанефти4"/>
      <sheetName val="поставкасравн13"/>
      <sheetName val="из сем"/>
      <sheetName val="LME_prices"/>
      <sheetName val="5R"/>
      <sheetName val="L-1"/>
      <sheetName val="FES"/>
      <sheetName val="сброс"/>
      <sheetName val="База"/>
      <sheetName val="ТО гермозоны расчет"/>
      <sheetName val="адм_расходы"/>
      <sheetName val="14_1_2_2_(Услуги_связи)"/>
      <sheetName val="__2_3_2"/>
      <sheetName val="2_БО_(тенге)"/>
      <sheetName val="Добыча_нефти4"/>
      <sheetName val="поставка_сравн13"/>
      <sheetName val="Input_TD"/>
      <sheetName val="Фин_обяз_"/>
      <sheetName val="из_сем"/>
      <sheetName val="ТО_гермозоны_расчет"/>
      <sheetName val="элементы"/>
      <sheetName val="флормиро"/>
      <sheetName val="ввод-вывод ОС авг2004- 2005"/>
      <sheetName val="ОТиТБ"/>
      <sheetName val="ГВЦ"/>
      <sheetName val="ИС"/>
      <sheetName val="ГЦУС"/>
      <sheetName val="ЦЛР"/>
      <sheetName val="ЦИТ"/>
      <sheetName val="МодельППП (Свод)"/>
      <sheetName val="1. Доходы"/>
      <sheetName val="Отпуск продукции"/>
      <sheetName val="сетка"/>
      <sheetName val="пробег м расх"/>
      <sheetName val="пробмч по город"/>
      <sheetName val="коэфф"/>
      <sheetName val="АУП командировочные"/>
      <sheetName val="КОРП-1"/>
      <sheetName val="апрель"/>
      <sheetName val="I. Прогноз доходов"/>
      <sheetName val="Control"/>
      <sheetName val="B-4"/>
      <sheetName val="Форма7 "/>
      <sheetName val="TT"/>
      <sheetName val="для 4"/>
      <sheetName val="зоны"/>
      <sheetName val="Памятка"/>
      <sheetName val="3.3.31."/>
      <sheetName val="форма 3 смета затрат"/>
      <sheetName val="Лист3"/>
      <sheetName val="Database (RUR)Mar YTD"/>
      <sheetName val="Деб-1"/>
      <sheetName val="ГТМ"/>
      <sheetName val="К су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лементы"/>
      <sheetName val="флормиро"/>
      <sheetName val="Форма 7.1."/>
      <sheetName val="Форма 7 (2)"/>
      <sheetName val="Форма 7 балансировка (2)"/>
      <sheetName val="Форма 7 балансировка"/>
      <sheetName val="Лист1"/>
      <sheetName val="Форма 7 пр"/>
      <sheetName val="Лист2"/>
      <sheetName val="Форма 1"/>
      <sheetName val="Форма 2"/>
      <sheetName val="Форма 2.1."/>
      <sheetName val="Форма 3"/>
      <sheetName val="Форма 3.1"/>
      <sheetName val="Форма3.2"/>
      <sheetName val="Форма3.3"/>
      <sheetName val="Форма3.4"/>
      <sheetName val="Форма3.5"/>
      <sheetName val="Форма3.6"/>
      <sheetName val="Форма3.7"/>
      <sheetName val="Форма3.8"/>
      <sheetName val="Форма3.9"/>
      <sheetName val="Форма 3.10"/>
      <sheetName val="Форма4"/>
      <sheetName val="Форма5"/>
      <sheetName val="Форма5.1"/>
      <sheetName val="Форма5.2"/>
      <sheetName val="Форма6"/>
      <sheetName val="Форма6.1"/>
      <sheetName val="Форма 7."/>
      <sheetName val="Форма 7 фин"/>
      <sheetName val="Форма 7 кас (2)"/>
      <sheetName val="Форма 7 кас (3)"/>
      <sheetName val="Форма 7 кас"/>
      <sheetName val="Форма 7 .1"/>
      <sheetName val="Форма7."/>
      <sheetName val="Форма 6стара"/>
      <sheetName val="Форма 7"/>
      <sheetName val="Форма 8"/>
      <sheetName val="Форма 11"/>
      <sheetName val="#ССЫЛКА"/>
      <sheetName val="Баланс"/>
      <sheetName val="Нефть"/>
      <sheetName val="Форма2"/>
      <sheetName val="СписокТЭП"/>
      <sheetName val="группа"/>
      <sheetName val="SAD Schedule"/>
      <sheetName val="A4.100"/>
      <sheetName val="поставка сравн13"/>
      <sheetName val="ОТиТБ"/>
      <sheetName val="LME_prices"/>
      <sheetName val="подготовка кадр."/>
      <sheetName val="Форма1"/>
      <sheetName val="авансы выданные-1"/>
      <sheetName val="Деб-1"/>
      <sheetName val="Исходн"/>
      <sheetName val="1NK"/>
      <sheetName val="5R"/>
      <sheetName val="предприятия"/>
      <sheetName val="Объемы газ"/>
      <sheetName val="Добыча нефти4"/>
      <sheetName val="Добычанефти4"/>
      <sheetName val="поставкасравн13"/>
      <sheetName val="UNITPRICES"/>
      <sheetName val="Лист5"/>
      <sheetName val="Позиция"/>
      <sheetName val="пожар.охрана"/>
      <sheetName val="сброс"/>
      <sheetName val="Бал. тов. пр.-1"/>
      <sheetName val="потр"/>
      <sheetName val="СН"/>
      <sheetName val="Потребители"/>
      <sheetName val="Блоки"/>
      <sheetName val="Пок"/>
      <sheetName val="NOV"/>
      <sheetName val="Пр2"/>
      <sheetName val="Способ закупки"/>
      <sheetName val="FES"/>
      <sheetName val="#"/>
      <sheetName val="рев на 09.06."/>
      <sheetName val="Расчет2000Прямой"/>
      <sheetName val="#REF"/>
      <sheetName val="L-1 (БРК)"/>
      <sheetName val="g-1"/>
      <sheetName val="смета"/>
      <sheetName val="2.2 ОтклОТМ"/>
      <sheetName val="Касс книга"/>
      <sheetName val="L-1"/>
      <sheetName val="Сдача "/>
      <sheetName val="исп.см."/>
      <sheetName val="ОборБалФормОтч"/>
      <sheetName val="МО 0012"/>
      <sheetName val="Assumptions"/>
      <sheetName val="СПгнг"/>
      <sheetName val="Бюджет"/>
      <sheetName val="ведомость"/>
      <sheetName val="Лист3"/>
      <sheetName val="Дт-Кт"/>
      <sheetName val="Ввод"/>
      <sheetName val="N_SVOD"/>
      <sheetName val="1,3 новая"/>
      <sheetName val="12 из 57 АЗС"/>
      <sheetName val="  2.3.2"/>
      <sheetName val="персонала"/>
      <sheetName val="из сем"/>
      <sheetName val="ТЭП"/>
      <sheetName val="Счетчики"/>
      <sheetName val="I KEY INFORMATION"/>
      <sheetName val="ввод-вывод ОС авг2004- 2005"/>
      <sheetName val="ID-06"/>
      <sheetName val="сырье и материалы"/>
      <sheetName val="I. Прогноз доходов"/>
      <sheetName val="Resp _2_"/>
      <sheetName val="2@"/>
      <sheetName val="Список инв. недвижимости с норм"/>
      <sheetName val="1"/>
      <sheetName val="1 класс"/>
      <sheetName val="2 класс"/>
      <sheetName val="3 класс"/>
      <sheetName val="4 класс"/>
      <sheetName val="5 класс"/>
      <sheetName val="t0_name"/>
      <sheetName val="2_"/>
      <sheetName val="13 NGDO"/>
      <sheetName val="глина"/>
      <sheetName val="жд тарифы"/>
      <sheetName val="2 БО (тенге)"/>
      <sheetName val="Счет-ф"/>
      <sheetName val="Форма_7_1_"/>
      <sheetName val="Форма_7_(2)"/>
      <sheetName val="Форма_7_балансировка_(2)"/>
      <sheetName val="Форма_7_балансировка"/>
      <sheetName val="Форма_7_пр"/>
      <sheetName val="Форма_1"/>
      <sheetName val="Форма_2"/>
      <sheetName val="Форма_2_1_"/>
      <sheetName val="Форма_3"/>
      <sheetName val="Форма_3_1"/>
      <sheetName val="Форма3_2"/>
      <sheetName val="Форма3_3"/>
      <sheetName val="Форма3_4"/>
      <sheetName val="Форма3_5"/>
      <sheetName val="Форма3_6"/>
      <sheetName val="Форма3_7"/>
      <sheetName val="Форма3_8"/>
      <sheetName val="Форма3_9"/>
      <sheetName val="Форма_3_10"/>
      <sheetName val="Форма5_1"/>
      <sheetName val="Форма5_2"/>
      <sheetName val="Форма6_1"/>
      <sheetName val="Форма_7_"/>
      <sheetName val="Форма_7_фин"/>
      <sheetName val="Форма_7_кас_(2)"/>
      <sheetName val="Форма_7_кас_(3)"/>
      <sheetName val="Форма_7_кас"/>
      <sheetName val="Форма_7__1"/>
      <sheetName val="Форма7_"/>
      <sheetName val="Форма_6стара"/>
      <sheetName val="Форма_7"/>
      <sheetName val="Форма_8"/>
      <sheetName val="Форма_11"/>
      <sheetName val="Добыча_нефти4"/>
      <sheetName val="поставка_сравн13"/>
      <sheetName val="I_KEY_INFORMATION"/>
      <sheetName val="ввод-вывод_ОС_авг2004-_2005"/>
      <sheetName val="Форма_7_1_1"/>
      <sheetName val="Форма_7_(2)1"/>
      <sheetName val="Форма_7_балансировка_(2)1"/>
      <sheetName val="Форма_7_балансировка1"/>
      <sheetName val="Форма_7_пр1"/>
      <sheetName val="Форма_12"/>
      <sheetName val="Форма_21"/>
      <sheetName val="Форма_2_1_1"/>
      <sheetName val="Форма_31"/>
      <sheetName val="Форма_3_11"/>
      <sheetName val="Форма3_21"/>
      <sheetName val="Форма3_31"/>
      <sheetName val="Форма3_41"/>
      <sheetName val="Форма3_51"/>
      <sheetName val="Форма3_61"/>
      <sheetName val="Форма3_71"/>
      <sheetName val="Форма3_81"/>
      <sheetName val="Форма3_91"/>
      <sheetName val="Форма_3_101"/>
      <sheetName val="Форма5_11"/>
      <sheetName val="Форма5_21"/>
      <sheetName val="Форма6_11"/>
      <sheetName val="Форма_7_1"/>
      <sheetName val="Форма_7_фин1"/>
      <sheetName val="Форма_7_кас_(2)1"/>
      <sheetName val="Форма_7_кас_(3)1"/>
      <sheetName val="Форма_7_кас1"/>
      <sheetName val="Форма_7__11"/>
      <sheetName val="Форма7_1"/>
      <sheetName val="Форма_6стара1"/>
      <sheetName val="Форма_71"/>
      <sheetName val="Форма_81"/>
      <sheetName val="Форма_111"/>
      <sheetName val="Добыча_нефти41"/>
      <sheetName val="поставка_сравн131"/>
      <sheetName val="I_KEY_INFORMATION1"/>
      <sheetName val="ввод-вывод_ОС_авг2004-_20051"/>
      <sheetName val="Input TD"/>
      <sheetName val="класс"/>
      <sheetName val="Об-я св-а"/>
      <sheetName val="2БО"/>
      <sheetName val="Пром1"/>
      <sheetName val="ЦентрЗатр"/>
      <sheetName val="Отпуск продукции"/>
      <sheetName val="Осн"/>
      <sheetName val="Статьи затрат"/>
      <sheetName val="ЕдИзм"/>
      <sheetName val="Предпр"/>
      <sheetName val="Изменяемые данные"/>
      <sheetName val="мат расходы"/>
      <sheetName val="Info"/>
      <sheetName val="MS"/>
      <sheetName val="IS"/>
      <sheetName val="факт 2005 г."/>
      <sheetName val="Свод"/>
      <sheetName val="ИП_ДО_БЛ "/>
      <sheetName val="14.1.2.2.(Услуги связи)"/>
      <sheetName val="аренда цс"/>
      <sheetName val="всп"/>
      <sheetName val="2007 0,01"/>
      <sheetName val="Исх.данные"/>
      <sheetName val="Лист 1"/>
      <sheetName val="3НК"/>
      <sheetName val="ОКВЭД_свод"/>
      <sheetName val="нч"/>
      <sheetName val="Лист1 (3)"/>
      <sheetName val="на 31.12.07 (4)"/>
      <sheetName val="CIP Dec 2006"/>
      <sheetName val="2 БО"/>
      <sheetName val="Income $"/>
      <sheetName val="базовые допущения"/>
      <sheetName val="База"/>
      <sheetName val="п11"/>
      <sheetName val="п25ЦТАИ"/>
      <sheetName val="п25"/>
      <sheetName val="п23"/>
      <sheetName val="п26"/>
      <sheetName val="п31"/>
      <sheetName val="п4"/>
      <sheetName val="п5"/>
      <sheetName val="п7"/>
      <sheetName val="п8"/>
      <sheetName val="табель"/>
      <sheetName val="NPV"/>
      <sheetName val="Инв.вл тыс.ед"/>
      <sheetName val="Содержание"/>
      <sheetName val="7.1"/>
      <sheetName val="1.3.2 ОТМ"/>
      <sheetName val="1кв. "/>
      <sheetName val="2кв."/>
      <sheetName val="Sheet1"/>
      <sheetName val="Дт-Кт_АНАЛ"/>
      <sheetName val="indices"/>
      <sheetName val="__2_3_21"/>
      <sheetName val="из_сем1"/>
      <sheetName val="__2_3_2"/>
      <sheetName val="из_сем"/>
      <sheetName val="Форма_7_1_2"/>
      <sheetName val="Форма_7_(2)2"/>
      <sheetName val="Форма_7_балансировка_(2)2"/>
      <sheetName val="Форма_7_балансировка2"/>
      <sheetName val="Форма_7_пр2"/>
      <sheetName val="Форма_13"/>
      <sheetName val="Форма_22"/>
      <sheetName val="Форма_2_1_2"/>
      <sheetName val="Форма_32"/>
      <sheetName val="Форма_3_12"/>
      <sheetName val="Форма3_22"/>
      <sheetName val="Форма3_32"/>
      <sheetName val="Форма3_42"/>
      <sheetName val="Форма3_52"/>
      <sheetName val="Форма3_62"/>
      <sheetName val="Форма3_72"/>
      <sheetName val="Форма3_82"/>
      <sheetName val="Форма3_92"/>
      <sheetName val="Форма_3_102"/>
      <sheetName val="Форма5_12"/>
      <sheetName val="Форма5_22"/>
      <sheetName val="Форма6_12"/>
      <sheetName val="Форма_7_2"/>
      <sheetName val="Форма_7_фин2"/>
      <sheetName val="Форма_7_кас_(2)2"/>
      <sheetName val="Форма_7_кас_(3)2"/>
      <sheetName val="Форма_7_кас2"/>
      <sheetName val="Форма_7__12"/>
      <sheetName val="Форма7_2"/>
      <sheetName val="Форма_6стара2"/>
      <sheetName val="Форма_72"/>
      <sheetName val="Форма_82"/>
      <sheetName val="Форма_112"/>
      <sheetName val="__2_3_22"/>
      <sheetName val="из_сем2"/>
      <sheetName val="поставка_сравн132"/>
      <sheetName val="ФОТ"/>
      <sheetName val="Содерж сов.дир"/>
      <sheetName val="Консультац"/>
      <sheetName val="Соц"/>
      <sheetName val="10 БО (kzt)"/>
      <sheetName val="Титульный лист"/>
      <sheetName val="Ф2"/>
      <sheetName val="Ф3"/>
      <sheetName val="Ф4"/>
      <sheetName val="Ф7"/>
      <sheetName val="Ф8"/>
      <sheetName val="Ф9"/>
      <sheetName val="баланс Ф10"/>
      <sheetName val="транспорт"/>
      <sheetName val="кадры"/>
      <sheetName val="команд"/>
      <sheetName val="охр"/>
      <sheetName val="адм"/>
      <sheetName val="канцеляр"/>
      <sheetName val="к адм и предст"/>
      <sheetName val="конс"/>
      <sheetName val="Предст.расходы"/>
      <sheetName val="инфор усл"/>
      <sheetName val="Связь"/>
      <sheetName val="Юр усл"/>
      <sheetName val="Аренда офиса"/>
      <sheetName val="Предст.Москва "/>
      <sheetName val="машины"/>
      <sheetName val="Аморт"/>
      <sheetName val="страх"/>
      <sheetName val="СтрахМаш"/>
      <sheetName val="Kozh Prod"/>
      <sheetName val="Alibek Prod"/>
      <sheetName val="Кож+loss"/>
      <sheetName val="Алиб+loss"/>
      <sheetName val="хим К"/>
      <sheetName val="хим А-ла"/>
      <sheetName val="Intr-n"/>
      <sheetName val="Variants"/>
      <sheetName val="Input(mark)"/>
      <sheetName val="Prod-n"/>
      <sheetName val="Sales"/>
      <sheetName val="Sales Exp-s"/>
      <sheetName val="Elements"/>
      <sheetName val="Cost center"/>
      <sheetName val="страхование"/>
      <sheetName val="Обучение"/>
      <sheetName val="Сот.связь"/>
      <sheetName val="Depr-n"/>
      <sheetName val="Well CAPEX"/>
      <sheetName val="CashFlowDir"/>
      <sheetName val="CAPEX"/>
      <sheetName val="24-2"/>
      <sheetName val="Debt"/>
      <sheetName val="Prod-n график"/>
      <sheetName val="P&amp;L"/>
      <sheetName val="CFS"/>
      <sheetName val="Себест А"/>
      <sheetName val="Себест (К)"/>
      <sheetName val="себест на ед"/>
      <sheetName val="ГСМ А"/>
      <sheetName val="Комрасходы"/>
      <sheetName val="ГСМ К"/>
      <sheetName val="BS"/>
      <sheetName val="февраль"/>
      <sheetName val="март"/>
      <sheetName val="Тит"/>
      <sheetName val="МАТРИЦА ЗАТРАТ"/>
      <sheetName val="Доходы"/>
      <sheetName val="Buy-Out"/>
      <sheetName val="Outline"/>
      <sheetName val="IS_BS_CF"/>
      <sheetName val="PL"/>
      <sheetName val="CASH прямой метод"/>
      <sheetName val="CF"/>
      <sheetName val="Кап.з-ты"/>
      <sheetName val="З.пл"/>
      <sheetName val="Налоги по зп"/>
      <sheetName val="Усл.стор"/>
      <sheetName val="Свод налогов"/>
      <sheetName val="Обслуживание ВС"/>
      <sheetName val="Эксплуатац"/>
      <sheetName val="ОС"/>
      <sheetName val="Стр.затрат"/>
      <sheetName val="График,диагр"/>
      <sheetName val="Доли Акционеров"/>
      <sheetName val="Apr"/>
      <sheetName val="Aug"/>
      <sheetName val="Dec"/>
      <sheetName val="Feb"/>
      <sheetName val="Jan"/>
      <sheetName val="Jul"/>
      <sheetName val="Jun"/>
      <sheetName val="Mar"/>
      <sheetName val="May"/>
      <sheetName val="Oct"/>
      <sheetName val="Sep"/>
      <sheetName val="_x0000_"/>
      <sheetName val="Profit &amp; Loss Total"/>
      <sheetName val="TB 2005"/>
      <sheetName val="B-4"/>
      <sheetName val="Links"/>
      <sheetName val="GAAP TB 31.12.01  detail p&amp;l"/>
      <sheetName val="?"/>
      <sheetName val=""/>
      <sheetName val="Settings"/>
      <sheetName val="1.1 Паспорт"/>
      <sheetName val="1.401.2"/>
      <sheetName val="_ 2_3_2"/>
      <sheetName val="3.ФОТ"/>
      <sheetName val="Курсы"/>
      <sheetName val="ТЭП старая"/>
      <sheetName val="д.7.001"/>
      <sheetName val="постоянные затраты"/>
      <sheetName val="7НК"/>
      <sheetName val="данн"/>
      <sheetName val="indx"/>
      <sheetName val="Транс12дек"/>
      <sheetName val="PV-date"/>
      <sheetName val="list"/>
      <sheetName val="Loans out"/>
      <sheetName val="Форма2.xls"/>
      <sheetName val="5NK "/>
      <sheetName val="по 2007 году план на 2008 год"/>
      <sheetName val="Труд."/>
      <sheetName val="Сеть"/>
      <sheetName val="Спецификация"/>
      <sheetName val="МодельППП (Свод)"/>
      <sheetName val="БиВи (290)"/>
      <sheetName val="450"/>
      <sheetName val="Исход"/>
      <sheetName val="Hidden"/>
      <sheetName val="Титул1"/>
      <sheetName val="МАТЕР.433,452"/>
      <sheetName val="Гр5(о)"/>
      <sheetName val="1. Доходы"/>
      <sheetName val="PL12"/>
      <sheetName val="AFS"/>
      <sheetName val="Форма_7_1_3"/>
      <sheetName val="Форма_7_(2)3"/>
      <sheetName val="Форма_7_балансировка_(2)3"/>
      <sheetName val="Форма_7_балансировка3"/>
      <sheetName val="Форма_7_пр3"/>
      <sheetName val="Форма_14"/>
      <sheetName val="Форма_23"/>
      <sheetName val="Форма_2_1_3"/>
      <sheetName val="Форма_33"/>
      <sheetName val="Форма_3_13"/>
      <sheetName val="Форма3_23"/>
      <sheetName val="Форма3_33"/>
      <sheetName val="Форма3_43"/>
      <sheetName val="Форма3_53"/>
      <sheetName val="Форма3_63"/>
      <sheetName val="Форма3_73"/>
      <sheetName val="Форма3_83"/>
      <sheetName val="Форма3_93"/>
      <sheetName val="Форма_3_103"/>
      <sheetName val="Форма5_13"/>
      <sheetName val="Форма5_23"/>
      <sheetName val="Форма6_13"/>
      <sheetName val="Форма_7_3"/>
      <sheetName val="Форма_7_фин3"/>
      <sheetName val="Форма_7_кас_(2)3"/>
      <sheetName val="Форма_7_кас_(3)3"/>
      <sheetName val="Форма_7_кас3"/>
      <sheetName val="Форма_7__13"/>
      <sheetName val="Форма7_3"/>
      <sheetName val="Форма_6стара3"/>
      <sheetName val="Форма_73"/>
      <sheetName val="Форма_83"/>
      <sheetName val="Форма_113"/>
      <sheetName val="поставка_сравн133"/>
      <sheetName val="SAD_Schedule"/>
      <sheetName val="A4_100"/>
      <sheetName val="подготовка_кадр_"/>
      <sheetName val="авансы_выданные-1"/>
      <sheetName val="Объемы_газ"/>
      <sheetName val="Бал__тов__пр_-1"/>
      <sheetName val="Добыча_нефти42"/>
      <sheetName val="L-1_(БРК)"/>
      <sheetName val="пожар_охрана"/>
      <sheetName val="Способ_закупки"/>
      <sheetName val="рев_на_09_06_"/>
      <sheetName val="2_2_ОтклОТМ"/>
      <sheetName val="Касс_книга"/>
      <sheetName val="Сдача_"/>
      <sheetName val="исп_см_"/>
      <sheetName val="МО_0012"/>
      <sheetName val="1,3_новая"/>
      <sheetName val="12_из_57_АЗС"/>
      <sheetName val="__2_3_23"/>
      <sheetName val="из_сем3"/>
      <sheetName val="I_KEY_INFORMATION2"/>
      <sheetName val="ввод-вывод_ОС_авг2004-_20052"/>
      <sheetName val="сырье_и_материалы"/>
      <sheetName val="I__Прогноз_доходов"/>
      <sheetName val="Resp__2_"/>
      <sheetName val="Список_инв__недвижимости_с_норм"/>
      <sheetName val="1_класс"/>
      <sheetName val="2_класс"/>
      <sheetName val="3_класс"/>
      <sheetName val="4_класс"/>
      <sheetName val="5_класс"/>
      <sheetName val="13_NGDO"/>
      <sheetName val="жд_тарифы"/>
      <sheetName val="2_БО_(тенге)"/>
      <sheetName val="Input_TD"/>
      <sheetName val="Об-я_св-а"/>
      <sheetName val="Отпуск_продукции"/>
      <sheetName val="Статьи_затрат"/>
      <sheetName val="Изменяемые_данные"/>
      <sheetName val="мат_расходы"/>
      <sheetName val="факт_2005_г_"/>
      <sheetName val="ИП_ДО_БЛ_"/>
      <sheetName val="14_1_2_2_(Услуги_связи)"/>
      <sheetName val="аренда_цс"/>
      <sheetName val="2007_0,01"/>
      <sheetName val="Исх_данные"/>
      <sheetName val="Лист_1"/>
      <sheetName val="Лист1_(3)"/>
      <sheetName val="на_31_12_07_(4)"/>
      <sheetName val="CIP_Dec_2006"/>
      <sheetName val="2_БО"/>
      <sheetName val="Income_$"/>
      <sheetName val="базовые_допущения"/>
      <sheetName val="Инв_вл_тыс_ед"/>
      <sheetName val="7_1"/>
      <sheetName val="1_3_2_ОТМ"/>
      <sheetName val="1кв__"/>
      <sheetName val="2кв_"/>
      <sheetName val="Содерж_сов_дир"/>
      <sheetName val="10_БО_(kzt)"/>
      <sheetName val="Титульный_лист"/>
      <sheetName val="баланс_Ф10"/>
      <sheetName val="к_адм_и_предст"/>
      <sheetName val="Предст_расходы"/>
      <sheetName val="инфор_усл"/>
      <sheetName val="Юр_усл"/>
      <sheetName val="Аренда_офиса"/>
      <sheetName val="Предст_Москва_"/>
      <sheetName val="Kozh_Prod"/>
      <sheetName val="Alibek_Prod"/>
      <sheetName val="хим_К"/>
      <sheetName val="хим_А-ла"/>
      <sheetName val="Sales_Exp-s"/>
      <sheetName val="Cost_center"/>
      <sheetName val="Сот_связь"/>
      <sheetName val="Well_CAPEX"/>
      <sheetName val="Prod-n_график"/>
      <sheetName val="Себест_А"/>
      <sheetName val="Себест_(К)"/>
      <sheetName val="себест_на_ед"/>
      <sheetName val="ГСМ_А"/>
      <sheetName val="ГСМ_К"/>
      <sheetName val="МАТРИЦА_ЗАТРАТ"/>
      <sheetName val="CASH_прямой_метод"/>
      <sheetName val="Кап_з-ты"/>
      <sheetName val="З_пл"/>
      <sheetName val="Налоги_по_зп"/>
      <sheetName val="Усл_стор"/>
      <sheetName val="Свод_налогов"/>
      <sheetName val="Обслуживание_ВС"/>
      <sheetName val="Стр_затрат"/>
      <sheetName val="Доли_Акционеров"/>
      <sheetName val="Profit_&amp;_Loss_Total"/>
      <sheetName val="TB_2005"/>
      <sheetName val="GAAP_TB_31_12_01__detail_p&amp;l"/>
      <sheetName val="1_1_Паспорт"/>
      <sheetName val="1_401_2"/>
      <sheetName val="__2_3_24"/>
      <sheetName val="3_ФОТ"/>
      <sheetName val="ТЭП_старая"/>
      <sheetName val="д_7_001"/>
      <sheetName val="постоянные_затраты"/>
      <sheetName val="форма 3 смета затрат"/>
      <sheetName val="Заявлени+сдач.обх.по 22.02.12"/>
      <sheetName val="зоны"/>
      <sheetName val="спр. АРЕМ"/>
      <sheetName val="Месяц"/>
      <sheetName val="баки _2_"/>
      <sheetName val="Additions testing"/>
      <sheetName val="Movement schedule"/>
      <sheetName val="depreciation testing"/>
      <sheetName val="_"/>
      <sheetName val="распределение модели"/>
      <sheetName val="исходА"/>
      <sheetName val="Dictionaries"/>
      <sheetName val="4.Налоги"/>
      <sheetName val="путевки"/>
      <sheetName val="Comp"/>
      <sheetName val="показатели"/>
      <sheetName val="Январь"/>
      <sheetName val="KTG_m"/>
      <sheetName val="Справка ИЦА"/>
      <sheetName val="Sheet2"/>
      <sheetName val="РСза 6-м 2012"/>
      <sheetName val="июнь"/>
      <sheetName val="КОнфиг"/>
      <sheetName val="Data"/>
      <sheetName val="Налоги"/>
      <sheetName val="план07"/>
      <sheetName val="форма_3_смета_затрат"/>
      <sheetName val="4_Налоги"/>
      <sheetName val="РСза_6-м_2012"/>
      <sheetName val="Справка_ИЦА"/>
      <sheetName val="K_100_LS (2)"/>
      <sheetName val="H3.300 (2)"/>
      <sheetName val="K_300_RFD (2)"/>
      <sheetName val="SMSTemp"/>
      <sheetName val="ТитулЛистОтч"/>
      <sheetName val="definitions"/>
      <sheetName val="цеховые"/>
      <sheetName val="ЭМГ"/>
      <sheetName val="14_1_2_2__Услуги связи_"/>
      <sheetName val="Common"/>
      <sheetName val="OPEX&amp;FIN"/>
      <sheetName val="черновик"/>
      <sheetName val="2в"/>
      <sheetName val="общ-нефт"/>
      <sheetName val="ОГВ"/>
      <sheetName val="общ.фонд  "/>
      <sheetName val="гор"/>
      <sheetName val="АУП командировочные"/>
      <sheetName val="FA Movement "/>
      <sheetName val="1_x0004__x0000__x0007__x0000__x0006__x0000__x000e__x0000_"/>
      <sheetName val=" _x0000_"/>
      <sheetName val="Cash Flow - 2004 Workings"/>
      <sheetName val="Статьи"/>
      <sheetName val="сетка"/>
      <sheetName val="Prelim Cost"/>
      <sheetName val="План произв-ва (мес.) (бюджет)"/>
      <sheetName val="ИД"/>
      <sheetName val="Treatment Summary"/>
      <sheetName val="cash product. plan"/>
      <sheetName val="_x0009__x0000_"/>
      <sheetName val="Тип пункта плана"/>
      <sheetName val="Loans_out"/>
      <sheetName val="Форма2_xls"/>
      <sheetName val="5NK_"/>
      <sheetName val="по_2007_году_план_на_2008_год"/>
      <sheetName val="Труд_"/>
      <sheetName val="МодельППП_(Свод)"/>
      <sheetName val="БиВи_(290)"/>
      <sheetName val="МАТЕР_433,452"/>
      <sheetName val="1__Доходы"/>
      <sheetName val="спр__АРЕМ"/>
      <sheetName val="Additions_testing"/>
      <sheetName val="Movement_schedule"/>
      <sheetName val="depreciation_testing"/>
      <sheetName val="FA_Movement_"/>
      <sheetName val="Заявлени+сдач_обх_по_22_02_12"/>
      <sheetName val="баки__2_"/>
      <sheetName val="_"/>
      <sheetName val="ЦЕХА"/>
      <sheetName val="TB-KZT"/>
      <sheetName val="TB USD"/>
      <sheetName val="capex_kzt"/>
      <sheetName val="тех реж (2)"/>
      <sheetName val="Control"/>
      <sheetName val="1 _x0000_ _x0000_ _x0000_ _x0000_"/>
      <sheetName val="1_x0004_"/>
      <sheetName val="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/>
      <sheetData sheetId="397" refreshError="1"/>
      <sheetData sheetId="398" refreshError="1"/>
      <sheetData sheetId="399" refreshError="1"/>
      <sheetData sheetId="400" refreshError="1"/>
      <sheetData sheetId="40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/>
      <sheetData sheetId="658" refreshError="1"/>
      <sheetData sheetId="659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 "/>
      <sheetName val="СВОД  (ТЭиМТО)"/>
      <sheetName val="СВОД  (Стройка)"/>
      <sheetName val="СВОД  (2)"/>
      <sheetName val="СВОД ЦВ"/>
      <sheetName val="ФОТ ЦВ "/>
      <sheetName val="канц. и бланки (2)"/>
      <sheetName val="канц ЦВ"/>
      <sheetName val="бланки ЦВ"/>
      <sheetName val="комплек ЦВ"/>
      <sheetName val="связь ЦВ"/>
      <sheetName val="Ком ЦВ"/>
      <sheetName val="запр картр ЦВ"/>
      <sheetName val="услуги экспер ЦВ"/>
      <sheetName val="Страх ЦВ"/>
      <sheetName val="почта ЦВ"/>
      <sheetName val="Инф ЦВ"/>
      <sheetName val="банк ЦВ"/>
      <sheetName val="трансп ЦВ"/>
      <sheetName val="взнос ЦВ"/>
      <sheetName val="аренда ЦВ"/>
      <sheetName val="обуч ЦВ"/>
      <sheetName val="налоги ЦВ"/>
      <sheetName val="соц.сфера ЦВ"/>
      <sheetName val="нот усл ЦВ"/>
      <sheetName val="НМА ЦВ"/>
      <sheetName val="ЗОПЛ"/>
      <sheetName val="схема"/>
      <sheetName val="СВОД  (3)"/>
      <sheetName val="свод (2)"/>
      <sheetName val="прайс"/>
      <sheetName val="прайс (12 мес)"/>
      <sheetName val="доход Грант (2)"/>
      <sheetName val="Кальк Грант"/>
      <sheetName val="СВОД Грант"/>
      <sheetName val="доход Грант"/>
      <sheetName val="ФОТ Грант"/>
      <sheetName val="канц Грант"/>
      <sheetName val="комплек Грант"/>
      <sheetName val="связь Грант"/>
      <sheetName val="Ком Грант"/>
      <sheetName val="услуги связи (1)"/>
      <sheetName val="командир 2015"/>
      <sheetName val="запр картр Грант"/>
      <sheetName val="обслуж техники"/>
      <sheetName val="Страх Грант"/>
      <sheetName val="банк Грант"/>
      <sheetName val="страхов"/>
      <sheetName val="мед.страх"/>
      <sheetName val="услуги почты"/>
      <sheetName val="инф услуги"/>
      <sheetName val="банк"/>
      <sheetName val="авто"/>
      <sheetName val="аренда"/>
      <sheetName val="соц.сфера Грант"/>
      <sheetName val="НМА Грант"/>
      <sheetName val="подарки"/>
      <sheetName val="нотариус"/>
      <sheetName val="НМА"/>
      <sheetName val="Бюджет 1 кв.метр"/>
      <sheetName val="Кальк31 ул (2)"/>
      <sheetName val="Кальк31 ул"/>
      <sheetName val="Кальк31 ул (31)"/>
      <sheetName val="Кальк31 ул (отдельно школы)"/>
      <sheetName val="Кальк31 ул (отдельно Адм)"/>
      <sheetName val="Кальк31 ул (32)"/>
      <sheetName val="Кальк31 ул (Адм Корп)"/>
      <sheetName val="Кальк31 ул (Адм Корп с клининг)"/>
      <sheetName val="Кальк31 ул (Адм Корп с клин (2"/>
      <sheetName val="Кальк Турк"/>
      <sheetName val="Кальк Турк (12 мес)"/>
      <sheetName val="Кальк МШ Ор"/>
      <sheetName val="Кальк АУП"/>
      <sheetName val="Кальк АУП (2)"/>
      <sheetName val="Кальк АУП (D)"/>
      <sheetName val="Кальк АУП (D) (2)"/>
      <sheetName val="Свободная форма курсы"/>
      <sheetName val="ФОТ комплекс"/>
      <sheetName val="ФОТ  инт"/>
      <sheetName val="ГПО  инт"/>
      <sheetName val="банк усл"/>
      <sheetName val="медстрах"/>
      <sheetName val="соцсфера ИНТ"/>
      <sheetName val="ФОТ МШ"/>
      <sheetName val="ФОТ МШ (12 мес)"/>
      <sheetName val="ГПО МШ "/>
      <sheetName val="ГПО МШ  (12 мес)"/>
      <sheetName val="банк услуги"/>
      <sheetName val="банк услуги (12 мес)"/>
      <sheetName val="мед страх"/>
      <sheetName val="мед страх (12 мес)"/>
      <sheetName val="соцсфера МШ"/>
      <sheetName val="ФОТ ФМН"/>
      <sheetName val="ГПО ФМН"/>
      <sheetName val="банк усл ФМН"/>
      <sheetName val="медстрахФМН"/>
      <sheetName val="соцсфера"/>
      <sheetName val="ФОТ МБ"/>
      <sheetName val="ГПО МБ"/>
      <sheetName val="банк услугиМБ"/>
      <sheetName val="мед страх МБ"/>
      <sheetName val="соцсфера МБ"/>
      <sheetName val="ФОТ ауп"/>
      <sheetName val="ГПО ауп"/>
      <sheetName val="банк усл ауп"/>
      <sheetName val="медстрахАУП"/>
      <sheetName val="соцсфераАУП"/>
      <sheetName val="ФОТ  адм"/>
      <sheetName val="ГПО адм"/>
      <sheetName val="банк усл адм"/>
      <sheetName val="медстрах адм"/>
      <sheetName val="соцсфераАДМ"/>
      <sheetName val="гсм школа"/>
      <sheetName val="моющ школы (2)"/>
      <sheetName val="хоз школы (2)"/>
      <sheetName val="тмц школы (2)"/>
      <sheetName val="моющМШ (3)"/>
      <sheetName val="моющМШ (12 мес)"/>
      <sheetName val="хозМШ (2)"/>
      <sheetName val="ТМЦ МШ (2)"/>
      <sheetName val="моющОрынб (2)"/>
      <sheetName val="ТМЦОрынб"/>
      <sheetName val="моющ АДМ"/>
      <sheetName val="хозАДМ (2)"/>
      <sheetName val="тмцАДМ"/>
      <sheetName val="моющИНТ (2)"/>
      <sheetName val="хозИНТ"/>
      <sheetName val="тмцИНТ"/>
      <sheetName val="ЗОПЛ Комплекс"/>
      <sheetName val="Доли"/>
      <sheetName val="Свод гостин"/>
      <sheetName val="Себсть гостин"/>
      <sheetName val="ФОТ гостин"/>
      <sheetName val="ОС и НМА гостин"/>
      <sheetName val="пр ТМЦ гостин"/>
      <sheetName val="комуслуги гостин"/>
      <sheetName val="Страх Гост"/>
      <sheetName val="Лист6"/>
      <sheetName val="гостин связь "/>
      <sheetName val="гостин банк"/>
      <sheetName val="гостин трансп "/>
      <sheetName val="гостин соцсфера"/>
      <sheetName val="ТЭП гост"/>
      <sheetName val="ИД гост"/>
      <sheetName val="Лист11"/>
      <sheetName val="Доходы 2016"/>
      <sheetName val="Доходы 2015"/>
      <sheetName val="Анализ дох-расх"/>
      <sheetName val="Показатели"/>
      <sheetName val="Себть"/>
      <sheetName val="расходы для себестоимости"/>
      <sheetName val="2.01_ ФОТ"/>
      <sheetName val="фин.план расходов на 2015 год"/>
      <sheetName val="Свод (3)"/>
      <sheetName val="2.01_ ФОТ (2015)"/>
      <sheetName val="Свод ОС"/>
      <sheetName val="2.03.05_МХозТМЦ"/>
      <sheetName val="Расчет запасов"/>
      <sheetName val="3.2_ДТ_котельная"/>
      <sheetName val="2.03.02_Диз топливо"/>
      <sheetName val="2.04.02_энергия"/>
      <sheetName val="2.04.03_вода"/>
      <sheetName val="2.04.05_ТБО"/>
      <sheetName val="2.05_связь"/>
      <sheetName val="2.07.04 Обслуж ОС"/>
      <sheetName val="2.08_Страх"/>
      <sheetName val="2.11_охрана"/>
      <sheetName val="2.16_банк"/>
      <sheetName val="2.22_налоги"/>
      <sheetName val="2.24_противопожарн"/>
      <sheetName val="2.29.02 соцсфера"/>
      <sheetName val="2.31.01_дератизация"/>
      <sheetName val="2.31.14 утилизация"/>
      <sheetName val="НДС"/>
      <sheetName val="ЗОПЛ УМТБ"/>
      <sheetName val="свод по обсл. АДМ здания"/>
      <sheetName val="свод по обсл. АДМ здания (2)"/>
      <sheetName val="распр. затрат по АУП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>
        <row r="47">
          <cell r="E47">
            <v>47527200</v>
          </cell>
          <cell r="F47">
            <v>60228000</v>
          </cell>
          <cell r="G47">
            <v>19828800</v>
          </cell>
          <cell r="H47">
            <v>25236000</v>
          </cell>
        </row>
        <row r="58">
          <cell r="E58">
            <v>4705192.8</v>
          </cell>
          <cell r="F58">
            <v>5962572</v>
          </cell>
          <cell r="G58">
            <v>1963051.2</v>
          </cell>
          <cell r="H58">
            <v>2498364</v>
          </cell>
        </row>
        <row r="61">
          <cell r="E61">
            <v>11285612.3683</v>
          </cell>
          <cell r="F61">
            <v>11285612.3683</v>
          </cell>
          <cell r="G61">
            <v>5344706.32</v>
          </cell>
          <cell r="H61">
            <v>3882592</v>
          </cell>
        </row>
        <row r="123">
          <cell r="E123">
            <v>133538.40000000002</v>
          </cell>
          <cell r="F123">
            <v>171100.80000000002</v>
          </cell>
          <cell r="G123">
            <v>59896.800000000003</v>
          </cell>
          <cell r="H123">
            <v>70144.800000000003</v>
          </cell>
        </row>
        <row r="126">
          <cell r="E126">
            <v>2100000</v>
          </cell>
          <cell r="F126">
            <v>2700000</v>
          </cell>
          <cell r="G126">
            <v>900000</v>
          </cell>
          <cell r="H126">
            <v>840000</v>
          </cell>
        </row>
        <row r="134">
          <cell r="E134">
            <v>38497</v>
          </cell>
          <cell r="F134">
            <v>48785</v>
          </cell>
          <cell r="G134">
            <v>16061</v>
          </cell>
          <cell r="H134">
            <v>20441</v>
          </cell>
        </row>
        <row r="156">
          <cell r="E156">
            <v>6535911.743999999</v>
          </cell>
          <cell r="F156">
            <v>8287400.7359999986</v>
          </cell>
          <cell r="G156">
            <v>2730209.76</v>
          </cell>
          <cell r="H156">
            <v>3437341.0559999999</v>
          </cell>
        </row>
        <row r="164">
          <cell r="E164">
            <v>19788.16</v>
          </cell>
          <cell r="F164">
            <v>19788.16</v>
          </cell>
          <cell r="G164">
            <v>0</v>
          </cell>
          <cell r="H164">
            <v>0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</row>
      </sheetData>
      <sheetData sheetId="60" refreshError="1">
        <row r="11">
          <cell r="D11">
            <v>167949180</v>
          </cell>
        </row>
        <row r="31">
          <cell r="B31" t="str">
            <v>Цена за 1 кв.м. в месяц без НДС (Административные расходы)</v>
          </cell>
        </row>
        <row r="32">
          <cell r="B32" t="str">
            <v>ИТОГО Цена за 1 кв.м. без НДС</v>
          </cell>
        </row>
        <row r="34">
          <cell r="D34">
            <v>446.14152446585723</v>
          </cell>
        </row>
        <row r="38">
          <cell r="D38">
            <v>96943697.960674196</v>
          </cell>
        </row>
      </sheetData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11">
          <cell r="D11">
            <v>52264044</v>
          </cell>
        </row>
        <row r="24">
          <cell r="D24">
            <v>59298428</v>
          </cell>
        </row>
        <row r="26">
          <cell r="C26">
            <v>12104</v>
          </cell>
        </row>
        <row r="30">
          <cell r="D30">
            <v>12104</v>
          </cell>
          <cell r="G30">
            <v>0</v>
          </cell>
        </row>
        <row r="31">
          <cell r="D31">
            <v>816.51</v>
          </cell>
        </row>
        <row r="32">
          <cell r="D32">
            <v>59.33</v>
          </cell>
        </row>
        <row r="33">
          <cell r="D33">
            <v>875.84</v>
          </cell>
        </row>
        <row r="35">
          <cell r="D35">
            <v>980.94</v>
          </cell>
        </row>
      </sheetData>
      <sheetData sheetId="70" refreshError="1"/>
      <sheetData sheetId="71" refreshError="1">
        <row r="11">
          <cell r="C11">
            <v>0</v>
          </cell>
        </row>
        <row r="25">
          <cell r="C25">
            <v>22739</v>
          </cell>
        </row>
      </sheetData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>
        <row r="8">
          <cell r="C8">
            <v>6</v>
          </cell>
        </row>
        <row r="41">
          <cell r="C41">
            <v>1</v>
          </cell>
        </row>
        <row r="64">
          <cell r="C64">
            <v>153</v>
          </cell>
        </row>
      </sheetData>
      <sheetData sheetId="78" refreshError="1">
        <row r="13">
          <cell r="AM13">
            <v>19828800</v>
          </cell>
          <cell r="AP13">
            <v>1070755.2</v>
          </cell>
          <cell r="AQ13">
            <v>892296</v>
          </cell>
        </row>
        <row r="23">
          <cell r="AQ23">
            <v>21791851.199999999</v>
          </cell>
        </row>
      </sheetData>
      <sheetData sheetId="79" refreshError="1">
        <row r="75">
          <cell r="AV75">
            <v>59896.800000000003</v>
          </cell>
        </row>
      </sheetData>
      <sheetData sheetId="80" refreshError="1">
        <row r="9">
          <cell r="F9">
            <v>16061</v>
          </cell>
        </row>
      </sheetData>
      <sheetData sheetId="81" refreshError="1">
        <row r="15">
          <cell r="G15">
            <v>900000</v>
          </cell>
        </row>
      </sheetData>
      <sheetData sheetId="82" refreshError="1">
        <row r="6">
          <cell r="F6">
            <v>46874.999999999993</v>
          </cell>
          <cell r="H6">
            <v>52500</v>
          </cell>
        </row>
      </sheetData>
      <sheetData sheetId="83" refreshError="1">
        <row r="16">
          <cell r="C16">
            <v>21</v>
          </cell>
        </row>
        <row r="21">
          <cell r="AX21">
            <v>47556000</v>
          </cell>
          <cell r="BA21">
            <v>2568024</v>
          </cell>
          <cell r="BB21">
            <v>2140020</v>
          </cell>
        </row>
      </sheetData>
      <sheetData sheetId="84" refreshError="1"/>
      <sheetData sheetId="85" refreshError="1"/>
      <sheetData sheetId="86" refreshError="1"/>
      <sheetData sheetId="87" refreshError="1">
        <row r="9">
          <cell r="F9">
            <v>38520</v>
          </cell>
        </row>
      </sheetData>
      <sheetData sheetId="88" refreshError="1"/>
      <sheetData sheetId="89" refreshError="1">
        <row r="12">
          <cell r="F12">
            <v>60000</v>
          </cell>
        </row>
        <row r="16">
          <cell r="C16">
            <v>35</v>
          </cell>
        </row>
      </sheetData>
      <sheetData sheetId="90" refreshError="1"/>
      <sheetData sheetId="91" refreshError="1">
        <row r="10">
          <cell r="G10">
            <v>0</v>
          </cell>
          <cell r="I10">
            <v>0</v>
          </cell>
        </row>
      </sheetData>
      <sheetData sheetId="92" refreshError="1">
        <row r="30">
          <cell r="AQ30">
            <v>66190572</v>
          </cell>
        </row>
      </sheetData>
      <sheetData sheetId="93" refreshError="1">
        <row r="48">
          <cell r="G48">
            <v>171100.79999999999</v>
          </cell>
        </row>
      </sheetData>
      <sheetData sheetId="94" refreshError="1">
        <row r="7">
          <cell r="F7">
            <v>60228</v>
          </cell>
        </row>
      </sheetData>
      <sheetData sheetId="95" refreshError="1">
        <row r="7">
          <cell r="D7">
            <v>4500000</v>
          </cell>
        </row>
      </sheetData>
      <sheetData sheetId="96" refreshError="1">
        <row r="7">
          <cell r="H7">
            <v>157500</v>
          </cell>
        </row>
      </sheetData>
      <sheetData sheetId="97" refreshError="1">
        <row r="41">
          <cell r="AQ41">
            <v>52232392.799999997</v>
          </cell>
        </row>
      </sheetData>
      <sheetData sheetId="98" refreshError="1">
        <row r="68">
          <cell r="G68">
            <v>133538.40000000002</v>
          </cell>
        </row>
      </sheetData>
      <sheetData sheetId="99" refreshError="1">
        <row r="7">
          <cell r="F7">
            <v>47527.200000000004</v>
          </cell>
        </row>
      </sheetData>
      <sheetData sheetId="100" refreshError="1">
        <row r="7">
          <cell r="D7">
            <v>3500000</v>
          </cell>
        </row>
      </sheetData>
      <sheetData sheetId="101" refreshError="1">
        <row r="6">
          <cell r="H6">
            <v>122500</v>
          </cell>
        </row>
      </sheetData>
      <sheetData sheetId="102" refreshError="1">
        <row r="58">
          <cell r="AM58">
            <v>47828583.200000003</v>
          </cell>
        </row>
      </sheetData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 "/>
      <sheetName val="СВОД  (ТЭиМТО)"/>
      <sheetName val="СВОД  (Стройка)"/>
      <sheetName val="СВОД  (2)"/>
      <sheetName val="СВОД ЦВ"/>
      <sheetName val="ФОТ ЦВ "/>
      <sheetName val="канц. и бланки (2)"/>
      <sheetName val="канц ЦВ"/>
      <sheetName val="бланки ЦВ"/>
      <sheetName val="комплек ЦВ"/>
      <sheetName val="связь ЦВ"/>
      <sheetName val="Ком ЦВ"/>
      <sheetName val="запр картр ЦВ"/>
      <sheetName val="услуги экспер ЦВ"/>
      <sheetName val="Страх ЦВ"/>
      <sheetName val="почта ЦВ"/>
      <sheetName val="Инф ЦВ"/>
      <sheetName val="банк ЦВ"/>
      <sheetName val="трансп ЦВ"/>
      <sheetName val="взнос ЦВ"/>
      <sheetName val="аренда ЦВ"/>
      <sheetName val="обуч ЦВ"/>
      <sheetName val="налоги ЦВ"/>
      <sheetName val="соц.сфера ЦВ"/>
      <sheetName val="нот усл ЦВ"/>
      <sheetName val="НМА ЦВ"/>
      <sheetName val="ЗОПЛ"/>
      <sheetName val="схема"/>
      <sheetName val="СВОД  (3)"/>
      <sheetName val="прайс"/>
      <sheetName val="доход Грант (2)"/>
      <sheetName val="Кальк Грант"/>
      <sheetName val="СВОД Грант"/>
      <sheetName val="доход Грант"/>
      <sheetName val="ФОТ Грант"/>
      <sheetName val="канц Грант"/>
      <sheetName val="комплек Грант"/>
      <sheetName val="связь Грант"/>
      <sheetName val="Ком Грант"/>
      <sheetName val="услуги связи (1)"/>
      <sheetName val="командир 2015"/>
      <sheetName val="запр картр Грант"/>
      <sheetName val="обслуж техники"/>
      <sheetName val="Страх Грант"/>
      <sheetName val="банк Грант"/>
      <sheetName val="страхов"/>
      <sheetName val="мед.страх"/>
      <sheetName val="услуги почты"/>
      <sheetName val="инф услуги"/>
      <sheetName val="банк"/>
      <sheetName val="авто"/>
      <sheetName val="аренда"/>
      <sheetName val="соц.сфера Грант"/>
      <sheetName val="НМА Грант"/>
      <sheetName val="подарки"/>
      <sheetName val="нотариус"/>
      <sheetName val="НМА"/>
      <sheetName val="Бюджет 1 кв.метр"/>
      <sheetName val="Кальк31 ул (2)"/>
      <sheetName val="Кальк31 ул"/>
      <sheetName val="Кальк31 ул (31)"/>
      <sheetName val="Кальк31 ул (отдельно школы)"/>
      <sheetName val="Кальк31 ул (отдельно Адм)"/>
      <sheetName val="Кальк31 ул (Адм Корп)"/>
      <sheetName val="Кальк Турк"/>
      <sheetName val="Кальк МШ Ор"/>
      <sheetName val="Кальк АУП"/>
      <sheetName val="Кальк АУП (2)"/>
      <sheetName val="Кальк АУП (D)"/>
      <sheetName val="Кальк АУП (D) (2)"/>
      <sheetName val="Свободная форма курсы"/>
      <sheetName val="ФОТ комплекс"/>
      <sheetName val="ФОТ  инт"/>
      <sheetName val="ГПО  инт"/>
      <sheetName val="банк усл"/>
      <sheetName val="медстрах"/>
      <sheetName val="соцсфера ИНТ"/>
      <sheetName val="ФОТ МШ"/>
      <sheetName val="ГПО МШ "/>
      <sheetName val="банк услуги"/>
      <sheetName val="мед страх"/>
      <sheetName val="соцсфера МШ"/>
      <sheetName val="ФОТ ФМН"/>
      <sheetName val="ГПО ФМН"/>
      <sheetName val="банк усл ФМН"/>
      <sheetName val="медстрахФМН"/>
      <sheetName val="соцсфера"/>
      <sheetName val="ФОТ МБ"/>
      <sheetName val="ГПО МБ"/>
      <sheetName val="банк услугиМБ"/>
      <sheetName val="мед страх МБ"/>
      <sheetName val="соцсфера МБ"/>
      <sheetName val="ФОТ ауп"/>
      <sheetName val="ГПО ауп"/>
      <sheetName val="банк усл ауп"/>
      <sheetName val="медстрахАУП"/>
      <sheetName val="соцсфераАУП"/>
      <sheetName val="ФОТ  адм"/>
      <sheetName val="ГПО адм"/>
      <sheetName val="банк усл адм"/>
      <sheetName val="медстрах адм"/>
      <sheetName val="соцсфераАДМ"/>
      <sheetName val="свод (2)"/>
      <sheetName val="гсм школа"/>
      <sheetName val="моющ школы (2)"/>
      <sheetName val="хоз школы (2)"/>
      <sheetName val="тмц школы (2)"/>
      <sheetName val="моющМШ (3)"/>
      <sheetName val="хозМШ (2)"/>
      <sheetName val="ТМЦ МШ (2)"/>
      <sheetName val="моющОрынб (2)"/>
      <sheetName val="ТМЦОрынб"/>
      <sheetName val="моющ АДМ"/>
      <sheetName val="хозАДМ (2)"/>
      <sheetName val="тмцАДМ"/>
      <sheetName val="моющИНТ (2)"/>
      <sheetName val="хозИНТ"/>
      <sheetName val="тмцИНТ"/>
      <sheetName val="ЗОПЛ Комплекс"/>
      <sheetName val="Доли"/>
      <sheetName val="Свод гостин"/>
      <sheetName val="Себсть гостин"/>
      <sheetName val="ФОТ гостин"/>
      <sheetName val="ОС и НМА гостин"/>
      <sheetName val="пр ТМЦ гостин"/>
      <sheetName val="комуслуги гостин"/>
      <sheetName val="Страх Гост"/>
      <sheetName val="Лист6"/>
      <sheetName val="гостин связь "/>
      <sheetName val="гостин банк"/>
      <sheetName val="гостин трансп "/>
      <sheetName val="гостин соцсфера"/>
      <sheetName val="ТЭП гост"/>
      <sheetName val="ИД гост"/>
      <sheetName val="Лист11"/>
      <sheetName val="Свод"/>
      <sheetName val="Себть"/>
      <sheetName val="2.01_ ФОТ"/>
      <sheetName val="Своб ОС"/>
      <sheetName val="2.03.05_МХозТМЦ"/>
      <sheetName val="Расчет запасов"/>
      <sheetName val="2.03.02_Диз топливо"/>
      <sheetName val="2.04.02_энергия"/>
      <sheetName val="2.04.03_вода"/>
      <sheetName val="2.04.05_ТБО"/>
      <sheetName val="2.05_связь"/>
      <sheetName val="2.07.04 Обслуж ОС"/>
      <sheetName val="2.08_Страх"/>
      <sheetName val="2.11_охрана"/>
      <sheetName val="2.16_банк"/>
      <sheetName val="2.22_налоги"/>
      <sheetName val="2.24_противопожарн"/>
      <sheetName val="2.29.02 соцсфера"/>
      <sheetName val="2.31.01_дератизация"/>
      <sheetName val="2.31.14 утилизация"/>
      <sheetName val="НДС"/>
      <sheetName val="ЗОПЛ УМТБ"/>
      <sheetName val="свод по обсл. АДМ здания"/>
      <sheetName val="свод по обсл. АДМ здания (2)"/>
      <sheetName val="распр. затрат по АУ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>
        <row r="47">
          <cell r="E47">
            <v>47527200</v>
          </cell>
          <cell r="F47">
            <v>60228000</v>
          </cell>
          <cell r="G47">
            <v>19828800</v>
          </cell>
          <cell r="H47">
            <v>25236000</v>
          </cell>
        </row>
        <row r="58">
          <cell r="E58">
            <v>4705192.8</v>
          </cell>
          <cell r="F58">
            <v>5962572</v>
          </cell>
          <cell r="G58">
            <v>1963051.2</v>
          </cell>
          <cell r="H58">
            <v>2498364</v>
          </cell>
        </row>
        <row r="61">
          <cell r="E61">
            <v>11285612.3683</v>
          </cell>
          <cell r="F61">
            <v>11285612.3683</v>
          </cell>
          <cell r="G61">
            <v>5344706.32</v>
          </cell>
          <cell r="H61">
            <v>3882592</v>
          </cell>
        </row>
        <row r="123">
          <cell r="E123">
            <v>133538.40000000002</v>
          </cell>
          <cell r="F123">
            <v>171100.80000000002</v>
          </cell>
          <cell r="G123">
            <v>59896.800000000003</v>
          </cell>
          <cell r="H123">
            <v>70144.800000000003</v>
          </cell>
        </row>
        <row r="126">
          <cell r="E126">
            <v>2100000</v>
          </cell>
          <cell r="F126">
            <v>2700000</v>
          </cell>
          <cell r="G126">
            <v>900000</v>
          </cell>
          <cell r="H126">
            <v>840000</v>
          </cell>
        </row>
        <row r="134">
          <cell r="E134">
            <v>38497</v>
          </cell>
          <cell r="F134">
            <v>48785</v>
          </cell>
          <cell r="G134">
            <v>16061</v>
          </cell>
          <cell r="H134">
            <v>20441</v>
          </cell>
        </row>
        <row r="156">
          <cell r="E156">
            <v>6535911.743999999</v>
          </cell>
          <cell r="F156">
            <v>8287400.7359999986</v>
          </cell>
          <cell r="G156">
            <v>2730209.76</v>
          </cell>
          <cell r="H156">
            <v>3437341.0559999999</v>
          </cell>
        </row>
        <row r="164">
          <cell r="E164">
            <v>19788.16</v>
          </cell>
          <cell r="F164">
            <v>19788.16</v>
          </cell>
          <cell r="G164">
            <v>0</v>
          </cell>
          <cell r="H164">
            <v>0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</row>
        <row r="235">
          <cell r="I235">
            <v>52892613.280000001</v>
          </cell>
        </row>
      </sheetData>
      <sheetData sheetId="58" refreshError="1">
        <row r="34">
          <cell r="D34">
            <v>446.14152446585723</v>
          </cell>
        </row>
        <row r="38">
          <cell r="D38">
            <v>96943697.960674196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>
        <row r="31">
          <cell r="D31">
            <v>335.15999999999997</v>
          </cell>
        </row>
        <row r="33">
          <cell r="D33">
            <v>44887040.400000006</v>
          </cell>
        </row>
      </sheetData>
      <sheetData sheetId="64" refreshError="1">
        <row r="11">
          <cell r="D11">
            <v>28914690</v>
          </cell>
        </row>
        <row r="24">
          <cell r="D24">
            <v>36430737</v>
          </cell>
        </row>
        <row r="26">
          <cell r="C26">
            <v>12104</v>
          </cell>
        </row>
        <row r="30">
          <cell r="D30">
            <v>12104</v>
          </cell>
          <cell r="G30">
            <v>0</v>
          </cell>
        </row>
        <row r="31">
          <cell r="D31">
            <v>501.63</v>
          </cell>
        </row>
        <row r="32">
          <cell r="D32">
            <v>59.33</v>
          </cell>
        </row>
        <row r="33">
          <cell r="D33">
            <v>560.96</v>
          </cell>
        </row>
        <row r="35">
          <cell r="D35">
            <v>628.28</v>
          </cell>
        </row>
        <row r="38">
          <cell r="D38">
            <v>20533446.959999997</v>
          </cell>
        </row>
        <row r="39">
          <cell r="D39">
            <v>25094759.759999998</v>
          </cell>
        </row>
      </sheetData>
      <sheetData sheetId="65" refreshError="1">
        <row r="11">
          <cell r="C11">
            <v>34925780</v>
          </cell>
        </row>
        <row r="25">
          <cell r="C25">
            <v>22739</v>
          </cell>
        </row>
        <row r="33">
          <cell r="C33">
            <v>51843555.659999996</v>
          </cell>
        </row>
      </sheetData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>
        <row r="8">
          <cell r="C8">
            <v>6</v>
          </cell>
        </row>
        <row r="41">
          <cell r="C41">
            <v>1</v>
          </cell>
        </row>
        <row r="64">
          <cell r="C64">
            <v>174</v>
          </cell>
        </row>
      </sheetData>
      <sheetData sheetId="72" refreshError="1">
        <row r="13">
          <cell r="AM13">
            <v>19828800</v>
          </cell>
          <cell r="AP13">
            <v>1070755.2</v>
          </cell>
          <cell r="AQ13">
            <v>892296</v>
          </cell>
        </row>
        <row r="23">
          <cell r="AQ23">
            <v>21791851.199999999</v>
          </cell>
        </row>
      </sheetData>
      <sheetData sheetId="73" refreshError="1">
        <row r="75">
          <cell r="AV75">
            <v>59896.800000000003</v>
          </cell>
        </row>
      </sheetData>
      <sheetData sheetId="74" refreshError="1">
        <row r="9">
          <cell r="F9">
            <v>16061</v>
          </cell>
        </row>
      </sheetData>
      <sheetData sheetId="75" refreshError="1">
        <row r="15">
          <cell r="G15">
            <v>900000</v>
          </cell>
        </row>
      </sheetData>
      <sheetData sheetId="76" refreshError="1">
        <row r="6">
          <cell r="F6">
            <v>46874.999999999993</v>
          </cell>
          <cell r="H6">
            <v>52500</v>
          </cell>
        </row>
      </sheetData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>
        <row r="30">
          <cell r="AQ30">
            <v>66190572</v>
          </cell>
        </row>
      </sheetData>
      <sheetData sheetId="83" refreshError="1">
        <row r="48">
          <cell r="G48">
            <v>171100.79999999999</v>
          </cell>
        </row>
      </sheetData>
      <sheetData sheetId="84" refreshError="1">
        <row r="7">
          <cell r="F7">
            <v>60228</v>
          </cell>
        </row>
      </sheetData>
      <sheetData sheetId="85" refreshError="1">
        <row r="7">
          <cell r="D7">
            <v>4500000</v>
          </cell>
        </row>
      </sheetData>
      <sheetData sheetId="86" refreshError="1">
        <row r="7">
          <cell r="H7">
            <v>157500</v>
          </cell>
        </row>
      </sheetData>
      <sheetData sheetId="87" refreshError="1">
        <row r="41">
          <cell r="AQ41">
            <v>52232392.799999997</v>
          </cell>
        </row>
      </sheetData>
      <sheetData sheetId="88" refreshError="1">
        <row r="68">
          <cell r="G68">
            <v>133538.40000000002</v>
          </cell>
        </row>
      </sheetData>
      <sheetData sheetId="89" refreshError="1">
        <row r="7">
          <cell r="F7">
            <v>47527.200000000004</v>
          </cell>
        </row>
      </sheetData>
      <sheetData sheetId="90" refreshError="1">
        <row r="7">
          <cell r="D7">
            <v>3500000</v>
          </cell>
        </row>
      </sheetData>
      <sheetData sheetId="91" refreshError="1">
        <row r="6">
          <cell r="H6">
            <v>122500</v>
          </cell>
        </row>
      </sheetData>
      <sheetData sheetId="92" refreshError="1">
        <row r="44">
          <cell r="AM44">
            <v>42592000</v>
          </cell>
        </row>
        <row r="58">
          <cell r="AM58">
            <v>47828583.200000003</v>
          </cell>
        </row>
      </sheetData>
      <sheetData sheetId="93" refreshError="1"/>
      <sheetData sheetId="94" refreshError="1"/>
      <sheetData sheetId="95" refreshError="1"/>
      <sheetData sheetId="96" refreshError="1">
        <row r="41">
          <cell r="G41">
            <v>0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кущ ремонт (2)"/>
      <sheetName val="свод 4 (МБ+ШК+ИНТЕР)"/>
      <sheetName val="свод 3(МБ+ШК+ИНТЕР)"/>
      <sheetName val="свод 2 (МБ+ШК+ИНТЕР)"/>
      <sheetName val="тариф на 22 кл школа "/>
      <sheetName val="свод разверн"/>
      <sheetName val="свод сверн"/>
      <sheetName val="штатка комплекс "/>
      <sheetName val="штатка адм блок"/>
      <sheetName val="штатка АУП"/>
      <sheetName val="штатка МБ"/>
      <sheetName val="штатка ФМН"/>
      <sheetName val="штатка школа МШ"/>
      <sheetName val="штатка спальн блок"/>
      <sheetName val="приобретение комплектующих к ОС"/>
      <sheetName val="гсм школа"/>
      <sheetName val="приобрет канц "/>
      <sheetName val="приобрет канц 3 цены"/>
      <sheetName val="приобретение моющих и хоз."/>
      <sheetName val="хоз 3 цены"/>
      <sheetName val="моющ 3 цены"/>
      <sheetName val="ТМЦ 3 цены"/>
      <sheetName val="расчет ДЕО"/>
      <sheetName val="запасы шк"/>
      <sheetName val="моющ школы"/>
      <sheetName val="хоз школы"/>
      <sheetName val="тмц школы"/>
      <sheetName val="запасыМШ"/>
      <sheetName val="моющМШ"/>
      <sheetName val="хозМШ"/>
      <sheetName val="ТМЦ МШ"/>
      <sheetName val="запасыОрын"/>
      <sheetName val="моющОрынб"/>
      <sheetName val="ТМЦОрынб"/>
      <sheetName val="запасыАДМ"/>
      <sheetName val="моющ АДМ"/>
      <sheetName val="хозАДМ"/>
      <sheetName val="тмцАДМ"/>
      <sheetName val="запасыИНТ"/>
      <sheetName val="Диз топливо общ"/>
      <sheetName val="расчет тепло"/>
      <sheetName val="Диз топливоАДМ"/>
      <sheetName val="ДИЗТОПЛ"/>
      <sheetName val="энергия МШ"/>
      <sheetName val="энергия МБ, ФМН по факту"/>
      <sheetName val="энергия МБ, ФМН по записке"/>
      <sheetName val="энергия адм корп по записке"/>
      <sheetName val="энергия адм по факту"/>
      <sheetName val="вода инт по запис"/>
      <sheetName val="энергия инт"/>
      <sheetName val="вода школаМБ по запис"/>
      <sheetName val="вода школа ФМН по запис"/>
      <sheetName val="ТБО АДМ"/>
      <sheetName val="услуги связи школа"/>
      <sheetName val="Командировки"/>
      <sheetName val="ремонт авто"/>
      <sheetName val="обс.и рем ОС  "/>
      <sheetName val="вода адм"/>
      <sheetName val="вода школа ФМН по МШ"/>
      <sheetName val="вода школаМШ"/>
      <sheetName val="Лист1"/>
      <sheetName val="приобретение моющих и хоз. (2)"/>
      <sheetName val="моющИНТ"/>
      <sheetName val="хозИНТ"/>
      <sheetName val="тмцИНТ"/>
      <sheetName val="заправка картр"/>
      <sheetName val="текущ ремонт  зданий"/>
      <sheetName val="питание школа"/>
      <sheetName val="прочие услуги"/>
      <sheetName val="страховка"/>
      <sheetName val="услуги почты"/>
      <sheetName val="охрана"/>
      <sheetName val="Инф"/>
      <sheetName val="банков услуги"/>
      <sheetName val="транспортные усл"/>
      <sheetName val="периодика"/>
      <sheetName val="налоги "/>
      <sheetName val="аренда"/>
      <sheetName val="обслуж.противопожар"/>
      <sheetName val="расч.курса,семин,конф.(статья)"/>
      <sheetName val="учащиеся(статья)"/>
      <sheetName val="прочие внешк школа"/>
      <sheetName val="водоснаб "/>
      <sheetName val="ТБО"/>
      <sheetName val="повыш квалиф"/>
      <sheetName val="оформ.празд"/>
      <sheetName val="Семин"/>
      <sheetName val="дератизация школа"/>
      <sheetName val="СМИ"/>
      <sheetName val="нот услуги "/>
      <sheetName val="Утил"/>
      <sheetName val="пошив шк.формы"/>
      <sheetName val="пит вода школа"/>
      <sheetName val="взносы в МО"/>
      <sheetName val="привл эксперт"/>
      <sheetName val="Свободная форма нов.под"/>
      <sheetName val="Кап ремонт"/>
      <sheetName val="Свободная форма курсы"/>
      <sheetName val="обслуж"/>
      <sheetName val="цве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48">
          <cell r="M48">
            <v>870351.57829999994</v>
          </cell>
        </row>
        <row r="50">
          <cell r="M50">
            <v>870351.57829999994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15">
          <cell r="R15">
            <v>5738403.5800000001</v>
          </cell>
        </row>
      </sheetData>
      <sheetData sheetId="25">
        <row r="9">
          <cell r="R9">
            <v>14421629.1</v>
          </cell>
        </row>
      </sheetData>
      <sheetData sheetId="26">
        <row r="9">
          <cell r="R9">
            <v>11367573</v>
          </cell>
        </row>
      </sheetData>
      <sheetData sheetId="27" refreshError="1"/>
      <sheetData sheetId="28">
        <row r="9">
          <cell r="R9">
            <v>872579.65</v>
          </cell>
        </row>
      </sheetData>
      <sheetData sheetId="29">
        <row r="9">
          <cell r="R9">
            <v>3824479.5999999996</v>
          </cell>
        </row>
      </sheetData>
      <sheetData sheetId="30">
        <row r="9">
          <cell r="R9">
            <v>1540800.0000000002</v>
          </cell>
        </row>
      </sheetData>
      <sheetData sheetId="31" refreshError="1"/>
      <sheetData sheetId="32">
        <row r="9">
          <cell r="R9">
            <v>1630945.3599999999</v>
          </cell>
        </row>
      </sheetData>
      <sheetData sheetId="33">
        <row r="9">
          <cell r="R9">
            <v>4948429</v>
          </cell>
        </row>
      </sheetData>
      <sheetData sheetId="34" refreshError="1"/>
      <sheetData sheetId="35">
        <row r="9">
          <cell r="R9">
            <v>2508038.27</v>
          </cell>
        </row>
      </sheetData>
      <sheetData sheetId="36">
        <row r="9">
          <cell r="R9">
            <v>7908174.4999999991</v>
          </cell>
        </row>
      </sheetData>
      <sheetData sheetId="37">
        <row r="9">
          <cell r="R9">
            <v>6904496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>
        <row r="9">
          <cell r="R9">
            <v>2863615.3200000003</v>
          </cell>
        </row>
      </sheetData>
      <sheetData sheetId="63">
        <row r="8">
          <cell r="R8">
            <v>2686288.5</v>
          </cell>
        </row>
      </sheetData>
      <sheetData sheetId="64">
        <row r="9">
          <cell r="R9">
            <v>3881853</v>
          </cell>
        </row>
      </sheetData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>
        <row r="28">
          <cell r="G28">
            <v>52576.32</v>
          </cell>
        </row>
        <row r="53">
          <cell r="G53">
            <v>19788.16</v>
          </cell>
        </row>
        <row r="79">
          <cell r="G79">
            <v>19788.16</v>
          </cell>
        </row>
      </sheetData>
      <sheetData sheetId="98" refreshError="1"/>
      <sheetData sheetId="99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юджет Адм+школы new"/>
      <sheetName val="Бюджет Адм+школы"/>
      <sheetName val="ФОТ комплекс"/>
      <sheetName val="Доли"/>
      <sheetName val="оплата труда с разб по месяцам"/>
      <sheetName val="дизтопл"/>
      <sheetName val="сввод инт c НДС"/>
      <sheetName val="сввод интбез ндс"/>
      <sheetName val="ГПО  инт"/>
      <sheetName val="банк усл"/>
      <sheetName val="медстрах"/>
      <sheetName val="ФОТ  инт"/>
      <sheetName val="дератиз инт"/>
      <sheetName val="ээ инт"/>
      <sheetName val="мус инт"/>
      <sheetName val="хоз инт"/>
      <sheetName val="вода инт"/>
      <sheetName val="0704обслуж зд и сооруж ИНТ"/>
      <sheetName val="утилиз ламп ИНТ"/>
      <sheetName val="противопожИНТ"/>
      <sheetName val="моющИНТ"/>
      <sheetName val="проч тмцИНТ"/>
      <sheetName val="КОСТ инт "/>
      <sheetName val="соцсфера ИНТ"/>
      <sheetName val="свод МШ"/>
      <sheetName val="свод МШ с НДС"/>
      <sheetName val="мед страх"/>
      <sheetName val="банк услуги"/>
      <sheetName val="ГПО МШ "/>
      <sheetName val="ФОТ МШ"/>
      <sheetName val="дератизМШ"/>
      <sheetName val="посадка цветМШ"/>
      <sheetName val="мусор МШ"/>
      <sheetName val="вода ээ мус тепМШ"/>
      <sheetName val="ГСМ на технику МШ"/>
      <sheetName val="ГСМ МШ"/>
      <sheetName val="03.06 хозМШ"/>
      <sheetName val="хоз на новую школуМШ"/>
      <sheetName val="24противопожар"/>
      <sheetName val="07 04обслуж зд и сооружМШ"/>
      <sheetName val="утилиз ламп МШ"/>
      <sheetName val="курсы квалифМШ"/>
      <sheetName val="моющМШ"/>
      <sheetName val="ТМЦ МШ НОВОЕ ЗДАН"/>
      <sheetName val="КОСТ МШ"/>
      <sheetName val="соцсфера МШ"/>
      <sheetName val="свод ФМНбез НДС"/>
      <sheetName val="свод ФМН с НДС"/>
      <sheetName val="ФОТ ФМН"/>
      <sheetName val="медстрахФМН"/>
      <sheetName val="банк усл ФМН"/>
      <sheetName val="ГПО ФМН"/>
      <sheetName val="ГСМ на технику ФМН"/>
      <sheetName val="26 противопожар"/>
      <sheetName val="дератиз"/>
      <sheetName val="ээ"/>
      <sheetName val="цветы"/>
      <sheetName val="мусор"/>
      <sheetName val="ТМЦ"/>
      <sheetName val="хоз"/>
      <sheetName val="вода"/>
      <sheetName val="07 04обслуж зд и сооруж"/>
      <sheetName val="утилиз ламп"/>
      <sheetName val="курсы"/>
      <sheetName val="костюмы"/>
      <sheetName val="мыльн"/>
      <sheetName val="соцсфера"/>
      <sheetName val="сводМБ без НДС"/>
      <sheetName val="сводМБ с НДС"/>
      <sheetName val="ГПО МБ"/>
      <sheetName val="банк услугиМБ"/>
      <sheetName val="мед страх МБ"/>
      <sheetName val="ФОТ МБ"/>
      <sheetName val="ГСМ на технику МБ"/>
      <sheetName val="ГСМ МБ"/>
      <sheetName val="дератиз МБ)"/>
      <sheetName val="цветыМБ"/>
      <sheetName val="24 противопожар МБ"/>
      <sheetName val="ээ МБ"/>
      <sheetName val="мусорМБ"/>
      <sheetName val="ТМЦМБ"/>
      <sheetName val="хозМБ"/>
      <sheetName val="водаМБ"/>
      <sheetName val="обслуж зд и сооруж07 04МБ"/>
      <sheetName val="утилиз ламп МБ"/>
      <sheetName val="07.08.06прочие кост оперМБ"/>
      <sheetName val="курсы квалифМБ"/>
      <sheetName val="моющМБ"/>
      <sheetName val="соцсфера МБ"/>
      <sheetName val="свод АДМ"/>
      <sheetName val="свод АДМ с НДС"/>
      <sheetName val="ГПО ауп"/>
      <sheetName val="медстрахАУП"/>
      <sheetName val="банк усл ауп"/>
      <sheetName val="ФОТ ауп"/>
      <sheetName val="ФОТ  адм"/>
      <sheetName val="банк усл адм"/>
      <sheetName val="медстрах адм"/>
      <sheetName val="ГПО адм"/>
      <sheetName val="дератизАДМ"/>
      <sheetName val="ээАДМ"/>
      <sheetName val="мусАДМ"/>
      <sheetName val="водаАДМ"/>
      <sheetName val="утилиз лампАДМ"/>
      <sheetName val="обслужсооруж 07 04АДМ"/>
      <sheetName val="противопожарАДМ"/>
      <sheetName val="хозАДМ"/>
      <sheetName val="обученАДМ"/>
      <sheetName val="соцсфераАДМ"/>
      <sheetName val="моющdfАДМ,"/>
      <sheetName val="кост адм"/>
      <sheetName val="ТМЦ АДМ"/>
      <sheetName val="цветыАДМ"/>
      <sheetName val="нотариальн услугиАДМ"/>
      <sheetName val="информ услугиАДМ"/>
      <sheetName val="канц тов адм"/>
      <sheetName val="заправ адм"/>
      <sheetName val="услуги связи"/>
    </sheetNames>
    <sheetDataSet>
      <sheetData sheetId="0" refreshError="1">
        <row r="13">
          <cell r="W13">
            <v>865129642.61090291</v>
          </cell>
        </row>
        <row r="57">
          <cell r="Z57">
            <v>0</v>
          </cell>
        </row>
        <row r="79">
          <cell r="W79">
            <v>859619707.03894103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ькуляция 31 ул"/>
      <sheetName val="Калькуляция Туркестан"/>
      <sheetName val="Калькуляция МШ Орынбор"/>
      <sheetName val="Калькуляция АБ"/>
      <sheetName val="Лист2"/>
      <sheetName val="Лист3"/>
    </sheetNames>
    <sheetDataSet>
      <sheetData sheetId="0"/>
      <sheetData sheetId="1">
        <row r="36">
          <cell r="C36">
            <v>23237564.226526156</v>
          </cell>
        </row>
        <row r="37">
          <cell r="C37">
            <v>32678383.808697823</v>
          </cell>
        </row>
        <row r="49">
          <cell r="C49">
            <v>52535722.371223986</v>
          </cell>
        </row>
      </sheetData>
      <sheetData sheetId="2">
        <row r="31">
          <cell r="C31">
            <v>89410550.473325178</v>
          </cell>
        </row>
        <row r="49">
          <cell r="C49">
            <v>83974104.073325217</v>
          </cell>
        </row>
      </sheetData>
      <sheetData sheetId="3">
        <row r="33">
          <cell r="C33">
            <v>292040346.42065692</v>
          </cell>
        </row>
        <row r="51">
          <cell r="C51">
            <v>274902301.42865694</v>
          </cell>
        </row>
      </sheetData>
      <sheetData sheetId="4"/>
      <sheetData sheetId="5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юджет Адм+школы new"/>
      <sheetName val="Бюджет Адм+школы"/>
      <sheetName val="ФОТ комплекс"/>
      <sheetName val="Доли"/>
      <sheetName val="оплата труда с разб по месяцам"/>
      <sheetName val="дизтопл"/>
      <sheetName val="сввод инт c НДС"/>
      <sheetName val="сввод интбез ндс"/>
      <sheetName val="ГПО  инт"/>
      <sheetName val="банк усл"/>
      <sheetName val="медстрах"/>
      <sheetName val="ФОТ  инт"/>
      <sheetName val="дератиз инт"/>
      <sheetName val="ээ инт"/>
      <sheetName val="мус инт"/>
      <sheetName val="хоз инт"/>
      <sheetName val="вода инт"/>
      <sheetName val="0704обслуж зд и сооруж ИНТ"/>
      <sheetName val="утилиз ламп ИНТ"/>
      <sheetName val="противопожИНТ"/>
      <sheetName val="моющИНТ"/>
      <sheetName val="проч тмцИНТ"/>
      <sheetName val="КОСТ инт "/>
      <sheetName val="соцсфера ИНТ"/>
      <sheetName val="свод МШ"/>
      <sheetName val="свод МШ с НДС"/>
      <sheetName val="мед страх"/>
      <sheetName val="банк услуги"/>
      <sheetName val="ГПО МШ "/>
      <sheetName val="ФОТ МШ"/>
      <sheetName val="дератизМШ"/>
      <sheetName val="посадка цветМШ"/>
      <sheetName val="мусор МШ"/>
      <sheetName val="вода ээ мус тепМШ"/>
      <sheetName val="ГСМ на технику МШ"/>
      <sheetName val="03.06 хозМШ"/>
      <sheetName val="хоз на новую школуМШ"/>
      <sheetName val="24противопожар"/>
      <sheetName val="07 04обслуж зд и сооружМШ"/>
      <sheetName val="утилиз ламп МШ"/>
      <sheetName val="курсы квалифМШ"/>
      <sheetName val="моющМШ"/>
      <sheetName val="ТМЦ МШ НОВОЕ ЗДАН"/>
      <sheetName val="КОСТ МШ"/>
      <sheetName val="соцсфера МШ"/>
      <sheetName val="свод ФМНбез НДС"/>
      <sheetName val="свод ФМН с НДС"/>
      <sheetName val="ФОТ ФМН"/>
      <sheetName val="медстрахФМН"/>
      <sheetName val="банк усл ФМН"/>
      <sheetName val="ГПО ФМН"/>
      <sheetName val="ГСМ на технику ФМН"/>
      <sheetName val="26 противопожар"/>
      <sheetName val="дератиз"/>
      <sheetName val="ээ"/>
      <sheetName val="цветы"/>
      <sheetName val="мусор"/>
      <sheetName val="ТМЦ"/>
      <sheetName val="хоз"/>
      <sheetName val="вода"/>
      <sheetName val="07 04обслуж зд и сооруж"/>
      <sheetName val="утилиз ламп"/>
      <sheetName val="курсы"/>
      <sheetName val="костюмы"/>
      <sheetName val="мыльн"/>
      <sheetName val="соцсфера"/>
      <sheetName val="сводМБ без НДС"/>
      <sheetName val="сводМБ с НДС"/>
      <sheetName val="ГПО МБ"/>
      <sheetName val="банк услугиМБ"/>
      <sheetName val="мед страх МБ"/>
      <sheetName val="ФОТ МБ"/>
      <sheetName val="ГСМ на технику МБ"/>
      <sheetName val="дератиз МБ)"/>
      <sheetName val="цветыМБ"/>
      <sheetName val="24 противопожар МБ"/>
      <sheetName val="ээ МБ"/>
      <sheetName val="мусорМБ"/>
      <sheetName val="ТМЦМБ"/>
      <sheetName val="хозМБ"/>
      <sheetName val="водаМБ"/>
      <sheetName val="обслуж зд и сооруж07 04МБ"/>
      <sheetName val="утилиз ламп МБ"/>
      <sheetName val="07.08.06прочие кост оперМБ"/>
      <sheetName val="курсы квалифМБ"/>
      <sheetName val="моющМБ"/>
      <sheetName val="соцсфера МБ"/>
      <sheetName val="свод АДМ"/>
      <sheetName val="свод АДМ с НДС"/>
      <sheetName val="ГПО ауп"/>
      <sheetName val="медстрахАУП"/>
      <sheetName val="банк усл ауп"/>
      <sheetName val="ФОТ ауп"/>
      <sheetName val="ФОТ  адм"/>
      <sheetName val="банк усл адм"/>
      <sheetName val="медстрах адм"/>
      <sheetName val="ГПО адм"/>
      <sheetName val="дератизАДМ"/>
      <sheetName val="ээАДМ"/>
      <sheetName val="мусАДМ"/>
      <sheetName val="водаАДМ"/>
      <sheetName val="утилиз лампАДМ"/>
      <sheetName val="обслужсооруж 07 04АДМ"/>
      <sheetName val="противопожарАДМ"/>
      <sheetName val="хозАДМ"/>
      <sheetName val="обученАДМ"/>
      <sheetName val="соцсфераАДМ"/>
      <sheetName val="моющdfАДМ,"/>
      <sheetName val="кост адм"/>
      <sheetName val="ТМЦ АДМ"/>
      <sheetName val="цветыАДМ"/>
      <sheetName val="нотариальн услугиАДМ"/>
      <sheetName val="информ услугиАДМ"/>
      <sheetName val="канц тов адм"/>
      <sheetName val="заправ адм"/>
      <sheetName val="свод моющ"/>
      <sheetName val=" хоз для ценовки"/>
      <sheetName val="свод хоз"/>
      <sheetName val="услуги связи"/>
      <sheetName val="гпо свод"/>
      <sheetName val="банк усл свод"/>
      <sheetName val="УМТБ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44">
          <cell r="D44">
            <v>64189585.946816824</v>
          </cell>
        </row>
      </sheetData>
      <sheetData sheetId="6" refreshError="1"/>
      <sheetData sheetId="7" refreshError="1">
        <row r="71">
          <cell r="A71" t="str">
            <v>2.29</v>
          </cell>
          <cell r="B71" t="str">
            <v>Расходы на социальную сферу</v>
          </cell>
        </row>
        <row r="159">
          <cell r="C159">
            <v>24603606.78856862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77">
          <cell r="A77" t="str">
            <v>2.31.05</v>
          </cell>
          <cell r="B77" t="str">
            <v>Нотариальные услуги</v>
          </cell>
        </row>
        <row r="78">
          <cell r="A78" t="str">
            <v>2.31.07</v>
          </cell>
          <cell r="B78" t="str">
            <v>Типографские услуги</v>
          </cell>
        </row>
        <row r="79">
          <cell r="A79" t="str">
            <v>2.31.10</v>
          </cell>
          <cell r="B79" t="str">
            <v>Переплет документов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>
        <row r="69">
          <cell r="AV69">
            <v>141660.00000000003</v>
          </cell>
        </row>
      </sheetData>
      <sheetData sheetId="69" refreshError="1"/>
      <sheetData sheetId="70" refreshError="1"/>
      <sheetData sheetId="71" refreshError="1">
        <row r="73">
          <cell r="AM73">
            <v>50119200</v>
          </cell>
          <cell r="AP73">
            <v>2706436.8</v>
          </cell>
          <cell r="AQ73">
            <v>2255364</v>
          </cell>
          <cell r="AR73">
            <v>50119.199999999997</v>
          </cell>
          <cell r="AS73">
            <v>4070000</v>
          </cell>
        </row>
      </sheetData>
      <sheetData sheetId="72" refreshError="1"/>
      <sheetData sheetId="73" refreshError="1">
        <row r="11">
          <cell r="H11">
            <v>2972483.2142857136</v>
          </cell>
          <cell r="L11">
            <v>2213297.6800000002</v>
          </cell>
        </row>
      </sheetData>
      <sheetData sheetId="74" refreshError="1">
        <row r="7">
          <cell r="G7">
            <v>1027200</v>
          </cell>
          <cell r="I7">
            <v>1150464.0000000002</v>
          </cell>
        </row>
      </sheetData>
      <sheetData sheetId="75" refreshError="1">
        <row r="22">
          <cell r="F22">
            <v>1862251.2142857139</v>
          </cell>
          <cell r="H22">
            <v>2085721.36</v>
          </cell>
        </row>
      </sheetData>
      <sheetData sheetId="76" refreshError="1">
        <row r="27">
          <cell r="F27">
            <v>11519675.640000001</v>
          </cell>
          <cell r="J27">
            <v>12902036.716800004</v>
          </cell>
        </row>
      </sheetData>
      <sheetData sheetId="77" refreshError="1">
        <row r="7">
          <cell r="F7">
            <v>666482.14285714272</v>
          </cell>
          <cell r="K7">
            <v>746460</v>
          </cell>
        </row>
      </sheetData>
      <sheetData sheetId="78" refreshError="1"/>
      <sheetData sheetId="79" refreshError="1"/>
      <sheetData sheetId="80" refreshError="1">
        <row r="11">
          <cell r="H11">
            <v>5872207.1304428559</v>
          </cell>
          <cell r="M11">
            <v>6576871.9860960003</v>
          </cell>
        </row>
      </sheetData>
      <sheetData sheetId="81" refreshError="1">
        <row r="19">
          <cell r="H19">
            <v>7765067.4285714272</v>
          </cell>
          <cell r="J19">
            <v>8696875.5200000014</v>
          </cell>
        </row>
      </sheetData>
      <sheetData sheetId="82" refreshError="1">
        <row r="7">
          <cell r="F7">
            <v>57321.428571428565</v>
          </cell>
          <cell r="I7">
            <v>64199.999999999993</v>
          </cell>
        </row>
      </sheetData>
      <sheetData sheetId="83" refreshError="1">
        <row r="9">
          <cell r="E9">
            <v>31785.714285714283</v>
          </cell>
          <cell r="G9">
            <v>35600</v>
          </cell>
        </row>
      </sheetData>
      <sheetData sheetId="84" refreshError="1">
        <row r="10">
          <cell r="F10">
            <v>58668</v>
          </cell>
          <cell r="H10">
            <v>65708.160000000003</v>
          </cell>
        </row>
      </sheetData>
      <sheetData sheetId="85" refreshError="1">
        <row r="27">
          <cell r="F27">
            <v>3053442.1249999995</v>
          </cell>
          <cell r="H27">
            <v>3419855.18</v>
          </cell>
        </row>
      </sheetData>
      <sheetData sheetId="86" refreshError="1">
        <row r="6">
          <cell r="F6">
            <v>115624.99999999999</v>
          </cell>
          <cell r="H6">
            <v>129500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школа+интернат+мб"/>
      <sheetName val="ХБН Дирекция"/>
      <sheetName val="ФМН Дирекция"/>
      <sheetName val="свод_анализ"/>
      <sheetName val="Канцтовары МБ"/>
      <sheetName val="гсм хбн"/>
      <sheetName val="моющие хбн"/>
      <sheetName val="хоз.тов хбн"/>
      <sheetName val="тмц хбн"/>
      <sheetName val="тмц(хим.реак) хбн"/>
      <sheetName val="пит.вода хбн"/>
      <sheetName val="тепло хбн"/>
      <sheetName val="эл.эн хбн"/>
      <sheetName val="вода хбн"/>
      <sheetName val="мусор хбн"/>
      <sheetName val="связь хбн"/>
      <sheetName val="обслуж авто хбн"/>
      <sheetName val="пит хбн"/>
      <sheetName val="проч усл хбн"/>
      <sheetName val="обслуж здания хбн"/>
      <sheetName val="ГПО работод хбн"/>
      <sheetName val="ГПО авто хбн"/>
      <sheetName val="медстрах хбн"/>
      <sheetName val="мед.обсл хбн"/>
      <sheetName val="почта МБ"/>
      <sheetName val="охрана хбн"/>
      <sheetName val="аренда транс хбн"/>
      <sheetName val="пожар хбн"/>
      <sheetName val="ИШПП (подарки учащ) хбн"/>
      <sheetName val="соц (подарки сотруд) хбн"/>
      <sheetName val="дерат хбн"/>
      <sheetName val="типо хбн"/>
      <sheetName val="Типо МБ"/>
      <sheetName val="Переплет МБ"/>
      <sheetName val="Канц ИН"/>
      <sheetName val="моющ ИН"/>
      <sheetName val="Моющ ИН-1"/>
      <sheetName val="хоз.т. и тмц ИН"/>
      <sheetName val="Хоз ИН-1"/>
      <sheetName val="тепло ИН"/>
      <sheetName val="эл.эн,вода, тб ИН"/>
      <sheetName val="Комм ИН-1"/>
      <sheetName val="связь ИН"/>
      <sheetName val="Связь Ин-1"/>
      <sheetName val="пит ИН"/>
      <sheetName val="Пит ИН-1"/>
      <sheetName val="пит вода ИН"/>
      <sheetName val="ГПО работ ИН"/>
      <sheetName val="мед.обс ИН"/>
      <sheetName val="Страх., мед. ИН"/>
      <sheetName val="охр ИН"/>
      <sheetName val="Охр ИН-1"/>
      <sheetName val="дезин ИН"/>
      <sheetName val="пожар ИН"/>
      <sheetName val="Дезин ИН-1"/>
      <sheetName val="Компл авто фмн"/>
      <sheetName val="ГСМ фмн"/>
      <sheetName val="запасы фмн "/>
      <sheetName val="моющ и хоз ст.шк"/>
      <sheetName val="ком фмн"/>
      <sheetName val="ком ст.шк"/>
      <sheetName val="связь фмн"/>
      <sheetName val="связь ст.шк"/>
      <sheetName val="Рем.авто фмн"/>
      <sheetName val="Обсл.зд фмн"/>
      <sheetName val="Обсл.зд. ст.шк"/>
      <sheetName val="Пит фмн"/>
      <sheetName val="Химч фмн"/>
      <sheetName val="пит вода, пошив фмн"/>
      <sheetName val="Страх, мед.обслуж фмн"/>
      <sheetName val="Почта"/>
      <sheetName val="Охр фмн "/>
      <sheetName val="Охр Ст.Шк."/>
      <sheetName val="Транс фмн"/>
      <sheetName val="Аренда Ст.Зд"/>
      <sheetName val="Пожар фмн"/>
      <sheetName val="Пожар Ст.Шк."/>
      <sheetName val="ПОдар учащ(ИШПП)"/>
      <sheetName val="Представит фмн"/>
      <sheetName val="подар фмн"/>
      <sheetName val="Дезин фмн"/>
      <sheetName val="Дезин Ст.Шк"/>
      <sheetName val="Типо фмн"/>
      <sheetName val="Переплетфмн"/>
      <sheetName val="Утилизация ламп фмн"/>
      <sheetName val="ГСМ Адм"/>
      <sheetName val="тепло Адм"/>
      <sheetName val="канц Адм"/>
      <sheetName val="обсл авто Адм"/>
      <sheetName val="комм Адм"/>
      <sheetName val="транс, дерат, охр Адм"/>
      <sheetName val="проч (клининг) Адм"/>
      <sheetName val="аренд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Т комплекс"/>
      <sheetName val="ФОТ комплекс (2)"/>
      <sheetName val="оплата труда с разб по месяцам"/>
      <sheetName val="страхов ГПО"/>
      <sheetName val="медстрахов"/>
      <sheetName val="медобслуж"/>
      <sheetName val="дератиз шк инт адм"/>
      <sheetName val="дизтопл"/>
      <sheetName val="посадка цвет"/>
      <sheetName val="мусор"/>
      <sheetName val="вода ээ мус теп"/>
      <sheetName val="03.06 хоз"/>
      <sheetName val="24противопожар"/>
      <sheetName val="07 04обслуж зд и сооруж"/>
      <sheetName val="Униформа"/>
    </sheetNames>
    <sheetDataSet>
      <sheetData sheetId="0" refreshError="1"/>
      <sheetData sheetId="1" refreshError="1">
        <row r="169">
          <cell r="AC169">
            <v>63954100.955802917</v>
          </cell>
        </row>
        <row r="173">
          <cell r="AC173">
            <v>972871.79321643757</v>
          </cell>
        </row>
        <row r="177">
          <cell r="AC177">
            <v>2480649.6583969202</v>
          </cell>
        </row>
        <row r="181">
          <cell r="AC181">
            <v>67407.62240741626</v>
          </cell>
        </row>
        <row r="185">
          <cell r="AC185">
            <v>4302823.653741871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кущ ремонт (2)"/>
      <sheetName val="свод 4 (МБ+ШК+ИНТЕР)"/>
      <sheetName val="свод 3(МБ+ШК+ИНТЕР)"/>
      <sheetName val="свод 2 (МБ+ШК+ИНТЕР)"/>
      <sheetName val="тариф на 22 кл школа "/>
      <sheetName val="Кальк МШ Ор"/>
      <sheetName val="Кальк МШ Ор 2017-2018"/>
      <sheetName val="Кальк Турк с фмн"/>
      <sheetName val="штатка школа"/>
      <sheetName val="страхов опер"/>
      <sheetName val="банк опер"/>
      <sheetName val="свод опер"/>
      <sheetName val="сравнительн"/>
      <sheetName val="прайс"/>
      <sheetName val="Кальк Турк без фмн"/>
      <sheetName val="Кальк31 ул (Адм Корп)"/>
      <sheetName val="Кальк31 ул (Адм Корп) с дох"/>
      <sheetName val="Кальк31 ул (31)"/>
      <sheetName val="Кальк АУП"/>
      <sheetName val="площ для обсл объек"/>
      <sheetName val="бюджет 1м2"/>
      <sheetName val="штатка комплекс  (2)"/>
      <sheetName val="Лист2"/>
      <sheetName val="свод разверн"/>
      <sheetName val="штатка комплекс  (3)"/>
      <sheetName val="свод сверн"/>
      <sheetName val="свод сверн (2)"/>
      <sheetName val="штатка комплекс "/>
      <sheetName val="штатка адм блок"/>
      <sheetName val="штатка АУП"/>
      <sheetName val="штатка МБ"/>
      <sheetName val="штатка ФМН"/>
      <sheetName val="штатка школа МШ"/>
      <sheetName val="штатка школа Орынб"/>
      <sheetName val="штатка школа Орынб 2017-2018"/>
      <sheetName val="штатка спальн блок"/>
      <sheetName val="приобретение комплектующих к ОС"/>
      <sheetName val="гсм школа"/>
      <sheetName val="приобрет канц "/>
      <sheetName val="приобрет канц 3 цены"/>
      <sheetName val="приобретение моющих и хоз."/>
      <sheetName val="гсм3цены"/>
      <sheetName val="хоз 3 цены"/>
      <sheetName val="моющ 3 цены"/>
      <sheetName val="ТМЦ 3 цены"/>
      <sheetName val="расчет ДЕО"/>
      <sheetName val="запасы шк"/>
      <sheetName val="моющ МБ"/>
      <sheetName val="моющФМН"/>
      <sheetName val="хоз свод"/>
      <sheetName val="хоз фмн"/>
      <sheetName val="хоз мб"/>
      <sheetName val="тмц фмн"/>
      <sheetName val="запасыМШ"/>
      <sheetName val="тмц мб"/>
      <sheetName val="моющМШ"/>
      <sheetName val="хозМШ"/>
      <sheetName val="ТМЦ МШ"/>
      <sheetName val="запасыОрын"/>
      <sheetName val="моющОрынб"/>
      <sheetName val="ТМЦОрынб"/>
      <sheetName val="запасыАДМ"/>
      <sheetName val="моющ АДМ"/>
      <sheetName val="хозАДМ"/>
      <sheetName val="тмцАДМ"/>
      <sheetName val="запасыИНТ"/>
      <sheetName val="Диз топливо общ"/>
      <sheetName val="расчет тепло"/>
      <sheetName val="Диз топливоАДМ"/>
      <sheetName val="ДИЗТОПЛ"/>
      <sheetName val="энергия МШ"/>
      <sheetName val="энергия МБ, ФМН по факту"/>
      <sheetName val="энергия МБ, ФМН по записке"/>
      <sheetName val="энергия адм корп по записке"/>
      <sheetName val="энергия адм по факту"/>
      <sheetName val="вода инт по запис"/>
      <sheetName val="энергия инт"/>
      <sheetName val="вода школаМБ по запис"/>
      <sheetName val="вода школа ФМН по запис"/>
      <sheetName val="ТБО АДМ"/>
      <sheetName val="услуги связи школа"/>
      <sheetName val="Командировки"/>
      <sheetName val="ремонт авто"/>
      <sheetName val="обс.и рем ОС  "/>
      <sheetName val="вода адм"/>
      <sheetName val="вода школа ФМН по МШ"/>
      <sheetName val="вода школаМШ"/>
      <sheetName val="Лист1"/>
      <sheetName val="приобретение моющих и хоз. (2)"/>
      <sheetName val="моющИНТ"/>
      <sheetName val="хозИНТ"/>
      <sheetName val="хоз кот и ул освещ"/>
      <sheetName val="тмцИНТ"/>
      <sheetName val="заправка картр"/>
      <sheetName val="текущ ремонт  зданий"/>
      <sheetName val="питание школа"/>
      <sheetName val="прочие услуги"/>
      <sheetName val="страховка"/>
      <sheetName val="услуги почты"/>
      <sheetName val="охрана"/>
      <sheetName val="Инф"/>
      <sheetName val="банков услуги"/>
      <sheetName val="транспортные усл"/>
      <sheetName val="периодика"/>
      <sheetName val="НДС"/>
      <sheetName val="аренда"/>
      <sheetName val="обслуж.противопожар"/>
      <sheetName val="расч.курса,семин,конф.(статья)"/>
      <sheetName val="учащиеся(статья)"/>
      <sheetName val="прочие внешк школа"/>
      <sheetName val="водоснаб "/>
      <sheetName val="ТБО"/>
      <sheetName val="повыш квалиф"/>
      <sheetName val="оформ.празд"/>
      <sheetName val="Семин"/>
      <sheetName val="дератизация школа"/>
      <sheetName val="СМИ"/>
      <sheetName val="нот услуги "/>
      <sheetName val="Утил"/>
      <sheetName val="пошив шк.формы"/>
      <sheetName val="пит вода школа"/>
      <sheetName val="взносы в МО"/>
      <sheetName val="привл эксперт"/>
      <sheetName val="Свободная форма нов.под"/>
      <sheetName val="Кап ремонт"/>
      <sheetName val="НДС ЗОПЛ"/>
      <sheetName val="налоги"/>
      <sheetName val="эмиссия"/>
      <sheetName val="Свободная форма курсы"/>
      <sheetName val="прочие услуги (2)"/>
      <sheetName val="Свод"/>
      <sheetName val="Расчет арендной ставки"/>
      <sheetName val="Амортизация "/>
      <sheetName val="Свод банк"/>
      <sheetName val="Расчет арендной ставки банк"/>
      <sheetName val="Свод столов"/>
      <sheetName val="Расчет арендной ставки "/>
      <sheetName val="Расчет арендной ставки пересчит"/>
      <sheetName val="мес амортиз"/>
      <sheetName val="оборуд столов"/>
      <sheetName val="Площадь столовой новая"/>
      <sheetName val="расч по правилам "/>
      <sheetName val="мебель изм.амортиз"/>
      <sheetName val="оргтех столовой"/>
      <sheetName val="тмц столов"/>
      <sheetName val="расч по  моющ 2016год"/>
      <sheetName val="расч по  моющ 2017-18гг"/>
      <sheetName val="дез.средство"/>
      <sheetName val="обслуж"/>
      <sheetName val="цветы"/>
      <sheetName val="возмещение коммун"/>
      <sheetName val="Кальк31 ул (Адм Корп) 2017-2018"/>
      <sheetName val="прайс 2017-2018"/>
      <sheetName val="Кальк31 2017-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10">
          <cell r="F10">
            <v>16815.8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112">
          <cell r="D112">
            <v>2</v>
          </cell>
        </row>
      </sheetData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>
        <row r="9">
          <cell r="T9">
            <v>3647512</v>
          </cell>
        </row>
      </sheetData>
      <sheetData sheetId="52">
        <row r="9">
          <cell r="R9">
            <v>128186</v>
          </cell>
        </row>
      </sheetData>
      <sheetData sheetId="53" refreshError="1"/>
      <sheetData sheetId="54">
        <row r="9">
          <cell r="T9">
            <v>128186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>
        <row r="4">
          <cell r="V4">
            <v>519419.33333333331</v>
          </cell>
        </row>
      </sheetData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п июль 2013 - 7 072 108"/>
      <sheetName val="Адм июль 2013 - 21 827 307"/>
      <sheetName val="Адм июль 2013 - 2 471 671"/>
      <sheetName val="Сп июль 2013 - 17 948 019"/>
      <sheetName val="Адм август 2013 - 124 614 935"/>
      <sheetName val="Сп август 2013 - 9 294 273"/>
      <sheetName val="Адм август 2013 - 3 706 599"/>
      <sheetName val="Адм август 2013 - 230 360"/>
      <sheetName val="Адм август 2013 - 3 571 993"/>
      <sheetName val="Сп август 2013 - 2 251 736"/>
      <sheetName val="СП вгуст 2013 - 1 394 213"/>
      <sheetName val="Сп август 2013 - 1 396 673"/>
      <sheetName val="Адм сентябрь 2013 - 28 661 457"/>
      <sheetName val="Сп сентябрь 2013 -1  117 478"/>
      <sheetName val="Адм сентябрь 2013 -6 599 928"/>
      <sheetName val="Адм сентябрь 2013 - 68 390 035"/>
      <sheetName val="Сп сентябрь 2013 - 2 395 182"/>
      <sheetName val="Сп  сентябрь 2013 - 211 729"/>
      <sheetName val="Адм  сентябрь 2013 - 167 927"/>
      <sheetName val="Адм октябрь 2013 - 4 610 164"/>
      <sheetName val="Сп октябрь 2013 - 5 487 951"/>
      <sheetName val="Адм ноябрь 2013 - 1 620 574"/>
      <sheetName val="Адм январь 2014 - 25 020 954"/>
      <sheetName val="Адм февраль 2014 - 1 689 726"/>
      <sheetName val="Сп май 2014 - 250 611"/>
      <sheetName val="Адм май 2014 - 3 448 432"/>
      <sheetName val="Сп октябрь 2014 - 35 888 801"/>
      <sheetName val="Адм октябрь 2014 - 47 518 915"/>
      <sheetName val="Адм ноябрь 2014 - 10 783 164"/>
      <sheetName val="Адм ноябрь 2014 - 6 331 009"/>
      <sheetName val="Адм ноябрь 2014 - 42 219 574"/>
      <sheetName val="Адм ноябрь 2014 - 18 587 705"/>
      <sheetName val="Адм ноябрь 2014 - 35 820 766"/>
      <sheetName val="Сп ноябрь 2014 - 54 213"/>
      <sheetName val="Адм ноябрь 2014 - 17 872 571"/>
      <sheetName val="Адм ноябрь 2014 - 1 653 158"/>
      <sheetName val="Адм ноябрь 2014 - 23 633 619"/>
      <sheetName val="Адм ноябрь 2014 - 20 095 541"/>
      <sheetName val="Сп ноябрь 2014 - 1 631 461"/>
      <sheetName val="Адм ноябрь 2014 - 4 501 469"/>
    </sheetNames>
    <sheetDataSet>
      <sheetData sheetId="0" refreshError="1"/>
      <sheetData sheetId="1" refreshError="1">
        <row r="21">
          <cell r="D21">
            <v>0.9</v>
          </cell>
          <cell r="L21">
            <v>147568.22137366066</v>
          </cell>
        </row>
        <row r="24">
          <cell r="D24">
            <v>0.9</v>
          </cell>
          <cell r="L24">
            <v>147568.22137366066</v>
          </cell>
        </row>
        <row r="26">
          <cell r="D26">
            <v>0.9</v>
          </cell>
          <cell r="L26">
            <v>198690.6279852906</v>
          </cell>
        </row>
        <row r="29">
          <cell r="D29">
            <v>0.9</v>
          </cell>
          <cell r="L29">
            <v>147568.22137366066</v>
          </cell>
        </row>
        <row r="32">
          <cell r="D32">
            <v>0.9</v>
          </cell>
          <cell r="L32">
            <v>147568.22137366066</v>
          </cell>
        </row>
        <row r="34">
          <cell r="D34">
            <v>0.9</v>
          </cell>
          <cell r="L34">
            <v>266676.62112408149</v>
          </cell>
        </row>
        <row r="37">
          <cell r="D37">
            <v>0.9</v>
          </cell>
          <cell r="L37">
            <v>147568.22137366066</v>
          </cell>
        </row>
        <row r="39">
          <cell r="D39">
            <v>0.9</v>
          </cell>
          <cell r="L39">
            <v>51371.609523628955</v>
          </cell>
        </row>
        <row r="42">
          <cell r="D42">
            <v>0.9</v>
          </cell>
          <cell r="L42">
            <v>640675.66032410983</v>
          </cell>
        </row>
        <row r="45">
          <cell r="D45">
            <v>0.9</v>
          </cell>
          <cell r="L45">
            <v>982256.49978935043</v>
          </cell>
        </row>
        <row r="47">
          <cell r="D47">
            <v>0.9</v>
          </cell>
          <cell r="L47">
            <v>51371.609523628955</v>
          </cell>
        </row>
        <row r="50">
          <cell r="D50">
            <v>0.9</v>
          </cell>
          <cell r="L50">
            <v>198753.58674482972</v>
          </cell>
        </row>
        <row r="53">
          <cell r="D53">
            <v>0.9</v>
          </cell>
          <cell r="L53">
            <v>144368.80834886941</v>
          </cell>
        </row>
        <row r="56">
          <cell r="D56">
            <v>0.9</v>
          </cell>
          <cell r="L56">
            <v>266676.62112408149</v>
          </cell>
        </row>
        <row r="58">
          <cell r="D58">
            <v>0.9</v>
          </cell>
          <cell r="L58">
            <v>147568.22137366066</v>
          </cell>
        </row>
        <row r="60">
          <cell r="D60">
            <v>0.9</v>
          </cell>
          <cell r="L60">
            <v>51371.609523628955</v>
          </cell>
        </row>
        <row r="62">
          <cell r="D62">
            <v>1.8</v>
          </cell>
          <cell r="L62">
            <v>1263264.453489407</v>
          </cell>
        </row>
        <row r="64">
          <cell r="D64">
            <v>0.9</v>
          </cell>
          <cell r="L64">
            <v>886248.74299111217</v>
          </cell>
        </row>
        <row r="66">
          <cell r="D66">
            <v>1.8</v>
          </cell>
          <cell r="L66">
            <v>453933.65393763199</v>
          </cell>
        </row>
        <row r="69">
          <cell r="D69">
            <v>0.9</v>
          </cell>
          <cell r="L69">
            <v>147568.22137366066</v>
          </cell>
        </row>
        <row r="71">
          <cell r="D71">
            <v>1.8</v>
          </cell>
          <cell r="L71">
            <v>266676.62112408149</v>
          </cell>
        </row>
        <row r="74">
          <cell r="D74">
            <v>1.8</v>
          </cell>
          <cell r="L74">
            <v>122163.53405350365</v>
          </cell>
        </row>
        <row r="76">
          <cell r="D76">
            <v>1.8</v>
          </cell>
          <cell r="L76">
            <v>87735.960719427152</v>
          </cell>
        </row>
        <row r="78">
          <cell r="D78">
            <v>1.8</v>
          </cell>
          <cell r="L78">
            <v>170473.87472195714</v>
          </cell>
        </row>
        <row r="80">
          <cell r="D80">
            <v>1.8</v>
          </cell>
          <cell r="L80">
            <v>273203.1052922979</v>
          </cell>
        </row>
        <row r="82">
          <cell r="D82">
            <v>1.8</v>
          </cell>
          <cell r="L82">
            <v>299560.00670354202</v>
          </cell>
        </row>
        <row r="85">
          <cell r="D85">
            <v>6.3</v>
          </cell>
          <cell r="L85">
            <v>211009.97606264355</v>
          </cell>
        </row>
        <row r="95">
          <cell r="D95">
            <v>0.9</v>
          </cell>
          <cell r="L95">
            <v>764847.6764503005</v>
          </cell>
        </row>
        <row r="97">
          <cell r="D97">
            <v>0.9</v>
          </cell>
          <cell r="L97">
            <v>511836.12035519042</v>
          </cell>
        </row>
        <row r="101">
          <cell r="D101">
            <v>0.9</v>
          </cell>
          <cell r="L101">
            <v>51371.609523628955</v>
          </cell>
        </row>
        <row r="103">
          <cell r="D103">
            <v>0.9</v>
          </cell>
          <cell r="L103">
            <v>75516.2938068738</v>
          </cell>
        </row>
        <row r="105">
          <cell r="D105">
            <v>1.8</v>
          </cell>
          <cell r="L105">
            <v>208703.3207953356</v>
          </cell>
        </row>
        <row r="108">
          <cell r="D108">
            <v>1.8</v>
          </cell>
          <cell r="L108">
            <v>208703.3207953356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>
        <row r="20">
          <cell r="D20">
            <v>0.9</v>
          </cell>
          <cell r="L20">
            <v>61135.108378745521</v>
          </cell>
        </row>
        <row r="23">
          <cell r="D23">
            <v>0.9</v>
          </cell>
          <cell r="L23">
            <v>61135.108378745521</v>
          </cell>
        </row>
        <row r="26">
          <cell r="D26">
            <v>0.9</v>
          </cell>
          <cell r="L26">
            <v>61135.108378745521</v>
          </cell>
        </row>
        <row r="29">
          <cell r="D29">
            <v>21</v>
          </cell>
          <cell r="L29">
            <v>7607.1490190978393</v>
          </cell>
        </row>
        <row r="31">
          <cell r="D31">
            <v>13</v>
          </cell>
          <cell r="L31">
            <v>15092.0617002904</v>
          </cell>
        </row>
        <row r="33">
          <cell r="D33">
            <v>12</v>
          </cell>
          <cell r="L33">
            <v>12234.54870858912</v>
          </cell>
        </row>
      </sheetData>
      <sheetData sheetId="7" refreshError="1"/>
      <sheetData sheetId="8" refreshError="1">
        <row r="20">
          <cell r="D20">
            <v>16</v>
          </cell>
          <cell r="L20">
            <v>15914.004562231201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9">
          <cell r="D19">
            <v>0.9</v>
          </cell>
          <cell r="L19">
            <v>28488.673815805709</v>
          </cell>
        </row>
        <row r="21">
          <cell r="D21">
            <v>0.9</v>
          </cell>
          <cell r="L21">
            <v>28488.673815805709</v>
          </cell>
        </row>
        <row r="24">
          <cell r="D24">
            <v>1</v>
          </cell>
          <cell r="L24">
            <v>78083.521873930906</v>
          </cell>
        </row>
        <row r="27">
          <cell r="D27">
            <v>3.6</v>
          </cell>
          <cell r="L27">
            <v>12551.953789177249</v>
          </cell>
        </row>
        <row r="30">
          <cell r="D30">
            <v>1</v>
          </cell>
          <cell r="L30">
            <v>26034.258202166871</v>
          </cell>
        </row>
        <row r="32">
          <cell r="D32">
            <v>0.9</v>
          </cell>
          <cell r="L32">
            <v>37898.929769577771</v>
          </cell>
        </row>
        <row r="35">
          <cell r="D35">
            <v>2</v>
          </cell>
          <cell r="L35">
            <v>76917.956774258593</v>
          </cell>
        </row>
        <row r="37">
          <cell r="D37">
            <v>1</v>
          </cell>
          <cell r="L37">
            <v>228791.72606638516</v>
          </cell>
        </row>
        <row r="39">
          <cell r="D39">
            <v>0.9</v>
          </cell>
          <cell r="L39">
            <v>37898.929769577771</v>
          </cell>
        </row>
        <row r="42">
          <cell r="D42">
            <v>1</v>
          </cell>
          <cell r="L42">
            <v>78083.521873930906</v>
          </cell>
        </row>
        <row r="45">
          <cell r="D45">
            <v>0.9</v>
          </cell>
          <cell r="L45">
            <v>37898.929769577771</v>
          </cell>
        </row>
        <row r="47">
          <cell r="D47">
            <v>0.9</v>
          </cell>
          <cell r="L47">
            <v>240581.21221068481</v>
          </cell>
        </row>
        <row r="49">
          <cell r="D49">
            <v>0.9</v>
          </cell>
          <cell r="L49">
            <v>481725.52970208548</v>
          </cell>
        </row>
        <row r="51">
          <cell r="D51">
            <v>0.9</v>
          </cell>
          <cell r="L51">
            <v>539552.79950799816</v>
          </cell>
        </row>
        <row r="54">
          <cell r="D54">
            <v>0.9</v>
          </cell>
          <cell r="L54">
            <v>37898.929769577771</v>
          </cell>
        </row>
        <row r="57">
          <cell r="D57">
            <v>0.9</v>
          </cell>
          <cell r="L57">
            <v>170271.9310123063</v>
          </cell>
        </row>
        <row r="59">
          <cell r="D59">
            <v>0.9</v>
          </cell>
          <cell r="L59">
            <v>37898.929769577771</v>
          </cell>
        </row>
        <row r="62">
          <cell r="D62">
            <v>1.8</v>
          </cell>
          <cell r="L62">
            <v>37898.929769577771</v>
          </cell>
        </row>
        <row r="65">
          <cell r="D65">
            <v>2.7</v>
          </cell>
          <cell r="L65">
            <v>37898.929769577771</v>
          </cell>
        </row>
        <row r="75">
          <cell r="D75">
            <v>1</v>
          </cell>
          <cell r="L75">
            <v>127729.08082302524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>
        <row r="19">
          <cell r="D19">
            <v>2</v>
          </cell>
          <cell r="L19">
            <v>36959.826397257893</v>
          </cell>
        </row>
        <row r="21">
          <cell r="D21">
            <v>2</v>
          </cell>
          <cell r="L21">
            <v>20552.659430721596</v>
          </cell>
        </row>
        <row r="23">
          <cell r="D23">
            <v>1.8</v>
          </cell>
          <cell r="L23">
            <v>269004.26325702562</v>
          </cell>
        </row>
        <row r="25">
          <cell r="D25">
            <v>1</v>
          </cell>
          <cell r="L25">
            <v>27166.597954292156</v>
          </cell>
        </row>
        <row r="27">
          <cell r="D27">
            <v>2</v>
          </cell>
          <cell r="L27">
            <v>36959.826397257893</v>
          </cell>
        </row>
        <row r="29">
          <cell r="D29">
            <v>0.1</v>
          </cell>
          <cell r="L29">
            <v>61135.097952830576</v>
          </cell>
        </row>
        <row r="32">
          <cell r="D32">
            <v>1</v>
          </cell>
          <cell r="L32">
            <v>36959.826397257893</v>
          </cell>
        </row>
        <row r="34">
          <cell r="D34">
            <v>2</v>
          </cell>
          <cell r="L34">
            <v>34772.954149477737</v>
          </cell>
        </row>
        <row r="36">
          <cell r="D36">
            <v>0.1</v>
          </cell>
          <cell r="L36">
            <v>61135.097952830576</v>
          </cell>
        </row>
        <row r="39">
          <cell r="D39">
            <v>4</v>
          </cell>
          <cell r="L39">
            <v>36959.826397257893</v>
          </cell>
        </row>
        <row r="43">
          <cell r="D43">
            <v>0.9</v>
          </cell>
          <cell r="L43">
            <v>83283.547508606702</v>
          </cell>
        </row>
        <row r="45">
          <cell r="D45">
            <v>1</v>
          </cell>
          <cell r="L45">
            <v>54716.170255284596</v>
          </cell>
        </row>
        <row r="47">
          <cell r="D47">
            <v>3</v>
          </cell>
          <cell r="L47">
            <v>58906.281502130572</v>
          </cell>
        </row>
        <row r="49">
          <cell r="D49">
            <v>1</v>
          </cell>
          <cell r="L49">
            <v>26034.253063219861</v>
          </cell>
        </row>
        <row r="52">
          <cell r="D52">
            <v>0.9</v>
          </cell>
          <cell r="L52">
            <v>757895.34275948058</v>
          </cell>
        </row>
        <row r="54">
          <cell r="L54">
            <v>343043.67778882565</v>
          </cell>
        </row>
        <row r="56">
          <cell r="D56">
            <v>6</v>
          </cell>
          <cell r="L56">
            <v>33017.177456909638</v>
          </cell>
        </row>
        <row r="58">
          <cell r="D58">
            <v>2</v>
          </cell>
          <cell r="L58">
            <v>62209.727111241416</v>
          </cell>
        </row>
        <row r="60">
          <cell r="D60">
            <v>3</v>
          </cell>
          <cell r="L60">
            <v>52250.377548816832</v>
          </cell>
        </row>
        <row r="62">
          <cell r="D62">
            <v>0.9</v>
          </cell>
          <cell r="L62">
            <v>640675.64493110566</v>
          </cell>
        </row>
        <row r="64">
          <cell r="D64">
            <v>2</v>
          </cell>
          <cell r="L64">
            <v>62209.727111241416</v>
          </cell>
        </row>
        <row r="66">
          <cell r="D66">
            <v>2</v>
          </cell>
          <cell r="L66">
            <v>39531.413591252218</v>
          </cell>
        </row>
        <row r="68">
          <cell r="D68">
            <v>2</v>
          </cell>
          <cell r="L68">
            <v>62209.727111241416</v>
          </cell>
        </row>
        <row r="70">
          <cell r="D70">
            <v>1</v>
          </cell>
          <cell r="L70">
            <v>73046.126560428122</v>
          </cell>
        </row>
        <row r="75">
          <cell r="L75">
            <v>68538.610624179113</v>
          </cell>
        </row>
        <row r="77">
          <cell r="D77">
            <v>0.9</v>
          </cell>
          <cell r="L77">
            <v>104248.04976577098</v>
          </cell>
        </row>
        <row r="80">
          <cell r="D80">
            <v>9</v>
          </cell>
          <cell r="L80">
            <v>68538.610624179113</v>
          </cell>
        </row>
        <row r="82">
          <cell r="D82">
            <v>1</v>
          </cell>
          <cell r="L82">
            <v>34772.954149477737</v>
          </cell>
        </row>
        <row r="85">
          <cell r="D85">
            <v>1</v>
          </cell>
          <cell r="L85">
            <v>61135.097952830576</v>
          </cell>
        </row>
        <row r="87">
          <cell r="D87">
            <v>1</v>
          </cell>
          <cell r="L87">
            <v>43543.134614748837</v>
          </cell>
        </row>
        <row r="89">
          <cell r="D89">
            <v>1</v>
          </cell>
          <cell r="L89">
            <v>92731.373082183956</v>
          </cell>
        </row>
        <row r="92">
          <cell r="D92">
            <v>3</v>
          </cell>
          <cell r="L92">
            <v>43543.134614748837</v>
          </cell>
        </row>
        <row r="94">
          <cell r="D94">
            <v>1</v>
          </cell>
          <cell r="L94">
            <v>61135.097952830576</v>
          </cell>
        </row>
        <row r="96">
          <cell r="D96">
            <v>1</v>
          </cell>
          <cell r="L96">
            <v>34772.954149477737</v>
          </cell>
        </row>
        <row r="99">
          <cell r="D99">
            <v>1</v>
          </cell>
          <cell r="L99">
            <v>61135.097952830576</v>
          </cell>
        </row>
        <row r="101">
          <cell r="D101">
            <v>8</v>
          </cell>
          <cell r="L101">
            <v>43543.134614748837</v>
          </cell>
        </row>
        <row r="103">
          <cell r="D103">
            <v>1</v>
          </cell>
          <cell r="L103">
            <v>52250.377548816832</v>
          </cell>
        </row>
        <row r="105">
          <cell r="D105">
            <v>0.9</v>
          </cell>
          <cell r="L105">
            <v>269004.26325702562</v>
          </cell>
        </row>
        <row r="109">
          <cell r="D109">
            <v>0.9</v>
          </cell>
          <cell r="L109">
            <v>83283.547508606702</v>
          </cell>
        </row>
        <row r="111">
          <cell r="D111">
            <v>1</v>
          </cell>
          <cell r="L111">
            <v>22928.38672575774</v>
          </cell>
        </row>
        <row r="113">
          <cell r="D113">
            <v>1</v>
          </cell>
          <cell r="L113">
            <v>43543.134614748837</v>
          </cell>
        </row>
        <row r="115">
          <cell r="D115">
            <v>1</v>
          </cell>
          <cell r="L115">
            <v>43543.134614748837</v>
          </cell>
        </row>
        <row r="117">
          <cell r="D117">
            <v>0.9</v>
          </cell>
          <cell r="L117">
            <v>90464.942700525469</v>
          </cell>
        </row>
        <row r="119">
          <cell r="D119">
            <v>1</v>
          </cell>
          <cell r="L119">
            <v>240581.1647219455</v>
          </cell>
        </row>
        <row r="121">
          <cell r="D121">
            <v>0.9</v>
          </cell>
          <cell r="L121">
            <v>1263264.4231379575</v>
          </cell>
        </row>
        <row r="123">
          <cell r="D123">
            <v>0.9</v>
          </cell>
          <cell r="L123">
            <v>1188311.2575418404</v>
          </cell>
        </row>
        <row r="125">
          <cell r="D125">
            <v>8</v>
          </cell>
          <cell r="L125">
            <v>133541.17210908767</v>
          </cell>
        </row>
        <row r="127">
          <cell r="D127">
            <v>3.7</v>
          </cell>
          <cell r="L127">
            <v>886248.72169791907</v>
          </cell>
        </row>
        <row r="129">
          <cell r="D129">
            <v>1.8</v>
          </cell>
          <cell r="L129">
            <v>251585.42589010493</v>
          </cell>
        </row>
        <row r="131">
          <cell r="D131">
            <v>4</v>
          </cell>
          <cell r="L131">
            <v>43543.134614748837</v>
          </cell>
        </row>
        <row r="133">
          <cell r="D133">
            <v>0.9</v>
          </cell>
          <cell r="L133">
            <v>527723.87588394119</v>
          </cell>
        </row>
        <row r="136">
          <cell r="D136">
            <v>4</v>
          </cell>
          <cell r="L136">
            <v>52250.377548816832</v>
          </cell>
        </row>
        <row r="139">
          <cell r="D139">
            <v>4</v>
          </cell>
          <cell r="L139">
            <v>34772.954149477737</v>
          </cell>
        </row>
        <row r="141">
          <cell r="D141">
            <v>4</v>
          </cell>
          <cell r="L141">
            <v>165197.77387037332</v>
          </cell>
        </row>
        <row r="144">
          <cell r="D144">
            <v>1.8</v>
          </cell>
          <cell r="L144">
            <v>43867.544155854055</v>
          </cell>
        </row>
        <row r="146">
          <cell r="D146">
            <v>1</v>
          </cell>
          <cell r="L146">
            <v>98841.662768366339</v>
          </cell>
        </row>
        <row r="149">
          <cell r="D149">
            <v>1</v>
          </cell>
          <cell r="L149">
            <v>56131.808330652537</v>
          </cell>
        </row>
        <row r="151">
          <cell r="D151">
            <v>1</v>
          </cell>
          <cell r="L151">
            <v>61135.097952830576</v>
          </cell>
        </row>
        <row r="154">
          <cell r="D154">
            <v>0.7</v>
          </cell>
          <cell r="L154">
            <v>211009.97099287479</v>
          </cell>
        </row>
        <row r="157">
          <cell r="D157">
            <v>4</v>
          </cell>
          <cell r="L157">
            <v>81843.413679104386</v>
          </cell>
        </row>
        <row r="167">
          <cell r="D167">
            <v>0.9</v>
          </cell>
          <cell r="L167">
            <v>269004.26325702562</v>
          </cell>
        </row>
        <row r="169">
          <cell r="D169">
            <v>0.9</v>
          </cell>
          <cell r="L169">
            <v>505363.83735311194</v>
          </cell>
        </row>
        <row r="171">
          <cell r="D171">
            <v>0.9</v>
          </cell>
          <cell r="L171">
            <v>180226.00393909652</v>
          </cell>
        </row>
        <row r="174">
          <cell r="D174">
            <v>7</v>
          </cell>
          <cell r="L174">
            <v>52250.377548816832</v>
          </cell>
        </row>
        <row r="176">
          <cell r="D176">
            <v>1</v>
          </cell>
          <cell r="L176">
            <v>22928.38672575774</v>
          </cell>
        </row>
      </sheetData>
      <sheetData sheetId="31" refreshError="1"/>
      <sheetData sheetId="32" refreshError="1">
        <row r="20">
          <cell r="D20">
            <v>1</v>
          </cell>
          <cell r="L20">
            <v>44918.570165933554</v>
          </cell>
        </row>
        <row r="22">
          <cell r="D22">
            <v>0.1</v>
          </cell>
          <cell r="L22">
            <v>28488.668876851949</v>
          </cell>
        </row>
        <row r="24">
          <cell r="D24">
            <v>0.1</v>
          </cell>
          <cell r="L24">
            <v>28488.668876851949</v>
          </cell>
        </row>
        <row r="27">
          <cell r="D27">
            <v>0.4</v>
          </cell>
          <cell r="L27">
            <v>12551.95161310125</v>
          </cell>
        </row>
        <row r="29">
          <cell r="D29">
            <v>8</v>
          </cell>
          <cell r="L29">
            <v>42160.717530870003</v>
          </cell>
        </row>
        <row r="32">
          <cell r="D32">
            <v>0.1</v>
          </cell>
          <cell r="L32">
            <v>147568.22137366066</v>
          </cell>
        </row>
        <row r="34">
          <cell r="D34">
            <v>1</v>
          </cell>
          <cell r="L34">
            <v>90464.944874054709</v>
          </cell>
        </row>
        <row r="36">
          <cell r="D36">
            <v>1</v>
          </cell>
          <cell r="L36">
            <v>415192.6838631162</v>
          </cell>
        </row>
        <row r="38">
          <cell r="D38">
            <v>1</v>
          </cell>
          <cell r="L38">
            <v>15597.470164980001</v>
          </cell>
        </row>
        <row r="40">
          <cell r="D40">
            <v>1</v>
          </cell>
          <cell r="L40">
            <v>50116.849512207751</v>
          </cell>
        </row>
        <row r="42">
          <cell r="D42">
            <v>1</v>
          </cell>
          <cell r="L42">
            <v>398066.77624681697</v>
          </cell>
        </row>
        <row r="44">
          <cell r="D44">
            <v>1</v>
          </cell>
          <cell r="L44">
            <v>269004.26972017711</v>
          </cell>
        </row>
        <row r="46">
          <cell r="D46">
            <v>0.1</v>
          </cell>
          <cell r="L46">
            <v>61135.099421674953</v>
          </cell>
        </row>
        <row r="48">
          <cell r="D48">
            <v>0.1</v>
          </cell>
          <cell r="L48">
            <v>37898.923199210098</v>
          </cell>
        </row>
        <row r="51">
          <cell r="D51">
            <v>0.1</v>
          </cell>
          <cell r="L51">
            <v>147568.22137366066</v>
          </cell>
        </row>
        <row r="53">
          <cell r="D53">
            <v>1</v>
          </cell>
          <cell r="L53">
            <v>27567.934165534349</v>
          </cell>
        </row>
        <row r="55">
          <cell r="D55">
            <v>1</v>
          </cell>
          <cell r="L55">
            <v>197070.36329399626</v>
          </cell>
        </row>
        <row r="57">
          <cell r="D57">
            <v>1</v>
          </cell>
          <cell r="L57">
            <v>308236.64076682035</v>
          </cell>
        </row>
        <row r="59">
          <cell r="D59">
            <v>1</v>
          </cell>
          <cell r="L59">
            <v>50248.010056776897</v>
          </cell>
        </row>
        <row r="61">
          <cell r="D61">
            <v>0.2</v>
          </cell>
          <cell r="L61">
            <v>269004.26972017711</v>
          </cell>
        </row>
        <row r="63">
          <cell r="D63">
            <v>0.1</v>
          </cell>
          <cell r="L63">
            <v>198690.6279852906</v>
          </cell>
        </row>
        <row r="65">
          <cell r="D65">
            <v>0.1</v>
          </cell>
          <cell r="L65">
            <v>37898.923199210098</v>
          </cell>
        </row>
        <row r="68">
          <cell r="D68">
            <v>0.1</v>
          </cell>
          <cell r="L68">
            <v>147568.22137366066</v>
          </cell>
        </row>
        <row r="71">
          <cell r="D71">
            <v>0.1</v>
          </cell>
          <cell r="L71">
            <v>147568.22137366066</v>
          </cell>
        </row>
        <row r="73">
          <cell r="D73">
            <v>0.1</v>
          </cell>
          <cell r="L73">
            <v>266676.62112408149</v>
          </cell>
        </row>
        <row r="75">
          <cell r="D75">
            <v>2</v>
          </cell>
          <cell r="L75">
            <v>90464.944874054709</v>
          </cell>
        </row>
        <row r="78">
          <cell r="D78">
            <v>0.1</v>
          </cell>
          <cell r="L78">
            <v>37898.923199210098</v>
          </cell>
        </row>
        <row r="80">
          <cell r="D80">
            <v>0.1</v>
          </cell>
          <cell r="L80">
            <v>147568.22137366066</v>
          </cell>
        </row>
        <row r="82">
          <cell r="D82">
            <v>1</v>
          </cell>
          <cell r="L82">
            <v>251540.834377839</v>
          </cell>
        </row>
        <row r="84">
          <cell r="D84">
            <v>1</v>
          </cell>
          <cell r="L84">
            <v>90464.944874054709</v>
          </cell>
        </row>
        <row r="86">
          <cell r="D86">
            <v>0.1</v>
          </cell>
          <cell r="L86">
            <v>240581.17050219781</v>
          </cell>
        </row>
        <row r="88">
          <cell r="D88">
            <v>0.1</v>
          </cell>
          <cell r="L88">
            <v>481725.44618748839</v>
          </cell>
        </row>
        <row r="90">
          <cell r="D90">
            <v>0.1</v>
          </cell>
          <cell r="L90">
            <v>539552.70596814633</v>
          </cell>
        </row>
        <row r="92">
          <cell r="D92">
            <v>0.1</v>
          </cell>
          <cell r="L92">
            <v>51371.609523628955</v>
          </cell>
        </row>
        <row r="94">
          <cell r="D94">
            <v>0.1</v>
          </cell>
          <cell r="L94">
            <v>83283.549509594261</v>
          </cell>
        </row>
        <row r="97">
          <cell r="D97">
            <v>3</v>
          </cell>
          <cell r="L97">
            <v>32088.568387221152</v>
          </cell>
        </row>
        <row r="99">
          <cell r="D99">
            <v>3</v>
          </cell>
          <cell r="L99">
            <v>54716.171569906503</v>
          </cell>
        </row>
        <row r="101">
          <cell r="D101">
            <v>1</v>
          </cell>
          <cell r="L101">
            <v>42563.814915781506</v>
          </cell>
        </row>
        <row r="104">
          <cell r="D104">
            <v>0.1</v>
          </cell>
          <cell r="L104">
            <v>757895.36096882925</v>
          </cell>
        </row>
        <row r="106">
          <cell r="D106">
            <v>0.1</v>
          </cell>
          <cell r="L106">
            <v>640675.66032410983</v>
          </cell>
        </row>
        <row r="108">
          <cell r="D108">
            <v>0.1</v>
          </cell>
          <cell r="L108">
            <v>640675.66032410983</v>
          </cell>
        </row>
        <row r="113">
          <cell r="D113">
            <v>1</v>
          </cell>
          <cell r="L113">
            <v>90464.944874054709</v>
          </cell>
        </row>
        <row r="116">
          <cell r="D116">
            <v>1</v>
          </cell>
          <cell r="L116">
            <v>76625.904796808711</v>
          </cell>
        </row>
        <row r="119">
          <cell r="D119">
            <v>1</v>
          </cell>
          <cell r="L119">
            <v>52998.857839969947</v>
          </cell>
        </row>
        <row r="121">
          <cell r="D121">
            <v>0.1</v>
          </cell>
          <cell r="L121">
            <v>982256.49978935043</v>
          </cell>
        </row>
        <row r="123">
          <cell r="D123">
            <v>0.1</v>
          </cell>
          <cell r="L123">
            <v>51371.609523628955</v>
          </cell>
        </row>
        <row r="125">
          <cell r="D125">
            <v>0.1</v>
          </cell>
          <cell r="L125">
            <v>104248.05227045596</v>
          </cell>
        </row>
        <row r="127">
          <cell r="D127">
            <v>1</v>
          </cell>
          <cell r="L127">
            <v>90464.944874054709</v>
          </cell>
        </row>
        <row r="129">
          <cell r="D129">
            <v>2</v>
          </cell>
          <cell r="L129">
            <v>43763.49131931195</v>
          </cell>
        </row>
        <row r="131">
          <cell r="D131">
            <v>1</v>
          </cell>
          <cell r="L131">
            <v>36959.827285262247</v>
          </cell>
        </row>
        <row r="133">
          <cell r="D133">
            <v>1</v>
          </cell>
          <cell r="L133">
            <v>27567.934165534349</v>
          </cell>
        </row>
        <row r="135">
          <cell r="D135">
            <v>1</v>
          </cell>
          <cell r="L135">
            <v>94988.189995075052</v>
          </cell>
        </row>
        <row r="138">
          <cell r="D138">
            <v>0.1</v>
          </cell>
          <cell r="L138">
            <v>37898.923199210098</v>
          </cell>
        </row>
        <row r="140">
          <cell r="D140">
            <v>0.1</v>
          </cell>
          <cell r="L140">
            <v>198753.58674482972</v>
          </cell>
        </row>
        <row r="143">
          <cell r="D143">
            <v>1</v>
          </cell>
          <cell r="L143">
            <v>90464.944874054709</v>
          </cell>
        </row>
        <row r="145">
          <cell r="D145">
            <v>0.1</v>
          </cell>
          <cell r="L145">
            <v>170271.9014930244</v>
          </cell>
        </row>
        <row r="147">
          <cell r="D147">
            <v>0.1</v>
          </cell>
          <cell r="L147">
            <v>37898.923199210098</v>
          </cell>
        </row>
        <row r="149">
          <cell r="D149">
            <v>1</v>
          </cell>
          <cell r="L149">
            <v>269004.26972017711</v>
          </cell>
        </row>
        <row r="151">
          <cell r="D151">
            <v>1</v>
          </cell>
          <cell r="L151">
            <v>257143.9517085804</v>
          </cell>
        </row>
        <row r="153">
          <cell r="D153">
            <v>0.1</v>
          </cell>
          <cell r="L153">
            <v>144368.80834886941</v>
          </cell>
        </row>
        <row r="156">
          <cell r="D156">
            <v>0.1</v>
          </cell>
          <cell r="L156">
            <v>266676.62112408149</v>
          </cell>
        </row>
        <row r="158">
          <cell r="D158">
            <v>0.1</v>
          </cell>
          <cell r="L158">
            <v>147568.22137366066</v>
          </cell>
        </row>
        <row r="160">
          <cell r="D160">
            <v>0.2</v>
          </cell>
          <cell r="L160">
            <v>37898.923199210098</v>
          </cell>
        </row>
        <row r="162">
          <cell r="D162">
            <v>1</v>
          </cell>
          <cell r="L162">
            <v>398066.77624681697</v>
          </cell>
        </row>
        <row r="164">
          <cell r="D164">
            <v>0.1</v>
          </cell>
          <cell r="L164">
            <v>269004.26972017711</v>
          </cell>
        </row>
        <row r="166">
          <cell r="D166">
            <v>0.1</v>
          </cell>
          <cell r="L166">
            <v>51371.609523628955</v>
          </cell>
        </row>
        <row r="168">
          <cell r="D168">
            <v>0.1</v>
          </cell>
          <cell r="L168">
            <v>83283.549509594261</v>
          </cell>
        </row>
        <row r="170">
          <cell r="D170">
            <v>0.1</v>
          </cell>
          <cell r="L170">
            <v>90464.944874054709</v>
          </cell>
        </row>
        <row r="172">
          <cell r="D172">
            <v>0.2</v>
          </cell>
          <cell r="L172">
            <v>251585.43193474787</v>
          </cell>
        </row>
        <row r="174">
          <cell r="D174">
            <v>1</v>
          </cell>
          <cell r="L174">
            <v>90464.944874054709</v>
          </cell>
        </row>
        <row r="177">
          <cell r="D177">
            <v>1</v>
          </cell>
          <cell r="L177">
            <v>107543.64403411155</v>
          </cell>
        </row>
        <row r="179">
          <cell r="D179">
            <v>1</v>
          </cell>
          <cell r="L179">
            <v>9274.7210520758999</v>
          </cell>
        </row>
        <row r="182">
          <cell r="D182">
            <v>0.1</v>
          </cell>
          <cell r="L182">
            <v>147568.22137366066</v>
          </cell>
        </row>
        <row r="184">
          <cell r="D184">
            <v>1</v>
          </cell>
          <cell r="L184">
            <v>269004.26972017711</v>
          </cell>
        </row>
        <row r="186">
          <cell r="D186">
            <v>0.2</v>
          </cell>
          <cell r="L186">
            <v>266676.62112408149</v>
          </cell>
        </row>
        <row r="189">
          <cell r="D189">
            <v>0.2</v>
          </cell>
          <cell r="L189">
            <v>122163.53405350365</v>
          </cell>
        </row>
        <row r="191">
          <cell r="D191">
            <v>0.2</v>
          </cell>
          <cell r="L191">
            <v>87735.960719427152</v>
          </cell>
        </row>
        <row r="193">
          <cell r="D193">
            <v>0.2</v>
          </cell>
          <cell r="L193">
            <v>43867.545209824653</v>
          </cell>
        </row>
        <row r="195">
          <cell r="D195">
            <v>0.2</v>
          </cell>
          <cell r="L195">
            <v>170473.87472195714</v>
          </cell>
        </row>
        <row r="197">
          <cell r="D197">
            <v>0.2</v>
          </cell>
          <cell r="L197">
            <v>273203.1052922979</v>
          </cell>
        </row>
        <row r="199">
          <cell r="D199">
            <v>0.2</v>
          </cell>
          <cell r="L199">
            <v>299560.00670354202</v>
          </cell>
        </row>
        <row r="209">
          <cell r="D209">
            <v>0.1</v>
          </cell>
          <cell r="L209">
            <v>269004.26972017711</v>
          </cell>
        </row>
        <row r="211">
          <cell r="D211">
            <v>0.1</v>
          </cell>
          <cell r="L211">
            <v>764847.6764503005</v>
          </cell>
        </row>
        <row r="213">
          <cell r="D213">
            <v>0.1</v>
          </cell>
          <cell r="L213">
            <v>505363.84949508694</v>
          </cell>
        </row>
        <row r="215">
          <cell r="D215">
            <v>0.1</v>
          </cell>
          <cell r="L215">
            <v>511836.12035519042</v>
          </cell>
        </row>
        <row r="217">
          <cell r="D217">
            <v>0.1</v>
          </cell>
          <cell r="L217">
            <v>180226.00826924341</v>
          </cell>
        </row>
        <row r="221">
          <cell r="D221">
            <v>0.1</v>
          </cell>
          <cell r="L221">
            <v>51371.609523628955</v>
          </cell>
        </row>
        <row r="223">
          <cell r="D223">
            <v>0.1</v>
          </cell>
          <cell r="L223">
            <v>75516.2938068738</v>
          </cell>
        </row>
        <row r="225">
          <cell r="D225">
            <v>1</v>
          </cell>
          <cell r="L225">
            <v>146259.24805412654</v>
          </cell>
        </row>
        <row r="227">
          <cell r="D227">
            <v>0.2</v>
          </cell>
          <cell r="L227">
            <v>208703.3207953356</v>
          </cell>
        </row>
        <row r="229">
          <cell r="D229">
            <v>1</v>
          </cell>
          <cell r="L229">
            <v>111166.25624600025</v>
          </cell>
        </row>
        <row r="231">
          <cell r="D231">
            <v>1</v>
          </cell>
          <cell r="L231">
            <v>160576.61338000846</v>
          </cell>
        </row>
        <row r="234">
          <cell r="D234">
            <v>2</v>
          </cell>
          <cell r="L234">
            <v>12551.95161310125</v>
          </cell>
        </row>
        <row r="236">
          <cell r="D236">
            <v>0.2</v>
          </cell>
          <cell r="L236">
            <v>208703.3207953356</v>
          </cell>
        </row>
      </sheetData>
      <sheetData sheetId="33" refreshError="1"/>
      <sheetData sheetId="34" refreshError="1">
        <row r="24">
          <cell r="D24">
            <v>2</v>
          </cell>
          <cell r="L24">
            <v>49788.070005315778</v>
          </cell>
        </row>
        <row r="31">
          <cell r="D31">
            <v>2</v>
          </cell>
          <cell r="L31">
            <v>49788.070005315778</v>
          </cell>
        </row>
        <row r="34">
          <cell r="D34">
            <v>0.1</v>
          </cell>
          <cell r="L34">
            <v>1188311.3521507226</v>
          </cell>
        </row>
        <row r="36">
          <cell r="D36">
            <v>0.4</v>
          </cell>
          <cell r="L36">
            <v>886248.79225771583</v>
          </cell>
        </row>
        <row r="38">
          <cell r="D38">
            <v>0.1</v>
          </cell>
          <cell r="L38">
            <v>527723.91789933539</v>
          </cell>
        </row>
        <row r="40">
          <cell r="D40">
            <v>0.2</v>
          </cell>
          <cell r="L40">
            <v>453933.67917182221</v>
          </cell>
        </row>
        <row r="43">
          <cell r="D43">
            <v>0.3</v>
          </cell>
          <cell r="L43">
            <v>37898.925306012774</v>
          </cell>
        </row>
        <row r="47">
          <cell r="D47">
            <v>12</v>
          </cell>
          <cell r="L47">
            <v>11730.898718704349</v>
          </cell>
        </row>
        <row r="50">
          <cell r="D50">
            <v>2</v>
          </cell>
          <cell r="L50">
            <v>54212.525734093892</v>
          </cell>
        </row>
      </sheetData>
      <sheetData sheetId="35" refreshError="1"/>
      <sheetData sheetId="36" refreshError="1"/>
      <sheetData sheetId="37" refreshError="1">
        <row r="20">
          <cell r="D20">
            <v>0.3</v>
          </cell>
          <cell r="L20">
            <v>1316397.2033883624</v>
          </cell>
        </row>
        <row r="24">
          <cell r="D24">
            <v>2</v>
          </cell>
          <cell r="L24">
            <v>74260.546256765258</v>
          </cell>
        </row>
        <row r="27">
          <cell r="D27">
            <v>12</v>
          </cell>
          <cell r="L27">
            <v>7744.964268508601</v>
          </cell>
        </row>
      </sheetData>
      <sheetData sheetId="38" refreshError="1"/>
      <sheetData sheetId="39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п июль 2013 - 7 072 108"/>
      <sheetName val="Адм июль 2013 - 21 827 307"/>
      <sheetName val="Адм июль 2013 - 2 471 671"/>
      <sheetName val="Сп июль 2013 - 17 948 019"/>
      <sheetName val="Адм август 2013 - 124 614 935"/>
      <sheetName val="Сп август 2013 - 9 294 273"/>
      <sheetName val="Адм август 2013 - 3 706 599"/>
      <sheetName val="Адм август 2013 - 230 360"/>
      <sheetName val="Адм август 2013 - 3 571 993"/>
      <sheetName val="Сп август 2013 - 2 251 736"/>
      <sheetName val="СП вгуст 2013 - 1 394 213"/>
      <sheetName val="Сп август 2013 - 1 396 673"/>
      <sheetName val="Адм сентябрь 2013 - 28 661 457"/>
      <sheetName val="Сп сентябрь 2013 -1  117 478"/>
      <sheetName val="Адм сентябрь 2013 -6 599 928"/>
      <sheetName val="Адм сентябрь 2013 - 68 390 035"/>
      <sheetName val="Сп сентябрь 2013 - 2 395 182"/>
      <sheetName val="Сп  сентябрь 2013 - 211 729"/>
      <sheetName val="Адм  сентябрь 2013 - 167 927"/>
      <sheetName val="Адм октябрь 2013 - 4 610 164"/>
      <sheetName val="Сп октябрь 2013 - 5 487 951"/>
      <sheetName val="Адм ноябрь 2013 - 1 620 574"/>
      <sheetName val="Адм январь 2014 - 25 020 954"/>
      <sheetName val="Адм февраль 2014 - 1 689 726"/>
      <sheetName val="Сп май 2014 - 250 611"/>
      <sheetName val="Адм май 2014 - 3 448 432"/>
      <sheetName val="Сп октябрь 2014 - 35 888 801"/>
      <sheetName val="Адм октябрь 2014 - 47 518 915"/>
      <sheetName val="Адм ноябрь 2014 - 10 783 164"/>
      <sheetName val="Адм ноябрь 2014 - 6 331 009"/>
      <sheetName val="Адм ноябрь 2014 - 42 219 574"/>
      <sheetName val="Адм ноябрь 2014 - 18 587 705"/>
      <sheetName val="Адм ноябрь 2014 - 35 820 766"/>
      <sheetName val="Сп ноябрь 2014 - 54 213"/>
      <sheetName val="Адм ноябрь 2014 - 17 872 571"/>
      <sheetName val="Адм ноябрь 2014 - 1 653 158"/>
      <sheetName val="Адм ноябрь 2014 - 23 633 619"/>
      <sheetName val="Адм ноябрь 2014 - 20 095 541"/>
      <sheetName val="Сп ноябрь 2014 - 1 631 461"/>
      <sheetName val="Адм ноябрь 2014 - 4 501 469"/>
      <sheetName val="СП март 2015 - 5 784 010"/>
      <sheetName val="Сп март 2015 - 515 017"/>
      <sheetName val="Адм март 2015 - 10 826 761"/>
      <sheetName val="Адм март 2015 - 7 351 935"/>
      <sheetName val="Сп март 2015 - 4 946 554"/>
      <sheetName val="Адм март 2015 - 38 922 227"/>
      <sheetName val="Адм март 2015 - 16 674 105"/>
      <sheetName val="Сп март 2015 - 223 275"/>
      <sheetName val="Лист1"/>
      <sheetName val="адм корпус март 2015 г 7 606 74"/>
      <sheetName val="адм 29 826"/>
      <sheetName val="адм 10 227 206 "/>
      <sheetName val="сп 340 508"/>
      <sheetName val="адм 13 018 093"/>
      <sheetName val="адм 1 951 768"/>
      <sheetName val="сп 2 509 645"/>
      <sheetName val="Лист5"/>
    </sheetNames>
    <sheetDataSet>
      <sheetData sheetId="0" refreshError="1"/>
      <sheetData sheetId="1" refreshError="1">
        <row r="21">
          <cell r="D21">
            <v>0.9</v>
          </cell>
        </row>
        <row r="99">
          <cell r="D99">
            <v>0.9</v>
          </cell>
          <cell r="L99">
            <v>982256.49978935043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>
        <row r="19">
          <cell r="D19">
            <v>18</v>
          </cell>
        </row>
        <row r="21">
          <cell r="D21">
            <v>23</v>
          </cell>
        </row>
      </sheetData>
      <sheetData sheetId="30" refreshError="1">
        <row r="19">
          <cell r="D19">
            <v>2</v>
          </cell>
        </row>
        <row r="41">
          <cell r="D41">
            <v>0.9</v>
          </cell>
          <cell r="L41">
            <v>2080456.0265979711</v>
          </cell>
        </row>
        <row r="75">
          <cell r="D75">
            <v>9</v>
          </cell>
          <cell r="L75">
            <v>68538.610624179113</v>
          </cell>
        </row>
      </sheetData>
      <sheetData sheetId="31" refreshError="1"/>
      <sheetData sheetId="32" refreshError="1">
        <row r="20">
          <cell r="D20">
            <v>1</v>
          </cell>
        </row>
        <row r="219">
          <cell r="D219">
            <v>0.1</v>
          </cell>
          <cell r="L219">
            <v>982256.49978935043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>
        <row r="20">
          <cell r="D20">
            <v>1</v>
          </cell>
          <cell r="L20">
            <v>17867.329149646052</v>
          </cell>
        </row>
      </sheetData>
      <sheetData sheetId="43" refreshError="1"/>
      <sheetData sheetId="44" refreshError="1"/>
      <sheetData sheetId="45" refreshError="1">
        <row r="19">
          <cell r="D19">
            <v>1</v>
          </cell>
          <cell r="L19">
            <v>86488.195128194347</v>
          </cell>
        </row>
        <row r="24">
          <cell r="D24">
            <v>0.1</v>
          </cell>
          <cell r="L24">
            <v>2225753.6472770781</v>
          </cell>
        </row>
        <row r="34">
          <cell r="D34">
            <v>12</v>
          </cell>
          <cell r="L34">
            <v>39382.973222434535</v>
          </cell>
        </row>
        <row r="37">
          <cell r="D37">
            <v>1</v>
          </cell>
          <cell r="L37">
            <v>59168.010754259951</v>
          </cell>
        </row>
        <row r="39">
          <cell r="D39">
            <v>1</v>
          </cell>
          <cell r="L39">
            <v>20056.322711479472</v>
          </cell>
        </row>
        <row r="41">
          <cell r="D41">
            <v>1</v>
          </cell>
          <cell r="L41">
            <v>10065.574911195959</v>
          </cell>
        </row>
        <row r="44">
          <cell r="D44">
            <v>1</v>
          </cell>
          <cell r="L44">
            <v>42179.077276518401</v>
          </cell>
        </row>
        <row r="47">
          <cell r="D47">
            <v>1</v>
          </cell>
          <cell r="L47">
            <v>1130027.6062268948</v>
          </cell>
        </row>
        <row r="49">
          <cell r="D49">
            <v>1</v>
          </cell>
          <cell r="L49">
            <v>859503.02882648888</v>
          </cell>
        </row>
        <row r="51">
          <cell r="D51">
            <v>250</v>
          </cell>
          <cell r="L51">
            <v>996.25655712570006</v>
          </cell>
        </row>
        <row r="53">
          <cell r="D53">
            <v>8</v>
          </cell>
          <cell r="L53">
            <v>9774.6461955967516</v>
          </cell>
        </row>
        <row r="64">
          <cell r="D64">
            <v>3</v>
          </cell>
          <cell r="L64">
            <v>151820.892485005</v>
          </cell>
        </row>
      </sheetData>
      <sheetData sheetId="46" refreshError="1">
        <row r="18">
          <cell r="D18">
            <v>1</v>
          </cell>
          <cell r="L18">
            <v>31894.6041089473</v>
          </cell>
        </row>
        <row r="21">
          <cell r="D21">
            <v>1</v>
          </cell>
          <cell r="L21">
            <v>31894.6041089473</v>
          </cell>
        </row>
      </sheetData>
      <sheetData sheetId="47" refreshError="1"/>
      <sheetData sheetId="48" refreshError="1"/>
      <sheetData sheetId="49" refreshError="1">
        <row r="121">
          <cell r="D121">
            <v>48</v>
          </cell>
        </row>
        <row r="132">
          <cell r="L132">
            <v>28330.422898592213</v>
          </cell>
        </row>
        <row r="134">
          <cell r="L134">
            <v>13028.493805563874</v>
          </cell>
        </row>
        <row r="137">
          <cell r="D137">
            <v>1</v>
          </cell>
          <cell r="L137">
            <v>28330.422898592213</v>
          </cell>
        </row>
        <row r="139">
          <cell r="D139">
            <v>1</v>
          </cell>
          <cell r="L139">
            <v>13028.493805563874</v>
          </cell>
        </row>
        <row r="142">
          <cell r="L142">
            <v>26756.496364121194</v>
          </cell>
        </row>
        <row r="144">
          <cell r="L144">
            <v>3497.586218614917</v>
          </cell>
        </row>
        <row r="146">
          <cell r="L146">
            <v>31023.554947123204</v>
          </cell>
        </row>
        <row r="148">
          <cell r="L148">
            <v>3497.586218614917</v>
          </cell>
        </row>
        <row r="151">
          <cell r="D151">
            <v>2</v>
          </cell>
          <cell r="L151">
            <v>31023.554947123204</v>
          </cell>
        </row>
        <row r="153">
          <cell r="D153">
            <v>8</v>
          </cell>
          <cell r="L153">
            <v>3497.586218614917</v>
          </cell>
        </row>
      </sheetData>
      <sheetData sheetId="50" refreshError="1"/>
      <sheetData sheetId="51" refreshError="1">
        <row r="19">
          <cell r="D19">
            <v>4</v>
          </cell>
          <cell r="L19">
            <v>42563.546343464055</v>
          </cell>
        </row>
      </sheetData>
      <sheetData sheetId="52" refreshError="1"/>
      <sheetData sheetId="53" refreshError="1"/>
      <sheetData sheetId="54" refreshError="1">
        <row r="19">
          <cell r="D19">
            <v>1</v>
          </cell>
          <cell r="L19">
            <v>30683.181003200832</v>
          </cell>
        </row>
        <row r="22">
          <cell r="L22">
            <v>30683.181003200832</v>
          </cell>
        </row>
        <row r="26">
          <cell r="D26">
            <v>13</v>
          </cell>
        </row>
        <row r="28">
          <cell r="L28">
            <v>15902.861971670711</v>
          </cell>
        </row>
      </sheetData>
      <sheetData sheetId="55" refreshError="1"/>
      <sheetData sheetId="5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юджет Адм+школы"/>
      <sheetName val="ТЭП"/>
      <sheetName val="ИД"/>
      <sheetName val="ДТ для расчета"/>
      <sheetName val="2.3.2_ДТ_котельная"/>
      <sheetName val="2.4.2_эл-энергия"/>
      <sheetName val="ээ по МШ"/>
      <sheetName val="2.4.3_вода"/>
      <sheetName val="2.4.5_ТБО"/>
      <sheetName val="2.31.1_дератиз"/>
      <sheetName val="2.31.14_утилиз.ламп"/>
      <sheetName val="2.7.4_обслуж.ОС"/>
      <sheetName val="2.7.4_обслуж.ОС (2)"/>
      <sheetName val="2.24_противопожар"/>
      <sheetName val="2.3.5_цветы"/>
      <sheetName val="Кальк стол без комм,тмц,обед за"/>
      <sheetName val="расч по правилам (2)"/>
      <sheetName val="расч по правилам"/>
      <sheetName val="мебель изм.амортиз"/>
      <sheetName val="оргтех столовой"/>
      <sheetName val="тмц столов"/>
      <sheetName val="стоим строит"/>
      <sheetName val="столовая"/>
      <sheetName val="мебель"/>
      <sheetName val="Кальк31стол (3)"/>
      <sheetName val="Кальк31стол (4)"/>
      <sheetName val="оргтех"/>
      <sheetName val="Площадь столовой"/>
      <sheetName val="Площадь столовой (2)"/>
      <sheetName val="вода"/>
      <sheetName val="ээ"/>
      <sheetName val="тбо"/>
      <sheetName val="дизтопл"/>
      <sheetName val="дезобр"/>
      <sheetName val="обсл О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9">
          <cell r="L9">
            <v>1970323.2</v>
          </cell>
        </row>
      </sheetData>
      <sheetData sheetId="30">
        <row r="10">
          <cell r="V10">
            <v>827471.88207749091</v>
          </cell>
        </row>
      </sheetData>
      <sheetData sheetId="31"/>
      <sheetData sheetId="32">
        <row r="13">
          <cell r="AE13">
            <v>5332361.4927308168</v>
          </cell>
        </row>
      </sheetData>
      <sheetData sheetId="33"/>
      <sheetData sheetId="34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счет моющих"/>
    </sheetNames>
    <sheetDataSet>
      <sheetData sheetId="0" refreshError="1">
        <row r="40">
          <cell r="L40">
            <v>253</v>
          </cell>
        </row>
      </sheetData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кущ ремонт (2)"/>
      <sheetName val="свод 4 (МБ+ШК+ИНТЕР)"/>
      <sheetName val="свод 3(МБ+ШК+ИНТЕР)"/>
      <sheetName val="свод 2 (МБ+ШК+ИНТЕР)"/>
      <sheetName val="тариф на 22 кл школа "/>
      <sheetName val="Кальк МШ Ор"/>
      <sheetName val="Кальк МШ Ор 2017-2018"/>
      <sheetName val="Кальк Турк с фмн"/>
      <sheetName val="прайс"/>
      <sheetName val="Кальк Турк без фмн"/>
      <sheetName val="Кальк31 ул (Адм Корп)"/>
      <sheetName val="Кальк31 ул (Адм Корп) с дох"/>
      <sheetName val="Кальк31 ул (31)"/>
      <sheetName val="Кальк АУП"/>
      <sheetName val="площ для обсл объек"/>
      <sheetName val="бюджет 1м2"/>
      <sheetName val="штатка комплекс  (2)"/>
      <sheetName val="Лист2"/>
      <sheetName val="свод разверн"/>
      <sheetName val="штатка комплекс  (3)"/>
      <sheetName val="свод сверн"/>
      <sheetName val="штатка комплекс 2.01"/>
      <sheetName val="шт адм 2.01"/>
      <sheetName val="аренда свод 1.05.02.01.03"/>
      <sheetName val="Расчет арендной ставки масс каб"/>
      <sheetName val="Расчет арендной ставки кофебар"/>
      <sheetName val="Расчет арендной ставки банк"/>
      <sheetName val="Свод столов"/>
      <sheetName val="Расчет арендной ставки "/>
      <sheetName val="столовая амортиз"/>
      <sheetName val="массажн"/>
      <sheetName val="кофебар"/>
      <sheetName val="штатка АУП"/>
      <sheetName val="штатка МБ 2.01."/>
      <sheetName val="штатка ФМН 2.01."/>
      <sheetName val="штатка школа МШ"/>
      <sheetName val="штатка школа Орынб"/>
      <sheetName val="штатка школа Орынб 2017-2018"/>
      <sheetName val="штатка спальн блок 2.01."/>
      <sheetName val="2.03.01.0приобретение комп к ОС"/>
      <sheetName val="гсм школа"/>
      <sheetName val="приобрет канц "/>
      <sheetName val="приобрет канц 3 цены"/>
      <sheetName val="приобретение моющих и хоз."/>
      <sheetName val="гсм3цены"/>
      <sheetName val="хоз 3 цены"/>
      <sheetName val="моющ 3 цены"/>
      <sheetName val="ТМЦ 3 цены"/>
      <sheetName val="расчет ДЕО"/>
      <sheetName val="запасы шк"/>
      <sheetName val="моющ МБ 2.03.05"/>
      <sheetName val="моющФМН 2.03.05"/>
      <sheetName val="хоз свод"/>
      <sheetName val="02.03.06.Хоз.Товары"/>
      <sheetName val="моющИНТ 2.03.05."/>
      <sheetName val="хоз 2.03.06."/>
      <sheetName val="хозМБ)"/>
      <sheetName val="О2.32.11.ОС"/>
      <sheetName val="хозАДМ"/>
      <sheetName val="пр запасы фмн 2.03.09."/>
      <sheetName val="запасыМШ"/>
      <sheetName val="пр запасы мб 2.03.09."/>
      <sheetName val="моющМШ"/>
      <sheetName val="хозМШ"/>
      <sheetName val="ТМЦ МШ"/>
      <sheetName val="запасыОрын"/>
      <sheetName val="моющОрынб"/>
      <sheetName val="ТМЦОрынб"/>
      <sheetName val="запасыАДМ"/>
      <sheetName val="моющ АДМ"/>
      <sheetName val="пр запасы АДМ 2.03.09"/>
      <sheetName val="запасыИНТ"/>
      <sheetName val="Диз топливо общ"/>
      <sheetName val="расчет тепло"/>
      <sheetName val="Диз топливоАДМ"/>
      <sheetName val="ДИЗТОПЛ"/>
      <sheetName val="энергия МШ"/>
      <sheetName val="энергия МБ, ФМН по факту"/>
      <sheetName val="энергия МБ, ФМН по записке"/>
      <sheetName val="энергия адм корп по записке"/>
      <sheetName val="энергия адм по факту"/>
      <sheetName val="вода инт по запис"/>
      <sheetName val="энергия инт"/>
      <sheetName val="вода школаМБ по запис"/>
      <sheetName val="вода школа ФМН по запис"/>
      <sheetName val="ТБО АДМ"/>
      <sheetName val="услуги связи школа"/>
      <sheetName val="Командировки"/>
      <sheetName val="ремонт авто"/>
      <sheetName val="обс.и рем ОС  "/>
      <sheetName val="вода адм"/>
      <sheetName val="вода школа ФМН по МШ"/>
      <sheetName val="вода школаМШ"/>
      <sheetName val="Лист1"/>
      <sheetName val="приобретение моющих и хоз. (2)"/>
      <sheetName val="тмцИНТ"/>
      <sheetName val="хозИНТ"/>
      <sheetName val="хоз кот и ул освещ"/>
      <sheetName val="заправка картр"/>
      <sheetName val="текущ ремонт  зданий"/>
      <sheetName val="питание школа"/>
      <sheetName val="прочие услуги"/>
      <sheetName val="прочие услуги 2.07.08.06."/>
      <sheetName val="страховка 2.08"/>
      <sheetName val="услуги почты"/>
      <sheetName val="охрана"/>
      <sheetName val="Инф"/>
      <sheetName val="банков услуги 2.16"/>
      <sheetName val="налог на транс 2.22.03"/>
      <sheetName val="НДС 2.22.06"/>
      <sheetName val="транспортные усл"/>
      <sheetName val="периодика"/>
      <sheetName val="аренда"/>
      <sheetName val="обслуж.противопожар"/>
      <sheetName val="расч.курса,семин,конф.(статья)"/>
      <sheetName val="учащиеся(статья)"/>
      <sheetName val="прочие внешк школа"/>
      <sheetName val="водоснаб "/>
      <sheetName val="ТБО"/>
      <sheetName val="повыш квалиф"/>
      <sheetName val="оформ.празд"/>
      <sheetName val="Семин"/>
      <sheetName val="дератизация школа"/>
      <sheetName val="СМИ"/>
      <sheetName val="нот услуги "/>
      <sheetName val="Утил"/>
      <sheetName val="пошив шк.формы"/>
      <sheetName val="пит вода школа"/>
      <sheetName val="взносы в МО"/>
      <sheetName val="привл эксперт"/>
      <sheetName val="Свободная форма нов.под"/>
      <sheetName val="Кап ремонт"/>
      <sheetName val="НДС ЗОПЛ"/>
      <sheetName val="эмиссия"/>
      <sheetName val="обуч 2.25.02"/>
      <sheetName val="Амортизация "/>
      <sheetName val="Свод банк"/>
      <sheetName val="Расчет арендной ставки пересчит"/>
      <sheetName val="мес амортиз"/>
      <sheetName val="оборуд столов"/>
      <sheetName val="Площадь столовой новая"/>
      <sheetName val="расч по правилам "/>
      <sheetName val="мебель изм.амортиз"/>
      <sheetName val="оргтех столовой"/>
      <sheetName val="тмц столов"/>
      <sheetName val="расч по  моющ 2016год"/>
      <sheetName val="расч по  моющ 2017-18гг"/>
      <sheetName val="дез.средство"/>
      <sheetName val="обслуж"/>
      <sheetName val="цветы"/>
      <sheetName val="возмещение коммун"/>
      <sheetName val="Кальк31 ул (Адм Корп) 2017-2018"/>
      <sheetName val="прайс 2017-2018"/>
      <sheetName val="Кальк31 2017-2018"/>
      <sheetName val="2.31.13 демеркур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9">
          <cell r="L9">
            <v>321968.64000000001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>
        <row r="14">
          <cell r="V14">
            <v>495246.41</v>
          </cell>
        </row>
      </sheetData>
      <sheetData sheetId="51">
        <row r="14">
          <cell r="V14">
            <v>491417.69</v>
          </cell>
        </row>
      </sheetData>
      <sheetData sheetId="52"/>
      <sheetData sheetId="53"/>
      <sheetData sheetId="54">
        <row r="9">
          <cell r="V9">
            <v>1183294.1099999999</v>
          </cell>
        </row>
      </sheetData>
      <sheetData sheetId="55"/>
      <sheetData sheetId="56"/>
      <sheetData sheetId="57"/>
      <sheetData sheetId="58"/>
      <sheetData sheetId="59">
        <row r="9">
          <cell r="T9">
            <v>1162506.24</v>
          </cell>
          <cell r="V9">
            <v>1162506.24</v>
          </cell>
        </row>
      </sheetData>
      <sheetData sheetId="60"/>
      <sheetData sheetId="61">
        <row r="9">
          <cell r="T9">
            <v>1117140.6600000001</v>
          </cell>
        </row>
      </sheetData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>
        <row r="9">
          <cell r="T9">
            <v>305704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6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9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0"/>
    <outlinePr summaryBelow="0" summaryRight="0"/>
  </sheetPr>
  <dimension ref="A1:I207"/>
  <sheetViews>
    <sheetView topLeftCell="A19" workbookViewId="0">
      <selection activeCell="A27" sqref="A27:G43"/>
    </sheetView>
  </sheetViews>
  <sheetFormatPr defaultColWidth="8.85546875" defaultRowHeight="12.75" outlineLevelRow="1"/>
  <cols>
    <col min="1" max="1" width="4.28515625" style="16" customWidth="1"/>
    <col min="2" max="2" width="27.140625" style="16" customWidth="1"/>
    <col min="3" max="3" width="9.140625" style="16" customWidth="1"/>
    <col min="4" max="4" width="11.85546875" style="16" customWidth="1"/>
    <col min="5" max="5" width="14.28515625" style="16" customWidth="1"/>
    <col min="6" max="6" width="12.140625" style="16" customWidth="1"/>
    <col min="7" max="7" width="11.140625" style="16" customWidth="1"/>
    <col min="8" max="16384" width="8.85546875" style="16"/>
  </cols>
  <sheetData>
    <row r="1" spans="1:7" s="1" customFormat="1" ht="14.25" customHeight="1">
      <c r="A1" s="3789" t="s">
        <v>0</v>
      </c>
      <c r="B1" s="72"/>
      <c r="C1" s="72"/>
      <c r="D1" s="72"/>
      <c r="E1" s="72"/>
      <c r="F1" s="72"/>
      <c r="G1" s="72"/>
    </row>
    <row r="2" spans="1:7" s="1" customFormat="1" ht="14.25" customHeight="1">
      <c r="A2" s="3789"/>
      <c r="B2" s="72"/>
      <c r="C2" s="72"/>
      <c r="D2" s="72"/>
      <c r="E2" s="72"/>
      <c r="F2" s="72"/>
      <c r="G2" s="72"/>
    </row>
    <row r="3" spans="1:7" ht="17.25" customHeight="1">
      <c r="A3" s="3854" t="s">
        <v>1</v>
      </c>
      <c r="B3" s="3854"/>
      <c r="C3" s="3854"/>
      <c r="D3" s="3854"/>
      <c r="E3" s="3854"/>
      <c r="F3" s="3854"/>
      <c r="G3" s="3854"/>
    </row>
    <row r="4" spans="1:7">
      <c r="A4" s="88"/>
      <c r="B4" s="88"/>
      <c r="C4" s="88"/>
      <c r="D4" s="88"/>
      <c r="E4" s="88"/>
      <c r="F4" s="57"/>
      <c r="G4" s="57">
        <v>1.08</v>
      </c>
    </row>
    <row r="5" spans="1:7" s="15" customFormat="1" ht="35.25" customHeight="1">
      <c r="A5" s="113" t="s">
        <v>2</v>
      </c>
      <c r="B5" s="111" t="s">
        <v>3</v>
      </c>
      <c r="C5" s="114" t="s">
        <v>4</v>
      </c>
      <c r="D5" s="114" t="s">
        <v>5</v>
      </c>
      <c r="E5" s="111" t="s">
        <v>6</v>
      </c>
      <c r="F5" s="114" t="s">
        <v>7</v>
      </c>
      <c r="G5" s="114" t="s">
        <v>8</v>
      </c>
    </row>
    <row r="6" spans="1:7" s="20" customFormat="1" ht="18" customHeight="1" outlineLevel="1">
      <c r="A6" s="115">
        <v>1</v>
      </c>
      <c r="B6" s="89" t="s">
        <v>9</v>
      </c>
      <c r="C6" s="3790">
        <v>1545.78</v>
      </c>
      <c r="D6" s="166">
        <f>800*G4</f>
        <v>864</v>
      </c>
      <c r="E6" s="166">
        <f>SUM(C6*D6)</f>
        <v>1335553.92</v>
      </c>
      <c r="F6" s="167">
        <f>SUM(E6)*10%</f>
        <v>133555.39199999999</v>
      </c>
      <c r="G6" s="167">
        <f>E6-F6</f>
        <v>1201998.5279999999</v>
      </c>
    </row>
    <row r="7" spans="1:7" s="20" customFormat="1" ht="21" customHeight="1" outlineLevel="1">
      <c r="A7" s="115">
        <v>2</v>
      </c>
      <c r="B7" s="89" t="s">
        <v>10</v>
      </c>
      <c r="C7" s="3790">
        <v>58.32</v>
      </c>
      <c r="D7" s="166">
        <f>9800*G4</f>
        <v>10584</v>
      </c>
      <c r="E7" s="166">
        <f t="shared" ref="E7:E16" si="0">SUM(C7*D7)</f>
        <v>617258.88</v>
      </c>
      <c r="F7" s="167">
        <f t="shared" ref="F7:F16" si="1">SUM(E7)*10%</f>
        <v>61725.888000000006</v>
      </c>
      <c r="G7" s="167">
        <f t="shared" ref="G7:G16" si="2">E7-F7</f>
        <v>555532.99199999997</v>
      </c>
    </row>
    <row r="8" spans="1:7" s="20" customFormat="1" ht="15" customHeight="1" outlineLevel="1">
      <c r="A8" s="115">
        <v>3</v>
      </c>
      <c r="B8" s="89" t="s">
        <v>11</v>
      </c>
      <c r="C8" s="3790">
        <v>41.16</v>
      </c>
      <c r="D8" s="166">
        <f>1500*G4</f>
        <v>1620</v>
      </c>
      <c r="E8" s="166">
        <f t="shared" si="0"/>
        <v>66679.199999999997</v>
      </c>
      <c r="F8" s="167">
        <f t="shared" si="1"/>
        <v>6667.92</v>
      </c>
      <c r="G8" s="167">
        <f t="shared" si="2"/>
        <v>60011.28</v>
      </c>
    </row>
    <row r="9" spans="1:7" s="20" customFormat="1" ht="19.5" customHeight="1" outlineLevel="1">
      <c r="A9" s="115">
        <v>4</v>
      </c>
      <c r="B9" s="89" t="s">
        <v>12</v>
      </c>
      <c r="C9" s="3791">
        <v>14.58</v>
      </c>
      <c r="D9" s="166">
        <f>9400*G4</f>
        <v>10152</v>
      </c>
      <c r="E9" s="166">
        <f t="shared" si="0"/>
        <v>148016.16</v>
      </c>
      <c r="F9" s="167">
        <f t="shared" si="1"/>
        <v>14801.616000000002</v>
      </c>
      <c r="G9" s="167">
        <f t="shared" si="2"/>
        <v>133214.54399999999</v>
      </c>
    </row>
    <row r="10" spans="1:7" s="20" customFormat="1" ht="19.5" customHeight="1" outlineLevel="1">
      <c r="A10" s="115">
        <v>5</v>
      </c>
      <c r="B10" s="89" t="s">
        <v>13</v>
      </c>
      <c r="C10" s="3791">
        <v>43.74</v>
      </c>
      <c r="D10" s="166">
        <f>1200*G4</f>
        <v>1296</v>
      </c>
      <c r="E10" s="166">
        <f t="shared" si="0"/>
        <v>56687.040000000001</v>
      </c>
      <c r="F10" s="167">
        <f t="shared" si="1"/>
        <v>5668.7040000000006</v>
      </c>
      <c r="G10" s="167">
        <f t="shared" si="2"/>
        <v>51018.336000000003</v>
      </c>
    </row>
    <row r="11" spans="1:7" s="20" customFormat="1" ht="16.5" customHeight="1" outlineLevel="1">
      <c r="A11" s="115">
        <v>6</v>
      </c>
      <c r="B11" s="89" t="s">
        <v>14</v>
      </c>
      <c r="C11" s="3791">
        <v>43.74</v>
      </c>
      <c r="D11" s="166">
        <f>800*G4</f>
        <v>864</v>
      </c>
      <c r="E11" s="166">
        <f t="shared" si="0"/>
        <v>37791.360000000001</v>
      </c>
      <c r="F11" s="167">
        <f t="shared" si="1"/>
        <v>3779.1360000000004</v>
      </c>
      <c r="G11" s="167">
        <f t="shared" si="2"/>
        <v>34012.224000000002</v>
      </c>
    </row>
    <row r="12" spans="1:7" s="20" customFormat="1" ht="14.25" customHeight="1" outlineLevel="1">
      <c r="A12" s="115">
        <v>7</v>
      </c>
      <c r="B12" s="89" t="s">
        <v>15</v>
      </c>
      <c r="C12" s="3791">
        <v>43.74</v>
      </c>
      <c r="D12" s="166">
        <f>1500*G4</f>
        <v>1620</v>
      </c>
      <c r="E12" s="166">
        <f t="shared" si="0"/>
        <v>70858.8</v>
      </c>
      <c r="F12" s="167">
        <f t="shared" si="1"/>
        <v>7085.880000000001</v>
      </c>
      <c r="G12" s="167">
        <f t="shared" si="2"/>
        <v>63772.92</v>
      </c>
    </row>
    <row r="13" spans="1:7" s="20" customFormat="1" ht="18" customHeight="1" outlineLevel="1">
      <c r="A13" s="115">
        <v>8</v>
      </c>
      <c r="B13" s="89" t="s">
        <v>16</v>
      </c>
      <c r="C13" s="3791">
        <v>43.74</v>
      </c>
      <c r="D13" s="166">
        <f>3200*G4</f>
        <v>3456</v>
      </c>
      <c r="E13" s="166">
        <f t="shared" si="0"/>
        <v>151165.44</v>
      </c>
      <c r="F13" s="167">
        <f t="shared" si="1"/>
        <v>15116.544000000002</v>
      </c>
      <c r="G13" s="167">
        <f t="shared" si="2"/>
        <v>136048.89600000001</v>
      </c>
    </row>
    <row r="14" spans="1:7" s="20" customFormat="1" ht="14.25" customHeight="1" outlineLevel="1">
      <c r="A14" s="115">
        <v>9</v>
      </c>
      <c r="B14" s="89" t="s">
        <v>17</v>
      </c>
      <c r="C14" s="3791">
        <v>43.74</v>
      </c>
      <c r="D14" s="166">
        <f>2400*G4</f>
        <v>2592</v>
      </c>
      <c r="E14" s="166">
        <f t="shared" si="0"/>
        <v>113374.08</v>
      </c>
      <c r="F14" s="167">
        <f t="shared" si="1"/>
        <v>11337.408000000001</v>
      </c>
      <c r="G14" s="167">
        <f t="shared" si="2"/>
        <v>102036.67200000001</v>
      </c>
    </row>
    <row r="15" spans="1:7" s="20" customFormat="1" ht="15" customHeight="1" outlineLevel="1">
      <c r="A15" s="115">
        <v>10</v>
      </c>
      <c r="B15" s="89" t="s">
        <v>18</v>
      </c>
      <c r="C15" s="3791">
        <v>43.74</v>
      </c>
      <c r="D15" s="166">
        <f>1800*G4</f>
        <v>1944.0000000000002</v>
      </c>
      <c r="E15" s="166">
        <f t="shared" si="0"/>
        <v>85030.560000000012</v>
      </c>
      <c r="F15" s="167">
        <f t="shared" si="1"/>
        <v>8503.0560000000023</v>
      </c>
      <c r="G15" s="167">
        <f t="shared" si="2"/>
        <v>76527.504000000015</v>
      </c>
    </row>
    <row r="16" spans="1:7" s="20" customFormat="1" ht="24" customHeight="1" outlineLevel="1">
      <c r="A16" s="115">
        <v>11</v>
      </c>
      <c r="B16" s="89" t="s">
        <v>19</v>
      </c>
      <c r="C16" s="3791">
        <v>14.58</v>
      </c>
      <c r="D16" s="166">
        <f>3200*G4</f>
        <v>3456</v>
      </c>
      <c r="E16" s="166">
        <f t="shared" si="0"/>
        <v>50388.480000000003</v>
      </c>
      <c r="F16" s="167">
        <f t="shared" si="1"/>
        <v>5038.8480000000009</v>
      </c>
      <c r="G16" s="167">
        <f t="shared" si="2"/>
        <v>45349.632000000005</v>
      </c>
    </row>
    <row r="17" spans="1:7">
      <c r="A17" s="85"/>
      <c r="B17" s="90" t="s">
        <v>20</v>
      </c>
      <c r="C17" s="3792">
        <f>SUM(C6:C16)</f>
        <v>1936.86</v>
      </c>
      <c r="D17" s="3793">
        <f>SUM(D6:D16)</f>
        <v>38448</v>
      </c>
      <c r="E17" s="3793">
        <f>SUM(E6:E16)</f>
        <v>2732803.9199999995</v>
      </c>
      <c r="F17" s="3793">
        <f>SUM(F6:F16)</f>
        <v>273280.39199999999</v>
      </c>
      <c r="G17" s="3793">
        <f>SUM(G6:G9)</f>
        <v>1950757.344</v>
      </c>
    </row>
    <row r="18" spans="1:7">
      <c r="A18" s="57"/>
      <c r="B18" s="57"/>
      <c r="C18" s="57"/>
      <c r="D18" s="57"/>
      <c r="E18" s="112" t="s">
        <v>21</v>
      </c>
      <c r="F18" s="86">
        <f>SUM(F17*12)/112</f>
        <v>29280.041999999998</v>
      </c>
      <c r="G18" s="57"/>
    </row>
    <row r="19" spans="1:7">
      <c r="A19" s="57"/>
      <c r="B19" s="57"/>
      <c r="C19" s="57"/>
      <c r="D19" s="57"/>
      <c r="E19" s="112"/>
      <c r="F19" s="86"/>
      <c r="G19" s="57"/>
    </row>
    <row r="20" spans="1:7">
      <c r="A20" s="57"/>
      <c r="B20" s="57"/>
      <c r="C20" s="57"/>
      <c r="D20" s="57"/>
      <c r="E20" s="112"/>
      <c r="F20" s="86"/>
      <c r="G20" s="57"/>
    </row>
    <row r="21" spans="1:7">
      <c r="A21" s="57"/>
      <c r="B21" s="57"/>
      <c r="C21" s="57"/>
      <c r="D21" s="57"/>
      <c r="E21" s="112"/>
      <c r="F21" s="86"/>
      <c r="G21" s="57"/>
    </row>
    <row r="22" spans="1:7">
      <c r="A22" s="57"/>
      <c r="B22" s="57"/>
      <c r="C22" s="57"/>
      <c r="D22" s="57"/>
      <c r="E22" s="112"/>
      <c r="F22" s="86"/>
      <c r="G22" s="57"/>
    </row>
    <row r="23" spans="1:7">
      <c r="A23" s="57"/>
      <c r="B23" s="57"/>
      <c r="C23" s="57"/>
      <c r="D23" s="57"/>
      <c r="E23" s="112"/>
      <c r="F23" s="86"/>
      <c r="G23" s="57"/>
    </row>
    <row r="24" spans="1:7">
      <c r="A24" s="57"/>
      <c r="B24" s="57"/>
      <c r="C24" s="57"/>
      <c r="D24" s="57"/>
      <c r="E24" s="112"/>
      <c r="F24" s="86"/>
      <c r="G24" s="57"/>
    </row>
    <row r="25" spans="1:7">
      <c r="A25" s="57"/>
      <c r="B25" s="57"/>
      <c r="C25" s="57"/>
      <c r="D25" s="57"/>
      <c r="E25" s="112"/>
      <c r="F25" s="86"/>
      <c r="G25" s="57"/>
    </row>
    <row r="26" spans="1:7">
      <c r="A26" s="57"/>
      <c r="B26" s="57"/>
      <c r="C26" s="57"/>
      <c r="D26" s="57"/>
      <c r="E26" s="57"/>
      <c r="F26" s="57"/>
      <c r="G26" s="57"/>
    </row>
    <row r="27" spans="1:7" ht="13.5">
      <c r="A27" s="3789"/>
      <c r="B27" s="72"/>
      <c r="C27" s="72"/>
      <c r="D27" s="72"/>
      <c r="E27" s="72"/>
      <c r="F27" s="72"/>
      <c r="G27" s="116" t="s">
        <v>22</v>
      </c>
    </row>
    <row r="28" spans="1:7" ht="22.5" customHeight="1">
      <c r="A28" s="3854" t="s">
        <v>1</v>
      </c>
      <c r="B28" s="3854"/>
      <c r="C28" s="3854"/>
      <c r="D28" s="3854"/>
      <c r="E28" s="3854"/>
      <c r="F28" s="3854"/>
      <c r="G28" s="3854"/>
    </row>
    <row r="29" spans="1:7">
      <c r="A29" s="88"/>
      <c r="B29" s="88"/>
      <c r="C29" s="88"/>
      <c r="D29" s="88"/>
      <c r="E29" s="88"/>
      <c r="F29" s="57"/>
      <c r="G29" s="57">
        <v>1.08</v>
      </c>
    </row>
    <row r="30" spans="1:7">
      <c r="A30" s="113" t="s">
        <v>2</v>
      </c>
      <c r="B30" s="111" t="s">
        <v>3</v>
      </c>
      <c r="C30" s="114" t="s">
        <v>4</v>
      </c>
      <c r="D30" s="114" t="s">
        <v>5</v>
      </c>
      <c r="E30" s="111" t="s">
        <v>6</v>
      </c>
      <c r="F30" s="114" t="s">
        <v>7</v>
      </c>
      <c r="G30" s="114" t="s">
        <v>8</v>
      </c>
    </row>
    <row r="31" spans="1:7">
      <c r="A31" s="115">
        <v>1</v>
      </c>
      <c r="B31" s="89" t="s">
        <v>9</v>
      </c>
      <c r="C31" s="3794">
        <v>246</v>
      </c>
      <c r="D31" s="166">
        <f>800*G29</f>
        <v>864</v>
      </c>
      <c r="E31" s="166">
        <f>SUM(C31*D31)</f>
        <v>212544</v>
      </c>
      <c r="F31" s="167">
        <f>SUM(E31)*43%</f>
        <v>91393.919999999998</v>
      </c>
      <c r="G31" s="167">
        <f>E31-F31</f>
        <v>121150.08</v>
      </c>
    </row>
    <row r="32" spans="1:7" ht="25.5">
      <c r="A32" s="115">
        <v>2</v>
      </c>
      <c r="B32" s="89" t="s">
        <v>10</v>
      </c>
      <c r="C32" s="3794">
        <v>24</v>
      </c>
      <c r="D32" s="166">
        <f>9800*G29</f>
        <v>10584</v>
      </c>
      <c r="E32" s="166">
        <f t="shared" ref="E32:E41" si="3">SUM(C32*D32)</f>
        <v>254016</v>
      </c>
      <c r="F32" s="167">
        <f t="shared" ref="F32:F41" si="4">SUM(E32)*43%</f>
        <v>109226.88</v>
      </c>
      <c r="G32" s="167">
        <f t="shared" ref="G32:G41" si="5">E32-F32</f>
        <v>144789.12</v>
      </c>
    </row>
    <row r="33" spans="1:9">
      <c r="A33" s="115">
        <v>3</v>
      </c>
      <c r="B33" s="89" t="s">
        <v>11</v>
      </c>
      <c r="C33" s="3794">
        <v>12</v>
      </c>
      <c r="D33" s="166">
        <f>1500*G29</f>
        <v>1620</v>
      </c>
      <c r="E33" s="166">
        <f t="shared" si="3"/>
        <v>19440</v>
      </c>
      <c r="F33" s="167">
        <f t="shared" si="4"/>
        <v>8359.2000000000007</v>
      </c>
      <c r="G33" s="167">
        <f t="shared" si="5"/>
        <v>11080.8</v>
      </c>
      <c r="H33" s="2"/>
      <c r="I33" s="2"/>
    </row>
    <row r="34" spans="1:9" ht="25.5">
      <c r="A34" s="115">
        <v>4</v>
      </c>
      <c r="B34" s="89" t="s">
        <v>12</v>
      </c>
      <c r="C34" s="3795">
        <v>6</v>
      </c>
      <c r="D34" s="166">
        <f>9400*G29</f>
        <v>10152</v>
      </c>
      <c r="E34" s="166">
        <f t="shared" si="3"/>
        <v>60912</v>
      </c>
      <c r="F34" s="167">
        <f t="shared" si="4"/>
        <v>26192.16</v>
      </c>
      <c r="G34" s="167">
        <f t="shared" si="5"/>
        <v>34719.839999999997</v>
      </c>
      <c r="H34" s="2"/>
      <c r="I34" s="2"/>
    </row>
    <row r="35" spans="1:9">
      <c r="A35" s="115">
        <v>5</v>
      </c>
      <c r="B35" s="89" t="s">
        <v>13</v>
      </c>
      <c r="C35" s="3795">
        <v>18</v>
      </c>
      <c r="D35" s="166">
        <f>1200*G29</f>
        <v>1296</v>
      </c>
      <c r="E35" s="166">
        <f t="shared" si="3"/>
        <v>23328</v>
      </c>
      <c r="F35" s="167">
        <f t="shared" si="4"/>
        <v>10031.039999999999</v>
      </c>
      <c r="G35" s="167">
        <f t="shared" si="5"/>
        <v>13296.960000000001</v>
      </c>
      <c r="H35" s="2"/>
      <c r="I35" s="2"/>
    </row>
    <row r="36" spans="1:9">
      <c r="A36" s="115">
        <v>6</v>
      </c>
      <c r="B36" s="89" t="s">
        <v>14</v>
      </c>
      <c r="C36" s="3795">
        <v>18</v>
      </c>
      <c r="D36" s="166">
        <f>800*G29</f>
        <v>864</v>
      </c>
      <c r="E36" s="166">
        <f t="shared" si="3"/>
        <v>15552</v>
      </c>
      <c r="F36" s="167">
        <f t="shared" si="4"/>
        <v>6687.36</v>
      </c>
      <c r="G36" s="167">
        <f t="shared" si="5"/>
        <v>8864.64</v>
      </c>
      <c r="H36" s="2"/>
      <c r="I36" s="2"/>
    </row>
    <row r="37" spans="1:9">
      <c r="A37" s="115">
        <v>7</v>
      </c>
      <c r="B37" s="89" t="s">
        <v>15</v>
      </c>
      <c r="C37" s="3795">
        <v>18</v>
      </c>
      <c r="D37" s="166">
        <f>1500*G29</f>
        <v>1620</v>
      </c>
      <c r="E37" s="166">
        <f t="shared" si="3"/>
        <v>29160</v>
      </c>
      <c r="F37" s="167">
        <f t="shared" si="4"/>
        <v>12538.8</v>
      </c>
      <c r="G37" s="167">
        <f t="shared" si="5"/>
        <v>16621.2</v>
      </c>
      <c r="H37" s="2"/>
      <c r="I37" s="2"/>
    </row>
    <row r="38" spans="1:9">
      <c r="A38" s="115">
        <v>8</v>
      </c>
      <c r="B38" s="89" t="s">
        <v>16</v>
      </c>
      <c r="C38" s="3795">
        <v>18</v>
      </c>
      <c r="D38" s="166">
        <f>3200*G29</f>
        <v>3456</v>
      </c>
      <c r="E38" s="166">
        <f t="shared" si="3"/>
        <v>62208</v>
      </c>
      <c r="F38" s="167">
        <f t="shared" si="4"/>
        <v>26749.439999999999</v>
      </c>
      <c r="G38" s="167">
        <f t="shared" si="5"/>
        <v>35458.559999999998</v>
      </c>
      <c r="H38" s="2"/>
      <c r="I38" s="2"/>
    </row>
    <row r="39" spans="1:9">
      <c r="A39" s="115">
        <v>9</v>
      </c>
      <c r="B39" s="89" t="s">
        <v>17</v>
      </c>
      <c r="C39" s="3795">
        <v>18</v>
      </c>
      <c r="D39" s="166">
        <f>2400*G29</f>
        <v>2592</v>
      </c>
      <c r="E39" s="166">
        <f t="shared" si="3"/>
        <v>46656</v>
      </c>
      <c r="F39" s="167">
        <f t="shared" si="4"/>
        <v>20062.079999999998</v>
      </c>
      <c r="G39" s="167">
        <f t="shared" si="5"/>
        <v>26593.920000000002</v>
      </c>
      <c r="H39" s="2"/>
      <c r="I39" s="2"/>
    </row>
    <row r="40" spans="1:9">
      <c r="A40" s="115">
        <v>10</v>
      </c>
      <c r="B40" s="89" t="s">
        <v>18</v>
      </c>
      <c r="C40" s="3795">
        <v>18</v>
      </c>
      <c r="D40" s="166">
        <f>1800*G29</f>
        <v>1944.0000000000002</v>
      </c>
      <c r="E40" s="166">
        <f t="shared" si="3"/>
        <v>34992.000000000007</v>
      </c>
      <c r="F40" s="167">
        <f t="shared" si="4"/>
        <v>15046.560000000003</v>
      </c>
      <c r="G40" s="167">
        <f t="shared" si="5"/>
        <v>19945.440000000002</v>
      </c>
      <c r="H40" s="2"/>
      <c r="I40" s="2"/>
    </row>
    <row r="41" spans="1:9" ht="25.5">
      <c r="A41" s="115">
        <v>11</v>
      </c>
      <c r="B41" s="89" t="s">
        <v>19</v>
      </c>
      <c r="C41" s="3795">
        <v>6</v>
      </c>
      <c r="D41" s="166">
        <f>3200*G29</f>
        <v>3456</v>
      </c>
      <c r="E41" s="166">
        <f t="shared" si="3"/>
        <v>20736</v>
      </c>
      <c r="F41" s="167">
        <f t="shared" si="4"/>
        <v>8916.48</v>
      </c>
      <c r="G41" s="167">
        <f t="shared" si="5"/>
        <v>11819.52</v>
      </c>
      <c r="H41" s="2"/>
      <c r="I41" s="2"/>
    </row>
    <row r="42" spans="1:9">
      <c r="A42" s="85"/>
      <c r="B42" s="90" t="s">
        <v>20</v>
      </c>
      <c r="C42" s="3796">
        <f>SUM(C31:C41)</f>
        <v>402</v>
      </c>
      <c r="D42" s="3793">
        <f>SUM(D31:D41)</f>
        <v>38448</v>
      </c>
      <c r="E42" s="3793">
        <f>SUM(E31:E41)</f>
        <v>779544</v>
      </c>
      <c r="F42" s="3793">
        <f>SUM(F31:F41)</f>
        <v>335203.92</v>
      </c>
      <c r="G42" s="3793">
        <f>SUM(G31:G41)</f>
        <v>444340.08</v>
      </c>
      <c r="H42" s="2"/>
      <c r="I42" s="2"/>
    </row>
    <row r="43" spans="1:9">
      <c r="A43" s="57"/>
      <c r="B43" s="57"/>
      <c r="C43" s="57"/>
      <c r="D43" s="57"/>
      <c r="E43" s="112" t="s">
        <v>21</v>
      </c>
      <c r="F43" s="86">
        <f>SUM(F42*12)/112</f>
        <v>35914.705714285716</v>
      </c>
      <c r="G43" s="57"/>
      <c r="H43" s="2"/>
      <c r="I43" s="2"/>
    </row>
    <row r="44" spans="1:9">
      <c r="A44" s="57"/>
      <c r="B44" s="57"/>
      <c r="C44" s="57"/>
      <c r="D44" s="57"/>
      <c r="E44" s="57"/>
      <c r="F44" s="57"/>
      <c r="G44" s="57"/>
      <c r="H44" s="2"/>
      <c r="I44" s="2"/>
    </row>
    <row r="45" spans="1:9">
      <c r="A45" s="57"/>
      <c r="B45" s="57"/>
      <c r="C45" s="57"/>
      <c r="D45" s="57"/>
      <c r="E45" s="57"/>
      <c r="F45" s="57"/>
      <c r="G45" s="57"/>
      <c r="H45" s="2"/>
      <c r="I45" s="2"/>
    </row>
    <row r="46" spans="1:9" ht="15">
      <c r="A46" s="57"/>
      <c r="B46" s="22" t="s">
        <v>23</v>
      </c>
      <c r="C46" s="22"/>
      <c r="D46" s="22"/>
      <c r="E46" s="22"/>
      <c r="F46" s="23" t="s">
        <v>24</v>
      </c>
      <c r="G46" s="57"/>
      <c r="H46" s="2"/>
      <c r="I46" s="57"/>
    </row>
    <row r="47" spans="1:9" ht="15">
      <c r="A47" s="57"/>
      <c r="B47" s="22"/>
      <c r="C47" s="22"/>
      <c r="D47" s="22"/>
      <c r="E47" s="22"/>
      <c r="F47" s="24"/>
      <c r="G47" s="57"/>
      <c r="H47" s="2"/>
      <c r="I47" s="57"/>
    </row>
    <row r="48" spans="1:9" ht="15">
      <c r="A48" s="57"/>
      <c r="B48" s="22" t="s">
        <v>25</v>
      </c>
      <c r="C48" s="22"/>
      <c r="D48" s="22"/>
      <c r="E48" s="22"/>
      <c r="F48" s="23" t="s">
        <v>26</v>
      </c>
      <c r="G48" s="57"/>
      <c r="H48" s="2"/>
      <c r="I48" s="57"/>
    </row>
    <row r="49" spans="1:9" ht="15">
      <c r="A49" s="57"/>
      <c r="B49" s="22"/>
      <c r="C49" s="22"/>
      <c r="D49" s="22"/>
      <c r="E49" s="22"/>
      <c r="F49" s="24"/>
      <c r="G49" s="57"/>
      <c r="H49" s="2"/>
      <c r="I49" s="57"/>
    </row>
    <row r="50" spans="1:9" ht="15">
      <c r="A50" s="57"/>
      <c r="B50" s="22" t="s">
        <v>27</v>
      </c>
      <c r="C50" s="22"/>
      <c r="D50" s="22"/>
      <c r="E50" s="22"/>
      <c r="F50" s="23" t="s">
        <v>28</v>
      </c>
      <c r="G50" s="57"/>
      <c r="H50" s="2"/>
      <c r="I50" s="57"/>
    </row>
    <row r="51" spans="1:9">
      <c r="A51" s="57"/>
      <c r="B51" s="57"/>
      <c r="C51" s="57"/>
      <c r="D51" s="57"/>
      <c r="E51" s="57"/>
      <c r="F51" s="57"/>
      <c r="G51" s="57"/>
      <c r="H51" s="57"/>
      <c r="I51" s="57"/>
    </row>
    <row r="52" spans="1:9">
      <c r="A52" s="57"/>
      <c r="B52" s="57"/>
      <c r="C52" s="57"/>
      <c r="D52" s="57"/>
      <c r="E52" s="57"/>
      <c r="F52" s="57"/>
      <c r="G52" s="57"/>
      <c r="H52" s="2"/>
      <c r="I52" s="2"/>
    </row>
    <row r="53" spans="1:9">
      <c r="A53" s="57"/>
      <c r="B53" s="57"/>
      <c r="C53" s="57"/>
      <c r="D53" s="57"/>
      <c r="E53" s="57"/>
      <c r="F53" s="57"/>
      <c r="G53" s="57"/>
      <c r="H53" s="2"/>
      <c r="I53" s="2"/>
    </row>
    <row r="54" spans="1:9">
      <c r="A54" s="57"/>
      <c r="B54" s="57"/>
      <c r="C54" s="57"/>
      <c r="D54" s="57"/>
      <c r="E54" s="57"/>
      <c r="F54" s="57"/>
      <c r="G54" s="57"/>
      <c r="H54" s="2"/>
      <c r="I54" s="2"/>
    </row>
    <row r="55" spans="1:9">
      <c r="A55" s="57"/>
      <c r="B55" s="57"/>
      <c r="C55" s="57"/>
      <c r="D55" s="57"/>
      <c r="E55" s="57"/>
      <c r="F55" s="57"/>
      <c r="G55" s="57"/>
      <c r="H55" s="2"/>
      <c r="I55" s="2"/>
    </row>
    <row r="56" spans="1:9">
      <c r="A56" s="57"/>
      <c r="B56" s="57"/>
      <c r="C56" s="57"/>
      <c r="D56" s="57"/>
      <c r="E56" s="57"/>
      <c r="F56" s="57"/>
      <c r="G56" s="57"/>
      <c r="H56" s="2"/>
      <c r="I56" s="2"/>
    </row>
    <row r="57" spans="1:9">
      <c r="A57" s="57"/>
      <c r="B57" s="57"/>
      <c r="C57" s="57"/>
      <c r="D57" s="57"/>
      <c r="E57" s="57"/>
      <c r="F57" s="57"/>
      <c r="G57" s="57"/>
      <c r="H57" s="2"/>
      <c r="I57" s="2"/>
    </row>
    <row r="58" spans="1:9">
      <c r="A58" s="57"/>
      <c r="B58" s="57"/>
      <c r="C58" s="57"/>
      <c r="D58" s="57"/>
      <c r="E58" s="57"/>
      <c r="F58" s="57"/>
      <c r="G58" s="57"/>
      <c r="H58" s="2"/>
      <c r="I58" s="2"/>
    </row>
    <row r="59" spans="1:9">
      <c r="A59" s="57"/>
      <c r="B59" s="57"/>
      <c r="C59" s="57"/>
      <c r="D59" s="57"/>
      <c r="E59" s="57"/>
      <c r="F59" s="57"/>
      <c r="G59" s="57"/>
      <c r="H59" s="2"/>
      <c r="I59" s="2"/>
    </row>
    <row r="60" spans="1:9">
      <c r="A60" s="57"/>
      <c r="B60" s="57"/>
      <c r="C60" s="57"/>
      <c r="D60" s="57"/>
      <c r="E60" s="57"/>
      <c r="F60" s="57"/>
      <c r="G60" s="57"/>
      <c r="H60" s="2"/>
      <c r="I60" s="2"/>
    </row>
    <row r="61" spans="1:9">
      <c r="A61" s="57"/>
      <c r="B61" s="57"/>
      <c r="C61" s="57"/>
      <c r="D61" s="57"/>
      <c r="E61" s="57"/>
      <c r="F61" s="57"/>
      <c r="G61" s="57"/>
      <c r="H61" s="2"/>
      <c r="I61" s="2"/>
    </row>
    <row r="62" spans="1:9">
      <c r="A62" s="57"/>
      <c r="B62" s="57"/>
      <c r="C62" s="57"/>
      <c r="D62" s="57"/>
      <c r="E62" s="57"/>
      <c r="F62" s="57"/>
      <c r="G62" s="57"/>
      <c r="H62" s="2"/>
      <c r="I62" s="2"/>
    </row>
    <row r="63" spans="1:9">
      <c r="A63" s="57"/>
      <c r="B63" s="57"/>
      <c r="C63" s="57"/>
      <c r="D63" s="57"/>
      <c r="E63" s="57"/>
      <c r="F63" s="57"/>
      <c r="G63" s="57"/>
      <c r="H63" s="2"/>
      <c r="I63" s="2"/>
    </row>
    <row r="64" spans="1:9">
      <c r="A64" s="57"/>
      <c r="B64" s="57"/>
      <c r="C64" s="57"/>
      <c r="D64" s="57"/>
      <c r="E64" s="57"/>
      <c r="F64" s="57"/>
      <c r="G64" s="57"/>
      <c r="H64" s="2"/>
      <c r="I64" s="2"/>
    </row>
    <row r="65" spans="1:7">
      <c r="A65" s="57"/>
      <c r="B65" s="57"/>
      <c r="C65" s="57"/>
      <c r="D65" s="57"/>
      <c r="E65" s="57"/>
      <c r="F65" s="57"/>
      <c r="G65" s="57"/>
    </row>
    <row r="66" spans="1:7">
      <c r="A66" s="57"/>
      <c r="B66" s="57"/>
      <c r="C66" s="57"/>
      <c r="D66" s="57"/>
      <c r="E66" s="57"/>
      <c r="F66" s="57"/>
      <c r="G66" s="57"/>
    </row>
    <row r="67" spans="1:7">
      <c r="A67" s="57"/>
      <c r="B67" s="57"/>
      <c r="C67" s="57"/>
      <c r="D67" s="57"/>
      <c r="E67" s="57"/>
      <c r="F67" s="57"/>
      <c r="G67" s="57"/>
    </row>
    <row r="68" spans="1:7">
      <c r="A68" s="57"/>
      <c r="B68" s="57"/>
      <c r="C68" s="57"/>
      <c r="D68" s="57"/>
      <c r="E68" s="57"/>
      <c r="F68" s="57"/>
      <c r="G68" s="57"/>
    </row>
    <row r="69" spans="1:7">
      <c r="A69" s="57"/>
      <c r="B69" s="57"/>
      <c r="C69" s="57"/>
      <c r="D69" s="57"/>
      <c r="E69" s="57"/>
      <c r="F69" s="57"/>
      <c r="G69" s="57"/>
    </row>
    <row r="70" spans="1:7">
      <c r="A70" s="57"/>
      <c r="B70" s="57"/>
      <c r="C70" s="57"/>
      <c r="D70" s="57"/>
      <c r="E70" s="57"/>
      <c r="F70" s="57"/>
      <c r="G70" s="57"/>
    </row>
    <row r="71" spans="1:7">
      <c r="A71" s="57"/>
      <c r="B71" s="57"/>
      <c r="C71" s="57"/>
      <c r="D71" s="57"/>
      <c r="E71" s="57"/>
      <c r="F71" s="57"/>
      <c r="G71" s="57"/>
    </row>
    <row r="72" spans="1:7">
      <c r="A72" s="57"/>
      <c r="B72" s="57"/>
      <c r="C72" s="57"/>
      <c r="D72" s="57"/>
      <c r="E72" s="57"/>
      <c r="F72" s="57"/>
      <c r="G72" s="57"/>
    </row>
    <row r="73" spans="1:7">
      <c r="A73" s="57"/>
      <c r="B73" s="57"/>
      <c r="C73" s="57"/>
      <c r="D73" s="57"/>
      <c r="E73" s="57"/>
      <c r="F73" s="57"/>
      <c r="G73" s="57"/>
    </row>
    <row r="74" spans="1:7">
      <c r="A74" s="57"/>
      <c r="B74" s="57"/>
      <c r="C74" s="57"/>
      <c r="D74" s="57"/>
      <c r="E74" s="57"/>
      <c r="F74" s="57"/>
      <c r="G74" s="57"/>
    </row>
    <row r="75" spans="1:7">
      <c r="A75" s="57"/>
      <c r="B75" s="57"/>
      <c r="C75" s="57"/>
      <c r="D75" s="57"/>
      <c r="E75" s="57"/>
      <c r="F75" s="57"/>
      <c r="G75" s="57"/>
    </row>
    <row r="76" spans="1:7">
      <c r="A76" s="57"/>
      <c r="B76" s="57"/>
      <c r="C76" s="57"/>
      <c r="D76" s="57"/>
      <c r="E76" s="57"/>
      <c r="F76" s="57"/>
      <c r="G76" s="57"/>
    </row>
    <row r="77" spans="1:7">
      <c r="A77" s="57"/>
      <c r="B77" s="57"/>
      <c r="C77" s="57"/>
      <c r="D77" s="57"/>
      <c r="E77" s="57"/>
      <c r="F77" s="57"/>
      <c r="G77" s="57"/>
    </row>
    <row r="78" spans="1:7">
      <c r="A78" s="57"/>
      <c r="B78" s="57"/>
      <c r="C78" s="57"/>
      <c r="D78" s="57"/>
      <c r="E78" s="57"/>
      <c r="F78" s="57"/>
      <c r="G78" s="57"/>
    </row>
    <row r="79" spans="1:7">
      <c r="A79" s="57"/>
      <c r="B79" s="57"/>
      <c r="C79" s="57"/>
      <c r="D79" s="57"/>
      <c r="E79" s="57"/>
      <c r="F79" s="57"/>
      <c r="G79" s="57"/>
    </row>
    <row r="80" spans="1:7">
      <c r="A80" s="57"/>
      <c r="B80" s="57"/>
      <c r="C80" s="57"/>
      <c r="D80" s="57"/>
      <c r="E80" s="57"/>
      <c r="F80" s="57"/>
      <c r="G80" s="57"/>
    </row>
    <row r="81" spans="1:7">
      <c r="A81" s="57"/>
      <c r="B81" s="57"/>
      <c r="C81" s="57"/>
      <c r="D81" s="57"/>
      <c r="E81" s="57"/>
      <c r="F81" s="57"/>
      <c r="G81" s="57"/>
    </row>
    <row r="82" spans="1:7">
      <c r="A82" s="57"/>
      <c r="B82" s="57"/>
      <c r="C82" s="57"/>
      <c r="D82" s="57"/>
      <c r="E82" s="57"/>
      <c r="F82" s="57"/>
      <c r="G82" s="57"/>
    </row>
    <row r="83" spans="1:7">
      <c r="A83" s="57"/>
      <c r="B83" s="57"/>
      <c r="C83" s="57"/>
      <c r="D83" s="57"/>
      <c r="E83" s="57"/>
      <c r="F83" s="57"/>
      <c r="G83" s="57"/>
    </row>
    <row r="84" spans="1:7">
      <c r="A84" s="57"/>
      <c r="B84" s="57"/>
      <c r="C84" s="57"/>
      <c r="D84" s="57"/>
      <c r="E84" s="57"/>
      <c r="F84" s="57"/>
      <c r="G84" s="57"/>
    </row>
    <row r="85" spans="1:7">
      <c r="A85" s="57"/>
      <c r="B85" s="57"/>
      <c r="C85" s="57"/>
      <c r="D85" s="57"/>
      <c r="E85" s="57"/>
      <c r="F85" s="57"/>
      <c r="G85" s="57"/>
    </row>
    <row r="86" spans="1:7">
      <c r="A86" s="57"/>
      <c r="B86" s="57"/>
      <c r="C86" s="57"/>
      <c r="D86" s="57"/>
      <c r="E86" s="57"/>
      <c r="F86" s="57"/>
      <c r="G86" s="57"/>
    </row>
    <row r="87" spans="1:7">
      <c r="A87" s="57"/>
      <c r="B87" s="57"/>
      <c r="C87" s="57"/>
      <c r="D87" s="57"/>
      <c r="E87" s="57"/>
      <c r="F87" s="57"/>
      <c r="G87" s="57"/>
    </row>
    <row r="88" spans="1:7">
      <c r="A88" s="57"/>
      <c r="B88" s="57"/>
      <c r="C88" s="57"/>
      <c r="D88" s="57"/>
      <c r="E88" s="57"/>
      <c r="F88" s="57"/>
      <c r="G88" s="57"/>
    </row>
    <row r="89" spans="1:7">
      <c r="A89" s="57"/>
      <c r="B89" s="57"/>
      <c r="C89" s="57"/>
      <c r="D89" s="57"/>
      <c r="E89" s="57"/>
      <c r="F89" s="57"/>
      <c r="G89" s="57"/>
    </row>
    <row r="90" spans="1:7">
      <c r="A90" s="57"/>
      <c r="B90" s="57"/>
      <c r="C90" s="57"/>
      <c r="D90" s="57"/>
      <c r="E90" s="57"/>
      <c r="F90" s="57"/>
      <c r="G90" s="57"/>
    </row>
    <row r="91" spans="1:7">
      <c r="A91" s="57"/>
      <c r="B91" s="57"/>
      <c r="C91" s="57"/>
      <c r="D91" s="57"/>
      <c r="E91" s="57"/>
      <c r="F91" s="57"/>
      <c r="G91" s="57"/>
    </row>
    <row r="92" spans="1:7">
      <c r="A92" s="57"/>
      <c r="B92" s="57"/>
      <c r="C92" s="57"/>
      <c r="D92" s="57"/>
      <c r="E92" s="57"/>
      <c r="F92" s="57"/>
      <c r="G92" s="57"/>
    </row>
    <row r="93" spans="1:7">
      <c r="A93" s="57"/>
      <c r="B93" s="57"/>
      <c r="C93" s="57"/>
      <c r="D93" s="57"/>
      <c r="E93" s="57"/>
      <c r="F93" s="57"/>
      <c r="G93" s="57"/>
    </row>
    <row r="94" spans="1:7">
      <c r="A94" s="57"/>
      <c r="B94" s="57"/>
      <c r="C94" s="57"/>
      <c r="D94" s="57"/>
      <c r="E94" s="57"/>
      <c r="F94" s="57"/>
      <c r="G94" s="57"/>
    </row>
    <row r="95" spans="1:7">
      <c r="A95" s="57"/>
      <c r="B95" s="57"/>
      <c r="C95" s="57"/>
      <c r="D95" s="57"/>
      <c r="E95" s="57"/>
      <c r="F95" s="57"/>
      <c r="G95" s="57"/>
    </row>
    <row r="96" spans="1:7">
      <c r="A96" s="57"/>
      <c r="B96" s="57"/>
      <c r="C96" s="57"/>
      <c r="D96" s="57"/>
      <c r="E96" s="57"/>
      <c r="F96" s="57"/>
      <c r="G96" s="57"/>
    </row>
    <row r="97" spans="1:7">
      <c r="A97" s="57"/>
      <c r="B97" s="57"/>
      <c r="C97" s="57"/>
      <c r="D97" s="57"/>
      <c r="E97" s="57"/>
      <c r="F97" s="57"/>
      <c r="G97" s="57"/>
    </row>
    <row r="98" spans="1:7">
      <c r="A98" s="57"/>
      <c r="B98" s="57"/>
      <c r="C98" s="57"/>
      <c r="D98" s="57"/>
      <c r="E98" s="57"/>
      <c r="F98" s="57"/>
      <c r="G98" s="57"/>
    </row>
    <row r="99" spans="1:7">
      <c r="A99" s="57"/>
      <c r="B99" s="57"/>
      <c r="C99" s="57"/>
      <c r="D99" s="57"/>
      <c r="E99" s="57"/>
      <c r="F99" s="57"/>
      <c r="G99" s="57"/>
    </row>
    <row r="100" spans="1:7">
      <c r="A100" s="57"/>
      <c r="B100" s="57"/>
      <c r="C100" s="57"/>
      <c r="D100" s="57"/>
      <c r="E100" s="57"/>
      <c r="F100" s="57"/>
      <c r="G100" s="57"/>
    </row>
    <row r="101" spans="1:7">
      <c r="A101" s="57"/>
      <c r="B101" s="57"/>
      <c r="C101" s="57"/>
      <c r="D101" s="57"/>
      <c r="E101" s="57"/>
      <c r="F101" s="57"/>
      <c r="G101" s="57"/>
    </row>
    <row r="102" spans="1:7">
      <c r="A102" s="57"/>
      <c r="B102" s="57"/>
      <c r="C102" s="57"/>
      <c r="D102" s="57"/>
      <c r="E102" s="57"/>
      <c r="F102" s="57"/>
      <c r="G102" s="57"/>
    </row>
    <row r="103" spans="1:7">
      <c r="A103" s="57"/>
      <c r="B103" s="57"/>
      <c r="C103" s="57"/>
      <c r="D103" s="57"/>
      <c r="E103" s="57"/>
      <c r="F103" s="57"/>
      <c r="G103" s="57"/>
    </row>
    <row r="104" spans="1:7">
      <c r="A104" s="57"/>
      <c r="B104" s="57"/>
      <c r="C104" s="57"/>
      <c r="D104" s="57"/>
      <c r="E104" s="57"/>
      <c r="F104" s="57"/>
      <c r="G104" s="57"/>
    </row>
    <row r="105" spans="1:7">
      <c r="A105" s="57"/>
      <c r="B105" s="57"/>
      <c r="C105" s="57"/>
      <c r="D105" s="57"/>
      <c r="E105" s="57"/>
      <c r="F105" s="57"/>
      <c r="G105" s="57"/>
    </row>
    <row r="106" spans="1:7">
      <c r="A106" s="57"/>
      <c r="B106" s="57"/>
      <c r="C106" s="57"/>
      <c r="D106" s="57"/>
      <c r="E106" s="57"/>
      <c r="F106" s="57"/>
      <c r="G106" s="57"/>
    </row>
    <row r="107" spans="1:7">
      <c r="A107" s="57"/>
      <c r="B107" s="57"/>
      <c r="C107" s="57"/>
      <c r="D107" s="57"/>
      <c r="E107" s="57"/>
      <c r="F107" s="57"/>
      <c r="G107" s="57"/>
    </row>
    <row r="108" spans="1:7">
      <c r="A108" s="57"/>
      <c r="B108" s="57"/>
      <c r="C108" s="57"/>
      <c r="D108" s="57"/>
      <c r="E108" s="57"/>
      <c r="F108" s="57"/>
      <c r="G108" s="57"/>
    </row>
    <row r="109" spans="1:7">
      <c r="A109" s="57"/>
      <c r="B109" s="57"/>
      <c r="C109" s="57"/>
      <c r="D109" s="57"/>
      <c r="E109" s="57"/>
      <c r="F109" s="57"/>
      <c r="G109" s="57"/>
    </row>
    <row r="110" spans="1:7">
      <c r="A110" s="57"/>
      <c r="B110" s="57"/>
      <c r="C110" s="57"/>
      <c r="D110" s="57"/>
      <c r="E110" s="57"/>
      <c r="F110" s="57"/>
      <c r="G110" s="57"/>
    </row>
    <row r="111" spans="1:7">
      <c r="A111" s="57"/>
      <c r="B111" s="57"/>
      <c r="C111" s="57"/>
      <c r="D111" s="57"/>
      <c r="E111" s="57"/>
      <c r="F111" s="57"/>
      <c r="G111" s="57"/>
    </row>
    <row r="112" spans="1:7">
      <c r="A112" s="57"/>
      <c r="B112" s="57"/>
      <c r="C112" s="57"/>
      <c r="D112" s="57"/>
      <c r="E112" s="57"/>
      <c r="F112" s="57"/>
      <c r="G112" s="57"/>
    </row>
    <row r="113" spans="1:7">
      <c r="A113" s="57"/>
      <c r="B113" s="57"/>
      <c r="C113" s="57"/>
      <c r="D113" s="57"/>
      <c r="E113" s="57"/>
      <c r="F113" s="57"/>
      <c r="G113" s="57"/>
    </row>
    <row r="114" spans="1:7">
      <c r="A114" s="57"/>
      <c r="B114" s="57"/>
      <c r="C114" s="57"/>
      <c r="D114" s="57"/>
      <c r="E114" s="57"/>
      <c r="F114" s="57"/>
      <c r="G114" s="57"/>
    </row>
    <row r="115" spans="1:7">
      <c r="A115" s="57"/>
      <c r="B115" s="57"/>
      <c r="C115" s="57"/>
      <c r="D115" s="57"/>
      <c r="E115" s="57"/>
      <c r="F115" s="57"/>
      <c r="G115" s="57"/>
    </row>
    <row r="116" spans="1:7">
      <c r="A116" s="57"/>
      <c r="B116" s="57"/>
      <c r="C116" s="57"/>
      <c r="D116" s="57"/>
      <c r="E116" s="57"/>
      <c r="F116" s="57"/>
      <c r="G116" s="57"/>
    </row>
    <row r="117" spans="1:7">
      <c r="A117" s="57"/>
      <c r="B117" s="57"/>
      <c r="C117" s="57"/>
      <c r="D117" s="57"/>
      <c r="E117" s="57"/>
      <c r="F117" s="57"/>
      <c r="G117" s="57"/>
    </row>
    <row r="118" spans="1:7">
      <c r="A118" s="57"/>
      <c r="B118" s="57"/>
      <c r="C118" s="57"/>
      <c r="D118" s="57"/>
      <c r="E118" s="57"/>
      <c r="F118" s="57"/>
      <c r="G118" s="57"/>
    </row>
    <row r="119" spans="1:7">
      <c r="A119" s="57"/>
      <c r="B119" s="57"/>
      <c r="C119" s="57"/>
      <c r="D119" s="57"/>
      <c r="E119" s="57"/>
      <c r="F119" s="57"/>
      <c r="G119" s="57"/>
    </row>
    <row r="120" spans="1:7">
      <c r="A120" s="57"/>
      <c r="B120" s="57"/>
      <c r="C120" s="57"/>
      <c r="D120" s="57"/>
      <c r="E120" s="57"/>
      <c r="F120" s="57"/>
      <c r="G120" s="57"/>
    </row>
    <row r="121" spans="1:7">
      <c r="A121" s="57"/>
      <c r="B121" s="57"/>
      <c r="C121" s="57"/>
      <c r="D121" s="57"/>
      <c r="E121" s="57"/>
      <c r="F121" s="57"/>
      <c r="G121" s="57"/>
    </row>
    <row r="122" spans="1:7">
      <c r="A122" s="57"/>
      <c r="B122" s="57"/>
      <c r="C122" s="57"/>
      <c r="D122" s="57"/>
      <c r="E122" s="57"/>
      <c r="F122" s="57"/>
      <c r="G122" s="57"/>
    </row>
    <row r="123" spans="1:7">
      <c r="A123" s="57"/>
      <c r="B123" s="57"/>
      <c r="C123" s="57"/>
      <c r="D123" s="57"/>
      <c r="E123" s="57"/>
      <c r="F123" s="57"/>
      <c r="G123" s="57"/>
    </row>
    <row r="124" spans="1:7">
      <c r="A124" s="57"/>
      <c r="B124" s="57"/>
      <c r="C124" s="57"/>
      <c r="D124" s="57"/>
      <c r="E124" s="57"/>
      <c r="F124" s="57"/>
      <c r="G124" s="57"/>
    </row>
    <row r="125" spans="1:7">
      <c r="A125" s="57"/>
      <c r="B125" s="57"/>
      <c r="C125" s="57"/>
      <c r="D125" s="57"/>
      <c r="E125" s="57"/>
      <c r="F125" s="57"/>
      <c r="G125" s="57"/>
    </row>
    <row r="126" spans="1:7">
      <c r="A126" s="57"/>
      <c r="B126" s="57"/>
      <c r="C126" s="57"/>
      <c r="D126" s="57"/>
      <c r="E126" s="57"/>
      <c r="F126" s="57"/>
      <c r="G126" s="57"/>
    </row>
    <row r="127" spans="1:7">
      <c r="A127" s="57"/>
      <c r="B127" s="57"/>
      <c r="C127" s="57"/>
      <c r="D127" s="57"/>
      <c r="E127" s="57"/>
      <c r="F127" s="57"/>
      <c r="G127" s="57"/>
    </row>
    <row r="128" spans="1:7">
      <c r="A128" s="57"/>
      <c r="B128" s="57"/>
      <c r="C128" s="57"/>
      <c r="D128" s="57"/>
      <c r="E128" s="57"/>
      <c r="F128" s="57"/>
      <c r="G128" s="57"/>
    </row>
    <row r="129" spans="1:7">
      <c r="A129" s="57"/>
      <c r="B129" s="57"/>
      <c r="C129" s="57"/>
      <c r="D129" s="57"/>
      <c r="E129" s="57"/>
      <c r="F129" s="57"/>
      <c r="G129" s="57"/>
    </row>
    <row r="130" spans="1:7">
      <c r="A130" s="57"/>
      <c r="B130" s="57"/>
      <c r="C130" s="57"/>
      <c r="D130" s="57"/>
      <c r="E130" s="57"/>
      <c r="F130" s="57"/>
      <c r="G130" s="57"/>
    </row>
    <row r="131" spans="1:7">
      <c r="A131" s="57"/>
      <c r="B131" s="57"/>
      <c r="C131" s="57"/>
      <c r="D131" s="57"/>
      <c r="E131" s="57"/>
      <c r="F131" s="57"/>
      <c r="G131" s="57"/>
    </row>
    <row r="132" spans="1:7">
      <c r="A132" s="57"/>
      <c r="B132" s="57"/>
      <c r="C132" s="57"/>
      <c r="D132" s="57"/>
      <c r="E132" s="57"/>
      <c r="F132" s="57"/>
      <c r="G132" s="57"/>
    </row>
    <row r="133" spans="1:7">
      <c r="A133" s="57"/>
      <c r="B133" s="57"/>
      <c r="C133" s="57"/>
      <c r="D133" s="57"/>
      <c r="E133" s="57"/>
      <c r="F133" s="57"/>
      <c r="G133" s="57"/>
    </row>
    <row r="134" spans="1:7">
      <c r="A134" s="57"/>
      <c r="B134" s="57"/>
      <c r="C134" s="57"/>
      <c r="D134" s="57"/>
      <c r="E134" s="57"/>
      <c r="F134" s="57"/>
      <c r="G134" s="57"/>
    </row>
    <row r="135" spans="1:7">
      <c r="A135" s="57"/>
      <c r="B135" s="57"/>
      <c r="C135" s="57"/>
      <c r="D135" s="57"/>
      <c r="E135" s="57"/>
      <c r="F135" s="57"/>
      <c r="G135" s="57"/>
    </row>
    <row r="136" spans="1:7">
      <c r="A136" s="57"/>
      <c r="B136" s="57"/>
      <c r="C136" s="57"/>
      <c r="D136" s="57"/>
      <c r="E136" s="57"/>
      <c r="F136" s="57"/>
      <c r="G136" s="57"/>
    </row>
    <row r="137" spans="1:7">
      <c r="A137" s="57"/>
      <c r="B137" s="57"/>
      <c r="C137" s="57"/>
      <c r="D137" s="57"/>
      <c r="E137" s="57"/>
      <c r="F137" s="57"/>
      <c r="G137" s="57"/>
    </row>
    <row r="138" spans="1:7">
      <c r="A138" s="57"/>
      <c r="B138" s="57"/>
      <c r="C138" s="57"/>
      <c r="D138" s="57"/>
      <c r="E138" s="57"/>
      <c r="F138" s="57"/>
      <c r="G138" s="57"/>
    </row>
    <row r="139" spans="1:7">
      <c r="A139" s="57"/>
      <c r="B139" s="57"/>
      <c r="C139" s="57"/>
      <c r="D139" s="57"/>
      <c r="E139" s="57"/>
      <c r="F139" s="57"/>
      <c r="G139" s="57"/>
    </row>
    <row r="140" spans="1:7">
      <c r="A140" s="57"/>
      <c r="B140" s="57"/>
      <c r="C140" s="57"/>
      <c r="D140" s="57"/>
      <c r="E140" s="57"/>
      <c r="F140" s="57"/>
      <c r="G140" s="57"/>
    </row>
    <row r="141" spans="1:7">
      <c r="A141" s="57"/>
      <c r="B141" s="57"/>
      <c r="C141" s="57"/>
      <c r="D141" s="57"/>
      <c r="E141" s="57"/>
      <c r="F141" s="57"/>
      <c r="G141" s="57"/>
    </row>
    <row r="142" spans="1:7">
      <c r="A142" s="57"/>
      <c r="B142" s="57"/>
      <c r="C142" s="57"/>
      <c r="D142" s="57"/>
      <c r="E142" s="57"/>
      <c r="F142" s="57"/>
      <c r="G142" s="57"/>
    </row>
    <row r="143" spans="1:7">
      <c r="A143" s="57"/>
      <c r="B143" s="57"/>
      <c r="C143" s="57"/>
      <c r="D143" s="57"/>
      <c r="E143" s="57"/>
      <c r="F143" s="57"/>
      <c r="G143" s="57"/>
    </row>
    <row r="144" spans="1:7">
      <c r="A144" s="57"/>
      <c r="B144" s="57"/>
      <c r="C144" s="57"/>
      <c r="D144" s="57"/>
      <c r="E144" s="57"/>
      <c r="F144" s="57"/>
      <c r="G144" s="57"/>
    </row>
    <row r="145" spans="1:7">
      <c r="A145" s="57"/>
      <c r="B145" s="57"/>
      <c r="C145" s="57"/>
      <c r="D145" s="57"/>
      <c r="E145" s="57"/>
      <c r="F145" s="57"/>
      <c r="G145" s="57"/>
    </row>
    <row r="146" spans="1:7">
      <c r="A146" s="57"/>
      <c r="B146" s="57"/>
      <c r="C146" s="57"/>
      <c r="D146" s="57"/>
      <c r="E146" s="57"/>
      <c r="F146" s="57"/>
      <c r="G146" s="57"/>
    </row>
    <row r="147" spans="1:7">
      <c r="A147" s="57"/>
      <c r="B147" s="57"/>
      <c r="C147" s="57"/>
      <c r="D147" s="57"/>
      <c r="E147" s="57"/>
      <c r="F147" s="57"/>
      <c r="G147" s="57"/>
    </row>
    <row r="148" spans="1:7">
      <c r="A148" s="57"/>
      <c r="B148" s="57"/>
      <c r="C148" s="57"/>
      <c r="D148" s="57"/>
      <c r="E148" s="57"/>
      <c r="F148" s="57"/>
      <c r="G148" s="57"/>
    </row>
    <row r="149" spans="1:7">
      <c r="A149" s="57"/>
      <c r="B149" s="57"/>
      <c r="C149" s="57"/>
      <c r="D149" s="57"/>
      <c r="E149" s="57"/>
      <c r="F149" s="57"/>
      <c r="G149" s="57"/>
    </row>
    <row r="150" spans="1:7">
      <c r="A150" s="57"/>
      <c r="B150" s="57"/>
      <c r="C150" s="57"/>
      <c r="D150" s="57"/>
      <c r="E150" s="57"/>
      <c r="F150" s="57"/>
      <c r="G150" s="57"/>
    </row>
    <row r="151" spans="1:7">
      <c r="A151" s="57"/>
      <c r="B151" s="57"/>
      <c r="C151" s="57"/>
      <c r="D151" s="57"/>
      <c r="E151" s="57"/>
      <c r="F151" s="57"/>
      <c r="G151" s="57"/>
    </row>
    <row r="152" spans="1:7">
      <c r="A152" s="57"/>
      <c r="B152" s="57"/>
      <c r="C152" s="57"/>
      <c r="D152" s="57"/>
      <c r="E152" s="57"/>
      <c r="F152" s="57"/>
      <c r="G152" s="57"/>
    </row>
    <row r="153" spans="1:7">
      <c r="A153" s="57"/>
      <c r="B153" s="57"/>
      <c r="C153" s="57"/>
      <c r="D153" s="57"/>
      <c r="E153" s="57"/>
      <c r="F153" s="57"/>
      <c r="G153" s="57"/>
    </row>
    <row r="154" spans="1:7">
      <c r="A154" s="57"/>
      <c r="B154" s="57"/>
      <c r="C154" s="57"/>
      <c r="D154" s="57"/>
      <c r="E154" s="57"/>
      <c r="F154" s="57"/>
      <c r="G154" s="57"/>
    </row>
    <row r="155" spans="1:7">
      <c r="A155" s="57"/>
      <c r="B155" s="57"/>
      <c r="C155" s="57"/>
      <c r="D155" s="57"/>
      <c r="E155" s="57"/>
      <c r="F155" s="57"/>
      <c r="G155" s="57"/>
    </row>
    <row r="156" spans="1:7">
      <c r="A156" s="57"/>
      <c r="B156" s="57"/>
      <c r="C156" s="57"/>
      <c r="D156" s="57"/>
      <c r="E156" s="57"/>
      <c r="F156" s="57"/>
      <c r="G156" s="57"/>
    </row>
    <row r="157" spans="1:7">
      <c r="A157" s="57"/>
      <c r="B157" s="57"/>
      <c r="C157" s="57"/>
      <c r="D157" s="57"/>
      <c r="E157" s="57"/>
      <c r="F157" s="57"/>
      <c r="G157" s="57"/>
    </row>
    <row r="158" spans="1:7">
      <c r="A158" s="57"/>
      <c r="B158" s="57"/>
      <c r="C158" s="57"/>
      <c r="D158" s="57"/>
      <c r="E158" s="57"/>
      <c r="F158" s="57"/>
      <c r="G158" s="57"/>
    </row>
    <row r="159" spans="1:7">
      <c r="A159" s="57"/>
      <c r="B159" s="57"/>
      <c r="C159" s="57"/>
      <c r="D159" s="57"/>
      <c r="E159" s="57"/>
      <c r="F159" s="57"/>
      <c r="G159" s="57"/>
    </row>
    <row r="160" spans="1:7">
      <c r="A160" s="57"/>
      <c r="B160" s="57"/>
      <c r="C160" s="57"/>
      <c r="D160" s="57"/>
      <c r="E160" s="57"/>
      <c r="F160" s="57"/>
      <c r="G160" s="57"/>
    </row>
    <row r="161" spans="1:7">
      <c r="A161" s="57"/>
      <c r="B161" s="57"/>
      <c r="C161" s="57"/>
      <c r="D161" s="57"/>
      <c r="E161" s="57"/>
      <c r="F161" s="57"/>
      <c r="G161" s="57"/>
    </row>
    <row r="162" spans="1:7">
      <c r="A162" s="57"/>
      <c r="B162" s="57"/>
      <c r="C162" s="57"/>
      <c r="D162" s="57"/>
      <c r="E162" s="57"/>
      <c r="F162" s="57"/>
      <c r="G162" s="57"/>
    </row>
    <row r="163" spans="1:7">
      <c r="A163" s="57"/>
      <c r="B163" s="57"/>
      <c r="C163" s="57"/>
      <c r="D163" s="57"/>
      <c r="E163" s="57"/>
      <c r="F163" s="57"/>
      <c r="G163" s="57"/>
    </row>
    <row r="164" spans="1:7">
      <c r="A164" s="57"/>
      <c r="B164" s="57"/>
      <c r="C164" s="57"/>
      <c r="D164" s="57"/>
      <c r="E164" s="57"/>
      <c r="F164" s="57"/>
      <c r="G164" s="57"/>
    </row>
    <row r="165" spans="1:7">
      <c r="A165" s="57"/>
      <c r="B165" s="57"/>
      <c r="C165" s="57"/>
      <c r="D165" s="57"/>
      <c r="E165" s="57"/>
      <c r="F165" s="57"/>
      <c r="G165" s="57"/>
    </row>
    <row r="166" spans="1:7">
      <c r="A166" s="57"/>
      <c r="B166" s="57"/>
      <c r="C166" s="57"/>
      <c r="D166" s="57"/>
      <c r="E166" s="57"/>
      <c r="F166" s="57"/>
      <c r="G166" s="57"/>
    </row>
    <row r="167" spans="1:7">
      <c r="A167" s="57"/>
      <c r="B167" s="57"/>
      <c r="C167" s="57"/>
      <c r="D167" s="57"/>
      <c r="E167" s="57"/>
      <c r="F167" s="57"/>
      <c r="G167" s="57"/>
    </row>
    <row r="168" spans="1:7">
      <c r="A168" s="57"/>
      <c r="B168" s="57"/>
      <c r="C168" s="57"/>
      <c r="D168" s="57"/>
      <c r="E168" s="57"/>
      <c r="F168" s="57"/>
      <c r="G168" s="57"/>
    </row>
    <row r="169" spans="1:7">
      <c r="A169" s="57"/>
      <c r="B169" s="57"/>
      <c r="C169" s="57"/>
      <c r="D169" s="57"/>
      <c r="E169" s="57"/>
      <c r="F169" s="57"/>
      <c r="G169" s="57"/>
    </row>
    <row r="170" spans="1:7">
      <c r="A170" s="57"/>
      <c r="B170" s="57"/>
      <c r="C170" s="57"/>
      <c r="D170" s="57"/>
      <c r="E170" s="57"/>
      <c r="F170" s="57"/>
      <c r="G170" s="57"/>
    </row>
    <row r="171" spans="1:7">
      <c r="A171" s="57"/>
      <c r="B171" s="57"/>
      <c r="C171" s="57"/>
      <c r="D171" s="57"/>
      <c r="E171" s="57"/>
      <c r="F171" s="57"/>
      <c r="G171" s="57"/>
    </row>
    <row r="172" spans="1:7">
      <c r="A172" s="57"/>
      <c r="B172" s="57"/>
      <c r="C172" s="57"/>
      <c r="D172" s="57"/>
      <c r="E172" s="57"/>
      <c r="F172" s="57"/>
      <c r="G172" s="57"/>
    </row>
    <row r="173" spans="1:7">
      <c r="A173" s="57"/>
      <c r="B173" s="57"/>
      <c r="C173" s="57"/>
      <c r="D173" s="57"/>
      <c r="E173" s="57"/>
      <c r="F173" s="57"/>
      <c r="G173" s="57"/>
    </row>
    <row r="174" spans="1:7">
      <c r="A174" s="57"/>
      <c r="B174" s="57"/>
      <c r="C174" s="57"/>
      <c r="D174" s="57"/>
      <c r="E174" s="57"/>
      <c r="F174" s="57"/>
      <c r="G174" s="57"/>
    </row>
    <row r="175" spans="1:7">
      <c r="A175" s="57"/>
      <c r="B175" s="57"/>
      <c r="C175" s="57"/>
      <c r="D175" s="57"/>
      <c r="E175" s="57"/>
      <c r="F175" s="57"/>
      <c r="G175" s="57"/>
    </row>
    <row r="176" spans="1:7">
      <c r="A176" s="57"/>
      <c r="B176" s="57"/>
      <c r="C176" s="57"/>
      <c r="D176" s="57"/>
      <c r="E176" s="57"/>
      <c r="F176" s="57"/>
      <c r="G176" s="57"/>
    </row>
    <row r="177" spans="1:7">
      <c r="A177" s="57"/>
      <c r="B177" s="57"/>
      <c r="C177" s="57"/>
      <c r="D177" s="57"/>
      <c r="E177" s="57"/>
      <c r="F177" s="57"/>
      <c r="G177" s="57"/>
    </row>
    <row r="178" spans="1:7">
      <c r="A178" s="57"/>
      <c r="B178" s="57"/>
      <c r="C178" s="57"/>
      <c r="D178" s="57"/>
      <c r="E178" s="57"/>
      <c r="F178" s="57"/>
      <c r="G178" s="57"/>
    </row>
    <row r="179" spans="1:7">
      <c r="A179" s="57"/>
      <c r="B179" s="57"/>
      <c r="C179" s="57"/>
      <c r="D179" s="57"/>
      <c r="E179" s="57"/>
      <c r="F179" s="57"/>
      <c r="G179" s="57"/>
    </row>
    <row r="180" spans="1:7">
      <c r="A180" s="57"/>
      <c r="B180" s="57"/>
      <c r="C180" s="57"/>
      <c r="D180" s="57"/>
      <c r="E180" s="57"/>
      <c r="F180" s="57"/>
      <c r="G180" s="57"/>
    </row>
    <row r="181" spans="1:7">
      <c r="A181" s="57"/>
      <c r="B181" s="57"/>
      <c r="C181" s="57"/>
      <c r="D181" s="57"/>
      <c r="E181" s="57"/>
      <c r="F181" s="57"/>
      <c r="G181" s="57"/>
    </row>
    <row r="182" spans="1:7">
      <c r="A182" s="57"/>
      <c r="B182" s="57"/>
      <c r="C182" s="57"/>
      <c r="D182" s="57"/>
      <c r="E182" s="57"/>
      <c r="F182" s="57"/>
      <c r="G182" s="57"/>
    </row>
    <row r="183" spans="1:7">
      <c r="A183" s="57"/>
      <c r="B183" s="57"/>
      <c r="C183" s="57"/>
      <c r="D183" s="57"/>
      <c r="E183" s="57"/>
      <c r="F183" s="57"/>
      <c r="G183" s="57"/>
    </row>
    <row r="184" spans="1:7">
      <c r="A184" s="57"/>
      <c r="B184" s="57"/>
      <c r="C184" s="57"/>
      <c r="D184" s="57"/>
      <c r="E184" s="57"/>
      <c r="F184" s="57"/>
      <c r="G184" s="57"/>
    </row>
    <row r="185" spans="1:7">
      <c r="A185" s="57"/>
      <c r="B185" s="57"/>
      <c r="C185" s="57"/>
      <c r="D185" s="57"/>
      <c r="E185" s="57"/>
      <c r="F185" s="57"/>
      <c r="G185" s="57"/>
    </row>
    <row r="186" spans="1:7">
      <c r="A186" s="57"/>
      <c r="B186" s="57"/>
      <c r="C186" s="57"/>
      <c r="D186" s="57"/>
      <c r="E186" s="57"/>
      <c r="F186" s="57"/>
      <c r="G186" s="57"/>
    </row>
    <row r="187" spans="1:7">
      <c r="A187" s="57"/>
      <c r="B187" s="57"/>
      <c r="C187" s="57"/>
      <c r="D187" s="57"/>
      <c r="E187" s="57"/>
      <c r="F187" s="57"/>
      <c r="G187" s="57"/>
    </row>
    <row r="188" spans="1:7">
      <c r="A188" s="57"/>
      <c r="B188" s="57"/>
      <c r="C188" s="57"/>
      <c r="D188" s="57"/>
      <c r="E188" s="57"/>
      <c r="F188" s="57"/>
      <c r="G188" s="57"/>
    </row>
    <row r="189" spans="1:7">
      <c r="A189" s="57"/>
      <c r="B189" s="57"/>
      <c r="C189" s="57"/>
      <c r="D189" s="57"/>
      <c r="E189" s="57"/>
      <c r="F189" s="57"/>
      <c r="G189" s="57"/>
    </row>
    <row r="190" spans="1:7">
      <c r="A190" s="57"/>
      <c r="B190" s="57"/>
      <c r="C190" s="57"/>
      <c r="D190" s="57"/>
      <c r="E190" s="57"/>
      <c r="F190" s="57"/>
      <c r="G190" s="57"/>
    </row>
    <row r="191" spans="1:7">
      <c r="A191" s="57"/>
      <c r="B191" s="57"/>
      <c r="C191" s="57"/>
      <c r="D191" s="57"/>
      <c r="E191" s="57"/>
      <c r="F191" s="57"/>
      <c r="G191" s="57"/>
    </row>
    <row r="192" spans="1:7">
      <c r="A192" s="57"/>
      <c r="B192" s="57"/>
      <c r="C192" s="57"/>
      <c r="D192" s="57"/>
      <c r="E192" s="57"/>
      <c r="F192" s="57"/>
      <c r="G192" s="57"/>
    </row>
    <row r="193" spans="1:7">
      <c r="A193" s="57"/>
      <c r="B193" s="57"/>
      <c r="C193" s="57"/>
      <c r="D193" s="57"/>
      <c r="E193" s="57"/>
      <c r="F193" s="57"/>
      <c r="G193" s="57"/>
    </row>
    <row r="194" spans="1:7">
      <c r="A194" s="57"/>
      <c r="B194" s="57"/>
      <c r="C194" s="57"/>
      <c r="D194" s="57"/>
      <c r="E194" s="57"/>
      <c r="F194" s="57"/>
      <c r="G194" s="57"/>
    </row>
    <row r="195" spans="1:7">
      <c r="A195" s="57"/>
      <c r="B195" s="57"/>
      <c r="C195" s="57"/>
      <c r="D195" s="57"/>
      <c r="E195" s="57"/>
      <c r="F195" s="57"/>
      <c r="G195" s="57"/>
    </row>
    <row r="196" spans="1:7">
      <c r="A196" s="57"/>
      <c r="B196" s="57"/>
      <c r="C196" s="57"/>
      <c r="D196" s="57"/>
      <c r="E196" s="57"/>
      <c r="F196" s="57"/>
      <c r="G196" s="57"/>
    </row>
    <row r="197" spans="1:7">
      <c r="A197" s="57"/>
      <c r="B197" s="57"/>
      <c r="C197" s="57"/>
      <c r="D197" s="57"/>
      <c r="E197" s="57"/>
      <c r="F197" s="57"/>
      <c r="G197" s="57"/>
    </row>
    <row r="198" spans="1:7">
      <c r="A198" s="57"/>
      <c r="B198" s="57"/>
      <c r="C198" s="57"/>
      <c r="D198" s="57"/>
      <c r="E198" s="57"/>
      <c r="F198" s="57"/>
      <c r="G198" s="57"/>
    </row>
    <row r="199" spans="1:7">
      <c r="A199" s="57"/>
      <c r="B199" s="57"/>
      <c r="C199" s="57"/>
      <c r="D199" s="57"/>
      <c r="E199" s="57"/>
      <c r="F199" s="57"/>
      <c r="G199" s="57"/>
    </row>
    <row r="200" spans="1:7">
      <c r="A200" s="57"/>
      <c r="B200" s="57"/>
      <c r="C200" s="57"/>
      <c r="D200" s="57"/>
      <c r="E200" s="57"/>
      <c r="F200" s="57"/>
      <c r="G200" s="57"/>
    </row>
    <row r="201" spans="1:7">
      <c r="A201" s="57"/>
      <c r="B201" s="57"/>
      <c r="C201" s="57"/>
      <c r="D201" s="57"/>
      <c r="E201" s="57"/>
      <c r="F201" s="57"/>
      <c r="G201" s="57"/>
    </row>
    <row r="202" spans="1:7">
      <c r="A202" s="57"/>
      <c r="B202" s="57"/>
      <c r="C202" s="57"/>
      <c r="D202" s="57"/>
      <c r="E202" s="57"/>
      <c r="F202" s="57"/>
      <c r="G202" s="57"/>
    </row>
    <row r="203" spans="1:7">
      <c r="A203" s="57"/>
      <c r="B203" s="57"/>
      <c r="C203" s="57"/>
      <c r="D203" s="57"/>
      <c r="E203" s="57"/>
      <c r="F203" s="57"/>
      <c r="G203" s="57"/>
    </row>
    <row r="204" spans="1:7">
      <c r="A204" s="57"/>
      <c r="B204" s="57"/>
      <c r="C204" s="57"/>
      <c r="D204" s="57"/>
      <c r="E204" s="57"/>
      <c r="F204" s="57"/>
      <c r="G204" s="57"/>
    </row>
    <row r="205" spans="1:7">
      <c r="A205" s="57"/>
      <c r="B205" s="57"/>
      <c r="C205" s="57"/>
      <c r="D205" s="57"/>
      <c r="E205" s="57"/>
      <c r="F205" s="57"/>
      <c r="G205" s="57"/>
    </row>
    <row r="206" spans="1:7">
      <c r="A206" s="57"/>
      <c r="B206" s="57"/>
      <c r="C206" s="57"/>
      <c r="D206" s="57"/>
      <c r="E206" s="57"/>
      <c r="F206" s="57"/>
      <c r="G206" s="57"/>
    </row>
    <row r="207" spans="1:7">
      <c r="A207" s="57"/>
      <c r="B207" s="57"/>
      <c r="C207" s="57"/>
      <c r="D207" s="57"/>
      <c r="E207" s="57"/>
      <c r="F207" s="57"/>
      <c r="G207" s="57"/>
    </row>
  </sheetData>
  <mergeCells count="2">
    <mergeCell ref="A3:G3"/>
    <mergeCell ref="A28:G28"/>
  </mergeCells>
  <pageMargins left="0.62992125984251968" right="0.23622047244094491" top="0.94488188976377963" bottom="0.35433070866141736" header="0.31496062992125984" footer="0.31496062992125984"/>
  <pageSetup paperSize="9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B1:E62"/>
  <sheetViews>
    <sheetView topLeftCell="A32" workbookViewId="0">
      <selection activeCell="C60" sqref="C60:E60"/>
    </sheetView>
  </sheetViews>
  <sheetFormatPr defaultRowHeight="15"/>
  <cols>
    <col min="4" max="4" width="40.5703125" customWidth="1"/>
    <col min="5" max="5" width="47.28515625" customWidth="1"/>
  </cols>
  <sheetData>
    <row r="1" spans="2:5">
      <c r="B1" s="57"/>
      <c r="C1" s="72"/>
      <c r="D1" s="117"/>
      <c r="E1" s="91" t="s">
        <v>29</v>
      </c>
    </row>
    <row r="2" spans="2:5">
      <c r="B2" s="57"/>
      <c r="C2" s="118"/>
      <c r="D2" s="119"/>
      <c r="E2" s="92" t="s">
        <v>30</v>
      </c>
    </row>
    <row r="3" spans="2:5">
      <c r="B3" s="57"/>
      <c r="C3" s="72"/>
      <c r="D3" s="102"/>
      <c r="E3" s="92" t="s">
        <v>31</v>
      </c>
    </row>
    <row r="4" spans="2:5">
      <c r="B4" s="57"/>
      <c r="C4" s="72"/>
      <c r="D4" s="102"/>
      <c r="E4" s="91" t="s">
        <v>32</v>
      </c>
    </row>
    <row r="5" spans="2:5">
      <c r="B5" s="57"/>
      <c r="C5" s="3797"/>
      <c r="D5" s="3798"/>
      <c r="E5" s="3799"/>
    </row>
    <row r="6" spans="2:5" ht="47.25" customHeight="1">
      <c r="B6" s="57"/>
      <c r="C6" s="3856" t="s">
        <v>33</v>
      </c>
      <c r="D6" s="3856"/>
      <c r="E6" s="3856"/>
    </row>
    <row r="7" spans="2:5">
      <c r="B7" s="57"/>
      <c r="C7" s="120"/>
      <c r="D7" s="120"/>
      <c r="E7" s="118"/>
    </row>
    <row r="8" spans="2:5">
      <c r="B8" s="57"/>
      <c r="C8" s="84"/>
      <c r="D8" s="121"/>
      <c r="E8" s="122"/>
    </row>
    <row r="9" spans="2:5">
      <c r="B9" s="57"/>
      <c r="C9" s="3857" t="s">
        <v>34</v>
      </c>
      <c r="D9" s="3857" t="s">
        <v>35</v>
      </c>
      <c r="E9" s="3858" t="s">
        <v>36</v>
      </c>
    </row>
    <row r="10" spans="2:5">
      <c r="B10" s="57"/>
      <c r="C10" s="3857"/>
      <c r="D10" s="3857"/>
      <c r="E10" s="3858"/>
    </row>
    <row r="11" spans="2:5">
      <c r="B11" s="57"/>
      <c r="C11" s="3857"/>
      <c r="D11" s="3857"/>
      <c r="E11" s="3858"/>
    </row>
    <row r="12" spans="2:5" ht="14.25" customHeight="1">
      <c r="B12" s="57"/>
      <c r="C12" s="3857"/>
      <c r="D12" s="3857"/>
      <c r="E12" s="3858"/>
    </row>
    <row r="13" spans="2:5" hidden="1">
      <c r="B13" s="57"/>
      <c r="C13" s="3857"/>
      <c r="D13" s="3857"/>
      <c r="E13" s="3858"/>
    </row>
    <row r="14" spans="2:5">
      <c r="B14" s="57"/>
      <c r="C14" s="124">
        <v>1</v>
      </c>
      <c r="D14" s="124">
        <v>2</v>
      </c>
      <c r="E14" s="125"/>
    </row>
    <row r="15" spans="2:5" ht="24.75" customHeight="1">
      <c r="B15" s="57"/>
      <c r="C15" s="126" t="s">
        <v>37</v>
      </c>
      <c r="D15" s="126" t="s">
        <v>38</v>
      </c>
      <c r="E15" s="127" t="e">
        <f>#REF!</f>
        <v>#REF!</v>
      </c>
    </row>
    <row r="16" spans="2:5">
      <c r="B16" s="57"/>
      <c r="C16" s="128" t="s">
        <v>39</v>
      </c>
      <c r="D16" s="129" t="s">
        <v>40</v>
      </c>
      <c r="E16" s="130" t="e">
        <f>#REF!</f>
        <v>#REF!</v>
      </c>
    </row>
    <row r="17" spans="2:5" ht="15.75" customHeight="1">
      <c r="B17" s="57"/>
      <c r="C17" s="128" t="s">
        <v>41</v>
      </c>
      <c r="D17" s="129" t="s">
        <v>42</v>
      </c>
      <c r="E17" s="130" t="e">
        <f>E18+E19+E20+E21+E22+E23+E24+E25+E26+E27+E28+E29+E30+E31+E32+E33+E34+E35+E36+E37+E38+E39+E40+E41+E42</f>
        <v>#REF!</v>
      </c>
    </row>
    <row r="18" spans="2:5" ht="17.25" customHeight="1">
      <c r="B18" s="57"/>
      <c r="C18" s="131">
        <v>1</v>
      </c>
      <c r="D18" s="132" t="s">
        <v>43</v>
      </c>
      <c r="E18" s="133" t="e">
        <f>#REF!</f>
        <v>#REF!</v>
      </c>
    </row>
    <row r="19" spans="2:5" ht="15" customHeight="1">
      <c r="B19" s="57"/>
      <c r="C19" s="131">
        <v>2</v>
      </c>
      <c r="D19" s="132" t="s">
        <v>44</v>
      </c>
      <c r="E19" s="133" t="e">
        <f>#REF!</f>
        <v>#REF!</v>
      </c>
    </row>
    <row r="20" spans="2:5">
      <c r="B20" s="57"/>
      <c r="C20" s="131">
        <v>3</v>
      </c>
      <c r="D20" s="132" t="s">
        <v>45</v>
      </c>
      <c r="E20" s="133" t="e">
        <f>#REF!</f>
        <v>#REF!</v>
      </c>
    </row>
    <row r="21" spans="2:5" ht="18.75" customHeight="1">
      <c r="B21" s="57"/>
      <c r="C21" s="131">
        <v>4</v>
      </c>
      <c r="D21" s="134" t="s">
        <v>46</v>
      </c>
      <c r="E21" s="133" t="e">
        <f>#REF!</f>
        <v>#REF!</v>
      </c>
    </row>
    <row r="22" spans="2:5">
      <c r="B22" s="57"/>
      <c r="C22" s="131">
        <v>5</v>
      </c>
      <c r="D22" s="132" t="s">
        <v>47</v>
      </c>
      <c r="E22" s="133" t="e">
        <f>#REF!</f>
        <v>#REF!</v>
      </c>
    </row>
    <row r="23" spans="2:5" ht="14.25" customHeight="1">
      <c r="B23" s="57"/>
      <c r="C23" s="131">
        <v>6</v>
      </c>
      <c r="D23" s="134" t="s">
        <v>48</v>
      </c>
      <c r="E23" s="133" t="e">
        <f>#REF!</f>
        <v>#REF!</v>
      </c>
    </row>
    <row r="24" spans="2:5" ht="43.5" customHeight="1">
      <c r="B24" s="57"/>
      <c r="C24" s="131">
        <v>7</v>
      </c>
      <c r="D24" s="134" t="s">
        <v>49</v>
      </c>
      <c r="E24" s="133" t="e">
        <f>#REF!</f>
        <v>#REF!</v>
      </c>
    </row>
    <row r="25" spans="2:5" ht="18.75" customHeight="1">
      <c r="B25" s="57"/>
      <c r="C25" s="131">
        <v>8</v>
      </c>
      <c r="D25" s="134" t="s">
        <v>50</v>
      </c>
      <c r="E25" s="133" t="e">
        <f>#REF!</f>
        <v>#REF!</v>
      </c>
    </row>
    <row r="26" spans="2:5" ht="20.25" customHeight="1">
      <c r="B26" s="57"/>
      <c r="C26" s="135" t="s">
        <v>51</v>
      </c>
      <c r="D26" s="134" t="s">
        <v>52</v>
      </c>
      <c r="E26" s="133" t="e">
        <f>#REF!</f>
        <v>#REF!</v>
      </c>
    </row>
    <row r="27" spans="2:5">
      <c r="B27" s="57"/>
      <c r="C27" s="135" t="s">
        <v>53</v>
      </c>
      <c r="D27" s="134" t="s">
        <v>54</v>
      </c>
      <c r="E27" s="133" t="e">
        <f>#REF!</f>
        <v>#REF!</v>
      </c>
    </row>
    <row r="28" spans="2:5">
      <c r="B28" s="57"/>
      <c r="C28" s="135" t="s">
        <v>55</v>
      </c>
      <c r="D28" s="134" t="s">
        <v>56</v>
      </c>
      <c r="E28" s="133" t="e">
        <f>#REF!</f>
        <v>#REF!</v>
      </c>
    </row>
    <row r="29" spans="2:5">
      <c r="B29" s="57"/>
      <c r="C29" s="135" t="s">
        <v>57</v>
      </c>
      <c r="D29" s="134" t="s">
        <v>58</v>
      </c>
      <c r="E29" s="133" t="e">
        <f>#REF!</f>
        <v>#REF!</v>
      </c>
    </row>
    <row r="30" spans="2:5" ht="11.25" customHeight="1">
      <c r="B30" s="57"/>
      <c r="C30" s="135" t="s">
        <v>59</v>
      </c>
      <c r="D30" s="134" t="s">
        <v>60</v>
      </c>
      <c r="E30" s="133" t="e">
        <f>#REF!</f>
        <v>#REF!</v>
      </c>
    </row>
    <row r="31" spans="2:5" ht="22.5" customHeight="1">
      <c r="B31" s="57"/>
      <c r="C31" s="135" t="s">
        <v>61</v>
      </c>
      <c r="D31" s="134" t="s">
        <v>62</v>
      </c>
      <c r="E31" s="133" t="e">
        <f>#REF!</f>
        <v>#REF!</v>
      </c>
    </row>
    <row r="32" spans="2:5" ht="17.25" customHeight="1">
      <c r="B32" s="57"/>
      <c r="C32" s="135" t="s">
        <v>63</v>
      </c>
      <c r="D32" s="134" t="s">
        <v>64</v>
      </c>
      <c r="E32" s="133" t="e">
        <f>#REF!</f>
        <v>#REF!</v>
      </c>
    </row>
    <row r="33" spans="2:5" ht="26.25" customHeight="1">
      <c r="B33" s="57"/>
      <c r="C33" s="135" t="s">
        <v>65</v>
      </c>
      <c r="D33" s="134" t="s">
        <v>66</v>
      </c>
      <c r="E33" s="133" t="e">
        <f>#REF!</f>
        <v>#REF!</v>
      </c>
    </row>
    <row r="34" spans="2:5" ht="14.25" customHeight="1">
      <c r="B34" s="57"/>
      <c r="C34" s="131">
        <v>23</v>
      </c>
      <c r="D34" s="134" t="s">
        <v>67</v>
      </c>
      <c r="E34" s="133" t="e">
        <f>#REF!</f>
        <v>#REF!</v>
      </c>
    </row>
    <row r="35" spans="2:5" ht="30" customHeight="1">
      <c r="B35" s="57"/>
      <c r="C35" s="131">
        <v>24</v>
      </c>
      <c r="D35" s="134" t="s">
        <v>68</v>
      </c>
      <c r="E35" s="133" t="e">
        <f>#REF!</f>
        <v>#REF!</v>
      </c>
    </row>
    <row r="36" spans="2:5" ht="31.5" customHeight="1">
      <c r="B36" s="57"/>
      <c r="C36" s="131">
        <v>25</v>
      </c>
      <c r="D36" s="132" t="s">
        <v>69</v>
      </c>
      <c r="E36" s="133" t="e">
        <f>#REF!</f>
        <v>#REF!</v>
      </c>
    </row>
    <row r="37" spans="2:5" ht="25.5" customHeight="1">
      <c r="B37" s="57"/>
      <c r="C37" s="135" t="s">
        <v>70</v>
      </c>
      <c r="D37" s="134" t="s">
        <v>71</v>
      </c>
      <c r="E37" s="133" t="e">
        <f>#REF!</f>
        <v>#REF!</v>
      </c>
    </row>
    <row r="38" spans="2:5" ht="29.25" customHeight="1">
      <c r="B38" s="57"/>
      <c r="C38" s="131">
        <v>28</v>
      </c>
      <c r="D38" s="134" t="s">
        <v>72</v>
      </c>
      <c r="E38" s="133" t="e">
        <f>#REF!</f>
        <v>#REF!</v>
      </c>
    </row>
    <row r="39" spans="2:5" ht="18.75" customHeight="1">
      <c r="B39" s="57"/>
      <c r="C39" s="131">
        <v>29</v>
      </c>
      <c r="D39" s="132" t="s">
        <v>73</v>
      </c>
      <c r="E39" s="133" t="e">
        <f>#REF!</f>
        <v>#REF!</v>
      </c>
    </row>
    <row r="40" spans="2:5">
      <c r="B40" s="57"/>
      <c r="C40" s="131">
        <v>31</v>
      </c>
      <c r="D40" s="134" t="s">
        <v>74</v>
      </c>
      <c r="E40" s="133" t="e">
        <f>#REF!</f>
        <v>#REF!</v>
      </c>
    </row>
    <row r="41" spans="2:5" ht="32.25" customHeight="1">
      <c r="B41" s="57"/>
      <c r="C41" s="131">
        <v>32</v>
      </c>
      <c r="D41" s="132" t="s">
        <v>75</v>
      </c>
      <c r="E41" s="133" t="e">
        <f>#REF!</f>
        <v>#REF!</v>
      </c>
    </row>
    <row r="42" spans="2:5" ht="16.5" customHeight="1">
      <c r="B42" s="57"/>
      <c r="C42" s="131">
        <v>33</v>
      </c>
      <c r="D42" s="132" t="s">
        <v>76</v>
      </c>
      <c r="E42" s="133" t="e">
        <f>#REF!</f>
        <v>#REF!</v>
      </c>
    </row>
    <row r="43" spans="2:5" ht="15" customHeight="1">
      <c r="B43" s="57"/>
      <c r="C43" s="131">
        <v>37</v>
      </c>
      <c r="D43" s="132" t="s">
        <v>77</v>
      </c>
      <c r="E43" s="133" t="e">
        <f>#REF!</f>
        <v>#REF!</v>
      </c>
    </row>
    <row r="44" spans="2:5" ht="14.25" customHeight="1">
      <c r="B44" s="57"/>
      <c r="C44" s="128"/>
      <c r="D44" s="136" t="s">
        <v>78</v>
      </c>
      <c r="E44" s="130" t="e">
        <f>E18+E19+E20+E21+E22+E23+E24+E25+E26+E27+E28+E29+E30+E31+E32+E33+E34+E35+E36+E37+E38+E39+E40+E41+E42</f>
        <v>#REF!</v>
      </c>
    </row>
    <row r="45" spans="2:5" ht="24.75" customHeight="1">
      <c r="B45" s="57"/>
      <c r="C45" s="137">
        <v>38</v>
      </c>
      <c r="D45" s="110" t="s">
        <v>79</v>
      </c>
      <c r="E45" s="138" t="e">
        <f>#REF!</f>
        <v>#REF!</v>
      </c>
    </row>
    <row r="46" spans="2:5" ht="16.5" hidden="1" customHeight="1">
      <c r="B46" s="57"/>
      <c r="C46" s="137">
        <v>39</v>
      </c>
      <c r="D46" s="110" t="s">
        <v>80</v>
      </c>
      <c r="E46" s="138">
        <v>0</v>
      </c>
    </row>
    <row r="47" spans="2:5" ht="18" hidden="1" customHeight="1">
      <c r="B47" s="57"/>
      <c r="C47" s="139">
        <v>40</v>
      </c>
      <c r="D47" s="93" t="s">
        <v>81</v>
      </c>
      <c r="E47" s="100">
        <v>0</v>
      </c>
    </row>
    <row r="48" spans="2:5" ht="14.25" customHeight="1">
      <c r="B48" s="57"/>
      <c r="C48" s="128"/>
      <c r="D48" s="136" t="s">
        <v>82</v>
      </c>
      <c r="E48" s="130" t="e">
        <f>E44+E45</f>
        <v>#REF!</v>
      </c>
    </row>
    <row r="49" spans="2:5" ht="17.25" customHeight="1">
      <c r="B49" s="57"/>
      <c r="C49" s="108"/>
      <c r="D49" s="99" t="s">
        <v>83</v>
      </c>
      <c r="E49" s="140">
        <v>0</v>
      </c>
    </row>
    <row r="50" spans="2:5" ht="15.75" customHeight="1">
      <c r="B50" s="57"/>
      <c r="C50" s="141">
        <v>42</v>
      </c>
      <c r="D50" s="93" t="s">
        <v>84</v>
      </c>
      <c r="E50" s="142" t="e">
        <f>E15+E16-E48</f>
        <v>#REF!</v>
      </c>
    </row>
    <row r="51" spans="2:5">
      <c r="B51" s="57"/>
      <c r="C51" s="95"/>
      <c r="D51" s="96"/>
      <c r="E51" s="97"/>
    </row>
    <row r="52" spans="2:5">
      <c r="B52" s="57"/>
      <c r="C52" s="95"/>
      <c r="D52" s="96"/>
      <c r="E52" s="97"/>
    </row>
    <row r="53" spans="2:5">
      <c r="B53" s="57"/>
      <c r="C53" s="3859" t="s">
        <v>85</v>
      </c>
      <c r="D53" s="3859"/>
      <c r="E53" s="3859"/>
    </row>
    <row r="54" spans="2:5">
      <c r="B54" s="57"/>
      <c r="C54" s="95"/>
      <c r="D54" s="96"/>
      <c r="E54" s="97"/>
    </row>
    <row r="55" spans="2:5">
      <c r="B55" s="57"/>
      <c r="C55" s="3859" t="s">
        <v>86</v>
      </c>
      <c r="D55" s="3859"/>
      <c r="E55" s="3859"/>
    </row>
    <row r="56" spans="2:5">
      <c r="B56" s="57"/>
      <c r="C56" s="94"/>
      <c r="D56" s="94"/>
      <c r="E56" s="94"/>
    </row>
    <row r="57" spans="2:5">
      <c r="B57" s="57"/>
      <c r="C57" s="94"/>
      <c r="D57" s="94"/>
      <c r="E57" s="94"/>
    </row>
    <row r="58" spans="2:5">
      <c r="B58" s="57"/>
      <c r="C58" s="3855" t="s">
        <v>87</v>
      </c>
      <c r="D58" s="3855"/>
      <c r="E58" s="3855"/>
    </row>
    <row r="59" spans="2:5">
      <c r="B59" s="57"/>
      <c r="C59" s="98"/>
      <c r="D59" s="98"/>
      <c r="E59" s="98"/>
    </row>
    <row r="60" spans="2:5">
      <c r="B60" s="57"/>
      <c r="C60" s="3855" t="s">
        <v>88</v>
      </c>
      <c r="D60" s="3855"/>
      <c r="E60" s="3855"/>
    </row>
    <row r="61" spans="2:5">
      <c r="B61" s="57"/>
      <c r="C61" s="98"/>
      <c r="D61" s="98"/>
      <c r="E61" s="98"/>
    </row>
    <row r="62" spans="2:5">
      <c r="B62" s="57"/>
      <c r="C62" s="3855" t="s">
        <v>89</v>
      </c>
      <c r="D62" s="3855"/>
      <c r="E62" s="3855"/>
    </row>
  </sheetData>
  <mergeCells count="9">
    <mergeCell ref="C58:E58"/>
    <mergeCell ref="C60:E60"/>
    <mergeCell ref="C62:E62"/>
    <mergeCell ref="C6:E6"/>
    <mergeCell ref="C9:C13"/>
    <mergeCell ref="D9:D13"/>
    <mergeCell ref="E9:E13"/>
    <mergeCell ref="C53:E53"/>
    <mergeCell ref="C55:E55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C140"/>
  <sheetViews>
    <sheetView workbookViewId="0">
      <selection activeCell="A140" sqref="A1:D140"/>
    </sheetView>
  </sheetViews>
  <sheetFormatPr defaultRowHeight="15"/>
  <cols>
    <col min="2" max="2" width="43.140625" customWidth="1"/>
    <col min="3" max="3" width="44.42578125" customWidth="1"/>
  </cols>
  <sheetData>
    <row r="1" spans="1:3">
      <c r="A1" s="87"/>
      <c r="B1" s="87"/>
      <c r="C1" s="91" t="s">
        <v>29</v>
      </c>
    </row>
    <row r="2" spans="1:3">
      <c r="A2" s="87"/>
      <c r="B2" s="87"/>
      <c r="C2" s="92" t="s">
        <v>30</v>
      </c>
    </row>
    <row r="3" spans="1:3">
      <c r="A3" s="87"/>
      <c r="B3" s="87"/>
      <c r="C3" s="92" t="s">
        <v>31</v>
      </c>
    </row>
    <row r="4" spans="1:3">
      <c r="A4" s="87"/>
      <c r="B4" s="87"/>
      <c r="C4" s="91" t="s">
        <v>32</v>
      </c>
    </row>
    <row r="5" spans="1:3" ht="25.5" customHeight="1">
      <c r="A5" s="72"/>
      <c r="B5" s="102"/>
      <c r="C5" s="91"/>
    </row>
    <row r="6" spans="1:3">
      <c r="A6" s="143"/>
      <c r="B6" s="144"/>
      <c r="C6" s="145"/>
    </row>
    <row r="7" spans="1:3" ht="36" customHeight="1">
      <c r="A7" s="3856" t="s">
        <v>90</v>
      </c>
      <c r="B7" s="3856"/>
      <c r="C7" s="3856"/>
    </row>
    <row r="8" spans="1:3">
      <c r="A8" s="120"/>
      <c r="B8" s="120"/>
      <c r="C8" s="118"/>
    </row>
    <row r="9" spans="1:3">
      <c r="A9" s="146"/>
      <c r="B9" s="147"/>
      <c r="C9" s="148"/>
    </row>
    <row r="10" spans="1:3">
      <c r="A10" s="3857" t="s">
        <v>34</v>
      </c>
      <c r="B10" s="3857" t="s">
        <v>35</v>
      </c>
      <c r="C10" s="3858" t="s">
        <v>91</v>
      </c>
    </row>
    <row r="11" spans="1:3">
      <c r="A11" s="3857"/>
      <c r="B11" s="3857"/>
      <c r="C11" s="3858"/>
    </row>
    <row r="12" spans="1:3">
      <c r="A12" s="3857"/>
      <c r="B12" s="3857"/>
      <c r="C12" s="3858"/>
    </row>
    <row r="13" spans="1:3">
      <c r="A13" s="3857"/>
      <c r="B13" s="3857"/>
      <c r="C13" s="3858"/>
    </row>
    <row r="14" spans="1:3" hidden="1">
      <c r="A14" s="3857"/>
      <c r="B14" s="3857"/>
      <c r="C14" s="3858"/>
    </row>
    <row r="15" spans="1:3">
      <c r="A15" s="124">
        <v>1</v>
      </c>
      <c r="B15" s="124">
        <v>2</v>
      </c>
      <c r="C15" s="125"/>
    </row>
    <row r="16" spans="1:3" ht="21" customHeight="1">
      <c r="A16" s="126" t="s">
        <v>37</v>
      </c>
      <c r="B16" s="126" t="s">
        <v>38</v>
      </c>
      <c r="C16" s="127" t="e">
        <f>#REF!</f>
        <v>#REF!</v>
      </c>
    </row>
    <row r="17" spans="1:3">
      <c r="A17" s="128" t="s">
        <v>39</v>
      </c>
      <c r="B17" s="129" t="s">
        <v>40</v>
      </c>
      <c r="C17" s="130" t="e">
        <f>C18+C20+C21</f>
        <v>#REF!</v>
      </c>
    </row>
    <row r="18" spans="1:3" ht="21" customHeight="1">
      <c r="A18" s="108">
        <v>1</v>
      </c>
      <c r="B18" s="149" t="s">
        <v>92</v>
      </c>
      <c r="C18" s="140" t="e">
        <f>C19</f>
        <v>#REF!</v>
      </c>
    </row>
    <row r="19" spans="1:3" ht="20.25" customHeight="1">
      <c r="A19" s="106" t="s">
        <v>93</v>
      </c>
      <c r="B19" s="109" t="s">
        <v>94</v>
      </c>
      <c r="C19" s="142" t="e">
        <f>#REF!</f>
        <v>#REF!</v>
      </c>
    </row>
    <row r="20" spans="1:3" ht="25.5" customHeight="1">
      <c r="A20" s="150" t="s">
        <v>95</v>
      </c>
      <c r="B20" s="149" t="s">
        <v>96</v>
      </c>
      <c r="C20" s="140" t="e">
        <f>#REF!</f>
        <v>#REF!</v>
      </c>
    </row>
    <row r="21" spans="1:3" ht="18" customHeight="1">
      <c r="A21" s="150">
        <v>5</v>
      </c>
      <c r="B21" s="149" t="s">
        <v>97</v>
      </c>
      <c r="C21" s="140" t="e">
        <f>C22</f>
        <v>#REF!</v>
      </c>
    </row>
    <row r="22" spans="1:3" ht="20.25" customHeight="1">
      <c r="A22" s="106" t="s">
        <v>98</v>
      </c>
      <c r="B22" s="109" t="s">
        <v>99</v>
      </c>
      <c r="C22" s="142" t="e">
        <f>#REF!</f>
        <v>#REF!</v>
      </c>
    </row>
    <row r="23" spans="1:3">
      <c r="A23" s="128" t="s">
        <v>41</v>
      </c>
      <c r="B23" s="129" t="s">
        <v>42</v>
      </c>
      <c r="C23" s="130" t="e">
        <f>C24+C33+C36+C52+C57+C62+C72+C85+C89+C90+C91+C92+C93+C94+C95+C101+C104+C105+C108+C111+C113+C115+C119+C121+C96</f>
        <v>#REF!</v>
      </c>
    </row>
    <row r="24" spans="1:3" ht="21" customHeight="1">
      <c r="A24" s="131">
        <v>1</v>
      </c>
      <c r="B24" s="132" t="s">
        <v>43</v>
      </c>
      <c r="C24" s="133" t="e">
        <f>C25+C26+C27+C28+C29+C30+C31+C32</f>
        <v>#REF!</v>
      </c>
    </row>
    <row r="25" spans="1:3" ht="17.25" customHeight="1">
      <c r="A25" s="151" t="s">
        <v>93</v>
      </c>
      <c r="B25" s="152" t="s">
        <v>100</v>
      </c>
      <c r="C25" s="153" t="e">
        <f>#REF!</f>
        <v>#REF!</v>
      </c>
    </row>
    <row r="26" spans="1:3" ht="21" customHeight="1">
      <c r="A26" s="151" t="s">
        <v>101</v>
      </c>
      <c r="B26" s="152" t="s">
        <v>102</v>
      </c>
      <c r="C26" s="153" t="e">
        <f>#REF!</f>
        <v>#REF!</v>
      </c>
    </row>
    <row r="27" spans="1:3" ht="16.5" customHeight="1">
      <c r="A27" s="151" t="s">
        <v>103</v>
      </c>
      <c r="B27" s="152" t="s">
        <v>104</v>
      </c>
      <c r="C27" s="153" t="e">
        <f>#REF!</f>
        <v>#REF!</v>
      </c>
    </row>
    <row r="28" spans="1:3" ht="16.5" customHeight="1">
      <c r="A28" s="151" t="s">
        <v>105</v>
      </c>
      <c r="B28" s="152" t="s">
        <v>106</v>
      </c>
      <c r="C28" s="153">
        <v>0</v>
      </c>
    </row>
    <row r="29" spans="1:3" ht="21.75" customHeight="1">
      <c r="A29" s="151" t="s">
        <v>107</v>
      </c>
      <c r="B29" s="152" t="s">
        <v>108</v>
      </c>
      <c r="C29" s="153" t="e">
        <f>#REF!</f>
        <v>#REF!</v>
      </c>
    </row>
    <row r="30" spans="1:3" ht="18.75" customHeight="1">
      <c r="A30" s="151" t="s">
        <v>109</v>
      </c>
      <c r="B30" s="152" t="s">
        <v>110</v>
      </c>
      <c r="C30" s="153">
        <v>0</v>
      </c>
    </row>
    <row r="31" spans="1:3" ht="18.75" customHeight="1">
      <c r="A31" s="106" t="s">
        <v>111</v>
      </c>
      <c r="B31" s="107" t="s">
        <v>112</v>
      </c>
      <c r="C31" s="153" t="e">
        <f>#REF!</f>
        <v>#REF!</v>
      </c>
    </row>
    <row r="32" spans="1:3" ht="14.25" customHeight="1">
      <c r="A32" s="106" t="s">
        <v>113</v>
      </c>
      <c r="B32" s="107" t="s">
        <v>114</v>
      </c>
      <c r="C32" s="153" t="e">
        <f>#REF!</f>
        <v>#REF!</v>
      </c>
    </row>
    <row r="33" spans="1:3" ht="21.75" customHeight="1">
      <c r="A33" s="131">
        <v>2</v>
      </c>
      <c r="B33" s="132" t="s">
        <v>44</v>
      </c>
      <c r="C33" s="133" t="e">
        <f>C34+C35</f>
        <v>#REF!</v>
      </c>
    </row>
    <row r="34" spans="1:3" ht="17.25" customHeight="1">
      <c r="A34" s="151" t="s">
        <v>115</v>
      </c>
      <c r="B34" s="152" t="s">
        <v>116</v>
      </c>
      <c r="C34" s="153" t="e">
        <f>#REF!</f>
        <v>#REF!</v>
      </c>
    </row>
    <row r="35" spans="1:3" ht="17.25" customHeight="1">
      <c r="A35" s="151" t="s">
        <v>117</v>
      </c>
      <c r="B35" s="152" t="s">
        <v>118</v>
      </c>
      <c r="C35" s="153" t="e">
        <f>#REF!</f>
        <v>#REF!</v>
      </c>
    </row>
    <row r="36" spans="1:3">
      <c r="A36" s="131">
        <v>3</v>
      </c>
      <c r="B36" s="132" t="s">
        <v>45</v>
      </c>
      <c r="C36" s="133" t="e">
        <f>C37+C40+C41+C42+C43+C44+C45+C48</f>
        <v>#REF!</v>
      </c>
    </row>
    <row r="37" spans="1:3" ht="15.75" customHeight="1">
      <c r="A37" s="151" t="s">
        <v>119</v>
      </c>
      <c r="B37" s="154" t="s">
        <v>120</v>
      </c>
      <c r="C37" s="153">
        <f>C38+C39</f>
        <v>0</v>
      </c>
    </row>
    <row r="38" spans="1:3" ht="13.5" customHeight="1">
      <c r="A38" s="151" t="s">
        <v>121</v>
      </c>
      <c r="B38" s="154" t="s">
        <v>122</v>
      </c>
      <c r="C38" s="153">
        <v>0</v>
      </c>
    </row>
    <row r="39" spans="1:3" ht="19.5" customHeight="1">
      <c r="A39" s="151" t="s">
        <v>123</v>
      </c>
      <c r="B39" s="154" t="s">
        <v>124</v>
      </c>
      <c r="C39" s="153">
        <v>0</v>
      </c>
    </row>
    <row r="40" spans="1:3">
      <c r="A40" s="151" t="s">
        <v>125</v>
      </c>
      <c r="B40" s="152" t="s">
        <v>126</v>
      </c>
      <c r="C40" s="153" t="e">
        <f>#REF!</f>
        <v>#REF!</v>
      </c>
    </row>
    <row r="41" spans="1:3" ht="21.75" customHeight="1">
      <c r="A41" s="151" t="s">
        <v>127</v>
      </c>
      <c r="B41" s="152" t="s">
        <v>128</v>
      </c>
      <c r="C41" s="153" t="e">
        <f>#REF!</f>
        <v>#REF!</v>
      </c>
    </row>
    <row r="42" spans="1:3" ht="16.5" customHeight="1">
      <c r="A42" s="151" t="s">
        <v>129</v>
      </c>
      <c r="B42" s="152" t="s">
        <v>130</v>
      </c>
      <c r="C42" s="153" t="e">
        <f>#REF!</f>
        <v>#REF!</v>
      </c>
    </row>
    <row r="43" spans="1:3" ht="16.5" customHeight="1">
      <c r="A43" s="151" t="s">
        <v>131</v>
      </c>
      <c r="B43" s="152" t="s">
        <v>132</v>
      </c>
      <c r="C43" s="153" t="e">
        <f>#REF!</f>
        <v>#REF!</v>
      </c>
    </row>
    <row r="44" spans="1:3" ht="16.5" customHeight="1">
      <c r="A44" s="151" t="s">
        <v>133</v>
      </c>
      <c r="B44" s="152" t="s">
        <v>134</v>
      </c>
      <c r="C44" s="153" t="e">
        <f>#REF!</f>
        <v>#REF!</v>
      </c>
    </row>
    <row r="45" spans="1:3" ht="28.5" customHeight="1">
      <c r="A45" s="151" t="s">
        <v>135</v>
      </c>
      <c r="B45" s="152" t="s">
        <v>136</v>
      </c>
      <c r="C45" s="153" t="e">
        <f>C46+C47</f>
        <v>#REF!</v>
      </c>
    </row>
    <row r="46" spans="1:3" ht="18.75" customHeight="1">
      <c r="A46" s="155" t="s">
        <v>137</v>
      </c>
      <c r="B46" s="156" t="s">
        <v>138</v>
      </c>
      <c r="C46" s="157">
        <v>0</v>
      </c>
    </row>
    <row r="47" spans="1:3" ht="20.25" customHeight="1">
      <c r="A47" s="155" t="s">
        <v>139</v>
      </c>
      <c r="B47" s="156" t="s">
        <v>140</v>
      </c>
      <c r="C47" s="157" t="e">
        <f>#REF!</f>
        <v>#REF!</v>
      </c>
    </row>
    <row r="48" spans="1:3" ht="16.5" customHeight="1">
      <c r="A48" s="151" t="s">
        <v>141</v>
      </c>
      <c r="B48" s="154" t="s">
        <v>142</v>
      </c>
      <c r="C48" s="153" t="e">
        <f>C49+C50</f>
        <v>#REF!</v>
      </c>
    </row>
    <row r="49" spans="1:3" ht="20.25" customHeight="1">
      <c r="A49" s="155" t="s">
        <v>143</v>
      </c>
      <c r="B49" s="158" t="s">
        <v>144</v>
      </c>
      <c r="C49" s="157" t="e">
        <f>#REF!</f>
        <v>#REF!</v>
      </c>
    </row>
    <row r="50" spans="1:3">
      <c r="A50" s="155" t="s">
        <v>145</v>
      </c>
      <c r="B50" s="158" t="s">
        <v>146</v>
      </c>
      <c r="C50" s="157" t="e">
        <f>#REF!</f>
        <v>#REF!</v>
      </c>
    </row>
    <row r="51" spans="1:3" ht="21.75" customHeight="1">
      <c r="A51" s="151" t="s">
        <v>147</v>
      </c>
      <c r="B51" s="152" t="s">
        <v>148</v>
      </c>
      <c r="C51" s="153">
        <v>0</v>
      </c>
    </row>
    <row r="52" spans="1:3" ht="19.5" customHeight="1">
      <c r="A52" s="131">
        <v>4</v>
      </c>
      <c r="B52" s="134" t="s">
        <v>46</v>
      </c>
      <c r="C52" s="133" t="e">
        <f>C53+C54+C55+C56</f>
        <v>#REF!</v>
      </c>
    </row>
    <row r="53" spans="1:3" ht="17.25" customHeight="1">
      <c r="A53" s="151" t="s">
        <v>149</v>
      </c>
      <c r="B53" s="152" t="s">
        <v>150</v>
      </c>
      <c r="C53" s="153" t="e">
        <f>#REF!</f>
        <v>#REF!</v>
      </c>
    </row>
    <row r="54" spans="1:3" ht="21.75" customHeight="1">
      <c r="A54" s="151" t="s">
        <v>151</v>
      </c>
      <c r="B54" s="152" t="s">
        <v>152</v>
      </c>
      <c r="C54" s="153" t="e">
        <f>#REF!</f>
        <v>#REF!</v>
      </c>
    </row>
    <row r="55" spans="1:3" ht="17.25" customHeight="1">
      <c r="A55" s="151" t="s">
        <v>153</v>
      </c>
      <c r="B55" s="152" t="s">
        <v>154</v>
      </c>
      <c r="C55" s="153" t="e">
        <f>#REF!</f>
        <v>#REF!</v>
      </c>
    </row>
    <row r="56" spans="1:3" ht="16.5" customHeight="1">
      <c r="A56" s="151" t="s">
        <v>155</v>
      </c>
      <c r="B56" s="152" t="s">
        <v>156</v>
      </c>
      <c r="C56" s="153" t="e">
        <f>#REF!</f>
        <v>#REF!</v>
      </c>
    </row>
    <row r="57" spans="1:3">
      <c r="A57" s="131">
        <v>5</v>
      </c>
      <c r="B57" s="132" t="s">
        <v>47</v>
      </c>
      <c r="C57" s="133" t="e">
        <f>C58+C59+C60+C61</f>
        <v>#REF!</v>
      </c>
    </row>
    <row r="58" spans="1:3" ht="20.25" customHeight="1">
      <c r="A58" s="151" t="s">
        <v>157</v>
      </c>
      <c r="B58" s="154" t="s">
        <v>158</v>
      </c>
      <c r="C58" s="153" t="e">
        <f>#REF!</f>
        <v>#REF!</v>
      </c>
    </row>
    <row r="59" spans="1:3" ht="17.25" customHeight="1">
      <c r="A59" s="151" t="s">
        <v>159</v>
      </c>
      <c r="B59" s="152" t="s">
        <v>160</v>
      </c>
      <c r="C59" s="153" t="e">
        <f>#REF!</f>
        <v>#REF!</v>
      </c>
    </row>
    <row r="60" spans="1:3" ht="16.5" customHeight="1">
      <c r="A60" s="151" t="s">
        <v>161</v>
      </c>
      <c r="B60" s="152" t="s">
        <v>162</v>
      </c>
      <c r="C60" s="153" t="e">
        <f>#REF!</f>
        <v>#REF!</v>
      </c>
    </row>
    <row r="61" spans="1:3" ht="16.5" customHeight="1">
      <c r="A61" s="151" t="s">
        <v>163</v>
      </c>
      <c r="B61" s="152" t="s">
        <v>164</v>
      </c>
      <c r="C61" s="153" t="e">
        <f>#REF!</f>
        <v>#REF!</v>
      </c>
    </row>
    <row r="62" spans="1:3" ht="22.5" customHeight="1">
      <c r="A62" s="131">
        <v>6</v>
      </c>
      <c r="B62" s="134" t="s">
        <v>48</v>
      </c>
      <c r="C62" s="133" t="e">
        <f>C63+C67</f>
        <v>#REF!</v>
      </c>
    </row>
    <row r="63" spans="1:3" ht="19.5" customHeight="1">
      <c r="A63" s="151" t="s">
        <v>165</v>
      </c>
      <c r="B63" s="152" t="s">
        <v>166</v>
      </c>
      <c r="C63" s="153" t="e">
        <f>C64+C65+C66</f>
        <v>#REF!</v>
      </c>
    </row>
    <row r="64" spans="1:3">
      <c r="A64" s="151" t="s">
        <v>167</v>
      </c>
      <c r="B64" s="152" t="s">
        <v>168</v>
      </c>
      <c r="C64" s="153" t="e">
        <f>#REF!</f>
        <v>#REF!</v>
      </c>
    </row>
    <row r="65" spans="1:3">
      <c r="A65" s="151" t="s">
        <v>169</v>
      </c>
      <c r="B65" s="152" t="s">
        <v>170</v>
      </c>
      <c r="C65" s="153" t="e">
        <f>#REF!</f>
        <v>#REF!</v>
      </c>
    </row>
    <row r="66" spans="1:3">
      <c r="A66" s="151" t="s">
        <v>171</v>
      </c>
      <c r="B66" s="152" t="s">
        <v>172</v>
      </c>
      <c r="C66" s="153" t="e">
        <f>#REF!</f>
        <v>#REF!</v>
      </c>
    </row>
    <row r="67" spans="1:3" ht="18.75" customHeight="1">
      <c r="A67" s="151" t="s">
        <v>173</v>
      </c>
      <c r="B67" s="152" t="s">
        <v>174</v>
      </c>
      <c r="C67" s="153" t="e">
        <f>C68+C69+C70+C71</f>
        <v>#REF!</v>
      </c>
    </row>
    <row r="68" spans="1:3">
      <c r="A68" s="106" t="s">
        <v>175</v>
      </c>
      <c r="B68" s="107" t="s">
        <v>168</v>
      </c>
      <c r="C68" s="142" t="e">
        <f>#REF!</f>
        <v>#REF!</v>
      </c>
    </row>
    <row r="69" spans="1:3">
      <c r="A69" s="106" t="s">
        <v>176</v>
      </c>
      <c r="B69" s="107" t="s">
        <v>170</v>
      </c>
      <c r="C69" s="142" t="e">
        <f>#REF!</f>
        <v>#REF!</v>
      </c>
    </row>
    <row r="70" spans="1:3">
      <c r="A70" s="106" t="s">
        <v>177</v>
      </c>
      <c r="B70" s="107" t="s">
        <v>172</v>
      </c>
      <c r="C70" s="142" t="e">
        <f>#REF!</f>
        <v>#REF!</v>
      </c>
    </row>
    <row r="71" spans="1:3" ht="34.5" customHeight="1">
      <c r="A71" s="151" t="s">
        <v>178</v>
      </c>
      <c r="B71" s="152" t="s">
        <v>179</v>
      </c>
      <c r="C71" s="153" t="e">
        <f>#REF!</f>
        <v>#REF!</v>
      </c>
    </row>
    <row r="72" spans="1:3" ht="27" customHeight="1">
      <c r="A72" s="131">
        <v>7</v>
      </c>
      <c r="B72" s="134" t="s">
        <v>49</v>
      </c>
      <c r="C72" s="133" t="e">
        <f>C73+C76+C78+C81</f>
        <v>#REF!</v>
      </c>
    </row>
    <row r="73" spans="1:3" ht="18" customHeight="1">
      <c r="A73" s="151" t="s">
        <v>180</v>
      </c>
      <c r="B73" s="152" t="s">
        <v>181</v>
      </c>
      <c r="C73" s="153" t="e">
        <f>C74</f>
        <v>#REF!</v>
      </c>
    </row>
    <row r="74" spans="1:3" ht="22.5" customHeight="1">
      <c r="A74" s="151" t="s">
        <v>182</v>
      </c>
      <c r="B74" s="152" t="s">
        <v>183</v>
      </c>
      <c r="C74" s="153" t="e">
        <f>C75</f>
        <v>#REF!</v>
      </c>
    </row>
    <row r="75" spans="1:3" ht="43.5" customHeight="1">
      <c r="A75" s="155" t="s">
        <v>184</v>
      </c>
      <c r="B75" s="156" t="s">
        <v>185</v>
      </c>
      <c r="C75" s="157" t="e">
        <f>#REF!</f>
        <v>#REF!</v>
      </c>
    </row>
    <row r="76" spans="1:3" ht="18.75" customHeight="1">
      <c r="A76" s="151" t="s">
        <v>186</v>
      </c>
      <c r="B76" s="152" t="s">
        <v>187</v>
      </c>
      <c r="C76" s="153" t="e">
        <f>C77</f>
        <v>#REF!</v>
      </c>
    </row>
    <row r="77" spans="1:3" ht="18.75" customHeight="1">
      <c r="A77" s="151" t="s">
        <v>188</v>
      </c>
      <c r="B77" s="152" t="s">
        <v>189</v>
      </c>
      <c r="C77" s="153" t="e">
        <f>#REF!</f>
        <v>#REF!</v>
      </c>
    </row>
    <row r="78" spans="1:3" ht="23.25" customHeight="1">
      <c r="A78" s="151" t="s">
        <v>190</v>
      </c>
      <c r="B78" s="152" t="s">
        <v>191</v>
      </c>
      <c r="C78" s="153" t="e">
        <f>C79+C80</f>
        <v>#REF!</v>
      </c>
    </row>
    <row r="79" spans="1:3" ht="20.25" customHeight="1">
      <c r="A79" s="151" t="s">
        <v>192</v>
      </c>
      <c r="B79" s="152" t="s">
        <v>193</v>
      </c>
      <c r="C79" s="153" t="e">
        <f>#REF!</f>
        <v>#REF!</v>
      </c>
    </row>
    <row r="80" spans="1:3" ht="24" customHeight="1">
      <c r="A80" s="151" t="s">
        <v>194</v>
      </c>
      <c r="B80" s="152" t="s">
        <v>195</v>
      </c>
      <c r="C80" s="153" t="e">
        <f>#REF!</f>
        <v>#REF!</v>
      </c>
    </row>
    <row r="81" spans="1:3">
      <c r="A81" s="151" t="s">
        <v>196</v>
      </c>
      <c r="B81" s="152" t="s">
        <v>197</v>
      </c>
      <c r="C81" s="153" t="e">
        <f>C82+C83+C84</f>
        <v>#REF!</v>
      </c>
    </row>
    <row r="82" spans="1:3" ht="18" customHeight="1">
      <c r="A82" s="151" t="s">
        <v>198</v>
      </c>
      <c r="B82" s="152" t="s">
        <v>199</v>
      </c>
      <c r="C82" s="153" t="e">
        <f>#REF!</f>
        <v>#REF!</v>
      </c>
    </row>
    <row r="83" spans="1:3" ht="47.25" customHeight="1">
      <c r="A83" s="151" t="s">
        <v>200</v>
      </c>
      <c r="B83" s="152" t="s">
        <v>201</v>
      </c>
      <c r="C83" s="153">
        <v>0</v>
      </c>
    </row>
    <row r="84" spans="1:3">
      <c r="A84" s="151" t="s">
        <v>202</v>
      </c>
      <c r="B84" s="152" t="s">
        <v>197</v>
      </c>
      <c r="C84" s="153" t="e">
        <f>#REF!</f>
        <v>#REF!</v>
      </c>
    </row>
    <row r="85" spans="1:3">
      <c r="A85" s="131">
        <v>8</v>
      </c>
      <c r="B85" s="134" t="s">
        <v>50</v>
      </c>
      <c r="C85" s="133" t="e">
        <f>C86+C87+C88</f>
        <v>#REF!</v>
      </c>
    </row>
    <row r="86" spans="1:3" ht="39" customHeight="1">
      <c r="A86" s="151" t="s">
        <v>203</v>
      </c>
      <c r="B86" s="152" t="s">
        <v>204</v>
      </c>
      <c r="C86" s="153" t="e">
        <f>#REF!</f>
        <v>#REF!</v>
      </c>
    </row>
    <row r="87" spans="1:3" ht="26.25" customHeight="1">
      <c r="A87" s="151" t="s">
        <v>205</v>
      </c>
      <c r="B87" s="152" t="s">
        <v>206</v>
      </c>
      <c r="C87" s="153" t="e">
        <f>#REF!</f>
        <v>#REF!</v>
      </c>
    </row>
    <row r="88" spans="1:3" ht="21.75" customHeight="1">
      <c r="A88" s="151" t="s">
        <v>207</v>
      </c>
      <c r="B88" s="152" t="s">
        <v>208</v>
      </c>
      <c r="C88" s="153" t="e">
        <f>#REF!</f>
        <v>#REF!</v>
      </c>
    </row>
    <row r="89" spans="1:3" ht="18" customHeight="1">
      <c r="A89" s="135" t="s">
        <v>51</v>
      </c>
      <c r="B89" s="134" t="s">
        <v>52</v>
      </c>
      <c r="C89" s="133" t="e">
        <f>#REF!</f>
        <v>#REF!</v>
      </c>
    </row>
    <row r="90" spans="1:3">
      <c r="A90" s="135" t="s">
        <v>53</v>
      </c>
      <c r="B90" s="134" t="s">
        <v>54</v>
      </c>
      <c r="C90" s="133" t="e">
        <f>#REF!</f>
        <v>#REF!</v>
      </c>
    </row>
    <row r="91" spans="1:3">
      <c r="A91" s="135" t="s">
        <v>55</v>
      </c>
      <c r="B91" s="134" t="s">
        <v>56</v>
      </c>
      <c r="C91" s="133" t="e">
        <f>#REF!</f>
        <v>#REF!</v>
      </c>
    </row>
    <row r="92" spans="1:3">
      <c r="A92" s="135" t="s">
        <v>57</v>
      </c>
      <c r="B92" s="134" t="s">
        <v>58</v>
      </c>
      <c r="C92" s="133" t="e">
        <f>#REF!</f>
        <v>#REF!</v>
      </c>
    </row>
    <row r="93" spans="1:3" ht="20.25" customHeight="1">
      <c r="A93" s="135" t="s">
        <v>59</v>
      </c>
      <c r="B93" s="134" t="s">
        <v>60</v>
      </c>
      <c r="C93" s="133" t="e">
        <f>#REF!</f>
        <v>#REF!</v>
      </c>
    </row>
    <row r="94" spans="1:3" ht="20.25" customHeight="1">
      <c r="A94" s="135" t="s">
        <v>61</v>
      </c>
      <c r="B94" s="134" t="s">
        <v>62</v>
      </c>
      <c r="C94" s="133" t="e">
        <f>#REF!</f>
        <v>#REF!</v>
      </c>
    </row>
    <row r="95" spans="1:3" ht="16.5" customHeight="1">
      <c r="A95" s="135" t="s">
        <v>63</v>
      </c>
      <c r="B95" s="134" t="s">
        <v>64</v>
      </c>
      <c r="C95" s="133" t="e">
        <f>#REF!</f>
        <v>#REF!</v>
      </c>
    </row>
    <row r="96" spans="1:3" ht="16.5" customHeight="1">
      <c r="A96" s="135" t="s">
        <v>65</v>
      </c>
      <c r="B96" s="134" t="s">
        <v>66</v>
      </c>
      <c r="C96" s="133" t="e">
        <f>C97+C98+C99+C100</f>
        <v>#REF!</v>
      </c>
    </row>
    <row r="97" spans="1:3" ht="21.75" customHeight="1">
      <c r="A97" s="106" t="s">
        <v>209</v>
      </c>
      <c r="B97" s="107" t="s">
        <v>210</v>
      </c>
      <c r="C97" s="142" t="e">
        <f>#REF!</f>
        <v>#REF!</v>
      </c>
    </row>
    <row r="98" spans="1:3" ht="18" customHeight="1">
      <c r="A98" s="106" t="s">
        <v>211</v>
      </c>
      <c r="B98" s="107" t="s">
        <v>212</v>
      </c>
      <c r="C98" s="142" t="e">
        <f>#REF!</f>
        <v>#REF!</v>
      </c>
    </row>
    <row r="99" spans="1:3">
      <c r="A99" s="106" t="s">
        <v>213</v>
      </c>
      <c r="B99" s="107" t="s">
        <v>214</v>
      </c>
      <c r="C99" s="142" t="e">
        <f>#REF!</f>
        <v>#REF!</v>
      </c>
    </row>
    <row r="100" spans="1:3" ht="21" customHeight="1">
      <c r="A100" s="106" t="s">
        <v>215</v>
      </c>
      <c r="B100" s="107" t="s">
        <v>216</v>
      </c>
      <c r="C100" s="142">
        <v>0</v>
      </c>
    </row>
    <row r="101" spans="1:3" ht="18.75" customHeight="1">
      <c r="A101" s="131">
        <v>23</v>
      </c>
      <c r="B101" s="134" t="s">
        <v>67</v>
      </c>
      <c r="C101" s="133" t="e">
        <f>C102+C103</f>
        <v>#REF!</v>
      </c>
    </row>
    <row r="102" spans="1:3" ht="19.5" customHeight="1">
      <c r="A102" s="106" t="s">
        <v>217</v>
      </c>
      <c r="B102" s="107" t="s">
        <v>218</v>
      </c>
      <c r="C102" s="142" t="e">
        <f>#REF!</f>
        <v>#REF!</v>
      </c>
    </row>
    <row r="103" spans="1:3">
      <c r="A103" s="106" t="s">
        <v>219</v>
      </c>
      <c r="B103" s="107" t="s">
        <v>220</v>
      </c>
      <c r="C103" s="142" t="e">
        <f>#REF!</f>
        <v>#REF!</v>
      </c>
    </row>
    <row r="104" spans="1:3" ht="28.5" customHeight="1">
      <c r="A104" s="131">
        <v>24</v>
      </c>
      <c r="B104" s="134" t="s">
        <v>68</v>
      </c>
      <c r="C104" s="133" t="e">
        <f>#REF!</f>
        <v>#REF!</v>
      </c>
    </row>
    <row r="105" spans="1:3" ht="16.5" customHeight="1">
      <c r="A105" s="131">
        <v>25</v>
      </c>
      <c r="B105" s="132" t="s">
        <v>69</v>
      </c>
      <c r="C105" s="133">
        <f>C106+C107</f>
        <v>0</v>
      </c>
    </row>
    <row r="106" spans="1:3" ht="30" customHeight="1">
      <c r="A106" s="151" t="s">
        <v>221</v>
      </c>
      <c r="B106" s="152" t="s">
        <v>222</v>
      </c>
      <c r="C106" s="153">
        <v>0</v>
      </c>
    </row>
    <row r="107" spans="1:3" ht="36" customHeight="1">
      <c r="A107" s="151" t="s">
        <v>223</v>
      </c>
      <c r="B107" s="152" t="s">
        <v>224</v>
      </c>
      <c r="C107" s="153">
        <v>0</v>
      </c>
    </row>
    <row r="108" spans="1:3" ht="17.25" customHeight="1">
      <c r="A108" s="135" t="s">
        <v>70</v>
      </c>
      <c r="B108" s="134" t="s">
        <v>71</v>
      </c>
      <c r="C108" s="133" t="e">
        <f>C109+C110</f>
        <v>#REF!</v>
      </c>
    </row>
    <row r="109" spans="1:3" ht="31.5" customHeight="1">
      <c r="A109" s="151" t="s">
        <v>225</v>
      </c>
      <c r="B109" s="152" t="s">
        <v>226</v>
      </c>
      <c r="C109" s="153">
        <v>0</v>
      </c>
    </row>
    <row r="110" spans="1:3" ht="24" customHeight="1">
      <c r="A110" s="151" t="s">
        <v>227</v>
      </c>
      <c r="B110" s="152" t="s">
        <v>228</v>
      </c>
      <c r="C110" s="153" t="e">
        <f>#REF!</f>
        <v>#REF!</v>
      </c>
    </row>
    <row r="111" spans="1:3" ht="30" customHeight="1">
      <c r="A111" s="131">
        <v>28</v>
      </c>
      <c r="B111" s="134" t="s">
        <v>72</v>
      </c>
      <c r="C111" s="133" t="e">
        <f>C112</f>
        <v>#REF!</v>
      </c>
    </row>
    <row r="112" spans="1:3">
      <c r="A112" s="106" t="s">
        <v>229</v>
      </c>
      <c r="B112" s="109" t="s">
        <v>230</v>
      </c>
      <c r="C112" s="142" t="e">
        <f>#REF!</f>
        <v>#REF!</v>
      </c>
    </row>
    <row r="113" spans="1:3" ht="17.25" customHeight="1">
      <c r="A113" s="131">
        <v>29</v>
      </c>
      <c r="B113" s="132" t="s">
        <v>73</v>
      </c>
      <c r="C113" s="133" t="e">
        <f>C114</f>
        <v>#REF!</v>
      </c>
    </row>
    <row r="114" spans="1:3" ht="21.75" customHeight="1">
      <c r="A114" s="151" t="s">
        <v>231</v>
      </c>
      <c r="B114" s="154" t="s">
        <v>232</v>
      </c>
      <c r="C114" s="153" t="e">
        <f>#REF!</f>
        <v>#REF!</v>
      </c>
    </row>
    <row r="115" spans="1:3">
      <c r="A115" s="131">
        <v>31</v>
      </c>
      <c r="B115" s="134" t="s">
        <v>74</v>
      </c>
      <c r="C115" s="133" t="e">
        <f>C117+C118+C116</f>
        <v>#REF!</v>
      </c>
    </row>
    <row r="116" spans="1:3">
      <c r="A116" s="151" t="s">
        <v>233</v>
      </c>
      <c r="B116" s="152" t="s">
        <v>234</v>
      </c>
      <c r="C116" s="153" t="e">
        <f>#REF!</f>
        <v>#REF!</v>
      </c>
    </row>
    <row r="117" spans="1:3" ht="21" customHeight="1">
      <c r="A117" s="151" t="s">
        <v>235</v>
      </c>
      <c r="B117" s="152" t="s">
        <v>236</v>
      </c>
      <c r="C117" s="153" t="e">
        <f>#REF!</f>
        <v>#REF!</v>
      </c>
    </row>
    <row r="118" spans="1:3" ht="21" customHeight="1">
      <c r="A118" s="151" t="s">
        <v>237</v>
      </c>
      <c r="B118" s="152" t="s">
        <v>238</v>
      </c>
      <c r="C118" s="153" t="e">
        <f>#REF!</f>
        <v>#REF!</v>
      </c>
    </row>
    <row r="119" spans="1:3" ht="33" customHeight="1">
      <c r="A119" s="131">
        <v>32</v>
      </c>
      <c r="B119" s="132" t="s">
        <v>75</v>
      </c>
      <c r="C119" s="133" t="e">
        <f>C120</f>
        <v>#REF!</v>
      </c>
    </row>
    <row r="120" spans="1:3" ht="17.25" customHeight="1">
      <c r="A120" s="106" t="s">
        <v>239</v>
      </c>
      <c r="B120" s="109" t="s">
        <v>240</v>
      </c>
      <c r="C120" s="142" t="e">
        <f>#REF!</f>
        <v>#REF!</v>
      </c>
    </row>
    <row r="121" spans="1:3" ht="17.25" customHeight="1">
      <c r="A121" s="131">
        <v>33</v>
      </c>
      <c r="B121" s="132" t="s">
        <v>76</v>
      </c>
      <c r="C121" s="133" t="e">
        <f>C122</f>
        <v>#REF!</v>
      </c>
    </row>
    <row r="122" spans="1:3" ht="22.5" customHeight="1">
      <c r="A122" s="151" t="s">
        <v>241</v>
      </c>
      <c r="B122" s="154" t="s">
        <v>242</v>
      </c>
      <c r="C122" s="153" t="e">
        <f>#REF!</f>
        <v>#REF!</v>
      </c>
    </row>
    <row r="123" spans="1:3" ht="18" customHeight="1">
      <c r="A123" s="131">
        <v>37</v>
      </c>
      <c r="B123" s="132" t="s">
        <v>77</v>
      </c>
      <c r="C123" s="153" t="e">
        <f>#REF!</f>
        <v>#REF!</v>
      </c>
    </row>
    <row r="124" spans="1:3" ht="19.5" customHeight="1">
      <c r="A124" s="128"/>
      <c r="B124" s="136" t="s">
        <v>78</v>
      </c>
      <c r="C124" s="130" t="e">
        <f>C24+C33+C36+C52+C57+C62+C72+C85+C89+C90+C91+C92+C93+C94+C95+C96+C101+C104+C105+C108+C111+C113+C115+C119+C121</f>
        <v>#REF!</v>
      </c>
    </row>
    <row r="125" spans="1:3" ht="13.5" customHeight="1">
      <c r="A125" s="137">
        <v>38</v>
      </c>
      <c r="B125" s="110" t="s">
        <v>79</v>
      </c>
      <c r="C125" s="138" t="e">
        <f>#REF!</f>
        <v>#REF!</v>
      </c>
    </row>
    <row r="126" spans="1:3" ht="21" customHeight="1">
      <c r="A126" s="128"/>
      <c r="B126" s="136" t="s">
        <v>82</v>
      </c>
      <c r="C126" s="130" t="e">
        <f>C124+C125</f>
        <v>#REF!</v>
      </c>
    </row>
    <row r="127" spans="1:3" ht="15.75" customHeight="1">
      <c r="A127" s="108"/>
      <c r="B127" s="99" t="s">
        <v>83</v>
      </c>
      <c r="C127" s="140">
        <v>0</v>
      </c>
    </row>
    <row r="128" spans="1:3" ht="19.5" customHeight="1">
      <c r="A128" s="141">
        <v>42</v>
      </c>
      <c r="B128" s="107" t="s">
        <v>84</v>
      </c>
      <c r="C128" s="142" t="e">
        <f>C16+C17-C126</f>
        <v>#REF!</v>
      </c>
    </row>
    <row r="129" spans="1:3">
      <c r="A129" s="95"/>
      <c r="B129" s="102"/>
      <c r="C129" s="97"/>
    </row>
    <row r="130" spans="1:3">
      <c r="A130" s="95"/>
      <c r="B130" s="102"/>
      <c r="C130" s="97"/>
    </row>
    <row r="131" spans="1:3">
      <c r="A131" s="3859" t="s">
        <v>243</v>
      </c>
      <c r="B131" s="3859"/>
      <c r="C131" s="101" t="s">
        <v>244</v>
      </c>
    </row>
    <row r="132" spans="1:3">
      <c r="A132" s="95"/>
      <c r="B132" s="102"/>
      <c r="C132" s="97"/>
    </row>
    <row r="133" spans="1:3">
      <c r="A133" s="3859" t="s">
        <v>245</v>
      </c>
      <c r="B133" s="3859"/>
      <c r="C133" s="101" t="s">
        <v>246</v>
      </c>
    </row>
    <row r="134" spans="1:3">
      <c r="A134" s="95"/>
      <c r="B134" s="102"/>
      <c r="C134" s="103"/>
    </row>
    <row r="135" spans="1:3">
      <c r="A135" s="95"/>
      <c r="B135" s="102"/>
      <c r="C135" s="103"/>
    </row>
    <row r="136" spans="1:3">
      <c r="A136" s="98" t="s">
        <v>247</v>
      </c>
      <c r="B136" s="98"/>
      <c r="C136" s="104" t="s">
        <v>248</v>
      </c>
    </row>
    <row r="137" spans="1:3">
      <c r="A137" s="105"/>
      <c r="B137" s="105"/>
      <c r="C137" s="104"/>
    </row>
    <row r="138" spans="1:3">
      <c r="A138" s="3855" t="s">
        <v>249</v>
      </c>
      <c r="B138" s="3855"/>
      <c r="C138" s="98" t="s">
        <v>250</v>
      </c>
    </row>
    <row r="139" spans="1:3">
      <c r="A139" s="105"/>
      <c r="B139" s="105"/>
      <c r="C139" s="104"/>
    </row>
    <row r="140" spans="1:3">
      <c r="A140" s="105" t="s">
        <v>251</v>
      </c>
      <c r="B140" s="105"/>
      <c r="C140" s="104" t="s">
        <v>252</v>
      </c>
    </row>
  </sheetData>
  <mergeCells count="7">
    <mergeCell ref="A138:B138"/>
    <mergeCell ref="A7:C7"/>
    <mergeCell ref="A10:A14"/>
    <mergeCell ref="B10:B14"/>
    <mergeCell ref="C10:C14"/>
    <mergeCell ref="A131:B131"/>
    <mergeCell ref="A133:B133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/>
  <dimension ref="A1:M66"/>
  <sheetViews>
    <sheetView workbookViewId="0">
      <selection sqref="A1:L65"/>
    </sheetView>
  </sheetViews>
  <sheetFormatPr defaultRowHeight="15"/>
  <cols>
    <col min="2" max="2" width="28.85546875" customWidth="1"/>
    <col min="3" max="3" width="12.5703125" customWidth="1"/>
    <col min="4" max="4" width="12.28515625" customWidth="1"/>
    <col min="5" max="5" width="11.28515625" customWidth="1"/>
    <col min="6" max="6" width="12.42578125" customWidth="1"/>
    <col min="7" max="7" width="11.7109375" customWidth="1"/>
    <col min="8" max="8" width="12.42578125" customWidth="1"/>
    <col min="9" max="9" width="12" customWidth="1"/>
    <col min="10" max="10" width="12.140625" customWidth="1"/>
    <col min="11" max="11" width="11.7109375" customWidth="1"/>
    <col min="12" max="12" width="9.7109375" customWidth="1"/>
  </cols>
  <sheetData>
    <row r="1" spans="1:13">
      <c r="A1" s="72"/>
      <c r="B1" s="3798"/>
      <c r="C1" s="117"/>
      <c r="D1" s="117"/>
      <c r="E1" s="117"/>
      <c r="F1" s="57"/>
      <c r="G1" s="57"/>
      <c r="H1" s="117"/>
      <c r="I1" s="117"/>
      <c r="J1" s="57"/>
      <c r="K1" s="159"/>
      <c r="L1" s="91" t="s">
        <v>29</v>
      </c>
      <c r="M1" s="57"/>
    </row>
    <row r="2" spans="1:13">
      <c r="A2" s="118"/>
      <c r="B2" s="3798"/>
      <c r="C2" s="119"/>
      <c r="D2" s="119"/>
      <c r="E2" s="119"/>
      <c r="F2" s="57"/>
      <c r="G2" s="57"/>
      <c r="H2" s="119"/>
      <c r="I2" s="119"/>
      <c r="J2" s="57"/>
      <c r="K2" s="119"/>
      <c r="L2" s="92" t="s">
        <v>30</v>
      </c>
      <c r="M2" s="57"/>
    </row>
    <row r="3" spans="1:13">
      <c r="A3" s="72"/>
      <c r="B3" s="3798"/>
      <c r="C3" s="102"/>
      <c r="D3" s="102"/>
      <c r="E3" s="102"/>
      <c r="F3" s="57"/>
      <c r="G3" s="57"/>
      <c r="H3" s="102"/>
      <c r="I3" s="102"/>
      <c r="J3" s="57"/>
      <c r="K3" s="102"/>
      <c r="L3" s="92" t="s">
        <v>31</v>
      </c>
      <c r="M3" s="57"/>
    </row>
    <row r="4" spans="1:13">
      <c r="A4" s="72"/>
      <c r="B4" s="3798"/>
      <c r="C4" s="102"/>
      <c r="D4" s="102"/>
      <c r="E4" s="102"/>
      <c r="F4" s="57"/>
      <c r="G4" s="57"/>
      <c r="H4" s="102"/>
      <c r="I4" s="102"/>
      <c r="J4" s="57"/>
      <c r="K4" s="102"/>
      <c r="L4" s="91" t="s">
        <v>32</v>
      </c>
      <c r="M4" s="57"/>
    </row>
    <row r="5" spans="1:13">
      <c r="A5" s="3797"/>
      <c r="B5" s="3798"/>
      <c r="C5" s="3799"/>
      <c r="D5" s="3799"/>
      <c r="E5" s="3799"/>
      <c r="F5" s="3799"/>
      <c r="G5" s="3799"/>
      <c r="H5" s="160"/>
      <c r="I5" s="102"/>
      <c r="J5" s="57"/>
      <c r="K5" s="57"/>
      <c r="L5" s="57"/>
      <c r="M5" s="57"/>
    </row>
    <row r="6" spans="1:13">
      <c r="A6" s="3867" t="s">
        <v>253</v>
      </c>
      <c r="B6" s="3868"/>
      <c r="C6" s="3868"/>
      <c r="D6" s="3868"/>
      <c r="E6" s="3868"/>
      <c r="F6" s="3868"/>
      <c r="G6" s="3868"/>
      <c r="H6" s="3868"/>
      <c r="I6" s="3868"/>
      <c r="J6" s="3868"/>
      <c r="K6" s="3868"/>
      <c r="L6" s="3868"/>
      <c r="M6" s="57"/>
    </row>
    <row r="7" spans="1:13" hidden="1">
      <c r="A7" s="120"/>
      <c r="B7" s="120"/>
      <c r="C7" s="118"/>
      <c r="D7" s="118"/>
      <c r="E7" s="118"/>
      <c r="F7" s="161"/>
      <c r="G7" s="3799"/>
      <c r="H7" s="102"/>
      <c r="I7" s="102"/>
      <c r="J7" s="57"/>
      <c r="K7" s="57"/>
      <c r="L7" s="57"/>
      <c r="M7" s="57"/>
    </row>
    <row r="8" spans="1:13">
      <c r="A8" s="84"/>
      <c r="B8" s="121"/>
      <c r="C8" s="122"/>
      <c r="D8" s="122"/>
      <c r="E8" s="122"/>
      <c r="F8" s="122"/>
      <c r="G8" s="3799"/>
      <c r="H8" s="117"/>
      <c r="I8" s="57"/>
      <c r="J8" s="57"/>
      <c r="K8" s="57"/>
      <c r="L8" s="84" t="s">
        <v>254</v>
      </c>
      <c r="M8" s="57"/>
    </row>
    <row r="9" spans="1:13">
      <c r="A9" s="3857" t="s">
        <v>34</v>
      </c>
      <c r="B9" s="3857" t="s">
        <v>35</v>
      </c>
      <c r="C9" s="3858" t="s">
        <v>36</v>
      </c>
      <c r="D9" s="3858" t="s">
        <v>255</v>
      </c>
      <c r="E9" s="3865"/>
      <c r="F9" s="3866"/>
      <c r="G9" s="3865"/>
      <c r="H9" s="3865"/>
      <c r="I9" s="3865"/>
      <c r="J9" s="3865"/>
      <c r="K9" s="3865"/>
      <c r="L9" s="3865"/>
      <c r="M9" s="57"/>
    </row>
    <row r="10" spans="1:13">
      <c r="A10" s="3857"/>
      <c r="B10" s="3857"/>
      <c r="C10" s="3858"/>
      <c r="D10" s="3864" t="s">
        <v>256</v>
      </c>
      <c r="E10" s="3864" t="s">
        <v>257</v>
      </c>
      <c r="F10" s="3858" t="s">
        <v>258</v>
      </c>
      <c r="G10" s="3858"/>
      <c r="H10" s="3858"/>
      <c r="I10" s="3858"/>
      <c r="J10" s="3865"/>
      <c r="K10" s="3865"/>
      <c r="L10" s="3865"/>
      <c r="M10" s="57"/>
    </row>
    <row r="11" spans="1:13">
      <c r="A11" s="3857"/>
      <c r="B11" s="3857"/>
      <c r="C11" s="3858"/>
      <c r="D11" s="3864"/>
      <c r="E11" s="3864"/>
      <c r="F11" s="3858" t="s">
        <v>259</v>
      </c>
      <c r="G11" s="3858" t="s">
        <v>260</v>
      </c>
      <c r="H11" s="3864" t="s">
        <v>255</v>
      </c>
      <c r="I11" s="3864"/>
      <c r="J11" s="3858" t="s">
        <v>261</v>
      </c>
      <c r="K11" s="3864" t="s">
        <v>255</v>
      </c>
      <c r="L11" s="3864"/>
      <c r="M11" s="57"/>
    </row>
    <row r="12" spans="1:13">
      <c r="A12" s="3857"/>
      <c r="B12" s="3857"/>
      <c r="C12" s="3858"/>
      <c r="D12" s="3864"/>
      <c r="E12" s="3864"/>
      <c r="F12" s="3858"/>
      <c r="G12" s="3858"/>
      <c r="H12" s="3864" t="s">
        <v>256</v>
      </c>
      <c r="I12" s="162" t="s">
        <v>257</v>
      </c>
      <c r="J12" s="3858"/>
      <c r="K12" s="3864" t="s">
        <v>256</v>
      </c>
      <c r="L12" s="162" t="s">
        <v>257</v>
      </c>
      <c r="M12" s="57"/>
    </row>
    <row r="13" spans="1:13" ht="38.25">
      <c r="A13" s="3857"/>
      <c r="B13" s="3857"/>
      <c r="C13" s="3858"/>
      <c r="D13" s="3864"/>
      <c r="E13" s="3864"/>
      <c r="F13" s="3858"/>
      <c r="G13" s="3858"/>
      <c r="H13" s="3864"/>
      <c r="I13" s="123" t="s">
        <v>262</v>
      </c>
      <c r="J13" s="3858"/>
      <c r="K13" s="3864"/>
      <c r="L13" s="123" t="s">
        <v>262</v>
      </c>
      <c r="M13" s="57"/>
    </row>
    <row r="14" spans="1:13">
      <c r="A14" s="124">
        <v>1</v>
      </c>
      <c r="B14" s="124">
        <v>2</v>
      </c>
      <c r="C14" s="125"/>
      <c r="D14" s="124">
        <v>4</v>
      </c>
      <c r="E14" s="124">
        <v>5</v>
      </c>
      <c r="F14" s="124">
        <v>6</v>
      </c>
      <c r="G14" s="124">
        <v>7</v>
      </c>
      <c r="H14" s="124">
        <v>8</v>
      </c>
      <c r="I14" s="124">
        <v>11</v>
      </c>
      <c r="J14" s="124">
        <v>7</v>
      </c>
      <c r="K14" s="124">
        <v>8</v>
      </c>
      <c r="L14" s="124">
        <v>11</v>
      </c>
      <c r="M14" s="57"/>
    </row>
    <row r="15" spans="1:13">
      <c r="A15" s="126" t="s">
        <v>37</v>
      </c>
      <c r="B15" s="126" t="s">
        <v>38</v>
      </c>
      <c r="C15" s="127" t="e">
        <f>G15</f>
        <v>#REF!</v>
      </c>
      <c r="D15" s="127"/>
      <c r="E15" s="127"/>
      <c r="F15" s="127">
        <v>0</v>
      </c>
      <c r="G15" s="127" t="e">
        <f>#REF!</f>
        <v>#REF!</v>
      </c>
      <c r="H15" s="127"/>
      <c r="I15" s="127" t="e">
        <f>#REF!</f>
        <v>#REF!</v>
      </c>
      <c r="J15" s="127">
        <v>0</v>
      </c>
      <c r="K15" s="127"/>
      <c r="L15" s="127"/>
      <c r="M15" s="57"/>
    </row>
    <row r="16" spans="1:13">
      <c r="A16" s="128" t="s">
        <v>39</v>
      </c>
      <c r="B16" s="129" t="s">
        <v>40</v>
      </c>
      <c r="C16" s="130" t="e">
        <f>C17+C19+C20</f>
        <v>#REF!</v>
      </c>
      <c r="D16" s="130">
        <v>0</v>
      </c>
      <c r="E16" s="130" t="e">
        <f>E17+E19+E20</f>
        <v>#REF!</v>
      </c>
      <c r="F16" s="130" t="e">
        <f>F19</f>
        <v>#REF!</v>
      </c>
      <c r="G16" s="130" t="e">
        <f>H16+I16</f>
        <v>#REF!</v>
      </c>
      <c r="H16" s="130">
        <v>0</v>
      </c>
      <c r="I16" s="130" t="e">
        <f>I17</f>
        <v>#REF!</v>
      </c>
      <c r="J16" s="130" t="e">
        <f>K16+L16</f>
        <v>#REF!</v>
      </c>
      <c r="K16" s="130">
        <v>0</v>
      </c>
      <c r="L16" s="130" t="e">
        <f>L17</f>
        <v>#REF!</v>
      </c>
      <c r="M16" s="57"/>
    </row>
    <row r="17" spans="1:13" ht="24.75" customHeight="1">
      <c r="A17" s="108">
        <v>1</v>
      </c>
      <c r="B17" s="149" t="s">
        <v>92</v>
      </c>
      <c r="C17" s="140" t="e">
        <f>D17+E17</f>
        <v>#REF!</v>
      </c>
      <c r="D17" s="140">
        <v>0</v>
      </c>
      <c r="E17" s="140" t="e">
        <f>G17</f>
        <v>#REF!</v>
      </c>
      <c r="F17" s="140">
        <v>0</v>
      </c>
      <c r="G17" s="140" t="e">
        <f>H17+I17</f>
        <v>#REF!</v>
      </c>
      <c r="H17" s="140">
        <v>0</v>
      </c>
      <c r="I17" s="140" t="e">
        <f>#REF!</f>
        <v>#REF!</v>
      </c>
      <c r="J17" s="140" t="e">
        <f>K17+L17</f>
        <v>#REF!</v>
      </c>
      <c r="K17" s="140">
        <v>0</v>
      </c>
      <c r="L17" s="140" t="e">
        <f>L20</f>
        <v>#REF!</v>
      </c>
      <c r="M17" s="57"/>
    </row>
    <row r="18" spans="1:13" ht="48" hidden="1" customHeight="1">
      <c r="A18" s="106" t="s">
        <v>93</v>
      </c>
      <c r="B18" s="109" t="s">
        <v>94</v>
      </c>
      <c r="C18" s="142">
        <v>363037950</v>
      </c>
      <c r="D18" s="142">
        <v>0</v>
      </c>
      <c r="E18" s="142">
        <v>363037950</v>
      </c>
      <c r="F18" s="142">
        <v>0</v>
      </c>
      <c r="G18" s="142">
        <v>363037950</v>
      </c>
      <c r="H18" s="142">
        <v>0</v>
      </c>
      <c r="I18" s="142">
        <v>363037950</v>
      </c>
      <c r="J18" s="142">
        <v>363037950</v>
      </c>
      <c r="K18" s="142">
        <v>0</v>
      </c>
      <c r="L18" s="142">
        <v>363037950</v>
      </c>
      <c r="M18" s="57"/>
    </row>
    <row r="19" spans="1:13" ht="39.75" customHeight="1">
      <c r="A19" s="150" t="s">
        <v>95</v>
      </c>
      <c r="B19" s="149" t="s">
        <v>96</v>
      </c>
      <c r="C19" s="140" t="e">
        <f>D19+E19</f>
        <v>#REF!</v>
      </c>
      <c r="D19" s="140">
        <v>0</v>
      </c>
      <c r="E19" s="140" t="e">
        <f>F19</f>
        <v>#REF!</v>
      </c>
      <c r="F19" s="140" t="e">
        <f>#REF!</f>
        <v>#REF!</v>
      </c>
      <c r="G19" s="140">
        <v>0</v>
      </c>
      <c r="H19" s="140">
        <v>0</v>
      </c>
      <c r="I19" s="140">
        <v>0</v>
      </c>
      <c r="J19" s="140">
        <v>0</v>
      </c>
      <c r="K19" s="140">
        <v>0</v>
      </c>
      <c r="L19" s="140">
        <v>0</v>
      </c>
      <c r="M19" s="57"/>
    </row>
    <row r="20" spans="1:13">
      <c r="A20" s="150">
        <v>5</v>
      </c>
      <c r="B20" s="149" t="s">
        <v>97</v>
      </c>
      <c r="C20" s="140" t="e">
        <f>D20+E20</f>
        <v>#REF!</v>
      </c>
      <c r="D20" s="140">
        <v>0</v>
      </c>
      <c r="E20" s="140" t="e">
        <f>L20</f>
        <v>#REF!</v>
      </c>
      <c r="F20" s="140">
        <v>0</v>
      </c>
      <c r="G20" s="140">
        <v>0</v>
      </c>
      <c r="H20" s="140">
        <v>0</v>
      </c>
      <c r="I20" s="140">
        <v>0</v>
      </c>
      <c r="J20" s="140">
        <v>0</v>
      </c>
      <c r="K20" s="140">
        <v>0</v>
      </c>
      <c r="L20" s="140" t="e">
        <f>#REF!</f>
        <v>#REF!</v>
      </c>
      <c r="M20" s="57"/>
    </row>
    <row r="21" spans="1:13">
      <c r="A21" s="128" t="s">
        <v>41</v>
      </c>
      <c r="B21" s="129" t="s">
        <v>42</v>
      </c>
      <c r="C21" s="130" t="e">
        <f>D21+E21</f>
        <v>#REF!</v>
      </c>
      <c r="D21" s="130" t="e">
        <f>D22+D23+D24+D25+D26+D27+D28+D29+D30+D31+D32+D33+D34+D35+D36+D37+D38+D39+D40+D41+D42+D44+D45+D46+D43</f>
        <v>#REF!</v>
      </c>
      <c r="E21" s="130" t="e">
        <f>E22+E23+E24+E25+E26+E27+E28+E29+E30+E31+E32+E33+E34+E35+E36+E37+E38+E39+E40+E41+E42+E44+E45+E46+E43</f>
        <v>#REF!</v>
      </c>
      <c r="F21" s="130" t="e">
        <f>F22+F23+F24+F25+F26+F27+F28+F29+F30+F31+F32+F33+F34+F35+F36+F37+F38+F39+F40+F41+F42+F43+F44+F45+F46</f>
        <v>#REF!</v>
      </c>
      <c r="G21" s="130" t="e">
        <f>H21+I21</f>
        <v>#REF!</v>
      </c>
      <c r="H21" s="130" t="e">
        <f>H22+H23+H24+H25+H26+H27+H28+H29+H30+H31+H34+H36+H37+H38+H40+H41+H42+H43+H44+H45+H46+H32+H33+H35+H39</f>
        <v>#REF!</v>
      </c>
      <c r="I21" s="130" t="e">
        <f>I22+I23+I24+I25+I26+I27+I28+I29+I30+I31+I34+I36+I37+I38+I40+I41+I42+I43+I44+I45+I46+I32+I33+I35+I39</f>
        <v>#REF!</v>
      </c>
      <c r="J21" s="130" t="e">
        <f>J22+J23+J24+J25+J26+J27+J28+J29+J30+J31+J34+J36+J37+J38+J40+J41+J42+J43+J44+J45+J46</f>
        <v>#REF!</v>
      </c>
      <c r="K21" s="130" t="e">
        <f>K22+K23+K24+K25+K26+K27+K28+K29+K30+K31+K34+K36+K37+K38+K40+K41+K42+K43+K44+K45+K46</f>
        <v>#REF!</v>
      </c>
      <c r="L21" s="130" t="e">
        <f>L22+L23+L24+L25+L26+L27+L28+L29+L30+L31+L34+L36+L37+L38+L40+L41+L42+L43+L44+L45+L46</f>
        <v>#REF!</v>
      </c>
      <c r="M21" s="57"/>
    </row>
    <row r="22" spans="1:13">
      <c r="A22" s="131">
        <v>1</v>
      </c>
      <c r="B22" s="132" t="s">
        <v>43</v>
      </c>
      <c r="C22" s="133" t="e">
        <f>D22+E22</f>
        <v>#REF!</v>
      </c>
      <c r="D22" s="133" t="e">
        <f>H22+K22</f>
        <v>#REF!</v>
      </c>
      <c r="E22" s="133" t="e">
        <f>F22+I22+L22</f>
        <v>#REF!</v>
      </c>
      <c r="F22" s="133" t="e">
        <f>#REF!</f>
        <v>#REF!</v>
      </c>
      <c r="G22" s="133" t="e">
        <f>H22+I22</f>
        <v>#REF!</v>
      </c>
      <c r="H22" s="133" t="e">
        <f>#REF!</f>
        <v>#REF!</v>
      </c>
      <c r="I22" s="133" t="e">
        <f>#REF!</f>
        <v>#REF!</v>
      </c>
      <c r="J22" s="133" t="e">
        <f>K22+L22</f>
        <v>#REF!</v>
      </c>
      <c r="K22" s="133" t="e">
        <f>#REF!</f>
        <v>#REF!</v>
      </c>
      <c r="L22" s="133" t="e">
        <f>#REF!</f>
        <v>#REF!</v>
      </c>
      <c r="M22" s="57"/>
    </row>
    <row r="23" spans="1:13">
      <c r="A23" s="131">
        <v>2</v>
      </c>
      <c r="B23" s="132" t="s">
        <v>44</v>
      </c>
      <c r="C23" s="133" t="e">
        <f t="shared" ref="C23:C47" si="0">D23+E23</f>
        <v>#REF!</v>
      </c>
      <c r="D23" s="133" t="e">
        <f t="shared" ref="D23:D46" si="1">H23+K23</f>
        <v>#REF!</v>
      </c>
      <c r="E23" s="133" t="e">
        <f t="shared" ref="E23:E46" si="2">F23+I23+L23</f>
        <v>#REF!</v>
      </c>
      <c r="F23" s="133" t="e">
        <f>#REF!</f>
        <v>#REF!</v>
      </c>
      <c r="G23" s="133" t="e">
        <f t="shared" ref="G23:G46" si="3">H23+I23</f>
        <v>#REF!</v>
      </c>
      <c r="H23" s="133" t="e">
        <f>#REF!</f>
        <v>#REF!</v>
      </c>
      <c r="I23" s="133" t="e">
        <f>#REF!</f>
        <v>#REF!</v>
      </c>
      <c r="J23" s="133" t="e">
        <f t="shared" ref="J23:J46" si="4">K23+L23</f>
        <v>#REF!</v>
      </c>
      <c r="K23" s="133" t="e">
        <f>#REF!</f>
        <v>#REF!</v>
      </c>
      <c r="L23" s="133" t="e">
        <f>#REF!</f>
        <v>#REF!</v>
      </c>
      <c r="M23" s="57"/>
    </row>
    <row r="24" spans="1:13">
      <c r="A24" s="131">
        <v>3</v>
      </c>
      <c r="B24" s="132" t="s">
        <v>45</v>
      </c>
      <c r="C24" s="133" t="e">
        <f t="shared" si="0"/>
        <v>#REF!</v>
      </c>
      <c r="D24" s="133" t="e">
        <f t="shared" si="1"/>
        <v>#REF!</v>
      </c>
      <c r="E24" s="133" t="e">
        <f t="shared" si="2"/>
        <v>#REF!</v>
      </c>
      <c r="F24" s="133" t="e">
        <f>#REF!</f>
        <v>#REF!</v>
      </c>
      <c r="G24" s="133" t="e">
        <f t="shared" si="3"/>
        <v>#REF!</v>
      </c>
      <c r="H24" s="133" t="e">
        <f>#REF!</f>
        <v>#REF!</v>
      </c>
      <c r="I24" s="133" t="e">
        <f>#REF!</f>
        <v>#REF!</v>
      </c>
      <c r="J24" s="133" t="e">
        <f t="shared" si="4"/>
        <v>#REF!</v>
      </c>
      <c r="K24" s="133" t="e">
        <f>#REF!</f>
        <v>#REF!</v>
      </c>
      <c r="L24" s="133" t="e">
        <f>#REF!</f>
        <v>#REF!</v>
      </c>
      <c r="M24" s="57"/>
    </row>
    <row r="25" spans="1:13">
      <c r="A25" s="131">
        <v>4</v>
      </c>
      <c r="B25" s="134" t="s">
        <v>46</v>
      </c>
      <c r="C25" s="133" t="e">
        <f t="shared" si="0"/>
        <v>#REF!</v>
      </c>
      <c r="D25" s="133" t="e">
        <f t="shared" si="1"/>
        <v>#REF!</v>
      </c>
      <c r="E25" s="133" t="e">
        <f t="shared" si="2"/>
        <v>#REF!</v>
      </c>
      <c r="F25" s="133">
        <v>0</v>
      </c>
      <c r="G25" s="133" t="e">
        <f t="shared" si="3"/>
        <v>#REF!</v>
      </c>
      <c r="H25" s="133" t="e">
        <f>#REF!</f>
        <v>#REF!</v>
      </c>
      <c r="I25" s="133" t="e">
        <f>#REF!</f>
        <v>#REF!</v>
      </c>
      <c r="J25" s="133" t="e">
        <f t="shared" si="4"/>
        <v>#REF!</v>
      </c>
      <c r="K25" s="133" t="e">
        <f>#REF!</f>
        <v>#REF!</v>
      </c>
      <c r="L25" s="133" t="e">
        <f>#REF!</f>
        <v>#REF!</v>
      </c>
      <c r="M25" s="57"/>
    </row>
    <row r="26" spans="1:13">
      <c r="A26" s="131">
        <v>5</v>
      </c>
      <c r="B26" s="132" t="s">
        <v>47</v>
      </c>
      <c r="C26" s="133" t="e">
        <f t="shared" si="0"/>
        <v>#REF!</v>
      </c>
      <c r="D26" s="133" t="e">
        <f t="shared" si="1"/>
        <v>#REF!</v>
      </c>
      <c r="E26" s="133" t="e">
        <f t="shared" si="2"/>
        <v>#REF!</v>
      </c>
      <c r="F26" s="133">
        <v>0</v>
      </c>
      <c r="G26" s="133" t="e">
        <f t="shared" si="3"/>
        <v>#REF!</v>
      </c>
      <c r="H26" s="133" t="e">
        <f>#REF!</f>
        <v>#REF!</v>
      </c>
      <c r="I26" s="133" t="e">
        <f>#REF!</f>
        <v>#REF!</v>
      </c>
      <c r="J26" s="133" t="e">
        <f t="shared" si="4"/>
        <v>#REF!</v>
      </c>
      <c r="K26" s="133" t="e">
        <f>#REF!</f>
        <v>#REF!</v>
      </c>
      <c r="L26" s="133" t="e">
        <f>#REF!</f>
        <v>#REF!</v>
      </c>
      <c r="M26" s="57"/>
    </row>
    <row r="27" spans="1:13" ht="21" customHeight="1">
      <c r="A27" s="131">
        <v>6</v>
      </c>
      <c r="B27" s="134" t="s">
        <v>48</v>
      </c>
      <c r="C27" s="133" t="e">
        <f t="shared" si="0"/>
        <v>#REF!</v>
      </c>
      <c r="D27" s="133" t="e">
        <f t="shared" si="1"/>
        <v>#REF!</v>
      </c>
      <c r="E27" s="133" t="e">
        <f t="shared" si="2"/>
        <v>#REF!</v>
      </c>
      <c r="F27" s="133" t="e">
        <f>#REF!</f>
        <v>#REF!</v>
      </c>
      <c r="G27" s="133" t="e">
        <f t="shared" si="3"/>
        <v>#REF!</v>
      </c>
      <c r="H27" s="133" t="e">
        <f>#REF!</f>
        <v>#REF!</v>
      </c>
      <c r="I27" s="133" t="e">
        <f>#REF!</f>
        <v>#REF!</v>
      </c>
      <c r="J27" s="133" t="e">
        <f t="shared" si="4"/>
        <v>#REF!</v>
      </c>
      <c r="K27" s="133">
        <v>0</v>
      </c>
      <c r="L27" s="133" t="e">
        <f>#REF!</f>
        <v>#REF!</v>
      </c>
      <c r="M27" s="57"/>
    </row>
    <row r="28" spans="1:13" ht="40.5" customHeight="1">
      <c r="A28" s="131">
        <v>7</v>
      </c>
      <c r="B28" s="134" t="s">
        <v>49</v>
      </c>
      <c r="C28" s="133" t="e">
        <f t="shared" si="0"/>
        <v>#REF!</v>
      </c>
      <c r="D28" s="133" t="e">
        <f t="shared" si="1"/>
        <v>#REF!</v>
      </c>
      <c r="E28" s="133" t="e">
        <f t="shared" si="2"/>
        <v>#REF!</v>
      </c>
      <c r="F28" s="133" t="e">
        <f>#REF!</f>
        <v>#REF!</v>
      </c>
      <c r="G28" s="133" t="e">
        <f t="shared" si="3"/>
        <v>#REF!</v>
      </c>
      <c r="H28" s="133" t="e">
        <f>#REF!</f>
        <v>#REF!</v>
      </c>
      <c r="I28" s="133" t="e">
        <f>#REF!</f>
        <v>#REF!</v>
      </c>
      <c r="J28" s="133" t="e">
        <f t="shared" si="4"/>
        <v>#REF!</v>
      </c>
      <c r="K28" s="133">
        <v>0</v>
      </c>
      <c r="L28" s="133" t="e">
        <f>#REF!</f>
        <v>#REF!</v>
      </c>
      <c r="M28" s="57"/>
    </row>
    <row r="29" spans="1:13">
      <c r="A29" s="131">
        <v>8</v>
      </c>
      <c r="B29" s="134" t="s">
        <v>50</v>
      </c>
      <c r="C29" s="133" t="e">
        <f t="shared" si="0"/>
        <v>#REF!</v>
      </c>
      <c r="D29" s="133" t="e">
        <f t="shared" si="1"/>
        <v>#REF!</v>
      </c>
      <c r="E29" s="133" t="e">
        <f t="shared" si="2"/>
        <v>#REF!</v>
      </c>
      <c r="F29" s="133" t="e">
        <f>#REF!</f>
        <v>#REF!</v>
      </c>
      <c r="G29" s="133" t="e">
        <f t="shared" si="3"/>
        <v>#REF!</v>
      </c>
      <c r="H29" s="133" t="e">
        <f>#REF!</f>
        <v>#REF!</v>
      </c>
      <c r="I29" s="133" t="e">
        <f>#REF!</f>
        <v>#REF!</v>
      </c>
      <c r="J29" s="133" t="e">
        <f t="shared" si="4"/>
        <v>#REF!</v>
      </c>
      <c r="K29" s="133" t="e">
        <f>#REF!</f>
        <v>#REF!</v>
      </c>
      <c r="L29" s="133" t="e">
        <f>#REF!</f>
        <v>#REF!</v>
      </c>
      <c r="M29" s="57"/>
    </row>
    <row r="30" spans="1:13" ht="18.75" customHeight="1">
      <c r="A30" s="135" t="s">
        <v>51</v>
      </c>
      <c r="B30" s="134" t="s">
        <v>52</v>
      </c>
      <c r="C30" s="133" t="e">
        <f t="shared" si="0"/>
        <v>#REF!</v>
      </c>
      <c r="D30" s="133" t="e">
        <f t="shared" si="1"/>
        <v>#REF!</v>
      </c>
      <c r="E30" s="133" t="e">
        <f t="shared" si="2"/>
        <v>#REF!</v>
      </c>
      <c r="F30" s="133">
        <v>0</v>
      </c>
      <c r="G30" s="133" t="e">
        <f t="shared" si="3"/>
        <v>#REF!</v>
      </c>
      <c r="H30" s="133" t="e">
        <f>#REF!</f>
        <v>#REF!</v>
      </c>
      <c r="I30" s="133" t="e">
        <f>#REF!</f>
        <v>#REF!</v>
      </c>
      <c r="J30" s="133" t="e">
        <f t="shared" si="4"/>
        <v>#REF!</v>
      </c>
      <c r="K30" s="133" t="e">
        <f>#REF!</f>
        <v>#REF!</v>
      </c>
      <c r="L30" s="133" t="e">
        <f>#REF!</f>
        <v>#REF!</v>
      </c>
      <c r="M30" s="57"/>
    </row>
    <row r="31" spans="1:13">
      <c r="A31" s="135" t="s">
        <v>53</v>
      </c>
      <c r="B31" s="134" t="s">
        <v>54</v>
      </c>
      <c r="C31" s="133" t="e">
        <f t="shared" si="0"/>
        <v>#REF!</v>
      </c>
      <c r="D31" s="133">
        <f t="shared" si="1"/>
        <v>0</v>
      </c>
      <c r="E31" s="133" t="e">
        <f t="shared" si="2"/>
        <v>#REF!</v>
      </c>
      <c r="F31" s="133" t="e">
        <f>#REF!</f>
        <v>#REF!</v>
      </c>
      <c r="G31" s="133">
        <f t="shared" si="3"/>
        <v>0</v>
      </c>
      <c r="H31" s="133">
        <v>0</v>
      </c>
      <c r="I31" s="133">
        <v>0</v>
      </c>
      <c r="J31" s="133">
        <f t="shared" si="4"/>
        <v>0</v>
      </c>
      <c r="K31" s="133">
        <v>0</v>
      </c>
      <c r="L31" s="133">
        <v>0</v>
      </c>
      <c r="M31" s="57"/>
    </row>
    <row r="32" spans="1:13">
      <c r="A32" s="135" t="s">
        <v>55</v>
      </c>
      <c r="B32" s="134" t="s">
        <v>56</v>
      </c>
      <c r="C32" s="133" t="e">
        <f t="shared" si="0"/>
        <v>#REF!</v>
      </c>
      <c r="D32" s="133" t="e">
        <f t="shared" si="1"/>
        <v>#REF!</v>
      </c>
      <c r="E32" s="133" t="e">
        <f t="shared" si="2"/>
        <v>#REF!</v>
      </c>
      <c r="F32" s="133"/>
      <c r="G32" s="133" t="e">
        <f>H32+I32</f>
        <v>#REF!</v>
      </c>
      <c r="H32" s="133" t="e">
        <f>#REF!</f>
        <v>#REF!</v>
      </c>
      <c r="I32" s="133" t="e">
        <f>#REF!</f>
        <v>#REF!</v>
      </c>
      <c r="J32" s="133"/>
      <c r="K32" s="133"/>
      <c r="L32" s="133"/>
      <c r="M32" s="57"/>
    </row>
    <row r="33" spans="1:13">
      <c r="A33" s="135" t="s">
        <v>57</v>
      </c>
      <c r="B33" s="134" t="s">
        <v>58</v>
      </c>
      <c r="C33" s="133" t="e">
        <f t="shared" si="0"/>
        <v>#REF!</v>
      </c>
      <c r="D33" s="133" t="e">
        <f t="shared" si="1"/>
        <v>#REF!</v>
      </c>
      <c r="E33" s="133">
        <f t="shared" si="2"/>
        <v>0</v>
      </c>
      <c r="F33" s="133"/>
      <c r="G33" s="133" t="e">
        <f t="shared" si="3"/>
        <v>#REF!</v>
      </c>
      <c r="H33" s="133" t="e">
        <f>#REF!</f>
        <v>#REF!</v>
      </c>
      <c r="I33" s="133"/>
      <c r="J33" s="133"/>
      <c r="K33" s="133"/>
      <c r="L33" s="133"/>
      <c r="M33" s="57"/>
    </row>
    <row r="34" spans="1:13" ht="18.75" customHeight="1">
      <c r="A34" s="135" t="s">
        <v>59</v>
      </c>
      <c r="B34" s="134" t="s">
        <v>60</v>
      </c>
      <c r="C34" s="133" t="e">
        <f t="shared" si="0"/>
        <v>#REF!</v>
      </c>
      <c r="D34" s="133" t="e">
        <f t="shared" si="1"/>
        <v>#REF!</v>
      </c>
      <c r="E34" s="133" t="e">
        <f t="shared" si="2"/>
        <v>#REF!</v>
      </c>
      <c r="F34" s="133" t="e">
        <f>#REF!</f>
        <v>#REF!</v>
      </c>
      <c r="G34" s="133" t="e">
        <f t="shared" si="3"/>
        <v>#REF!</v>
      </c>
      <c r="H34" s="133" t="e">
        <f>#REF!</f>
        <v>#REF!</v>
      </c>
      <c r="I34" s="133" t="e">
        <f>#REF!</f>
        <v>#REF!</v>
      </c>
      <c r="J34" s="133" t="e">
        <f t="shared" si="4"/>
        <v>#REF!</v>
      </c>
      <c r="K34" s="133" t="e">
        <f>#REF!</f>
        <v>#REF!</v>
      </c>
      <c r="L34" s="133">
        <v>0</v>
      </c>
      <c r="M34" s="57"/>
    </row>
    <row r="35" spans="1:13" ht="18.75" customHeight="1">
      <c r="A35" s="135" t="s">
        <v>61</v>
      </c>
      <c r="B35" s="134" t="s">
        <v>62</v>
      </c>
      <c r="C35" s="133" t="e">
        <f t="shared" si="0"/>
        <v>#REF!</v>
      </c>
      <c r="D35" s="133" t="e">
        <f t="shared" si="1"/>
        <v>#REF!</v>
      </c>
      <c r="E35" s="133" t="e">
        <f t="shared" si="2"/>
        <v>#REF!</v>
      </c>
      <c r="F35" s="133"/>
      <c r="G35" s="133" t="e">
        <f>H35+I35</f>
        <v>#REF!</v>
      </c>
      <c r="H35" s="133" t="e">
        <f>#REF!</f>
        <v>#REF!</v>
      </c>
      <c r="I35" s="133" t="e">
        <f>#REF!</f>
        <v>#REF!</v>
      </c>
      <c r="J35" s="133">
        <f>K35+L35</f>
        <v>0</v>
      </c>
      <c r="K35" s="133"/>
      <c r="L35" s="133"/>
      <c r="M35" s="57"/>
    </row>
    <row r="36" spans="1:13" ht="18" customHeight="1">
      <c r="A36" s="135" t="s">
        <v>63</v>
      </c>
      <c r="B36" s="134" t="s">
        <v>64</v>
      </c>
      <c r="C36" s="133" t="e">
        <f t="shared" si="0"/>
        <v>#REF!</v>
      </c>
      <c r="D36" s="133">
        <f t="shared" si="1"/>
        <v>0</v>
      </c>
      <c r="E36" s="133" t="e">
        <f t="shared" si="2"/>
        <v>#REF!</v>
      </c>
      <c r="F36" s="133" t="e">
        <f>#REF!</f>
        <v>#REF!</v>
      </c>
      <c r="G36" s="133">
        <f t="shared" si="3"/>
        <v>0</v>
      </c>
      <c r="H36" s="133">
        <v>0</v>
      </c>
      <c r="I36" s="133">
        <v>0</v>
      </c>
      <c r="J36" s="133">
        <f t="shared" si="4"/>
        <v>0</v>
      </c>
      <c r="K36" s="133">
        <v>0</v>
      </c>
      <c r="L36" s="133">
        <v>0</v>
      </c>
      <c r="M36" s="57"/>
    </row>
    <row r="37" spans="1:13" ht="31.5" customHeight="1">
      <c r="A37" s="135" t="s">
        <v>65</v>
      </c>
      <c r="B37" s="134" t="s">
        <v>66</v>
      </c>
      <c r="C37" s="133" t="e">
        <f t="shared" si="0"/>
        <v>#REF!</v>
      </c>
      <c r="D37" s="133" t="e">
        <f t="shared" si="1"/>
        <v>#REF!</v>
      </c>
      <c r="E37" s="133" t="e">
        <f t="shared" si="2"/>
        <v>#REF!</v>
      </c>
      <c r="F37" s="133" t="e">
        <f>#REF!</f>
        <v>#REF!</v>
      </c>
      <c r="G37" s="133" t="e">
        <f t="shared" si="3"/>
        <v>#REF!</v>
      </c>
      <c r="H37" s="133" t="e">
        <f>#REF!</f>
        <v>#REF!</v>
      </c>
      <c r="I37" s="133" t="e">
        <f>#REF!</f>
        <v>#REF!</v>
      </c>
      <c r="J37" s="133" t="e">
        <f t="shared" si="4"/>
        <v>#REF!</v>
      </c>
      <c r="K37" s="133">
        <v>0</v>
      </c>
      <c r="L37" s="133" t="e">
        <f>#REF!</f>
        <v>#REF!</v>
      </c>
      <c r="M37" s="57"/>
    </row>
    <row r="38" spans="1:13" ht="21" customHeight="1">
      <c r="A38" s="131">
        <v>23</v>
      </c>
      <c r="B38" s="134" t="s">
        <v>67</v>
      </c>
      <c r="C38" s="133" t="e">
        <f t="shared" si="0"/>
        <v>#REF!</v>
      </c>
      <c r="D38" s="133" t="e">
        <f t="shared" si="1"/>
        <v>#REF!</v>
      </c>
      <c r="E38" s="133" t="e">
        <f t="shared" si="2"/>
        <v>#REF!</v>
      </c>
      <c r="F38" s="133" t="e">
        <f>#REF!</f>
        <v>#REF!</v>
      </c>
      <c r="G38" s="133" t="e">
        <f t="shared" si="3"/>
        <v>#REF!</v>
      </c>
      <c r="H38" s="133" t="e">
        <f>#REF!</f>
        <v>#REF!</v>
      </c>
      <c r="I38" s="133" t="e">
        <f>#REF!</f>
        <v>#REF!</v>
      </c>
      <c r="J38" s="133">
        <f t="shared" si="4"/>
        <v>0</v>
      </c>
      <c r="K38" s="133">
        <v>0</v>
      </c>
      <c r="L38" s="133">
        <v>0</v>
      </c>
      <c r="M38" s="57"/>
    </row>
    <row r="39" spans="1:13" ht="53.25" customHeight="1">
      <c r="A39" s="131">
        <v>24</v>
      </c>
      <c r="B39" s="134" t="s">
        <v>68</v>
      </c>
      <c r="C39" s="133" t="e">
        <f t="shared" si="0"/>
        <v>#REF!</v>
      </c>
      <c r="D39" s="133" t="e">
        <f t="shared" si="1"/>
        <v>#REF!</v>
      </c>
      <c r="E39" s="133" t="e">
        <f t="shared" si="2"/>
        <v>#REF!</v>
      </c>
      <c r="F39" s="133"/>
      <c r="G39" s="133" t="e">
        <f>H39+I39</f>
        <v>#REF!</v>
      </c>
      <c r="H39" s="133" t="e">
        <f>#REF!</f>
        <v>#REF!</v>
      </c>
      <c r="I39" s="133" t="e">
        <f>#REF!</f>
        <v>#REF!</v>
      </c>
      <c r="J39" s="133"/>
      <c r="K39" s="133"/>
      <c r="L39" s="133"/>
      <c r="M39" s="57"/>
    </row>
    <row r="40" spans="1:13" ht="25.5" customHeight="1">
      <c r="A40" s="131">
        <v>25</v>
      </c>
      <c r="B40" s="132" t="s">
        <v>69</v>
      </c>
      <c r="C40" s="133">
        <f t="shared" si="0"/>
        <v>0</v>
      </c>
      <c r="D40" s="133">
        <f t="shared" si="1"/>
        <v>0</v>
      </c>
      <c r="E40" s="133">
        <f t="shared" si="2"/>
        <v>0</v>
      </c>
      <c r="F40" s="133">
        <v>0</v>
      </c>
      <c r="G40" s="133">
        <f t="shared" si="3"/>
        <v>0</v>
      </c>
      <c r="H40" s="133">
        <v>0</v>
      </c>
      <c r="I40" s="133">
        <v>0</v>
      </c>
      <c r="J40" s="133">
        <f t="shared" si="4"/>
        <v>0</v>
      </c>
      <c r="K40" s="133">
        <v>0</v>
      </c>
      <c r="L40" s="133">
        <v>0</v>
      </c>
      <c r="M40" s="57"/>
    </row>
    <row r="41" spans="1:13" ht="31.5" customHeight="1">
      <c r="A41" s="135" t="s">
        <v>70</v>
      </c>
      <c r="B41" s="134" t="s">
        <v>71</v>
      </c>
      <c r="C41" s="133" t="e">
        <f t="shared" si="0"/>
        <v>#REF!</v>
      </c>
      <c r="D41" s="133">
        <f t="shared" si="1"/>
        <v>0</v>
      </c>
      <c r="E41" s="133" t="e">
        <f t="shared" si="2"/>
        <v>#REF!</v>
      </c>
      <c r="F41" s="133">
        <v>0</v>
      </c>
      <c r="G41" s="133" t="e">
        <f t="shared" si="3"/>
        <v>#REF!</v>
      </c>
      <c r="H41" s="133">
        <v>0</v>
      </c>
      <c r="I41" s="133" t="e">
        <f>#REF!</f>
        <v>#REF!</v>
      </c>
      <c r="J41" s="133">
        <f t="shared" si="4"/>
        <v>0</v>
      </c>
      <c r="K41" s="133">
        <v>0</v>
      </c>
      <c r="L41" s="133">
        <v>0</v>
      </c>
      <c r="M41" s="57"/>
    </row>
    <row r="42" spans="1:13" ht="38.25" customHeight="1">
      <c r="A42" s="131">
        <v>28</v>
      </c>
      <c r="B42" s="134" t="s">
        <v>72</v>
      </c>
      <c r="C42" s="133" t="e">
        <f t="shared" si="0"/>
        <v>#REF!</v>
      </c>
      <c r="D42" s="133">
        <f t="shared" si="1"/>
        <v>0</v>
      </c>
      <c r="E42" s="133" t="e">
        <f t="shared" si="2"/>
        <v>#REF!</v>
      </c>
      <c r="F42" s="133" t="e">
        <f>#REF!</f>
        <v>#REF!</v>
      </c>
      <c r="G42" s="133">
        <f t="shared" si="3"/>
        <v>0</v>
      </c>
      <c r="H42" s="133">
        <v>0</v>
      </c>
      <c r="I42" s="133">
        <v>0</v>
      </c>
      <c r="J42" s="133">
        <f t="shared" si="4"/>
        <v>0</v>
      </c>
      <c r="K42" s="133">
        <v>0</v>
      </c>
      <c r="L42" s="133">
        <v>0</v>
      </c>
      <c r="M42" s="57"/>
    </row>
    <row r="43" spans="1:13" ht="18" customHeight="1">
      <c r="A43" s="131">
        <v>29</v>
      </c>
      <c r="B43" s="132" t="s">
        <v>73</v>
      </c>
      <c r="C43" s="133" t="e">
        <f t="shared" si="0"/>
        <v>#REF!</v>
      </c>
      <c r="D43" s="133" t="e">
        <f t="shared" si="1"/>
        <v>#REF!</v>
      </c>
      <c r="E43" s="133" t="e">
        <f t="shared" si="2"/>
        <v>#REF!</v>
      </c>
      <c r="F43" s="133">
        <v>0</v>
      </c>
      <c r="G43" s="133" t="e">
        <f t="shared" si="3"/>
        <v>#REF!</v>
      </c>
      <c r="H43" s="133" t="e">
        <f>#REF!</f>
        <v>#REF!</v>
      </c>
      <c r="I43" s="133" t="e">
        <f>#REF!</f>
        <v>#REF!</v>
      </c>
      <c r="J43" s="133">
        <f t="shared" si="4"/>
        <v>0</v>
      </c>
      <c r="K43" s="133">
        <v>0</v>
      </c>
      <c r="L43" s="133">
        <v>0</v>
      </c>
      <c r="M43" s="57"/>
    </row>
    <row r="44" spans="1:13">
      <c r="A44" s="131">
        <v>31</v>
      </c>
      <c r="B44" s="134" t="s">
        <v>74</v>
      </c>
      <c r="C44" s="133" t="e">
        <f t="shared" si="0"/>
        <v>#REF!</v>
      </c>
      <c r="D44" s="133" t="e">
        <f t="shared" si="1"/>
        <v>#REF!</v>
      </c>
      <c r="E44" s="133" t="e">
        <f t="shared" si="2"/>
        <v>#REF!</v>
      </c>
      <c r="F44" s="133">
        <v>0</v>
      </c>
      <c r="G44" s="133" t="e">
        <f t="shared" si="3"/>
        <v>#REF!</v>
      </c>
      <c r="H44" s="133" t="e">
        <f>#REF!</f>
        <v>#REF!</v>
      </c>
      <c r="I44" s="133" t="e">
        <f>#REF!</f>
        <v>#REF!</v>
      </c>
      <c r="J44" s="133" t="e">
        <f t="shared" si="4"/>
        <v>#REF!</v>
      </c>
      <c r="K44" s="133" t="e">
        <f>#REF!</f>
        <v>#REF!</v>
      </c>
      <c r="L44" s="133" t="e">
        <f>#REF!</f>
        <v>#REF!</v>
      </c>
      <c r="M44" s="57"/>
    </row>
    <row r="45" spans="1:13" ht="26.25" customHeight="1">
      <c r="A45" s="131">
        <v>32</v>
      </c>
      <c r="B45" s="132" t="s">
        <v>75</v>
      </c>
      <c r="C45" s="133" t="e">
        <f t="shared" si="0"/>
        <v>#REF!</v>
      </c>
      <c r="D45" s="133">
        <f t="shared" si="1"/>
        <v>0</v>
      </c>
      <c r="E45" s="133" t="e">
        <f t="shared" si="2"/>
        <v>#REF!</v>
      </c>
      <c r="F45" s="133" t="e">
        <f>#REF!</f>
        <v>#REF!</v>
      </c>
      <c r="G45" s="133">
        <f t="shared" si="3"/>
        <v>0</v>
      </c>
      <c r="H45" s="133">
        <v>0</v>
      </c>
      <c r="I45" s="133">
        <v>0</v>
      </c>
      <c r="J45" s="133">
        <f t="shared" si="4"/>
        <v>0</v>
      </c>
      <c r="K45" s="133">
        <v>0</v>
      </c>
      <c r="L45" s="133">
        <v>0</v>
      </c>
      <c r="M45" s="57"/>
    </row>
    <row r="46" spans="1:13" ht="27" customHeight="1">
      <c r="A46" s="131">
        <v>33</v>
      </c>
      <c r="B46" s="132" t="s">
        <v>76</v>
      </c>
      <c r="C46" s="133" t="e">
        <f t="shared" si="0"/>
        <v>#REF!</v>
      </c>
      <c r="D46" s="133" t="e">
        <f t="shared" si="1"/>
        <v>#REF!</v>
      </c>
      <c r="E46" s="133">
        <f t="shared" si="2"/>
        <v>0</v>
      </c>
      <c r="F46" s="133"/>
      <c r="G46" s="133" t="e">
        <f t="shared" si="3"/>
        <v>#REF!</v>
      </c>
      <c r="H46" s="133" t="e">
        <f>#REF!</f>
        <v>#REF!</v>
      </c>
      <c r="I46" s="133">
        <v>0</v>
      </c>
      <c r="J46" s="133">
        <f t="shared" si="4"/>
        <v>0</v>
      </c>
      <c r="K46" s="133">
        <v>0</v>
      </c>
      <c r="L46" s="133">
        <v>0</v>
      </c>
      <c r="M46" s="57"/>
    </row>
    <row r="47" spans="1:13" ht="33" customHeight="1">
      <c r="A47" s="131">
        <v>37</v>
      </c>
      <c r="B47" s="132" t="s">
        <v>77</v>
      </c>
      <c r="C47" s="133" t="e">
        <f t="shared" si="0"/>
        <v>#REF!</v>
      </c>
      <c r="D47" s="133" t="e">
        <f>H47+K47</f>
        <v>#REF!</v>
      </c>
      <c r="E47" s="133" t="e">
        <f>I47+L47</f>
        <v>#REF!</v>
      </c>
      <c r="F47" s="133">
        <v>0</v>
      </c>
      <c r="G47" s="133" t="e">
        <f>H47+I47</f>
        <v>#REF!</v>
      </c>
      <c r="H47" s="133" t="e">
        <f>#REF!</f>
        <v>#REF!</v>
      </c>
      <c r="I47" s="133" t="e">
        <f>#REF!</f>
        <v>#REF!</v>
      </c>
      <c r="J47" s="133" t="e">
        <f>K47+L47</f>
        <v>#REF!</v>
      </c>
      <c r="K47" s="133" t="e">
        <f>#REF!</f>
        <v>#REF!</v>
      </c>
      <c r="L47" s="133" t="e">
        <f>#REF!</f>
        <v>#REF!</v>
      </c>
      <c r="M47" s="57"/>
    </row>
    <row r="48" spans="1:13">
      <c r="A48" s="128"/>
      <c r="B48" s="136" t="s">
        <v>78</v>
      </c>
      <c r="C48" s="130" t="e">
        <f>D48+E48</f>
        <v>#REF!</v>
      </c>
      <c r="D48" s="130" t="e">
        <f>D22+D23+D24+D25+D26+D27+D28+D29+D30+D31+D34+D36+D37+D38+D40++D41+D42+D43+D44+D45+D46+D39+D35+D33+D32</f>
        <v>#REF!</v>
      </c>
      <c r="E48" s="130" t="e">
        <f>E22+E23+E24+E25+E26+E27+E28+E29+E30+E31+E34+E36+E37+E38+E40++E41+E42+E43+E44+E45+E46+E39+E35+E33+E32</f>
        <v>#REF!</v>
      </c>
      <c r="F48" s="130" t="e">
        <f>F22+F23+F24+F25+F26+F27+F28+F29+F30+F31+F34+F36+F37+F38+F40++F41+F42+F43+F44+F45+F46+F39+F35+F33+F32</f>
        <v>#REF!</v>
      </c>
      <c r="G48" s="130" t="e">
        <f>H48+I48</f>
        <v>#REF!</v>
      </c>
      <c r="H48" s="130" t="e">
        <f>H22+H23+H24+H25+H26+H27+H28+H29+H30+H31+H34+H36+H37+H38+H40++H41+H42+H43+H44+H45+H46+H39+H35+H33+H32</f>
        <v>#REF!</v>
      </c>
      <c r="I48" s="130" t="e">
        <f>I22+I23+I24+I25+I26+I27+I28+I29+I30+I31+I34+I36+I37+I38+I40++I41+I42+I43+I44+I45+I46+I39+I35+I33+I32</f>
        <v>#REF!</v>
      </c>
      <c r="J48" s="130" t="e">
        <f>K48+L48</f>
        <v>#REF!</v>
      </c>
      <c r="K48" s="130" t="e">
        <f>K22+K23+K24+K25+K26+K27+K28+K29+K30+K31+K34+K36+K37+K38+K40++K41+K42+K43+K44+K45+K46</f>
        <v>#REF!</v>
      </c>
      <c r="L48" s="130" t="e">
        <f>L22+L23+L24+L25+L26+L27+L28+L29+L30+L31+L34+L36+L37+L38+L40++L41+L42+L43+L44+L45+L46</f>
        <v>#REF!</v>
      </c>
      <c r="M48" s="57"/>
    </row>
    <row r="49" spans="1:13" ht="32.25" customHeight="1">
      <c r="A49" s="137">
        <v>38</v>
      </c>
      <c r="B49" s="110" t="s">
        <v>79</v>
      </c>
      <c r="C49" s="138" t="e">
        <f>D49</f>
        <v>#REF!</v>
      </c>
      <c r="D49" s="138" t="e">
        <f>H49</f>
        <v>#REF!</v>
      </c>
      <c r="E49" s="138">
        <v>0</v>
      </c>
      <c r="F49" s="138"/>
      <c r="G49" s="138" t="e">
        <f>H49+I49</f>
        <v>#REF!</v>
      </c>
      <c r="H49" s="138" t="e">
        <f>#REF!</f>
        <v>#REF!</v>
      </c>
      <c r="I49" s="138">
        <v>0</v>
      </c>
      <c r="J49" s="138">
        <f>K49+L49</f>
        <v>0</v>
      </c>
      <c r="K49" s="138">
        <v>0</v>
      </c>
      <c r="L49" s="138">
        <v>0</v>
      </c>
      <c r="M49" s="57"/>
    </row>
    <row r="50" spans="1:13" ht="18.75" customHeight="1">
      <c r="A50" s="139">
        <v>40</v>
      </c>
      <c r="B50" s="93" t="s">
        <v>81</v>
      </c>
      <c r="C50" s="100">
        <f>D50+E50</f>
        <v>0</v>
      </c>
      <c r="D50" s="100">
        <v>-152561912</v>
      </c>
      <c r="E50" s="100">
        <v>152561912</v>
      </c>
      <c r="F50" s="100">
        <v>0</v>
      </c>
      <c r="G50" s="100">
        <v>0</v>
      </c>
      <c r="H50" s="100">
        <v>-144834592</v>
      </c>
      <c r="I50" s="100">
        <v>144834592</v>
      </c>
      <c r="J50" s="100">
        <v>0</v>
      </c>
      <c r="K50" s="100">
        <v>-7727319</v>
      </c>
      <c r="L50" s="100">
        <v>7727319</v>
      </c>
      <c r="M50" s="57"/>
    </row>
    <row r="51" spans="1:13" ht="20.25" customHeight="1">
      <c r="A51" s="128"/>
      <c r="B51" s="136" t="s">
        <v>82</v>
      </c>
      <c r="C51" s="130" t="e">
        <f>C48+C49</f>
        <v>#REF!</v>
      </c>
      <c r="D51" s="130">
        <v>0</v>
      </c>
      <c r="E51" s="130" t="e">
        <f>E48+E49+E50</f>
        <v>#REF!</v>
      </c>
      <c r="F51" s="130" t="e">
        <f>F48+F50</f>
        <v>#REF!</v>
      </c>
      <c r="G51" s="130" t="e">
        <f>G48+G49</f>
        <v>#REF!</v>
      </c>
      <c r="H51" s="130">
        <v>0.39000000059604645</v>
      </c>
      <c r="I51" s="130" t="e">
        <f>I48+I49+I50</f>
        <v>#REF!</v>
      </c>
      <c r="J51" s="130" t="e">
        <f>J48+J49</f>
        <v>#REF!</v>
      </c>
      <c r="K51" s="130">
        <v>0.39000000059604645</v>
      </c>
      <c r="L51" s="130" t="e">
        <f>L48+L49+L50</f>
        <v>#REF!</v>
      </c>
      <c r="M51" s="57"/>
    </row>
    <row r="52" spans="1:13" ht="17.25" customHeight="1">
      <c r="A52" s="108"/>
      <c r="B52" s="99" t="s">
        <v>83</v>
      </c>
      <c r="C52" s="140">
        <v>0</v>
      </c>
      <c r="D52" s="140"/>
      <c r="E52" s="140">
        <v>0</v>
      </c>
      <c r="F52" s="100">
        <v>0</v>
      </c>
      <c r="G52" s="100">
        <v>0</v>
      </c>
      <c r="H52" s="100"/>
      <c r="I52" s="100"/>
      <c r="J52" s="100">
        <v>0</v>
      </c>
      <c r="K52" s="100"/>
      <c r="L52" s="100"/>
      <c r="M52" s="57"/>
    </row>
    <row r="53" spans="1:13" ht="21" customHeight="1">
      <c r="A53" s="141">
        <v>42</v>
      </c>
      <c r="B53" s="107" t="s">
        <v>84</v>
      </c>
      <c r="C53" s="142" t="e">
        <f>C15+C16-C51</f>
        <v>#REF!</v>
      </c>
      <c r="D53" s="142">
        <v>0</v>
      </c>
      <c r="E53" s="142">
        <v>0</v>
      </c>
      <c r="F53" s="142">
        <v>5.4206490516662598E-2</v>
      </c>
      <c r="G53" s="142" t="e">
        <f>G15+G16-G51</f>
        <v>#REF!</v>
      </c>
      <c r="H53" s="142"/>
      <c r="I53" s="142"/>
      <c r="J53" s="142" t="e">
        <f>J15+J16-J51</f>
        <v>#REF!</v>
      </c>
      <c r="K53" s="142"/>
      <c r="L53" s="142"/>
      <c r="M53" s="57"/>
    </row>
    <row r="54" spans="1:13">
      <c r="A54" s="95"/>
      <c r="B54" s="102"/>
      <c r="C54" s="97"/>
      <c r="D54" s="97"/>
      <c r="E54" s="97"/>
      <c r="F54" s="97"/>
      <c r="G54" s="97"/>
      <c r="H54" s="97"/>
      <c r="I54" s="97"/>
      <c r="J54" s="57"/>
      <c r="K54" s="57"/>
      <c r="L54" s="57"/>
      <c r="M54" s="57"/>
    </row>
    <row r="55" spans="1:13">
      <c r="A55" s="95"/>
      <c r="B55" s="102"/>
      <c r="C55" s="97"/>
      <c r="D55" s="97"/>
      <c r="E55" s="97"/>
      <c r="F55" s="97"/>
      <c r="G55" s="97"/>
      <c r="H55" s="97"/>
      <c r="I55" s="97"/>
      <c r="J55" s="57"/>
      <c r="K55" s="57"/>
      <c r="L55" s="57"/>
      <c r="M55" s="57"/>
    </row>
    <row r="56" spans="1:13">
      <c r="A56" s="57"/>
      <c r="B56" s="94"/>
      <c r="C56" s="3859" t="s">
        <v>263</v>
      </c>
      <c r="D56" s="3862"/>
      <c r="E56" s="3862"/>
      <c r="F56" s="3862"/>
      <c r="G56" s="3862"/>
      <c r="H56" s="3862"/>
      <c r="I56" s="3862"/>
      <c r="J56" s="3862"/>
      <c r="K56" s="57"/>
      <c r="L56" s="57"/>
      <c r="M56" s="57"/>
    </row>
    <row r="57" spans="1:13">
      <c r="A57" s="95"/>
      <c r="B57" s="102"/>
      <c r="C57" s="97"/>
      <c r="D57" s="97"/>
      <c r="E57" s="97"/>
      <c r="F57" s="97"/>
      <c r="G57" s="97"/>
      <c r="H57" s="97"/>
      <c r="I57" s="97"/>
      <c r="J57" s="57"/>
      <c r="K57" s="57"/>
      <c r="L57" s="57"/>
      <c r="M57" s="57"/>
    </row>
    <row r="58" spans="1:13">
      <c r="A58" s="57"/>
      <c r="B58" s="94"/>
      <c r="C58" s="3859" t="s">
        <v>86</v>
      </c>
      <c r="D58" s="3860"/>
      <c r="E58" s="3860"/>
      <c r="F58" s="3860"/>
      <c r="G58" s="3860"/>
      <c r="H58" s="3860"/>
      <c r="I58" s="3860"/>
      <c r="J58" s="3860"/>
      <c r="K58" s="57"/>
      <c r="L58" s="57"/>
      <c r="M58" s="57"/>
    </row>
    <row r="59" spans="1:13">
      <c r="A59" s="95"/>
      <c r="B59" s="102"/>
      <c r="C59" s="97"/>
      <c r="D59" s="97"/>
      <c r="E59" s="97"/>
      <c r="F59" s="97"/>
      <c r="G59" s="97"/>
      <c r="H59" s="97"/>
      <c r="I59" s="97"/>
      <c r="J59" s="57"/>
      <c r="K59" s="57"/>
      <c r="L59" s="57"/>
      <c r="M59" s="57"/>
    </row>
    <row r="60" spans="1:13">
      <c r="A60" s="95"/>
      <c r="B60" s="102"/>
      <c r="C60" s="97"/>
      <c r="D60" s="97"/>
      <c r="E60" s="97"/>
      <c r="F60" s="97"/>
      <c r="G60" s="97"/>
      <c r="H60" s="97"/>
      <c r="I60" s="97"/>
      <c r="J60" s="57"/>
      <c r="K60" s="57"/>
      <c r="L60" s="57"/>
      <c r="M60" s="57"/>
    </row>
    <row r="61" spans="1:13">
      <c r="A61" s="57"/>
      <c r="B61" s="163"/>
      <c r="C61" s="3861" t="s">
        <v>264</v>
      </c>
      <c r="D61" s="3862"/>
      <c r="E61" s="3862"/>
      <c r="F61" s="3862"/>
      <c r="G61" s="3862"/>
      <c r="H61" s="3862"/>
      <c r="I61" s="3862"/>
      <c r="J61" s="3862"/>
      <c r="K61" s="57"/>
      <c r="L61" s="57"/>
      <c r="M61" s="57"/>
    </row>
    <row r="62" spans="1:13">
      <c r="A62" s="164"/>
      <c r="B62" s="164"/>
      <c r="C62" s="164"/>
      <c r="D62" s="164"/>
      <c r="E62" s="164"/>
      <c r="F62" s="164"/>
      <c r="G62" s="164"/>
      <c r="H62" s="165"/>
      <c r="I62" s="159"/>
      <c r="J62" s="57"/>
      <c r="K62" s="57"/>
      <c r="L62" s="57"/>
      <c r="M62" s="57"/>
    </row>
    <row r="63" spans="1:13">
      <c r="A63" s="57"/>
      <c r="B63" s="57"/>
      <c r="C63" s="3861" t="s">
        <v>265</v>
      </c>
      <c r="D63" s="3863"/>
      <c r="E63" s="3863"/>
      <c r="F63" s="3863"/>
      <c r="G63" s="3863"/>
      <c r="H63" s="3863"/>
      <c r="I63" s="3863"/>
      <c r="J63" s="3863"/>
      <c r="K63" s="98"/>
      <c r="L63" s="57"/>
      <c r="M63" s="57"/>
    </row>
    <row r="64" spans="1:13">
      <c r="A64" s="164"/>
      <c r="B64" s="164"/>
      <c r="C64" s="164"/>
      <c r="D64" s="164"/>
      <c r="E64" s="164"/>
      <c r="F64" s="164"/>
      <c r="G64" s="164"/>
      <c r="H64" s="165"/>
      <c r="I64" s="165"/>
      <c r="J64" s="57"/>
      <c r="K64" s="57"/>
      <c r="L64" s="57"/>
      <c r="M64" s="57"/>
    </row>
    <row r="65" spans="1:13">
      <c r="A65" s="57"/>
      <c r="B65" s="57"/>
      <c r="C65" s="163" t="s">
        <v>266</v>
      </c>
      <c r="D65" s="163"/>
      <c r="E65" s="163"/>
      <c r="F65" s="163"/>
      <c r="G65" s="163"/>
      <c r="H65" s="163"/>
      <c r="I65" s="163"/>
      <c r="J65" s="98"/>
      <c r="K65" s="98"/>
      <c r="L65" s="57"/>
      <c r="M65" s="57"/>
    </row>
    <row r="66" spans="1:13">
      <c r="A66" s="78"/>
      <c r="B66" s="79"/>
      <c r="C66" s="79"/>
      <c r="D66" s="79"/>
      <c r="E66" s="79"/>
      <c r="F66" s="80"/>
      <c r="G66" s="81"/>
      <c r="H66" s="81"/>
      <c r="I66" s="81"/>
    </row>
  </sheetData>
  <mergeCells count="19">
    <mergeCell ref="A6:L6"/>
    <mergeCell ref="E10:E13"/>
    <mergeCell ref="F11:F13"/>
    <mergeCell ref="G11:G13"/>
    <mergeCell ref="H11:I11"/>
    <mergeCell ref="H12:H13"/>
    <mergeCell ref="A9:A13"/>
    <mergeCell ref="B9:B13"/>
    <mergeCell ref="C58:J58"/>
    <mergeCell ref="C61:J61"/>
    <mergeCell ref="C63:J63"/>
    <mergeCell ref="J11:J13"/>
    <mergeCell ref="K11:L11"/>
    <mergeCell ref="K12:K13"/>
    <mergeCell ref="C56:J56"/>
    <mergeCell ref="C9:C13"/>
    <mergeCell ref="D10:D13"/>
    <mergeCell ref="F10:L10"/>
    <mergeCell ref="D9:L9"/>
  </mergeCells>
  <pageMargins left="0.70866141732283472" right="0.70866141732283472" top="0.74803149606299213" bottom="0.74803149606299213" header="0.31496062992125984" footer="0.31496062992125984"/>
  <pageSetup paperSize="9" scale="70" fitToHeight="0" orientation="landscape" horizontalDpi="0" verticalDpi="0" r:id="rId1"/>
  <rowBreaks count="1" manualBreakCount="1">
    <brk id="32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>
    <tabColor rgb="FF7030A0"/>
  </sheetPr>
  <dimension ref="A1:IU111"/>
  <sheetViews>
    <sheetView workbookViewId="0">
      <selection activeCell="W11" sqref="W11"/>
    </sheetView>
  </sheetViews>
  <sheetFormatPr defaultColWidth="9.140625" defaultRowHeight="12.75" outlineLevelCol="2"/>
  <cols>
    <col min="1" max="1" width="3.85546875" style="196" customWidth="1"/>
    <col min="2" max="2" width="17.7109375" style="196" customWidth="1"/>
    <col min="3" max="3" width="10.5703125" style="204" customWidth="1"/>
    <col min="4" max="4" width="10.28515625" style="329" customWidth="1"/>
    <col min="5" max="8" width="7.140625" style="204" customWidth="1"/>
    <col min="9" max="18" width="7.140625" style="198" customWidth="1"/>
    <col min="19" max="27" width="7.140625" style="199" customWidth="1" outlineLevel="1"/>
    <col min="28" max="28" width="7.7109375" style="199" customWidth="1" outlineLevel="1"/>
    <col min="29" max="31" width="12.140625" style="199" customWidth="1" outlineLevel="1"/>
    <col min="32" max="32" width="11.7109375" style="196" customWidth="1" outlineLevel="2"/>
    <col min="33" max="33" width="14.42578125" style="196" customWidth="1" outlineLevel="2"/>
    <col min="34" max="34" width="6.85546875" style="196" customWidth="1" outlineLevel="2"/>
    <col min="35" max="35" width="9" style="196" customWidth="1" outlineLevel="2"/>
    <col min="36" max="36" width="7.28515625" style="196" customWidth="1" outlineLevel="2"/>
    <col min="37" max="40" width="9" style="196" customWidth="1" outlineLevel="2"/>
    <col min="41" max="41" width="9.140625" style="196" customWidth="1" outlineLevel="2"/>
    <col min="42" max="52" width="11" style="196" customWidth="1" outlineLevel="1"/>
    <col min="53" max="54" width="11.7109375" style="196" customWidth="1" outlineLevel="1"/>
    <col min="55" max="63" width="10.85546875" style="196" customWidth="1" outlineLevel="1"/>
    <col min="64" max="64" width="11" style="196" customWidth="1"/>
    <col min="65" max="16384" width="9.140625" style="196"/>
  </cols>
  <sheetData>
    <row r="1" spans="1:255" ht="15.75">
      <c r="AD1" s="990" t="s">
        <v>267</v>
      </c>
      <c r="AE1" s="989" t="s">
        <v>268</v>
      </c>
    </row>
    <row r="2" spans="1:255" ht="15.75">
      <c r="B2" s="998" t="s">
        <v>269</v>
      </c>
      <c r="C2" s="542"/>
      <c r="D2" s="542"/>
      <c r="E2" s="542"/>
      <c r="F2" s="542"/>
      <c r="G2" s="542"/>
      <c r="H2" s="542"/>
      <c r="I2" s="542"/>
      <c r="J2" s="542"/>
      <c r="K2" s="542"/>
      <c r="L2" s="542"/>
      <c r="M2" s="542"/>
      <c r="N2" s="542"/>
      <c r="O2" s="542"/>
      <c r="P2" s="542"/>
      <c r="Q2" s="542"/>
      <c r="R2" s="3869" t="s">
        <v>270</v>
      </c>
      <c r="S2" s="3869"/>
      <c r="T2" s="1000"/>
      <c r="U2" s="542"/>
      <c r="V2" s="542"/>
      <c r="W2" s="542"/>
      <c r="X2" s="542"/>
      <c r="Y2" s="542"/>
      <c r="Z2" s="542"/>
      <c r="AA2" s="542"/>
      <c r="AB2" s="542"/>
      <c r="AC2" s="542"/>
      <c r="AD2" s="542"/>
      <c r="AE2" s="542"/>
      <c r="AF2" s="542"/>
      <c r="AG2" s="542"/>
      <c r="AH2" s="542"/>
      <c r="AI2" s="542"/>
      <c r="AJ2" s="542"/>
      <c r="AK2" s="542"/>
      <c r="AL2" s="542"/>
      <c r="AM2" s="542"/>
      <c r="AN2" s="542"/>
      <c r="AO2" s="542"/>
      <c r="AP2" s="542"/>
      <c r="AQ2" s="542"/>
      <c r="AR2" s="542"/>
      <c r="AS2" s="542"/>
      <c r="AT2" s="542"/>
      <c r="AU2" s="542"/>
      <c r="AV2" s="542"/>
      <c r="AW2" s="542"/>
      <c r="AX2" s="542"/>
      <c r="AY2" s="542"/>
      <c r="AZ2" s="542"/>
      <c r="BA2" s="542"/>
      <c r="BB2" s="542"/>
      <c r="BC2" s="542"/>
      <c r="BD2" s="264"/>
      <c r="BE2" s="264"/>
      <c r="BF2" s="264"/>
      <c r="BG2" s="264"/>
      <c r="BH2" s="264"/>
      <c r="BI2" s="264"/>
      <c r="BJ2" s="264"/>
      <c r="BK2" s="264"/>
    </row>
    <row r="3" spans="1:255">
      <c r="A3" s="196" t="s">
        <v>271</v>
      </c>
      <c r="B3" s="200"/>
      <c r="C3" s="196"/>
      <c r="E3" s="201">
        <v>1.08</v>
      </c>
      <c r="F3" s="197"/>
      <c r="G3" s="197"/>
      <c r="H3" s="197"/>
      <c r="R3" s="3870" t="s">
        <v>272</v>
      </c>
      <c r="S3" s="3870"/>
      <c r="T3" s="1001"/>
    </row>
    <row r="4" spans="1:255">
      <c r="A4" s="999" t="s">
        <v>273</v>
      </c>
      <c r="B4" s="198"/>
      <c r="C4" s="999" t="s">
        <v>274</v>
      </c>
      <c r="D4" s="200"/>
      <c r="E4" s="197"/>
      <c r="F4" s="197"/>
      <c r="G4" s="197"/>
      <c r="H4" s="197"/>
      <c r="R4" s="3870" t="s">
        <v>275</v>
      </c>
      <c r="S4" s="3870"/>
      <c r="T4" s="1001"/>
      <c r="AF4" s="3879" t="s">
        <v>276</v>
      </c>
      <c r="AG4" s="3879"/>
      <c r="AI4" s="202"/>
      <c r="AJ4" s="202"/>
      <c r="AK4" s="202"/>
      <c r="AL4" s="202"/>
      <c r="AM4" s="202"/>
      <c r="AN4" s="202"/>
      <c r="AO4" s="202"/>
      <c r="BD4" s="3879" t="s">
        <v>276</v>
      </c>
      <c r="BE4" s="3879"/>
      <c r="BG4" s="3879"/>
      <c r="BH4" s="3879"/>
    </row>
    <row r="5" spans="1:255" ht="12.75" customHeight="1">
      <c r="A5" s="3894" t="s">
        <v>34</v>
      </c>
      <c r="B5" s="3894" t="s">
        <v>277</v>
      </c>
      <c r="C5" s="3894" t="s">
        <v>278</v>
      </c>
      <c r="D5" s="3894" t="s">
        <v>279</v>
      </c>
      <c r="E5" s="3882" t="s">
        <v>280</v>
      </c>
      <c r="F5" s="3895"/>
      <c r="G5" s="3895"/>
      <c r="H5" s="3895"/>
      <c r="I5" s="3899" t="s">
        <v>281</v>
      </c>
      <c r="J5" s="3900"/>
      <c r="K5" s="3900"/>
      <c r="L5" s="3900"/>
      <c r="M5" s="3901"/>
      <c r="N5" s="3899" t="s">
        <v>282</v>
      </c>
      <c r="O5" s="3900"/>
      <c r="P5" s="3900"/>
      <c r="Q5" s="3900"/>
      <c r="R5" s="3901"/>
      <c r="S5" s="3886" t="s">
        <v>283</v>
      </c>
      <c r="T5" s="3908"/>
      <c r="U5" s="3908"/>
      <c r="V5" s="3908"/>
      <c r="W5" s="3909"/>
      <c r="X5" s="3886" t="s">
        <v>284</v>
      </c>
      <c r="Y5" s="3908"/>
      <c r="Z5" s="3908"/>
      <c r="AA5" s="3908"/>
      <c r="AB5" s="3909"/>
      <c r="AC5" s="3886" t="s">
        <v>285</v>
      </c>
      <c r="AD5" s="3886" t="s">
        <v>286</v>
      </c>
      <c r="AE5" s="3886" t="s">
        <v>287</v>
      </c>
      <c r="AF5" s="3889" t="s">
        <v>288</v>
      </c>
      <c r="AG5" s="3890"/>
      <c r="AH5" s="3890"/>
      <c r="AI5" s="3890"/>
      <c r="AJ5" s="3890"/>
      <c r="AK5" s="3890"/>
      <c r="AL5" s="3890"/>
      <c r="AM5" s="3890"/>
      <c r="AN5" s="3890"/>
      <c r="AO5" s="3891"/>
      <c r="AP5" s="3877" t="s">
        <v>289</v>
      </c>
      <c r="AQ5" s="3892" t="s">
        <v>290</v>
      </c>
      <c r="AR5" s="3893"/>
      <c r="AS5" s="3893"/>
      <c r="AT5" s="3893"/>
      <c r="AU5" s="3893"/>
      <c r="AV5" s="3893"/>
      <c r="AW5" s="3893"/>
      <c r="AX5" s="3893"/>
      <c r="AY5" s="3877" t="s">
        <v>289</v>
      </c>
      <c r="AZ5" s="3877" t="s">
        <v>291</v>
      </c>
      <c r="BA5" s="3877" t="s">
        <v>292</v>
      </c>
      <c r="BB5" s="3877" t="s">
        <v>293</v>
      </c>
      <c r="BC5" s="3877" t="s">
        <v>294</v>
      </c>
      <c r="BD5" s="3877" t="s">
        <v>295</v>
      </c>
      <c r="BE5" s="3877" t="s">
        <v>296</v>
      </c>
      <c r="BF5" s="3877" t="s">
        <v>297</v>
      </c>
      <c r="BG5" s="3877" t="s">
        <v>298</v>
      </c>
      <c r="BH5" s="3877" t="s">
        <v>299</v>
      </c>
      <c r="BI5" s="3877" t="s">
        <v>300</v>
      </c>
      <c r="BJ5" s="3881" t="s">
        <v>301</v>
      </c>
      <c r="BK5" s="3881" t="s">
        <v>302</v>
      </c>
      <c r="BL5" s="3881" t="s">
        <v>303</v>
      </c>
      <c r="BM5" s="3874" t="s">
        <v>304</v>
      </c>
      <c r="BN5" s="3875"/>
      <c r="BO5" s="3875"/>
      <c r="BP5" s="3876"/>
      <c r="BQ5" s="3874" t="s">
        <v>305</v>
      </c>
      <c r="BR5" s="3875"/>
      <c r="BS5" s="3875"/>
      <c r="BT5" s="3876"/>
      <c r="BU5" s="3874" t="s">
        <v>306</v>
      </c>
      <c r="BV5" s="3875"/>
      <c r="BW5" s="3875"/>
      <c r="BX5" s="3876"/>
    </row>
    <row r="6" spans="1:255" ht="15" customHeight="1">
      <c r="A6" s="3894"/>
      <c r="B6" s="3894"/>
      <c r="C6" s="3894"/>
      <c r="D6" s="3894"/>
      <c r="E6" s="3896"/>
      <c r="F6" s="3897"/>
      <c r="G6" s="3897"/>
      <c r="H6" s="3897"/>
      <c r="I6" s="3902"/>
      <c r="J6" s="3903"/>
      <c r="K6" s="3903"/>
      <c r="L6" s="3903"/>
      <c r="M6" s="3904"/>
      <c r="N6" s="3902"/>
      <c r="O6" s="3903"/>
      <c r="P6" s="3903"/>
      <c r="Q6" s="3903"/>
      <c r="R6" s="3904"/>
      <c r="S6" s="3887"/>
      <c r="T6" s="3910"/>
      <c r="U6" s="3910"/>
      <c r="V6" s="3910"/>
      <c r="W6" s="3911"/>
      <c r="X6" s="3887"/>
      <c r="Y6" s="3910"/>
      <c r="Z6" s="3910"/>
      <c r="AA6" s="3910"/>
      <c r="AB6" s="3911"/>
      <c r="AC6" s="3887"/>
      <c r="AD6" s="3887"/>
      <c r="AE6" s="3887"/>
      <c r="AF6" s="3877" t="s">
        <v>307</v>
      </c>
      <c r="AG6" s="3877" t="s">
        <v>308</v>
      </c>
      <c r="AH6" s="3882" t="s">
        <v>309</v>
      </c>
      <c r="AI6" s="3883"/>
      <c r="AJ6" s="3882" t="s">
        <v>310</v>
      </c>
      <c r="AK6" s="3883"/>
      <c r="AL6" s="3882" t="s">
        <v>311</v>
      </c>
      <c r="AM6" s="3883"/>
      <c r="AN6" s="3882" t="s">
        <v>312</v>
      </c>
      <c r="AO6" s="3883"/>
      <c r="AP6" s="3880"/>
      <c r="AQ6" s="3877" t="s">
        <v>307</v>
      </c>
      <c r="AR6" s="3877" t="s">
        <v>308</v>
      </c>
      <c r="AS6" s="3882" t="s">
        <v>309</v>
      </c>
      <c r="AT6" s="3883"/>
      <c r="AU6" s="3882" t="s">
        <v>310</v>
      </c>
      <c r="AV6" s="3883"/>
      <c r="AW6" s="3882" t="s">
        <v>311</v>
      </c>
      <c r="AX6" s="3883"/>
      <c r="AY6" s="3880"/>
      <c r="AZ6" s="3880"/>
      <c r="BA6" s="3880"/>
      <c r="BB6" s="3880"/>
      <c r="BC6" s="3880"/>
      <c r="BD6" s="3880"/>
      <c r="BE6" s="3880"/>
      <c r="BF6" s="3880"/>
      <c r="BG6" s="3880"/>
      <c r="BH6" s="3880"/>
      <c r="BI6" s="3880"/>
      <c r="BJ6" s="3880"/>
      <c r="BK6" s="3880"/>
      <c r="BL6" s="3880"/>
      <c r="BM6" s="3871" t="s">
        <v>313</v>
      </c>
      <c r="BN6" s="3871" t="s">
        <v>314</v>
      </c>
      <c r="BO6" s="3871" t="s">
        <v>116</v>
      </c>
      <c r="BP6" s="3871" t="s">
        <v>315</v>
      </c>
      <c r="BQ6" s="3871" t="s">
        <v>313</v>
      </c>
      <c r="BR6" s="3871" t="s">
        <v>314</v>
      </c>
      <c r="BS6" s="3871" t="s">
        <v>116</v>
      </c>
      <c r="BT6" s="3871" t="s">
        <v>315</v>
      </c>
      <c r="BU6" s="3871" t="s">
        <v>313</v>
      </c>
      <c r="BV6" s="3871" t="s">
        <v>314</v>
      </c>
      <c r="BW6" s="3871" t="s">
        <v>116</v>
      </c>
      <c r="BX6" s="3871" t="s">
        <v>315</v>
      </c>
    </row>
    <row r="7" spans="1:255" ht="51" customHeight="1">
      <c r="A7" s="3894"/>
      <c r="B7" s="3894"/>
      <c r="C7" s="3894"/>
      <c r="D7" s="3894"/>
      <c r="E7" s="3884"/>
      <c r="F7" s="3898"/>
      <c r="G7" s="3898"/>
      <c r="H7" s="3898"/>
      <c r="I7" s="3905"/>
      <c r="J7" s="3906"/>
      <c r="K7" s="3906"/>
      <c r="L7" s="3906"/>
      <c r="M7" s="3907"/>
      <c r="N7" s="3905"/>
      <c r="O7" s="3906"/>
      <c r="P7" s="3906"/>
      <c r="Q7" s="3906"/>
      <c r="R7" s="3907"/>
      <c r="S7" s="3888"/>
      <c r="T7" s="3912"/>
      <c r="U7" s="3912"/>
      <c r="V7" s="3912"/>
      <c r="W7" s="3913"/>
      <c r="X7" s="3888"/>
      <c r="Y7" s="3912"/>
      <c r="Z7" s="3912"/>
      <c r="AA7" s="3912"/>
      <c r="AB7" s="3913"/>
      <c r="AC7" s="3887"/>
      <c r="AD7" s="3887"/>
      <c r="AE7" s="3887"/>
      <c r="AF7" s="3878"/>
      <c r="AG7" s="3878"/>
      <c r="AH7" s="3884"/>
      <c r="AI7" s="3885"/>
      <c r="AJ7" s="3884"/>
      <c r="AK7" s="3885"/>
      <c r="AL7" s="3884"/>
      <c r="AM7" s="3885"/>
      <c r="AN7" s="3884"/>
      <c r="AO7" s="3885"/>
      <c r="AP7" s="3878"/>
      <c r="AQ7" s="3878"/>
      <c r="AR7" s="3878"/>
      <c r="AS7" s="3884"/>
      <c r="AT7" s="3885"/>
      <c r="AU7" s="3884"/>
      <c r="AV7" s="3885"/>
      <c r="AW7" s="3884"/>
      <c r="AX7" s="3885"/>
      <c r="AY7" s="3878"/>
      <c r="AZ7" s="3878"/>
      <c r="BA7" s="3880"/>
      <c r="BB7" s="3880"/>
      <c r="BC7" s="3880"/>
      <c r="BD7" s="3880"/>
      <c r="BE7" s="3880"/>
      <c r="BF7" s="3880"/>
      <c r="BG7" s="3880"/>
      <c r="BH7" s="3880"/>
      <c r="BI7" s="3880"/>
      <c r="BJ7" s="3880"/>
      <c r="BK7" s="3880"/>
      <c r="BL7" s="3880"/>
      <c r="BM7" s="3872"/>
      <c r="BN7" s="3872"/>
      <c r="BO7" s="3872"/>
      <c r="BP7" s="3872"/>
      <c r="BQ7" s="3872"/>
      <c r="BR7" s="3872"/>
      <c r="BS7" s="3872"/>
      <c r="BT7" s="3872"/>
      <c r="BU7" s="3872"/>
      <c r="BV7" s="3872"/>
      <c r="BW7" s="3872"/>
      <c r="BX7" s="3872"/>
    </row>
    <row r="8" spans="1:255" ht="51.75" customHeight="1">
      <c r="A8" s="3894"/>
      <c r="B8" s="3894"/>
      <c r="C8" s="3894"/>
      <c r="D8" s="3894"/>
      <c r="E8" s="203" t="s">
        <v>316</v>
      </c>
      <c r="F8" s="203" t="s">
        <v>317</v>
      </c>
      <c r="G8" s="203" t="s">
        <v>318</v>
      </c>
      <c r="H8" s="203" t="s">
        <v>319</v>
      </c>
      <c r="I8" s="330" t="s">
        <v>316</v>
      </c>
      <c r="J8" s="330" t="s">
        <v>317</v>
      </c>
      <c r="K8" s="330" t="s">
        <v>318</v>
      </c>
      <c r="L8" s="330" t="s">
        <v>319</v>
      </c>
      <c r="M8" s="330" t="s">
        <v>20</v>
      </c>
      <c r="N8" s="330" t="s">
        <v>316</v>
      </c>
      <c r="O8" s="330" t="s">
        <v>317</v>
      </c>
      <c r="P8" s="330" t="s">
        <v>318</v>
      </c>
      <c r="Q8" s="330" t="s">
        <v>319</v>
      </c>
      <c r="R8" s="330" t="s">
        <v>20</v>
      </c>
      <c r="S8" s="331" t="s">
        <v>316</v>
      </c>
      <c r="T8" s="331" t="s">
        <v>317</v>
      </c>
      <c r="U8" s="331" t="s">
        <v>318</v>
      </c>
      <c r="V8" s="330" t="s">
        <v>319</v>
      </c>
      <c r="W8" s="331" t="s">
        <v>20</v>
      </c>
      <c r="X8" s="331" t="s">
        <v>316</v>
      </c>
      <c r="Y8" s="331" t="s">
        <v>317</v>
      </c>
      <c r="Z8" s="331" t="s">
        <v>318</v>
      </c>
      <c r="AA8" s="330" t="s">
        <v>319</v>
      </c>
      <c r="AB8" s="331" t="s">
        <v>20</v>
      </c>
      <c r="AC8" s="3888"/>
      <c r="AD8" s="3888"/>
      <c r="AE8" s="3888"/>
      <c r="AF8" s="206" t="s">
        <v>320</v>
      </c>
      <c r="AG8" s="206" t="s">
        <v>320</v>
      </c>
      <c r="AH8" s="206" t="s">
        <v>321</v>
      </c>
      <c r="AI8" s="206" t="s">
        <v>320</v>
      </c>
      <c r="AJ8" s="206" t="s">
        <v>322</v>
      </c>
      <c r="AK8" s="206" t="s">
        <v>320</v>
      </c>
      <c r="AL8" s="206" t="s">
        <v>323</v>
      </c>
      <c r="AM8" s="206" t="s">
        <v>320</v>
      </c>
      <c r="AN8" s="206" t="s">
        <v>324</v>
      </c>
      <c r="AO8" s="206" t="s">
        <v>320</v>
      </c>
      <c r="AP8" s="206" t="s">
        <v>320</v>
      </c>
      <c r="AQ8" s="206" t="s">
        <v>320</v>
      </c>
      <c r="AR8" s="206" t="s">
        <v>320</v>
      </c>
      <c r="AS8" s="206" t="s">
        <v>325</v>
      </c>
      <c r="AT8" s="206" t="s">
        <v>320</v>
      </c>
      <c r="AU8" s="206" t="s">
        <v>322</v>
      </c>
      <c r="AV8" s="206" t="s">
        <v>320</v>
      </c>
      <c r="AW8" s="206" t="s">
        <v>326</v>
      </c>
      <c r="AX8" s="206" t="s">
        <v>320</v>
      </c>
      <c r="AY8" s="206" t="s">
        <v>320</v>
      </c>
      <c r="AZ8" s="206" t="s">
        <v>320</v>
      </c>
      <c r="BA8" s="3878"/>
      <c r="BB8" s="3878"/>
      <c r="BC8" s="3878"/>
      <c r="BD8" s="3878"/>
      <c r="BE8" s="3878"/>
      <c r="BF8" s="3878"/>
      <c r="BG8" s="3878"/>
      <c r="BH8" s="3878"/>
      <c r="BI8" s="3878"/>
      <c r="BJ8" s="3880"/>
      <c r="BK8" s="3880"/>
      <c r="BL8" s="3880"/>
      <c r="BM8" s="3873"/>
      <c r="BN8" s="3873"/>
      <c r="BO8" s="3873"/>
      <c r="BP8" s="3873"/>
      <c r="BQ8" s="3873"/>
      <c r="BR8" s="3873"/>
      <c r="BS8" s="3873"/>
      <c r="BT8" s="3873"/>
      <c r="BU8" s="3873"/>
      <c r="BV8" s="3873"/>
      <c r="BW8" s="3873"/>
      <c r="BX8" s="3873"/>
      <c r="BY8" s="204"/>
      <c r="BZ8" s="204"/>
      <c r="CA8" s="204"/>
      <c r="CB8" s="204"/>
      <c r="CC8" s="204"/>
      <c r="CD8" s="204"/>
      <c r="CE8" s="204"/>
      <c r="CF8" s="204"/>
      <c r="CG8" s="204"/>
      <c r="CH8" s="204"/>
      <c r="CI8" s="204"/>
      <c r="CJ8" s="204"/>
      <c r="CK8" s="204"/>
      <c r="CL8" s="204"/>
      <c r="CM8" s="204"/>
      <c r="CN8" s="204"/>
      <c r="CO8" s="204"/>
      <c r="CP8" s="204"/>
      <c r="CQ8" s="204"/>
      <c r="CR8" s="204"/>
      <c r="CS8" s="204"/>
      <c r="CT8" s="204"/>
      <c r="CU8" s="204"/>
      <c r="CV8" s="204"/>
      <c r="CW8" s="204"/>
      <c r="CX8" s="204"/>
      <c r="CY8" s="204"/>
      <c r="CZ8" s="204"/>
      <c r="DA8" s="204"/>
      <c r="DB8" s="204"/>
      <c r="DC8" s="204"/>
      <c r="DD8" s="204"/>
      <c r="DE8" s="204"/>
      <c r="DF8" s="204"/>
      <c r="DG8" s="204"/>
      <c r="DH8" s="204"/>
      <c r="DI8" s="204"/>
      <c r="DJ8" s="204"/>
      <c r="DK8" s="204"/>
      <c r="DL8" s="204"/>
      <c r="DM8" s="204"/>
      <c r="DN8" s="204"/>
      <c r="DO8" s="204"/>
      <c r="DP8" s="204"/>
      <c r="DQ8" s="204"/>
      <c r="DR8" s="204"/>
      <c r="DS8" s="204"/>
      <c r="DT8" s="204"/>
      <c r="DU8" s="204"/>
      <c r="DV8" s="204"/>
      <c r="DW8" s="204"/>
      <c r="DX8" s="204"/>
      <c r="DY8" s="204"/>
      <c r="DZ8" s="204"/>
      <c r="EA8" s="204"/>
      <c r="EB8" s="204"/>
      <c r="EC8" s="204"/>
      <c r="ED8" s="204"/>
      <c r="EE8" s="204"/>
      <c r="EF8" s="204"/>
      <c r="EG8" s="204"/>
      <c r="EH8" s="204"/>
      <c r="EI8" s="204"/>
      <c r="EJ8" s="204"/>
      <c r="EK8" s="204"/>
      <c r="EL8" s="204"/>
      <c r="EM8" s="204"/>
      <c r="EN8" s="204"/>
      <c r="EO8" s="204"/>
      <c r="EP8" s="204"/>
      <c r="EQ8" s="204"/>
      <c r="ER8" s="204"/>
      <c r="ES8" s="204"/>
      <c r="ET8" s="204"/>
      <c r="EU8" s="204"/>
      <c r="EV8" s="204"/>
      <c r="EW8" s="204"/>
      <c r="EX8" s="204"/>
      <c r="EY8" s="204"/>
      <c r="EZ8" s="204"/>
      <c r="FA8" s="204"/>
      <c r="FB8" s="204"/>
      <c r="FC8" s="204"/>
      <c r="FD8" s="204"/>
      <c r="FE8" s="204"/>
      <c r="FF8" s="204"/>
      <c r="FG8" s="204"/>
      <c r="FH8" s="204"/>
      <c r="FI8" s="204"/>
      <c r="FJ8" s="204"/>
      <c r="FK8" s="204"/>
      <c r="FL8" s="204"/>
      <c r="FM8" s="204"/>
      <c r="FN8" s="204"/>
      <c r="FO8" s="204"/>
      <c r="FP8" s="204"/>
      <c r="FQ8" s="204"/>
      <c r="FR8" s="204"/>
      <c r="FS8" s="204"/>
      <c r="FT8" s="204"/>
      <c r="FU8" s="204"/>
      <c r="FV8" s="204"/>
      <c r="FW8" s="204"/>
      <c r="FX8" s="204"/>
      <c r="FY8" s="204"/>
      <c r="FZ8" s="204"/>
      <c r="GA8" s="204"/>
      <c r="GB8" s="204"/>
      <c r="GC8" s="204"/>
      <c r="GD8" s="204"/>
      <c r="GE8" s="204"/>
      <c r="GF8" s="204"/>
      <c r="GG8" s="204"/>
      <c r="GH8" s="204"/>
      <c r="GI8" s="204"/>
      <c r="GJ8" s="204"/>
      <c r="GK8" s="204"/>
      <c r="GL8" s="204"/>
      <c r="GM8" s="204"/>
      <c r="GN8" s="204"/>
      <c r="GO8" s="204"/>
      <c r="GP8" s="204"/>
      <c r="GQ8" s="204"/>
      <c r="GR8" s="204"/>
      <c r="GS8" s="204"/>
      <c r="GT8" s="204"/>
      <c r="GU8" s="204"/>
      <c r="GV8" s="204"/>
      <c r="GW8" s="204"/>
      <c r="GX8" s="204"/>
      <c r="GY8" s="204"/>
      <c r="GZ8" s="204"/>
      <c r="HA8" s="204"/>
      <c r="HB8" s="204"/>
      <c r="HC8" s="204"/>
      <c r="HD8" s="204"/>
      <c r="HE8" s="204"/>
      <c r="HF8" s="204"/>
      <c r="HG8" s="204"/>
      <c r="HH8" s="204"/>
      <c r="HI8" s="204"/>
      <c r="HJ8" s="204"/>
      <c r="HK8" s="204"/>
      <c r="HL8" s="204"/>
      <c r="HM8" s="204"/>
      <c r="HN8" s="204"/>
      <c r="HO8" s="204"/>
      <c r="HP8" s="204"/>
      <c r="HQ8" s="204"/>
      <c r="HR8" s="204"/>
      <c r="HS8" s="204"/>
      <c r="HT8" s="204"/>
      <c r="HU8" s="204"/>
      <c r="HV8" s="204"/>
      <c r="HW8" s="204"/>
      <c r="HX8" s="204"/>
      <c r="HY8" s="204"/>
      <c r="HZ8" s="204"/>
      <c r="IA8" s="204"/>
      <c r="IB8" s="204"/>
      <c r="IC8" s="204"/>
      <c r="ID8" s="204"/>
      <c r="IE8" s="204"/>
      <c r="IF8" s="204"/>
      <c r="IG8" s="204"/>
      <c r="IH8" s="204"/>
      <c r="II8" s="204"/>
      <c r="IJ8" s="204"/>
      <c r="IK8" s="204"/>
      <c r="IL8" s="204"/>
      <c r="IM8" s="204"/>
      <c r="IN8" s="204"/>
      <c r="IO8" s="204"/>
      <c r="IP8" s="204"/>
      <c r="IQ8" s="204"/>
      <c r="IR8" s="204"/>
      <c r="IS8" s="204"/>
      <c r="IT8" s="204"/>
      <c r="IU8" s="204"/>
    </row>
    <row r="9" spans="1:255">
      <c r="A9" s="207">
        <v>1</v>
      </c>
      <c r="B9" s="332">
        <f t="shared" ref="B9:H9" si="0">A9+1</f>
        <v>2</v>
      </c>
      <c r="C9" s="332">
        <f t="shared" si="0"/>
        <v>3</v>
      </c>
      <c r="D9" s="332">
        <f t="shared" si="0"/>
        <v>4</v>
      </c>
      <c r="E9" s="332">
        <f t="shared" si="0"/>
        <v>5</v>
      </c>
      <c r="F9" s="332">
        <f t="shared" si="0"/>
        <v>6</v>
      </c>
      <c r="G9" s="332">
        <f t="shared" si="0"/>
        <v>7</v>
      </c>
      <c r="H9" s="332">
        <f t="shared" si="0"/>
        <v>8</v>
      </c>
      <c r="I9" s="332">
        <f t="shared" ref="I9:AN9" si="1">H9+1</f>
        <v>9</v>
      </c>
      <c r="J9" s="332">
        <f t="shared" si="1"/>
        <v>10</v>
      </c>
      <c r="K9" s="332">
        <f t="shared" si="1"/>
        <v>11</v>
      </c>
      <c r="L9" s="332">
        <f t="shared" si="1"/>
        <v>12</v>
      </c>
      <c r="M9" s="332">
        <f t="shared" si="1"/>
        <v>13</v>
      </c>
      <c r="N9" s="332">
        <f t="shared" si="1"/>
        <v>14</v>
      </c>
      <c r="O9" s="332">
        <f t="shared" si="1"/>
        <v>15</v>
      </c>
      <c r="P9" s="332">
        <f t="shared" si="1"/>
        <v>16</v>
      </c>
      <c r="Q9" s="332">
        <f t="shared" si="1"/>
        <v>17</v>
      </c>
      <c r="R9" s="332">
        <f t="shared" si="1"/>
        <v>18</v>
      </c>
      <c r="S9" s="332">
        <f t="shared" si="1"/>
        <v>19</v>
      </c>
      <c r="T9" s="332">
        <f t="shared" si="1"/>
        <v>20</v>
      </c>
      <c r="U9" s="332">
        <f t="shared" si="1"/>
        <v>21</v>
      </c>
      <c r="V9" s="332">
        <f t="shared" si="1"/>
        <v>22</v>
      </c>
      <c r="W9" s="332">
        <f t="shared" si="1"/>
        <v>23</v>
      </c>
      <c r="X9" s="332">
        <f t="shared" si="1"/>
        <v>24</v>
      </c>
      <c r="Y9" s="332">
        <f t="shared" si="1"/>
        <v>25</v>
      </c>
      <c r="Z9" s="332">
        <f t="shared" si="1"/>
        <v>26</v>
      </c>
      <c r="AA9" s="332">
        <f t="shared" si="1"/>
        <v>27</v>
      </c>
      <c r="AB9" s="332">
        <f t="shared" si="1"/>
        <v>28</v>
      </c>
      <c r="AC9" s="332">
        <f t="shared" si="1"/>
        <v>29</v>
      </c>
      <c r="AD9" s="332">
        <f t="shared" si="1"/>
        <v>30</v>
      </c>
      <c r="AE9" s="332">
        <f t="shared" si="1"/>
        <v>31</v>
      </c>
      <c r="AF9" s="332">
        <f t="shared" si="1"/>
        <v>32</v>
      </c>
      <c r="AG9" s="332">
        <f t="shared" si="1"/>
        <v>33</v>
      </c>
      <c r="AH9" s="332">
        <f t="shared" si="1"/>
        <v>34</v>
      </c>
      <c r="AI9" s="332">
        <f t="shared" si="1"/>
        <v>35</v>
      </c>
      <c r="AJ9" s="332">
        <f t="shared" si="1"/>
        <v>36</v>
      </c>
      <c r="AK9" s="332">
        <f t="shared" si="1"/>
        <v>37</v>
      </c>
      <c r="AL9" s="332">
        <f t="shared" si="1"/>
        <v>38</v>
      </c>
      <c r="AM9" s="332">
        <f t="shared" si="1"/>
        <v>39</v>
      </c>
      <c r="AN9" s="332">
        <f t="shared" si="1"/>
        <v>40</v>
      </c>
      <c r="AO9" s="332">
        <f t="shared" ref="AO9:BX9" si="2">AN9+1</f>
        <v>41</v>
      </c>
      <c r="AP9" s="332">
        <f t="shared" si="2"/>
        <v>42</v>
      </c>
      <c r="AQ9" s="332">
        <f t="shared" si="2"/>
        <v>43</v>
      </c>
      <c r="AR9" s="332">
        <f t="shared" si="2"/>
        <v>44</v>
      </c>
      <c r="AS9" s="332">
        <f t="shared" si="2"/>
        <v>45</v>
      </c>
      <c r="AT9" s="332">
        <f t="shared" si="2"/>
        <v>46</v>
      </c>
      <c r="AU9" s="332">
        <f t="shared" si="2"/>
        <v>47</v>
      </c>
      <c r="AV9" s="332">
        <f t="shared" si="2"/>
        <v>48</v>
      </c>
      <c r="AW9" s="332">
        <f t="shared" si="2"/>
        <v>49</v>
      </c>
      <c r="AX9" s="332">
        <f t="shared" si="2"/>
        <v>50</v>
      </c>
      <c r="AY9" s="332">
        <f t="shared" si="2"/>
        <v>51</v>
      </c>
      <c r="AZ9" s="332">
        <f t="shared" si="2"/>
        <v>52</v>
      </c>
      <c r="BA9" s="332">
        <f t="shared" si="2"/>
        <v>53</v>
      </c>
      <c r="BB9" s="332">
        <f t="shared" si="2"/>
        <v>54</v>
      </c>
      <c r="BC9" s="332">
        <f t="shared" si="2"/>
        <v>55</v>
      </c>
      <c r="BD9" s="332">
        <f t="shared" si="2"/>
        <v>56</v>
      </c>
      <c r="BE9" s="332">
        <f t="shared" si="2"/>
        <v>57</v>
      </c>
      <c r="BF9" s="332">
        <f t="shared" si="2"/>
        <v>58</v>
      </c>
      <c r="BG9" s="332">
        <f t="shared" si="2"/>
        <v>59</v>
      </c>
      <c r="BH9" s="332">
        <f t="shared" si="2"/>
        <v>60</v>
      </c>
      <c r="BI9" s="332">
        <f t="shared" si="2"/>
        <v>61</v>
      </c>
      <c r="BJ9" s="332">
        <f t="shared" si="2"/>
        <v>62</v>
      </c>
      <c r="BK9" s="332">
        <f t="shared" si="2"/>
        <v>63</v>
      </c>
      <c r="BL9" s="332">
        <f t="shared" si="2"/>
        <v>64</v>
      </c>
      <c r="BM9" s="332">
        <f t="shared" si="2"/>
        <v>65</v>
      </c>
      <c r="BN9" s="332">
        <f t="shared" si="2"/>
        <v>66</v>
      </c>
      <c r="BO9" s="332">
        <f t="shared" si="2"/>
        <v>67</v>
      </c>
      <c r="BP9" s="332">
        <f t="shared" si="2"/>
        <v>68</v>
      </c>
      <c r="BQ9" s="332">
        <f t="shared" si="2"/>
        <v>69</v>
      </c>
      <c r="BR9" s="332">
        <f t="shared" si="2"/>
        <v>70</v>
      </c>
      <c r="BS9" s="332">
        <f t="shared" si="2"/>
        <v>71</v>
      </c>
      <c r="BT9" s="332">
        <f t="shared" si="2"/>
        <v>72</v>
      </c>
      <c r="BU9" s="332">
        <f t="shared" si="2"/>
        <v>73</v>
      </c>
      <c r="BV9" s="332">
        <f t="shared" si="2"/>
        <v>74</v>
      </c>
      <c r="BW9" s="332">
        <f t="shared" si="2"/>
        <v>75</v>
      </c>
      <c r="BX9" s="332">
        <f t="shared" si="2"/>
        <v>76</v>
      </c>
      <c r="BY9" s="209"/>
      <c r="BZ9" s="209"/>
      <c r="CA9" s="209"/>
      <c r="CB9" s="209"/>
      <c r="CC9" s="209"/>
      <c r="CD9" s="209"/>
      <c r="CE9" s="209"/>
      <c r="CF9" s="209"/>
      <c r="CG9" s="209"/>
      <c r="CH9" s="209"/>
      <c r="CI9" s="209"/>
      <c r="CJ9" s="209"/>
      <c r="CK9" s="209"/>
      <c r="CL9" s="209"/>
      <c r="CM9" s="209"/>
      <c r="CN9" s="209"/>
      <c r="CO9" s="209"/>
      <c r="CP9" s="209"/>
      <c r="CQ9" s="209"/>
      <c r="CR9" s="209"/>
      <c r="CS9" s="209"/>
      <c r="CT9" s="209"/>
      <c r="CU9" s="209"/>
      <c r="CV9" s="209"/>
      <c r="CW9" s="209"/>
      <c r="CX9" s="209"/>
      <c r="CY9" s="209"/>
      <c r="CZ9" s="209"/>
      <c r="DA9" s="209"/>
      <c r="DB9" s="209"/>
      <c r="DC9" s="209"/>
      <c r="DD9" s="209"/>
      <c r="DE9" s="209"/>
      <c r="DF9" s="209"/>
      <c r="DG9" s="209"/>
      <c r="DH9" s="209"/>
      <c r="DI9" s="209"/>
      <c r="DJ9" s="209"/>
      <c r="DK9" s="209"/>
      <c r="DL9" s="209"/>
      <c r="DM9" s="209"/>
      <c r="DN9" s="209"/>
      <c r="DO9" s="209"/>
      <c r="DP9" s="209"/>
      <c r="DQ9" s="209"/>
      <c r="DR9" s="209"/>
      <c r="DS9" s="209"/>
      <c r="DT9" s="209"/>
      <c r="DU9" s="209"/>
      <c r="DV9" s="209"/>
      <c r="DW9" s="209"/>
      <c r="DX9" s="209"/>
      <c r="DY9" s="209"/>
      <c r="DZ9" s="209"/>
      <c r="EA9" s="209"/>
      <c r="EB9" s="209"/>
      <c r="EC9" s="209"/>
      <c r="ED9" s="209"/>
      <c r="EE9" s="209"/>
      <c r="EF9" s="209"/>
      <c r="EG9" s="209"/>
      <c r="EH9" s="209"/>
      <c r="EI9" s="209"/>
      <c r="EJ9" s="209"/>
      <c r="EK9" s="209"/>
      <c r="EL9" s="209"/>
      <c r="EM9" s="209"/>
      <c r="EN9" s="209"/>
      <c r="EO9" s="209"/>
      <c r="EP9" s="209"/>
      <c r="EQ9" s="209"/>
      <c r="ER9" s="209"/>
      <c r="ES9" s="209"/>
      <c r="ET9" s="209"/>
      <c r="EU9" s="209"/>
      <c r="EV9" s="209"/>
      <c r="EW9" s="209"/>
      <c r="EX9" s="209"/>
      <c r="EY9" s="209"/>
      <c r="EZ9" s="209"/>
      <c r="FA9" s="209"/>
      <c r="FB9" s="209"/>
      <c r="FC9" s="209"/>
      <c r="FD9" s="209"/>
      <c r="FE9" s="209"/>
      <c r="FF9" s="209"/>
      <c r="FG9" s="209"/>
      <c r="FH9" s="209"/>
      <c r="FI9" s="209"/>
      <c r="FJ9" s="209"/>
      <c r="FK9" s="209"/>
      <c r="FL9" s="209"/>
      <c r="FM9" s="209"/>
      <c r="FN9" s="209"/>
      <c r="FO9" s="209"/>
      <c r="FP9" s="209"/>
      <c r="FQ9" s="209"/>
      <c r="FR9" s="209"/>
      <c r="FS9" s="209"/>
      <c r="FT9" s="209"/>
      <c r="FU9" s="209"/>
      <c r="FV9" s="209"/>
      <c r="FW9" s="209"/>
      <c r="FX9" s="209"/>
      <c r="FY9" s="209"/>
      <c r="FZ9" s="209"/>
      <c r="GA9" s="209"/>
      <c r="GB9" s="209"/>
      <c r="GC9" s="209"/>
      <c r="GD9" s="209"/>
      <c r="GE9" s="209"/>
      <c r="GF9" s="209"/>
      <c r="GG9" s="209"/>
      <c r="GH9" s="209"/>
      <c r="GI9" s="209"/>
      <c r="GJ9" s="209"/>
      <c r="GK9" s="209"/>
      <c r="GL9" s="209"/>
      <c r="GM9" s="209"/>
      <c r="GN9" s="209"/>
      <c r="GO9" s="209"/>
      <c r="GP9" s="209"/>
      <c r="GQ9" s="209"/>
      <c r="GR9" s="209"/>
      <c r="GS9" s="209"/>
      <c r="GT9" s="209"/>
      <c r="GU9" s="209"/>
      <c r="GV9" s="209"/>
      <c r="GW9" s="209"/>
      <c r="GX9" s="209"/>
      <c r="GY9" s="209"/>
      <c r="GZ9" s="209"/>
      <c r="HA9" s="209"/>
      <c r="HB9" s="209"/>
      <c r="HC9" s="209"/>
      <c r="HD9" s="209"/>
      <c r="HE9" s="209"/>
      <c r="HF9" s="209"/>
      <c r="HG9" s="209"/>
      <c r="HH9" s="209"/>
      <c r="HI9" s="209"/>
      <c r="HJ9" s="209"/>
      <c r="HK9" s="209"/>
      <c r="HL9" s="209"/>
      <c r="HM9" s="209"/>
      <c r="HN9" s="209"/>
      <c r="HO9" s="209"/>
      <c r="HP9" s="209"/>
      <c r="HQ9" s="209"/>
      <c r="HR9" s="209"/>
      <c r="HS9" s="209"/>
      <c r="HT9" s="209"/>
      <c r="HU9" s="209"/>
      <c r="HV9" s="209"/>
      <c r="HW9" s="209"/>
      <c r="HX9" s="209"/>
      <c r="HY9" s="209"/>
      <c r="HZ9" s="209"/>
      <c r="IA9" s="209"/>
      <c r="IB9" s="209"/>
      <c r="IC9" s="209"/>
      <c r="ID9" s="209"/>
      <c r="IE9" s="209"/>
      <c r="IF9" s="209"/>
      <c r="IG9" s="209"/>
      <c r="IH9" s="209"/>
      <c r="II9" s="209"/>
      <c r="IJ9" s="209"/>
      <c r="IK9" s="209"/>
      <c r="IL9" s="209"/>
      <c r="IM9" s="209"/>
      <c r="IN9" s="209"/>
      <c r="IO9" s="209"/>
      <c r="IP9" s="209"/>
      <c r="IQ9" s="209"/>
      <c r="IR9" s="209"/>
      <c r="IS9" s="209"/>
      <c r="IT9" s="209"/>
      <c r="IU9" s="209"/>
    </row>
    <row r="10" spans="1:255">
      <c r="A10" s="991"/>
      <c r="B10" s="992" t="s">
        <v>327</v>
      </c>
      <c r="C10" s="993"/>
      <c r="D10" s="992"/>
      <c r="E10" s="994"/>
      <c r="F10" s="994"/>
      <c r="G10" s="994"/>
      <c r="H10" s="994"/>
      <c r="I10" s="995"/>
      <c r="J10" s="995"/>
      <c r="K10" s="995"/>
      <c r="L10" s="995"/>
      <c r="M10" s="614">
        <f t="shared" ref="M10:M15" si="3">I10+J10+K10+L10</f>
        <v>0</v>
      </c>
      <c r="N10" s="995"/>
      <c r="O10" s="995"/>
      <c r="P10" s="995"/>
      <c r="Q10" s="995"/>
      <c r="R10" s="614">
        <f>N10+O10+P10+Q10</f>
        <v>0</v>
      </c>
      <c r="S10" s="614">
        <f>E10*I10*4</f>
        <v>0</v>
      </c>
      <c r="T10" s="614">
        <f>F10*J10*4</f>
        <v>0</v>
      </c>
      <c r="U10" s="614">
        <f>G10*K10*4</f>
        <v>0</v>
      </c>
      <c r="V10" s="614">
        <f>H10*L10*4</f>
        <v>0</v>
      </c>
      <c r="W10" s="614">
        <f>S10+T10+U10+V10</f>
        <v>0</v>
      </c>
      <c r="X10" s="614">
        <f>E10*N10*4</f>
        <v>0</v>
      </c>
      <c r="Y10" s="614">
        <f>F10*O10*4</f>
        <v>0</v>
      </c>
      <c r="Z10" s="614">
        <f>G10*P10*4</f>
        <v>0</v>
      </c>
      <c r="AA10" s="614">
        <f>H10*Q10*4</f>
        <v>0</v>
      </c>
      <c r="AB10" s="614">
        <f>X10+Y10+Z10+AA10</f>
        <v>0</v>
      </c>
      <c r="AC10" s="614">
        <f>W10</f>
        <v>0</v>
      </c>
      <c r="AD10" s="614">
        <f>AB10</f>
        <v>0</v>
      </c>
      <c r="AE10" s="614">
        <f>AC10+AD10</f>
        <v>0</v>
      </c>
      <c r="AF10" s="994"/>
      <c r="AG10" s="994"/>
      <c r="AH10" s="996"/>
      <c r="AI10" s="614">
        <f>AH10*AC10</f>
        <v>0</v>
      </c>
      <c r="AJ10" s="996"/>
      <c r="AK10" s="614">
        <f>AJ10*AC10</f>
        <v>0</v>
      </c>
      <c r="AL10" s="997"/>
      <c r="AM10" s="614">
        <f>AL10*$T$2</f>
        <v>0</v>
      </c>
      <c r="AN10" s="996"/>
      <c r="AO10" s="614">
        <f>AN10*AC10</f>
        <v>0</v>
      </c>
      <c r="AP10" s="614">
        <f>AF10+AG10+AI10+AK10+AM10+AO10</f>
        <v>0</v>
      </c>
      <c r="AQ10" s="994"/>
      <c r="AR10" s="994"/>
      <c r="AS10" s="996"/>
      <c r="AT10" s="614">
        <f>AS10*AD10</f>
        <v>0</v>
      </c>
      <c r="AU10" s="996"/>
      <c r="AV10" s="614">
        <f>AU10*AD10</f>
        <v>0</v>
      </c>
      <c r="AW10" s="997"/>
      <c r="AX10" s="614">
        <f>AW10*$T$2</f>
        <v>0</v>
      </c>
      <c r="AY10" s="987">
        <f>AQ10+AR10+AT10+AV10+AX10</f>
        <v>0</v>
      </c>
      <c r="AZ10" s="987">
        <f>AP10+AY10</f>
        <v>0</v>
      </c>
      <c r="BA10" s="614">
        <f>AC10+AP10</f>
        <v>0</v>
      </c>
      <c r="BB10" s="614">
        <f>AD10+AY10</f>
        <v>0</v>
      </c>
      <c r="BC10" s="614">
        <f>BA10+BB10</f>
        <v>0</v>
      </c>
      <c r="BD10" s="994"/>
      <c r="BE10" s="994"/>
      <c r="BF10" s="614">
        <f>BD10+BE10</f>
        <v>0</v>
      </c>
      <c r="BG10" s="614">
        <f>W10*$T$4</f>
        <v>0</v>
      </c>
      <c r="BH10" s="614">
        <f>AB10*$T$4</f>
        <v>0</v>
      </c>
      <c r="BI10" s="614">
        <f>BG10+BH10</f>
        <v>0</v>
      </c>
      <c r="BJ10" s="614">
        <f t="shared" ref="BJ10:BK14" si="4">BA10+BD10+BG10</f>
        <v>0</v>
      </c>
      <c r="BK10" s="614">
        <f t="shared" si="4"/>
        <v>0</v>
      </c>
      <c r="BL10" s="614">
        <f>BJ10+BK10</f>
        <v>0</v>
      </c>
      <c r="BM10" s="614">
        <f>BJ10*10%</f>
        <v>0</v>
      </c>
      <c r="BN10" s="614">
        <f>(BJ10-BM10)*10%</f>
        <v>0</v>
      </c>
      <c r="BO10" s="614">
        <f>(BJ10-BM10)*6%</f>
        <v>0</v>
      </c>
      <c r="BP10" s="614">
        <f>(BJ10-BM10)*5%</f>
        <v>0</v>
      </c>
      <c r="BQ10" s="614">
        <f>BK10*10%</f>
        <v>0</v>
      </c>
      <c r="BR10" s="614">
        <f>(BK10-BQ10)*10%</f>
        <v>0</v>
      </c>
      <c r="BS10" s="614">
        <f>(BK10-BQ10)*6%</f>
        <v>0</v>
      </c>
      <c r="BT10" s="614">
        <f>(BK10-BQ10)*5%</f>
        <v>0</v>
      </c>
      <c r="BU10" s="614">
        <f t="shared" ref="BU10:BX14" si="5">BM10+BQ10</f>
        <v>0</v>
      </c>
      <c r="BV10" s="614">
        <f t="shared" si="5"/>
        <v>0</v>
      </c>
      <c r="BW10" s="614">
        <f t="shared" si="5"/>
        <v>0</v>
      </c>
      <c r="BX10" s="614">
        <f t="shared" si="5"/>
        <v>0</v>
      </c>
      <c r="BY10" s="209"/>
      <c r="BZ10" s="209"/>
      <c r="CA10" s="209"/>
      <c r="CB10" s="209"/>
      <c r="CC10" s="209"/>
      <c r="CD10" s="209"/>
      <c r="CE10" s="209"/>
      <c r="CF10" s="209"/>
      <c r="CG10" s="209"/>
      <c r="CH10" s="209"/>
      <c r="CI10" s="209"/>
      <c r="CJ10" s="209"/>
      <c r="CK10" s="209"/>
      <c r="CL10" s="209"/>
      <c r="CM10" s="209"/>
      <c r="CN10" s="209"/>
      <c r="CO10" s="209"/>
      <c r="CP10" s="209"/>
      <c r="CQ10" s="209"/>
      <c r="CR10" s="209"/>
      <c r="CS10" s="209"/>
      <c r="CT10" s="209"/>
      <c r="CU10" s="209"/>
      <c r="CV10" s="209"/>
      <c r="CW10" s="209"/>
      <c r="CX10" s="209"/>
      <c r="CY10" s="209"/>
      <c r="CZ10" s="209"/>
      <c r="DA10" s="209"/>
      <c r="DB10" s="209"/>
      <c r="DC10" s="209"/>
      <c r="DD10" s="209"/>
      <c r="DE10" s="209"/>
      <c r="DF10" s="209"/>
      <c r="DG10" s="209"/>
      <c r="DH10" s="209"/>
      <c r="DI10" s="209"/>
      <c r="DJ10" s="209"/>
      <c r="DK10" s="209"/>
      <c r="DL10" s="209"/>
      <c r="DM10" s="209"/>
      <c r="DN10" s="209"/>
      <c r="DO10" s="209"/>
      <c r="DP10" s="209"/>
      <c r="DQ10" s="209"/>
      <c r="DR10" s="209"/>
      <c r="DS10" s="209"/>
      <c r="DT10" s="209"/>
      <c r="DU10" s="209"/>
      <c r="DV10" s="209"/>
      <c r="DW10" s="209"/>
      <c r="DX10" s="209"/>
      <c r="DY10" s="209"/>
      <c r="DZ10" s="209"/>
      <c r="EA10" s="209"/>
      <c r="EB10" s="209"/>
      <c r="EC10" s="209"/>
      <c r="ED10" s="209"/>
      <c r="EE10" s="209"/>
      <c r="EF10" s="209"/>
      <c r="EG10" s="209"/>
      <c r="EH10" s="209"/>
      <c r="EI10" s="209"/>
      <c r="EJ10" s="209"/>
      <c r="EK10" s="209"/>
      <c r="EL10" s="209"/>
      <c r="EM10" s="209"/>
      <c r="EN10" s="209"/>
      <c r="EO10" s="209"/>
      <c r="EP10" s="209"/>
      <c r="EQ10" s="209"/>
      <c r="ER10" s="209"/>
      <c r="ES10" s="209"/>
      <c r="ET10" s="209"/>
      <c r="EU10" s="209"/>
      <c r="EV10" s="209"/>
      <c r="EW10" s="209"/>
      <c r="EX10" s="209"/>
      <c r="EY10" s="209"/>
      <c r="EZ10" s="209"/>
      <c r="FA10" s="209"/>
      <c r="FB10" s="209"/>
      <c r="FC10" s="209"/>
      <c r="FD10" s="209"/>
      <c r="FE10" s="209"/>
      <c r="FF10" s="209"/>
      <c r="FG10" s="209"/>
      <c r="FH10" s="209"/>
      <c r="FI10" s="209"/>
      <c r="FJ10" s="209"/>
      <c r="FK10" s="209"/>
      <c r="FL10" s="209"/>
      <c r="FM10" s="209"/>
      <c r="FN10" s="209"/>
      <c r="FO10" s="209"/>
      <c r="FP10" s="209"/>
      <c r="FQ10" s="209"/>
      <c r="FR10" s="209"/>
      <c r="FS10" s="209"/>
      <c r="FT10" s="209"/>
      <c r="FU10" s="209"/>
      <c r="FV10" s="209"/>
      <c r="FW10" s="209"/>
      <c r="FX10" s="209"/>
      <c r="FY10" s="209"/>
      <c r="FZ10" s="209"/>
      <c r="GA10" s="209"/>
      <c r="GB10" s="209"/>
      <c r="GC10" s="209"/>
      <c r="GD10" s="209"/>
      <c r="GE10" s="209"/>
      <c r="GF10" s="209"/>
      <c r="GG10" s="209"/>
      <c r="GH10" s="209"/>
      <c r="GI10" s="209"/>
      <c r="GJ10" s="209"/>
      <c r="GK10" s="209"/>
      <c r="GL10" s="209"/>
      <c r="GM10" s="209"/>
      <c r="GN10" s="209"/>
      <c r="GO10" s="209"/>
      <c r="GP10" s="209"/>
      <c r="GQ10" s="209"/>
      <c r="GR10" s="209"/>
      <c r="GS10" s="209"/>
      <c r="GT10" s="209"/>
      <c r="GU10" s="209"/>
      <c r="GV10" s="209"/>
      <c r="GW10" s="209"/>
      <c r="GX10" s="209"/>
      <c r="GY10" s="209"/>
      <c r="GZ10" s="209"/>
      <c r="HA10" s="209"/>
      <c r="HB10" s="209"/>
      <c r="HC10" s="209"/>
      <c r="HD10" s="209"/>
      <c r="HE10" s="209"/>
      <c r="HF10" s="209"/>
      <c r="HG10" s="209"/>
      <c r="HH10" s="209"/>
      <c r="HI10" s="209"/>
      <c r="HJ10" s="209"/>
      <c r="HK10" s="209"/>
      <c r="HL10" s="209"/>
      <c r="HM10" s="209"/>
      <c r="HN10" s="209"/>
      <c r="HO10" s="209"/>
      <c r="HP10" s="209"/>
      <c r="HQ10" s="209"/>
      <c r="HR10" s="209"/>
      <c r="HS10" s="209"/>
      <c r="HT10" s="209"/>
      <c r="HU10" s="209"/>
      <c r="HV10" s="209"/>
      <c r="HW10" s="209"/>
      <c r="HX10" s="209"/>
      <c r="HY10" s="209"/>
      <c r="HZ10" s="209"/>
      <c r="IA10" s="209"/>
      <c r="IB10" s="209"/>
      <c r="IC10" s="209"/>
      <c r="ID10" s="209"/>
      <c r="IE10" s="209"/>
      <c r="IF10" s="209"/>
      <c r="IG10" s="209"/>
      <c r="IH10" s="209"/>
      <c r="II10" s="209"/>
      <c r="IJ10" s="209"/>
      <c r="IK10" s="209"/>
      <c r="IL10" s="209"/>
      <c r="IM10" s="209"/>
      <c r="IN10" s="209"/>
      <c r="IO10" s="209"/>
      <c r="IP10" s="209"/>
      <c r="IQ10" s="209"/>
      <c r="IR10" s="209"/>
      <c r="IS10" s="209"/>
      <c r="IT10" s="209"/>
      <c r="IU10" s="209"/>
    </row>
    <row r="11" spans="1:255">
      <c r="A11" s="991"/>
      <c r="B11" s="992"/>
      <c r="C11" s="993"/>
      <c r="D11" s="992"/>
      <c r="E11" s="994"/>
      <c r="F11" s="994"/>
      <c r="G11" s="994"/>
      <c r="H11" s="994"/>
      <c r="I11" s="995"/>
      <c r="J11" s="995"/>
      <c r="K11" s="995"/>
      <c r="L11" s="995"/>
      <c r="M11" s="614">
        <f t="shared" si="3"/>
        <v>0</v>
      </c>
      <c r="N11" s="995"/>
      <c r="O11" s="995"/>
      <c r="P11" s="995"/>
      <c r="Q11" s="995"/>
      <c r="R11" s="614">
        <f>N11+O11+P11+Q11</f>
        <v>0</v>
      </c>
      <c r="S11" s="614">
        <f t="shared" ref="S11:S41" si="6">E11*I11*4</f>
        <v>0</v>
      </c>
      <c r="T11" s="614">
        <f t="shared" ref="T11:T41" si="7">F11*J11*4</f>
        <v>0</v>
      </c>
      <c r="U11" s="614">
        <f t="shared" ref="U11:U41" si="8">G11*K11*4</f>
        <v>0</v>
      </c>
      <c r="V11" s="614">
        <f t="shared" ref="V11:V41" si="9">H11*L11*4</f>
        <v>0</v>
      </c>
      <c r="W11" s="614">
        <f t="shared" ref="W11:W41" si="10">S11+T11+U11+V11</f>
        <v>0</v>
      </c>
      <c r="X11" s="614">
        <f t="shared" ref="X11:X41" si="11">E11*N11*4</f>
        <v>0</v>
      </c>
      <c r="Y11" s="614">
        <f t="shared" ref="Y11:Y41" si="12">F11*O11*4</f>
        <v>0</v>
      </c>
      <c r="Z11" s="614">
        <f t="shared" ref="Z11:Z41" si="13">G11*P11*4</f>
        <v>0</v>
      </c>
      <c r="AA11" s="614">
        <f t="shared" ref="AA11:AA41" si="14">H11*Q11*4</f>
        <v>0</v>
      </c>
      <c r="AB11" s="614">
        <f>X11+Y11+Z11+AA11</f>
        <v>0</v>
      </c>
      <c r="AC11" s="614">
        <f>W11</f>
        <v>0</v>
      </c>
      <c r="AD11" s="614">
        <f>AB11</f>
        <v>0</v>
      </c>
      <c r="AE11" s="614">
        <f>AC11+AD11</f>
        <v>0</v>
      </c>
      <c r="AF11" s="994"/>
      <c r="AG11" s="994"/>
      <c r="AH11" s="996"/>
      <c r="AI11" s="614">
        <f>AH11*AC11</f>
        <v>0</v>
      </c>
      <c r="AJ11" s="996"/>
      <c r="AK11" s="614">
        <f>AJ11*AC11</f>
        <v>0</v>
      </c>
      <c r="AL11" s="997"/>
      <c r="AM11" s="614">
        <f>AL11*$T$2</f>
        <v>0</v>
      </c>
      <c r="AN11" s="996"/>
      <c r="AO11" s="614">
        <f>AN11*AC11</f>
        <v>0</v>
      </c>
      <c r="AP11" s="614">
        <f>AF11+AG11+AI11+AK11+AM11+AO11</f>
        <v>0</v>
      </c>
      <c r="AQ11" s="994"/>
      <c r="AR11" s="994"/>
      <c r="AS11" s="996"/>
      <c r="AT11" s="614">
        <f>AS11*AD11</f>
        <v>0</v>
      </c>
      <c r="AU11" s="996"/>
      <c r="AV11" s="614">
        <f>AU11*AD11</f>
        <v>0</v>
      </c>
      <c r="AW11" s="997"/>
      <c r="AX11" s="614">
        <f>AW11*$T$2</f>
        <v>0</v>
      </c>
      <c r="AY11" s="987">
        <f>AQ11+AR11+AT11+AV11+AX11</f>
        <v>0</v>
      </c>
      <c r="AZ11" s="987">
        <f>AP11+AY11</f>
        <v>0</v>
      </c>
      <c r="BA11" s="614">
        <f>AC11+AP11</f>
        <v>0</v>
      </c>
      <c r="BB11" s="614">
        <f>AD11+AY11</f>
        <v>0</v>
      </c>
      <c r="BC11" s="614">
        <f>BA11+BB11</f>
        <v>0</v>
      </c>
      <c r="BD11" s="994"/>
      <c r="BE11" s="994"/>
      <c r="BF11" s="614">
        <f>BD11+BE11</f>
        <v>0</v>
      </c>
      <c r="BG11" s="614">
        <f>W11*$T$4</f>
        <v>0</v>
      </c>
      <c r="BH11" s="614">
        <f>AB11*$T$4</f>
        <v>0</v>
      </c>
      <c r="BI11" s="614">
        <f>BG11+BH11</f>
        <v>0</v>
      </c>
      <c r="BJ11" s="614">
        <f t="shared" si="4"/>
        <v>0</v>
      </c>
      <c r="BK11" s="614">
        <f t="shared" si="4"/>
        <v>0</v>
      </c>
      <c r="BL11" s="614">
        <f>BJ11+BK11</f>
        <v>0</v>
      </c>
      <c r="BM11" s="614">
        <f>BJ11*10%</f>
        <v>0</v>
      </c>
      <c r="BN11" s="614">
        <f>(BJ11-BM11)*10%</f>
        <v>0</v>
      </c>
      <c r="BO11" s="614">
        <f>(BJ11-BM11)*6%</f>
        <v>0</v>
      </c>
      <c r="BP11" s="614">
        <f>(BJ11-BM11)*5%</f>
        <v>0</v>
      </c>
      <c r="BQ11" s="614">
        <f>BK11*10%</f>
        <v>0</v>
      </c>
      <c r="BR11" s="614">
        <f>(BK11-BQ11)*10%</f>
        <v>0</v>
      </c>
      <c r="BS11" s="614">
        <f>(BK11-BQ11)*6%</f>
        <v>0</v>
      </c>
      <c r="BT11" s="614">
        <f>(BK11-BQ11)*5%</f>
        <v>0</v>
      </c>
      <c r="BU11" s="614">
        <f t="shared" si="5"/>
        <v>0</v>
      </c>
      <c r="BV11" s="614">
        <f t="shared" si="5"/>
        <v>0</v>
      </c>
      <c r="BW11" s="614">
        <f t="shared" si="5"/>
        <v>0</v>
      </c>
      <c r="BX11" s="614">
        <f t="shared" si="5"/>
        <v>0</v>
      </c>
      <c r="BY11" s="209"/>
      <c r="BZ11" s="209"/>
      <c r="CA11" s="209"/>
      <c r="CB11" s="209"/>
      <c r="CC11" s="209"/>
      <c r="CD11" s="209"/>
      <c r="CE11" s="209"/>
      <c r="CF11" s="209"/>
      <c r="CG11" s="209"/>
      <c r="CH11" s="209"/>
      <c r="CI11" s="209"/>
      <c r="CJ11" s="209"/>
      <c r="CK11" s="209"/>
      <c r="CL11" s="209"/>
      <c r="CM11" s="209"/>
      <c r="CN11" s="209"/>
      <c r="CO11" s="209"/>
      <c r="CP11" s="209"/>
      <c r="CQ11" s="209"/>
      <c r="CR11" s="209"/>
      <c r="CS11" s="209"/>
      <c r="CT11" s="209"/>
      <c r="CU11" s="209"/>
      <c r="CV11" s="209"/>
      <c r="CW11" s="209"/>
      <c r="CX11" s="209"/>
      <c r="CY11" s="209"/>
      <c r="CZ11" s="209"/>
      <c r="DA11" s="209"/>
      <c r="DB11" s="209"/>
      <c r="DC11" s="209"/>
      <c r="DD11" s="209"/>
      <c r="DE11" s="209"/>
      <c r="DF11" s="209"/>
      <c r="DG11" s="209"/>
      <c r="DH11" s="209"/>
      <c r="DI11" s="209"/>
      <c r="DJ11" s="209"/>
      <c r="DK11" s="209"/>
      <c r="DL11" s="209"/>
      <c r="DM11" s="209"/>
      <c r="DN11" s="209"/>
      <c r="DO11" s="209"/>
      <c r="DP11" s="209"/>
      <c r="DQ11" s="209"/>
      <c r="DR11" s="209"/>
      <c r="DS11" s="209"/>
      <c r="DT11" s="209"/>
      <c r="DU11" s="209"/>
      <c r="DV11" s="209"/>
      <c r="DW11" s="209"/>
      <c r="DX11" s="209"/>
      <c r="DY11" s="209"/>
      <c r="DZ11" s="209"/>
      <c r="EA11" s="209"/>
      <c r="EB11" s="209"/>
      <c r="EC11" s="209"/>
      <c r="ED11" s="209"/>
      <c r="EE11" s="209"/>
      <c r="EF11" s="209"/>
      <c r="EG11" s="209"/>
      <c r="EH11" s="209"/>
      <c r="EI11" s="209"/>
      <c r="EJ11" s="209"/>
      <c r="EK11" s="209"/>
      <c r="EL11" s="209"/>
      <c r="EM11" s="209"/>
      <c r="EN11" s="209"/>
      <c r="EO11" s="209"/>
      <c r="EP11" s="209"/>
      <c r="EQ11" s="209"/>
      <c r="ER11" s="209"/>
      <c r="ES11" s="209"/>
      <c r="ET11" s="209"/>
      <c r="EU11" s="209"/>
      <c r="EV11" s="209"/>
      <c r="EW11" s="209"/>
      <c r="EX11" s="209"/>
      <c r="EY11" s="209"/>
      <c r="EZ11" s="209"/>
      <c r="FA11" s="209"/>
      <c r="FB11" s="209"/>
      <c r="FC11" s="209"/>
      <c r="FD11" s="209"/>
      <c r="FE11" s="209"/>
      <c r="FF11" s="209"/>
      <c r="FG11" s="209"/>
      <c r="FH11" s="209"/>
      <c r="FI11" s="209"/>
      <c r="FJ11" s="209"/>
      <c r="FK11" s="209"/>
      <c r="FL11" s="209"/>
      <c r="FM11" s="209"/>
      <c r="FN11" s="209"/>
      <c r="FO11" s="209"/>
      <c r="FP11" s="209"/>
      <c r="FQ11" s="209"/>
      <c r="FR11" s="209"/>
      <c r="FS11" s="209"/>
      <c r="FT11" s="209"/>
      <c r="FU11" s="209"/>
      <c r="FV11" s="209"/>
      <c r="FW11" s="209"/>
      <c r="FX11" s="209"/>
      <c r="FY11" s="209"/>
      <c r="FZ11" s="209"/>
      <c r="GA11" s="209"/>
      <c r="GB11" s="209"/>
      <c r="GC11" s="209"/>
      <c r="GD11" s="209"/>
      <c r="GE11" s="209"/>
      <c r="GF11" s="209"/>
      <c r="GG11" s="209"/>
      <c r="GH11" s="209"/>
      <c r="GI11" s="209"/>
      <c r="GJ11" s="209"/>
      <c r="GK11" s="209"/>
      <c r="GL11" s="209"/>
      <c r="GM11" s="209"/>
      <c r="GN11" s="209"/>
      <c r="GO11" s="209"/>
      <c r="GP11" s="209"/>
      <c r="GQ11" s="209"/>
      <c r="GR11" s="209"/>
      <c r="GS11" s="209"/>
      <c r="GT11" s="209"/>
      <c r="GU11" s="209"/>
      <c r="GV11" s="209"/>
      <c r="GW11" s="209"/>
      <c r="GX11" s="209"/>
      <c r="GY11" s="209"/>
      <c r="GZ11" s="209"/>
      <c r="HA11" s="209"/>
      <c r="HB11" s="209"/>
      <c r="HC11" s="209"/>
      <c r="HD11" s="209"/>
      <c r="HE11" s="209"/>
      <c r="HF11" s="209"/>
      <c r="HG11" s="209"/>
      <c r="HH11" s="209"/>
      <c r="HI11" s="209"/>
      <c r="HJ11" s="209"/>
      <c r="HK11" s="209"/>
      <c r="HL11" s="209"/>
      <c r="HM11" s="209"/>
      <c r="HN11" s="209"/>
      <c r="HO11" s="209"/>
      <c r="HP11" s="209"/>
      <c r="HQ11" s="209"/>
      <c r="HR11" s="209"/>
      <c r="HS11" s="209"/>
      <c r="HT11" s="209"/>
      <c r="HU11" s="209"/>
      <c r="HV11" s="209"/>
      <c r="HW11" s="209"/>
      <c r="HX11" s="209"/>
      <c r="HY11" s="209"/>
      <c r="HZ11" s="209"/>
      <c r="IA11" s="209"/>
      <c r="IB11" s="209"/>
      <c r="IC11" s="209"/>
      <c r="ID11" s="209"/>
      <c r="IE11" s="209"/>
      <c r="IF11" s="209"/>
      <c r="IG11" s="209"/>
      <c r="IH11" s="209"/>
      <c r="II11" s="209"/>
      <c r="IJ11" s="209"/>
      <c r="IK11" s="209"/>
      <c r="IL11" s="209"/>
      <c r="IM11" s="209"/>
      <c r="IN11" s="209"/>
      <c r="IO11" s="209"/>
      <c r="IP11" s="209"/>
      <c r="IQ11" s="209"/>
      <c r="IR11" s="209"/>
      <c r="IS11" s="209"/>
      <c r="IT11" s="209"/>
      <c r="IU11" s="209"/>
    </row>
    <row r="12" spans="1:255">
      <c r="A12" s="991"/>
      <c r="B12" s="992"/>
      <c r="C12" s="993"/>
      <c r="D12" s="992"/>
      <c r="E12" s="994"/>
      <c r="F12" s="994"/>
      <c r="G12" s="994"/>
      <c r="H12" s="994"/>
      <c r="I12" s="995"/>
      <c r="J12" s="995"/>
      <c r="K12" s="995"/>
      <c r="L12" s="995"/>
      <c r="M12" s="614">
        <f t="shared" si="3"/>
        <v>0</v>
      </c>
      <c r="N12" s="995"/>
      <c r="O12" s="995"/>
      <c r="P12" s="995"/>
      <c r="Q12" s="995"/>
      <c r="R12" s="614">
        <f>N12+O12+P12+Q12</f>
        <v>0</v>
      </c>
      <c r="S12" s="614">
        <f t="shared" si="6"/>
        <v>0</v>
      </c>
      <c r="T12" s="614">
        <f t="shared" si="7"/>
        <v>0</v>
      </c>
      <c r="U12" s="614">
        <f t="shared" si="8"/>
        <v>0</v>
      </c>
      <c r="V12" s="614">
        <f t="shared" si="9"/>
        <v>0</v>
      </c>
      <c r="W12" s="614">
        <f t="shared" si="10"/>
        <v>0</v>
      </c>
      <c r="X12" s="614">
        <f t="shared" si="11"/>
        <v>0</v>
      </c>
      <c r="Y12" s="614">
        <f t="shared" si="12"/>
        <v>0</v>
      </c>
      <c r="Z12" s="614">
        <f t="shared" si="13"/>
        <v>0</v>
      </c>
      <c r="AA12" s="614">
        <f t="shared" si="14"/>
        <v>0</v>
      </c>
      <c r="AB12" s="614">
        <f>X12+Y12+Z12+AA12</f>
        <v>0</v>
      </c>
      <c r="AC12" s="614">
        <f>W12</f>
        <v>0</v>
      </c>
      <c r="AD12" s="614">
        <f>AB12</f>
        <v>0</v>
      </c>
      <c r="AE12" s="614">
        <f>AC12+AD12</f>
        <v>0</v>
      </c>
      <c r="AF12" s="994"/>
      <c r="AG12" s="994"/>
      <c r="AH12" s="996"/>
      <c r="AI12" s="614">
        <f>AH12*AC12</f>
        <v>0</v>
      </c>
      <c r="AJ12" s="996"/>
      <c r="AK12" s="614">
        <f>AJ12*AC12</f>
        <v>0</v>
      </c>
      <c r="AL12" s="997"/>
      <c r="AM12" s="614">
        <f>AL12*$T$2</f>
        <v>0</v>
      </c>
      <c r="AN12" s="996"/>
      <c r="AO12" s="614">
        <f>AN12*AC12</f>
        <v>0</v>
      </c>
      <c r="AP12" s="614">
        <f>AF12+AG12+AI12+AK12+AM12+AO12</f>
        <v>0</v>
      </c>
      <c r="AQ12" s="994"/>
      <c r="AR12" s="994"/>
      <c r="AS12" s="996"/>
      <c r="AT12" s="614">
        <f>AS12*AD12</f>
        <v>0</v>
      </c>
      <c r="AU12" s="996"/>
      <c r="AV12" s="614">
        <f>AU12*AD12</f>
        <v>0</v>
      </c>
      <c r="AW12" s="997"/>
      <c r="AX12" s="614">
        <f>AW12*$T$2</f>
        <v>0</v>
      </c>
      <c r="AY12" s="987">
        <f>AQ12+AR12+AT12+AV12+AX12</f>
        <v>0</v>
      </c>
      <c r="AZ12" s="987">
        <f>AP12+AY12</f>
        <v>0</v>
      </c>
      <c r="BA12" s="614">
        <f>AC12+AP12</f>
        <v>0</v>
      </c>
      <c r="BB12" s="614">
        <f>AD12+AY12</f>
        <v>0</v>
      </c>
      <c r="BC12" s="614">
        <f>BA12+BB12</f>
        <v>0</v>
      </c>
      <c r="BD12" s="994"/>
      <c r="BE12" s="994"/>
      <c r="BF12" s="614">
        <f>BD12+BE12</f>
        <v>0</v>
      </c>
      <c r="BG12" s="614">
        <f>W12*$T$4</f>
        <v>0</v>
      </c>
      <c r="BH12" s="614">
        <f>AB12*$T$4</f>
        <v>0</v>
      </c>
      <c r="BI12" s="614">
        <f>BG12+BH12</f>
        <v>0</v>
      </c>
      <c r="BJ12" s="614">
        <f t="shared" si="4"/>
        <v>0</v>
      </c>
      <c r="BK12" s="614">
        <f t="shared" si="4"/>
        <v>0</v>
      </c>
      <c r="BL12" s="614">
        <f>BJ12+BK12</f>
        <v>0</v>
      </c>
      <c r="BM12" s="614">
        <f>BJ12*10%</f>
        <v>0</v>
      </c>
      <c r="BN12" s="614">
        <f>(BJ12-BM12)*10%</f>
        <v>0</v>
      </c>
      <c r="BO12" s="614">
        <f>(BJ12-BM12)*6%</f>
        <v>0</v>
      </c>
      <c r="BP12" s="614">
        <f>(BJ12-BM12)*5%</f>
        <v>0</v>
      </c>
      <c r="BQ12" s="614">
        <f>BK12*10%</f>
        <v>0</v>
      </c>
      <c r="BR12" s="614">
        <f>(BK12-BQ12)*10%</f>
        <v>0</v>
      </c>
      <c r="BS12" s="614">
        <f>(BK12-BQ12)*6%</f>
        <v>0</v>
      </c>
      <c r="BT12" s="614">
        <f>(BK12-BQ12)*5%</f>
        <v>0</v>
      </c>
      <c r="BU12" s="614">
        <f t="shared" si="5"/>
        <v>0</v>
      </c>
      <c r="BV12" s="614">
        <f t="shared" si="5"/>
        <v>0</v>
      </c>
      <c r="BW12" s="614">
        <f t="shared" si="5"/>
        <v>0</v>
      </c>
      <c r="BX12" s="614">
        <f t="shared" si="5"/>
        <v>0</v>
      </c>
      <c r="BY12" s="209"/>
      <c r="BZ12" s="209"/>
      <c r="CA12" s="209"/>
      <c r="CB12" s="209"/>
      <c r="CC12" s="209"/>
      <c r="CD12" s="209"/>
      <c r="CE12" s="209"/>
      <c r="CF12" s="209"/>
      <c r="CG12" s="209"/>
      <c r="CH12" s="209"/>
      <c r="CI12" s="209"/>
      <c r="CJ12" s="209"/>
      <c r="CK12" s="209"/>
      <c r="CL12" s="209"/>
      <c r="CM12" s="209"/>
      <c r="CN12" s="209"/>
      <c r="CO12" s="209"/>
      <c r="CP12" s="209"/>
      <c r="CQ12" s="209"/>
      <c r="CR12" s="209"/>
      <c r="CS12" s="209"/>
      <c r="CT12" s="209"/>
      <c r="CU12" s="209"/>
      <c r="CV12" s="209"/>
      <c r="CW12" s="209"/>
      <c r="CX12" s="209"/>
      <c r="CY12" s="209"/>
      <c r="CZ12" s="209"/>
      <c r="DA12" s="209"/>
      <c r="DB12" s="209"/>
      <c r="DC12" s="209"/>
      <c r="DD12" s="209"/>
      <c r="DE12" s="209"/>
      <c r="DF12" s="209"/>
      <c r="DG12" s="209"/>
      <c r="DH12" s="209"/>
      <c r="DI12" s="209"/>
      <c r="DJ12" s="209"/>
      <c r="DK12" s="209"/>
      <c r="DL12" s="209"/>
      <c r="DM12" s="209"/>
      <c r="DN12" s="209"/>
      <c r="DO12" s="209"/>
      <c r="DP12" s="209"/>
      <c r="DQ12" s="209"/>
      <c r="DR12" s="209"/>
      <c r="DS12" s="209"/>
      <c r="DT12" s="209"/>
      <c r="DU12" s="209"/>
      <c r="DV12" s="209"/>
      <c r="DW12" s="209"/>
      <c r="DX12" s="209"/>
      <c r="DY12" s="209"/>
      <c r="DZ12" s="209"/>
      <c r="EA12" s="209"/>
      <c r="EB12" s="209"/>
      <c r="EC12" s="209"/>
      <c r="ED12" s="209"/>
      <c r="EE12" s="209"/>
      <c r="EF12" s="209"/>
      <c r="EG12" s="209"/>
      <c r="EH12" s="209"/>
      <c r="EI12" s="209"/>
      <c r="EJ12" s="209"/>
      <c r="EK12" s="209"/>
      <c r="EL12" s="209"/>
      <c r="EM12" s="209"/>
      <c r="EN12" s="209"/>
      <c r="EO12" s="209"/>
      <c r="EP12" s="209"/>
      <c r="EQ12" s="209"/>
      <c r="ER12" s="209"/>
      <c r="ES12" s="209"/>
      <c r="ET12" s="209"/>
      <c r="EU12" s="209"/>
      <c r="EV12" s="209"/>
      <c r="EW12" s="209"/>
      <c r="EX12" s="209"/>
      <c r="EY12" s="209"/>
      <c r="EZ12" s="209"/>
      <c r="FA12" s="209"/>
      <c r="FB12" s="209"/>
      <c r="FC12" s="209"/>
      <c r="FD12" s="209"/>
      <c r="FE12" s="209"/>
      <c r="FF12" s="209"/>
      <c r="FG12" s="209"/>
      <c r="FH12" s="209"/>
      <c r="FI12" s="209"/>
      <c r="FJ12" s="209"/>
      <c r="FK12" s="209"/>
      <c r="FL12" s="209"/>
      <c r="FM12" s="209"/>
      <c r="FN12" s="209"/>
      <c r="FO12" s="209"/>
      <c r="FP12" s="209"/>
      <c r="FQ12" s="209"/>
      <c r="FR12" s="209"/>
      <c r="FS12" s="209"/>
      <c r="FT12" s="209"/>
      <c r="FU12" s="209"/>
      <c r="FV12" s="209"/>
      <c r="FW12" s="209"/>
      <c r="FX12" s="209"/>
      <c r="FY12" s="209"/>
      <c r="FZ12" s="209"/>
      <c r="GA12" s="209"/>
      <c r="GB12" s="209"/>
      <c r="GC12" s="209"/>
      <c r="GD12" s="209"/>
      <c r="GE12" s="209"/>
      <c r="GF12" s="209"/>
      <c r="GG12" s="209"/>
      <c r="GH12" s="209"/>
      <c r="GI12" s="209"/>
      <c r="GJ12" s="209"/>
      <c r="GK12" s="209"/>
      <c r="GL12" s="209"/>
      <c r="GM12" s="209"/>
      <c r="GN12" s="209"/>
      <c r="GO12" s="209"/>
      <c r="GP12" s="209"/>
      <c r="GQ12" s="209"/>
      <c r="GR12" s="209"/>
      <c r="GS12" s="209"/>
      <c r="GT12" s="209"/>
      <c r="GU12" s="209"/>
      <c r="GV12" s="209"/>
      <c r="GW12" s="209"/>
      <c r="GX12" s="209"/>
      <c r="GY12" s="209"/>
      <c r="GZ12" s="209"/>
      <c r="HA12" s="209"/>
      <c r="HB12" s="209"/>
      <c r="HC12" s="209"/>
      <c r="HD12" s="209"/>
      <c r="HE12" s="209"/>
      <c r="HF12" s="209"/>
      <c r="HG12" s="209"/>
      <c r="HH12" s="209"/>
      <c r="HI12" s="209"/>
      <c r="HJ12" s="209"/>
      <c r="HK12" s="209"/>
      <c r="HL12" s="209"/>
      <c r="HM12" s="209"/>
      <c r="HN12" s="209"/>
      <c r="HO12" s="209"/>
      <c r="HP12" s="209"/>
      <c r="HQ12" s="209"/>
      <c r="HR12" s="209"/>
      <c r="HS12" s="209"/>
      <c r="HT12" s="209"/>
      <c r="HU12" s="209"/>
      <c r="HV12" s="209"/>
      <c r="HW12" s="209"/>
      <c r="HX12" s="209"/>
      <c r="HY12" s="209"/>
      <c r="HZ12" s="209"/>
      <c r="IA12" s="209"/>
      <c r="IB12" s="209"/>
      <c r="IC12" s="209"/>
      <c r="ID12" s="209"/>
      <c r="IE12" s="209"/>
      <c r="IF12" s="209"/>
      <c r="IG12" s="209"/>
      <c r="IH12" s="209"/>
      <c r="II12" s="209"/>
      <c r="IJ12" s="209"/>
      <c r="IK12" s="209"/>
      <c r="IL12" s="209"/>
      <c r="IM12" s="209"/>
      <c r="IN12" s="209"/>
      <c r="IO12" s="209"/>
      <c r="IP12" s="209"/>
      <c r="IQ12" s="209"/>
      <c r="IR12" s="209"/>
      <c r="IS12" s="209"/>
      <c r="IT12" s="209"/>
      <c r="IU12" s="209"/>
    </row>
    <row r="13" spans="1:255">
      <c r="A13" s="991"/>
      <c r="B13" s="992"/>
      <c r="C13" s="993"/>
      <c r="D13" s="992"/>
      <c r="E13" s="994"/>
      <c r="F13" s="994"/>
      <c r="G13" s="994"/>
      <c r="H13" s="994"/>
      <c r="I13" s="995"/>
      <c r="J13" s="995"/>
      <c r="K13" s="995"/>
      <c r="L13" s="995"/>
      <c r="M13" s="614">
        <f t="shared" si="3"/>
        <v>0</v>
      </c>
      <c r="N13" s="995"/>
      <c r="O13" s="995"/>
      <c r="P13" s="995"/>
      <c r="Q13" s="995"/>
      <c r="R13" s="614">
        <f>N13+O13+P13+Q13</f>
        <v>0</v>
      </c>
      <c r="S13" s="614">
        <f t="shared" si="6"/>
        <v>0</v>
      </c>
      <c r="T13" s="614">
        <f t="shared" si="7"/>
        <v>0</v>
      </c>
      <c r="U13" s="614">
        <f t="shared" si="8"/>
        <v>0</v>
      </c>
      <c r="V13" s="614">
        <f>H13*L13*4</f>
        <v>0</v>
      </c>
      <c r="W13" s="614">
        <f t="shared" si="10"/>
        <v>0</v>
      </c>
      <c r="X13" s="614">
        <f t="shared" si="11"/>
        <v>0</v>
      </c>
      <c r="Y13" s="614">
        <f t="shared" si="12"/>
        <v>0</v>
      </c>
      <c r="Z13" s="614">
        <f t="shared" si="13"/>
        <v>0</v>
      </c>
      <c r="AA13" s="614">
        <f t="shared" si="14"/>
        <v>0</v>
      </c>
      <c r="AB13" s="614">
        <f>X13+Y13+Z13+AA13</f>
        <v>0</v>
      </c>
      <c r="AC13" s="614">
        <f>W13</f>
        <v>0</v>
      </c>
      <c r="AD13" s="614">
        <f>AB13</f>
        <v>0</v>
      </c>
      <c r="AE13" s="614">
        <f>AC13+AD13</f>
        <v>0</v>
      </c>
      <c r="AF13" s="994"/>
      <c r="AG13" s="994"/>
      <c r="AH13" s="996"/>
      <c r="AI13" s="614">
        <f>AH13*AC13</f>
        <v>0</v>
      </c>
      <c r="AJ13" s="996"/>
      <c r="AK13" s="614">
        <f>AJ13*AC13</f>
        <v>0</v>
      </c>
      <c r="AL13" s="997"/>
      <c r="AM13" s="614">
        <f>AL13*$T$2</f>
        <v>0</v>
      </c>
      <c r="AN13" s="996"/>
      <c r="AO13" s="614">
        <f>AN13*AC13</f>
        <v>0</v>
      </c>
      <c r="AP13" s="614">
        <f>AF13+AG13+AI13+AK13+AM13+AO13</f>
        <v>0</v>
      </c>
      <c r="AQ13" s="994"/>
      <c r="AR13" s="994"/>
      <c r="AS13" s="996"/>
      <c r="AT13" s="614">
        <f>AS13*AD13</f>
        <v>0</v>
      </c>
      <c r="AU13" s="996"/>
      <c r="AV13" s="614">
        <f>AU13*AD13</f>
        <v>0</v>
      </c>
      <c r="AW13" s="997"/>
      <c r="AX13" s="614">
        <f>AW13*$T$2</f>
        <v>0</v>
      </c>
      <c r="AY13" s="987">
        <f>AQ13+AR13+AT13+AV13+AX13</f>
        <v>0</v>
      </c>
      <c r="AZ13" s="987">
        <f>AP13+AY13</f>
        <v>0</v>
      </c>
      <c r="BA13" s="614">
        <f>AC13+AP13</f>
        <v>0</v>
      </c>
      <c r="BB13" s="614">
        <f>AD13+AY13</f>
        <v>0</v>
      </c>
      <c r="BC13" s="614">
        <f>BA13+BB13</f>
        <v>0</v>
      </c>
      <c r="BD13" s="994"/>
      <c r="BE13" s="994"/>
      <c r="BF13" s="614">
        <f>BD13+BE13</f>
        <v>0</v>
      </c>
      <c r="BG13" s="614">
        <f>W13*$T$4</f>
        <v>0</v>
      </c>
      <c r="BH13" s="614">
        <f>AB13*$T$4</f>
        <v>0</v>
      </c>
      <c r="BI13" s="614">
        <f>BG13+BH13</f>
        <v>0</v>
      </c>
      <c r="BJ13" s="614">
        <f t="shared" si="4"/>
        <v>0</v>
      </c>
      <c r="BK13" s="614">
        <f t="shared" si="4"/>
        <v>0</v>
      </c>
      <c r="BL13" s="614">
        <f>BJ13+BK13</f>
        <v>0</v>
      </c>
      <c r="BM13" s="614">
        <f>BJ13*10%</f>
        <v>0</v>
      </c>
      <c r="BN13" s="614">
        <f>(BJ13-BM13)*10%</f>
        <v>0</v>
      </c>
      <c r="BO13" s="614">
        <f>(BJ13-BM13)*6%</f>
        <v>0</v>
      </c>
      <c r="BP13" s="614">
        <f>(BJ13-BM13)*5%</f>
        <v>0</v>
      </c>
      <c r="BQ13" s="614">
        <f>BK13*10%</f>
        <v>0</v>
      </c>
      <c r="BR13" s="614">
        <f>(BK13-BQ13)*10%</f>
        <v>0</v>
      </c>
      <c r="BS13" s="614">
        <f>(BK13-BQ13)*6%</f>
        <v>0</v>
      </c>
      <c r="BT13" s="614">
        <f>(BK13-BQ13)*5%</f>
        <v>0</v>
      </c>
      <c r="BU13" s="614">
        <f t="shared" si="5"/>
        <v>0</v>
      </c>
      <c r="BV13" s="614">
        <f t="shared" si="5"/>
        <v>0</v>
      </c>
      <c r="BW13" s="614">
        <f t="shared" si="5"/>
        <v>0</v>
      </c>
      <c r="BX13" s="614">
        <f t="shared" si="5"/>
        <v>0</v>
      </c>
      <c r="BY13" s="209"/>
      <c r="BZ13" s="209"/>
      <c r="CA13" s="209"/>
      <c r="CB13" s="209"/>
      <c r="CC13" s="209"/>
      <c r="CD13" s="209"/>
      <c r="CE13" s="209"/>
      <c r="CF13" s="209"/>
      <c r="CG13" s="209"/>
      <c r="CH13" s="209"/>
      <c r="CI13" s="209"/>
      <c r="CJ13" s="209"/>
      <c r="CK13" s="209"/>
      <c r="CL13" s="209"/>
      <c r="CM13" s="209"/>
      <c r="CN13" s="209"/>
      <c r="CO13" s="209"/>
      <c r="CP13" s="209"/>
      <c r="CQ13" s="209"/>
      <c r="CR13" s="209"/>
      <c r="CS13" s="209"/>
      <c r="CT13" s="209"/>
      <c r="CU13" s="209"/>
      <c r="CV13" s="209"/>
      <c r="CW13" s="209"/>
      <c r="CX13" s="209"/>
      <c r="CY13" s="209"/>
      <c r="CZ13" s="209"/>
      <c r="DA13" s="209"/>
      <c r="DB13" s="209"/>
      <c r="DC13" s="209"/>
      <c r="DD13" s="209"/>
      <c r="DE13" s="209"/>
      <c r="DF13" s="209"/>
      <c r="DG13" s="209"/>
      <c r="DH13" s="209"/>
      <c r="DI13" s="209"/>
      <c r="DJ13" s="209"/>
      <c r="DK13" s="209"/>
      <c r="DL13" s="209"/>
      <c r="DM13" s="209"/>
      <c r="DN13" s="209"/>
      <c r="DO13" s="209"/>
      <c r="DP13" s="209"/>
      <c r="DQ13" s="209"/>
      <c r="DR13" s="209"/>
      <c r="DS13" s="209"/>
      <c r="DT13" s="209"/>
      <c r="DU13" s="209"/>
      <c r="DV13" s="209"/>
      <c r="DW13" s="209"/>
      <c r="DX13" s="209"/>
      <c r="DY13" s="209"/>
      <c r="DZ13" s="209"/>
      <c r="EA13" s="209"/>
      <c r="EB13" s="209"/>
      <c r="EC13" s="209"/>
      <c r="ED13" s="209"/>
      <c r="EE13" s="209"/>
      <c r="EF13" s="209"/>
      <c r="EG13" s="209"/>
      <c r="EH13" s="209"/>
      <c r="EI13" s="209"/>
      <c r="EJ13" s="209"/>
      <c r="EK13" s="209"/>
      <c r="EL13" s="209"/>
      <c r="EM13" s="209"/>
      <c r="EN13" s="209"/>
      <c r="EO13" s="209"/>
      <c r="EP13" s="209"/>
      <c r="EQ13" s="209"/>
      <c r="ER13" s="209"/>
      <c r="ES13" s="209"/>
      <c r="ET13" s="209"/>
      <c r="EU13" s="209"/>
      <c r="EV13" s="209"/>
      <c r="EW13" s="209"/>
      <c r="EX13" s="209"/>
      <c r="EY13" s="209"/>
      <c r="EZ13" s="209"/>
      <c r="FA13" s="209"/>
      <c r="FB13" s="209"/>
      <c r="FC13" s="209"/>
      <c r="FD13" s="209"/>
      <c r="FE13" s="209"/>
      <c r="FF13" s="209"/>
      <c r="FG13" s="209"/>
      <c r="FH13" s="209"/>
      <c r="FI13" s="209"/>
      <c r="FJ13" s="209"/>
      <c r="FK13" s="209"/>
      <c r="FL13" s="209"/>
      <c r="FM13" s="209"/>
      <c r="FN13" s="209"/>
      <c r="FO13" s="209"/>
      <c r="FP13" s="209"/>
      <c r="FQ13" s="209"/>
      <c r="FR13" s="209"/>
      <c r="FS13" s="209"/>
      <c r="FT13" s="209"/>
      <c r="FU13" s="209"/>
      <c r="FV13" s="209"/>
      <c r="FW13" s="209"/>
      <c r="FX13" s="209"/>
      <c r="FY13" s="209"/>
      <c r="FZ13" s="209"/>
      <c r="GA13" s="209"/>
      <c r="GB13" s="209"/>
      <c r="GC13" s="209"/>
      <c r="GD13" s="209"/>
      <c r="GE13" s="209"/>
      <c r="GF13" s="209"/>
      <c r="GG13" s="209"/>
      <c r="GH13" s="209"/>
      <c r="GI13" s="209"/>
      <c r="GJ13" s="209"/>
      <c r="GK13" s="209"/>
      <c r="GL13" s="209"/>
      <c r="GM13" s="209"/>
      <c r="GN13" s="209"/>
      <c r="GO13" s="209"/>
      <c r="GP13" s="209"/>
      <c r="GQ13" s="209"/>
      <c r="GR13" s="209"/>
      <c r="GS13" s="209"/>
      <c r="GT13" s="209"/>
      <c r="GU13" s="209"/>
      <c r="GV13" s="209"/>
      <c r="GW13" s="209"/>
      <c r="GX13" s="209"/>
      <c r="GY13" s="209"/>
      <c r="GZ13" s="209"/>
      <c r="HA13" s="209"/>
      <c r="HB13" s="209"/>
      <c r="HC13" s="209"/>
      <c r="HD13" s="209"/>
      <c r="HE13" s="209"/>
      <c r="HF13" s="209"/>
      <c r="HG13" s="209"/>
      <c r="HH13" s="209"/>
      <c r="HI13" s="209"/>
      <c r="HJ13" s="209"/>
      <c r="HK13" s="209"/>
      <c r="HL13" s="209"/>
      <c r="HM13" s="209"/>
      <c r="HN13" s="209"/>
      <c r="HO13" s="209"/>
      <c r="HP13" s="209"/>
      <c r="HQ13" s="209"/>
      <c r="HR13" s="209"/>
      <c r="HS13" s="209"/>
      <c r="HT13" s="209"/>
      <c r="HU13" s="209"/>
      <c r="HV13" s="209"/>
      <c r="HW13" s="209"/>
      <c r="HX13" s="209"/>
      <c r="HY13" s="209"/>
      <c r="HZ13" s="209"/>
      <c r="IA13" s="209"/>
      <c r="IB13" s="209"/>
      <c r="IC13" s="209"/>
      <c r="ID13" s="209"/>
      <c r="IE13" s="209"/>
      <c r="IF13" s="209"/>
      <c r="IG13" s="209"/>
      <c r="IH13" s="209"/>
      <c r="II13" s="209"/>
      <c r="IJ13" s="209"/>
      <c r="IK13" s="209"/>
      <c r="IL13" s="209"/>
      <c r="IM13" s="209"/>
      <c r="IN13" s="209"/>
      <c r="IO13" s="209"/>
      <c r="IP13" s="209"/>
      <c r="IQ13" s="209"/>
      <c r="IR13" s="209"/>
      <c r="IS13" s="209"/>
      <c r="IT13" s="209"/>
      <c r="IU13" s="209"/>
    </row>
    <row r="14" spans="1:255">
      <c r="A14" s="991"/>
      <c r="B14" s="992"/>
      <c r="C14" s="993"/>
      <c r="D14" s="992"/>
      <c r="E14" s="994"/>
      <c r="F14" s="994"/>
      <c r="G14" s="994"/>
      <c r="H14" s="994"/>
      <c r="I14" s="995"/>
      <c r="J14" s="995"/>
      <c r="K14" s="995"/>
      <c r="L14" s="995"/>
      <c r="M14" s="614">
        <f t="shared" si="3"/>
        <v>0</v>
      </c>
      <c r="N14" s="995"/>
      <c r="O14" s="995"/>
      <c r="P14" s="995"/>
      <c r="Q14" s="995"/>
      <c r="R14" s="614">
        <f>N14+O14+P14+Q14</f>
        <v>0</v>
      </c>
      <c r="S14" s="614">
        <f t="shared" si="6"/>
        <v>0</v>
      </c>
      <c r="T14" s="614">
        <f t="shared" si="7"/>
        <v>0</v>
      </c>
      <c r="U14" s="614">
        <f t="shared" si="8"/>
        <v>0</v>
      </c>
      <c r="V14" s="614">
        <f t="shared" si="9"/>
        <v>0</v>
      </c>
      <c r="W14" s="614">
        <f t="shared" si="10"/>
        <v>0</v>
      </c>
      <c r="X14" s="614">
        <f t="shared" si="11"/>
        <v>0</v>
      </c>
      <c r="Y14" s="614">
        <f>F14*O14*4</f>
        <v>0</v>
      </c>
      <c r="Z14" s="614">
        <f t="shared" si="13"/>
        <v>0</v>
      </c>
      <c r="AA14" s="614">
        <f t="shared" si="14"/>
        <v>0</v>
      </c>
      <c r="AB14" s="614">
        <f>X14+Y14+Z14+AA14</f>
        <v>0</v>
      </c>
      <c r="AC14" s="614">
        <f>W14</f>
        <v>0</v>
      </c>
      <c r="AD14" s="614">
        <f>AB14</f>
        <v>0</v>
      </c>
      <c r="AE14" s="614">
        <f>AC14+AD14</f>
        <v>0</v>
      </c>
      <c r="AF14" s="994"/>
      <c r="AG14" s="994"/>
      <c r="AH14" s="996"/>
      <c r="AI14" s="614">
        <f>AH14*AC14</f>
        <v>0</v>
      </c>
      <c r="AJ14" s="996"/>
      <c r="AK14" s="614">
        <f>AJ14*AC14</f>
        <v>0</v>
      </c>
      <c r="AL14" s="997"/>
      <c r="AM14" s="614">
        <f>AL14*$T$2</f>
        <v>0</v>
      </c>
      <c r="AN14" s="996"/>
      <c r="AO14" s="614">
        <f>AN14*AC14</f>
        <v>0</v>
      </c>
      <c r="AP14" s="614">
        <f>AF14+AG14+AI14+AK14+AM14+AO14</f>
        <v>0</v>
      </c>
      <c r="AQ14" s="994"/>
      <c r="AR14" s="994"/>
      <c r="AS14" s="996"/>
      <c r="AT14" s="614">
        <f>AS14*AD14</f>
        <v>0</v>
      </c>
      <c r="AU14" s="996"/>
      <c r="AV14" s="614">
        <f>AU14*AD14</f>
        <v>0</v>
      </c>
      <c r="AW14" s="997"/>
      <c r="AX14" s="614">
        <f>AW14*$T$2</f>
        <v>0</v>
      </c>
      <c r="AY14" s="987">
        <f>AQ14+AR14+AT14+AV14+AX14</f>
        <v>0</v>
      </c>
      <c r="AZ14" s="987">
        <f>AP14+AY14</f>
        <v>0</v>
      </c>
      <c r="BA14" s="614">
        <f>AC14+AP14</f>
        <v>0</v>
      </c>
      <c r="BB14" s="614">
        <f>AD14+AY14</f>
        <v>0</v>
      </c>
      <c r="BC14" s="614">
        <f>BA14+BB14</f>
        <v>0</v>
      </c>
      <c r="BD14" s="994"/>
      <c r="BE14" s="994"/>
      <c r="BF14" s="614">
        <f>BD14+BE14</f>
        <v>0</v>
      </c>
      <c r="BG14" s="614">
        <f>W14*$T$4</f>
        <v>0</v>
      </c>
      <c r="BH14" s="614">
        <f>AB14*$T$4</f>
        <v>0</v>
      </c>
      <c r="BI14" s="614">
        <f>BG14+BH14</f>
        <v>0</v>
      </c>
      <c r="BJ14" s="614">
        <f t="shared" si="4"/>
        <v>0</v>
      </c>
      <c r="BK14" s="614">
        <f t="shared" si="4"/>
        <v>0</v>
      </c>
      <c r="BL14" s="614">
        <f>BJ14+BK14</f>
        <v>0</v>
      </c>
      <c r="BM14" s="614">
        <f>BJ14*10%</f>
        <v>0</v>
      </c>
      <c r="BN14" s="614">
        <f>(BJ14-BM14)*10%</f>
        <v>0</v>
      </c>
      <c r="BO14" s="614">
        <f>(BJ14-BM14)*6%</f>
        <v>0</v>
      </c>
      <c r="BP14" s="614">
        <f>(BJ14-BM14)*5%</f>
        <v>0</v>
      </c>
      <c r="BQ14" s="614">
        <f>BK14*10%</f>
        <v>0</v>
      </c>
      <c r="BR14" s="614">
        <f>(BK14-BQ14)*10%</f>
        <v>0</v>
      </c>
      <c r="BS14" s="614">
        <f>(BK14-BQ14)*6%</f>
        <v>0</v>
      </c>
      <c r="BT14" s="614">
        <f>(BK14-BQ14)*5%</f>
        <v>0</v>
      </c>
      <c r="BU14" s="614">
        <f t="shared" si="5"/>
        <v>0</v>
      </c>
      <c r="BV14" s="614">
        <f t="shared" si="5"/>
        <v>0</v>
      </c>
      <c r="BW14" s="614">
        <f t="shared" si="5"/>
        <v>0</v>
      </c>
      <c r="BX14" s="614">
        <f t="shared" si="5"/>
        <v>0</v>
      </c>
      <c r="BY14" s="209"/>
      <c r="BZ14" s="209"/>
      <c r="CA14" s="209"/>
      <c r="CB14" s="209"/>
      <c r="CC14" s="209"/>
      <c r="CD14" s="209"/>
      <c r="CE14" s="209"/>
      <c r="CF14" s="209"/>
      <c r="CG14" s="209"/>
      <c r="CH14" s="209"/>
      <c r="CI14" s="209"/>
      <c r="CJ14" s="209"/>
      <c r="CK14" s="209"/>
      <c r="CL14" s="209"/>
      <c r="CM14" s="209"/>
      <c r="CN14" s="209"/>
      <c r="CO14" s="209"/>
      <c r="CP14" s="209"/>
      <c r="CQ14" s="209"/>
      <c r="CR14" s="209"/>
      <c r="CS14" s="209"/>
      <c r="CT14" s="209"/>
      <c r="CU14" s="209"/>
      <c r="CV14" s="209"/>
      <c r="CW14" s="209"/>
      <c r="CX14" s="209"/>
      <c r="CY14" s="209"/>
      <c r="CZ14" s="209"/>
      <c r="DA14" s="209"/>
      <c r="DB14" s="209"/>
      <c r="DC14" s="209"/>
      <c r="DD14" s="209"/>
      <c r="DE14" s="209"/>
      <c r="DF14" s="209"/>
      <c r="DG14" s="209"/>
      <c r="DH14" s="209"/>
      <c r="DI14" s="209"/>
      <c r="DJ14" s="209"/>
      <c r="DK14" s="209"/>
      <c r="DL14" s="209"/>
      <c r="DM14" s="209"/>
      <c r="DN14" s="209"/>
      <c r="DO14" s="209"/>
      <c r="DP14" s="209"/>
      <c r="DQ14" s="209"/>
      <c r="DR14" s="209"/>
      <c r="DS14" s="209"/>
      <c r="DT14" s="209"/>
      <c r="DU14" s="209"/>
      <c r="DV14" s="209"/>
      <c r="DW14" s="209"/>
      <c r="DX14" s="209"/>
      <c r="DY14" s="209"/>
      <c r="DZ14" s="209"/>
      <c r="EA14" s="209"/>
      <c r="EB14" s="209"/>
      <c r="EC14" s="209"/>
      <c r="ED14" s="209"/>
      <c r="EE14" s="209"/>
      <c r="EF14" s="209"/>
      <c r="EG14" s="209"/>
      <c r="EH14" s="209"/>
      <c r="EI14" s="209"/>
      <c r="EJ14" s="209"/>
      <c r="EK14" s="209"/>
      <c r="EL14" s="209"/>
      <c r="EM14" s="209"/>
      <c r="EN14" s="209"/>
      <c r="EO14" s="209"/>
      <c r="EP14" s="209"/>
      <c r="EQ14" s="209"/>
      <c r="ER14" s="209"/>
      <c r="ES14" s="209"/>
      <c r="ET14" s="209"/>
      <c r="EU14" s="209"/>
      <c r="EV14" s="209"/>
      <c r="EW14" s="209"/>
      <c r="EX14" s="209"/>
      <c r="EY14" s="209"/>
      <c r="EZ14" s="209"/>
      <c r="FA14" s="209"/>
      <c r="FB14" s="209"/>
      <c r="FC14" s="209"/>
      <c r="FD14" s="209"/>
      <c r="FE14" s="209"/>
      <c r="FF14" s="209"/>
      <c r="FG14" s="209"/>
      <c r="FH14" s="209"/>
      <c r="FI14" s="209"/>
      <c r="FJ14" s="209"/>
      <c r="FK14" s="209"/>
      <c r="FL14" s="209"/>
      <c r="FM14" s="209"/>
      <c r="FN14" s="209"/>
      <c r="FO14" s="209"/>
      <c r="FP14" s="209"/>
      <c r="FQ14" s="209"/>
      <c r="FR14" s="209"/>
      <c r="FS14" s="209"/>
      <c r="FT14" s="209"/>
      <c r="FU14" s="209"/>
      <c r="FV14" s="209"/>
      <c r="FW14" s="209"/>
      <c r="FX14" s="209"/>
      <c r="FY14" s="209"/>
      <c r="FZ14" s="209"/>
      <c r="GA14" s="209"/>
      <c r="GB14" s="209"/>
      <c r="GC14" s="209"/>
      <c r="GD14" s="209"/>
      <c r="GE14" s="209"/>
      <c r="GF14" s="209"/>
      <c r="GG14" s="209"/>
      <c r="GH14" s="209"/>
      <c r="GI14" s="209"/>
      <c r="GJ14" s="209"/>
      <c r="GK14" s="209"/>
      <c r="GL14" s="209"/>
      <c r="GM14" s="209"/>
      <c r="GN14" s="209"/>
      <c r="GO14" s="209"/>
      <c r="GP14" s="209"/>
      <c r="GQ14" s="209"/>
      <c r="GR14" s="209"/>
      <c r="GS14" s="209"/>
      <c r="GT14" s="209"/>
      <c r="GU14" s="209"/>
      <c r="GV14" s="209"/>
      <c r="GW14" s="209"/>
      <c r="GX14" s="209"/>
      <c r="GY14" s="209"/>
      <c r="GZ14" s="209"/>
      <c r="HA14" s="209"/>
      <c r="HB14" s="209"/>
      <c r="HC14" s="209"/>
      <c r="HD14" s="209"/>
      <c r="HE14" s="209"/>
      <c r="HF14" s="209"/>
      <c r="HG14" s="209"/>
      <c r="HH14" s="209"/>
      <c r="HI14" s="209"/>
      <c r="HJ14" s="209"/>
      <c r="HK14" s="209"/>
      <c r="HL14" s="209"/>
      <c r="HM14" s="209"/>
      <c r="HN14" s="209"/>
      <c r="HO14" s="209"/>
      <c r="HP14" s="209"/>
      <c r="HQ14" s="209"/>
      <c r="HR14" s="209"/>
      <c r="HS14" s="209"/>
      <c r="HT14" s="209"/>
      <c r="HU14" s="209"/>
      <c r="HV14" s="209"/>
      <c r="HW14" s="209"/>
      <c r="HX14" s="209"/>
      <c r="HY14" s="209"/>
      <c r="HZ14" s="209"/>
      <c r="IA14" s="209"/>
      <c r="IB14" s="209"/>
      <c r="IC14" s="209"/>
      <c r="ID14" s="209"/>
      <c r="IE14" s="209"/>
      <c r="IF14" s="209"/>
      <c r="IG14" s="209"/>
      <c r="IH14" s="209"/>
      <c r="II14" s="209"/>
      <c r="IJ14" s="209"/>
      <c r="IK14" s="209"/>
      <c r="IL14" s="209"/>
      <c r="IM14" s="209"/>
      <c r="IN14" s="209"/>
      <c r="IO14" s="209"/>
      <c r="IP14" s="209"/>
      <c r="IQ14" s="209"/>
      <c r="IR14" s="209"/>
      <c r="IS14" s="209"/>
      <c r="IT14" s="209"/>
      <c r="IU14" s="209"/>
    </row>
    <row r="15" spans="1:255">
      <c r="A15" s="991"/>
      <c r="B15" s="992"/>
      <c r="C15" s="993"/>
      <c r="D15" s="992"/>
      <c r="E15" s="994"/>
      <c r="F15" s="994"/>
      <c r="G15" s="994"/>
      <c r="H15" s="994"/>
      <c r="I15" s="995"/>
      <c r="J15" s="995"/>
      <c r="K15" s="995"/>
      <c r="L15" s="995"/>
      <c r="M15" s="614">
        <f t="shared" si="3"/>
        <v>0</v>
      </c>
      <c r="N15" s="995"/>
      <c r="O15" s="995"/>
      <c r="P15" s="995"/>
      <c r="Q15" s="995"/>
      <c r="R15" s="614">
        <f t="shared" ref="R15:R32" si="15">N15+O15+P15+Q15</f>
        <v>0</v>
      </c>
      <c r="S15" s="614">
        <f t="shared" si="6"/>
        <v>0</v>
      </c>
      <c r="T15" s="614">
        <f t="shared" si="7"/>
        <v>0</v>
      </c>
      <c r="U15" s="614">
        <f t="shared" si="8"/>
        <v>0</v>
      </c>
      <c r="V15" s="614">
        <f t="shared" si="9"/>
        <v>0</v>
      </c>
      <c r="W15" s="614">
        <f t="shared" si="10"/>
        <v>0</v>
      </c>
      <c r="X15" s="614">
        <f t="shared" si="11"/>
        <v>0</v>
      </c>
      <c r="Y15" s="614">
        <f t="shared" si="12"/>
        <v>0</v>
      </c>
      <c r="Z15" s="614">
        <f t="shared" si="13"/>
        <v>0</v>
      </c>
      <c r="AA15" s="614">
        <f t="shared" si="14"/>
        <v>0</v>
      </c>
      <c r="AB15" s="614">
        <f t="shared" ref="AB15:AB32" si="16">X15+Y15+Z15+AA15</f>
        <v>0</v>
      </c>
      <c r="AC15" s="614">
        <f t="shared" ref="AC15:AC32" si="17">W15</f>
        <v>0</v>
      </c>
      <c r="AD15" s="614">
        <f t="shared" ref="AD15:AD32" si="18">AB15</f>
        <v>0</v>
      </c>
      <c r="AE15" s="614">
        <f t="shared" ref="AE15:AE32" si="19">AC15+AD15</f>
        <v>0</v>
      </c>
      <c r="AF15" s="994"/>
      <c r="AG15" s="994"/>
      <c r="AH15" s="996"/>
      <c r="AI15" s="614">
        <f t="shared" ref="AI15:AI32" si="20">AH15*AC15</f>
        <v>0</v>
      </c>
      <c r="AJ15" s="996"/>
      <c r="AK15" s="614">
        <f t="shared" ref="AK15:AK32" si="21">AJ15*AC15</f>
        <v>0</v>
      </c>
      <c r="AL15" s="997"/>
      <c r="AM15" s="614">
        <f t="shared" ref="AM15:AM41" si="22">AL15*$T$2</f>
        <v>0</v>
      </c>
      <c r="AN15" s="996"/>
      <c r="AO15" s="614">
        <f t="shared" ref="AO15:AO32" si="23">AN15*AC15</f>
        <v>0</v>
      </c>
      <c r="AP15" s="614">
        <f t="shared" ref="AP15:AP32" si="24">AF15+AG15+AI15+AK15+AM15+AO15</f>
        <v>0</v>
      </c>
      <c r="AQ15" s="994"/>
      <c r="AR15" s="994"/>
      <c r="AS15" s="996"/>
      <c r="AT15" s="614">
        <f t="shared" ref="AT15:AT32" si="25">AS15*AD15</f>
        <v>0</v>
      </c>
      <c r="AU15" s="996"/>
      <c r="AV15" s="614">
        <f t="shared" ref="AV15:AV32" si="26">AU15*AD15</f>
        <v>0</v>
      </c>
      <c r="AW15" s="997"/>
      <c r="AX15" s="614">
        <f t="shared" ref="AX15:AX41" si="27">AW15*$T$2</f>
        <v>0</v>
      </c>
      <c r="AY15" s="987">
        <f t="shared" ref="AY15:AY32" si="28">AQ15+AR15+AT15+AV15+AX15</f>
        <v>0</v>
      </c>
      <c r="AZ15" s="987">
        <f t="shared" ref="AZ15:AZ32" si="29">AP15+AY15</f>
        <v>0</v>
      </c>
      <c r="BA15" s="614">
        <f t="shared" ref="BA15:BA32" si="30">AC15+AP15</f>
        <v>0</v>
      </c>
      <c r="BB15" s="614">
        <f t="shared" ref="BB15:BB32" si="31">AD15+AY15</f>
        <v>0</v>
      </c>
      <c r="BC15" s="614">
        <f t="shared" ref="BC15:BC32" si="32">BA15+BB15</f>
        <v>0</v>
      </c>
      <c r="BD15" s="994"/>
      <c r="BE15" s="994"/>
      <c r="BF15" s="614">
        <f t="shared" ref="BF15:BF32" si="33">BD15+BE15</f>
        <v>0</v>
      </c>
      <c r="BG15" s="614">
        <f t="shared" ref="BG15:BG33" si="34">W15*$T$4</f>
        <v>0</v>
      </c>
      <c r="BH15" s="614">
        <f t="shared" ref="BH15:BH33" si="35">AB15*$T$4</f>
        <v>0</v>
      </c>
      <c r="BI15" s="614">
        <f t="shared" ref="BI15:BI32" si="36">BG15+BH15</f>
        <v>0</v>
      </c>
      <c r="BJ15" s="614">
        <f t="shared" ref="BJ15:BJ32" si="37">BA15+BD15+BG15</f>
        <v>0</v>
      </c>
      <c r="BK15" s="614">
        <f t="shared" ref="BK15:BK32" si="38">BB15+BE15+BH15</f>
        <v>0</v>
      </c>
      <c r="BL15" s="614">
        <f t="shared" ref="BL15:BL32" si="39">BJ15+BK15</f>
        <v>0</v>
      </c>
      <c r="BM15" s="614">
        <f t="shared" ref="BM15:BM32" si="40">BJ15*10%</f>
        <v>0</v>
      </c>
      <c r="BN15" s="614">
        <f t="shared" ref="BN15:BN32" si="41">(BJ15-BM15)*10%</f>
        <v>0</v>
      </c>
      <c r="BO15" s="614">
        <f t="shared" ref="BO15:BO32" si="42">(BJ15-BM15)*6%</f>
        <v>0</v>
      </c>
      <c r="BP15" s="614">
        <f t="shared" ref="BP15:BP32" si="43">(BJ15-BM15)*5%</f>
        <v>0</v>
      </c>
      <c r="BQ15" s="614">
        <f t="shared" ref="BQ15:BQ32" si="44">BK15*10%</f>
        <v>0</v>
      </c>
      <c r="BR15" s="614">
        <f t="shared" ref="BR15:BR32" si="45">(BK15-BQ15)*10%</f>
        <v>0</v>
      </c>
      <c r="BS15" s="614">
        <f t="shared" ref="BS15:BS32" si="46">(BK15-BQ15)*6%</f>
        <v>0</v>
      </c>
      <c r="BT15" s="614">
        <f t="shared" ref="BT15:BT32" si="47">(BK15-BQ15)*5%</f>
        <v>0</v>
      </c>
      <c r="BU15" s="614">
        <f t="shared" ref="BU15:BU32" si="48">BM15+BQ15</f>
        <v>0</v>
      </c>
      <c r="BV15" s="614">
        <f t="shared" ref="BV15:BV33" si="49">BN15+BR15</f>
        <v>0</v>
      </c>
      <c r="BW15" s="614">
        <f t="shared" ref="BW15:BW33" si="50">BO15+BS15</f>
        <v>0</v>
      </c>
      <c r="BX15" s="614">
        <f t="shared" ref="BX15:BX32" si="51">BP15+BT15</f>
        <v>0</v>
      </c>
      <c r="BY15" s="209"/>
      <c r="BZ15" s="209"/>
      <c r="CA15" s="209"/>
      <c r="CB15" s="209"/>
      <c r="CC15" s="209"/>
      <c r="CD15" s="209"/>
      <c r="CE15" s="209"/>
      <c r="CF15" s="209"/>
      <c r="CG15" s="209"/>
      <c r="CH15" s="209"/>
      <c r="CI15" s="209"/>
      <c r="CJ15" s="209"/>
      <c r="CK15" s="209"/>
      <c r="CL15" s="209"/>
      <c r="CM15" s="209"/>
      <c r="CN15" s="209"/>
      <c r="CO15" s="209"/>
      <c r="CP15" s="209"/>
      <c r="CQ15" s="209"/>
      <c r="CR15" s="209"/>
      <c r="CS15" s="209"/>
      <c r="CT15" s="209"/>
      <c r="CU15" s="209"/>
      <c r="CV15" s="209"/>
      <c r="CW15" s="209"/>
      <c r="CX15" s="209"/>
      <c r="CY15" s="209"/>
      <c r="CZ15" s="209"/>
      <c r="DA15" s="209"/>
      <c r="DB15" s="209"/>
      <c r="DC15" s="209"/>
      <c r="DD15" s="209"/>
      <c r="DE15" s="209"/>
      <c r="DF15" s="209"/>
      <c r="DG15" s="209"/>
      <c r="DH15" s="209"/>
      <c r="DI15" s="209"/>
      <c r="DJ15" s="209"/>
      <c r="DK15" s="209"/>
      <c r="DL15" s="209"/>
      <c r="DM15" s="209"/>
      <c r="DN15" s="209"/>
      <c r="DO15" s="209"/>
      <c r="DP15" s="209"/>
      <c r="DQ15" s="209"/>
      <c r="DR15" s="209"/>
      <c r="DS15" s="209"/>
      <c r="DT15" s="209"/>
      <c r="DU15" s="209"/>
      <c r="DV15" s="209"/>
      <c r="DW15" s="209"/>
      <c r="DX15" s="209"/>
      <c r="DY15" s="209"/>
      <c r="DZ15" s="209"/>
      <c r="EA15" s="209"/>
      <c r="EB15" s="209"/>
      <c r="EC15" s="209"/>
      <c r="ED15" s="209"/>
      <c r="EE15" s="209"/>
      <c r="EF15" s="209"/>
      <c r="EG15" s="209"/>
      <c r="EH15" s="209"/>
      <c r="EI15" s="209"/>
      <c r="EJ15" s="209"/>
      <c r="EK15" s="209"/>
      <c r="EL15" s="209"/>
      <c r="EM15" s="209"/>
      <c r="EN15" s="209"/>
      <c r="EO15" s="209"/>
      <c r="EP15" s="209"/>
      <c r="EQ15" s="209"/>
      <c r="ER15" s="209"/>
      <c r="ES15" s="209"/>
      <c r="ET15" s="209"/>
      <c r="EU15" s="209"/>
      <c r="EV15" s="209"/>
      <c r="EW15" s="209"/>
      <c r="EX15" s="209"/>
      <c r="EY15" s="209"/>
      <c r="EZ15" s="209"/>
      <c r="FA15" s="209"/>
      <c r="FB15" s="209"/>
      <c r="FC15" s="209"/>
      <c r="FD15" s="209"/>
      <c r="FE15" s="209"/>
      <c r="FF15" s="209"/>
      <c r="FG15" s="209"/>
      <c r="FH15" s="209"/>
      <c r="FI15" s="209"/>
      <c r="FJ15" s="209"/>
      <c r="FK15" s="209"/>
      <c r="FL15" s="209"/>
      <c r="FM15" s="209"/>
      <c r="FN15" s="209"/>
      <c r="FO15" s="209"/>
      <c r="FP15" s="209"/>
      <c r="FQ15" s="209"/>
      <c r="FR15" s="209"/>
      <c r="FS15" s="209"/>
      <c r="FT15" s="209"/>
      <c r="FU15" s="209"/>
      <c r="FV15" s="209"/>
      <c r="FW15" s="209"/>
      <c r="FX15" s="209"/>
      <c r="FY15" s="209"/>
      <c r="FZ15" s="209"/>
      <c r="GA15" s="209"/>
      <c r="GB15" s="209"/>
      <c r="GC15" s="209"/>
      <c r="GD15" s="209"/>
      <c r="GE15" s="209"/>
      <c r="GF15" s="209"/>
      <c r="GG15" s="209"/>
      <c r="GH15" s="209"/>
      <c r="GI15" s="209"/>
      <c r="GJ15" s="209"/>
      <c r="GK15" s="209"/>
      <c r="GL15" s="209"/>
      <c r="GM15" s="209"/>
      <c r="GN15" s="209"/>
      <c r="GO15" s="209"/>
      <c r="GP15" s="209"/>
      <c r="GQ15" s="209"/>
      <c r="GR15" s="209"/>
      <c r="GS15" s="209"/>
      <c r="GT15" s="209"/>
      <c r="GU15" s="209"/>
      <c r="GV15" s="209"/>
      <c r="GW15" s="209"/>
      <c r="GX15" s="209"/>
      <c r="GY15" s="209"/>
      <c r="GZ15" s="209"/>
      <c r="HA15" s="209"/>
      <c r="HB15" s="209"/>
      <c r="HC15" s="209"/>
      <c r="HD15" s="209"/>
      <c r="HE15" s="209"/>
      <c r="HF15" s="209"/>
      <c r="HG15" s="209"/>
      <c r="HH15" s="209"/>
      <c r="HI15" s="209"/>
      <c r="HJ15" s="209"/>
      <c r="HK15" s="209"/>
      <c r="HL15" s="209"/>
      <c r="HM15" s="209"/>
      <c r="HN15" s="209"/>
      <c r="HO15" s="209"/>
      <c r="HP15" s="209"/>
      <c r="HQ15" s="209"/>
      <c r="HR15" s="209"/>
      <c r="HS15" s="209"/>
      <c r="HT15" s="209"/>
      <c r="HU15" s="209"/>
      <c r="HV15" s="209"/>
      <c r="HW15" s="209"/>
      <c r="HX15" s="209"/>
      <c r="HY15" s="209"/>
      <c r="HZ15" s="209"/>
      <c r="IA15" s="209"/>
      <c r="IB15" s="209"/>
      <c r="IC15" s="209"/>
      <c r="ID15" s="209"/>
      <c r="IE15" s="209"/>
      <c r="IF15" s="209"/>
      <c r="IG15" s="209"/>
      <c r="IH15" s="209"/>
      <c r="II15" s="209"/>
      <c r="IJ15" s="209"/>
      <c r="IK15" s="209"/>
      <c r="IL15" s="209"/>
      <c r="IM15" s="209"/>
      <c r="IN15" s="209"/>
      <c r="IO15" s="209"/>
      <c r="IP15" s="209"/>
      <c r="IQ15" s="209"/>
      <c r="IR15" s="209"/>
      <c r="IS15" s="209"/>
      <c r="IT15" s="209"/>
      <c r="IU15" s="209"/>
    </row>
    <row r="16" spans="1:255">
      <c r="A16" s="991"/>
      <c r="B16" s="992"/>
      <c r="C16" s="993"/>
      <c r="D16" s="992"/>
      <c r="E16" s="994"/>
      <c r="F16" s="994"/>
      <c r="G16" s="994"/>
      <c r="H16" s="994"/>
      <c r="I16" s="995"/>
      <c r="J16" s="995"/>
      <c r="K16" s="995"/>
      <c r="L16" s="995"/>
      <c r="M16" s="614">
        <f t="shared" ref="M16:M32" si="52">I16+J16+K16+L16</f>
        <v>0</v>
      </c>
      <c r="N16" s="995"/>
      <c r="O16" s="995"/>
      <c r="P16" s="995"/>
      <c r="Q16" s="995"/>
      <c r="R16" s="614">
        <f t="shared" si="15"/>
        <v>0</v>
      </c>
      <c r="S16" s="614">
        <f t="shared" si="6"/>
        <v>0</v>
      </c>
      <c r="T16" s="614">
        <f t="shared" si="7"/>
        <v>0</v>
      </c>
      <c r="U16" s="614">
        <f t="shared" si="8"/>
        <v>0</v>
      </c>
      <c r="V16" s="614">
        <f t="shared" si="9"/>
        <v>0</v>
      </c>
      <c r="W16" s="614">
        <f t="shared" si="10"/>
        <v>0</v>
      </c>
      <c r="X16" s="614">
        <f t="shared" si="11"/>
        <v>0</v>
      </c>
      <c r="Y16" s="614">
        <f t="shared" si="12"/>
        <v>0</v>
      </c>
      <c r="Z16" s="614">
        <f t="shared" si="13"/>
        <v>0</v>
      </c>
      <c r="AA16" s="614">
        <f t="shared" si="14"/>
        <v>0</v>
      </c>
      <c r="AB16" s="614">
        <f t="shared" si="16"/>
        <v>0</v>
      </c>
      <c r="AC16" s="614">
        <f t="shared" si="17"/>
        <v>0</v>
      </c>
      <c r="AD16" s="614">
        <f t="shared" si="18"/>
        <v>0</v>
      </c>
      <c r="AE16" s="614">
        <f t="shared" si="19"/>
        <v>0</v>
      </c>
      <c r="AF16" s="994"/>
      <c r="AG16" s="994"/>
      <c r="AH16" s="996"/>
      <c r="AI16" s="614">
        <f t="shared" si="20"/>
        <v>0</v>
      </c>
      <c r="AJ16" s="996"/>
      <c r="AK16" s="614">
        <f t="shared" si="21"/>
        <v>0</v>
      </c>
      <c r="AL16" s="997"/>
      <c r="AM16" s="614">
        <f t="shared" si="22"/>
        <v>0</v>
      </c>
      <c r="AN16" s="996"/>
      <c r="AO16" s="614">
        <f t="shared" si="23"/>
        <v>0</v>
      </c>
      <c r="AP16" s="614">
        <f t="shared" si="24"/>
        <v>0</v>
      </c>
      <c r="AQ16" s="994"/>
      <c r="AR16" s="994"/>
      <c r="AS16" s="996"/>
      <c r="AT16" s="614">
        <f t="shared" si="25"/>
        <v>0</v>
      </c>
      <c r="AU16" s="996"/>
      <c r="AV16" s="614">
        <f t="shared" si="26"/>
        <v>0</v>
      </c>
      <c r="AW16" s="997"/>
      <c r="AX16" s="614">
        <f t="shared" si="27"/>
        <v>0</v>
      </c>
      <c r="AY16" s="987">
        <f t="shared" si="28"/>
        <v>0</v>
      </c>
      <c r="AZ16" s="987">
        <f t="shared" si="29"/>
        <v>0</v>
      </c>
      <c r="BA16" s="614">
        <f t="shared" si="30"/>
        <v>0</v>
      </c>
      <c r="BB16" s="614">
        <f t="shared" si="31"/>
        <v>0</v>
      </c>
      <c r="BC16" s="614">
        <f t="shared" si="32"/>
        <v>0</v>
      </c>
      <c r="BD16" s="994"/>
      <c r="BE16" s="994"/>
      <c r="BF16" s="614">
        <f t="shared" si="33"/>
        <v>0</v>
      </c>
      <c r="BG16" s="614">
        <f t="shared" si="34"/>
        <v>0</v>
      </c>
      <c r="BH16" s="614">
        <f t="shared" si="35"/>
        <v>0</v>
      </c>
      <c r="BI16" s="614">
        <f t="shared" si="36"/>
        <v>0</v>
      </c>
      <c r="BJ16" s="614">
        <f t="shared" si="37"/>
        <v>0</v>
      </c>
      <c r="BK16" s="614">
        <f t="shared" si="38"/>
        <v>0</v>
      </c>
      <c r="BL16" s="614">
        <f t="shared" si="39"/>
        <v>0</v>
      </c>
      <c r="BM16" s="614">
        <f t="shared" si="40"/>
        <v>0</v>
      </c>
      <c r="BN16" s="614">
        <f t="shared" si="41"/>
        <v>0</v>
      </c>
      <c r="BO16" s="614">
        <f t="shared" si="42"/>
        <v>0</v>
      </c>
      <c r="BP16" s="614">
        <f t="shared" si="43"/>
        <v>0</v>
      </c>
      <c r="BQ16" s="614">
        <f t="shared" si="44"/>
        <v>0</v>
      </c>
      <c r="BR16" s="614">
        <f t="shared" si="45"/>
        <v>0</v>
      </c>
      <c r="BS16" s="614">
        <f t="shared" si="46"/>
        <v>0</v>
      </c>
      <c r="BT16" s="614">
        <f t="shared" si="47"/>
        <v>0</v>
      </c>
      <c r="BU16" s="614">
        <f t="shared" si="48"/>
        <v>0</v>
      </c>
      <c r="BV16" s="614">
        <f t="shared" si="49"/>
        <v>0</v>
      </c>
      <c r="BW16" s="614">
        <f t="shared" si="50"/>
        <v>0</v>
      </c>
      <c r="BX16" s="614">
        <f t="shared" si="51"/>
        <v>0</v>
      </c>
      <c r="BY16" s="209"/>
      <c r="BZ16" s="209"/>
      <c r="CA16" s="209"/>
      <c r="CB16" s="209"/>
      <c r="CC16" s="209"/>
      <c r="CD16" s="209"/>
      <c r="CE16" s="209"/>
      <c r="CF16" s="209"/>
      <c r="CG16" s="209"/>
      <c r="CH16" s="209"/>
      <c r="CI16" s="209"/>
      <c r="CJ16" s="209"/>
      <c r="CK16" s="209"/>
      <c r="CL16" s="209"/>
      <c r="CM16" s="209"/>
      <c r="CN16" s="209"/>
      <c r="CO16" s="209"/>
      <c r="CP16" s="209"/>
      <c r="CQ16" s="209"/>
      <c r="CR16" s="209"/>
      <c r="CS16" s="209"/>
      <c r="CT16" s="209"/>
      <c r="CU16" s="209"/>
      <c r="CV16" s="209"/>
      <c r="CW16" s="209"/>
      <c r="CX16" s="209"/>
      <c r="CY16" s="209"/>
      <c r="CZ16" s="209"/>
      <c r="DA16" s="209"/>
      <c r="DB16" s="209"/>
      <c r="DC16" s="209"/>
      <c r="DD16" s="209"/>
      <c r="DE16" s="209"/>
      <c r="DF16" s="209"/>
      <c r="DG16" s="209"/>
      <c r="DH16" s="209"/>
      <c r="DI16" s="209"/>
      <c r="DJ16" s="209"/>
      <c r="DK16" s="209"/>
      <c r="DL16" s="209"/>
      <c r="DM16" s="209"/>
      <c r="DN16" s="209"/>
      <c r="DO16" s="209"/>
      <c r="DP16" s="209"/>
      <c r="DQ16" s="209"/>
      <c r="DR16" s="209"/>
      <c r="DS16" s="209"/>
      <c r="DT16" s="209"/>
      <c r="DU16" s="209"/>
      <c r="DV16" s="209"/>
      <c r="DW16" s="209"/>
      <c r="DX16" s="209"/>
      <c r="DY16" s="209"/>
      <c r="DZ16" s="209"/>
      <c r="EA16" s="209"/>
      <c r="EB16" s="209"/>
      <c r="EC16" s="209"/>
      <c r="ED16" s="209"/>
      <c r="EE16" s="209"/>
      <c r="EF16" s="209"/>
      <c r="EG16" s="209"/>
      <c r="EH16" s="209"/>
      <c r="EI16" s="209"/>
      <c r="EJ16" s="209"/>
      <c r="EK16" s="209"/>
      <c r="EL16" s="209"/>
      <c r="EM16" s="209"/>
      <c r="EN16" s="209"/>
      <c r="EO16" s="209"/>
      <c r="EP16" s="209"/>
      <c r="EQ16" s="209"/>
      <c r="ER16" s="209"/>
      <c r="ES16" s="209"/>
      <c r="ET16" s="209"/>
      <c r="EU16" s="209"/>
      <c r="EV16" s="209"/>
      <c r="EW16" s="209"/>
      <c r="EX16" s="209"/>
      <c r="EY16" s="209"/>
      <c r="EZ16" s="209"/>
      <c r="FA16" s="209"/>
      <c r="FB16" s="209"/>
      <c r="FC16" s="209"/>
      <c r="FD16" s="209"/>
      <c r="FE16" s="209"/>
      <c r="FF16" s="209"/>
      <c r="FG16" s="209"/>
      <c r="FH16" s="209"/>
      <c r="FI16" s="209"/>
      <c r="FJ16" s="209"/>
      <c r="FK16" s="209"/>
      <c r="FL16" s="209"/>
      <c r="FM16" s="209"/>
      <c r="FN16" s="209"/>
      <c r="FO16" s="209"/>
      <c r="FP16" s="209"/>
      <c r="FQ16" s="209"/>
      <c r="FR16" s="209"/>
      <c r="FS16" s="209"/>
      <c r="FT16" s="209"/>
      <c r="FU16" s="209"/>
      <c r="FV16" s="209"/>
      <c r="FW16" s="209"/>
      <c r="FX16" s="209"/>
      <c r="FY16" s="209"/>
      <c r="FZ16" s="209"/>
      <c r="GA16" s="209"/>
      <c r="GB16" s="209"/>
      <c r="GC16" s="209"/>
      <c r="GD16" s="209"/>
      <c r="GE16" s="209"/>
      <c r="GF16" s="209"/>
      <c r="GG16" s="209"/>
      <c r="GH16" s="209"/>
      <c r="GI16" s="209"/>
      <c r="GJ16" s="209"/>
      <c r="GK16" s="209"/>
      <c r="GL16" s="209"/>
      <c r="GM16" s="209"/>
      <c r="GN16" s="209"/>
      <c r="GO16" s="209"/>
      <c r="GP16" s="209"/>
      <c r="GQ16" s="209"/>
      <c r="GR16" s="209"/>
      <c r="GS16" s="209"/>
      <c r="GT16" s="209"/>
      <c r="GU16" s="209"/>
      <c r="GV16" s="209"/>
      <c r="GW16" s="209"/>
      <c r="GX16" s="209"/>
      <c r="GY16" s="209"/>
      <c r="GZ16" s="209"/>
      <c r="HA16" s="209"/>
      <c r="HB16" s="209"/>
      <c r="HC16" s="209"/>
      <c r="HD16" s="209"/>
      <c r="HE16" s="209"/>
      <c r="HF16" s="209"/>
      <c r="HG16" s="209"/>
      <c r="HH16" s="209"/>
      <c r="HI16" s="209"/>
      <c r="HJ16" s="209"/>
      <c r="HK16" s="209"/>
      <c r="HL16" s="209"/>
      <c r="HM16" s="209"/>
      <c r="HN16" s="209"/>
      <c r="HO16" s="209"/>
      <c r="HP16" s="209"/>
      <c r="HQ16" s="209"/>
      <c r="HR16" s="209"/>
      <c r="HS16" s="209"/>
      <c r="HT16" s="209"/>
      <c r="HU16" s="209"/>
      <c r="HV16" s="209"/>
      <c r="HW16" s="209"/>
      <c r="HX16" s="209"/>
      <c r="HY16" s="209"/>
      <c r="HZ16" s="209"/>
      <c r="IA16" s="209"/>
      <c r="IB16" s="209"/>
      <c r="IC16" s="209"/>
      <c r="ID16" s="209"/>
      <c r="IE16" s="209"/>
      <c r="IF16" s="209"/>
      <c r="IG16" s="209"/>
      <c r="IH16" s="209"/>
      <c r="II16" s="209"/>
      <c r="IJ16" s="209"/>
      <c r="IK16" s="209"/>
      <c r="IL16" s="209"/>
      <c r="IM16" s="209"/>
      <c r="IN16" s="209"/>
      <c r="IO16" s="209"/>
      <c r="IP16" s="209"/>
      <c r="IQ16" s="209"/>
      <c r="IR16" s="209"/>
      <c r="IS16" s="209"/>
      <c r="IT16" s="209"/>
      <c r="IU16" s="209"/>
    </row>
    <row r="17" spans="1:255">
      <c r="A17" s="991"/>
      <c r="B17" s="992"/>
      <c r="C17" s="993"/>
      <c r="D17" s="992"/>
      <c r="E17" s="994"/>
      <c r="F17" s="994"/>
      <c r="G17" s="994"/>
      <c r="H17" s="994"/>
      <c r="I17" s="995"/>
      <c r="J17" s="995"/>
      <c r="K17" s="995"/>
      <c r="L17" s="995"/>
      <c r="M17" s="614">
        <f t="shared" si="52"/>
        <v>0</v>
      </c>
      <c r="N17" s="995"/>
      <c r="O17" s="995"/>
      <c r="P17" s="995"/>
      <c r="Q17" s="995"/>
      <c r="R17" s="614">
        <f t="shared" si="15"/>
        <v>0</v>
      </c>
      <c r="S17" s="614">
        <f t="shared" si="6"/>
        <v>0</v>
      </c>
      <c r="T17" s="614">
        <f t="shared" si="7"/>
        <v>0</v>
      </c>
      <c r="U17" s="614">
        <f t="shared" si="8"/>
        <v>0</v>
      </c>
      <c r="V17" s="614">
        <f t="shared" si="9"/>
        <v>0</v>
      </c>
      <c r="W17" s="614">
        <f t="shared" si="10"/>
        <v>0</v>
      </c>
      <c r="X17" s="614">
        <f t="shared" si="11"/>
        <v>0</v>
      </c>
      <c r="Y17" s="614">
        <f t="shared" si="12"/>
        <v>0</v>
      </c>
      <c r="Z17" s="614">
        <f t="shared" si="13"/>
        <v>0</v>
      </c>
      <c r="AA17" s="614">
        <f t="shared" si="14"/>
        <v>0</v>
      </c>
      <c r="AB17" s="614">
        <f t="shared" si="16"/>
        <v>0</v>
      </c>
      <c r="AC17" s="614">
        <f t="shared" si="17"/>
        <v>0</v>
      </c>
      <c r="AD17" s="614">
        <f t="shared" si="18"/>
        <v>0</v>
      </c>
      <c r="AE17" s="614">
        <f t="shared" si="19"/>
        <v>0</v>
      </c>
      <c r="AF17" s="994"/>
      <c r="AG17" s="994"/>
      <c r="AH17" s="996"/>
      <c r="AI17" s="614">
        <f t="shared" si="20"/>
        <v>0</v>
      </c>
      <c r="AJ17" s="996"/>
      <c r="AK17" s="614">
        <f t="shared" si="21"/>
        <v>0</v>
      </c>
      <c r="AL17" s="997"/>
      <c r="AM17" s="614">
        <f t="shared" si="22"/>
        <v>0</v>
      </c>
      <c r="AN17" s="996"/>
      <c r="AO17" s="614">
        <f t="shared" si="23"/>
        <v>0</v>
      </c>
      <c r="AP17" s="614">
        <f t="shared" si="24"/>
        <v>0</v>
      </c>
      <c r="AQ17" s="994"/>
      <c r="AR17" s="994"/>
      <c r="AS17" s="996"/>
      <c r="AT17" s="614">
        <f t="shared" si="25"/>
        <v>0</v>
      </c>
      <c r="AU17" s="996"/>
      <c r="AV17" s="614">
        <f t="shared" si="26"/>
        <v>0</v>
      </c>
      <c r="AW17" s="997"/>
      <c r="AX17" s="614">
        <f t="shared" si="27"/>
        <v>0</v>
      </c>
      <c r="AY17" s="987">
        <f t="shared" si="28"/>
        <v>0</v>
      </c>
      <c r="AZ17" s="987">
        <f t="shared" si="29"/>
        <v>0</v>
      </c>
      <c r="BA17" s="614">
        <f t="shared" si="30"/>
        <v>0</v>
      </c>
      <c r="BB17" s="614">
        <f t="shared" si="31"/>
        <v>0</v>
      </c>
      <c r="BC17" s="614">
        <f t="shared" si="32"/>
        <v>0</v>
      </c>
      <c r="BD17" s="994"/>
      <c r="BE17" s="994"/>
      <c r="BF17" s="614">
        <f t="shared" si="33"/>
        <v>0</v>
      </c>
      <c r="BG17" s="614">
        <f t="shared" si="34"/>
        <v>0</v>
      </c>
      <c r="BH17" s="614">
        <f t="shared" si="35"/>
        <v>0</v>
      </c>
      <c r="BI17" s="614">
        <f t="shared" si="36"/>
        <v>0</v>
      </c>
      <c r="BJ17" s="614">
        <f t="shared" si="37"/>
        <v>0</v>
      </c>
      <c r="BK17" s="614">
        <f t="shared" si="38"/>
        <v>0</v>
      </c>
      <c r="BL17" s="614">
        <f t="shared" si="39"/>
        <v>0</v>
      </c>
      <c r="BM17" s="614">
        <f t="shared" si="40"/>
        <v>0</v>
      </c>
      <c r="BN17" s="614">
        <f t="shared" si="41"/>
        <v>0</v>
      </c>
      <c r="BO17" s="614">
        <f t="shared" si="42"/>
        <v>0</v>
      </c>
      <c r="BP17" s="614">
        <f t="shared" si="43"/>
        <v>0</v>
      </c>
      <c r="BQ17" s="614">
        <f t="shared" si="44"/>
        <v>0</v>
      </c>
      <c r="BR17" s="614">
        <f t="shared" si="45"/>
        <v>0</v>
      </c>
      <c r="BS17" s="614">
        <f t="shared" si="46"/>
        <v>0</v>
      </c>
      <c r="BT17" s="614">
        <f t="shared" si="47"/>
        <v>0</v>
      </c>
      <c r="BU17" s="614">
        <f t="shared" si="48"/>
        <v>0</v>
      </c>
      <c r="BV17" s="614">
        <f t="shared" si="49"/>
        <v>0</v>
      </c>
      <c r="BW17" s="614">
        <f t="shared" si="50"/>
        <v>0</v>
      </c>
      <c r="BX17" s="614">
        <f t="shared" si="51"/>
        <v>0</v>
      </c>
      <c r="BY17" s="209"/>
      <c r="BZ17" s="209"/>
      <c r="CA17" s="209"/>
      <c r="CB17" s="209"/>
      <c r="CC17" s="209"/>
      <c r="CD17" s="209"/>
      <c r="CE17" s="209"/>
      <c r="CF17" s="209"/>
      <c r="CG17" s="209"/>
      <c r="CH17" s="209"/>
      <c r="CI17" s="209"/>
      <c r="CJ17" s="209"/>
      <c r="CK17" s="209"/>
      <c r="CL17" s="209"/>
      <c r="CM17" s="209"/>
      <c r="CN17" s="209"/>
      <c r="CO17" s="209"/>
      <c r="CP17" s="209"/>
      <c r="CQ17" s="209"/>
      <c r="CR17" s="209"/>
      <c r="CS17" s="209"/>
      <c r="CT17" s="209"/>
      <c r="CU17" s="209"/>
      <c r="CV17" s="209"/>
      <c r="CW17" s="209"/>
      <c r="CX17" s="209"/>
      <c r="CY17" s="209"/>
      <c r="CZ17" s="209"/>
      <c r="DA17" s="209"/>
      <c r="DB17" s="209"/>
      <c r="DC17" s="209"/>
      <c r="DD17" s="209"/>
      <c r="DE17" s="209"/>
      <c r="DF17" s="209"/>
      <c r="DG17" s="209"/>
      <c r="DH17" s="209"/>
      <c r="DI17" s="209"/>
      <c r="DJ17" s="209"/>
      <c r="DK17" s="209"/>
      <c r="DL17" s="209"/>
      <c r="DM17" s="209"/>
      <c r="DN17" s="209"/>
      <c r="DO17" s="209"/>
      <c r="DP17" s="209"/>
      <c r="DQ17" s="209"/>
      <c r="DR17" s="209"/>
      <c r="DS17" s="209"/>
      <c r="DT17" s="209"/>
      <c r="DU17" s="209"/>
      <c r="DV17" s="209"/>
      <c r="DW17" s="209"/>
      <c r="DX17" s="209"/>
      <c r="DY17" s="209"/>
      <c r="DZ17" s="209"/>
      <c r="EA17" s="209"/>
      <c r="EB17" s="209"/>
      <c r="EC17" s="209"/>
      <c r="ED17" s="209"/>
      <c r="EE17" s="209"/>
      <c r="EF17" s="209"/>
      <c r="EG17" s="209"/>
      <c r="EH17" s="209"/>
      <c r="EI17" s="209"/>
      <c r="EJ17" s="209"/>
      <c r="EK17" s="209"/>
      <c r="EL17" s="209"/>
      <c r="EM17" s="209"/>
      <c r="EN17" s="209"/>
      <c r="EO17" s="209"/>
      <c r="EP17" s="209"/>
      <c r="EQ17" s="209"/>
      <c r="ER17" s="209"/>
      <c r="ES17" s="209"/>
      <c r="ET17" s="209"/>
      <c r="EU17" s="209"/>
      <c r="EV17" s="209"/>
      <c r="EW17" s="209"/>
      <c r="EX17" s="209"/>
      <c r="EY17" s="209"/>
      <c r="EZ17" s="209"/>
      <c r="FA17" s="209"/>
      <c r="FB17" s="209"/>
      <c r="FC17" s="209"/>
      <c r="FD17" s="209"/>
      <c r="FE17" s="209"/>
      <c r="FF17" s="209"/>
      <c r="FG17" s="209"/>
      <c r="FH17" s="209"/>
      <c r="FI17" s="209"/>
      <c r="FJ17" s="209"/>
      <c r="FK17" s="209"/>
      <c r="FL17" s="209"/>
      <c r="FM17" s="209"/>
      <c r="FN17" s="209"/>
      <c r="FO17" s="209"/>
      <c r="FP17" s="209"/>
      <c r="FQ17" s="209"/>
      <c r="FR17" s="209"/>
      <c r="FS17" s="209"/>
      <c r="FT17" s="209"/>
      <c r="FU17" s="209"/>
      <c r="FV17" s="209"/>
      <c r="FW17" s="209"/>
      <c r="FX17" s="209"/>
      <c r="FY17" s="209"/>
      <c r="FZ17" s="209"/>
      <c r="GA17" s="209"/>
      <c r="GB17" s="209"/>
      <c r="GC17" s="209"/>
      <c r="GD17" s="209"/>
      <c r="GE17" s="209"/>
      <c r="GF17" s="209"/>
      <c r="GG17" s="209"/>
      <c r="GH17" s="209"/>
      <c r="GI17" s="209"/>
      <c r="GJ17" s="209"/>
      <c r="GK17" s="209"/>
      <c r="GL17" s="209"/>
      <c r="GM17" s="209"/>
      <c r="GN17" s="209"/>
      <c r="GO17" s="209"/>
      <c r="GP17" s="209"/>
      <c r="GQ17" s="209"/>
      <c r="GR17" s="209"/>
      <c r="GS17" s="209"/>
      <c r="GT17" s="209"/>
      <c r="GU17" s="209"/>
      <c r="GV17" s="209"/>
      <c r="GW17" s="209"/>
      <c r="GX17" s="209"/>
      <c r="GY17" s="209"/>
      <c r="GZ17" s="209"/>
      <c r="HA17" s="209"/>
      <c r="HB17" s="209"/>
      <c r="HC17" s="209"/>
      <c r="HD17" s="209"/>
      <c r="HE17" s="209"/>
      <c r="HF17" s="209"/>
      <c r="HG17" s="209"/>
      <c r="HH17" s="209"/>
      <c r="HI17" s="209"/>
      <c r="HJ17" s="209"/>
      <c r="HK17" s="209"/>
      <c r="HL17" s="209"/>
      <c r="HM17" s="209"/>
      <c r="HN17" s="209"/>
      <c r="HO17" s="209"/>
      <c r="HP17" s="209"/>
      <c r="HQ17" s="209"/>
      <c r="HR17" s="209"/>
      <c r="HS17" s="209"/>
      <c r="HT17" s="209"/>
      <c r="HU17" s="209"/>
      <c r="HV17" s="209"/>
      <c r="HW17" s="209"/>
      <c r="HX17" s="209"/>
      <c r="HY17" s="209"/>
      <c r="HZ17" s="209"/>
      <c r="IA17" s="209"/>
      <c r="IB17" s="209"/>
      <c r="IC17" s="209"/>
      <c r="ID17" s="209"/>
      <c r="IE17" s="209"/>
      <c r="IF17" s="209"/>
      <c r="IG17" s="209"/>
      <c r="IH17" s="209"/>
      <c r="II17" s="209"/>
      <c r="IJ17" s="209"/>
      <c r="IK17" s="209"/>
      <c r="IL17" s="209"/>
      <c r="IM17" s="209"/>
      <c r="IN17" s="209"/>
      <c r="IO17" s="209"/>
      <c r="IP17" s="209"/>
      <c r="IQ17" s="209"/>
      <c r="IR17" s="209"/>
      <c r="IS17" s="209"/>
      <c r="IT17" s="209"/>
      <c r="IU17" s="209"/>
    </row>
    <row r="18" spans="1:255">
      <c r="A18" s="991"/>
      <c r="B18" s="992"/>
      <c r="C18" s="993"/>
      <c r="D18" s="992"/>
      <c r="E18" s="994"/>
      <c r="F18" s="994"/>
      <c r="G18" s="994"/>
      <c r="H18" s="994"/>
      <c r="I18" s="995"/>
      <c r="J18" s="995"/>
      <c r="K18" s="995"/>
      <c r="L18" s="995"/>
      <c r="M18" s="614">
        <f t="shared" si="52"/>
        <v>0</v>
      </c>
      <c r="N18" s="995"/>
      <c r="O18" s="995"/>
      <c r="P18" s="995"/>
      <c r="Q18" s="995"/>
      <c r="R18" s="614">
        <f t="shared" si="15"/>
        <v>0</v>
      </c>
      <c r="S18" s="614">
        <f t="shared" si="6"/>
        <v>0</v>
      </c>
      <c r="T18" s="614">
        <f t="shared" si="7"/>
        <v>0</v>
      </c>
      <c r="U18" s="614">
        <f t="shared" si="8"/>
        <v>0</v>
      </c>
      <c r="V18" s="614">
        <f t="shared" si="9"/>
        <v>0</v>
      </c>
      <c r="W18" s="614">
        <f t="shared" si="10"/>
        <v>0</v>
      </c>
      <c r="X18" s="614">
        <f t="shared" si="11"/>
        <v>0</v>
      </c>
      <c r="Y18" s="614">
        <f t="shared" si="12"/>
        <v>0</v>
      </c>
      <c r="Z18" s="614">
        <f t="shared" si="13"/>
        <v>0</v>
      </c>
      <c r="AA18" s="614">
        <f t="shared" si="14"/>
        <v>0</v>
      </c>
      <c r="AB18" s="614">
        <f t="shared" si="16"/>
        <v>0</v>
      </c>
      <c r="AC18" s="614">
        <f t="shared" si="17"/>
        <v>0</v>
      </c>
      <c r="AD18" s="614">
        <f t="shared" si="18"/>
        <v>0</v>
      </c>
      <c r="AE18" s="614">
        <f t="shared" si="19"/>
        <v>0</v>
      </c>
      <c r="AF18" s="994"/>
      <c r="AG18" s="994"/>
      <c r="AH18" s="996"/>
      <c r="AI18" s="614">
        <f t="shared" si="20"/>
        <v>0</v>
      </c>
      <c r="AJ18" s="996"/>
      <c r="AK18" s="614">
        <f t="shared" si="21"/>
        <v>0</v>
      </c>
      <c r="AL18" s="997"/>
      <c r="AM18" s="614">
        <f t="shared" si="22"/>
        <v>0</v>
      </c>
      <c r="AN18" s="996"/>
      <c r="AO18" s="614">
        <f t="shared" si="23"/>
        <v>0</v>
      </c>
      <c r="AP18" s="614">
        <f t="shared" si="24"/>
        <v>0</v>
      </c>
      <c r="AQ18" s="994"/>
      <c r="AR18" s="994"/>
      <c r="AS18" s="996"/>
      <c r="AT18" s="614">
        <f t="shared" si="25"/>
        <v>0</v>
      </c>
      <c r="AU18" s="996"/>
      <c r="AV18" s="614">
        <f t="shared" si="26"/>
        <v>0</v>
      </c>
      <c r="AW18" s="997"/>
      <c r="AX18" s="614">
        <f t="shared" si="27"/>
        <v>0</v>
      </c>
      <c r="AY18" s="987">
        <f t="shared" si="28"/>
        <v>0</v>
      </c>
      <c r="AZ18" s="987">
        <f t="shared" si="29"/>
        <v>0</v>
      </c>
      <c r="BA18" s="614">
        <f t="shared" si="30"/>
        <v>0</v>
      </c>
      <c r="BB18" s="614">
        <f t="shared" si="31"/>
        <v>0</v>
      </c>
      <c r="BC18" s="614">
        <f t="shared" si="32"/>
        <v>0</v>
      </c>
      <c r="BD18" s="994"/>
      <c r="BE18" s="994"/>
      <c r="BF18" s="614">
        <f t="shared" si="33"/>
        <v>0</v>
      </c>
      <c r="BG18" s="614">
        <f t="shared" si="34"/>
        <v>0</v>
      </c>
      <c r="BH18" s="614">
        <f t="shared" si="35"/>
        <v>0</v>
      </c>
      <c r="BI18" s="614">
        <f t="shared" si="36"/>
        <v>0</v>
      </c>
      <c r="BJ18" s="614">
        <f t="shared" si="37"/>
        <v>0</v>
      </c>
      <c r="BK18" s="614">
        <f t="shared" si="38"/>
        <v>0</v>
      </c>
      <c r="BL18" s="614">
        <f t="shared" si="39"/>
        <v>0</v>
      </c>
      <c r="BM18" s="614">
        <f t="shared" si="40"/>
        <v>0</v>
      </c>
      <c r="BN18" s="614">
        <f t="shared" si="41"/>
        <v>0</v>
      </c>
      <c r="BO18" s="614">
        <f t="shared" si="42"/>
        <v>0</v>
      </c>
      <c r="BP18" s="614">
        <f t="shared" si="43"/>
        <v>0</v>
      </c>
      <c r="BQ18" s="614">
        <f t="shared" si="44"/>
        <v>0</v>
      </c>
      <c r="BR18" s="614">
        <f t="shared" si="45"/>
        <v>0</v>
      </c>
      <c r="BS18" s="614">
        <f t="shared" si="46"/>
        <v>0</v>
      </c>
      <c r="BT18" s="614">
        <f t="shared" si="47"/>
        <v>0</v>
      </c>
      <c r="BU18" s="614">
        <f t="shared" si="48"/>
        <v>0</v>
      </c>
      <c r="BV18" s="614">
        <f t="shared" si="49"/>
        <v>0</v>
      </c>
      <c r="BW18" s="614">
        <f t="shared" si="50"/>
        <v>0</v>
      </c>
      <c r="BX18" s="614">
        <f t="shared" si="51"/>
        <v>0</v>
      </c>
      <c r="BY18" s="209"/>
      <c r="BZ18" s="209"/>
      <c r="CA18" s="209"/>
      <c r="CB18" s="209"/>
      <c r="CC18" s="209"/>
      <c r="CD18" s="209"/>
      <c r="CE18" s="209"/>
      <c r="CF18" s="209"/>
      <c r="CG18" s="209"/>
      <c r="CH18" s="209"/>
      <c r="CI18" s="209"/>
      <c r="CJ18" s="209"/>
      <c r="CK18" s="209"/>
      <c r="CL18" s="209"/>
      <c r="CM18" s="209"/>
      <c r="CN18" s="209"/>
      <c r="CO18" s="209"/>
      <c r="CP18" s="209"/>
      <c r="CQ18" s="209"/>
      <c r="CR18" s="209"/>
      <c r="CS18" s="209"/>
      <c r="CT18" s="209"/>
      <c r="CU18" s="209"/>
      <c r="CV18" s="209"/>
      <c r="CW18" s="209"/>
      <c r="CX18" s="209"/>
      <c r="CY18" s="209"/>
      <c r="CZ18" s="209"/>
      <c r="DA18" s="209"/>
      <c r="DB18" s="209"/>
      <c r="DC18" s="209"/>
      <c r="DD18" s="209"/>
      <c r="DE18" s="209"/>
      <c r="DF18" s="209"/>
      <c r="DG18" s="209"/>
      <c r="DH18" s="209"/>
      <c r="DI18" s="209"/>
      <c r="DJ18" s="209"/>
      <c r="DK18" s="209"/>
      <c r="DL18" s="209"/>
      <c r="DM18" s="209"/>
      <c r="DN18" s="209"/>
      <c r="DO18" s="209"/>
      <c r="DP18" s="209"/>
      <c r="DQ18" s="209"/>
      <c r="DR18" s="209"/>
      <c r="DS18" s="209"/>
      <c r="DT18" s="209"/>
      <c r="DU18" s="209"/>
      <c r="DV18" s="209"/>
      <c r="DW18" s="209"/>
      <c r="DX18" s="209"/>
      <c r="DY18" s="209"/>
      <c r="DZ18" s="209"/>
      <c r="EA18" s="209"/>
      <c r="EB18" s="209"/>
      <c r="EC18" s="209"/>
      <c r="ED18" s="209"/>
      <c r="EE18" s="209"/>
      <c r="EF18" s="209"/>
      <c r="EG18" s="209"/>
      <c r="EH18" s="209"/>
      <c r="EI18" s="209"/>
      <c r="EJ18" s="209"/>
      <c r="EK18" s="209"/>
      <c r="EL18" s="209"/>
      <c r="EM18" s="209"/>
      <c r="EN18" s="209"/>
      <c r="EO18" s="209"/>
      <c r="EP18" s="209"/>
      <c r="EQ18" s="209"/>
      <c r="ER18" s="209"/>
      <c r="ES18" s="209"/>
      <c r="ET18" s="209"/>
      <c r="EU18" s="209"/>
      <c r="EV18" s="209"/>
      <c r="EW18" s="209"/>
      <c r="EX18" s="209"/>
      <c r="EY18" s="209"/>
      <c r="EZ18" s="209"/>
      <c r="FA18" s="209"/>
      <c r="FB18" s="209"/>
      <c r="FC18" s="209"/>
      <c r="FD18" s="209"/>
      <c r="FE18" s="209"/>
      <c r="FF18" s="209"/>
      <c r="FG18" s="209"/>
      <c r="FH18" s="209"/>
      <c r="FI18" s="209"/>
      <c r="FJ18" s="209"/>
      <c r="FK18" s="209"/>
      <c r="FL18" s="209"/>
      <c r="FM18" s="209"/>
      <c r="FN18" s="209"/>
      <c r="FO18" s="209"/>
      <c r="FP18" s="209"/>
      <c r="FQ18" s="209"/>
      <c r="FR18" s="209"/>
      <c r="FS18" s="209"/>
      <c r="FT18" s="209"/>
      <c r="FU18" s="209"/>
      <c r="FV18" s="209"/>
      <c r="FW18" s="209"/>
      <c r="FX18" s="209"/>
      <c r="FY18" s="209"/>
      <c r="FZ18" s="209"/>
      <c r="GA18" s="209"/>
      <c r="GB18" s="209"/>
      <c r="GC18" s="209"/>
      <c r="GD18" s="209"/>
      <c r="GE18" s="209"/>
      <c r="GF18" s="209"/>
      <c r="GG18" s="209"/>
      <c r="GH18" s="209"/>
      <c r="GI18" s="209"/>
      <c r="GJ18" s="209"/>
      <c r="GK18" s="209"/>
      <c r="GL18" s="209"/>
      <c r="GM18" s="209"/>
      <c r="GN18" s="209"/>
      <c r="GO18" s="209"/>
      <c r="GP18" s="209"/>
      <c r="GQ18" s="209"/>
      <c r="GR18" s="209"/>
      <c r="GS18" s="209"/>
      <c r="GT18" s="209"/>
      <c r="GU18" s="209"/>
      <c r="GV18" s="209"/>
      <c r="GW18" s="209"/>
      <c r="GX18" s="209"/>
      <c r="GY18" s="209"/>
      <c r="GZ18" s="209"/>
      <c r="HA18" s="209"/>
      <c r="HB18" s="209"/>
      <c r="HC18" s="209"/>
      <c r="HD18" s="209"/>
      <c r="HE18" s="209"/>
      <c r="HF18" s="209"/>
      <c r="HG18" s="209"/>
      <c r="HH18" s="209"/>
      <c r="HI18" s="209"/>
      <c r="HJ18" s="209"/>
      <c r="HK18" s="209"/>
      <c r="HL18" s="209"/>
      <c r="HM18" s="209"/>
      <c r="HN18" s="209"/>
      <c r="HO18" s="209"/>
      <c r="HP18" s="209"/>
      <c r="HQ18" s="209"/>
      <c r="HR18" s="209"/>
      <c r="HS18" s="209"/>
      <c r="HT18" s="209"/>
      <c r="HU18" s="209"/>
      <c r="HV18" s="209"/>
      <c r="HW18" s="209"/>
      <c r="HX18" s="209"/>
      <c r="HY18" s="209"/>
      <c r="HZ18" s="209"/>
      <c r="IA18" s="209"/>
      <c r="IB18" s="209"/>
      <c r="IC18" s="209"/>
      <c r="ID18" s="209"/>
      <c r="IE18" s="209"/>
      <c r="IF18" s="209"/>
      <c r="IG18" s="209"/>
      <c r="IH18" s="209"/>
      <c r="II18" s="209"/>
      <c r="IJ18" s="209"/>
      <c r="IK18" s="209"/>
      <c r="IL18" s="209"/>
      <c r="IM18" s="209"/>
      <c r="IN18" s="209"/>
      <c r="IO18" s="209"/>
      <c r="IP18" s="209"/>
      <c r="IQ18" s="209"/>
      <c r="IR18" s="209"/>
      <c r="IS18" s="209"/>
      <c r="IT18" s="209"/>
      <c r="IU18" s="209"/>
    </row>
    <row r="19" spans="1:255">
      <c r="A19" s="991"/>
      <c r="B19" s="992"/>
      <c r="C19" s="993"/>
      <c r="D19" s="992"/>
      <c r="E19" s="994"/>
      <c r="F19" s="994"/>
      <c r="G19" s="994"/>
      <c r="H19" s="994"/>
      <c r="I19" s="995"/>
      <c r="J19" s="995"/>
      <c r="K19" s="995"/>
      <c r="L19" s="995"/>
      <c r="M19" s="614">
        <f t="shared" si="52"/>
        <v>0</v>
      </c>
      <c r="N19" s="995"/>
      <c r="O19" s="995"/>
      <c r="P19" s="995"/>
      <c r="Q19" s="995"/>
      <c r="R19" s="614">
        <f t="shared" si="15"/>
        <v>0</v>
      </c>
      <c r="S19" s="614">
        <f t="shared" si="6"/>
        <v>0</v>
      </c>
      <c r="T19" s="614">
        <f t="shared" si="7"/>
        <v>0</v>
      </c>
      <c r="U19" s="614">
        <f t="shared" si="8"/>
        <v>0</v>
      </c>
      <c r="V19" s="614">
        <f t="shared" si="9"/>
        <v>0</v>
      </c>
      <c r="W19" s="614">
        <f t="shared" si="10"/>
        <v>0</v>
      </c>
      <c r="X19" s="614">
        <f t="shared" si="11"/>
        <v>0</v>
      </c>
      <c r="Y19" s="614">
        <f t="shared" si="12"/>
        <v>0</v>
      </c>
      <c r="Z19" s="614">
        <f t="shared" si="13"/>
        <v>0</v>
      </c>
      <c r="AA19" s="614">
        <f t="shared" si="14"/>
        <v>0</v>
      </c>
      <c r="AB19" s="614">
        <f t="shared" si="16"/>
        <v>0</v>
      </c>
      <c r="AC19" s="614">
        <f t="shared" si="17"/>
        <v>0</v>
      </c>
      <c r="AD19" s="614">
        <f t="shared" si="18"/>
        <v>0</v>
      </c>
      <c r="AE19" s="614">
        <f t="shared" si="19"/>
        <v>0</v>
      </c>
      <c r="AF19" s="994"/>
      <c r="AG19" s="994"/>
      <c r="AH19" s="996"/>
      <c r="AI19" s="614">
        <f t="shared" si="20"/>
        <v>0</v>
      </c>
      <c r="AJ19" s="996"/>
      <c r="AK19" s="614">
        <f t="shared" si="21"/>
        <v>0</v>
      </c>
      <c r="AL19" s="997"/>
      <c r="AM19" s="614">
        <f t="shared" si="22"/>
        <v>0</v>
      </c>
      <c r="AN19" s="996"/>
      <c r="AO19" s="614">
        <f t="shared" si="23"/>
        <v>0</v>
      </c>
      <c r="AP19" s="614">
        <f t="shared" si="24"/>
        <v>0</v>
      </c>
      <c r="AQ19" s="994"/>
      <c r="AR19" s="994"/>
      <c r="AS19" s="996"/>
      <c r="AT19" s="614">
        <f t="shared" si="25"/>
        <v>0</v>
      </c>
      <c r="AU19" s="996"/>
      <c r="AV19" s="614">
        <f t="shared" si="26"/>
        <v>0</v>
      </c>
      <c r="AW19" s="997"/>
      <c r="AX19" s="614">
        <f t="shared" si="27"/>
        <v>0</v>
      </c>
      <c r="AY19" s="987">
        <f t="shared" si="28"/>
        <v>0</v>
      </c>
      <c r="AZ19" s="987">
        <f t="shared" si="29"/>
        <v>0</v>
      </c>
      <c r="BA19" s="614">
        <f t="shared" si="30"/>
        <v>0</v>
      </c>
      <c r="BB19" s="614">
        <f t="shared" si="31"/>
        <v>0</v>
      </c>
      <c r="BC19" s="614">
        <f t="shared" si="32"/>
        <v>0</v>
      </c>
      <c r="BD19" s="994"/>
      <c r="BE19" s="994"/>
      <c r="BF19" s="614">
        <f t="shared" si="33"/>
        <v>0</v>
      </c>
      <c r="BG19" s="614">
        <f t="shared" si="34"/>
        <v>0</v>
      </c>
      <c r="BH19" s="614">
        <f t="shared" si="35"/>
        <v>0</v>
      </c>
      <c r="BI19" s="614">
        <f t="shared" si="36"/>
        <v>0</v>
      </c>
      <c r="BJ19" s="614">
        <f t="shared" si="37"/>
        <v>0</v>
      </c>
      <c r="BK19" s="614">
        <f t="shared" si="38"/>
        <v>0</v>
      </c>
      <c r="BL19" s="614">
        <f t="shared" si="39"/>
        <v>0</v>
      </c>
      <c r="BM19" s="614">
        <f t="shared" si="40"/>
        <v>0</v>
      </c>
      <c r="BN19" s="614">
        <f t="shared" si="41"/>
        <v>0</v>
      </c>
      <c r="BO19" s="614">
        <f t="shared" si="42"/>
        <v>0</v>
      </c>
      <c r="BP19" s="614">
        <f t="shared" si="43"/>
        <v>0</v>
      </c>
      <c r="BQ19" s="614">
        <f t="shared" si="44"/>
        <v>0</v>
      </c>
      <c r="BR19" s="614">
        <f t="shared" si="45"/>
        <v>0</v>
      </c>
      <c r="BS19" s="614">
        <f t="shared" si="46"/>
        <v>0</v>
      </c>
      <c r="BT19" s="614">
        <f t="shared" si="47"/>
        <v>0</v>
      </c>
      <c r="BU19" s="614">
        <f t="shared" si="48"/>
        <v>0</v>
      </c>
      <c r="BV19" s="614">
        <f t="shared" si="49"/>
        <v>0</v>
      </c>
      <c r="BW19" s="614">
        <f t="shared" si="50"/>
        <v>0</v>
      </c>
      <c r="BX19" s="614">
        <f t="shared" si="51"/>
        <v>0</v>
      </c>
      <c r="BY19" s="209"/>
      <c r="BZ19" s="209"/>
      <c r="CA19" s="209"/>
      <c r="CB19" s="209"/>
      <c r="CC19" s="209"/>
      <c r="CD19" s="209"/>
      <c r="CE19" s="209"/>
      <c r="CF19" s="209"/>
      <c r="CG19" s="209"/>
      <c r="CH19" s="209"/>
      <c r="CI19" s="209"/>
      <c r="CJ19" s="209"/>
      <c r="CK19" s="209"/>
      <c r="CL19" s="209"/>
      <c r="CM19" s="209"/>
      <c r="CN19" s="209"/>
      <c r="CO19" s="209"/>
      <c r="CP19" s="209"/>
      <c r="CQ19" s="209"/>
      <c r="CR19" s="209"/>
      <c r="CS19" s="209"/>
      <c r="CT19" s="209"/>
      <c r="CU19" s="209"/>
      <c r="CV19" s="209"/>
      <c r="CW19" s="209"/>
      <c r="CX19" s="209"/>
      <c r="CY19" s="209"/>
      <c r="CZ19" s="209"/>
      <c r="DA19" s="209"/>
      <c r="DB19" s="209"/>
      <c r="DC19" s="209"/>
      <c r="DD19" s="209"/>
      <c r="DE19" s="209"/>
      <c r="DF19" s="209"/>
      <c r="DG19" s="209"/>
      <c r="DH19" s="209"/>
      <c r="DI19" s="209"/>
      <c r="DJ19" s="209"/>
      <c r="DK19" s="209"/>
      <c r="DL19" s="209"/>
      <c r="DM19" s="209"/>
      <c r="DN19" s="209"/>
      <c r="DO19" s="209"/>
      <c r="DP19" s="209"/>
      <c r="DQ19" s="209"/>
      <c r="DR19" s="209"/>
      <c r="DS19" s="209"/>
      <c r="DT19" s="209"/>
      <c r="DU19" s="209"/>
      <c r="DV19" s="209"/>
      <c r="DW19" s="209"/>
      <c r="DX19" s="209"/>
      <c r="DY19" s="209"/>
      <c r="DZ19" s="209"/>
      <c r="EA19" s="209"/>
      <c r="EB19" s="209"/>
      <c r="EC19" s="209"/>
      <c r="ED19" s="209"/>
      <c r="EE19" s="209"/>
      <c r="EF19" s="209"/>
      <c r="EG19" s="209"/>
      <c r="EH19" s="209"/>
      <c r="EI19" s="209"/>
      <c r="EJ19" s="209"/>
      <c r="EK19" s="209"/>
      <c r="EL19" s="209"/>
      <c r="EM19" s="209"/>
      <c r="EN19" s="209"/>
      <c r="EO19" s="209"/>
      <c r="EP19" s="209"/>
      <c r="EQ19" s="209"/>
      <c r="ER19" s="209"/>
      <c r="ES19" s="209"/>
      <c r="ET19" s="209"/>
      <c r="EU19" s="209"/>
      <c r="EV19" s="209"/>
      <c r="EW19" s="209"/>
      <c r="EX19" s="209"/>
      <c r="EY19" s="209"/>
      <c r="EZ19" s="209"/>
      <c r="FA19" s="209"/>
      <c r="FB19" s="209"/>
      <c r="FC19" s="209"/>
      <c r="FD19" s="209"/>
      <c r="FE19" s="209"/>
      <c r="FF19" s="209"/>
      <c r="FG19" s="209"/>
      <c r="FH19" s="209"/>
      <c r="FI19" s="209"/>
      <c r="FJ19" s="209"/>
      <c r="FK19" s="209"/>
      <c r="FL19" s="209"/>
      <c r="FM19" s="209"/>
      <c r="FN19" s="209"/>
      <c r="FO19" s="209"/>
      <c r="FP19" s="209"/>
      <c r="FQ19" s="209"/>
      <c r="FR19" s="209"/>
      <c r="FS19" s="209"/>
      <c r="FT19" s="209"/>
      <c r="FU19" s="209"/>
      <c r="FV19" s="209"/>
      <c r="FW19" s="209"/>
      <c r="FX19" s="209"/>
      <c r="FY19" s="209"/>
      <c r="FZ19" s="209"/>
      <c r="GA19" s="209"/>
      <c r="GB19" s="209"/>
      <c r="GC19" s="209"/>
      <c r="GD19" s="209"/>
      <c r="GE19" s="209"/>
      <c r="GF19" s="209"/>
      <c r="GG19" s="209"/>
      <c r="GH19" s="209"/>
      <c r="GI19" s="209"/>
      <c r="GJ19" s="209"/>
      <c r="GK19" s="209"/>
      <c r="GL19" s="209"/>
      <c r="GM19" s="209"/>
      <c r="GN19" s="209"/>
      <c r="GO19" s="209"/>
      <c r="GP19" s="209"/>
      <c r="GQ19" s="209"/>
      <c r="GR19" s="209"/>
      <c r="GS19" s="209"/>
      <c r="GT19" s="209"/>
      <c r="GU19" s="209"/>
      <c r="GV19" s="209"/>
      <c r="GW19" s="209"/>
      <c r="GX19" s="209"/>
      <c r="GY19" s="209"/>
      <c r="GZ19" s="209"/>
      <c r="HA19" s="209"/>
      <c r="HB19" s="209"/>
      <c r="HC19" s="209"/>
      <c r="HD19" s="209"/>
      <c r="HE19" s="209"/>
      <c r="HF19" s="209"/>
      <c r="HG19" s="209"/>
      <c r="HH19" s="209"/>
      <c r="HI19" s="209"/>
      <c r="HJ19" s="209"/>
      <c r="HK19" s="209"/>
      <c r="HL19" s="209"/>
      <c r="HM19" s="209"/>
      <c r="HN19" s="209"/>
      <c r="HO19" s="209"/>
      <c r="HP19" s="209"/>
      <c r="HQ19" s="209"/>
      <c r="HR19" s="209"/>
      <c r="HS19" s="209"/>
      <c r="HT19" s="209"/>
      <c r="HU19" s="209"/>
      <c r="HV19" s="209"/>
      <c r="HW19" s="209"/>
      <c r="HX19" s="209"/>
      <c r="HY19" s="209"/>
      <c r="HZ19" s="209"/>
      <c r="IA19" s="209"/>
      <c r="IB19" s="209"/>
      <c r="IC19" s="209"/>
      <c r="ID19" s="209"/>
      <c r="IE19" s="209"/>
      <c r="IF19" s="209"/>
      <c r="IG19" s="209"/>
      <c r="IH19" s="209"/>
      <c r="II19" s="209"/>
      <c r="IJ19" s="209"/>
      <c r="IK19" s="209"/>
      <c r="IL19" s="209"/>
      <c r="IM19" s="209"/>
      <c r="IN19" s="209"/>
      <c r="IO19" s="209"/>
      <c r="IP19" s="209"/>
      <c r="IQ19" s="209"/>
      <c r="IR19" s="209"/>
      <c r="IS19" s="209"/>
      <c r="IT19" s="209"/>
      <c r="IU19" s="209"/>
    </row>
    <row r="20" spans="1:255">
      <c r="A20" s="991"/>
      <c r="B20" s="992"/>
      <c r="C20" s="993"/>
      <c r="D20" s="992"/>
      <c r="E20" s="994"/>
      <c r="F20" s="994"/>
      <c r="G20" s="994"/>
      <c r="H20" s="994"/>
      <c r="I20" s="995"/>
      <c r="J20" s="995"/>
      <c r="K20" s="995"/>
      <c r="L20" s="995"/>
      <c r="M20" s="614">
        <f t="shared" si="52"/>
        <v>0</v>
      </c>
      <c r="N20" s="995"/>
      <c r="O20" s="995"/>
      <c r="P20" s="995"/>
      <c r="Q20" s="995"/>
      <c r="R20" s="614">
        <f t="shared" si="15"/>
        <v>0</v>
      </c>
      <c r="S20" s="614">
        <f t="shared" si="6"/>
        <v>0</v>
      </c>
      <c r="T20" s="614">
        <f t="shared" si="7"/>
        <v>0</v>
      </c>
      <c r="U20" s="614">
        <f t="shared" si="8"/>
        <v>0</v>
      </c>
      <c r="V20" s="614">
        <f t="shared" si="9"/>
        <v>0</v>
      </c>
      <c r="W20" s="614">
        <f t="shared" si="10"/>
        <v>0</v>
      </c>
      <c r="X20" s="614">
        <f t="shared" si="11"/>
        <v>0</v>
      </c>
      <c r="Y20" s="614">
        <f t="shared" si="12"/>
        <v>0</v>
      </c>
      <c r="Z20" s="614">
        <f t="shared" si="13"/>
        <v>0</v>
      </c>
      <c r="AA20" s="614">
        <f t="shared" si="14"/>
        <v>0</v>
      </c>
      <c r="AB20" s="614">
        <f t="shared" si="16"/>
        <v>0</v>
      </c>
      <c r="AC20" s="614">
        <f t="shared" si="17"/>
        <v>0</v>
      </c>
      <c r="AD20" s="614">
        <f t="shared" si="18"/>
        <v>0</v>
      </c>
      <c r="AE20" s="614">
        <f t="shared" si="19"/>
        <v>0</v>
      </c>
      <c r="AF20" s="994"/>
      <c r="AG20" s="994"/>
      <c r="AH20" s="996"/>
      <c r="AI20" s="614">
        <f t="shared" si="20"/>
        <v>0</v>
      </c>
      <c r="AJ20" s="996"/>
      <c r="AK20" s="614">
        <f t="shared" si="21"/>
        <v>0</v>
      </c>
      <c r="AL20" s="997"/>
      <c r="AM20" s="614">
        <f t="shared" si="22"/>
        <v>0</v>
      </c>
      <c r="AN20" s="996"/>
      <c r="AO20" s="614">
        <f t="shared" si="23"/>
        <v>0</v>
      </c>
      <c r="AP20" s="614">
        <f t="shared" si="24"/>
        <v>0</v>
      </c>
      <c r="AQ20" s="994"/>
      <c r="AR20" s="994"/>
      <c r="AS20" s="996"/>
      <c r="AT20" s="614">
        <f t="shared" si="25"/>
        <v>0</v>
      </c>
      <c r="AU20" s="996"/>
      <c r="AV20" s="614">
        <f t="shared" si="26"/>
        <v>0</v>
      </c>
      <c r="AW20" s="997"/>
      <c r="AX20" s="614">
        <f t="shared" si="27"/>
        <v>0</v>
      </c>
      <c r="AY20" s="987">
        <f t="shared" si="28"/>
        <v>0</v>
      </c>
      <c r="AZ20" s="987">
        <f t="shared" si="29"/>
        <v>0</v>
      </c>
      <c r="BA20" s="614">
        <f t="shared" si="30"/>
        <v>0</v>
      </c>
      <c r="BB20" s="614">
        <f t="shared" si="31"/>
        <v>0</v>
      </c>
      <c r="BC20" s="614">
        <f t="shared" si="32"/>
        <v>0</v>
      </c>
      <c r="BD20" s="994"/>
      <c r="BE20" s="994"/>
      <c r="BF20" s="614">
        <f t="shared" si="33"/>
        <v>0</v>
      </c>
      <c r="BG20" s="614">
        <f t="shared" si="34"/>
        <v>0</v>
      </c>
      <c r="BH20" s="614">
        <f t="shared" si="35"/>
        <v>0</v>
      </c>
      <c r="BI20" s="614">
        <f t="shared" si="36"/>
        <v>0</v>
      </c>
      <c r="BJ20" s="614">
        <f t="shared" si="37"/>
        <v>0</v>
      </c>
      <c r="BK20" s="614">
        <f t="shared" si="38"/>
        <v>0</v>
      </c>
      <c r="BL20" s="614">
        <f t="shared" si="39"/>
        <v>0</v>
      </c>
      <c r="BM20" s="614">
        <f t="shared" si="40"/>
        <v>0</v>
      </c>
      <c r="BN20" s="614">
        <f t="shared" si="41"/>
        <v>0</v>
      </c>
      <c r="BO20" s="614">
        <f t="shared" si="42"/>
        <v>0</v>
      </c>
      <c r="BP20" s="614">
        <f t="shared" si="43"/>
        <v>0</v>
      </c>
      <c r="BQ20" s="614">
        <f t="shared" si="44"/>
        <v>0</v>
      </c>
      <c r="BR20" s="614">
        <f t="shared" si="45"/>
        <v>0</v>
      </c>
      <c r="BS20" s="614">
        <f t="shared" si="46"/>
        <v>0</v>
      </c>
      <c r="BT20" s="614">
        <f t="shared" si="47"/>
        <v>0</v>
      </c>
      <c r="BU20" s="614">
        <f t="shared" si="48"/>
        <v>0</v>
      </c>
      <c r="BV20" s="614">
        <f t="shared" si="49"/>
        <v>0</v>
      </c>
      <c r="BW20" s="614">
        <f t="shared" si="50"/>
        <v>0</v>
      </c>
      <c r="BX20" s="614">
        <f t="shared" si="51"/>
        <v>0</v>
      </c>
      <c r="BY20" s="209"/>
      <c r="BZ20" s="209"/>
      <c r="CA20" s="209"/>
      <c r="CB20" s="209"/>
      <c r="CC20" s="209"/>
      <c r="CD20" s="209"/>
      <c r="CE20" s="209"/>
      <c r="CF20" s="209"/>
      <c r="CG20" s="209"/>
      <c r="CH20" s="209"/>
      <c r="CI20" s="209"/>
      <c r="CJ20" s="209"/>
      <c r="CK20" s="209"/>
      <c r="CL20" s="209"/>
      <c r="CM20" s="209"/>
      <c r="CN20" s="209"/>
      <c r="CO20" s="209"/>
      <c r="CP20" s="209"/>
      <c r="CQ20" s="209"/>
      <c r="CR20" s="209"/>
      <c r="CS20" s="209"/>
      <c r="CT20" s="209"/>
      <c r="CU20" s="209"/>
      <c r="CV20" s="209"/>
      <c r="CW20" s="209"/>
      <c r="CX20" s="209"/>
      <c r="CY20" s="209"/>
      <c r="CZ20" s="209"/>
      <c r="DA20" s="209"/>
      <c r="DB20" s="209"/>
      <c r="DC20" s="209"/>
      <c r="DD20" s="209"/>
      <c r="DE20" s="209"/>
      <c r="DF20" s="209"/>
      <c r="DG20" s="209"/>
      <c r="DH20" s="209"/>
      <c r="DI20" s="209"/>
      <c r="DJ20" s="209"/>
      <c r="DK20" s="209"/>
      <c r="DL20" s="209"/>
      <c r="DM20" s="209"/>
      <c r="DN20" s="209"/>
      <c r="DO20" s="209"/>
      <c r="DP20" s="209"/>
      <c r="DQ20" s="209"/>
      <c r="DR20" s="209"/>
      <c r="DS20" s="209"/>
      <c r="DT20" s="209"/>
      <c r="DU20" s="209"/>
      <c r="DV20" s="209"/>
      <c r="DW20" s="209"/>
      <c r="DX20" s="209"/>
      <c r="DY20" s="209"/>
      <c r="DZ20" s="209"/>
      <c r="EA20" s="209"/>
      <c r="EB20" s="209"/>
      <c r="EC20" s="209"/>
      <c r="ED20" s="209"/>
      <c r="EE20" s="209"/>
      <c r="EF20" s="209"/>
      <c r="EG20" s="209"/>
      <c r="EH20" s="209"/>
      <c r="EI20" s="209"/>
      <c r="EJ20" s="209"/>
      <c r="EK20" s="209"/>
      <c r="EL20" s="209"/>
      <c r="EM20" s="209"/>
      <c r="EN20" s="209"/>
      <c r="EO20" s="209"/>
      <c r="EP20" s="209"/>
      <c r="EQ20" s="209"/>
      <c r="ER20" s="209"/>
      <c r="ES20" s="209"/>
      <c r="ET20" s="209"/>
      <c r="EU20" s="209"/>
      <c r="EV20" s="209"/>
      <c r="EW20" s="209"/>
      <c r="EX20" s="209"/>
      <c r="EY20" s="209"/>
      <c r="EZ20" s="209"/>
      <c r="FA20" s="209"/>
      <c r="FB20" s="209"/>
      <c r="FC20" s="209"/>
      <c r="FD20" s="209"/>
      <c r="FE20" s="209"/>
      <c r="FF20" s="209"/>
      <c r="FG20" s="209"/>
      <c r="FH20" s="209"/>
      <c r="FI20" s="209"/>
      <c r="FJ20" s="209"/>
      <c r="FK20" s="209"/>
      <c r="FL20" s="209"/>
      <c r="FM20" s="209"/>
      <c r="FN20" s="209"/>
      <c r="FO20" s="209"/>
      <c r="FP20" s="209"/>
      <c r="FQ20" s="209"/>
      <c r="FR20" s="209"/>
      <c r="FS20" s="209"/>
      <c r="FT20" s="209"/>
      <c r="FU20" s="209"/>
      <c r="FV20" s="209"/>
      <c r="FW20" s="209"/>
      <c r="FX20" s="209"/>
      <c r="FY20" s="209"/>
      <c r="FZ20" s="209"/>
      <c r="GA20" s="209"/>
      <c r="GB20" s="209"/>
      <c r="GC20" s="209"/>
      <c r="GD20" s="209"/>
      <c r="GE20" s="209"/>
      <c r="GF20" s="209"/>
      <c r="GG20" s="209"/>
      <c r="GH20" s="209"/>
      <c r="GI20" s="209"/>
      <c r="GJ20" s="209"/>
      <c r="GK20" s="209"/>
      <c r="GL20" s="209"/>
      <c r="GM20" s="209"/>
      <c r="GN20" s="209"/>
      <c r="GO20" s="209"/>
      <c r="GP20" s="209"/>
      <c r="GQ20" s="209"/>
      <c r="GR20" s="209"/>
      <c r="GS20" s="209"/>
      <c r="GT20" s="209"/>
      <c r="GU20" s="209"/>
      <c r="GV20" s="209"/>
      <c r="GW20" s="209"/>
      <c r="GX20" s="209"/>
      <c r="GY20" s="209"/>
      <c r="GZ20" s="209"/>
      <c r="HA20" s="209"/>
      <c r="HB20" s="209"/>
      <c r="HC20" s="209"/>
      <c r="HD20" s="209"/>
      <c r="HE20" s="209"/>
      <c r="HF20" s="209"/>
      <c r="HG20" s="209"/>
      <c r="HH20" s="209"/>
      <c r="HI20" s="209"/>
      <c r="HJ20" s="209"/>
      <c r="HK20" s="209"/>
      <c r="HL20" s="209"/>
      <c r="HM20" s="209"/>
      <c r="HN20" s="209"/>
      <c r="HO20" s="209"/>
      <c r="HP20" s="209"/>
      <c r="HQ20" s="209"/>
      <c r="HR20" s="209"/>
      <c r="HS20" s="209"/>
      <c r="HT20" s="209"/>
      <c r="HU20" s="209"/>
      <c r="HV20" s="209"/>
      <c r="HW20" s="209"/>
      <c r="HX20" s="209"/>
      <c r="HY20" s="209"/>
      <c r="HZ20" s="209"/>
      <c r="IA20" s="209"/>
      <c r="IB20" s="209"/>
      <c r="IC20" s="209"/>
      <c r="ID20" s="209"/>
      <c r="IE20" s="209"/>
      <c r="IF20" s="209"/>
      <c r="IG20" s="209"/>
      <c r="IH20" s="209"/>
      <c r="II20" s="209"/>
      <c r="IJ20" s="209"/>
      <c r="IK20" s="209"/>
      <c r="IL20" s="209"/>
      <c r="IM20" s="209"/>
      <c r="IN20" s="209"/>
      <c r="IO20" s="209"/>
      <c r="IP20" s="209"/>
      <c r="IQ20" s="209"/>
      <c r="IR20" s="209"/>
      <c r="IS20" s="209"/>
      <c r="IT20" s="209"/>
      <c r="IU20" s="209"/>
    </row>
    <row r="21" spans="1:255">
      <c r="A21" s="991"/>
      <c r="B21" s="992"/>
      <c r="C21" s="993"/>
      <c r="D21" s="992"/>
      <c r="E21" s="994"/>
      <c r="F21" s="994"/>
      <c r="G21" s="994"/>
      <c r="H21" s="994"/>
      <c r="I21" s="995"/>
      <c r="J21" s="995"/>
      <c r="K21" s="995"/>
      <c r="L21" s="995"/>
      <c r="M21" s="614">
        <f t="shared" si="52"/>
        <v>0</v>
      </c>
      <c r="N21" s="995"/>
      <c r="O21" s="995"/>
      <c r="P21" s="995"/>
      <c r="Q21" s="995"/>
      <c r="R21" s="614">
        <f t="shared" si="15"/>
        <v>0</v>
      </c>
      <c r="S21" s="614">
        <f t="shared" si="6"/>
        <v>0</v>
      </c>
      <c r="T21" s="614">
        <f t="shared" si="7"/>
        <v>0</v>
      </c>
      <c r="U21" s="614">
        <f t="shared" si="8"/>
        <v>0</v>
      </c>
      <c r="V21" s="614">
        <f t="shared" si="9"/>
        <v>0</v>
      </c>
      <c r="W21" s="614">
        <f t="shared" si="10"/>
        <v>0</v>
      </c>
      <c r="X21" s="614">
        <f t="shared" si="11"/>
        <v>0</v>
      </c>
      <c r="Y21" s="614">
        <f t="shared" si="12"/>
        <v>0</v>
      </c>
      <c r="Z21" s="614">
        <f t="shared" si="13"/>
        <v>0</v>
      </c>
      <c r="AA21" s="614">
        <f t="shared" si="14"/>
        <v>0</v>
      </c>
      <c r="AB21" s="614">
        <f t="shared" si="16"/>
        <v>0</v>
      </c>
      <c r="AC21" s="614">
        <f t="shared" si="17"/>
        <v>0</v>
      </c>
      <c r="AD21" s="614">
        <f t="shared" si="18"/>
        <v>0</v>
      </c>
      <c r="AE21" s="614">
        <f t="shared" si="19"/>
        <v>0</v>
      </c>
      <c r="AF21" s="994"/>
      <c r="AG21" s="994"/>
      <c r="AH21" s="996"/>
      <c r="AI21" s="614">
        <f t="shared" si="20"/>
        <v>0</v>
      </c>
      <c r="AJ21" s="996"/>
      <c r="AK21" s="614">
        <f t="shared" si="21"/>
        <v>0</v>
      </c>
      <c r="AL21" s="997"/>
      <c r="AM21" s="614">
        <f t="shared" si="22"/>
        <v>0</v>
      </c>
      <c r="AN21" s="996"/>
      <c r="AO21" s="614">
        <f t="shared" si="23"/>
        <v>0</v>
      </c>
      <c r="AP21" s="614">
        <f t="shared" si="24"/>
        <v>0</v>
      </c>
      <c r="AQ21" s="994"/>
      <c r="AR21" s="994"/>
      <c r="AS21" s="996"/>
      <c r="AT21" s="614">
        <f t="shared" si="25"/>
        <v>0</v>
      </c>
      <c r="AU21" s="996"/>
      <c r="AV21" s="614">
        <f t="shared" si="26"/>
        <v>0</v>
      </c>
      <c r="AW21" s="997"/>
      <c r="AX21" s="614">
        <f t="shared" si="27"/>
        <v>0</v>
      </c>
      <c r="AY21" s="987">
        <f t="shared" si="28"/>
        <v>0</v>
      </c>
      <c r="AZ21" s="987">
        <f t="shared" si="29"/>
        <v>0</v>
      </c>
      <c r="BA21" s="614">
        <f t="shared" si="30"/>
        <v>0</v>
      </c>
      <c r="BB21" s="614">
        <f t="shared" si="31"/>
        <v>0</v>
      </c>
      <c r="BC21" s="614">
        <f t="shared" si="32"/>
        <v>0</v>
      </c>
      <c r="BD21" s="994"/>
      <c r="BE21" s="994"/>
      <c r="BF21" s="614">
        <f t="shared" si="33"/>
        <v>0</v>
      </c>
      <c r="BG21" s="614">
        <f t="shared" si="34"/>
        <v>0</v>
      </c>
      <c r="BH21" s="614">
        <f t="shared" si="35"/>
        <v>0</v>
      </c>
      <c r="BI21" s="614">
        <f t="shared" si="36"/>
        <v>0</v>
      </c>
      <c r="BJ21" s="614">
        <f t="shared" si="37"/>
        <v>0</v>
      </c>
      <c r="BK21" s="614">
        <f t="shared" si="38"/>
        <v>0</v>
      </c>
      <c r="BL21" s="614">
        <f t="shared" si="39"/>
        <v>0</v>
      </c>
      <c r="BM21" s="614">
        <f t="shared" si="40"/>
        <v>0</v>
      </c>
      <c r="BN21" s="614">
        <f t="shared" si="41"/>
        <v>0</v>
      </c>
      <c r="BO21" s="614">
        <f t="shared" si="42"/>
        <v>0</v>
      </c>
      <c r="BP21" s="614">
        <f t="shared" si="43"/>
        <v>0</v>
      </c>
      <c r="BQ21" s="614">
        <f t="shared" si="44"/>
        <v>0</v>
      </c>
      <c r="BR21" s="614">
        <f t="shared" si="45"/>
        <v>0</v>
      </c>
      <c r="BS21" s="614">
        <f t="shared" si="46"/>
        <v>0</v>
      </c>
      <c r="BT21" s="614">
        <f t="shared" si="47"/>
        <v>0</v>
      </c>
      <c r="BU21" s="614">
        <f t="shared" si="48"/>
        <v>0</v>
      </c>
      <c r="BV21" s="614">
        <f t="shared" si="49"/>
        <v>0</v>
      </c>
      <c r="BW21" s="614">
        <f t="shared" si="50"/>
        <v>0</v>
      </c>
      <c r="BX21" s="614">
        <f t="shared" si="51"/>
        <v>0</v>
      </c>
      <c r="BY21" s="209"/>
      <c r="BZ21" s="209"/>
      <c r="CA21" s="209"/>
      <c r="CB21" s="209"/>
      <c r="CC21" s="209"/>
      <c r="CD21" s="209"/>
      <c r="CE21" s="209"/>
      <c r="CF21" s="209"/>
      <c r="CG21" s="209"/>
      <c r="CH21" s="209"/>
      <c r="CI21" s="209"/>
      <c r="CJ21" s="209"/>
      <c r="CK21" s="209"/>
      <c r="CL21" s="209"/>
      <c r="CM21" s="209"/>
      <c r="CN21" s="209"/>
      <c r="CO21" s="209"/>
      <c r="CP21" s="209"/>
      <c r="CQ21" s="209"/>
      <c r="CR21" s="209"/>
      <c r="CS21" s="209"/>
      <c r="CT21" s="209"/>
      <c r="CU21" s="209"/>
      <c r="CV21" s="209"/>
      <c r="CW21" s="209"/>
      <c r="CX21" s="209"/>
      <c r="CY21" s="209"/>
      <c r="CZ21" s="209"/>
      <c r="DA21" s="209"/>
      <c r="DB21" s="209"/>
      <c r="DC21" s="209"/>
      <c r="DD21" s="209"/>
      <c r="DE21" s="209"/>
      <c r="DF21" s="209"/>
      <c r="DG21" s="209"/>
      <c r="DH21" s="209"/>
      <c r="DI21" s="209"/>
      <c r="DJ21" s="209"/>
      <c r="DK21" s="209"/>
      <c r="DL21" s="209"/>
      <c r="DM21" s="209"/>
      <c r="DN21" s="209"/>
      <c r="DO21" s="209"/>
      <c r="DP21" s="209"/>
      <c r="DQ21" s="209"/>
      <c r="DR21" s="209"/>
      <c r="DS21" s="209"/>
      <c r="DT21" s="209"/>
      <c r="DU21" s="209"/>
      <c r="DV21" s="209"/>
      <c r="DW21" s="209"/>
      <c r="DX21" s="209"/>
      <c r="DY21" s="209"/>
      <c r="DZ21" s="209"/>
      <c r="EA21" s="209"/>
      <c r="EB21" s="209"/>
      <c r="EC21" s="209"/>
      <c r="ED21" s="209"/>
      <c r="EE21" s="209"/>
      <c r="EF21" s="209"/>
      <c r="EG21" s="209"/>
      <c r="EH21" s="209"/>
      <c r="EI21" s="209"/>
      <c r="EJ21" s="209"/>
      <c r="EK21" s="209"/>
      <c r="EL21" s="209"/>
      <c r="EM21" s="209"/>
      <c r="EN21" s="209"/>
      <c r="EO21" s="209"/>
      <c r="EP21" s="209"/>
      <c r="EQ21" s="209"/>
      <c r="ER21" s="209"/>
      <c r="ES21" s="209"/>
      <c r="ET21" s="209"/>
      <c r="EU21" s="209"/>
      <c r="EV21" s="209"/>
      <c r="EW21" s="209"/>
      <c r="EX21" s="209"/>
      <c r="EY21" s="209"/>
      <c r="EZ21" s="209"/>
      <c r="FA21" s="209"/>
      <c r="FB21" s="209"/>
      <c r="FC21" s="209"/>
      <c r="FD21" s="209"/>
      <c r="FE21" s="209"/>
      <c r="FF21" s="209"/>
      <c r="FG21" s="209"/>
      <c r="FH21" s="209"/>
      <c r="FI21" s="209"/>
      <c r="FJ21" s="209"/>
      <c r="FK21" s="209"/>
      <c r="FL21" s="209"/>
      <c r="FM21" s="209"/>
      <c r="FN21" s="209"/>
      <c r="FO21" s="209"/>
      <c r="FP21" s="209"/>
      <c r="FQ21" s="209"/>
      <c r="FR21" s="209"/>
      <c r="FS21" s="209"/>
      <c r="FT21" s="209"/>
      <c r="FU21" s="209"/>
      <c r="FV21" s="209"/>
      <c r="FW21" s="209"/>
      <c r="FX21" s="209"/>
      <c r="FY21" s="209"/>
      <c r="FZ21" s="209"/>
      <c r="GA21" s="209"/>
      <c r="GB21" s="209"/>
      <c r="GC21" s="209"/>
      <c r="GD21" s="209"/>
      <c r="GE21" s="209"/>
      <c r="GF21" s="209"/>
      <c r="GG21" s="209"/>
      <c r="GH21" s="209"/>
      <c r="GI21" s="209"/>
      <c r="GJ21" s="209"/>
      <c r="GK21" s="209"/>
      <c r="GL21" s="209"/>
      <c r="GM21" s="209"/>
      <c r="GN21" s="209"/>
      <c r="GO21" s="209"/>
      <c r="GP21" s="209"/>
      <c r="GQ21" s="209"/>
      <c r="GR21" s="209"/>
      <c r="GS21" s="209"/>
      <c r="GT21" s="209"/>
      <c r="GU21" s="209"/>
      <c r="GV21" s="209"/>
      <c r="GW21" s="209"/>
      <c r="GX21" s="209"/>
      <c r="GY21" s="209"/>
      <c r="GZ21" s="209"/>
      <c r="HA21" s="209"/>
      <c r="HB21" s="209"/>
      <c r="HC21" s="209"/>
      <c r="HD21" s="209"/>
      <c r="HE21" s="209"/>
      <c r="HF21" s="209"/>
      <c r="HG21" s="209"/>
      <c r="HH21" s="209"/>
      <c r="HI21" s="209"/>
      <c r="HJ21" s="209"/>
      <c r="HK21" s="209"/>
      <c r="HL21" s="209"/>
      <c r="HM21" s="209"/>
      <c r="HN21" s="209"/>
      <c r="HO21" s="209"/>
      <c r="HP21" s="209"/>
      <c r="HQ21" s="209"/>
      <c r="HR21" s="209"/>
      <c r="HS21" s="209"/>
      <c r="HT21" s="209"/>
      <c r="HU21" s="209"/>
      <c r="HV21" s="209"/>
      <c r="HW21" s="209"/>
      <c r="HX21" s="209"/>
      <c r="HY21" s="209"/>
      <c r="HZ21" s="209"/>
      <c r="IA21" s="209"/>
      <c r="IB21" s="209"/>
      <c r="IC21" s="209"/>
      <c r="ID21" s="209"/>
      <c r="IE21" s="209"/>
      <c r="IF21" s="209"/>
      <c r="IG21" s="209"/>
      <c r="IH21" s="209"/>
      <c r="II21" s="209"/>
      <c r="IJ21" s="209"/>
      <c r="IK21" s="209"/>
      <c r="IL21" s="209"/>
      <c r="IM21" s="209"/>
      <c r="IN21" s="209"/>
      <c r="IO21" s="209"/>
      <c r="IP21" s="209"/>
      <c r="IQ21" s="209"/>
      <c r="IR21" s="209"/>
      <c r="IS21" s="209"/>
      <c r="IT21" s="209"/>
      <c r="IU21" s="209"/>
    </row>
    <row r="22" spans="1:255">
      <c r="A22" s="991"/>
      <c r="B22" s="992"/>
      <c r="C22" s="993"/>
      <c r="D22" s="992"/>
      <c r="E22" s="994"/>
      <c r="F22" s="994"/>
      <c r="G22" s="994"/>
      <c r="H22" s="994"/>
      <c r="I22" s="995"/>
      <c r="J22" s="995"/>
      <c r="K22" s="995"/>
      <c r="L22" s="995"/>
      <c r="M22" s="614">
        <f t="shared" si="52"/>
        <v>0</v>
      </c>
      <c r="N22" s="995"/>
      <c r="O22" s="995"/>
      <c r="P22" s="995"/>
      <c r="Q22" s="995"/>
      <c r="R22" s="614">
        <f t="shared" si="15"/>
        <v>0</v>
      </c>
      <c r="S22" s="614">
        <f t="shared" si="6"/>
        <v>0</v>
      </c>
      <c r="T22" s="614">
        <f t="shared" si="7"/>
        <v>0</v>
      </c>
      <c r="U22" s="614">
        <f t="shared" si="8"/>
        <v>0</v>
      </c>
      <c r="V22" s="614">
        <f t="shared" si="9"/>
        <v>0</v>
      </c>
      <c r="W22" s="614">
        <f t="shared" si="10"/>
        <v>0</v>
      </c>
      <c r="X22" s="614">
        <f t="shared" si="11"/>
        <v>0</v>
      </c>
      <c r="Y22" s="614">
        <f t="shared" si="12"/>
        <v>0</v>
      </c>
      <c r="Z22" s="614">
        <f t="shared" si="13"/>
        <v>0</v>
      </c>
      <c r="AA22" s="614">
        <f t="shared" si="14"/>
        <v>0</v>
      </c>
      <c r="AB22" s="614">
        <f t="shared" si="16"/>
        <v>0</v>
      </c>
      <c r="AC22" s="614">
        <f t="shared" si="17"/>
        <v>0</v>
      </c>
      <c r="AD22" s="614">
        <f t="shared" si="18"/>
        <v>0</v>
      </c>
      <c r="AE22" s="614">
        <f t="shared" si="19"/>
        <v>0</v>
      </c>
      <c r="AF22" s="994"/>
      <c r="AG22" s="994"/>
      <c r="AH22" s="996"/>
      <c r="AI22" s="614">
        <f t="shared" si="20"/>
        <v>0</v>
      </c>
      <c r="AJ22" s="996"/>
      <c r="AK22" s="614">
        <f t="shared" si="21"/>
        <v>0</v>
      </c>
      <c r="AL22" s="997"/>
      <c r="AM22" s="614">
        <f t="shared" si="22"/>
        <v>0</v>
      </c>
      <c r="AN22" s="996"/>
      <c r="AO22" s="614">
        <f t="shared" si="23"/>
        <v>0</v>
      </c>
      <c r="AP22" s="614">
        <f t="shared" si="24"/>
        <v>0</v>
      </c>
      <c r="AQ22" s="994"/>
      <c r="AR22" s="994"/>
      <c r="AS22" s="996"/>
      <c r="AT22" s="614">
        <f t="shared" si="25"/>
        <v>0</v>
      </c>
      <c r="AU22" s="996"/>
      <c r="AV22" s="614">
        <f t="shared" si="26"/>
        <v>0</v>
      </c>
      <c r="AW22" s="997"/>
      <c r="AX22" s="614">
        <f t="shared" si="27"/>
        <v>0</v>
      </c>
      <c r="AY22" s="987">
        <f t="shared" si="28"/>
        <v>0</v>
      </c>
      <c r="AZ22" s="987">
        <f t="shared" si="29"/>
        <v>0</v>
      </c>
      <c r="BA22" s="614">
        <f t="shared" si="30"/>
        <v>0</v>
      </c>
      <c r="BB22" s="614">
        <f t="shared" si="31"/>
        <v>0</v>
      </c>
      <c r="BC22" s="614">
        <f t="shared" si="32"/>
        <v>0</v>
      </c>
      <c r="BD22" s="994"/>
      <c r="BE22" s="994"/>
      <c r="BF22" s="614">
        <f t="shared" si="33"/>
        <v>0</v>
      </c>
      <c r="BG22" s="614">
        <f t="shared" si="34"/>
        <v>0</v>
      </c>
      <c r="BH22" s="614">
        <f t="shared" si="35"/>
        <v>0</v>
      </c>
      <c r="BI22" s="614">
        <f t="shared" si="36"/>
        <v>0</v>
      </c>
      <c r="BJ22" s="614">
        <f t="shared" si="37"/>
        <v>0</v>
      </c>
      <c r="BK22" s="614">
        <f t="shared" si="38"/>
        <v>0</v>
      </c>
      <c r="BL22" s="614">
        <f t="shared" si="39"/>
        <v>0</v>
      </c>
      <c r="BM22" s="614">
        <f t="shared" si="40"/>
        <v>0</v>
      </c>
      <c r="BN22" s="614">
        <f t="shared" si="41"/>
        <v>0</v>
      </c>
      <c r="BO22" s="614">
        <f t="shared" si="42"/>
        <v>0</v>
      </c>
      <c r="BP22" s="614">
        <f t="shared" si="43"/>
        <v>0</v>
      </c>
      <c r="BQ22" s="614">
        <f t="shared" si="44"/>
        <v>0</v>
      </c>
      <c r="BR22" s="614">
        <f t="shared" si="45"/>
        <v>0</v>
      </c>
      <c r="BS22" s="614">
        <f t="shared" si="46"/>
        <v>0</v>
      </c>
      <c r="BT22" s="614">
        <f t="shared" si="47"/>
        <v>0</v>
      </c>
      <c r="BU22" s="614">
        <f t="shared" si="48"/>
        <v>0</v>
      </c>
      <c r="BV22" s="614">
        <f t="shared" si="49"/>
        <v>0</v>
      </c>
      <c r="BW22" s="614">
        <f t="shared" si="50"/>
        <v>0</v>
      </c>
      <c r="BX22" s="614">
        <f t="shared" si="51"/>
        <v>0</v>
      </c>
      <c r="BY22" s="209"/>
      <c r="BZ22" s="209"/>
      <c r="CA22" s="209"/>
      <c r="CB22" s="209"/>
      <c r="CC22" s="209"/>
      <c r="CD22" s="209"/>
      <c r="CE22" s="209"/>
      <c r="CF22" s="209"/>
      <c r="CG22" s="209"/>
      <c r="CH22" s="209"/>
      <c r="CI22" s="209"/>
      <c r="CJ22" s="209"/>
      <c r="CK22" s="209"/>
      <c r="CL22" s="209"/>
      <c r="CM22" s="209"/>
      <c r="CN22" s="209"/>
      <c r="CO22" s="209"/>
      <c r="CP22" s="209"/>
      <c r="CQ22" s="209"/>
      <c r="CR22" s="209"/>
      <c r="CS22" s="209"/>
      <c r="CT22" s="209"/>
      <c r="CU22" s="209"/>
      <c r="CV22" s="209"/>
      <c r="CW22" s="209"/>
      <c r="CX22" s="209"/>
      <c r="CY22" s="209"/>
      <c r="CZ22" s="209"/>
      <c r="DA22" s="209"/>
      <c r="DB22" s="209"/>
      <c r="DC22" s="209"/>
      <c r="DD22" s="209"/>
      <c r="DE22" s="209"/>
      <c r="DF22" s="209"/>
      <c r="DG22" s="209"/>
      <c r="DH22" s="209"/>
      <c r="DI22" s="209"/>
      <c r="DJ22" s="209"/>
      <c r="DK22" s="209"/>
      <c r="DL22" s="209"/>
      <c r="DM22" s="209"/>
      <c r="DN22" s="209"/>
      <c r="DO22" s="209"/>
      <c r="DP22" s="209"/>
      <c r="DQ22" s="209"/>
      <c r="DR22" s="209"/>
      <c r="DS22" s="209"/>
      <c r="DT22" s="209"/>
      <c r="DU22" s="209"/>
      <c r="DV22" s="209"/>
      <c r="DW22" s="209"/>
      <c r="DX22" s="209"/>
      <c r="DY22" s="209"/>
      <c r="DZ22" s="209"/>
      <c r="EA22" s="209"/>
      <c r="EB22" s="209"/>
      <c r="EC22" s="209"/>
      <c r="ED22" s="209"/>
      <c r="EE22" s="209"/>
      <c r="EF22" s="209"/>
      <c r="EG22" s="209"/>
      <c r="EH22" s="209"/>
      <c r="EI22" s="209"/>
      <c r="EJ22" s="209"/>
      <c r="EK22" s="209"/>
      <c r="EL22" s="209"/>
      <c r="EM22" s="209"/>
      <c r="EN22" s="209"/>
      <c r="EO22" s="209"/>
      <c r="EP22" s="209"/>
      <c r="EQ22" s="209"/>
      <c r="ER22" s="209"/>
      <c r="ES22" s="209"/>
      <c r="ET22" s="209"/>
      <c r="EU22" s="209"/>
      <c r="EV22" s="209"/>
      <c r="EW22" s="209"/>
      <c r="EX22" s="209"/>
      <c r="EY22" s="209"/>
      <c r="EZ22" s="209"/>
      <c r="FA22" s="209"/>
      <c r="FB22" s="209"/>
      <c r="FC22" s="209"/>
      <c r="FD22" s="209"/>
      <c r="FE22" s="209"/>
      <c r="FF22" s="209"/>
      <c r="FG22" s="209"/>
      <c r="FH22" s="209"/>
      <c r="FI22" s="209"/>
      <c r="FJ22" s="209"/>
      <c r="FK22" s="209"/>
      <c r="FL22" s="209"/>
      <c r="FM22" s="209"/>
      <c r="FN22" s="209"/>
      <c r="FO22" s="209"/>
      <c r="FP22" s="209"/>
      <c r="FQ22" s="209"/>
      <c r="FR22" s="209"/>
      <c r="FS22" s="209"/>
      <c r="FT22" s="209"/>
      <c r="FU22" s="209"/>
      <c r="FV22" s="209"/>
      <c r="FW22" s="209"/>
      <c r="FX22" s="209"/>
      <c r="FY22" s="209"/>
      <c r="FZ22" s="209"/>
      <c r="GA22" s="209"/>
      <c r="GB22" s="209"/>
      <c r="GC22" s="209"/>
      <c r="GD22" s="209"/>
      <c r="GE22" s="209"/>
      <c r="GF22" s="209"/>
      <c r="GG22" s="209"/>
      <c r="GH22" s="209"/>
      <c r="GI22" s="209"/>
      <c r="GJ22" s="209"/>
      <c r="GK22" s="209"/>
      <c r="GL22" s="209"/>
      <c r="GM22" s="209"/>
      <c r="GN22" s="209"/>
      <c r="GO22" s="209"/>
      <c r="GP22" s="209"/>
      <c r="GQ22" s="209"/>
      <c r="GR22" s="209"/>
      <c r="GS22" s="209"/>
      <c r="GT22" s="209"/>
      <c r="GU22" s="209"/>
      <c r="GV22" s="209"/>
      <c r="GW22" s="209"/>
      <c r="GX22" s="209"/>
      <c r="GY22" s="209"/>
      <c r="GZ22" s="209"/>
      <c r="HA22" s="209"/>
      <c r="HB22" s="209"/>
      <c r="HC22" s="209"/>
      <c r="HD22" s="209"/>
      <c r="HE22" s="209"/>
      <c r="HF22" s="209"/>
      <c r="HG22" s="209"/>
      <c r="HH22" s="209"/>
      <c r="HI22" s="209"/>
      <c r="HJ22" s="209"/>
      <c r="HK22" s="209"/>
      <c r="HL22" s="209"/>
      <c r="HM22" s="209"/>
      <c r="HN22" s="209"/>
      <c r="HO22" s="209"/>
      <c r="HP22" s="209"/>
      <c r="HQ22" s="209"/>
      <c r="HR22" s="209"/>
      <c r="HS22" s="209"/>
      <c r="HT22" s="209"/>
      <c r="HU22" s="209"/>
      <c r="HV22" s="209"/>
      <c r="HW22" s="209"/>
      <c r="HX22" s="209"/>
      <c r="HY22" s="209"/>
      <c r="HZ22" s="209"/>
      <c r="IA22" s="209"/>
      <c r="IB22" s="209"/>
      <c r="IC22" s="209"/>
      <c r="ID22" s="209"/>
      <c r="IE22" s="209"/>
      <c r="IF22" s="209"/>
      <c r="IG22" s="209"/>
      <c r="IH22" s="209"/>
      <c r="II22" s="209"/>
      <c r="IJ22" s="209"/>
      <c r="IK22" s="209"/>
      <c r="IL22" s="209"/>
      <c r="IM22" s="209"/>
      <c r="IN22" s="209"/>
      <c r="IO22" s="209"/>
      <c r="IP22" s="209"/>
      <c r="IQ22" s="209"/>
      <c r="IR22" s="209"/>
      <c r="IS22" s="209"/>
      <c r="IT22" s="209"/>
      <c r="IU22" s="209"/>
    </row>
    <row r="23" spans="1:255">
      <c r="A23" s="991"/>
      <c r="B23" s="992"/>
      <c r="C23" s="993"/>
      <c r="D23" s="992"/>
      <c r="E23" s="994"/>
      <c r="F23" s="994"/>
      <c r="G23" s="994"/>
      <c r="H23" s="994"/>
      <c r="I23" s="995"/>
      <c r="J23" s="995"/>
      <c r="K23" s="995"/>
      <c r="L23" s="995"/>
      <c r="M23" s="614">
        <f t="shared" si="52"/>
        <v>0</v>
      </c>
      <c r="N23" s="995"/>
      <c r="O23" s="995"/>
      <c r="P23" s="995"/>
      <c r="Q23" s="995"/>
      <c r="R23" s="614">
        <f t="shared" si="15"/>
        <v>0</v>
      </c>
      <c r="S23" s="614">
        <f t="shared" si="6"/>
        <v>0</v>
      </c>
      <c r="T23" s="614">
        <f t="shared" si="7"/>
        <v>0</v>
      </c>
      <c r="U23" s="614">
        <f t="shared" si="8"/>
        <v>0</v>
      </c>
      <c r="V23" s="614">
        <f t="shared" si="9"/>
        <v>0</v>
      </c>
      <c r="W23" s="614">
        <f t="shared" si="10"/>
        <v>0</v>
      </c>
      <c r="X23" s="614">
        <f t="shared" si="11"/>
        <v>0</v>
      </c>
      <c r="Y23" s="614">
        <f t="shared" si="12"/>
        <v>0</v>
      </c>
      <c r="Z23" s="614">
        <f t="shared" si="13"/>
        <v>0</v>
      </c>
      <c r="AA23" s="614">
        <f t="shared" si="14"/>
        <v>0</v>
      </c>
      <c r="AB23" s="614">
        <f t="shared" si="16"/>
        <v>0</v>
      </c>
      <c r="AC23" s="614">
        <f t="shared" si="17"/>
        <v>0</v>
      </c>
      <c r="AD23" s="614">
        <f t="shared" si="18"/>
        <v>0</v>
      </c>
      <c r="AE23" s="614">
        <f t="shared" si="19"/>
        <v>0</v>
      </c>
      <c r="AF23" s="994"/>
      <c r="AG23" s="994"/>
      <c r="AH23" s="996"/>
      <c r="AI23" s="614">
        <f t="shared" si="20"/>
        <v>0</v>
      </c>
      <c r="AJ23" s="996"/>
      <c r="AK23" s="614">
        <f t="shared" si="21"/>
        <v>0</v>
      </c>
      <c r="AL23" s="997"/>
      <c r="AM23" s="614">
        <f t="shared" si="22"/>
        <v>0</v>
      </c>
      <c r="AN23" s="996"/>
      <c r="AO23" s="614">
        <f t="shared" si="23"/>
        <v>0</v>
      </c>
      <c r="AP23" s="614">
        <f t="shared" si="24"/>
        <v>0</v>
      </c>
      <c r="AQ23" s="994"/>
      <c r="AR23" s="994"/>
      <c r="AS23" s="996"/>
      <c r="AT23" s="614">
        <f t="shared" si="25"/>
        <v>0</v>
      </c>
      <c r="AU23" s="996"/>
      <c r="AV23" s="614">
        <f t="shared" si="26"/>
        <v>0</v>
      </c>
      <c r="AW23" s="997"/>
      <c r="AX23" s="614">
        <f t="shared" si="27"/>
        <v>0</v>
      </c>
      <c r="AY23" s="987">
        <f t="shared" si="28"/>
        <v>0</v>
      </c>
      <c r="AZ23" s="987">
        <f t="shared" si="29"/>
        <v>0</v>
      </c>
      <c r="BA23" s="614">
        <f t="shared" si="30"/>
        <v>0</v>
      </c>
      <c r="BB23" s="614">
        <f t="shared" si="31"/>
        <v>0</v>
      </c>
      <c r="BC23" s="614">
        <f t="shared" si="32"/>
        <v>0</v>
      </c>
      <c r="BD23" s="994"/>
      <c r="BE23" s="994"/>
      <c r="BF23" s="614">
        <f t="shared" si="33"/>
        <v>0</v>
      </c>
      <c r="BG23" s="614">
        <f t="shared" si="34"/>
        <v>0</v>
      </c>
      <c r="BH23" s="614">
        <f t="shared" si="35"/>
        <v>0</v>
      </c>
      <c r="BI23" s="614">
        <f t="shared" si="36"/>
        <v>0</v>
      </c>
      <c r="BJ23" s="614">
        <f t="shared" si="37"/>
        <v>0</v>
      </c>
      <c r="BK23" s="614">
        <f t="shared" si="38"/>
        <v>0</v>
      </c>
      <c r="BL23" s="614">
        <f t="shared" si="39"/>
        <v>0</v>
      </c>
      <c r="BM23" s="614">
        <f t="shared" si="40"/>
        <v>0</v>
      </c>
      <c r="BN23" s="614">
        <f t="shared" si="41"/>
        <v>0</v>
      </c>
      <c r="BO23" s="614">
        <f t="shared" si="42"/>
        <v>0</v>
      </c>
      <c r="BP23" s="614">
        <f t="shared" si="43"/>
        <v>0</v>
      </c>
      <c r="BQ23" s="614">
        <f t="shared" si="44"/>
        <v>0</v>
      </c>
      <c r="BR23" s="614">
        <f t="shared" si="45"/>
        <v>0</v>
      </c>
      <c r="BS23" s="614">
        <f t="shared" si="46"/>
        <v>0</v>
      </c>
      <c r="BT23" s="614">
        <f t="shared" si="47"/>
        <v>0</v>
      </c>
      <c r="BU23" s="614">
        <f t="shared" si="48"/>
        <v>0</v>
      </c>
      <c r="BV23" s="614">
        <f t="shared" si="49"/>
        <v>0</v>
      </c>
      <c r="BW23" s="614">
        <f t="shared" si="50"/>
        <v>0</v>
      </c>
      <c r="BX23" s="614">
        <f t="shared" si="51"/>
        <v>0</v>
      </c>
      <c r="BY23" s="209"/>
      <c r="BZ23" s="209"/>
      <c r="CA23" s="209"/>
      <c r="CB23" s="209"/>
      <c r="CC23" s="209"/>
      <c r="CD23" s="209"/>
      <c r="CE23" s="209"/>
      <c r="CF23" s="209"/>
      <c r="CG23" s="209"/>
      <c r="CH23" s="209"/>
      <c r="CI23" s="209"/>
      <c r="CJ23" s="209"/>
      <c r="CK23" s="209"/>
      <c r="CL23" s="209"/>
      <c r="CM23" s="209"/>
      <c r="CN23" s="209"/>
      <c r="CO23" s="209"/>
      <c r="CP23" s="209"/>
      <c r="CQ23" s="209"/>
      <c r="CR23" s="209"/>
      <c r="CS23" s="209"/>
      <c r="CT23" s="209"/>
      <c r="CU23" s="209"/>
      <c r="CV23" s="209"/>
      <c r="CW23" s="209"/>
      <c r="CX23" s="209"/>
      <c r="CY23" s="209"/>
      <c r="CZ23" s="209"/>
      <c r="DA23" s="209"/>
      <c r="DB23" s="209"/>
      <c r="DC23" s="209"/>
      <c r="DD23" s="209"/>
      <c r="DE23" s="209"/>
      <c r="DF23" s="209"/>
      <c r="DG23" s="209"/>
      <c r="DH23" s="209"/>
      <c r="DI23" s="209"/>
      <c r="DJ23" s="209"/>
      <c r="DK23" s="209"/>
      <c r="DL23" s="209"/>
      <c r="DM23" s="209"/>
      <c r="DN23" s="209"/>
      <c r="DO23" s="209"/>
      <c r="DP23" s="209"/>
      <c r="DQ23" s="209"/>
      <c r="DR23" s="209"/>
      <c r="DS23" s="209"/>
      <c r="DT23" s="209"/>
      <c r="DU23" s="209"/>
      <c r="DV23" s="209"/>
      <c r="DW23" s="209"/>
      <c r="DX23" s="209"/>
      <c r="DY23" s="209"/>
      <c r="DZ23" s="209"/>
      <c r="EA23" s="209"/>
      <c r="EB23" s="209"/>
      <c r="EC23" s="209"/>
      <c r="ED23" s="209"/>
      <c r="EE23" s="209"/>
      <c r="EF23" s="209"/>
      <c r="EG23" s="209"/>
      <c r="EH23" s="209"/>
      <c r="EI23" s="209"/>
      <c r="EJ23" s="209"/>
      <c r="EK23" s="209"/>
      <c r="EL23" s="209"/>
      <c r="EM23" s="209"/>
      <c r="EN23" s="209"/>
      <c r="EO23" s="209"/>
      <c r="EP23" s="209"/>
      <c r="EQ23" s="209"/>
      <c r="ER23" s="209"/>
      <c r="ES23" s="209"/>
      <c r="ET23" s="209"/>
      <c r="EU23" s="209"/>
      <c r="EV23" s="209"/>
      <c r="EW23" s="209"/>
      <c r="EX23" s="209"/>
      <c r="EY23" s="209"/>
      <c r="EZ23" s="209"/>
      <c r="FA23" s="209"/>
      <c r="FB23" s="209"/>
      <c r="FC23" s="209"/>
      <c r="FD23" s="209"/>
      <c r="FE23" s="209"/>
      <c r="FF23" s="209"/>
      <c r="FG23" s="209"/>
      <c r="FH23" s="209"/>
      <c r="FI23" s="209"/>
      <c r="FJ23" s="209"/>
      <c r="FK23" s="209"/>
      <c r="FL23" s="209"/>
      <c r="FM23" s="209"/>
      <c r="FN23" s="209"/>
      <c r="FO23" s="209"/>
      <c r="FP23" s="209"/>
      <c r="FQ23" s="209"/>
      <c r="FR23" s="209"/>
      <c r="FS23" s="209"/>
      <c r="FT23" s="209"/>
      <c r="FU23" s="209"/>
      <c r="FV23" s="209"/>
      <c r="FW23" s="209"/>
      <c r="FX23" s="209"/>
      <c r="FY23" s="209"/>
      <c r="FZ23" s="209"/>
      <c r="GA23" s="209"/>
      <c r="GB23" s="209"/>
      <c r="GC23" s="209"/>
      <c r="GD23" s="209"/>
      <c r="GE23" s="209"/>
      <c r="GF23" s="209"/>
      <c r="GG23" s="209"/>
      <c r="GH23" s="209"/>
      <c r="GI23" s="209"/>
      <c r="GJ23" s="209"/>
      <c r="GK23" s="209"/>
      <c r="GL23" s="209"/>
      <c r="GM23" s="209"/>
      <c r="GN23" s="209"/>
      <c r="GO23" s="209"/>
      <c r="GP23" s="209"/>
      <c r="GQ23" s="209"/>
      <c r="GR23" s="209"/>
      <c r="GS23" s="209"/>
      <c r="GT23" s="209"/>
      <c r="GU23" s="209"/>
      <c r="GV23" s="209"/>
      <c r="GW23" s="209"/>
      <c r="GX23" s="209"/>
      <c r="GY23" s="209"/>
      <c r="GZ23" s="209"/>
      <c r="HA23" s="209"/>
      <c r="HB23" s="209"/>
      <c r="HC23" s="209"/>
      <c r="HD23" s="209"/>
      <c r="HE23" s="209"/>
      <c r="HF23" s="209"/>
      <c r="HG23" s="209"/>
      <c r="HH23" s="209"/>
      <c r="HI23" s="209"/>
      <c r="HJ23" s="209"/>
      <c r="HK23" s="209"/>
      <c r="HL23" s="209"/>
      <c r="HM23" s="209"/>
      <c r="HN23" s="209"/>
      <c r="HO23" s="209"/>
      <c r="HP23" s="209"/>
      <c r="HQ23" s="209"/>
      <c r="HR23" s="209"/>
      <c r="HS23" s="209"/>
      <c r="HT23" s="209"/>
      <c r="HU23" s="209"/>
      <c r="HV23" s="209"/>
      <c r="HW23" s="209"/>
      <c r="HX23" s="209"/>
      <c r="HY23" s="209"/>
      <c r="HZ23" s="209"/>
      <c r="IA23" s="209"/>
      <c r="IB23" s="209"/>
      <c r="IC23" s="209"/>
      <c r="ID23" s="209"/>
      <c r="IE23" s="209"/>
      <c r="IF23" s="209"/>
      <c r="IG23" s="209"/>
      <c r="IH23" s="209"/>
      <c r="II23" s="209"/>
      <c r="IJ23" s="209"/>
      <c r="IK23" s="209"/>
      <c r="IL23" s="209"/>
      <c r="IM23" s="209"/>
      <c r="IN23" s="209"/>
      <c r="IO23" s="209"/>
      <c r="IP23" s="209"/>
      <c r="IQ23" s="209"/>
      <c r="IR23" s="209"/>
      <c r="IS23" s="209"/>
      <c r="IT23" s="209"/>
      <c r="IU23" s="209"/>
    </row>
    <row r="24" spans="1:255">
      <c r="A24" s="991"/>
      <c r="B24" s="992"/>
      <c r="C24" s="993"/>
      <c r="D24" s="992"/>
      <c r="E24" s="994"/>
      <c r="F24" s="994"/>
      <c r="G24" s="994"/>
      <c r="H24" s="994"/>
      <c r="I24" s="995"/>
      <c r="J24" s="995"/>
      <c r="K24" s="995"/>
      <c r="L24" s="995"/>
      <c r="M24" s="614">
        <f t="shared" si="52"/>
        <v>0</v>
      </c>
      <c r="N24" s="995"/>
      <c r="O24" s="995"/>
      <c r="P24" s="995"/>
      <c r="Q24" s="995"/>
      <c r="R24" s="614">
        <f t="shared" si="15"/>
        <v>0</v>
      </c>
      <c r="S24" s="614">
        <f t="shared" si="6"/>
        <v>0</v>
      </c>
      <c r="T24" s="614">
        <f t="shared" si="7"/>
        <v>0</v>
      </c>
      <c r="U24" s="614">
        <f t="shared" si="8"/>
        <v>0</v>
      </c>
      <c r="V24" s="614">
        <f t="shared" si="9"/>
        <v>0</v>
      </c>
      <c r="W24" s="614">
        <f t="shared" si="10"/>
        <v>0</v>
      </c>
      <c r="X24" s="614">
        <f t="shared" si="11"/>
        <v>0</v>
      </c>
      <c r="Y24" s="614">
        <f t="shared" si="12"/>
        <v>0</v>
      </c>
      <c r="Z24" s="614">
        <f t="shared" si="13"/>
        <v>0</v>
      </c>
      <c r="AA24" s="614">
        <f t="shared" si="14"/>
        <v>0</v>
      </c>
      <c r="AB24" s="614">
        <f t="shared" si="16"/>
        <v>0</v>
      </c>
      <c r="AC24" s="614">
        <f t="shared" si="17"/>
        <v>0</v>
      </c>
      <c r="AD24" s="614">
        <f t="shared" si="18"/>
        <v>0</v>
      </c>
      <c r="AE24" s="614">
        <f t="shared" si="19"/>
        <v>0</v>
      </c>
      <c r="AF24" s="994"/>
      <c r="AG24" s="994"/>
      <c r="AH24" s="996"/>
      <c r="AI24" s="614">
        <f t="shared" si="20"/>
        <v>0</v>
      </c>
      <c r="AJ24" s="996"/>
      <c r="AK24" s="614">
        <f t="shared" si="21"/>
        <v>0</v>
      </c>
      <c r="AL24" s="997"/>
      <c r="AM24" s="614">
        <f t="shared" si="22"/>
        <v>0</v>
      </c>
      <c r="AN24" s="996"/>
      <c r="AO24" s="614">
        <f t="shared" si="23"/>
        <v>0</v>
      </c>
      <c r="AP24" s="614">
        <f t="shared" si="24"/>
        <v>0</v>
      </c>
      <c r="AQ24" s="994"/>
      <c r="AR24" s="994"/>
      <c r="AS24" s="996"/>
      <c r="AT24" s="614">
        <f t="shared" si="25"/>
        <v>0</v>
      </c>
      <c r="AU24" s="996"/>
      <c r="AV24" s="614">
        <f t="shared" si="26"/>
        <v>0</v>
      </c>
      <c r="AW24" s="997"/>
      <c r="AX24" s="614">
        <f t="shared" si="27"/>
        <v>0</v>
      </c>
      <c r="AY24" s="987">
        <f t="shared" si="28"/>
        <v>0</v>
      </c>
      <c r="AZ24" s="987">
        <f t="shared" si="29"/>
        <v>0</v>
      </c>
      <c r="BA24" s="614">
        <f t="shared" si="30"/>
        <v>0</v>
      </c>
      <c r="BB24" s="614">
        <f t="shared" si="31"/>
        <v>0</v>
      </c>
      <c r="BC24" s="614">
        <f t="shared" si="32"/>
        <v>0</v>
      </c>
      <c r="BD24" s="994"/>
      <c r="BE24" s="994"/>
      <c r="BF24" s="614">
        <f t="shared" si="33"/>
        <v>0</v>
      </c>
      <c r="BG24" s="614">
        <f t="shared" si="34"/>
        <v>0</v>
      </c>
      <c r="BH24" s="614">
        <f t="shared" si="35"/>
        <v>0</v>
      </c>
      <c r="BI24" s="614">
        <f t="shared" si="36"/>
        <v>0</v>
      </c>
      <c r="BJ24" s="614">
        <f t="shared" si="37"/>
        <v>0</v>
      </c>
      <c r="BK24" s="614">
        <f t="shared" si="38"/>
        <v>0</v>
      </c>
      <c r="BL24" s="614">
        <f t="shared" si="39"/>
        <v>0</v>
      </c>
      <c r="BM24" s="614">
        <f t="shared" si="40"/>
        <v>0</v>
      </c>
      <c r="BN24" s="614">
        <f t="shared" si="41"/>
        <v>0</v>
      </c>
      <c r="BO24" s="614">
        <f t="shared" si="42"/>
        <v>0</v>
      </c>
      <c r="BP24" s="614">
        <f t="shared" si="43"/>
        <v>0</v>
      </c>
      <c r="BQ24" s="614">
        <f t="shared" si="44"/>
        <v>0</v>
      </c>
      <c r="BR24" s="614">
        <f t="shared" si="45"/>
        <v>0</v>
      </c>
      <c r="BS24" s="614">
        <f t="shared" si="46"/>
        <v>0</v>
      </c>
      <c r="BT24" s="614">
        <f t="shared" si="47"/>
        <v>0</v>
      </c>
      <c r="BU24" s="614">
        <f t="shared" si="48"/>
        <v>0</v>
      </c>
      <c r="BV24" s="614">
        <f t="shared" si="49"/>
        <v>0</v>
      </c>
      <c r="BW24" s="614">
        <f t="shared" si="50"/>
        <v>0</v>
      </c>
      <c r="BX24" s="614">
        <f t="shared" si="51"/>
        <v>0</v>
      </c>
      <c r="BY24" s="209"/>
      <c r="BZ24" s="209"/>
      <c r="CA24" s="209"/>
      <c r="CB24" s="209"/>
      <c r="CC24" s="209"/>
      <c r="CD24" s="209"/>
      <c r="CE24" s="209"/>
      <c r="CF24" s="209"/>
      <c r="CG24" s="209"/>
      <c r="CH24" s="209"/>
      <c r="CI24" s="209"/>
      <c r="CJ24" s="209"/>
      <c r="CK24" s="209"/>
      <c r="CL24" s="209"/>
      <c r="CM24" s="209"/>
      <c r="CN24" s="209"/>
      <c r="CO24" s="209"/>
      <c r="CP24" s="209"/>
      <c r="CQ24" s="209"/>
      <c r="CR24" s="209"/>
      <c r="CS24" s="209"/>
      <c r="CT24" s="209"/>
      <c r="CU24" s="209"/>
      <c r="CV24" s="209"/>
      <c r="CW24" s="209"/>
      <c r="CX24" s="209"/>
      <c r="CY24" s="209"/>
      <c r="CZ24" s="209"/>
      <c r="DA24" s="209"/>
      <c r="DB24" s="209"/>
      <c r="DC24" s="209"/>
      <c r="DD24" s="209"/>
      <c r="DE24" s="209"/>
      <c r="DF24" s="209"/>
      <c r="DG24" s="209"/>
      <c r="DH24" s="209"/>
      <c r="DI24" s="209"/>
      <c r="DJ24" s="209"/>
      <c r="DK24" s="209"/>
      <c r="DL24" s="209"/>
      <c r="DM24" s="209"/>
      <c r="DN24" s="209"/>
      <c r="DO24" s="209"/>
      <c r="DP24" s="209"/>
      <c r="DQ24" s="209"/>
      <c r="DR24" s="209"/>
      <c r="DS24" s="209"/>
      <c r="DT24" s="209"/>
      <c r="DU24" s="209"/>
      <c r="DV24" s="209"/>
      <c r="DW24" s="209"/>
      <c r="DX24" s="209"/>
      <c r="DY24" s="209"/>
      <c r="DZ24" s="209"/>
      <c r="EA24" s="209"/>
      <c r="EB24" s="209"/>
      <c r="EC24" s="209"/>
      <c r="ED24" s="209"/>
      <c r="EE24" s="209"/>
      <c r="EF24" s="209"/>
      <c r="EG24" s="209"/>
      <c r="EH24" s="209"/>
      <c r="EI24" s="209"/>
      <c r="EJ24" s="209"/>
      <c r="EK24" s="209"/>
      <c r="EL24" s="209"/>
      <c r="EM24" s="209"/>
      <c r="EN24" s="209"/>
      <c r="EO24" s="209"/>
      <c r="EP24" s="209"/>
      <c r="EQ24" s="209"/>
      <c r="ER24" s="209"/>
      <c r="ES24" s="209"/>
      <c r="ET24" s="209"/>
      <c r="EU24" s="209"/>
      <c r="EV24" s="209"/>
      <c r="EW24" s="209"/>
      <c r="EX24" s="209"/>
      <c r="EY24" s="209"/>
      <c r="EZ24" s="209"/>
      <c r="FA24" s="209"/>
      <c r="FB24" s="209"/>
      <c r="FC24" s="209"/>
      <c r="FD24" s="209"/>
      <c r="FE24" s="209"/>
      <c r="FF24" s="209"/>
      <c r="FG24" s="209"/>
      <c r="FH24" s="209"/>
      <c r="FI24" s="209"/>
      <c r="FJ24" s="209"/>
      <c r="FK24" s="209"/>
      <c r="FL24" s="209"/>
      <c r="FM24" s="209"/>
      <c r="FN24" s="209"/>
      <c r="FO24" s="209"/>
      <c r="FP24" s="209"/>
      <c r="FQ24" s="209"/>
      <c r="FR24" s="209"/>
      <c r="FS24" s="209"/>
      <c r="FT24" s="209"/>
      <c r="FU24" s="209"/>
      <c r="FV24" s="209"/>
      <c r="FW24" s="209"/>
      <c r="FX24" s="209"/>
      <c r="FY24" s="209"/>
      <c r="FZ24" s="209"/>
      <c r="GA24" s="209"/>
      <c r="GB24" s="209"/>
      <c r="GC24" s="209"/>
      <c r="GD24" s="209"/>
      <c r="GE24" s="209"/>
      <c r="GF24" s="209"/>
      <c r="GG24" s="209"/>
      <c r="GH24" s="209"/>
      <c r="GI24" s="209"/>
      <c r="GJ24" s="209"/>
      <c r="GK24" s="209"/>
      <c r="GL24" s="209"/>
      <c r="GM24" s="209"/>
      <c r="GN24" s="209"/>
      <c r="GO24" s="209"/>
      <c r="GP24" s="209"/>
      <c r="GQ24" s="209"/>
      <c r="GR24" s="209"/>
      <c r="GS24" s="209"/>
      <c r="GT24" s="209"/>
      <c r="GU24" s="209"/>
      <c r="GV24" s="209"/>
      <c r="GW24" s="209"/>
      <c r="GX24" s="209"/>
      <c r="GY24" s="209"/>
      <c r="GZ24" s="209"/>
      <c r="HA24" s="209"/>
      <c r="HB24" s="209"/>
      <c r="HC24" s="209"/>
      <c r="HD24" s="209"/>
      <c r="HE24" s="209"/>
      <c r="HF24" s="209"/>
      <c r="HG24" s="209"/>
      <c r="HH24" s="209"/>
      <c r="HI24" s="209"/>
      <c r="HJ24" s="209"/>
      <c r="HK24" s="209"/>
      <c r="HL24" s="209"/>
      <c r="HM24" s="209"/>
      <c r="HN24" s="209"/>
      <c r="HO24" s="209"/>
      <c r="HP24" s="209"/>
      <c r="HQ24" s="209"/>
      <c r="HR24" s="209"/>
      <c r="HS24" s="209"/>
      <c r="HT24" s="209"/>
      <c r="HU24" s="209"/>
      <c r="HV24" s="209"/>
      <c r="HW24" s="209"/>
      <c r="HX24" s="209"/>
      <c r="HY24" s="209"/>
      <c r="HZ24" s="209"/>
      <c r="IA24" s="209"/>
      <c r="IB24" s="209"/>
      <c r="IC24" s="209"/>
      <c r="ID24" s="209"/>
      <c r="IE24" s="209"/>
      <c r="IF24" s="209"/>
      <c r="IG24" s="209"/>
      <c r="IH24" s="209"/>
      <c r="II24" s="209"/>
      <c r="IJ24" s="209"/>
      <c r="IK24" s="209"/>
      <c r="IL24" s="209"/>
      <c r="IM24" s="209"/>
      <c r="IN24" s="209"/>
      <c r="IO24" s="209"/>
      <c r="IP24" s="209"/>
      <c r="IQ24" s="209"/>
      <c r="IR24" s="209"/>
      <c r="IS24" s="209"/>
      <c r="IT24" s="209"/>
      <c r="IU24" s="209"/>
    </row>
    <row r="25" spans="1:255">
      <c r="A25" s="991"/>
      <c r="B25" s="992"/>
      <c r="C25" s="993"/>
      <c r="D25" s="992"/>
      <c r="E25" s="994"/>
      <c r="F25" s="994"/>
      <c r="G25" s="994"/>
      <c r="H25" s="994"/>
      <c r="I25" s="995"/>
      <c r="J25" s="995"/>
      <c r="K25" s="995"/>
      <c r="L25" s="995"/>
      <c r="M25" s="614">
        <f t="shared" si="52"/>
        <v>0</v>
      </c>
      <c r="N25" s="995"/>
      <c r="O25" s="995"/>
      <c r="P25" s="995"/>
      <c r="Q25" s="995"/>
      <c r="R25" s="614">
        <f t="shared" si="15"/>
        <v>0</v>
      </c>
      <c r="S25" s="614">
        <f t="shared" si="6"/>
        <v>0</v>
      </c>
      <c r="T25" s="614">
        <f t="shared" si="7"/>
        <v>0</v>
      </c>
      <c r="U25" s="614">
        <f t="shared" si="8"/>
        <v>0</v>
      </c>
      <c r="V25" s="614">
        <f t="shared" si="9"/>
        <v>0</v>
      </c>
      <c r="W25" s="614">
        <f t="shared" si="10"/>
        <v>0</v>
      </c>
      <c r="X25" s="614">
        <f t="shared" si="11"/>
        <v>0</v>
      </c>
      <c r="Y25" s="614">
        <f t="shared" si="12"/>
        <v>0</v>
      </c>
      <c r="Z25" s="614">
        <f t="shared" si="13"/>
        <v>0</v>
      </c>
      <c r="AA25" s="614">
        <f t="shared" si="14"/>
        <v>0</v>
      </c>
      <c r="AB25" s="614">
        <f t="shared" si="16"/>
        <v>0</v>
      </c>
      <c r="AC25" s="614">
        <f t="shared" si="17"/>
        <v>0</v>
      </c>
      <c r="AD25" s="614">
        <f t="shared" si="18"/>
        <v>0</v>
      </c>
      <c r="AE25" s="614">
        <f t="shared" si="19"/>
        <v>0</v>
      </c>
      <c r="AF25" s="994"/>
      <c r="AG25" s="994"/>
      <c r="AH25" s="996"/>
      <c r="AI25" s="614">
        <f t="shared" si="20"/>
        <v>0</v>
      </c>
      <c r="AJ25" s="996"/>
      <c r="AK25" s="614">
        <f t="shared" si="21"/>
        <v>0</v>
      </c>
      <c r="AL25" s="997"/>
      <c r="AM25" s="614">
        <f t="shared" si="22"/>
        <v>0</v>
      </c>
      <c r="AN25" s="996"/>
      <c r="AO25" s="614">
        <f t="shared" si="23"/>
        <v>0</v>
      </c>
      <c r="AP25" s="614">
        <f t="shared" si="24"/>
        <v>0</v>
      </c>
      <c r="AQ25" s="994"/>
      <c r="AR25" s="994"/>
      <c r="AS25" s="996"/>
      <c r="AT25" s="614">
        <f t="shared" si="25"/>
        <v>0</v>
      </c>
      <c r="AU25" s="996"/>
      <c r="AV25" s="614">
        <f t="shared" si="26"/>
        <v>0</v>
      </c>
      <c r="AW25" s="997"/>
      <c r="AX25" s="614">
        <f t="shared" si="27"/>
        <v>0</v>
      </c>
      <c r="AY25" s="987">
        <f t="shared" si="28"/>
        <v>0</v>
      </c>
      <c r="AZ25" s="987">
        <f t="shared" si="29"/>
        <v>0</v>
      </c>
      <c r="BA25" s="614">
        <f t="shared" si="30"/>
        <v>0</v>
      </c>
      <c r="BB25" s="614">
        <f t="shared" si="31"/>
        <v>0</v>
      </c>
      <c r="BC25" s="614">
        <f t="shared" si="32"/>
        <v>0</v>
      </c>
      <c r="BD25" s="994"/>
      <c r="BE25" s="994"/>
      <c r="BF25" s="614">
        <f t="shared" si="33"/>
        <v>0</v>
      </c>
      <c r="BG25" s="614">
        <f t="shared" si="34"/>
        <v>0</v>
      </c>
      <c r="BH25" s="614">
        <f t="shared" si="35"/>
        <v>0</v>
      </c>
      <c r="BI25" s="614">
        <f t="shared" si="36"/>
        <v>0</v>
      </c>
      <c r="BJ25" s="614">
        <f t="shared" si="37"/>
        <v>0</v>
      </c>
      <c r="BK25" s="614">
        <f t="shared" si="38"/>
        <v>0</v>
      </c>
      <c r="BL25" s="614">
        <f t="shared" si="39"/>
        <v>0</v>
      </c>
      <c r="BM25" s="614">
        <f t="shared" si="40"/>
        <v>0</v>
      </c>
      <c r="BN25" s="614">
        <f t="shared" si="41"/>
        <v>0</v>
      </c>
      <c r="BO25" s="614">
        <f t="shared" si="42"/>
        <v>0</v>
      </c>
      <c r="BP25" s="614">
        <f t="shared" si="43"/>
        <v>0</v>
      </c>
      <c r="BQ25" s="614">
        <f t="shared" si="44"/>
        <v>0</v>
      </c>
      <c r="BR25" s="614">
        <f t="shared" si="45"/>
        <v>0</v>
      </c>
      <c r="BS25" s="614">
        <f t="shared" si="46"/>
        <v>0</v>
      </c>
      <c r="BT25" s="614">
        <f t="shared" si="47"/>
        <v>0</v>
      </c>
      <c r="BU25" s="614">
        <f t="shared" si="48"/>
        <v>0</v>
      </c>
      <c r="BV25" s="614">
        <f t="shared" si="49"/>
        <v>0</v>
      </c>
      <c r="BW25" s="614">
        <f t="shared" si="50"/>
        <v>0</v>
      </c>
      <c r="BX25" s="614">
        <f t="shared" si="51"/>
        <v>0</v>
      </c>
      <c r="BY25" s="209"/>
      <c r="BZ25" s="209"/>
      <c r="CA25" s="209"/>
      <c r="CB25" s="209"/>
      <c r="CC25" s="209"/>
      <c r="CD25" s="209"/>
      <c r="CE25" s="209"/>
      <c r="CF25" s="209"/>
      <c r="CG25" s="209"/>
      <c r="CH25" s="209"/>
      <c r="CI25" s="209"/>
      <c r="CJ25" s="209"/>
      <c r="CK25" s="209"/>
      <c r="CL25" s="209"/>
      <c r="CM25" s="209"/>
      <c r="CN25" s="209"/>
      <c r="CO25" s="209"/>
      <c r="CP25" s="209"/>
      <c r="CQ25" s="209"/>
      <c r="CR25" s="209"/>
      <c r="CS25" s="209"/>
      <c r="CT25" s="209"/>
      <c r="CU25" s="209"/>
      <c r="CV25" s="209"/>
      <c r="CW25" s="209"/>
      <c r="CX25" s="209"/>
      <c r="CY25" s="209"/>
      <c r="CZ25" s="209"/>
      <c r="DA25" s="209"/>
      <c r="DB25" s="209"/>
      <c r="DC25" s="209"/>
      <c r="DD25" s="209"/>
      <c r="DE25" s="209"/>
      <c r="DF25" s="209"/>
      <c r="DG25" s="209"/>
      <c r="DH25" s="209"/>
      <c r="DI25" s="209"/>
      <c r="DJ25" s="209"/>
      <c r="DK25" s="209"/>
      <c r="DL25" s="209"/>
      <c r="DM25" s="209"/>
      <c r="DN25" s="209"/>
      <c r="DO25" s="209"/>
      <c r="DP25" s="209"/>
      <c r="DQ25" s="209"/>
      <c r="DR25" s="209"/>
      <c r="DS25" s="209"/>
      <c r="DT25" s="209"/>
      <c r="DU25" s="209"/>
      <c r="DV25" s="209"/>
      <c r="DW25" s="209"/>
      <c r="DX25" s="209"/>
      <c r="DY25" s="209"/>
      <c r="DZ25" s="209"/>
      <c r="EA25" s="209"/>
      <c r="EB25" s="209"/>
      <c r="EC25" s="209"/>
      <c r="ED25" s="209"/>
      <c r="EE25" s="209"/>
      <c r="EF25" s="209"/>
      <c r="EG25" s="209"/>
      <c r="EH25" s="209"/>
      <c r="EI25" s="209"/>
      <c r="EJ25" s="209"/>
      <c r="EK25" s="209"/>
      <c r="EL25" s="209"/>
      <c r="EM25" s="209"/>
      <c r="EN25" s="209"/>
      <c r="EO25" s="209"/>
      <c r="EP25" s="209"/>
      <c r="EQ25" s="209"/>
      <c r="ER25" s="209"/>
      <c r="ES25" s="209"/>
      <c r="ET25" s="209"/>
      <c r="EU25" s="209"/>
      <c r="EV25" s="209"/>
      <c r="EW25" s="209"/>
      <c r="EX25" s="209"/>
      <c r="EY25" s="209"/>
      <c r="EZ25" s="209"/>
      <c r="FA25" s="209"/>
      <c r="FB25" s="209"/>
      <c r="FC25" s="209"/>
      <c r="FD25" s="209"/>
      <c r="FE25" s="209"/>
      <c r="FF25" s="209"/>
      <c r="FG25" s="209"/>
      <c r="FH25" s="209"/>
      <c r="FI25" s="209"/>
      <c r="FJ25" s="209"/>
      <c r="FK25" s="209"/>
      <c r="FL25" s="209"/>
      <c r="FM25" s="209"/>
      <c r="FN25" s="209"/>
      <c r="FO25" s="209"/>
      <c r="FP25" s="209"/>
      <c r="FQ25" s="209"/>
      <c r="FR25" s="209"/>
      <c r="FS25" s="209"/>
      <c r="FT25" s="209"/>
      <c r="FU25" s="209"/>
      <c r="FV25" s="209"/>
      <c r="FW25" s="209"/>
      <c r="FX25" s="209"/>
      <c r="FY25" s="209"/>
      <c r="FZ25" s="209"/>
      <c r="GA25" s="209"/>
      <c r="GB25" s="209"/>
      <c r="GC25" s="209"/>
      <c r="GD25" s="209"/>
      <c r="GE25" s="209"/>
      <c r="GF25" s="209"/>
      <c r="GG25" s="209"/>
      <c r="GH25" s="209"/>
      <c r="GI25" s="209"/>
      <c r="GJ25" s="209"/>
      <c r="GK25" s="209"/>
      <c r="GL25" s="209"/>
      <c r="GM25" s="209"/>
      <c r="GN25" s="209"/>
      <c r="GO25" s="209"/>
      <c r="GP25" s="209"/>
      <c r="GQ25" s="209"/>
      <c r="GR25" s="209"/>
      <c r="GS25" s="209"/>
      <c r="GT25" s="209"/>
      <c r="GU25" s="209"/>
      <c r="GV25" s="209"/>
      <c r="GW25" s="209"/>
      <c r="GX25" s="209"/>
      <c r="GY25" s="209"/>
      <c r="GZ25" s="209"/>
      <c r="HA25" s="209"/>
      <c r="HB25" s="209"/>
      <c r="HC25" s="209"/>
      <c r="HD25" s="209"/>
      <c r="HE25" s="209"/>
      <c r="HF25" s="209"/>
      <c r="HG25" s="209"/>
      <c r="HH25" s="209"/>
      <c r="HI25" s="209"/>
      <c r="HJ25" s="209"/>
      <c r="HK25" s="209"/>
      <c r="HL25" s="209"/>
      <c r="HM25" s="209"/>
      <c r="HN25" s="209"/>
      <c r="HO25" s="209"/>
      <c r="HP25" s="209"/>
      <c r="HQ25" s="209"/>
      <c r="HR25" s="209"/>
      <c r="HS25" s="209"/>
      <c r="HT25" s="209"/>
      <c r="HU25" s="209"/>
      <c r="HV25" s="209"/>
      <c r="HW25" s="209"/>
      <c r="HX25" s="209"/>
      <c r="HY25" s="209"/>
      <c r="HZ25" s="209"/>
      <c r="IA25" s="209"/>
      <c r="IB25" s="209"/>
      <c r="IC25" s="209"/>
      <c r="ID25" s="209"/>
      <c r="IE25" s="209"/>
      <c r="IF25" s="209"/>
      <c r="IG25" s="209"/>
      <c r="IH25" s="209"/>
      <c r="II25" s="209"/>
      <c r="IJ25" s="209"/>
      <c r="IK25" s="209"/>
      <c r="IL25" s="209"/>
      <c r="IM25" s="209"/>
      <c r="IN25" s="209"/>
      <c r="IO25" s="209"/>
      <c r="IP25" s="209"/>
      <c r="IQ25" s="209"/>
      <c r="IR25" s="209"/>
      <c r="IS25" s="209"/>
      <c r="IT25" s="209"/>
      <c r="IU25" s="209"/>
    </row>
    <row r="26" spans="1:255">
      <c r="A26" s="991"/>
      <c r="B26" s="992"/>
      <c r="C26" s="993"/>
      <c r="D26" s="992"/>
      <c r="E26" s="994"/>
      <c r="F26" s="994"/>
      <c r="G26" s="994"/>
      <c r="H26" s="994"/>
      <c r="I26" s="995"/>
      <c r="J26" s="995"/>
      <c r="K26" s="995"/>
      <c r="L26" s="995"/>
      <c r="M26" s="614">
        <f t="shared" si="52"/>
        <v>0</v>
      </c>
      <c r="N26" s="995"/>
      <c r="O26" s="995"/>
      <c r="P26" s="995"/>
      <c r="Q26" s="995"/>
      <c r="R26" s="614">
        <f t="shared" si="15"/>
        <v>0</v>
      </c>
      <c r="S26" s="614">
        <f t="shared" si="6"/>
        <v>0</v>
      </c>
      <c r="T26" s="614">
        <f t="shared" si="7"/>
        <v>0</v>
      </c>
      <c r="U26" s="614">
        <f t="shared" si="8"/>
        <v>0</v>
      </c>
      <c r="V26" s="614">
        <f t="shared" si="9"/>
        <v>0</v>
      </c>
      <c r="W26" s="614">
        <f t="shared" si="10"/>
        <v>0</v>
      </c>
      <c r="X26" s="614">
        <f t="shared" si="11"/>
        <v>0</v>
      </c>
      <c r="Y26" s="614">
        <f t="shared" si="12"/>
        <v>0</v>
      </c>
      <c r="Z26" s="614">
        <f t="shared" si="13"/>
        <v>0</v>
      </c>
      <c r="AA26" s="614">
        <f t="shared" si="14"/>
        <v>0</v>
      </c>
      <c r="AB26" s="614">
        <f t="shared" si="16"/>
        <v>0</v>
      </c>
      <c r="AC26" s="614">
        <f t="shared" si="17"/>
        <v>0</v>
      </c>
      <c r="AD26" s="614">
        <f t="shared" si="18"/>
        <v>0</v>
      </c>
      <c r="AE26" s="614">
        <f t="shared" si="19"/>
        <v>0</v>
      </c>
      <c r="AF26" s="994"/>
      <c r="AG26" s="994"/>
      <c r="AH26" s="996"/>
      <c r="AI26" s="614">
        <f t="shared" si="20"/>
        <v>0</v>
      </c>
      <c r="AJ26" s="996"/>
      <c r="AK26" s="614">
        <f t="shared" si="21"/>
        <v>0</v>
      </c>
      <c r="AL26" s="997"/>
      <c r="AM26" s="614">
        <f t="shared" si="22"/>
        <v>0</v>
      </c>
      <c r="AN26" s="996"/>
      <c r="AO26" s="614">
        <f t="shared" si="23"/>
        <v>0</v>
      </c>
      <c r="AP26" s="614">
        <f t="shared" si="24"/>
        <v>0</v>
      </c>
      <c r="AQ26" s="994"/>
      <c r="AR26" s="994"/>
      <c r="AS26" s="996"/>
      <c r="AT26" s="614">
        <f t="shared" si="25"/>
        <v>0</v>
      </c>
      <c r="AU26" s="996"/>
      <c r="AV26" s="614">
        <f t="shared" si="26"/>
        <v>0</v>
      </c>
      <c r="AW26" s="997"/>
      <c r="AX26" s="614">
        <f t="shared" si="27"/>
        <v>0</v>
      </c>
      <c r="AY26" s="987">
        <f t="shared" si="28"/>
        <v>0</v>
      </c>
      <c r="AZ26" s="987">
        <f t="shared" si="29"/>
        <v>0</v>
      </c>
      <c r="BA26" s="614">
        <f t="shared" si="30"/>
        <v>0</v>
      </c>
      <c r="BB26" s="614">
        <f t="shared" si="31"/>
        <v>0</v>
      </c>
      <c r="BC26" s="614">
        <f t="shared" si="32"/>
        <v>0</v>
      </c>
      <c r="BD26" s="994"/>
      <c r="BE26" s="994"/>
      <c r="BF26" s="614">
        <f t="shared" si="33"/>
        <v>0</v>
      </c>
      <c r="BG26" s="614">
        <f t="shared" si="34"/>
        <v>0</v>
      </c>
      <c r="BH26" s="614">
        <f t="shared" si="35"/>
        <v>0</v>
      </c>
      <c r="BI26" s="614">
        <f t="shared" si="36"/>
        <v>0</v>
      </c>
      <c r="BJ26" s="614">
        <f t="shared" si="37"/>
        <v>0</v>
      </c>
      <c r="BK26" s="614">
        <f t="shared" si="38"/>
        <v>0</v>
      </c>
      <c r="BL26" s="614">
        <f t="shared" si="39"/>
        <v>0</v>
      </c>
      <c r="BM26" s="614">
        <f t="shared" si="40"/>
        <v>0</v>
      </c>
      <c r="BN26" s="614">
        <f t="shared" si="41"/>
        <v>0</v>
      </c>
      <c r="BO26" s="614">
        <f t="shared" si="42"/>
        <v>0</v>
      </c>
      <c r="BP26" s="614">
        <f t="shared" si="43"/>
        <v>0</v>
      </c>
      <c r="BQ26" s="614">
        <f t="shared" si="44"/>
        <v>0</v>
      </c>
      <c r="BR26" s="614">
        <f t="shared" si="45"/>
        <v>0</v>
      </c>
      <c r="BS26" s="614">
        <f t="shared" si="46"/>
        <v>0</v>
      </c>
      <c r="BT26" s="614">
        <f t="shared" si="47"/>
        <v>0</v>
      </c>
      <c r="BU26" s="614">
        <f t="shared" si="48"/>
        <v>0</v>
      </c>
      <c r="BV26" s="614">
        <f t="shared" si="49"/>
        <v>0</v>
      </c>
      <c r="BW26" s="614">
        <f t="shared" si="50"/>
        <v>0</v>
      </c>
      <c r="BX26" s="614">
        <f t="shared" si="51"/>
        <v>0</v>
      </c>
      <c r="BY26" s="209"/>
      <c r="BZ26" s="209"/>
      <c r="CA26" s="209"/>
      <c r="CB26" s="209"/>
      <c r="CC26" s="209"/>
      <c r="CD26" s="209"/>
      <c r="CE26" s="209"/>
      <c r="CF26" s="209"/>
      <c r="CG26" s="209"/>
      <c r="CH26" s="209"/>
      <c r="CI26" s="209"/>
      <c r="CJ26" s="209"/>
      <c r="CK26" s="209"/>
      <c r="CL26" s="209"/>
      <c r="CM26" s="209"/>
      <c r="CN26" s="209"/>
      <c r="CO26" s="209"/>
      <c r="CP26" s="209"/>
      <c r="CQ26" s="209"/>
      <c r="CR26" s="209"/>
      <c r="CS26" s="209"/>
      <c r="CT26" s="209"/>
      <c r="CU26" s="209"/>
      <c r="CV26" s="209"/>
      <c r="CW26" s="209"/>
      <c r="CX26" s="209"/>
      <c r="CY26" s="209"/>
      <c r="CZ26" s="209"/>
      <c r="DA26" s="209"/>
      <c r="DB26" s="209"/>
      <c r="DC26" s="209"/>
      <c r="DD26" s="209"/>
      <c r="DE26" s="209"/>
      <c r="DF26" s="209"/>
      <c r="DG26" s="209"/>
      <c r="DH26" s="209"/>
      <c r="DI26" s="209"/>
      <c r="DJ26" s="209"/>
      <c r="DK26" s="209"/>
      <c r="DL26" s="209"/>
      <c r="DM26" s="209"/>
      <c r="DN26" s="209"/>
      <c r="DO26" s="209"/>
      <c r="DP26" s="209"/>
      <c r="DQ26" s="209"/>
      <c r="DR26" s="209"/>
      <c r="DS26" s="209"/>
      <c r="DT26" s="209"/>
      <c r="DU26" s="209"/>
      <c r="DV26" s="209"/>
      <c r="DW26" s="209"/>
      <c r="DX26" s="209"/>
      <c r="DY26" s="209"/>
      <c r="DZ26" s="209"/>
      <c r="EA26" s="209"/>
      <c r="EB26" s="209"/>
      <c r="EC26" s="209"/>
      <c r="ED26" s="209"/>
      <c r="EE26" s="209"/>
      <c r="EF26" s="209"/>
      <c r="EG26" s="209"/>
      <c r="EH26" s="209"/>
      <c r="EI26" s="209"/>
      <c r="EJ26" s="209"/>
      <c r="EK26" s="209"/>
      <c r="EL26" s="209"/>
      <c r="EM26" s="209"/>
      <c r="EN26" s="209"/>
      <c r="EO26" s="209"/>
      <c r="EP26" s="209"/>
      <c r="EQ26" s="209"/>
      <c r="ER26" s="209"/>
      <c r="ES26" s="209"/>
      <c r="ET26" s="209"/>
      <c r="EU26" s="209"/>
      <c r="EV26" s="209"/>
      <c r="EW26" s="209"/>
      <c r="EX26" s="209"/>
      <c r="EY26" s="209"/>
      <c r="EZ26" s="209"/>
      <c r="FA26" s="209"/>
      <c r="FB26" s="209"/>
      <c r="FC26" s="209"/>
      <c r="FD26" s="209"/>
      <c r="FE26" s="209"/>
      <c r="FF26" s="209"/>
      <c r="FG26" s="209"/>
      <c r="FH26" s="209"/>
      <c r="FI26" s="209"/>
      <c r="FJ26" s="209"/>
      <c r="FK26" s="209"/>
      <c r="FL26" s="209"/>
      <c r="FM26" s="209"/>
      <c r="FN26" s="209"/>
      <c r="FO26" s="209"/>
      <c r="FP26" s="209"/>
      <c r="FQ26" s="209"/>
      <c r="FR26" s="209"/>
      <c r="FS26" s="209"/>
      <c r="FT26" s="209"/>
      <c r="FU26" s="209"/>
      <c r="FV26" s="209"/>
      <c r="FW26" s="209"/>
      <c r="FX26" s="209"/>
      <c r="FY26" s="209"/>
      <c r="FZ26" s="209"/>
      <c r="GA26" s="209"/>
      <c r="GB26" s="209"/>
      <c r="GC26" s="209"/>
      <c r="GD26" s="209"/>
      <c r="GE26" s="209"/>
      <c r="GF26" s="209"/>
      <c r="GG26" s="209"/>
      <c r="GH26" s="209"/>
      <c r="GI26" s="209"/>
      <c r="GJ26" s="209"/>
      <c r="GK26" s="209"/>
      <c r="GL26" s="209"/>
      <c r="GM26" s="209"/>
      <c r="GN26" s="209"/>
      <c r="GO26" s="209"/>
      <c r="GP26" s="209"/>
      <c r="GQ26" s="209"/>
      <c r="GR26" s="209"/>
      <c r="GS26" s="209"/>
      <c r="GT26" s="209"/>
      <c r="GU26" s="209"/>
      <c r="GV26" s="209"/>
      <c r="GW26" s="209"/>
      <c r="GX26" s="209"/>
      <c r="GY26" s="209"/>
      <c r="GZ26" s="209"/>
      <c r="HA26" s="209"/>
      <c r="HB26" s="209"/>
      <c r="HC26" s="209"/>
      <c r="HD26" s="209"/>
      <c r="HE26" s="209"/>
      <c r="HF26" s="209"/>
      <c r="HG26" s="209"/>
      <c r="HH26" s="209"/>
      <c r="HI26" s="209"/>
      <c r="HJ26" s="209"/>
      <c r="HK26" s="209"/>
      <c r="HL26" s="209"/>
      <c r="HM26" s="209"/>
      <c r="HN26" s="209"/>
      <c r="HO26" s="209"/>
      <c r="HP26" s="209"/>
      <c r="HQ26" s="209"/>
      <c r="HR26" s="209"/>
      <c r="HS26" s="209"/>
      <c r="HT26" s="209"/>
      <c r="HU26" s="209"/>
      <c r="HV26" s="209"/>
      <c r="HW26" s="209"/>
      <c r="HX26" s="209"/>
      <c r="HY26" s="209"/>
      <c r="HZ26" s="209"/>
      <c r="IA26" s="209"/>
      <c r="IB26" s="209"/>
      <c r="IC26" s="209"/>
      <c r="ID26" s="209"/>
      <c r="IE26" s="209"/>
      <c r="IF26" s="209"/>
      <c r="IG26" s="209"/>
      <c r="IH26" s="209"/>
      <c r="II26" s="209"/>
      <c r="IJ26" s="209"/>
      <c r="IK26" s="209"/>
      <c r="IL26" s="209"/>
      <c r="IM26" s="209"/>
      <c r="IN26" s="209"/>
      <c r="IO26" s="209"/>
      <c r="IP26" s="209"/>
      <c r="IQ26" s="209"/>
      <c r="IR26" s="209"/>
      <c r="IS26" s="209"/>
      <c r="IT26" s="209"/>
      <c r="IU26" s="209"/>
    </row>
    <row r="27" spans="1:255">
      <c r="A27" s="991"/>
      <c r="B27" s="992"/>
      <c r="C27" s="993"/>
      <c r="D27" s="992"/>
      <c r="E27" s="994"/>
      <c r="F27" s="994"/>
      <c r="G27" s="994"/>
      <c r="H27" s="994"/>
      <c r="I27" s="995"/>
      <c r="J27" s="995"/>
      <c r="K27" s="995"/>
      <c r="L27" s="995"/>
      <c r="M27" s="614">
        <f t="shared" si="52"/>
        <v>0</v>
      </c>
      <c r="N27" s="995"/>
      <c r="O27" s="995"/>
      <c r="P27" s="995"/>
      <c r="Q27" s="995"/>
      <c r="R27" s="614">
        <f t="shared" si="15"/>
        <v>0</v>
      </c>
      <c r="S27" s="614">
        <f t="shared" si="6"/>
        <v>0</v>
      </c>
      <c r="T27" s="614">
        <f t="shared" si="7"/>
        <v>0</v>
      </c>
      <c r="U27" s="614">
        <f t="shared" si="8"/>
        <v>0</v>
      </c>
      <c r="V27" s="614">
        <f t="shared" si="9"/>
        <v>0</v>
      </c>
      <c r="W27" s="614">
        <f t="shared" si="10"/>
        <v>0</v>
      </c>
      <c r="X27" s="614">
        <f t="shared" si="11"/>
        <v>0</v>
      </c>
      <c r="Y27" s="614">
        <f t="shared" si="12"/>
        <v>0</v>
      </c>
      <c r="Z27" s="614">
        <f t="shared" si="13"/>
        <v>0</v>
      </c>
      <c r="AA27" s="614">
        <f t="shared" si="14"/>
        <v>0</v>
      </c>
      <c r="AB27" s="614">
        <f t="shared" si="16"/>
        <v>0</v>
      </c>
      <c r="AC27" s="614">
        <f t="shared" si="17"/>
        <v>0</v>
      </c>
      <c r="AD27" s="614">
        <f t="shared" si="18"/>
        <v>0</v>
      </c>
      <c r="AE27" s="614">
        <f t="shared" si="19"/>
        <v>0</v>
      </c>
      <c r="AF27" s="994"/>
      <c r="AG27" s="994"/>
      <c r="AH27" s="996"/>
      <c r="AI27" s="614">
        <f t="shared" si="20"/>
        <v>0</v>
      </c>
      <c r="AJ27" s="996"/>
      <c r="AK27" s="614">
        <f t="shared" si="21"/>
        <v>0</v>
      </c>
      <c r="AL27" s="997"/>
      <c r="AM27" s="614">
        <f t="shared" si="22"/>
        <v>0</v>
      </c>
      <c r="AN27" s="996"/>
      <c r="AO27" s="614">
        <f t="shared" si="23"/>
        <v>0</v>
      </c>
      <c r="AP27" s="614">
        <f t="shared" si="24"/>
        <v>0</v>
      </c>
      <c r="AQ27" s="994"/>
      <c r="AR27" s="994"/>
      <c r="AS27" s="996"/>
      <c r="AT27" s="614">
        <f t="shared" si="25"/>
        <v>0</v>
      </c>
      <c r="AU27" s="996"/>
      <c r="AV27" s="614">
        <f t="shared" si="26"/>
        <v>0</v>
      </c>
      <c r="AW27" s="997"/>
      <c r="AX27" s="614">
        <f t="shared" si="27"/>
        <v>0</v>
      </c>
      <c r="AY27" s="987">
        <f t="shared" si="28"/>
        <v>0</v>
      </c>
      <c r="AZ27" s="987">
        <f t="shared" si="29"/>
        <v>0</v>
      </c>
      <c r="BA27" s="614">
        <f t="shared" si="30"/>
        <v>0</v>
      </c>
      <c r="BB27" s="614">
        <f t="shared" si="31"/>
        <v>0</v>
      </c>
      <c r="BC27" s="614">
        <f t="shared" si="32"/>
        <v>0</v>
      </c>
      <c r="BD27" s="994"/>
      <c r="BE27" s="994"/>
      <c r="BF27" s="614">
        <f t="shared" si="33"/>
        <v>0</v>
      </c>
      <c r="BG27" s="614">
        <f t="shared" si="34"/>
        <v>0</v>
      </c>
      <c r="BH27" s="614">
        <f t="shared" si="35"/>
        <v>0</v>
      </c>
      <c r="BI27" s="614">
        <f t="shared" si="36"/>
        <v>0</v>
      </c>
      <c r="BJ27" s="614">
        <f t="shared" si="37"/>
        <v>0</v>
      </c>
      <c r="BK27" s="614">
        <f t="shared" si="38"/>
        <v>0</v>
      </c>
      <c r="BL27" s="614">
        <f t="shared" si="39"/>
        <v>0</v>
      </c>
      <c r="BM27" s="614">
        <f t="shared" si="40"/>
        <v>0</v>
      </c>
      <c r="BN27" s="614">
        <f t="shared" si="41"/>
        <v>0</v>
      </c>
      <c r="BO27" s="614">
        <f t="shared" si="42"/>
        <v>0</v>
      </c>
      <c r="BP27" s="614">
        <f t="shared" si="43"/>
        <v>0</v>
      </c>
      <c r="BQ27" s="614">
        <f t="shared" si="44"/>
        <v>0</v>
      </c>
      <c r="BR27" s="614">
        <f t="shared" si="45"/>
        <v>0</v>
      </c>
      <c r="BS27" s="614">
        <f t="shared" si="46"/>
        <v>0</v>
      </c>
      <c r="BT27" s="614">
        <f t="shared" si="47"/>
        <v>0</v>
      </c>
      <c r="BU27" s="614">
        <f t="shared" si="48"/>
        <v>0</v>
      </c>
      <c r="BV27" s="614">
        <f t="shared" si="49"/>
        <v>0</v>
      </c>
      <c r="BW27" s="614">
        <f t="shared" si="50"/>
        <v>0</v>
      </c>
      <c r="BX27" s="614">
        <f t="shared" si="51"/>
        <v>0</v>
      </c>
      <c r="BY27" s="209"/>
      <c r="BZ27" s="209"/>
      <c r="CA27" s="209"/>
      <c r="CB27" s="209"/>
      <c r="CC27" s="209"/>
      <c r="CD27" s="209"/>
      <c r="CE27" s="209"/>
      <c r="CF27" s="209"/>
      <c r="CG27" s="209"/>
      <c r="CH27" s="209"/>
      <c r="CI27" s="209"/>
      <c r="CJ27" s="209"/>
      <c r="CK27" s="209"/>
      <c r="CL27" s="209"/>
      <c r="CM27" s="209"/>
      <c r="CN27" s="209"/>
      <c r="CO27" s="209"/>
      <c r="CP27" s="209"/>
      <c r="CQ27" s="209"/>
      <c r="CR27" s="209"/>
      <c r="CS27" s="209"/>
      <c r="CT27" s="209"/>
      <c r="CU27" s="209"/>
      <c r="CV27" s="209"/>
      <c r="CW27" s="209"/>
      <c r="CX27" s="209"/>
      <c r="CY27" s="209"/>
      <c r="CZ27" s="209"/>
      <c r="DA27" s="209"/>
      <c r="DB27" s="209"/>
      <c r="DC27" s="209"/>
      <c r="DD27" s="209"/>
      <c r="DE27" s="209"/>
      <c r="DF27" s="209"/>
      <c r="DG27" s="209"/>
      <c r="DH27" s="209"/>
      <c r="DI27" s="209"/>
      <c r="DJ27" s="209"/>
      <c r="DK27" s="209"/>
      <c r="DL27" s="209"/>
      <c r="DM27" s="209"/>
      <c r="DN27" s="209"/>
      <c r="DO27" s="209"/>
      <c r="DP27" s="209"/>
      <c r="DQ27" s="209"/>
      <c r="DR27" s="209"/>
      <c r="DS27" s="209"/>
      <c r="DT27" s="209"/>
      <c r="DU27" s="209"/>
      <c r="DV27" s="209"/>
      <c r="DW27" s="209"/>
      <c r="DX27" s="209"/>
      <c r="DY27" s="209"/>
      <c r="DZ27" s="209"/>
      <c r="EA27" s="209"/>
      <c r="EB27" s="209"/>
      <c r="EC27" s="209"/>
      <c r="ED27" s="209"/>
      <c r="EE27" s="209"/>
      <c r="EF27" s="209"/>
      <c r="EG27" s="209"/>
      <c r="EH27" s="209"/>
      <c r="EI27" s="209"/>
      <c r="EJ27" s="209"/>
      <c r="EK27" s="209"/>
      <c r="EL27" s="209"/>
      <c r="EM27" s="209"/>
      <c r="EN27" s="209"/>
      <c r="EO27" s="209"/>
      <c r="EP27" s="209"/>
      <c r="EQ27" s="209"/>
      <c r="ER27" s="209"/>
      <c r="ES27" s="209"/>
      <c r="ET27" s="209"/>
      <c r="EU27" s="209"/>
      <c r="EV27" s="209"/>
      <c r="EW27" s="209"/>
      <c r="EX27" s="209"/>
      <c r="EY27" s="209"/>
      <c r="EZ27" s="209"/>
      <c r="FA27" s="209"/>
      <c r="FB27" s="209"/>
      <c r="FC27" s="209"/>
      <c r="FD27" s="209"/>
      <c r="FE27" s="209"/>
      <c r="FF27" s="209"/>
      <c r="FG27" s="209"/>
      <c r="FH27" s="209"/>
      <c r="FI27" s="209"/>
      <c r="FJ27" s="209"/>
      <c r="FK27" s="209"/>
      <c r="FL27" s="209"/>
      <c r="FM27" s="209"/>
      <c r="FN27" s="209"/>
      <c r="FO27" s="209"/>
      <c r="FP27" s="209"/>
      <c r="FQ27" s="209"/>
      <c r="FR27" s="209"/>
      <c r="FS27" s="209"/>
      <c r="FT27" s="209"/>
      <c r="FU27" s="209"/>
      <c r="FV27" s="209"/>
      <c r="FW27" s="209"/>
      <c r="FX27" s="209"/>
      <c r="FY27" s="209"/>
      <c r="FZ27" s="209"/>
      <c r="GA27" s="209"/>
      <c r="GB27" s="209"/>
      <c r="GC27" s="209"/>
      <c r="GD27" s="209"/>
      <c r="GE27" s="209"/>
      <c r="GF27" s="209"/>
      <c r="GG27" s="209"/>
      <c r="GH27" s="209"/>
      <c r="GI27" s="209"/>
      <c r="GJ27" s="209"/>
      <c r="GK27" s="209"/>
      <c r="GL27" s="209"/>
      <c r="GM27" s="209"/>
      <c r="GN27" s="209"/>
      <c r="GO27" s="209"/>
      <c r="GP27" s="209"/>
      <c r="GQ27" s="209"/>
      <c r="GR27" s="209"/>
      <c r="GS27" s="209"/>
      <c r="GT27" s="209"/>
      <c r="GU27" s="209"/>
      <c r="GV27" s="209"/>
      <c r="GW27" s="209"/>
      <c r="GX27" s="209"/>
      <c r="GY27" s="209"/>
      <c r="GZ27" s="209"/>
      <c r="HA27" s="209"/>
      <c r="HB27" s="209"/>
      <c r="HC27" s="209"/>
      <c r="HD27" s="209"/>
      <c r="HE27" s="209"/>
      <c r="HF27" s="209"/>
      <c r="HG27" s="209"/>
      <c r="HH27" s="209"/>
      <c r="HI27" s="209"/>
      <c r="HJ27" s="209"/>
      <c r="HK27" s="209"/>
      <c r="HL27" s="209"/>
      <c r="HM27" s="209"/>
      <c r="HN27" s="209"/>
      <c r="HO27" s="209"/>
      <c r="HP27" s="209"/>
      <c r="HQ27" s="209"/>
      <c r="HR27" s="209"/>
      <c r="HS27" s="209"/>
      <c r="HT27" s="209"/>
      <c r="HU27" s="209"/>
      <c r="HV27" s="209"/>
      <c r="HW27" s="209"/>
      <c r="HX27" s="209"/>
      <c r="HY27" s="209"/>
      <c r="HZ27" s="209"/>
      <c r="IA27" s="209"/>
      <c r="IB27" s="209"/>
      <c r="IC27" s="209"/>
      <c r="ID27" s="209"/>
      <c r="IE27" s="209"/>
      <c r="IF27" s="209"/>
      <c r="IG27" s="209"/>
      <c r="IH27" s="209"/>
      <c r="II27" s="209"/>
      <c r="IJ27" s="209"/>
      <c r="IK27" s="209"/>
      <c r="IL27" s="209"/>
      <c r="IM27" s="209"/>
      <c r="IN27" s="209"/>
      <c r="IO27" s="209"/>
      <c r="IP27" s="209"/>
      <c r="IQ27" s="209"/>
      <c r="IR27" s="209"/>
      <c r="IS27" s="209"/>
      <c r="IT27" s="209"/>
      <c r="IU27" s="209"/>
    </row>
    <row r="28" spans="1:255">
      <c r="A28" s="991"/>
      <c r="B28" s="992"/>
      <c r="C28" s="993"/>
      <c r="D28" s="992"/>
      <c r="E28" s="994"/>
      <c r="F28" s="994"/>
      <c r="G28" s="994"/>
      <c r="H28" s="994"/>
      <c r="I28" s="995"/>
      <c r="J28" s="995"/>
      <c r="K28" s="995"/>
      <c r="L28" s="995"/>
      <c r="M28" s="614">
        <f t="shared" si="52"/>
        <v>0</v>
      </c>
      <c r="N28" s="995"/>
      <c r="O28" s="995"/>
      <c r="P28" s="995"/>
      <c r="Q28" s="995"/>
      <c r="R28" s="614">
        <f t="shared" si="15"/>
        <v>0</v>
      </c>
      <c r="S28" s="614">
        <f t="shared" si="6"/>
        <v>0</v>
      </c>
      <c r="T28" s="614">
        <f t="shared" si="7"/>
        <v>0</v>
      </c>
      <c r="U28" s="614">
        <f t="shared" si="8"/>
        <v>0</v>
      </c>
      <c r="V28" s="614">
        <f t="shared" si="9"/>
        <v>0</v>
      </c>
      <c r="W28" s="614">
        <f t="shared" si="10"/>
        <v>0</v>
      </c>
      <c r="X28" s="614">
        <f t="shared" si="11"/>
        <v>0</v>
      </c>
      <c r="Y28" s="614">
        <f t="shared" si="12"/>
        <v>0</v>
      </c>
      <c r="Z28" s="614">
        <f t="shared" si="13"/>
        <v>0</v>
      </c>
      <c r="AA28" s="614">
        <f t="shared" si="14"/>
        <v>0</v>
      </c>
      <c r="AB28" s="614">
        <f t="shared" si="16"/>
        <v>0</v>
      </c>
      <c r="AC28" s="614">
        <f t="shared" si="17"/>
        <v>0</v>
      </c>
      <c r="AD28" s="614">
        <f t="shared" si="18"/>
        <v>0</v>
      </c>
      <c r="AE28" s="614">
        <f t="shared" si="19"/>
        <v>0</v>
      </c>
      <c r="AF28" s="994"/>
      <c r="AG28" s="994"/>
      <c r="AH28" s="996"/>
      <c r="AI28" s="614">
        <f t="shared" si="20"/>
        <v>0</v>
      </c>
      <c r="AJ28" s="996"/>
      <c r="AK28" s="614">
        <f t="shared" si="21"/>
        <v>0</v>
      </c>
      <c r="AL28" s="997"/>
      <c r="AM28" s="614">
        <f t="shared" si="22"/>
        <v>0</v>
      </c>
      <c r="AN28" s="996"/>
      <c r="AO28" s="614">
        <f t="shared" si="23"/>
        <v>0</v>
      </c>
      <c r="AP28" s="614">
        <f t="shared" si="24"/>
        <v>0</v>
      </c>
      <c r="AQ28" s="994"/>
      <c r="AR28" s="994"/>
      <c r="AS28" s="996"/>
      <c r="AT28" s="614">
        <f t="shared" si="25"/>
        <v>0</v>
      </c>
      <c r="AU28" s="996"/>
      <c r="AV28" s="614">
        <f t="shared" si="26"/>
        <v>0</v>
      </c>
      <c r="AW28" s="997"/>
      <c r="AX28" s="614">
        <f t="shared" si="27"/>
        <v>0</v>
      </c>
      <c r="AY28" s="987">
        <f t="shared" si="28"/>
        <v>0</v>
      </c>
      <c r="AZ28" s="987">
        <f t="shared" si="29"/>
        <v>0</v>
      </c>
      <c r="BA28" s="614">
        <f t="shared" si="30"/>
        <v>0</v>
      </c>
      <c r="BB28" s="614">
        <f t="shared" si="31"/>
        <v>0</v>
      </c>
      <c r="BC28" s="614">
        <f t="shared" si="32"/>
        <v>0</v>
      </c>
      <c r="BD28" s="994"/>
      <c r="BE28" s="994"/>
      <c r="BF28" s="614">
        <f t="shared" si="33"/>
        <v>0</v>
      </c>
      <c r="BG28" s="614">
        <f t="shared" si="34"/>
        <v>0</v>
      </c>
      <c r="BH28" s="614">
        <f t="shared" si="35"/>
        <v>0</v>
      </c>
      <c r="BI28" s="614">
        <f t="shared" si="36"/>
        <v>0</v>
      </c>
      <c r="BJ28" s="614">
        <f t="shared" si="37"/>
        <v>0</v>
      </c>
      <c r="BK28" s="614">
        <f t="shared" si="38"/>
        <v>0</v>
      </c>
      <c r="BL28" s="614">
        <f t="shared" si="39"/>
        <v>0</v>
      </c>
      <c r="BM28" s="614">
        <f t="shared" si="40"/>
        <v>0</v>
      </c>
      <c r="BN28" s="614">
        <f t="shared" si="41"/>
        <v>0</v>
      </c>
      <c r="BO28" s="614">
        <f t="shared" si="42"/>
        <v>0</v>
      </c>
      <c r="BP28" s="614">
        <f t="shared" si="43"/>
        <v>0</v>
      </c>
      <c r="BQ28" s="614">
        <f t="shared" si="44"/>
        <v>0</v>
      </c>
      <c r="BR28" s="614">
        <f t="shared" si="45"/>
        <v>0</v>
      </c>
      <c r="BS28" s="614">
        <f t="shared" si="46"/>
        <v>0</v>
      </c>
      <c r="BT28" s="614">
        <f t="shared" si="47"/>
        <v>0</v>
      </c>
      <c r="BU28" s="614">
        <f t="shared" si="48"/>
        <v>0</v>
      </c>
      <c r="BV28" s="614">
        <f t="shared" si="49"/>
        <v>0</v>
      </c>
      <c r="BW28" s="614">
        <f t="shared" si="50"/>
        <v>0</v>
      </c>
      <c r="BX28" s="614">
        <f t="shared" si="51"/>
        <v>0</v>
      </c>
      <c r="BY28" s="209"/>
      <c r="BZ28" s="209"/>
      <c r="CA28" s="209"/>
      <c r="CB28" s="209"/>
      <c r="CC28" s="209"/>
      <c r="CD28" s="209"/>
      <c r="CE28" s="209"/>
      <c r="CF28" s="209"/>
      <c r="CG28" s="209"/>
      <c r="CH28" s="209"/>
      <c r="CI28" s="209"/>
      <c r="CJ28" s="209"/>
      <c r="CK28" s="209"/>
      <c r="CL28" s="209"/>
      <c r="CM28" s="209"/>
      <c r="CN28" s="209"/>
      <c r="CO28" s="209"/>
      <c r="CP28" s="209"/>
      <c r="CQ28" s="209"/>
      <c r="CR28" s="209"/>
      <c r="CS28" s="209"/>
      <c r="CT28" s="209"/>
      <c r="CU28" s="209"/>
      <c r="CV28" s="209"/>
      <c r="CW28" s="209"/>
      <c r="CX28" s="209"/>
      <c r="CY28" s="209"/>
      <c r="CZ28" s="209"/>
      <c r="DA28" s="209"/>
      <c r="DB28" s="209"/>
      <c r="DC28" s="209"/>
      <c r="DD28" s="209"/>
      <c r="DE28" s="209"/>
      <c r="DF28" s="209"/>
      <c r="DG28" s="209"/>
      <c r="DH28" s="209"/>
      <c r="DI28" s="209"/>
      <c r="DJ28" s="209"/>
      <c r="DK28" s="209"/>
      <c r="DL28" s="209"/>
      <c r="DM28" s="209"/>
      <c r="DN28" s="209"/>
      <c r="DO28" s="209"/>
      <c r="DP28" s="209"/>
      <c r="DQ28" s="209"/>
      <c r="DR28" s="209"/>
      <c r="DS28" s="209"/>
      <c r="DT28" s="209"/>
      <c r="DU28" s="209"/>
      <c r="DV28" s="209"/>
      <c r="DW28" s="209"/>
      <c r="DX28" s="209"/>
      <c r="DY28" s="209"/>
      <c r="DZ28" s="209"/>
      <c r="EA28" s="209"/>
      <c r="EB28" s="209"/>
      <c r="EC28" s="209"/>
      <c r="ED28" s="209"/>
      <c r="EE28" s="209"/>
      <c r="EF28" s="209"/>
      <c r="EG28" s="209"/>
      <c r="EH28" s="209"/>
      <c r="EI28" s="209"/>
      <c r="EJ28" s="209"/>
      <c r="EK28" s="209"/>
      <c r="EL28" s="209"/>
      <c r="EM28" s="209"/>
      <c r="EN28" s="209"/>
      <c r="EO28" s="209"/>
      <c r="EP28" s="209"/>
      <c r="EQ28" s="209"/>
      <c r="ER28" s="209"/>
      <c r="ES28" s="209"/>
      <c r="ET28" s="209"/>
      <c r="EU28" s="209"/>
      <c r="EV28" s="209"/>
      <c r="EW28" s="209"/>
      <c r="EX28" s="209"/>
      <c r="EY28" s="209"/>
      <c r="EZ28" s="209"/>
      <c r="FA28" s="209"/>
      <c r="FB28" s="209"/>
      <c r="FC28" s="209"/>
      <c r="FD28" s="209"/>
      <c r="FE28" s="209"/>
      <c r="FF28" s="209"/>
      <c r="FG28" s="209"/>
      <c r="FH28" s="209"/>
      <c r="FI28" s="209"/>
      <c r="FJ28" s="209"/>
      <c r="FK28" s="209"/>
      <c r="FL28" s="209"/>
      <c r="FM28" s="209"/>
      <c r="FN28" s="209"/>
      <c r="FO28" s="209"/>
      <c r="FP28" s="209"/>
      <c r="FQ28" s="209"/>
      <c r="FR28" s="209"/>
      <c r="FS28" s="209"/>
      <c r="FT28" s="209"/>
      <c r="FU28" s="209"/>
      <c r="FV28" s="209"/>
      <c r="FW28" s="209"/>
      <c r="FX28" s="209"/>
      <c r="FY28" s="209"/>
      <c r="FZ28" s="209"/>
      <c r="GA28" s="209"/>
      <c r="GB28" s="209"/>
      <c r="GC28" s="209"/>
      <c r="GD28" s="209"/>
      <c r="GE28" s="209"/>
      <c r="GF28" s="209"/>
      <c r="GG28" s="209"/>
      <c r="GH28" s="209"/>
      <c r="GI28" s="209"/>
      <c r="GJ28" s="209"/>
      <c r="GK28" s="209"/>
      <c r="GL28" s="209"/>
      <c r="GM28" s="209"/>
      <c r="GN28" s="209"/>
      <c r="GO28" s="209"/>
      <c r="GP28" s="209"/>
      <c r="GQ28" s="209"/>
      <c r="GR28" s="209"/>
      <c r="GS28" s="209"/>
      <c r="GT28" s="209"/>
      <c r="GU28" s="209"/>
      <c r="GV28" s="209"/>
      <c r="GW28" s="209"/>
      <c r="GX28" s="209"/>
      <c r="GY28" s="209"/>
      <c r="GZ28" s="209"/>
      <c r="HA28" s="209"/>
      <c r="HB28" s="209"/>
      <c r="HC28" s="209"/>
      <c r="HD28" s="209"/>
      <c r="HE28" s="209"/>
      <c r="HF28" s="209"/>
      <c r="HG28" s="209"/>
      <c r="HH28" s="209"/>
      <c r="HI28" s="209"/>
      <c r="HJ28" s="209"/>
      <c r="HK28" s="209"/>
      <c r="HL28" s="209"/>
      <c r="HM28" s="209"/>
      <c r="HN28" s="209"/>
      <c r="HO28" s="209"/>
      <c r="HP28" s="209"/>
      <c r="HQ28" s="209"/>
      <c r="HR28" s="209"/>
      <c r="HS28" s="209"/>
      <c r="HT28" s="209"/>
      <c r="HU28" s="209"/>
      <c r="HV28" s="209"/>
      <c r="HW28" s="209"/>
      <c r="HX28" s="209"/>
      <c r="HY28" s="209"/>
      <c r="HZ28" s="209"/>
      <c r="IA28" s="209"/>
      <c r="IB28" s="209"/>
      <c r="IC28" s="209"/>
      <c r="ID28" s="209"/>
      <c r="IE28" s="209"/>
      <c r="IF28" s="209"/>
      <c r="IG28" s="209"/>
      <c r="IH28" s="209"/>
      <c r="II28" s="209"/>
      <c r="IJ28" s="209"/>
      <c r="IK28" s="209"/>
      <c r="IL28" s="209"/>
      <c r="IM28" s="209"/>
      <c r="IN28" s="209"/>
      <c r="IO28" s="209"/>
      <c r="IP28" s="209"/>
      <c r="IQ28" s="209"/>
      <c r="IR28" s="209"/>
      <c r="IS28" s="209"/>
      <c r="IT28" s="209"/>
      <c r="IU28" s="209"/>
    </row>
    <row r="29" spans="1:255">
      <c r="A29" s="991"/>
      <c r="B29" s="992"/>
      <c r="C29" s="993"/>
      <c r="D29" s="992"/>
      <c r="E29" s="994"/>
      <c r="F29" s="994"/>
      <c r="G29" s="994"/>
      <c r="H29" s="994"/>
      <c r="I29" s="995"/>
      <c r="J29" s="995"/>
      <c r="K29" s="995"/>
      <c r="L29" s="995"/>
      <c r="M29" s="614">
        <f t="shared" si="52"/>
        <v>0</v>
      </c>
      <c r="N29" s="995"/>
      <c r="O29" s="995"/>
      <c r="P29" s="995"/>
      <c r="Q29" s="995"/>
      <c r="R29" s="614">
        <f t="shared" si="15"/>
        <v>0</v>
      </c>
      <c r="S29" s="614">
        <f t="shared" si="6"/>
        <v>0</v>
      </c>
      <c r="T29" s="614">
        <f t="shared" si="7"/>
        <v>0</v>
      </c>
      <c r="U29" s="614">
        <f t="shared" si="8"/>
        <v>0</v>
      </c>
      <c r="V29" s="614">
        <f t="shared" si="9"/>
        <v>0</v>
      </c>
      <c r="W29" s="614">
        <f t="shared" si="10"/>
        <v>0</v>
      </c>
      <c r="X29" s="614">
        <f t="shared" si="11"/>
        <v>0</v>
      </c>
      <c r="Y29" s="614">
        <f t="shared" si="12"/>
        <v>0</v>
      </c>
      <c r="Z29" s="614">
        <f t="shared" si="13"/>
        <v>0</v>
      </c>
      <c r="AA29" s="614">
        <f t="shared" si="14"/>
        <v>0</v>
      </c>
      <c r="AB29" s="614">
        <f t="shared" si="16"/>
        <v>0</v>
      </c>
      <c r="AC29" s="614">
        <f t="shared" si="17"/>
        <v>0</v>
      </c>
      <c r="AD29" s="614">
        <f t="shared" si="18"/>
        <v>0</v>
      </c>
      <c r="AE29" s="614">
        <f t="shared" si="19"/>
        <v>0</v>
      </c>
      <c r="AF29" s="994"/>
      <c r="AG29" s="994"/>
      <c r="AH29" s="996"/>
      <c r="AI29" s="614">
        <f t="shared" si="20"/>
        <v>0</v>
      </c>
      <c r="AJ29" s="996"/>
      <c r="AK29" s="614">
        <f t="shared" si="21"/>
        <v>0</v>
      </c>
      <c r="AL29" s="997"/>
      <c r="AM29" s="614">
        <f t="shared" si="22"/>
        <v>0</v>
      </c>
      <c r="AN29" s="996"/>
      <c r="AO29" s="614">
        <f t="shared" si="23"/>
        <v>0</v>
      </c>
      <c r="AP29" s="614">
        <f t="shared" si="24"/>
        <v>0</v>
      </c>
      <c r="AQ29" s="994"/>
      <c r="AR29" s="994"/>
      <c r="AS29" s="996"/>
      <c r="AT29" s="614">
        <f t="shared" si="25"/>
        <v>0</v>
      </c>
      <c r="AU29" s="996"/>
      <c r="AV29" s="614">
        <f t="shared" si="26"/>
        <v>0</v>
      </c>
      <c r="AW29" s="997"/>
      <c r="AX29" s="614">
        <f t="shared" si="27"/>
        <v>0</v>
      </c>
      <c r="AY29" s="987">
        <f t="shared" si="28"/>
        <v>0</v>
      </c>
      <c r="AZ29" s="987">
        <f t="shared" si="29"/>
        <v>0</v>
      </c>
      <c r="BA29" s="614">
        <f t="shared" si="30"/>
        <v>0</v>
      </c>
      <c r="BB29" s="614">
        <f t="shared" si="31"/>
        <v>0</v>
      </c>
      <c r="BC29" s="614">
        <f t="shared" si="32"/>
        <v>0</v>
      </c>
      <c r="BD29" s="994"/>
      <c r="BE29" s="994"/>
      <c r="BF29" s="614">
        <f t="shared" si="33"/>
        <v>0</v>
      </c>
      <c r="BG29" s="614">
        <f t="shared" si="34"/>
        <v>0</v>
      </c>
      <c r="BH29" s="614">
        <f t="shared" si="35"/>
        <v>0</v>
      </c>
      <c r="BI29" s="614">
        <f t="shared" si="36"/>
        <v>0</v>
      </c>
      <c r="BJ29" s="614">
        <f t="shared" si="37"/>
        <v>0</v>
      </c>
      <c r="BK29" s="614">
        <f t="shared" si="38"/>
        <v>0</v>
      </c>
      <c r="BL29" s="614">
        <f t="shared" si="39"/>
        <v>0</v>
      </c>
      <c r="BM29" s="614">
        <f t="shared" si="40"/>
        <v>0</v>
      </c>
      <c r="BN29" s="614">
        <f t="shared" si="41"/>
        <v>0</v>
      </c>
      <c r="BO29" s="614">
        <f t="shared" si="42"/>
        <v>0</v>
      </c>
      <c r="BP29" s="614">
        <f t="shared" si="43"/>
        <v>0</v>
      </c>
      <c r="BQ29" s="614">
        <f t="shared" si="44"/>
        <v>0</v>
      </c>
      <c r="BR29" s="614">
        <f t="shared" si="45"/>
        <v>0</v>
      </c>
      <c r="BS29" s="614">
        <f t="shared" si="46"/>
        <v>0</v>
      </c>
      <c r="BT29" s="614">
        <f t="shared" si="47"/>
        <v>0</v>
      </c>
      <c r="BU29" s="614">
        <f t="shared" si="48"/>
        <v>0</v>
      </c>
      <c r="BV29" s="614">
        <f t="shared" si="49"/>
        <v>0</v>
      </c>
      <c r="BW29" s="614">
        <f t="shared" si="50"/>
        <v>0</v>
      </c>
      <c r="BX29" s="614">
        <f t="shared" si="51"/>
        <v>0</v>
      </c>
      <c r="BY29" s="209"/>
      <c r="BZ29" s="209"/>
      <c r="CA29" s="209"/>
      <c r="CB29" s="209"/>
      <c r="CC29" s="209"/>
      <c r="CD29" s="209"/>
      <c r="CE29" s="209"/>
      <c r="CF29" s="209"/>
      <c r="CG29" s="209"/>
      <c r="CH29" s="209"/>
      <c r="CI29" s="209"/>
      <c r="CJ29" s="209"/>
      <c r="CK29" s="209"/>
      <c r="CL29" s="209"/>
      <c r="CM29" s="209"/>
      <c r="CN29" s="209"/>
      <c r="CO29" s="209"/>
      <c r="CP29" s="209"/>
      <c r="CQ29" s="209"/>
      <c r="CR29" s="209"/>
      <c r="CS29" s="209"/>
      <c r="CT29" s="209"/>
      <c r="CU29" s="209"/>
      <c r="CV29" s="209"/>
      <c r="CW29" s="209"/>
      <c r="CX29" s="209"/>
      <c r="CY29" s="209"/>
      <c r="CZ29" s="209"/>
      <c r="DA29" s="209"/>
      <c r="DB29" s="209"/>
      <c r="DC29" s="209"/>
      <c r="DD29" s="209"/>
      <c r="DE29" s="209"/>
      <c r="DF29" s="209"/>
      <c r="DG29" s="209"/>
      <c r="DH29" s="209"/>
      <c r="DI29" s="209"/>
      <c r="DJ29" s="209"/>
      <c r="DK29" s="209"/>
      <c r="DL29" s="209"/>
      <c r="DM29" s="209"/>
      <c r="DN29" s="209"/>
      <c r="DO29" s="209"/>
      <c r="DP29" s="209"/>
      <c r="DQ29" s="209"/>
      <c r="DR29" s="209"/>
      <c r="DS29" s="209"/>
      <c r="DT29" s="209"/>
      <c r="DU29" s="209"/>
      <c r="DV29" s="209"/>
      <c r="DW29" s="209"/>
      <c r="DX29" s="209"/>
      <c r="DY29" s="209"/>
      <c r="DZ29" s="209"/>
      <c r="EA29" s="209"/>
      <c r="EB29" s="209"/>
      <c r="EC29" s="209"/>
      <c r="ED29" s="209"/>
      <c r="EE29" s="209"/>
      <c r="EF29" s="209"/>
      <c r="EG29" s="209"/>
      <c r="EH29" s="209"/>
      <c r="EI29" s="209"/>
      <c r="EJ29" s="209"/>
      <c r="EK29" s="209"/>
      <c r="EL29" s="209"/>
      <c r="EM29" s="209"/>
      <c r="EN29" s="209"/>
      <c r="EO29" s="209"/>
      <c r="EP29" s="209"/>
      <c r="EQ29" s="209"/>
      <c r="ER29" s="209"/>
      <c r="ES29" s="209"/>
      <c r="ET29" s="209"/>
      <c r="EU29" s="209"/>
      <c r="EV29" s="209"/>
      <c r="EW29" s="209"/>
      <c r="EX29" s="209"/>
      <c r="EY29" s="209"/>
      <c r="EZ29" s="209"/>
      <c r="FA29" s="209"/>
      <c r="FB29" s="209"/>
      <c r="FC29" s="209"/>
      <c r="FD29" s="209"/>
      <c r="FE29" s="209"/>
      <c r="FF29" s="209"/>
      <c r="FG29" s="209"/>
      <c r="FH29" s="209"/>
      <c r="FI29" s="209"/>
      <c r="FJ29" s="209"/>
      <c r="FK29" s="209"/>
      <c r="FL29" s="209"/>
      <c r="FM29" s="209"/>
      <c r="FN29" s="209"/>
      <c r="FO29" s="209"/>
      <c r="FP29" s="209"/>
      <c r="FQ29" s="209"/>
      <c r="FR29" s="209"/>
      <c r="FS29" s="209"/>
      <c r="FT29" s="209"/>
      <c r="FU29" s="209"/>
      <c r="FV29" s="209"/>
      <c r="FW29" s="209"/>
      <c r="FX29" s="209"/>
      <c r="FY29" s="209"/>
      <c r="FZ29" s="209"/>
      <c r="GA29" s="209"/>
      <c r="GB29" s="209"/>
      <c r="GC29" s="209"/>
      <c r="GD29" s="209"/>
      <c r="GE29" s="209"/>
      <c r="GF29" s="209"/>
      <c r="GG29" s="209"/>
      <c r="GH29" s="209"/>
      <c r="GI29" s="209"/>
      <c r="GJ29" s="209"/>
      <c r="GK29" s="209"/>
      <c r="GL29" s="209"/>
      <c r="GM29" s="209"/>
      <c r="GN29" s="209"/>
      <c r="GO29" s="209"/>
      <c r="GP29" s="209"/>
      <c r="GQ29" s="209"/>
      <c r="GR29" s="209"/>
      <c r="GS29" s="209"/>
      <c r="GT29" s="209"/>
      <c r="GU29" s="209"/>
      <c r="GV29" s="209"/>
      <c r="GW29" s="209"/>
      <c r="GX29" s="209"/>
      <c r="GY29" s="209"/>
      <c r="GZ29" s="209"/>
      <c r="HA29" s="209"/>
      <c r="HB29" s="209"/>
      <c r="HC29" s="209"/>
      <c r="HD29" s="209"/>
      <c r="HE29" s="209"/>
      <c r="HF29" s="209"/>
      <c r="HG29" s="209"/>
      <c r="HH29" s="209"/>
      <c r="HI29" s="209"/>
      <c r="HJ29" s="209"/>
      <c r="HK29" s="209"/>
      <c r="HL29" s="209"/>
      <c r="HM29" s="209"/>
      <c r="HN29" s="209"/>
      <c r="HO29" s="209"/>
      <c r="HP29" s="209"/>
      <c r="HQ29" s="209"/>
      <c r="HR29" s="209"/>
      <c r="HS29" s="209"/>
      <c r="HT29" s="209"/>
      <c r="HU29" s="209"/>
      <c r="HV29" s="209"/>
      <c r="HW29" s="209"/>
      <c r="HX29" s="209"/>
      <c r="HY29" s="209"/>
      <c r="HZ29" s="209"/>
      <c r="IA29" s="209"/>
      <c r="IB29" s="209"/>
      <c r="IC29" s="209"/>
      <c r="ID29" s="209"/>
      <c r="IE29" s="209"/>
      <c r="IF29" s="209"/>
      <c r="IG29" s="209"/>
      <c r="IH29" s="209"/>
      <c r="II29" s="209"/>
      <c r="IJ29" s="209"/>
      <c r="IK29" s="209"/>
      <c r="IL29" s="209"/>
      <c r="IM29" s="209"/>
      <c r="IN29" s="209"/>
      <c r="IO29" s="209"/>
      <c r="IP29" s="209"/>
      <c r="IQ29" s="209"/>
      <c r="IR29" s="209"/>
      <c r="IS29" s="209"/>
      <c r="IT29" s="209"/>
      <c r="IU29" s="209"/>
    </row>
    <row r="30" spans="1:255">
      <c r="A30" s="991"/>
      <c r="B30" s="992"/>
      <c r="C30" s="993"/>
      <c r="D30" s="992"/>
      <c r="E30" s="994"/>
      <c r="F30" s="994"/>
      <c r="G30" s="994"/>
      <c r="H30" s="994"/>
      <c r="I30" s="995"/>
      <c r="J30" s="995"/>
      <c r="K30" s="995"/>
      <c r="L30" s="995"/>
      <c r="M30" s="614">
        <f t="shared" si="52"/>
        <v>0</v>
      </c>
      <c r="N30" s="995"/>
      <c r="O30" s="995"/>
      <c r="P30" s="995"/>
      <c r="Q30" s="995"/>
      <c r="R30" s="614">
        <f t="shared" si="15"/>
        <v>0</v>
      </c>
      <c r="S30" s="614">
        <f t="shared" si="6"/>
        <v>0</v>
      </c>
      <c r="T30" s="614">
        <f t="shared" si="7"/>
        <v>0</v>
      </c>
      <c r="U30" s="614">
        <f t="shared" si="8"/>
        <v>0</v>
      </c>
      <c r="V30" s="614">
        <f t="shared" si="9"/>
        <v>0</v>
      </c>
      <c r="W30" s="614">
        <f t="shared" si="10"/>
        <v>0</v>
      </c>
      <c r="X30" s="614">
        <f t="shared" si="11"/>
        <v>0</v>
      </c>
      <c r="Y30" s="614">
        <f t="shared" si="12"/>
        <v>0</v>
      </c>
      <c r="Z30" s="614">
        <f t="shared" si="13"/>
        <v>0</v>
      </c>
      <c r="AA30" s="614">
        <f t="shared" si="14"/>
        <v>0</v>
      </c>
      <c r="AB30" s="614">
        <f t="shared" si="16"/>
        <v>0</v>
      </c>
      <c r="AC30" s="614">
        <f t="shared" si="17"/>
        <v>0</v>
      </c>
      <c r="AD30" s="614">
        <f t="shared" si="18"/>
        <v>0</v>
      </c>
      <c r="AE30" s="614">
        <f t="shared" si="19"/>
        <v>0</v>
      </c>
      <c r="AF30" s="994"/>
      <c r="AG30" s="994"/>
      <c r="AH30" s="996"/>
      <c r="AI30" s="614">
        <f t="shared" si="20"/>
        <v>0</v>
      </c>
      <c r="AJ30" s="996"/>
      <c r="AK30" s="614">
        <f t="shared" si="21"/>
        <v>0</v>
      </c>
      <c r="AL30" s="997"/>
      <c r="AM30" s="614">
        <f t="shared" si="22"/>
        <v>0</v>
      </c>
      <c r="AN30" s="996"/>
      <c r="AO30" s="614">
        <f t="shared" si="23"/>
        <v>0</v>
      </c>
      <c r="AP30" s="614">
        <f t="shared" si="24"/>
        <v>0</v>
      </c>
      <c r="AQ30" s="994"/>
      <c r="AR30" s="994"/>
      <c r="AS30" s="996"/>
      <c r="AT30" s="614">
        <f t="shared" si="25"/>
        <v>0</v>
      </c>
      <c r="AU30" s="996"/>
      <c r="AV30" s="614">
        <f t="shared" si="26"/>
        <v>0</v>
      </c>
      <c r="AW30" s="997"/>
      <c r="AX30" s="614">
        <f t="shared" si="27"/>
        <v>0</v>
      </c>
      <c r="AY30" s="987">
        <f t="shared" si="28"/>
        <v>0</v>
      </c>
      <c r="AZ30" s="987">
        <f t="shared" si="29"/>
        <v>0</v>
      </c>
      <c r="BA30" s="614">
        <f t="shared" si="30"/>
        <v>0</v>
      </c>
      <c r="BB30" s="614">
        <f t="shared" si="31"/>
        <v>0</v>
      </c>
      <c r="BC30" s="614">
        <f t="shared" si="32"/>
        <v>0</v>
      </c>
      <c r="BD30" s="994"/>
      <c r="BE30" s="994"/>
      <c r="BF30" s="614">
        <f t="shared" si="33"/>
        <v>0</v>
      </c>
      <c r="BG30" s="614">
        <f t="shared" si="34"/>
        <v>0</v>
      </c>
      <c r="BH30" s="614">
        <f t="shared" si="35"/>
        <v>0</v>
      </c>
      <c r="BI30" s="614">
        <f t="shared" si="36"/>
        <v>0</v>
      </c>
      <c r="BJ30" s="614">
        <f t="shared" si="37"/>
        <v>0</v>
      </c>
      <c r="BK30" s="614">
        <f t="shared" si="38"/>
        <v>0</v>
      </c>
      <c r="BL30" s="614">
        <f t="shared" si="39"/>
        <v>0</v>
      </c>
      <c r="BM30" s="614">
        <f t="shared" si="40"/>
        <v>0</v>
      </c>
      <c r="BN30" s="614">
        <f t="shared" si="41"/>
        <v>0</v>
      </c>
      <c r="BO30" s="614">
        <f t="shared" si="42"/>
        <v>0</v>
      </c>
      <c r="BP30" s="614">
        <f t="shared" si="43"/>
        <v>0</v>
      </c>
      <c r="BQ30" s="614">
        <f t="shared" si="44"/>
        <v>0</v>
      </c>
      <c r="BR30" s="614">
        <f t="shared" si="45"/>
        <v>0</v>
      </c>
      <c r="BS30" s="614">
        <f t="shared" si="46"/>
        <v>0</v>
      </c>
      <c r="BT30" s="614">
        <f t="shared" si="47"/>
        <v>0</v>
      </c>
      <c r="BU30" s="614">
        <f t="shared" si="48"/>
        <v>0</v>
      </c>
      <c r="BV30" s="614">
        <f t="shared" si="49"/>
        <v>0</v>
      </c>
      <c r="BW30" s="614">
        <f t="shared" si="50"/>
        <v>0</v>
      </c>
      <c r="BX30" s="614">
        <f t="shared" si="51"/>
        <v>0</v>
      </c>
      <c r="BY30" s="209"/>
      <c r="BZ30" s="209"/>
      <c r="CA30" s="209"/>
      <c r="CB30" s="209"/>
      <c r="CC30" s="209"/>
      <c r="CD30" s="209"/>
      <c r="CE30" s="209"/>
      <c r="CF30" s="209"/>
      <c r="CG30" s="209"/>
      <c r="CH30" s="209"/>
      <c r="CI30" s="209"/>
      <c r="CJ30" s="209"/>
      <c r="CK30" s="209"/>
      <c r="CL30" s="209"/>
      <c r="CM30" s="209"/>
      <c r="CN30" s="209"/>
      <c r="CO30" s="209"/>
      <c r="CP30" s="209"/>
      <c r="CQ30" s="209"/>
      <c r="CR30" s="209"/>
      <c r="CS30" s="209"/>
      <c r="CT30" s="209"/>
      <c r="CU30" s="209"/>
      <c r="CV30" s="209"/>
      <c r="CW30" s="209"/>
      <c r="CX30" s="209"/>
      <c r="CY30" s="209"/>
      <c r="CZ30" s="209"/>
      <c r="DA30" s="209"/>
      <c r="DB30" s="209"/>
      <c r="DC30" s="209"/>
      <c r="DD30" s="209"/>
      <c r="DE30" s="209"/>
      <c r="DF30" s="209"/>
      <c r="DG30" s="209"/>
      <c r="DH30" s="209"/>
      <c r="DI30" s="209"/>
      <c r="DJ30" s="209"/>
      <c r="DK30" s="209"/>
      <c r="DL30" s="209"/>
      <c r="DM30" s="209"/>
      <c r="DN30" s="209"/>
      <c r="DO30" s="209"/>
      <c r="DP30" s="209"/>
      <c r="DQ30" s="209"/>
      <c r="DR30" s="209"/>
      <c r="DS30" s="209"/>
      <c r="DT30" s="209"/>
      <c r="DU30" s="209"/>
      <c r="DV30" s="209"/>
      <c r="DW30" s="209"/>
      <c r="DX30" s="209"/>
      <c r="DY30" s="209"/>
      <c r="DZ30" s="209"/>
      <c r="EA30" s="209"/>
      <c r="EB30" s="209"/>
      <c r="EC30" s="209"/>
      <c r="ED30" s="209"/>
      <c r="EE30" s="209"/>
      <c r="EF30" s="209"/>
      <c r="EG30" s="209"/>
      <c r="EH30" s="209"/>
      <c r="EI30" s="209"/>
      <c r="EJ30" s="209"/>
      <c r="EK30" s="209"/>
      <c r="EL30" s="209"/>
      <c r="EM30" s="209"/>
      <c r="EN30" s="209"/>
      <c r="EO30" s="209"/>
      <c r="EP30" s="209"/>
      <c r="EQ30" s="209"/>
      <c r="ER30" s="209"/>
      <c r="ES30" s="209"/>
      <c r="ET30" s="209"/>
      <c r="EU30" s="209"/>
      <c r="EV30" s="209"/>
      <c r="EW30" s="209"/>
      <c r="EX30" s="209"/>
      <c r="EY30" s="209"/>
      <c r="EZ30" s="209"/>
      <c r="FA30" s="209"/>
      <c r="FB30" s="209"/>
      <c r="FC30" s="209"/>
      <c r="FD30" s="209"/>
      <c r="FE30" s="209"/>
      <c r="FF30" s="209"/>
      <c r="FG30" s="209"/>
      <c r="FH30" s="209"/>
      <c r="FI30" s="209"/>
      <c r="FJ30" s="209"/>
      <c r="FK30" s="209"/>
      <c r="FL30" s="209"/>
      <c r="FM30" s="209"/>
      <c r="FN30" s="209"/>
      <c r="FO30" s="209"/>
      <c r="FP30" s="209"/>
      <c r="FQ30" s="209"/>
      <c r="FR30" s="209"/>
      <c r="FS30" s="209"/>
      <c r="FT30" s="209"/>
      <c r="FU30" s="209"/>
      <c r="FV30" s="209"/>
      <c r="FW30" s="209"/>
      <c r="FX30" s="209"/>
      <c r="FY30" s="209"/>
      <c r="FZ30" s="209"/>
      <c r="GA30" s="209"/>
      <c r="GB30" s="209"/>
      <c r="GC30" s="209"/>
      <c r="GD30" s="209"/>
      <c r="GE30" s="209"/>
      <c r="GF30" s="209"/>
      <c r="GG30" s="209"/>
      <c r="GH30" s="209"/>
      <c r="GI30" s="209"/>
      <c r="GJ30" s="209"/>
      <c r="GK30" s="209"/>
      <c r="GL30" s="209"/>
      <c r="GM30" s="209"/>
      <c r="GN30" s="209"/>
      <c r="GO30" s="209"/>
      <c r="GP30" s="209"/>
      <c r="GQ30" s="209"/>
      <c r="GR30" s="209"/>
      <c r="GS30" s="209"/>
      <c r="GT30" s="209"/>
      <c r="GU30" s="209"/>
      <c r="GV30" s="209"/>
      <c r="GW30" s="209"/>
      <c r="GX30" s="209"/>
      <c r="GY30" s="209"/>
      <c r="GZ30" s="209"/>
      <c r="HA30" s="209"/>
      <c r="HB30" s="209"/>
      <c r="HC30" s="209"/>
      <c r="HD30" s="209"/>
      <c r="HE30" s="209"/>
      <c r="HF30" s="209"/>
      <c r="HG30" s="209"/>
      <c r="HH30" s="209"/>
      <c r="HI30" s="209"/>
      <c r="HJ30" s="209"/>
      <c r="HK30" s="209"/>
      <c r="HL30" s="209"/>
      <c r="HM30" s="209"/>
      <c r="HN30" s="209"/>
      <c r="HO30" s="209"/>
      <c r="HP30" s="209"/>
      <c r="HQ30" s="209"/>
      <c r="HR30" s="209"/>
      <c r="HS30" s="209"/>
      <c r="HT30" s="209"/>
      <c r="HU30" s="209"/>
      <c r="HV30" s="209"/>
      <c r="HW30" s="209"/>
      <c r="HX30" s="209"/>
      <c r="HY30" s="209"/>
      <c r="HZ30" s="209"/>
      <c r="IA30" s="209"/>
      <c r="IB30" s="209"/>
      <c r="IC30" s="209"/>
      <c r="ID30" s="209"/>
      <c r="IE30" s="209"/>
      <c r="IF30" s="209"/>
      <c r="IG30" s="209"/>
      <c r="IH30" s="209"/>
      <c r="II30" s="209"/>
      <c r="IJ30" s="209"/>
      <c r="IK30" s="209"/>
      <c r="IL30" s="209"/>
      <c r="IM30" s="209"/>
      <c r="IN30" s="209"/>
      <c r="IO30" s="209"/>
      <c r="IP30" s="209"/>
      <c r="IQ30" s="209"/>
      <c r="IR30" s="209"/>
      <c r="IS30" s="209"/>
      <c r="IT30" s="209"/>
      <c r="IU30" s="209"/>
    </row>
    <row r="31" spans="1:255">
      <c r="A31" s="991"/>
      <c r="B31" s="992"/>
      <c r="C31" s="993"/>
      <c r="D31" s="992"/>
      <c r="E31" s="994"/>
      <c r="F31" s="994"/>
      <c r="G31" s="994"/>
      <c r="H31" s="994"/>
      <c r="I31" s="995"/>
      <c r="J31" s="995"/>
      <c r="K31" s="995"/>
      <c r="L31" s="995"/>
      <c r="M31" s="614">
        <f t="shared" si="52"/>
        <v>0</v>
      </c>
      <c r="N31" s="995"/>
      <c r="O31" s="995"/>
      <c r="P31" s="995"/>
      <c r="Q31" s="995"/>
      <c r="R31" s="614">
        <f t="shared" si="15"/>
        <v>0</v>
      </c>
      <c r="S31" s="614">
        <f t="shared" si="6"/>
        <v>0</v>
      </c>
      <c r="T31" s="614">
        <f t="shared" si="7"/>
        <v>0</v>
      </c>
      <c r="U31" s="614">
        <f t="shared" si="8"/>
        <v>0</v>
      </c>
      <c r="V31" s="614">
        <f t="shared" si="9"/>
        <v>0</v>
      </c>
      <c r="W31" s="614">
        <f t="shared" si="10"/>
        <v>0</v>
      </c>
      <c r="X31" s="614">
        <f t="shared" si="11"/>
        <v>0</v>
      </c>
      <c r="Y31" s="614">
        <f t="shared" si="12"/>
        <v>0</v>
      </c>
      <c r="Z31" s="614">
        <f t="shared" si="13"/>
        <v>0</v>
      </c>
      <c r="AA31" s="614">
        <f t="shared" si="14"/>
        <v>0</v>
      </c>
      <c r="AB31" s="614">
        <f t="shared" si="16"/>
        <v>0</v>
      </c>
      <c r="AC31" s="614">
        <f t="shared" si="17"/>
        <v>0</v>
      </c>
      <c r="AD31" s="614">
        <f t="shared" si="18"/>
        <v>0</v>
      </c>
      <c r="AE31" s="614">
        <f t="shared" si="19"/>
        <v>0</v>
      </c>
      <c r="AF31" s="994"/>
      <c r="AG31" s="994"/>
      <c r="AH31" s="996"/>
      <c r="AI31" s="614">
        <f t="shared" si="20"/>
        <v>0</v>
      </c>
      <c r="AJ31" s="996"/>
      <c r="AK31" s="614">
        <f t="shared" si="21"/>
        <v>0</v>
      </c>
      <c r="AL31" s="997"/>
      <c r="AM31" s="614">
        <f t="shared" si="22"/>
        <v>0</v>
      </c>
      <c r="AN31" s="996"/>
      <c r="AO31" s="614">
        <f t="shared" si="23"/>
        <v>0</v>
      </c>
      <c r="AP31" s="614">
        <f t="shared" si="24"/>
        <v>0</v>
      </c>
      <c r="AQ31" s="994"/>
      <c r="AR31" s="994"/>
      <c r="AS31" s="996"/>
      <c r="AT31" s="614">
        <f t="shared" si="25"/>
        <v>0</v>
      </c>
      <c r="AU31" s="996"/>
      <c r="AV31" s="614">
        <f t="shared" si="26"/>
        <v>0</v>
      </c>
      <c r="AW31" s="997"/>
      <c r="AX31" s="614">
        <f t="shared" si="27"/>
        <v>0</v>
      </c>
      <c r="AY31" s="987">
        <f t="shared" si="28"/>
        <v>0</v>
      </c>
      <c r="AZ31" s="987">
        <f t="shared" si="29"/>
        <v>0</v>
      </c>
      <c r="BA31" s="614">
        <f t="shared" si="30"/>
        <v>0</v>
      </c>
      <c r="BB31" s="614">
        <f t="shared" si="31"/>
        <v>0</v>
      </c>
      <c r="BC31" s="614">
        <f t="shared" si="32"/>
        <v>0</v>
      </c>
      <c r="BD31" s="994"/>
      <c r="BE31" s="994"/>
      <c r="BF31" s="614">
        <f t="shared" si="33"/>
        <v>0</v>
      </c>
      <c r="BG31" s="614">
        <f t="shared" si="34"/>
        <v>0</v>
      </c>
      <c r="BH31" s="614">
        <f t="shared" si="35"/>
        <v>0</v>
      </c>
      <c r="BI31" s="614">
        <f t="shared" si="36"/>
        <v>0</v>
      </c>
      <c r="BJ31" s="614">
        <f t="shared" si="37"/>
        <v>0</v>
      </c>
      <c r="BK31" s="614">
        <f t="shared" si="38"/>
        <v>0</v>
      </c>
      <c r="BL31" s="614">
        <f t="shared" si="39"/>
        <v>0</v>
      </c>
      <c r="BM31" s="614">
        <f t="shared" si="40"/>
        <v>0</v>
      </c>
      <c r="BN31" s="614">
        <f t="shared" si="41"/>
        <v>0</v>
      </c>
      <c r="BO31" s="614">
        <f t="shared" si="42"/>
        <v>0</v>
      </c>
      <c r="BP31" s="614">
        <f t="shared" si="43"/>
        <v>0</v>
      </c>
      <c r="BQ31" s="614">
        <f t="shared" si="44"/>
        <v>0</v>
      </c>
      <c r="BR31" s="614">
        <f t="shared" si="45"/>
        <v>0</v>
      </c>
      <c r="BS31" s="614">
        <f t="shared" si="46"/>
        <v>0</v>
      </c>
      <c r="BT31" s="614">
        <f t="shared" si="47"/>
        <v>0</v>
      </c>
      <c r="BU31" s="614">
        <f t="shared" si="48"/>
        <v>0</v>
      </c>
      <c r="BV31" s="614">
        <f t="shared" si="49"/>
        <v>0</v>
      </c>
      <c r="BW31" s="614">
        <f t="shared" si="50"/>
        <v>0</v>
      </c>
      <c r="BX31" s="614">
        <f t="shared" si="51"/>
        <v>0</v>
      </c>
      <c r="BY31" s="209"/>
      <c r="BZ31" s="209"/>
      <c r="CA31" s="209"/>
      <c r="CB31" s="209"/>
      <c r="CC31" s="209"/>
      <c r="CD31" s="209"/>
      <c r="CE31" s="209"/>
      <c r="CF31" s="209"/>
      <c r="CG31" s="209"/>
      <c r="CH31" s="209"/>
      <c r="CI31" s="209"/>
      <c r="CJ31" s="209"/>
      <c r="CK31" s="209"/>
      <c r="CL31" s="209"/>
      <c r="CM31" s="209"/>
      <c r="CN31" s="209"/>
      <c r="CO31" s="209"/>
      <c r="CP31" s="209"/>
      <c r="CQ31" s="209"/>
      <c r="CR31" s="209"/>
      <c r="CS31" s="209"/>
      <c r="CT31" s="209"/>
      <c r="CU31" s="209"/>
      <c r="CV31" s="209"/>
      <c r="CW31" s="209"/>
      <c r="CX31" s="209"/>
      <c r="CY31" s="209"/>
      <c r="CZ31" s="209"/>
      <c r="DA31" s="209"/>
      <c r="DB31" s="209"/>
      <c r="DC31" s="209"/>
      <c r="DD31" s="209"/>
      <c r="DE31" s="209"/>
      <c r="DF31" s="209"/>
      <c r="DG31" s="209"/>
      <c r="DH31" s="209"/>
      <c r="DI31" s="209"/>
      <c r="DJ31" s="209"/>
      <c r="DK31" s="209"/>
      <c r="DL31" s="209"/>
      <c r="DM31" s="209"/>
      <c r="DN31" s="209"/>
      <c r="DO31" s="209"/>
      <c r="DP31" s="209"/>
      <c r="DQ31" s="209"/>
      <c r="DR31" s="209"/>
      <c r="DS31" s="209"/>
      <c r="DT31" s="209"/>
      <c r="DU31" s="209"/>
      <c r="DV31" s="209"/>
      <c r="DW31" s="209"/>
      <c r="DX31" s="209"/>
      <c r="DY31" s="209"/>
      <c r="DZ31" s="209"/>
      <c r="EA31" s="209"/>
      <c r="EB31" s="209"/>
      <c r="EC31" s="209"/>
      <c r="ED31" s="209"/>
      <c r="EE31" s="209"/>
      <c r="EF31" s="209"/>
      <c r="EG31" s="209"/>
      <c r="EH31" s="209"/>
      <c r="EI31" s="209"/>
      <c r="EJ31" s="209"/>
      <c r="EK31" s="209"/>
      <c r="EL31" s="209"/>
      <c r="EM31" s="209"/>
      <c r="EN31" s="209"/>
      <c r="EO31" s="209"/>
      <c r="EP31" s="209"/>
      <c r="EQ31" s="209"/>
      <c r="ER31" s="209"/>
      <c r="ES31" s="209"/>
      <c r="ET31" s="209"/>
      <c r="EU31" s="209"/>
      <c r="EV31" s="209"/>
      <c r="EW31" s="209"/>
      <c r="EX31" s="209"/>
      <c r="EY31" s="209"/>
      <c r="EZ31" s="209"/>
      <c r="FA31" s="209"/>
      <c r="FB31" s="209"/>
      <c r="FC31" s="209"/>
      <c r="FD31" s="209"/>
      <c r="FE31" s="209"/>
      <c r="FF31" s="209"/>
      <c r="FG31" s="209"/>
      <c r="FH31" s="209"/>
      <c r="FI31" s="209"/>
      <c r="FJ31" s="209"/>
      <c r="FK31" s="209"/>
      <c r="FL31" s="209"/>
      <c r="FM31" s="209"/>
      <c r="FN31" s="209"/>
      <c r="FO31" s="209"/>
      <c r="FP31" s="209"/>
      <c r="FQ31" s="209"/>
      <c r="FR31" s="209"/>
      <c r="FS31" s="209"/>
      <c r="FT31" s="209"/>
      <c r="FU31" s="209"/>
      <c r="FV31" s="209"/>
      <c r="FW31" s="209"/>
      <c r="FX31" s="209"/>
      <c r="FY31" s="209"/>
      <c r="FZ31" s="209"/>
      <c r="GA31" s="209"/>
      <c r="GB31" s="209"/>
      <c r="GC31" s="209"/>
      <c r="GD31" s="209"/>
      <c r="GE31" s="209"/>
      <c r="GF31" s="209"/>
      <c r="GG31" s="209"/>
      <c r="GH31" s="209"/>
      <c r="GI31" s="209"/>
      <c r="GJ31" s="209"/>
      <c r="GK31" s="209"/>
      <c r="GL31" s="209"/>
      <c r="GM31" s="209"/>
      <c r="GN31" s="209"/>
      <c r="GO31" s="209"/>
      <c r="GP31" s="209"/>
      <c r="GQ31" s="209"/>
      <c r="GR31" s="209"/>
      <c r="GS31" s="209"/>
      <c r="GT31" s="209"/>
      <c r="GU31" s="209"/>
      <c r="GV31" s="209"/>
      <c r="GW31" s="209"/>
      <c r="GX31" s="209"/>
      <c r="GY31" s="209"/>
      <c r="GZ31" s="209"/>
      <c r="HA31" s="209"/>
      <c r="HB31" s="209"/>
      <c r="HC31" s="209"/>
      <c r="HD31" s="209"/>
      <c r="HE31" s="209"/>
      <c r="HF31" s="209"/>
      <c r="HG31" s="209"/>
      <c r="HH31" s="209"/>
      <c r="HI31" s="209"/>
      <c r="HJ31" s="209"/>
      <c r="HK31" s="209"/>
      <c r="HL31" s="209"/>
      <c r="HM31" s="209"/>
      <c r="HN31" s="209"/>
      <c r="HO31" s="209"/>
      <c r="HP31" s="209"/>
      <c r="HQ31" s="209"/>
      <c r="HR31" s="209"/>
      <c r="HS31" s="209"/>
      <c r="HT31" s="209"/>
      <c r="HU31" s="209"/>
      <c r="HV31" s="209"/>
      <c r="HW31" s="209"/>
      <c r="HX31" s="209"/>
      <c r="HY31" s="209"/>
      <c r="HZ31" s="209"/>
      <c r="IA31" s="209"/>
      <c r="IB31" s="209"/>
      <c r="IC31" s="209"/>
      <c r="ID31" s="209"/>
      <c r="IE31" s="209"/>
      <c r="IF31" s="209"/>
      <c r="IG31" s="209"/>
      <c r="IH31" s="209"/>
      <c r="II31" s="209"/>
      <c r="IJ31" s="209"/>
      <c r="IK31" s="209"/>
      <c r="IL31" s="209"/>
      <c r="IM31" s="209"/>
      <c r="IN31" s="209"/>
      <c r="IO31" s="209"/>
      <c r="IP31" s="209"/>
      <c r="IQ31" s="209"/>
      <c r="IR31" s="209"/>
      <c r="IS31" s="209"/>
      <c r="IT31" s="209"/>
      <c r="IU31" s="209"/>
    </row>
    <row r="32" spans="1:255">
      <c r="A32" s="991"/>
      <c r="B32" s="992"/>
      <c r="C32" s="993"/>
      <c r="D32" s="992"/>
      <c r="E32" s="994"/>
      <c r="F32" s="994"/>
      <c r="G32" s="994"/>
      <c r="H32" s="994"/>
      <c r="I32" s="995"/>
      <c r="J32" s="995"/>
      <c r="K32" s="995"/>
      <c r="L32" s="995"/>
      <c r="M32" s="614">
        <f t="shared" si="52"/>
        <v>0</v>
      </c>
      <c r="N32" s="995"/>
      <c r="O32" s="995"/>
      <c r="P32" s="995"/>
      <c r="Q32" s="995"/>
      <c r="R32" s="614">
        <f t="shared" si="15"/>
        <v>0</v>
      </c>
      <c r="S32" s="614">
        <f t="shared" si="6"/>
        <v>0</v>
      </c>
      <c r="T32" s="614">
        <f t="shared" si="7"/>
        <v>0</v>
      </c>
      <c r="U32" s="614">
        <f t="shared" si="8"/>
        <v>0</v>
      </c>
      <c r="V32" s="614">
        <f t="shared" si="9"/>
        <v>0</v>
      </c>
      <c r="W32" s="614">
        <f t="shared" si="10"/>
        <v>0</v>
      </c>
      <c r="X32" s="614">
        <f t="shared" si="11"/>
        <v>0</v>
      </c>
      <c r="Y32" s="614">
        <f t="shared" si="12"/>
        <v>0</v>
      </c>
      <c r="Z32" s="614">
        <f t="shared" si="13"/>
        <v>0</v>
      </c>
      <c r="AA32" s="614">
        <f t="shared" si="14"/>
        <v>0</v>
      </c>
      <c r="AB32" s="614">
        <f t="shared" si="16"/>
        <v>0</v>
      </c>
      <c r="AC32" s="614">
        <f t="shared" si="17"/>
        <v>0</v>
      </c>
      <c r="AD32" s="614">
        <f t="shared" si="18"/>
        <v>0</v>
      </c>
      <c r="AE32" s="614">
        <f t="shared" si="19"/>
        <v>0</v>
      </c>
      <c r="AF32" s="994"/>
      <c r="AG32" s="994"/>
      <c r="AH32" s="996"/>
      <c r="AI32" s="614">
        <f t="shared" si="20"/>
        <v>0</v>
      </c>
      <c r="AJ32" s="996"/>
      <c r="AK32" s="614">
        <f t="shared" si="21"/>
        <v>0</v>
      </c>
      <c r="AL32" s="997"/>
      <c r="AM32" s="614">
        <f t="shared" si="22"/>
        <v>0</v>
      </c>
      <c r="AN32" s="996"/>
      <c r="AO32" s="614">
        <f t="shared" si="23"/>
        <v>0</v>
      </c>
      <c r="AP32" s="614">
        <f t="shared" si="24"/>
        <v>0</v>
      </c>
      <c r="AQ32" s="994"/>
      <c r="AR32" s="994"/>
      <c r="AS32" s="996"/>
      <c r="AT32" s="614">
        <f t="shared" si="25"/>
        <v>0</v>
      </c>
      <c r="AU32" s="996"/>
      <c r="AV32" s="614">
        <f t="shared" si="26"/>
        <v>0</v>
      </c>
      <c r="AW32" s="997"/>
      <c r="AX32" s="614">
        <f t="shared" si="27"/>
        <v>0</v>
      </c>
      <c r="AY32" s="987">
        <f t="shared" si="28"/>
        <v>0</v>
      </c>
      <c r="AZ32" s="987">
        <f t="shared" si="29"/>
        <v>0</v>
      </c>
      <c r="BA32" s="614">
        <f t="shared" si="30"/>
        <v>0</v>
      </c>
      <c r="BB32" s="614">
        <f t="shared" si="31"/>
        <v>0</v>
      </c>
      <c r="BC32" s="614">
        <f t="shared" si="32"/>
        <v>0</v>
      </c>
      <c r="BD32" s="994"/>
      <c r="BE32" s="994"/>
      <c r="BF32" s="614">
        <f t="shared" si="33"/>
        <v>0</v>
      </c>
      <c r="BG32" s="614">
        <f t="shared" si="34"/>
        <v>0</v>
      </c>
      <c r="BH32" s="614">
        <f t="shared" si="35"/>
        <v>0</v>
      </c>
      <c r="BI32" s="614">
        <f t="shared" si="36"/>
        <v>0</v>
      </c>
      <c r="BJ32" s="614">
        <f t="shared" si="37"/>
        <v>0</v>
      </c>
      <c r="BK32" s="614">
        <f t="shared" si="38"/>
        <v>0</v>
      </c>
      <c r="BL32" s="614">
        <f t="shared" si="39"/>
        <v>0</v>
      </c>
      <c r="BM32" s="614">
        <f t="shared" si="40"/>
        <v>0</v>
      </c>
      <c r="BN32" s="614">
        <f t="shared" si="41"/>
        <v>0</v>
      </c>
      <c r="BO32" s="614">
        <f t="shared" si="42"/>
        <v>0</v>
      </c>
      <c r="BP32" s="614">
        <f t="shared" si="43"/>
        <v>0</v>
      </c>
      <c r="BQ32" s="614">
        <f t="shared" si="44"/>
        <v>0</v>
      </c>
      <c r="BR32" s="614">
        <f t="shared" si="45"/>
        <v>0</v>
      </c>
      <c r="BS32" s="614">
        <f t="shared" si="46"/>
        <v>0</v>
      </c>
      <c r="BT32" s="614">
        <f t="shared" si="47"/>
        <v>0</v>
      </c>
      <c r="BU32" s="614">
        <f t="shared" si="48"/>
        <v>0</v>
      </c>
      <c r="BV32" s="614">
        <f t="shared" si="49"/>
        <v>0</v>
      </c>
      <c r="BW32" s="614">
        <f t="shared" si="50"/>
        <v>0</v>
      </c>
      <c r="BX32" s="614">
        <f t="shared" si="51"/>
        <v>0</v>
      </c>
      <c r="BY32" s="209"/>
      <c r="BZ32" s="209"/>
      <c r="CA32" s="209"/>
      <c r="CB32" s="209"/>
      <c r="CC32" s="209"/>
      <c r="CD32" s="209"/>
      <c r="CE32" s="209"/>
      <c r="CF32" s="209"/>
      <c r="CG32" s="209"/>
      <c r="CH32" s="209"/>
      <c r="CI32" s="209"/>
      <c r="CJ32" s="209"/>
      <c r="CK32" s="209"/>
      <c r="CL32" s="209"/>
      <c r="CM32" s="209"/>
      <c r="CN32" s="209"/>
      <c r="CO32" s="209"/>
      <c r="CP32" s="209"/>
      <c r="CQ32" s="209"/>
      <c r="CR32" s="209"/>
      <c r="CS32" s="209"/>
      <c r="CT32" s="209"/>
      <c r="CU32" s="209"/>
      <c r="CV32" s="209"/>
      <c r="CW32" s="209"/>
      <c r="CX32" s="209"/>
      <c r="CY32" s="209"/>
      <c r="CZ32" s="209"/>
      <c r="DA32" s="209"/>
      <c r="DB32" s="209"/>
      <c r="DC32" s="209"/>
      <c r="DD32" s="209"/>
      <c r="DE32" s="209"/>
      <c r="DF32" s="209"/>
      <c r="DG32" s="209"/>
      <c r="DH32" s="209"/>
      <c r="DI32" s="209"/>
      <c r="DJ32" s="209"/>
      <c r="DK32" s="209"/>
      <c r="DL32" s="209"/>
      <c r="DM32" s="209"/>
      <c r="DN32" s="209"/>
      <c r="DO32" s="209"/>
      <c r="DP32" s="209"/>
      <c r="DQ32" s="209"/>
      <c r="DR32" s="209"/>
      <c r="DS32" s="209"/>
      <c r="DT32" s="209"/>
      <c r="DU32" s="209"/>
      <c r="DV32" s="209"/>
      <c r="DW32" s="209"/>
      <c r="DX32" s="209"/>
      <c r="DY32" s="209"/>
      <c r="DZ32" s="209"/>
      <c r="EA32" s="209"/>
      <c r="EB32" s="209"/>
      <c r="EC32" s="209"/>
      <c r="ED32" s="209"/>
      <c r="EE32" s="209"/>
      <c r="EF32" s="209"/>
      <c r="EG32" s="209"/>
      <c r="EH32" s="209"/>
      <c r="EI32" s="209"/>
      <c r="EJ32" s="209"/>
      <c r="EK32" s="209"/>
      <c r="EL32" s="209"/>
      <c r="EM32" s="209"/>
      <c r="EN32" s="209"/>
      <c r="EO32" s="209"/>
      <c r="EP32" s="209"/>
      <c r="EQ32" s="209"/>
      <c r="ER32" s="209"/>
      <c r="ES32" s="209"/>
      <c r="ET32" s="209"/>
      <c r="EU32" s="209"/>
      <c r="EV32" s="209"/>
      <c r="EW32" s="209"/>
      <c r="EX32" s="209"/>
      <c r="EY32" s="209"/>
      <c r="EZ32" s="209"/>
      <c r="FA32" s="209"/>
      <c r="FB32" s="209"/>
      <c r="FC32" s="209"/>
      <c r="FD32" s="209"/>
      <c r="FE32" s="209"/>
      <c r="FF32" s="209"/>
      <c r="FG32" s="209"/>
      <c r="FH32" s="209"/>
      <c r="FI32" s="209"/>
      <c r="FJ32" s="209"/>
      <c r="FK32" s="209"/>
      <c r="FL32" s="209"/>
      <c r="FM32" s="209"/>
      <c r="FN32" s="209"/>
      <c r="FO32" s="209"/>
      <c r="FP32" s="209"/>
      <c r="FQ32" s="209"/>
      <c r="FR32" s="209"/>
      <c r="FS32" s="209"/>
      <c r="FT32" s="209"/>
      <c r="FU32" s="209"/>
      <c r="FV32" s="209"/>
      <c r="FW32" s="209"/>
      <c r="FX32" s="209"/>
      <c r="FY32" s="209"/>
      <c r="FZ32" s="209"/>
      <c r="GA32" s="209"/>
      <c r="GB32" s="209"/>
      <c r="GC32" s="209"/>
      <c r="GD32" s="209"/>
      <c r="GE32" s="209"/>
      <c r="GF32" s="209"/>
      <c r="GG32" s="209"/>
      <c r="GH32" s="209"/>
      <c r="GI32" s="209"/>
      <c r="GJ32" s="209"/>
      <c r="GK32" s="209"/>
      <c r="GL32" s="209"/>
      <c r="GM32" s="209"/>
      <c r="GN32" s="209"/>
      <c r="GO32" s="209"/>
      <c r="GP32" s="209"/>
      <c r="GQ32" s="209"/>
      <c r="GR32" s="209"/>
      <c r="GS32" s="209"/>
      <c r="GT32" s="209"/>
      <c r="GU32" s="209"/>
      <c r="GV32" s="209"/>
      <c r="GW32" s="209"/>
      <c r="GX32" s="209"/>
      <c r="GY32" s="209"/>
      <c r="GZ32" s="209"/>
      <c r="HA32" s="209"/>
      <c r="HB32" s="209"/>
      <c r="HC32" s="209"/>
      <c r="HD32" s="209"/>
      <c r="HE32" s="209"/>
      <c r="HF32" s="209"/>
      <c r="HG32" s="209"/>
      <c r="HH32" s="209"/>
      <c r="HI32" s="209"/>
      <c r="HJ32" s="209"/>
      <c r="HK32" s="209"/>
      <c r="HL32" s="209"/>
      <c r="HM32" s="209"/>
      <c r="HN32" s="209"/>
      <c r="HO32" s="209"/>
      <c r="HP32" s="209"/>
      <c r="HQ32" s="209"/>
      <c r="HR32" s="209"/>
      <c r="HS32" s="209"/>
      <c r="HT32" s="209"/>
      <c r="HU32" s="209"/>
      <c r="HV32" s="209"/>
      <c r="HW32" s="209"/>
      <c r="HX32" s="209"/>
      <c r="HY32" s="209"/>
      <c r="HZ32" s="209"/>
      <c r="IA32" s="209"/>
      <c r="IB32" s="209"/>
      <c r="IC32" s="209"/>
      <c r="ID32" s="209"/>
      <c r="IE32" s="209"/>
      <c r="IF32" s="209"/>
      <c r="IG32" s="209"/>
      <c r="IH32" s="209"/>
      <c r="II32" s="209"/>
      <c r="IJ32" s="209"/>
      <c r="IK32" s="209"/>
      <c r="IL32" s="209"/>
      <c r="IM32" s="209"/>
      <c r="IN32" s="209"/>
      <c r="IO32" s="209"/>
      <c r="IP32" s="209"/>
      <c r="IQ32" s="209"/>
      <c r="IR32" s="209"/>
      <c r="IS32" s="209"/>
      <c r="IT32" s="209"/>
      <c r="IU32" s="209"/>
    </row>
    <row r="33" spans="1:255">
      <c r="A33" s="991"/>
      <c r="B33" s="992"/>
      <c r="C33" s="993"/>
      <c r="D33" s="992"/>
      <c r="E33" s="994"/>
      <c r="F33" s="994"/>
      <c r="G33" s="994"/>
      <c r="H33" s="994"/>
      <c r="I33" s="995"/>
      <c r="J33" s="995"/>
      <c r="K33" s="995"/>
      <c r="L33" s="995"/>
      <c r="M33" s="614">
        <f>I33+J33+K33+L33</f>
        <v>0</v>
      </c>
      <c r="N33" s="995"/>
      <c r="O33" s="995"/>
      <c r="P33" s="995"/>
      <c r="Q33" s="995"/>
      <c r="R33" s="614">
        <f>N33+O33+P33+Q33</f>
        <v>0</v>
      </c>
      <c r="S33" s="614">
        <f t="shared" si="6"/>
        <v>0</v>
      </c>
      <c r="T33" s="614">
        <f t="shared" si="7"/>
        <v>0</v>
      </c>
      <c r="U33" s="614">
        <f t="shared" si="8"/>
        <v>0</v>
      </c>
      <c r="V33" s="614">
        <f t="shared" si="9"/>
        <v>0</v>
      </c>
      <c r="W33" s="614">
        <f t="shared" si="10"/>
        <v>0</v>
      </c>
      <c r="X33" s="614">
        <f t="shared" si="11"/>
        <v>0</v>
      </c>
      <c r="Y33" s="614">
        <f t="shared" si="12"/>
        <v>0</v>
      </c>
      <c r="Z33" s="614">
        <f t="shared" si="13"/>
        <v>0</v>
      </c>
      <c r="AA33" s="614">
        <f t="shared" si="14"/>
        <v>0</v>
      </c>
      <c r="AB33" s="614">
        <f>X33+Y33+Z33+AA33</f>
        <v>0</v>
      </c>
      <c r="AC33" s="614">
        <f>W33</f>
        <v>0</v>
      </c>
      <c r="AD33" s="614">
        <f>AB33</f>
        <v>0</v>
      </c>
      <c r="AE33" s="614">
        <f>AC33+AD33</f>
        <v>0</v>
      </c>
      <c r="AF33" s="994"/>
      <c r="AG33" s="994"/>
      <c r="AH33" s="996"/>
      <c r="AI33" s="614">
        <f>AH33*AC33</f>
        <v>0</v>
      </c>
      <c r="AJ33" s="996"/>
      <c r="AK33" s="614">
        <f>AJ33*AC33</f>
        <v>0</v>
      </c>
      <c r="AL33" s="997"/>
      <c r="AM33" s="614">
        <f>AL33*$T$2</f>
        <v>0</v>
      </c>
      <c r="AN33" s="996"/>
      <c r="AO33" s="614">
        <f>AN33*AC33</f>
        <v>0</v>
      </c>
      <c r="AP33" s="614">
        <f>AF33+AG33+AI33+AK33+AM33+AO33</f>
        <v>0</v>
      </c>
      <c r="AQ33" s="994"/>
      <c r="AR33" s="994"/>
      <c r="AS33" s="996"/>
      <c r="AT33" s="614">
        <f>AS33*AD33</f>
        <v>0</v>
      </c>
      <c r="AU33" s="996"/>
      <c r="AV33" s="614">
        <f>AU33*AD33</f>
        <v>0</v>
      </c>
      <c r="AW33" s="997"/>
      <c r="AX33" s="614">
        <f>AW33*$T$2</f>
        <v>0</v>
      </c>
      <c r="AY33" s="987">
        <f>AQ33+AR33+AT33+AV33+AX33</f>
        <v>0</v>
      </c>
      <c r="AZ33" s="987">
        <f>AP33+AY33</f>
        <v>0</v>
      </c>
      <c r="BA33" s="614">
        <f>AC33+AP33</f>
        <v>0</v>
      </c>
      <c r="BB33" s="614">
        <f>AD33+AY33</f>
        <v>0</v>
      </c>
      <c r="BC33" s="614">
        <f>BA33+BB33</f>
        <v>0</v>
      </c>
      <c r="BD33" s="994"/>
      <c r="BE33" s="994"/>
      <c r="BF33" s="614">
        <f>BD33+BE33</f>
        <v>0</v>
      </c>
      <c r="BG33" s="614">
        <f t="shared" si="34"/>
        <v>0</v>
      </c>
      <c r="BH33" s="614">
        <f t="shared" si="35"/>
        <v>0</v>
      </c>
      <c r="BI33" s="614">
        <f>BG33+BH33</f>
        <v>0</v>
      </c>
      <c r="BJ33" s="614">
        <f>BA33+BD33+BG33</f>
        <v>0</v>
      </c>
      <c r="BK33" s="614">
        <f>BB33+BE33+BH33</f>
        <v>0</v>
      </c>
      <c r="BL33" s="614">
        <f>BJ33+BK33</f>
        <v>0</v>
      </c>
      <c r="BM33" s="614">
        <f>BJ33*10%</f>
        <v>0</v>
      </c>
      <c r="BN33" s="614">
        <f>(BJ33-BM33)*10%</f>
        <v>0</v>
      </c>
      <c r="BO33" s="614">
        <f>(BJ33-BM33)*6%</f>
        <v>0</v>
      </c>
      <c r="BP33" s="614">
        <f>(BJ33-BM33)*5%</f>
        <v>0</v>
      </c>
      <c r="BQ33" s="614">
        <f>BK33*10%</f>
        <v>0</v>
      </c>
      <c r="BR33" s="614">
        <f>(BK33-BQ33)*10%</f>
        <v>0</v>
      </c>
      <c r="BS33" s="614">
        <f>(BK33-BQ33)*6%</f>
        <v>0</v>
      </c>
      <c r="BT33" s="614">
        <f>(BK33-BQ33)*5%</f>
        <v>0</v>
      </c>
      <c r="BU33" s="614">
        <f>BM33+BQ33</f>
        <v>0</v>
      </c>
      <c r="BV33" s="614">
        <f t="shared" si="49"/>
        <v>0</v>
      </c>
      <c r="BW33" s="614">
        <f t="shared" si="50"/>
        <v>0</v>
      </c>
      <c r="BX33" s="614">
        <f>BP33+BT33</f>
        <v>0</v>
      </c>
      <c r="BY33" s="209"/>
      <c r="BZ33" s="209"/>
      <c r="CA33" s="209"/>
      <c r="CB33" s="209"/>
      <c r="CC33" s="209"/>
      <c r="CD33" s="209"/>
      <c r="CE33" s="209"/>
      <c r="CF33" s="209"/>
      <c r="CG33" s="209"/>
      <c r="CH33" s="209"/>
      <c r="CI33" s="209"/>
      <c r="CJ33" s="209"/>
      <c r="CK33" s="209"/>
      <c r="CL33" s="209"/>
      <c r="CM33" s="209"/>
      <c r="CN33" s="209"/>
      <c r="CO33" s="209"/>
      <c r="CP33" s="209"/>
      <c r="CQ33" s="209"/>
      <c r="CR33" s="209"/>
      <c r="CS33" s="209"/>
      <c r="CT33" s="209"/>
      <c r="CU33" s="209"/>
      <c r="CV33" s="209"/>
      <c r="CW33" s="209"/>
      <c r="CX33" s="209"/>
      <c r="CY33" s="209"/>
      <c r="CZ33" s="209"/>
      <c r="DA33" s="209"/>
      <c r="DB33" s="209"/>
      <c r="DC33" s="209"/>
      <c r="DD33" s="209"/>
      <c r="DE33" s="209"/>
      <c r="DF33" s="209"/>
      <c r="DG33" s="209"/>
      <c r="DH33" s="209"/>
      <c r="DI33" s="209"/>
      <c r="DJ33" s="209"/>
      <c r="DK33" s="209"/>
      <c r="DL33" s="209"/>
      <c r="DM33" s="209"/>
      <c r="DN33" s="209"/>
      <c r="DO33" s="209"/>
      <c r="DP33" s="209"/>
      <c r="DQ33" s="209"/>
      <c r="DR33" s="209"/>
      <c r="DS33" s="209"/>
      <c r="DT33" s="209"/>
      <c r="DU33" s="209"/>
      <c r="DV33" s="209"/>
      <c r="DW33" s="209"/>
      <c r="DX33" s="209"/>
      <c r="DY33" s="209"/>
      <c r="DZ33" s="209"/>
      <c r="EA33" s="209"/>
      <c r="EB33" s="209"/>
      <c r="EC33" s="209"/>
      <c r="ED33" s="209"/>
      <c r="EE33" s="209"/>
      <c r="EF33" s="209"/>
      <c r="EG33" s="209"/>
      <c r="EH33" s="209"/>
      <c r="EI33" s="209"/>
      <c r="EJ33" s="209"/>
      <c r="EK33" s="209"/>
      <c r="EL33" s="209"/>
      <c r="EM33" s="209"/>
      <c r="EN33" s="209"/>
      <c r="EO33" s="209"/>
      <c r="EP33" s="209"/>
      <c r="EQ33" s="209"/>
      <c r="ER33" s="209"/>
      <c r="ES33" s="209"/>
      <c r="ET33" s="209"/>
      <c r="EU33" s="209"/>
      <c r="EV33" s="209"/>
      <c r="EW33" s="209"/>
      <c r="EX33" s="209"/>
      <c r="EY33" s="209"/>
      <c r="EZ33" s="209"/>
      <c r="FA33" s="209"/>
      <c r="FB33" s="209"/>
      <c r="FC33" s="209"/>
      <c r="FD33" s="209"/>
      <c r="FE33" s="209"/>
      <c r="FF33" s="209"/>
      <c r="FG33" s="209"/>
      <c r="FH33" s="209"/>
      <c r="FI33" s="209"/>
      <c r="FJ33" s="209"/>
      <c r="FK33" s="209"/>
      <c r="FL33" s="209"/>
      <c r="FM33" s="209"/>
      <c r="FN33" s="209"/>
      <c r="FO33" s="209"/>
      <c r="FP33" s="209"/>
      <c r="FQ33" s="209"/>
      <c r="FR33" s="209"/>
      <c r="FS33" s="209"/>
      <c r="FT33" s="209"/>
      <c r="FU33" s="209"/>
      <c r="FV33" s="209"/>
      <c r="FW33" s="209"/>
      <c r="FX33" s="209"/>
      <c r="FY33" s="209"/>
      <c r="FZ33" s="209"/>
      <c r="GA33" s="209"/>
      <c r="GB33" s="209"/>
      <c r="GC33" s="209"/>
      <c r="GD33" s="209"/>
      <c r="GE33" s="209"/>
      <c r="GF33" s="209"/>
      <c r="GG33" s="209"/>
      <c r="GH33" s="209"/>
      <c r="GI33" s="209"/>
      <c r="GJ33" s="209"/>
      <c r="GK33" s="209"/>
      <c r="GL33" s="209"/>
      <c r="GM33" s="209"/>
      <c r="GN33" s="209"/>
      <c r="GO33" s="209"/>
      <c r="GP33" s="209"/>
      <c r="GQ33" s="209"/>
      <c r="GR33" s="209"/>
      <c r="GS33" s="209"/>
      <c r="GT33" s="209"/>
      <c r="GU33" s="209"/>
      <c r="GV33" s="209"/>
      <c r="GW33" s="209"/>
      <c r="GX33" s="209"/>
      <c r="GY33" s="209"/>
      <c r="GZ33" s="209"/>
      <c r="HA33" s="209"/>
      <c r="HB33" s="209"/>
      <c r="HC33" s="209"/>
      <c r="HD33" s="209"/>
      <c r="HE33" s="209"/>
      <c r="HF33" s="209"/>
      <c r="HG33" s="209"/>
      <c r="HH33" s="209"/>
      <c r="HI33" s="209"/>
      <c r="HJ33" s="209"/>
      <c r="HK33" s="209"/>
      <c r="HL33" s="209"/>
      <c r="HM33" s="209"/>
      <c r="HN33" s="209"/>
      <c r="HO33" s="209"/>
      <c r="HP33" s="209"/>
      <c r="HQ33" s="209"/>
      <c r="HR33" s="209"/>
      <c r="HS33" s="209"/>
      <c r="HT33" s="209"/>
      <c r="HU33" s="209"/>
      <c r="HV33" s="209"/>
      <c r="HW33" s="209"/>
      <c r="HX33" s="209"/>
      <c r="HY33" s="209"/>
      <c r="HZ33" s="209"/>
      <c r="IA33" s="209"/>
      <c r="IB33" s="209"/>
      <c r="IC33" s="209"/>
      <c r="ID33" s="209"/>
      <c r="IE33" s="209"/>
      <c r="IF33" s="209"/>
      <c r="IG33" s="209"/>
      <c r="IH33" s="209"/>
      <c r="II33" s="209"/>
      <c r="IJ33" s="209"/>
      <c r="IK33" s="209"/>
      <c r="IL33" s="209"/>
      <c r="IM33" s="209"/>
      <c r="IN33" s="209"/>
      <c r="IO33" s="209"/>
      <c r="IP33" s="209"/>
      <c r="IQ33" s="209"/>
      <c r="IR33" s="209"/>
      <c r="IS33" s="209"/>
      <c r="IT33" s="209"/>
      <c r="IU33" s="209"/>
    </row>
    <row r="34" spans="1:255">
      <c r="A34" s="991"/>
      <c r="B34" s="992"/>
      <c r="C34" s="993"/>
      <c r="D34" s="992"/>
      <c r="E34" s="994"/>
      <c r="F34" s="994"/>
      <c r="G34" s="994"/>
      <c r="H34" s="994"/>
      <c r="I34" s="995"/>
      <c r="J34" s="995"/>
      <c r="K34" s="995"/>
      <c r="L34" s="995"/>
      <c r="M34" s="614">
        <f t="shared" ref="M34:M41" si="53">I34+J34+K34+L34</f>
        <v>0</v>
      </c>
      <c r="N34" s="995"/>
      <c r="O34" s="995"/>
      <c r="P34" s="995"/>
      <c r="Q34" s="995"/>
      <c r="R34" s="614">
        <f t="shared" ref="R34:R41" si="54">N34+O34+P34+Q34</f>
        <v>0</v>
      </c>
      <c r="S34" s="614">
        <f t="shared" si="6"/>
        <v>0</v>
      </c>
      <c r="T34" s="614">
        <f t="shared" si="7"/>
        <v>0</v>
      </c>
      <c r="U34" s="614">
        <f t="shared" si="8"/>
        <v>0</v>
      </c>
      <c r="V34" s="614">
        <f t="shared" si="9"/>
        <v>0</v>
      </c>
      <c r="W34" s="614">
        <f t="shared" si="10"/>
        <v>0</v>
      </c>
      <c r="X34" s="614">
        <f t="shared" si="11"/>
        <v>0</v>
      </c>
      <c r="Y34" s="614">
        <f t="shared" si="12"/>
        <v>0</v>
      </c>
      <c r="Z34" s="614">
        <f t="shared" si="13"/>
        <v>0</v>
      </c>
      <c r="AA34" s="614">
        <f t="shared" si="14"/>
        <v>0</v>
      </c>
      <c r="AB34" s="614">
        <f t="shared" ref="AB34:AB41" si="55">X34+Y34+Z34+AA34</f>
        <v>0</v>
      </c>
      <c r="AC34" s="614">
        <f t="shared" ref="AC34:AC41" si="56">W34</f>
        <v>0</v>
      </c>
      <c r="AD34" s="614">
        <f t="shared" ref="AD34:AD41" si="57">AB34</f>
        <v>0</v>
      </c>
      <c r="AE34" s="614">
        <f t="shared" ref="AE34:AE41" si="58">AC34+AD34</f>
        <v>0</v>
      </c>
      <c r="AF34" s="994"/>
      <c r="AG34" s="994"/>
      <c r="AH34" s="996"/>
      <c r="AI34" s="614">
        <f t="shared" ref="AI34:AI41" si="59">AH34*AC34</f>
        <v>0</v>
      </c>
      <c r="AJ34" s="996"/>
      <c r="AK34" s="614">
        <f t="shared" ref="AK34:AK41" si="60">AJ34*AC34</f>
        <v>0</v>
      </c>
      <c r="AL34" s="997"/>
      <c r="AM34" s="614">
        <f t="shared" si="22"/>
        <v>0</v>
      </c>
      <c r="AN34" s="996"/>
      <c r="AO34" s="614">
        <f t="shared" ref="AO34:AO41" si="61">AN34*AC34</f>
        <v>0</v>
      </c>
      <c r="AP34" s="614">
        <f t="shared" ref="AP34:AP41" si="62">AF34+AG34+AI34+AK34+AM34+AO34</f>
        <v>0</v>
      </c>
      <c r="AQ34" s="994"/>
      <c r="AR34" s="994"/>
      <c r="AS34" s="996"/>
      <c r="AT34" s="614">
        <f t="shared" ref="AT34:AT41" si="63">AS34*AD34</f>
        <v>0</v>
      </c>
      <c r="AU34" s="996"/>
      <c r="AV34" s="614">
        <f t="shared" ref="AV34:AV41" si="64">AU34*AD34</f>
        <v>0</v>
      </c>
      <c r="AW34" s="997"/>
      <c r="AX34" s="614">
        <f t="shared" si="27"/>
        <v>0</v>
      </c>
      <c r="AY34" s="987">
        <f t="shared" ref="AY34:AY41" si="65">AQ34+AR34+AT34+AV34+AX34</f>
        <v>0</v>
      </c>
      <c r="AZ34" s="987">
        <f t="shared" ref="AZ34:AZ41" si="66">AP34+AY34</f>
        <v>0</v>
      </c>
      <c r="BA34" s="614">
        <f t="shared" ref="BA34:BA41" si="67">AC34+AP34</f>
        <v>0</v>
      </c>
      <c r="BB34" s="614">
        <f t="shared" ref="BB34:BB41" si="68">AD34+AY34</f>
        <v>0</v>
      </c>
      <c r="BC34" s="614">
        <f t="shared" ref="BC34:BC41" si="69">BA34+BB34</f>
        <v>0</v>
      </c>
      <c r="BD34" s="994"/>
      <c r="BE34" s="994"/>
      <c r="BF34" s="614">
        <f t="shared" ref="BF34:BF41" si="70">BD34+BE34</f>
        <v>0</v>
      </c>
      <c r="BG34" s="614">
        <f t="shared" ref="BG34:BG41" si="71">W34*$T$4</f>
        <v>0</v>
      </c>
      <c r="BH34" s="614">
        <f t="shared" ref="BH34:BH41" si="72">AB34*$T$4</f>
        <v>0</v>
      </c>
      <c r="BI34" s="614">
        <f t="shared" ref="BI34:BI41" si="73">BG34+BH34</f>
        <v>0</v>
      </c>
      <c r="BJ34" s="614">
        <f t="shared" ref="BJ34:BJ41" si="74">BA34+BD34+BG34</f>
        <v>0</v>
      </c>
      <c r="BK34" s="614">
        <f t="shared" ref="BK34:BK41" si="75">BB34+BE34+BH34</f>
        <v>0</v>
      </c>
      <c r="BL34" s="614">
        <f t="shared" ref="BL34:BL41" si="76">BJ34+BK34</f>
        <v>0</v>
      </c>
      <c r="BM34" s="614">
        <f t="shared" ref="BM34:BM41" si="77">BJ34*10%</f>
        <v>0</v>
      </c>
      <c r="BN34" s="614">
        <f t="shared" ref="BN34:BN41" si="78">(BJ34-BM34)*10%</f>
        <v>0</v>
      </c>
      <c r="BO34" s="614">
        <f t="shared" ref="BO34:BO41" si="79">(BJ34-BM34)*6%</f>
        <v>0</v>
      </c>
      <c r="BP34" s="614">
        <f t="shared" ref="BP34:BP41" si="80">(BJ34-BM34)*5%</f>
        <v>0</v>
      </c>
      <c r="BQ34" s="614">
        <f t="shared" ref="BQ34:BQ41" si="81">BK34*10%</f>
        <v>0</v>
      </c>
      <c r="BR34" s="614">
        <f t="shared" ref="BR34:BR41" si="82">(BK34-BQ34)*10%</f>
        <v>0</v>
      </c>
      <c r="BS34" s="614">
        <f t="shared" ref="BS34:BS41" si="83">(BK34-BQ34)*6%</f>
        <v>0</v>
      </c>
      <c r="BT34" s="614">
        <f t="shared" ref="BT34:BT41" si="84">(BK34-BQ34)*5%</f>
        <v>0</v>
      </c>
      <c r="BU34" s="614">
        <f t="shared" ref="BU34:BU41" si="85">BM34+BQ34</f>
        <v>0</v>
      </c>
      <c r="BV34" s="614">
        <f t="shared" ref="BV34:BV41" si="86">BN34+BR34</f>
        <v>0</v>
      </c>
      <c r="BW34" s="614">
        <f t="shared" ref="BW34:BW41" si="87">BO34+BS34</f>
        <v>0</v>
      </c>
      <c r="BX34" s="614">
        <f t="shared" ref="BX34:BX41" si="88">BP34+BT34</f>
        <v>0</v>
      </c>
      <c r="BY34" s="209"/>
      <c r="BZ34" s="209"/>
      <c r="CA34" s="209"/>
      <c r="CB34" s="209"/>
      <c r="CC34" s="209"/>
      <c r="CD34" s="209"/>
      <c r="CE34" s="209"/>
      <c r="CF34" s="209"/>
      <c r="CG34" s="209"/>
      <c r="CH34" s="209"/>
      <c r="CI34" s="209"/>
      <c r="CJ34" s="209"/>
      <c r="CK34" s="209"/>
      <c r="CL34" s="209"/>
      <c r="CM34" s="209"/>
      <c r="CN34" s="209"/>
      <c r="CO34" s="209"/>
      <c r="CP34" s="209"/>
      <c r="CQ34" s="209"/>
      <c r="CR34" s="209"/>
      <c r="CS34" s="209"/>
      <c r="CT34" s="209"/>
      <c r="CU34" s="209"/>
      <c r="CV34" s="209"/>
      <c r="CW34" s="209"/>
      <c r="CX34" s="209"/>
      <c r="CY34" s="209"/>
      <c r="CZ34" s="209"/>
      <c r="DA34" s="209"/>
      <c r="DB34" s="209"/>
      <c r="DC34" s="209"/>
      <c r="DD34" s="209"/>
      <c r="DE34" s="209"/>
      <c r="DF34" s="209"/>
      <c r="DG34" s="209"/>
      <c r="DH34" s="209"/>
      <c r="DI34" s="209"/>
      <c r="DJ34" s="209"/>
      <c r="DK34" s="209"/>
      <c r="DL34" s="209"/>
      <c r="DM34" s="209"/>
      <c r="DN34" s="209"/>
      <c r="DO34" s="209"/>
      <c r="DP34" s="209"/>
      <c r="DQ34" s="209"/>
      <c r="DR34" s="209"/>
      <c r="DS34" s="209"/>
      <c r="DT34" s="209"/>
      <c r="DU34" s="209"/>
      <c r="DV34" s="209"/>
      <c r="DW34" s="209"/>
      <c r="DX34" s="209"/>
      <c r="DY34" s="209"/>
      <c r="DZ34" s="209"/>
      <c r="EA34" s="209"/>
      <c r="EB34" s="209"/>
      <c r="EC34" s="209"/>
      <c r="ED34" s="209"/>
      <c r="EE34" s="209"/>
      <c r="EF34" s="209"/>
      <c r="EG34" s="209"/>
      <c r="EH34" s="209"/>
      <c r="EI34" s="209"/>
      <c r="EJ34" s="209"/>
      <c r="EK34" s="209"/>
      <c r="EL34" s="209"/>
      <c r="EM34" s="209"/>
      <c r="EN34" s="209"/>
      <c r="EO34" s="209"/>
      <c r="EP34" s="209"/>
      <c r="EQ34" s="209"/>
      <c r="ER34" s="209"/>
      <c r="ES34" s="209"/>
      <c r="ET34" s="209"/>
      <c r="EU34" s="209"/>
      <c r="EV34" s="209"/>
      <c r="EW34" s="209"/>
      <c r="EX34" s="209"/>
      <c r="EY34" s="209"/>
      <c r="EZ34" s="209"/>
      <c r="FA34" s="209"/>
      <c r="FB34" s="209"/>
      <c r="FC34" s="209"/>
      <c r="FD34" s="209"/>
      <c r="FE34" s="209"/>
      <c r="FF34" s="209"/>
      <c r="FG34" s="209"/>
      <c r="FH34" s="209"/>
      <c r="FI34" s="209"/>
      <c r="FJ34" s="209"/>
      <c r="FK34" s="209"/>
      <c r="FL34" s="209"/>
      <c r="FM34" s="209"/>
      <c r="FN34" s="209"/>
      <c r="FO34" s="209"/>
      <c r="FP34" s="209"/>
      <c r="FQ34" s="209"/>
      <c r="FR34" s="209"/>
      <c r="FS34" s="209"/>
      <c r="FT34" s="209"/>
      <c r="FU34" s="209"/>
      <c r="FV34" s="209"/>
      <c r="FW34" s="209"/>
      <c r="FX34" s="209"/>
      <c r="FY34" s="209"/>
      <c r="FZ34" s="209"/>
      <c r="GA34" s="209"/>
      <c r="GB34" s="209"/>
      <c r="GC34" s="209"/>
      <c r="GD34" s="209"/>
      <c r="GE34" s="209"/>
      <c r="GF34" s="209"/>
      <c r="GG34" s="209"/>
      <c r="GH34" s="209"/>
      <c r="GI34" s="209"/>
      <c r="GJ34" s="209"/>
      <c r="GK34" s="209"/>
      <c r="GL34" s="209"/>
      <c r="GM34" s="209"/>
      <c r="GN34" s="209"/>
      <c r="GO34" s="209"/>
      <c r="GP34" s="209"/>
      <c r="GQ34" s="209"/>
      <c r="GR34" s="209"/>
      <c r="GS34" s="209"/>
      <c r="GT34" s="209"/>
      <c r="GU34" s="209"/>
      <c r="GV34" s="209"/>
      <c r="GW34" s="209"/>
      <c r="GX34" s="209"/>
      <c r="GY34" s="209"/>
      <c r="GZ34" s="209"/>
      <c r="HA34" s="209"/>
      <c r="HB34" s="209"/>
      <c r="HC34" s="209"/>
      <c r="HD34" s="209"/>
      <c r="HE34" s="209"/>
      <c r="HF34" s="209"/>
      <c r="HG34" s="209"/>
      <c r="HH34" s="209"/>
      <c r="HI34" s="209"/>
      <c r="HJ34" s="209"/>
      <c r="HK34" s="209"/>
      <c r="HL34" s="209"/>
      <c r="HM34" s="209"/>
      <c r="HN34" s="209"/>
      <c r="HO34" s="209"/>
      <c r="HP34" s="209"/>
      <c r="HQ34" s="209"/>
      <c r="HR34" s="209"/>
      <c r="HS34" s="209"/>
      <c r="HT34" s="209"/>
      <c r="HU34" s="209"/>
      <c r="HV34" s="209"/>
      <c r="HW34" s="209"/>
      <c r="HX34" s="209"/>
      <c r="HY34" s="209"/>
      <c r="HZ34" s="209"/>
      <c r="IA34" s="209"/>
      <c r="IB34" s="209"/>
      <c r="IC34" s="209"/>
      <c r="ID34" s="209"/>
      <c r="IE34" s="209"/>
      <c r="IF34" s="209"/>
      <c r="IG34" s="209"/>
      <c r="IH34" s="209"/>
      <c r="II34" s="209"/>
      <c r="IJ34" s="209"/>
      <c r="IK34" s="209"/>
      <c r="IL34" s="209"/>
      <c r="IM34" s="209"/>
      <c r="IN34" s="209"/>
      <c r="IO34" s="209"/>
      <c r="IP34" s="209"/>
      <c r="IQ34" s="209"/>
      <c r="IR34" s="209"/>
      <c r="IS34" s="209"/>
      <c r="IT34" s="209"/>
      <c r="IU34" s="209"/>
    </row>
    <row r="35" spans="1:255">
      <c r="A35" s="991"/>
      <c r="B35" s="992"/>
      <c r="C35" s="993"/>
      <c r="D35" s="992"/>
      <c r="E35" s="994"/>
      <c r="F35" s="994"/>
      <c r="G35" s="994"/>
      <c r="H35" s="994"/>
      <c r="I35" s="995"/>
      <c r="J35" s="995"/>
      <c r="K35" s="995"/>
      <c r="L35" s="995"/>
      <c r="M35" s="614">
        <f t="shared" si="53"/>
        <v>0</v>
      </c>
      <c r="N35" s="995"/>
      <c r="O35" s="995"/>
      <c r="P35" s="995"/>
      <c r="Q35" s="995"/>
      <c r="R35" s="614">
        <f t="shared" si="54"/>
        <v>0</v>
      </c>
      <c r="S35" s="614">
        <f t="shared" si="6"/>
        <v>0</v>
      </c>
      <c r="T35" s="614">
        <f t="shared" si="7"/>
        <v>0</v>
      </c>
      <c r="U35" s="614">
        <f t="shared" si="8"/>
        <v>0</v>
      </c>
      <c r="V35" s="614">
        <f t="shared" si="9"/>
        <v>0</v>
      </c>
      <c r="W35" s="614">
        <f t="shared" si="10"/>
        <v>0</v>
      </c>
      <c r="X35" s="614">
        <f t="shared" si="11"/>
        <v>0</v>
      </c>
      <c r="Y35" s="614">
        <f t="shared" si="12"/>
        <v>0</v>
      </c>
      <c r="Z35" s="614">
        <f t="shared" si="13"/>
        <v>0</v>
      </c>
      <c r="AA35" s="614">
        <f t="shared" si="14"/>
        <v>0</v>
      </c>
      <c r="AB35" s="614">
        <f t="shared" si="55"/>
        <v>0</v>
      </c>
      <c r="AC35" s="614">
        <f t="shared" si="56"/>
        <v>0</v>
      </c>
      <c r="AD35" s="614">
        <f t="shared" si="57"/>
        <v>0</v>
      </c>
      <c r="AE35" s="614">
        <f t="shared" si="58"/>
        <v>0</v>
      </c>
      <c r="AF35" s="994"/>
      <c r="AG35" s="994"/>
      <c r="AH35" s="996"/>
      <c r="AI35" s="614">
        <f t="shared" si="59"/>
        <v>0</v>
      </c>
      <c r="AJ35" s="996"/>
      <c r="AK35" s="614">
        <f t="shared" si="60"/>
        <v>0</v>
      </c>
      <c r="AL35" s="997"/>
      <c r="AM35" s="614">
        <f t="shared" si="22"/>
        <v>0</v>
      </c>
      <c r="AN35" s="996"/>
      <c r="AO35" s="614">
        <f t="shared" si="61"/>
        <v>0</v>
      </c>
      <c r="AP35" s="614">
        <f t="shared" si="62"/>
        <v>0</v>
      </c>
      <c r="AQ35" s="994"/>
      <c r="AR35" s="994"/>
      <c r="AS35" s="996"/>
      <c r="AT35" s="614">
        <f t="shared" si="63"/>
        <v>0</v>
      </c>
      <c r="AU35" s="996"/>
      <c r="AV35" s="614">
        <f t="shared" si="64"/>
        <v>0</v>
      </c>
      <c r="AW35" s="997"/>
      <c r="AX35" s="614">
        <f t="shared" si="27"/>
        <v>0</v>
      </c>
      <c r="AY35" s="987">
        <f t="shared" si="65"/>
        <v>0</v>
      </c>
      <c r="AZ35" s="987">
        <f t="shared" si="66"/>
        <v>0</v>
      </c>
      <c r="BA35" s="614">
        <f t="shared" si="67"/>
        <v>0</v>
      </c>
      <c r="BB35" s="614">
        <f t="shared" si="68"/>
        <v>0</v>
      </c>
      <c r="BC35" s="614">
        <f t="shared" si="69"/>
        <v>0</v>
      </c>
      <c r="BD35" s="994"/>
      <c r="BE35" s="994"/>
      <c r="BF35" s="614">
        <f t="shared" si="70"/>
        <v>0</v>
      </c>
      <c r="BG35" s="614">
        <f t="shared" si="71"/>
        <v>0</v>
      </c>
      <c r="BH35" s="614">
        <f t="shared" si="72"/>
        <v>0</v>
      </c>
      <c r="BI35" s="614">
        <f t="shared" si="73"/>
        <v>0</v>
      </c>
      <c r="BJ35" s="614">
        <f t="shared" si="74"/>
        <v>0</v>
      </c>
      <c r="BK35" s="614">
        <f t="shared" si="75"/>
        <v>0</v>
      </c>
      <c r="BL35" s="614">
        <f t="shared" si="76"/>
        <v>0</v>
      </c>
      <c r="BM35" s="614">
        <f t="shared" si="77"/>
        <v>0</v>
      </c>
      <c r="BN35" s="614">
        <f t="shared" si="78"/>
        <v>0</v>
      </c>
      <c r="BO35" s="614">
        <f t="shared" si="79"/>
        <v>0</v>
      </c>
      <c r="BP35" s="614">
        <f t="shared" si="80"/>
        <v>0</v>
      </c>
      <c r="BQ35" s="614">
        <f t="shared" si="81"/>
        <v>0</v>
      </c>
      <c r="BR35" s="614">
        <f t="shared" si="82"/>
        <v>0</v>
      </c>
      <c r="BS35" s="614">
        <f t="shared" si="83"/>
        <v>0</v>
      </c>
      <c r="BT35" s="614">
        <f t="shared" si="84"/>
        <v>0</v>
      </c>
      <c r="BU35" s="614">
        <f t="shared" si="85"/>
        <v>0</v>
      </c>
      <c r="BV35" s="614">
        <f t="shared" si="86"/>
        <v>0</v>
      </c>
      <c r="BW35" s="614">
        <f t="shared" si="87"/>
        <v>0</v>
      </c>
      <c r="BX35" s="614">
        <f t="shared" si="88"/>
        <v>0</v>
      </c>
      <c r="BY35" s="209"/>
      <c r="BZ35" s="209"/>
      <c r="CA35" s="209"/>
      <c r="CB35" s="209"/>
      <c r="CC35" s="209"/>
      <c r="CD35" s="209"/>
      <c r="CE35" s="209"/>
      <c r="CF35" s="209"/>
      <c r="CG35" s="209"/>
      <c r="CH35" s="209"/>
      <c r="CI35" s="209"/>
      <c r="CJ35" s="209"/>
      <c r="CK35" s="209"/>
      <c r="CL35" s="209"/>
      <c r="CM35" s="209"/>
      <c r="CN35" s="209"/>
      <c r="CO35" s="209"/>
      <c r="CP35" s="209"/>
      <c r="CQ35" s="209"/>
      <c r="CR35" s="209"/>
      <c r="CS35" s="209"/>
      <c r="CT35" s="209"/>
      <c r="CU35" s="209"/>
      <c r="CV35" s="209"/>
      <c r="CW35" s="209"/>
      <c r="CX35" s="209"/>
      <c r="CY35" s="209"/>
      <c r="CZ35" s="209"/>
      <c r="DA35" s="209"/>
      <c r="DB35" s="209"/>
      <c r="DC35" s="209"/>
      <c r="DD35" s="209"/>
      <c r="DE35" s="209"/>
      <c r="DF35" s="209"/>
      <c r="DG35" s="209"/>
      <c r="DH35" s="209"/>
      <c r="DI35" s="209"/>
      <c r="DJ35" s="209"/>
      <c r="DK35" s="209"/>
      <c r="DL35" s="209"/>
      <c r="DM35" s="209"/>
      <c r="DN35" s="209"/>
      <c r="DO35" s="209"/>
      <c r="DP35" s="209"/>
      <c r="DQ35" s="209"/>
      <c r="DR35" s="209"/>
      <c r="DS35" s="209"/>
      <c r="DT35" s="209"/>
      <c r="DU35" s="209"/>
      <c r="DV35" s="209"/>
      <c r="DW35" s="209"/>
      <c r="DX35" s="209"/>
      <c r="DY35" s="209"/>
      <c r="DZ35" s="209"/>
      <c r="EA35" s="209"/>
      <c r="EB35" s="209"/>
      <c r="EC35" s="209"/>
      <c r="ED35" s="209"/>
      <c r="EE35" s="209"/>
      <c r="EF35" s="209"/>
      <c r="EG35" s="209"/>
      <c r="EH35" s="209"/>
      <c r="EI35" s="209"/>
      <c r="EJ35" s="209"/>
      <c r="EK35" s="209"/>
      <c r="EL35" s="209"/>
      <c r="EM35" s="209"/>
      <c r="EN35" s="209"/>
      <c r="EO35" s="209"/>
      <c r="EP35" s="209"/>
      <c r="EQ35" s="209"/>
      <c r="ER35" s="209"/>
      <c r="ES35" s="209"/>
      <c r="ET35" s="209"/>
      <c r="EU35" s="209"/>
      <c r="EV35" s="209"/>
      <c r="EW35" s="209"/>
      <c r="EX35" s="209"/>
      <c r="EY35" s="209"/>
      <c r="EZ35" s="209"/>
      <c r="FA35" s="209"/>
      <c r="FB35" s="209"/>
      <c r="FC35" s="209"/>
      <c r="FD35" s="209"/>
      <c r="FE35" s="209"/>
      <c r="FF35" s="209"/>
      <c r="FG35" s="209"/>
      <c r="FH35" s="209"/>
      <c r="FI35" s="209"/>
      <c r="FJ35" s="209"/>
      <c r="FK35" s="209"/>
      <c r="FL35" s="209"/>
      <c r="FM35" s="209"/>
      <c r="FN35" s="209"/>
      <c r="FO35" s="209"/>
      <c r="FP35" s="209"/>
      <c r="FQ35" s="209"/>
      <c r="FR35" s="209"/>
      <c r="FS35" s="209"/>
      <c r="FT35" s="209"/>
      <c r="FU35" s="209"/>
      <c r="FV35" s="209"/>
      <c r="FW35" s="209"/>
      <c r="FX35" s="209"/>
      <c r="FY35" s="209"/>
      <c r="FZ35" s="209"/>
      <c r="GA35" s="209"/>
      <c r="GB35" s="209"/>
      <c r="GC35" s="209"/>
      <c r="GD35" s="209"/>
      <c r="GE35" s="209"/>
      <c r="GF35" s="209"/>
      <c r="GG35" s="209"/>
      <c r="GH35" s="209"/>
      <c r="GI35" s="209"/>
      <c r="GJ35" s="209"/>
      <c r="GK35" s="209"/>
      <c r="GL35" s="209"/>
      <c r="GM35" s="209"/>
      <c r="GN35" s="209"/>
      <c r="GO35" s="209"/>
      <c r="GP35" s="209"/>
      <c r="GQ35" s="209"/>
      <c r="GR35" s="209"/>
      <c r="GS35" s="209"/>
      <c r="GT35" s="209"/>
      <c r="GU35" s="209"/>
      <c r="GV35" s="209"/>
      <c r="GW35" s="209"/>
      <c r="GX35" s="209"/>
      <c r="GY35" s="209"/>
      <c r="GZ35" s="209"/>
      <c r="HA35" s="209"/>
      <c r="HB35" s="209"/>
      <c r="HC35" s="209"/>
      <c r="HD35" s="209"/>
      <c r="HE35" s="209"/>
      <c r="HF35" s="209"/>
      <c r="HG35" s="209"/>
      <c r="HH35" s="209"/>
      <c r="HI35" s="209"/>
      <c r="HJ35" s="209"/>
      <c r="HK35" s="209"/>
      <c r="HL35" s="209"/>
      <c r="HM35" s="209"/>
      <c r="HN35" s="209"/>
      <c r="HO35" s="209"/>
      <c r="HP35" s="209"/>
      <c r="HQ35" s="209"/>
      <c r="HR35" s="209"/>
      <c r="HS35" s="209"/>
      <c r="HT35" s="209"/>
      <c r="HU35" s="209"/>
      <c r="HV35" s="209"/>
      <c r="HW35" s="209"/>
      <c r="HX35" s="209"/>
      <c r="HY35" s="209"/>
      <c r="HZ35" s="209"/>
      <c r="IA35" s="209"/>
      <c r="IB35" s="209"/>
      <c r="IC35" s="209"/>
      <c r="ID35" s="209"/>
      <c r="IE35" s="209"/>
      <c r="IF35" s="209"/>
      <c r="IG35" s="209"/>
      <c r="IH35" s="209"/>
      <c r="II35" s="209"/>
      <c r="IJ35" s="209"/>
      <c r="IK35" s="209"/>
      <c r="IL35" s="209"/>
      <c r="IM35" s="209"/>
      <c r="IN35" s="209"/>
      <c r="IO35" s="209"/>
      <c r="IP35" s="209"/>
      <c r="IQ35" s="209"/>
      <c r="IR35" s="209"/>
      <c r="IS35" s="209"/>
      <c r="IT35" s="209"/>
      <c r="IU35" s="209"/>
    </row>
    <row r="36" spans="1:255">
      <c r="A36" s="991"/>
      <c r="B36" s="992"/>
      <c r="C36" s="993"/>
      <c r="D36" s="992"/>
      <c r="E36" s="994"/>
      <c r="F36" s="994"/>
      <c r="G36" s="994"/>
      <c r="H36" s="994"/>
      <c r="I36" s="995"/>
      <c r="J36" s="995"/>
      <c r="K36" s="995"/>
      <c r="L36" s="995"/>
      <c r="M36" s="614">
        <f t="shared" si="53"/>
        <v>0</v>
      </c>
      <c r="N36" s="995"/>
      <c r="O36" s="995"/>
      <c r="P36" s="995"/>
      <c r="Q36" s="995"/>
      <c r="R36" s="614">
        <f t="shared" si="54"/>
        <v>0</v>
      </c>
      <c r="S36" s="614">
        <f t="shared" si="6"/>
        <v>0</v>
      </c>
      <c r="T36" s="614">
        <f t="shared" si="7"/>
        <v>0</v>
      </c>
      <c r="U36" s="614">
        <f t="shared" si="8"/>
        <v>0</v>
      </c>
      <c r="V36" s="614">
        <f t="shared" si="9"/>
        <v>0</v>
      </c>
      <c r="W36" s="614">
        <f t="shared" si="10"/>
        <v>0</v>
      </c>
      <c r="X36" s="614">
        <f t="shared" si="11"/>
        <v>0</v>
      </c>
      <c r="Y36" s="614">
        <f t="shared" si="12"/>
        <v>0</v>
      </c>
      <c r="Z36" s="614">
        <f t="shared" si="13"/>
        <v>0</v>
      </c>
      <c r="AA36" s="614">
        <f t="shared" si="14"/>
        <v>0</v>
      </c>
      <c r="AB36" s="614">
        <f t="shared" si="55"/>
        <v>0</v>
      </c>
      <c r="AC36" s="614">
        <f t="shared" si="56"/>
        <v>0</v>
      </c>
      <c r="AD36" s="614">
        <f t="shared" si="57"/>
        <v>0</v>
      </c>
      <c r="AE36" s="614">
        <f t="shared" si="58"/>
        <v>0</v>
      </c>
      <c r="AF36" s="994"/>
      <c r="AG36" s="994"/>
      <c r="AH36" s="996"/>
      <c r="AI36" s="614">
        <f t="shared" si="59"/>
        <v>0</v>
      </c>
      <c r="AJ36" s="996"/>
      <c r="AK36" s="614">
        <f t="shared" si="60"/>
        <v>0</v>
      </c>
      <c r="AL36" s="997"/>
      <c r="AM36" s="614">
        <f t="shared" si="22"/>
        <v>0</v>
      </c>
      <c r="AN36" s="996"/>
      <c r="AO36" s="614">
        <f t="shared" si="61"/>
        <v>0</v>
      </c>
      <c r="AP36" s="614">
        <f t="shared" si="62"/>
        <v>0</v>
      </c>
      <c r="AQ36" s="994"/>
      <c r="AR36" s="994"/>
      <c r="AS36" s="996"/>
      <c r="AT36" s="614">
        <f t="shared" si="63"/>
        <v>0</v>
      </c>
      <c r="AU36" s="996"/>
      <c r="AV36" s="614">
        <f t="shared" si="64"/>
        <v>0</v>
      </c>
      <c r="AW36" s="997"/>
      <c r="AX36" s="614">
        <f t="shared" si="27"/>
        <v>0</v>
      </c>
      <c r="AY36" s="987">
        <f t="shared" si="65"/>
        <v>0</v>
      </c>
      <c r="AZ36" s="987">
        <f t="shared" si="66"/>
        <v>0</v>
      </c>
      <c r="BA36" s="614">
        <f t="shared" si="67"/>
        <v>0</v>
      </c>
      <c r="BB36" s="614">
        <f t="shared" si="68"/>
        <v>0</v>
      </c>
      <c r="BC36" s="614">
        <f t="shared" si="69"/>
        <v>0</v>
      </c>
      <c r="BD36" s="994"/>
      <c r="BE36" s="994"/>
      <c r="BF36" s="614">
        <f t="shared" si="70"/>
        <v>0</v>
      </c>
      <c r="BG36" s="614">
        <f t="shared" si="71"/>
        <v>0</v>
      </c>
      <c r="BH36" s="614">
        <f t="shared" si="72"/>
        <v>0</v>
      </c>
      <c r="BI36" s="614">
        <f t="shared" si="73"/>
        <v>0</v>
      </c>
      <c r="BJ36" s="614">
        <f t="shared" si="74"/>
        <v>0</v>
      </c>
      <c r="BK36" s="614">
        <f t="shared" si="75"/>
        <v>0</v>
      </c>
      <c r="BL36" s="614">
        <f t="shared" si="76"/>
        <v>0</v>
      </c>
      <c r="BM36" s="614">
        <f t="shared" si="77"/>
        <v>0</v>
      </c>
      <c r="BN36" s="614">
        <f t="shared" si="78"/>
        <v>0</v>
      </c>
      <c r="BO36" s="614">
        <f t="shared" si="79"/>
        <v>0</v>
      </c>
      <c r="BP36" s="614">
        <f t="shared" si="80"/>
        <v>0</v>
      </c>
      <c r="BQ36" s="614">
        <f t="shared" si="81"/>
        <v>0</v>
      </c>
      <c r="BR36" s="614">
        <f t="shared" si="82"/>
        <v>0</v>
      </c>
      <c r="BS36" s="614">
        <f t="shared" si="83"/>
        <v>0</v>
      </c>
      <c r="BT36" s="614">
        <f t="shared" si="84"/>
        <v>0</v>
      </c>
      <c r="BU36" s="614">
        <f t="shared" si="85"/>
        <v>0</v>
      </c>
      <c r="BV36" s="614">
        <f t="shared" si="86"/>
        <v>0</v>
      </c>
      <c r="BW36" s="614">
        <f t="shared" si="87"/>
        <v>0</v>
      </c>
      <c r="BX36" s="614">
        <f t="shared" si="88"/>
        <v>0</v>
      </c>
      <c r="BY36" s="209"/>
      <c r="BZ36" s="209"/>
      <c r="CA36" s="209"/>
      <c r="CB36" s="209"/>
      <c r="CC36" s="209"/>
      <c r="CD36" s="209"/>
      <c r="CE36" s="209"/>
      <c r="CF36" s="209"/>
      <c r="CG36" s="209"/>
      <c r="CH36" s="209"/>
      <c r="CI36" s="209"/>
      <c r="CJ36" s="209"/>
      <c r="CK36" s="209"/>
      <c r="CL36" s="209"/>
      <c r="CM36" s="209"/>
      <c r="CN36" s="209"/>
      <c r="CO36" s="209"/>
      <c r="CP36" s="209"/>
      <c r="CQ36" s="209"/>
      <c r="CR36" s="209"/>
      <c r="CS36" s="209"/>
      <c r="CT36" s="209"/>
      <c r="CU36" s="209"/>
      <c r="CV36" s="209"/>
      <c r="CW36" s="209"/>
      <c r="CX36" s="209"/>
      <c r="CY36" s="209"/>
      <c r="CZ36" s="209"/>
      <c r="DA36" s="209"/>
      <c r="DB36" s="209"/>
      <c r="DC36" s="209"/>
      <c r="DD36" s="209"/>
      <c r="DE36" s="209"/>
      <c r="DF36" s="209"/>
      <c r="DG36" s="209"/>
      <c r="DH36" s="209"/>
      <c r="DI36" s="209"/>
      <c r="DJ36" s="209"/>
      <c r="DK36" s="209"/>
      <c r="DL36" s="209"/>
      <c r="DM36" s="209"/>
      <c r="DN36" s="209"/>
      <c r="DO36" s="209"/>
      <c r="DP36" s="209"/>
      <c r="DQ36" s="209"/>
      <c r="DR36" s="209"/>
      <c r="DS36" s="209"/>
      <c r="DT36" s="209"/>
      <c r="DU36" s="209"/>
      <c r="DV36" s="209"/>
      <c r="DW36" s="209"/>
      <c r="DX36" s="209"/>
      <c r="DY36" s="209"/>
      <c r="DZ36" s="209"/>
      <c r="EA36" s="209"/>
      <c r="EB36" s="209"/>
      <c r="EC36" s="209"/>
      <c r="ED36" s="209"/>
      <c r="EE36" s="209"/>
      <c r="EF36" s="209"/>
      <c r="EG36" s="209"/>
      <c r="EH36" s="209"/>
      <c r="EI36" s="209"/>
      <c r="EJ36" s="209"/>
      <c r="EK36" s="209"/>
      <c r="EL36" s="209"/>
      <c r="EM36" s="209"/>
      <c r="EN36" s="209"/>
      <c r="EO36" s="209"/>
      <c r="EP36" s="209"/>
      <c r="EQ36" s="209"/>
      <c r="ER36" s="209"/>
      <c r="ES36" s="209"/>
      <c r="ET36" s="209"/>
      <c r="EU36" s="209"/>
      <c r="EV36" s="209"/>
      <c r="EW36" s="209"/>
      <c r="EX36" s="209"/>
      <c r="EY36" s="209"/>
      <c r="EZ36" s="209"/>
      <c r="FA36" s="209"/>
      <c r="FB36" s="209"/>
      <c r="FC36" s="209"/>
      <c r="FD36" s="209"/>
      <c r="FE36" s="209"/>
      <c r="FF36" s="209"/>
      <c r="FG36" s="209"/>
      <c r="FH36" s="209"/>
      <c r="FI36" s="209"/>
      <c r="FJ36" s="209"/>
      <c r="FK36" s="209"/>
      <c r="FL36" s="209"/>
      <c r="FM36" s="209"/>
      <c r="FN36" s="209"/>
      <c r="FO36" s="209"/>
      <c r="FP36" s="209"/>
      <c r="FQ36" s="209"/>
      <c r="FR36" s="209"/>
      <c r="FS36" s="209"/>
      <c r="FT36" s="209"/>
      <c r="FU36" s="209"/>
      <c r="FV36" s="209"/>
      <c r="FW36" s="209"/>
      <c r="FX36" s="209"/>
      <c r="FY36" s="209"/>
      <c r="FZ36" s="209"/>
      <c r="GA36" s="209"/>
      <c r="GB36" s="209"/>
      <c r="GC36" s="209"/>
      <c r="GD36" s="209"/>
      <c r="GE36" s="209"/>
      <c r="GF36" s="209"/>
      <c r="GG36" s="209"/>
      <c r="GH36" s="209"/>
      <c r="GI36" s="209"/>
      <c r="GJ36" s="209"/>
      <c r="GK36" s="209"/>
      <c r="GL36" s="209"/>
      <c r="GM36" s="209"/>
      <c r="GN36" s="209"/>
      <c r="GO36" s="209"/>
      <c r="GP36" s="209"/>
      <c r="GQ36" s="209"/>
      <c r="GR36" s="209"/>
      <c r="GS36" s="209"/>
      <c r="GT36" s="209"/>
      <c r="GU36" s="209"/>
      <c r="GV36" s="209"/>
      <c r="GW36" s="209"/>
      <c r="GX36" s="209"/>
      <c r="GY36" s="209"/>
      <c r="GZ36" s="209"/>
      <c r="HA36" s="209"/>
      <c r="HB36" s="209"/>
      <c r="HC36" s="209"/>
      <c r="HD36" s="209"/>
      <c r="HE36" s="209"/>
      <c r="HF36" s="209"/>
      <c r="HG36" s="209"/>
      <c r="HH36" s="209"/>
      <c r="HI36" s="209"/>
      <c r="HJ36" s="209"/>
      <c r="HK36" s="209"/>
      <c r="HL36" s="209"/>
      <c r="HM36" s="209"/>
      <c r="HN36" s="209"/>
      <c r="HO36" s="209"/>
      <c r="HP36" s="209"/>
      <c r="HQ36" s="209"/>
      <c r="HR36" s="209"/>
      <c r="HS36" s="209"/>
      <c r="HT36" s="209"/>
      <c r="HU36" s="209"/>
      <c r="HV36" s="209"/>
      <c r="HW36" s="209"/>
      <c r="HX36" s="209"/>
      <c r="HY36" s="209"/>
      <c r="HZ36" s="209"/>
      <c r="IA36" s="209"/>
      <c r="IB36" s="209"/>
      <c r="IC36" s="209"/>
      <c r="ID36" s="209"/>
      <c r="IE36" s="209"/>
      <c r="IF36" s="209"/>
      <c r="IG36" s="209"/>
      <c r="IH36" s="209"/>
      <c r="II36" s="209"/>
      <c r="IJ36" s="209"/>
      <c r="IK36" s="209"/>
      <c r="IL36" s="209"/>
      <c r="IM36" s="209"/>
      <c r="IN36" s="209"/>
      <c r="IO36" s="209"/>
      <c r="IP36" s="209"/>
      <c r="IQ36" s="209"/>
      <c r="IR36" s="209"/>
      <c r="IS36" s="209"/>
      <c r="IT36" s="209"/>
      <c r="IU36" s="209"/>
    </row>
    <row r="37" spans="1:255">
      <c r="A37" s="991"/>
      <c r="B37" s="992"/>
      <c r="C37" s="993"/>
      <c r="D37" s="992"/>
      <c r="E37" s="994"/>
      <c r="F37" s="994"/>
      <c r="G37" s="994"/>
      <c r="H37" s="994"/>
      <c r="I37" s="995"/>
      <c r="J37" s="995"/>
      <c r="K37" s="995"/>
      <c r="L37" s="995"/>
      <c r="M37" s="614">
        <f t="shared" si="53"/>
        <v>0</v>
      </c>
      <c r="N37" s="995"/>
      <c r="O37" s="995"/>
      <c r="P37" s="995"/>
      <c r="Q37" s="995"/>
      <c r="R37" s="614">
        <f t="shared" si="54"/>
        <v>0</v>
      </c>
      <c r="S37" s="614">
        <f t="shared" si="6"/>
        <v>0</v>
      </c>
      <c r="T37" s="614">
        <f t="shared" si="7"/>
        <v>0</v>
      </c>
      <c r="U37" s="614">
        <f t="shared" si="8"/>
        <v>0</v>
      </c>
      <c r="V37" s="614">
        <f t="shared" si="9"/>
        <v>0</v>
      </c>
      <c r="W37" s="614">
        <f t="shared" si="10"/>
        <v>0</v>
      </c>
      <c r="X37" s="614">
        <f t="shared" si="11"/>
        <v>0</v>
      </c>
      <c r="Y37" s="614">
        <f t="shared" si="12"/>
        <v>0</v>
      </c>
      <c r="Z37" s="614">
        <f t="shared" si="13"/>
        <v>0</v>
      </c>
      <c r="AA37" s="614">
        <f t="shared" si="14"/>
        <v>0</v>
      </c>
      <c r="AB37" s="614">
        <f t="shared" si="55"/>
        <v>0</v>
      </c>
      <c r="AC37" s="614">
        <f t="shared" si="56"/>
        <v>0</v>
      </c>
      <c r="AD37" s="614">
        <f t="shared" si="57"/>
        <v>0</v>
      </c>
      <c r="AE37" s="614">
        <f t="shared" si="58"/>
        <v>0</v>
      </c>
      <c r="AF37" s="994"/>
      <c r="AG37" s="994"/>
      <c r="AH37" s="996"/>
      <c r="AI37" s="614">
        <f t="shared" si="59"/>
        <v>0</v>
      </c>
      <c r="AJ37" s="996"/>
      <c r="AK37" s="614">
        <f t="shared" si="60"/>
        <v>0</v>
      </c>
      <c r="AL37" s="997"/>
      <c r="AM37" s="614">
        <f t="shared" si="22"/>
        <v>0</v>
      </c>
      <c r="AN37" s="996"/>
      <c r="AO37" s="614">
        <f t="shared" si="61"/>
        <v>0</v>
      </c>
      <c r="AP37" s="614">
        <f t="shared" si="62"/>
        <v>0</v>
      </c>
      <c r="AQ37" s="994"/>
      <c r="AR37" s="994"/>
      <c r="AS37" s="996"/>
      <c r="AT37" s="614">
        <f t="shared" si="63"/>
        <v>0</v>
      </c>
      <c r="AU37" s="996"/>
      <c r="AV37" s="614">
        <f t="shared" si="64"/>
        <v>0</v>
      </c>
      <c r="AW37" s="997"/>
      <c r="AX37" s="614">
        <f t="shared" si="27"/>
        <v>0</v>
      </c>
      <c r="AY37" s="987">
        <f t="shared" si="65"/>
        <v>0</v>
      </c>
      <c r="AZ37" s="987">
        <f t="shared" si="66"/>
        <v>0</v>
      </c>
      <c r="BA37" s="614">
        <f t="shared" si="67"/>
        <v>0</v>
      </c>
      <c r="BB37" s="614">
        <f t="shared" si="68"/>
        <v>0</v>
      </c>
      <c r="BC37" s="614">
        <f t="shared" si="69"/>
        <v>0</v>
      </c>
      <c r="BD37" s="994"/>
      <c r="BE37" s="994"/>
      <c r="BF37" s="614">
        <f t="shared" si="70"/>
        <v>0</v>
      </c>
      <c r="BG37" s="614">
        <f t="shared" si="71"/>
        <v>0</v>
      </c>
      <c r="BH37" s="614">
        <f t="shared" si="72"/>
        <v>0</v>
      </c>
      <c r="BI37" s="614">
        <f t="shared" si="73"/>
        <v>0</v>
      </c>
      <c r="BJ37" s="614">
        <f t="shared" si="74"/>
        <v>0</v>
      </c>
      <c r="BK37" s="614">
        <f t="shared" si="75"/>
        <v>0</v>
      </c>
      <c r="BL37" s="614">
        <f t="shared" si="76"/>
        <v>0</v>
      </c>
      <c r="BM37" s="614">
        <f t="shared" si="77"/>
        <v>0</v>
      </c>
      <c r="BN37" s="614">
        <f t="shared" si="78"/>
        <v>0</v>
      </c>
      <c r="BO37" s="614">
        <f t="shared" si="79"/>
        <v>0</v>
      </c>
      <c r="BP37" s="614">
        <f t="shared" si="80"/>
        <v>0</v>
      </c>
      <c r="BQ37" s="614">
        <f t="shared" si="81"/>
        <v>0</v>
      </c>
      <c r="BR37" s="614">
        <f t="shared" si="82"/>
        <v>0</v>
      </c>
      <c r="BS37" s="614">
        <f t="shared" si="83"/>
        <v>0</v>
      </c>
      <c r="BT37" s="614">
        <f t="shared" si="84"/>
        <v>0</v>
      </c>
      <c r="BU37" s="614">
        <f t="shared" si="85"/>
        <v>0</v>
      </c>
      <c r="BV37" s="614">
        <f t="shared" si="86"/>
        <v>0</v>
      </c>
      <c r="BW37" s="614">
        <f t="shared" si="87"/>
        <v>0</v>
      </c>
      <c r="BX37" s="614">
        <f t="shared" si="88"/>
        <v>0</v>
      </c>
      <c r="BY37" s="209"/>
      <c r="BZ37" s="209"/>
      <c r="CA37" s="209"/>
      <c r="CB37" s="209"/>
      <c r="CC37" s="209"/>
      <c r="CD37" s="209"/>
      <c r="CE37" s="209"/>
      <c r="CF37" s="209"/>
      <c r="CG37" s="209"/>
      <c r="CH37" s="209"/>
      <c r="CI37" s="209"/>
      <c r="CJ37" s="209"/>
      <c r="CK37" s="209"/>
      <c r="CL37" s="209"/>
      <c r="CM37" s="209"/>
      <c r="CN37" s="209"/>
      <c r="CO37" s="209"/>
      <c r="CP37" s="209"/>
      <c r="CQ37" s="209"/>
      <c r="CR37" s="209"/>
      <c r="CS37" s="209"/>
      <c r="CT37" s="209"/>
      <c r="CU37" s="209"/>
      <c r="CV37" s="209"/>
      <c r="CW37" s="209"/>
      <c r="CX37" s="209"/>
      <c r="CY37" s="209"/>
      <c r="CZ37" s="209"/>
      <c r="DA37" s="209"/>
      <c r="DB37" s="209"/>
      <c r="DC37" s="209"/>
      <c r="DD37" s="209"/>
      <c r="DE37" s="209"/>
      <c r="DF37" s="209"/>
      <c r="DG37" s="209"/>
      <c r="DH37" s="209"/>
      <c r="DI37" s="209"/>
      <c r="DJ37" s="209"/>
      <c r="DK37" s="209"/>
      <c r="DL37" s="209"/>
      <c r="DM37" s="209"/>
      <c r="DN37" s="209"/>
      <c r="DO37" s="209"/>
      <c r="DP37" s="209"/>
      <c r="DQ37" s="209"/>
      <c r="DR37" s="209"/>
      <c r="DS37" s="209"/>
      <c r="DT37" s="209"/>
      <c r="DU37" s="209"/>
      <c r="DV37" s="209"/>
      <c r="DW37" s="209"/>
      <c r="DX37" s="209"/>
      <c r="DY37" s="209"/>
      <c r="DZ37" s="209"/>
      <c r="EA37" s="209"/>
      <c r="EB37" s="209"/>
      <c r="EC37" s="209"/>
      <c r="ED37" s="209"/>
      <c r="EE37" s="209"/>
      <c r="EF37" s="209"/>
      <c r="EG37" s="209"/>
      <c r="EH37" s="209"/>
      <c r="EI37" s="209"/>
      <c r="EJ37" s="209"/>
      <c r="EK37" s="209"/>
      <c r="EL37" s="209"/>
      <c r="EM37" s="209"/>
      <c r="EN37" s="209"/>
      <c r="EO37" s="209"/>
      <c r="EP37" s="209"/>
      <c r="EQ37" s="209"/>
      <c r="ER37" s="209"/>
      <c r="ES37" s="209"/>
      <c r="ET37" s="209"/>
      <c r="EU37" s="209"/>
      <c r="EV37" s="209"/>
      <c r="EW37" s="209"/>
      <c r="EX37" s="209"/>
      <c r="EY37" s="209"/>
      <c r="EZ37" s="209"/>
      <c r="FA37" s="209"/>
      <c r="FB37" s="209"/>
      <c r="FC37" s="209"/>
      <c r="FD37" s="209"/>
      <c r="FE37" s="209"/>
      <c r="FF37" s="209"/>
      <c r="FG37" s="209"/>
      <c r="FH37" s="209"/>
      <c r="FI37" s="209"/>
      <c r="FJ37" s="209"/>
      <c r="FK37" s="209"/>
      <c r="FL37" s="209"/>
      <c r="FM37" s="209"/>
      <c r="FN37" s="209"/>
      <c r="FO37" s="209"/>
      <c r="FP37" s="209"/>
      <c r="FQ37" s="209"/>
      <c r="FR37" s="209"/>
      <c r="FS37" s="209"/>
      <c r="FT37" s="209"/>
      <c r="FU37" s="209"/>
      <c r="FV37" s="209"/>
      <c r="FW37" s="209"/>
      <c r="FX37" s="209"/>
      <c r="FY37" s="209"/>
      <c r="FZ37" s="209"/>
      <c r="GA37" s="209"/>
      <c r="GB37" s="209"/>
      <c r="GC37" s="209"/>
      <c r="GD37" s="209"/>
      <c r="GE37" s="209"/>
      <c r="GF37" s="209"/>
      <c r="GG37" s="209"/>
      <c r="GH37" s="209"/>
      <c r="GI37" s="209"/>
      <c r="GJ37" s="209"/>
      <c r="GK37" s="209"/>
      <c r="GL37" s="209"/>
      <c r="GM37" s="209"/>
      <c r="GN37" s="209"/>
      <c r="GO37" s="209"/>
      <c r="GP37" s="209"/>
      <c r="GQ37" s="209"/>
      <c r="GR37" s="209"/>
      <c r="GS37" s="209"/>
      <c r="GT37" s="209"/>
      <c r="GU37" s="209"/>
      <c r="GV37" s="209"/>
      <c r="GW37" s="209"/>
      <c r="GX37" s="209"/>
      <c r="GY37" s="209"/>
      <c r="GZ37" s="209"/>
      <c r="HA37" s="209"/>
      <c r="HB37" s="209"/>
      <c r="HC37" s="209"/>
      <c r="HD37" s="209"/>
      <c r="HE37" s="209"/>
      <c r="HF37" s="209"/>
      <c r="HG37" s="209"/>
      <c r="HH37" s="209"/>
      <c r="HI37" s="209"/>
      <c r="HJ37" s="209"/>
      <c r="HK37" s="209"/>
      <c r="HL37" s="209"/>
      <c r="HM37" s="209"/>
      <c r="HN37" s="209"/>
      <c r="HO37" s="209"/>
      <c r="HP37" s="209"/>
      <c r="HQ37" s="209"/>
      <c r="HR37" s="209"/>
      <c r="HS37" s="209"/>
      <c r="HT37" s="209"/>
      <c r="HU37" s="209"/>
      <c r="HV37" s="209"/>
      <c r="HW37" s="209"/>
      <c r="HX37" s="209"/>
      <c r="HY37" s="209"/>
      <c r="HZ37" s="209"/>
      <c r="IA37" s="209"/>
      <c r="IB37" s="209"/>
      <c r="IC37" s="209"/>
      <c r="ID37" s="209"/>
      <c r="IE37" s="209"/>
      <c r="IF37" s="209"/>
      <c r="IG37" s="209"/>
      <c r="IH37" s="209"/>
      <c r="II37" s="209"/>
      <c r="IJ37" s="209"/>
      <c r="IK37" s="209"/>
      <c r="IL37" s="209"/>
      <c r="IM37" s="209"/>
      <c r="IN37" s="209"/>
      <c r="IO37" s="209"/>
      <c r="IP37" s="209"/>
      <c r="IQ37" s="209"/>
      <c r="IR37" s="209"/>
      <c r="IS37" s="209"/>
      <c r="IT37" s="209"/>
      <c r="IU37" s="209"/>
    </row>
    <row r="38" spans="1:255">
      <c r="A38" s="991"/>
      <c r="B38" s="992"/>
      <c r="C38" s="993"/>
      <c r="D38" s="992"/>
      <c r="E38" s="994"/>
      <c r="F38" s="994"/>
      <c r="G38" s="994"/>
      <c r="H38" s="994"/>
      <c r="I38" s="995"/>
      <c r="J38" s="995"/>
      <c r="K38" s="995"/>
      <c r="L38" s="995"/>
      <c r="M38" s="614">
        <f t="shared" si="53"/>
        <v>0</v>
      </c>
      <c r="N38" s="995"/>
      <c r="O38" s="995"/>
      <c r="P38" s="995"/>
      <c r="Q38" s="995"/>
      <c r="R38" s="614">
        <f t="shared" si="54"/>
        <v>0</v>
      </c>
      <c r="S38" s="614">
        <f t="shared" si="6"/>
        <v>0</v>
      </c>
      <c r="T38" s="614">
        <f t="shared" si="7"/>
        <v>0</v>
      </c>
      <c r="U38" s="614">
        <f t="shared" si="8"/>
        <v>0</v>
      </c>
      <c r="V38" s="614">
        <f t="shared" si="9"/>
        <v>0</v>
      </c>
      <c r="W38" s="614">
        <f t="shared" si="10"/>
        <v>0</v>
      </c>
      <c r="X38" s="614">
        <f t="shared" si="11"/>
        <v>0</v>
      </c>
      <c r="Y38" s="614">
        <f t="shared" si="12"/>
        <v>0</v>
      </c>
      <c r="Z38" s="614">
        <f t="shared" si="13"/>
        <v>0</v>
      </c>
      <c r="AA38" s="614">
        <f t="shared" si="14"/>
        <v>0</v>
      </c>
      <c r="AB38" s="614">
        <f t="shared" si="55"/>
        <v>0</v>
      </c>
      <c r="AC38" s="614">
        <f t="shared" si="56"/>
        <v>0</v>
      </c>
      <c r="AD38" s="614">
        <f t="shared" si="57"/>
        <v>0</v>
      </c>
      <c r="AE38" s="614">
        <f t="shared" si="58"/>
        <v>0</v>
      </c>
      <c r="AF38" s="994"/>
      <c r="AG38" s="994"/>
      <c r="AH38" s="996"/>
      <c r="AI38" s="614">
        <f t="shared" si="59"/>
        <v>0</v>
      </c>
      <c r="AJ38" s="996"/>
      <c r="AK38" s="614">
        <f t="shared" si="60"/>
        <v>0</v>
      </c>
      <c r="AL38" s="997"/>
      <c r="AM38" s="614">
        <f t="shared" si="22"/>
        <v>0</v>
      </c>
      <c r="AN38" s="996"/>
      <c r="AO38" s="614">
        <f t="shared" si="61"/>
        <v>0</v>
      </c>
      <c r="AP38" s="614">
        <f t="shared" si="62"/>
        <v>0</v>
      </c>
      <c r="AQ38" s="994"/>
      <c r="AR38" s="994"/>
      <c r="AS38" s="996"/>
      <c r="AT38" s="614">
        <f t="shared" si="63"/>
        <v>0</v>
      </c>
      <c r="AU38" s="996"/>
      <c r="AV38" s="614">
        <f t="shared" si="64"/>
        <v>0</v>
      </c>
      <c r="AW38" s="997"/>
      <c r="AX38" s="614">
        <f t="shared" si="27"/>
        <v>0</v>
      </c>
      <c r="AY38" s="987">
        <f t="shared" si="65"/>
        <v>0</v>
      </c>
      <c r="AZ38" s="987">
        <f t="shared" si="66"/>
        <v>0</v>
      </c>
      <c r="BA38" s="614">
        <f t="shared" si="67"/>
        <v>0</v>
      </c>
      <c r="BB38" s="614">
        <f t="shared" si="68"/>
        <v>0</v>
      </c>
      <c r="BC38" s="614">
        <f t="shared" si="69"/>
        <v>0</v>
      </c>
      <c r="BD38" s="994"/>
      <c r="BE38" s="994"/>
      <c r="BF38" s="614">
        <f t="shared" si="70"/>
        <v>0</v>
      </c>
      <c r="BG38" s="614">
        <f t="shared" si="71"/>
        <v>0</v>
      </c>
      <c r="BH38" s="614">
        <f t="shared" si="72"/>
        <v>0</v>
      </c>
      <c r="BI38" s="614">
        <f t="shared" si="73"/>
        <v>0</v>
      </c>
      <c r="BJ38" s="614">
        <f t="shared" si="74"/>
        <v>0</v>
      </c>
      <c r="BK38" s="614">
        <f t="shared" si="75"/>
        <v>0</v>
      </c>
      <c r="BL38" s="614">
        <f t="shared" si="76"/>
        <v>0</v>
      </c>
      <c r="BM38" s="614">
        <f t="shared" si="77"/>
        <v>0</v>
      </c>
      <c r="BN38" s="614">
        <f t="shared" si="78"/>
        <v>0</v>
      </c>
      <c r="BO38" s="614">
        <f t="shared" si="79"/>
        <v>0</v>
      </c>
      <c r="BP38" s="614">
        <f t="shared" si="80"/>
        <v>0</v>
      </c>
      <c r="BQ38" s="614">
        <f t="shared" si="81"/>
        <v>0</v>
      </c>
      <c r="BR38" s="614">
        <f t="shared" si="82"/>
        <v>0</v>
      </c>
      <c r="BS38" s="614">
        <f t="shared" si="83"/>
        <v>0</v>
      </c>
      <c r="BT38" s="614">
        <f t="shared" si="84"/>
        <v>0</v>
      </c>
      <c r="BU38" s="614">
        <f t="shared" si="85"/>
        <v>0</v>
      </c>
      <c r="BV38" s="614">
        <f t="shared" si="86"/>
        <v>0</v>
      </c>
      <c r="BW38" s="614">
        <f t="shared" si="87"/>
        <v>0</v>
      </c>
      <c r="BX38" s="614">
        <f t="shared" si="88"/>
        <v>0</v>
      </c>
      <c r="BY38" s="209"/>
      <c r="BZ38" s="209"/>
      <c r="CA38" s="209"/>
      <c r="CB38" s="209"/>
      <c r="CC38" s="209"/>
      <c r="CD38" s="209"/>
      <c r="CE38" s="209"/>
      <c r="CF38" s="209"/>
      <c r="CG38" s="209"/>
      <c r="CH38" s="209"/>
      <c r="CI38" s="209"/>
      <c r="CJ38" s="209"/>
      <c r="CK38" s="209"/>
      <c r="CL38" s="209"/>
      <c r="CM38" s="209"/>
      <c r="CN38" s="209"/>
      <c r="CO38" s="209"/>
      <c r="CP38" s="209"/>
      <c r="CQ38" s="209"/>
      <c r="CR38" s="209"/>
      <c r="CS38" s="209"/>
      <c r="CT38" s="209"/>
      <c r="CU38" s="209"/>
      <c r="CV38" s="209"/>
      <c r="CW38" s="209"/>
      <c r="CX38" s="209"/>
      <c r="CY38" s="209"/>
      <c r="CZ38" s="209"/>
      <c r="DA38" s="209"/>
      <c r="DB38" s="209"/>
      <c r="DC38" s="209"/>
      <c r="DD38" s="209"/>
      <c r="DE38" s="209"/>
      <c r="DF38" s="209"/>
      <c r="DG38" s="209"/>
      <c r="DH38" s="209"/>
      <c r="DI38" s="209"/>
      <c r="DJ38" s="209"/>
      <c r="DK38" s="209"/>
      <c r="DL38" s="209"/>
      <c r="DM38" s="209"/>
      <c r="DN38" s="209"/>
      <c r="DO38" s="209"/>
      <c r="DP38" s="209"/>
      <c r="DQ38" s="209"/>
      <c r="DR38" s="209"/>
      <c r="DS38" s="209"/>
      <c r="DT38" s="209"/>
      <c r="DU38" s="209"/>
      <c r="DV38" s="209"/>
      <c r="DW38" s="209"/>
      <c r="DX38" s="209"/>
      <c r="DY38" s="209"/>
      <c r="DZ38" s="209"/>
      <c r="EA38" s="209"/>
      <c r="EB38" s="209"/>
      <c r="EC38" s="209"/>
      <c r="ED38" s="209"/>
      <c r="EE38" s="209"/>
      <c r="EF38" s="209"/>
      <c r="EG38" s="209"/>
      <c r="EH38" s="209"/>
      <c r="EI38" s="209"/>
      <c r="EJ38" s="209"/>
      <c r="EK38" s="209"/>
      <c r="EL38" s="209"/>
      <c r="EM38" s="209"/>
      <c r="EN38" s="209"/>
      <c r="EO38" s="209"/>
      <c r="EP38" s="209"/>
      <c r="EQ38" s="209"/>
      <c r="ER38" s="209"/>
      <c r="ES38" s="209"/>
      <c r="ET38" s="209"/>
      <c r="EU38" s="209"/>
      <c r="EV38" s="209"/>
      <c r="EW38" s="209"/>
      <c r="EX38" s="209"/>
      <c r="EY38" s="209"/>
      <c r="EZ38" s="209"/>
      <c r="FA38" s="209"/>
      <c r="FB38" s="209"/>
      <c r="FC38" s="209"/>
      <c r="FD38" s="209"/>
      <c r="FE38" s="209"/>
      <c r="FF38" s="209"/>
      <c r="FG38" s="209"/>
      <c r="FH38" s="209"/>
      <c r="FI38" s="209"/>
      <c r="FJ38" s="209"/>
      <c r="FK38" s="209"/>
      <c r="FL38" s="209"/>
      <c r="FM38" s="209"/>
      <c r="FN38" s="209"/>
      <c r="FO38" s="209"/>
      <c r="FP38" s="209"/>
      <c r="FQ38" s="209"/>
      <c r="FR38" s="209"/>
      <c r="FS38" s="209"/>
      <c r="FT38" s="209"/>
      <c r="FU38" s="209"/>
      <c r="FV38" s="209"/>
      <c r="FW38" s="209"/>
      <c r="FX38" s="209"/>
      <c r="FY38" s="209"/>
      <c r="FZ38" s="209"/>
      <c r="GA38" s="209"/>
      <c r="GB38" s="209"/>
      <c r="GC38" s="209"/>
      <c r="GD38" s="209"/>
      <c r="GE38" s="209"/>
      <c r="GF38" s="209"/>
      <c r="GG38" s="209"/>
      <c r="GH38" s="209"/>
      <c r="GI38" s="209"/>
      <c r="GJ38" s="209"/>
      <c r="GK38" s="209"/>
      <c r="GL38" s="209"/>
      <c r="GM38" s="209"/>
      <c r="GN38" s="209"/>
      <c r="GO38" s="209"/>
      <c r="GP38" s="209"/>
      <c r="GQ38" s="209"/>
      <c r="GR38" s="209"/>
      <c r="GS38" s="209"/>
      <c r="GT38" s="209"/>
      <c r="GU38" s="209"/>
      <c r="GV38" s="209"/>
      <c r="GW38" s="209"/>
      <c r="GX38" s="209"/>
      <c r="GY38" s="209"/>
      <c r="GZ38" s="209"/>
      <c r="HA38" s="209"/>
      <c r="HB38" s="209"/>
      <c r="HC38" s="209"/>
      <c r="HD38" s="209"/>
      <c r="HE38" s="209"/>
      <c r="HF38" s="209"/>
      <c r="HG38" s="209"/>
      <c r="HH38" s="209"/>
      <c r="HI38" s="209"/>
      <c r="HJ38" s="209"/>
      <c r="HK38" s="209"/>
      <c r="HL38" s="209"/>
      <c r="HM38" s="209"/>
      <c r="HN38" s="209"/>
      <c r="HO38" s="209"/>
      <c r="HP38" s="209"/>
      <c r="HQ38" s="209"/>
      <c r="HR38" s="209"/>
      <c r="HS38" s="209"/>
      <c r="HT38" s="209"/>
      <c r="HU38" s="209"/>
      <c r="HV38" s="209"/>
      <c r="HW38" s="209"/>
      <c r="HX38" s="209"/>
      <c r="HY38" s="209"/>
      <c r="HZ38" s="209"/>
      <c r="IA38" s="209"/>
      <c r="IB38" s="209"/>
      <c r="IC38" s="209"/>
      <c r="ID38" s="209"/>
      <c r="IE38" s="209"/>
      <c r="IF38" s="209"/>
      <c r="IG38" s="209"/>
      <c r="IH38" s="209"/>
      <c r="II38" s="209"/>
      <c r="IJ38" s="209"/>
      <c r="IK38" s="209"/>
      <c r="IL38" s="209"/>
      <c r="IM38" s="209"/>
      <c r="IN38" s="209"/>
      <c r="IO38" s="209"/>
      <c r="IP38" s="209"/>
      <c r="IQ38" s="209"/>
      <c r="IR38" s="209"/>
      <c r="IS38" s="209"/>
      <c r="IT38" s="209"/>
      <c r="IU38" s="209"/>
    </row>
    <row r="39" spans="1:255">
      <c r="A39" s="991"/>
      <c r="B39" s="992"/>
      <c r="C39" s="993"/>
      <c r="D39" s="992"/>
      <c r="E39" s="994"/>
      <c r="F39" s="994"/>
      <c r="G39" s="994"/>
      <c r="H39" s="994"/>
      <c r="I39" s="995"/>
      <c r="J39" s="995"/>
      <c r="K39" s="995"/>
      <c r="L39" s="995"/>
      <c r="M39" s="614">
        <f t="shared" si="53"/>
        <v>0</v>
      </c>
      <c r="N39" s="995"/>
      <c r="O39" s="995"/>
      <c r="P39" s="995"/>
      <c r="Q39" s="995"/>
      <c r="R39" s="614">
        <f t="shared" si="54"/>
        <v>0</v>
      </c>
      <c r="S39" s="614">
        <f t="shared" si="6"/>
        <v>0</v>
      </c>
      <c r="T39" s="614">
        <f t="shared" si="7"/>
        <v>0</v>
      </c>
      <c r="U39" s="614">
        <f t="shared" si="8"/>
        <v>0</v>
      </c>
      <c r="V39" s="614">
        <f t="shared" si="9"/>
        <v>0</v>
      </c>
      <c r="W39" s="614">
        <f t="shared" si="10"/>
        <v>0</v>
      </c>
      <c r="X39" s="614">
        <f t="shared" si="11"/>
        <v>0</v>
      </c>
      <c r="Y39" s="614">
        <f t="shared" si="12"/>
        <v>0</v>
      </c>
      <c r="Z39" s="614">
        <f t="shared" si="13"/>
        <v>0</v>
      </c>
      <c r="AA39" s="614">
        <f t="shared" si="14"/>
        <v>0</v>
      </c>
      <c r="AB39" s="614">
        <f t="shared" si="55"/>
        <v>0</v>
      </c>
      <c r="AC39" s="614">
        <f t="shared" si="56"/>
        <v>0</v>
      </c>
      <c r="AD39" s="614">
        <f t="shared" si="57"/>
        <v>0</v>
      </c>
      <c r="AE39" s="614">
        <f t="shared" si="58"/>
        <v>0</v>
      </c>
      <c r="AF39" s="994"/>
      <c r="AG39" s="994"/>
      <c r="AH39" s="996"/>
      <c r="AI39" s="614">
        <f t="shared" si="59"/>
        <v>0</v>
      </c>
      <c r="AJ39" s="996"/>
      <c r="AK39" s="614">
        <f t="shared" si="60"/>
        <v>0</v>
      </c>
      <c r="AL39" s="997"/>
      <c r="AM39" s="614">
        <f t="shared" si="22"/>
        <v>0</v>
      </c>
      <c r="AN39" s="996"/>
      <c r="AO39" s="614">
        <f t="shared" si="61"/>
        <v>0</v>
      </c>
      <c r="AP39" s="614">
        <f t="shared" si="62"/>
        <v>0</v>
      </c>
      <c r="AQ39" s="994"/>
      <c r="AR39" s="994"/>
      <c r="AS39" s="996"/>
      <c r="AT39" s="614">
        <f t="shared" si="63"/>
        <v>0</v>
      </c>
      <c r="AU39" s="996"/>
      <c r="AV39" s="614">
        <f t="shared" si="64"/>
        <v>0</v>
      </c>
      <c r="AW39" s="997"/>
      <c r="AX39" s="614">
        <f t="shared" si="27"/>
        <v>0</v>
      </c>
      <c r="AY39" s="987">
        <f t="shared" si="65"/>
        <v>0</v>
      </c>
      <c r="AZ39" s="987">
        <f t="shared" si="66"/>
        <v>0</v>
      </c>
      <c r="BA39" s="614">
        <f t="shared" si="67"/>
        <v>0</v>
      </c>
      <c r="BB39" s="614">
        <f t="shared" si="68"/>
        <v>0</v>
      </c>
      <c r="BC39" s="614">
        <f t="shared" si="69"/>
        <v>0</v>
      </c>
      <c r="BD39" s="994"/>
      <c r="BE39" s="994"/>
      <c r="BF39" s="614">
        <f t="shared" si="70"/>
        <v>0</v>
      </c>
      <c r="BG39" s="614">
        <f t="shared" si="71"/>
        <v>0</v>
      </c>
      <c r="BH39" s="614">
        <f t="shared" si="72"/>
        <v>0</v>
      </c>
      <c r="BI39" s="614">
        <f t="shared" si="73"/>
        <v>0</v>
      </c>
      <c r="BJ39" s="614">
        <f t="shared" si="74"/>
        <v>0</v>
      </c>
      <c r="BK39" s="614">
        <f t="shared" si="75"/>
        <v>0</v>
      </c>
      <c r="BL39" s="614">
        <f t="shared" si="76"/>
        <v>0</v>
      </c>
      <c r="BM39" s="614">
        <f t="shared" si="77"/>
        <v>0</v>
      </c>
      <c r="BN39" s="614">
        <f t="shared" si="78"/>
        <v>0</v>
      </c>
      <c r="BO39" s="614">
        <f t="shared" si="79"/>
        <v>0</v>
      </c>
      <c r="BP39" s="614">
        <f t="shared" si="80"/>
        <v>0</v>
      </c>
      <c r="BQ39" s="614">
        <f t="shared" si="81"/>
        <v>0</v>
      </c>
      <c r="BR39" s="614">
        <f t="shared" si="82"/>
        <v>0</v>
      </c>
      <c r="BS39" s="614">
        <f t="shared" si="83"/>
        <v>0</v>
      </c>
      <c r="BT39" s="614">
        <f t="shared" si="84"/>
        <v>0</v>
      </c>
      <c r="BU39" s="614">
        <f t="shared" si="85"/>
        <v>0</v>
      </c>
      <c r="BV39" s="614">
        <f t="shared" si="86"/>
        <v>0</v>
      </c>
      <c r="BW39" s="614">
        <f t="shared" si="87"/>
        <v>0</v>
      </c>
      <c r="BX39" s="614">
        <f t="shared" si="88"/>
        <v>0</v>
      </c>
      <c r="BY39" s="209"/>
      <c r="BZ39" s="209"/>
      <c r="CA39" s="209"/>
      <c r="CB39" s="209"/>
      <c r="CC39" s="209"/>
      <c r="CD39" s="209"/>
      <c r="CE39" s="209"/>
      <c r="CF39" s="209"/>
      <c r="CG39" s="209"/>
      <c r="CH39" s="209"/>
      <c r="CI39" s="209"/>
      <c r="CJ39" s="209"/>
      <c r="CK39" s="209"/>
      <c r="CL39" s="209"/>
      <c r="CM39" s="209"/>
      <c r="CN39" s="209"/>
      <c r="CO39" s="209"/>
      <c r="CP39" s="209"/>
      <c r="CQ39" s="209"/>
      <c r="CR39" s="209"/>
      <c r="CS39" s="209"/>
      <c r="CT39" s="209"/>
      <c r="CU39" s="209"/>
      <c r="CV39" s="209"/>
      <c r="CW39" s="209"/>
      <c r="CX39" s="209"/>
      <c r="CY39" s="209"/>
      <c r="CZ39" s="209"/>
      <c r="DA39" s="209"/>
      <c r="DB39" s="209"/>
      <c r="DC39" s="209"/>
      <c r="DD39" s="209"/>
      <c r="DE39" s="209"/>
      <c r="DF39" s="209"/>
      <c r="DG39" s="209"/>
      <c r="DH39" s="209"/>
      <c r="DI39" s="209"/>
      <c r="DJ39" s="209"/>
      <c r="DK39" s="209"/>
      <c r="DL39" s="209"/>
      <c r="DM39" s="209"/>
      <c r="DN39" s="209"/>
      <c r="DO39" s="209"/>
      <c r="DP39" s="209"/>
      <c r="DQ39" s="209"/>
      <c r="DR39" s="209"/>
      <c r="DS39" s="209"/>
      <c r="DT39" s="209"/>
      <c r="DU39" s="209"/>
      <c r="DV39" s="209"/>
      <c r="DW39" s="209"/>
      <c r="DX39" s="209"/>
      <c r="DY39" s="209"/>
      <c r="DZ39" s="209"/>
      <c r="EA39" s="209"/>
      <c r="EB39" s="209"/>
      <c r="EC39" s="209"/>
      <c r="ED39" s="209"/>
      <c r="EE39" s="209"/>
      <c r="EF39" s="209"/>
      <c r="EG39" s="209"/>
      <c r="EH39" s="209"/>
      <c r="EI39" s="209"/>
      <c r="EJ39" s="209"/>
      <c r="EK39" s="209"/>
      <c r="EL39" s="209"/>
      <c r="EM39" s="209"/>
      <c r="EN39" s="209"/>
      <c r="EO39" s="209"/>
      <c r="EP39" s="209"/>
      <c r="EQ39" s="209"/>
      <c r="ER39" s="209"/>
      <c r="ES39" s="209"/>
      <c r="ET39" s="209"/>
      <c r="EU39" s="209"/>
      <c r="EV39" s="209"/>
      <c r="EW39" s="209"/>
      <c r="EX39" s="209"/>
      <c r="EY39" s="209"/>
      <c r="EZ39" s="209"/>
      <c r="FA39" s="209"/>
      <c r="FB39" s="209"/>
      <c r="FC39" s="209"/>
      <c r="FD39" s="209"/>
      <c r="FE39" s="209"/>
      <c r="FF39" s="209"/>
      <c r="FG39" s="209"/>
      <c r="FH39" s="209"/>
      <c r="FI39" s="209"/>
      <c r="FJ39" s="209"/>
      <c r="FK39" s="209"/>
      <c r="FL39" s="209"/>
      <c r="FM39" s="209"/>
      <c r="FN39" s="209"/>
      <c r="FO39" s="209"/>
      <c r="FP39" s="209"/>
      <c r="FQ39" s="209"/>
      <c r="FR39" s="209"/>
      <c r="FS39" s="209"/>
      <c r="FT39" s="209"/>
      <c r="FU39" s="209"/>
      <c r="FV39" s="209"/>
      <c r="FW39" s="209"/>
      <c r="FX39" s="209"/>
      <c r="FY39" s="209"/>
      <c r="FZ39" s="209"/>
      <c r="GA39" s="209"/>
      <c r="GB39" s="209"/>
      <c r="GC39" s="209"/>
      <c r="GD39" s="209"/>
      <c r="GE39" s="209"/>
      <c r="GF39" s="209"/>
      <c r="GG39" s="209"/>
      <c r="GH39" s="209"/>
      <c r="GI39" s="209"/>
      <c r="GJ39" s="209"/>
      <c r="GK39" s="209"/>
      <c r="GL39" s="209"/>
      <c r="GM39" s="209"/>
      <c r="GN39" s="209"/>
      <c r="GO39" s="209"/>
      <c r="GP39" s="209"/>
      <c r="GQ39" s="209"/>
      <c r="GR39" s="209"/>
      <c r="GS39" s="209"/>
      <c r="GT39" s="209"/>
      <c r="GU39" s="209"/>
      <c r="GV39" s="209"/>
      <c r="GW39" s="209"/>
      <c r="GX39" s="209"/>
      <c r="GY39" s="209"/>
      <c r="GZ39" s="209"/>
      <c r="HA39" s="209"/>
      <c r="HB39" s="209"/>
      <c r="HC39" s="209"/>
      <c r="HD39" s="209"/>
      <c r="HE39" s="209"/>
      <c r="HF39" s="209"/>
      <c r="HG39" s="209"/>
      <c r="HH39" s="209"/>
      <c r="HI39" s="209"/>
      <c r="HJ39" s="209"/>
      <c r="HK39" s="209"/>
      <c r="HL39" s="209"/>
      <c r="HM39" s="209"/>
      <c r="HN39" s="209"/>
      <c r="HO39" s="209"/>
      <c r="HP39" s="209"/>
      <c r="HQ39" s="209"/>
      <c r="HR39" s="209"/>
      <c r="HS39" s="209"/>
      <c r="HT39" s="209"/>
      <c r="HU39" s="209"/>
      <c r="HV39" s="209"/>
      <c r="HW39" s="209"/>
      <c r="HX39" s="209"/>
      <c r="HY39" s="209"/>
      <c r="HZ39" s="209"/>
      <c r="IA39" s="209"/>
      <c r="IB39" s="209"/>
      <c r="IC39" s="209"/>
      <c r="ID39" s="209"/>
      <c r="IE39" s="209"/>
      <c r="IF39" s="209"/>
      <c r="IG39" s="209"/>
      <c r="IH39" s="209"/>
      <c r="II39" s="209"/>
      <c r="IJ39" s="209"/>
      <c r="IK39" s="209"/>
      <c r="IL39" s="209"/>
      <c r="IM39" s="209"/>
      <c r="IN39" s="209"/>
      <c r="IO39" s="209"/>
      <c r="IP39" s="209"/>
      <c r="IQ39" s="209"/>
      <c r="IR39" s="209"/>
      <c r="IS39" s="209"/>
      <c r="IT39" s="209"/>
      <c r="IU39" s="209"/>
    </row>
    <row r="40" spans="1:255">
      <c r="A40" s="991"/>
      <c r="B40" s="992"/>
      <c r="C40" s="993"/>
      <c r="D40" s="992"/>
      <c r="E40" s="994"/>
      <c r="F40" s="994"/>
      <c r="G40" s="994"/>
      <c r="H40" s="994"/>
      <c r="I40" s="995"/>
      <c r="J40" s="995"/>
      <c r="K40" s="995"/>
      <c r="L40" s="995"/>
      <c r="M40" s="614">
        <f t="shared" si="53"/>
        <v>0</v>
      </c>
      <c r="N40" s="995"/>
      <c r="O40" s="995"/>
      <c r="P40" s="995"/>
      <c r="Q40" s="995"/>
      <c r="R40" s="614">
        <f t="shared" si="54"/>
        <v>0</v>
      </c>
      <c r="S40" s="614">
        <f t="shared" si="6"/>
        <v>0</v>
      </c>
      <c r="T40" s="614">
        <f t="shared" si="7"/>
        <v>0</v>
      </c>
      <c r="U40" s="614">
        <f t="shared" si="8"/>
        <v>0</v>
      </c>
      <c r="V40" s="614">
        <f t="shared" si="9"/>
        <v>0</v>
      </c>
      <c r="W40" s="614">
        <f t="shared" si="10"/>
        <v>0</v>
      </c>
      <c r="X40" s="614">
        <f t="shared" si="11"/>
        <v>0</v>
      </c>
      <c r="Y40" s="614">
        <f t="shared" si="12"/>
        <v>0</v>
      </c>
      <c r="Z40" s="614">
        <f t="shared" si="13"/>
        <v>0</v>
      </c>
      <c r="AA40" s="614">
        <f t="shared" si="14"/>
        <v>0</v>
      </c>
      <c r="AB40" s="614">
        <f t="shared" si="55"/>
        <v>0</v>
      </c>
      <c r="AC40" s="614">
        <f t="shared" si="56"/>
        <v>0</v>
      </c>
      <c r="AD40" s="614">
        <f t="shared" si="57"/>
        <v>0</v>
      </c>
      <c r="AE40" s="614">
        <f t="shared" si="58"/>
        <v>0</v>
      </c>
      <c r="AF40" s="994"/>
      <c r="AG40" s="994"/>
      <c r="AH40" s="996"/>
      <c r="AI40" s="614">
        <f t="shared" si="59"/>
        <v>0</v>
      </c>
      <c r="AJ40" s="996"/>
      <c r="AK40" s="614">
        <f t="shared" si="60"/>
        <v>0</v>
      </c>
      <c r="AL40" s="997"/>
      <c r="AM40" s="614">
        <f t="shared" si="22"/>
        <v>0</v>
      </c>
      <c r="AN40" s="996"/>
      <c r="AO40" s="614">
        <f t="shared" si="61"/>
        <v>0</v>
      </c>
      <c r="AP40" s="614">
        <f t="shared" si="62"/>
        <v>0</v>
      </c>
      <c r="AQ40" s="994"/>
      <c r="AR40" s="994"/>
      <c r="AS40" s="996"/>
      <c r="AT40" s="614">
        <f t="shared" si="63"/>
        <v>0</v>
      </c>
      <c r="AU40" s="996"/>
      <c r="AV40" s="614">
        <f t="shared" si="64"/>
        <v>0</v>
      </c>
      <c r="AW40" s="997"/>
      <c r="AX40" s="614">
        <f t="shared" si="27"/>
        <v>0</v>
      </c>
      <c r="AY40" s="987">
        <f t="shared" si="65"/>
        <v>0</v>
      </c>
      <c r="AZ40" s="987">
        <f t="shared" si="66"/>
        <v>0</v>
      </c>
      <c r="BA40" s="614">
        <f t="shared" si="67"/>
        <v>0</v>
      </c>
      <c r="BB40" s="614">
        <f t="shared" si="68"/>
        <v>0</v>
      </c>
      <c r="BC40" s="614">
        <f t="shared" si="69"/>
        <v>0</v>
      </c>
      <c r="BD40" s="994"/>
      <c r="BE40" s="994"/>
      <c r="BF40" s="614">
        <f t="shared" si="70"/>
        <v>0</v>
      </c>
      <c r="BG40" s="614">
        <f t="shared" si="71"/>
        <v>0</v>
      </c>
      <c r="BH40" s="614">
        <f t="shared" si="72"/>
        <v>0</v>
      </c>
      <c r="BI40" s="614">
        <f t="shared" si="73"/>
        <v>0</v>
      </c>
      <c r="BJ40" s="614">
        <f t="shared" si="74"/>
        <v>0</v>
      </c>
      <c r="BK40" s="614">
        <f t="shared" si="75"/>
        <v>0</v>
      </c>
      <c r="BL40" s="614">
        <f t="shared" si="76"/>
        <v>0</v>
      </c>
      <c r="BM40" s="614">
        <f t="shared" si="77"/>
        <v>0</v>
      </c>
      <c r="BN40" s="614">
        <f t="shared" si="78"/>
        <v>0</v>
      </c>
      <c r="BO40" s="614">
        <f t="shared" si="79"/>
        <v>0</v>
      </c>
      <c r="BP40" s="614">
        <f t="shared" si="80"/>
        <v>0</v>
      </c>
      <c r="BQ40" s="614">
        <f t="shared" si="81"/>
        <v>0</v>
      </c>
      <c r="BR40" s="614">
        <f t="shared" si="82"/>
        <v>0</v>
      </c>
      <c r="BS40" s="614">
        <f t="shared" si="83"/>
        <v>0</v>
      </c>
      <c r="BT40" s="614">
        <f t="shared" si="84"/>
        <v>0</v>
      </c>
      <c r="BU40" s="614">
        <f t="shared" si="85"/>
        <v>0</v>
      </c>
      <c r="BV40" s="614">
        <f t="shared" si="86"/>
        <v>0</v>
      </c>
      <c r="BW40" s="614">
        <f t="shared" si="87"/>
        <v>0</v>
      </c>
      <c r="BX40" s="614">
        <f t="shared" si="88"/>
        <v>0</v>
      </c>
      <c r="BY40" s="209"/>
      <c r="BZ40" s="209"/>
      <c r="CA40" s="209"/>
      <c r="CB40" s="209"/>
      <c r="CC40" s="209"/>
      <c r="CD40" s="209"/>
      <c r="CE40" s="209"/>
      <c r="CF40" s="209"/>
      <c r="CG40" s="209"/>
      <c r="CH40" s="209"/>
      <c r="CI40" s="209"/>
      <c r="CJ40" s="209"/>
      <c r="CK40" s="209"/>
      <c r="CL40" s="209"/>
      <c r="CM40" s="209"/>
      <c r="CN40" s="209"/>
      <c r="CO40" s="209"/>
      <c r="CP40" s="209"/>
      <c r="CQ40" s="209"/>
      <c r="CR40" s="209"/>
      <c r="CS40" s="209"/>
      <c r="CT40" s="209"/>
      <c r="CU40" s="209"/>
      <c r="CV40" s="209"/>
      <c r="CW40" s="209"/>
      <c r="CX40" s="209"/>
      <c r="CY40" s="209"/>
      <c r="CZ40" s="209"/>
      <c r="DA40" s="209"/>
      <c r="DB40" s="209"/>
      <c r="DC40" s="209"/>
      <c r="DD40" s="209"/>
      <c r="DE40" s="209"/>
      <c r="DF40" s="209"/>
      <c r="DG40" s="209"/>
      <c r="DH40" s="209"/>
      <c r="DI40" s="209"/>
      <c r="DJ40" s="209"/>
      <c r="DK40" s="209"/>
      <c r="DL40" s="209"/>
      <c r="DM40" s="209"/>
      <c r="DN40" s="209"/>
      <c r="DO40" s="209"/>
      <c r="DP40" s="209"/>
      <c r="DQ40" s="209"/>
      <c r="DR40" s="209"/>
      <c r="DS40" s="209"/>
      <c r="DT40" s="209"/>
      <c r="DU40" s="209"/>
      <c r="DV40" s="209"/>
      <c r="DW40" s="209"/>
      <c r="DX40" s="209"/>
      <c r="DY40" s="209"/>
      <c r="DZ40" s="209"/>
      <c r="EA40" s="209"/>
      <c r="EB40" s="209"/>
      <c r="EC40" s="209"/>
      <c r="ED40" s="209"/>
      <c r="EE40" s="209"/>
      <c r="EF40" s="209"/>
      <c r="EG40" s="209"/>
      <c r="EH40" s="209"/>
      <c r="EI40" s="209"/>
      <c r="EJ40" s="209"/>
      <c r="EK40" s="209"/>
      <c r="EL40" s="209"/>
      <c r="EM40" s="209"/>
      <c r="EN40" s="209"/>
      <c r="EO40" s="209"/>
      <c r="EP40" s="209"/>
      <c r="EQ40" s="209"/>
      <c r="ER40" s="209"/>
      <c r="ES40" s="209"/>
      <c r="ET40" s="209"/>
      <c r="EU40" s="209"/>
      <c r="EV40" s="209"/>
      <c r="EW40" s="209"/>
      <c r="EX40" s="209"/>
      <c r="EY40" s="209"/>
      <c r="EZ40" s="209"/>
      <c r="FA40" s="209"/>
      <c r="FB40" s="209"/>
      <c r="FC40" s="209"/>
      <c r="FD40" s="209"/>
      <c r="FE40" s="209"/>
      <c r="FF40" s="209"/>
      <c r="FG40" s="209"/>
      <c r="FH40" s="209"/>
      <c r="FI40" s="209"/>
      <c r="FJ40" s="209"/>
      <c r="FK40" s="209"/>
      <c r="FL40" s="209"/>
      <c r="FM40" s="209"/>
      <c r="FN40" s="209"/>
      <c r="FO40" s="209"/>
      <c r="FP40" s="209"/>
      <c r="FQ40" s="209"/>
      <c r="FR40" s="209"/>
      <c r="FS40" s="209"/>
      <c r="FT40" s="209"/>
      <c r="FU40" s="209"/>
      <c r="FV40" s="209"/>
      <c r="FW40" s="209"/>
      <c r="FX40" s="209"/>
      <c r="FY40" s="209"/>
      <c r="FZ40" s="209"/>
      <c r="GA40" s="209"/>
      <c r="GB40" s="209"/>
      <c r="GC40" s="209"/>
      <c r="GD40" s="209"/>
      <c r="GE40" s="209"/>
      <c r="GF40" s="209"/>
      <c r="GG40" s="209"/>
      <c r="GH40" s="209"/>
      <c r="GI40" s="209"/>
      <c r="GJ40" s="209"/>
      <c r="GK40" s="209"/>
      <c r="GL40" s="209"/>
      <c r="GM40" s="209"/>
      <c r="GN40" s="209"/>
      <c r="GO40" s="209"/>
      <c r="GP40" s="209"/>
      <c r="GQ40" s="209"/>
      <c r="GR40" s="209"/>
      <c r="GS40" s="209"/>
      <c r="GT40" s="209"/>
      <c r="GU40" s="209"/>
      <c r="GV40" s="209"/>
      <c r="GW40" s="209"/>
      <c r="GX40" s="209"/>
      <c r="GY40" s="209"/>
      <c r="GZ40" s="209"/>
      <c r="HA40" s="209"/>
      <c r="HB40" s="209"/>
      <c r="HC40" s="209"/>
      <c r="HD40" s="209"/>
      <c r="HE40" s="209"/>
      <c r="HF40" s="209"/>
      <c r="HG40" s="209"/>
      <c r="HH40" s="209"/>
      <c r="HI40" s="209"/>
      <c r="HJ40" s="209"/>
      <c r="HK40" s="209"/>
      <c r="HL40" s="209"/>
      <c r="HM40" s="209"/>
      <c r="HN40" s="209"/>
      <c r="HO40" s="209"/>
      <c r="HP40" s="209"/>
      <c r="HQ40" s="209"/>
      <c r="HR40" s="209"/>
      <c r="HS40" s="209"/>
      <c r="HT40" s="209"/>
      <c r="HU40" s="209"/>
      <c r="HV40" s="209"/>
      <c r="HW40" s="209"/>
      <c r="HX40" s="209"/>
      <c r="HY40" s="209"/>
      <c r="HZ40" s="209"/>
      <c r="IA40" s="209"/>
      <c r="IB40" s="209"/>
      <c r="IC40" s="209"/>
      <c r="ID40" s="209"/>
      <c r="IE40" s="209"/>
      <c r="IF40" s="209"/>
      <c r="IG40" s="209"/>
      <c r="IH40" s="209"/>
      <c r="II40" s="209"/>
      <c r="IJ40" s="209"/>
      <c r="IK40" s="209"/>
      <c r="IL40" s="209"/>
      <c r="IM40" s="209"/>
      <c r="IN40" s="209"/>
      <c r="IO40" s="209"/>
      <c r="IP40" s="209"/>
      <c r="IQ40" s="209"/>
      <c r="IR40" s="209"/>
      <c r="IS40" s="209"/>
      <c r="IT40" s="209"/>
      <c r="IU40" s="209"/>
    </row>
    <row r="41" spans="1:255">
      <c r="A41" s="991"/>
      <c r="B41" s="992"/>
      <c r="C41" s="993"/>
      <c r="D41" s="992"/>
      <c r="E41" s="994"/>
      <c r="F41" s="994"/>
      <c r="G41" s="994"/>
      <c r="H41" s="994"/>
      <c r="I41" s="995"/>
      <c r="J41" s="995"/>
      <c r="K41" s="995"/>
      <c r="L41" s="995"/>
      <c r="M41" s="614">
        <f t="shared" si="53"/>
        <v>0</v>
      </c>
      <c r="N41" s="995"/>
      <c r="O41" s="995"/>
      <c r="P41" s="995"/>
      <c r="Q41" s="995"/>
      <c r="R41" s="614">
        <f t="shared" si="54"/>
        <v>0</v>
      </c>
      <c r="S41" s="614">
        <f t="shared" si="6"/>
        <v>0</v>
      </c>
      <c r="T41" s="614">
        <f t="shared" si="7"/>
        <v>0</v>
      </c>
      <c r="U41" s="614">
        <f t="shared" si="8"/>
        <v>0</v>
      </c>
      <c r="V41" s="614">
        <f t="shared" si="9"/>
        <v>0</v>
      </c>
      <c r="W41" s="614">
        <f t="shared" si="10"/>
        <v>0</v>
      </c>
      <c r="X41" s="614">
        <f t="shared" si="11"/>
        <v>0</v>
      </c>
      <c r="Y41" s="614">
        <f t="shared" si="12"/>
        <v>0</v>
      </c>
      <c r="Z41" s="614">
        <f t="shared" si="13"/>
        <v>0</v>
      </c>
      <c r="AA41" s="614">
        <f t="shared" si="14"/>
        <v>0</v>
      </c>
      <c r="AB41" s="614">
        <f t="shared" si="55"/>
        <v>0</v>
      </c>
      <c r="AC41" s="614">
        <f t="shared" si="56"/>
        <v>0</v>
      </c>
      <c r="AD41" s="614">
        <f t="shared" si="57"/>
        <v>0</v>
      </c>
      <c r="AE41" s="614">
        <f t="shared" si="58"/>
        <v>0</v>
      </c>
      <c r="AF41" s="994"/>
      <c r="AG41" s="994"/>
      <c r="AH41" s="996"/>
      <c r="AI41" s="614">
        <f t="shared" si="59"/>
        <v>0</v>
      </c>
      <c r="AJ41" s="996"/>
      <c r="AK41" s="614">
        <f t="shared" si="60"/>
        <v>0</v>
      </c>
      <c r="AL41" s="997"/>
      <c r="AM41" s="614">
        <f t="shared" si="22"/>
        <v>0</v>
      </c>
      <c r="AN41" s="996"/>
      <c r="AO41" s="614">
        <f t="shared" si="61"/>
        <v>0</v>
      </c>
      <c r="AP41" s="614">
        <f t="shared" si="62"/>
        <v>0</v>
      </c>
      <c r="AQ41" s="994"/>
      <c r="AR41" s="994"/>
      <c r="AS41" s="996"/>
      <c r="AT41" s="614">
        <f t="shared" si="63"/>
        <v>0</v>
      </c>
      <c r="AU41" s="996"/>
      <c r="AV41" s="614">
        <f t="shared" si="64"/>
        <v>0</v>
      </c>
      <c r="AW41" s="997"/>
      <c r="AX41" s="614">
        <f t="shared" si="27"/>
        <v>0</v>
      </c>
      <c r="AY41" s="987">
        <f t="shared" si="65"/>
        <v>0</v>
      </c>
      <c r="AZ41" s="987">
        <f t="shared" si="66"/>
        <v>0</v>
      </c>
      <c r="BA41" s="614">
        <f t="shared" si="67"/>
        <v>0</v>
      </c>
      <c r="BB41" s="614">
        <f t="shared" si="68"/>
        <v>0</v>
      </c>
      <c r="BC41" s="614">
        <f t="shared" si="69"/>
        <v>0</v>
      </c>
      <c r="BD41" s="994"/>
      <c r="BE41" s="994"/>
      <c r="BF41" s="614">
        <f t="shared" si="70"/>
        <v>0</v>
      </c>
      <c r="BG41" s="614">
        <f t="shared" si="71"/>
        <v>0</v>
      </c>
      <c r="BH41" s="614">
        <f t="shared" si="72"/>
        <v>0</v>
      </c>
      <c r="BI41" s="614">
        <f t="shared" si="73"/>
        <v>0</v>
      </c>
      <c r="BJ41" s="614">
        <f t="shared" si="74"/>
        <v>0</v>
      </c>
      <c r="BK41" s="614">
        <f t="shared" si="75"/>
        <v>0</v>
      </c>
      <c r="BL41" s="614">
        <f t="shared" si="76"/>
        <v>0</v>
      </c>
      <c r="BM41" s="614">
        <f t="shared" si="77"/>
        <v>0</v>
      </c>
      <c r="BN41" s="614">
        <f t="shared" si="78"/>
        <v>0</v>
      </c>
      <c r="BO41" s="614">
        <f t="shared" si="79"/>
        <v>0</v>
      </c>
      <c r="BP41" s="614">
        <f t="shared" si="80"/>
        <v>0</v>
      </c>
      <c r="BQ41" s="614">
        <f t="shared" si="81"/>
        <v>0</v>
      </c>
      <c r="BR41" s="614">
        <f t="shared" si="82"/>
        <v>0</v>
      </c>
      <c r="BS41" s="614">
        <f t="shared" si="83"/>
        <v>0</v>
      </c>
      <c r="BT41" s="614">
        <f t="shared" si="84"/>
        <v>0</v>
      </c>
      <c r="BU41" s="614">
        <f t="shared" si="85"/>
        <v>0</v>
      </c>
      <c r="BV41" s="614">
        <f t="shared" si="86"/>
        <v>0</v>
      </c>
      <c r="BW41" s="614">
        <f t="shared" si="87"/>
        <v>0</v>
      </c>
      <c r="BX41" s="614">
        <f t="shared" si="88"/>
        <v>0</v>
      </c>
      <c r="BY41" s="209"/>
      <c r="BZ41" s="209"/>
      <c r="CA41" s="209"/>
      <c r="CB41" s="209"/>
      <c r="CC41" s="209"/>
      <c r="CD41" s="209"/>
      <c r="CE41" s="209"/>
      <c r="CF41" s="209"/>
      <c r="CG41" s="209"/>
      <c r="CH41" s="209"/>
      <c r="CI41" s="209"/>
      <c r="CJ41" s="209"/>
      <c r="CK41" s="209"/>
      <c r="CL41" s="209"/>
      <c r="CM41" s="209"/>
      <c r="CN41" s="209"/>
      <c r="CO41" s="209"/>
      <c r="CP41" s="209"/>
      <c r="CQ41" s="209"/>
      <c r="CR41" s="209"/>
      <c r="CS41" s="209"/>
      <c r="CT41" s="209"/>
      <c r="CU41" s="209"/>
      <c r="CV41" s="209"/>
      <c r="CW41" s="209"/>
      <c r="CX41" s="209"/>
      <c r="CY41" s="209"/>
      <c r="CZ41" s="209"/>
      <c r="DA41" s="209"/>
      <c r="DB41" s="209"/>
      <c r="DC41" s="209"/>
      <c r="DD41" s="209"/>
      <c r="DE41" s="209"/>
      <c r="DF41" s="209"/>
      <c r="DG41" s="209"/>
      <c r="DH41" s="209"/>
      <c r="DI41" s="209"/>
      <c r="DJ41" s="209"/>
      <c r="DK41" s="209"/>
      <c r="DL41" s="209"/>
      <c r="DM41" s="209"/>
      <c r="DN41" s="209"/>
      <c r="DO41" s="209"/>
      <c r="DP41" s="209"/>
      <c r="DQ41" s="209"/>
      <c r="DR41" s="209"/>
      <c r="DS41" s="209"/>
      <c r="DT41" s="209"/>
      <c r="DU41" s="209"/>
      <c r="DV41" s="209"/>
      <c r="DW41" s="209"/>
      <c r="DX41" s="209"/>
      <c r="DY41" s="209"/>
      <c r="DZ41" s="209"/>
      <c r="EA41" s="209"/>
      <c r="EB41" s="209"/>
      <c r="EC41" s="209"/>
      <c r="ED41" s="209"/>
      <c r="EE41" s="209"/>
      <c r="EF41" s="209"/>
      <c r="EG41" s="209"/>
      <c r="EH41" s="209"/>
      <c r="EI41" s="209"/>
      <c r="EJ41" s="209"/>
      <c r="EK41" s="209"/>
      <c r="EL41" s="209"/>
      <c r="EM41" s="209"/>
      <c r="EN41" s="209"/>
      <c r="EO41" s="209"/>
      <c r="EP41" s="209"/>
      <c r="EQ41" s="209"/>
      <c r="ER41" s="209"/>
      <c r="ES41" s="209"/>
      <c r="ET41" s="209"/>
      <c r="EU41" s="209"/>
      <c r="EV41" s="209"/>
      <c r="EW41" s="209"/>
      <c r="EX41" s="209"/>
      <c r="EY41" s="209"/>
      <c r="EZ41" s="209"/>
      <c r="FA41" s="209"/>
      <c r="FB41" s="209"/>
      <c r="FC41" s="209"/>
      <c r="FD41" s="209"/>
      <c r="FE41" s="209"/>
      <c r="FF41" s="209"/>
      <c r="FG41" s="209"/>
      <c r="FH41" s="209"/>
      <c r="FI41" s="209"/>
      <c r="FJ41" s="209"/>
      <c r="FK41" s="209"/>
      <c r="FL41" s="209"/>
      <c r="FM41" s="209"/>
      <c r="FN41" s="209"/>
      <c r="FO41" s="209"/>
      <c r="FP41" s="209"/>
      <c r="FQ41" s="209"/>
      <c r="FR41" s="209"/>
      <c r="FS41" s="209"/>
      <c r="FT41" s="209"/>
      <c r="FU41" s="209"/>
      <c r="FV41" s="209"/>
      <c r="FW41" s="209"/>
      <c r="FX41" s="209"/>
      <c r="FY41" s="209"/>
      <c r="FZ41" s="209"/>
      <c r="GA41" s="209"/>
      <c r="GB41" s="209"/>
      <c r="GC41" s="209"/>
      <c r="GD41" s="209"/>
      <c r="GE41" s="209"/>
      <c r="GF41" s="209"/>
      <c r="GG41" s="209"/>
      <c r="GH41" s="209"/>
      <c r="GI41" s="209"/>
      <c r="GJ41" s="209"/>
      <c r="GK41" s="209"/>
      <c r="GL41" s="209"/>
      <c r="GM41" s="209"/>
      <c r="GN41" s="209"/>
      <c r="GO41" s="209"/>
      <c r="GP41" s="209"/>
      <c r="GQ41" s="209"/>
      <c r="GR41" s="209"/>
      <c r="GS41" s="209"/>
      <c r="GT41" s="209"/>
      <c r="GU41" s="209"/>
      <c r="GV41" s="209"/>
      <c r="GW41" s="209"/>
      <c r="GX41" s="209"/>
      <c r="GY41" s="209"/>
      <c r="GZ41" s="209"/>
      <c r="HA41" s="209"/>
      <c r="HB41" s="209"/>
      <c r="HC41" s="209"/>
      <c r="HD41" s="209"/>
      <c r="HE41" s="209"/>
      <c r="HF41" s="209"/>
      <c r="HG41" s="209"/>
      <c r="HH41" s="209"/>
      <c r="HI41" s="209"/>
      <c r="HJ41" s="209"/>
      <c r="HK41" s="209"/>
      <c r="HL41" s="209"/>
      <c r="HM41" s="209"/>
      <c r="HN41" s="209"/>
      <c r="HO41" s="209"/>
      <c r="HP41" s="209"/>
      <c r="HQ41" s="209"/>
      <c r="HR41" s="209"/>
      <c r="HS41" s="209"/>
      <c r="HT41" s="209"/>
      <c r="HU41" s="209"/>
      <c r="HV41" s="209"/>
      <c r="HW41" s="209"/>
      <c r="HX41" s="209"/>
      <c r="HY41" s="209"/>
      <c r="HZ41" s="209"/>
      <c r="IA41" s="209"/>
      <c r="IB41" s="209"/>
      <c r="IC41" s="209"/>
      <c r="ID41" s="209"/>
      <c r="IE41" s="209"/>
      <c r="IF41" s="209"/>
      <c r="IG41" s="209"/>
      <c r="IH41" s="209"/>
      <c r="II41" s="209"/>
      <c r="IJ41" s="209"/>
      <c r="IK41" s="209"/>
      <c r="IL41" s="209"/>
      <c r="IM41" s="209"/>
      <c r="IN41" s="209"/>
      <c r="IO41" s="209"/>
      <c r="IP41" s="209"/>
      <c r="IQ41" s="209"/>
      <c r="IR41" s="209"/>
      <c r="IS41" s="209"/>
      <c r="IT41" s="209"/>
      <c r="IU41" s="209"/>
    </row>
    <row r="42" spans="1:255">
      <c r="A42" s="328"/>
      <c r="B42" s="335" t="s">
        <v>20</v>
      </c>
      <c r="C42" s="331"/>
      <c r="D42" s="640"/>
      <c r="E42" s="266"/>
      <c r="F42" s="266"/>
      <c r="G42" s="266"/>
      <c r="H42" s="266"/>
      <c r="I42" s="988">
        <f t="shared" ref="I42:AG42" si="89">SUM(I10:I14)</f>
        <v>0</v>
      </c>
      <c r="J42" s="988">
        <f t="shared" si="89"/>
        <v>0</v>
      </c>
      <c r="K42" s="988">
        <f t="shared" si="89"/>
        <v>0</v>
      </c>
      <c r="L42" s="988">
        <f t="shared" si="89"/>
        <v>0</v>
      </c>
      <c r="M42" s="988">
        <f t="shared" si="89"/>
        <v>0</v>
      </c>
      <c r="N42" s="988">
        <f t="shared" si="89"/>
        <v>0</v>
      </c>
      <c r="O42" s="988">
        <f t="shared" si="89"/>
        <v>0</v>
      </c>
      <c r="P42" s="988">
        <f t="shared" si="89"/>
        <v>0</v>
      </c>
      <c r="Q42" s="988">
        <f t="shared" si="89"/>
        <v>0</v>
      </c>
      <c r="R42" s="988">
        <f t="shared" si="89"/>
        <v>0</v>
      </c>
      <c r="S42" s="988">
        <f t="shared" si="89"/>
        <v>0</v>
      </c>
      <c r="T42" s="988">
        <f t="shared" si="89"/>
        <v>0</v>
      </c>
      <c r="U42" s="988">
        <f t="shared" si="89"/>
        <v>0</v>
      </c>
      <c r="V42" s="988">
        <f t="shared" si="89"/>
        <v>0</v>
      </c>
      <c r="W42" s="988">
        <f t="shared" si="89"/>
        <v>0</v>
      </c>
      <c r="X42" s="988">
        <f t="shared" si="89"/>
        <v>0</v>
      </c>
      <c r="Y42" s="988">
        <f t="shared" si="89"/>
        <v>0</v>
      </c>
      <c r="Z42" s="988">
        <f t="shared" si="89"/>
        <v>0</v>
      </c>
      <c r="AA42" s="988">
        <f t="shared" si="89"/>
        <v>0</v>
      </c>
      <c r="AB42" s="988">
        <f t="shared" si="89"/>
        <v>0</v>
      </c>
      <c r="AC42" s="988">
        <f t="shared" si="89"/>
        <v>0</v>
      </c>
      <c r="AD42" s="988">
        <f t="shared" si="89"/>
        <v>0</v>
      </c>
      <c r="AE42" s="988">
        <f t="shared" si="89"/>
        <v>0</v>
      </c>
      <c r="AF42" s="988">
        <f t="shared" si="89"/>
        <v>0</v>
      </c>
      <c r="AG42" s="988">
        <f t="shared" si="89"/>
        <v>0</v>
      </c>
      <c r="AH42" s="988"/>
      <c r="AI42" s="988">
        <f>SUM(AI10:AI14)</f>
        <v>0</v>
      </c>
      <c r="AJ42" s="641"/>
      <c r="AK42" s="988">
        <f>SUM(AK10:AK14)</f>
        <v>0</v>
      </c>
      <c r="AL42" s="641"/>
      <c r="AM42" s="988">
        <f>SUM(AM10:AM14)</f>
        <v>0</v>
      </c>
      <c r="AN42" s="641"/>
      <c r="AO42" s="988">
        <f>SUM(AO10:AO14)</f>
        <v>0</v>
      </c>
      <c r="AP42" s="988">
        <f>SUM(AP10:AP14)</f>
        <v>0</v>
      </c>
      <c r="AQ42" s="988">
        <f>SUM(AQ10:AQ14)</f>
        <v>0</v>
      </c>
      <c r="AR42" s="988">
        <f>SUM(AR10:AR14)</f>
        <v>0</v>
      </c>
      <c r="AS42" s="988"/>
      <c r="AT42" s="988">
        <f>SUM(AT10:AT14)</f>
        <v>0</v>
      </c>
      <c r="AU42" s="641"/>
      <c r="AV42" s="988">
        <f>SUM(AV10:AV14)</f>
        <v>0</v>
      </c>
      <c r="AW42" s="641"/>
      <c r="AX42" s="988">
        <f t="shared" ref="AX42:BX42" si="90">SUM(AX10:AX14)</f>
        <v>0</v>
      </c>
      <c r="AY42" s="988">
        <f t="shared" si="90"/>
        <v>0</v>
      </c>
      <c r="AZ42" s="988">
        <f t="shared" si="90"/>
        <v>0</v>
      </c>
      <c r="BA42" s="988">
        <f t="shared" si="90"/>
        <v>0</v>
      </c>
      <c r="BB42" s="988">
        <f t="shared" si="90"/>
        <v>0</v>
      </c>
      <c r="BC42" s="988">
        <f t="shared" si="90"/>
        <v>0</v>
      </c>
      <c r="BD42" s="988">
        <f t="shared" si="90"/>
        <v>0</v>
      </c>
      <c r="BE42" s="988">
        <f t="shared" si="90"/>
        <v>0</v>
      </c>
      <c r="BF42" s="988">
        <f t="shared" si="90"/>
        <v>0</v>
      </c>
      <c r="BG42" s="988">
        <f t="shared" si="90"/>
        <v>0</v>
      </c>
      <c r="BH42" s="988">
        <f t="shared" si="90"/>
        <v>0</v>
      </c>
      <c r="BI42" s="988">
        <f t="shared" si="90"/>
        <v>0</v>
      </c>
      <c r="BJ42" s="988">
        <f t="shared" si="90"/>
        <v>0</v>
      </c>
      <c r="BK42" s="988">
        <f t="shared" si="90"/>
        <v>0</v>
      </c>
      <c r="BL42" s="988">
        <f t="shared" si="90"/>
        <v>0</v>
      </c>
      <c r="BM42" s="988">
        <f t="shared" si="90"/>
        <v>0</v>
      </c>
      <c r="BN42" s="988">
        <f t="shared" si="90"/>
        <v>0</v>
      </c>
      <c r="BO42" s="988">
        <f t="shared" si="90"/>
        <v>0</v>
      </c>
      <c r="BP42" s="988">
        <f t="shared" si="90"/>
        <v>0</v>
      </c>
      <c r="BQ42" s="988">
        <f t="shared" si="90"/>
        <v>0</v>
      </c>
      <c r="BR42" s="988">
        <f t="shared" si="90"/>
        <v>0</v>
      </c>
      <c r="BS42" s="988">
        <f t="shared" si="90"/>
        <v>0</v>
      </c>
      <c r="BT42" s="988">
        <f t="shared" si="90"/>
        <v>0</v>
      </c>
      <c r="BU42" s="988">
        <f t="shared" si="90"/>
        <v>0</v>
      </c>
      <c r="BV42" s="988">
        <f t="shared" si="90"/>
        <v>0</v>
      </c>
      <c r="BW42" s="988">
        <f t="shared" si="90"/>
        <v>0</v>
      </c>
      <c r="BX42" s="988">
        <f t="shared" si="90"/>
        <v>0</v>
      </c>
      <c r="BY42" s="267"/>
      <c r="BZ42" s="267"/>
      <c r="CA42" s="267"/>
      <c r="CB42" s="267"/>
      <c r="CC42" s="267"/>
      <c r="CD42" s="267"/>
      <c r="CE42" s="267"/>
      <c r="CF42" s="267"/>
      <c r="CG42" s="267"/>
      <c r="CH42" s="267"/>
      <c r="CI42" s="267"/>
      <c r="CJ42" s="267"/>
      <c r="CK42" s="267"/>
      <c r="CL42" s="267"/>
      <c r="CM42" s="267"/>
      <c r="CN42" s="267"/>
      <c r="CO42" s="267"/>
      <c r="CP42" s="267"/>
      <c r="CQ42" s="267"/>
      <c r="CR42" s="267"/>
      <c r="CS42" s="267"/>
      <c r="CT42" s="267"/>
      <c r="CU42" s="267"/>
      <c r="CV42" s="267"/>
      <c r="CW42" s="267"/>
      <c r="CX42" s="267"/>
      <c r="CY42" s="267"/>
      <c r="CZ42" s="267"/>
      <c r="DA42" s="267"/>
      <c r="DB42" s="267"/>
      <c r="DC42" s="267"/>
      <c r="DD42" s="267"/>
      <c r="DE42" s="267"/>
      <c r="DF42" s="267"/>
      <c r="DG42" s="267"/>
      <c r="DH42" s="267"/>
      <c r="DI42" s="267"/>
      <c r="DJ42" s="267"/>
      <c r="DK42" s="267"/>
      <c r="DL42" s="267"/>
      <c r="DM42" s="267"/>
      <c r="DN42" s="267"/>
      <c r="DO42" s="267"/>
      <c r="DP42" s="267"/>
      <c r="DQ42" s="267"/>
      <c r="DR42" s="267"/>
      <c r="DS42" s="267"/>
      <c r="DT42" s="267"/>
      <c r="DU42" s="267"/>
      <c r="DV42" s="267"/>
      <c r="DW42" s="267"/>
      <c r="DX42" s="267"/>
      <c r="DY42" s="267"/>
      <c r="DZ42" s="267"/>
      <c r="EA42" s="267"/>
      <c r="EB42" s="267"/>
      <c r="EC42" s="267"/>
      <c r="ED42" s="267"/>
      <c r="EE42" s="267"/>
      <c r="EF42" s="267"/>
      <c r="EG42" s="267"/>
      <c r="EH42" s="267"/>
      <c r="EI42" s="267"/>
      <c r="EJ42" s="267"/>
      <c r="EK42" s="267"/>
      <c r="EL42" s="267"/>
      <c r="EM42" s="267"/>
      <c r="EN42" s="267"/>
      <c r="EO42" s="267"/>
      <c r="EP42" s="267"/>
      <c r="EQ42" s="267"/>
      <c r="ER42" s="267"/>
      <c r="ES42" s="267"/>
      <c r="ET42" s="267"/>
      <c r="EU42" s="267"/>
      <c r="EV42" s="267"/>
      <c r="EW42" s="267"/>
      <c r="EX42" s="267"/>
      <c r="EY42" s="267"/>
      <c r="EZ42" s="267"/>
      <c r="FA42" s="267"/>
      <c r="FB42" s="267"/>
      <c r="FC42" s="267"/>
      <c r="FD42" s="267"/>
      <c r="FE42" s="267"/>
      <c r="FF42" s="267"/>
      <c r="FG42" s="267"/>
      <c r="FH42" s="267"/>
      <c r="FI42" s="267"/>
      <c r="FJ42" s="267"/>
      <c r="FK42" s="267"/>
      <c r="FL42" s="267"/>
      <c r="FM42" s="267"/>
      <c r="FN42" s="267"/>
      <c r="FO42" s="267"/>
      <c r="FP42" s="267"/>
      <c r="FQ42" s="267"/>
      <c r="FR42" s="267"/>
      <c r="FS42" s="267"/>
      <c r="FT42" s="267"/>
      <c r="FU42" s="267"/>
      <c r="FV42" s="267"/>
      <c r="FW42" s="267"/>
      <c r="FX42" s="267"/>
      <c r="FY42" s="267"/>
      <c r="FZ42" s="267"/>
      <c r="GA42" s="267"/>
      <c r="GB42" s="267"/>
      <c r="GC42" s="267"/>
      <c r="GD42" s="267"/>
      <c r="GE42" s="267"/>
      <c r="GF42" s="267"/>
      <c r="GG42" s="267"/>
      <c r="GH42" s="267"/>
      <c r="GI42" s="267"/>
      <c r="GJ42" s="267"/>
      <c r="GK42" s="267"/>
      <c r="GL42" s="267"/>
      <c r="GM42" s="267"/>
      <c r="GN42" s="267"/>
      <c r="GO42" s="267"/>
      <c r="GP42" s="267"/>
      <c r="GQ42" s="267"/>
      <c r="GR42" s="267"/>
      <c r="GS42" s="267"/>
      <c r="GT42" s="267"/>
      <c r="GU42" s="267"/>
      <c r="GV42" s="267"/>
      <c r="GW42" s="267"/>
      <c r="GX42" s="267"/>
      <c r="GY42" s="267"/>
      <c r="GZ42" s="267"/>
      <c r="HA42" s="267"/>
      <c r="HB42" s="267"/>
      <c r="HC42" s="267"/>
      <c r="HD42" s="267"/>
      <c r="HE42" s="267"/>
      <c r="HF42" s="267"/>
      <c r="HG42" s="267"/>
      <c r="HH42" s="267"/>
      <c r="HI42" s="267"/>
      <c r="HJ42" s="267"/>
      <c r="HK42" s="267"/>
      <c r="HL42" s="267"/>
      <c r="HM42" s="267"/>
      <c r="HN42" s="267"/>
      <c r="HO42" s="267"/>
      <c r="HP42" s="267"/>
      <c r="HQ42" s="267"/>
      <c r="HR42" s="267"/>
      <c r="HS42" s="267"/>
      <c r="HT42" s="267"/>
      <c r="HU42" s="267"/>
      <c r="HV42" s="267"/>
      <c r="HW42" s="267"/>
      <c r="HX42" s="267"/>
      <c r="HY42" s="267"/>
      <c r="HZ42" s="267"/>
      <c r="IA42" s="267"/>
      <c r="IB42" s="267"/>
      <c r="IC42" s="267"/>
      <c r="ID42" s="267"/>
      <c r="IE42" s="267"/>
      <c r="IF42" s="267"/>
      <c r="IG42" s="267"/>
      <c r="IH42" s="267"/>
      <c r="II42" s="267"/>
      <c r="IJ42" s="267"/>
      <c r="IK42" s="267"/>
      <c r="IL42" s="267"/>
      <c r="IM42" s="267"/>
      <c r="IN42" s="267"/>
      <c r="IO42" s="267"/>
      <c r="IP42" s="267"/>
      <c r="IQ42" s="267"/>
      <c r="IR42" s="267"/>
      <c r="IS42" s="267"/>
      <c r="IT42" s="267"/>
      <c r="IU42" s="267"/>
    </row>
    <row r="43" spans="1:255" ht="25.5">
      <c r="A43" s="207"/>
      <c r="B43" s="333" t="s">
        <v>328</v>
      </c>
      <c r="C43" s="334"/>
      <c r="D43" s="333"/>
      <c r="E43" s="208"/>
      <c r="F43" s="208"/>
      <c r="G43" s="208"/>
      <c r="H43" s="208"/>
      <c r="I43" s="639"/>
      <c r="J43" s="639"/>
      <c r="K43" s="639"/>
      <c r="L43" s="639"/>
      <c r="M43" s="639"/>
      <c r="N43" s="639"/>
      <c r="O43" s="639"/>
      <c r="P43" s="639"/>
      <c r="Q43" s="639"/>
      <c r="R43" s="639"/>
      <c r="S43" s="614">
        <f>S42*10%</f>
        <v>0</v>
      </c>
      <c r="T43" s="614">
        <f t="shared" ref="T43:AB43" si="91">T42*10%</f>
        <v>0</v>
      </c>
      <c r="U43" s="614">
        <f t="shared" si="91"/>
        <v>0</v>
      </c>
      <c r="V43" s="614">
        <f t="shared" si="91"/>
        <v>0</v>
      </c>
      <c r="W43" s="614">
        <f t="shared" si="91"/>
        <v>0</v>
      </c>
      <c r="X43" s="614">
        <f t="shared" si="91"/>
        <v>0</v>
      </c>
      <c r="Y43" s="614">
        <f t="shared" si="91"/>
        <v>0</v>
      </c>
      <c r="Z43" s="614">
        <f t="shared" si="91"/>
        <v>0</v>
      </c>
      <c r="AA43" s="614">
        <f t="shared" si="91"/>
        <v>0</v>
      </c>
      <c r="AB43" s="614">
        <f t="shared" si="91"/>
        <v>0</v>
      </c>
      <c r="AC43" s="614">
        <f>AC42*10%</f>
        <v>0</v>
      </c>
      <c r="AD43" s="614">
        <f>AD42*10%</f>
        <v>0</v>
      </c>
      <c r="AE43" s="614">
        <f>AE42*10%</f>
        <v>0</v>
      </c>
      <c r="AF43" s="208"/>
      <c r="AG43" s="208"/>
      <c r="AH43" s="208"/>
      <c r="AI43" s="208"/>
      <c r="AJ43" s="208"/>
      <c r="AK43" s="208"/>
      <c r="AL43" s="208"/>
      <c r="AM43" s="208"/>
      <c r="AN43" s="208"/>
      <c r="AO43" s="208"/>
      <c r="AP43" s="208"/>
      <c r="AQ43" s="208"/>
      <c r="AR43" s="208"/>
      <c r="AS43" s="208"/>
      <c r="AT43" s="208"/>
      <c r="AU43" s="208"/>
      <c r="AV43" s="208"/>
      <c r="AW43" s="208"/>
      <c r="AX43" s="208"/>
      <c r="AY43" s="208"/>
      <c r="AZ43" s="208"/>
      <c r="BA43" s="614">
        <f>AC43+AP43</f>
        <v>0</v>
      </c>
      <c r="BB43" s="614">
        <f>AD43+AY43</f>
        <v>0</v>
      </c>
      <c r="BC43" s="614">
        <f>BA43+BB43</f>
        <v>0</v>
      </c>
      <c r="BD43" s="614">
        <f t="shared" ref="BD43:BI43" si="92">BD42*10%</f>
        <v>0</v>
      </c>
      <c r="BE43" s="614">
        <f t="shared" si="92"/>
        <v>0</v>
      </c>
      <c r="BF43" s="614">
        <f t="shared" si="92"/>
        <v>0</v>
      </c>
      <c r="BG43" s="614">
        <f t="shared" si="92"/>
        <v>0</v>
      </c>
      <c r="BH43" s="614">
        <f t="shared" si="92"/>
        <v>0</v>
      </c>
      <c r="BI43" s="614">
        <f t="shared" si="92"/>
        <v>0</v>
      </c>
      <c r="BJ43" s="614">
        <f>BA43+BD43+BG43</f>
        <v>0</v>
      </c>
      <c r="BK43" s="614">
        <f>BB43+BE43+BH43</f>
        <v>0</v>
      </c>
      <c r="BL43" s="614">
        <f>BJ43+BK43</f>
        <v>0</v>
      </c>
      <c r="BM43" s="614">
        <f>BJ43*10%</f>
        <v>0</v>
      </c>
      <c r="BN43" s="614">
        <f>(BJ43-BM43)*10%</f>
        <v>0</v>
      </c>
      <c r="BO43" s="614">
        <f>(BJ43-BM43)*6%</f>
        <v>0</v>
      </c>
      <c r="BP43" s="614">
        <f>(BJ43-BM43)*5%</f>
        <v>0</v>
      </c>
      <c r="BQ43" s="614">
        <f>BK43*10%</f>
        <v>0</v>
      </c>
      <c r="BR43" s="614">
        <f>(BK43-BQ43)*10%</f>
        <v>0</v>
      </c>
      <c r="BS43" s="614">
        <f>(BK43-BQ43)*6%</f>
        <v>0</v>
      </c>
      <c r="BT43" s="614">
        <f>(BK43-BQ43)*5%</f>
        <v>0</v>
      </c>
      <c r="BU43" s="614">
        <f>BM43+BQ43</f>
        <v>0</v>
      </c>
      <c r="BV43" s="614">
        <f>BN43+BR43</f>
        <v>0</v>
      </c>
      <c r="BW43" s="614">
        <f>BO43+BS43</f>
        <v>0</v>
      </c>
      <c r="BX43" s="614">
        <f>BP43+BT43</f>
        <v>0</v>
      </c>
      <c r="BY43" s="209"/>
      <c r="BZ43" s="209"/>
      <c r="CA43" s="209"/>
      <c r="CB43" s="209"/>
      <c r="CC43" s="209"/>
      <c r="CD43" s="209"/>
      <c r="CE43" s="209"/>
      <c r="CF43" s="209"/>
      <c r="CG43" s="209"/>
      <c r="CH43" s="209"/>
      <c r="CI43" s="209"/>
      <c r="CJ43" s="209"/>
      <c r="CK43" s="209"/>
      <c r="CL43" s="209"/>
      <c r="CM43" s="209"/>
      <c r="CN43" s="209"/>
      <c r="CO43" s="209"/>
      <c r="CP43" s="209"/>
      <c r="CQ43" s="209"/>
      <c r="CR43" s="209"/>
      <c r="CS43" s="209"/>
      <c r="CT43" s="209"/>
      <c r="CU43" s="209"/>
      <c r="CV43" s="209"/>
      <c r="CW43" s="209"/>
      <c r="CX43" s="209"/>
      <c r="CY43" s="209"/>
      <c r="CZ43" s="209"/>
      <c r="DA43" s="209"/>
      <c r="DB43" s="209"/>
      <c r="DC43" s="209"/>
      <c r="DD43" s="209"/>
      <c r="DE43" s="209"/>
      <c r="DF43" s="209"/>
      <c r="DG43" s="209"/>
      <c r="DH43" s="209"/>
      <c r="DI43" s="209"/>
      <c r="DJ43" s="209"/>
      <c r="DK43" s="209"/>
      <c r="DL43" s="209"/>
      <c r="DM43" s="209"/>
      <c r="DN43" s="209"/>
      <c r="DO43" s="209"/>
      <c r="DP43" s="209"/>
      <c r="DQ43" s="209"/>
      <c r="DR43" s="209"/>
      <c r="DS43" s="209"/>
      <c r="DT43" s="209"/>
      <c r="DU43" s="209"/>
      <c r="DV43" s="209"/>
      <c r="DW43" s="209"/>
      <c r="DX43" s="209"/>
      <c r="DY43" s="209"/>
      <c r="DZ43" s="209"/>
      <c r="EA43" s="209"/>
      <c r="EB43" s="209"/>
      <c r="EC43" s="209"/>
      <c r="ED43" s="209"/>
      <c r="EE43" s="209"/>
      <c r="EF43" s="209"/>
      <c r="EG43" s="209"/>
      <c r="EH43" s="209"/>
      <c r="EI43" s="209"/>
      <c r="EJ43" s="209"/>
      <c r="EK43" s="209"/>
      <c r="EL43" s="209"/>
      <c r="EM43" s="209"/>
      <c r="EN43" s="209"/>
      <c r="EO43" s="209"/>
      <c r="EP43" s="209"/>
      <c r="EQ43" s="209"/>
      <c r="ER43" s="209"/>
      <c r="ES43" s="209"/>
      <c r="ET43" s="209"/>
      <c r="EU43" s="209"/>
      <c r="EV43" s="209"/>
      <c r="EW43" s="209"/>
      <c r="EX43" s="209"/>
      <c r="EY43" s="209"/>
      <c r="EZ43" s="209"/>
      <c r="FA43" s="209"/>
      <c r="FB43" s="209"/>
      <c r="FC43" s="209"/>
      <c r="FD43" s="209"/>
      <c r="FE43" s="209"/>
      <c r="FF43" s="209"/>
      <c r="FG43" s="209"/>
      <c r="FH43" s="209"/>
      <c r="FI43" s="209"/>
      <c r="FJ43" s="209"/>
      <c r="FK43" s="209"/>
      <c r="FL43" s="209"/>
      <c r="FM43" s="209"/>
      <c r="FN43" s="209"/>
      <c r="FO43" s="209"/>
      <c r="FP43" s="209"/>
      <c r="FQ43" s="209"/>
      <c r="FR43" s="209"/>
      <c r="FS43" s="209"/>
      <c r="FT43" s="209"/>
      <c r="FU43" s="209"/>
      <c r="FV43" s="209"/>
      <c r="FW43" s="209"/>
      <c r="FX43" s="209"/>
      <c r="FY43" s="209"/>
      <c r="FZ43" s="209"/>
      <c r="GA43" s="209"/>
      <c r="GB43" s="209"/>
      <c r="GC43" s="209"/>
      <c r="GD43" s="209"/>
      <c r="GE43" s="209"/>
      <c r="GF43" s="209"/>
      <c r="GG43" s="209"/>
      <c r="GH43" s="209"/>
      <c r="GI43" s="209"/>
      <c r="GJ43" s="209"/>
      <c r="GK43" s="209"/>
      <c r="GL43" s="209"/>
      <c r="GM43" s="209"/>
      <c r="GN43" s="209"/>
      <c r="GO43" s="209"/>
      <c r="GP43" s="209"/>
      <c r="GQ43" s="209"/>
      <c r="GR43" s="209"/>
      <c r="GS43" s="209"/>
      <c r="GT43" s="209"/>
      <c r="GU43" s="209"/>
      <c r="GV43" s="209"/>
      <c r="GW43" s="209"/>
      <c r="GX43" s="209"/>
      <c r="GY43" s="209"/>
      <c r="GZ43" s="209"/>
      <c r="HA43" s="209"/>
      <c r="HB43" s="209"/>
      <c r="HC43" s="209"/>
      <c r="HD43" s="209"/>
      <c r="HE43" s="209"/>
      <c r="HF43" s="209"/>
      <c r="HG43" s="209"/>
      <c r="HH43" s="209"/>
      <c r="HI43" s="209"/>
      <c r="HJ43" s="209"/>
      <c r="HK43" s="209"/>
      <c r="HL43" s="209"/>
      <c r="HM43" s="209"/>
      <c r="HN43" s="209"/>
      <c r="HO43" s="209"/>
      <c r="HP43" s="209"/>
      <c r="HQ43" s="209"/>
      <c r="HR43" s="209"/>
      <c r="HS43" s="209"/>
      <c r="HT43" s="209"/>
      <c r="HU43" s="209"/>
      <c r="HV43" s="209"/>
      <c r="HW43" s="209"/>
      <c r="HX43" s="209"/>
      <c r="HY43" s="209"/>
      <c r="HZ43" s="209"/>
      <c r="IA43" s="209"/>
      <c r="IB43" s="209"/>
      <c r="IC43" s="209"/>
      <c r="ID43" s="209"/>
      <c r="IE43" s="209"/>
      <c r="IF43" s="209"/>
      <c r="IG43" s="209"/>
      <c r="IH43" s="209"/>
      <c r="II43" s="209"/>
      <c r="IJ43" s="209"/>
      <c r="IK43" s="209"/>
      <c r="IL43" s="209"/>
      <c r="IM43" s="209"/>
      <c r="IN43" s="209"/>
      <c r="IO43" s="209"/>
      <c r="IP43" s="209"/>
      <c r="IQ43" s="209"/>
      <c r="IR43" s="209"/>
      <c r="IS43" s="209"/>
      <c r="IT43" s="209"/>
      <c r="IU43" s="209"/>
    </row>
    <row r="44" spans="1:255" s="195" customFormat="1">
      <c r="A44" s="206"/>
      <c r="B44" s="336" t="s">
        <v>306</v>
      </c>
      <c r="C44" s="337"/>
      <c r="D44" s="336"/>
      <c r="E44" s="266"/>
      <c r="F44" s="266"/>
      <c r="G44" s="266"/>
      <c r="H44" s="266"/>
      <c r="I44" s="641"/>
      <c r="J44" s="641"/>
      <c r="K44" s="641"/>
      <c r="L44" s="641"/>
      <c r="M44" s="641"/>
      <c r="N44" s="641"/>
      <c r="O44" s="641"/>
      <c r="P44" s="641"/>
      <c r="Q44" s="641"/>
      <c r="R44" s="641"/>
      <c r="S44" s="331">
        <f>S42+S43</f>
        <v>0</v>
      </c>
      <c r="T44" s="331">
        <f>T42+T43</f>
        <v>0</v>
      </c>
      <c r="U44" s="331">
        <f t="shared" ref="U44:AB44" si="93">U42+U43</f>
        <v>0</v>
      </c>
      <c r="V44" s="331">
        <f t="shared" si="93"/>
        <v>0</v>
      </c>
      <c r="W44" s="331">
        <f t="shared" si="93"/>
        <v>0</v>
      </c>
      <c r="X44" s="331">
        <f t="shared" si="93"/>
        <v>0</v>
      </c>
      <c r="Y44" s="331">
        <f t="shared" si="93"/>
        <v>0</v>
      </c>
      <c r="Z44" s="331">
        <f t="shared" si="93"/>
        <v>0</v>
      </c>
      <c r="AA44" s="331">
        <f t="shared" si="93"/>
        <v>0</v>
      </c>
      <c r="AB44" s="331">
        <f t="shared" si="93"/>
        <v>0</v>
      </c>
      <c r="AC44" s="331">
        <f t="shared" ref="AC44:BX44" si="94">AC42+AC43</f>
        <v>0</v>
      </c>
      <c r="AD44" s="331">
        <f t="shared" si="94"/>
        <v>0</v>
      </c>
      <c r="AE44" s="331">
        <f t="shared" si="94"/>
        <v>0</v>
      </c>
      <c r="AF44" s="331">
        <f t="shared" si="94"/>
        <v>0</v>
      </c>
      <c r="AG44" s="331">
        <f t="shared" si="94"/>
        <v>0</v>
      </c>
      <c r="AH44" s="331">
        <f t="shared" si="94"/>
        <v>0</v>
      </c>
      <c r="AI44" s="331">
        <f t="shared" si="94"/>
        <v>0</v>
      </c>
      <c r="AJ44" s="331">
        <f t="shared" si="94"/>
        <v>0</v>
      </c>
      <c r="AK44" s="331">
        <f t="shared" si="94"/>
        <v>0</v>
      </c>
      <c r="AL44" s="331">
        <f t="shared" si="94"/>
        <v>0</v>
      </c>
      <c r="AM44" s="331">
        <f t="shared" si="94"/>
        <v>0</v>
      </c>
      <c r="AN44" s="331">
        <f t="shared" si="94"/>
        <v>0</v>
      </c>
      <c r="AO44" s="331">
        <f t="shared" si="94"/>
        <v>0</v>
      </c>
      <c r="AP44" s="331">
        <f t="shared" si="94"/>
        <v>0</v>
      </c>
      <c r="AQ44" s="331">
        <f t="shared" si="94"/>
        <v>0</v>
      </c>
      <c r="AR44" s="331">
        <f t="shared" si="94"/>
        <v>0</v>
      </c>
      <c r="AS44" s="331">
        <f t="shared" si="94"/>
        <v>0</v>
      </c>
      <c r="AT44" s="331">
        <f t="shared" si="94"/>
        <v>0</v>
      </c>
      <c r="AU44" s="331">
        <f t="shared" si="94"/>
        <v>0</v>
      </c>
      <c r="AV44" s="331">
        <f t="shared" si="94"/>
        <v>0</v>
      </c>
      <c r="AW44" s="331">
        <f t="shared" si="94"/>
        <v>0</v>
      </c>
      <c r="AX44" s="331">
        <f t="shared" si="94"/>
        <v>0</v>
      </c>
      <c r="AY44" s="331">
        <f t="shared" si="94"/>
        <v>0</v>
      </c>
      <c r="AZ44" s="331">
        <f t="shared" si="94"/>
        <v>0</v>
      </c>
      <c r="BA44" s="331">
        <f t="shared" si="94"/>
        <v>0</v>
      </c>
      <c r="BB44" s="331">
        <f t="shared" si="94"/>
        <v>0</v>
      </c>
      <c r="BC44" s="331">
        <f t="shared" si="94"/>
        <v>0</v>
      </c>
      <c r="BD44" s="331">
        <f t="shared" si="94"/>
        <v>0</v>
      </c>
      <c r="BE44" s="331">
        <f t="shared" si="94"/>
        <v>0</v>
      </c>
      <c r="BF44" s="331">
        <f t="shared" si="94"/>
        <v>0</v>
      </c>
      <c r="BG44" s="331">
        <f t="shared" si="94"/>
        <v>0</v>
      </c>
      <c r="BH44" s="331">
        <f t="shared" si="94"/>
        <v>0</v>
      </c>
      <c r="BI44" s="331">
        <f t="shared" si="94"/>
        <v>0</v>
      </c>
      <c r="BJ44" s="331">
        <f t="shared" si="94"/>
        <v>0</v>
      </c>
      <c r="BK44" s="331">
        <f t="shared" si="94"/>
        <v>0</v>
      </c>
      <c r="BL44" s="331">
        <f t="shared" si="94"/>
        <v>0</v>
      </c>
      <c r="BM44" s="331">
        <f t="shared" si="94"/>
        <v>0</v>
      </c>
      <c r="BN44" s="331">
        <f t="shared" si="94"/>
        <v>0</v>
      </c>
      <c r="BO44" s="331">
        <f t="shared" si="94"/>
        <v>0</v>
      </c>
      <c r="BP44" s="331">
        <f t="shared" si="94"/>
        <v>0</v>
      </c>
      <c r="BQ44" s="331">
        <f t="shared" si="94"/>
        <v>0</v>
      </c>
      <c r="BR44" s="331">
        <f t="shared" si="94"/>
        <v>0</v>
      </c>
      <c r="BS44" s="331">
        <f t="shared" si="94"/>
        <v>0</v>
      </c>
      <c r="BT44" s="331">
        <f t="shared" si="94"/>
        <v>0</v>
      </c>
      <c r="BU44" s="331">
        <f t="shared" si="94"/>
        <v>0</v>
      </c>
      <c r="BV44" s="331">
        <f t="shared" si="94"/>
        <v>0</v>
      </c>
      <c r="BW44" s="331">
        <f t="shared" si="94"/>
        <v>0</v>
      </c>
      <c r="BX44" s="331">
        <f t="shared" si="94"/>
        <v>0</v>
      </c>
      <c r="BY44" s="267"/>
      <c r="BZ44" s="267"/>
      <c r="CA44" s="267"/>
      <c r="CB44" s="267"/>
      <c r="CC44" s="267"/>
      <c r="CD44" s="267"/>
      <c r="CE44" s="267"/>
      <c r="CF44" s="267"/>
      <c r="CG44" s="267"/>
      <c r="CH44" s="267"/>
      <c r="CI44" s="267"/>
      <c r="CJ44" s="267"/>
      <c r="CK44" s="267"/>
      <c r="CL44" s="267"/>
      <c r="CM44" s="267"/>
      <c r="CN44" s="267"/>
      <c r="CO44" s="267"/>
      <c r="CP44" s="267"/>
      <c r="CQ44" s="267"/>
      <c r="CR44" s="267"/>
      <c r="CS44" s="267"/>
      <c r="CT44" s="267"/>
      <c r="CU44" s="267"/>
      <c r="CV44" s="267"/>
      <c r="CW44" s="267"/>
      <c r="CX44" s="267"/>
      <c r="CY44" s="267"/>
      <c r="CZ44" s="267"/>
      <c r="DA44" s="267"/>
      <c r="DB44" s="267"/>
      <c r="DC44" s="267"/>
      <c r="DD44" s="267"/>
      <c r="DE44" s="267"/>
      <c r="DF44" s="267"/>
      <c r="DG44" s="267"/>
      <c r="DH44" s="267"/>
      <c r="DI44" s="267"/>
      <c r="DJ44" s="267"/>
      <c r="DK44" s="267"/>
      <c r="DL44" s="267"/>
      <c r="DM44" s="267"/>
      <c r="DN44" s="267"/>
      <c r="DO44" s="267"/>
      <c r="DP44" s="267"/>
      <c r="DQ44" s="267"/>
      <c r="DR44" s="267"/>
      <c r="DS44" s="267"/>
      <c r="DT44" s="267"/>
      <c r="DU44" s="267"/>
      <c r="DV44" s="267"/>
      <c r="DW44" s="267"/>
      <c r="DX44" s="267"/>
      <c r="DY44" s="267"/>
      <c r="DZ44" s="267"/>
      <c r="EA44" s="267"/>
      <c r="EB44" s="267"/>
      <c r="EC44" s="267"/>
      <c r="ED44" s="267"/>
      <c r="EE44" s="267"/>
      <c r="EF44" s="267"/>
      <c r="EG44" s="267"/>
      <c r="EH44" s="267"/>
      <c r="EI44" s="267"/>
      <c r="EJ44" s="267"/>
      <c r="EK44" s="267"/>
      <c r="EL44" s="267"/>
      <c r="EM44" s="267"/>
      <c r="EN44" s="267"/>
      <c r="EO44" s="267"/>
      <c r="EP44" s="267"/>
      <c r="EQ44" s="267"/>
      <c r="ER44" s="267"/>
      <c r="ES44" s="267"/>
      <c r="ET44" s="267"/>
      <c r="EU44" s="267"/>
      <c r="EV44" s="267"/>
      <c r="EW44" s="267"/>
      <c r="EX44" s="267"/>
      <c r="EY44" s="267"/>
      <c r="EZ44" s="267"/>
      <c r="FA44" s="267"/>
      <c r="FB44" s="267"/>
      <c r="FC44" s="267"/>
      <c r="FD44" s="267"/>
      <c r="FE44" s="267"/>
      <c r="FF44" s="267"/>
      <c r="FG44" s="267"/>
      <c r="FH44" s="267"/>
      <c r="FI44" s="267"/>
      <c r="FJ44" s="267"/>
      <c r="FK44" s="267"/>
      <c r="FL44" s="267"/>
      <c r="FM44" s="267"/>
      <c r="FN44" s="267"/>
      <c r="FO44" s="267"/>
      <c r="FP44" s="267"/>
      <c r="FQ44" s="267"/>
      <c r="FR44" s="267"/>
      <c r="FS44" s="267"/>
      <c r="FT44" s="267"/>
      <c r="FU44" s="267"/>
      <c r="FV44" s="267"/>
      <c r="FW44" s="267"/>
      <c r="FX44" s="267"/>
      <c r="FY44" s="267"/>
      <c r="FZ44" s="267"/>
      <c r="GA44" s="267"/>
      <c r="GB44" s="267"/>
      <c r="GC44" s="267"/>
      <c r="GD44" s="267"/>
      <c r="GE44" s="267"/>
      <c r="GF44" s="267"/>
      <c r="GG44" s="267"/>
      <c r="GH44" s="267"/>
      <c r="GI44" s="267"/>
      <c r="GJ44" s="267"/>
      <c r="GK44" s="267"/>
      <c r="GL44" s="267"/>
      <c r="GM44" s="267"/>
      <c r="GN44" s="267"/>
      <c r="GO44" s="267"/>
      <c r="GP44" s="267"/>
      <c r="GQ44" s="267"/>
      <c r="GR44" s="267"/>
      <c r="GS44" s="267"/>
      <c r="GT44" s="267"/>
      <c r="GU44" s="267"/>
      <c r="GV44" s="267"/>
      <c r="GW44" s="267"/>
      <c r="GX44" s="267"/>
      <c r="GY44" s="267"/>
      <c r="GZ44" s="267"/>
      <c r="HA44" s="267"/>
      <c r="HB44" s="267"/>
      <c r="HC44" s="267"/>
      <c r="HD44" s="267"/>
      <c r="HE44" s="267"/>
      <c r="HF44" s="267"/>
      <c r="HG44" s="267"/>
      <c r="HH44" s="267"/>
      <c r="HI44" s="267"/>
      <c r="HJ44" s="267"/>
      <c r="HK44" s="267"/>
      <c r="HL44" s="267"/>
      <c r="HM44" s="267"/>
      <c r="HN44" s="267"/>
      <c r="HO44" s="267"/>
      <c r="HP44" s="267"/>
      <c r="HQ44" s="267"/>
      <c r="HR44" s="267"/>
      <c r="HS44" s="267"/>
      <c r="HT44" s="267"/>
      <c r="HU44" s="267"/>
      <c r="HV44" s="267"/>
      <c r="HW44" s="267"/>
      <c r="HX44" s="267"/>
      <c r="HY44" s="267"/>
      <c r="HZ44" s="267"/>
      <c r="IA44" s="267"/>
      <c r="IB44" s="267"/>
      <c r="IC44" s="267"/>
      <c r="ID44" s="267"/>
      <c r="IE44" s="267"/>
      <c r="IF44" s="267"/>
      <c r="IG44" s="267"/>
      <c r="IH44" s="267"/>
      <c r="II44" s="267"/>
      <c r="IJ44" s="267"/>
      <c r="IK44" s="267"/>
      <c r="IL44" s="267"/>
      <c r="IM44" s="267"/>
      <c r="IN44" s="267"/>
      <c r="IO44" s="267"/>
      <c r="IP44" s="267"/>
      <c r="IQ44" s="267"/>
      <c r="IR44" s="267"/>
      <c r="IS44" s="267"/>
      <c r="IT44" s="267"/>
      <c r="IU44" s="267"/>
    </row>
    <row r="45" spans="1:255">
      <c r="A45" s="195"/>
      <c r="C45" s="197"/>
      <c r="D45" s="200"/>
      <c r="E45" s="338"/>
      <c r="F45" s="339"/>
      <c r="G45" s="339"/>
      <c r="H45" s="339"/>
      <c r="I45" s="210"/>
      <c r="J45" s="340"/>
      <c r="K45" s="340"/>
      <c r="L45" s="210"/>
      <c r="S45" s="341"/>
      <c r="T45" s="341"/>
      <c r="U45" s="341"/>
      <c r="V45" s="341"/>
      <c r="W45" s="342"/>
      <c r="X45" s="342"/>
      <c r="Y45" s="342"/>
      <c r="Z45" s="342"/>
      <c r="AA45" s="342"/>
      <c r="AB45" s="342"/>
      <c r="AC45" s="342"/>
      <c r="AD45" s="342"/>
      <c r="AE45" s="342"/>
      <c r="AP45" s="205"/>
      <c r="AQ45" s="205"/>
      <c r="AR45" s="205"/>
      <c r="AS45" s="205"/>
      <c r="AT45" s="205"/>
      <c r="AU45" s="205"/>
      <c r="AV45" s="205"/>
      <c r="AW45" s="205"/>
      <c r="AX45" s="205"/>
      <c r="AY45" s="205"/>
      <c r="AZ45" s="205"/>
      <c r="BA45" s="205"/>
      <c r="BB45" s="205"/>
    </row>
    <row r="46" spans="1:255" ht="15.75">
      <c r="B46" s="300" t="s">
        <v>329</v>
      </c>
      <c r="C46" s="343"/>
      <c r="D46" s="344"/>
      <c r="E46" s="194"/>
      <c r="F46" s="344"/>
      <c r="G46" s="344"/>
      <c r="H46" s="344"/>
      <c r="I46" s="343"/>
      <c r="J46" s="340"/>
      <c r="K46" s="1002"/>
      <c r="L46" s="1003"/>
      <c r="M46" s="999"/>
      <c r="N46" s="999"/>
      <c r="O46" s="999"/>
      <c r="P46" s="999"/>
      <c r="Q46" s="999"/>
      <c r="R46" s="999"/>
      <c r="S46" s="1004"/>
      <c r="T46" s="1004"/>
      <c r="U46" s="716"/>
      <c r="V46" s="716"/>
      <c r="W46" s="1005"/>
      <c r="X46" s="1005"/>
      <c r="Y46" s="1005"/>
      <c r="Z46" s="1005"/>
      <c r="AA46" s="1005"/>
      <c r="AB46" s="1005"/>
      <c r="AC46" s="1005"/>
      <c r="AD46" s="1005"/>
      <c r="AE46" s="1005"/>
      <c r="AF46" s="1005"/>
      <c r="AG46" s="1005"/>
      <c r="AH46" s="1009"/>
      <c r="AI46" s="1009"/>
      <c r="AJ46" s="1009"/>
      <c r="AK46" s="1009"/>
      <c r="AL46" s="1009"/>
      <c r="AM46" s="1009"/>
      <c r="AN46" s="1009"/>
      <c r="AO46" s="1009"/>
      <c r="AP46" s="1009"/>
      <c r="AQ46" s="1009"/>
      <c r="AR46" s="1009"/>
      <c r="AS46" s="1009"/>
      <c r="AT46" s="1009"/>
      <c r="AU46" s="1009"/>
      <c r="AV46" s="1009"/>
      <c r="AW46" s="1009"/>
      <c r="AX46" s="1009"/>
      <c r="AY46" s="1009"/>
      <c r="AZ46" s="1009"/>
      <c r="BA46" s="1009"/>
      <c r="BB46" s="1009"/>
      <c r="BC46" s="1009"/>
      <c r="BD46" s="1009"/>
      <c r="BE46" s="1009"/>
      <c r="BF46" s="1009"/>
      <c r="BG46" s="1009"/>
    </row>
    <row r="47" spans="1:255" ht="15.75">
      <c r="B47" s="300"/>
      <c r="C47" s="343"/>
      <c r="D47" s="344"/>
      <c r="E47" s="194"/>
      <c r="F47" s="344"/>
      <c r="G47" s="344"/>
      <c r="H47" s="344"/>
      <c r="J47" s="340"/>
      <c r="K47" s="1002"/>
      <c r="L47" s="1003"/>
      <c r="M47" s="999"/>
      <c r="N47" s="999"/>
      <c r="O47" s="999"/>
      <c r="P47" s="999"/>
      <c r="Q47" s="999"/>
      <c r="R47" s="999"/>
      <c r="S47" s="1004"/>
      <c r="T47" s="1004"/>
      <c r="U47" s="1006"/>
      <c r="V47" s="1006"/>
      <c r="W47" s="1007"/>
      <c r="X47" s="1007"/>
      <c r="Y47" s="1007"/>
      <c r="Z47" s="1007"/>
      <c r="AA47" s="1007"/>
      <c r="AB47" s="1007"/>
      <c r="AC47" s="1007"/>
      <c r="AD47" s="1007"/>
      <c r="AE47" s="1007"/>
      <c r="AF47" s="1007"/>
      <c r="AG47" s="1007"/>
      <c r="AH47" s="1009"/>
      <c r="AI47" s="1009"/>
      <c r="AJ47" s="1009"/>
      <c r="AK47" s="1009"/>
      <c r="AL47" s="1009"/>
      <c r="AM47" s="1009"/>
      <c r="AN47" s="1009"/>
      <c r="AO47" s="1009"/>
      <c r="AP47" s="1009"/>
      <c r="AQ47" s="1009"/>
      <c r="AR47" s="1009"/>
      <c r="AS47" s="1009"/>
      <c r="AT47" s="1009"/>
      <c r="AU47" s="1009"/>
      <c r="AV47" s="1009"/>
      <c r="AW47" s="1009"/>
      <c r="AX47" s="1009"/>
      <c r="AY47" s="1009"/>
      <c r="AZ47" s="1009"/>
      <c r="BA47" s="1009"/>
      <c r="BB47" s="1009"/>
      <c r="BC47" s="1009"/>
      <c r="BD47" s="1009"/>
      <c r="BE47" s="1009"/>
      <c r="BF47" s="1009"/>
      <c r="BG47" s="1009"/>
    </row>
    <row r="48" spans="1:255" ht="15">
      <c r="B48" s="345" t="s">
        <v>330</v>
      </c>
      <c r="C48" s="343"/>
      <c r="D48" s="344"/>
      <c r="E48" s="194"/>
      <c r="F48" s="344"/>
      <c r="G48" s="344"/>
      <c r="H48" s="344"/>
      <c r="J48" s="340"/>
      <c r="K48" s="1002"/>
      <c r="L48" s="1003"/>
      <c r="M48" s="999"/>
      <c r="N48" s="999"/>
      <c r="O48" s="999"/>
      <c r="P48" s="999"/>
      <c r="Q48" s="999"/>
      <c r="R48" s="999"/>
      <c r="S48" s="1004"/>
      <c r="T48" s="1004"/>
      <c r="U48" s="1008"/>
      <c r="V48" s="1008"/>
      <c r="W48" s="1007"/>
      <c r="X48" s="1007"/>
      <c r="Y48" s="1007"/>
      <c r="Z48" s="1007"/>
      <c r="AA48" s="1007"/>
      <c r="AB48" s="1007"/>
      <c r="AC48" s="1007"/>
      <c r="AD48" s="1007"/>
      <c r="AE48" s="1007"/>
      <c r="AF48" s="1007"/>
      <c r="AG48" s="1007"/>
      <c r="AH48" s="1009"/>
      <c r="AI48" s="1009"/>
      <c r="AJ48" s="1009"/>
      <c r="AK48" s="1009"/>
      <c r="AL48" s="1009"/>
      <c r="AM48" s="1009"/>
      <c r="AN48" s="1009"/>
      <c r="AO48" s="1009"/>
      <c r="AP48" s="1009"/>
      <c r="AQ48" s="1009"/>
      <c r="AR48" s="1009"/>
      <c r="AS48" s="1009"/>
      <c r="AT48" s="1009"/>
      <c r="AU48" s="1009"/>
      <c r="AV48" s="1009"/>
      <c r="AW48" s="1009"/>
      <c r="AX48" s="1009"/>
      <c r="AY48" s="1009"/>
      <c r="AZ48" s="1009"/>
      <c r="BA48" s="1009"/>
      <c r="BB48" s="1009"/>
      <c r="BC48" s="1009"/>
      <c r="BD48" s="1009"/>
      <c r="BE48" s="1009"/>
      <c r="BF48" s="1009"/>
      <c r="BG48" s="1009"/>
    </row>
    <row r="49" spans="1:255" ht="15">
      <c r="B49" s="345" t="s">
        <v>331</v>
      </c>
      <c r="C49" s="343"/>
      <c r="D49" s="344"/>
      <c r="E49" s="194"/>
      <c r="F49" s="344"/>
      <c r="G49" s="344"/>
      <c r="H49" s="344"/>
      <c r="J49" s="340"/>
      <c r="K49" s="1002"/>
      <c r="L49" s="1003"/>
      <c r="M49" s="999"/>
      <c r="N49" s="999"/>
      <c r="O49" s="999"/>
      <c r="P49" s="999"/>
      <c r="Q49" s="999"/>
      <c r="R49" s="999"/>
      <c r="S49" s="1004"/>
      <c r="T49" s="1004"/>
      <c r="U49" s="960"/>
      <c r="V49" s="960"/>
      <c r="W49" s="1007"/>
      <c r="X49" s="1007"/>
      <c r="Y49" s="1007"/>
      <c r="Z49" s="1007"/>
      <c r="AA49" s="1007"/>
      <c r="AB49" s="1007"/>
      <c r="AC49" s="1007"/>
      <c r="AD49" s="1007"/>
      <c r="AE49" s="1007"/>
      <c r="AF49" s="1009"/>
      <c r="AG49" s="1009"/>
      <c r="AH49" s="1009"/>
      <c r="AI49" s="1009"/>
      <c r="AJ49" s="1009"/>
      <c r="AK49" s="1009"/>
      <c r="AL49" s="1009"/>
      <c r="AM49" s="1009"/>
      <c r="AN49" s="1009"/>
      <c r="AO49" s="1009"/>
      <c r="AP49" s="1009"/>
      <c r="AQ49" s="1009"/>
      <c r="AR49" s="1009"/>
      <c r="AS49" s="1009"/>
      <c r="AT49" s="1009"/>
      <c r="AU49" s="1009"/>
      <c r="AV49" s="1009"/>
      <c r="AW49" s="1009"/>
      <c r="AX49" s="1009"/>
      <c r="AY49" s="1009"/>
      <c r="AZ49" s="1009"/>
      <c r="BA49" s="1009"/>
      <c r="BB49" s="1009"/>
      <c r="BC49" s="1009"/>
      <c r="BD49" s="1009"/>
      <c r="BE49" s="1009"/>
      <c r="BF49" s="1009"/>
      <c r="BG49" s="1009"/>
    </row>
    <row r="50" spans="1:255" ht="15.75">
      <c r="B50" s="300"/>
      <c r="C50" s="343"/>
      <c r="D50" s="344"/>
      <c r="E50" s="194"/>
      <c r="F50" s="344"/>
      <c r="G50" s="344"/>
      <c r="H50" s="344"/>
      <c r="J50" s="340"/>
      <c r="K50" s="1002"/>
      <c r="L50" s="1003"/>
      <c r="M50" s="999"/>
      <c r="N50" s="999"/>
      <c r="O50" s="999"/>
      <c r="P50" s="999"/>
      <c r="Q50" s="999"/>
      <c r="R50" s="999"/>
      <c r="S50" s="1004"/>
      <c r="T50" s="1004"/>
      <c r="U50" s="1006"/>
      <c r="V50" s="1006"/>
      <c r="W50" s="1007"/>
      <c r="X50" s="1007"/>
      <c r="Y50" s="1007"/>
      <c r="Z50" s="1007"/>
      <c r="AA50" s="1007"/>
      <c r="AB50" s="1007"/>
      <c r="AC50" s="1007"/>
      <c r="AD50" s="1007"/>
      <c r="AE50" s="1007"/>
      <c r="AF50" s="1009"/>
      <c r="AG50" s="1009"/>
      <c r="AH50" s="1009"/>
      <c r="AI50" s="1009"/>
      <c r="AJ50" s="1009"/>
      <c r="AK50" s="1009"/>
      <c r="AL50" s="1009"/>
      <c r="AM50" s="1009"/>
      <c r="AN50" s="1009"/>
      <c r="AO50" s="1009"/>
      <c r="AP50" s="1009"/>
      <c r="AQ50" s="1009"/>
      <c r="AR50" s="1009"/>
      <c r="AS50" s="1009"/>
      <c r="AT50" s="1009"/>
      <c r="AU50" s="1009"/>
      <c r="AV50" s="1009"/>
      <c r="AW50" s="1009"/>
      <c r="AX50" s="1009"/>
      <c r="AY50" s="1009"/>
      <c r="AZ50" s="1009"/>
      <c r="BA50" s="1009"/>
      <c r="BB50" s="1009"/>
      <c r="BC50" s="1009"/>
      <c r="BD50" s="1009"/>
      <c r="BE50" s="1009"/>
      <c r="BF50" s="1009"/>
      <c r="BG50" s="1009"/>
    </row>
    <row r="51" spans="1:255" ht="15">
      <c r="B51" s="345" t="s">
        <v>330</v>
      </c>
      <c r="C51" s="343"/>
      <c r="D51" s="344"/>
      <c r="E51" s="194"/>
      <c r="F51" s="344"/>
      <c r="G51" s="344"/>
      <c r="H51" s="344"/>
      <c r="J51" s="340"/>
      <c r="K51" s="1002"/>
      <c r="L51" s="1003"/>
      <c r="M51" s="999"/>
      <c r="N51" s="999"/>
      <c r="O51" s="999"/>
      <c r="P51" s="999"/>
      <c r="Q51" s="999"/>
      <c r="R51" s="999"/>
      <c r="S51" s="1004"/>
      <c r="T51" s="1004"/>
      <c r="U51" s="1008"/>
      <c r="V51" s="1008"/>
      <c r="W51" s="1007"/>
      <c r="X51" s="1007"/>
      <c r="Y51" s="1007"/>
      <c r="Z51" s="1007"/>
      <c r="AA51" s="1007"/>
      <c r="AB51" s="1007"/>
      <c r="AC51" s="1007"/>
      <c r="AD51" s="1007"/>
      <c r="AE51" s="1007"/>
      <c r="AF51" s="1009"/>
      <c r="AG51" s="1009"/>
      <c r="AH51" s="1009"/>
      <c r="AI51" s="1009"/>
      <c r="AJ51" s="1009"/>
      <c r="AK51" s="1009"/>
      <c r="AL51" s="1009"/>
      <c r="AM51" s="1009"/>
      <c r="AN51" s="1009"/>
      <c r="AO51" s="1009"/>
      <c r="AP51" s="1009"/>
      <c r="AQ51" s="1009"/>
      <c r="AR51" s="1009"/>
      <c r="AS51" s="1009"/>
      <c r="AT51" s="1009"/>
      <c r="AU51" s="1009"/>
      <c r="AV51" s="1009"/>
      <c r="AW51" s="1009"/>
      <c r="AX51" s="1009"/>
      <c r="AY51" s="1009"/>
      <c r="AZ51" s="1009"/>
      <c r="BA51" s="1009"/>
      <c r="BB51" s="1009"/>
      <c r="BC51" s="1009"/>
      <c r="BD51" s="1009"/>
      <c r="BE51" s="1009"/>
      <c r="BF51" s="1009"/>
      <c r="BG51" s="1009"/>
    </row>
    <row r="52" spans="1:255" ht="15">
      <c r="B52" s="345" t="s">
        <v>332</v>
      </c>
      <c r="C52" s="343"/>
      <c r="D52" s="344"/>
      <c r="E52" s="194"/>
      <c r="F52" s="344"/>
      <c r="G52" s="344"/>
      <c r="H52" s="344"/>
      <c r="J52" s="340"/>
      <c r="K52" s="1002"/>
      <c r="L52" s="1003"/>
      <c r="M52" s="999"/>
      <c r="N52" s="999"/>
      <c r="O52" s="999"/>
      <c r="P52" s="999"/>
      <c r="Q52" s="999"/>
      <c r="R52" s="999"/>
      <c r="S52" s="1004"/>
      <c r="T52" s="1004"/>
      <c r="U52" s="960"/>
      <c r="V52" s="960"/>
      <c r="W52" s="1007"/>
      <c r="X52" s="1007"/>
      <c r="Y52" s="1007"/>
      <c r="Z52" s="1007"/>
      <c r="AA52" s="1007"/>
      <c r="AB52" s="1007"/>
      <c r="AC52" s="1007"/>
      <c r="AD52" s="1007"/>
      <c r="AE52" s="1007"/>
      <c r="AF52" s="1009"/>
      <c r="AG52" s="1009"/>
      <c r="AH52" s="1009"/>
      <c r="AI52" s="1009"/>
      <c r="AJ52" s="1009"/>
      <c r="AK52" s="1009"/>
      <c r="AL52" s="1009"/>
      <c r="AM52" s="1009"/>
      <c r="AN52" s="1009"/>
      <c r="AO52" s="1009"/>
      <c r="AP52" s="1009"/>
      <c r="AQ52" s="1009"/>
      <c r="AR52" s="1009"/>
      <c r="AS52" s="1009"/>
      <c r="AT52" s="1009"/>
      <c r="AU52" s="1009"/>
      <c r="AV52" s="1009"/>
      <c r="AW52" s="1009"/>
      <c r="AX52" s="1009"/>
      <c r="AY52" s="1009"/>
      <c r="AZ52" s="1009"/>
      <c r="BA52" s="1009"/>
      <c r="BB52" s="1009"/>
      <c r="BC52" s="1009"/>
      <c r="BD52" s="1009"/>
      <c r="BE52" s="1009"/>
      <c r="BF52" s="1009"/>
      <c r="BG52" s="1009"/>
    </row>
    <row r="53" spans="1:255" ht="15">
      <c r="B53" s="346"/>
      <c r="C53" s="343"/>
      <c r="D53" s="344"/>
      <c r="E53" s="194"/>
      <c r="F53" s="344"/>
      <c r="G53" s="344"/>
      <c r="H53" s="344"/>
      <c r="J53" s="340"/>
      <c r="K53" s="1002"/>
      <c r="L53" s="1003"/>
      <c r="M53" s="999"/>
      <c r="N53" s="999"/>
      <c r="O53" s="999"/>
      <c r="P53" s="999"/>
      <c r="Q53" s="999"/>
      <c r="R53" s="999"/>
      <c r="S53" s="1004"/>
      <c r="T53" s="1004"/>
      <c r="U53" s="1008"/>
      <c r="V53" s="1008"/>
      <c r="W53" s="1007"/>
      <c r="X53" s="1007"/>
      <c r="Y53" s="1007"/>
      <c r="Z53" s="1007"/>
      <c r="AA53" s="1007"/>
      <c r="AB53" s="1007"/>
      <c r="AC53" s="1007"/>
      <c r="AD53" s="1007"/>
      <c r="AE53" s="1007"/>
      <c r="AF53" s="1009"/>
      <c r="AG53" s="1009"/>
      <c r="AH53" s="1009"/>
      <c r="AI53" s="1009"/>
      <c r="AJ53" s="1009"/>
      <c r="AK53" s="1009"/>
      <c r="AL53" s="1009"/>
      <c r="AM53" s="1009"/>
      <c r="AN53" s="1009"/>
      <c r="AO53" s="1009"/>
      <c r="AP53" s="1009"/>
      <c r="AQ53" s="1009"/>
      <c r="AR53" s="1009"/>
      <c r="AS53" s="1009"/>
      <c r="AT53" s="1009"/>
      <c r="AU53" s="1009"/>
      <c r="AV53" s="1009"/>
      <c r="AW53" s="1009"/>
      <c r="AX53" s="1009"/>
      <c r="AY53" s="1009"/>
      <c r="AZ53" s="1009"/>
      <c r="BA53" s="1009"/>
      <c r="BB53" s="1009"/>
      <c r="BC53" s="1009"/>
      <c r="BD53" s="1009"/>
      <c r="BE53" s="1009"/>
      <c r="BF53" s="1009"/>
      <c r="BG53" s="1009"/>
    </row>
    <row r="54" spans="1:255" ht="15">
      <c r="B54" s="345" t="s">
        <v>333</v>
      </c>
      <c r="C54" s="343"/>
      <c r="D54" s="344"/>
      <c r="E54" s="194"/>
      <c r="F54" s="194"/>
      <c r="G54" s="194"/>
      <c r="H54" s="194"/>
      <c r="J54" s="210"/>
      <c r="K54" s="1003"/>
      <c r="L54" s="1003"/>
      <c r="M54" s="999"/>
      <c r="N54" s="999"/>
      <c r="O54" s="999"/>
      <c r="P54" s="999"/>
      <c r="Q54" s="999"/>
      <c r="R54" s="999"/>
      <c r="S54" s="1004"/>
      <c r="T54" s="1004"/>
      <c r="U54" s="960"/>
      <c r="V54" s="960"/>
      <c r="W54" s="1007"/>
      <c r="X54" s="1007"/>
      <c r="Y54" s="1007"/>
      <c r="Z54" s="1007"/>
      <c r="AA54" s="1007"/>
      <c r="AB54" s="1007"/>
      <c r="AC54" s="1007"/>
      <c r="AD54" s="1007"/>
      <c r="AE54" s="1007"/>
      <c r="AF54" s="1009"/>
      <c r="AG54" s="1009"/>
      <c r="AH54" s="1009"/>
      <c r="AI54" s="1009"/>
      <c r="AJ54" s="1009"/>
      <c r="AK54" s="1009"/>
      <c r="AL54" s="1009"/>
      <c r="AM54" s="1009"/>
      <c r="AN54" s="1009"/>
      <c r="AO54" s="1009"/>
      <c r="AP54" s="1009"/>
      <c r="AQ54" s="1009"/>
      <c r="AR54" s="1009"/>
      <c r="AS54" s="1009"/>
      <c r="AT54" s="1009"/>
      <c r="AU54" s="1009"/>
      <c r="AV54" s="1009"/>
      <c r="AW54" s="1009"/>
      <c r="AX54" s="1009"/>
      <c r="AY54" s="1009"/>
      <c r="AZ54" s="1009"/>
      <c r="BA54" s="1009"/>
      <c r="BB54" s="1009"/>
      <c r="BC54" s="1009"/>
      <c r="BD54" s="1009"/>
      <c r="BE54" s="1009"/>
      <c r="BF54" s="1009"/>
      <c r="BG54" s="1009"/>
    </row>
    <row r="55" spans="1:255">
      <c r="C55" s="196"/>
      <c r="E55" s="196"/>
      <c r="F55" s="196"/>
      <c r="G55" s="196"/>
      <c r="H55" s="196"/>
    </row>
    <row r="58" spans="1:255" ht="15.75">
      <c r="B58" s="998" t="s">
        <v>269</v>
      </c>
      <c r="C58" s="542"/>
      <c r="D58" s="542"/>
      <c r="E58" s="542"/>
      <c r="F58" s="542"/>
      <c r="G58" s="542"/>
      <c r="H58" s="542"/>
      <c r="I58" s="542"/>
      <c r="J58" s="542"/>
      <c r="K58" s="542"/>
      <c r="L58" s="542"/>
      <c r="M58" s="542"/>
      <c r="N58" s="542"/>
      <c r="O58" s="542"/>
      <c r="P58" s="542"/>
      <c r="Q58" s="542"/>
      <c r="R58" s="542"/>
      <c r="S58" s="542"/>
      <c r="T58" s="542"/>
      <c r="U58" s="542"/>
      <c r="V58" s="542"/>
      <c r="W58" s="542"/>
      <c r="X58" s="542"/>
      <c r="Y58" s="542"/>
      <c r="Z58" s="542"/>
      <c r="AA58" s="542"/>
      <c r="AB58" s="542"/>
      <c r="AC58" s="542"/>
      <c r="AD58" s="542"/>
      <c r="AE58" s="542"/>
      <c r="AF58" s="542"/>
      <c r="AG58" s="542"/>
      <c r="AH58" s="542"/>
      <c r="AI58" s="542"/>
      <c r="AJ58" s="542"/>
      <c r="AK58" s="542"/>
      <c r="AL58" s="542"/>
      <c r="AM58" s="542"/>
      <c r="AN58" s="542"/>
      <c r="AO58" s="542"/>
      <c r="AP58" s="542"/>
      <c r="AQ58" s="542"/>
      <c r="AR58" s="542"/>
      <c r="AS58" s="542"/>
      <c r="AT58" s="542"/>
      <c r="AU58" s="542"/>
      <c r="AV58" s="542"/>
      <c r="AW58" s="542"/>
      <c r="AX58" s="542"/>
      <c r="AY58" s="542"/>
      <c r="AZ58" s="542"/>
      <c r="BA58" s="542"/>
      <c r="BB58" s="542"/>
      <c r="BC58" s="542"/>
      <c r="BD58" s="264"/>
      <c r="BE58" s="264"/>
      <c r="BF58" s="264"/>
      <c r="BG58" s="264"/>
      <c r="BH58" s="264"/>
      <c r="BI58" s="264"/>
      <c r="BJ58" s="264"/>
      <c r="BK58" s="264"/>
    </row>
    <row r="59" spans="1:255">
      <c r="A59" s="196" t="s">
        <v>271</v>
      </c>
      <c r="B59" s="200"/>
      <c r="C59" s="196"/>
      <c r="E59" s="201">
        <v>1.08</v>
      </c>
      <c r="F59" s="197"/>
      <c r="G59" s="197"/>
      <c r="H59" s="197"/>
    </row>
    <row r="60" spans="1:255">
      <c r="A60" s="999" t="s">
        <v>334</v>
      </c>
      <c r="B60" s="198"/>
      <c r="C60" s="999" t="s">
        <v>274</v>
      </c>
      <c r="D60" s="200"/>
      <c r="E60" s="197"/>
      <c r="F60" s="197"/>
      <c r="G60" s="197"/>
      <c r="H60" s="197"/>
      <c r="AF60" s="3879" t="s">
        <v>276</v>
      </c>
      <c r="AG60" s="3879"/>
      <c r="AI60" s="202"/>
      <c r="AJ60" s="202"/>
      <c r="AK60" s="202"/>
      <c r="AL60" s="202"/>
      <c r="AM60" s="202"/>
      <c r="AN60" s="202"/>
      <c r="AO60" s="202"/>
      <c r="BD60" s="3879" t="s">
        <v>276</v>
      </c>
      <c r="BE60" s="3879"/>
      <c r="BG60" s="3879"/>
      <c r="BH60" s="3879"/>
    </row>
    <row r="61" spans="1:255" ht="12.75" customHeight="1">
      <c r="A61" s="3894" t="s">
        <v>34</v>
      </c>
      <c r="B61" s="3894" t="s">
        <v>277</v>
      </c>
      <c r="C61" s="3894" t="s">
        <v>278</v>
      </c>
      <c r="D61" s="3894" t="s">
        <v>279</v>
      </c>
      <c r="E61" s="3882" t="s">
        <v>280</v>
      </c>
      <c r="F61" s="3895"/>
      <c r="G61" s="3895"/>
      <c r="H61" s="3895"/>
      <c r="I61" s="3899" t="s">
        <v>281</v>
      </c>
      <c r="J61" s="3900"/>
      <c r="K61" s="3900"/>
      <c r="L61" s="3900"/>
      <c r="M61" s="3901"/>
      <c r="N61" s="3899" t="s">
        <v>282</v>
      </c>
      <c r="O61" s="3900"/>
      <c r="P61" s="3900"/>
      <c r="Q61" s="3900"/>
      <c r="R61" s="3901"/>
      <c r="S61" s="3886" t="s">
        <v>283</v>
      </c>
      <c r="T61" s="3908"/>
      <c r="U61" s="3908"/>
      <c r="V61" s="3908"/>
      <c r="W61" s="3909"/>
      <c r="X61" s="3886" t="s">
        <v>284</v>
      </c>
      <c r="Y61" s="3908"/>
      <c r="Z61" s="3908"/>
      <c r="AA61" s="3908"/>
      <c r="AB61" s="3909"/>
      <c r="AC61" s="3886" t="s">
        <v>285</v>
      </c>
      <c r="AD61" s="3886" t="s">
        <v>286</v>
      </c>
      <c r="AE61" s="3886" t="s">
        <v>287</v>
      </c>
      <c r="AF61" s="3889" t="s">
        <v>288</v>
      </c>
      <c r="AG61" s="3890"/>
      <c r="AH61" s="3890"/>
      <c r="AI61" s="3890"/>
      <c r="AJ61" s="3890"/>
      <c r="AK61" s="3890"/>
      <c r="AL61" s="3890"/>
      <c r="AM61" s="3890"/>
      <c r="AN61" s="3890"/>
      <c r="AO61" s="3891"/>
      <c r="AP61" s="3877" t="s">
        <v>289</v>
      </c>
      <c r="AQ61" s="3892" t="s">
        <v>290</v>
      </c>
      <c r="AR61" s="3893"/>
      <c r="AS61" s="3893"/>
      <c r="AT61" s="3893"/>
      <c r="AU61" s="3893"/>
      <c r="AV61" s="3893"/>
      <c r="AW61" s="3893"/>
      <c r="AX61" s="3893"/>
      <c r="AY61" s="3877" t="s">
        <v>289</v>
      </c>
      <c r="AZ61" s="3877" t="s">
        <v>291</v>
      </c>
      <c r="BA61" s="3877" t="s">
        <v>292</v>
      </c>
      <c r="BB61" s="3877" t="s">
        <v>293</v>
      </c>
      <c r="BC61" s="3877" t="s">
        <v>294</v>
      </c>
      <c r="BD61" s="3877" t="s">
        <v>295</v>
      </c>
      <c r="BE61" s="3877" t="s">
        <v>296</v>
      </c>
      <c r="BF61" s="3877" t="s">
        <v>297</v>
      </c>
      <c r="BG61" s="3877" t="s">
        <v>298</v>
      </c>
      <c r="BH61" s="3877" t="s">
        <v>299</v>
      </c>
      <c r="BI61" s="3877" t="s">
        <v>300</v>
      </c>
      <c r="BJ61" s="3881" t="s">
        <v>335</v>
      </c>
      <c r="BK61" s="3881" t="s">
        <v>336</v>
      </c>
      <c r="BL61" s="3881" t="s">
        <v>303</v>
      </c>
      <c r="BM61" s="3874" t="s">
        <v>304</v>
      </c>
      <c r="BN61" s="3875"/>
      <c r="BO61" s="3875"/>
      <c r="BP61" s="3876"/>
      <c r="BQ61" s="3874" t="s">
        <v>305</v>
      </c>
      <c r="BR61" s="3875"/>
      <c r="BS61" s="3875"/>
      <c r="BT61" s="3876"/>
      <c r="BU61" s="3874" t="s">
        <v>306</v>
      </c>
      <c r="BV61" s="3875"/>
      <c r="BW61" s="3875"/>
      <c r="BX61" s="3876"/>
    </row>
    <row r="62" spans="1:255" ht="15" customHeight="1">
      <c r="A62" s="3894"/>
      <c r="B62" s="3894"/>
      <c r="C62" s="3894"/>
      <c r="D62" s="3894"/>
      <c r="E62" s="3896"/>
      <c r="F62" s="3897"/>
      <c r="G62" s="3897"/>
      <c r="H62" s="3897"/>
      <c r="I62" s="3902"/>
      <c r="J62" s="3903"/>
      <c r="K62" s="3903"/>
      <c r="L62" s="3903"/>
      <c r="M62" s="3904"/>
      <c r="N62" s="3902"/>
      <c r="O62" s="3903"/>
      <c r="P62" s="3903"/>
      <c r="Q62" s="3903"/>
      <c r="R62" s="3904"/>
      <c r="S62" s="3887"/>
      <c r="T62" s="3910"/>
      <c r="U62" s="3910"/>
      <c r="V62" s="3910"/>
      <c r="W62" s="3911"/>
      <c r="X62" s="3887"/>
      <c r="Y62" s="3910"/>
      <c r="Z62" s="3910"/>
      <c r="AA62" s="3910"/>
      <c r="AB62" s="3911"/>
      <c r="AC62" s="3887"/>
      <c r="AD62" s="3887"/>
      <c r="AE62" s="3887"/>
      <c r="AF62" s="3877" t="s">
        <v>307</v>
      </c>
      <c r="AG62" s="3877" t="s">
        <v>308</v>
      </c>
      <c r="AH62" s="3882" t="s">
        <v>309</v>
      </c>
      <c r="AI62" s="3883"/>
      <c r="AJ62" s="3882" t="s">
        <v>310</v>
      </c>
      <c r="AK62" s="3883"/>
      <c r="AL62" s="3882" t="s">
        <v>311</v>
      </c>
      <c r="AM62" s="3883"/>
      <c r="AN62" s="3882" t="s">
        <v>312</v>
      </c>
      <c r="AO62" s="3883"/>
      <c r="AP62" s="3880"/>
      <c r="AQ62" s="3877" t="s">
        <v>307</v>
      </c>
      <c r="AR62" s="3877" t="s">
        <v>308</v>
      </c>
      <c r="AS62" s="3882" t="s">
        <v>309</v>
      </c>
      <c r="AT62" s="3883"/>
      <c r="AU62" s="3882" t="s">
        <v>310</v>
      </c>
      <c r="AV62" s="3883"/>
      <c r="AW62" s="3882" t="s">
        <v>311</v>
      </c>
      <c r="AX62" s="3883"/>
      <c r="AY62" s="3880"/>
      <c r="AZ62" s="3880"/>
      <c r="BA62" s="3880"/>
      <c r="BB62" s="3880"/>
      <c r="BC62" s="3880"/>
      <c r="BD62" s="3880"/>
      <c r="BE62" s="3880"/>
      <c r="BF62" s="3880"/>
      <c r="BG62" s="3880"/>
      <c r="BH62" s="3880"/>
      <c r="BI62" s="3880"/>
      <c r="BJ62" s="3880"/>
      <c r="BK62" s="3880"/>
      <c r="BL62" s="3880"/>
      <c r="BM62" s="3871" t="s">
        <v>313</v>
      </c>
      <c r="BN62" s="3871" t="s">
        <v>314</v>
      </c>
      <c r="BO62" s="3871" t="s">
        <v>116</v>
      </c>
      <c r="BP62" s="3871" t="s">
        <v>315</v>
      </c>
      <c r="BQ62" s="3871" t="s">
        <v>313</v>
      </c>
      <c r="BR62" s="3871" t="s">
        <v>314</v>
      </c>
      <c r="BS62" s="3871" t="s">
        <v>116</v>
      </c>
      <c r="BT62" s="3871" t="s">
        <v>315</v>
      </c>
      <c r="BU62" s="3871" t="s">
        <v>313</v>
      </c>
      <c r="BV62" s="3871" t="s">
        <v>314</v>
      </c>
      <c r="BW62" s="3871" t="s">
        <v>116</v>
      </c>
      <c r="BX62" s="3871" t="s">
        <v>315</v>
      </c>
    </row>
    <row r="63" spans="1:255" ht="51" customHeight="1">
      <c r="A63" s="3894"/>
      <c r="B63" s="3894"/>
      <c r="C63" s="3894"/>
      <c r="D63" s="3894"/>
      <c r="E63" s="3884"/>
      <c r="F63" s="3898"/>
      <c r="G63" s="3898"/>
      <c r="H63" s="3898"/>
      <c r="I63" s="3905"/>
      <c r="J63" s="3906"/>
      <c r="K63" s="3906"/>
      <c r="L63" s="3906"/>
      <c r="M63" s="3907"/>
      <c r="N63" s="3905"/>
      <c r="O63" s="3906"/>
      <c r="P63" s="3906"/>
      <c r="Q63" s="3906"/>
      <c r="R63" s="3907"/>
      <c r="S63" s="3888"/>
      <c r="T63" s="3912"/>
      <c r="U63" s="3912"/>
      <c r="V63" s="3912"/>
      <c r="W63" s="3913"/>
      <c r="X63" s="3888"/>
      <c r="Y63" s="3912"/>
      <c r="Z63" s="3912"/>
      <c r="AA63" s="3912"/>
      <c r="AB63" s="3913"/>
      <c r="AC63" s="3887"/>
      <c r="AD63" s="3887"/>
      <c r="AE63" s="3887"/>
      <c r="AF63" s="3878"/>
      <c r="AG63" s="3878"/>
      <c r="AH63" s="3884"/>
      <c r="AI63" s="3885"/>
      <c r="AJ63" s="3884"/>
      <c r="AK63" s="3885"/>
      <c r="AL63" s="3884"/>
      <c r="AM63" s="3885"/>
      <c r="AN63" s="3884"/>
      <c r="AO63" s="3885"/>
      <c r="AP63" s="3878"/>
      <c r="AQ63" s="3878"/>
      <c r="AR63" s="3878"/>
      <c r="AS63" s="3884"/>
      <c r="AT63" s="3885"/>
      <c r="AU63" s="3884"/>
      <c r="AV63" s="3885"/>
      <c r="AW63" s="3884"/>
      <c r="AX63" s="3885"/>
      <c r="AY63" s="3878"/>
      <c r="AZ63" s="3878"/>
      <c r="BA63" s="3880"/>
      <c r="BB63" s="3880"/>
      <c r="BC63" s="3880"/>
      <c r="BD63" s="3880"/>
      <c r="BE63" s="3880"/>
      <c r="BF63" s="3880"/>
      <c r="BG63" s="3880"/>
      <c r="BH63" s="3880"/>
      <c r="BI63" s="3880"/>
      <c r="BJ63" s="3880"/>
      <c r="BK63" s="3880"/>
      <c r="BL63" s="3880"/>
      <c r="BM63" s="3872"/>
      <c r="BN63" s="3872"/>
      <c r="BO63" s="3872"/>
      <c r="BP63" s="3872"/>
      <c r="BQ63" s="3872"/>
      <c r="BR63" s="3872"/>
      <c r="BS63" s="3872"/>
      <c r="BT63" s="3872"/>
      <c r="BU63" s="3872"/>
      <c r="BV63" s="3872"/>
      <c r="BW63" s="3872"/>
      <c r="BX63" s="3872"/>
    </row>
    <row r="64" spans="1:255" ht="51.75" customHeight="1">
      <c r="A64" s="3894"/>
      <c r="B64" s="3894"/>
      <c r="C64" s="3894"/>
      <c r="D64" s="3894"/>
      <c r="E64" s="203" t="s">
        <v>316</v>
      </c>
      <c r="F64" s="203" t="s">
        <v>317</v>
      </c>
      <c r="G64" s="203" t="s">
        <v>318</v>
      </c>
      <c r="H64" s="203" t="s">
        <v>319</v>
      </c>
      <c r="I64" s="330" t="s">
        <v>316</v>
      </c>
      <c r="J64" s="330" t="s">
        <v>317</v>
      </c>
      <c r="K64" s="330" t="s">
        <v>318</v>
      </c>
      <c r="L64" s="330" t="s">
        <v>319</v>
      </c>
      <c r="M64" s="330" t="s">
        <v>20</v>
      </c>
      <c r="N64" s="330" t="s">
        <v>316</v>
      </c>
      <c r="O64" s="330" t="s">
        <v>317</v>
      </c>
      <c r="P64" s="330" t="s">
        <v>318</v>
      </c>
      <c r="Q64" s="330" t="s">
        <v>319</v>
      </c>
      <c r="R64" s="330" t="s">
        <v>20</v>
      </c>
      <c r="S64" s="331" t="s">
        <v>316</v>
      </c>
      <c r="T64" s="331" t="s">
        <v>317</v>
      </c>
      <c r="U64" s="331" t="s">
        <v>318</v>
      </c>
      <c r="V64" s="330" t="s">
        <v>319</v>
      </c>
      <c r="W64" s="331" t="s">
        <v>20</v>
      </c>
      <c r="X64" s="331" t="s">
        <v>316</v>
      </c>
      <c r="Y64" s="331" t="s">
        <v>317</v>
      </c>
      <c r="Z64" s="331" t="s">
        <v>318</v>
      </c>
      <c r="AA64" s="330" t="s">
        <v>319</v>
      </c>
      <c r="AB64" s="331" t="s">
        <v>20</v>
      </c>
      <c r="AC64" s="3888"/>
      <c r="AD64" s="3888"/>
      <c r="AE64" s="3888"/>
      <c r="AF64" s="206" t="s">
        <v>320</v>
      </c>
      <c r="AG64" s="206" t="s">
        <v>320</v>
      </c>
      <c r="AH64" s="206" t="s">
        <v>321</v>
      </c>
      <c r="AI64" s="206" t="s">
        <v>320</v>
      </c>
      <c r="AJ64" s="206" t="s">
        <v>322</v>
      </c>
      <c r="AK64" s="206" t="s">
        <v>320</v>
      </c>
      <c r="AL64" s="206" t="s">
        <v>326</v>
      </c>
      <c r="AM64" s="206" t="s">
        <v>320</v>
      </c>
      <c r="AN64" s="206" t="s">
        <v>324</v>
      </c>
      <c r="AO64" s="206" t="s">
        <v>320</v>
      </c>
      <c r="AP64" s="206" t="s">
        <v>320</v>
      </c>
      <c r="AQ64" s="206" t="s">
        <v>320</v>
      </c>
      <c r="AR64" s="206" t="s">
        <v>320</v>
      </c>
      <c r="AS64" s="206" t="s">
        <v>325</v>
      </c>
      <c r="AT64" s="206" t="s">
        <v>320</v>
      </c>
      <c r="AU64" s="206" t="s">
        <v>322</v>
      </c>
      <c r="AV64" s="206" t="s">
        <v>320</v>
      </c>
      <c r="AW64" s="206" t="s">
        <v>326</v>
      </c>
      <c r="AX64" s="206" t="s">
        <v>320</v>
      </c>
      <c r="AY64" s="206" t="s">
        <v>320</v>
      </c>
      <c r="AZ64" s="206" t="s">
        <v>320</v>
      </c>
      <c r="BA64" s="3878"/>
      <c r="BB64" s="3878"/>
      <c r="BC64" s="3878"/>
      <c r="BD64" s="3878"/>
      <c r="BE64" s="3878"/>
      <c r="BF64" s="3878"/>
      <c r="BG64" s="3878"/>
      <c r="BH64" s="3878"/>
      <c r="BI64" s="3878"/>
      <c r="BJ64" s="3880"/>
      <c r="BK64" s="3880"/>
      <c r="BL64" s="3880"/>
      <c r="BM64" s="3873"/>
      <c r="BN64" s="3873"/>
      <c r="BO64" s="3873"/>
      <c r="BP64" s="3873"/>
      <c r="BQ64" s="3873"/>
      <c r="BR64" s="3873"/>
      <c r="BS64" s="3873"/>
      <c r="BT64" s="3873"/>
      <c r="BU64" s="3873"/>
      <c r="BV64" s="3873"/>
      <c r="BW64" s="3873"/>
      <c r="BX64" s="3873"/>
      <c r="BY64" s="204"/>
      <c r="BZ64" s="204"/>
      <c r="CA64" s="204"/>
      <c r="CB64" s="204"/>
      <c r="CC64" s="204"/>
      <c r="CD64" s="204"/>
      <c r="CE64" s="204"/>
      <c r="CF64" s="204"/>
      <c r="CG64" s="204"/>
      <c r="CH64" s="204"/>
      <c r="CI64" s="204"/>
      <c r="CJ64" s="204"/>
      <c r="CK64" s="204"/>
      <c r="CL64" s="204"/>
      <c r="CM64" s="204"/>
      <c r="CN64" s="204"/>
      <c r="CO64" s="204"/>
      <c r="CP64" s="204"/>
      <c r="CQ64" s="204"/>
      <c r="CR64" s="204"/>
      <c r="CS64" s="204"/>
      <c r="CT64" s="204"/>
      <c r="CU64" s="204"/>
      <c r="CV64" s="204"/>
      <c r="CW64" s="204"/>
      <c r="CX64" s="204"/>
      <c r="CY64" s="204"/>
      <c r="CZ64" s="204"/>
      <c r="DA64" s="204"/>
      <c r="DB64" s="204"/>
      <c r="DC64" s="204"/>
      <c r="DD64" s="204"/>
      <c r="DE64" s="204"/>
      <c r="DF64" s="204"/>
      <c r="DG64" s="204"/>
      <c r="DH64" s="204"/>
      <c r="DI64" s="204"/>
      <c r="DJ64" s="204"/>
      <c r="DK64" s="204"/>
      <c r="DL64" s="204"/>
      <c r="DM64" s="204"/>
      <c r="DN64" s="204"/>
      <c r="DO64" s="204"/>
      <c r="DP64" s="204"/>
      <c r="DQ64" s="204"/>
      <c r="DR64" s="204"/>
      <c r="DS64" s="204"/>
      <c r="DT64" s="204"/>
      <c r="DU64" s="204"/>
      <c r="DV64" s="204"/>
      <c r="DW64" s="204"/>
      <c r="DX64" s="204"/>
      <c r="DY64" s="204"/>
      <c r="DZ64" s="204"/>
      <c r="EA64" s="204"/>
      <c r="EB64" s="204"/>
      <c r="EC64" s="204"/>
      <c r="ED64" s="204"/>
      <c r="EE64" s="204"/>
      <c r="EF64" s="204"/>
      <c r="EG64" s="204"/>
      <c r="EH64" s="204"/>
      <c r="EI64" s="204"/>
      <c r="EJ64" s="204"/>
      <c r="EK64" s="204"/>
      <c r="EL64" s="204"/>
      <c r="EM64" s="204"/>
      <c r="EN64" s="204"/>
      <c r="EO64" s="204"/>
      <c r="EP64" s="204"/>
      <c r="EQ64" s="204"/>
      <c r="ER64" s="204"/>
      <c r="ES64" s="204"/>
      <c r="ET64" s="204"/>
      <c r="EU64" s="204"/>
      <c r="EV64" s="204"/>
      <c r="EW64" s="204"/>
      <c r="EX64" s="204"/>
      <c r="EY64" s="204"/>
      <c r="EZ64" s="204"/>
      <c r="FA64" s="204"/>
      <c r="FB64" s="204"/>
      <c r="FC64" s="204"/>
      <c r="FD64" s="204"/>
      <c r="FE64" s="204"/>
      <c r="FF64" s="204"/>
      <c r="FG64" s="204"/>
      <c r="FH64" s="204"/>
      <c r="FI64" s="204"/>
      <c r="FJ64" s="204"/>
      <c r="FK64" s="204"/>
      <c r="FL64" s="204"/>
      <c r="FM64" s="204"/>
      <c r="FN64" s="204"/>
      <c r="FO64" s="204"/>
      <c r="FP64" s="204"/>
      <c r="FQ64" s="204"/>
      <c r="FR64" s="204"/>
      <c r="FS64" s="204"/>
      <c r="FT64" s="204"/>
      <c r="FU64" s="204"/>
      <c r="FV64" s="204"/>
      <c r="FW64" s="204"/>
      <c r="FX64" s="204"/>
      <c r="FY64" s="204"/>
      <c r="FZ64" s="204"/>
      <c r="GA64" s="204"/>
      <c r="GB64" s="204"/>
      <c r="GC64" s="204"/>
      <c r="GD64" s="204"/>
      <c r="GE64" s="204"/>
      <c r="GF64" s="204"/>
      <c r="GG64" s="204"/>
      <c r="GH64" s="204"/>
      <c r="GI64" s="204"/>
      <c r="GJ64" s="204"/>
      <c r="GK64" s="204"/>
      <c r="GL64" s="204"/>
      <c r="GM64" s="204"/>
      <c r="GN64" s="204"/>
      <c r="GO64" s="204"/>
      <c r="GP64" s="204"/>
      <c r="GQ64" s="204"/>
      <c r="GR64" s="204"/>
      <c r="GS64" s="204"/>
      <c r="GT64" s="204"/>
      <c r="GU64" s="204"/>
      <c r="GV64" s="204"/>
      <c r="GW64" s="204"/>
      <c r="GX64" s="204"/>
      <c r="GY64" s="204"/>
      <c r="GZ64" s="204"/>
      <c r="HA64" s="204"/>
      <c r="HB64" s="204"/>
      <c r="HC64" s="204"/>
      <c r="HD64" s="204"/>
      <c r="HE64" s="204"/>
      <c r="HF64" s="204"/>
      <c r="HG64" s="204"/>
      <c r="HH64" s="204"/>
      <c r="HI64" s="204"/>
      <c r="HJ64" s="204"/>
      <c r="HK64" s="204"/>
      <c r="HL64" s="204"/>
      <c r="HM64" s="204"/>
      <c r="HN64" s="204"/>
      <c r="HO64" s="204"/>
      <c r="HP64" s="204"/>
      <c r="HQ64" s="204"/>
      <c r="HR64" s="204"/>
      <c r="HS64" s="204"/>
      <c r="HT64" s="204"/>
      <c r="HU64" s="204"/>
      <c r="HV64" s="204"/>
      <c r="HW64" s="204"/>
      <c r="HX64" s="204"/>
      <c r="HY64" s="204"/>
      <c r="HZ64" s="204"/>
      <c r="IA64" s="204"/>
      <c r="IB64" s="204"/>
      <c r="IC64" s="204"/>
      <c r="ID64" s="204"/>
      <c r="IE64" s="204"/>
      <c r="IF64" s="204"/>
      <c r="IG64" s="204"/>
      <c r="IH64" s="204"/>
      <c r="II64" s="204"/>
      <c r="IJ64" s="204"/>
      <c r="IK64" s="204"/>
      <c r="IL64" s="204"/>
      <c r="IM64" s="204"/>
      <c r="IN64" s="204"/>
      <c r="IO64" s="204"/>
      <c r="IP64" s="204"/>
      <c r="IQ64" s="204"/>
      <c r="IR64" s="204"/>
      <c r="IS64" s="204"/>
      <c r="IT64" s="204"/>
      <c r="IU64" s="204"/>
    </row>
    <row r="65" spans="1:255">
      <c r="A65" s="207">
        <v>1</v>
      </c>
      <c r="B65" s="332">
        <f t="shared" ref="B65:G65" si="95">A65+1</f>
        <v>2</v>
      </c>
      <c r="C65" s="332">
        <f t="shared" si="95"/>
        <v>3</v>
      </c>
      <c r="D65" s="332">
        <f t="shared" si="95"/>
        <v>4</v>
      </c>
      <c r="E65" s="332">
        <f t="shared" si="95"/>
        <v>5</v>
      </c>
      <c r="F65" s="332">
        <f t="shared" si="95"/>
        <v>6</v>
      </c>
      <c r="G65" s="332">
        <f t="shared" si="95"/>
        <v>7</v>
      </c>
      <c r="H65" s="332">
        <f t="shared" ref="H65:AM65" si="96">G65+1</f>
        <v>8</v>
      </c>
      <c r="I65" s="332">
        <f t="shared" si="96"/>
        <v>9</v>
      </c>
      <c r="J65" s="332">
        <f t="shared" si="96"/>
        <v>10</v>
      </c>
      <c r="K65" s="332">
        <f t="shared" si="96"/>
        <v>11</v>
      </c>
      <c r="L65" s="332">
        <f t="shared" si="96"/>
        <v>12</v>
      </c>
      <c r="M65" s="332">
        <f t="shared" si="96"/>
        <v>13</v>
      </c>
      <c r="N65" s="332">
        <f t="shared" si="96"/>
        <v>14</v>
      </c>
      <c r="O65" s="332">
        <f t="shared" si="96"/>
        <v>15</v>
      </c>
      <c r="P65" s="332">
        <f t="shared" si="96"/>
        <v>16</v>
      </c>
      <c r="Q65" s="332">
        <f t="shared" si="96"/>
        <v>17</v>
      </c>
      <c r="R65" s="332">
        <f t="shared" si="96"/>
        <v>18</v>
      </c>
      <c r="S65" s="332">
        <f t="shared" si="96"/>
        <v>19</v>
      </c>
      <c r="T65" s="332">
        <f t="shared" si="96"/>
        <v>20</v>
      </c>
      <c r="U65" s="332">
        <f t="shared" si="96"/>
        <v>21</v>
      </c>
      <c r="V65" s="332">
        <f t="shared" si="96"/>
        <v>22</v>
      </c>
      <c r="W65" s="332">
        <f t="shared" si="96"/>
        <v>23</v>
      </c>
      <c r="X65" s="332">
        <f t="shared" si="96"/>
        <v>24</v>
      </c>
      <c r="Y65" s="332">
        <f t="shared" si="96"/>
        <v>25</v>
      </c>
      <c r="Z65" s="332">
        <f t="shared" si="96"/>
        <v>26</v>
      </c>
      <c r="AA65" s="332">
        <f t="shared" si="96"/>
        <v>27</v>
      </c>
      <c r="AB65" s="332">
        <f t="shared" si="96"/>
        <v>28</v>
      </c>
      <c r="AC65" s="332">
        <f t="shared" si="96"/>
        <v>29</v>
      </c>
      <c r="AD65" s="332">
        <f t="shared" si="96"/>
        <v>30</v>
      </c>
      <c r="AE65" s="332">
        <f t="shared" si="96"/>
        <v>31</v>
      </c>
      <c r="AF65" s="332">
        <f t="shared" si="96"/>
        <v>32</v>
      </c>
      <c r="AG65" s="332">
        <f t="shared" si="96"/>
        <v>33</v>
      </c>
      <c r="AH65" s="332">
        <f t="shared" si="96"/>
        <v>34</v>
      </c>
      <c r="AI65" s="332">
        <f t="shared" si="96"/>
        <v>35</v>
      </c>
      <c r="AJ65" s="332">
        <f t="shared" si="96"/>
        <v>36</v>
      </c>
      <c r="AK65" s="332">
        <f t="shared" si="96"/>
        <v>37</v>
      </c>
      <c r="AL65" s="332">
        <f t="shared" si="96"/>
        <v>38</v>
      </c>
      <c r="AM65" s="332">
        <f t="shared" si="96"/>
        <v>39</v>
      </c>
      <c r="AN65" s="332">
        <f t="shared" ref="AN65:BX65" si="97">AM65+1</f>
        <v>40</v>
      </c>
      <c r="AO65" s="332">
        <f t="shared" si="97"/>
        <v>41</v>
      </c>
      <c r="AP65" s="332">
        <f t="shared" si="97"/>
        <v>42</v>
      </c>
      <c r="AQ65" s="332">
        <f t="shared" si="97"/>
        <v>43</v>
      </c>
      <c r="AR65" s="332">
        <f t="shared" si="97"/>
        <v>44</v>
      </c>
      <c r="AS65" s="332">
        <f t="shared" si="97"/>
        <v>45</v>
      </c>
      <c r="AT65" s="332">
        <f t="shared" si="97"/>
        <v>46</v>
      </c>
      <c r="AU65" s="332">
        <f t="shared" si="97"/>
        <v>47</v>
      </c>
      <c r="AV65" s="332">
        <f t="shared" si="97"/>
        <v>48</v>
      </c>
      <c r="AW65" s="332">
        <f t="shared" si="97"/>
        <v>49</v>
      </c>
      <c r="AX65" s="332">
        <f t="shared" si="97"/>
        <v>50</v>
      </c>
      <c r="AY65" s="332">
        <f t="shared" si="97"/>
        <v>51</v>
      </c>
      <c r="AZ65" s="332">
        <f t="shared" si="97"/>
        <v>52</v>
      </c>
      <c r="BA65" s="332">
        <f t="shared" si="97"/>
        <v>53</v>
      </c>
      <c r="BB65" s="332">
        <f t="shared" si="97"/>
        <v>54</v>
      </c>
      <c r="BC65" s="332">
        <f t="shared" si="97"/>
        <v>55</v>
      </c>
      <c r="BD65" s="332">
        <f t="shared" si="97"/>
        <v>56</v>
      </c>
      <c r="BE65" s="332">
        <f t="shared" si="97"/>
        <v>57</v>
      </c>
      <c r="BF65" s="332">
        <f t="shared" si="97"/>
        <v>58</v>
      </c>
      <c r="BG65" s="332">
        <f t="shared" si="97"/>
        <v>59</v>
      </c>
      <c r="BH65" s="332">
        <f t="shared" si="97"/>
        <v>60</v>
      </c>
      <c r="BI65" s="332">
        <f t="shared" si="97"/>
        <v>61</v>
      </c>
      <c r="BJ65" s="332">
        <f t="shared" si="97"/>
        <v>62</v>
      </c>
      <c r="BK65" s="332">
        <f t="shared" si="97"/>
        <v>63</v>
      </c>
      <c r="BL65" s="332">
        <f t="shared" si="97"/>
        <v>64</v>
      </c>
      <c r="BM65" s="332">
        <f t="shared" si="97"/>
        <v>65</v>
      </c>
      <c r="BN65" s="332">
        <f t="shared" si="97"/>
        <v>66</v>
      </c>
      <c r="BO65" s="332">
        <f t="shared" si="97"/>
        <v>67</v>
      </c>
      <c r="BP65" s="332">
        <f t="shared" si="97"/>
        <v>68</v>
      </c>
      <c r="BQ65" s="332">
        <f t="shared" si="97"/>
        <v>69</v>
      </c>
      <c r="BR65" s="332">
        <f t="shared" si="97"/>
        <v>70</v>
      </c>
      <c r="BS65" s="332">
        <f t="shared" si="97"/>
        <v>71</v>
      </c>
      <c r="BT65" s="332">
        <f t="shared" si="97"/>
        <v>72</v>
      </c>
      <c r="BU65" s="332">
        <f t="shared" si="97"/>
        <v>73</v>
      </c>
      <c r="BV65" s="332">
        <f t="shared" si="97"/>
        <v>74</v>
      </c>
      <c r="BW65" s="332">
        <f t="shared" si="97"/>
        <v>75</v>
      </c>
      <c r="BX65" s="332">
        <f t="shared" si="97"/>
        <v>76</v>
      </c>
      <c r="BY65" s="209"/>
      <c r="BZ65" s="209"/>
      <c r="CA65" s="209"/>
      <c r="CB65" s="209"/>
      <c r="CC65" s="209"/>
      <c r="CD65" s="209"/>
      <c r="CE65" s="209"/>
      <c r="CF65" s="209"/>
      <c r="CG65" s="209"/>
      <c r="CH65" s="209"/>
      <c r="CI65" s="209"/>
      <c r="CJ65" s="209"/>
      <c r="CK65" s="209"/>
      <c r="CL65" s="209"/>
      <c r="CM65" s="209"/>
      <c r="CN65" s="209"/>
      <c r="CO65" s="209"/>
      <c r="CP65" s="209"/>
      <c r="CQ65" s="209"/>
      <c r="CR65" s="209"/>
      <c r="CS65" s="209"/>
      <c r="CT65" s="209"/>
      <c r="CU65" s="209"/>
      <c r="CV65" s="209"/>
      <c r="CW65" s="209"/>
      <c r="CX65" s="209"/>
      <c r="CY65" s="209"/>
      <c r="CZ65" s="209"/>
      <c r="DA65" s="209"/>
      <c r="DB65" s="209"/>
      <c r="DC65" s="209"/>
      <c r="DD65" s="209"/>
      <c r="DE65" s="209"/>
      <c r="DF65" s="209"/>
      <c r="DG65" s="209"/>
      <c r="DH65" s="209"/>
      <c r="DI65" s="209"/>
      <c r="DJ65" s="209"/>
      <c r="DK65" s="209"/>
      <c r="DL65" s="209"/>
      <c r="DM65" s="209"/>
      <c r="DN65" s="209"/>
      <c r="DO65" s="209"/>
      <c r="DP65" s="209"/>
      <c r="DQ65" s="209"/>
      <c r="DR65" s="209"/>
      <c r="DS65" s="209"/>
      <c r="DT65" s="209"/>
      <c r="DU65" s="209"/>
      <c r="DV65" s="209"/>
      <c r="DW65" s="209"/>
      <c r="DX65" s="209"/>
      <c r="DY65" s="209"/>
      <c r="DZ65" s="209"/>
      <c r="EA65" s="209"/>
      <c r="EB65" s="209"/>
      <c r="EC65" s="209"/>
      <c r="ED65" s="209"/>
      <c r="EE65" s="209"/>
      <c r="EF65" s="209"/>
      <c r="EG65" s="209"/>
      <c r="EH65" s="209"/>
      <c r="EI65" s="209"/>
      <c r="EJ65" s="209"/>
      <c r="EK65" s="209"/>
      <c r="EL65" s="209"/>
      <c r="EM65" s="209"/>
      <c r="EN65" s="209"/>
      <c r="EO65" s="209"/>
      <c r="EP65" s="209"/>
      <c r="EQ65" s="209"/>
      <c r="ER65" s="209"/>
      <c r="ES65" s="209"/>
      <c r="ET65" s="209"/>
      <c r="EU65" s="209"/>
      <c r="EV65" s="209"/>
      <c r="EW65" s="209"/>
      <c r="EX65" s="209"/>
      <c r="EY65" s="209"/>
      <c r="EZ65" s="209"/>
      <c r="FA65" s="209"/>
      <c r="FB65" s="209"/>
      <c r="FC65" s="209"/>
      <c r="FD65" s="209"/>
      <c r="FE65" s="209"/>
      <c r="FF65" s="209"/>
      <c r="FG65" s="209"/>
      <c r="FH65" s="209"/>
      <c r="FI65" s="209"/>
      <c r="FJ65" s="209"/>
      <c r="FK65" s="209"/>
      <c r="FL65" s="209"/>
      <c r="FM65" s="209"/>
      <c r="FN65" s="209"/>
      <c r="FO65" s="209"/>
      <c r="FP65" s="209"/>
      <c r="FQ65" s="209"/>
      <c r="FR65" s="209"/>
      <c r="FS65" s="209"/>
      <c r="FT65" s="209"/>
      <c r="FU65" s="209"/>
      <c r="FV65" s="209"/>
      <c r="FW65" s="209"/>
      <c r="FX65" s="209"/>
      <c r="FY65" s="209"/>
      <c r="FZ65" s="209"/>
      <c r="GA65" s="209"/>
      <c r="GB65" s="209"/>
      <c r="GC65" s="209"/>
      <c r="GD65" s="209"/>
      <c r="GE65" s="209"/>
      <c r="GF65" s="209"/>
      <c r="GG65" s="209"/>
      <c r="GH65" s="209"/>
      <c r="GI65" s="209"/>
      <c r="GJ65" s="209"/>
      <c r="GK65" s="209"/>
      <c r="GL65" s="209"/>
      <c r="GM65" s="209"/>
      <c r="GN65" s="209"/>
      <c r="GO65" s="209"/>
      <c r="GP65" s="209"/>
      <c r="GQ65" s="209"/>
      <c r="GR65" s="209"/>
      <c r="GS65" s="209"/>
      <c r="GT65" s="209"/>
      <c r="GU65" s="209"/>
      <c r="GV65" s="209"/>
      <c r="GW65" s="209"/>
      <c r="GX65" s="209"/>
      <c r="GY65" s="209"/>
      <c r="GZ65" s="209"/>
      <c r="HA65" s="209"/>
      <c r="HB65" s="209"/>
      <c r="HC65" s="209"/>
      <c r="HD65" s="209"/>
      <c r="HE65" s="209"/>
      <c r="HF65" s="209"/>
      <c r="HG65" s="209"/>
      <c r="HH65" s="209"/>
      <c r="HI65" s="209"/>
      <c r="HJ65" s="209"/>
      <c r="HK65" s="209"/>
      <c r="HL65" s="209"/>
      <c r="HM65" s="209"/>
      <c r="HN65" s="209"/>
      <c r="HO65" s="209"/>
      <c r="HP65" s="209"/>
      <c r="HQ65" s="209"/>
      <c r="HR65" s="209"/>
      <c r="HS65" s="209"/>
      <c r="HT65" s="209"/>
      <c r="HU65" s="209"/>
      <c r="HV65" s="209"/>
      <c r="HW65" s="209"/>
      <c r="HX65" s="209"/>
      <c r="HY65" s="209"/>
      <c r="HZ65" s="209"/>
      <c r="IA65" s="209"/>
      <c r="IB65" s="209"/>
      <c r="IC65" s="209"/>
      <c r="ID65" s="209"/>
      <c r="IE65" s="209"/>
      <c r="IF65" s="209"/>
      <c r="IG65" s="209"/>
      <c r="IH65" s="209"/>
      <c r="II65" s="209"/>
      <c r="IJ65" s="209"/>
      <c r="IK65" s="209"/>
      <c r="IL65" s="209"/>
      <c r="IM65" s="209"/>
      <c r="IN65" s="209"/>
      <c r="IO65" s="209"/>
      <c r="IP65" s="209"/>
      <c r="IQ65" s="209"/>
      <c r="IR65" s="209"/>
      <c r="IS65" s="209"/>
      <c r="IT65" s="209"/>
      <c r="IU65" s="209"/>
    </row>
    <row r="66" spans="1:255">
      <c r="A66" s="991"/>
      <c r="B66" s="992" t="s">
        <v>327</v>
      </c>
      <c r="C66" s="993"/>
      <c r="D66" s="992"/>
      <c r="E66" s="994"/>
      <c r="F66" s="994"/>
      <c r="G66" s="994"/>
      <c r="H66" s="994"/>
      <c r="I66" s="995"/>
      <c r="J66" s="995"/>
      <c r="K66" s="995"/>
      <c r="L66" s="995"/>
      <c r="M66" s="614">
        <f>I66+J66+K66+L66</f>
        <v>0</v>
      </c>
      <c r="N66" s="995"/>
      <c r="O66" s="995"/>
      <c r="P66" s="995"/>
      <c r="Q66" s="995"/>
      <c r="R66" s="614">
        <f>N66+O66+P66+Q66</f>
        <v>0</v>
      </c>
      <c r="S66" s="614">
        <f t="shared" ref="S66:V70" si="98">E66*I66</f>
        <v>0</v>
      </c>
      <c r="T66" s="614">
        <f t="shared" si="98"/>
        <v>0</v>
      </c>
      <c r="U66" s="614">
        <f t="shared" si="98"/>
        <v>0</v>
      </c>
      <c r="V66" s="614">
        <f t="shared" si="98"/>
        <v>0</v>
      </c>
      <c r="W66" s="614">
        <f>S66+T66+U66+V66</f>
        <v>0</v>
      </c>
      <c r="X66" s="614">
        <f t="shared" ref="X66:AA70" si="99">E66*N66</f>
        <v>0</v>
      </c>
      <c r="Y66" s="614">
        <f t="shared" si="99"/>
        <v>0</v>
      </c>
      <c r="Z66" s="614">
        <f t="shared" si="99"/>
        <v>0</v>
      </c>
      <c r="AA66" s="614">
        <f t="shared" si="99"/>
        <v>0</v>
      </c>
      <c r="AB66" s="614">
        <f>X66+Y66+Z66+AA66</f>
        <v>0</v>
      </c>
      <c r="AC66" s="614">
        <f>W66</f>
        <v>0</v>
      </c>
      <c r="AD66" s="614">
        <f>AB66</f>
        <v>0</v>
      </c>
      <c r="AE66" s="614">
        <f>AC66+AD66</f>
        <v>0</v>
      </c>
      <c r="AF66" s="994"/>
      <c r="AG66" s="994"/>
      <c r="AH66" s="996"/>
      <c r="AI66" s="614">
        <f>AH66*AC66</f>
        <v>0</v>
      </c>
      <c r="AJ66" s="996"/>
      <c r="AK66" s="614">
        <f>AJ66*AC66</f>
        <v>0</v>
      </c>
      <c r="AL66" s="997"/>
      <c r="AM66" s="614">
        <f>AL66*$T$2</f>
        <v>0</v>
      </c>
      <c r="AN66" s="996"/>
      <c r="AO66" s="614">
        <f>AN66*AC66</f>
        <v>0</v>
      </c>
      <c r="AP66" s="614">
        <f>AF66+AG66+AI66+AK66+AM66+AO66</f>
        <v>0</v>
      </c>
      <c r="AQ66" s="994"/>
      <c r="AR66" s="994"/>
      <c r="AS66" s="996"/>
      <c r="AT66" s="614">
        <f>AS66*AD66</f>
        <v>0</v>
      </c>
      <c r="AU66" s="996"/>
      <c r="AV66" s="614">
        <f>AU66*AD66</f>
        <v>0</v>
      </c>
      <c r="AW66" s="997"/>
      <c r="AX66" s="614">
        <f>AW66*$T$2</f>
        <v>0</v>
      </c>
      <c r="AY66" s="987">
        <f>AQ66+AR66+AT66+AV66+AX66</f>
        <v>0</v>
      </c>
      <c r="AZ66" s="987">
        <f>AP66+AY66</f>
        <v>0</v>
      </c>
      <c r="BA66" s="614">
        <f>AC66+AP66</f>
        <v>0</v>
      </c>
      <c r="BB66" s="614">
        <f>AD66+AY66</f>
        <v>0</v>
      </c>
      <c r="BC66" s="614">
        <f>BA66+BB66</f>
        <v>0</v>
      </c>
      <c r="BD66" s="994"/>
      <c r="BE66" s="994"/>
      <c r="BF66" s="614">
        <f>BD66+BE66</f>
        <v>0</v>
      </c>
      <c r="BG66" s="614">
        <f>W66*$T$4</f>
        <v>0</v>
      </c>
      <c r="BH66" s="614">
        <f>AB66*$T$4</f>
        <v>0</v>
      </c>
      <c r="BI66" s="614">
        <f>BG66+BH66</f>
        <v>0</v>
      </c>
      <c r="BJ66" s="614">
        <f t="shared" ref="BJ66:BK70" si="100">BA66+BD66+BG66</f>
        <v>0</v>
      </c>
      <c r="BK66" s="614">
        <f t="shared" si="100"/>
        <v>0</v>
      </c>
      <c r="BL66" s="614">
        <f>BJ66+BK66</f>
        <v>0</v>
      </c>
      <c r="BM66" s="614">
        <f>BJ66*10%</f>
        <v>0</v>
      </c>
      <c r="BN66" s="614">
        <f>(BJ66-BM66)*10%</f>
        <v>0</v>
      </c>
      <c r="BO66" s="614">
        <f>(BJ66-BM66)*6%</f>
        <v>0</v>
      </c>
      <c r="BP66" s="614">
        <f>(BJ66-BM66)*5%</f>
        <v>0</v>
      </c>
      <c r="BQ66" s="614">
        <f>BK66*10%</f>
        <v>0</v>
      </c>
      <c r="BR66" s="614">
        <f>(BK66-BQ66)*10%</f>
        <v>0</v>
      </c>
      <c r="BS66" s="614">
        <f>(BK66-BQ66)*6%</f>
        <v>0</v>
      </c>
      <c r="BT66" s="614">
        <f>(BK66-BQ66)*5%</f>
        <v>0</v>
      </c>
      <c r="BU66" s="614">
        <f t="shared" ref="BU66:BX70" si="101">BM66+BQ66</f>
        <v>0</v>
      </c>
      <c r="BV66" s="614">
        <f t="shared" si="101"/>
        <v>0</v>
      </c>
      <c r="BW66" s="614">
        <f t="shared" si="101"/>
        <v>0</v>
      </c>
      <c r="BX66" s="614">
        <f t="shared" si="101"/>
        <v>0</v>
      </c>
      <c r="BY66" s="209"/>
      <c r="BZ66" s="209"/>
      <c r="CA66" s="209"/>
      <c r="CB66" s="209"/>
      <c r="CC66" s="209"/>
      <c r="CD66" s="209"/>
      <c r="CE66" s="209"/>
      <c r="CF66" s="209"/>
      <c r="CG66" s="209"/>
      <c r="CH66" s="209"/>
      <c r="CI66" s="209"/>
      <c r="CJ66" s="209"/>
      <c r="CK66" s="209"/>
      <c r="CL66" s="209"/>
      <c r="CM66" s="209"/>
      <c r="CN66" s="209"/>
      <c r="CO66" s="209"/>
      <c r="CP66" s="209"/>
      <c r="CQ66" s="209"/>
      <c r="CR66" s="209"/>
      <c r="CS66" s="209"/>
      <c r="CT66" s="209"/>
      <c r="CU66" s="209"/>
      <c r="CV66" s="209"/>
      <c r="CW66" s="209"/>
      <c r="CX66" s="209"/>
      <c r="CY66" s="209"/>
      <c r="CZ66" s="209"/>
      <c r="DA66" s="209"/>
      <c r="DB66" s="209"/>
      <c r="DC66" s="209"/>
      <c r="DD66" s="209"/>
      <c r="DE66" s="209"/>
      <c r="DF66" s="209"/>
      <c r="DG66" s="209"/>
      <c r="DH66" s="209"/>
      <c r="DI66" s="209"/>
      <c r="DJ66" s="209"/>
      <c r="DK66" s="209"/>
      <c r="DL66" s="209"/>
      <c r="DM66" s="209"/>
      <c r="DN66" s="209"/>
      <c r="DO66" s="209"/>
      <c r="DP66" s="209"/>
      <c r="DQ66" s="209"/>
      <c r="DR66" s="209"/>
      <c r="DS66" s="209"/>
      <c r="DT66" s="209"/>
      <c r="DU66" s="209"/>
      <c r="DV66" s="209"/>
      <c r="DW66" s="209"/>
      <c r="DX66" s="209"/>
      <c r="DY66" s="209"/>
      <c r="DZ66" s="209"/>
      <c r="EA66" s="209"/>
      <c r="EB66" s="209"/>
      <c r="EC66" s="209"/>
      <c r="ED66" s="209"/>
      <c r="EE66" s="209"/>
      <c r="EF66" s="209"/>
      <c r="EG66" s="209"/>
      <c r="EH66" s="209"/>
      <c r="EI66" s="209"/>
      <c r="EJ66" s="209"/>
      <c r="EK66" s="209"/>
      <c r="EL66" s="209"/>
      <c r="EM66" s="209"/>
      <c r="EN66" s="209"/>
      <c r="EO66" s="209"/>
      <c r="EP66" s="209"/>
      <c r="EQ66" s="209"/>
      <c r="ER66" s="209"/>
      <c r="ES66" s="209"/>
      <c r="ET66" s="209"/>
      <c r="EU66" s="209"/>
      <c r="EV66" s="209"/>
      <c r="EW66" s="209"/>
      <c r="EX66" s="209"/>
      <c r="EY66" s="209"/>
      <c r="EZ66" s="209"/>
      <c r="FA66" s="209"/>
      <c r="FB66" s="209"/>
      <c r="FC66" s="209"/>
      <c r="FD66" s="209"/>
      <c r="FE66" s="209"/>
      <c r="FF66" s="209"/>
      <c r="FG66" s="209"/>
      <c r="FH66" s="209"/>
      <c r="FI66" s="209"/>
      <c r="FJ66" s="209"/>
      <c r="FK66" s="209"/>
      <c r="FL66" s="209"/>
      <c r="FM66" s="209"/>
      <c r="FN66" s="209"/>
      <c r="FO66" s="209"/>
      <c r="FP66" s="209"/>
      <c r="FQ66" s="209"/>
      <c r="FR66" s="209"/>
      <c r="FS66" s="209"/>
      <c r="FT66" s="209"/>
      <c r="FU66" s="209"/>
      <c r="FV66" s="209"/>
      <c r="FW66" s="209"/>
      <c r="FX66" s="209"/>
      <c r="FY66" s="209"/>
      <c r="FZ66" s="209"/>
      <c r="GA66" s="209"/>
      <c r="GB66" s="209"/>
      <c r="GC66" s="209"/>
      <c r="GD66" s="209"/>
      <c r="GE66" s="209"/>
      <c r="GF66" s="209"/>
      <c r="GG66" s="209"/>
      <c r="GH66" s="209"/>
      <c r="GI66" s="209"/>
      <c r="GJ66" s="209"/>
      <c r="GK66" s="209"/>
      <c r="GL66" s="209"/>
      <c r="GM66" s="209"/>
      <c r="GN66" s="209"/>
      <c r="GO66" s="209"/>
      <c r="GP66" s="209"/>
      <c r="GQ66" s="209"/>
      <c r="GR66" s="209"/>
      <c r="GS66" s="209"/>
      <c r="GT66" s="209"/>
      <c r="GU66" s="209"/>
      <c r="GV66" s="209"/>
      <c r="GW66" s="209"/>
      <c r="GX66" s="209"/>
      <c r="GY66" s="209"/>
      <c r="GZ66" s="209"/>
      <c r="HA66" s="209"/>
      <c r="HB66" s="209"/>
      <c r="HC66" s="209"/>
      <c r="HD66" s="209"/>
      <c r="HE66" s="209"/>
      <c r="HF66" s="209"/>
      <c r="HG66" s="209"/>
      <c r="HH66" s="209"/>
      <c r="HI66" s="209"/>
      <c r="HJ66" s="209"/>
      <c r="HK66" s="209"/>
      <c r="HL66" s="209"/>
      <c r="HM66" s="209"/>
      <c r="HN66" s="209"/>
      <c r="HO66" s="209"/>
      <c r="HP66" s="209"/>
      <c r="HQ66" s="209"/>
      <c r="HR66" s="209"/>
      <c r="HS66" s="209"/>
      <c r="HT66" s="209"/>
      <c r="HU66" s="209"/>
      <c r="HV66" s="209"/>
      <c r="HW66" s="209"/>
      <c r="HX66" s="209"/>
      <c r="HY66" s="209"/>
      <c r="HZ66" s="209"/>
      <c r="IA66" s="209"/>
      <c r="IB66" s="209"/>
      <c r="IC66" s="209"/>
      <c r="ID66" s="209"/>
      <c r="IE66" s="209"/>
      <c r="IF66" s="209"/>
      <c r="IG66" s="209"/>
      <c r="IH66" s="209"/>
      <c r="II66" s="209"/>
      <c r="IJ66" s="209"/>
      <c r="IK66" s="209"/>
      <c r="IL66" s="209"/>
      <c r="IM66" s="209"/>
      <c r="IN66" s="209"/>
      <c r="IO66" s="209"/>
      <c r="IP66" s="209"/>
      <c r="IQ66" s="209"/>
      <c r="IR66" s="209"/>
      <c r="IS66" s="209"/>
      <c r="IT66" s="209"/>
      <c r="IU66" s="209"/>
    </row>
    <row r="67" spans="1:255">
      <c r="A67" s="991"/>
      <c r="B67" s="992"/>
      <c r="C67" s="993"/>
      <c r="D67" s="992"/>
      <c r="E67" s="994"/>
      <c r="F67" s="994"/>
      <c r="G67" s="994"/>
      <c r="H67" s="994"/>
      <c r="I67" s="995"/>
      <c r="J67" s="995"/>
      <c r="K67" s="995"/>
      <c r="L67" s="995"/>
      <c r="M67" s="614">
        <f>I67+J67+K67+L67</f>
        <v>0</v>
      </c>
      <c r="N67" s="995"/>
      <c r="O67" s="995"/>
      <c r="P67" s="995"/>
      <c r="Q67" s="995"/>
      <c r="R67" s="614">
        <f>N67+O67+P67+Q67</f>
        <v>0</v>
      </c>
      <c r="S67" s="614">
        <f t="shared" si="98"/>
        <v>0</v>
      </c>
      <c r="T67" s="614">
        <f t="shared" si="98"/>
        <v>0</v>
      </c>
      <c r="U67" s="614">
        <f t="shared" si="98"/>
        <v>0</v>
      </c>
      <c r="V67" s="614">
        <f t="shared" si="98"/>
        <v>0</v>
      </c>
      <c r="W67" s="614">
        <f>S67+T67+U67+V67</f>
        <v>0</v>
      </c>
      <c r="X67" s="614">
        <f t="shared" si="99"/>
        <v>0</v>
      </c>
      <c r="Y67" s="614">
        <f t="shared" si="99"/>
        <v>0</v>
      </c>
      <c r="Z67" s="614">
        <f t="shared" si="99"/>
        <v>0</v>
      </c>
      <c r="AA67" s="614">
        <f t="shared" si="99"/>
        <v>0</v>
      </c>
      <c r="AB67" s="614">
        <f>X67+Y67+Z67+AA67</f>
        <v>0</v>
      </c>
      <c r="AC67" s="614">
        <f>W67</f>
        <v>0</v>
      </c>
      <c r="AD67" s="614">
        <f>AB67</f>
        <v>0</v>
      </c>
      <c r="AE67" s="614">
        <f>AC67+AD67</f>
        <v>0</v>
      </c>
      <c r="AF67" s="994"/>
      <c r="AG67" s="994"/>
      <c r="AH67" s="996"/>
      <c r="AI67" s="614">
        <f>AH67*AC67</f>
        <v>0</v>
      </c>
      <c r="AJ67" s="996"/>
      <c r="AK67" s="614">
        <f>AJ67*AC67</f>
        <v>0</v>
      </c>
      <c r="AL67" s="997"/>
      <c r="AM67" s="614">
        <f>AL67*$T$2</f>
        <v>0</v>
      </c>
      <c r="AN67" s="996"/>
      <c r="AO67" s="614">
        <f>AN67*AC67</f>
        <v>0</v>
      </c>
      <c r="AP67" s="614">
        <f>AF67+AG67+AI67+AK67+AM67+AO67</f>
        <v>0</v>
      </c>
      <c r="AQ67" s="994"/>
      <c r="AR67" s="994"/>
      <c r="AS67" s="996"/>
      <c r="AT67" s="614">
        <f>AS67*AD67</f>
        <v>0</v>
      </c>
      <c r="AU67" s="996"/>
      <c r="AV67" s="614">
        <f>AU67*AD67</f>
        <v>0</v>
      </c>
      <c r="AW67" s="997"/>
      <c r="AX67" s="614">
        <f>AW67*$T$2</f>
        <v>0</v>
      </c>
      <c r="AY67" s="987">
        <f>AQ67+AR67+AT67+AV67+AX67</f>
        <v>0</v>
      </c>
      <c r="AZ67" s="987">
        <f>AP67+AY67</f>
        <v>0</v>
      </c>
      <c r="BA67" s="614">
        <f>AC67+AP67</f>
        <v>0</v>
      </c>
      <c r="BB67" s="614">
        <f>AD67+AY67</f>
        <v>0</v>
      </c>
      <c r="BC67" s="614">
        <f>BA67+BB67</f>
        <v>0</v>
      </c>
      <c r="BD67" s="994"/>
      <c r="BE67" s="994"/>
      <c r="BF67" s="614">
        <f>BD67+BE67</f>
        <v>0</v>
      </c>
      <c r="BG67" s="614">
        <f>W67*$T$4</f>
        <v>0</v>
      </c>
      <c r="BH67" s="614">
        <f>AB67*$T$4</f>
        <v>0</v>
      </c>
      <c r="BI67" s="614">
        <f>BG67+BH67</f>
        <v>0</v>
      </c>
      <c r="BJ67" s="614">
        <f t="shared" si="100"/>
        <v>0</v>
      </c>
      <c r="BK67" s="614">
        <f t="shared" si="100"/>
        <v>0</v>
      </c>
      <c r="BL67" s="614">
        <f>BJ67+BK67</f>
        <v>0</v>
      </c>
      <c r="BM67" s="614">
        <f>BJ67*10%</f>
        <v>0</v>
      </c>
      <c r="BN67" s="614">
        <f>(BJ67-BM67)*10%</f>
        <v>0</v>
      </c>
      <c r="BO67" s="614">
        <f>(BJ67-BM67)*6%</f>
        <v>0</v>
      </c>
      <c r="BP67" s="614">
        <f>(BJ67-BM67)*5%</f>
        <v>0</v>
      </c>
      <c r="BQ67" s="614">
        <f>BK67*10%</f>
        <v>0</v>
      </c>
      <c r="BR67" s="614">
        <f>(BK67-BQ67)*10%</f>
        <v>0</v>
      </c>
      <c r="BS67" s="614">
        <f>(BK67-BQ67)*6%</f>
        <v>0</v>
      </c>
      <c r="BT67" s="614">
        <f>(BK67-BQ67)*5%</f>
        <v>0</v>
      </c>
      <c r="BU67" s="614">
        <f t="shared" si="101"/>
        <v>0</v>
      </c>
      <c r="BV67" s="614">
        <f t="shared" si="101"/>
        <v>0</v>
      </c>
      <c r="BW67" s="614">
        <f t="shared" si="101"/>
        <v>0</v>
      </c>
      <c r="BX67" s="614">
        <f t="shared" si="101"/>
        <v>0</v>
      </c>
      <c r="BY67" s="209"/>
      <c r="BZ67" s="209"/>
      <c r="CA67" s="209"/>
      <c r="CB67" s="209"/>
      <c r="CC67" s="209"/>
      <c r="CD67" s="209"/>
      <c r="CE67" s="209"/>
      <c r="CF67" s="209"/>
      <c r="CG67" s="209"/>
      <c r="CH67" s="209"/>
      <c r="CI67" s="209"/>
      <c r="CJ67" s="209"/>
      <c r="CK67" s="209"/>
      <c r="CL67" s="209"/>
      <c r="CM67" s="209"/>
      <c r="CN67" s="209"/>
      <c r="CO67" s="209"/>
      <c r="CP67" s="209"/>
      <c r="CQ67" s="209"/>
      <c r="CR67" s="209"/>
      <c r="CS67" s="209"/>
      <c r="CT67" s="209"/>
      <c r="CU67" s="209"/>
      <c r="CV67" s="209"/>
      <c r="CW67" s="209"/>
      <c r="CX67" s="209"/>
      <c r="CY67" s="209"/>
      <c r="CZ67" s="209"/>
      <c r="DA67" s="209"/>
      <c r="DB67" s="209"/>
      <c r="DC67" s="209"/>
      <c r="DD67" s="209"/>
      <c r="DE67" s="209"/>
      <c r="DF67" s="209"/>
      <c r="DG67" s="209"/>
      <c r="DH67" s="209"/>
      <c r="DI67" s="209"/>
      <c r="DJ67" s="209"/>
      <c r="DK67" s="209"/>
      <c r="DL67" s="209"/>
      <c r="DM67" s="209"/>
      <c r="DN67" s="209"/>
      <c r="DO67" s="209"/>
      <c r="DP67" s="209"/>
      <c r="DQ67" s="209"/>
      <c r="DR67" s="209"/>
      <c r="DS67" s="209"/>
      <c r="DT67" s="209"/>
      <c r="DU67" s="209"/>
      <c r="DV67" s="209"/>
      <c r="DW67" s="209"/>
      <c r="DX67" s="209"/>
      <c r="DY67" s="209"/>
      <c r="DZ67" s="209"/>
      <c r="EA67" s="209"/>
      <c r="EB67" s="209"/>
      <c r="EC67" s="209"/>
      <c r="ED67" s="209"/>
      <c r="EE67" s="209"/>
      <c r="EF67" s="209"/>
      <c r="EG67" s="209"/>
      <c r="EH67" s="209"/>
      <c r="EI67" s="209"/>
      <c r="EJ67" s="209"/>
      <c r="EK67" s="209"/>
      <c r="EL67" s="209"/>
      <c r="EM67" s="209"/>
      <c r="EN67" s="209"/>
      <c r="EO67" s="209"/>
      <c r="EP67" s="209"/>
      <c r="EQ67" s="209"/>
      <c r="ER67" s="209"/>
      <c r="ES67" s="209"/>
      <c r="ET67" s="209"/>
      <c r="EU67" s="209"/>
      <c r="EV67" s="209"/>
      <c r="EW67" s="209"/>
      <c r="EX67" s="209"/>
      <c r="EY67" s="209"/>
      <c r="EZ67" s="209"/>
      <c r="FA67" s="209"/>
      <c r="FB67" s="209"/>
      <c r="FC67" s="209"/>
      <c r="FD67" s="209"/>
      <c r="FE67" s="209"/>
      <c r="FF67" s="209"/>
      <c r="FG67" s="209"/>
      <c r="FH67" s="209"/>
      <c r="FI67" s="209"/>
      <c r="FJ67" s="209"/>
      <c r="FK67" s="209"/>
      <c r="FL67" s="209"/>
      <c r="FM67" s="209"/>
      <c r="FN67" s="209"/>
      <c r="FO67" s="209"/>
      <c r="FP67" s="209"/>
      <c r="FQ67" s="209"/>
      <c r="FR67" s="209"/>
      <c r="FS67" s="209"/>
      <c r="FT67" s="209"/>
      <c r="FU67" s="209"/>
      <c r="FV67" s="209"/>
      <c r="FW67" s="209"/>
      <c r="FX67" s="209"/>
      <c r="FY67" s="209"/>
      <c r="FZ67" s="209"/>
      <c r="GA67" s="209"/>
      <c r="GB67" s="209"/>
      <c r="GC67" s="209"/>
      <c r="GD67" s="209"/>
      <c r="GE67" s="209"/>
      <c r="GF67" s="209"/>
      <c r="GG67" s="209"/>
      <c r="GH67" s="209"/>
      <c r="GI67" s="209"/>
      <c r="GJ67" s="209"/>
      <c r="GK67" s="209"/>
      <c r="GL67" s="209"/>
      <c r="GM67" s="209"/>
      <c r="GN67" s="209"/>
      <c r="GO67" s="209"/>
      <c r="GP67" s="209"/>
      <c r="GQ67" s="209"/>
      <c r="GR67" s="209"/>
      <c r="GS67" s="209"/>
      <c r="GT67" s="209"/>
      <c r="GU67" s="209"/>
      <c r="GV67" s="209"/>
      <c r="GW67" s="209"/>
      <c r="GX67" s="209"/>
      <c r="GY67" s="209"/>
      <c r="GZ67" s="209"/>
      <c r="HA67" s="209"/>
      <c r="HB67" s="209"/>
      <c r="HC67" s="209"/>
      <c r="HD67" s="209"/>
      <c r="HE67" s="209"/>
      <c r="HF67" s="209"/>
      <c r="HG67" s="209"/>
      <c r="HH67" s="209"/>
      <c r="HI67" s="209"/>
      <c r="HJ67" s="209"/>
      <c r="HK67" s="209"/>
      <c r="HL67" s="209"/>
      <c r="HM67" s="209"/>
      <c r="HN67" s="209"/>
      <c r="HO67" s="209"/>
      <c r="HP67" s="209"/>
      <c r="HQ67" s="209"/>
      <c r="HR67" s="209"/>
      <c r="HS67" s="209"/>
      <c r="HT67" s="209"/>
      <c r="HU67" s="209"/>
      <c r="HV67" s="209"/>
      <c r="HW67" s="209"/>
      <c r="HX67" s="209"/>
      <c r="HY67" s="209"/>
      <c r="HZ67" s="209"/>
      <c r="IA67" s="209"/>
      <c r="IB67" s="209"/>
      <c r="IC67" s="209"/>
      <c r="ID67" s="209"/>
      <c r="IE67" s="209"/>
      <c r="IF67" s="209"/>
      <c r="IG67" s="209"/>
      <c r="IH67" s="209"/>
      <c r="II67" s="209"/>
      <c r="IJ67" s="209"/>
      <c r="IK67" s="209"/>
      <c r="IL67" s="209"/>
      <c r="IM67" s="209"/>
      <c r="IN67" s="209"/>
      <c r="IO67" s="209"/>
      <c r="IP67" s="209"/>
      <c r="IQ67" s="209"/>
      <c r="IR67" s="209"/>
      <c r="IS67" s="209"/>
      <c r="IT67" s="209"/>
      <c r="IU67" s="209"/>
    </row>
    <row r="68" spans="1:255">
      <c r="A68" s="991"/>
      <c r="B68" s="992"/>
      <c r="C68" s="993"/>
      <c r="D68" s="992"/>
      <c r="E68" s="994"/>
      <c r="F68" s="994"/>
      <c r="G68" s="994"/>
      <c r="H68" s="994"/>
      <c r="I68" s="995"/>
      <c r="J68" s="995"/>
      <c r="K68" s="995"/>
      <c r="L68" s="995"/>
      <c r="M68" s="614">
        <f>I68+J68+K68+L68</f>
        <v>0</v>
      </c>
      <c r="N68" s="995"/>
      <c r="O68" s="995"/>
      <c r="P68" s="995"/>
      <c r="Q68" s="995"/>
      <c r="R68" s="614">
        <f>N68+O68+P68+Q68</f>
        <v>0</v>
      </c>
      <c r="S68" s="614">
        <f t="shared" si="98"/>
        <v>0</v>
      </c>
      <c r="T68" s="614">
        <f t="shared" si="98"/>
        <v>0</v>
      </c>
      <c r="U68" s="614">
        <f t="shared" si="98"/>
        <v>0</v>
      </c>
      <c r="V68" s="614">
        <f t="shared" si="98"/>
        <v>0</v>
      </c>
      <c r="W68" s="614">
        <f>S68+T68+U68+V68</f>
        <v>0</v>
      </c>
      <c r="X68" s="614">
        <f t="shared" si="99"/>
        <v>0</v>
      </c>
      <c r="Y68" s="614">
        <f t="shared" si="99"/>
        <v>0</v>
      </c>
      <c r="Z68" s="614">
        <f t="shared" si="99"/>
        <v>0</v>
      </c>
      <c r="AA68" s="614">
        <f t="shared" si="99"/>
        <v>0</v>
      </c>
      <c r="AB68" s="614">
        <f>X68+Y68+Z68+AA68</f>
        <v>0</v>
      </c>
      <c r="AC68" s="614">
        <f>W68</f>
        <v>0</v>
      </c>
      <c r="AD68" s="614">
        <f>AB68</f>
        <v>0</v>
      </c>
      <c r="AE68" s="614">
        <f>AC68+AD68</f>
        <v>0</v>
      </c>
      <c r="AF68" s="994"/>
      <c r="AG68" s="994"/>
      <c r="AH68" s="996"/>
      <c r="AI68" s="614">
        <f>AH68*AC68</f>
        <v>0</v>
      </c>
      <c r="AJ68" s="996"/>
      <c r="AK68" s="614">
        <f>AJ68*AC68</f>
        <v>0</v>
      </c>
      <c r="AL68" s="997"/>
      <c r="AM68" s="614">
        <f>AL68*$T$2</f>
        <v>0</v>
      </c>
      <c r="AN68" s="996"/>
      <c r="AO68" s="614">
        <f>AN68*AC68</f>
        <v>0</v>
      </c>
      <c r="AP68" s="614">
        <f>AF68+AG68+AI68+AK68+AM68+AO68</f>
        <v>0</v>
      </c>
      <c r="AQ68" s="994"/>
      <c r="AR68" s="994"/>
      <c r="AS68" s="996"/>
      <c r="AT68" s="614">
        <f>AS68*AD68</f>
        <v>0</v>
      </c>
      <c r="AU68" s="996"/>
      <c r="AV68" s="614">
        <f>AU68*AD68</f>
        <v>0</v>
      </c>
      <c r="AW68" s="997"/>
      <c r="AX68" s="614">
        <f>AW68*$T$2</f>
        <v>0</v>
      </c>
      <c r="AY68" s="987">
        <f>AQ68+AR68+AT68+AV68+AX68</f>
        <v>0</v>
      </c>
      <c r="AZ68" s="987">
        <f>AP68+AY68</f>
        <v>0</v>
      </c>
      <c r="BA68" s="614">
        <f>AC68+AP68</f>
        <v>0</v>
      </c>
      <c r="BB68" s="614">
        <f>AD68+AY68</f>
        <v>0</v>
      </c>
      <c r="BC68" s="614">
        <f>BA68+BB68</f>
        <v>0</v>
      </c>
      <c r="BD68" s="994"/>
      <c r="BE68" s="994"/>
      <c r="BF68" s="614">
        <f>BD68+BE68</f>
        <v>0</v>
      </c>
      <c r="BG68" s="614">
        <f>W68*$T$4</f>
        <v>0</v>
      </c>
      <c r="BH68" s="614">
        <f>AB68*$T$4</f>
        <v>0</v>
      </c>
      <c r="BI68" s="614">
        <f>BG68+BH68</f>
        <v>0</v>
      </c>
      <c r="BJ68" s="614">
        <f t="shared" si="100"/>
        <v>0</v>
      </c>
      <c r="BK68" s="614">
        <f t="shared" si="100"/>
        <v>0</v>
      </c>
      <c r="BL68" s="614">
        <f>BJ68+BK68</f>
        <v>0</v>
      </c>
      <c r="BM68" s="614">
        <f>BJ68*10%</f>
        <v>0</v>
      </c>
      <c r="BN68" s="614">
        <f>(BJ68-BM68)*10%</f>
        <v>0</v>
      </c>
      <c r="BO68" s="614">
        <f>(BJ68-BM68)*6%</f>
        <v>0</v>
      </c>
      <c r="BP68" s="614">
        <f>(BJ68-BM68)*5%</f>
        <v>0</v>
      </c>
      <c r="BQ68" s="614">
        <f>BK68*10%</f>
        <v>0</v>
      </c>
      <c r="BR68" s="614">
        <f>(BK68-BQ68)*10%</f>
        <v>0</v>
      </c>
      <c r="BS68" s="614">
        <f>(BK68-BQ68)*6%</f>
        <v>0</v>
      </c>
      <c r="BT68" s="614">
        <f>(BK68-BQ68)*5%</f>
        <v>0</v>
      </c>
      <c r="BU68" s="614">
        <f t="shared" si="101"/>
        <v>0</v>
      </c>
      <c r="BV68" s="614">
        <f t="shared" si="101"/>
        <v>0</v>
      </c>
      <c r="BW68" s="614">
        <f t="shared" si="101"/>
        <v>0</v>
      </c>
      <c r="BX68" s="614">
        <f t="shared" si="101"/>
        <v>0</v>
      </c>
      <c r="BY68" s="209"/>
      <c r="BZ68" s="209"/>
      <c r="CA68" s="209"/>
      <c r="CB68" s="209"/>
      <c r="CC68" s="209"/>
      <c r="CD68" s="209"/>
      <c r="CE68" s="209"/>
      <c r="CF68" s="209"/>
      <c r="CG68" s="209"/>
      <c r="CH68" s="209"/>
      <c r="CI68" s="209"/>
      <c r="CJ68" s="209"/>
      <c r="CK68" s="209"/>
      <c r="CL68" s="209"/>
      <c r="CM68" s="209"/>
      <c r="CN68" s="209"/>
      <c r="CO68" s="209"/>
      <c r="CP68" s="209"/>
      <c r="CQ68" s="209"/>
      <c r="CR68" s="209"/>
      <c r="CS68" s="209"/>
      <c r="CT68" s="209"/>
      <c r="CU68" s="209"/>
      <c r="CV68" s="209"/>
      <c r="CW68" s="209"/>
      <c r="CX68" s="209"/>
      <c r="CY68" s="209"/>
      <c r="CZ68" s="209"/>
      <c r="DA68" s="209"/>
      <c r="DB68" s="209"/>
      <c r="DC68" s="209"/>
      <c r="DD68" s="209"/>
      <c r="DE68" s="209"/>
      <c r="DF68" s="209"/>
      <c r="DG68" s="209"/>
      <c r="DH68" s="209"/>
      <c r="DI68" s="209"/>
      <c r="DJ68" s="209"/>
      <c r="DK68" s="209"/>
      <c r="DL68" s="209"/>
      <c r="DM68" s="209"/>
      <c r="DN68" s="209"/>
      <c r="DO68" s="209"/>
      <c r="DP68" s="209"/>
      <c r="DQ68" s="209"/>
      <c r="DR68" s="209"/>
      <c r="DS68" s="209"/>
      <c r="DT68" s="209"/>
      <c r="DU68" s="209"/>
      <c r="DV68" s="209"/>
      <c r="DW68" s="209"/>
      <c r="DX68" s="209"/>
      <c r="DY68" s="209"/>
      <c r="DZ68" s="209"/>
      <c r="EA68" s="209"/>
      <c r="EB68" s="209"/>
      <c r="EC68" s="209"/>
      <c r="ED68" s="209"/>
      <c r="EE68" s="209"/>
      <c r="EF68" s="209"/>
      <c r="EG68" s="209"/>
      <c r="EH68" s="209"/>
      <c r="EI68" s="209"/>
      <c r="EJ68" s="209"/>
      <c r="EK68" s="209"/>
      <c r="EL68" s="209"/>
      <c r="EM68" s="209"/>
      <c r="EN68" s="209"/>
      <c r="EO68" s="209"/>
      <c r="EP68" s="209"/>
      <c r="EQ68" s="209"/>
      <c r="ER68" s="209"/>
      <c r="ES68" s="209"/>
      <c r="ET68" s="209"/>
      <c r="EU68" s="209"/>
      <c r="EV68" s="209"/>
      <c r="EW68" s="209"/>
      <c r="EX68" s="209"/>
      <c r="EY68" s="209"/>
      <c r="EZ68" s="209"/>
      <c r="FA68" s="209"/>
      <c r="FB68" s="209"/>
      <c r="FC68" s="209"/>
      <c r="FD68" s="209"/>
      <c r="FE68" s="209"/>
      <c r="FF68" s="209"/>
      <c r="FG68" s="209"/>
      <c r="FH68" s="209"/>
      <c r="FI68" s="209"/>
      <c r="FJ68" s="209"/>
      <c r="FK68" s="209"/>
      <c r="FL68" s="209"/>
      <c r="FM68" s="209"/>
      <c r="FN68" s="209"/>
      <c r="FO68" s="209"/>
      <c r="FP68" s="209"/>
      <c r="FQ68" s="209"/>
      <c r="FR68" s="209"/>
      <c r="FS68" s="209"/>
      <c r="FT68" s="209"/>
      <c r="FU68" s="209"/>
      <c r="FV68" s="209"/>
      <c r="FW68" s="209"/>
      <c r="FX68" s="209"/>
      <c r="FY68" s="209"/>
      <c r="FZ68" s="209"/>
      <c r="GA68" s="209"/>
      <c r="GB68" s="209"/>
      <c r="GC68" s="209"/>
      <c r="GD68" s="209"/>
      <c r="GE68" s="209"/>
      <c r="GF68" s="209"/>
      <c r="GG68" s="209"/>
      <c r="GH68" s="209"/>
      <c r="GI68" s="209"/>
      <c r="GJ68" s="209"/>
      <c r="GK68" s="209"/>
      <c r="GL68" s="209"/>
      <c r="GM68" s="209"/>
      <c r="GN68" s="209"/>
      <c r="GO68" s="209"/>
      <c r="GP68" s="209"/>
      <c r="GQ68" s="209"/>
      <c r="GR68" s="209"/>
      <c r="GS68" s="209"/>
      <c r="GT68" s="209"/>
      <c r="GU68" s="209"/>
      <c r="GV68" s="209"/>
      <c r="GW68" s="209"/>
      <c r="GX68" s="209"/>
      <c r="GY68" s="209"/>
      <c r="GZ68" s="209"/>
      <c r="HA68" s="209"/>
      <c r="HB68" s="209"/>
      <c r="HC68" s="209"/>
      <c r="HD68" s="209"/>
      <c r="HE68" s="209"/>
      <c r="HF68" s="209"/>
      <c r="HG68" s="209"/>
      <c r="HH68" s="209"/>
      <c r="HI68" s="209"/>
      <c r="HJ68" s="209"/>
      <c r="HK68" s="209"/>
      <c r="HL68" s="209"/>
      <c r="HM68" s="209"/>
      <c r="HN68" s="209"/>
      <c r="HO68" s="209"/>
      <c r="HP68" s="209"/>
      <c r="HQ68" s="209"/>
      <c r="HR68" s="209"/>
      <c r="HS68" s="209"/>
      <c r="HT68" s="209"/>
      <c r="HU68" s="209"/>
      <c r="HV68" s="209"/>
      <c r="HW68" s="209"/>
      <c r="HX68" s="209"/>
      <c r="HY68" s="209"/>
      <c r="HZ68" s="209"/>
      <c r="IA68" s="209"/>
      <c r="IB68" s="209"/>
      <c r="IC68" s="209"/>
      <c r="ID68" s="209"/>
      <c r="IE68" s="209"/>
      <c r="IF68" s="209"/>
      <c r="IG68" s="209"/>
      <c r="IH68" s="209"/>
      <c r="II68" s="209"/>
      <c r="IJ68" s="209"/>
      <c r="IK68" s="209"/>
      <c r="IL68" s="209"/>
      <c r="IM68" s="209"/>
      <c r="IN68" s="209"/>
      <c r="IO68" s="209"/>
      <c r="IP68" s="209"/>
      <c r="IQ68" s="209"/>
      <c r="IR68" s="209"/>
      <c r="IS68" s="209"/>
      <c r="IT68" s="209"/>
      <c r="IU68" s="209"/>
    </row>
    <row r="69" spans="1:255">
      <c r="A69" s="991"/>
      <c r="B69" s="992"/>
      <c r="C69" s="993"/>
      <c r="D69" s="992"/>
      <c r="E69" s="994"/>
      <c r="F69" s="994"/>
      <c r="G69" s="994"/>
      <c r="H69" s="994"/>
      <c r="I69" s="995"/>
      <c r="J69" s="995"/>
      <c r="K69" s="995"/>
      <c r="L69" s="995"/>
      <c r="M69" s="614">
        <f>I69+J69+K69+L69</f>
        <v>0</v>
      </c>
      <c r="N69" s="995"/>
      <c r="O69" s="995"/>
      <c r="P69" s="995"/>
      <c r="Q69" s="995"/>
      <c r="R69" s="614">
        <f>N69+O69+P69+Q69</f>
        <v>0</v>
      </c>
      <c r="S69" s="614">
        <f t="shared" si="98"/>
        <v>0</v>
      </c>
      <c r="T69" s="614">
        <f t="shared" si="98"/>
        <v>0</v>
      </c>
      <c r="U69" s="614">
        <f t="shared" si="98"/>
        <v>0</v>
      </c>
      <c r="V69" s="614">
        <f t="shared" si="98"/>
        <v>0</v>
      </c>
      <c r="W69" s="614">
        <f>S69+T69+U69+V69</f>
        <v>0</v>
      </c>
      <c r="X69" s="614">
        <f t="shared" si="99"/>
        <v>0</v>
      </c>
      <c r="Y69" s="614">
        <f t="shared" si="99"/>
        <v>0</v>
      </c>
      <c r="Z69" s="614">
        <f t="shared" si="99"/>
        <v>0</v>
      </c>
      <c r="AA69" s="614">
        <f t="shared" si="99"/>
        <v>0</v>
      </c>
      <c r="AB69" s="614">
        <f>X69+Y69+Z69+AA69</f>
        <v>0</v>
      </c>
      <c r="AC69" s="614">
        <f>W69</f>
        <v>0</v>
      </c>
      <c r="AD69" s="614">
        <f>AB69</f>
        <v>0</v>
      </c>
      <c r="AE69" s="614">
        <f>AC69+AD69</f>
        <v>0</v>
      </c>
      <c r="AF69" s="994"/>
      <c r="AG69" s="994"/>
      <c r="AH69" s="996"/>
      <c r="AI69" s="614">
        <f>AH69*AC69</f>
        <v>0</v>
      </c>
      <c r="AJ69" s="996"/>
      <c r="AK69" s="614">
        <f>AJ69*AC69</f>
        <v>0</v>
      </c>
      <c r="AL69" s="997"/>
      <c r="AM69" s="614">
        <f>AL69*$T$2</f>
        <v>0</v>
      </c>
      <c r="AN69" s="996"/>
      <c r="AO69" s="614">
        <f>AN69*AC69</f>
        <v>0</v>
      </c>
      <c r="AP69" s="614">
        <f>AF69+AG69+AI69+AK69+AM69+AO69</f>
        <v>0</v>
      </c>
      <c r="AQ69" s="994"/>
      <c r="AR69" s="994"/>
      <c r="AS69" s="996"/>
      <c r="AT69" s="614">
        <f>AS69*AD69</f>
        <v>0</v>
      </c>
      <c r="AU69" s="996"/>
      <c r="AV69" s="614">
        <f>AU69*AD69</f>
        <v>0</v>
      </c>
      <c r="AW69" s="997"/>
      <c r="AX69" s="614">
        <f>AW69*$T$2</f>
        <v>0</v>
      </c>
      <c r="AY69" s="987">
        <f>AQ69+AR69+AT69+AV69+AX69</f>
        <v>0</v>
      </c>
      <c r="AZ69" s="987">
        <f>AP69+AY69</f>
        <v>0</v>
      </c>
      <c r="BA69" s="614">
        <f>AC69+AP69</f>
        <v>0</v>
      </c>
      <c r="BB69" s="614">
        <f>AD69+AY69</f>
        <v>0</v>
      </c>
      <c r="BC69" s="614">
        <f>BA69+BB69</f>
        <v>0</v>
      </c>
      <c r="BD69" s="994"/>
      <c r="BE69" s="994"/>
      <c r="BF69" s="614">
        <f>BD69+BE69</f>
        <v>0</v>
      </c>
      <c r="BG69" s="614">
        <f>W69*$T$4</f>
        <v>0</v>
      </c>
      <c r="BH69" s="614">
        <f>AB69*$T$4</f>
        <v>0</v>
      </c>
      <c r="BI69" s="614">
        <f>BG69+BH69</f>
        <v>0</v>
      </c>
      <c r="BJ69" s="614">
        <f t="shared" si="100"/>
        <v>0</v>
      </c>
      <c r="BK69" s="614">
        <f t="shared" si="100"/>
        <v>0</v>
      </c>
      <c r="BL69" s="614">
        <f>BJ69+BK69</f>
        <v>0</v>
      </c>
      <c r="BM69" s="614">
        <f>BJ69*10%</f>
        <v>0</v>
      </c>
      <c r="BN69" s="614">
        <f>(BJ69-BM69)*10%</f>
        <v>0</v>
      </c>
      <c r="BO69" s="614">
        <f>(BJ69-BM69)*6%</f>
        <v>0</v>
      </c>
      <c r="BP69" s="614">
        <f>(BJ69-BM69)*5%</f>
        <v>0</v>
      </c>
      <c r="BQ69" s="614">
        <f>BK69*10%</f>
        <v>0</v>
      </c>
      <c r="BR69" s="614">
        <f>(BK69-BQ69)*10%</f>
        <v>0</v>
      </c>
      <c r="BS69" s="614">
        <f>(BK69-BQ69)*6%</f>
        <v>0</v>
      </c>
      <c r="BT69" s="614">
        <f>(BK69-BQ69)*5%</f>
        <v>0</v>
      </c>
      <c r="BU69" s="614">
        <f t="shared" si="101"/>
        <v>0</v>
      </c>
      <c r="BV69" s="614">
        <f t="shared" si="101"/>
        <v>0</v>
      </c>
      <c r="BW69" s="614">
        <f t="shared" si="101"/>
        <v>0</v>
      </c>
      <c r="BX69" s="614">
        <f t="shared" si="101"/>
        <v>0</v>
      </c>
      <c r="BY69" s="209"/>
      <c r="BZ69" s="209"/>
      <c r="CA69" s="209"/>
      <c r="CB69" s="209"/>
      <c r="CC69" s="209"/>
      <c r="CD69" s="209"/>
      <c r="CE69" s="209"/>
      <c r="CF69" s="209"/>
      <c r="CG69" s="209"/>
      <c r="CH69" s="209"/>
      <c r="CI69" s="209"/>
      <c r="CJ69" s="209"/>
      <c r="CK69" s="209"/>
      <c r="CL69" s="209"/>
      <c r="CM69" s="209"/>
      <c r="CN69" s="209"/>
      <c r="CO69" s="209"/>
      <c r="CP69" s="209"/>
      <c r="CQ69" s="209"/>
      <c r="CR69" s="209"/>
      <c r="CS69" s="209"/>
      <c r="CT69" s="209"/>
      <c r="CU69" s="209"/>
      <c r="CV69" s="209"/>
      <c r="CW69" s="209"/>
      <c r="CX69" s="209"/>
      <c r="CY69" s="209"/>
      <c r="CZ69" s="209"/>
      <c r="DA69" s="209"/>
      <c r="DB69" s="209"/>
      <c r="DC69" s="209"/>
      <c r="DD69" s="209"/>
      <c r="DE69" s="209"/>
      <c r="DF69" s="209"/>
      <c r="DG69" s="209"/>
      <c r="DH69" s="209"/>
      <c r="DI69" s="209"/>
      <c r="DJ69" s="209"/>
      <c r="DK69" s="209"/>
      <c r="DL69" s="209"/>
      <c r="DM69" s="209"/>
      <c r="DN69" s="209"/>
      <c r="DO69" s="209"/>
      <c r="DP69" s="209"/>
      <c r="DQ69" s="209"/>
      <c r="DR69" s="209"/>
      <c r="DS69" s="209"/>
      <c r="DT69" s="209"/>
      <c r="DU69" s="209"/>
      <c r="DV69" s="209"/>
      <c r="DW69" s="209"/>
      <c r="DX69" s="209"/>
      <c r="DY69" s="209"/>
      <c r="DZ69" s="209"/>
      <c r="EA69" s="209"/>
      <c r="EB69" s="209"/>
      <c r="EC69" s="209"/>
      <c r="ED69" s="209"/>
      <c r="EE69" s="209"/>
      <c r="EF69" s="209"/>
      <c r="EG69" s="209"/>
      <c r="EH69" s="209"/>
      <c r="EI69" s="209"/>
      <c r="EJ69" s="209"/>
      <c r="EK69" s="209"/>
      <c r="EL69" s="209"/>
      <c r="EM69" s="209"/>
      <c r="EN69" s="209"/>
      <c r="EO69" s="209"/>
      <c r="EP69" s="209"/>
      <c r="EQ69" s="209"/>
      <c r="ER69" s="209"/>
      <c r="ES69" s="209"/>
      <c r="ET69" s="209"/>
      <c r="EU69" s="209"/>
      <c r="EV69" s="209"/>
      <c r="EW69" s="209"/>
      <c r="EX69" s="209"/>
      <c r="EY69" s="209"/>
      <c r="EZ69" s="209"/>
      <c r="FA69" s="209"/>
      <c r="FB69" s="209"/>
      <c r="FC69" s="209"/>
      <c r="FD69" s="209"/>
      <c r="FE69" s="209"/>
      <c r="FF69" s="209"/>
      <c r="FG69" s="209"/>
      <c r="FH69" s="209"/>
      <c r="FI69" s="209"/>
      <c r="FJ69" s="209"/>
      <c r="FK69" s="209"/>
      <c r="FL69" s="209"/>
      <c r="FM69" s="209"/>
      <c r="FN69" s="209"/>
      <c r="FO69" s="209"/>
      <c r="FP69" s="209"/>
      <c r="FQ69" s="209"/>
      <c r="FR69" s="209"/>
      <c r="FS69" s="209"/>
      <c r="FT69" s="209"/>
      <c r="FU69" s="209"/>
      <c r="FV69" s="209"/>
      <c r="FW69" s="209"/>
      <c r="FX69" s="209"/>
      <c r="FY69" s="209"/>
      <c r="FZ69" s="209"/>
      <c r="GA69" s="209"/>
      <c r="GB69" s="209"/>
      <c r="GC69" s="209"/>
      <c r="GD69" s="209"/>
      <c r="GE69" s="209"/>
      <c r="GF69" s="209"/>
      <c r="GG69" s="209"/>
      <c r="GH69" s="209"/>
      <c r="GI69" s="209"/>
      <c r="GJ69" s="209"/>
      <c r="GK69" s="209"/>
      <c r="GL69" s="209"/>
      <c r="GM69" s="209"/>
      <c r="GN69" s="209"/>
      <c r="GO69" s="209"/>
      <c r="GP69" s="209"/>
      <c r="GQ69" s="209"/>
      <c r="GR69" s="209"/>
      <c r="GS69" s="209"/>
      <c r="GT69" s="209"/>
      <c r="GU69" s="209"/>
      <c r="GV69" s="209"/>
      <c r="GW69" s="209"/>
      <c r="GX69" s="209"/>
      <c r="GY69" s="209"/>
      <c r="GZ69" s="209"/>
      <c r="HA69" s="209"/>
      <c r="HB69" s="209"/>
      <c r="HC69" s="209"/>
      <c r="HD69" s="209"/>
      <c r="HE69" s="209"/>
      <c r="HF69" s="209"/>
      <c r="HG69" s="209"/>
      <c r="HH69" s="209"/>
      <c r="HI69" s="209"/>
      <c r="HJ69" s="209"/>
      <c r="HK69" s="209"/>
      <c r="HL69" s="209"/>
      <c r="HM69" s="209"/>
      <c r="HN69" s="209"/>
      <c r="HO69" s="209"/>
      <c r="HP69" s="209"/>
      <c r="HQ69" s="209"/>
      <c r="HR69" s="209"/>
      <c r="HS69" s="209"/>
      <c r="HT69" s="209"/>
      <c r="HU69" s="209"/>
      <c r="HV69" s="209"/>
      <c r="HW69" s="209"/>
      <c r="HX69" s="209"/>
      <c r="HY69" s="209"/>
      <c r="HZ69" s="209"/>
      <c r="IA69" s="209"/>
      <c r="IB69" s="209"/>
      <c r="IC69" s="209"/>
      <c r="ID69" s="209"/>
      <c r="IE69" s="209"/>
      <c r="IF69" s="209"/>
      <c r="IG69" s="209"/>
      <c r="IH69" s="209"/>
      <c r="II69" s="209"/>
      <c r="IJ69" s="209"/>
      <c r="IK69" s="209"/>
      <c r="IL69" s="209"/>
      <c r="IM69" s="209"/>
      <c r="IN69" s="209"/>
      <c r="IO69" s="209"/>
      <c r="IP69" s="209"/>
      <c r="IQ69" s="209"/>
      <c r="IR69" s="209"/>
      <c r="IS69" s="209"/>
      <c r="IT69" s="209"/>
      <c r="IU69" s="209"/>
    </row>
    <row r="70" spans="1:255">
      <c r="A70" s="991"/>
      <c r="B70" s="992"/>
      <c r="C70" s="993"/>
      <c r="D70" s="992"/>
      <c r="E70" s="994"/>
      <c r="F70" s="994"/>
      <c r="G70" s="994"/>
      <c r="H70" s="994"/>
      <c r="I70" s="995"/>
      <c r="J70" s="995"/>
      <c r="K70" s="995"/>
      <c r="L70" s="995"/>
      <c r="M70" s="614">
        <f>I70+J70+K70+L70</f>
        <v>0</v>
      </c>
      <c r="N70" s="995"/>
      <c r="O70" s="995"/>
      <c r="P70" s="995"/>
      <c r="Q70" s="995"/>
      <c r="R70" s="614">
        <f>N70+O70+P70+Q70</f>
        <v>0</v>
      </c>
      <c r="S70" s="614">
        <f t="shared" si="98"/>
        <v>0</v>
      </c>
      <c r="T70" s="614">
        <f t="shared" si="98"/>
        <v>0</v>
      </c>
      <c r="U70" s="614">
        <f t="shared" si="98"/>
        <v>0</v>
      </c>
      <c r="V70" s="614">
        <f t="shared" si="98"/>
        <v>0</v>
      </c>
      <c r="W70" s="614">
        <f>S70+T70+U70+V70</f>
        <v>0</v>
      </c>
      <c r="X70" s="614">
        <f t="shared" si="99"/>
        <v>0</v>
      </c>
      <c r="Y70" s="614">
        <f t="shared" si="99"/>
        <v>0</v>
      </c>
      <c r="Z70" s="614">
        <f t="shared" si="99"/>
        <v>0</v>
      </c>
      <c r="AA70" s="614">
        <f t="shared" si="99"/>
        <v>0</v>
      </c>
      <c r="AB70" s="614">
        <f>X70+Y70+Z70+AA70</f>
        <v>0</v>
      </c>
      <c r="AC70" s="614">
        <f>W70</f>
        <v>0</v>
      </c>
      <c r="AD70" s="614">
        <f>AB70</f>
        <v>0</v>
      </c>
      <c r="AE70" s="614">
        <f>AC70+AD70</f>
        <v>0</v>
      </c>
      <c r="AF70" s="994"/>
      <c r="AG70" s="994"/>
      <c r="AH70" s="996"/>
      <c r="AI70" s="614">
        <f>AH70*AC70</f>
        <v>0</v>
      </c>
      <c r="AJ70" s="996"/>
      <c r="AK70" s="614">
        <f>AJ70*AC70</f>
        <v>0</v>
      </c>
      <c r="AL70" s="997"/>
      <c r="AM70" s="614">
        <f>AL70*$T$2</f>
        <v>0</v>
      </c>
      <c r="AN70" s="996"/>
      <c r="AO70" s="614">
        <f>AN70*AC70</f>
        <v>0</v>
      </c>
      <c r="AP70" s="614">
        <f>AF70+AG70+AI70+AK70+AM70+AO70</f>
        <v>0</v>
      </c>
      <c r="AQ70" s="994"/>
      <c r="AR70" s="994"/>
      <c r="AS70" s="996"/>
      <c r="AT70" s="614">
        <f>AS70*AD70</f>
        <v>0</v>
      </c>
      <c r="AU70" s="996"/>
      <c r="AV70" s="614">
        <f>AU70*AD70</f>
        <v>0</v>
      </c>
      <c r="AW70" s="997"/>
      <c r="AX70" s="614">
        <f>AW70*$T$2</f>
        <v>0</v>
      </c>
      <c r="AY70" s="987">
        <f>AQ70+AR70+AT70+AV70+AX70</f>
        <v>0</v>
      </c>
      <c r="AZ70" s="987">
        <f>AP70+AY70</f>
        <v>0</v>
      </c>
      <c r="BA70" s="614">
        <f>AC70+AP70</f>
        <v>0</v>
      </c>
      <c r="BB70" s="614">
        <f>AD70+AY70</f>
        <v>0</v>
      </c>
      <c r="BC70" s="614">
        <f>BA70+BB70</f>
        <v>0</v>
      </c>
      <c r="BD70" s="994"/>
      <c r="BE70" s="994"/>
      <c r="BF70" s="614">
        <f>BD70+BE70</f>
        <v>0</v>
      </c>
      <c r="BG70" s="614">
        <f>W70*$T$4</f>
        <v>0</v>
      </c>
      <c r="BH70" s="614">
        <f>AB70*$T$4</f>
        <v>0</v>
      </c>
      <c r="BI70" s="614">
        <f>BG70+BH70</f>
        <v>0</v>
      </c>
      <c r="BJ70" s="614">
        <f t="shared" si="100"/>
        <v>0</v>
      </c>
      <c r="BK70" s="614">
        <f t="shared" si="100"/>
        <v>0</v>
      </c>
      <c r="BL70" s="614">
        <f>BJ70+BK70</f>
        <v>0</v>
      </c>
      <c r="BM70" s="614">
        <f>BJ70*10%</f>
        <v>0</v>
      </c>
      <c r="BN70" s="614">
        <f>(BJ70-BM70)*10%</f>
        <v>0</v>
      </c>
      <c r="BO70" s="614">
        <f>(BJ70-BM70)*6%</f>
        <v>0</v>
      </c>
      <c r="BP70" s="614">
        <f>(BJ70-BM70)*5%</f>
        <v>0</v>
      </c>
      <c r="BQ70" s="614">
        <f>BK70*10%</f>
        <v>0</v>
      </c>
      <c r="BR70" s="614">
        <f>(BK70-BQ70)*10%</f>
        <v>0</v>
      </c>
      <c r="BS70" s="614">
        <f>(BK70-BQ70)*6%</f>
        <v>0</v>
      </c>
      <c r="BT70" s="614">
        <f>(BK70-BQ70)*5%</f>
        <v>0</v>
      </c>
      <c r="BU70" s="614">
        <f t="shared" si="101"/>
        <v>0</v>
      </c>
      <c r="BV70" s="614">
        <f t="shared" si="101"/>
        <v>0</v>
      </c>
      <c r="BW70" s="614">
        <f t="shared" si="101"/>
        <v>0</v>
      </c>
      <c r="BX70" s="614">
        <f t="shared" si="101"/>
        <v>0</v>
      </c>
      <c r="BY70" s="209"/>
      <c r="BZ70" s="209"/>
      <c r="CA70" s="209"/>
      <c r="CB70" s="209"/>
      <c r="CC70" s="209"/>
      <c r="CD70" s="209"/>
      <c r="CE70" s="209"/>
      <c r="CF70" s="209"/>
      <c r="CG70" s="209"/>
      <c r="CH70" s="209"/>
      <c r="CI70" s="209"/>
      <c r="CJ70" s="209"/>
      <c r="CK70" s="209"/>
      <c r="CL70" s="209"/>
      <c r="CM70" s="209"/>
      <c r="CN70" s="209"/>
      <c r="CO70" s="209"/>
      <c r="CP70" s="209"/>
      <c r="CQ70" s="209"/>
      <c r="CR70" s="209"/>
      <c r="CS70" s="209"/>
      <c r="CT70" s="209"/>
      <c r="CU70" s="209"/>
      <c r="CV70" s="209"/>
      <c r="CW70" s="209"/>
      <c r="CX70" s="209"/>
      <c r="CY70" s="209"/>
      <c r="CZ70" s="209"/>
      <c r="DA70" s="209"/>
      <c r="DB70" s="209"/>
      <c r="DC70" s="209"/>
      <c r="DD70" s="209"/>
      <c r="DE70" s="209"/>
      <c r="DF70" s="209"/>
      <c r="DG70" s="209"/>
      <c r="DH70" s="209"/>
      <c r="DI70" s="209"/>
      <c r="DJ70" s="209"/>
      <c r="DK70" s="209"/>
      <c r="DL70" s="209"/>
      <c r="DM70" s="209"/>
      <c r="DN70" s="209"/>
      <c r="DO70" s="209"/>
      <c r="DP70" s="209"/>
      <c r="DQ70" s="209"/>
      <c r="DR70" s="209"/>
      <c r="DS70" s="209"/>
      <c r="DT70" s="209"/>
      <c r="DU70" s="209"/>
      <c r="DV70" s="209"/>
      <c r="DW70" s="209"/>
      <c r="DX70" s="209"/>
      <c r="DY70" s="209"/>
      <c r="DZ70" s="209"/>
      <c r="EA70" s="209"/>
      <c r="EB70" s="209"/>
      <c r="EC70" s="209"/>
      <c r="ED70" s="209"/>
      <c r="EE70" s="209"/>
      <c r="EF70" s="209"/>
      <c r="EG70" s="209"/>
      <c r="EH70" s="209"/>
      <c r="EI70" s="209"/>
      <c r="EJ70" s="209"/>
      <c r="EK70" s="209"/>
      <c r="EL70" s="209"/>
      <c r="EM70" s="209"/>
      <c r="EN70" s="209"/>
      <c r="EO70" s="209"/>
      <c r="EP70" s="209"/>
      <c r="EQ70" s="209"/>
      <c r="ER70" s="209"/>
      <c r="ES70" s="209"/>
      <c r="ET70" s="209"/>
      <c r="EU70" s="209"/>
      <c r="EV70" s="209"/>
      <c r="EW70" s="209"/>
      <c r="EX70" s="209"/>
      <c r="EY70" s="209"/>
      <c r="EZ70" s="209"/>
      <c r="FA70" s="209"/>
      <c r="FB70" s="209"/>
      <c r="FC70" s="209"/>
      <c r="FD70" s="209"/>
      <c r="FE70" s="209"/>
      <c r="FF70" s="209"/>
      <c r="FG70" s="209"/>
      <c r="FH70" s="209"/>
      <c r="FI70" s="209"/>
      <c r="FJ70" s="209"/>
      <c r="FK70" s="209"/>
      <c r="FL70" s="209"/>
      <c r="FM70" s="209"/>
      <c r="FN70" s="209"/>
      <c r="FO70" s="209"/>
      <c r="FP70" s="209"/>
      <c r="FQ70" s="209"/>
      <c r="FR70" s="209"/>
      <c r="FS70" s="209"/>
      <c r="FT70" s="209"/>
      <c r="FU70" s="209"/>
      <c r="FV70" s="209"/>
      <c r="FW70" s="209"/>
      <c r="FX70" s="209"/>
      <c r="FY70" s="209"/>
      <c r="FZ70" s="209"/>
      <c r="GA70" s="209"/>
      <c r="GB70" s="209"/>
      <c r="GC70" s="209"/>
      <c r="GD70" s="209"/>
      <c r="GE70" s="209"/>
      <c r="GF70" s="209"/>
      <c r="GG70" s="209"/>
      <c r="GH70" s="209"/>
      <c r="GI70" s="209"/>
      <c r="GJ70" s="209"/>
      <c r="GK70" s="209"/>
      <c r="GL70" s="209"/>
      <c r="GM70" s="209"/>
      <c r="GN70" s="209"/>
      <c r="GO70" s="209"/>
      <c r="GP70" s="209"/>
      <c r="GQ70" s="209"/>
      <c r="GR70" s="209"/>
      <c r="GS70" s="209"/>
      <c r="GT70" s="209"/>
      <c r="GU70" s="209"/>
      <c r="GV70" s="209"/>
      <c r="GW70" s="209"/>
      <c r="GX70" s="209"/>
      <c r="GY70" s="209"/>
      <c r="GZ70" s="209"/>
      <c r="HA70" s="209"/>
      <c r="HB70" s="209"/>
      <c r="HC70" s="209"/>
      <c r="HD70" s="209"/>
      <c r="HE70" s="209"/>
      <c r="HF70" s="209"/>
      <c r="HG70" s="209"/>
      <c r="HH70" s="209"/>
      <c r="HI70" s="209"/>
      <c r="HJ70" s="209"/>
      <c r="HK70" s="209"/>
      <c r="HL70" s="209"/>
      <c r="HM70" s="209"/>
      <c r="HN70" s="209"/>
      <c r="HO70" s="209"/>
      <c r="HP70" s="209"/>
      <c r="HQ70" s="209"/>
      <c r="HR70" s="209"/>
      <c r="HS70" s="209"/>
      <c r="HT70" s="209"/>
      <c r="HU70" s="209"/>
      <c r="HV70" s="209"/>
      <c r="HW70" s="209"/>
      <c r="HX70" s="209"/>
      <c r="HY70" s="209"/>
      <c r="HZ70" s="209"/>
      <c r="IA70" s="209"/>
      <c r="IB70" s="209"/>
      <c r="IC70" s="209"/>
      <c r="ID70" s="209"/>
      <c r="IE70" s="209"/>
      <c r="IF70" s="209"/>
      <c r="IG70" s="209"/>
      <c r="IH70" s="209"/>
      <c r="II70" s="209"/>
      <c r="IJ70" s="209"/>
      <c r="IK70" s="209"/>
      <c r="IL70" s="209"/>
      <c r="IM70" s="209"/>
      <c r="IN70" s="209"/>
      <c r="IO70" s="209"/>
      <c r="IP70" s="209"/>
      <c r="IQ70" s="209"/>
      <c r="IR70" s="209"/>
      <c r="IS70" s="209"/>
      <c r="IT70" s="209"/>
      <c r="IU70" s="209"/>
    </row>
    <row r="71" spans="1:255">
      <c r="A71" s="991"/>
      <c r="B71" s="992"/>
      <c r="C71" s="993"/>
      <c r="D71" s="992"/>
      <c r="E71" s="994"/>
      <c r="F71" s="994"/>
      <c r="G71" s="994"/>
      <c r="H71" s="994"/>
      <c r="I71" s="995"/>
      <c r="J71" s="995"/>
      <c r="K71" s="995"/>
      <c r="L71" s="995"/>
      <c r="M71" s="614">
        <f t="shared" ref="M71:M91" si="102">I71+J71+K71+L71</f>
        <v>0</v>
      </c>
      <c r="N71" s="995"/>
      <c r="O71" s="995"/>
      <c r="P71" s="995"/>
      <c r="Q71" s="995"/>
      <c r="R71" s="614">
        <f t="shared" ref="R71:R91" si="103">N71+O71+P71+Q71</f>
        <v>0</v>
      </c>
      <c r="S71" s="614">
        <f t="shared" ref="S71:S91" si="104">E71*I71</f>
        <v>0</v>
      </c>
      <c r="T71" s="614">
        <f t="shared" ref="T71:T91" si="105">F71*J71</f>
        <v>0</v>
      </c>
      <c r="U71" s="614">
        <f t="shared" ref="U71:U91" si="106">G71*K71</f>
        <v>0</v>
      </c>
      <c r="V71" s="614">
        <f t="shared" ref="V71:V91" si="107">H71*L71</f>
        <v>0</v>
      </c>
      <c r="W71" s="614">
        <f t="shared" ref="W71:W91" si="108">S71+T71+U71+V71</f>
        <v>0</v>
      </c>
      <c r="X71" s="614">
        <f t="shared" ref="X71:X91" si="109">E71*N71</f>
        <v>0</v>
      </c>
      <c r="Y71" s="614">
        <f t="shared" ref="Y71:Y91" si="110">F71*O71</f>
        <v>0</v>
      </c>
      <c r="Z71" s="614">
        <f t="shared" ref="Z71:Z91" si="111">G71*P71</f>
        <v>0</v>
      </c>
      <c r="AA71" s="614">
        <f t="shared" ref="AA71:AA91" si="112">H71*Q71</f>
        <v>0</v>
      </c>
      <c r="AB71" s="614">
        <f t="shared" ref="AB71:AB91" si="113">X71+Y71+Z71+AA71</f>
        <v>0</v>
      </c>
      <c r="AC71" s="614">
        <f t="shared" ref="AC71:AC91" si="114">W71</f>
        <v>0</v>
      </c>
      <c r="AD71" s="614">
        <f t="shared" ref="AD71:AD91" si="115">AB71</f>
        <v>0</v>
      </c>
      <c r="AE71" s="614">
        <f t="shared" ref="AE71:AE91" si="116">AC71+AD71</f>
        <v>0</v>
      </c>
      <c r="AF71" s="994"/>
      <c r="AG71" s="994"/>
      <c r="AH71" s="996"/>
      <c r="AI71" s="614">
        <f t="shared" ref="AI71:AI91" si="117">AH71*AC71</f>
        <v>0</v>
      </c>
      <c r="AJ71" s="996"/>
      <c r="AK71" s="614">
        <f t="shared" ref="AK71:AK91" si="118">AJ71*AC71</f>
        <v>0</v>
      </c>
      <c r="AL71" s="997"/>
      <c r="AM71" s="614">
        <f t="shared" ref="AM71:AM97" si="119">AL71*$T$2</f>
        <v>0</v>
      </c>
      <c r="AN71" s="996"/>
      <c r="AO71" s="614">
        <f t="shared" ref="AO71:AO91" si="120">AN71*AC71</f>
        <v>0</v>
      </c>
      <c r="AP71" s="614">
        <f t="shared" ref="AP71:AP91" si="121">AF71+AG71+AI71+AK71+AM71+AO71</f>
        <v>0</v>
      </c>
      <c r="AQ71" s="994"/>
      <c r="AR71" s="994"/>
      <c r="AS71" s="996"/>
      <c r="AT71" s="614">
        <f t="shared" ref="AT71:AT91" si="122">AS71*AD71</f>
        <v>0</v>
      </c>
      <c r="AU71" s="996"/>
      <c r="AV71" s="614">
        <f t="shared" ref="AV71:AV91" si="123">AU71*AD71</f>
        <v>0</v>
      </c>
      <c r="AW71" s="997"/>
      <c r="AX71" s="614">
        <f t="shared" ref="AX71:AX97" si="124">AW71*$T$2</f>
        <v>0</v>
      </c>
      <c r="AY71" s="987">
        <f t="shared" ref="AY71:AY91" si="125">AQ71+AR71+AT71+AV71+AX71</f>
        <v>0</v>
      </c>
      <c r="AZ71" s="987">
        <f t="shared" ref="AZ71:AZ91" si="126">AP71+AY71</f>
        <v>0</v>
      </c>
      <c r="BA71" s="614">
        <f t="shared" ref="BA71:BA91" si="127">AC71+AP71</f>
        <v>0</v>
      </c>
      <c r="BB71" s="614">
        <f t="shared" ref="BB71:BB91" si="128">AD71+AY71</f>
        <v>0</v>
      </c>
      <c r="BC71" s="614">
        <f t="shared" ref="BC71:BC91" si="129">BA71+BB71</f>
        <v>0</v>
      </c>
      <c r="BD71" s="994"/>
      <c r="BE71" s="994"/>
      <c r="BF71" s="614">
        <f t="shared" ref="BF71:BF91" si="130">BD71+BE71</f>
        <v>0</v>
      </c>
      <c r="BG71" s="614">
        <f t="shared" ref="BG71:BG92" si="131">W71*$T$4</f>
        <v>0</v>
      </c>
      <c r="BH71" s="614">
        <f t="shared" ref="BH71:BH92" si="132">AB71*$T$4</f>
        <v>0</v>
      </c>
      <c r="BI71" s="614">
        <f t="shared" ref="BI71:BI91" si="133">BG71+BH71</f>
        <v>0</v>
      </c>
      <c r="BJ71" s="614">
        <f t="shared" ref="BJ71:BJ91" si="134">BA71+BD71+BG71</f>
        <v>0</v>
      </c>
      <c r="BK71" s="614">
        <f t="shared" ref="BK71:BK91" si="135">BB71+BE71+BH71</f>
        <v>0</v>
      </c>
      <c r="BL71" s="614">
        <f t="shared" ref="BL71:BL91" si="136">BJ71+BK71</f>
        <v>0</v>
      </c>
      <c r="BM71" s="614">
        <f t="shared" ref="BM71:BM91" si="137">BJ71*10%</f>
        <v>0</v>
      </c>
      <c r="BN71" s="614">
        <f t="shared" ref="BN71:BN91" si="138">(BJ71-BM71)*10%</f>
        <v>0</v>
      </c>
      <c r="BO71" s="614">
        <f t="shared" ref="BO71:BO91" si="139">(BJ71-BM71)*6%</f>
        <v>0</v>
      </c>
      <c r="BP71" s="614">
        <f t="shared" ref="BP71:BP91" si="140">(BJ71-BM71)*5%</f>
        <v>0</v>
      </c>
      <c r="BQ71" s="614">
        <f t="shared" ref="BQ71:BQ91" si="141">BK71*10%</f>
        <v>0</v>
      </c>
      <c r="BR71" s="614">
        <f t="shared" ref="BR71:BR91" si="142">(BK71-BQ71)*10%</f>
        <v>0</v>
      </c>
      <c r="BS71" s="614">
        <f t="shared" ref="BS71:BS91" si="143">(BK71-BQ71)*6%</f>
        <v>0</v>
      </c>
      <c r="BT71" s="614">
        <f t="shared" ref="BT71:BT91" si="144">(BK71-BQ71)*5%</f>
        <v>0</v>
      </c>
      <c r="BU71" s="614">
        <f t="shared" ref="BU71:BU91" si="145">BM71+BQ71</f>
        <v>0</v>
      </c>
      <c r="BV71" s="614">
        <f t="shared" ref="BV71:BV92" si="146">BN71+BR71</f>
        <v>0</v>
      </c>
      <c r="BW71" s="614">
        <f t="shared" ref="BW71:BW92" si="147">BO71+BS71</f>
        <v>0</v>
      </c>
      <c r="BX71" s="614">
        <f t="shared" ref="BX71:BX91" si="148">BP71+BT71</f>
        <v>0</v>
      </c>
      <c r="BY71" s="209"/>
      <c r="BZ71" s="209"/>
      <c r="CA71" s="209"/>
      <c r="CB71" s="209"/>
      <c r="CC71" s="209"/>
      <c r="CD71" s="209"/>
      <c r="CE71" s="209"/>
      <c r="CF71" s="209"/>
      <c r="CG71" s="209"/>
      <c r="CH71" s="209"/>
      <c r="CI71" s="209"/>
      <c r="CJ71" s="209"/>
      <c r="CK71" s="209"/>
      <c r="CL71" s="209"/>
      <c r="CM71" s="209"/>
      <c r="CN71" s="209"/>
      <c r="CO71" s="209"/>
      <c r="CP71" s="209"/>
      <c r="CQ71" s="209"/>
      <c r="CR71" s="209"/>
      <c r="CS71" s="209"/>
      <c r="CT71" s="209"/>
      <c r="CU71" s="209"/>
      <c r="CV71" s="209"/>
      <c r="CW71" s="209"/>
      <c r="CX71" s="209"/>
      <c r="CY71" s="209"/>
      <c r="CZ71" s="209"/>
      <c r="DA71" s="209"/>
      <c r="DB71" s="209"/>
      <c r="DC71" s="209"/>
      <c r="DD71" s="209"/>
      <c r="DE71" s="209"/>
      <c r="DF71" s="209"/>
      <c r="DG71" s="209"/>
      <c r="DH71" s="209"/>
      <c r="DI71" s="209"/>
      <c r="DJ71" s="209"/>
      <c r="DK71" s="209"/>
      <c r="DL71" s="209"/>
      <c r="DM71" s="209"/>
      <c r="DN71" s="209"/>
      <c r="DO71" s="209"/>
      <c r="DP71" s="209"/>
      <c r="DQ71" s="209"/>
      <c r="DR71" s="209"/>
      <c r="DS71" s="209"/>
      <c r="DT71" s="209"/>
      <c r="DU71" s="209"/>
      <c r="DV71" s="209"/>
      <c r="DW71" s="209"/>
      <c r="DX71" s="209"/>
      <c r="DY71" s="209"/>
      <c r="DZ71" s="209"/>
      <c r="EA71" s="209"/>
      <c r="EB71" s="209"/>
      <c r="EC71" s="209"/>
      <c r="ED71" s="209"/>
      <c r="EE71" s="209"/>
      <c r="EF71" s="209"/>
      <c r="EG71" s="209"/>
      <c r="EH71" s="209"/>
      <c r="EI71" s="209"/>
      <c r="EJ71" s="209"/>
      <c r="EK71" s="209"/>
      <c r="EL71" s="209"/>
      <c r="EM71" s="209"/>
      <c r="EN71" s="209"/>
      <c r="EO71" s="209"/>
      <c r="EP71" s="209"/>
      <c r="EQ71" s="209"/>
      <c r="ER71" s="209"/>
      <c r="ES71" s="209"/>
      <c r="ET71" s="209"/>
      <c r="EU71" s="209"/>
      <c r="EV71" s="209"/>
      <c r="EW71" s="209"/>
      <c r="EX71" s="209"/>
      <c r="EY71" s="209"/>
      <c r="EZ71" s="209"/>
      <c r="FA71" s="209"/>
      <c r="FB71" s="209"/>
      <c r="FC71" s="209"/>
      <c r="FD71" s="209"/>
      <c r="FE71" s="209"/>
      <c r="FF71" s="209"/>
      <c r="FG71" s="209"/>
      <c r="FH71" s="209"/>
      <c r="FI71" s="209"/>
      <c r="FJ71" s="209"/>
      <c r="FK71" s="209"/>
      <c r="FL71" s="209"/>
      <c r="FM71" s="209"/>
      <c r="FN71" s="209"/>
      <c r="FO71" s="209"/>
      <c r="FP71" s="209"/>
      <c r="FQ71" s="209"/>
      <c r="FR71" s="209"/>
      <c r="FS71" s="209"/>
      <c r="FT71" s="209"/>
      <c r="FU71" s="209"/>
      <c r="FV71" s="209"/>
      <c r="FW71" s="209"/>
      <c r="FX71" s="209"/>
      <c r="FY71" s="209"/>
      <c r="FZ71" s="209"/>
      <c r="GA71" s="209"/>
      <c r="GB71" s="209"/>
      <c r="GC71" s="209"/>
      <c r="GD71" s="209"/>
      <c r="GE71" s="209"/>
      <c r="GF71" s="209"/>
      <c r="GG71" s="209"/>
      <c r="GH71" s="209"/>
      <c r="GI71" s="209"/>
      <c r="GJ71" s="209"/>
      <c r="GK71" s="209"/>
      <c r="GL71" s="209"/>
      <c r="GM71" s="209"/>
      <c r="GN71" s="209"/>
      <c r="GO71" s="209"/>
      <c r="GP71" s="209"/>
      <c r="GQ71" s="209"/>
      <c r="GR71" s="209"/>
      <c r="GS71" s="209"/>
      <c r="GT71" s="209"/>
      <c r="GU71" s="209"/>
      <c r="GV71" s="209"/>
      <c r="GW71" s="209"/>
      <c r="GX71" s="209"/>
      <c r="GY71" s="209"/>
      <c r="GZ71" s="209"/>
      <c r="HA71" s="209"/>
      <c r="HB71" s="209"/>
      <c r="HC71" s="209"/>
      <c r="HD71" s="209"/>
      <c r="HE71" s="209"/>
      <c r="HF71" s="209"/>
      <c r="HG71" s="209"/>
      <c r="HH71" s="209"/>
      <c r="HI71" s="209"/>
      <c r="HJ71" s="209"/>
      <c r="HK71" s="209"/>
      <c r="HL71" s="209"/>
      <c r="HM71" s="209"/>
      <c r="HN71" s="209"/>
      <c r="HO71" s="209"/>
      <c r="HP71" s="209"/>
      <c r="HQ71" s="209"/>
      <c r="HR71" s="209"/>
      <c r="HS71" s="209"/>
      <c r="HT71" s="209"/>
      <c r="HU71" s="209"/>
      <c r="HV71" s="209"/>
      <c r="HW71" s="209"/>
      <c r="HX71" s="209"/>
      <c r="HY71" s="209"/>
      <c r="HZ71" s="209"/>
      <c r="IA71" s="209"/>
      <c r="IB71" s="209"/>
      <c r="IC71" s="209"/>
      <c r="ID71" s="209"/>
      <c r="IE71" s="209"/>
      <c r="IF71" s="209"/>
      <c r="IG71" s="209"/>
      <c r="IH71" s="209"/>
      <c r="II71" s="209"/>
      <c r="IJ71" s="209"/>
      <c r="IK71" s="209"/>
      <c r="IL71" s="209"/>
      <c r="IM71" s="209"/>
      <c r="IN71" s="209"/>
      <c r="IO71" s="209"/>
      <c r="IP71" s="209"/>
      <c r="IQ71" s="209"/>
      <c r="IR71" s="209"/>
      <c r="IS71" s="209"/>
      <c r="IT71" s="209"/>
      <c r="IU71" s="209"/>
    </row>
    <row r="72" spans="1:255">
      <c r="A72" s="991"/>
      <c r="B72" s="992"/>
      <c r="C72" s="993"/>
      <c r="D72" s="992"/>
      <c r="E72" s="994"/>
      <c r="F72" s="994"/>
      <c r="G72" s="994"/>
      <c r="H72" s="994"/>
      <c r="I72" s="995"/>
      <c r="J72" s="995"/>
      <c r="K72" s="995"/>
      <c r="L72" s="995"/>
      <c r="M72" s="614">
        <f t="shared" si="102"/>
        <v>0</v>
      </c>
      <c r="N72" s="995"/>
      <c r="O72" s="995"/>
      <c r="P72" s="995"/>
      <c r="Q72" s="995"/>
      <c r="R72" s="614">
        <f t="shared" si="103"/>
        <v>0</v>
      </c>
      <c r="S72" s="614">
        <f t="shared" si="104"/>
        <v>0</v>
      </c>
      <c r="T72" s="614">
        <f t="shared" si="105"/>
        <v>0</v>
      </c>
      <c r="U72" s="614">
        <f t="shared" si="106"/>
        <v>0</v>
      </c>
      <c r="V72" s="614">
        <f t="shared" si="107"/>
        <v>0</v>
      </c>
      <c r="W72" s="614">
        <f t="shared" si="108"/>
        <v>0</v>
      </c>
      <c r="X72" s="614">
        <f t="shared" si="109"/>
        <v>0</v>
      </c>
      <c r="Y72" s="614">
        <f t="shared" si="110"/>
        <v>0</v>
      </c>
      <c r="Z72" s="614">
        <f t="shared" si="111"/>
        <v>0</v>
      </c>
      <c r="AA72" s="614">
        <f t="shared" si="112"/>
        <v>0</v>
      </c>
      <c r="AB72" s="614">
        <f t="shared" si="113"/>
        <v>0</v>
      </c>
      <c r="AC72" s="614">
        <f t="shared" si="114"/>
        <v>0</v>
      </c>
      <c r="AD72" s="614">
        <f t="shared" si="115"/>
        <v>0</v>
      </c>
      <c r="AE72" s="614">
        <f t="shared" si="116"/>
        <v>0</v>
      </c>
      <c r="AF72" s="994"/>
      <c r="AG72" s="994"/>
      <c r="AH72" s="996"/>
      <c r="AI72" s="614">
        <f t="shared" si="117"/>
        <v>0</v>
      </c>
      <c r="AJ72" s="996"/>
      <c r="AK72" s="614">
        <f t="shared" si="118"/>
        <v>0</v>
      </c>
      <c r="AL72" s="997"/>
      <c r="AM72" s="614">
        <f t="shared" si="119"/>
        <v>0</v>
      </c>
      <c r="AN72" s="996"/>
      <c r="AO72" s="614">
        <f t="shared" si="120"/>
        <v>0</v>
      </c>
      <c r="AP72" s="614">
        <f t="shared" si="121"/>
        <v>0</v>
      </c>
      <c r="AQ72" s="994"/>
      <c r="AR72" s="994"/>
      <c r="AS72" s="996"/>
      <c r="AT72" s="614">
        <f t="shared" si="122"/>
        <v>0</v>
      </c>
      <c r="AU72" s="996"/>
      <c r="AV72" s="614">
        <f t="shared" si="123"/>
        <v>0</v>
      </c>
      <c r="AW72" s="997"/>
      <c r="AX72" s="614">
        <f t="shared" si="124"/>
        <v>0</v>
      </c>
      <c r="AY72" s="987">
        <f t="shared" si="125"/>
        <v>0</v>
      </c>
      <c r="AZ72" s="987">
        <f t="shared" si="126"/>
        <v>0</v>
      </c>
      <c r="BA72" s="614">
        <f t="shared" si="127"/>
        <v>0</v>
      </c>
      <c r="BB72" s="614">
        <f t="shared" si="128"/>
        <v>0</v>
      </c>
      <c r="BC72" s="614">
        <f t="shared" si="129"/>
        <v>0</v>
      </c>
      <c r="BD72" s="994"/>
      <c r="BE72" s="994"/>
      <c r="BF72" s="614">
        <f t="shared" si="130"/>
        <v>0</v>
      </c>
      <c r="BG72" s="614">
        <f t="shared" si="131"/>
        <v>0</v>
      </c>
      <c r="BH72" s="614">
        <f t="shared" si="132"/>
        <v>0</v>
      </c>
      <c r="BI72" s="614">
        <f t="shared" si="133"/>
        <v>0</v>
      </c>
      <c r="BJ72" s="614">
        <f t="shared" si="134"/>
        <v>0</v>
      </c>
      <c r="BK72" s="614">
        <f t="shared" si="135"/>
        <v>0</v>
      </c>
      <c r="BL72" s="614">
        <f t="shared" si="136"/>
        <v>0</v>
      </c>
      <c r="BM72" s="614">
        <f t="shared" si="137"/>
        <v>0</v>
      </c>
      <c r="BN72" s="614">
        <f t="shared" si="138"/>
        <v>0</v>
      </c>
      <c r="BO72" s="614">
        <f t="shared" si="139"/>
        <v>0</v>
      </c>
      <c r="BP72" s="614">
        <f t="shared" si="140"/>
        <v>0</v>
      </c>
      <c r="BQ72" s="614">
        <f t="shared" si="141"/>
        <v>0</v>
      </c>
      <c r="BR72" s="614">
        <f t="shared" si="142"/>
        <v>0</v>
      </c>
      <c r="BS72" s="614">
        <f t="shared" si="143"/>
        <v>0</v>
      </c>
      <c r="BT72" s="614">
        <f t="shared" si="144"/>
        <v>0</v>
      </c>
      <c r="BU72" s="614">
        <f t="shared" si="145"/>
        <v>0</v>
      </c>
      <c r="BV72" s="614">
        <f t="shared" si="146"/>
        <v>0</v>
      </c>
      <c r="BW72" s="614">
        <f t="shared" si="147"/>
        <v>0</v>
      </c>
      <c r="BX72" s="614">
        <f t="shared" si="148"/>
        <v>0</v>
      </c>
      <c r="BY72" s="209"/>
      <c r="BZ72" s="209"/>
      <c r="CA72" s="209"/>
      <c r="CB72" s="209"/>
      <c r="CC72" s="209"/>
      <c r="CD72" s="209"/>
      <c r="CE72" s="209"/>
      <c r="CF72" s="209"/>
      <c r="CG72" s="209"/>
      <c r="CH72" s="209"/>
      <c r="CI72" s="209"/>
      <c r="CJ72" s="209"/>
      <c r="CK72" s="209"/>
      <c r="CL72" s="209"/>
      <c r="CM72" s="209"/>
      <c r="CN72" s="209"/>
      <c r="CO72" s="209"/>
      <c r="CP72" s="209"/>
      <c r="CQ72" s="209"/>
      <c r="CR72" s="209"/>
      <c r="CS72" s="209"/>
      <c r="CT72" s="209"/>
      <c r="CU72" s="209"/>
      <c r="CV72" s="209"/>
      <c r="CW72" s="209"/>
      <c r="CX72" s="209"/>
      <c r="CY72" s="209"/>
      <c r="CZ72" s="209"/>
      <c r="DA72" s="209"/>
      <c r="DB72" s="209"/>
      <c r="DC72" s="209"/>
      <c r="DD72" s="209"/>
      <c r="DE72" s="209"/>
      <c r="DF72" s="209"/>
      <c r="DG72" s="209"/>
      <c r="DH72" s="209"/>
      <c r="DI72" s="209"/>
      <c r="DJ72" s="209"/>
      <c r="DK72" s="209"/>
      <c r="DL72" s="209"/>
      <c r="DM72" s="209"/>
      <c r="DN72" s="209"/>
      <c r="DO72" s="209"/>
      <c r="DP72" s="209"/>
      <c r="DQ72" s="209"/>
      <c r="DR72" s="209"/>
      <c r="DS72" s="209"/>
      <c r="DT72" s="209"/>
      <c r="DU72" s="209"/>
      <c r="DV72" s="209"/>
      <c r="DW72" s="209"/>
      <c r="DX72" s="209"/>
      <c r="DY72" s="209"/>
      <c r="DZ72" s="209"/>
      <c r="EA72" s="209"/>
      <c r="EB72" s="209"/>
      <c r="EC72" s="209"/>
      <c r="ED72" s="209"/>
      <c r="EE72" s="209"/>
      <c r="EF72" s="209"/>
      <c r="EG72" s="209"/>
      <c r="EH72" s="209"/>
      <c r="EI72" s="209"/>
      <c r="EJ72" s="209"/>
      <c r="EK72" s="209"/>
      <c r="EL72" s="209"/>
      <c r="EM72" s="209"/>
      <c r="EN72" s="209"/>
      <c r="EO72" s="209"/>
      <c r="EP72" s="209"/>
      <c r="EQ72" s="209"/>
      <c r="ER72" s="209"/>
      <c r="ES72" s="209"/>
      <c r="ET72" s="209"/>
      <c r="EU72" s="209"/>
      <c r="EV72" s="209"/>
      <c r="EW72" s="209"/>
      <c r="EX72" s="209"/>
      <c r="EY72" s="209"/>
      <c r="EZ72" s="209"/>
      <c r="FA72" s="209"/>
      <c r="FB72" s="209"/>
      <c r="FC72" s="209"/>
      <c r="FD72" s="209"/>
      <c r="FE72" s="209"/>
      <c r="FF72" s="209"/>
      <c r="FG72" s="209"/>
      <c r="FH72" s="209"/>
      <c r="FI72" s="209"/>
      <c r="FJ72" s="209"/>
      <c r="FK72" s="209"/>
      <c r="FL72" s="209"/>
      <c r="FM72" s="209"/>
      <c r="FN72" s="209"/>
      <c r="FO72" s="209"/>
      <c r="FP72" s="209"/>
      <c r="FQ72" s="209"/>
      <c r="FR72" s="209"/>
      <c r="FS72" s="209"/>
      <c r="FT72" s="209"/>
      <c r="FU72" s="209"/>
      <c r="FV72" s="209"/>
      <c r="FW72" s="209"/>
      <c r="FX72" s="209"/>
      <c r="FY72" s="209"/>
      <c r="FZ72" s="209"/>
      <c r="GA72" s="209"/>
      <c r="GB72" s="209"/>
      <c r="GC72" s="209"/>
      <c r="GD72" s="209"/>
      <c r="GE72" s="209"/>
      <c r="GF72" s="209"/>
      <c r="GG72" s="209"/>
      <c r="GH72" s="209"/>
      <c r="GI72" s="209"/>
      <c r="GJ72" s="209"/>
      <c r="GK72" s="209"/>
      <c r="GL72" s="209"/>
      <c r="GM72" s="209"/>
      <c r="GN72" s="209"/>
      <c r="GO72" s="209"/>
      <c r="GP72" s="209"/>
      <c r="GQ72" s="209"/>
      <c r="GR72" s="209"/>
      <c r="GS72" s="209"/>
      <c r="GT72" s="209"/>
      <c r="GU72" s="209"/>
      <c r="GV72" s="209"/>
      <c r="GW72" s="209"/>
      <c r="GX72" s="209"/>
      <c r="GY72" s="209"/>
      <c r="GZ72" s="209"/>
      <c r="HA72" s="209"/>
      <c r="HB72" s="209"/>
      <c r="HC72" s="209"/>
      <c r="HD72" s="209"/>
      <c r="HE72" s="209"/>
      <c r="HF72" s="209"/>
      <c r="HG72" s="209"/>
      <c r="HH72" s="209"/>
      <c r="HI72" s="209"/>
      <c r="HJ72" s="209"/>
      <c r="HK72" s="209"/>
      <c r="HL72" s="209"/>
      <c r="HM72" s="209"/>
      <c r="HN72" s="209"/>
      <c r="HO72" s="209"/>
      <c r="HP72" s="209"/>
      <c r="HQ72" s="209"/>
      <c r="HR72" s="209"/>
      <c r="HS72" s="209"/>
      <c r="HT72" s="209"/>
      <c r="HU72" s="209"/>
      <c r="HV72" s="209"/>
      <c r="HW72" s="209"/>
      <c r="HX72" s="209"/>
      <c r="HY72" s="209"/>
      <c r="HZ72" s="209"/>
      <c r="IA72" s="209"/>
      <c r="IB72" s="209"/>
      <c r="IC72" s="209"/>
      <c r="ID72" s="209"/>
      <c r="IE72" s="209"/>
      <c r="IF72" s="209"/>
      <c r="IG72" s="209"/>
      <c r="IH72" s="209"/>
      <c r="II72" s="209"/>
      <c r="IJ72" s="209"/>
      <c r="IK72" s="209"/>
      <c r="IL72" s="209"/>
      <c r="IM72" s="209"/>
      <c r="IN72" s="209"/>
      <c r="IO72" s="209"/>
      <c r="IP72" s="209"/>
      <c r="IQ72" s="209"/>
      <c r="IR72" s="209"/>
      <c r="IS72" s="209"/>
      <c r="IT72" s="209"/>
      <c r="IU72" s="209"/>
    </row>
    <row r="73" spans="1:255">
      <c r="A73" s="991"/>
      <c r="B73" s="992"/>
      <c r="C73" s="993"/>
      <c r="D73" s="992"/>
      <c r="E73" s="994"/>
      <c r="F73" s="994"/>
      <c r="G73" s="994"/>
      <c r="H73" s="994"/>
      <c r="I73" s="995"/>
      <c r="J73" s="995"/>
      <c r="K73" s="995"/>
      <c r="L73" s="995"/>
      <c r="M73" s="614">
        <f t="shared" si="102"/>
        <v>0</v>
      </c>
      <c r="N73" s="995"/>
      <c r="O73" s="995"/>
      <c r="P73" s="995"/>
      <c r="Q73" s="995"/>
      <c r="R73" s="614">
        <f t="shared" si="103"/>
        <v>0</v>
      </c>
      <c r="S73" s="614">
        <f t="shared" si="104"/>
        <v>0</v>
      </c>
      <c r="T73" s="614">
        <f t="shared" si="105"/>
        <v>0</v>
      </c>
      <c r="U73" s="614">
        <f t="shared" si="106"/>
        <v>0</v>
      </c>
      <c r="V73" s="614">
        <f t="shared" si="107"/>
        <v>0</v>
      </c>
      <c r="W73" s="614">
        <f t="shared" si="108"/>
        <v>0</v>
      </c>
      <c r="X73" s="614">
        <f t="shared" si="109"/>
        <v>0</v>
      </c>
      <c r="Y73" s="614">
        <f t="shared" si="110"/>
        <v>0</v>
      </c>
      <c r="Z73" s="614">
        <f t="shared" si="111"/>
        <v>0</v>
      </c>
      <c r="AA73" s="614">
        <f t="shared" si="112"/>
        <v>0</v>
      </c>
      <c r="AB73" s="614">
        <f t="shared" si="113"/>
        <v>0</v>
      </c>
      <c r="AC73" s="614">
        <f t="shared" si="114"/>
        <v>0</v>
      </c>
      <c r="AD73" s="614">
        <f t="shared" si="115"/>
        <v>0</v>
      </c>
      <c r="AE73" s="614">
        <f t="shared" si="116"/>
        <v>0</v>
      </c>
      <c r="AF73" s="994"/>
      <c r="AG73" s="994"/>
      <c r="AH73" s="996"/>
      <c r="AI73" s="614">
        <f t="shared" si="117"/>
        <v>0</v>
      </c>
      <c r="AJ73" s="996"/>
      <c r="AK73" s="614">
        <f t="shared" si="118"/>
        <v>0</v>
      </c>
      <c r="AL73" s="997"/>
      <c r="AM73" s="614">
        <f t="shared" si="119"/>
        <v>0</v>
      </c>
      <c r="AN73" s="996"/>
      <c r="AO73" s="614">
        <f t="shared" si="120"/>
        <v>0</v>
      </c>
      <c r="AP73" s="614">
        <f t="shared" si="121"/>
        <v>0</v>
      </c>
      <c r="AQ73" s="994"/>
      <c r="AR73" s="994"/>
      <c r="AS73" s="996"/>
      <c r="AT73" s="614">
        <f t="shared" si="122"/>
        <v>0</v>
      </c>
      <c r="AU73" s="996"/>
      <c r="AV73" s="614">
        <f t="shared" si="123"/>
        <v>0</v>
      </c>
      <c r="AW73" s="997"/>
      <c r="AX73" s="614">
        <f t="shared" si="124"/>
        <v>0</v>
      </c>
      <c r="AY73" s="987">
        <f t="shared" si="125"/>
        <v>0</v>
      </c>
      <c r="AZ73" s="987">
        <f t="shared" si="126"/>
        <v>0</v>
      </c>
      <c r="BA73" s="614">
        <f t="shared" si="127"/>
        <v>0</v>
      </c>
      <c r="BB73" s="614">
        <f t="shared" si="128"/>
        <v>0</v>
      </c>
      <c r="BC73" s="614">
        <f t="shared" si="129"/>
        <v>0</v>
      </c>
      <c r="BD73" s="994"/>
      <c r="BE73" s="994"/>
      <c r="BF73" s="614">
        <f t="shared" si="130"/>
        <v>0</v>
      </c>
      <c r="BG73" s="614">
        <f t="shared" si="131"/>
        <v>0</v>
      </c>
      <c r="BH73" s="614">
        <f t="shared" si="132"/>
        <v>0</v>
      </c>
      <c r="BI73" s="614">
        <f t="shared" si="133"/>
        <v>0</v>
      </c>
      <c r="BJ73" s="614">
        <f t="shared" si="134"/>
        <v>0</v>
      </c>
      <c r="BK73" s="614">
        <f t="shared" si="135"/>
        <v>0</v>
      </c>
      <c r="BL73" s="614">
        <f t="shared" si="136"/>
        <v>0</v>
      </c>
      <c r="BM73" s="614">
        <f t="shared" si="137"/>
        <v>0</v>
      </c>
      <c r="BN73" s="614">
        <f t="shared" si="138"/>
        <v>0</v>
      </c>
      <c r="BO73" s="614">
        <f t="shared" si="139"/>
        <v>0</v>
      </c>
      <c r="BP73" s="614">
        <f t="shared" si="140"/>
        <v>0</v>
      </c>
      <c r="BQ73" s="614">
        <f t="shared" si="141"/>
        <v>0</v>
      </c>
      <c r="BR73" s="614">
        <f t="shared" si="142"/>
        <v>0</v>
      </c>
      <c r="BS73" s="614">
        <f t="shared" si="143"/>
        <v>0</v>
      </c>
      <c r="BT73" s="614">
        <f t="shared" si="144"/>
        <v>0</v>
      </c>
      <c r="BU73" s="614">
        <f t="shared" si="145"/>
        <v>0</v>
      </c>
      <c r="BV73" s="614">
        <f t="shared" si="146"/>
        <v>0</v>
      </c>
      <c r="BW73" s="614">
        <f t="shared" si="147"/>
        <v>0</v>
      </c>
      <c r="BX73" s="614">
        <f t="shared" si="148"/>
        <v>0</v>
      </c>
      <c r="BY73" s="209"/>
      <c r="BZ73" s="209"/>
      <c r="CA73" s="209"/>
      <c r="CB73" s="209"/>
      <c r="CC73" s="209"/>
      <c r="CD73" s="209"/>
      <c r="CE73" s="209"/>
      <c r="CF73" s="209"/>
      <c r="CG73" s="209"/>
      <c r="CH73" s="209"/>
      <c r="CI73" s="209"/>
      <c r="CJ73" s="209"/>
      <c r="CK73" s="209"/>
      <c r="CL73" s="209"/>
      <c r="CM73" s="209"/>
      <c r="CN73" s="209"/>
      <c r="CO73" s="209"/>
      <c r="CP73" s="209"/>
      <c r="CQ73" s="209"/>
      <c r="CR73" s="209"/>
      <c r="CS73" s="209"/>
      <c r="CT73" s="209"/>
      <c r="CU73" s="209"/>
      <c r="CV73" s="209"/>
      <c r="CW73" s="209"/>
      <c r="CX73" s="209"/>
      <c r="CY73" s="209"/>
      <c r="CZ73" s="209"/>
      <c r="DA73" s="209"/>
      <c r="DB73" s="209"/>
      <c r="DC73" s="209"/>
      <c r="DD73" s="209"/>
      <c r="DE73" s="209"/>
      <c r="DF73" s="209"/>
      <c r="DG73" s="209"/>
      <c r="DH73" s="209"/>
      <c r="DI73" s="209"/>
      <c r="DJ73" s="209"/>
      <c r="DK73" s="209"/>
      <c r="DL73" s="209"/>
      <c r="DM73" s="209"/>
      <c r="DN73" s="209"/>
      <c r="DO73" s="209"/>
      <c r="DP73" s="209"/>
      <c r="DQ73" s="209"/>
      <c r="DR73" s="209"/>
      <c r="DS73" s="209"/>
      <c r="DT73" s="209"/>
      <c r="DU73" s="209"/>
      <c r="DV73" s="209"/>
      <c r="DW73" s="209"/>
      <c r="DX73" s="209"/>
      <c r="DY73" s="209"/>
      <c r="DZ73" s="209"/>
      <c r="EA73" s="209"/>
      <c r="EB73" s="209"/>
      <c r="EC73" s="209"/>
      <c r="ED73" s="209"/>
      <c r="EE73" s="209"/>
      <c r="EF73" s="209"/>
      <c r="EG73" s="209"/>
      <c r="EH73" s="209"/>
      <c r="EI73" s="209"/>
      <c r="EJ73" s="209"/>
      <c r="EK73" s="209"/>
      <c r="EL73" s="209"/>
      <c r="EM73" s="209"/>
      <c r="EN73" s="209"/>
      <c r="EO73" s="209"/>
      <c r="EP73" s="209"/>
      <c r="EQ73" s="209"/>
      <c r="ER73" s="209"/>
      <c r="ES73" s="209"/>
      <c r="ET73" s="209"/>
      <c r="EU73" s="209"/>
      <c r="EV73" s="209"/>
      <c r="EW73" s="209"/>
      <c r="EX73" s="209"/>
      <c r="EY73" s="209"/>
      <c r="EZ73" s="209"/>
      <c r="FA73" s="209"/>
      <c r="FB73" s="209"/>
      <c r="FC73" s="209"/>
      <c r="FD73" s="209"/>
      <c r="FE73" s="209"/>
      <c r="FF73" s="209"/>
      <c r="FG73" s="209"/>
      <c r="FH73" s="209"/>
      <c r="FI73" s="209"/>
      <c r="FJ73" s="209"/>
      <c r="FK73" s="209"/>
      <c r="FL73" s="209"/>
      <c r="FM73" s="209"/>
      <c r="FN73" s="209"/>
      <c r="FO73" s="209"/>
      <c r="FP73" s="209"/>
      <c r="FQ73" s="209"/>
      <c r="FR73" s="209"/>
      <c r="FS73" s="209"/>
      <c r="FT73" s="209"/>
      <c r="FU73" s="209"/>
      <c r="FV73" s="209"/>
      <c r="FW73" s="209"/>
      <c r="FX73" s="209"/>
      <c r="FY73" s="209"/>
      <c r="FZ73" s="209"/>
      <c r="GA73" s="209"/>
      <c r="GB73" s="209"/>
      <c r="GC73" s="209"/>
      <c r="GD73" s="209"/>
      <c r="GE73" s="209"/>
      <c r="GF73" s="209"/>
      <c r="GG73" s="209"/>
      <c r="GH73" s="209"/>
      <c r="GI73" s="209"/>
      <c r="GJ73" s="209"/>
      <c r="GK73" s="209"/>
      <c r="GL73" s="209"/>
      <c r="GM73" s="209"/>
      <c r="GN73" s="209"/>
      <c r="GO73" s="209"/>
      <c r="GP73" s="209"/>
      <c r="GQ73" s="209"/>
      <c r="GR73" s="209"/>
      <c r="GS73" s="209"/>
      <c r="GT73" s="209"/>
      <c r="GU73" s="209"/>
      <c r="GV73" s="209"/>
      <c r="GW73" s="209"/>
      <c r="GX73" s="209"/>
      <c r="GY73" s="209"/>
      <c r="GZ73" s="209"/>
      <c r="HA73" s="209"/>
      <c r="HB73" s="209"/>
      <c r="HC73" s="209"/>
      <c r="HD73" s="209"/>
      <c r="HE73" s="209"/>
      <c r="HF73" s="209"/>
      <c r="HG73" s="209"/>
      <c r="HH73" s="209"/>
      <c r="HI73" s="209"/>
      <c r="HJ73" s="209"/>
      <c r="HK73" s="209"/>
      <c r="HL73" s="209"/>
      <c r="HM73" s="209"/>
      <c r="HN73" s="209"/>
      <c r="HO73" s="209"/>
      <c r="HP73" s="209"/>
      <c r="HQ73" s="209"/>
      <c r="HR73" s="209"/>
      <c r="HS73" s="209"/>
      <c r="HT73" s="209"/>
      <c r="HU73" s="209"/>
      <c r="HV73" s="209"/>
      <c r="HW73" s="209"/>
      <c r="HX73" s="209"/>
      <c r="HY73" s="209"/>
      <c r="HZ73" s="209"/>
      <c r="IA73" s="209"/>
      <c r="IB73" s="209"/>
      <c r="IC73" s="209"/>
      <c r="ID73" s="209"/>
      <c r="IE73" s="209"/>
      <c r="IF73" s="209"/>
      <c r="IG73" s="209"/>
      <c r="IH73" s="209"/>
      <c r="II73" s="209"/>
      <c r="IJ73" s="209"/>
      <c r="IK73" s="209"/>
      <c r="IL73" s="209"/>
      <c r="IM73" s="209"/>
      <c r="IN73" s="209"/>
      <c r="IO73" s="209"/>
      <c r="IP73" s="209"/>
      <c r="IQ73" s="209"/>
      <c r="IR73" s="209"/>
      <c r="IS73" s="209"/>
      <c r="IT73" s="209"/>
      <c r="IU73" s="209"/>
    </row>
    <row r="74" spans="1:255">
      <c r="A74" s="991"/>
      <c r="B74" s="992"/>
      <c r="C74" s="993"/>
      <c r="D74" s="992"/>
      <c r="E74" s="994"/>
      <c r="F74" s="994"/>
      <c r="G74" s="994"/>
      <c r="H74" s="994"/>
      <c r="I74" s="995"/>
      <c r="J74" s="995"/>
      <c r="K74" s="995"/>
      <c r="L74" s="995"/>
      <c r="M74" s="614">
        <f t="shared" si="102"/>
        <v>0</v>
      </c>
      <c r="N74" s="995"/>
      <c r="O74" s="995"/>
      <c r="P74" s="995"/>
      <c r="Q74" s="995"/>
      <c r="R74" s="614">
        <f t="shared" si="103"/>
        <v>0</v>
      </c>
      <c r="S74" s="614">
        <f t="shared" si="104"/>
        <v>0</v>
      </c>
      <c r="T74" s="614">
        <f t="shared" si="105"/>
        <v>0</v>
      </c>
      <c r="U74" s="614">
        <f t="shared" si="106"/>
        <v>0</v>
      </c>
      <c r="V74" s="614">
        <f t="shared" si="107"/>
        <v>0</v>
      </c>
      <c r="W74" s="614">
        <f t="shared" si="108"/>
        <v>0</v>
      </c>
      <c r="X74" s="614">
        <f t="shared" si="109"/>
        <v>0</v>
      </c>
      <c r="Y74" s="614">
        <f t="shared" si="110"/>
        <v>0</v>
      </c>
      <c r="Z74" s="614">
        <f t="shared" si="111"/>
        <v>0</v>
      </c>
      <c r="AA74" s="614">
        <f t="shared" si="112"/>
        <v>0</v>
      </c>
      <c r="AB74" s="614">
        <f t="shared" si="113"/>
        <v>0</v>
      </c>
      <c r="AC74" s="614">
        <f t="shared" si="114"/>
        <v>0</v>
      </c>
      <c r="AD74" s="614">
        <f t="shared" si="115"/>
        <v>0</v>
      </c>
      <c r="AE74" s="614">
        <f t="shared" si="116"/>
        <v>0</v>
      </c>
      <c r="AF74" s="994"/>
      <c r="AG74" s="994"/>
      <c r="AH74" s="996"/>
      <c r="AI74" s="614">
        <f t="shared" si="117"/>
        <v>0</v>
      </c>
      <c r="AJ74" s="996"/>
      <c r="AK74" s="614">
        <f t="shared" si="118"/>
        <v>0</v>
      </c>
      <c r="AL74" s="997"/>
      <c r="AM74" s="614">
        <f t="shared" si="119"/>
        <v>0</v>
      </c>
      <c r="AN74" s="996"/>
      <c r="AO74" s="614">
        <f t="shared" si="120"/>
        <v>0</v>
      </c>
      <c r="AP74" s="614">
        <f t="shared" si="121"/>
        <v>0</v>
      </c>
      <c r="AQ74" s="994"/>
      <c r="AR74" s="994"/>
      <c r="AS74" s="996"/>
      <c r="AT74" s="614">
        <f t="shared" si="122"/>
        <v>0</v>
      </c>
      <c r="AU74" s="996"/>
      <c r="AV74" s="614">
        <f t="shared" si="123"/>
        <v>0</v>
      </c>
      <c r="AW74" s="997"/>
      <c r="AX74" s="614">
        <f t="shared" si="124"/>
        <v>0</v>
      </c>
      <c r="AY74" s="987">
        <f t="shared" si="125"/>
        <v>0</v>
      </c>
      <c r="AZ74" s="987">
        <f t="shared" si="126"/>
        <v>0</v>
      </c>
      <c r="BA74" s="614">
        <f t="shared" si="127"/>
        <v>0</v>
      </c>
      <c r="BB74" s="614">
        <f t="shared" si="128"/>
        <v>0</v>
      </c>
      <c r="BC74" s="614">
        <f t="shared" si="129"/>
        <v>0</v>
      </c>
      <c r="BD74" s="994"/>
      <c r="BE74" s="994"/>
      <c r="BF74" s="614">
        <f t="shared" si="130"/>
        <v>0</v>
      </c>
      <c r="BG74" s="614">
        <f t="shared" si="131"/>
        <v>0</v>
      </c>
      <c r="BH74" s="614">
        <f t="shared" si="132"/>
        <v>0</v>
      </c>
      <c r="BI74" s="614">
        <f t="shared" si="133"/>
        <v>0</v>
      </c>
      <c r="BJ74" s="614">
        <f t="shared" si="134"/>
        <v>0</v>
      </c>
      <c r="BK74" s="614">
        <f t="shared" si="135"/>
        <v>0</v>
      </c>
      <c r="BL74" s="614">
        <f t="shared" si="136"/>
        <v>0</v>
      </c>
      <c r="BM74" s="614">
        <f t="shared" si="137"/>
        <v>0</v>
      </c>
      <c r="BN74" s="614">
        <f t="shared" si="138"/>
        <v>0</v>
      </c>
      <c r="BO74" s="614">
        <f t="shared" si="139"/>
        <v>0</v>
      </c>
      <c r="BP74" s="614">
        <f t="shared" si="140"/>
        <v>0</v>
      </c>
      <c r="BQ74" s="614">
        <f t="shared" si="141"/>
        <v>0</v>
      </c>
      <c r="BR74" s="614">
        <f t="shared" si="142"/>
        <v>0</v>
      </c>
      <c r="BS74" s="614">
        <f t="shared" si="143"/>
        <v>0</v>
      </c>
      <c r="BT74" s="614">
        <f t="shared" si="144"/>
        <v>0</v>
      </c>
      <c r="BU74" s="614">
        <f t="shared" si="145"/>
        <v>0</v>
      </c>
      <c r="BV74" s="614">
        <f t="shared" si="146"/>
        <v>0</v>
      </c>
      <c r="BW74" s="614">
        <f t="shared" si="147"/>
        <v>0</v>
      </c>
      <c r="BX74" s="614">
        <f t="shared" si="148"/>
        <v>0</v>
      </c>
      <c r="BY74" s="209"/>
      <c r="BZ74" s="209"/>
      <c r="CA74" s="209"/>
      <c r="CB74" s="209"/>
      <c r="CC74" s="209"/>
      <c r="CD74" s="209"/>
      <c r="CE74" s="209"/>
      <c r="CF74" s="209"/>
      <c r="CG74" s="209"/>
      <c r="CH74" s="209"/>
      <c r="CI74" s="209"/>
      <c r="CJ74" s="209"/>
      <c r="CK74" s="209"/>
      <c r="CL74" s="209"/>
      <c r="CM74" s="209"/>
      <c r="CN74" s="209"/>
      <c r="CO74" s="209"/>
      <c r="CP74" s="209"/>
      <c r="CQ74" s="209"/>
      <c r="CR74" s="209"/>
      <c r="CS74" s="209"/>
      <c r="CT74" s="209"/>
      <c r="CU74" s="209"/>
      <c r="CV74" s="209"/>
      <c r="CW74" s="209"/>
      <c r="CX74" s="209"/>
      <c r="CY74" s="209"/>
      <c r="CZ74" s="209"/>
      <c r="DA74" s="209"/>
      <c r="DB74" s="209"/>
      <c r="DC74" s="209"/>
      <c r="DD74" s="209"/>
      <c r="DE74" s="209"/>
      <c r="DF74" s="209"/>
      <c r="DG74" s="209"/>
      <c r="DH74" s="209"/>
      <c r="DI74" s="209"/>
      <c r="DJ74" s="209"/>
      <c r="DK74" s="209"/>
      <c r="DL74" s="209"/>
      <c r="DM74" s="209"/>
      <c r="DN74" s="209"/>
      <c r="DO74" s="209"/>
      <c r="DP74" s="209"/>
      <c r="DQ74" s="209"/>
      <c r="DR74" s="209"/>
      <c r="DS74" s="209"/>
      <c r="DT74" s="209"/>
      <c r="DU74" s="209"/>
      <c r="DV74" s="209"/>
      <c r="DW74" s="209"/>
      <c r="DX74" s="209"/>
      <c r="DY74" s="209"/>
      <c r="DZ74" s="209"/>
      <c r="EA74" s="209"/>
      <c r="EB74" s="209"/>
      <c r="EC74" s="209"/>
      <c r="ED74" s="209"/>
      <c r="EE74" s="209"/>
      <c r="EF74" s="209"/>
      <c r="EG74" s="209"/>
      <c r="EH74" s="209"/>
      <c r="EI74" s="209"/>
      <c r="EJ74" s="209"/>
      <c r="EK74" s="209"/>
      <c r="EL74" s="209"/>
      <c r="EM74" s="209"/>
      <c r="EN74" s="209"/>
      <c r="EO74" s="209"/>
      <c r="EP74" s="209"/>
      <c r="EQ74" s="209"/>
      <c r="ER74" s="209"/>
      <c r="ES74" s="209"/>
      <c r="ET74" s="209"/>
      <c r="EU74" s="209"/>
      <c r="EV74" s="209"/>
      <c r="EW74" s="209"/>
      <c r="EX74" s="209"/>
      <c r="EY74" s="209"/>
      <c r="EZ74" s="209"/>
      <c r="FA74" s="209"/>
      <c r="FB74" s="209"/>
      <c r="FC74" s="209"/>
      <c r="FD74" s="209"/>
      <c r="FE74" s="209"/>
      <c r="FF74" s="209"/>
      <c r="FG74" s="209"/>
      <c r="FH74" s="209"/>
      <c r="FI74" s="209"/>
      <c r="FJ74" s="209"/>
      <c r="FK74" s="209"/>
      <c r="FL74" s="209"/>
      <c r="FM74" s="209"/>
      <c r="FN74" s="209"/>
      <c r="FO74" s="209"/>
      <c r="FP74" s="209"/>
      <c r="FQ74" s="209"/>
      <c r="FR74" s="209"/>
      <c r="FS74" s="209"/>
      <c r="FT74" s="209"/>
      <c r="FU74" s="209"/>
      <c r="FV74" s="209"/>
      <c r="FW74" s="209"/>
      <c r="FX74" s="209"/>
      <c r="FY74" s="209"/>
      <c r="FZ74" s="209"/>
      <c r="GA74" s="209"/>
      <c r="GB74" s="209"/>
      <c r="GC74" s="209"/>
      <c r="GD74" s="209"/>
      <c r="GE74" s="209"/>
      <c r="GF74" s="209"/>
      <c r="GG74" s="209"/>
      <c r="GH74" s="209"/>
      <c r="GI74" s="209"/>
      <c r="GJ74" s="209"/>
      <c r="GK74" s="209"/>
      <c r="GL74" s="209"/>
      <c r="GM74" s="209"/>
      <c r="GN74" s="209"/>
      <c r="GO74" s="209"/>
      <c r="GP74" s="209"/>
      <c r="GQ74" s="209"/>
      <c r="GR74" s="209"/>
      <c r="GS74" s="209"/>
      <c r="GT74" s="209"/>
      <c r="GU74" s="209"/>
      <c r="GV74" s="209"/>
      <c r="GW74" s="209"/>
      <c r="GX74" s="209"/>
      <c r="GY74" s="209"/>
      <c r="GZ74" s="209"/>
      <c r="HA74" s="209"/>
      <c r="HB74" s="209"/>
      <c r="HC74" s="209"/>
      <c r="HD74" s="209"/>
      <c r="HE74" s="209"/>
      <c r="HF74" s="209"/>
      <c r="HG74" s="209"/>
      <c r="HH74" s="209"/>
      <c r="HI74" s="209"/>
      <c r="HJ74" s="209"/>
      <c r="HK74" s="209"/>
      <c r="HL74" s="209"/>
      <c r="HM74" s="209"/>
      <c r="HN74" s="209"/>
      <c r="HO74" s="209"/>
      <c r="HP74" s="209"/>
      <c r="HQ74" s="209"/>
      <c r="HR74" s="209"/>
      <c r="HS74" s="209"/>
      <c r="HT74" s="209"/>
      <c r="HU74" s="209"/>
      <c r="HV74" s="209"/>
      <c r="HW74" s="209"/>
      <c r="HX74" s="209"/>
      <c r="HY74" s="209"/>
      <c r="HZ74" s="209"/>
      <c r="IA74" s="209"/>
      <c r="IB74" s="209"/>
      <c r="IC74" s="209"/>
      <c r="ID74" s="209"/>
      <c r="IE74" s="209"/>
      <c r="IF74" s="209"/>
      <c r="IG74" s="209"/>
      <c r="IH74" s="209"/>
      <c r="II74" s="209"/>
      <c r="IJ74" s="209"/>
      <c r="IK74" s="209"/>
      <c r="IL74" s="209"/>
      <c r="IM74" s="209"/>
      <c r="IN74" s="209"/>
      <c r="IO74" s="209"/>
      <c r="IP74" s="209"/>
      <c r="IQ74" s="209"/>
      <c r="IR74" s="209"/>
      <c r="IS74" s="209"/>
      <c r="IT74" s="209"/>
      <c r="IU74" s="209"/>
    </row>
    <row r="75" spans="1:255">
      <c r="A75" s="991"/>
      <c r="B75" s="992"/>
      <c r="C75" s="993"/>
      <c r="D75" s="992"/>
      <c r="E75" s="994"/>
      <c r="F75" s="994"/>
      <c r="G75" s="994"/>
      <c r="H75" s="994"/>
      <c r="I75" s="995"/>
      <c r="J75" s="995"/>
      <c r="K75" s="995"/>
      <c r="L75" s="995"/>
      <c r="M75" s="614">
        <f t="shared" si="102"/>
        <v>0</v>
      </c>
      <c r="N75" s="995"/>
      <c r="O75" s="995"/>
      <c r="P75" s="995"/>
      <c r="Q75" s="995"/>
      <c r="R75" s="614">
        <f t="shared" si="103"/>
        <v>0</v>
      </c>
      <c r="S75" s="614">
        <f t="shared" si="104"/>
        <v>0</v>
      </c>
      <c r="T75" s="614">
        <f t="shared" si="105"/>
        <v>0</v>
      </c>
      <c r="U75" s="614">
        <f t="shared" si="106"/>
        <v>0</v>
      </c>
      <c r="V75" s="614">
        <f t="shared" si="107"/>
        <v>0</v>
      </c>
      <c r="W75" s="614">
        <f t="shared" si="108"/>
        <v>0</v>
      </c>
      <c r="X75" s="614">
        <f t="shared" si="109"/>
        <v>0</v>
      </c>
      <c r="Y75" s="614">
        <f t="shared" si="110"/>
        <v>0</v>
      </c>
      <c r="Z75" s="614">
        <f t="shared" si="111"/>
        <v>0</v>
      </c>
      <c r="AA75" s="614">
        <f t="shared" si="112"/>
        <v>0</v>
      </c>
      <c r="AB75" s="614">
        <f t="shared" si="113"/>
        <v>0</v>
      </c>
      <c r="AC75" s="614">
        <f t="shared" si="114"/>
        <v>0</v>
      </c>
      <c r="AD75" s="614">
        <f t="shared" si="115"/>
        <v>0</v>
      </c>
      <c r="AE75" s="614">
        <f t="shared" si="116"/>
        <v>0</v>
      </c>
      <c r="AF75" s="994"/>
      <c r="AG75" s="994"/>
      <c r="AH75" s="996"/>
      <c r="AI75" s="614">
        <f t="shared" si="117"/>
        <v>0</v>
      </c>
      <c r="AJ75" s="996"/>
      <c r="AK75" s="614">
        <f t="shared" si="118"/>
        <v>0</v>
      </c>
      <c r="AL75" s="997"/>
      <c r="AM75" s="614">
        <f t="shared" si="119"/>
        <v>0</v>
      </c>
      <c r="AN75" s="996"/>
      <c r="AO75" s="614">
        <f t="shared" si="120"/>
        <v>0</v>
      </c>
      <c r="AP75" s="614">
        <f t="shared" si="121"/>
        <v>0</v>
      </c>
      <c r="AQ75" s="994"/>
      <c r="AR75" s="994"/>
      <c r="AS75" s="996"/>
      <c r="AT75" s="614">
        <f t="shared" si="122"/>
        <v>0</v>
      </c>
      <c r="AU75" s="996"/>
      <c r="AV75" s="614">
        <f t="shared" si="123"/>
        <v>0</v>
      </c>
      <c r="AW75" s="997"/>
      <c r="AX75" s="614">
        <f t="shared" si="124"/>
        <v>0</v>
      </c>
      <c r="AY75" s="987">
        <f t="shared" si="125"/>
        <v>0</v>
      </c>
      <c r="AZ75" s="987">
        <f t="shared" si="126"/>
        <v>0</v>
      </c>
      <c r="BA75" s="614">
        <f t="shared" si="127"/>
        <v>0</v>
      </c>
      <c r="BB75" s="614">
        <f t="shared" si="128"/>
        <v>0</v>
      </c>
      <c r="BC75" s="614">
        <f t="shared" si="129"/>
        <v>0</v>
      </c>
      <c r="BD75" s="994"/>
      <c r="BE75" s="994"/>
      <c r="BF75" s="614">
        <f t="shared" si="130"/>
        <v>0</v>
      </c>
      <c r="BG75" s="614">
        <f t="shared" si="131"/>
        <v>0</v>
      </c>
      <c r="BH75" s="614">
        <f t="shared" si="132"/>
        <v>0</v>
      </c>
      <c r="BI75" s="614">
        <f t="shared" si="133"/>
        <v>0</v>
      </c>
      <c r="BJ75" s="614">
        <f t="shared" si="134"/>
        <v>0</v>
      </c>
      <c r="BK75" s="614">
        <f t="shared" si="135"/>
        <v>0</v>
      </c>
      <c r="BL75" s="614">
        <f t="shared" si="136"/>
        <v>0</v>
      </c>
      <c r="BM75" s="614">
        <f t="shared" si="137"/>
        <v>0</v>
      </c>
      <c r="BN75" s="614">
        <f t="shared" si="138"/>
        <v>0</v>
      </c>
      <c r="BO75" s="614">
        <f t="shared" si="139"/>
        <v>0</v>
      </c>
      <c r="BP75" s="614">
        <f t="shared" si="140"/>
        <v>0</v>
      </c>
      <c r="BQ75" s="614">
        <f t="shared" si="141"/>
        <v>0</v>
      </c>
      <c r="BR75" s="614">
        <f t="shared" si="142"/>
        <v>0</v>
      </c>
      <c r="BS75" s="614">
        <f t="shared" si="143"/>
        <v>0</v>
      </c>
      <c r="BT75" s="614">
        <f t="shared" si="144"/>
        <v>0</v>
      </c>
      <c r="BU75" s="614">
        <f t="shared" si="145"/>
        <v>0</v>
      </c>
      <c r="BV75" s="614">
        <f t="shared" si="146"/>
        <v>0</v>
      </c>
      <c r="BW75" s="614">
        <f t="shared" si="147"/>
        <v>0</v>
      </c>
      <c r="BX75" s="614">
        <f t="shared" si="148"/>
        <v>0</v>
      </c>
      <c r="BY75" s="209"/>
      <c r="BZ75" s="209"/>
      <c r="CA75" s="209"/>
      <c r="CB75" s="209"/>
      <c r="CC75" s="209"/>
      <c r="CD75" s="209"/>
      <c r="CE75" s="209"/>
      <c r="CF75" s="209"/>
      <c r="CG75" s="209"/>
      <c r="CH75" s="209"/>
      <c r="CI75" s="209"/>
      <c r="CJ75" s="209"/>
      <c r="CK75" s="209"/>
      <c r="CL75" s="209"/>
      <c r="CM75" s="209"/>
      <c r="CN75" s="209"/>
      <c r="CO75" s="209"/>
      <c r="CP75" s="209"/>
      <c r="CQ75" s="209"/>
      <c r="CR75" s="209"/>
      <c r="CS75" s="209"/>
      <c r="CT75" s="209"/>
      <c r="CU75" s="209"/>
      <c r="CV75" s="209"/>
      <c r="CW75" s="209"/>
      <c r="CX75" s="209"/>
      <c r="CY75" s="209"/>
      <c r="CZ75" s="209"/>
      <c r="DA75" s="209"/>
      <c r="DB75" s="209"/>
      <c r="DC75" s="209"/>
      <c r="DD75" s="209"/>
      <c r="DE75" s="209"/>
      <c r="DF75" s="209"/>
      <c r="DG75" s="209"/>
      <c r="DH75" s="209"/>
      <c r="DI75" s="209"/>
      <c r="DJ75" s="209"/>
      <c r="DK75" s="209"/>
      <c r="DL75" s="209"/>
      <c r="DM75" s="209"/>
      <c r="DN75" s="209"/>
      <c r="DO75" s="209"/>
      <c r="DP75" s="209"/>
      <c r="DQ75" s="209"/>
      <c r="DR75" s="209"/>
      <c r="DS75" s="209"/>
      <c r="DT75" s="209"/>
      <c r="DU75" s="209"/>
      <c r="DV75" s="209"/>
      <c r="DW75" s="209"/>
      <c r="DX75" s="209"/>
      <c r="DY75" s="209"/>
      <c r="DZ75" s="209"/>
      <c r="EA75" s="209"/>
      <c r="EB75" s="209"/>
      <c r="EC75" s="209"/>
      <c r="ED75" s="209"/>
      <c r="EE75" s="209"/>
      <c r="EF75" s="209"/>
      <c r="EG75" s="209"/>
      <c r="EH75" s="209"/>
      <c r="EI75" s="209"/>
      <c r="EJ75" s="209"/>
      <c r="EK75" s="209"/>
      <c r="EL75" s="209"/>
      <c r="EM75" s="209"/>
      <c r="EN75" s="209"/>
      <c r="EO75" s="209"/>
      <c r="EP75" s="209"/>
      <c r="EQ75" s="209"/>
      <c r="ER75" s="209"/>
      <c r="ES75" s="209"/>
      <c r="ET75" s="209"/>
      <c r="EU75" s="209"/>
      <c r="EV75" s="209"/>
      <c r="EW75" s="209"/>
      <c r="EX75" s="209"/>
      <c r="EY75" s="209"/>
      <c r="EZ75" s="209"/>
      <c r="FA75" s="209"/>
      <c r="FB75" s="209"/>
      <c r="FC75" s="209"/>
      <c r="FD75" s="209"/>
      <c r="FE75" s="209"/>
      <c r="FF75" s="209"/>
      <c r="FG75" s="209"/>
      <c r="FH75" s="209"/>
      <c r="FI75" s="209"/>
      <c r="FJ75" s="209"/>
      <c r="FK75" s="209"/>
      <c r="FL75" s="209"/>
      <c r="FM75" s="209"/>
      <c r="FN75" s="209"/>
      <c r="FO75" s="209"/>
      <c r="FP75" s="209"/>
      <c r="FQ75" s="209"/>
      <c r="FR75" s="209"/>
      <c r="FS75" s="209"/>
      <c r="FT75" s="209"/>
      <c r="FU75" s="209"/>
      <c r="FV75" s="209"/>
      <c r="FW75" s="209"/>
      <c r="FX75" s="209"/>
      <c r="FY75" s="209"/>
      <c r="FZ75" s="209"/>
      <c r="GA75" s="209"/>
      <c r="GB75" s="209"/>
      <c r="GC75" s="209"/>
      <c r="GD75" s="209"/>
      <c r="GE75" s="209"/>
      <c r="GF75" s="209"/>
      <c r="GG75" s="209"/>
      <c r="GH75" s="209"/>
      <c r="GI75" s="209"/>
      <c r="GJ75" s="209"/>
      <c r="GK75" s="209"/>
      <c r="GL75" s="209"/>
      <c r="GM75" s="209"/>
      <c r="GN75" s="209"/>
      <c r="GO75" s="209"/>
      <c r="GP75" s="209"/>
      <c r="GQ75" s="209"/>
      <c r="GR75" s="209"/>
      <c r="GS75" s="209"/>
      <c r="GT75" s="209"/>
      <c r="GU75" s="209"/>
      <c r="GV75" s="209"/>
      <c r="GW75" s="209"/>
      <c r="GX75" s="209"/>
      <c r="GY75" s="209"/>
      <c r="GZ75" s="209"/>
      <c r="HA75" s="209"/>
      <c r="HB75" s="209"/>
      <c r="HC75" s="209"/>
      <c r="HD75" s="209"/>
      <c r="HE75" s="209"/>
      <c r="HF75" s="209"/>
      <c r="HG75" s="209"/>
      <c r="HH75" s="209"/>
      <c r="HI75" s="209"/>
      <c r="HJ75" s="209"/>
      <c r="HK75" s="209"/>
      <c r="HL75" s="209"/>
      <c r="HM75" s="209"/>
      <c r="HN75" s="209"/>
      <c r="HO75" s="209"/>
      <c r="HP75" s="209"/>
      <c r="HQ75" s="209"/>
      <c r="HR75" s="209"/>
      <c r="HS75" s="209"/>
      <c r="HT75" s="209"/>
      <c r="HU75" s="209"/>
      <c r="HV75" s="209"/>
      <c r="HW75" s="209"/>
      <c r="HX75" s="209"/>
      <c r="HY75" s="209"/>
      <c r="HZ75" s="209"/>
      <c r="IA75" s="209"/>
      <c r="IB75" s="209"/>
      <c r="IC75" s="209"/>
      <c r="ID75" s="209"/>
      <c r="IE75" s="209"/>
      <c r="IF75" s="209"/>
      <c r="IG75" s="209"/>
      <c r="IH75" s="209"/>
      <c r="II75" s="209"/>
      <c r="IJ75" s="209"/>
      <c r="IK75" s="209"/>
      <c r="IL75" s="209"/>
      <c r="IM75" s="209"/>
      <c r="IN75" s="209"/>
      <c r="IO75" s="209"/>
      <c r="IP75" s="209"/>
      <c r="IQ75" s="209"/>
      <c r="IR75" s="209"/>
      <c r="IS75" s="209"/>
      <c r="IT75" s="209"/>
      <c r="IU75" s="209"/>
    </row>
    <row r="76" spans="1:255">
      <c r="A76" s="991"/>
      <c r="B76" s="992"/>
      <c r="C76" s="993"/>
      <c r="D76" s="992"/>
      <c r="E76" s="994"/>
      <c r="F76" s="994"/>
      <c r="G76" s="994"/>
      <c r="H76" s="994"/>
      <c r="I76" s="995"/>
      <c r="J76" s="995"/>
      <c r="K76" s="995"/>
      <c r="L76" s="995"/>
      <c r="M76" s="614">
        <f t="shared" si="102"/>
        <v>0</v>
      </c>
      <c r="N76" s="995"/>
      <c r="O76" s="995"/>
      <c r="P76" s="995"/>
      <c r="Q76" s="995"/>
      <c r="R76" s="614">
        <f t="shared" si="103"/>
        <v>0</v>
      </c>
      <c r="S76" s="614">
        <f t="shared" si="104"/>
        <v>0</v>
      </c>
      <c r="T76" s="614">
        <f t="shared" si="105"/>
        <v>0</v>
      </c>
      <c r="U76" s="614">
        <f t="shared" si="106"/>
        <v>0</v>
      </c>
      <c r="V76" s="614">
        <f t="shared" si="107"/>
        <v>0</v>
      </c>
      <c r="W76" s="614">
        <f t="shared" si="108"/>
        <v>0</v>
      </c>
      <c r="X76" s="614">
        <f t="shared" si="109"/>
        <v>0</v>
      </c>
      <c r="Y76" s="614">
        <f t="shared" si="110"/>
        <v>0</v>
      </c>
      <c r="Z76" s="614">
        <f t="shared" si="111"/>
        <v>0</v>
      </c>
      <c r="AA76" s="614">
        <f t="shared" si="112"/>
        <v>0</v>
      </c>
      <c r="AB76" s="614">
        <f t="shared" si="113"/>
        <v>0</v>
      </c>
      <c r="AC76" s="614">
        <f t="shared" si="114"/>
        <v>0</v>
      </c>
      <c r="AD76" s="614">
        <f t="shared" si="115"/>
        <v>0</v>
      </c>
      <c r="AE76" s="614">
        <f t="shared" si="116"/>
        <v>0</v>
      </c>
      <c r="AF76" s="994"/>
      <c r="AG76" s="994"/>
      <c r="AH76" s="996"/>
      <c r="AI76" s="614">
        <f t="shared" si="117"/>
        <v>0</v>
      </c>
      <c r="AJ76" s="996"/>
      <c r="AK76" s="614">
        <f t="shared" si="118"/>
        <v>0</v>
      </c>
      <c r="AL76" s="997"/>
      <c r="AM76" s="614">
        <f t="shared" si="119"/>
        <v>0</v>
      </c>
      <c r="AN76" s="996"/>
      <c r="AO76" s="614">
        <f t="shared" si="120"/>
        <v>0</v>
      </c>
      <c r="AP76" s="614">
        <f t="shared" si="121"/>
        <v>0</v>
      </c>
      <c r="AQ76" s="994"/>
      <c r="AR76" s="994"/>
      <c r="AS76" s="996"/>
      <c r="AT76" s="614">
        <f t="shared" si="122"/>
        <v>0</v>
      </c>
      <c r="AU76" s="996"/>
      <c r="AV76" s="614">
        <f t="shared" si="123"/>
        <v>0</v>
      </c>
      <c r="AW76" s="997"/>
      <c r="AX76" s="614">
        <f t="shared" si="124"/>
        <v>0</v>
      </c>
      <c r="AY76" s="987">
        <f t="shared" si="125"/>
        <v>0</v>
      </c>
      <c r="AZ76" s="987">
        <f t="shared" si="126"/>
        <v>0</v>
      </c>
      <c r="BA76" s="614">
        <f t="shared" si="127"/>
        <v>0</v>
      </c>
      <c r="BB76" s="614">
        <f t="shared" si="128"/>
        <v>0</v>
      </c>
      <c r="BC76" s="614">
        <f t="shared" si="129"/>
        <v>0</v>
      </c>
      <c r="BD76" s="994"/>
      <c r="BE76" s="994"/>
      <c r="BF76" s="614">
        <f t="shared" si="130"/>
        <v>0</v>
      </c>
      <c r="BG76" s="614">
        <f t="shared" si="131"/>
        <v>0</v>
      </c>
      <c r="BH76" s="614">
        <f t="shared" si="132"/>
        <v>0</v>
      </c>
      <c r="BI76" s="614">
        <f t="shared" si="133"/>
        <v>0</v>
      </c>
      <c r="BJ76" s="614">
        <f t="shared" si="134"/>
        <v>0</v>
      </c>
      <c r="BK76" s="614">
        <f t="shared" si="135"/>
        <v>0</v>
      </c>
      <c r="BL76" s="614">
        <f t="shared" si="136"/>
        <v>0</v>
      </c>
      <c r="BM76" s="614">
        <f t="shared" si="137"/>
        <v>0</v>
      </c>
      <c r="BN76" s="614">
        <f t="shared" si="138"/>
        <v>0</v>
      </c>
      <c r="BO76" s="614">
        <f t="shared" si="139"/>
        <v>0</v>
      </c>
      <c r="BP76" s="614">
        <f t="shared" si="140"/>
        <v>0</v>
      </c>
      <c r="BQ76" s="614">
        <f t="shared" si="141"/>
        <v>0</v>
      </c>
      <c r="BR76" s="614">
        <f t="shared" si="142"/>
        <v>0</v>
      </c>
      <c r="BS76" s="614">
        <f t="shared" si="143"/>
        <v>0</v>
      </c>
      <c r="BT76" s="614">
        <f t="shared" si="144"/>
        <v>0</v>
      </c>
      <c r="BU76" s="614">
        <f t="shared" si="145"/>
        <v>0</v>
      </c>
      <c r="BV76" s="614">
        <f t="shared" si="146"/>
        <v>0</v>
      </c>
      <c r="BW76" s="614">
        <f t="shared" si="147"/>
        <v>0</v>
      </c>
      <c r="BX76" s="614">
        <f t="shared" si="148"/>
        <v>0</v>
      </c>
      <c r="BY76" s="209"/>
      <c r="BZ76" s="209"/>
      <c r="CA76" s="209"/>
      <c r="CB76" s="209"/>
      <c r="CC76" s="209"/>
      <c r="CD76" s="209"/>
      <c r="CE76" s="209"/>
      <c r="CF76" s="209"/>
      <c r="CG76" s="209"/>
      <c r="CH76" s="209"/>
      <c r="CI76" s="209"/>
      <c r="CJ76" s="209"/>
      <c r="CK76" s="209"/>
      <c r="CL76" s="209"/>
      <c r="CM76" s="209"/>
      <c r="CN76" s="209"/>
      <c r="CO76" s="209"/>
      <c r="CP76" s="209"/>
      <c r="CQ76" s="209"/>
      <c r="CR76" s="209"/>
      <c r="CS76" s="209"/>
      <c r="CT76" s="209"/>
      <c r="CU76" s="209"/>
      <c r="CV76" s="209"/>
      <c r="CW76" s="209"/>
      <c r="CX76" s="209"/>
      <c r="CY76" s="209"/>
      <c r="CZ76" s="209"/>
      <c r="DA76" s="209"/>
      <c r="DB76" s="209"/>
      <c r="DC76" s="209"/>
      <c r="DD76" s="209"/>
      <c r="DE76" s="209"/>
      <c r="DF76" s="209"/>
      <c r="DG76" s="209"/>
      <c r="DH76" s="209"/>
      <c r="DI76" s="209"/>
      <c r="DJ76" s="209"/>
      <c r="DK76" s="209"/>
      <c r="DL76" s="209"/>
      <c r="DM76" s="209"/>
      <c r="DN76" s="209"/>
      <c r="DO76" s="209"/>
      <c r="DP76" s="209"/>
      <c r="DQ76" s="209"/>
      <c r="DR76" s="209"/>
      <c r="DS76" s="209"/>
      <c r="DT76" s="209"/>
      <c r="DU76" s="209"/>
      <c r="DV76" s="209"/>
      <c r="DW76" s="209"/>
      <c r="DX76" s="209"/>
      <c r="DY76" s="209"/>
      <c r="DZ76" s="209"/>
      <c r="EA76" s="209"/>
      <c r="EB76" s="209"/>
      <c r="EC76" s="209"/>
      <c r="ED76" s="209"/>
      <c r="EE76" s="209"/>
      <c r="EF76" s="209"/>
      <c r="EG76" s="209"/>
      <c r="EH76" s="209"/>
      <c r="EI76" s="209"/>
      <c r="EJ76" s="209"/>
      <c r="EK76" s="209"/>
      <c r="EL76" s="209"/>
      <c r="EM76" s="209"/>
      <c r="EN76" s="209"/>
      <c r="EO76" s="209"/>
      <c r="EP76" s="209"/>
      <c r="EQ76" s="209"/>
      <c r="ER76" s="209"/>
      <c r="ES76" s="209"/>
      <c r="ET76" s="209"/>
      <c r="EU76" s="209"/>
      <c r="EV76" s="209"/>
      <c r="EW76" s="209"/>
      <c r="EX76" s="209"/>
      <c r="EY76" s="209"/>
      <c r="EZ76" s="209"/>
      <c r="FA76" s="209"/>
      <c r="FB76" s="209"/>
      <c r="FC76" s="209"/>
      <c r="FD76" s="209"/>
      <c r="FE76" s="209"/>
      <c r="FF76" s="209"/>
      <c r="FG76" s="209"/>
      <c r="FH76" s="209"/>
      <c r="FI76" s="209"/>
      <c r="FJ76" s="209"/>
      <c r="FK76" s="209"/>
      <c r="FL76" s="209"/>
      <c r="FM76" s="209"/>
      <c r="FN76" s="209"/>
      <c r="FO76" s="209"/>
      <c r="FP76" s="209"/>
      <c r="FQ76" s="209"/>
      <c r="FR76" s="209"/>
      <c r="FS76" s="209"/>
      <c r="FT76" s="209"/>
      <c r="FU76" s="209"/>
      <c r="FV76" s="209"/>
      <c r="FW76" s="209"/>
      <c r="FX76" s="209"/>
      <c r="FY76" s="209"/>
      <c r="FZ76" s="209"/>
      <c r="GA76" s="209"/>
      <c r="GB76" s="209"/>
      <c r="GC76" s="209"/>
      <c r="GD76" s="209"/>
      <c r="GE76" s="209"/>
      <c r="GF76" s="209"/>
      <c r="GG76" s="209"/>
      <c r="GH76" s="209"/>
      <c r="GI76" s="209"/>
      <c r="GJ76" s="209"/>
      <c r="GK76" s="209"/>
      <c r="GL76" s="209"/>
      <c r="GM76" s="209"/>
      <c r="GN76" s="209"/>
      <c r="GO76" s="209"/>
      <c r="GP76" s="209"/>
      <c r="GQ76" s="209"/>
      <c r="GR76" s="209"/>
      <c r="GS76" s="209"/>
      <c r="GT76" s="209"/>
      <c r="GU76" s="209"/>
      <c r="GV76" s="209"/>
      <c r="GW76" s="209"/>
      <c r="GX76" s="209"/>
      <c r="GY76" s="209"/>
      <c r="GZ76" s="209"/>
      <c r="HA76" s="209"/>
      <c r="HB76" s="209"/>
      <c r="HC76" s="209"/>
      <c r="HD76" s="209"/>
      <c r="HE76" s="209"/>
      <c r="HF76" s="209"/>
      <c r="HG76" s="209"/>
      <c r="HH76" s="209"/>
      <c r="HI76" s="209"/>
      <c r="HJ76" s="209"/>
      <c r="HK76" s="209"/>
      <c r="HL76" s="209"/>
      <c r="HM76" s="209"/>
      <c r="HN76" s="209"/>
      <c r="HO76" s="209"/>
      <c r="HP76" s="209"/>
      <c r="HQ76" s="209"/>
      <c r="HR76" s="209"/>
      <c r="HS76" s="209"/>
      <c r="HT76" s="209"/>
      <c r="HU76" s="209"/>
      <c r="HV76" s="209"/>
      <c r="HW76" s="209"/>
      <c r="HX76" s="209"/>
      <c r="HY76" s="209"/>
      <c r="HZ76" s="209"/>
      <c r="IA76" s="209"/>
      <c r="IB76" s="209"/>
      <c r="IC76" s="209"/>
      <c r="ID76" s="209"/>
      <c r="IE76" s="209"/>
      <c r="IF76" s="209"/>
      <c r="IG76" s="209"/>
      <c r="IH76" s="209"/>
      <c r="II76" s="209"/>
      <c r="IJ76" s="209"/>
      <c r="IK76" s="209"/>
      <c r="IL76" s="209"/>
      <c r="IM76" s="209"/>
      <c r="IN76" s="209"/>
      <c r="IO76" s="209"/>
      <c r="IP76" s="209"/>
      <c r="IQ76" s="209"/>
      <c r="IR76" s="209"/>
      <c r="IS76" s="209"/>
      <c r="IT76" s="209"/>
      <c r="IU76" s="209"/>
    </row>
    <row r="77" spans="1:255">
      <c r="A77" s="991"/>
      <c r="B77" s="992"/>
      <c r="C77" s="993"/>
      <c r="D77" s="992"/>
      <c r="E77" s="994"/>
      <c r="F77" s="994"/>
      <c r="G77" s="994"/>
      <c r="H77" s="994"/>
      <c r="I77" s="995"/>
      <c r="J77" s="995"/>
      <c r="K77" s="995"/>
      <c r="L77" s="995"/>
      <c r="M77" s="614">
        <f t="shared" si="102"/>
        <v>0</v>
      </c>
      <c r="N77" s="995"/>
      <c r="O77" s="995"/>
      <c r="P77" s="995"/>
      <c r="Q77" s="995"/>
      <c r="R77" s="614">
        <f t="shared" si="103"/>
        <v>0</v>
      </c>
      <c r="S77" s="614">
        <f t="shared" si="104"/>
        <v>0</v>
      </c>
      <c r="T77" s="614">
        <f t="shared" si="105"/>
        <v>0</v>
      </c>
      <c r="U77" s="614">
        <f t="shared" si="106"/>
        <v>0</v>
      </c>
      <c r="V77" s="614">
        <f t="shared" si="107"/>
        <v>0</v>
      </c>
      <c r="W77" s="614">
        <f t="shared" si="108"/>
        <v>0</v>
      </c>
      <c r="X77" s="614">
        <f t="shared" si="109"/>
        <v>0</v>
      </c>
      <c r="Y77" s="614">
        <f t="shared" si="110"/>
        <v>0</v>
      </c>
      <c r="Z77" s="614">
        <f t="shared" si="111"/>
        <v>0</v>
      </c>
      <c r="AA77" s="614">
        <f t="shared" si="112"/>
        <v>0</v>
      </c>
      <c r="AB77" s="614">
        <f t="shared" si="113"/>
        <v>0</v>
      </c>
      <c r="AC77" s="614">
        <f t="shared" si="114"/>
        <v>0</v>
      </c>
      <c r="AD77" s="614">
        <f t="shared" si="115"/>
        <v>0</v>
      </c>
      <c r="AE77" s="614">
        <f t="shared" si="116"/>
        <v>0</v>
      </c>
      <c r="AF77" s="994"/>
      <c r="AG77" s="994"/>
      <c r="AH77" s="996"/>
      <c r="AI77" s="614">
        <f t="shared" si="117"/>
        <v>0</v>
      </c>
      <c r="AJ77" s="996"/>
      <c r="AK77" s="614">
        <f t="shared" si="118"/>
        <v>0</v>
      </c>
      <c r="AL77" s="997"/>
      <c r="AM77" s="614">
        <f t="shared" si="119"/>
        <v>0</v>
      </c>
      <c r="AN77" s="996"/>
      <c r="AO77" s="614">
        <f t="shared" si="120"/>
        <v>0</v>
      </c>
      <c r="AP77" s="614">
        <f t="shared" si="121"/>
        <v>0</v>
      </c>
      <c r="AQ77" s="994"/>
      <c r="AR77" s="994"/>
      <c r="AS77" s="996"/>
      <c r="AT77" s="614">
        <f t="shared" si="122"/>
        <v>0</v>
      </c>
      <c r="AU77" s="996"/>
      <c r="AV77" s="614">
        <f t="shared" si="123"/>
        <v>0</v>
      </c>
      <c r="AW77" s="997"/>
      <c r="AX77" s="614">
        <f t="shared" si="124"/>
        <v>0</v>
      </c>
      <c r="AY77" s="987">
        <f t="shared" si="125"/>
        <v>0</v>
      </c>
      <c r="AZ77" s="987">
        <f t="shared" si="126"/>
        <v>0</v>
      </c>
      <c r="BA77" s="614">
        <f t="shared" si="127"/>
        <v>0</v>
      </c>
      <c r="BB77" s="614">
        <f t="shared" si="128"/>
        <v>0</v>
      </c>
      <c r="BC77" s="614">
        <f t="shared" si="129"/>
        <v>0</v>
      </c>
      <c r="BD77" s="994"/>
      <c r="BE77" s="994"/>
      <c r="BF77" s="614">
        <f t="shared" si="130"/>
        <v>0</v>
      </c>
      <c r="BG77" s="614">
        <f t="shared" si="131"/>
        <v>0</v>
      </c>
      <c r="BH77" s="614">
        <f t="shared" si="132"/>
        <v>0</v>
      </c>
      <c r="BI77" s="614">
        <f t="shared" si="133"/>
        <v>0</v>
      </c>
      <c r="BJ77" s="614">
        <f t="shared" si="134"/>
        <v>0</v>
      </c>
      <c r="BK77" s="614">
        <f t="shared" si="135"/>
        <v>0</v>
      </c>
      <c r="BL77" s="614">
        <f t="shared" si="136"/>
        <v>0</v>
      </c>
      <c r="BM77" s="614">
        <f t="shared" si="137"/>
        <v>0</v>
      </c>
      <c r="BN77" s="614">
        <f t="shared" si="138"/>
        <v>0</v>
      </c>
      <c r="BO77" s="614">
        <f t="shared" si="139"/>
        <v>0</v>
      </c>
      <c r="BP77" s="614">
        <f t="shared" si="140"/>
        <v>0</v>
      </c>
      <c r="BQ77" s="614">
        <f t="shared" si="141"/>
        <v>0</v>
      </c>
      <c r="BR77" s="614">
        <f t="shared" si="142"/>
        <v>0</v>
      </c>
      <c r="BS77" s="614">
        <f t="shared" si="143"/>
        <v>0</v>
      </c>
      <c r="BT77" s="614">
        <f t="shared" si="144"/>
        <v>0</v>
      </c>
      <c r="BU77" s="614">
        <f t="shared" si="145"/>
        <v>0</v>
      </c>
      <c r="BV77" s="614">
        <f t="shared" si="146"/>
        <v>0</v>
      </c>
      <c r="BW77" s="614">
        <f t="shared" si="147"/>
        <v>0</v>
      </c>
      <c r="BX77" s="614">
        <f t="shared" si="148"/>
        <v>0</v>
      </c>
      <c r="BY77" s="209"/>
      <c r="BZ77" s="209"/>
      <c r="CA77" s="209"/>
      <c r="CB77" s="209"/>
      <c r="CC77" s="209"/>
      <c r="CD77" s="209"/>
      <c r="CE77" s="209"/>
      <c r="CF77" s="209"/>
      <c r="CG77" s="209"/>
      <c r="CH77" s="209"/>
      <c r="CI77" s="209"/>
      <c r="CJ77" s="209"/>
      <c r="CK77" s="209"/>
      <c r="CL77" s="209"/>
      <c r="CM77" s="209"/>
      <c r="CN77" s="209"/>
      <c r="CO77" s="209"/>
      <c r="CP77" s="209"/>
      <c r="CQ77" s="209"/>
      <c r="CR77" s="209"/>
      <c r="CS77" s="209"/>
      <c r="CT77" s="209"/>
      <c r="CU77" s="209"/>
      <c r="CV77" s="209"/>
      <c r="CW77" s="209"/>
      <c r="CX77" s="209"/>
      <c r="CY77" s="209"/>
      <c r="CZ77" s="209"/>
      <c r="DA77" s="209"/>
      <c r="DB77" s="209"/>
      <c r="DC77" s="209"/>
      <c r="DD77" s="209"/>
      <c r="DE77" s="209"/>
      <c r="DF77" s="209"/>
      <c r="DG77" s="209"/>
      <c r="DH77" s="209"/>
      <c r="DI77" s="209"/>
      <c r="DJ77" s="209"/>
      <c r="DK77" s="209"/>
      <c r="DL77" s="209"/>
      <c r="DM77" s="209"/>
      <c r="DN77" s="209"/>
      <c r="DO77" s="209"/>
      <c r="DP77" s="209"/>
      <c r="DQ77" s="209"/>
      <c r="DR77" s="209"/>
      <c r="DS77" s="209"/>
      <c r="DT77" s="209"/>
      <c r="DU77" s="209"/>
      <c r="DV77" s="209"/>
      <c r="DW77" s="209"/>
      <c r="DX77" s="209"/>
      <c r="DY77" s="209"/>
      <c r="DZ77" s="209"/>
      <c r="EA77" s="209"/>
      <c r="EB77" s="209"/>
      <c r="EC77" s="209"/>
      <c r="ED77" s="209"/>
      <c r="EE77" s="209"/>
      <c r="EF77" s="209"/>
      <c r="EG77" s="209"/>
      <c r="EH77" s="209"/>
      <c r="EI77" s="209"/>
      <c r="EJ77" s="209"/>
      <c r="EK77" s="209"/>
      <c r="EL77" s="209"/>
      <c r="EM77" s="209"/>
      <c r="EN77" s="209"/>
      <c r="EO77" s="209"/>
      <c r="EP77" s="209"/>
      <c r="EQ77" s="209"/>
      <c r="ER77" s="209"/>
      <c r="ES77" s="209"/>
      <c r="ET77" s="209"/>
      <c r="EU77" s="209"/>
      <c r="EV77" s="209"/>
      <c r="EW77" s="209"/>
      <c r="EX77" s="209"/>
      <c r="EY77" s="209"/>
      <c r="EZ77" s="209"/>
      <c r="FA77" s="209"/>
      <c r="FB77" s="209"/>
      <c r="FC77" s="209"/>
      <c r="FD77" s="209"/>
      <c r="FE77" s="209"/>
      <c r="FF77" s="209"/>
      <c r="FG77" s="209"/>
      <c r="FH77" s="209"/>
      <c r="FI77" s="209"/>
      <c r="FJ77" s="209"/>
      <c r="FK77" s="209"/>
      <c r="FL77" s="209"/>
      <c r="FM77" s="209"/>
      <c r="FN77" s="209"/>
      <c r="FO77" s="209"/>
      <c r="FP77" s="209"/>
      <c r="FQ77" s="209"/>
      <c r="FR77" s="209"/>
      <c r="FS77" s="209"/>
      <c r="FT77" s="209"/>
      <c r="FU77" s="209"/>
      <c r="FV77" s="209"/>
      <c r="FW77" s="209"/>
      <c r="FX77" s="209"/>
      <c r="FY77" s="209"/>
      <c r="FZ77" s="209"/>
      <c r="GA77" s="209"/>
      <c r="GB77" s="209"/>
      <c r="GC77" s="209"/>
      <c r="GD77" s="209"/>
      <c r="GE77" s="209"/>
      <c r="GF77" s="209"/>
      <c r="GG77" s="209"/>
      <c r="GH77" s="209"/>
      <c r="GI77" s="209"/>
      <c r="GJ77" s="209"/>
      <c r="GK77" s="209"/>
      <c r="GL77" s="209"/>
      <c r="GM77" s="209"/>
      <c r="GN77" s="209"/>
      <c r="GO77" s="209"/>
      <c r="GP77" s="209"/>
      <c r="GQ77" s="209"/>
      <c r="GR77" s="209"/>
      <c r="GS77" s="209"/>
      <c r="GT77" s="209"/>
      <c r="GU77" s="209"/>
      <c r="GV77" s="209"/>
      <c r="GW77" s="209"/>
      <c r="GX77" s="209"/>
      <c r="GY77" s="209"/>
      <c r="GZ77" s="209"/>
      <c r="HA77" s="209"/>
      <c r="HB77" s="209"/>
      <c r="HC77" s="209"/>
      <c r="HD77" s="209"/>
      <c r="HE77" s="209"/>
      <c r="HF77" s="209"/>
      <c r="HG77" s="209"/>
      <c r="HH77" s="209"/>
      <c r="HI77" s="209"/>
      <c r="HJ77" s="209"/>
      <c r="HK77" s="209"/>
      <c r="HL77" s="209"/>
      <c r="HM77" s="209"/>
      <c r="HN77" s="209"/>
      <c r="HO77" s="209"/>
      <c r="HP77" s="209"/>
      <c r="HQ77" s="209"/>
      <c r="HR77" s="209"/>
      <c r="HS77" s="209"/>
      <c r="HT77" s="209"/>
      <c r="HU77" s="209"/>
      <c r="HV77" s="209"/>
      <c r="HW77" s="209"/>
      <c r="HX77" s="209"/>
      <c r="HY77" s="209"/>
      <c r="HZ77" s="209"/>
      <c r="IA77" s="209"/>
      <c r="IB77" s="209"/>
      <c r="IC77" s="209"/>
      <c r="ID77" s="209"/>
      <c r="IE77" s="209"/>
      <c r="IF77" s="209"/>
      <c r="IG77" s="209"/>
      <c r="IH77" s="209"/>
      <c r="II77" s="209"/>
      <c r="IJ77" s="209"/>
      <c r="IK77" s="209"/>
      <c r="IL77" s="209"/>
      <c r="IM77" s="209"/>
      <c r="IN77" s="209"/>
      <c r="IO77" s="209"/>
      <c r="IP77" s="209"/>
      <c r="IQ77" s="209"/>
      <c r="IR77" s="209"/>
      <c r="IS77" s="209"/>
      <c r="IT77" s="209"/>
      <c r="IU77" s="209"/>
    </row>
    <row r="78" spans="1:255">
      <c r="A78" s="991"/>
      <c r="B78" s="992"/>
      <c r="C78" s="993"/>
      <c r="D78" s="992"/>
      <c r="E78" s="994"/>
      <c r="F78" s="994"/>
      <c r="G78" s="994"/>
      <c r="H78" s="994"/>
      <c r="I78" s="995"/>
      <c r="J78" s="995"/>
      <c r="K78" s="995"/>
      <c r="L78" s="995"/>
      <c r="M78" s="614">
        <f t="shared" si="102"/>
        <v>0</v>
      </c>
      <c r="N78" s="995"/>
      <c r="O78" s="995"/>
      <c r="P78" s="995"/>
      <c r="Q78" s="995"/>
      <c r="R78" s="614">
        <f t="shared" si="103"/>
        <v>0</v>
      </c>
      <c r="S78" s="614">
        <f t="shared" si="104"/>
        <v>0</v>
      </c>
      <c r="T78" s="614">
        <f t="shared" si="105"/>
        <v>0</v>
      </c>
      <c r="U78" s="614">
        <f t="shared" si="106"/>
        <v>0</v>
      </c>
      <c r="V78" s="614">
        <f t="shared" si="107"/>
        <v>0</v>
      </c>
      <c r="W78" s="614">
        <f t="shared" si="108"/>
        <v>0</v>
      </c>
      <c r="X78" s="614">
        <f t="shared" si="109"/>
        <v>0</v>
      </c>
      <c r="Y78" s="614">
        <f t="shared" si="110"/>
        <v>0</v>
      </c>
      <c r="Z78" s="614">
        <f t="shared" si="111"/>
        <v>0</v>
      </c>
      <c r="AA78" s="614">
        <f t="shared" si="112"/>
        <v>0</v>
      </c>
      <c r="AB78" s="614">
        <f t="shared" si="113"/>
        <v>0</v>
      </c>
      <c r="AC78" s="614">
        <f t="shared" si="114"/>
        <v>0</v>
      </c>
      <c r="AD78" s="614">
        <f t="shared" si="115"/>
        <v>0</v>
      </c>
      <c r="AE78" s="614">
        <f t="shared" si="116"/>
        <v>0</v>
      </c>
      <c r="AF78" s="994"/>
      <c r="AG78" s="994"/>
      <c r="AH78" s="996"/>
      <c r="AI78" s="614">
        <f t="shared" si="117"/>
        <v>0</v>
      </c>
      <c r="AJ78" s="996"/>
      <c r="AK78" s="614">
        <f t="shared" si="118"/>
        <v>0</v>
      </c>
      <c r="AL78" s="997"/>
      <c r="AM78" s="614">
        <f t="shared" si="119"/>
        <v>0</v>
      </c>
      <c r="AN78" s="996"/>
      <c r="AO78" s="614">
        <f t="shared" si="120"/>
        <v>0</v>
      </c>
      <c r="AP78" s="614">
        <f t="shared" si="121"/>
        <v>0</v>
      </c>
      <c r="AQ78" s="994"/>
      <c r="AR78" s="994"/>
      <c r="AS78" s="996"/>
      <c r="AT78" s="614">
        <f t="shared" si="122"/>
        <v>0</v>
      </c>
      <c r="AU78" s="996"/>
      <c r="AV78" s="614">
        <f t="shared" si="123"/>
        <v>0</v>
      </c>
      <c r="AW78" s="997"/>
      <c r="AX78" s="614">
        <f t="shared" si="124"/>
        <v>0</v>
      </c>
      <c r="AY78" s="987">
        <f t="shared" si="125"/>
        <v>0</v>
      </c>
      <c r="AZ78" s="987">
        <f t="shared" si="126"/>
        <v>0</v>
      </c>
      <c r="BA78" s="614">
        <f t="shared" si="127"/>
        <v>0</v>
      </c>
      <c r="BB78" s="614">
        <f t="shared" si="128"/>
        <v>0</v>
      </c>
      <c r="BC78" s="614">
        <f t="shared" si="129"/>
        <v>0</v>
      </c>
      <c r="BD78" s="994"/>
      <c r="BE78" s="994"/>
      <c r="BF78" s="614">
        <f t="shared" si="130"/>
        <v>0</v>
      </c>
      <c r="BG78" s="614">
        <f t="shared" si="131"/>
        <v>0</v>
      </c>
      <c r="BH78" s="614">
        <f t="shared" si="132"/>
        <v>0</v>
      </c>
      <c r="BI78" s="614">
        <f t="shared" si="133"/>
        <v>0</v>
      </c>
      <c r="BJ78" s="614">
        <f t="shared" si="134"/>
        <v>0</v>
      </c>
      <c r="BK78" s="614">
        <f t="shared" si="135"/>
        <v>0</v>
      </c>
      <c r="BL78" s="614">
        <f t="shared" si="136"/>
        <v>0</v>
      </c>
      <c r="BM78" s="614">
        <f t="shared" si="137"/>
        <v>0</v>
      </c>
      <c r="BN78" s="614">
        <f t="shared" si="138"/>
        <v>0</v>
      </c>
      <c r="BO78" s="614">
        <f t="shared" si="139"/>
        <v>0</v>
      </c>
      <c r="BP78" s="614">
        <f t="shared" si="140"/>
        <v>0</v>
      </c>
      <c r="BQ78" s="614">
        <f t="shared" si="141"/>
        <v>0</v>
      </c>
      <c r="BR78" s="614">
        <f t="shared" si="142"/>
        <v>0</v>
      </c>
      <c r="BS78" s="614">
        <f t="shared" si="143"/>
        <v>0</v>
      </c>
      <c r="BT78" s="614">
        <f t="shared" si="144"/>
        <v>0</v>
      </c>
      <c r="BU78" s="614">
        <f t="shared" si="145"/>
        <v>0</v>
      </c>
      <c r="BV78" s="614">
        <f t="shared" si="146"/>
        <v>0</v>
      </c>
      <c r="BW78" s="614">
        <f t="shared" si="147"/>
        <v>0</v>
      </c>
      <c r="BX78" s="614">
        <f t="shared" si="148"/>
        <v>0</v>
      </c>
      <c r="BY78" s="209"/>
      <c r="BZ78" s="209"/>
      <c r="CA78" s="209"/>
      <c r="CB78" s="209"/>
      <c r="CC78" s="209"/>
      <c r="CD78" s="209"/>
      <c r="CE78" s="209"/>
      <c r="CF78" s="209"/>
      <c r="CG78" s="209"/>
      <c r="CH78" s="209"/>
      <c r="CI78" s="209"/>
      <c r="CJ78" s="209"/>
      <c r="CK78" s="209"/>
      <c r="CL78" s="209"/>
      <c r="CM78" s="209"/>
      <c r="CN78" s="209"/>
      <c r="CO78" s="209"/>
      <c r="CP78" s="209"/>
      <c r="CQ78" s="209"/>
      <c r="CR78" s="209"/>
      <c r="CS78" s="209"/>
      <c r="CT78" s="209"/>
      <c r="CU78" s="209"/>
      <c r="CV78" s="209"/>
      <c r="CW78" s="209"/>
      <c r="CX78" s="209"/>
      <c r="CY78" s="209"/>
      <c r="CZ78" s="209"/>
      <c r="DA78" s="209"/>
      <c r="DB78" s="209"/>
      <c r="DC78" s="209"/>
      <c r="DD78" s="209"/>
      <c r="DE78" s="209"/>
      <c r="DF78" s="209"/>
      <c r="DG78" s="209"/>
      <c r="DH78" s="209"/>
      <c r="DI78" s="209"/>
      <c r="DJ78" s="209"/>
      <c r="DK78" s="209"/>
      <c r="DL78" s="209"/>
      <c r="DM78" s="209"/>
      <c r="DN78" s="209"/>
      <c r="DO78" s="209"/>
      <c r="DP78" s="209"/>
      <c r="DQ78" s="209"/>
      <c r="DR78" s="209"/>
      <c r="DS78" s="209"/>
      <c r="DT78" s="209"/>
      <c r="DU78" s="209"/>
      <c r="DV78" s="209"/>
      <c r="DW78" s="209"/>
      <c r="DX78" s="209"/>
      <c r="DY78" s="209"/>
      <c r="DZ78" s="209"/>
      <c r="EA78" s="209"/>
      <c r="EB78" s="209"/>
      <c r="EC78" s="209"/>
      <c r="ED78" s="209"/>
      <c r="EE78" s="209"/>
      <c r="EF78" s="209"/>
      <c r="EG78" s="209"/>
      <c r="EH78" s="209"/>
      <c r="EI78" s="209"/>
      <c r="EJ78" s="209"/>
      <c r="EK78" s="209"/>
      <c r="EL78" s="209"/>
      <c r="EM78" s="209"/>
      <c r="EN78" s="209"/>
      <c r="EO78" s="209"/>
      <c r="EP78" s="209"/>
      <c r="EQ78" s="209"/>
      <c r="ER78" s="209"/>
      <c r="ES78" s="209"/>
      <c r="ET78" s="209"/>
      <c r="EU78" s="209"/>
      <c r="EV78" s="209"/>
      <c r="EW78" s="209"/>
      <c r="EX78" s="209"/>
      <c r="EY78" s="209"/>
      <c r="EZ78" s="209"/>
      <c r="FA78" s="209"/>
      <c r="FB78" s="209"/>
      <c r="FC78" s="209"/>
      <c r="FD78" s="209"/>
      <c r="FE78" s="209"/>
      <c r="FF78" s="209"/>
      <c r="FG78" s="209"/>
      <c r="FH78" s="209"/>
      <c r="FI78" s="209"/>
      <c r="FJ78" s="209"/>
      <c r="FK78" s="209"/>
      <c r="FL78" s="209"/>
      <c r="FM78" s="209"/>
      <c r="FN78" s="209"/>
      <c r="FO78" s="209"/>
      <c r="FP78" s="209"/>
      <c r="FQ78" s="209"/>
      <c r="FR78" s="209"/>
      <c r="FS78" s="209"/>
      <c r="FT78" s="209"/>
      <c r="FU78" s="209"/>
      <c r="FV78" s="209"/>
      <c r="FW78" s="209"/>
      <c r="FX78" s="209"/>
      <c r="FY78" s="209"/>
      <c r="FZ78" s="209"/>
      <c r="GA78" s="209"/>
      <c r="GB78" s="209"/>
      <c r="GC78" s="209"/>
      <c r="GD78" s="209"/>
      <c r="GE78" s="209"/>
      <c r="GF78" s="209"/>
      <c r="GG78" s="209"/>
      <c r="GH78" s="209"/>
      <c r="GI78" s="209"/>
      <c r="GJ78" s="209"/>
      <c r="GK78" s="209"/>
      <c r="GL78" s="209"/>
      <c r="GM78" s="209"/>
      <c r="GN78" s="209"/>
      <c r="GO78" s="209"/>
      <c r="GP78" s="209"/>
      <c r="GQ78" s="209"/>
      <c r="GR78" s="209"/>
      <c r="GS78" s="209"/>
      <c r="GT78" s="209"/>
      <c r="GU78" s="209"/>
      <c r="GV78" s="209"/>
      <c r="GW78" s="209"/>
      <c r="GX78" s="209"/>
      <c r="GY78" s="209"/>
      <c r="GZ78" s="209"/>
      <c r="HA78" s="209"/>
      <c r="HB78" s="209"/>
      <c r="HC78" s="209"/>
      <c r="HD78" s="209"/>
      <c r="HE78" s="209"/>
      <c r="HF78" s="209"/>
      <c r="HG78" s="209"/>
      <c r="HH78" s="209"/>
      <c r="HI78" s="209"/>
      <c r="HJ78" s="209"/>
      <c r="HK78" s="209"/>
      <c r="HL78" s="209"/>
      <c r="HM78" s="209"/>
      <c r="HN78" s="209"/>
      <c r="HO78" s="209"/>
      <c r="HP78" s="209"/>
      <c r="HQ78" s="209"/>
      <c r="HR78" s="209"/>
      <c r="HS78" s="209"/>
      <c r="HT78" s="209"/>
      <c r="HU78" s="209"/>
      <c r="HV78" s="209"/>
      <c r="HW78" s="209"/>
      <c r="HX78" s="209"/>
      <c r="HY78" s="209"/>
      <c r="HZ78" s="209"/>
      <c r="IA78" s="209"/>
      <c r="IB78" s="209"/>
      <c r="IC78" s="209"/>
      <c r="ID78" s="209"/>
      <c r="IE78" s="209"/>
      <c r="IF78" s="209"/>
      <c r="IG78" s="209"/>
      <c r="IH78" s="209"/>
      <c r="II78" s="209"/>
      <c r="IJ78" s="209"/>
      <c r="IK78" s="209"/>
      <c r="IL78" s="209"/>
      <c r="IM78" s="209"/>
      <c r="IN78" s="209"/>
      <c r="IO78" s="209"/>
      <c r="IP78" s="209"/>
      <c r="IQ78" s="209"/>
      <c r="IR78" s="209"/>
      <c r="IS78" s="209"/>
      <c r="IT78" s="209"/>
      <c r="IU78" s="209"/>
    </row>
    <row r="79" spans="1:255">
      <c r="A79" s="991"/>
      <c r="B79" s="992"/>
      <c r="C79" s="993"/>
      <c r="D79" s="992"/>
      <c r="E79" s="994"/>
      <c r="F79" s="994"/>
      <c r="G79" s="994"/>
      <c r="H79" s="994"/>
      <c r="I79" s="995"/>
      <c r="J79" s="995"/>
      <c r="K79" s="995"/>
      <c r="L79" s="995"/>
      <c r="M79" s="614">
        <f t="shared" si="102"/>
        <v>0</v>
      </c>
      <c r="N79" s="995"/>
      <c r="O79" s="995"/>
      <c r="P79" s="995"/>
      <c r="Q79" s="995"/>
      <c r="R79" s="614">
        <f t="shared" si="103"/>
        <v>0</v>
      </c>
      <c r="S79" s="614">
        <f t="shared" si="104"/>
        <v>0</v>
      </c>
      <c r="T79" s="614">
        <f t="shared" si="105"/>
        <v>0</v>
      </c>
      <c r="U79" s="614">
        <f t="shared" si="106"/>
        <v>0</v>
      </c>
      <c r="V79" s="614">
        <f t="shared" si="107"/>
        <v>0</v>
      </c>
      <c r="W79" s="614">
        <f t="shared" si="108"/>
        <v>0</v>
      </c>
      <c r="X79" s="614">
        <f t="shared" si="109"/>
        <v>0</v>
      </c>
      <c r="Y79" s="614">
        <f t="shared" si="110"/>
        <v>0</v>
      </c>
      <c r="Z79" s="614">
        <f t="shared" si="111"/>
        <v>0</v>
      </c>
      <c r="AA79" s="614">
        <f t="shared" si="112"/>
        <v>0</v>
      </c>
      <c r="AB79" s="614">
        <f t="shared" si="113"/>
        <v>0</v>
      </c>
      <c r="AC79" s="614">
        <f t="shared" si="114"/>
        <v>0</v>
      </c>
      <c r="AD79" s="614">
        <f t="shared" si="115"/>
        <v>0</v>
      </c>
      <c r="AE79" s="614">
        <f t="shared" si="116"/>
        <v>0</v>
      </c>
      <c r="AF79" s="994"/>
      <c r="AG79" s="994"/>
      <c r="AH79" s="996"/>
      <c r="AI79" s="614">
        <f t="shared" si="117"/>
        <v>0</v>
      </c>
      <c r="AJ79" s="996"/>
      <c r="AK79" s="614">
        <f t="shared" si="118"/>
        <v>0</v>
      </c>
      <c r="AL79" s="997"/>
      <c r="AM79" s="614">
        <f t="shared" si="119"/>
        <v>0</v>
      </c>
      <c r="AN79" s="996"/>
      <c r="AO79" s="614">
        <f t="shared" si="120"/>
        <v>0</v>
      </c>
      <c r="AP79" s="614">
        <f t="shared" si="121"/>
        <v>0</v>
      </c>
      <c r="AQ79" s="994"/>
      <c r="AR79" s="994"/>
      <c r="AS79" s="996"/>
      <c r="AT79" s="614">
        <f t="shared" si="122"/>
        <v>0</v>
      </c>
      <c r="AU79" s="996"/>
      <c r="AV79" s="614">
        <f t="shared" si="123"/>
        <v>0</v>
      </c>
      <c r="AW79" s="997"/>
      <c r="AX79" s="614">
        <f t="shared" si="124"/>
        <v>0</v>
      </c>
      <c r="AY79" s="987">
        <f t="shared" si="125"/>
        <v>0</v>
      </c>
      <c r="AZ79" s="987">
        <f t="shared" si="126"/>
        <v>0</v>
      </c>
      <c r="BA79" s="614">
        <f t="shared" si="127"/>
        <v>0</v>
      </c>
      <c r="BB79" s="614">
        <f t="shared" si="128"/>
        <v>0</v>
      </c>
      <c r="BC79" s="614">
        <f t="shared" si="129"/>
        <v>0</v>
      </c>
      <c r="BD79" s="994"/>
      <c r="BE79" s="994"/>
      <c r="BF79" s="614">
        <f t="shared" si="130"/>
        <v>0</v>
      </c>
      <c r="BG79" s="614">
        <f t="shared" si="131"/>
        <v>0</v>
      </c>
      <c r="BH79" s="614">
        <f t="shared" si="132"/>
        <v>0</v>
      </c>
      <c r="BI79" s="614">
        <f t="shared" si="133"/>
        <v>0</v>
      </c>
      <c r="BJ79" s="614">
        <f t="shared" si="134"/>
        <v>0</v>
      </c>
      <c r="BK79" s="614">
        <f t="shared" si="135"/>
        <v>0</v>
      </c>
      <c r="BL79" s="614">
        <f t="shared" si="136"/>
        <v>0</v>
      </c>
      <c r="BM79" s="614">
        <f t="shared" si="137"/>
        <v>0</v>
      </c>
      <c r="BN79" s="614">
        <f t="shared" si="138"/>
        <v>0</v>
      </c>
      <c r="BO79" s="614">
        <f t="shared" si="139"/>
        <v>0</v>
      </c>
      <c r="BP79" s="614">
        <f t="shared" si="140"/>
        <v>0</v>
      </c>
      <c r="BQ79" s="614">
        <f t="shared" si="141"/>
        <v>0</v>
      </c>
      <c r="BR79" s="614">
        <f t="shared" si="142"/>
        <v>0</v>
      </c>
      <c r="BS79" s="614">
        <f t="shared" si="143"/>
        <v>0</v>
      </c>
      <c r="BT79" s="614">
        <f t="shared" si="144"/>
        <v>0</v>
      </c>
      <c r="BU79" s="614">
        <f t="shared" si="145"/>
        <v>0</v>
      </c>
      <c r="BV79" s="614">
        <f t="shared" si="146"/>
        <v>0</v>
      </c>
      <c r="BW79" s="614">
        <f t="shared" si="147"/>
        <v>0</v>
      </c>
      <c r="BX79" s="614">
        <f t="shared" si="148"/>
        <v>0</v>
      </c>
      <c r="BY79" s="209"/>
      <c r="BZ79" s="209"/>
      <c r="CA79" s="209"/>
      <c r="CB79" s="209"/>
      <c r="CC79" s="209"/>
      <c r="CD79" s="209"/>
      <c r="CE79" s="209"/>
      <c r="CF79" s="209"/>
      <c r="CG79" s="209"/>
      <c r="CH79" s="209"/>
      <c r="CI79" s="209"/>
      <c r="CJ79" s="209"/>
      <c r="CK79" s="209"/>
      <c r="CL79" s="209"/>
      <c r="CM79" s="209"/>
      <c r="CN79" s="209"/>
      <c r="CO79" s="209"/>
      <c r="CP79" s="209"/>
      <c r="CQ79" s="209"/>
      <c r="CR79" s="209"/>
      <c r="CS79" s="209"/>
      <c r="CT79" s="209"/>
      <c r="CU79" s="209"/>
      <c r="CV79" s="209"/>
      <c r="CW79" s="209"/>
      <c r="CX79" s="209"/>
      <c r="CY79" s="209"/>
      <c r="CZ79" s="209"/>
      <c r="DA79" s="209"/>
      <c r="DB79" s="209"/>
      <c r="DC79" s="209"/>
      <c r="DD79" s="209"/>
      <c r="DE79" s="209"/>
      <c r="DF79" s="209"/>
      <c r="DG79" s="209"/>
      <c r="DH79" s="209"/>
      <c r="DI79" s="209"/>
      <c r="DJ79" s="209"/>
      <c r="DK79" s="209"/>
      <c r="DL79" s="209"/>
      <c r="DM79" s="209"/>
      <c r="DN79" s="209"/>
      <c r="DO79" s="209"/>
      <c r="DP79" s="209"/>
      <c r="DQ79" s="209"/>
      <c r="DR79" s="209"/>
      <c r="DS79" s="209"/>
      <c r="DT79" s="209"/>
      <c r="DU79" s="209"/>
      <c r="DV79" s="209"/>
      <c r="DW79" s="209"/>
      <c r="DX79" s="209"/>
      <c r="DY79" s="209"/>
      <c r="DZ79" s="209"/>
      <c r="EA79" s="209"/>
      <c r="EB79" s="209"/>
      <c r="EC79" s="209"/>
      <c r="ED79" s="209"/>
      <c r="EE79" s="209"/>
      <c r="EF79" s="209"/>
      <c r="EG79" s="209"/>
      <c r="EH79" s="209"/>
      <c r="EI79" s="209"/>
      <c r="EJ79" s="209"/>
      <c r="EK79" s="209"/>
      <c r="EL79" s="209"/>
      <c r="EM79" s="209"/>
      <c r="EN79" s="209"/>
      <c r="EO79" s="209"/>
      <c r="EP79" s="209"/>
      <c r="EQ79" s="209"/>
      <c r="ER79" s="209"/>
      <c r="ES79" s="209"/>
      <c r="ET79" s="209"/>
      <c r="EU79" s="209"/>
      <c r="EV79" s="209"/>
      <c r="EW79" s="209"/>
      <c r="EX79" s="209"/>
      <c r="EY79" s="209"/>
      <c r="EZ79" s="209"/>
      <c r="FA79" s="209"/>
      <c r="FB79" s="209"/>
      <c r="FC79" s="209"/>
      <c r="FD79" s="209"/>
      <c r="FE79" s="209"/>
      <c r="FF79" s="209"/>
      <c r="FG79" s="209"/>
      <c r="FH79" s="209"/>
      <c r="FI79" s="209"/>
      <c r="FJ79" s="209"/>
      <c r="FK79" s="209"/>
      <c r="FL79" s="209"/>
      <c r="FM79" s="209"/>
      <c r="FN79" s="209"/>
      <c r="FO79" s="209"/>
      <c r="FP79" s="209"/>
      <c r="FQ79" s="209"/>
      <c r="FR79" s="209"/>
      <c r="FS79" s="209"/>
      <c r="FT79" s="209"/>
      <c r="FU79" s="209"/>
      <c r="FV79" s="209"/>
      <c r="FW79" s="209"/>
      <c r="FX79" s="209"/>
      <c r="FY79" s="209"/>
      <c r="FZ79" s="209"/>
      <c r="GA79" s="209"/>
      <c r="GB79" s="209"/>
      <c r="GC79" s="209"/>
      <c r="GD79" s="209"/>
      <c r="GE79" s="209"/>
      <c r="GF79" s="209"/>
      <c r="GG79" s="209"/>
      <c r="GH79" s="209"/>
      <c r="GI79" s="209"/>
      <c r="GJ79" s="209"/>
      <c r="GK79" s="209"/>
      <c r="GL79" s="209"/>
      <c r="GM79" s="209"/>
      <c r="GN79" s="209"/>
      <c r="GO79" s="209"/>
      <c r="GP79" s="209"/>
      <c r="GQ79" s="209"/>
      <c r="GR79" s="209"/>
      <c r="GS79" s="209"/>
      <c r="GT79" s="209"/>
      <c r="GU79" s="209"/>
      <c r="GV79" s="209"/>
      <c r="GW79" s="209"/>
      <c r="GX79" s="209"/>
      <c r="GY79" s="209"/>
      <c r="GZ79" s="209"/>
      <c r="HA79" s="209"/>
      <c r="HB79" s="209"/>
      <c r="HC79" s="209"/>
      <c r="HD79" s="209"/>
      <c r="HE79" s="209"/>
      <c r="HF79" s="209"/>
      <c r="HG79" s="209"/>
      <c r="HH79" s="209"/>
      <c r="HI79" s="209"/>
      <c r="HJ79" s="209"/>
      <c r="HK79" s="209"/>
      <c r="HL79" s="209"/>
      <c r="HM79" s="209"/>
      <c r="HN79" s="209"/>
      <c r="HO79" s="209"/>
      <c r="HP79" s="209"/>
      <c r="HQ79" s="209"/>
      <c r="HR79" s="209"/>
      <c r="HS79" s="209"/>
      <c r="HT79" s="209"/>
      <c r="HU79" s="209"/>
      <c r="HV79" s="209"/>
      <c r="HW79" s="209"/>
      <c r="HX79" s="209"/>
      <c r="HY79" s="209"/>
      <c r="HZ79" s="209"/>
      <c r="IA79" s="209"/>
      <c r="IB79" s="209"/>
      <c r="IC79" s="209"/>
      <c r="ID79" s="209"/>
      <c r="IE79" s="209"/>
      <c r="IF79" s="209"/>
      <c r="IG79" s="209"/>
      <c r="IH79" s="209"/>
      <c r="II79" s="209"/>
      <c r="IJ79" s="209"/>
      <c r="IK79" s="209"/>
      <c r="IL79" s="209"/>
      <c r="IM79" s="209"/>
      <c r="IN79" s="209"/>
      <c r="IO79" s="209"/>
      <c r="IP79" s="209"/>
      <c r="IQ79" s="209"/>
      <c r="IR79" s="209"/>
      <c r="IS79" s="209"/>
      <c r="IT79" s="209"/>
      <c r="IU79" s="209"/>
    </row>
    <row r="80" spans="1:255">
      <c r="A80" s="991"/>
      <c r="B80" s="992"/>
      <c r="C80" s="993"/>
      <c r="D80" s="992"/>
      <c r="E80" s="994"/>
      <c r="F80" s="994"/>
      <c r="G80" s="994"/>
      <c r="H80" s="994"/>
      <c r="I80" s="995"/>
      <c r="J80" s="995"/>
      <c r="K80" s="995"/>
      <c r="L80" s="995"/>
      <c r="M80" s="614">
        <f t="shared" si="102"/>
        <v>0</v>
      </c>
      <c r="N80" s="995"/>
      <c r="O80" s="995"/>
      <c r="P80" s="995"/>
      <c r="Q80" s="995"/>
      <c r="R80" s="614">
        <f t="shared" si="103"/>
        <v>0</v>
      </c>
      <c r="S80" s="614">
        <f t="shared" si="104"/>
        <v>0</v>
      </c>
      <c r="T80" s="614">
        <f t="shared" si="105"/>
        <v>0</v>
      </c>
      <c r="U80" s="614">
        <f t="shared" si="106"/>
        <v>0</v>
      </c>
      <c r="V80" s="614">
        <f t="shared" si="107"/>
        <v>0</v>
      </c>
      <c r="W80" s="614">
        <f t="shared" si="108"/>
        <v>0</v>
      </c>
      <c r="X80" s="614">
        <f t="shared" si="109"/>
        <v>0</v>
      </c>
      <c r="Y80" s="614">
        <f t="shared" si="110"/>
        <v>0</v>
      </c>
      <c r="Z80" s="614">
        <f t="shared" si="111"/>
        <v>0</v>
      </c>
      <c r="AA80" s="614">
        <f t="shared" si="112"/>
        <v>0</v>
      </c>
      <c r="AB80" s="614">
        <f t="shared" si="113"/>
        <v>0</v>
      </c>
      <c r="AC80" s="614">
        <f t="shared" si="114"/>
        <v>0</v>
      </c>
      <c r="AD80" s="614">
        <f t="shared" si="115"/>
        <v>0</v>
      </c>
      <c r="AE80" s="614">
        <f t="shared" si="116"/>
        <v>0</v>
      </c>
      <c r="AF80" s="994"/>
      <c r="AG80" s="994"/>
      <c r="AH80" s="996"/>
      <c r="AI80" s="614">
        <f t="shared" si="117"/>
        <v>0</v>
      </c>
      <c r="AJ80" s="996"/>
      <c r="AK80" s="614">
        <f t="shared" si="118"/>
        <v>0</v>
      </c>
      <c r="AL80" s="997"/>
      <c r="AM80" s="614">
        <f t="shared" si="119"/>
        <v>0</v>
      </c>
      <c r="AN80" s="996"/>
      <c r="AO80" s="614">
        <f t="shared" si="120"/>
        <v>0</v>
      </c>
      <c r="AP80" s="614">
        <f t="shared" si="121"/>
        <v>0</v>
      </c>
      <c r="AQ80" s="994"/>
      <c r="AR80" s="994"/>
      <c r="AS80" s="996"/>
      <c r="AT80" s="614">
        <f t="shared" si="122"/>
        <v>0</v>
      </c>
      <c r="AU80" s="996"/>
      <c r="AV80" s="614">
        <f t="shared" si="123"/>
        <v>0</v>
      </c>
      <c r="AW80" s="997"/>
      <c r="AX80" s="614">
        <f t="shared" si="124"/>
        <v>0</v>
      </c>
      <c r="AY80" s="987">
        <f t="shared" si="125"/>
        <v>0</v>
      </c>
      <c r="AZ80" s="987">
        <f t="shared" si="126"/>
        <v>0</v>
      </c>
      <c r="BA80" s="614">
        <f t="shared" si="127"/>
        <v>0</v>
      </c>
      <c r="BB80" s="614">
        <f t="shared" si="128"/>
        <v>0</v>
      </c>
      <c r="BC80" s="614">
        <f t="shared" si="129"/>
        <v>0</v>
      </c>
      <c r="BD80" s="994"/>
      <c r="BE80" s="994"/>
      <c r="BF80" s="614">
        <f t="shared" si="130"/>
        <v>0</v>
      </c>
      <c r="BG80" s="614">
        <f t="shared" si="131"/>
        <v>0</v>
      </c>
      <c r="BH80" s="614">
        <f t="shared" si="132"/>
        <v>0</v>
      </c>
      <c r="BI80" s="614">
        <f t="shared" si="133"/>
        <v>0</v>
      </c>
      <c r="BJ80" s="614">
        <f t="shared" si="134"/>
        <v>0</v>
      </c>
      <c r="BK80" s="614">
        <f t="shared" si="135"/>
        <v>0</v>
      </c>
      <c r="BL80" s="614">
        <f t="shared" si="136"/>
        <v>0</v>
      </c>
      <c r="BM80" s="614">
        <f t="shared" si="137"/>
        <v>0</v>
      </c>
      <c r="BN80" s="614">
        <f t="shared" si="138"/>
        <v>0</v>
      </c>
      <c r="BO80" s="614">
        <f t="shared" si="139"/>
        <v>0</v>
      </c>
      <c r="BP80" s="614">
        <f t="shared" si="140"/>
        <v>0</v>
      </c>
      <c r="BQ80" s="614">
        <f t="shared" si="141"/>
        <v>0</v>
      </c>
      <c r="BR80" s="614">
        <f t="shared" si="142"/>
        <v>0</v>
      </c>
      <c r="BS80" s="614">
        <f t="shared" si="143"/>
        <v>0</v>
      </c>
      <c r="BT80" s="614">
        <f t="shared" si="144"/>
        <v>0</v>
      </c>
      <c r="BU80" s="614">
        <f t="shared" si="145"/>
        <v>0</v>
      </c>
      <c r="BV80" s="614">
        <f t="shared" si="146"/>
        <v>0</v>
      </c>
      <c r="BW80" s="614">
        <f t="shared" si="147"/>
        <v>0</v>
      </c>
      <c r="BX80" s="614">
        <f t="shared" si="148"/>
        <v>0</v>
      </c>
      <c r="BY80" s="209"/>
      <c r="BZ80" s="209"/>
      <c r="CA80" s="209"/>
      <c r="CB80" s="209"/>
      <c r="CC80" s="209"/>
      <c r="CD80" s="209"/>
      <c r="CE80" s="209"/>
      <c r="CF80" s="209"/>
      <c r="CG80" s="209"/>
      <c r="CH80" s="209"/>
      <c r="CI80" s="209"/>
      <c r="CJ80" s="209"/>
      <c r="CK80" s="209"/>
      <c r="CL80" s="209"/>
      <c r="CM80" s="209"/>
      <c r="CN80" s="209"/>
      <c r="CO80" s="209"/>
      <c r="CP80" s="209"/>
      <c r="CQ80" s="209"/>
      <c r="CR80" s="209"/>
      <c r="CS80" s="209"/>
      <c r="CT80" s="209"/>
      <c r="CU80" s="209"/>
      <c r="CV80" s="209"/>
      <c r="CW80" s="209"/>
      <c r="CX80" s="209"/>
      <c r="CY80" s="209"/>
      <c r="CZ80" s="209"/>
      <c r="DA80" s="209"/>
      <c r="DB80" s="209"/>
      <c r="DC80" s="209"/>
      <c r="DD80" s="209"/>
      <c r="DE80" s="209"/>
      <c r="DF80" s="209"/>
      <c r="DG80" s="209"/>
      <c r="DH80" s="209"/>
      <c r="DI80" s="209"/>
      <c r="DJ80" s="209"/>
      <c r="DK80" s="209"/>
      <c r="DL80" s="209"/>
      <c r="DM80" s="209"/>
      <c r="DN80" s="209"/>
      <c r="DO80" s="209"/>
      <c r="DP80" s="209"/>
      <c r="DQ80" s="209"/>
      <c r="DR80" s="209"/>
      <c r="DS80" s="209"/>
      <c r="DT80" s="209"/>
      <c r="DU80" s="209"/>
      <c r="DV80" s="209"/>
      <c r="DW80" s="209"/>
      <c r="DX80" s="209"/>
      <c r="DY80" s="209"/>
      <c r="DZ80" s="209"/>
      <c r="EA80" s="209"/>
      <c r="EB80" s="209"/>
      <c r="EC80" s="209"/>
      <c r="ED80" s="209"/>
      <c r="EE80" s="209"/>
      <c r="EF80" s="209"/>
      <c r="EG80" s="209"/>
      <c r="EH80" s="209"/>
      <c r="EI80" s="209"/>
      <c r="EJ80" s="209"/>
      <c r="EK80" s="209"/>
      <c r="EL80" s="209"/>
      <c r="EM80" s="209"/>
      <c r="EN80" s="209"/>
      <c r="EO80" s="209"/>
      <c r="EP80" s="209"/>
      <c r="EQ80" s="209"/>
      <c r="ER80" s="209"/>
      <c r="ES80" s="209"/>
      <c r="ET80" s="209"/>
      <c r="EU80" s="209"/>
      <c r="EV80" s="209"/>
      <c r="EW80" s="209"/>
      <c r="EX80" s="209"/>
      <c r="EY80" s="209"/>
      <c r="EZ80" s="209"/>
      <c r="FA80" s="209"/>
      <c r="FB80" s="209"/>
      <c r="FC80" s="209"/>
      <c r="FD80" s="209"/>
      <c r="FE80" s="209"/>
      <c r="FF80" s="209"/>
      <c r="FG80" s="209"/>
      <c r="FH80" s="209"/>
      <c r="FI80" s="209"/>
      <c r="FJ80" s="209"/>
      <c r="FK80" s="209"/>
      <c r="FL80" s="209"/>
      <c r="FM80" s="209"/>
      <c r="FN80" s="209"/>
      <c r="FO80" s="209"/>
      <c r="FP80" s="209"/>
      <c r="FQ80" s="209"/>
      <c r="FR80" s="209"/>
      <c r="FS80" s="209"/>
      <c r="FT80" s="209"/>
      <c r="FU80" s="209"/>
      <c r="FV80" s="209"/>
      <c r="FW80" s="209"/>
      <c r="FX80" s="209"/>
      <c r="FY80" s="209"/>
      <c r="FZ80" s="209"/>
      <c r="GA80" s="209"/>
      <c r="GB80" s="209"/>
      <c r="GC80" s="209"/>
      <c r="GD80" s="209"/>
      <c r="GE80" s="209"/>
      <c r="GF80" s="209"/>
      <c r="GG80" s="209"/>
      <c r="GH80" s="209"/>
      <c r="GI80" s="209"/>
      <c r="GJ80" s="209"/>
      <c r="GK80" s="209"/>
      <c r="GL80" s="209"/>
      <c r="GM80" s="209"/>
      <c r="GN80" s="209"/>
      <c r="GO80" s="209"/>
      <c r="GP80" s="209"/>
      <c r="GQ80" s="209"/>
      <c r="GR80" s="209"/>
      <c r="GS80" s="209"/>
      <c r="GT80" s="209"/>
      <c r="GU80" s="209"/>
      <c r="GV80" s="209"/>
      <c r="GW80" s="209"/>
      <c r="GX80" s="209"/>
      <c r="GY80" s="209"/>
      <c r="GZ80" s="209"/>
      <c r="HA80" s="209"/>
      <c r="HB80" s="209"/>
      <c r="HC80" s="209"/>
      <c r="HD80" s="209"/>
      <c r="HE80" s="209"/>
      <c r="HF80" s="209"/>
      <c r="HG80" s="209"/>
      <c r="HH80" s="209"/>
      <c r="HI80" s="209"/>
      <c r="HJ80" s="209"/>
      <c r="HK80" s="209"/>
      <c r="HL80" s="209"/>
      <c r="HM80" s="209"/>
      <c r="HN80" s="209"/>
      <c r="HO80" s="209"/>
      <c r="HP80" s="209"/>
      <c r="HQ80" s="209"/>
      <c r="HR80" s="209"/>
      <c r="HS80" s="209"/>
      <c r="HT80" s="209"/>
      <c r="HU80" s="209"/>
      <c r="HV80" s="209"/>
      <c r="HW80" s="209"/>
      <c r="HX80" s="209"/>
      <c r="HY80" s="209"/>
      <c r="HZ80" s="209"/>
      <c r="IA80" s="209"/>
      <c r="IB80" s="209"/>
      <c r="IC80" s="209"/>
      <c r="ID80" s="209"/>
      <c r="IE80" s="209"/>
      <c r="IF80" s="209"/>
      <c r="IG80" s="209"/>
      <c r="IH80" s="209"/>
      <c r="II80" s="209"/>
      <c r="IJ80" s="209"/>
      <c r="IK80" s="209"/>
      <c r="IL80" s="209"/>
      <c r="IM80" s="209"/>
      <c r="IN80" s="209"/>
      <c r="IO80" s="209"/>
      <c r="IP80" s="209"/>
      <c r="IQ80" s="209"/>
      <c r="IR80" s="209"/>
      <c r="IS80" s="209"/>
      <c r="IT80" s="209"/>
      <c r="IU80" s="209"/>
    </row>
    <row r="81" spans="1:255">
      <c r="A81" s="991"/>
      <c r="B81" s="992"/>
      <c r="C81" s="993"/>
      <c r="D81" s="992"/>
      <c r="E81" s="994"/>
      <c r="F81" s="994"/>
      <c r="G81" s="994"/>
      <c r="H81" s="994"/>
      <c r="I81" s="995"/>
      <c r="J81" s="995"/>
      <c r="K81" s="995"/>
      <c r="L81" s="995"/>
      <c r="M81" s="614">
        <f t="shared" si="102"/>
        <v>0</v>
      </c>
      <c r="N81" s="995"/>
      <c r="O81" s="995"/>
      <c r="P81" s="995"/>
      <c r="Q81" s="995"/>
      <c r="R81" s="614">
        <f t="shared" si="103"/>
        <v>0</v>
      </c>
      <c r="S81" s="614">
        <f t="shared" si="104"/>
        <v>0</v>
      </c>
      <c r="T81" s="614">
        <f t="shared" si="105"/>
        <v>0</v>
      </c>
      <c r="U81" s="614">
        <f t="shared" si="106"/>
        <v>0</v>
      </c>
      <c r="V81" s="614">
        <f t="shared" si="107"/>
        <v>0</v>
      </c>
      <c r="W81" s="614">
        <f t="shared" si="108"/>
        <v>0</v>
      </c>
      <c r="X81" s="614">
        <f t="shared" si="109"/>
        <v>0</v>
      </c>
      <c r="Y81" s="614">
        <f t="shared" si="110"/>
        <v>0</v>
      </c>
      <c r="Z81" s="614">
        <f t="shared" si="111"/>
        <v>0</v>
      </c>
      <c r="AA81" s="614">
        <f t="shared" si="112"/>
        <v>0</v>
      </c>
      <c r="AB81" s="614">
        <f t="shared" si="113"/>
        <v>0</v>
      </c>
      <c r="AC81" s="614">
        <f t="shared" si="114"/>
        <v>0</v>
      </c>
      <c r="AD81" s="614">
        <f t="shared" si="115"/>
        <v>0</v>
      </c>
      <c r="AE81" s="614">
        <f t="shared" si="116"/>
        <v>0</v>
      </c>
      <c r="AF81" s="994"/>
      <c r="AG81" s="994"/>
      <c r="AH81" s="996"/>
      <c r="AI81" s="614">
        <f t="shared" si="117"/>
        <v>0</v>
      </c>
      <c r="AJ81" s="996"/>
      <c r="AK81" s="614">
        <f t="shared" si="118"/>
        <v>0</v>
      </c>
      <c r="AL81" s="997"/>
      <c r="AM81" s="614">
        <f t="shared" si="119"/>
        <v>0</v>
      </c>
      <c r="AN81" s="996"/>
      <c r="AO81" s="614">
        <f t="shared" si="120"/>
        <v>0</v>
      </c>
      <c r="AP81" s="614">
        <f t="shared" si="121"/>
        <v>0</v>
      </c>
      <c r="AQ81" s="994"/>
      <c r="AR81" s="994"/>
      <c r="AS81" s="996"/>
      <c r="AT81" s="614">
        <f t="shared" si="122"/>
        <v>0</v>
      </c>
      <c r="AU81" s="996"/>
      <c r="AV81" s="614">
        <f t="shared" si="123"/>
        <v>0</v>
      </c>
      <c r="AW81" s="997"/>
      <c r="AX81" s="614">
        <f t="shared" si="124"/>
        <v>0</v>
      </c>
      <c r="AY81" s="987">
        <f t="shared" si="125"/>
        <v>0</v>
      </c>
      <c r="AZ81" s="987">
        <f t="shared" si="126"/>
        <v>0</v>
      </c>
      <c r="BA81" s="614">
        <f t="shared" si="127"/>
        <v>0</v>
      </c>
      <c r="BB81" s="614">
        <f t="shared" si="128"/>
        <v>0</v>
      </c>
      <c r="BC81" s="614">
        <f t="shared" si="129"/>
        <v>0</v>
      </c>
      <c r="BD81" s="994"/>
      <c r="BE81" s="994"/>
      <c r="BF81" s="614">
        <f t="shared" si="130"/>
        <v>0</v>
      </c>
      <c r="BG81" s="614">
        <f t="shared" si="131"/>
        <v>0</v>
      </c>
      <c r="BH81" s="614">
        <f t="shared" si="132"/>
        <v>0</v>
      </c>
      <c r="BI81" s="614">
        <f t="shared" si="133"/>
        <v>0</v>
      </c>
      <c r="BJ81" s="614">
        <f t="shared" si="134"/>
        <v>0</v>
      </c>
      <c r="BK81" s="614">
        <f t="shared" si="135"/>
        <v>0</v>
      </c>
      <c r="BL81" s="614">
        <f t="shared" si="136"/>
        <v>0</v>
      </c>
      <c r="BM81" s="614">
        <f t="shared" si="137"/>
        <v>0</v>
      </c>
      <c r="BN81" s="614">
        <f t="shared" si="138"/>
        <v>0</v>
      </c>
      <c r="BO81" s="614">
        <f t="shared" si="139"/>
        <v>0</v>
      </c>
      <c r="BP81" s="614">
        <f t="shared" si="140"/>
        <v>0</v>
      </c>
      <c r="BQ81" s="614">
        <f t="shared" si="141"/>
        <v>0</v>
      </c>
      <c r="BR81" s="614">
        <f t="shared" si="142"/>
        <v>0</v>
      </c>
      <c r="BS81" s="614">
        <f t="shared" si="143"/>
        <v>0</v>
      </c>
      <c r="BT81" s="614">
        <f t="shared" si="144"/>
        <v>0</v>
      </c>
      <c r="BU81" s="614">
        <f t="shared" si="145"/>
        <v>0</v>
      </c>
      <c r="BV81" s="614">
        <f t="shared" si="146"/>
        <v>0</v>
      </c>
      <c r="BW81" s="614">
        <f t="shared" si="147"/>
        <v>0</v>
      </c>
      <c r="BX81" s="614">
        <f t="shared" si="148"/>
        <v>0</v>
      </c>
      <c r="BY81" s="209"/>
      <c r="BZ81" s="209"/>
      <c r="CA81" s="209"/>
      <c r="CB81" s="209"/>
      <c r="CC81" s="209"/>
      <c r="CD81" s="209"/>
      <c r="CE81" s="209"/>
      <c r="CF81" s="209"/>
      <c r="CG81" s="209"/>
      <c r="CH81" s="209"/>
      <c r="CI81" s="209"/>
      <c r="CJ81" s="209"/>
      <c r="CK81" s="209"/>
      <c r="CL81" s="209"/>
      <c r="CM81" s="209"/>
      <c r="CN81" s="209"/>
      <c r="CO81" s="209"/>
      <c r="CP81" s="209"/>
      <c r="CQ81" s="209"/>
      <c r="CR81" s="209"/>
      <c r="CS81" s="209"/>
      <c r="CT81" s="209"/>
      <c r="CU81" s="209"/>
      <c r="CV81" s="209"/>
      <c r="CW81" s="209"/>
      <c r="CX81" s="209"/>
      <c r="CY81" s="209"/>
      <c r="CZ81" s="209"/>
      <c r="DA81" s="209"/>
      <c r="DB81" s="209"/>
      <c r="DC81" s="209"/>
      <c r="DD81" s="209"/>
      <c r="DE81" s="209"/>
      <c r="DF81" s="209"/>
      <c r="DG81" s="209"/>
      <c r="DH81" s="209"/>
      <c r="DI81" s="209"/>
      <c r="DJ81" s="209"/>
      <c r="DK81" s="209"/>
      <c r="DL81" s="209"/>
      <c r="DM81" s="209"/>
      <c r="DN81" s="209"/>
      <c r="DO81" s="209"/>
      <c r="DP81" s="209"/>
      <c r="DQ81" s="209"/>
      <c r="DR81" s="209"/>
      <c r="DS81" s="209"/>
      <c r="DT81" s="209"/>
      <c r="DU81" s="209"/>
      <c r="DV81" s="209"/>
      <c r="DW81" s="209"/>
      <c r="DX81" s="209"/>
      <c r="DY81" s="209"/>
      <c r="DZ81" s="209"/>
      <c r="EA81" s="209"/>
      <c r="EB81" s="209"/>
      <c r="EC81" s="209"/>
      <c r="ED81" s="209"/>
      <c r="EE81" s="209"/>
      <c r="EF81" s="209"/>
      <c r="EG81" s="209"/>
      <c r="EH81" s="209"/>
      <c r="EI81" s="209"/>
      <c r="EJ81" s="209"/>
      <c r="EK81" s="209"/>
      <c r="EL81" s="209"/>
      <c r="EM81" s="209"/>
      <c r="EN81" s="209"/>
      <c r="EO81" s="209"/>
      <c r="EP81" s="209"/>
      <c r="EQ81" s="209"/>
      <c r="ER81" s="209"/>
      <c r="ES81" s="209"/>
      <c r="ET81" s="209"/>
      <c r="EU81" s="209"/>
      <c r="EV81" s="209"/>
      <c r="EW81" s="209"/>
      <c r="EX81" s="209"/>
      <c r="EY81" s="209"/>
      <c r="EZ81" s="209"/>
      <c r="FA81" s="209"/>
      <c r="FB81" s="209"/>
      <c r="FC81" s="209"/>
      <c r="FD81" s="209"/>
      <c r="FE81" s="209"/>
      <c r="FF81" s="209"/>
      <c r="FG81" s="209"/>
      <c r="FH81" s="209"/>
      <c r="FI81" s="209"/>
      <c r="FJ81" s="209"/>
      <c r="FK81" s="209"/>
      <c r="FL81" s="209"/>
      <c r="FM81" s="209"/>
      <c r="FN81" s="209"/>
      <c r="FO81" s="209"/>
      <c r="FP81" s="209"/>
      <c r="FQ81" s="209"/>
      <c r="FR81" s="209"/>
      <c r="FS81" s="209"/>
      <c r="FT81" s="209"/>
      <c r="FU81" s="209"/>
      <c r="FV81" s="209"/>
      <c r="FW81" s="209"/>
      <c r="FX81" s="209"/>
      <c r="FY81" s="209"/>
      <c r="FZ81" s="209"/>
      <c r="GA81" s="209"/>
      <c r="GB81" s="209"/>
      <c r="GC81" s="209"/>
      <c r="GD81" s="209"/>
      <c r="GE81" s="209"/>
      <c r="GF81" s="209"/>
      <c r="GG81" s="209"/>
      <c r="GH81" s="209"/>
      <c r="GI81" s="209"/>
      <c r="GJ81" s="209"/>
      <c r="GK81" s="209"/>
      <c r="GL81" s="209"/>
      <c r="GM81" s="209"/>
      <c r="GN81" s="209"/>
      <c r="GO81" s="209"/>
      <c r="GP81" s="209"/>
      <c r="GQ81" s="209"/>
      <c r="GR81" s="209"/>
      <c r="GS81" s="209"/>
      <c r="GT81" s="209"/>
      <c r="GU81" s="209"/>
      <c r="GV81" s="209"/>
      <c r="GW81" s="209"/>
      <c r="GX81" s="209"/>
      <c r="GY81" s="209"/>
      <c r="GZ81" s="209"/>
      <c r="HA81" s="209"/>
      <c r="HB81" s="209"/>
      <c r="HC81" s="209"/>
      <c r="HD81" s="209"/>
      <c r="HE81" s="209"/>
      <c r="HF81" s="209"/>
      <c r="HG81" s="209"/>
      <c r="HH81" s="209"/>
      <c r="HI81" s="209"/>
      <c r="HJ81" s="209"/>
      <c r="HK81" s="209"/>
      <c r="HL81" s="209"/>
      <c r="HM81" s="209"/>
      <c r="HN81" s="209"/>
      <c r="HO81" s="209"/>
      <c r="HP81" s="209"/>
      <c r="HQ81" s="209"/>
      <c r="HR81" s="209"/>
      <c r="HS81" s="209"/>
      <c r="HT81" s="209"/>
      <c r="HU81" s="209"/>
      <c r="HV81" s="209"/>
      <c r="HW81" s="209"/>
      <c r="HX81" s="209"/>
      <c r="HY81" s="209"/>
      <c r="HZ81" s="209"/>
      <c r="IA81" s="209"/>
      <c r="IB81" s="209"/>
      <c r="IC81" s="209"/>
      <c r="ID81" s="209"/>
      <c r="IE81" s="209"/>
      <c r="IF81" s="209"/>
      <c r="IG81" s="209"/>
      <c r="IH81" s="209"/>
      <c r="II81" s="209"/>
      <c r="IJ81" s="209"/>
      <c r="IK81" s="209"/>
      <c r="IL81" s="209"/>
      <c r="IM81" s="209"/>
      <c r="IN81" s="209"/>
      <c r="IO81" s="209"/>
      <c r="IP81" s="209"/>
      <c r="IQ81" s="209"/>
      <c r="IR81" s="209"/>
      <c r="IS81" s="209"/>
      <c r="IT81" s="209"/>
      <c r="IU81" s="209"/>
    </row>
    <row r="82" spans="1:255">
      <c r="A82" s="991"/>
      <c r="B82" s="992"/>
      <c r="C82" s="993"/>
      <c r="D82" s="992"/>
      <c r="E82" s="994"/>
      <c r="F82" s="994"/>
      <c r="G82" s="994"/>
      <c r="H82" s="994"/>
      <c r="I82" s="995"/>
      <c r="J82" s="995"/>
      <c r="K82" s="995"/>
      <c r="L82" s="995"/>
      <c r="M82" s="614">
        <f t="shared" si="102"/>
        <v>0</v>
      </c>
      <c r="N82" s="995"/>
      <c r="O82" s="995"/>
      <c r="P82" s="995"/>
      <c r="Q82" s="995"/>
      <c r="R82" s="614">
        <f t="shared" si="103"/>
        <v>0</v>
      </c>
      <c r="S82" s="614">
        <f t="shared" si="104"/>
        <v>0</v>
      </c>
      <c r="T82" s="614">
        <f t="shared" si="105"/>
        <v>0</v>
      </c>
      <c r="U82" s="614">
        <f t="shared" si="106"/>
        <v>0</v>
      </c>
      <c r="V82" s="614">
        <f t="shared" si="107"/>
        <v>0</v>
      </c>
      <c r="W82" s="614">
        <f t="shared" si="108"/>
        <v>0</v>
      </c>
      <c r="X82" s="614">
        <f t="shared" si="109"/>
        <v>0</v>
      </c>
      <c r="Y82" s="614">
        <f t="shared" si="110"/>
        <v>0</v>
      </c>
      <c r="Z82" s="614">
        <f t="shared" si="111"/>
        <v>0</v>
      </c>
      <c r="AA82" s="614">
        <f t="shared" si="112"/>
        <v>0</v>
      </c>
      <c r="AB82" s="614">
        <f t="shared" si="113"/>
        <v>0</v>
      </c>
      <c r="AC82" s="614">
        <f t="shared" si="114"/>
        <v>0</v>
      </c>
      <c r="AD82" s="614">
        <f t="shared" si="115"/>
        <v>0</v>
      </c>
      <c r="AE82" s="614">
        <f t="shared" si="116"/>
        <v>0</v>
      </c>
      <c r="AF82" s="994"/>
      <c r="AG82" s="994"/>
      <c r="AH82" s="996"/>
      <c r="AI82" s="614">
        <f t="shared" si="117"/>
        <v>0</v>
      </c>
      <c r="AJ82" s="996"/>
      <c r="AK82" s="614">
        <f t="shared" si="118"/>
        <v>0</v>
      </c>
      <c r="AL82" s="997"/>
      <c r="AM82" s="614">
        <f t="shared" si="119"/>
        <v>0</v>
      </c>
      <c r="AN82" s="996"/>
      <c r="AO82" s="614">
        <f t="shared" si="120"/>
        <v>0</v>
      </c>
      <c r="AP82" s="614">
        <f t="shared" si="121"/>
        <v>0</v>
      </c>
      <c r="AQ82" s="994"/>
      <c r="AR82" s="994"/>
      <c r="AS82" s="996"/>
      <c r="AT82" s="614">
        <f t="shared" si="122"/>
        <v>0</v>
      </c>
      <c r="AU82" s="996"/>
      <c r="AV82" s="614">
        <f t="shared" si="123"/>
        <v>0</v>
      </c>
      <c r="AW82" s="997"/>
      <c r="AX82" s="614">
        <f t="shared" si="124"/>
        <v>0</v>
      </c>
      <c r="AY82" s="987">
        <f t="shared" si="125"/>
        <v>0</v>
      </c>
      <c r="AZ82" s="987">
        <f t="shared" si="126"/>
        <v>0</v>
      </c>
      <c r="BA82" s="614">
        <f t="shared" si="127"/>
        <v>0</v>
      </c>
      <c r="BB82" s="614">
        <f t="shared" si="128"/>
        <v>0</v>
      </c>
      <c r="BC82" s="614">
        <f t="shared" si="129"/>
        <v>0</v>
      </c>
      <c r="BD82" s="994"/>
      <c r="BE82" s="994"/>
      <c r="BF82" s="614">
        <f t="shared" si="130"/>
        <v>0</v>
      </c>
      <c r="BG82" s="614">
        <f t="shared" si="131"/>
        <v>0</v>
      </c>
      <c r="BH82" s="614">
        <f t="shared" si="132"/>
        <v>0</v>
      </c>
      <c r="BI82" s="614">
        <f t="shared" si="133"/>
        <v>0</v>
      </c>
      <c r="BJ82" s="614">
        <f t="shared" si="134"/>
        <v>0</v>
      </c>
      <c r="BK82" s="614">
        <f t="shared" si="135"/>
        <v>0</v>
      </c>
      <c r="BL82" s="614">
        <f t="shared" si="136"/>
        <v>0</v>
      </c>
      <c r="BM82" s="614">
        <f t="shared" si="137"/>
        <v>0</v>
      </c>
      <c r="BN82" s="614">
        <f t="shared" si="138"/>
        <v>0</v>
      </c>
      <c r="BO82" s="614">
        <f t="shared" si="139"/>
        <v>0</v>
      </c>
      <c r="BP82" s="614">
        <f t="shared" si="140"/>
        <v>0</v>
      </c>
      <c r="BQ82" s="614">
        <f t="shared" si="141"/>
        <v>0</v>
      </c>
      <c r="BR82" s="614">
        <f t="shared" si="142"/>
        <v>0</v>
      </c>
      <c r="BS82" s="614">
        <f t="shared" si="143"/>
        <v>0</v>
      </c>
      <c r="BT82" s="614">
        <f t="shared" si="144"/>
        <v>0</v>
      </c>
      <c r="BU82" s="614">
        <f t="shared" si="145"/>
        <v>0</v>
      </c>
      <c r="BV82" s="614">
        <f t="shared" si="146"/>
        <v>0</v>
      </c>
      <c r="BW82" s="614">
        <f t="shared" si="147"/>
        <v>0</v>
      </c>
      <c r="BX82" s="614">
        <f t="shared" si="148"/>
        <v>0</v>
      </c>
      <c r="BY82" s="209"/>
      <c r="BZ82" s="209"/>
      <c r="CA82" s="209"/>
      <c r="CB82" s="209"/>
      <c r="CC82" s="209"/>
      <c r="CD82" s="209"/>
      <c r="CE82" s="209"/>
      <c r="CF82" s="209"/>
      <c r="CG82" s="209"/>
      <c r="CH82" s="209"/>
      <c r="CI82" s="209"/>
      <c r="CJ82" s="209"/>
      <c r="CK82" s="209"/>
      <c r="CL82" s="209"/>
      <c r="CM82" s="209"/>
      <c r="CN82" s="209"/>
      <c r="CO82" s="209"/>
      <c r="CP82" s="209"/>
      <c r="CQ82" s="209"/>
      <c r="CR82" s="209"/>
      <c r="CS82" s="209"/>
      <c r="CT82" s="209"/>
      <c r="CU82" s="209"/>
      <c r="CV82" s="209"/>
      <c r="CW82" s="209"/>
      <c r="CX82" s="209"/>
      <c r="CY82" s="209"/>
      <c r="CZ82" s="209"/>
      <c r="DA82" s="209"/>
      <c r="DB82" s="209"/>
      <c r="DC82" s="209"/>
      <c r="DD82" s="209"/>
      <c r="DE82" s="209"/>
      <c r="DF82" s="209"/>
      <c r="DG82" s="209"/>
      <c r="DH82" s="209"/>
      <c r="DI82" s="209"/>
      <c r="DJ82" s="209"/>
      <c r="DK82" s="209"/>
      <c r="DL82" s="209"/>
      <c r="DM82" s="209"/>
      <c r="DN82" s="209"/>
      <c r="DO82" s="209"/>
      <c r="DP82" s="209"/>
      <c r="DQ82" s="209"/>
      <c r="DR82" s="209"/>
      <c r="DS82" s="209"/>
      <c r="DT82" s="209"/>
      <c r="DU82" s="209"/>
      <c r="DV82" s="209"/>
      <c r="DW82" s="209"/>
      <c r="DX82" s="209"/>
      <c r="DY82" s="209"/>
      <c r="DZ82" s="209"/>
      <c r="EA82" s="209"/>
      <c r="EB82" s="209"/>
      <c r="EC82" s="209"/>
      <c r="ED82" s="209"/>
      <c r="EE82" s="209"/>
      <c r="EF82" s="209"/>
      <c r="EG82" s="209"/>
      <c r="EH82" s="209"/>
      <c r="EI82" s="209"/>
      <c r="EJ82" s="209"/>
      <c r="EK82" s="209"/>
      <c r="EL82" s="209"/>
      <c r="EM82" s="209"/>
      <c r="EN82" s="209"/>
      <c r="EO82" s="209"/>
      <c r="EP82" s="209"/>
      <c r="EQ82" s="209"/>
      <c r="ER82" s="209"/>
      <c r="ES82" s="209"/>
      <c r="ET82" s="209"/>
      <c r="EU82" s="209"/>
      <c r="EV82" s="209"/>
      <c r="EW82" s="209"/>
      <c r="EX82" s="209"/>
      <c r="EY82" s="209"/>
      <c r="EZ82" s="209"/>
      <c r="FA82" s="209"/>
      <c r="FB82" s="209"/>
      <c r="FC82" s="209"/>
      <c r="FD82" s="209"/>
      <c r="FE82" s="209"/>
      <c r="FF82" s="209"/>
      <c r="FG82" s="209"/>
      <c r="FH82" s="209"/>
      <c r="FI82" s="209"/>
      <c r="FJ82" s="209"/>
      <c r="FK82" s="209"/>
      <c r="FL82" s="209"/>
      <c r="FM82" s="209"/>
      <c r="FN82" s="209"/>
      <c r="FO82" s="209"/>
      <c r="FP82" s="209"/>
      <c r="FQ82" s="209"/>
      <c r="FR82" s="209"/>
      <c r="FS82" s="209"/>
      <c r="FT82" s="209"/>
      <c r="FU82" s="209"/>
      <c r="FV82" s="209"/>
      <c r="FW82" s="209"/>
      <c r="FX82" s="209"/>
      <c r="FY82" s="209"/>
      <c r="FZ82" s="209"/>
      <c r="GA82" s="209"/>
      <c r="GB82" s="209"/>
      <c r="GC82" s="209"/>
      <c r="GD82" s="209"/>
      <c r="GE82" s="209"/>
      <c r="GF82" s="209"/>
      <c r="GG82" s="209"/>
      <c r="GH82" s="209"/>
      <c r="GI82" s="209"/>
      <c r="GJ82" s="209"/>
      <c r="GK82" s="209"/>
      <c r="GL82" s="209"/>
      <c r="GM82" s="209"/>
      <c r="GN82" s="209"/>
      <c r="GO82" s="209"/>
      <c r="GP82" s="209"/>
      <c r="GQ82" s="209"/>
      <c r="GR82" s="209"/>
      <c r="GS82" s="209"/>
      <c r="GT82" s="209"/>
      <c r="GU82" s="209"/>
      <c r="GV82" s="209"/>
      <c r="GW82" s="209"/>
      <c r="GX82" s="209"/>
      <c r="GY82" s="209"/>
      <c r="GZ82" s="209"/>
      <c r="HA82" s="209"/>
      <c r="HB82" s="209"/>
      <c r="HC82" s="209"/>
      <c r="HD82" s="209"/>
      <c r="HE82" s="209"/>
      <c r="HF82" s="209"/>
      <c r="HG82" s="209"/>
      <c r="HH82" s="209"/>
      <c r="HI82" s="209"/>
      <c r="HJ82" s="209"/>
      <c r="HK82" s="209"/>
      <c r="HL82" s="209"/>
      <c r="HM82" s="209"/>
      <c r="HN82" s="209"/>
      <c r="HO82" s="209"/>
      <c r="HP82" s="209"/>
      <c r="HQ82" s="209"/>
      <c r="HR82" s="209"/>
      <c r="HS82" s="209"/>
      <c r="HT82" s="209"/>
      <c r="HU82" s="209"/>
      <c r="HV82" s="209"/>
      <c r="HW82" s="209"/>
      <c r="HX82" s="209"/>
      <c r="HY82" s="209"/>
      <c r="HZ82" s="209"/>
      <c r="IA82" s="209"/>
      <c r="IB82" s="209"/>
      <c r="IC82" s="209"/>
      <c r="ID82" s="209"/>
      <c r="IE82" s="209"/>
      <c r="IF82" s="209"/>
      <c r="IG82" s="209"/>
      <c r="IH82" s="209"/>
      <c r="II82" s="209"/>
      <c r="IJ82" s="209"/>
      <c r="IK82" s="209"/>
      <c r="IL82" s="209"/>
      <c r="IM82" s="209"/>
      <c r="IN82" s="209"/>
      <c r="IO82" s="209"/>
      <c r="IP82" s="209"/>
      <c r="IQ82" s="209"/>
      <c r="IR82" s="209"/>
      <c r="IS82" s="209"/>
      <c r="IT82" s="209"/>
      <c r="IU82" s="209"/>
    </row>
    <row r="83" spans="1:255">
      <c r="A83" s="991"/>
      <c r="B83" s="992"/>
      <c r="C83" s="993"/>
      <c r="D83" s="992"/>
      <c r="E83" s="994"/>
      <c r="F83" s="994"/>
      <c r="G83" s="994"/>
      <c r="H83" s="994"/>
      <c r="I83" s="995"/>
      <c r="J83" s="995"/>
      <c r="K83" s="995"/>
      <c r="L83" s="995"/>
      <c r="M83" s="614">
        <f t="shared" si="102"/>
        <v>0</v>
      </c>
      <c r="N83" s="995"/>
      <c r="O83" s="995"/>
      <c r="P83" s="995"/>
      <c r="Q83" s="995"/>
      <c r="R83" s="614">
        <f t="shared" si="103"/>
        <v>0</v>
      </c>
      <c r="S83" s="614">
        <f t="shared" si="104"/>
        <v>0</v>
      </c>
      <c r="T83" s="614">
        <f t="shared" si="105"/>
        <v>0</v>
      </c>
      <c r="U83" s="614">
        <f t="shared" si="106"/>
        <v>0</v>
      </c>
      <c r="V83" s="614">
        <f t="shared" si="107"/>
        <v>0</v>
      </c>
      <c r="W83" s="614">
        <f t="shared" si="108"/>
        <v>0</v>
      </c>
      <c r="X83" s="614">
        <f t="shared" si="109"/>
        <v>0</v>
      </c>
      <c r="Y83" s="614">
        <f t="shared" si="110"/>
        <v>0</v>
      </c>
      <c r="Z83" s="614">
        <f t="shared" si="111"/>
        <v>0</v>
      </c>
      <c r="AA83" s="614">
        <f t="shared" si="112"/>
        <v>0</v>
      </c>
      <c r="AB83" s="614">
        <f t="shared" si="113"/>
        <v>0</v>
      </c>
      <c r="AC83" s="614">
        <f t="shared" si="114"/>
        <v>0</v>
      </c>
      <c r="AD83" s="614">
        <f t="shared" si="115"/>
        <v>0</v>
      </c>
      <c r="AE83" s="614">
        <f t="shared" si="116"/>
        <v>0</v>
      </c>
      <c r="AF83" s="994"/>
      <c r="AG83" s="994"/>
      <c r="AH83" s="996"/>
      <c r="AI83" s="614">
        <f t="shared" si="117"/>
        <v>0</v>
      </c>
      <c r="AJ83" s="996"/>
      <c r="AK83" s="614">
        <f t="shared" si="118"/>
        <v>0</v>
      </c>
      <c r="AL83" s="997"/>
      <c r="AM83" s="614">
        <f t="shared" si="119"/>
        <v>0</v>
      </c>
      <c r="AN83" s="996"/>
      <c r="AO83" s="614">
        <f t="shared" si="120"/>
        <v>0</v>
      </c>
      <c r="AP83" s="614">
        <f t="shared" si="121"/>
        <v>0</v>
      </c>
      <c r="AQ83" s="994"/>
      <c r="AR83" s="994"/>
      <c r="AS83" s="996"/>
      <c r="AT83" s="614">
        <f t="shared" si="122"/>
        <v>0</v>
      </c>
      <c r="AU83" s="996"/>
      <c r="AV83" s="614">
        <f t="shared" si="123"/>
        <v>0</v>
      </c>
      <c r="AW83" s="997"/>
      <c r="AX83" s="614">
        <f t="shared" si="124"/>
        <v>0</v>
      </c>
      <c r="AY83" s="987">
        <f t="shared" si="125"/>
        <v>0</v>
      </c>
      <c r="AZ83" s="987">
        <f t="shared" si="126"/>
        <v>0</v>
      </c>
      <c r="BA83" s="614">
        <f t="shared" si="127"/>
        <v>0</v>
      </c>
      <c r="BB83" s="614">
        <f t="shared" si="128"/>
        <v>0</v>
      </c>
      <c r="BC83" s="614">
        <f t="shared" si="129"/>
        <v>0</v>
      </c>
      <c r="BD83" s="994"/>
      <c r="BE83" s="994"/>
      <c r="BF83" s="614">
        <f t="shared" si="130"/>
        <v>0</v>
      </c>
      <c r="BG83" s="614">
        <f t="shared" si="131"/>
        <v>0</v>
      </c>
      <c r="BH83" s="614">
        <f t="shared" si="132"/>
        <v>0</v>
      </c>
      <c r="BI83" s="614">
        <f t="shared" si="133"/>
        <v>0</v>
      </c>
      <c r="BJ83" s="614">
        <f t="shared" si="134"/>
        <v>0</v>
      </c>
      <c r="BK83" s="614">
        <f t="shared" si="135"/>
        <v>0</v>
      </c>
      <c r="BL83" s="614">
        <f t="shared" si="136"/>
        <v>0</v>
      </c>
      <c r="BM83" s="614">
        <f t="shared" si="137"/>
        <v>0</v>
      </c>
      <c r="BN83" s="614">
        <f t="shared" si="138"/>
        <v>0</v>
      </c>
      <c r="BO83" s="614">
        <f t="shared" si="139"/>
        <v>0</v>
      </c>
      <c r="BP83" s="614">
        <f t="shared" si="140"/>
        <v>0</v>
      </c>
      <c r="BQ83" s="614">
        <f t="shared" si="141"/>
        <v>0</v>
      </c>
      <c r="BR83" s="614">
        <f t="shared" si="142"/>
        <v>0</v>
      </c>
      <c r="BS83" s="614">
        <f t="shared" si="143"/>
        <v>0</v>
      </c>
      <c r="BT83" s="614">
        <f t="shared" si="144"/>
        <v>0</v>
      </c>
      <c r="BU83" s="614">
        <f t="shared" si="145"/>
        <v>0</v>
      </c>
      <c r="BV83" s="614">
        <f t="shared" si="146"/>
        <v>0</v>
      </c>
      <c r="BW83" s="614">
        <f t="shared" si="147"/>
        <v>0</v>
      </c>
      <c r="BX83" s="614">
        <f t="shared" si="148"/>
        <v>0</v>
      </c>
      <c r="BY83" s="209"/>
      <c r="BZ83" s="209"/>
      <c r="CA83" s="209"/>
      <c r="CB83" s="209"/>
      <c r="CC83" s="209"/>
      <c r="CD83" s="209"/>
      <c r="CE83" s="209"/>
      <c r="CF83" s="209"/>
      <c r="CG83" s="209"/>
      <c r="CH83" s="209"/>
      <c r="CI83" s="209"/>
      <c r="CJ83" s="209"/>
      <c r="CK83" s="209"/>
      <c r="CL83" s="209"/>
      <c r="CM83" s="209"/>
      <c r="CN83" s="209"/>
      <c r="CO83" s="209"/>
      <c r="CP83" s="209"/>
      <c r="CQ83" s="209"/>
      <c r="CR83" s="209"/>
      <c r="CS83" s="209"/>
      <c r="CT83" s="209"/>
      <c r="CU83" s="209"/>
      <c r="CV83" s="209"/>
      <c r="CW83" s="209"/>
      <c r="CX83" s="209"/>
      <c r="CY83" s="209"/>
      <c r="CZ83" s="209"/>
      <c r="DA83" s="209"/>
      <c r="DB83" s="209"/>
      <c r="DC83" s="209"/>
      <c r="DD83" s="209"/>
      <c r="DE83" s="209"/>
      <c r="DF83" s="209"/>
      <c r="DG83" s="209"/>
      <c r="DH83" s="209"/>
      <c r="DI83" s="209"/>
      <c r="DJ83" s="209"/>
      <c r="DK83" s="209"/>
      <c r="DL83" s="209"/>
      <c r="DM83" s="209"/>
      <c r="DN83" s="209"/>
      <c r="DO83" s="209"/>
      <c r="DP83" s="209"/>
      <c r="DQ83" s="209"/>
      <c r="DR83" s="209"/>
      <c r="DS83" s="209"/>
      <c r="DT83" s="209"/>
      <c r="DU83" s="209"/>
      <c r="DV83" s="209"/>
      <c r="DW83" s="209"/>
      <c r="DX83" s="209"/>
      <c r="DY83" s="209"/>
      <c r="DZ83" s="209"/>
      <c r="EA83" s="209"/>
      <c r="EB83" s="209"/>
      <c r="EC83" s="209"/>
      <c r="ED83" s="209"/>
      <c r="EE83" s="209"/>
      <c r="EF83" s="209"/>
      <c r="EG83" s="209"/>
      <c r="EH83" s="209"/>
      <c r="EI83" s="209"/>
      <c r="EJ83" s="209"/>
      <c r="EK83" s="209"/>
      <c r="EL83" s="209"/>
      <c r="EM83" s="209"/>
      <c r="EN83" s="209"/>
      <c r="EO83" s="209"/>
      <c r="EP83" s="209"/>
      <c r="EQ83" s="209"/>
      <c r="ER83" s="209"/>
      <c r="ES83" s="209"/>
      <c r="ET83" s="209"/>
      <c r="EU83" s="209"/>
      <c r="EV83" s="209"/>
      <c r="EW83" s="209"/>
      <c r="EX83" s="209"/>
      <c r="EY83" s="209"/>
      <c r="EZ83" s="209"/>
      <c r="FA83" s="209"/>
      <c r="FB83" s="209"/>
      <c r="FC83" s="209"/>
      <c r="FD83" s="209"/>
      <c r="FE83" s="209"/>
      <c r="FF83" s="209"/>
      <c r="FG83" s="209"/>
      <c r="FH83" s="209"/>
      <c r="FI83" s="209"/>
      <c r="FJ83" s="209"/>
      <c r="FK83" s="209"/>
      <c r="FL83" s="209"/>
      <c r="FM83" s="209"/>
      <c r="FN83" s="209"/>
      <c r="FO83" s="209"/>
      <c r="FP83" s="209"/>
      <c r="FQ83" s="209"/>
      <c r="FR83" s="209"/>
      <c r="FS83" s="209"/>
      <c r="FT83" s="209"/>
      <c r="FU83" s="209"/>
      <c r="FV83" s="209"/>
      <c r="FW83" s="209"/>
      <c r="FX83" s="209"/>
      <c r="FY83" s="209"/>
      <c r="FZ83" s="209"/>
      <c r="GA83" s="209"/>
      <c r="GB83" s="209"/>
      <c r="GC83" s="209"/>
      <c r="GD83" s="209"/>
      <c r="GE83" s="209"/>
      <c r="GF83" s="209"/>
      <c r="GG83" s="209"/>
      <c r="GH83" s="209"/>
      <c r="GI83" s="209"/>
      <c r="GJ83" s="209"/>
      <c r="GK83" s="209"/>
      <c r="GL83" s="209"/>
      <c r="GM83" s="209"/>
      <c r="GN83" s="209"/>
      <c r="GO83" s="209"/>
      <c r="GP83" s="209"/>
      <c r="GQ83" s="209"/>
      <c r="GR83" s="209"/>
      <c r="GS83" s="209"/>
      <c r="GT83" s="209"/>
      <c r="GU83" s="209"/>
      <c r="GV83" s="209"/>
      <c r="GW83" s="209"/>
      <c r="GX83" s="209"/>
      <c r="GY83" s="209"/>
      <c r="GZ83" s="209"/>
      <c r="HA83" s="209"/>
      <c r="HB83" s="209"/>
      <c r="HC83" s="209"/>
      <c r="HD83" s="209"/>
      <c r="HE83" s="209"/>
      <c r="HF83" s="209"/>
      <c r="HG83" s="209"/>
      <c r="HH83" s="209"/>
      <c r="HI83" s="209"/>
      <c r="HJ83" s="209"/>
      <c r="HK83" s="209"/>
      <c r="HL83" s="209"/>
      <c r="HM83" s="209"/>
      <c r="HN83" s="209"/>
      <c r="HO83" s="209"/>
      <c r="HP83" s="209"/>
      <c r="HQ83" s="209"/>
      <c r="HR83" s="209"/>
      <c r="HS83" s="209"/>
      <c r="HT83" s="209"/>
      <c r="HU83" s="209"/>
      <c r="HV83" s="209"/>
      <c r="HW83" s="209"/>
      <c r="HX83" s="209"/>
      <c r="HY83" s="209"/>
      <c r="HZ83" s="209"/>
      <c r="IA83" s="209"/>
      <c r="IB83" s="209"/>
      <c r="IC83" s="209"/>
      <c r="ID83" s="209"/>
      <c r="IE83" s="209"/>
      <c r="IF83" s="209"/>
      <c r="IG83" s="209"/>
      <c r="IH83" s="209"/>
      <c r="II83" s="209"/>
      <c r="IJ83" s="209"/>
      <c r="IK83" s="209"/>
      <c r="IL83" s="209"/>
      <c r="IM83" s="209"/>
      <c r="IN83" s="209"/>
      <c r="IO83" s="209"/>
      <c r="IP83" s="209"/>
      <c r="IQ83" s="209"/>
      <c r="IR83" s="209"/>
      <c r="IS83" s="209"/>
      <c r="IT83" s="209"/>
      <c r="IU83" s="209"/>
    </row>
    <row r="84" spans="1:255">
      <c r="A84" s="991"/>
      <c r="B84" s="992"/>
      <c r="C84" s="993"/>
      <c r="D84" s="992"/>
      <c r="E84" s="994"/>
      <c r="F84" s="994"/>
      <c r="G84" s="994"/>
      <c r="H84" s="994"/>
      <c r="I84" s="995"/>
      <c r="J84" s="995"/>
      <c r="K84" s="995"/>
      <c r="L84" s="995"/>
      <c r="M84" s="614">
        <f t="shared" si="102"/>
        <v>0</v>
      </c>
      <c r="N84" s="995"/>
      <c r="O84" s="995"/>
      <c r="P84" s="995"/>
      <c r="Q84" s="995"/>
      <c r="R84" s="614">
        <f t="shared" si="103"/>
        <v>0</v>
      </c>
      <c r="S84" s="614">
        <f t="shared" si="104"/>
        <v>0</v>
      </c>
      <c r="T84" s="614">
        <f t="shared" si="105"/>
        <v>0</v>
      </c>
      <c r="U84" s="614">
        <f t="shared" si="106"/>
        <v>0</v>
      </c>
      <c r="V84" s="614">
        <f t="shared" si="107"/>
        <v>0</v>
      </c>
      <c r="W84" s="614">
        <f t="shared" si="108"/>
        <v>0</v>
      </c>
      <c r="X84" s="614">
        <f t="shared" si="109"/>
        <v>0</v>
      </c>
      <c r="Y84" s="614">
        <f t="shared" si="110"/>
        <v>0</v>
      </c>
      <c r="Z84" s="614">
        <f t="shared" si="111"/>
        <v>0</v>
      </c>
      <c r="AA84" s="614">
        <f t="shared" si="112"/>
        <v>0</v>
      </c>
      <c r="AB84" s="614">
        <f t="shared" si="113"/>
        <v>0</v>
      </c>
      <c r="AC84" s="614">
        <f t="shared" si="114"/>
        <v>0</v>
      </c>
      <c r="AD84" s="614">
        <f t="shared" si="115"/>
        <v>0</v>
      </c>
      <c r="AE84" s="614">
        <f t="shared" si="116"/>
        <v>0</v>
      </c>
      <c r="AF84" s="994"/>
      <c r="AG84" s="994"/>
      <c r="AH84" s="996"/>
      <c r="AI84" s="614">
        <f t="shared" si="117"/>
        <v>0</v>
      </c>
      <c r="AJ84" s="996"/>
      <c r="AK84" s="614">
        <f t="shared" si="118"/>
        <v>0</v>
      </c>
      <c r="AL84" s="997"/>
      <c r="AM84" s="614">
        <f t="shared" si="119"/>
        <v>0</v>
      </c>
      <c r="AN84" s="996"/>
      <c r="AO84" s="614">
        <f t="shared" si="120"/>
        <v>0</v>
      </c>
      <c r="AP84" s="614">
        <f t="shared" si="121"/>
        <v>0</v>
      </c>
      <c r="AQ84" s="994"/>
      <c r="AR84" s="994"/>
      <c r="AS84" s="996"/>
      <c r="AT84" s="614">
        <f t="shared" si="122"/>
        <v>0</v>
      </c>
      <c r="AU84" s="996"/>
      <c r="AV84" s="614">
        <f t="shared" si="123"/>
        <v>0</v>
      </c>
      <c r="AW84" s="997"/>
      <c r="AX84" s="614">
        <f t="shared" si="124"/>
        <v>0</v>
      </c>
      <c r="AY84" s="987">
        <f t="shared" si="125"/>
        <v>0</v>
      </c>
      <c r="AZ84" s="987">
        <f t="shared" si="126"/>
        <v>0</v>
      </c>
      <c r="BA84" s="614">
        <f t="shared" si="127"/>
        <v>0</v>
      </c>
      <c r="BB84" s="614">
        <f t="shared" si="128"/>
        <v>0</v>
      </c>
      <c r="BC84" s="614">
        <f t="shared" si="129"/>
        <v>0</v>
      </c>
      <c r="BD84" s="994"/>
      <c r="BE84" s="994"/>
      <c r="BF84" s="614">
        <f t="shared" si="130"/>
        <v>0</v>
      </c>
      <c r="BG84" s="614">
        <f t="shared" si="131"/>
        <v>0</v>
      </c>
      <c r="BH84" s="614">
        <f t="shared" si="132"/>
        <v>0</v>
      </c>
      <c r="BI84" s="614">
        <f t="shared" si="133"/>
        <v>0</v>
      </c>
      <c r="BJ84" s="614">
        <f t="shared" si="134"/>
        <v>0</v>
      </c>
      <c r="BK84" s="614">
        <f t="shared" si="135"/>
        <v>0</v>
      </c>
      <c r="BL84" s="614">
        <f t="shared" si="136"/>
        <v>0</v>
      </c>
      <c r="BM84" s="614">
        <f t="shared" si="137"/>
        <v>0</v>
      </c>
      <c r="BN84" s="614">
        <f t="shared" si="138"/>
        <v>0</v>
      </c>
      <c r="BO84" s="614">
        <f t="shared" si="139"/>
        <v>0</v>
      </c>
      <c r="BP84" s="614">
        <f t="shared" si="140"/>
        <v>0</v>
      </c>
      <c r="BQ84" s="614">
        <f t="shared" si="141"/>
        <v>0</v>
      </c>
      <c r="BR84" s="614">
        <f t="shared" si="142"/>
        <v>0</v>
      </c>
      <c r="BS84" s="614">
        <f t="shared" si="143"/>
        <v>0</v>
      </c>
      <c r="BT84" s="614">
        <f t="shared" si="144"/>
        <v>0</v>
      </c>
      <c r="BU84" s="614">
        <f t="shared" si="145"/>
        <v>0</v>
      </c>
      <c r="BV84" s="614">
        <f t="shared" si="146"/>
        <v>0</v>
      </c>
      <c r="BW84" s="614">
        <f t="shared" si="147"/>
        <v>0</v>
      </c>
      <c r="BX84" s="614">
        <f t="shared" si="148"/>
        <v>0</v>
      </c>
      <c r="BY84" s="209"/>
      <c r="BZ84" s="209"/>
      <c r="CA84" s="209"/>
      <c r="CB84" s="209"/>
      <c r="CC84" s="209"/>
      <c r="CD84" s="209"/>
      <c r="CE84" s="209"/>
      <c r="CF84" s="209"/>
      <c r="CG84" s="209"/>
      <c r="CH84" s="209"/>
      <c r="CI84" s="209"/>
      <c r="CJ84" s="209"/>
      <c r="CK84" s="209"/>
      <c r="CL84" s="209"/>
      <c r="CM84" s="209"/>
      <c r="CN84" s="209"/>
      <c r="CO84" s="209"/>
      <c r="CP84" s="209"/>
      <c r="CQ84" s="209"/>
      <c r="CR84" s="209"/>
      <c r="CS84" s="209"/>
      <c r="CT84" s="209"/>
      <c r="CU84" s="209"/>
      <c r="CV84" s="209"/>
      <c r="CW84" s="209"/>
      <c r="CX84" s="209"/>
      <c r="CY84" s="209"/>
      <c r="CZ84" s="209"/>
      <c r="DA84" s="209"/>
      <c r="DB84" s="209"/>
      <c r="DC84" s="209"/>
      <c r="DD84" s="209"/>
      <c r="DE84" s="209"/>
      <c r="DF84" s="209"/>
      <c r="DG84" s="209"/>
      <c r="DH84" s="209"/>
      <c r="DI84" s="209"/>
      <c r="DJ84" s="209"/>
      <c r="DK84" s="209"/>
      <c r="DL84" s="209"/>
      <c r="DM84" s="209"/>
      <c r="DN84" s="209"/>
      <c r="DO84" s="209"/>
      <c r="DP84" s="209"/>
      <c r="DQ84" s="209"/>
      <c r="DR84" s="209"/>
      <c r="DS84" s="209"/>
      <c r="DT84" s="209"/>
      <c r="DU84" s="209"/>
      <c r="DV84" s="209"/>
      <c r="DW84" s="209"/>
      <c r="DX84" s="209"/>
      <c r="DY84" s="209"/>
      <c r="DZ84" s="209"/>
      <c r="EA84" s="209"/>
      <c r="EB84" s="209"/>
      <c r="EC84" s="209"/>
      <c r="ED84" s="209"/>
      <c r="EE84" s="209"/>
      <c r="EF84" s="209"/>
      <c r="EG84" s="209"/>
      <c r="EH84" s="209"/>
      <c r="EI84" s="209"/>
      <c r="EJ84" s="209"/>
      <c r="EK84" s="209"/>
      <c r="EL84" s="209"/>
      <c r="EM84" s="209"/>
      <c r="EN84" s="209"/>
      <c r="EO84" s="209"/>
      <c r="EP84" s="209"/>
      <c r="EQ84" s="209"/>
      <c r="ER84" s="209"/>
      <c r="ES84" s="209"/>
      <c r="ET84" s="209"/>
      <c r="EU84" s="209"/>
      <c r="EV84" s="209"/>
      <c r="EW84" s="209"/>
      <c r="EX84" s="209"/>
      <c r="EY84" s="209"/>
      <c r="EZ84" s="209"/>
      <c r="FA84" s="209"/>
      <c r="FB84" s="209"/>
      <c r="FC84" s="209"/>
      <c r="FD84" s="209"/>
      <c r="FE84" s="209"/>
      <c r="FF84" s="209"/>
      <c r="FG84" s="209"/>
      <c r="FH84" s="209"/>
      <c r="FI84" s="209"/>
      <c r="FJ84" s="209"/>
      <c r="FK84" s="209"/>
      <c r="FL84" s="209"/>
      <c r="FM84" s="209"/>
      <c r="FN84" s="209"/>
      <c r="FO84" s="209"/>
      <c r="FP84" s="209"/>
      <c r="FQ84" s="209"/>
      <c r="FR84" s="209"/>
      <c r="FS84" s="209"/>
      <c r="FT84" s="209"/>
      <c r="FU84" s="209"/>
      <c r="FV84" s="209"/>
      <c r="FW84" s="209"/>
      <c r="FX84" s="209"/>
      <c r="FY84" s="209"/>
      <c r="FZ84" s="209"/>
      <c r="GA84" s="209"/>
      <c r="GB84" s="209"/>
      <c r="GC84" s="209"/>
      <c r="GD84" s="209"/>
      <c r="GE84" s="209"/>
      <c r="GF84" s="209"/>
      <c r="GG84" s="209"/>
      <c r="GH84" s="209"/>
      <c r="GI84" s="209"/>
      <c r="GJ84" s="209"/>
      <c r="GK84" s="209"/>
      <c r="GL84" s="209"/>
      <c r="GM84" s="209"/>
      <c r="GN84" s="209"/>
      <c r="GO84" s="209"/>
      <c r="GP84" s="209"/>
      <c r="GQ84" s="209"/>
      <c r="GR84" s="209"/>
      <c r="GS84" s="209"/>
      <c r="GT84" s="209"/>
      <c r="GU84" s="209"/>
      <c r="GV84" s="209"/>
      <c r="GW84" s="209"/>
      <c r="GX84" s="209"/>
      <c r="GY84" s="209"/>
      <c r="GZ84" s="209"/>
      <c r="HA84" s="209"/>
      <c r="HB84" s="209"/>
      <c r="HC84" s="209"/>
      <c r="HD84" s="209"/>
      <c r="HE84" s="209"/>
      <c r="HF84" s="209"/>
      <c r="HG84" s="209"/>
      <c r="HH84" s="209"/>
      <c r="HI84" s="209"/>
      <c r="HJ84" s="209"/>
      <c r="HK84" s="209"/>
      <c r="HL84" s="209"/>
      <c r="HM84" s="209"/>
      <c r="HN84" s="209"/>
      <c r="HO84" s="209"/>
      <c r="HP84" s="209"/>
      <c r="HQ84" s="209"/>
      <c r="HR84" s="209"/>
      <c r="HS84" s="209"/>
      <c r="HT84" s="209"/>
      <c r="HU84" s="209"/>
      <c r="HV84" s="209"/>
      <c r="HW84" s="209"/>
      <c r="HX84" s="209"/>
      <c r="HY84" s="209"/>
      <c r="HZ84" s="209"/>
      <c r="IA84" s="209"/>
      <c r="IB84" s="209"/>
      <c r="IC84" s="209"/>
      <c r="ID84" s="209"/>
      <c r="IE84" s="209"/>
      <c r="IF84" s="209"/>
      <c r="IG84" s="209"/>
      <c r="IH84" s="209"/>
      <c r="II84" s="209"/>
      <c r="IJ84" s="209"/>
      <c r="IK84" s="209"/>
      <c r="IL84" s="209"/>
      <c r="IM84" s="209"/>
      <c r="IN84" s="209"/>
      <c r="IO84" s="209"/>
      <c r="IP84" s="209"/>
      <c r="IQ84" s="209"/>
      <c r="IR84" s="209"/>
      <c r="IS84" s="209"/>
      <c r="IT84" s="209"/>
      <c r="IU84" s="209"/>
    </row>
    <row r="85" spans="1:255">
      <c r="A85" s="991"/>
      <c r="B85" s="992"/>
      <c r="C85" s="993"/>
      <c r="D85" s="992"/>
      <c r="E85" s="994"/>
      <c r="F85" s="994"/>
      <c r="G85" s="994"/>
      <c r="H85" s="994"/>
      <c r="I85" s="995"/>
      <c r="J85" s="995"/>
      <c r="K85" s="995"/>
      <c r="L85" s="995"/>
      <c r="M85" s="614">
        <f t="shared" si="102"/>
        <v>0</v>
      </c>
      <c r="N85" s="995"/>
      <c r="O85" s="995"/>
      <c r="P85" s="995"/>
      <c r="Q85" s="995"/>
      <c r="R85" s="614">
        <f t="shared" si="103"/>
        <v>0</v>
      </c>
      <c r="S85" s="614">
        <f t="shared" si="104"/>
        <v>0</v>
      </c>
      <c r="T85" s="614">
        <f t="shared" si="105"/>
        <v>0</v>
      </c>
      <c r="U85" s="614">
        <f t="shared" si="106"/>
        <v>0</v>
      </c>
      <c r="V85" s="614">
        <f t="shared" si="107"/>
        <v>0</v>
      </c>
      <c r="W85" s="614">
        <f t="shared" si="108"/>
        <v>0</v>
      </c>
      <c r="X85" s="614">
        <f t="shared" si="109"/>
        <v>0</v>
      </c>
      <c r="Y85" s="614">
        <f t="shared" si="110"/>
        <v>0</v>
      </c>
      <c r="Z85" s="614">
        <f t="shared" si="111"/>
        <v>0</v>
      </c>
      <c r="AA85" s="614">
        <f t="shared" si="112"/>
        <v>0</v>
      </c>
      <c r="AB85" s="614">
        <f t="shared" si="113"/>
        <v>0</v>
      </c>
      <c r="AC85" s="614">
        <f t="shared" si="114"/>
        <v>0</v>
      </c>
      <c r="AD85" s="614">
        <f t="shared" si="115"/>
        <v>0</v>
      </c>
      <c r="AE85" s="614">
        <f t="shared" si="116"/>
        <v>0</v>
      </c>
      <c r="AF85" s="994"/>
      <c r="AG85" s="994"/>
      <c r="AH85" s="996"/>
      <c r="AI85" s="614">
        <f t="shared" si="117"/>
        <v>0</v>
      </c>
      <c r="AJ85" s="996"/>
      <c r="AK85" s="614">
        <f t="shared" si="118"/>
        <v>0</v>
      </c>
      <c r="AL85" s="997"/>
      <c r="AM85" s="614">
        <f t="shared" si="119"/>
        <v>0</v>
      </c>
      <c r="AN85" s="996"/>
      <c r="AO85" s="614">
        <f t="shared" si="120"/>
        <v>0</v>
      </c>
      <c r="AP85" s="614">
        <f t="shared" si="121"/>
        <v>0</v>
      </c>
      <c r="AQ85" s="994"/>
      <c r="AR85" s="994"/>
      <c r="AS85" s="996"/>
      <c r="AT85" s="614">
        <f t="shared" si="122"/>
        <v>0</v>
      </c>
      <c r="AU85" s="996"/>
      <c r="AV85" s="614">
        <f t="shared" si="123"/>
        <v>0</v>
      </c>
      <c r="AW85" s="997"/>
      <c r="AX85" s="614">
        <f t="shared" si="124"/>
        <v>0</v>
      </c>
      <c r="AY85" s="987">
        <f t="shared" si="125"/>
        <v>0</v>
      </c>
      <c r="AZ85" s="987">
        <f t="shared" si="126"/>
        <v>0</v>
      </c>
      <c r="BA85" s="614">
        <f t="shared" si="127"/>
        <v>0</v>
      </c>
      <c r="BB85" s="614">
        <f t="shared" si="128"/>
        <v>0</v>
      </c>
      <c r="BC85" s="614">
        <f t="shared" si="129"/>
        <v>0</v>
      </c>
      <c r="BD85" s="994"/>
      <c r="BE85" s="994"/>
      <c r="BF85" s="614">
        <f t="shared" si="130"/>
        <v>0</v>
      </c>
      <c r="BG85" s="614">
        <f t="shared" si="131"/>
        <v>0</v>
      </c>
      <c r="BH85" s="614">
        <f t="shared" si="132"/>
        <v>0</v>
      </c>
      <c r="BI85" s="614">
        <f t="shared" si="133"/>
        <v>0</v>
      </c>
      <c r="BJ85" s="614">
        <f t="shared" si="134"/>
        <v>0</v>
      </c>
      <c r="BK85" s="614">
        <f t="shared" si="135"/>
        <v>0</v>
      </c>
      <c r="BL85" s="614">
        <f t="shared" si="136"/>
        <v>0</v>
      </c>
      <c r="BM85" s="614">
        <f t="shared" si="137"/>
        <v>0</v>
      </c>
      <c r="BN85" s="614">
        <f t="shared" si="138"/>
        <v>0</v>
      </c>
      <c r="BO85" s="614">
        <f t="shared" si="139"/>
        <v>0</v>
      </c>
      <c r="BP85" s="614">
        <f t="shared" si="140"/>
        <v>0</v>
      </c>
      <c r="BQ85" s="614">
        <f t="shared" si="141"/>
        <v>0</v>
      </c>
      <c r="BR85" s="614">
        <f t="shared" si="142"/>
        <v>0</v>
      </c>
      <c r="BS85" s="614">
        <f t="shared" si="143"/>
        <v>0</v>
      </c>
      <c r="BT85" s="614">
        <f t="shared" si="144"/>
        <v>0</v>
      </c>
      <c r="BU85" s="614">
        <f t="shared" si="145"/>
        <v>0</v>
      </c>
      <c r="BV85" s="614">
        <f t="shared" si="146"/>
        <v>0</v>
      </c>
      <c r="BW85" s="614">
        <f t="shared" si="147"/>
        <v>0</v>
      </c>
      <c r="BX85" s="614">
        <f t="shared" si="148"/>
        <v>0</v>
      </c>
      <c r="BY85" s="209"/>
      <c r="BZ85" s="209"/>
      <c r="CA85" s="209"/>
      <c r="CB85" s="209"/>
      <c r="CC85" s="209"/>
      <c r="CD85" s="209"/>
      <c r="CE85" s="209"/>
      <c r="CF85" s="209"/>
      <c r="CG85" s="209"/>
      <c r="CH85" s="209"/>
      <c r="CI85" s="209"/>
      <c r="CJ85" s="209"/>
      <c r="CK85" s="209"/>
      <c r="CL85" s="209"/>
      <c r="CM85" s="209"/>
      <c r="CN85" s="209"/>
      <c r="CO85" s="209"/>
      <c r="CP85" s="209"/>
      <c r="CQ85" s="209"/>
      <c r="CR85" s="209"/>
      <c r="CS85" s="209"/>
      <c r="CT85" s="209"/>
      <c r="CU85" s="209"/>
      <c r="CV85" s="209"/>
      <c r="CW85" s="209"/>
      <c r="CX85" s="209"/>
      <c r="CY85" s="209"/>
      <c r="CZ85" s="209"/>
      <c r="DA85" s="209"/>
      <c r="DB85" s="209"/>
      <c r="DC85" s="209"/>
      <c r="DD85" s="209"/>
      <c r="DE85" s="209"/>
      <c r="DF85" s="209"/>
      <c r="DG85" s="209"/>
      <c r="DH85" s="209"/>
      <c r="DI85" s="209"/>
      <c r="DJ85" s="209"/>
      <c r="DK85" s="209"/>
      <c r="DL85" s="209"/>
      <c r="DM85" s="209"/>
      <c r="DN85" s="209"/>
      <c r="DO85" s="209"/>
      <c r="DP85" s="209"/>
      <c r="DQ85" s="209"/>
      <c r="DR85" s="209"/>
      <c r="DS85" s="209"/>
      <c r="DT85" s="209"/>
      <c r="DU85" s="209"/>
      <c r="DV85" s="209"/>
      <c r="DW85" s="209"/>
      <c r="DX85" s="209"/>
      <c r="DY85" s="209"/>
      <c r="DZ85" s="209"/>
      <c r="EA85" s="209"/>
      <c r="EB85" s="209"/>
      <c r="EC85" s="209"/>
      <c r="ED85" s="209"/>
      <c r="EE85" s="209"/>
      <c r="EF85" s="209"/>
      <c r="EG85" s="209"/>
      <c r="EH85" s="209"/>
      <c r="EI85" s="209"/>
      <c r="EJ85" s="209"/>
      <c r="EK85" s="209"/>
      <c r="EL85" s="209"/>
      <c r="EM85" s="209"/>
      <c r="EN85" s="209"/>
      <c r="EO85" s="209"/>
      <c r="EP85" s="209"/>
      <c r="EQ85" s="209"/>
      <c r="ER85" s="209"/>
      <c r="ES85" s="209"/>
      <c r="ET85" s="209"/>
      <c r="EU85" s="209"/>
      <c r="EV85" s="209"/>
      <c r="EW85" s="209"/>
      <c r="EX85" s="209"/>
      <c r="EY85" s="209"/>
      <c r="EZ85" s="209"/>
      <c r="FA85" s="209"/>
      <c r="FB85" s="209"/>
      <c r="FC85" s="209"/>
      <c r="FD85" s="209"/>
      <c r="FE85" s="209"/>
      <c r="FF85" s="209"/>
      <c r="FG85" s="209"/>
      <c r="FH85" s="209"/>
      <c r="FI85" s="209"/>
      <c r="FJ85" s="209"/>
      <c r="FK85" s="209"/>
      <c r="FL85" s="209"/>
      <c r="FM85" s="209"/>
      <c r="FN85" s="209"/>
      <c r="FO85" s="209"/>
      <c r="FP85" s="209"/>
      <c r="FQ85" s="209"/>
      <c r="FR85" s="209"/>
      <c r="FS85" s="209"/>
      <c r="FT85" s="209"/>
      <c r="FU85" s="209"/>
      <c r="FV85" s="209"/>
      <c r="FW85" s="209"/>
      <c r="FX85" s="209"/>
      <c r="FY85" s="209"/>
      <c r="FZ85" s="209"/>
      <c r="GA85" s="209"/>
      <c r="GB85" s="209"/>
      <c r="GC85" s="209"/>
      <c r="GD85" s="209"/>
      <c r="GE85" s="209"/>
      <c r="GF85" s="209"/>
      <c r="GG85" s="209"/>
      <c r="GH85" s="209"/>
      <c r="GI85" s="209"/>
      <c r="GJ85" s="209"/>
      <c r="GK85" s="209"/>
      <c r="GL85" s="209"/>
      <c r="GM85" s="209"/>
      <c r="GN85" s="209"/>
      <c r="GO85" s="209"/>
      <c r="GP85" s="209"/>
      <c r="GQ85" s="209"/>
      <c r="GR85" s="209"/>
      <c r="GS85" s="209"/>
      <c r="GT85" s="209"/>
      <c r="GU85" s="209"/>
      <c r="GV85" s="209"/>
      <c r="GW85" s="209"/>
      <c r="GX85" s="209"/>
      <c r="GY85" s="209"/>
      <c r="GZ85" s="209"/>
      <c r="HA85" s="209"/>
      <c r="HB85" s="209"/>
      <c r="HC85" s="209"/>
      <c r="HD85" s="209"/>
      <c r="HE85" s="209"/>
      <c r="HF85" s="209"/>
      <c r="HG85" s="209"/>
      <c r="HH85" s="209"/>
      <c r="HI85" s="209"/>
      <c r="HJ85" s="209"/>
      <c r="HK85" s="209"/>
      <c r="HL85" s="209"/>
      <c r="HM85" s="209"/>
      <c r="HN85" s="209"/>
      <c r="HO85" s="209"/>
      <c r="HP85" s="209"/>
      <c r="HQ85" s="209"/>
      <c r="HR85" s="209"/>
      <c r="HS85" s="209"/>
      <c r="HT85" s="209"/>
      <c r="HU85" s="209"/>
      <c r="HV85" s="209"/>
      <c r="HW85" s="209"/>
      <c r="HX85" s="209"/>
      <c r="HY85" s="209"/>
      <c r="HZ85" s="209"/>
      <c r="IA85" s="209"/>
      <c r="IB85" s="209"/>
      <c r="IC85" s="209"/>
      <c r="ID85" s="209"/>
      <c r="IE85" s="209"/>
      <c r="IF85" s="209"/>
      <c r="IG85" s="209"/>
      <c r="IH85" s="209"/>
      <c r="II85" s="209"/>
      <c r="IJ85" s="209"/>
      <c r="IK85" s="209"/>
      <c r="IL85" s="209"/>
      <c r="IM85" s="209"/>
      <c r="IN85" s="209"/>
      <c r="IO85" s="209"/>
      <c r="IP85" s="209"/>
      <c r="IQ85" s="209"/>
      <c r="IR85" s="209"/>
      <c r="IS85" s="209"/>
      <c r="IT85" s="209"/>
      <c r="IU85" s="209"/>
    </row>
    <row r="86" spans="1:255">
      <c r="A86" s="991"/>
      <c r="B86" s="992"/>
      <c r="C86" s="993"/>
      <c r="D86" s="992"/>
      <c r="E86" s="994"/>
      <c r="F86" s="994"/>
      <c r="G86" s="994"/>
      <c r="H86" s="994"/>
      <c r="I86" s="995"/>
      <c r="J86" s="995"/>
      <c r="K86" s="995"/>
      <c r="L86" s="995"/>
      <c r="M86" s="614">
        <f t="shared" si="102"/>
        <v>0</v>
      </c>
      <c r="N86" s="995"/>
      <c r="O86" s="995"/>
      <c r="P86" s="995"/>
      <c r="Q86" s="995"/>
      <c r="R86" s="614">
        <f t="shared" si="103"/>
        <v>0</v>
      </c>
      <c r="S86" s="614">
        <f t="shared" si="104"/>
        <v>0</v>
      </c>
      <c r="T86" s="614">
        <f t="shared" si="105"/>
        <v>0</v>
      </c>
      <c r="U86" s="614">
        <f t="shared" si="106"/>
        <v>0</v>
      </c>
      <c r="V86" s="614">
        <f t="shared" si="107"/>
        <v>0</v>
      </c>
      <c r="W86" s="614">
        <f t="shared" si="108"/>
        <v>0</v>
      </c>
      <c r="X86" s="614">
        <f t="shared" si="109"/>
        <v>0</v>
      </c>
      <c r="Y86" s="614">
        <f t="shared" si="110"/>
        <v>0</v>
      </c>
      <c r="Z86" s="614">
        <f t="shared" si="111"/>
        <v>0</v>
      </c>
      <c r="AA86" s="614">
        <f t="shared" si="112"/>
        <v>0</v>
      </c>
      <c r="AB86" s="614">
        <f t="shared" si="113"/>
        <v>0</v>
      </c>
      <c r="AC86" s="614">
        <f t="shared" si="114"/>
        <v>0</v>
      </c>
      <c r="AD86" s="614">
        <f t="shared" si="115"/>
        <v>0</v>
      </c>
      <c r="AE86" s="614">
        <f t="shared" si="116"/>
        <v>0</v>
      </c>
      <c r="AF86" s="994"/>
      <c r="AG86" s="994"/>
      <c r="AH86" s="996"/>
      <c r="AI86" s="614">
        <f t="shared" si="117"/>
        <v>0</v>
      </c>
      <c r="AJ86" s="996"/>
      <c r="AK86" s="614">
        <f t="shared" si="118"/>
        <v>0</v>
      </c>
      <c r="AL86" s="997"/>
      <c r="AM86" s="614">
        <f t="shared" si="119"/>
        <v>0</v>
      </c>
      <c r="AN86" s="996"/>
      <c r="AO86" s="614">
        <f t="shared" si="120"/>
        <v>0</v>
      </c>
      <c r="AP86" s="614">
        <f t="shared" si="121"/>
        <v>0</v>
      </c>
      <c r="AQ86" s="994"/>
      <c r="AR86" s="994"/>
      <c r="AS86" s="996"/>
      <c r="AT86" s="614">
        <f t="shared" si="122"/>
        <v>0</v>
      </c>
      <c r="AU86" s="996"/>
      <c r="AV86" s="614">
        <f t="shared" si="123"/>
        <v>0</v>
      </c>
      <c r="AW86" s="997"/>
      <c r="AX86" s="614">
        <f t="shared" si="124"/>
        <v>0</v>
      </c>
      <c r="AY86" s="987">
        <f t="shared" si="125"/>
        <v>0</v>
      </c>
      <c r="AZ86" s="987">
        <f t="shared" si="126"/>
        <v>0</v>
      </c>
      <c r="BA86" s="614">
        <f t="shared" si="127"/>
        <v>0</v>
      </c>
      <c r="BB86" s="614">
        <f t="shared" si="128"/>
        <v>0</v>
      </c>
      <c r="BC86" s="614">
        <f t="shared" si="129"/>
        <v>0</v>
      </c>
      <c r="BD86" s="994"/>
      <c r="BE86" s="994"/>
      <c r="BF86" s="614">
        <f t="shared" si="130"/>
        <v>0</v>
      </c>
      <c r="BG86" s="614">
        <f t="shared" si="131"/>
        <v>0</v>
      </c>
      <c r="BH86" s="614">
        <f t="shared" si="132"/>
        <v>0</v>
      </c>
      <c r="BI86" s="614">
        <f t="shared" si="133"/>
        <v>0</v>
      </c>
      <c r="BJ86" s="614">
        <f t="shared" si="134"/>
        <v>0</v>
      </c>
      <c r="BK86" s="614">
        <f t="shared" si="135"/>
        <v>0</v>
      </c>
      <c r="BL86" s="614">
        <f t="shared" si="136"/>
        <v>0</v>
      </c>
      <c r="BM86" s="614">
        <f t="shared" si="137"/>
        <v>0</v>
      </c>
      <c r="BN86" s="614">
        <f t="shared" si="138"/>
        <v>0</v>
      </c>
      <c r="BO86" s="614">
        <f t="shared" si="139"/>
        <v>0</v>
      </c>
      <c r="BP86" s="614">
        <f t="shared" si="140"/>
        <v>0</v>
      </c>
      <c r="BQ86" s="614">
        <f t="shared" si="141"/>
        <v>0</v>
      </c>
      <c r="BR86" s="614">
        <f t="shared" si="142"/>
        <v>0</v>
      </c>
      <c r="BS86" s="614">
        <f t="shared" si="143"/>
        <v>0</v>
      </c>
      <c r="BT86" s="614">
        <f t="shared" si="144"/>
        <v>0</v>
      </c>
      <c r="BU86" s="614">
        <f t="shared" si="145"/>
        <v>0</v>
      </c>
      <c r="BV86" s="614">
        <f t="shared" si="146"/>
        <v>0</v>
      </c>
      <c r="BW86" s="614">
        <f t="shared" si="147"/>
        <v>0</v>
      </c>
      <c r="BX86" s="614">
        <f t="shared" si="148"/>
        <v>0</v>
      </c>
      <c r="BY86" s="209"/>
      <c r="BZ86" s="209"/>
      <c r="CA86" s="209"/>
      <c r="CB86" s="209"/>
      <c r="CC86" s="209"/>
      <c r="CD86" s="209"/>
      <c r="CE86" s="209"/>
      <c r="CF86" s="209"/>
      <c r="CG86" s="209"/>
      <c r="CH86" s="209"/>
      <c r="CI86" s="209"/>
      <c r="CJ86" s="209"/>
      <c r="CK86" s="209"/>
      <c r="CL86" s="209"/>
      <c r="CM86" s="209"/>
      <c r="CN86" s="209"/>
      <c r="CO86" s="209"/>
      <c r="CP86" s="209"/>
      <c r="CQ86" s="209"/>
      <c r="CR86" s="209"/>
      <c r="CS86" s="209"/>
      <c r="CT86" s="209"/>
      <c r="CU86" s="209"/>
      <c r="CV86" s="209"/>
      <c r="CW86" s="209"/>
      <c r="CX86" s="209"/>
      <c r="CY86" s="209"/>
      <c r="CZ86" s="209"/>
      <c r="DA86" s="209"/>
      <c r="DB86" s="209"/>
      <c r="DC86" s="209"/>
      <c r="DD86" s="209"/>
      <c r="DE86" s="209"/>
      <c r="DF86" s="209"/>
      <c r="DG86" s="209"/>
      <c r="DH86" s="209"/>
      <c r="DI86" s="209"/>
      <c r="DJ86" s="209"/>
      <c r="DK86" s="209"/>
      <c r="DL86" s="209"/>
      <c r="DM86" s="209"/>
      <c r="DN86" s="209"/>
      <c r="DO86" s="209"/>
      <c r="DP86" s="209"/>
      <c r="DQ86" s="209"/>
      <c r="DR86" s="209"/>
      <c r="DS86" s="209"/>
      <c r="DT86" s="209"/>
      <c r="DU86" s="209"/>
      <c r="DV86" s="209"/>
      <c r="DW86" s="209"/>
      <c r="DX86" s="209"/>
      <c r="DY86" s="209"/>
      <c r="DZ86" s="209"/>
      <c r="EA86" s="209"/>
      <c r="EB86" s="209"/>
      <c r="EC86" s="209"/>
      <c r="ED86" s="209"/>
      <c r="EE86" s="209"/>
      <c r="EF86" s="209"/>
      <c r="EG86" s="209"/>
      <c r="EH86" s="209"/>
      <c r="EI86" s="209"/>
      <c r="EJ86" s="209"/>
      <c r="EK86" s="209"/>
      <c r="EL86" s="209"/>
      <c r="EM86" s="209"/>
      <c r="EN86" s="209"/>
      <c r="EO86" s="209"/>
      <c r="EP86" s="209"/>
      <c r="EQ86" s="209"/>
      <c r="ER86" s="209"/>
      <c r="ES86" s="209"/>
      <c r="ET86" s="209"/>
      <c r="EU86" s="209"/>
      <c r="EV86" s="209"/>
      <c r="EW86" s="209"/>
      <c r="EX86" s="209"/>
      <c r="EY86" s="209"/>
      <c r="EZ86" s="209"/>
      <c r="FA86" s="209"/>
      <c r="FB86" s="209"/>
      <c r="FC86" s="209"/>
      <c r="FD86" s="209"/>
      <c r="FE86" s="209"/>
      <c r="FF86" s="209"/>
      <c r="FG86" s="209"/>
      <c r="FH86" s="209"/>
      <c r="FI86" s="209"/>
      <c r="FJ86" s="209"/>
      <c r="FK86" s="209"/>
      <c r="FL86" s="209"/>
      <c r="FM86" s="209"/>
      <c r="FN86" s="209"/>
      <c r="FO86" s="209"/>
      <c r="FP86" s="209"/>
      <c r="FQ86" s="209"/>
      <c r="FR86" s="209"/>
      <c r="FS86" s="209"/>
      <c r="FT86" s="209"/>
      <c r="FU86" s="209"/>
      <c r="FV86" s="209"/>
      <c r="FW86" s="209"/>
      <c r="FX86" s="209"/>
      <c r="FY86" s="209"/>
      <c r="FZ86" s="209"/>
      <c r="GA86" s="209"/>
      <c r="GB86" s="209"/>
      <c r="GC86" s="209"/>
      <c r="GD86" s="209"/>
      <c r="GE86" s="209"/>
      <c r="GF86" s="209"/>
      <c r="GG86" s="209"/>
      <c r="GH86" s="209"/>
      <c r="GI86" s="209"/>
      <c r="GJ86" s="209"/>
      <c r="GK86" s="209"/>
      <c r="GL86" s="209"/>
      <c r="GM86" s="209"/>
      <c r="GN86" s="209"/>
      <c r="GO86" s="209"/>
      <c r="GP86" s="209"/>
      <c r="GQ86" s="209"/>
      <c r="GR86" s="209"/>
      <c r="GS86" s="209"/>
      <c r="GT86" s="209"/>
      <c r="GU86" s="209"/>
      <c r="GV86" s="209"/>
      <c r="GW86" s="209"/>
      <c r="GX86" s="209"/>
      <c r="GY86" s="209"/>
      <c r="GZ86" s="209"/>
      <c r="HA86" s="209"/>
      <c r="HB86" s="209"/>
      <c r="HC86" s="209"/>
      <c r="HD86" s="209"/>
      <c r="HE86" s="209"/>
      <c r="HF86" s="209"/>
      <c r="HG86" s="209"/>
      <c r="HH86" s="209"/>
      <c r="HI86" s="209"/>
      <c r="HJ86" s="209"/>
      <c r="HK86" s="209"/>
      <c r="HL86" s="209"/>
      <c r="HM86" s="209"/>
      <c r="HN86" s="209"/>
      <c r="HO86" s="209"/>
      <c r="HP86" s="209"/>
      <c r="HQ86" s="209"/>
      <c r="HR86" s="209"/>
      <c r="HS86" s="209"/>
      <c r="HT86" s="209"/>
      <c r="HU86" s="209"/>
      <c r="HV86" s="209"/>
      <c r="HW86" s="209"/>
      <c r="HX86" s="209"/>
      <c r="HY86" s="209"/>
      <c r="HZ86" s="209"/>
      <c r="IA86" s="209"/>
      <c r="IB86" s="209"/>
      <c r="IC86" s="209"/>
      <c r="ID86" s="209"/>
      <c r="IE86" s="209"/>
      <c r="IF86" s="209"/>
      <c r="IG86" s="209"/>
      <c r="IH86" s="209"/>
      <c r="II86" s="209"/>
      <c r="IJ86" s="209"/>
      <c r="IK86" s="209"/>
      <c r="IL86" s="209"/>
      <c r="IM86" s="209"/>
      <c r="IN86" s="209"/>
      <c r="IO86" s="209"/>
      <c r="IP86" s="209"/>
      <c r="IQ86" s="209"/>
      <c r="IR86" s="209"/>
      <c r="IS86" s="209"/>
      <c r="IT86" s="209"/>
      <c r="IU86" s="209"/>
    </row>
    <row r="87" spans="1:255">
      <c r="A87" s="991"/>
      <c r="B87" s="992"/>
      <c r="C87" s="993"/>
      <c r="D87" s="992"/>
      <c r="E87" s="994"/>
      <c r="F87" s="994"/>
      <c r="G87" s="994"/>
      <c r="H87" s="994"/>
      <c r="I87" s="995"/>
      <c r="J87" s="995"/>
      <c r="K87" s="995"/>
      <c r="L87" s="995"/>
      <c r="M87" s="614">
        <f t="shared" si="102"/>
        <v>0</v>
      </c>
      <c r="N87" s="995"/>
      <c r="O87" s="995"/>
      <c r="P87" s="995"/>
      <c r="Q87" s="995"/>
      <c r="R87" s="614">
        <f t="shared" si="103"/>
        <v>0</v>
      </c>
      <c r="S87" s="614">
        <f t="shared" si="104"/>
        <v>0</v>
      </c>
      <c r="T87" s="614">
        <f t="shared" si="105"/>
        <v>0</v>
      </c>
      <c r="U87" s="614">
        <f t="shared" si="106"/>
        <v>0</v>
      </c>
      <c r="V87" s="614">
        <f t="shared" si="107"/>
        <v>0</v>
      </c>
      <c r="W87" s="614">
        <f t="shared" si="108"/>
        <v>0</v>
      </c>
      <c r="X87" s="614">
        <f t="shared" si="109"/>
        <v>0</v>
      </c>
      <c r="Y87" s="614">
        <f t="shared" si="110"/>
        <v>0</v>
      </c>
      <c r="Z87" s="614">
        <f t="shared" si="111"/>
        <v>0</v>
      </c>
      <c r="AA87" s="614">
        <f t="shared" si="112"/>
        <v>0</v>
      </c>
      <c r="AB87" s="614">
        <f t="shared" si="113"/>
        <v>0</v>
      </c>
      <c r="AC87" s="614">
        <f t="shared" si="114"/>
        <v>0</v>
      </c>
      <c r="AD87" s="614">
        <f t="shared" si="115"/>
        <v>0</v>
      </c>
      <c r="AE87" s="614">
        <f t="shared" si="116"/>
        <v>0</v>
      </c>
      <c r="AF87" s="994"/>
      <c r="AG87" s="994"/>
      <c r="AH87" s="996"/>
      <c r="AI87" s="614">
        <f t="shared" si="117"/>
        <v>0</v>
      </c>
      <c r="AJ87" s="996"/>
      <c r="AK87" s="614">
        <f t="shared" si="118"/>
        <v>0</v>
      </c>
      <c r="AL87" s="997"/>
      <c r="AM87" s="614">
        <f t="shared" si="119"/>
        <v>0</v>
      </c>
      <c r="AN87" s="996"/>
      <c r="AO87" s="614">
        <f t="shared" si="120"/>
        <v>0</v>
      </c>
      <c r="AP87" s="614">
        <f t="shared" si="121"/>
        <v>0</v>
      </c>
      <c r="AQ87" s="994"/>
      <c r="AR87" s="994"/>
      <c r="AS87" s="996"/>
      <c r="AT87" s="614">
        <f t="shared" si="122"/>
        <v>0</v>
      </c>
      <c r="AU87" s="996"/>
      <c r="AV87" s="614">
        <f t="shared" si="123"/>
        <v>0</v>
      </c>
      <c r="AW87" s="997"/>
      <c r="AX87" s="614">
        <f t="shared" si="124"/>
        <v>0</v>
      </c>
      <c r="AY87" s="987">
        <f t="shared" si="125"/>
        <v>0</v>
      </c>
      <c r="AZ87" s="987">
        <f t="shared" si="126"/>
        <v>0</v>
      </c>
      <c r="BA87" s="614">
        <f t="shared" si="127"/>
        <v>0</v>
      </c>
      <c r="BB87" s="614">
        <f t="shared" si="128"/>
        <v>0</v>
      </c>
      <c r="BC87" s="614">
        <f t="shared" si="129"/>
        <v>0</v>
      </c>
      <c r="BD87" s="994"/>
      <c r="BE87" s="994"/>
      <c r="BF87" s="614">
        <f t="shared" si="130"/>
        <v>0</v>
      </c>
      <c r="BG87" s="614">
        <f t="shared" si="131"/>
        <v>0</v>
      </c>
      <c r="BH87" s="614">
        <f t="shared" si="132"/>
        <v>0</v>
      </c>
      <c r="BI87" s="614">
        <f t="shared" si="133"/>
        <v>0</v>
      </c>
      <c r="BJ87" s="614">
        <f t="shared" si="134"/>
        <v>0</v>
      </c>
      <c r="BK87" s="614">
        <f t="shared" si="135"/>
        <v>0</v>
      </c>
      <c r="BL87" s="614">
        <f t="shared" si="136"/>
        <v>0</v>
      </c>
      <c r="BM87" s="614">
        <f t="shared" si="137"/>
        <v>0</v>
      </c>
      <c r="BN87" s="614">
        <f t="shared" si="138"/>
        <v>0</v>
      </c>
      <c r="BO87" s="614">
        <f t="shared" si="139"/>
        <v>0</v>
      </c>
      <c r="BP87" s="614">
        <f t="shared" si="140"/>
        <v>0</v>
      </c>
      <c r="BQ87" s="614">
        <f t="shared" si="141"/>
        <v>0</v>
      </c>
      <c r="BR87" s="614">
        <f t="shared" si="142"/>
        <v>0</v>
      </c>
      <c r="BS87" s="614">
        <f t="shared" si="143"/>
        <v>0</v>
      </c>
      <c r="BT87" s="614">
        <f t="shared" si="144"/>
        <v>0</v>
      </c>
      <c r="BU87" s="614">
        <f t="shared" si="145"/>
        <v>0</v>
      </c>
      <c r="BV87" s="614">
        <f t="shared" si="146"/>
        <v>0</v>
      </c>
      <c r="BW87" s="614">
        <f t="shared" si="147"/>
        <v>0</v>
      </c>
      <c r="BX87" s="614">
        <f t="shared" si="148"/>
        <v>0</v>
      </c>
      <c r="BY87" s="209"/>
      <c r="BZ87" s="209"/>
      <c r="CA87" s="209"/>
      <c r="CB87" s="209"/>
      <c r="CC87" s="209"/>
      <c r="CD87" s="209"/>
      <c r="CE87" s="209"/>
      <c r="CF87" s="209"/>
      <c r="CG87" s="209"/>
      <c r="CH87" s="209"/>
      <c r="CI87" s="209"/>
      <c r="CJ87" s="209"/>
      <c r="CK87" s="209"/>
      <c r="CL87" s="209"/>
      <c r="CM87" s="209"/>
      <c r="CN87" s="209"/>
      <c r="CO87" s="209"/>
      <c r="CP87" s="209"/>
      <c r="CQ87" s="209"/>
      <c r="CR87" s="209"/>
      <c r="CS87" s="209"/>
      <c r="CT87" s="209"/>
      <c r="CU87" s="209"/>
      <c r="CV87" s="209"/>
      <c r="CW87" s="209"/>
      <c r="CX87" s="209"/>
      <c r="CY87" s="209"/>
      <c r="CZ87" s="209"/>
      <c r="DA87" s="209"/>
      <c r="DB87" s="209"/>
      <c r="DC87" s="209"/>
      <c r="DD87" s="209"/>
      <c r="DE87" s="209"/>
      <c r="DF87" s="209"/>
      <c r="DG87" s="209"/>
      <c r="DH87" s="209"/>
      <c r="DI87" s="209"/>
      <c r="DJ87" s="209"/>
      <c r="DK87" s="209"/>
      <c r="DL87" s="209"/>
      <c r="DM87" s="209"/>
      <c r="DN87" s="209"/>
      <c r="DO87" s="209"/>
      <c r="DP87" s="209"/>
      <c r="DQ87" s="209"/>
      <c r="DR87" s="209"/>
      <c r="DS87" s="209"/>
      <c r="DT87" s="209"/>
      <c r="DU87" s="209"/>
      <c r="DV87" s="209"/>
      <c r="DW87" s="209"/>
      <c r="DX87" s="209"/>
      <c r="DY87" s="209"/>
      <c r="DZ87" s="209"/>
      <c r="EA87" s="209"/>
      <c r="EB87" s="209"/>
      <c r="EC87" s="209"/>
      <c r="ED87" s="209"/>
      <c r="EE87" s="209"/>
      <c r="EF87" s="209"/>
      <c r="EG87" s="209"/>
      <c r="EH87" s="209"/>
      <c r="EI87" s="209"/>
      <c r="EJ87" s="209"/>
      <c r="EK87" s="209"/>
      <c r="EL87" s="209"/>
      <c r="EM87" s="209"/>
      <c r="EN87" s="209"/>
      <c r="EO87" s="209"/>
      <c r="EP87" s="209"/>
      <c r="EQ87" s="209"/>
      <c r="ER87" s="209"/>
      <c r="ES87" s="209"/>
      <c r="ET87" s="209"/>
      <c r="EU87" s="209"/>
      <c r="EV87" s="209"/>
      <c r="EW87" s="209"/>
      <c r="EX87" s="209"/>
      <c r="EY87" s="209"/>
      <c r="EZ87" s="209"/>
      <c r="FA87" s="209"/>
      <c r="FB87" s="209"/>
      <c r="FC87" s="209"/>
      <c r="FD87" s="209"/>
      <c r="FE87" s="209"/>
      <c r="FF87" s="209"/>
      <c r="FG87" s="209"/>
      <c r="FH87" s="209"/>
      <c r="FI87" s="209"/>
      <c r="FJ87" s="209"/>
      <c r="FK87" s="209"/>
      <c r="FL87" s="209"/>
      <c r="FM87" s="209"/>
      <c r="FN87" s="209"/>
      <c r="FO87" s="209"/>
      <c r="FP87" s="209"/>
      <c r="FQ87" s="209"/>
      <c r="FR87" s="209"/>
      <c r="FS87" s="209"/>
      <c r="FT87" s="209"/>
      <c r="FU87" s="209"/>
      <c r="FV87" s="209"/>
      <c r="FW87" s="209"/>
      <c r="FX87" s="209"/>
      <c r="FY87" s="209"/>
      <c r="FZ87" s="209"/>
      <c r="GA87" s="209"/>
      <c r="GB87" s="209"/>
      <c r="GC87" s="209"/>
      <c r="GD87" s="209"/>
      <c r="GE87" s="209"/>
      <c r="GF87" s="209"/>
      <c r="GG87" s="209"/>
      <c r="GH87" s="209"/>
      <c r="GI87" s="209"/>
      <c r="GJ87" s="209"/>
      <c r="GK87" s="209"/>
      <c r="GL87" s="209"/>
      <c r="GM87" s="209"/>
      <c r="GN87" s="209"/>
      <c r="GO87" s="209"/>
      <c r="GP87" s="209"/>
      <c r="GQ87" s="209"/>
      <c r="GR87" s="209"/>
      <c r="GS87" s="209"/>
      <c r="GT87" s="209"/>
      <c r="GU87" s="209"/>
      <c r="GV87" s="209"/>
      <c r="GW87" s="209"/>
      <c r="GX87" s="209"/>
      <c r="GY87" s="209"/>
      <c r="GZ87" s="209"/>
      <c r="HA87" s="209"/>
      <c r="HB87" s="209"/>
      <c r="HC87" s="209"/>
      <c r="HD87" s="209"/>
      <c r="HE87" s="209"/>
      <c r="HF87" s="209"/>
      <c r="HG87" s="209"/>
      <c r="HH87" s="209"/>
      <c r="HI87" s="209"/>
      <c r="HJ87" s="209"/>
      <c r="HK87" s="209"/>
      <c r="HL87" s="209"/>
      <c r="HM87" s="209"/>
      <c r="HN87" s="209"/>
      <c r="HO87" s="209"/>
      <c r="HP87" s="209"/>
      <c r="HQ87" s="209"/>
      <c r="HR87" s="209"/>
      <c r="HS87" s="209"/>
      <c r="HT87" s="209"/>
      <c r="HU87" s="209"/>
      <c r="HV87" s="209"/>
      <c r="HW87" s="209"/>
      <c r="HX87" s="209"/>
      <c r="HY87" s="209"/>
      <c r="HZ87" s="209"/>
      <c r="IA87" s="209"/>
      <c r="IB87" s="209"/>
      <c r="IC87" s="209"/>
      <c r="ID87" s="209"/>
      <c r="IE87" s="209"/>
      <c r="IF87" s="209"/>
      <c r="IG87" s="209"/>
      <c r="IH87" s="209"/>
      <c r="II87" s="209"/>
      <c r="IJ87" s="209"/>
      <c r="IK87" s="209"/>
      <c r="IL87" s="209"/>
      <c r="IM87" s="209"/>
      <c r="IN87" s="209"/>
      <c r="IO87" s="209"/>
      <c r="IP87" s="209"/>
      <c r="IQ87" s="209"/>
      <c r="IR87" s="209"/>
      <c r="IS87" s="209"/>
      <c r="IT87" s="209"/>
      <c r="IU87" s="209"/>
    </row>
    <row r="88" spans="1:255">
      <c r="A88" s="991"/>
      <c r="B88" s="992"/>
      <c r="C88" s="993"/>
      <c r="D88" s="992"/>
      <c r="E88" s="994"/>
      <c r="F88" s="994"/>
      <c r="G88" s="994"/>
      <c r="H88" s="994"/>
      <c r="I88" s="995"/>
      <c r="J88" s="995"/>
      <c r="K88" s="995"/>
      <c r="L88" s="995"/>
      <c r="M88" s="614">
        <f t="shared" si="102"/>
        <v>0</v>
      </c>
      <c r="N88" s="995"/>
      <c r="O88" s="995"/>
      <c r="P88" s="995"/>
      <c r="Q88" s="995"/>
      <c r="R88" s="614">
        <f t="shared" si="103"/>
        <v>0</v>
      </c>
      <c r="S88" s="614">
        <f t="shared" si="104"/>
        <v>0</v>
      </c>
      <c r="T88" s="614">
        <f t="shared" si="105"/>
        <v>0</v>
      </c>
      <c r="U88" s="614">
        <f t="shared" si="106"/>
        <v>0</v>
      </c>
      <c r="V88" s="614">
        <f t="shared" si="107"/>
        <v>0</v>
      </c>
      <c r="W88" s="614">
        <f t="shared" si="108"/>
        <v>0</v>
      </c>
      <c r="X88" s="614">
        <f t="shared" si="109"/>
        <v>0</v>
      </c>
      <c r="Y88" s="614">
        <f t="shared" si="110"/>
        <v>0</v>
      </c>
      <c r="Z88" s="614">
        <f t="shared" si="111"/>
        <v>0</v>
      </c>
      <c r="AA88" s="614">
        <f t="shared" si="112"/>
        <v>0</v>
      </c>
      <c r="AB88" s="614">
        <f t="shared" si="113"/>
        <v>0</v>
      </c>
      <c r="AC88" s="614">
        <f t="shared" si="114"/>
        <v>0</v>
      </c>
      <c r="AD88" s="614">
        <f t="shared" si="115"/>
        <v>0</v>
      </c>
      <c r="AE88" s="614">
        <f t="shared" si="116"/>
        <v>0</v>
      </c>
      <c r="AF88" s="994"/>
      <c r="AG88" s="994"/>
      <c r="AH88" s="996"/>
      <c r="AI88" s="614">
        <f t="shared" si="117"/>
        <v>0</v>
      </c>
      <c r="AJ88" s="996"/>
      <c r="AK88" s="614">
        <f t="shared" si="118"/>
        <v>0</v>
      </c>
      <c r="AL88" s="997"/>
      <c r="AM88" s="614">
        <f t="shared" si="119"/>
        <v>0</v>
      </c>
      <c r="AN88" s="996"/>
      <c r="AO88" s="614">
        <f t="shared" si="120"/>
        <v>0</v>
      </c>
      <c r="AP88" s="614">
        <f t="shared" si="121"/>
        <v>0</v>
      </c>
      <c r="AQ88" s="994"/>
      <c r="AR88" s="994"/>
      <c r="AS88" s="996"/>
      <c r="AT88" s="614">
        <f t="shared" si="122"/>
        <v>0</v>
      </c>
      <c r="AU88" s="996"/>
      <c r="AV88" s="614">
        <f t="shared" si="123"/>
        <v>0</v>
      </c>
      <c r="AW88" s="997"/>
      <c r="AX88" s="614">
        <f t="shared" si="124"/>
        <v>0</v>
      </c>
      <c r="AY88" s="987">
        <f t="shared" si="125"/>
        <v>0</v>
      </c>
      <c r="AZ88" s="987">
        <f t="shared" si="126"/>
        <v>0</v>
      </c>
      <c r="BA88" s="614">
        <f t="shared" si="127"/>
        <v>0</v>
      </c>
      <c r="BB88" s="614">
        <f t="shared" si="128"/>
        <v>0</v>
      </c>
      <c r="BC88" s="614">
        <f t="shared" si="129"/>
        <v>0</v>
      </c>
      <c r="BD88" s="994"/>
      <c r="BE88" s="994"/>
      <c r="BF88" s="614">
        <f t="shared" si="130"/>
        <v>0</v>
      </c>
      <c r="BG88" s="614">
        <f t="shared" si="131"/>
        <v>0</v>
      </c>
      <c r="BH88" s="614">
        <f t="shared" si="132"/>
        <v>0</v>
      </c>
      <c r="BI88" s="614">
        <f t="shared" si="133"/>
        <v>0</v>
      </c>
      <c r="BJ88" s="614">
        <f t="shared" si="134"/>
        <v>0</v>
      </c>
      <c r="BK88" s="614">
        <f t="shared" si="135"/>
        <v>0</v>
      </c>
      <c r="BL88" s="614">
        <f t="shared" si="136"/>
        <v>0</v>
      </c>
      <c r="BM88" s="614">
        <f t="shared" si="137"/>
        <v>0</v>
      </c>
      <c r="BN88" s="614">
        <f t="shared" si="138"/>
        <v>0</v>
      </c>
      <c r="BO88" s="614">
        <f t="shared" si="139"/>
        <v>0</v>
      </c>
      <c r="BP88" s="614">
        <f t="shared" si="140"/>
        <v>0</v>
      </c>
      <c r="BQ88" s="614">
        <f t="shared" si="141"/>
        <v>0</v>
      </c>
      <c r="BR88" s="614">
        <f t="shared" si="142"/>
        <v>0</v>
      </c>
      <c r="BS88" s="614">
        <f t="shared" si="143"/>
        <v>0</v>
      </c>
      <c r="BT88" s="614">
        <f t="shared" si="144"/>
        <v>0</v>
      </c>
      <c r="BU88" s="614">
        <f t="shared" si="145"/>
        <v>0</v>
      </c>
      <c r="BV88" s="614">
        <f t="shared" si="146"/>
        <v>0</v>
      </c>
      <c r="BW88" s="614">
        <f t="shared" si="147"/>
        <v>0</v>
      </c>
      <c r="BX88" s="614">
        <f t="shared" si="148"/>
        <v>0</v>
      </c>
      <c r="BY88" s="209"/>
      <c r="BZ88" s="209"/>
      <c r="CA88" s="209"/>
      <c r="CB88" s="209"/>
      <c r="CC88" s="209"/>
      <c r="CD88" s="209"/>
      <c r="CE88" s="209"/>
      <c r="CF88" s="209"/>
      <c r="CG88" s="209"/>
      <c r="CH88" s="209"/>
      <c r="CI88" s="209"/>
      <c r="CJ88" s="209"/>
      <c r="CK88" s="209"/>
      <c r="CL88" s="209"/>
      <c r="CM88" s="209"/>
      <c r="CN88" s="209"/>
      <c r="CO88" s="209"/>
      <c r="CP88" s="209"/>
      <c r="CQ88" s="209"/>
      <c r="CR88" s="209"/>
      <c r="CS88" s="209"/>
      <c r="CT88" s="209"/>
      <c r="CU88" s="209"/>
      <c r="CV88" s="209"/>
      <c r="CW88" s="209"/>
      <c r="CX88" s="209"/>
      <c r="CY88" s="209"/>
      <c r="CZ88" s="209"/>
      <c r="DA88" s="209"/>
      <c r="DB88" s="209"/>
      <c r="DC88" s="209"/>
      <c r="DD88" s="209"/>
      <c r="DE88" s="209"/>
      <c r="DF88" s="209"/>
      <c r="DG88" s="209"/>
      <c r="DH88" s="209"/>
      <c r="DI88" s="209"/>
      <c r="DJ88" s="209"/>
      <c r="DK88" s="209"/>
      <c r="DL88" s="209"/>
      <c r="DM88" s="209"/>
      <c r="DN88" s="209"/>
      <c r="DO88" s="209"/>
      <c r="DP88" s="209"/>
      <c r="DQ88" s="209"/>
      <c r="DR88" s="209"/>
      <c r="DS88" s="209"/>
      <c r="DT88" s="209"/>
      <c r="DU88" s="209"/>
      <c r="DV88" s="209"/>
      <c r="DW88" s="209"/>
      <c r="DX88" s="209"/>
      <c r="DY88" s="209"/>
      <c r="DZ88" s="209"/>
      <c r="EA88" s="209"/>
      <c r="EB88" s="209"/>
      <c r="EC88" s="209"/>
      <c r="ED88" s="209"/>
      <c r="EE88" s="209"/>
      <c r="EF88" s="209"/>
      <c r="EG88" s="209"/>
      <c r="EH88" s="209"/>
      <c r="EI88" s="209"/>
      <c r="EJ88" s="209"/>
      <c r="EK88" s="209"/>
      <c r="EL88" s="209"/>
      <c r="EM88" s="209"/>
      <c r="EN88" s="209"/>
      <c r="EO88" s="209"/>
      <c r="EP88" s="209"/>
      <c r="EQ88" s="209"/>
      <c r="ER88" s="209"/>
      <c r="ES88" s="209"/>
      <c r="ET88" s="209"/>
      <c r="EU88" s="209"/>
      <c r="EV88" s="209"/>
      <c r="EW88" s="209"/>
      <c r="EX88" s="209"/>
      <c r="EY88" s="209"/>
      <c r="EZ88" s="209"/>
      <c r="FA88" s="209"/>
      <c r="FB88" s="209"/>
      <c r="FC88" s="209"/>
      <c r="FD88" s="209"/>
      <c r="FE88" s="209"/>
      <c r="FF88" s="209"/>
      <c r="FG88" s="209"/>
      <c r="FH88" s="209"/>
      <c r="FI88" s="209"/>
      <c r="FJ88" s="209"/>
      <c r="FK88" s="209"/>
      <c r="FL88" s="209"/>
      <c r="FM88" s="209"/>
      <c r="FN88" s="209"/>
      <c r="FO88" s="209"/>
      <c r="FP88" s="209"/>
      <c r="FQ88" s="209"/>
      <c r="FR88" s="209"/>
      <c r="FS88" s="209"/>
      <c r="FT88" s="209"/>
      <c r="FU88" s="209"/>
      <c r="FV88" s="209"/>
      <c r="FW88" s="209"/>
      <c r="FX88" s="209"/>
      <c r="FY88" s="209"/>
      <c r="FZ88" s="209"/>
      <c r="GA88" s="209"/>
      <c r="GB88" s="209"/>
      <c r="GC88" s="209"/>
      <c r="GD88" s="209"/>
      <c r="GE88" s="209"/>
      <c r="GF88" s="209"/>
      <c r="GG88" s="209"/>
      <c r="GH88" s="209"/>
      <c r="GI88" s="209"/>
      <c r="GJ88" s="209"/>
      <c r="GK88" s="209"/>
      <c r="GL88" s="209"/>
      <c r="GM88" s="209"/>
      <c r="GN88" s="209"/>
      <c r="GO88" s="209"/>
      <c r="GP88" s="209"/>
      <c r="GQ88" s="209"/>
      <c r="GR88" s="209"/>
      <c r="GS88" s="209"/>
      <c r="GT88" s="209"/>
      <c r="GU88" s="209"/>
      <c r="GV88" s="209"/>
      <c r="GW88" s="209"/>
      <c r="GX88" s="209"/>
      <c r="GY88" s="209"/>
      <c r="GZ88" s="209"/>
      <c r="HA88" s="209"/>
      <c r="HB88" s="209"/>
      <c r="HC88" s="209"/>
      <c r="HD88" s="209"/>
      <c r="HE88" s="209"/>
      <c r="HF88" s="209"/>
      <c r="HG88" s="209"/>
      <c r="HH88" s="209"/>
      <c r="HI88" s="209"/>
      <c r="HJ88" s="209"/>
      <c r="HK88" s="209"/>
      <c r="HL88" s="209"/>
      <c r="HM88" s="209"/>
      <c r="HN88" s="209"/>
      <c r="HO88" s="209"/>
      <c r="HP88" s="209"/>
      <c r="HQ88" s="209"/>
      <c r="HR88" s="209"/>
      <c r="HS88" s="209"/>
      <c r="HT88" s="209"/>
      <c r="HU88" s="209"/>
      <c r="HV88" s="209"/>
      <c r="HW88" s="209"/>
      <c r="HX88" s="209"/>
      <c r="HY88" s="209"/>
      <c r="HZ88" s="209"/>
      <c r="IA88" s="209"/>
      <c r="IB88" s="209"/>
      <c r="IC88" s="209"/>
      <c r="ID88" s="209"/>
      <c r="IE88" s="209"/>
      <c r="IF88" s="209"/>
      <c r="IG88" s="209"/>
      <c r="IH88" s="209"/>
      <c r="II88" s="209"/>
      <c r="IJ88" s="209"/>
      <c r="IK88" s="209"/>
      <c r="IL88" s="209"/>
      <c r="IM88" s="209"/>
      <c r="IN88" s="209"/>
      <c r="IO88" s="209"/>
      <c r="IP88" s="209"/>
      <c r="IQ88" s="209"/>
      <c r="IR88" s="209"/>
      <c r="IS88" s="209"/>
      <c r="IT88" s="209"/>
      <c r="IU88" s="209"/>
    </row>
    <row r="89" spans="1:255">
      <c r="A89" s="991"/>
      <c r="B89" s="992"/>
      <c r="C89" s="993"/>
      <c r="D89" s="992"/>
      <c r="E89" s="994"/>
      <c r="F89" s="994"/>
      <c r="G89" s="994"/>
      <c r="H89" s="994"/>
      <c r="I89" s="995"/>
      <c r="J89" s="995"/>
      <c r="K89" s="995"/>
      <c r="L89" s="995"/>
      <c r="M89" s="614">
        <f t="shared" si="102"/>
        <v>0</v>
      </c>
      <c r="N89" s="995"/>
      <c r="O89" s="995"/>
      <c r="P89" s="995"/>
      <c r="Q89" s="995"/>
      <c r="R89" s="614">
        <f t="shared" si="103"/>
        <v>0</v>
      </c>
      <c r="S89" s="614">
        <f t="shared" si="104"/>
        <v>0</v>
      </c>
      <c r="T89" s="614">
        <f t="shared" si="105"/>
        <v>0</v>
      </c>
      <c r="U89" s="614">
        <f t="shared" si="106"/>
        <v>0</v>
      </c>
      <c r="V89" s="614">
        <f t="shared" si="107"/>
        <v>0</v>
      </c>
      <c r="W89" s="614">
        <f t="shared" si="108"/>
        <v>0</v>
      </c>
      <c r="X89" s="614">
        <f t="shared" si="109"/>
        <v>0</v>
      </c>
      <c r="Y89" s="614">
        <f t="shared" si="110"/>
        <v>0</v>
      </c>
      <c r="Z89" s="614">
        <f t="shared" si="111"/>
        <v>0</v>
      </c>
      <c r="AA89" s="614">
        <f t="shared" si="112"/>
        <v>0</v>
      </c>
      <c r="AB89" s="614">
        <f t="shared" si="113"/>
        <v>0</v>
      </c>
      <c r="AC89" s="614">
        <f t="shared" si="114"/>
        <v>0</v>
      </c>
      <c r="AD89" s="614">
        <f t="shared" si="115"/>
        <v>0</v>
      </c>
      <c r="AE89" s="614">
        <f t="shared" si="116"/>
        <v>0</v>
      </c>
      <c r="AF89" s="994"/>
      <c r="AG89" s="994"/>
      <c r="AH89" s="996"/>
      <c r="AI89" s="614">
        <f t="shared" si="117"/>
        <v>0</v>
      </c>
      <c r="AJ89" s="996"/>
      <c r="AK89" s="614">
        <f t="shared" si="118"/>
        <v>0</v>
      </c>
      <c r="AL89" s="997"/>
      <c r="AM89" s="614">
        <f t="shared" si="119"/>
        <v>0</v>
      </c>
      <c r="AN89" s="996"/>
      <c r="AO89" s="614">
        <f t="shared" si="120"/>
        <v>0</v>
      </c>
      <c r="AP89" s="614">
        <f t="shared" si="121"/>
        <v>0</v>
      </c>
      <c r="AQ89" s="994"/>
      <c r="AR89" s="994"/>
      <c r="AS89" s="996"/>
      <c r="AT89" s="614">
        <f t="shared" si="122"/>
        <v>0</v>
      </c>
      <c r="AU89" s="996"/>
      <c r="AV89" s="614">
        <f t="shared" si="123"/>
        <v>0</v>
      </c>
      <c r="AW89" s="997"/>
      <c r="AX89" s="614">
        <f t="shared" si="124"/>
        <v>0</v>
      </c>
      <c r="AY89" s="987">
        <f t="shared" si="125"/>
        <v>0</v>
      </c>
      <c r="AZ89" s="987">
        <f t="shared" si="126"/>
        <v>0</v>
      </c>
      <c r="BA89" s="614">
        <f t="shared" si="127"/>
        <v>0</v>
      </c>
      <c r="BB89" s="614">
        <f t="shared" si="128"/>
        <v>0</v>
      </c>
      <c r="BC89" s="614">
        <f t="shared" si="129"/>
        <v>0</v>
      </c>
      <c r="BD89" s="994"/>
      <c r="BE89" s="994"/>
      <c r="BF89" s="614">
        <f t="shared" si="130"/>
        <v>0</v>
      </c>
      <c r="BG89" s="614">
        <f t="shared" si="131"/>
        <v>0</v>
      </c>
      <c r="BH89" s="614">
        <f t="shared" si="132"/>
        <v>0</v>
      </c>
      <c r="BI89" s="614">
        <f t="shared" si="133"/>
        <v>0</v>
      </c>
      <c r="BJ89" s="614">
        <f t="shared" si="134"/>
        <v>0</v>
      </c>
      <c r="BK89" s="614">
        <f t="shared" si="135"/>
        <v>0</v>
      </c>
      <c r="BL89" s="614">
        <f t="shared" si="136"/>
        <v>0</v>
      </c>
      <c r="BM89" s="614">
        <f t="shared" si="137"/>
        <v>0</v>
      </c>
      <c r="BN89" s="614">
        <f t="shared" si="138"/>
        <v>0</v>
      </c>
      <c r="BO89" s="614">
        <f t="shared" si="139"/>
        <v>0</v>
      </c>
      <c r="BP89" s="614">
        <f t="shared" si="140"/>
        <v>0</v>
      </c>
      <c r="BQ89" s="614">
        <f t="shared" si="141"/>
        <v>0</v>
      </c>
      <c r="BR89" s="614">
        <f t="shared" si="142"/>
        <v>0</v>
      </c>
      <c r="BS89" s="614">
        <f t="shared" si="143"/>
        <v>0</v>
      </c>
      <c r="BT89" s="614">
        <f t="shared" si="144"/>
        <v>0</v>
      </c>
      <c r="BU89" s="614">
        <f t="shared" si="145"/>
        <v>0</v>
      </c>
      <c r="BV89" s="614">
        <f t="shared" si="146"/>
        <v>0</v>
      </c>
      <c r="BW89" s="614">
        <f t="shared" si="147"/>
        <v>0</v>
      </c>
      <c r="BX89" s="614">
        <f t="shared" si="148"/>
        <v>0</v>
      </c>
      <c r="BY89" s="209"/>
      <c r="BZ89" s="209"/>
      <c r="CA89" s="209"/>
      <c r="CB89" s="209"/>
      <c r="CC89" s="209"/>
      <c r="CD89" s="209"/>
      <c r="CE89" s="209"/>
      <c r="CF89" s="209"/>
      <c r="CG89" s="209"/>
      <c r="CH89" s="209"/>
      <c r="CI89" s="209"/>
      <c r="CJ89" s="209"/>
      <c r="CK89" s="209"/>
      <c r="CL89" s="209"/>
      <c r="CM89" s="209"/>
      <c r="CN89" s="209"/>
      <c r="CO89" s="209"/>
      <c r="CP89" s="209"/>
      <c r="CQ89" s="209"/>
      <c r="CR89" s="209"/>
      <c r="CS89" s="209"/>
      <c r="CT89" s="209"/>
      <c r="CU89" s="209"/>
      <c r="CV89" s="209"/>
      <c r="CW89" s="209"/>
      <c r="CX89" s="209"/>
      <c r="CY89" s="209"/>
      <c r="CZ89" s="209"/>
      <c r="DA89" s="209"/>
      <c r="DB89" s="209"/>
      <c r="DC89" s="209"/>
      <c r="DD89" s="209"/>
      <c r="DE89" s="209"/>
      <c r="DF89" s="209"/>
      <c r="DG89" s="209"/>
      <c r="DH89" s="209"/>
      <c r="DI89" s="209"/>
      <c r="DJ89" s="209"/>
      <c r="DK89" s="209"/>
      <c r="DL89" s="209"/>
      <c r="DM89" s="209"/>
      <c r="DN89" s="209"/>
      <c r="DO89" s="209"/>
      <c r="DP89" s="209"/>
      <c r="DQ89" s="209"/>
      <c r="DR89" s="209"/>
      <c r="DS89" s="209"/>
      <c r="DT89" s="209"/>
      <c r="DU89" s="209"/>
      <c r="DV89" s="209"/>
      <c r="DW89" s="209"/>
      <c r="DX89" s="209"/>
      <c r="DY89" s="209"/>
      <c r="DZ89" s="209"/>
      <c r="EA89" s="209"/>
      <c r="EB89" s="209"/>
      <c r="EC89" s="209"/>
      <c r="ED89" s="209"/>
      <c r="EE89" s="209"/>
      <c r="EF89" s="209"/>
      <c r="EG89" s="209"/>
      <c r="EH89" s="209"/>
      <c r="EI89" s="209"/>
      <c r="EJ89" s="209"/>
      <c r="EK89" s="209"/>
      <c r="EL89" s="209"/>
      <c r="EM89" s="209"/>
      <c r="EN89" s="209"/>
      <c r="EO89" s="209"/>
      <c r="EP89" s="209"/>
      <c r="EQ89" s="209"/>
      <c r="ER89" s="209"/>
      <c r="ES89" s="209"/>
      <c r="ET89" s="209"/>
      <c r="EU89" s="209"/>
      <c r="EV89" s="209"/>
      <c r="EW89" s="209"/>
      <c r="EX89" s="209"/>
      <c r="EY89" s="209"/>
      <c r="EZ89" s="209"/>
      <c r="FA89" s="209"/>
      <c r="FB89" s="209"/>
      <c r="FC89" s="209"/>
      <c r="FD89" s="209"/>
      <c r="FE89" s="209"/>
      <c r="FF89" s="209"/>
      <c r="FG89" s="209"/>
      <c r="FH89" s="209"/>
      <c r="FI89" s="209"/>
      <c r="FJ89" s="209"/>
      <c r="FK89" s="209"/>
      <c r="FL89" s="209"/>
      <c r="FM89" s="209"/>
      <c r="FN89" s="209"/>
      <c r="FO89" s="209"/>
      <c r="FP89" s="209"/>
      <c r="FQ89" s="209"/>
      <c r="FR89" s="209"/>
      <c r="FS89" s="209"/>
      <c r="FT89" s="209"/>
      <c r="FU89" s="209"/>
      <c r="FV89" s="209"/>
      <c r="FW89" s="209"/>
      <c r="FX89" s="209"/>
      <c r="FY89" s="209"/>
      <c r="FZ89" s="209"/>
      <c r="GA89" s="209"/>
      <c r="GB89" s="209"/>
      <c r="GC89" s="209"/>
      <c r="GD89" s="209"/>
      <c r="GE89" s="209"/>
      <c r="GF89" s="209"/>
      <c r="GG89" s="209"/>
      <c r="GH89" s="209"/>
      <c r="GI89" s="209"/>
      <c r="GJ89" s="209"/>
      <c r="GK89" s="209"/>
      <c r="GL89" s="209"/>
      <c r="GM89" s="209"/>
      <c r="GN89" s="209"/>
      <c r="GO89" s="209"/>
      <c r="GP89" s="209"/>
      <c r="GQ89" s="209"/>
      <c r="GR89" s="209"/>
      <c r="GS89" s="209"/>
      <c r="GT89" s="209"/>
      <c r="GU89" s="209"/>
      <c r="GV89" s="209"/>
      <c r="GW89" s="209"/>
      <c r="GX89" s="209"/>
      <c r="GY89" s="209"/>
      <c r="GZ89" s="209"/>
      <c r="HA89" s="209"/>
      <c r="HB89" s="209"/>
      <c r="HC89" s="209"/>
      <c r="HD89" s="209"/>
      <c r="HE89" s="209"/>
      <c r="HF89" s="209"/>
      <c r="HG89" s="209"/>
      <c r="HH89" s="209"/>
      <c r="HI89" s="209"/>
      <c r="HJ89" s="209"/>
      <c r="HK89" s="209"/>
      <c r="HL89" s="209"/>
      <c r="HM89" s="209"/>
      <c r="HN89" s="209"/>
      <c r="HO89" s="209"/>
      <c r="HP89" s="209"/>
      <c r="HQ89" s="209"/>
      <c r="HR89" s="209"/>
      <c r="HS89" s="209"/>
      <c r="HT89" s="209"/>
      <c r="HU89" s="209"/>
      <c r="HV89" s="209"/>
      <c r="HW89" s="209"/>
      <c r="HX89" s="209"/>
      <c r="HY89" s="209"/>
      <c r="HZ89" s="209"/>
      <c r="IA89" s="209"/>
      <c r="IB89" s="209"/>
      <c r="IC89" s="209"/>
      <c r="ID89" s="209"/>
      <c r="IE89" s="209"/>
      <c r="IF89" s="209"/>
      <c r="IG89" s="209"/>
      <c r="IH89" s="209"/>
      <c r="II89" s="209"/>
      <c r="IJ89" s="209"/>
      <c r="IK89" s="209"/>
      <c r="IL89" s="209"/>
      <c r="IM89" s="209"/>
      <c r="IN89" s="209"/>
      <c r="IO89" s="209"/>
      <c r="IP89" s="209"/>
      <c r="IQ89" s="209"/>
      <c r="IR89" s="209"/>
      <c r="IS89" s="209"/>
      <c r="IT89" s="209"/>
      <c r="IU89" s="209"/>
    </row>
    <row r="90" spans="1:255">
      <c r="A90" s="991"/>
      <c r="B90" s="992"/>
      <c r="C90" s="993"/>
      <c r="D90" s="992"/>
      <c r="E90" s="994"/>
      <c r="F90" s="994"/>
      <c r="G90" s="994"/>
      <c r="H90" s="994"/>
      <c r="I90" s="995"/>
      <c r="J90" s="995"/>
      <c r="K90" s="995"/>
      <c r="L90" s="995"/>
      <c r="M90" s="614">
        <f t="shared" si="102"/>
        <v>0</v>
      </c>
      <c r="N90" s="995"/>
      <c r="O90" s="995"/>
      <c r="P90" s="995"/>
      <c r="Q90" s="995"/>
      <c r="R90" s="614">
        <f t="shared" si="103"/>
        <v>0</v>
      </c>
      <c r="S90" s="614">
        <f t="shared" si="104"/>
        <v>0</v>
      </c>
      <c r="T90" s="614">
        <f t="shared" si="105"/>
        <v>0</v>
      </c>
      <c r="U90" s="614">
        <f t="shared" si="106"/>
        <v>0</v>
      </c>
      <c r="V90" s="614">
        <f t="shared" si="107"/>
        <v>0</v>
      </c>
      <c r="W90" s="614">
        <f t="shared" si="108"/>
        <v>0</v>
      </c>
      <c r="X90" s="614">
        <f t="shared" si="109"/>
        <v>0</v>
      </c>
      <c r="Y90" s="614">
        <f t="shared" si="110"/>
        <v>0</v>
      </c>
      <c r="Z90" s="614">
        <f t="shared" si="111"/>
        <v>0</v>
      </c>
      <c r="AA90" s="614">
        <f t="shared" si="112"/>
        <v>0</v>
      </c>
      <c r="AB90" s="614">
        <f t="shared" si="113"/>
        <v>0</v>
      </c>
      <c r="AC90" s="614">
        <f t="shared" si="114"/>
        <v>0</v>
      </c>
      <c r="AD90" s="614">
        <f t="shared" si="115"/>
        <v>0</v>
      </c>
      <c r="AE90" s="614">
        <f t="shared" si="116"/>
        <v>0</v>
      </c>
      <c r="AF90" s="994"/>
      <c r="AG90" s="994"/>
      <c r="AH90" s="996"/>
      <c r="AI90" s="614">
        <f t="shared" si="117"/>
        <v>0</v>
      </c>
      <c r="AJ90" s="996"/>
      <c r="AK90" s="614">
        <f t="shared" si="118"/>
        <v>0</v>
      </c>
      <c r="AL90" s="997"/>
      <c r="AM90" s="614">
        <f t="shared" si="119"/>
        <v>0</v>
      </c>
      <c r="AN90" s="996"/>
      <c r="AO90" s="614">
        <f t="shared" si="120"/>
        <v>0</v>
      </c>
      <c r="AP90" s="614">
        <f t="shared" si="121"/>
        <v>0</v>
      </c>
      <c r="AQ90" s="994"/>
      <c r="AR90" s="994"/>
      <c r="AS90" s="996"/>
      <c r="AT90" s="614">
        <f t="shared" si="122"/>
        <v>0</v>
      </c>
      <c r="AU90" s="996"/>
      <c r="AV90" s="614">
        <f t="shared" si="123"/>
        <v>0</v>
      </c>
      <c r="AW90" s="997"/>
      <c r="AX90" s="614">
        <f t="shared" si="124"/>
        <v>0</v>
      </c>
      <c r="AY90" s="987">
        <f t="shared" si="125"/>
        <v>0</v>
      </c>
      <c r="AZ90" s="987">
        <f t="shared" si="126"/>
        <v>0</v>
      </c>
      <c r="BA90" s="614">
        <f t="shared" si="127"/>
        <v>0</v>
      </c>
      <c r="BB90" s="614">
        <f t="shared" si="128"/>
        <v>0</v>
      </c>
      <c r="BC90" s="614">
        <f t="shared" si="129"/>
        <v>0</v>
      </c>
      <c r="BD90" s="994"/>
      <c r="BE90" s="994"/>
      <c r="BF90" s="614">
        <f t="shared" si="130"/>
        <v>0</v>
      </c>
      <c r="BG90" s="614">
        <f t="shared" si="131"/>
        <v>0</v>
      </c>
      <c r="BH90" s="614">
        <f t="shared" si="132"/>
        <v>0</v>
      </c>
      <c r="BI90" s="614">
        <f t="shared" si="133"/>
        <v>0</v>
      </c>
      <c r="BJ90" s="614">
        <f t="shared" si="134"/>
        <v>0</v>
      </c>
      <c r="BK90" s="614">
        <f t="shared" si="135"/>
        <v>0</v>
      </c>
      <c r="BL90" s="614">
        <f t="shared" si="136"/>
        <v>0</v>
      </c>
      <c r="BM90" s="614">
        <f t="shared" si="137"/>
        <v>0</v>
      </c>
      <c r="BN90" s="614">
        <f t="shared" si="138"/>
        <v>0</v>
      </c>
      <c r="BO90" s="614">
        <f t="shared" si="139"/>
        <v>0</v>
      </c>
      <c r="BP90" s="614">
        <f t="shared" si="140"/>
        <v>0</v>
      </c>
      <c r="BQ90" s="614">
        <f t="shared" si="141"/>
        <v>0</v>
      </c>
      <c r="BR90" s="614">
        <f t="shared" si="142"/>
        <v>0</v>
      </c>
      <c r="BS90" s="614">
        <f t="shared" si="143"/>
        <v>0</v>
      </c>
      <c r="BT90" s="614">
        <f t="shared" si="144"/>
        <v>0</v>
      </c>
      <c r="BU90" s="614">
        <f t="shared" si="145"/>
        <v>0</v>
      </c>
      <c r="BV90" s="614">
        <f t="shared" si="146"/>
        <v>0</v>
      </c>
      <c r="BW90" s="614">
        <f t="shared" si="147"/>
        <v>0</v>
      </c>
      <c r="BX90" s="614">
        <f t="shared" si="148"/>
        <v>0</v>
      </c>
      <c r="BY90" s="209"/>
      <c r="BZ90" s="209"/>
      <c r="CA90" s="209"/>
      <c r="CB90" s="209"/>
      <c r="CC90" s="209"/>
      <c r="CD90" s="209"/>
      <c r="CE90" s="209"/>
      <c r="CF90" s="209"/>
      <c r="CG90" s="209"/>
      <c r="CH90" s="209"/>
      <c r="CI90" s="209"/>
      <c r="CJ90" s="209"/>
      <c r="CK90" s="209"/>
      <c r="CL90" s="209"/>
      <c r="CM90" s="209"/>
      <c r="CN90" s="209"/>
      <c r="CO90" s="209"/>
      <c r="CP90" s="209"/>
      <c r="CQ90" s="209"/>
      <c r="CR90" s="209"/>
      <c r="CS90" s="209"/>
      <c r="CT90" s="209"/>
      <c r="CU90" s="209"/>
      <c r="CV90" s="209"/>
      <c r="CW90" s="209"/>
      <c r="CX90" s="209"/>
      <c r="CY90" s="209"/>
      <c r="CZ90" s="209"/>
      <c r="DA90" s="209"/>
      <c r="DB90" s="209"/>
      <c r="DC90" s="209"/>
      <c r="DD90" s="209"/>
      <c r="DE90" s="209"/>
      <c r="DF90" s="209"/>
      <c r="DG90" s="209"/>
      <c r="DH90" s="209"/>
      <c r="DI90" s="209"/>
      <c r="DJ90" s="209"/>
      <c r="DK90" s="209"/>
      <c r="DL90" s="209"/>
      <c r="DM90" s="209"/>
      <c r="DN90" s="209"/>
      <c r="DO90" s="209"/>
      <c r="DP90" s="209"/>
      <c r="DQ90" s="209"/>
      <c r="DR90" s="209"/>
      <c r="DS90" s="209"/>
      <c r="DT90" s="209"/>
      <c r="DU90" s="209"/>
      <c r="DV90" s="209"/>
      <c r="DW90" s="209"/>
      <c r="DX90" s="209"/>
      <c r="DY90" s="209"/>
      <c r="DZ90" s="209"/>
      <c r="EA90" s="209"/>
      <c r="EB90" s="209"/>
      <c r="EC90" s="209"/>
      <c r="ED90" s="209"/>
      <c r="EE90" s="209"/>
      <c r="EF90" s="209"/>
      <c r="EG90" s="209"/>
      <c r="EH90" s="209"/>
      <c r="EI90" s="209"/>
      <c r="EJ90" s="209"/>
      <c r="EK90" s="209"/>
      <c r="EL90" s="209"/>
      <c r="EM90" s="209"/>
      <c r="EN90" s="209"/>
      <c r="EO90" s="209"/>
      <c r="EP90" s="209"/>
      <c r="EQ90" s="209"/>
      <c r="ER90" s="209"/>
      <c r="ES90" s="209"/>
      <c r="ET90" s="209"/>
      <c r="EU90" s="209"/>
      <c r="EV90" s="209"/>
      <c r="EW90" s="209"/>
      <c r="EX90" s="209"/>
      <c r="EY90" s="209"/>
      <c r="EZ90" s="209"/>
      <c r="FA90" s="209"/>
      <c r="FB90" s="209"/>
      <c r="FC90" s="209"/>
      <c r="FD90" s="209"/>
      <c r="FE90" s="209"/>
      <c r="FF90" s="209"/>
      <c r="FG90" s="209"/>
      <c r="FH90" s="209"/>
      <c r="FI90" s="209"/>
      <c r="FJ90" s="209"/>
      <c r="FK90" s="209"/>
      <c r="FL90" s="209"/>
      <c r="FM90" s="209"/>
      <c r="FN90" s="209"/>
      <c r="FO90" s="209"/>
      <c r="FP90" s="209"/>
      <c r="FQ90" s="209"/>
      <c r="FR90" s="209"/>
      <c r="FS90" s="209"/>
      <c r="FT90" s="209"/>
      <c r="FU90" s="209"/>
      <c r="FV90" s="209"/>
      <c r="FW90" s="209"/>
      <c r="FX90" s="209"/>
      <c r="FY90" s="209"/>
      <c r="FZ90" s="209"/>
      <c r="GA90" s="209"/>
      <c r="GB90" s="209"/>
      <c r="GC90" s="209"/>
      <c r="GD90" s="209"/>
      <c r="GE90" s="209"/>
      <c r="GF90" s="209"/>
      <c r="GG90" s="209"/>
      <c r="GH90" s="209"/>
      <c r="GI90" s="209"/>
      <c r="GJ90" s="209"/>
      <c r="GK90" s="209"/>
      <c r="GL90" s="209"/>
      <c r="GM90" s="209"/>
      <c r="GN90" s="209"/>
      <c r="GO90" s="209"/>
      <c r="GP90" s="209"/>
      <c r="GQ90" s="209"/>
      <c r="GR90" s="209"/>
      <c r="GS90" s="209"/>
      <c r="GT90" s="209"/>
      <c r="GU90" s="209"/>
      <c r="GV90" s="209"/>
      <c r="GW90" s="209"/>
      <c r="GX90" s="209"/>
      <c r="GY90" s="209"/>
      <c r="GZ90" s="209"/>
      <c r="HA90" s="209"/>
      <c r="HB90" s="209"/>
      <c r="HC90" s="209"/>
      <c r="HD90" s="209"/>
      <c r="HE90" s="209"/>
      <c r="HF90" s="209"/>
      <c r="HG90" s="209"/>
      <c r="HH90" s="209"/>
      <c r="HI90" s="209"/>
      <c r="HJ90" s="209"/>
      <c r="HK90" s="209"/>
      <c r="HL90" s="209"/>
      <c r="HM90" s="209"/>
      <c r="HN90" s="209"/>
      <c r="HO90" s="209"/>
      <c r="HP90" s="209"/>
      <c r="HQ90" s="209"/>
      <c r="HR90" s="209"/>
      <c r="HS90" s="209"/>
      <c r="HT90" s="209"/>
      <c r="HU90" s="209"/>
      <c r="HV90" s="209"/>
      <c r="HW90" s="209"/>
      <c r="HX90" s="209"/>
      <c r="HY90" s="209"/>
      <c r="HZ90" s="209"/>
      <c r="IA90" s="209"/>
      <c r="IB90" s="209"/>
      <c r="IC90" s="209"/>
      <c r="ID90" s="209"/>
      <c r="IE90" s="209"/>
      <c r="IF90" s="209"/>
      <c r="IG90" s="209"/>
      <c r="IH90" s="209"/>
      <c r="II90" s="209"/>
      <c r="IJ90" s="209"/>
      <c r="IK90" s="209"/>
      <c r="IL90" s="209"/>
      <c r="IM90" s="209"/>
      <c r="IN90" s="209"/>
      <c r="IO90" s="209"/>
      <c r="IP90" s="209"/>
      <c r="IQ90" s="209"/>
      <c r="IR90" s="209"/>
      <c r="IS90" s="209"/>
      <c r="IT90" s="209"/>
      <c r="IU90" s="209"/>
    </row>
    <row r="91" spans="1:255">
      <c r="A91" s="991"/>
      <c r="B91" s="992"/>
      <c r="C91" s="993"/>
      <c r="D91" s="992"/>
      <c r="E91" s="994"/>
      <c r="F91" s="994"/>
      <c r="G91" s="994"/>
      <c r="H91" s="994"/>
      <c r="I91" s="995"/>
      <c r="J91" s="995"/>
      <c r="K91" s="995"/>
      <c r="L91" s="995"/>
      <c r="M91" s="614">
        <f t="shared" si="102"/>
        <v>0</v>
      </c>
      <c r="N91" s="995"/>
      <c r="O91" s="995"/>
      <c r="P91" s="995"/>
      <c r="Q91" s="995"/>
      <c r="R91" s="614">
        <f t="shared" si="103"/>
        <v>0</v>
      </c>
      <c r="S91" s="614">
        <f t="shared" si="104"/>
        <v>0</v>
      </c>
      <c r="T91" s="614">
        <f t="shared" si="105"/>
        <v>0</v>
      </c>
      <c r="U91" s="614">
        <f t="shared" si="106"/>
        <v>0</v>
      </c>
      <c r="V91" s="614">
        <f t="shared" si="107"/>
        <v>0</v>
      </c>
      <c r="W91" s="614">
        <f t="shared" si="108"/>
        <v>0</v>
      </c>
      <c r="X91" s="614">
        <f t="shared" si="109"/>
        <v>0</v>
      </c>
      <c r="Y91" s="614">
        <f t="shared" si="110"/>
        <v>0</v>
      </c>
      <c r="Z91" s="614">
        <f t="shared" si="111"/>
        <v>0</v>
      </c>
      <c r="AA91" s="614">
        <f t="shared" si="112"/>
        <v>0</v>
      </c>
      <c r="AB91" s="614">
        <f t="shared" si="113"/>
        <v>0</v>
      </c>
      <c r="AC91" s="614">
        <f t="shared" si="114"/>
        <v>0</v>
      </c>
      <c r="AD91" s="614">
        <f t="shared" si="115"/>
        <v>0</v>
      </c>
      <c r="AE91" s="614">
        <f t="shared" si="116"/>
        <v>0</v>
      </c>
      <c r="AF91" s="994"/>
      <c r="AG91" s="994"/>
      <c r="AH91" s="996"/>
      <c r="AI91" s="614">
        <f t="shared" si="117"/>
        <v>0</v>
      </c>
      <c r="AJ91" s="996"/>
      <c r="AK91" s="614">
        <f t="shared" si="118"/>
        <v>0</v>
      </c>
      <c r="AL91" s="997"/>
      <c r="AM91" s="614">
        <f t="shared" si="119"/>
        <v>0</v>
      </c>
      <c r="AN91" s="996"/>
      <c r="AO91" s="614">
        <f t="shared" si="120"/>
        <v>0</v>
      </c>
      <c r="AP91" s="614">
        <f t="shared" si="121"/>
        <v>0</v>
      </c>
      <c r="AQ91" s="994"/>
      <c r="AR91" s="994"/>
      <c r="AS91" s="996"/>
      <c r="AT91" s="614">
        <f t="shared" si="122"/>
        <v>0</v>
      </c>
      <c r="AU91" s="996"/>
      <c r="AV91" s="614">
        <f t="shared" si="123"/>
        <v>0</v>
      </c>
      <c r="AW91" s="997"/>
      <c r="AX91" s="614">
        <f t="shared" si="124"/>
        <v>0</v>
      </c>
      <c r="AY91" s="987">
        <f t="shared" si="125"/>
        <v>0</v>
      </c>
      <c r="AZ91" s="987">
        <f t="shared" si="126"/>
        <v>0</v>
      </c>
      <c r="BA91" s="614">
        <f t="shared" si="127"/>
        <v>0</v>
      </c>
      <c r="BB91" s="614">
        <f t="shared" si="128"/>
        <v>0</v>
      </c>
      <c r="BC91" s="614">
        <f t="shared" si="129"/>
        <v>0</v>
      </c>
      <c r="BD91" s="994"/>
      <c r="BE91" s="994"/>
      <c r="BF91" s="614">
        <f t="shared" si="130"/>
        <v>0</v>
      </c>
      <c r="BG91" s="614">
        <f t="shared" si="131"/>
        <v>0</v>
      </c>
      <c r="BH91" s="614">
        <f t="shared" si="132"/>
        <v>0</v>
      </c>
      <c r="BI91" s="614">
        <f t="shared" si="133"/>
        <v>0</v>
      </c>
      <c r="BJ91" s="614">
        <f t="shared" si="134"/>
        <v>0</v>
      </c>
      <c r="BK91" s="614">
        <f t="shared" si="135"/>
        <v>0</v>
      </c>
      <c r="BL91" s="614">
        <f t="shared" si="136"/>
        <v>0</v>
      </c>
      <c r="BM91" s="614">
        <f t="shared" si="137"/>
        <v>0</v>
      </c>
      <c r="BN91" s="614">
        <f t="shared" si="138"/>
        <v>0</v>
      </c>
      <c r="BO91" s="614">
        <f t="shared" si="139"/>
        <v>0</v>
      </c>
      <c r="BP91" s="614">
        <f t="shared" si="140"/>
        <v>0</v>
      </c>
      <c r="BQ91" s="614">
        <f t="shared" si="141"/>
        <v>0</v>
      </c>
      <c r="BR91" s="614">
        <f t="shared" si="142"/>
        <v>0</v>
      </c>
      <c r="BS91" s="614">
        <f t="shared" si="143"/>
        <v>0</v>
      </c>
      <c r="BT91" s="614">
        <f t="shared" si="144"/>
        <v>0</v>
      </c>
      <c r="BU91" s="614">
        <f t="shared" si="145"/>
        <v>0</v>
      </c>
      <c r="BV91" s="614">
        <f t="shared" si="146"/>
        <v>0</v>
      </c>
      <c r="BW91" s="614">
        <f t="shared" si="147"/>
        <v>0</v>
      </c>
      <c r="BX91" s="614">
        <f t="shared" si="148"/>
        <v>0</v>
      </c>
      <c r="BY91" s="209"/>
      <c r="BZ91" s="209"/>
      <c r="CA91" s="209"/>
      <c r="CB91" s="209"/>
      <c r="CC91" s="209"/>
      <c r="CD91" s="209"/>
      <c r="CE91" s="209"/>
      <c r="CF91" s="209"/>
      <c r="CG91" s="209"/>
      <c r="CH91" s="209"/>
      <c r="CI91" s="209"/>
      <c r="CJ91" s="209"/>
      <c r="CK91" s="209"/>
      <c r="CL91" s="209"/>
      <c r="CM91" s="209"/>
      <c r="CN91" s="209"/>
      <c r="CO91" s="209"/>
      <c r="CP91" s="209"/>
      <c r="CQ91" s="209"/>
      <c r="CR91" s="209"/>
      <c r="CS91" s="209"/>
      <c r="CT91" s="209"/>
      <c r="CU91" s="209"/>
      <c r="CV91" s="209"/>
      <c r="CW91" s="209"/>
      <c r="CX91" s="209"/>
      <c r="CY91" s="209"/>
      <c r="CZ91" s="209"/>
      <c r="DA91" s="209"/>
      <c r="DB91" s="209"/>
      <c r="DC91" s="209"/>
      <c r="DD91" s="209"/>
      <c r="DE91" s="209"/>
      <c r="DF91" s="209"/>
      <c r="DG91" s="209"/>
      <c r="DH91" s="209"/>
      <c r="DI91" s="209"/>
      <c r="DJ91" s="209"/>
      <c r="DK91" s="209"/>
      <c r="DL91" s="209"/>
      <c r="DM91" s="209"/>
      <c r="DN91" s="209"/>
      <c r="DO91" s="209"/>
      <c r="DP91" s="209"/>
      <c r="DQ91" s="209"/>
      <c r="DR91" s="209"/>
      <c r="DS91" s="209"/>
      <c r="DT91" s="209"/>
      <c r="DU91" s="209"/>
      <c r="DV91" s="209"/>
      <c r="DW91" s="209"/>
      <c r="DX91" s="209"/>
      <c r="DY91" s="209"/>
      <c r="DZ91" s="209"/>
      <c r="EA91" s="209"/>
      <c r="EB91" s="209"/>
      <c r="EC91" s="209"/>
      <c r="ED91" s="209"/>
      <c r="EE91" s="209"/>
      <c r="EF91" s="209"/>
      <c r="EG91" s="209"/>
      <c r="EH91" s="209"/>
      <c r="EI91" s="209"/>
      <c r="EJ91" s="209"/>
      <c r="EK91" s="209"/>
      <c r="EL91" s="209"/>
      <c r="EM91" s="209"/>
      <c r="EN91" s="209"/>
      <c r="EO91" s="209"/>
      <c r="EP91" s="209"/>
      <c r="EQ91" s="209"/>
      <c r="ER91" s="209"/>
      <c r="ES91" s="209"/>
      <c r="ET91" s="209"/>
      <c r="EU91" s="209"/>
      <c r="EV91" s="209"/>
      <c r="EW91" s="209"/>
      <c r="EX91" s="209"/>
      <c r="EY91" s="209"/>
      <c r="EZ91" s="209"/>
      <c r="FA91" s="209"/>
      <c r="FB91" s="209"/>
      <c r="FC91" s="209"/>
      <c r="FD91" s="209"/>
      <c r="FE91" s="209"/>
      <c r="FF91" s="209"/>
      <c r="FG91" s="209"/>
      <c r="FH91" s="209"/>
      <c r="FI91" s="209"/>
      <c r="FJ91" s="209"/>
      <c r="FK91" s="209"/>
      <c r="FL91" s="209"/>
      <c r="FM91" s="209"/>
      <c r="FN91" s="209"/>
      <c r="FO91" s="209"/>
      <c r="FP91" s="209"/>
      <c r="FQ91" s="209"/>
      <c r="FR91" s="209"/>
      <c r="FS91" s="209"/>
      <c r="FT91" s="209"/>
      <c r="FU91" s="209"/>
      <c r="FV91" s="209"/>
      <c r="FW91" s="209"/>
      <c r="FX91" s="209"/>
      <c r="FY91" s="209"/>
      <c r="FZ91" s="209"/>
      <c r="GA91" s="209"/>
      <c r="GB91" s="209"/>
      <c r="GC91" s="209"/>
      <c r="GD91" s="209"/>
      <c r="GE91" s="209"/>
      <c r="GF91" s="209"/>
      <c r="GG91" s="209"/>
      <c r="GH91" s="209"/>
      <c r="GI91" s="209"/>
      <c r="GJ91" s="209"/>
      <c r="GK91" s="209"/>
      <c r="GL91" s="209"/>
      <c r="GM91" s="209"/>
      <c r="GN91" s="209"/>
      <c r="GO91" s="209"/>
      <c r="GP91" s="209"/>
      <c r="GQ91" s="209"/>
      <c r="GR91" s="209"/>
      <c r="GS91" s="209"/>
      <c r="GT91" s="209"/>
      <c r="GU91" s="209"/>
      <c r="GV91" s="209"/>
      <c r="GW91" s="209"/>
      <c r="GX91" s="209"/>
      <c r="GY91" s="209"/>
      <c r="GZ91" s="209"/>
      <c r="HA91" s="209"/>
      <c r="HB91" s="209"/>
      <c r="HC91" s="209"/>
      <c r="HD91" s="209"/>
      <c r="HE91" s="209"/>
      <c r="HF91" s="209"/>
      <c r="HG91" s="209"/>
      <c r="HH91" s="209"/>
      <c r="HI91" s="209"/>
      <c r="HJ91" s="209"/>
      <c r="HK91" s="209"/>
      <c r="HL91" s="209"/>
      <c r="HM91" s="209"/>
      <c r="HN91" s="209"/>
      <c r="HO91" s="209"/>
      <c r="HP91" s="209"/>
      <c r="HQ91" s="209"/>
      <c r="HR91" s="209"/>
      <c r="HS91" s="209"/>
      <c r="HT91" s="209"/>
      <c r="HU91" s="209"/>
      <c r="HV91" s="209"/>
      <c r="HW91" s="209"/>
      <c r="HX91" s="209"/>
      <c r="HY91" s="209"/>
      <c r="HZ91" s="209"/>
      <c r="IA91" s="209"/>
      <c r="IB91" s="209"/>
      <c r="IC91" s="209"/>
      <c r="ID91" s="209"/>
      <c r="IE91" s="209"/>
      <c r="IF91" s="209"/>
      <c r="IG91" s="209"/>
      <c r="IH91" s="209"/>
      <c r="II91" s="209"/>
      <c r="IJ91" s="209"/>
      <c r="IK91" s="209"/>
      <c r="IL91" s="209"/>
      <c r="IM91" s="209"/>
      <c r="IN91" s="209"/>
      <c r="IO91" s="209"/>
      <c r="IP91" s="209"/>
      <c r="IQ91" s="209"/>
      <c r="IR91" s="209"/>
      <c r="IS91" s="209"/>
      <c r="IT91" s="209"/>
      <c r="IU91" s="209"/>
    </row>
    <row r="92" spans="1:255">
      <c r="A92" s="991"/>
      <c r="B92" s="992"/>
      <c r="C92" s="993"/>
      <c r="D92" s="992"/>
      <c r="E92" s="994"/>
      <c r="F92" s="994"/>
      <c r="G92" s="994"/>
      <c r="H92" s="994"/>
      <c r="I92" s="995"/>
      <c r="J92" s="995"/>
      <c r="K92" s="995"/>
      <c r="L92" s="995"/>
      <c r="M92" s="614">
        <f t="shared" ref="M92:M97" si="149">I92+J92+K92+L92</f>
        <v>0</v>
      </c>
      <c r="N92" s="995"/>
      <c r="O92" s="995"/>
      <c r="P92" s="995"/>
      <c r="Q92" s="995"/>
      <c r="R92" s="614">
        <f t="shared" ref="R92:R97" si="150">N92+O92+P92+Q92</f>
        <v>0</v>
      </c>
      <c r="S92" s="614">
        <f t="shared" ref="S92:V97" si="151">E92*I92</f>
        <v>0</v>
      </c>
      <c r="T92" s="614">
        <f t="shared" si="151"/>
        <v>0</v>
      </c>
      <c r="U92" s="614">
        <f t="shared" si="151"/>
        <v>0</v>
      </c>
      <c r="V92" s="614">
        <f t="shared" si="151"/>
        <v>0</v>
      </c>
      <c r="W92" s="614">
        <f t="shared" ref="W92:W97" si="152">S92+T92+U92+V92</f>
        <v>0</v>
      </c>
      <c r="X92" s="614">
        <f t="shared" ref="X92:AA97" si="153">E92*N92</f>
        <v>0</v>
      </c>
      <c r="Y92" s="614">
        <f t="shared" si="153"/>
        <v>0</v>
      </c>
      <c r="Z92" s="614">
        <f t="shared" si="153"/>
        <v>0</v>
      </c>
      <c r="AA92" s="614">
        <f t="shared" si="153"/>
        <v>0</v>
      </c>
      <c r="AB92" s="614">
        <f t="shared" ref="AB92:AB97" si="154">X92+Y92+Z92+AA92</f>
        <v>0</v>
      </c>
      <c r="AC92" s="614">
        <f t="shared" ref="AC92:AC97" si="155">W92</f>
        <v>0</v>
      </c>
      <c r="AD92" s="614">
        <f t="shared" ref="AD92:AD97" si="156">AB92</f>
        <v>0</v>
      </c>
      <c r="AE92" s="614">
        <f t="shared" ref="AE92:AE97" si="157">AC92+AD92</f>
        <v>0</v>
      </c>
      <c r="AF92" s="994"/>
      <c r="AG92" s="994"/>
      <c r="AH92" s="996"/>
      <c r="AI92" s="614">
        <f t="shared" ref="AI92:AI97" si="158">AH92*AC92</f>
        <v>0</v>
      </c>
      <c r="AJ92" s="996"/>
      <c r="AK92" s="614">
        <f t="shared" ref="AK92:AK97" si="159">AJ92*AC92</f>
        <v>0</v>
      </c>
      <c r="AL92" s="997"/>
      <c r="AM92" s="614">
        <f>AL92*$T$2</f>
        <v>0</v>
      </c>
      <c r="AN92" s="996"/>
      <c r="AO92" s="614">
        <f t="shared" ref="AO92:AO97" si="160">AN92*AC92</f>
        <v>0</v>
      </c>
      <c r="AP92" s="614">
        <f t="shared" ref="AP92:AP97" si="161">AF92+AG92+AI92+AK92+AM92+AO92</f>
        <v>0</v>
      </c>
      <c r="AQ92" s="994"/>
      <c r="AR92" s="994"/>
      <c r="AS92" s="996"/>
      <c r="AT92" s="614">
        <f t="shared" ref="AT92:AT97" si="162">AS92*AD92</f>
        <v>0</v>
      </c>
      <c r="AU92" s="996"/>
      <c r="AV92" s="614">
        <f t="shared" ref="AV92:AV97" si="163">AU92*AD92</f>
        <v>0</v>
      </c>
      <c r="AW92" s="997"/>
      <c r="AX92" s="614">
        <f>AW92*$T$2</f>
        <v>0</v>
      </c>
      <c r="AY92" s="987">
        <f t="shared" ref="AY92:AY97" si="164">AQ92+AR92+AT92+AV92+AX92</f>
        <v>0</v>
      </c>
      <c r="AZ92" s="987">
        <f t="shared" ref="AZ92:AZ97" si="165">AP92+AY92</f>
        <v>0</v>
      </c>
      <c r="BA92" s="614">
        <f t="shared" ref="BA92:BA97" si="166">AC92+AP92</f>
        <v>0</v>
      </c>
      <c r="BB92" s="614">
        <f t="shared" ref="BB92:BB97" si="167">AD92+AY92</f>
        <v>0</v>
      </c>
      <c r="BC92" s="614">
        <f t="shared" ref="BC92:BC97" si="168">BA92+BB92</f>
        <v>0</v>
      </c>
      <c r="BD92" s="994"/>
      <c r="BE92" s="994"/>
      <c r="BF92" s="614">
        <f t="shared" ref="BF92:BF97" si="169">BD92+BE92</f>
        <v>0</v>
      </c>
      <c r="BG92" s="614">
        <f t="shared" si="131"/>
        <v>0</v>
      </c>
      <c r="BH92" s="614">
        <f t="shared" si="132"/>
        <v>0</v>
      </c>
      <c r="BI92" s="614">
        <f t="shared" ref="BI92:BI97" si="170">BG92+BH92</f>
        <v>0</v>
      </c>
      <c r="BJ92" s="614">
        <f t="shared" ref="BJ92:BK97" si="171">BA92+BD92+BG92</f>
        <v>0</v>
      </c>
      <c r="BK92" s="614">
        <f t="shared" si="171"/>
        <v>0</v>
      </c>
      <c r="BL92" s="614">
        <f t="shared" ref="BL92:BL97" si="172">BJ92+BK92</f>
        <v>0</v>
      </c>
      <c r="BM92" s="614">
        <f t="shared" ref="BM92:BM97" si="173">BJ92*10%</f>
        <v>0</v>
      </c>
      <c r="BN92" s="614">
        <f t="shared" ref="BN92:BN97" si="174">(BJ92-BM92)*10%</f>
        <v>0</v>
      </c>
      <c r="BO92" s="614">
        <f t="shared" ref="BO92:BO97" si="175">(BJ92-BM92)*6%</f>
        <v>0</v>
      </c>
      <c r="BP92" s="614">
        <f t="shared" ref="BP92:BP97" si="176">(BJ92-BM92)*5%</f>
        <v>0</v>
      </c>
      <c r="BQ92" s="614">
        <f t="shared" ref="BQ92:BQ97" si="177">BK92*10%</f>
        <v>0</v>
      </c>
      <c r="BR92" s="614">
        <f t="shared" ref="BR92:BR97" si="178">(BK92-BQ92)*10%</f>
        <v>0</v>
      </c>
      <c r="BS92" s="614">
        <f t="shared" ref="BS92:BS97" si="179">(BK92-BQ92)*6%</f>
        <v>0</v>
      </c>
      <c r="BT92" s="614">
        <f t="shared" ref="BT92:BT97" si="180">(BK92-BQ92)*5%</f>
        <v>0</v>
      </c>
      <c r="BU92" s="614">
        <f t="shared" ref="BU92:BU97" si="181">BM92+BQ92</f>
        <v>0</v>
      </c>
      <c r="BV92" s="614">
        <f t="shared" si="146"/>
        <v>0</v>
      </c>
      <c r="BW92" s="614">
        <f t="shared" si="147"/>
        <v>0</v>
      </c>
      <c r="BX92" s="614">
        <f t="shared" ref="BX92:BX97" si="182">BP92+BT92</f>
        <v>0</v>
      </c>
      <c r="BY92" s="209"/>
      <c r="BZ92" s="209"/>
      <c r="CA92" s="209"/>
      <c r="CB92" s="209"/>
      <c r="CC92" s="209"/>
      <c r="CD92" s="209"/>
      <c r="CE92" s="209"/>
      <c r="CF92" s="209"/>
      <c r="CG92" s="209"/>
      <c r="CH92" s="209"/>
      <c r="CI92" s="209"/>
      <c r="CJ92" s="209"/>
      <c r="CK92" s="209"/>
      <c r="CL92" s="209"/>
      <c r="CM92" s="209"/>
      <c r="CN92" s="209"/>
      <c r="CO92" s="209"/>
      <c r="CP92" s="209"/>
      <c r="CQ92" s="209"/>
      <c r="CR92" s="209"/>
      <c r="CS92" s="209"/>
      <c r="CT92" s="209"/>
      <c r="CU92" s="209"/>
      <c r="CV92" s="209"/>
      <c r="CW92" s="209"/>
      <c r="CX92" s="209"/>
      <c r="CY92" s="209"/>
      <c r="CZ92" s="209"/>
      <c r="DA92" s="209"/>
      <c r="DB92" s="209"/>
      <c r="DC92" s="209"/>
      <c r="DD92" s="209"/>
      <c r="DE92" s="209"/>
      <c r="DF92" s="209"/>
      <c r="DG92" s="209"/>
      <c r="DH92" s="209"/>
      <c r="DI92" s="209"/>
      <c r="DJ92" s="209"/>
      <c r="DK92" s="209"/>
      <c r="DL92" s="209"/>
      <c r="DM92" s="209"/>
      <c r="DN92" s="209"/>
      <c r="DO92" s="209"/>
      <c r="DP92" s="209"/>
      <c r="DQ92" s="209"/>
      <c r="DR92" s="209"/>
      <c r="DS92" s="209"/>
      <c r="DT92" s="209"/>
      <c r="DU92" s="209"/>
      <c r="DV92" s="209"/>
      <c r="DW92" s="209"/>
      <c r="DX92" s="209"/>
      <c r="DY92" s="209"/>
      <c r="DZ92" s="209"/>
      <c r="EA92" s="209"/>
      <c r="EB92" s="209"/>
      <c r="EC92" s="209"/>
      <c r="ED92" s="209"/>
      <c r="EE92" s="209"/>
      <c r="EF92" s="209"/>
      <c r="EG92" s="209"/>
      <c r="EH92" s="209"/>
      <c r="EI92" s="209"/>
      <c r="EJ92" s="209"/>
      <c r="EK92" s="209"/>
      <c r="EL92" s="209"/>
      <c r="EM92" s="209"/>
      <c r="EN92" s="209"/>
      <c r="EO92" s="209"/>
      <c r="EP92" s="209"/>
      <c r="EQ92" s="209"/>
      <c r="ER92" s="209"/>
      <c r="ES92" s="209"/>
      <c r="ET92" s="209"/>
      <c r="EU92" s="209"/>
      <c r="EV92" s="209"/>
      <c r="EW92" s="209"/>
      <c r="EX92" s="209"/>
      <c r="EY92" s="209"/>
      <c r="EZ92" s="209"/>
      <c r="FA92" s="209"/>
      <c r="FB92" s="209"/>
      <c r="FC92" s="209"/>
      <c r="FD92" s="209"/>
      <c r="FE92" s="209"/>
      <c r="FF92" s="209"/>
      <c r="FG92" s="209"/>
      <c r="FH92" s="209"/>
      <c r="FI92" s="209"/>
      <c r="FJ92" s="209"/>
      <c r="FK92" s="209"/>
      <c r="FL92" s="209"/>
      <c r="FM92" s="209"/>
      <c r="FN92" s="209"/>
      <c r="FO92" s="209"/>
      <c r="FP92" s="209"/>
      <c r="FQ92" s="209"/>
      <c r="FR92" s="209"/>
      <c r="FS92" s="209"/>
      <c r="FT92" s="209"/>
      <c r="FU92" s="209"/>
      <c r="FV92" s="209"/>
      <c r="FW92" s="209"/>
      <c r="FX92" s="209"/>
      <c r="FY92" s="209"/>
      <c r="FZ92" s="209"/>
      <c r="GA92" s="209"/>
      <c r="GB92" s="209"/>
      <c r="GC92" s="209"/>
      <c r="GD92" s="209"/>
      <c r="GE92" s="209"/>
      <c r="GF92" s="209"/>
      <c r="GG92" s="209"/>
      <c r="GH92" s="209"/>
      <c r="GI92" s="209"/>
      <c r="GJ92" s="209"/>
      <c r="GK92" s="209"/>
      <c r="GL92" s="209"/>
      <c r="GM92" s="209"/>
      <c r="GN92" s="209"/>
      <c r="GO92" s="209"/>
      <c r="GP92" s="209"/>
      <c r="GQ92" s="209"/>
      <c r="GR92" s="209"/>
      <c r="GS92" s="209"/>
      <c r="GT92" s="209"/>
      <c r="GU92" s="209"/>
      <c r="GV92" s="209"/>
      <c r="GW92" s="209"/>
      <c r="GX92" s="209"/>
      <c r="GY92" s="209"/>
      <c r="GZ92" s="209"/>
      <c r="HA92" s="209"/>
      <c r="HB92" s="209"/>
      <c r="HC92" s="209"/>
      <c r="HD92" s="209"/>
      <c r="HE92" s="209"/>
      <c r="HF92" s="209"/>
      <c r="HG92" s="209"/>
      <c r="HH92" s="209"/>
      <c r="HI92" s="209"/>
      <c r="HJ92" s="209"/>
      <c r="HK92" s="209"/>
      <c r="HL92" s="209"/>
      <c r="HM92" s="209"/>
      <c r="HN92" s="209"/>
      <c r="HO92" s="209"/>
      <c r="HP92" s="209"/>
      <c r="HQ92" s="209"/>
      <c r="HR92" s="209"/>
      <c r="HS92" s="209"/>
      <c r="HT92" s="209"/>
      <c r="HU92" s="209"/>
      <c r="HV92" s="209"/>
      <c r="HW92" s="209"/>
      <c r="HX92" s="209"/>
      <c r="HY92" s="209"/>
      <c r="HZ92" s="209"/>
      <c r="IA92" s="209"/>
      <c r="IB92" s="209"/>
      <c r="IC92" s="209"/>
      <c r="ID92" s="209"/>
      <c r="IE92" s="209"/>
      <c r="IF92" s="209"/>
      <c r="IG92" s="209"/>
      <c r="IH92" s="209"/>
      <c r="II92" s="209"/>
      <c r="IJ92" s="209"/>
      <c r="IK92" s="209"/>
      <c r="IL92" s="209"/>
      <c r="IM92" s="209"/>
      <c r="IN92" s="209"/>
      <c r="IO92" s="209"/>
      <c r="IP92" s="209"/>
      <c r="IQ92" s="209"/>
      <c r="IR92" s="209"/>
      <c r="IS92" s="209"/>
      <c r="IT92" s="209"/>
      <c r="IU92" s="209"/>
    </row>
    <row r="93" spans="1:255">
      <c r="A93" s="991"/>
      <c r="B93" s="992"/>
      <c r="C93" s="993"/>
      <c r="D93" s="992"/>
      <c r="E93" s="994"/>
      <c r="F93" s="994"/>
      <c r="G93" s="994"/>
      <c r="H93" s="994"/>
      <c r="I93" s="995"/>
      <c r="J93" s="995"/>
      <c r="K93" s="995"/>
      <c r="L93" s="995"/>
      <c r="M93" s="614">
        <f t="shared" si="149"/>
        <v>0</v>
      </c>
      <c r="N93" s="995"/>
      <c r="O93" s="995"/>
      <c r="P93" s="995"/>
      <c r="Q93" s="995"/>
      <c r="R93" s="614">
        <f t="shared" si="150"/>
        <v>0</v>
      </c>
      <c r="S93" s="614">
        <f t="shared" si="151"/>
        <v>0</v>
      </c>
      <c r="T93" s="614">
        <f t="shared" si="151"/>
        <v>0</v>
      </c>
      <c r="U93" s="614">
        <f t="shared" si="151"/>
        <v>0</v>
      </c>
      <c r="V93" s="614">
        <f t="shared" si="151"/>
        <v>0</v>
      </c>
      <c r="W93" s="614">
        <f t="shared" si="152"/>
        <v>0</v>
      </c>
      <c r="X93" s="614">
        <f t="shared" si="153"/>
        <v>0</v>
      </c>
      <c r="Y93" s="614">
        <f t="shared" si="153"/>
        <v>0</v>
      </c>
      <c r="Z93" s="614">
        <f t="shared" si="153"/>
        <v>0</v>
      </c>
      <c r="AA93" s="614">
        <f t="shared" si="153"/>
        <v>0</v>
      </c>
      <c r="AB93" s="614">
        <f t="shared" si="154"/>
        <v>0</v>
      </c>
      <c r="AC93" s="614">
        <f t="shared" si="155"/>
        <v>0</v>
      </c>
      <c r="AD93" s="614">
        <f t="shared" si="156"/>
        <v>0</v>
      </c>
      <c r="AE93" s="614">
        <f t="shared" si="157"/>
        <v>0</v>
      </c>
      <c r="AF93" s="994"/>
      <c r="AG93" s="994"/>
      <c r="AH93" s="996"/>
      <c r="AI93" s="614">
        <f t="shared" si="158"/>
        <v>0</v>
      </c>
      <c r="AJ93" s="996"/>
      <c r="AK93" s="614">
        <f t="shared" si="159"/>
        <v>0</v>
      </c>
      <c r="AL93" s="997"/>
      <c r="AM93" s="614">
        <f t="shared" si="119"/>
        <v>0</v>
      </c>
      <c r="AN93" s="996"/>
      <c r="AO93" s="614">
        <f t="shared" si="160"/>
        <v>0</v>
      </c>
      <c r="AP93" s="614">
        <f t="shared" si="161"/>
        <v>0</v>
      </c>
      <c r="AQ93" s="994"/>
      <c r="AR93" s="994"/>
      <c r="AS93" s="996"/>
      <c r="AT93" s="614">
        <f t="shared" si="162"/>
        <v>0</v>
      </c>
      <c r="AU93" s="996"/>
      <c r="AV93" s="614">
        <f t="shared" si="163"/>
        <v>0</v>
      </c>
      <c r="AW93" s="997"/>
      <c r="AX93" s="614">
        <f t="shared" si="124"/>
        <v>0</v>
      </c>
      <c r="AY93" s="987">
        <f t="shared" si="164"/>
        <v>0</v>
      </c>
      <c r="AZ93" s="987">
        <f t="shared" si="165"/>
        <v>0</v>
      </c>
      <c r="BA93" s="614">
        <f t="shared" si="166"/>
        <v>0</v>
      </c>
      <c r="BB93" s="614">
        <f t="shared" si="167"/>
        <v>0</v>
      </c>
      <c r="BC93" s="614">
        <f t="shared" si="168"/>
        <v>0</v>
      </c>
      <c r="BD93" s="994"/>
      <c r="BE93" s="994"/>
      <c r="BF93" s="614">
        <f t="shared" si="169"/>
        <v>0</v>
      </c>
      <c r="BG93" s="614">
        <f>W93*$T$4</f>
        <v>0</v>
      </c>
      <c r="BH93" s="614">
        <f>AB93*$T$4</f>
        <v>0</v>
      </c>
      <c r="BI93" s="614">
        <f t="shared" si="170"/>
        <v>0</v>
      </c>
      <c r="BJ93" s="614">
        <f t="shared" si="171"/>
        <v>0</v>
      </c>
      <c r="BK93" s="614">
        <f t="shared" si="171"/>
        <v>0</v>
      </c>
      <c r="BL93" s="614">
        <f t="shared" si="172"/>
        <v>0</v>
      </c>
      <c r="BM93" s="614">
        <f t="shared" si="173"/>
        <v>0</v>
      </c>
      <c r="BN93" s="614">
        <f t="shared" si="174"/>
        <v>0</v>
      </c>
      <c r="BO93" s="614">
        <f t="shared" si="175"/>
        <v>0</v>
      </c>
      <c r="BP93" s="614">
        <f t="shared" si="176"/>
        <v>0</v>
      </c>
      <c r="BQ93" s="614">
        <f t="shared" si="177"/>
        <v>0</v>
      </c>
      <c r="BR93" s="614">
        <f t="shared" si="178"/>
        <v>0</v>
      </c>
      <c r="BS93" s="614">
        <f t="shared" si="179"/>
        <v>0</v>
      </c>
      <c r="BT93" s="614">
        <f t="shared" si="180"/>
        <v>0</v>
      </c>
      <c r="BU93" s="614">
        <f t="shared" si="181"/>
        <v>0</v>
      </c>
      <c r="BV93" s="614">
        <f t="shared" ref="BV93:BW97" si="183">BN93+BR93</f>
        <v>0</v>
      </c>
      <c r="BW93" s="614">
        <f t="shared" si="183"/>
        <v>0</v>
      </c>
      <c r="BX93" s="614">
        <f t="shared" si="182"/>
        <v>0</v>
      </c>
      <c r="BY93" s="209"/>
      <c r="BZ93" s="209"/>
      <c r="CA93" s="209"/>
      <c r="CB93" s="209"/>
      <c r="CC93" s="209"/>
      <c r="CD93" s="209"/>
      <c r="CE93" s="209"/>
      <c r="CF93" s="209"/>
      <c r="CG93" s="209"/>
      <c r="CH93" s="209"/>
      <c r="CI93" s="209"/>
      <c r="CJ93" s="209"/>
      <c r="CK93" s="209"/>
      <c r="CL93" s="209"/>
      <c r="CM93" s="209"/>
      <c r="CN93" s="209"/>
      <c r="CO93" s="209"/>
      <c r="CP93" s="209"/>
      <c r="CQ93" s="209"/>
      <c r="CR93" s="209"/>
      <c r="CS93" s="209"/>
      <c r="CT93" s="209"/>
      <c r="CU93" s="209"/>
      <c r="CV93" s="209"/>
      <c r="CW93" s="209"/>
      <c r="CX93" s="209"/>
      <c r="CY93" s="209"/>
      <c r="CZ93" s="209"/>
      <c r="DA93" s="209"/>
      <c r="DB93" s="209"/>
      <c r="DC93" s="209"/>
      <c r="DD93" s="209"/>
      <c r="DE93" s="209"/>
      <c r="DF93" s="209"/>
      <c r="DG93" s="209"/>
      <c r="DH93" s="209"/>
      <c r="DI93" s="209"/>
      <c r="DJ93" s="209"/>
      <c r="DK93" s="209"/>
      <c r="DL93" s="209"/>
      <c r="DM93" s="209"/>
      <c r="DN93" s="209"/>
      <c r="DO93" s="209"/>
      <c r="DP93" s="209"/>
      <c r="DQ93" s="209"/>
      <c r="DR93" s="209"/>
      <c r="DS93" s="209"/>
      <c r="DT93" s="209"/>
      <c r="DU93" s="209"/>
      <c r="DV93" s="209"/>
      <c r="DW93" s="209"/>
      <c r="DX93" s="209"/>
      <c r="DY93" s="209"/>
      <c r="DZ93" s="209"/>
      <c r="EA93" s="209"/>
      <c r="EB93" s="209"/>
      <c r="EC93" s="209"/>
      <c r="ED93" s="209"/>
      <c r="EE93" s="209"/>
      <c r="EF93" s="209"/>
      <c r="EG93" s="209"/>
      <c r="EH93" s="209"/>
      <c r="EI93" s="209"/>
      <c r="EJ93" s="209"/>
      <c r="EK93" s="209"/>
      <c r="EL93" s="209"/>
      <c r="EM93" s="209"/>
      <c r="EN93" s="209"/>
      <c r="EO93" s="209"/>
      <c r="EP93" s="209"/>
      <c r="EQ93" s="209"/>
      <c r="ER93" s="209"/>
      <c r="ES93" s="209"/>
      <c r="ET93" s="209"/>
      <c r="EU93" s="209"/>
      <c r="EV93" s="209"/>
      <c r="EW93" s="209"/>
      <c r="EX93" s="209"/>
      <c r="EY93" s="209"/>
      <c r="EZ93" s="209"/>
      <c r="FA93" s="209"/>
      <c r="FB93" s="209"/>
      <c r="FC93" s="209"/>
      <c r="FD93" s="209"/>
      <c r="FE93" s="209"/>
      <c r="FF93" s="209"/>
      <c r="FG93" s="209"/>
      <c r="FH93" s="209"/>
      <c r="FI93" s="209"/>
      <c r="FJ93" s="209"/>
      <c r="FK93" s="209"/>
      <c r="FL93" s="209"/>
      <c r="FM93" s="209"/>
      <c r="FN93" s="209"/>
      <c r="FO93" s="209"/>
      <c r="FP93" s="209"/>
      <c r="FQ93" s="209"/>
      <c r="FR93" s="209"/>
      <c r="FS93" s="209"/>
      <c r="FT93" s="209"/>
      <c r="FU93" s="209"/>
      <c r="FV93" s="209"/>
      <c r="FW93" s="209"/>
      <c r="FX93" s="209"/>
      <c r="FY93" s="209"/>
      <c r="FZ93" s="209"/>
      <c r="GA93" s="209"/>
      <c r="GB93" s="209"/>
      <c r="GC93" s="209"/>
      <c r="GD93" s="209"/>
      <c r="GE93" s="209"/>
      <c r="GF93" s="209"/>
      <c r="GG93" s="209"/>
      <c r="GH93" s="209"/>
      <c r="GI93" s="209"/>
      <c r="GJ93" s="209"/>
      <c r="GK93" s="209"/>
      <c r="GL93" s="209"/>
      <c r="GM93" s="209"/>
      <c r="GN93" s="209"/>
      <c r="GO93" s="209"/>
      <c r="GP93" s="209"/>
      <c r="GQ93" s="209"/>
      <c r="GR93" s="209"/>
      <c r="GS93" s="209"/>
      <c r="GT93" s="209"/>
      <c r="GU93" s="209"/>
      <c r="GV93" s="209"/>
      <c r="GW93" s="209"/>
      <c r="GX93" s="209"/>
      <c r="GY93" s="209"/>
      <c r="GZ93" s="209"/>
      <c r="HA93" s="209"/>
      <c r="HB93" s="209"/>
      <c r="HC93" s="209"/>
      <c r="HD93" s="209"/>
      <c r="HE93" s="209"/>
      <c r="HF93" s="209"/>
      <c r="HG93" s="209"/>
      <c r="HH93" s="209"/>
      <c r="HI93" s="209"/>
      <c r="HJ93" s="209"/>
      <c r="HK93" s="209"/>
      <c r="HL93" s="209"/>
      <c r="HM93" s="209"/>
      <c r="HN93" s="209"/>
      <c r="HO93" s="209"/>
      <c r="HP93" s="209"/>
      <c r="HQ93" s="209"/>
      <c r="HR93" s="209"/>
      <c r="HS93" s="209"/>
      <c r="HT93" s="209"/>
      <c r="HU93" s="209"/>
      <c r="HV93" s="209"/>
      <c r="HW93" s="209"/>
      <c r="HX93" s="209"/>
      <c r="HY93" s="209"/>
      <c r="HZ93" s="209"/>
      <c r="IA93" s="209"/>
      <c r="IB93" s="209"/>
      <c r="IC93" s="209"/>
      <c r="ID93" s="209"/>
      <c r="IE93" s="209"/>
      <c r="IF93" s="209"/>
      <c r="IG93" s="209"/>
      <c r="IH93" s="209"/>
      <c r="II93" s="209"/>
      <c r="IJ93" s="209"/>
      <c r="IK93" s="209"/>
      <c r="IL93" s="209"/>
      <c r="IM93" s="209"/>
      <c r="IN93" s="209"/>
      <c r="IO93" s="209"/>
      <c r="IP93" s="209"/>
      <c r="IQ93" s="209"/>
      <c r="IR93" s="209"/>
      <c r="IS93" s="209"/>
      <c r="IT93" s="209"/>
      <c r="IU93" s="209"/>
    </row>
    <row r="94" spans="1:255">
      <c r="A94" s="991"/>
      <c r="B94" s="992"/>
      <c r="C94" s="993"/>
      <c r="D94" s="992"/>
      <c r="E94" s="994"/>
      <c r="F94" s="994"/>
      <c r="G94" s="994"/>
      <c r="H94" s="994"/>
      <c r="I94" s="995"/>
      <c r="J94" s="995"/>
      <c r="K94" s="995"/>
      <c r="L94" s="995"/>
      <c r="M94" s="614">
        <f t="shared" si="149"/>
        <v>0</v>
      </c>
      <c r="N94" s="995"/>
      <c r="O94" s="995"/>
      <c r="P94" s="995"/>
      <c r="Q94" s="995"/>
      <c r="R94" s="614">
        <f t="shared" si="150"/>
        <v>0</v>
      </c>
      <c r="S94" s="614">
        <f t="shared" si="151"/>
        <v>0</v>
      </c>
      <c r="T94" s="614">
        <f t="shared" si="151"/>
        <v>0</v>
      </c>
      <c r="U94" s="614">
        <f t="shared" si="151"/>
        <v>0</v>
      </c>
      <c r="V94" s="614">
        <f t="shared" si="151"/>
        <v>0</v>
      </c>
      <c r="W94" s="614">
        <f t="shared" si="152"/>
        <v>0</v>
      </c>
      <c r="X94" s="614">
        <f t="shared" si="153"/>
        <v>0</v>
      </c>
      <c r="Y94" s="614">
        <f t="shared" si="153"/>
        <v>0</v>
      </c>
      <c r="Z94" s="614">
        <f t="shared" si="153"/>
        <v>0</v>
      </c>
      <c r="AA94" s="614">
        <f t="shared" si="153"/>
        <v>0</v>
      </c>
      <c r="AB94" s="614">
        <f t="shared" si="154"/>
        <v>0</v>
      </c>
      <c r="AC94" s="614">
        <f t="shared" si="155"/>
        <v>0</v>
      </c>
      <c r="AD94" s="614">
        <f t="shared" si="156"/>
        <v>0</v>
      </c>
      <c r="AE94" s="614">
        <f t="shared" si="157"/>
        <v>0</v>
      </c>
      <c r="AF94" s="994"/>
      <c r="AG94" s="994"/>
      <c r="AH94" s="996"/>
      <c r="AI94" s="614">
        <f t="shared" si="158"/>
        <v>0</v>
      </c>
      <c r="AJ94" s="996"/>
      <c r="AK94" s="614">
        <f t="shared" si="159"/>
        <v>0</v>
      </c>
      <c r="AL94" s="997"/>
      <c r="AM94" s="614">
        <f t="shared" si="119"/>
        <v>0</v>
      </c>
      <c r="AN94" s="996"/>
      <c r="AO94" s="614">
        <f t="shared" si="160"/>
        <v>0</v>
      </c>
      <c r="AP94" s="614">
        <f t="shared" si="161"/>
        <v>0</v>
      </c>
      <c r="AQ94" s="994"/>
      <c r="AR94" s="994"/>
      <c r="AS94" s="996"/>
      <c r="AT94" s="614">
        <f t="shared" si="162"/>
        <v>0</v>
      </c>
      <c r="AU94" s="996"/>
      <c r="AV94" s="614">
        <f t="shared" si="163"/>
        <v>0</v>
      </c>
      <c r="AW94" s="997"/>
      <c r="AX94" s="614">
        <f t="shared" si="124"/>
        <v>0</v>
      </c>
      <c r="AY94" s="987">
        <f t="shared" si="164"/>
        <v>0</v>
      </c>
      <c r="AZ94" s="987">
        <f t="shared" si="165"/>
        <v>0</v>
      </c>
      <c r="BA94" s="614">
        <f t="shared" si="166"/>
        <v>0</v>
      </c>
      <c r="BB94" s="614">
        <f t="shared" si="167"/>
        <v>0</v>
      </c>
      <c r="BC94" s="614">
        <f t="shared" si="168"/>
        <v>0</v>
      </c>
      <c r="BD94" s="994"/>
      <c r="BE94" s="994"/>
      <c r="BF94" s="614">
        <f t="shared" si="169"/>
        <v>0</v>
      </c>
      <c r="BG94" s="614">
        <f>W94*$T$4</f>
        <v>0</v>
      </c>
      <c r="BH94" s="614">
        <f>AB94*$T$4</f>
        <v>0</v>
      </c>
      <c r="BI94" s="614">
        <f t="shared" si="170"/>
        <v>0</v>
      </c>
      <c r="BJ94" s="614">
        <f t="shared" si="171"/>
        <v>0</v>
      </c>
      <c r="BK94" s="614">
        <f t="shared" si="171"/>
        <v>0</v>
      </c>
      <c r="BL94" s="614">
        <f t="shared" si="172"/>
        <v>0</v>
      </c>
      <c r="BM94" s="614">
        <f t="shared" si="173"/>
        <v>0</v>
      </c>
      <c r="BN94" s="614">
        <f t="shared" si="174"/>
        <v>0</v>
      </c>
      <c r="BO94" s="614">
        <f t="shared" si="175"/>
        <v>0</v>
      </c>
      <c r="BP94" s="614">
        <f t="shared" si="176"/>
        <v>0</v>
      </c>
      <c r="BQ94" s="614">
        <f t="shared" si="177"/>
        <v>0</v>
      </c>
      <c r="BR94" s="614">
        <f t="shared" si="178"/>
        <v>0</v>
      </c>
      <c r="BS94" s="614">
        <f t="shared" si="179"/>
        <v>0</v>
      </c>
      <c r="BT94" s="614">
        <f t="shared" si="180"/>
        <v>0</v>
      </c>
      <c r="BU94" s="614">
        <f t="shared" si="181"/>
        <v>0</v>
      </c>
      <c r="BV94" s="614">
        <f t="shared" si="183"/>
        <v>0</v>
      </c>
      <c r="BW94" s="614">
        <f t="shared" si="183"/>
        <v>0</v>
      </c>
      <c r="BX94" s="614">
        <f t="shared" si="182"/>
        <v>0</v>
      </c>
      <c r="BY94" s="209"/>
      <c r="BZ94" s="209"/>
      <c r="CA94" s="209"/>
      <c r="CB94" s="209"/>
      <c r="CC94" s="209"/>
      <c r="CD94" s="209"/>
      <c r="CE94" s="209"/>
      <c r="CF94" s="209"/>
      <c r="CG94" s="209"/>
      <c r="CH94" s="209"/>
      <c r="CI94" s="209"/>
      <c r="CJ94" s="209"/>
      <c r="CK94" s="209"/>
      <c r="CL94" s="209"/>
      <c r="CM94" s="209"/>
      <c r="CN94" s="209"/>
      <c r="CO94" s="209"/>
      <c r="CP94" s="209"/>
      <c r="CQ94" s="209"/>
      <c r="CR94" s="209"/>
      <c r="CS94" s="209"/>
      <c r="CT94" s="209"/>
      <c r="CU94" s="209"/>
      <c r="CV94" s="209"/>
      <c r="CW94" s="209"/>
      <c r="CX94" s="209"/>
      <c r="CY94" s="209"/>
      <c r="CZ94" s="209"/>
      <c r="DA94" s="209"/>
      <c r="DB94" s="209"/>
      <c r="DC94" s="209"/>
      <c r="DD94" s="209"/>
      <c r="DE94" s="209"/>
      <c r="DF94" s="209"/>
      <c r="DG94" s="209"/>
      <c r="DH94" s="209"/>
      <c r="DI94" s="209"/>
      <c r="DJ94" s="209"/>
      <c r="DK94" s="209"/>
      <c r="DL94" s="209"/>
      <c r="DM94" s="209"/>
      <c r="DN94" s="209"/>
      <c r="DO94" s="209"/>
      <c r="DP94" s="209"/>
      <c r="DQ94" s="209"/>
      <c r="DR94" s="209"/>
      <c r="DS94" s="209"/>
      <c r="DT94" s="209"/>
      <c r="DU94" s="209"/>
      <c r="DV94" s="209"/>
      <c r="DW94" s="209"/>
      <c r="DX94" s="209"/>
      <c r="DY94" s="209"/>
      <c r="DZ94" s="209"/>
      <c r="EA94" s="209"/>
      <c r="EB94" s="209"/>
      <c r="EC94" s="209"/>
      <c r="ED94" s="209"/>
      <c r="EE94" s="209"/>
      <c r="EF94" s="209"/>
      <c r="EG94" s="209"/>
      <c r="EH94" s="209"/>
      <c r="EI94" s="209"/>
      <c r="EJ94" s="209"/>
      <c r="EK94" s="209"/>
      <c r="EL94" s="209"/>
      <c r="EM94" s="209"/>
      <c r="EN94" s="209"/>
      <c r="EO94" s="209"/>
      <c r="EP94" s="209"/>
      <c r="EQ94" s="209"/>
      <c r="ER94" s="209"/>
      <c r="ES94" s="209"/>
      <c r="ET94" s="209"/>
      <c r="EU94" s="209"/>
      <c r="EV94" s="209"/>
      <c r="EW94" s="209"/>
      <c r="EX94" s="209"/>
      <c r="EY94" s="209"/>
      <c r="EZ94" s="209"/>
      <c r="FA94" s="209"/>
      <c r="FB94" s="209"/>
      <c r="FC94" s="209"/>
      <c r="FD94" s="209"/>
      <c r="FE94" s="209"/>
      <c r="FF94" s="209"/>
      <c r="FG94" s="209"/>
      <c r="FH94" s="209"/>
      <c r="FI94" s="209"/>
      <c r="FJ94" s="209"/>
      <c r="FK94" s="209"/>
      <c r="FL94" s="209"/>
      <c r="FM94" s="209"/>
      <c r="FN94" s="209"/>
      <c r="FO94" s="209"/>
      <c r="FP94" s="209"/>
      <c r="FQ94" s="209"/>
      <c r="FR94" s="209"/>
      <c r="FS94" s="209"/>
      <c r="FT94" s="209"/>
      <c r="FU94" s="209"/>
      <c r="FV94" s="209"/>
      <c r="FW94" s="209"/>
      <c r="FX94" s="209"/>
      <c r="FY94" s="209"/>
      <c r="FZ94" s="209"/>
      <c r="GA94" s="209"/>
      <c r="GB94" s="209"/>
      <c r="GC94" s="209"/>
      <c r="GD94" s="209"/>
      <c r="GE94" s="209"/>
      <c r="GF94" s="209"/>
      <c r="GG94" s="209"/>
      <c r="GH94" s="209"/>
      <c r="GI94" s="209"/>
      <c r="GJ94" s="209"/>
      <c r="GK94" s="209"/>
      <c r="GL94" s="209"/>
      <c r="GM94" s="209"/>
      <c r="GN94" s="209"/>
      <c r="GO94" s="209"/>
      <c r="GP94" s="209"/>
      <c r="GQ94" s="209"/>
      <c r="GR94" s="209"/>
      <c r="GS94" s="209"/>
      <c r="GT94" s="209"/>
      <c r="GU94" s="209"/>
      <c r="GV94" s="209"/>
      <c r="GW94" s="209"/>
      <c r="GX94" s="209"/>
      <c r="GY94" s="209"/>
      <c r="GZ94" s="209"/>
      <c r="HA94" s="209"/>
      <c r="HB94" s="209"/>
      <c r="HC94" s="209"/>
      <c r="HD94" s="209"/>
      <c r="HE94" s="209"/>
      <c r="HF94" s="209"/>
      <c r="HG94" s="209"/>
      <c r="HH94" s="209"/>
      <c r="HI94" s="209"/>
      <c r="HJ94" s="209"/>
      <c r="HK94" s="209"/>
      <c r="HL94" s="209"/>
      <c r="HM94" s="209"/>
      <c r="HN94" s="209"/>
      <c r="HO94" s="209"/>
      <c r="HP94" s="209"/>
      <c r="HQ94" s="209"/>
      <c r="HR94" s="209"/>
      <c r="HS94" s="209"/>
      <c r="HT94" s="209"/>
      <c r="HU94" s="209"/>
      <c r="HV94" s="209"/>
      <c r="HW94" s="209"/>
      <c r="HX94" s="209"/>
      <c r="HY94" s="209"/>
      <c r="HZ94" s="209"/>
      <c r="IA94" s="209"/>
      <c r="IB94" s="209"/>
      <c r="IC94" s="209"/>
      <c r="ID94" s="209"/>
      <c r="IE94" s="209"/>
      <c r="IF94" s="209"/>
      <c r="IG94" s="209"/>
      <c r="IH94" s="209"/>
      <c r="II94" s="209"/>
      <c r="IJ94" s="209"/>
      <c r="IK94" s="209"/>
      <c r="IL94" s="209"/>
      <c r="IM94" s="209"/>
      <c r="IN94" s="209"/>
      <c r="IO94" s="209"/>
      <c r="IP94" s="209"/>
      <c r="IQ94" s="209"/>
      <c r="IR94" s="209"/>
      <c r="IS94" s="209"/>
      <c r="IT94" s="209"/>
      <c r="IU94" s="209"/>
    </row>
    <row r="95" spans="1:255">
      <c r="A95" s="991"/>
      <c r="B95" s="992"/>
      <c r="C95" s="993"/>
      <c r="D95" s="992"/>
      <c r="E95" s="994"/>
      <c r="F95" s="994"/>
      <c r="G95" s="994"/>
      <c r="H95" s="994"/>
      <c r="I95" s="995"/>
      <c r="J95" s="995"/>
      <c r="K95" s="995"/>
      <c r="L95" s="995"/>
      <c r="M95" s="614">
        <f t="shared" si="149"/>
        <v>0</v>
      </c>
      <c r="N95" s="995"/>
      <c r="O95" s="995"/>
      <c r="P95" s="995"/>
      <c r="Q95" s="995"/>
      <c r="R95" s="614">
        <f t="shared" si="150"/>
        <v>0</v>
      </c>
      <c r="S95" s="614">
        <f t="shared" si="151"/>
        <v>0</v>
      </c>
      <c r="T95" s="614">
        <f t="shared" si="151"/>
        <v>0</v>
      </c>
      <c r="U95" s="614">
        <f t="shared" si="151"/>
        <v>0</v>
      </c>
      <c r="V95" s="614">
        <f t="shared" si="151"/>
        <v>0</v>
      </c>
      <c r="W95" s="614">
        <f t="shared" si="152"/>
        <v>0</v>
      </c>
      <c r="X95" s="614">
        <f t="shared" si="153"/>
        <v>0</v>
      </c>
      <c r="Y95" s="614">
        <f t="shared" si="153"/>
        <v>0</v>
      </c>
      <c r="Z95" s="614">
        <f t="shared" si="153"/>
        <v>0</v>
      </c>
      <c r="AA95" s="614">
        <f t="shared" si="153"/>
        <v>0</v>
      </c>
      <c r="AB95" s="614">
        <f t="shared" si="154"/>
        <v>0</v>
      </c>
      <c r="AC95" s="614">
        <f t="shared" si="155"/>
        <v>0</v>
      </c>
      <c r="AD95" s="614">
        <f t="shared" si="156"/>
        <v>0</v>
      </c>
      <c r="AE95" s="614">
        <f t="shared" si="157"/>
        <v>0</v>
      </c>
      <c r="AF95" s="994"/>
      <c r="AG95" s="994"/>
      <c r="AH95" s="996"/>
      <c r="AI95" s="614">
        <f t="shared" si="158"/>
        <v>0</v>
      </c>
      <c r="AJ95" s="996"/>
      <c r="AK95" s="614">
        <f t="shared" si="159"/>
        <v>0</v>
      </c>
      <c r="AL95" s="997"/>
      <c r="AM95" s="614">
        <f t="shared" si="119"/>
        <v>0</v>
      </c>
      <c r="AN95" s="996"/>
      <c r="AO95" s="614">
        <f t="shared" si="160"/>
        <v>0</v>
      </c>
      <c r="AP95" s="614">
        <f t="shared" si="161"/>
        <v>0</v>
      </c>
      <c r="AQ95" s="994"/>
      <c r="AR95" s="994"/>
      <c r="AS95" s="996"/>
      <c r="AT95" s="614">
        <f t="shared" si="162"/>
        <v>0</v>
      </c>
      <c r="AU95" s="996"/>
      <c r="AV95" s="614">
        <f t="shared" si="163"/>
        <v>0</v>
      </c>
      <c r="AW95" s="997"/>
      <c r="AX95" s="614">
        <f t="shared" si="124"/>
        <v>0</v>
      </c>
      <c r="AY95" s="987">
        <f t="shared" si="164"/>
        <v>0</v>
      </c>
      <c r="AZ95" s="987">
        <f t="shared" si="165"/>
        <v>0</v>
      </c>
      <c r="BA95" s="614">
        <f t="shared" si="166"/>
        <v>0</v>
      </c>
      <c r="BB95" s="614">
        <f t="shared" si="167"/>
        <v>0</v>
      </c>
      <c r="BC95" s="614">
        <f t="shared" si="168"/>
        <v>0</v>
      </c>
      <c r="BD95" s="994"/>
      <c r="BE95" s="994"/>
      <c r="BF95" s="614">
        <f t="shared" si="169"/>
        <v>0</v>
      </c>
      <c r="BG95" s="614">
        <f>W95*$T$4</f>
        <v>0</v>
      </c>
      <c r="BH95" s="614">
        <f>AB95*$T$4</f>
        <v>0</v>
      </c>
      <c r="BI95" s="614">
        <f t="shared" si="170"/>
        <v>0</v>
      </c>
      <c r="BJ95" s="614">
        <f t="shared" si="171"/>
        <v>0</v>
      </c>
      <c r="BK95" s="614">
        <f t="shared" si="171"/>
        <v>0</v>
      </c>
      <c r="BL95" s="614">
        <f t="shared" si="172"/>
        <v>0</v>
      </c>
      <c r="BM95" s="614">
        <f t="shared" si="173"/>
        <v>0</v>
      </c>
      <c r="BN95" s="614">
        <f t="shared" si="174"/>
        <v>0</v>
      </c>
      <c r="BO95" s="614">
        <f t="shared" si="175"/>
        <v>0</v>
      </c>
      <c r="BP95" s="614">
        <f t="shared" si="176"/>
        <v>0</v>
      </c>
      <c r="BQ95" s="614">
        <f t="shared" si="177"/>
        <v>0</v>
      </c>
      <c r="BR95" s="614">
        <f t="shared" si="178"/>
        <v>0</v>
      </c>
      <c r="BS95" s="614">
        <f t="shared" si="179"/>
        <v>0</v>
      </c>
      <c r="BT95" s="614">
        <f t="shared" si="180"/>
        <v>0</v>
      </c>
      <c r="BU95" s="614">
        <f t="shared" si="181"/>
        <v>0</v>
      </c>
      <c r="BV95" s="614">
        <f t="shared" si="183"/>
        <v>0</v>
      </c>
      <c r="BW95" s="614">
        <f t="shared" si="183"/>
        <v>0</v>
      </c>
      <c r="BX95" s="614">
        <f t="shared" si="182"/>
        <v>0</v>
      </c>
      <c r="BY95" s="209"/>
      <c r="BZ95" s="209"/>
      <c r="CA95" s="209"/>
      <c r="CB95" s="209"/>
      <c r="CC95" s="209"/>
      <c r="CD95" s="209"/>
      <c r="CE95" s="209"/>
      <c r="CF95" s="209"/>
      <c r="CG95" s="209"/>
      <c r="CH95" s="209"/>
      <c r="CI95" s="209"/>
      <c r="CJ95" s="209"/>
      <c r="CK95" s="209"/>
      <c r="CL95" s="209"/>
      <c r="CM95" s="209"/>
      <c r="CN95" s="209"/>
      <c r="CO95" s="209"/>
      <c r="CP95" s="209"/>
      <c r="CQ95" s="209"/>
      <c r="CR95" s="209"/>
      <c r="CS95" s="209"/>
      <c r="CT95" s="209"/>
      <c r="CU95" s="209"/>
      <c r="CV95" s="209"/>
      <c r="CW95" s="209"/>
      <c r="CX95" s="209"/>
      <c r="CY95" s="209"/>
      <c r="CZ95" s="209"/>
      <c r="DA95" s="209"/>
      <c r="DB95" s="209"/>
      <c r="DC95" s="209"/>
      <c r="DD95" s="209"/>
      <c r="DE95" s="209"/>
      <c r="DF95" s="209"/>
      <c r="DG95" s="209"/>
      <c r="DH95" s="209"/>
      <c r="DI95" s="209"/>
      <c r="DJ95" s="209"/>
      <c r="DK95" s="209"/>
      <c r="DL95" s="209"/>
      <c r="DM95" s="209"/>
      <c r="DN95" s="209"/>
      <c r="DO95" s="209"/>
      <c r="DP95" s="209"/>
      <c r="DQ95" s="209"/>
      <c r="DR95" s="209"/>
      <c r="DS95" s="209"/>
      <c r="DT95" s="209"/>
      <c r="DU95" s="209"/>
      <c r="DV95" s="209"/>
      <c r="DW95" s="209"/>
      <c r="DX95" s="209"/>
      <c r="DY95" s="209"/>
      <c r="DZ95" s="209"/>
      <c r="EA95" s="209"/>
      <c r="EB95" s="209"/>
      <c r="EC95" s="209"/>
      <c r="ED95" s="209"/>
      <c r="EE95" s="209"/>
      <c r="EF95" s="209"/>
      <c r="EG95" s="209"/>
      <c r="EH95" s="209"/>
      <c r="EI95" s="209"/>
      <c r="EJ95" s="209"/>
      <c r="EK95" s="209"/>
      <c r="EL95" s="209"/>
      <c r="EM95" s="209"/>
      <c r="EN95" s="209"/>
      <c r="EO95" s="209"/>
      <c r="EP95" s="209"/>
      <c r="EQ95" s="209"/>
      <c r="ER95" s="209"/>
      <c r="ES95" s="209"/>
      <c r="ET95" s="209"/>
      <c r="EU95" s="209"/>
      <c r="EV95" s="209"/>
      <c r="EW95" s="209"/>
      <c r="EX95" s="209"/>
      <c r="EY95" s="209"/>
      <c r="EZ95" s="209"/>
      <c r="FA95" s="209"/>
      <c r="FB95" s="209"/>
      <c r="FC95" s="209"/>
      <c r="FD95" s="209"/>
      <c r="FE95" s="209"/>
      <c r="FF95" s="209"/>
      <c r="FG95" s="209"/>
      <c r="FH95" s="209"/>
      <c r="FI95" s="209"/>
      <c r="FJ95" s="209"/>
      <c r="FK95" s="209"/>
      <c r="FL95" s="209"/>
      <c r="FM95" s="209"/>
      <c r="FN95" s="209"/>
      <c r="FO95" s="209"/>
      <c r="FP95" s="209"/>
      <c r="FQ95" s="209"/>
      <c r="FR95" s="209"/>
      <c r="FS95" s="209"/>
      <c r="FT95" s="209"/>
      <c r="FU95" s="209"/>
      <c r="FV95" s="209"/>
      <c r="FW95" s="209"/>
      <c r="FX95" s="209"/>
      <c r="FY95" s="209"/>
      <c r="FZ95" s="209"/>
      <c r="GA95" s="209"/>
      <c r="GB95" s="209"/>
      <c r="GC95" s="209"/>
      <c r="GD95" s="209"/>
      <c r="GE95" s="209"/>
      <c r="GF95" s="209"/>
      <c r="GG95" s="209"/>
      <c r="GH95" s="209"/>
      <c r="GI95" s="209"/>
      <c r="GJ95" s="209"/>
      <c r="GK95" s="209"/>
      <c r="GL95" s="209"/>
      <c r="GM95" s="209"/>
      <c r="GN95" s="209"/>
      <c r="GO95" s="209"/>
      <c r="GP95" s="209"/>
      <c r="GQ95" s="209"/>
      <c r="GR95" s="209"/>
      <c r="GS95" s="209"/>
      <c r="GT95" s="209"/>
      <c r="GU95" s="209"/>
      <c r="GV95" s="209"/>
      <c r="GW95" s="209"/>
      <c r="GX95" s="209"/>
      <c r="GY95" s="209"/>
      <c r="GZ95" s="209"/>
      <c r="HA95" s="209"/>
      <c r="HB95" s="209"/>
      <c r="HC95" s="209"/>
      <c r="HD95" s="209"/>
      <c r="HE95" s="209"/>
      <c r="HF95" s="209"/>
      <c r="HG95" s="209"/>
      <c r="HH95" s="209"/>
      <c r="HI95" s="209"/>
      <c r="HJ95" s="209"/>
      <c r="HK95" s="209"/>
      <c r="HL95" s="209"/>
      <c r="HM95" s="209"/>
      <c r="HN95" s="209"/>
      <c r="HO95" s="209"/>
      <c r="HP95" s="209"/>
      <c r="HQ95" s="209"/>
      <c r="HR95" s="209"/>
      <c r="HS95" s="209"/>
      <c r="HT95" s="209"/>
      <c r="HU95" s="209"/>
      <c r="HV95" s="209"/>
      <c r="HW95" s="209"/>
      <c r="HX95" s="209"/>
      <c r="HY95" s="209"/>
      <c r="HZ95" s="209"/>
      <c r="IA95" s="209"/>
      <c r="IB95" s="209"/>
      <c r="IC95" s="209"/>
      <c r="ID95" s="209"/>
      <c r="IE95" s="209"/>
      <c r="IF95" s="209"/>
      <c r="IG95" s="209"/>
      <c r="IH95" s="209"/>
      <c r="II95" s="209"/>
      <c r="IJ95" s="209"/>
      <c r="IK95" s="209"/>
      <c r="IL95" s="209"/>
      <c r="IM95" s="209"/>
      <c r="IN95" s="209"/>
      <c r="IO95" s="209"/>
      <c r="IP95" s="209"/>
      <c r="IQ95" s="209"/>
      <c r="IR95" s="209"/>
      <c r="IS95" s="209"/>
      <c r="IT95" s="209"/>
      <c r="IU95" s="209"/>
    </row>
    <row r="96" spans="1:255">
      <c r="A96" s="991"/>
      <c r="B96" s="992"/>
      <c r="C96" s="993"/>
      <c r="D96" s="992"/>
      <c r="E96" s="994"/>
      <c r="F96" s="994"/>
      <c r="G96" s="994"/>
      <c r="H96" s="994"/>
      <c r="I96" s="995"/>
      <c r="J96" s="995"/>
      <c r="K96" s="995"/>
      <c r="L96" s="995"/>
      <c r="M96" s="614">
        <f t="shared" si="149"/>
        <v>0</v>
      </c>
      <c r="N96" s="995"/>
      <c r="O96" s="995"/>
      <c r="P96" s="995"/>
      <c r="Q96" s="995"/>
      <c r="R96" s="614">
        <f t="shared" si="150"/>
        <v>0</v>
      </c>
      <c r="S96" s="614">
        <f t="shared" si="151"/>
        <v>0</v>
      </c>
      <c r="T96" s="614">
        <f t="shared" si="151"/>
        <v>0</v>
      </c>
      <c r="U96" s="614">
        <f t="shared" si="151"/>
        <v>0</v>
      </c>
      <c r="V96" s="614">
        <f t="shared" si="151"/>
        <v>0</v>
      </c>
      <c r="W96" s="614">
        <f t="shared" si="152"/>
        <v>0</v>
      </c>
      <c r="X96" s="614">
        <f t="shared" si="153"/>
        <v>0</v>
      </c>
      <c r="Y96" s="614">
        <f t="shared" si="153"/>
        <v>0</v>
      </c>
      <c r="Z96" s="614">
        <f t="shared" si="153"/>
        <v>0</v>
      </c>
      <c r="AA96" s="614">
        <f t="shared" si="153"/>
        <v>0</v>
      </c>
      <c r="AB96" s="614">
        <f t="shared" si="154"/>
        <v>0</v>
      </c>
      <c r="AC96" s="614">
        <f t="shared" si="155"/>
        <v>0</v>
      </c>
      <c r="AD96" s="614">
        <f t="shared" si="156"/>
        <v>0</v>
      </c>
      <c r="AE96" s="614">
        <f t="shared" si="157"/>
        <v>0</v>
      </c>
      <c r="AF96" s="994"/>
      <c r="AG96" s="994"/>
      <c r="AH96" s="996"/>
      <c r="AI96" s="614">
        <f t="shared" si="158"/>
        <v>0</v>
      </c>
      <c r="AJ96" s="996"/>
      <c r="AK96" s="614">
        <f t="shared" si="159"/>
        <v>0</v>
      </c>
      <c r="AL96" s="997"/>
      <c r="AM96" s="614">
        <f t="shared" si="119"/>
        <v>0</v>
      </c>
      <c r="AN96" s="996"/>
      <c r="AO96" s="614">
        <f t="shared" si="160"/>
        <v>0</v>
      </c>
      <c r="AP96" s="614">
        <f t="shared" si="161"/>
        <v>0</v>
      </c>
      <c r="AQ96" s="994"/>
      <c r="AR96" s="994"/>
      <c r="AS96" s="996"/>
      <c r="AT96" s="614">
        <f t="shared" si="162"/>
        <v>0</v>
      </c>
      <c r="AU96" s="996"/>
      <c r="AV96" s="614">
        <f t="shared" si="163"/>
        <v>0</v>
      </c>
      <c r="AW96" s="997"/>
      <c r="AX96" s="614">
        <f t="shared" si="124"/>
        <v>0</v>
      </c>
      <c r="AY96" s="987">
        <f t="shared" si="164"/>
        <v>0</v>
      </c>
      <c r="AZ96" s="987">
        <f t="shared" si="165"/>
        <v>0</v>
      </c>
      <c r="BA96" s="614">
        <f t="shared" si="166"/>
        <v>0</v>
      </c>
      <c r="BB96" s="614">
        <f t="shared" si="167"/>
        <v>0</v>
      </c>
      <c r="BC96" s="614">
        <f t="shared" si="168"/>
        <v>0</v>
      </c>
      <c r="BD96" s="994"/>
      <c r="BE96" s="994"/>
      <c r="BF96" s="614">
        <f t="shared" si="169"/>
        <v>0</v>
      </c>
      <c r="BG96" s="614">
        <f>W96*$T$4</f>
        <v>0</v>
      </c>
      <c r="BH96" s="614">
        <f>AB96*$T$4</f>
        <v>0</v>
      </c>
      <c r="BI96" s="614">
        <f t="shared" si="170"/>
        <v>0</v>
      </c>
      <c r="BJ96" s="614">
        <f t="shared" si="171"/>
        <v>0</v>
      </c>
      <c r="BK96" s="614">
        <f t="shared" si="171"/>
        <v>0</v>
      </c>
      <c r="BL96" s="614">
        <f t="shared" si="172"/>
        <v>0</v>
      </c>
      <c r="BM96" s="614">
        <f t="shared" si="173"/>
        <v>0</v>
      </c>
      <c r="BN96" s="614">
        <f t="shared" si="174"/>
        <v>0</v>
      </c>
      <c r="BO96" s="614">
        <f t="shared" si="175"/>
        <v>0</v>
      </c>
      <c r="BP96" s="614">
        <f t="shared" si="176"/>
        <v>0</v>
      </c>
      <c r="BQ96" s="614">
        <f t="shared" si="177"/>
        <v>0</v>
      </c>
      <c r="BR96" s="614">
        <f t="shared" si="178"/>
        <v>0</v>
      </c>
      <c r="BS96" s="614">
        <f t="shared" si="179"/>
        <v>0</v>
      </c>
      <c r="BT96" s="614">
        <f t="shared" si="180"/>
        <v>0</v>
      </c>
      <c r="BU96" s="614">
        <f t="shared" si="181"/>
        <v>0</v>
      </c>
      <c r="BV96" s="614">
        <f t="shared" si="183"/>
        <v>0</v>
      </c>
      <c r="BW96" s="614">
        <f t="shared" si="183"/>
        <v>0</v>
      </c>
      <c r="BX96" s="614">
        <f t="shared" si="182"/>
        <v>0</v>
      </c>
      <c r="BY96" s="209"/>
      <c r="BZ96" s="209"/>
      <c r="CA96" s="209"/>
      <c r="CB96" s="209"/>
      <c r="CC96" s="209"/>
      <c r="CD96" s="209"/>
      <c r="CE96" s="209"/>
      <c r="CF96" s="209"/>
      <c r="CG96" s="209"/>
      <c r="CH96" s="209"/>
      <c r="CI96" s="209"/>
      <c r="CJ96" s="209"/>
      <c r="CK96" s="209"/>
      <c r="CL96" s="209"/>
      <c r="CM96" s="209"/>
      <c r="CN96" s="209"/>
      <c r="CO96" s="209"/>
      <c r="CP96" s="209"/>
      <c r="CQ96" s="209"/>
      <c r="CR96" s="209"/>
      <c r="CS96" s="209"/>
      <c r="CT96" s="209"/>
      <c r="CU96" s="209"/>
      <c r="CV96" s="209"/>
      <c r="CW96" s="209"/>
      <c r="CX96" s="209"/>
      <c r="CY96" s="209"/>
      <c r="CZ96" s="209"/>
      <c r="DA96" s="209"/>
      <c r="DB96" s="209"/>
      <c r="DC96" s="209"/>
      <c r="DD96" s="209"/>
      <c r="DE96" s="209"/>
      <c r="DF96" s="209"/>
      <c r="DG96" s="209"/>
      <c r="DH96" s="209"/>
      <c r="DI96" s="209"/>
      <c r="DJ96" s="209"/>
      <c r="DK96" s="209"/>
      <c r="DL96" s="209"/>
      <c r="DM96" s="209"/>
      <c r="DN96" s="209"/>
      <c r="DO96" s="209"/>
      <c r="DP96" s="209"/>
      <c r="DQ96" s="209"/>
      <c r="DR96" s="209"/>
      <c r="DS96" s="209"/>
      <c r="DT96" s="209"/>
      <c r="DU96" s="209"/>
      <c r="DV96" s="209"/>
      <c r="DW96" s="209"/>
      <c r="DX96" s="209"/>
      <c r="DY96" s="209"/>
      <c r="DZ96" s="209"/>
      <c r="EA96" s="209"/>
      <c r="EB96" s="209"/>
      <c r="EC96" s="209"/>
      <c r="ED96" s="209"/>
      <c r="EE96" s="209"/>
      <c r="EF96" s="209"/>
      <c r="EG96" s="209"/>
      <c r="EH96" s="209"/>
      <c r="EI96" s="209"/>
      <c r="EJ96" s="209"/>
      <c r="EK96" s="209"/>
      <c r="EL96" s="209"/>
      <c r="EM96" s="209"/>
      <c r="EN96" s="209"/>
      <c r="EO96" s="209"/>
      <c r="EP96" s="209"/>
      <c r="EQ96" s="209"/>
      <c r="ER96" s="209"/>
      <c r="ES96" s="209"/>
      <c r="ET96" s="209"/>
      <c r="EU96" s="209"/>
      <c r="EV96" s="209"/>
      <c r="EW96" s="209"/>
      <c r="EX96" s="209"/>
      <c r="EY96" s="209"/>
      <c r="EZ96" s="209"/>
      <c r="FA96" s="209"/>
      <c r="FB96" s="209"/>
      <c r="FC96" s="209"/>
      <c r="FD96" s="209"/>
      <c r="FE96" s="209"/>
      <c r="FF96" s="209"/>
      <c r="FG96" s="209"/>
      <c r="FH96" s="209"/>
      <c r="FI96" s="209"/>
      <c r="FJ96" s="209"/>
      <c r="FK96" s="209"/>
      <c r="FL96" s="209"/>
      <c r="FM96" s="209"/>
      <c r="FN96" s="209"/>
      <c r="FO96" s="209"/>
      <c r="FP96" s="209"/>
      <c r="FQ96" s="209"/>
      <c r="FR96" s="209"/>
      <c r="FS96" s="209"/>
      <c r="FT96" s="209"/>
      <c r="FU96" s="209"/>
      <c r="FV96" s="209"/>
      <c r="FW96" s="209"/>
      <c r="FX96" s="209"/>
      <c r="FY96" s="209"/>
      <c r="FZ96" s="209"/>
      <c r="GA96" s="209"/>
      <c r="GB96" s="209"/>
      <c r="GC96" s="209"/>
      <c r="GD96" s="209"/>
      <c r="GE96" s="209"/>
      <c r="GF96" s="209"/>
      <c r="GG96" s="209"/>
      <c r="GH96" s="209"/>
      <c r="GI96" s="209"/>
      <c r="GJ96" s="209"/>
      <c r="GK96" s="209"/>
      <c r="GL96" s="209"/>
      <c r="GM96" s="209"/>
      <c r="GN96" s="209"/>
      <c r="GO96" s="209"/>
      <c r="GP96" s="209"/>
      <c r="GQ96" s="209"/>
      <c r="GR96" s="209"/>
      <c r="GS96" s="209"/>
      <c r="GT96" s="209"/>
      <c r="GU96" s="209"/>
      <c r="GV96" s="209"/>
      <c r="GW96" s="209"/>
      <c r="GX96" s="209"/>
      <c r="GY96" s="209"/>
      <c r="GZ96" s="209"/>
      <c r="HA96" s="209"/>
      <c r="HB96" s="209"/>
      <c r="HC96" s="209"/>
      <c r="HD96" s="209"/>
      <c r="HE96" s="209"/>
      <c r="HF96" s="209"/>
      <c r="HG96" s="209"/>
      <c r="HH96" s="209"/>
      <c r="HI96" s="209"/>
      <c r="HJ96" s="209"/>
      <c r="HK96" s="209"/>
      <c r="HL96" s="209"/>
      <c r="HM96" s="209"/>
      <c r="HN96" s="209"/>
      <c r="HO96" s="209"/>
      <c r="HP96" s="209"/>
      <c r="HQ96" s="209"/>
      <c r="HR96" s="209"/>
      <c r="HS96" s="209"/>
      <c r="HT96" s="209"/>
      <c r="HU96" s="209"/>
      <c r="HV96" s="209"/>
      <c r="HW96" s="209"/>
      <c r="HX96" s="209"/>
      <c r="HY96" s="209"/>
      <c r="HZ96" s="209"/>
      <c r="IA96" s="209"/>
      <c r="IB96" s="209"/>
      <c r="IC96" s="209"/>
      <c r="ID96" s="209"/>
      <c r="IE96" s="209"/>
      <c r="IF96" s="209"/>
      <c r="IG96" s="209"/>
      <c r="IH96" s="209"/>
      <c r="II96" s="209"/>
      <c r="IJ96" s="209"/>
      <c r="IK96" s="209"/>
      <c r="IL96" s="209"/>
      <c r="IM96" s="209"/>
      <c r="IN96" s="209"/>
      <c r="IO96" s="209"/>
      <c r="IP96" s="209"/>
      <c r="IQ96" s="209"/>
      <c r="IR96" s="209"/>
      <c r="IS96" s="209"/>
      <c r="IT96" s="209"/>
      <c r="IU96" s="209"/>
    </row>
    <row r="97" spans="1:255">
      <c r="A97" s="991"/>
      <c r="B97" s="992"/>
      <c r="C97" s="993"/>
      <c r="D97" s="992"/>
      <c r="E97" s="994"/>
      <c r="F97" s="994"/>
      <c r="G97" s="994"/>
      <c r="H97" s="994"/>
      <c r="I97" s="995"/>
      <c r="J97" s="995"/>
      <c r="K97" s="995"/>
      <c r="L97" s="995"/>
      <c r="M97" s="614">
        <f t="shared" si="149"/>
        <v>0</v>
      </c>
      <c r="N97" s="995"/>
      <c r="O97" s="995"/>
      <c r="P97" s="995"/>
      <c r="Q97" s="995"/>
      <c r="R97" s="614">
        <f t="shared" si="150"/>
        <v>0</v>
      </c>
      <c r="S97" s="614">
        <f t="shared" si="151"/>
        <v>0</v>
      </c>
      <c r="T97" s="614">
        <f t="shared" si="151"/>
        <v>0</v>
      </c>
      <c r="U97" s="614">
        <f t="shared" si="151"/>
        <v>0</v>
      </c>
      <c r="V97" s="614">
        <f t="shared" si="151"/>
        <v>0</v>
      </c>
      <c r="W97" s="614">
        <f t="shared" si="152"/>
        <v>0</v>
      </c>
      <c r="X97" s="614">
        <f t="shared" si="153"/>
        <v>0</v>
      </c>
      <c r="Y97" s="614">
        <f t="shared" si="153"/>
        <v>0</v>
      </c>
      <c r="Z97" s="614">
        <f t="shared" si="153"/>
        <v>0</v>
      </c>
      <c r="AA97" s="614">
        <f t="shared" si="153"/>
        <v>0</v>
      </c>
      <c r="AB97" s="614">
        <f t="shared" si="154"/>
        <v>0</v>
      </c>
      <c r="AC97" s="614">
        <f t="shared" si="155"/>
        <v>0</v>
      </c>
      <c r="AD97" s="614">
        <f t="shared" si="156"/>
        <v>0</v>
      </c>
      <c r="AE97" s="614">
        <f t="shared" si="157"/>
        <v>0</v>
      </c>
      <c r="AF97" s="994"/>
      <c r="AG97" s="994"/>
      <c r="AH97" s="996"/>
      <c r="AI97" s="614">
        <f t="shared" si="158"/>
        <v>0</v>
      </c>
      <c r="AJ97" s="996"/>
      <c r="AK97" s="614">
        <f t="shared" si="159"/>
        <v>0</v>
      </c>
      <c r="AL97" s="997"/>
      <c r="AM97" s="614">
        <f t="shared" si="119"/>
        <v>0</v>
      </c>
      <c r="AN97" s="996"/>
      <c r="AO97" s="614">
        <f t="shared" si="160"/>
        <v>0</v>
      </c>
      <c r="AP97" s="614">
        <f t="shared" si="161"/>
        <v>0</v>
      </c>
      <c r="AQ97" s="994"/>
      <c r="AR97" s="994"/>
      <c r="AS97" s="996"/>
      <c r="AT97" s="614">
        <f t="shared" si="162"/>
        <v>0</v>
      </c>
      <c r="AU97" s="996"/>
      <c r="AV97" s="614">
        <f t="shared" si="163"/>
        <v>0</v>
      </c>
      <c r="AW97" s="997"/>
      <c r="AX97" s="614">
        <f t="shared" si="124"/>
        <v>0</v>
      </c>
      <c r="AY97" s="987">
        <f t="shared" si="164"/>
        <v>0</v>
      </c>
      <c r="AZ97" s="987">
        <f t="shared" si="165"/>
        <v>0</v>
      </c>
      <c r="BA97" s="614">
        <f t="shared" si="166"/>
        <v>0</v>
      </c>
      <c r="BB97" s="614">
        <f t="shared" si="167"/>
        <v>0</v>
      </c>
      <c r="BC97" s="614">
        <f t="shared" si="168"/>
        <v>0</v>
      </c>
      <c r="BD97" s="994"/>
      <c r="BE97" s="994"/>
      <c r="BF97" s="614">
        <f t="shared" si="169"/>
        <v>0</v>
      </c>
      <c r="BG97" s="614">
        <f>W97*$T$4</f>
        <v>0</v>
      </c>
      <c r="BH97" s="614">
        <f>AB97*$T$4</f>
        <v>0</v>
      </c>
      <c r="BI97" s="614">
        <f t="shared" si="170"/>
        <v>0</v>
      </c>
      <c r="BJ97" s="614">
        <f t="shared" si="171"/>
        <v>0</v>
      </c>
      <c r="BK97" s="614">
        <f t="shared" si="171"/>
        <v>0</v>
      </c>
      <c r="BL97" s="614">
        <f t="shared" si="172"/>
        <v>0</v>
      </c>
      <c r="BM97" s="614">
        <f t="shared" si="173"/>
        <v>0</v>
      </c>
      <c r="BN97" s="614">
        <f t="shared" si="174"/>
        <v>0</v>
      </c>
      <c r="BO97" s="614">
        <f t="shared" si="175"/>
        <v>0</v>
      </c>
      <c r="BP97" s="614">
        <f t="shared" si="176"/>
        <v>0</v>
      </c>
      <c r="BQ97" s="614">
        <f t="shared" si="177"/>
        <v>0</v>
      </c>
      <c r="BR97" s="614">
        <f t="shared" si="178"/>
        <v>0</v>
      </c>
      <c r="BS97" s="614">
        <f t="shared" si="179"/>
        <v>0</v>
      </c>
      <c r="BT97" s="614">
        <f t="shared" si="180"/>
        <v>0</v>
      </c>
      <c r="BU97" s="614">
        <f t="shared" si="181"/>
        <v>0</v>
      </c>
      <c r="BV97" s="614">
        <f t="shared" si="183"/>
        <v>0</v>
      </c>
      <c r="BW97" s="614">
        <f t="shared" si="183"/>
        <v>0</v>
      </c>
      <c r="BX97" s="614">
        <f t="shared" si="182"/>
        <v>0</v>
      </c>
      <c r="BY97" s="209"/>
      <c r="BZ97" s="209"/>
      <c r="CA97" s="209"/>
      <c r="CB97" s="209"/>
      <c r="CC97" s="209"/>
      <c r="CD97" s="209"/>
      <c r="CE97" s="209"/>
      <c r="CF97" s="209"/>
      <c r="CG97" s="209"/>
      <c r="CH97" s="209"/>
      <c r="CI97" s="209"/>
      <c r="CJ97" s="209"/>
      <c r="CK97" s="209"/>
      <c r="CL97" s="209"/>
      <c r="CM97" s="209"/>
      <c r="CN97" s="209"/>
      <c r="CO97" s="209"/>
      <c r="CP97" s="209"/>
      <c r="CQ97" s="209"/>
      <c r="CR97" s="209"/>
      <c r="CS97" s="209"/>
      <c r="CT97" s="209"/>
      <c r="CU97" s="209"/>
      <c r="CV97" s="209"/>
      <c r="CW97" s="209"/>
      <c r="CX97" s="209"/>
      <c r="CY97" s="209"/>
      <c r="CZ97" s="209"/>
      <c r="DA97" s="209"/>
      <c r="DB97" s="209"/>
      <c r="DC97" s="209"/>
      <c r="DD97" s="209"/>
      <c r="DE97" s="209"/>
      <c r="DF97" s="209"/>
      <c r="DG97" s="209"/>
      <c r="DH97" s="209"/>
      <c r="DI97" s="209"/>
      <c r="DJ97" s="209"/>
      <c r="DK97" s="209"/>
      <c r="DL97" s="209"/>
      <c r="DM97" s="209"/>
      <c r="DN97" s="209"/>
      <c r="DO97" s="209"/>
      <c r="DP97" s="209"/>
      <c r="DQ97" s="209"/>
      <c r="DR97" s="209"/>
      <c r="DS97" s="209"/>
      <c r="DT97" s="209"/>
      <c r="DU97" s="209"/>
      <c r="DV97" s="209"/>
      <c r="DW97" s="209"/>
      <c r="DX97" s="209"/>
      <c r="DY97" s="209"/>
      <c r="DZ97" s="209"/>
      <c r="EA97" s="209"/>
      <c r="EB97" s="209"/>
      <c r="EC97" s="209"/>
      <c r="ED97" s="209"/>
      <c r="EE97" s="209"/>
      <c r="EF97" s="209"/>
      <c r="EG97" s="209"/>
      <c r="EH97" s="209"/>
      <c r="EI97" s="209"/>
      <c r="EJ97" s="209"/>
      <c r="EK97" s="209"/>
      <c r="EL97" s="209"/>
      <c r="EM97" s="209"/>
      <c r="EN97" s="209"/>
      <c r="EO97" s="209"/>
      <c r="EP97" s="209"/>
      <c r="EQ97" s="209"/>
      <c r="ER97" s="209"/>
      <c r="ES97" s="209"/>
      <c r="ET97" s="209"/>
      <c r="EU97" s="209"/>
      <c r="EV97" s="209"/>
      <c r="EW97" s="209"/>
      <c r="EX97" s="209"/>
      <c r="EY97" s="209"/>
      <c r="EZ97" s="209"/>
      <c r="FA97" s="209"/>
      <c r="FB97" s="209"/>
      <c r="FC97" s="209"/>
      <c r="FD97" s="209"/>
      <c r="FE97" s="209"/>
      <c r="FF97" s="209"/>
      <c r="FG97" s="209"/>
      <c r="FH97" s="209"/>
      <c r="FI97" s="209"/>
      <c r="FJ97" s="209"/>
      <c r="FK97" s="209"/>
      <c r="FL97" s="209"/>
      <c r="FM97" s="209"/>
      <c r="FN97" s="209"/>
      <c r="FO97" s="209"/>
      <c r="FP97" s="209"/>
      <c r="FQ97" s="209"/>
      <c r="FR97" s="209"/>
      <c r="FS97" s="209"/>
      <c r="FT97" s="209"/>
      <c r="FU97" s="209"/>
      <c r="FV97" s="209"/>
      <c r="FW97" s="209"/>
      <c r="FX97" s="209"/>
      <c r="FY97" s="209"/>
      <c r="FZ97" s="209"/>
      <c r="GA97" s="209"/>
      <c r="GB97" s="209"/>
      <c r="GC97" s="209"/>
      <c r="GD97" s="209"/>
      <c r="GE97" s="209"/>
      <c r="GF97" s="209"/>
      <c r="GG97" s="209"/>
      <c r="GH97" s="209"/>
      <c r="GI97" s="209"/>
      <c r="GJ97" s="209"/>
      <c r="GK97" s="209"/>
      <c r="GL97" s="209"/>
      <c r="GM97" s="209"/>
      <c r="GN97" s="209"/>
      <c r="GO97" s="209"/>
      <c r="GP97" s="209"/>
      <c r="GQ97" s="209"/>
      <c r="GR97" s="209"/>
      <c r="GS97" s="209"/>
      <c r="GT97" s="209"/>
      <c r="GU97" s="209"/>
      <c r="GV97" s="209"/>
      <c r="GW97" s="209"/>
      <c r="GX97" s="209"/>
      <c r="GY97" s="209"/>
      <c r="GZ97" s="209"/>
      <c r="HA97" s="209"/>
      <c r="HB97" s="209"/>
      <c r="HC97" s="209"/>
      <c r="HD97" s="209"/>
      <c r="HE97" s="209"/>
      <c r="HF97" s="209"/>
      <c r="HG97" s="209"/>
      <c r="HH97" s="209"/>
      <c r="HI97" s="209"/>
      <c r="HJ97" s="209"/>
      <c r="HK97" s="209"/>
      <c r="HL97" s="209"/>
      <c r="HM97" s="209"/>
      <c r="HN97" s="209"/>
      <c r="HO97" s="209"/>
      <c r="HP97" s="209"/>
      <c r="HQ97" s="209"/>
      <c r="HR97" s="209"/>
      <c r="HS97" s="209"/>
      <c r="HT97" s="209"/>
      <c r="HU97" s="209"/>
      <c r="HV97" s="209"/>
      <c r="HW97" s="209"/>
      <c r="HX97" s="209"/>
      <c r="HY97" s="209"/>
      <c r="HZ97" s="209"/>
      <c r="IA97" s="209"/>
      <c r="IB97" s="209"/>
      <c r="IC97" s="209"/>
      <c r="ID97" s="209"/>
      <c r="IE97" s="209"/>
      <c r="IF97" s="209"/>
      <c r="IG97" s="209"/>
      <c r="IH97" s="209"/>
      <c r="II97" s="209"/>
      <c r="IJ97" s="209"/>
      <c r="IK97" s="209"/>
      <c r="IL97" s="209"/>
      <c r="IM97" s="209"/>
      <c r="IN97" s="209"/>
      <c r="IO97" s="209"/>
      <c r="IP97" s="209"/>
      <c r="IQ97" s="209"/>
      <c r="IR97" s="209"/>
      <c r="IS97" s="209"/>
      <c r="IT97" s="209"/>
      <c r="IU97" s="209"/>
    </row>
    <row r="98" spans="1:255">
      <c r="A98" s="328"/>
      <c r="B98" s="335" t="s">
        <v>20</v>
      </c>
      <c r="C98" s="331"/>
      <c r="D98" s="640"/>
      <c r="E98" s="266"/>
      <c r="F98" s="266"/>
      <c r="G98" s="266"/>
      <c r="H98" s="266"/>
      <c r="I98" s="988">
        <f t="shared" ref="I98:AG98" si="184">SUM(I66:I70)</f>
        <v>0</v>
      </c>
      <c r="J98" s="988">
        <f t="shared" si="184"/>
        <v>0</v>
      </c>
      <c r="K98" s="988">
        <f t="shared" si="184"/>
        <v>0</v>
      </c>
      <c r="L98" s="988">
        <f t="shared" si="184"/>
        <v>0</v>
      </c>
      <c r="M98" s="988">
        <f t="shared" si="184"/>
        <v>0</v>
      </c>
      <c r="N98" s="988">
        <f t="shared" si="184"/>
        <v>0</v>
      </c>
      <c r="O98" s="988">
        <f t="shared" si="184"/>
        <v>0</v>
      </c>
      <c r="P98" s="988">
        <f t="shared" si="184"/>
        <v>0</v>
      </c>
      <c r="Q98" s="988">
        <f t="shared" si="184"/>
        <v>0</v>
      </c>
      <c r="R98" s="988">
        <f t="shared" si="184"/>
        <v>0</v>
      </c>
      <c r="S98" s="988">
        <f t="shared" si="184"/>
        <v>0</v>
      </c>
      <c r="T98" s="988">
        <f t="shared" si="184"/>
        <v>0</v>
      </c>
      <c r="U98" s="988">
        <f t="shared" si="184"/>
        <v>0</v>
      </c>
      <c r="V98" s="988">
        <f t="shared" si="184"/>
        <v>0</v>
      </c>
      <c r="W98" s="988">
        <f t="shared" si="184"/>
        <v>0</v>
      </c>
      <c r="X98" s="988">
        <f t="shared" si="184"/>
        <v>0</v>
      </c>
      <c r="Y98" s="988">
        <f t="shared" si="184"/>
        <v>0</v>
      </c>
      <c r="Z98" s="988">
        <f t="shared" si="184"/>
        <v>0</v>
      </c>
      <c r="AA98" s="988">
        <f t="shared" si="184"/>
        <v>0</v>
      </c>
      <c r="AB98" s="988">
        <f t="shared" si="184"/>
        <v>0</v>
      </c>
      <c r="AC98" s="988">
        <f t="shared" si="184"/>
        <v>0</v>
      </c>
      <c r="AD98" s="988">
        <f t="shared" si="184"/>
        <v>0</v>
      </c>
      <c r="AE98" s="988">
        <f t="shared" si="184"/>
        <v>0</v>
      </c>
      <c r="AF98" s="988">
        <f t="shared" si="184"/>
        <v>0</v>
      </c>
      <c r="AG98" s="988">
        <f t="shared" si="184"/>
        <v>0</v>
      </c>
      <c r="AH98" s="988"/>
      <c r="AI98" s="988">
        <f>SUM(AI66:AI70)</f>
        <v>0</v>
      </c>
      <c r="AJ98" s="641"/>
      <c r="AK98" s="988">
        <f>SUM(AK66:AK70)</f>
        <v>0</v>
      </c>
      <c r="AL98" s="641"/>
      <c r="AM98" s="988">
        <f>SUM(AM66:AM70)</f>
        <v>0</v>
      </c>
      <c r="AN98" s="641"/>
      <c r="AO98" s="988">
        <f>SUM(AO66:AO70)</f>
        <v>0</v>
      </c>
      <c r="AP98" s="988">
        <f>SUM(AP66:AP70)</f>
        <v>0</v>
      </c>
      <c r="AQ98" s="988">
        <f>SUM(AQ66:AQ70)</f>
        <v>0</v>
      </c>
      <c r="AR98" s="988">
        <f>SUM(AR66:AR70)</f>
        <v>0</v>
      </c>
      <c r="AS98" s="988"/>
      <c r="AT98" s="988">
        <f>SUM(AT66:AT70)</f>
        <v>0</v>
      </c>
      <c r="AU98" s="641"/>
      <c r="AV98" s="988">
        <f>SUM(AV66:AV70)</f>
        <v>0</v>
      </c>
      <c r="AW98" s="641"/>
      <c r="AX98" s="988">
        <f t="shared" ref="AX98:BX98" si="185">SUM(AX66:AX70)</f>
        <v>0</v>
      </c>
      <c r="AY98" s="988">
        <f t="shared" si="185"/>
        <v>0</v>
      </c>
      <c r="AZ98" s="988">
        <f t="shared" si="185"/>
        <v>0</v>
      </c>
      <c r="BA98" s="988">
        <f t="shared" si="185"/>
        <v>0</v>
      </c>
      <c r="BB98" s="988">
        <f t="shared" si="185"/>
        <v>0</v>
      </c>
      <c r="BC98" s="988">
        <f t="shared" si="185"/>
        <v>0</v>
      </c>
      <c r="BD98" s="988">
        <f t="shared" si="185"/>
        <v>0</v>
      </c>
      <c r="BE98" s="988">
        <f t="shared" si="185"/>
        <v>0</v>
      </c>
      <c r="BF98" s="988">
        <f t="shared" si="185"/>
        <v>0</v>
      </c>
      <c r="BG98" s="988">
        <f t="shared" si="185"/>
        <v>0</v>
      </c>
      <c r="BH98" s="988">
        <f t="shared" si="185"/>
        <v>0</v>
      </c>
      <c r="BI98" s="988">
        <f t="shared" si="185"/>
        <v>0</v>
      </c>
      <c r="BJ98" s="988">
        <f t="shared" si="185"/>
        <v>0</v>
      </c>
      <c r="BK98" s="988">
        <f t="shared" si="185"/>
        <v>0</v>
      </c>
      <c r="BL98" s="988">
        <f t="shared" si="185"/>
        <v>0</v>
      </c>
      <c r="BM98" s="988">
        <f t="shared" si="185"/>
        <v>0</v>
      </c>
      <c r="BN98" s="988">
        <f t="shared" si="185"/>
        <v>0</v>
      </c>
      <c r="BO98" s="988">
        <f t="shared" si="185"/>
        <v>0</v>
      </c>
      <c r="BP98" s="988">
        <f t="shared" si="185"/>
        <v>0</v>
      </c>
      <c r="BQ98" s="988">
        <f t="shared" si="185"/>
        <v>0</v>
      </c>
      <c r="BR98" s="988">
        <f t="shared" si="185"/>
        <v>0</v>
      </c>
      <c r="BS98" s="988">
        <f t="shared" si="185"/>
        <v>0</v>
      </c>
      <c r="BT98" s="988">
        <f t="shared" si="185"/>
        <v>0</v>
      </c>
      <c r="BU98" s="988">
        <f t="shared" si="185"/>
        <v>0</v>
      </c>
      <c r="BV98" s="988">
        <f t="shared" si="185"/>
        <v>0</v>
      </c>
      <c r="BW98" s="988">
        <f t="shared" si="185"/>
        <v>0</v>
      </c>
      <c r="BX98" s="988">
        <f t="shared" si="185"/>
        <v>0</v>
      </c>
      <c r="BY98" s="267"/>
      <c r="BZ98" s="267"/>
      <c r="CA98" s="267"/>
      <c r="CB98" s="267"/>
      <c r="CC98" s="267"/>
      <c r="CD98" s="267"/>
      <c r="CE98" s="267"/>
      <c r="CF98" s="267"/>
      <c r="CG98" s="267"/>
      <c r="CH98" s="267"/>
      <c r="CI98" s="267"/>
      <c r="CJ98" s="267"/>
      <c r="CK98" s="267"/>
      <c r="CL98" s="267"/>
      <c r="CM98" s="267"/>
      <c r="CN98" s="267"/>
      <c r="CO98" s="267"/>
      <c r="CP98" s="267"/>
      <c r="CQ98" s="267"/>
      <c r="CR98" s="267"/>
      <c r="CS98" s="267"/>
      <c r="CT98" s="267"/>
      <c r="CU98" s="267"/>
      <c r="CV98" s="267"/>
      <c r="CW98" s="267"/>
      <c r="CX98" s="267"/>
      <c r="CY98" s="267"/>
      <c r="CZ98" s="267"/>
      <c r="DA98" s="267"/>
      <c r="DB98" s="267"/>
      <c r="DC98" s="267"/>
      <c r="DD98" s="267"/>
      <c r="DE98" s="267"/>
      <c r="DF98" s="267"/>
      <c r="DG98" s="267"/>
      <c r="DH98" s="267"/>
      <c r="DI98" s="267"/>
      <c r="DJ98" s="267"/>
      <c r="DK98" s="267"/>
      <c r="DL98" s="267"/>
      <c r="DM98" s="267"/>
      <c r="DN98" s="267"/>
      <c r="DO98" s="267"/>
      <c r="DP98" s="267"/>
      <c r="DQ98" s="267"/>
      <c r="DR98" s="267"/>
      <c r="DS98" s="267"/>
      <c r="DT98" s="267"/>
      <c r="DU98" s="267"/>
      <c r="DV98" s="267"/>
      <c r="DW98" s="267"/>
      <c r="DX98" s="267"/>
      <c r="DY98" s="267"/>
      <c r="DZ98" s="267"/>
      <c r="EA98" s="267"/>
      <c r="EB98" s="267"/>
      <c r="EC98" s="267"/>
      <c r="ED98" s="267"/>
      <c r="EE98" s="267"/>
      <c r="EF98" s="267"/>
      <c r="EG98" s="267"/>
      <c r="EH98" s="267"/>
      <c r="EI98" s="267"/>
      <c r="EJ98" s="267"/>
      <c r="EK98" s="267"/>
      <c r="EL98" s="267"/>
      <c r="EM98" s="267"/>
      <c r="EN98" s="267"/>
      <c r="EO98" s="267"/>
      <c r="EP98" s="267"/>
      <c r="EQ98" s="267"/>
      <c r="ER98" s="267"/>
      <c r="ES98" s="267"/>
      <c r="ET98" s="267"/>
      <c r="EU98" s="267"/>
      <c r="EV98" s="267"/>
      <c r="EW98" s="267"/>
      <c r="EX98" s="267"/>
      <c r="EY98" s="267"/>
      <c r="EZ98" s="267"/>
      <c r="FA98" s="267"/>
      <c r="FB98" s="267"/>
      <c r="FC98" s="267"/>
      <c r="FD98" s="267"/>
      <c r="FE98" s="267"/>
      <c r="FF98" s="267"/>
      <c r="FG98" s="267"/>
      <c r="FH98" s="267"/>
      <c r="FI98" s="267"/>
      <c r="FJ98" s="267"/>
      <c r="FK98" s="267"/>
      <c r="FL98" s="267"/>
      <c r="FM98" s="267"/>
      <c r="FN98" s="267"/>
      <c r="FO98" s="267"/>
      <c r="FP98" s="267"/>
      <c r="FQ98" s="267"/>
      <c r="FR98" s="267"/>
      <c r="FS98" s="267"/>
      <c r="FT98" s="267"/>
      <c r="FU98" s="267"/>
      <c r="FV98" s="267"/>
      <c r="FW98" s="267"/>
      <c r="FX98" s="267"/>
      <c r="FY98" s="267"/>
      <c r="FZ98" s="267"/>
      <c r="GA98" s="267"/>
      <c r="GB98" s="267"/>
      <c r="GC98" s="267"/>
      <c r="GD98" s="267"/>
      <c r="GE98" s="267"/>
      <c r="GF98" s="267"/>
      <c r="GG98" s="267"/>
      <c r="GH98" s="267"/>
      <c r="GI98" s="267"/>
      <c r="GJ98" s="267"/>
      <c r="GK98" s="267"/>
      <c r="GL98" s="267"/>
      <c r="GM98" s="267"/>
      <c r="GN98" s="267"/>
      <c r="GO98" s="267"/>
      <c r="GP98" s="267"/>
      <c r="GQ98" s="267"/>
      <c r="GR98" s="267"/>
      <c r="GS98" s="267"/>
      <c r="GT98" s="267"/>
      <c r="GU98" s="267"/>
      <c r="GV98" s="267"/>
      <c r="GW98" s="267"/>
      <c r="GX98" s="267"/>
      <c r="GY98" s="267"/>
      <c r="GZ98" s="267"/>
      <c r="HA98" s="267"/>
      <c r="HB98" s="267"/>
      <c r="HC98" s="267"/>
      <c r="HD98" s="267"/>
      <c r="HE98" s="267"/>
      <c r="HF98" s="267"/>
      <c r="HG98" s="267"/>
      <c r="HH98" s="267"/>
      <c r="HI98" s="267"/>
      <c r="HJ98" s="267"/>
      <c r="HK98" s="267"/>
      <c r="HL98" s="267"/>
      <c r="HM98" s="267"/>
      <c r="HN98" s="267"/>
      <c r="HO98" s="267"/>
      <c r="HP98" s="267"/>
      <c r="HQ98" s="267"/>
      <c r="HR98" s="267"/>
      <c r="HS98" s="267"/>
      <c r="HT98" s="267"/>
      <c r="HU98" s="267"/>
      <c r="HV98" s="267"/>
      <c r="HW98" s="267"/>
      <c r="HX98" s="267"/>
      <c r="HY98" s="267"/>
      <c r="HZ98" s="267"/>
      <c r="IA98" s="267"/>
      <c r="IB98" s="267"/>
      <c r="IC98" s="267"/>
      <c r="ID98" s="267"/>
      <c r="IE98" s="267"/>
      <c r="IF98" s="267"/>
      <c r="IG98" s="267"/>
      <c r="IH98" s="267"/>
      <c r="II98" s="267"/>
      <c r="IJ98" s="267"/>
      <c r="IK98" s="267"/>
      <c r="IL98" s="267"/>
      <c r="IM98" s="267"/>
      <c r="IN98" s="267"/>
      <c r="IO98" s="267"/>
      <c r="IP98" s="267"/>
      <c r="IQ98" s="267"/>
      <c r="IR98" s="267"/>
      <c r="IS98" s="267"/>
      <c r="IT98" s="267"/>
      <c r="IU98" s="267"/>
    </row>
    <row r="99" spans="1:255" ht="25.5">
      <c r="A99" s="207"/>
      <c r="B99" s="333" t="s">
        <v>328</v>
      </c>
      <c r="C99" s="334"/>
      <c r="D99" s="333"/>
      <c r="E99" s="208"/>
      <c r="F99" s="208"/>
      <c r="G99" s="208"/>
      <c r="H99" s="208"/>
      <c r="I99" s="639"/>
      <c r="J99" s="639"/>
      <c r="K99" s="639"/>
      <c r="L99" s="639"/>
      <c r="M99" s="639"/>
      <c r="N99" s="639"/>
      <c r="O99" s="639"/>
      <c r="P99" s="639"/>
      <c r="Q99" s="639"/>
      <c r="R99" s="639"/>
      <c r="S99" s="614">
        <f t="shared" ref="S99:AE99" si="186">S98*10%</f>
        <v>0</v>
      </c>
      <c r="T99" s="614">
        <f t="shared" si="186"/>
        <v>0</v>
      </c>
      <c r="U99" s="614">
        <f t="shared" si="186"/>
        <v>0</v>
      </c>
      <c r="V99" s="614">
        <f t="shared" si="186"/>
        <v>0</v>
      </c>
      <c r="W99" s="614">
        <f t="shared" si="186"/>
        <v>0</v>
      </c>
      <c r="X99" s="614">
        <f t="shared" si="186"/>
        <v>0</v>
      </c>
      <c r="Y99" s="614">
        <f t="shared" si="186"/>
        <v>0</v>
      </c>
      <c r="Z99" s="614">
        <f t="shared" si="186"/>
        <v>0</v>
      </c>
      <c r="AA99" s="614">
        <f t="shared" si="186"/>
        <v>0</v>
      </c>
      <c r="AB99" s="614">
        <f t="shared" si="186"/>
        <v>0</v>
      </c>
      <c r="AC99" s="614">
        <f t="shared" si="186"/>
        <v>0</v>
      </c>
      <c r="AD99" s="614">
        <f t="shared" si="186"/>
        <v>0</v>
      </c>
      <c r="AE99" s="614">
        <f t="shared" si="186"/>
        <v>0</v>
      </c>
      <c r="AF99" s="208"/>
      <c r="AG99" s="208"/>
      <c r="AH99" s="208"/>
      <c r="AI99" s="208"/>
      <c r="AJ99" s="208"/>
      <c r="AK99" s="208"/>
      <c r="AL99" s="208"/>
      <c r="AM99" s="208"/>
      <c r="AN99" s="208"/>
      <c r="AO99" s="208"/>
      <c r="AP99" s="208"/>
      <c r="AQ99" s="208"/>
      <c r="AR99" s="208"/>
      <c r="AS99" s="208"/>
      <c r="AT99" s="208"/>
      <c r="AU99" s="208"/>
      <c r="AV99" s="208"/>
      <c r="AW99" s="208"/>
      <c r="AX99" s="208"/>
      <c r="AY99" s="208"/>
      <c r="AZ99" s="208"/>
      <c r="BA99" s="614">
        <f>AC99+AP99</f>
        <v>0</v>
      </c>
      <c r="BB99" s="614">
        <f>AD99+AY99</f>
        <v>0</v>
      </c>
      <c r="BC99" s="614">
        <f>BA99+BB99</f>
        <v>0</v>
      </c>
      <c r="BD99" s="614">
        <f t="shared" ref="BD99:BI99" si="187">BD98*10%</f>
        <v>0</v>
      </c>
      <c r="BE99" s="614">
        <f t="shared" si="187"/>
        <v>0</v>
      </c>
      <c r="BF99" s="614">
        <f t="shared" si="187"/>
        <v>0</v>
      </c>
      <c r="BG99" s="614">
        <f t="shared" si="187"/>
        <v>0</v>
      </c>
      <c r="BH99" s="614">
        <f t="shared" si="187"/>
        <v>0</v>
      </c>
      <c r="BI99" s="614">
        <f t="shared" si="187"/>
        <v>0</v>
      </c>
      <c r="BJ99" s="614">
        <f>BA99+BD99+BG99</f>
        <v>0</v>
      </c>
      <c r="BK99" s="614">
        <f>BB99+BE99+BH99</f>
        <v>0</v>
      </c>
      <c r="BL99" s="614">
        <f>BJ99+BK99</f>
        <v>0</v>
      </c>
      <c r="BM99" s="614">
        <f>BJ99*10%</f>
        <v>0</v>
      </c>
      <c r="BN99" s="614">
        <f>(BJ99-BM99)*10%</f>
        <v>0</v>
      </c>
      <c r="BO99" s="614">
        <f>(BJ99-BM99)*6%</f>
        <v>0</v>
      </c>
      <c r="BP99" s="614">
        <f>(BJ99-BM99)*5%</f>
        <v>0</v>
      </c>
      <c r="BQ99" s="614">
        <f>BK99*10%</f>
        <v>0</v>
      </c>
      <c r="BR99" s="614">
        <f>(BK99-BQ99)*10%</f>
        <v>0</v>
      </c>
      <c r="BS99" s="614">
        <f>(BK99-BQ99)*6%</f>
        <v>0</v>
      </c>
      <c r="BT99" s="614">
        <f>(BK99-BQ99)*5%</f>
        <v>0</v>
      </c>
      <c r="BU99" s="614">
        <f>BM99+BQ99</f>
        <v>0</v>
      </c>
      <c r="BV99" s="614">
        <f>BN99+BR99</f>
        <v>0</v>
      </c>
      <c r="BW99" s="614">
        <f>BO99+BS99</f>
        <v>0</v>
      </c>
      <c r="BX99" s="614">
        <f>BP99+BT99</f>
        <v>0</v>
      </c>
      <c r="BY99" s="209"/>
      <c r="BZ99" s="209"/>
      <c r="CA99" s="209"/>
      <c r="CB99" s="209"/>
      <c r="CC99" s="209"/>
      <c r="CD99" s="209"/>
      <c r="CE99" s="209"/>
      <c r="CF99" s="209"/>
      <c r="CG99" s="209"/>
      <c r="CH99" s="209"/>
      <c r="CI99" s="209"/>
      <c r="CJ99" s="209"/>
      <c r="CK99" s="209"/>
      <c r="CL99" s="209"/>
      <c r="CM99" s="209"/>
      <c r="CN99" s="209"/>
      <c r="CO99" s="209"/>
      <c r="CP99" s="209"/>
      <c r="CQ99" s="209"/>
      <c r="CR99" s="209"/>
      <c r="CS99" s="209"/>
      <c r="CT99" s="209"/>
      <c r="CU99" s="209"/>
      <c r="CV99" s="209"/>
      <c r="CW99" s="209"/>
      <c r="CX99" s="209"/>
      <c r="CY99" s="209"/>
      <c r="CZ99" s="209"/>
      <c r="DA99" s="209"/>
      <c r="DB99" s="209"/>
      <c r="DC99" s="209"/>
      <c r="DD99" s="209"/>
      <c r="DE99" s="209"/>
      <c r="DF99" s="209"/>
      <c r="DG99" s="209"/>
      <c r="DH99" s="209"/>
      <c r="DI99" s="209"/>
      <c r="DJ99" s="209"/>
      <c r="DK99" s="209"/>
      <c r="DL99" s="209"/>
      <c r="DM99" s="209"/>
      <c r="DN99" s="209"/>
      <c r="DO99" s="209"/>
      <c r="DP99" s="209"/>
      <c r="DQ99" s="209"/>
      <c r="DR99" s="209"/>
      <c r="DS99" s="209"/>
      <c r="DT99" s="209"/>
      <c r="DU99" s="209"/>
      <c r="DV99" s="209"/>
      <c r="DW99" s="209"/>
      <c r="DX99" s="209"/>
      <c r="DY99" s="209"/>
      <c r="DZ99" s="209"/>
      <c r="EA99" s="209"/>
      <c r="EB99" s="209"/>
      <c r="EC99" s="209"/>
      <c r="ED99" s="209"/>
      <c r="EE99" s="209"/>
      <c r="EF99" s="209"/>
      <c r="EG99" s="209"/>
      <c r="EH99" s="209"/>
      <c r="EI99" s="209"/>
      <c r="EJ99" s="209"/>
      <c r="EK99" s="209"/>
      <c r="EL99" s="209"/>
      <c r="EM99" s="209"/>
      <c r="EN99" s="209"/>
      <c r="EO99" s="209"/>
      <c r="EP99" s="209"/>
      <c r="EQ99" s="209"/>
      <c r="ER99" s="209"/>
      <c r="ES99" s="209"/>
      <c r="ET99" s="209"/>
      <c r="EU99" s="209"/>
      <c r="EV99" s="209"/>
      <c r="EW99" s="209"/>
      <c r="EX99" s="209"/>
      <c r="EY99" s="209"/>
      <c r="EZ99" s="209"/>
      <c r="FA99" s="209"/>
      <c r="FB99" s="209"/>
      <c r="FC99" s="209"/>
      <c r="FD99" s="209"/>
      <c r="FE99" s="209"/>
      <c r="FF99" s="209"/>
      <c r="FG99" s="209"/>
      <c r="FH99" s="209"/>
      <c r="FI99" s="209"/>
      <c r="FJ99" s="209"/>
      <c r="FK99" s="209"/>
      <c r="FL99" s="209"/>
      <c r="FM99" s="209"/>
      <c r="FN99" s="209"/>
      <c r="FO99" s="209"/>
      <c r="FP99" s="209"/>
      <c r="FQ99" s="209"/>
      <c r="FR99" s="209"/>
      <c r="FS99" s="209"/>
      <c r="FT99" s="209"/>
      <c r="FU99" s="209"/>
      <c r="FV99" s="209"/>
      <c r="FW99" s="209"/>
      <c r="FX99" s="209"/>
      <c r="FY99" s="209"/>
      <c r="FZ99" s="209"/>
      <c r="GA99" s="209"/>
      <c r="GB99" s="209"/>
      <c r="GC99" s="209"/>
      <c r="GD99" s="209"/>
      <c r="GE99" s="209"/>
      <c r="GF99" s="209"/>
      <c r="GG99" s="209"/>
      <c r="GH99" s="209"/>
      <c r="GI99" s="209"/>
      <c r="GJ99" s="209"/>
      <c r="GK99" s="209"/>
      <c r="GL99" s="209"/>
      <c r="GM99" s="209"/>
      <c r="GN99" s="209"/>
      <c r="GO99" s="209"/>
      <c r="GP99" s="209"/>
      <c r="GQ99" s="209"/>
      <c r="GR99" s="209"/>
      <c r="GS99" s="209"/>
      <c r="GT99" s="209"/>
      <c r="GU99" s="209"/>
      <c r="GV99" s="209"/>
      <c r="GW99" s="209"/>
      <c r="GX99" s="209"/>
      <c r="GY99" s="209"/>
      <c r="GZ99" s="209"/>
      <c r="HA99" s="209"/>
      <c r="HB99" s="209"/>
      <c r="HC99" s="209"/>
      <c r="HD99" s="209"/>
      <c r="HE99" s="209"/>
      <c r="HF99" s="209"/>
      <c r="HG99" s="209"/>
      <c r="HH99" s="209"/>
      <c r="HI99" s="209"/>
      <c r="HJ99" s="209"/>
      <c r="HK99" s="209"/>
      <c r="HL99" s="209"/>
      <c r="HM99" s="209"/>
      <c r="HN99" s="209"/>
      <c r="HO99" s="209"/>
      <c r="HP99" s="209"/>
      <c r="HQ99" s="209"/>
      <c r="HR99" s="209"/>
      <c r="HS99" s="209"/>
      <c r="HT99" s="209"/>
      <c r="HU99" s="209"/>
      <c r="HV99" s="209"/>
      <c r="HW99" s="209"/>
      <c r="HX99" s="209"/>
      <c r="HY99" s="209"/>
      <c r="HZ99" s="209"/>
      <c r="IA99" s="209"/>
      <c r="IB99" s="209"/>
      <c r="IC99" s="209"/>
      <c r="ID99" s="209"/>
      <c r="IE99" s="209"/>
      <c r="IF99" s="209"/>
      <c r="IG99" s="209"/>
      <c r="IH99" s="209"/>
      <c r="II99" s="209"/>
      <c r="IJ99" s="209"/>
      <c r="IK99" s="209"/>
      <c r="IL99" s="209"/>
      <c r="IM99" s="209"/>
      <c r="IN99" s="209"/>
      <c r="IO99" s="209"/>
      <c r="IP99" s="209"/>
      <c r="IQ99" s="209"/>
      <c r="IR99" s="209"/>
      <c r="IS99" s="209"/>
      <c r="IT99" s="209"/>
      <c r="IU99" s="209"/>
    </row>
    <row r="100" spans="1:255" s="195" customFormat="1">
      <c r="A100" s="206"/>
      <c r="B100" s="336" t="s">
        <v>306</v>
      </c>
      <c r="C100" s="337"/>
      <c r="D100" s="336"/>
      <c r="E100" s="266"/>
      <c r="F100" s="266"/>
      <c r="G100" s="266"/>
      <c r="H100" s="266"/>
      <c r="I100" s="641"/>
      <c r="J100" s="641"/>
      <c r="K100" s="641"/>
      <c r="L100" s="641"/>
      <c r="M100" s="641"/>
      <c r="N100" s="641"/>
      <c r="O100" s="641"/>
      <c r="P100" s="641"/>
      <c r="Q100" s="641"/>
      <c r="R100" s="641"/>
      <c r="S100" s="331">
        <f t="shared" ref="S100:AX100" si="188">S98+S99</f>
        <v>0</v>
      </c>
      <c r="T100" s="331">
        <f t="shared" si="188"/>
        <v>0</v>
      </c>
      <c r="U100" s="331">
        <f t="shared" si="188"/>
        <v>0</v>
      </c>
      <c r="V100" s="331">
        <f t="shared" si="188"/>
        <v>0</v>
      </c>
      <c r="W100" s="331">
        <f t="shared" si="188"/>
        <v>0</v>
      </c>
      <c r="X100" s="331">
        <f t="shared" si="188"/>
        <v>0</v>
      </c>
      <c r="Y100" s="331">
        <f t="shared" si="188"/>
        <v>0</v>
      </c>
      <c r="Z100" s="331">
        <f t="shared" si="188"/>
        <v>0</v>
      </c>
      <c r="AA100" s="331">
        <f t="shared" si="188"/>
        <v>0</v>
      </c>
      <c r="AB100" s="331">
        <f t="shared" si="188"/>
        <v>0</v>
      </c>
      <c r="AC100" s="331">
        <f t="shared" si="188"/>
        <v>0</v>
      </c>
      <c r="AD100" s="331">
        <f t="shared" si="188"/>
        <v>0</v>
      </c>
      <c r="AE100" s="331">
        <f t="shared" si="188"/>
        <v>0</v>
      </c>
      <c r="AF100" s="331">
        <f t="shared" si="188"/>
        <v>0</v>
      </c>
      <c r="AG100" s="331">
        <f t="shared" si="188"/>
        <v>0</v>
      </c>
      <c r="AH100" s="331">
        <f t="shared" si="188"/>
        <v>0</v>
      </c>
      <c r="AI100" s="331">
        <f t="shared" si="188"/>
        <v>0</v>
      </c>
      <c r="AJ100" s="331">
        <f t="shared" si="188"/>
        <v>0</v>
      </c>
      <c r="AK100" s="331">
        <f t="shared" si="188"/>
        <v>0</v>
      </c>
      <c r="AL100" s="331">
        <f t="shared" si="188"/>
        <v>0</v>
      </c>
      <c r="AM100" s="331">
        <f t="shared" si="188"/>
        <v>0</v>
      </c>
      <c r="AN100" s="331">
        <f t="shared" si="188"/>
        <v>0</v>
      </c>
      <c r="AO100" s="331">
        <f t="shared" si="188"/>
        <v>0</v>
      </c>
      <c r="AP100" s="331">
        <f t="shared" si="188"/>
        <v>0</v>
      </c>
      <c r="AQ100" s="331">
        <f t="shared" si="188"/>
        <v>0</v>
      </c>
      <c r="AR100" s="331">
        <f t="shared" si="188"/>
        <v>0</v>
      </c>
      <c r="AS100" s="331">
        <f t="shared" si="188"/>
        <v>0</v>
      </c>
      <c r="AT100" s="331">
        <f t="shared" si="188"/>
        <v>0</v>
      </c>
      <c r="AU100" s="331">
        <f t="shared" si="188"/>
        <v>0</v>
      </c>
      <c r="AV100" s="331">
        <f t="shared" si="188"/>
        <v>0</v>
      </c>
      <c r="AW100" s="331">
        <f t="shared" si="188"/>
        <v>0</v>
      </c>
      <c r="AX100" s="331">
        <f t="shared" si="188"/>
        <v>0</v>
      </c>
      <c r="AY100" s="331">
        <f t="shared" ref="AY100:BX100" si="189">AY98+AY99</f>
        <v>0</v>
      </c>
      <c r="AZ100" s="331">
        <f t="shared" si="189"/>
        <v>0</v>
      </c>
      <c r="BA100" s="331">
        <f t="shared" si="189"/>
        <v>0</v>
      </c>
      <c r="BB100" s="331">
        <f t="shared" si="189"/>
        <v>0</v>
      </c>
      <c r="BC100" s="331">
        <f t="shared" si="189"/>
        <v>0</v>
      </c>
      <c r="BD100" s="331">
        <f t="shared" si="189"/>
        <v>0</v>
      </c>
      <c r="BE100" s="331">
        <f t="shared" si="189"/>
        <v>0</v>
      </c>
      <c r="BF100" s="331">
        <f t="shared" si="189"/>
        <v>0</v>
      </c>
      <c r="BG100" s="331">
        <f t="shared" si="189"/>
        <v>0</v>
      </c>
      <c r="BH100" s="331">
        <f t="shared" si="189"/>
        <v>0</v>
      </c>
      <c r="BI100" s="331">
        <f t="shared" si="189"/>
        <v>0</v>
      </c>
      <c r="BJ100" s="331">
        <f t="shared" si="189"/>
        <v>0</v>
      </c>
      <c r="BK100" s="331">
        <f t="shared" si="189"/>
        <v>0</v>
      </c>
      <c r="BL100" s="331">
        <f t="shared" si="189"/>
        <v>0</v>
      </c>
      <c r="BM100" s="331">
        <f t="shared" si="189"/>
        <v>0</v>
      </c>
      <c r="BN100" s="331">
        <f t="shared" si="189"/>
        <v>0</v>
      </c>
      <c r="BO100" s="331">
        <f t="shared" si="189"/>
        <v>0</v>
      </c>
      <c r="BP100" s="331">
        <f t="shared" si="189"/>
        <v>0</v>
      </c>
      <c r="BQ100" s="331">
        <f t="shared" si="189"/>
        <v>0</v>
      </c>
      <c r="BR100" s="331">
        <f t="shared" si="189"/>
        <v>0</v>
      </c>
      <c r="BS100" s="331">
        <f t="shared" si="189"/>
        <v>0</v>
      </c>
      <c r="BT100" s="331">
        <f t="shared" si="189"/>
        <v>0</v>
      </c>
      <c r="BU100" s="331">
        <f t="shared" si="189"/>
        <v>0</v>
      </c>
      <c r="BV100" s="331">
        <f t="shared" si="189"/>
        <v>0</v>
      </c>
      <c r="BW100" s="331">
        <f t="shared" si="189"/>
        <v>0</v>
      </c>
      <c r="BX100" s="331">
        <f t="shared" si="189"/>
        <v>0</v>
      </c>
      <c r="BY100" s="267"/>
      <c r="BZ100" s="267"/>
      <c r="CA100" s="267"/>
      <c r="CB100" s="267"/>
      <c r="CC100" s="267"/>
      <c r="CD100" s="267"/>
      <c r="CE100" s="267"/>
      <c r="CF100" s="267"/>
      <c r="CG100" s="267"/>
      <c r="CH100" s="267"/>
      <c r="CI100" s="267"/>
      <c r="CJ100" s="267"/>
      <c r="CK100" s="267"/>
      <c r="CL100" s="267"/>
      <c r="CM100" s="267"/>
      <c r="CN100" s="267"/>
      <c r="CO100" s="267"/>
      <c r="CP100" s="267"/>
      <c r="CQ100" s="267"/>
      <c r="CR100" s="267"/>
      <c r="CS100" s="267"/>
      <c r="CT100" s="267"/>
      <c r="CU100" s="267"/>
      <c r="CV100" s="267"/>
      <c r="CW100" s="267"/>
      <c r="CX100" s="267"/>
      <c r="CY100" s="267"/>
      <c r="CZ100" s="267"/>
      <c r="DA100" s="267"/>
      <c r="DB100" s="267"/>
      <c r="DC100" s="267"/>
      <c r="DD100" s="267"/>
      <c r="DE100" s="267"/>
      <c r="DF100" s="267"/>
      <c r="DG100" s="267"/>
      <c r="DH100" s="267"/>
      <c r="DI100" s="267"/>
      <c r="DJ100" s="267"/>
      <c r="DK100" s="267"/>
      <c r="DL100" s="267"/>
      <c r="DM100" s="267"/>
      <c r="DN100" s="267"/>
      <c r="DO100" s="267"/>
      <c r="DP100" s="267"/>
      <c r="DQ100" s="267"/>
      <c r="DR100" s="267"/>
      <c r="DS100" s="267"/>
      <c r="DT100" s="267"/>
      <c r="DU100" s="267"/>
      <c r="DV100" s="267"/>
      <c r="DW100" s="267"/>
      <c r="DX100" s="267"/>
      <c r="DY100" s="267"/>
      <c r="DZ100" s="267"/>
      <c r="EA100" s="267"/>
      <c r="EB100" s="267"/>
      <c r="EC100" s="267"/>
      <c r="ED100" s="267"/>
      <c r="EE100" s="267"/>
      <c r="EF100" s="267"/>
      <c r="EG100" s="267"/>
      <c r="EH100" s="267"/>
      <c r="EI100" s="267"/>
      <c r="EJ100" s="267"/>
      <c r="EK100" s="267"/>
      <c r="EL100" s="267"/>
      <c r="EM100" s="267"/>
      <c r="EN100" s="267"/>
      <c r="EO100" s="267"/>
      <c r="EP100" s="267"/>
      <c r="EQ100" s="267"/>
      <c r="ER100" s="267"/>
      <c r="ES100" s="267"/>
      <c r="ET100" s="267"/>
      <c r="EU100" s="267"/>
      <c r="EV100" s="267"/>
      <c r="EW100" s="267"/>
      <c r="EX100" s="267"/>
      <c r="EY100" s="267"/>
      <c r="EZ100" s="267"/>
      <c r="FA100" s="267"/>
      <c r="FB100" s="267"/>
      <c r="FC100" s="267"/>
      <c r="FD100" s="267"/>
      <c r="FE100" s="267"/>
      <c r="FF100" s="267"/>
      <c r="FG100" s="267"/>
      <c r="FH100" s="267"/>
      <c r="FI100" s="267"/>
      <c r="FJ100" s="267"/>
      <c r="FK100" s="267"/>
      <c r="FL100" s="267"/>
      <c r="FM100" s="267"/>
      <c r="FN100" s="267"/>
      <c r="FO100" s="267"/>
      <c r="FP100" s="267"/>
      <c r="FQ100" s="267"/>
      <c r="FR100" s="267"/>
      <c r="FS100" s="267"/>
      <c r="FT100" s="267"/>
      <c r="FU100" s="267"/>
      <c r="FV100" s="267"/>
      <c r="FW100" s="267"/>
      <c r="FX100" s="267"/>
      <c r="FY100" s="267"/>
      <c r="FZ100" s="267"/>
      <c r="GA100" s="267"/>
      <c r="GB100" s="267"/>
      <c r="GC100" s="267"/>
      <c r="GD100" s="267"/>
      <c r="GE100" s="267"/>
      <c r="GF100" s="267"/>
      <c r="GG100" s="267"/>
      <c r="GH100" s="267"/>
      <c r="GI100" s="267"/>
      <c r="GJ100" s="267"/>
      <c r="GK100" s="267"/>
      <c r="GL100" s="267"/>
      <c r="GM100" s="267"/>
      <c r="GN100" s="267"/>
      <c r="GO100" s="267"/>
      <c r="GP100" s="267"/>
      <c r="GQ100" s="267"/>
      <c r="GR100" s="267"/>
      <c r="GS100" s="267"/>
      <c r="GT100" s="267"/>
      <c r="GU100" s="267"/>
      <c r="GV100" s="267"/>
      <c r="GW100" s="267"/>
      <c r="GX100" s="267"/>
      <c r="GY100" s="267"/>
      <c r="GZ100" s="267"/>
      <c r="HA100" s="267"/>
      <c r="HB100" s="267"/>
      <c r="HC100" s="267"/>
      <c r="HD100" s="267"/>
      <c r="HE100" s="267"/>
      <c r="HF100" s="267"/>
      <c r="HG100" s="267"/>
      <c r="HH100" s="267"/>
      <c r="HI100" s="267"/>
      <c r="HJ100" s="267"/>
      <c r="HK100" s="267"/>
      <c r="HL100" s="267"/>
      <c r="HM100" s="267"/>
      <c r="HN100" s="267"/>
      <c r="HO100" s="267"/>
      <c r="HP100" s="267"/>
      <c r="HQ100" s="267"/>
      <c r="HR100" s="267"/>
      <c r="HS100" s="267"/>
      <c r="HT100" s="267"/>
      <c r="HU100" s="267"/>
      <c r="HV100" s="267"/>
      <c r="HW100" s="267"/>
      <c r="HX100" s="267"/>
      <c r="HY100" s="267"/>
      <c r="HZ100" s="267"/>
      <c r="IA100" s="267"/>
      <c r="IB100" s="267"/>
      <c r="IC100" s="267"/>
      <c r="ID100" s="267"/>
      <c r="IE100" s="267"/>
      <c r="IF100" s="267"/>
      <c r="IG100" s="267"/>
      <c r="IH100" s="267"/>
      <c r="II100" s="267"/>
      <c r="IJ100" s="267"/>
      <c r="IK100" s="267"/>
      <c r="IL100" s="267"/>
      <c r="IM100" s="267"/>
      <c r="IN100" s="267"/>
      <c r="IO100" s="267"/>
      <c r="IP100" s="267"/>
      <c r="IQ100" s="267"/>
      <c r="IR100" s="267"/>
      <c r="IS100" s="267"/>
      <c r="IT100" s="267"/>
      <c r="IU100" s="267"/>
    </row>
    <row r="101" spans="1:255">
      <c r="A101" s="195"/>
      <c r="C101" s="197"/>
      <c r="D101" s="200"/>
      <c r="E101" s="338"/>
      <c r="F101" s="339"/>
      <c r="G101" s="339"/>
      <c r="H101" s="339"/>
      <c r="I101" s="210"/>
      <c r="J101" s="340"/>
      <c r="K101" s="340"/>
      <c r="L101" s="210"/>
      <c r="S101" s="341"/>
      <c r="T101" s="341"/>
      <c r="U101" s="341"/>
      <c r="V101" s="341"/>
      <c r="W101" s="342"/>
      <c r="X101" s="342"/>
      <c r="Y101" s="342"/>
      <c r="Z101" s="342"/>
      <c r="AA101" s="342"/>
      <c r="AB101" s="342"/>
      <c r="AC101" s="342"/>
      <c r="AD101" s="342"/>
      <c r="AE101" s="342"/>
      <c r="AP101" s="205"/>
      <c r="AQ101" s="205"/>
      <c r="AR101" s="205"/>
      <c r="AS101" s="205"/>
      <c r="AT101" s="205"/>
      <c r="AU101" s="205"/>
      <c r="AV101" s="205"/>
      <c r="AW101" s="205"/>
      <c r="AX101" s="205"/>
      <c r="AY101" s="205"/>
      <c r="AZ101" s="205"/>
      <c r="BA101" s="205"/>
      <c r="BB101" s="205"/>
    </row>
    <row r="102" spans="1:255" ht="15.75">
      <c r="B102" s="300" t="s">
        <v>329</v>
      </c>
      <c r="C102" s="343"/>
      <c r="D102" s="344"/>
      <c r="E102" s="194"/>
      <c r="F102" s="344"/>
      <c r="G102" s="344"/>
      <c r="H102" s="344"/>
      <c r="I102" s="343"/>
      <c r="J102" s="340"/>
      <c r="K102" s="1002"/>
      <c r="L102" s="1003"/>
      <c r="M102" s="999"/>
      <c r="N102" s="999"/>
      <c r="O102" s="999"/>
      <c r="P102" s="999"/>
      <c r="Q102" s="999"/>
      <c r="R102" s="999"/>
      <c r="S102" s="1004"/>
      <c r="T102" s="1004"/>
      <c r="U102" s="716"/>
      <c r="V102" s="716"/>
      <c r="W102" s="1005"/>
      <c r="X102" s="1005"/>
      <c r="Y102" s="1005"/>
      <c r="Z102" s="1005"/>
      <c r="AA102" s="1005"/>
      <c r="AB102" s="1005"/>
      <c r="AC102" s="1005"/>
      <c r="AD102" s="1005"/>
      <c r="AE102" s="1005"/>
      <c r="AF102" s="1005"/>
      <c r="AG102" s="1005"/>
    </row>
    <row r="103" spans="1:255" ht="15.75">
      <c r="B103" s="300"/>
      <c r="C103" s="343"/>
      <c r="D103" s="344"/>
      <c r="E103" s="194"/>
      <c r="F103" s="344"/>
      <c r="G103" s="344"/>
      <c r="H103" s="344"/>
      <c r="J103" s="340"/>
      <c r="K103" s="1002"/>
      <c r="L103" s="1003"/>
      <c r="M103" s="999"/>
      <c r="N103" s="999"/>
      <c r="O103" s="999"/>
      <c r="P103" s="999"/>
      <c r="Q103" s="999"/>
      <c r="R103" s="999"/>
      <c r="S103" s="1004"/>
      <c r="T103" s="1004"/>
      <c r="U103" s="1006"/>
      <c r="V103" s="1006"/>
      <c r="W103" s="1007"/>
      <c r="X103" s="1007"/>
      <c r="Y103" s="1007"/>
      <c r="Z103" s="1007"/>
      <c r="AA103" s="1007"/>
      <c r="AB103" s="1007"/>
      <c r="AC103" s="1007"/>
      <c r="AD103" s="1007"/>
      <c r="AE103" s="1007"/>
      <c r="AF103" s="1007"/>
      <c r="AG103" s="1007"/>
    </row>
    <row r="104" spans="1:255" ht="15">
      <c r="B104" s="345" t="s">
        <v>330</v>
      </c>
      <c r="C104" s="343"/>
      <c r="D104" s="344"/>
      <c r="E104" s="194"/>
      <c r="F104" s="344"/>
      <c r="G104" s="344"/>
      <c r="H104" s="344"/>
      <c r="J104" s="340"/>
      <c r="K104" s="1002"/>
      <c r="L104" s="1003"/>
      <c r="M104" s="999"/>
      <c r="N104" s="999"/>
      <c r="O104" s="999"/>
      <c r="P104" s="999"/>
      <c r="Q104" s="999"/>
      <c r="R104" s="999"/>
      <c r="S104" s="1004"/>
      <c r="T104" s="1004"/>
      <c r="U104" s="1008"/>
      <c r="V104" s="1008"/>
      <c r="W104" s="1007"/>
      <c r="X104" s="1007"/>
      <c r="Y104" s="1007"/>
      <c r="Z104" s="1007"/>
      <c r="AA104" s="1007"/>
      <c r="AB104" s="1007"/>
      <c r="AC104" s="1007"/>
      <c r="AD104" s="1007"/>
      <c r="AE104" s="1007"/>
      <c r="AF104" s="1007"/>
      <c r="AG104" s="1007"/>
    </row>
    <row r="105" spans="1:255" ht="15">
      <c r="B105" s="345" t="s">
        <v>331</v>
      </c>
      <c r="C105" s="343"/>
      <c r="D105" s="344"/>
      <c r="E105" s="194"/>
      <c r="F105" s="344"/>
      <c r="G105" s="344"/>
      <c r="H105" s="344"/>
      <c r="J105" s="340"/>
      <c r="K105" s="1002"/>
      <c r="L105" s="1003"/>
      <c r="M105" s="999"/>
      <c r="N105" s="999"/>
      <c r="O105" s="999"/>
      <c r="P105" s="999"/>
      <c r="Q105" s="999"/>
      <c r="R105" s="999"/>
      <c r="S105" s="1004"/>
      <c r="T105" s="1004"/>
      <c r="U105" s="960"/>
      <c r="V105" s="960"/>
      <c r="W105" s="1007"/>
      <c r="X105" s="1007"/>
      <c r="Y105" s="1007"/>
      <c r="Z105" s="1007"/>
      <c r="AA105" s="1007"/>
      <c r="AB105" s="1007"/>
      <c r="AC105" s="1007"/>
      <c r="AD105" s="1007"/>
      <c r="AE105" s="1007"/>
      <c r="AF105" s="1009"/>
      <c r="AG105" s="1009"/>
    </row>
    <row r="106" spans="1:255" ht="15.75">
      <c r="B106" s="300"/>
      <c r="C106" s="343"/>
      <c r="D106" s="344"/>
      <c r="E106" s="194"/>
      <c r="F106" s="344"/>
      <c r="G106" s="344"/>
      <c r="H106" s="344"/>
      <c r="J106" s="340"/>
      <c r="K106" s="1002"/>
      <c r="L106" s="1003"/>
      <c r="M106" s="999"/>
      <c r="N106" s="999"/>
      <c r="O106" s="999"/>
      <c r="P106" s="999"/>
      <c r="Q106" s="999"/>
      <c r="R106" s="999"/>
      <c r="S106" s="1004"/>
      <c r="T106" s="1004"/>
      <c r="U106" s="1006"/>
      <c r="V106" s="1006"/>
      <c r="W106" s="1007"/>
      <c r="X106" s="1007"/>
      <c r="Y106" s="1007"/>
      <c r="Z106" s="1007"/>
      <c r="AA106" s="1007"/>
      <c r="AB106" s="1007"/>
      <c r="AC106" s="1007"/>
      <c r="AD106" s="1007"/>
      <c r="AE106" s="1007"/>
      <c r="AF106" s="1009"/>
      <c r="AG106" s="1009"/>
    </row>
    <row r="107" spans="1:255" ht="15">
      <c r="B107" s="345" t="s">
        <v>330</v>
      </c>
      <c r="C107" s="343"/>
      <c r="D107" s="344"/>
      <c r="E107" s="194"/>
      <c r="F107" s="344"/>
      <c r="G107" s="344"/>
      <c r="H107" s="344"/>
      <c r="J107" s="340"/>
      <c r="K107" s="1002"/>
      <c r="L107" s="1003"/>
      <c r="M107" s="999"/>
      <c r="N107" s="999"/>
      <c r="O107" s="999"/>
      <c r="P107" s="999"/>
      <c r="Q107" s="999"/>
      <c r="R107" s="999"/>
      <c r="S107" s="1004"/>
      <c r="T107" s="1004"/>
      <c r="U107" s="1008"/>
      <c r="V107" s="1008"/>
      <c r="W107" s="1007"/>
      <c r="X107" s="1007"/>
      <c r="Y107" s="1007"/>
      <c r="Z107" s="1007"/>
      <c r="AA107" s="1007"/>
      <c r="AB107" s="1007"/>
      <c r="AC107" s="1007"/>
      <c r="AD107" s="1007"/>
      <c r="AE107" s="1007"/>
      <c r="AF107" s="1009"/>
      <c r="AG107" s="1009"/>
    </row>
    <row r="108" spans="1:255" ht="15">
      <c r="B108" s="345" t="s">
        <v>332</v>
      </c>
      <c r="C108" s="343"/>
      <c r="D108" s="344"/>
      <c r="E108" s="194"/>
      <c r="F108" s="344"/>
      <c r="G108" s="344"/>
      <c r="H108" s="344"/>
      <c r="J108" s="340"/>
      <c r="K108" s="1002"/>
      <c r="L108" s="1003"/>
      <c r="M108" s="999"/>
      <c r="N108" s="999"/>
      <c r="O108" s="999"/>
      <c r="P108" s="999"/>
      <c r="Q108" s="999"/>
      <c r="R108" s="999"/>
      <c r="S108" s="1004"/>
      <c r="T108" s="1004"/>
      <c r="U108" s="960"/>
      <c r="V108" s="960"/>
      <c r="W108" s="1007"/>
      <c r="X108" s="1007"/>
      <c r="Y108" s="1007"/>
      <c r="Z108" s="1007"/>
      <c r="AA108" s="1007"/>
      <c r="AB108" s="1007"/>
      <c r="AC108" s="1007"/>
      <c r="AD108" s="1007"/>
      <c r="AE108" s="1007"/>
      <c r="AF108" s="1009"/>
      <c r="AG108" s="1009"/>
    </row>
    <row r="109" spans="1:255" ht="15">
      <c r="B109" s="346"/>
      <c r="C109" s="343"/>
      <c r="D109" s="344"/>
      <c r="E109" s="194"/>
      <c r="F109" s="344"/>
      <c r="G109" s="344"/>
      <c r="H109" s="344"/>
      <c r="J109" s="340"/>
      <c r="K109" s="1002"/>
      <c r="L109" s="1003"/>
      <c r="M109" s="999"/>
      <c r="N109" s="999"/>
      <c r="O109" s="999"/>
      <c r="P109" s="999"/>
      <c r="Q109" s="999"/>
      <c r="R109" s="999"/>
      <c r="S109" s="1004"/>
      <c r="T109" s="1004"/>
      <c r="U109" s="1008"/>
      <c r="V109" s="1008"/>
      <c r="W109" s="1007"/>
      <c r="X109" s="1007"/>
      <c r="Y109" s="1007"/>
      <c r="Z109" s="1007"/>
      <c r="AA109" s="1007"/>
      <c r="AB109" s="1007"/>
      <c r="AC109" s="1007"/>
      <c r="AD109" s="1007"/>
      <c r="AE109" s="1007"/>
      <c r="AF109" s="1009"/>
      <c r="AG109" s="1009"/>
    </row>
    <row r="110" spans="1:255" ht="15">
      <c r="B110" s="345" t="s">
        <v>333</v>
      </c>
      <c r="C110" s="343"/>
      <c r="D110" s="344"/>
      <c r="E110" s="194"/>
      <c r="F110" s="194"/>
      <c r="G110" s="194"/>
      <c r="H110" s="194"/>
      <c r="J110" s="210"/>
      <c r="K110" s="1003"/>
      <c r="L110" s="1003"/>
      <c r="M110" s="999"/>
      <c r="N110" s="999"/>
      <c r="O110" s="999"/>
      <c r="P110" s="999"/>
      <c r="Q110" s="999"/>
      <c r="R110" s="999"/>
      <c r="S110" s="1004"/>
      <c r="T110" s="1004"/>
      <c r="U110" s="960"/>
      <c r="V110" s="960"/>
      <c r="W110" s="1007"/>
      <c r="X110" s="1007"/>
      <c r="Y110" s="1007"/>
      <c r="Z110" s="1007"/>
      <c r="AA110" s="1007"/>
      <c r="AB110" s="1007"/>
      <c r="AC110" s="1007"/>
      <c r="AD110" s="1007"/>
      <c r="AE110" s="1007"/>
      <c r="AF110" s="1009"/>
      <c r="AG110" s="1009"/>
    </row>
    <row r="111" spans="1:255">
      <c r="C111" s="196"/>
      <c r="E111" s="196"/>
      <c r="F111" s="196"/>
      <c r="G111" s="196"/>
      <c r="H111" s="196"/>
    </row>
  </sheetData>
  <sheetProtection formatColumns="0" insertRows="0" deleteRows="0"/>
  <mergeCells count="119">
    <mergeCell ref="BL5:BL8"/>
    <mergeCell ref="BM6:BM8"/>
    <mergeCell ref="BN6:BN8"/>
    <mergeCell ref="BO6:BO8"/>
    <mergeCell ref="BP6:BP8"/>
    <mergeCell ref="C5:C8"/>
    <mergeCell ref="D5:D8"/>
    <mergeCell ref="E5:H7"/>
    <mergeCell ref="N5:R7"/>
    <mergeCell ref="X5:AB7"/>
    <mergeCell ref="BJ5:BJ8"/>
    <mergeCell ref="BK5:BK8"/>
    <mergeCell ref="BF5:BF8"/>
    <mergeCell ref="BI5:BI8"/>
    <mergeCell ref="AU6:AV7"/>
    <mergeCell ref="AW6:AX7"/>
    <mergeCell ref="BM5:BP5"/>
    <mergeCell ref="A5:A8"/>
    <mergeCell ref="I5:M7"/>
    <mergeCell ref="S5:W7"/>
    <mergeCell ref="AP5:AP7"/>
    <mergeCell ref="AF6:AF7"/>
    <mergeCell ref="BC5:BC8"/>
    <mergeCell ref="BA5:BA8"/>
    <mergeCell ref="BB5:BB8"/>
    <mergeCell ref="AG6:AG7"/>
    <mergeCell ref="B5:B8"/>
    <mergeCell ref="AF5:AO5"/>
    <mergeCell ref="AC5:AC8"/>
    <mergeCell ref="AD5:AD8"/>
    <mergeCell ref="AE5:AE8"/>
    <mergeCell ref="AQ5:AX5"/>
    <mergeCell ref="AY5:AY7"/>
    <mergeCell ref="AQ6:AQ7"/>
    <mergeCell ref="AR6:AR7"/>
    <mergeCell ref="AS6:AT7"/>
    <mergeCell ref="AH6:AI7"/>
    <mergeCell ref="AZ5:AZ7"/>
    <mergeCell ref="AJ6:AK7"/>
    <mergeCell ref="AL6:AM7"/>
    <mergeCell ref="AN6:AO7"/>
    <mergeCell ref="BQ5:BT5"/>
    <mergeCell ref="BQ6:BQ8"/>
    <mergeCell ref="BR6:BR8"/>
    <mergeCell ref="BS6:BS8"/>
    <mergeCell ref="BT6:BT8"/>
    <mergeCell ref="BU5:BX5"/>
    <mergeCell ref="BU6:BU8"/>
    <mergeCell ref="BV6:BV8"/>
    <mergeCell ref="BW6:BW8"/>
    <mergeCell ref="BX6:BX8"/>
    <mergeCell ref="A61:A64"/>
    <mergeCell ref="B61:B64"/>
    <mergeCell ref="C61:C64"/>
    <mergeCell ref="D61:D64"/>
    <mergeCell ref="E61:H63"/>
    <mergeCell ref="I61:M63"/>
    <mergeCell ref="N61:R63"/>
    <mergeCell ref="S61:W63"/>
    <mergeCell ref="X61:AB63"/>
    <mergeCell ref="AC61:AC64"/>
    <mergeCell ref="AD61:AD64"/>
    <mergeCell ref="AE61:AE64"/>
    <mergeCell ref="AF61:AO61"/>
    <mergeCell ref="AP61:AP63"/>
    <mergeCell ref="AQ61:AX61"/>
    <mergeCell ref="AY61:AY63"/>
    <mergeCell ref="AZ61:AZ63"/>
    <mergeCell ref="AR62:AR63"/>
    <mergeCell ref="AS62:AT63"/>
    <mergeCell ref="AU62:AV63"/>
    <mergeCell ref="AW62:AX63"/>
    <mergeCell ref="BN62:BN64"/>
    <mergeCell ref="BO62:BO64"/>
    <mergeCell ref="BP62:BP64"/>
    <mergeCell ref="BQ62:BQ64"/>
    <mergeCell ref="BR62:BR64"/>
    <mergeCell ref="BJ61:BJ64"/>
    <mergeCell ref="BK61:BK64"/>
    <mergeCell ref="BL61:BL64"/>
    <mergeCell ref="AG62:AG63"/>
    <mergeCell ref="AH62:AI63"/>
    <mergeCell ref="AJ62:AK63"/>
    <mergeCell ref="AL62:AM63"/>
    <mergeCell ref="AN62:AO63"/>
    <mergeCell ref="AQ62:AQ63"/>
    <mergeCell ref="BA61:BA64"/>
    <mergeCell ref="BB61:BB64"/>
    <mergeCell ref="BC61:BC64"/>
    <mergeCell ref="BD61:BD64"/>
    <mergeCell ref="BE61:BE64"/>
    <mergeCell ref="BF61:BF64"/>
    <mergeCell ref="BG61:BG64"/>
    <mergeCell ref="BH61:BH64"/>
    <mergeCell ref="BI61:BI64"/>
    <mergeCell ref="R2:S2"/>
    <mergeCell ref="R3:S3"/>
    <mergeCell ref="R4:S4"/>
    <mergeCell ref="BS62:BS64"/>
    <mergeCell ref="BT62:BT64"/>
    <mergeCell ref="BU62:BU64"/>
    <mergeCell ref="BM61:BP61"/>
    <mergeCell ref="BQ61:BT61"/>
    <mergeCell ref="BU61:BX61"/>
    <mergeCell ref="AF62:AF63"/>
    <mergeCell ref="BD4:BE4"/>
    <mergeCell ref="BG4:BH4"/>
    <mergeCell ref="BD60:BE60"/>
    <mergeCell ref="BG60:BH60"/>
    <mergeCell ref="AF4:AG4"/>
    <mergeCell ref="AF60:AG60"/>
    <mergeCell ref="BD5:BD8"/>
    <mergeCell ref="BE5:BE8"/>
    <mergeCell ref="BG5:BG8"/>
    <mergeCell ref="BH5:BH8"/>
    <mergeCell ref="BV62:BV64"/>
    <mergeCell ref="BW62:BW64"/>
    <mergeCell ref="BX62:BX64"/>
    <mergeCell ref="BM62:BM64"/>
  </mergeCells>
  <pageMargins left="0" right="0" top="0" bottom="0" header="0" footer="0"/>
  <pageSetup paperSize="9" scale="70" fitToHeight="0" orientation="landscape" r:id="rId1"/>
  <rowBreaks count="1" manualBreakCount="1">
    <brk id="57" max="6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  <pageSetUpPr fitToPage="1"/>
  </sheetPr>
  <dimension ref="A1:BM41"/>
  <sheetViews>
    <sheetView topLeftCell="A4" zoomScaleSheetLayoutView="96" workbookViewId="0">
      <selection activeCell="C32" sqref="C32"/>
    </sheetView>
  </sheetViews>
  <sheetFormatPr defaultColWidth="9.140625" defaultRowHeight="15.75"/>
  <cols>
    <col min="1" max="1" width="6.5703125" style="419" customWidth="1"/>
    <col min="2" max="2" width="72" style="419" customWidth="1"/>
    <col min="3" max="3" width="27.5703125" style="2431" customWidth="1"/>
    <col min="4" max="4" width="15.42578125" style="419" hidden="1" customWidth="1"/>
    <col min="5" max="5" width="16" style="419" hidden="1" customWidth="1"/>
    <col min="6" max="6" width="15.7109375" style="419" hidden="1" customWidth="1"/>
    <col min="7" max="57" width="0" style="419" hidden="1" customWidth="1"/>
    <col min="58" max="58" width="20.140625" style="419" bestFit="1" customWidth="1"/>
    <col min="59" max="59" width="18.140625" style="419" customWidth="1"/>
    <col min="60" max="60" width="9.140625" style="419"/>
    <col min="61" max="61" width="15.85546875" style="419" bestFit="1" customWidth="1"/>
    <col min="62" max="62" width="30.5703125" style="419" customWidth="1"/>
    <col min="63" max="63" width="14.85546875" style="419" bestFit="1" customWidth="1"/>
    <col min="64" max="64" width="9.140625" style="419"/>
    <col min="65" max="65" width="13.140625" style="419" bestFit="1" customWidth="1"/>
    <col min="66" max="66" width="14.28515625" style="419" bestFit="1" customWidth="1"/>
    <col min="67" max="16384" width="9.140625" style="419"/>
  </cols>
  <sheetData>
    <row r="1" spans="1:63" s="1883" customFormat="1">
      <c r="C1" s="2430" t="s">
        <v>337</v>
      </c>
    </row>
    <row r="2" spans="1:63" s="1883" customFormat="1">
      <c r="C2" s="2430" t="s">
        <v>338</v>
      </c>
    </row>
    <row r="3" spans="1:63" s="1883" customFormat="1">
      <c r="C3" s="2430" t="s">
        <v>339</v>
      </c>
    </row>
    <row r="4" spans="1:63" s="1883" customFormat="1">
      <c r="C4" s="2430" t="s">
        <v>340</v>
      </c>
    </row>
    <row r="5" spans="1:63">
      <c r="C5" s="2430" t="s">
        <v>341</v>
      </c>
    </row>
    <row r="7" spans="1:63" ht="48" customHeight="1">
      <c r="A7" s="3914" t="s">
        <v>342</v>
      </c>
      <c r="B7" s="3914"/>
      <c r="C7" s="3914"/>
    </row>
    <row r="9" spans="1:63">
      <c r="A9" s="419" t="s">
        <v>343</v>
      </c>
      <c r="C9" s="2449" t="s">
        <v>254</v>
      </c>
    </row>
    <row r="10" spans="1:63" s="1887" customFormat="1" ht="125.45" customHeight="1">
      <c r="A10" s="1886" t="s">
        <v>34</v>
      </c>
      <c r="B10" s="1013" t="s">
        <v>344</v>
      </c>
      <c r="C10" s="2450" t="s">
        <v>345</v>
      </c>
    </row>
    <row r="11" spans="1:63">
      <c r="A11" s="517">
        <v>1</v>
      </c>
      <c r="B11" s="517" t="s">
        <v>346</v>
      </c>
      <c r="C11" s="2451">
        <f>'штатка школа Орынб'!Q9+'штатка школа Орынб'!T9+'штатка школа Орынб'!U9</f>
        <v>26610746.399999999</v>
      </c>
      <c r="BF11" s="1895">
        <f>'штатка школа Орынб'!Q9+'штатка школа Орынб'!T9+'штатка школа Орынб'!U9</f>
        <v>26610746.399999999</v>
      </c>
      <c r="BG11" s="1890">
        <f>'штатка школа Орынб'!Q9+'штатка школа Орынб'!T9+'штатка школа Орынб'!U9</f>
        <v>26610746.399999999</v>
      </c>
      <c r="BI11" s="1890"/>
      <c r="BJ11" s="1890" t="e">
        <f>C11+'Кальк Турк без фмн'!D11+'Кальк31 ул (Адм Корп)'!D11+'Кальк31 ул (31)'!D11+'Кальк АУП'!C11</f>
        <v>#REF!</v>
      </c>
      <c r="BK11" s="463" t="e">
        <f>BJ11-#REF!-#REF!-#REF!</f>
        <v>#REF!</v>
      </c>
    </row>
    <row r="12" spans="1:63">
      <c r="A12" s="517">
        <v>2</v>
      </c>
      <c r="B12" s="517" t="s">
        <v>347</v>
      </c>
      <c r="C12" s="2452" t="e">
        <f>BF12</f>
        <v>#REF!</v>
      </c>
      <c r="BF12" s="1895" t="e">
        <f>#REF!</f>
        <v>#REF!</v>
      </c>
      <c r="BG12" s="1890" t="e">
        <f>#REF!</f>
        <v>#REF!</v>
      </c>
      <c r="BI12" s="1890"/>
      <c r="BJ12" s="1890" t="e">
        <f>C12+'Кальк Турк без фмн'!D12+'Кальк31 ул (Адм Корп)'!D12+'Кальк31 ул (31)'!D12+'Кальк АУП'!C12</f>
        <v>#REF!</v>
      </c>
      <c r="BK12" s="419" t="e">
        <f>#REF!</f>
        <v>#REF!</v>
      </c>
    </row>
    <row r="13" spans="1:63">
      <c r="A13" s="517">
        <v>3</v>
      </c>
      <c r="B13" s="517" t="s">
        <v>348</v>
      </c>
      <c r="C13" s="2452" t="e">
        <f>BF13</f>
        <v>#REF!</v>
      </c>
      <c r="BF13" s="1895" t="e">
        <f>#REF!</f>
        <v>#REF!</v>
      </c>
      <c r="BG13" s="1890" t="e">
        <f>#REF!</f>
        <v>#REF!</v>
      </c>
      <c r="BI13" s="1890"/>
      <c r="BJ13" s="1890" t="e">
        <f>C13+'Кальк Турк без фмн'!D13+'Кальк31 ул (Адм Корп)'!D13+'Кальк31 ул (31)'!D13+'Кальк АУП'!C13</f>
        <v>#REF!</v>
      </c>
      <c r="BK13" s="419" t="e">
        <f>#REF!</f>
        <v>#REF!</v>
      </c>
    </row>
    <row r="14" spans="1:63">
      <c r="A14" s="517">
        <v>4</v>
      </c>
      <c r="B14" s="517" t="s">
        <v>349</v>
      </c>
      <c r="C14" s="2452" t="e">
        <f>#REF!</f>
        <v>#REF!</v>
      </c>
      <c r="BF14" s="1895" t="e">
        <f>#REF!</f>
        <v>#REF!</v>
      </c>
      <c r="BG14" s="1890" t="e">
        <f>#REF!</f>
        <v>#REF!</v>
      </c>
      <c r="BI14" s="1890"/>
      <c r="BJ14" s="1890" t="e">
        <f>C14+'Кальк Турк без фмн'!D14+'Кальк31 ул (Адм Корп)'!D14+'Кальк31 ул (31)'!D14+'Кальк АУП'!C14</f>
        <v>#REF!</v>
      </c>
      <c r="BK14" s="419" t="e">
        <f>#REF!</f>
        <v>#REF!</v>
      </c>
    </row>
    <row r="15" spans="1:63">
      <c r="A15" s="517">
        <v>5</v>
      </c>
      <c r="B15" s="517" t="s">
        <v>350</v>
      </c>
      <c r="C15" s="2452">
        <f>'[59]соцсфера МШ'!I10/1.12</f>
        <v>0</v>
      </c>
      <c r="BF15" s="1895"/>
      <c r="BG15" s="1890"/>
      <c r="BI15" s="1890"/>
      <c r="BJ15" s="1890"/>
    </row>
    <row r="16" spans="1:63" hidden="1">
      <c r="A16" s="517">
        <v>6</v>
      </c>
      <c r="B16" s="517" t="s">
        <v>351</v>
      </c>
      <c r="C16" s="2452"/>
      <c r="BG16" s="1890"/>
    </row>
    <row r="17" spans="1:65" hidden="1">
      <c r="A17" s="517">
        <v>7</v>
      </c>
      <c r="B17" s="517" t="s">
        <v>352</v>
      </c>
      <c r="C17" s="2452"/>
      <c r="E17" s="1890"/>
      <c r="BG17" s="1890"/>
      <c r="BI17" s="1890"/>
    </row>
    <row r="18" spans="1:65">
      <c r="A18" s="517">
        <v>6</v>
      </c>
      <c r="B18" s="517" t="s">
        <v>353</v>
      </c>
      <c r="C18" s="2435" t="e">
        <f>BF18/1.12</f>
        <v>#REF!</v>
      </c>
      <c r="BF18" s="1895" t="e">
        <f>моющОрынб!T9+ТМЦОрынб!T9+('гсм школа'!#REF!+'гсм школа'!#REF!+'гсм школа'!#REF!+'гсм школа'!#REF!)/2</f>
        <v>#REF!</v>
      </c>
      <c r="BG18" s="1890">
        <f>моющОрынб!T9+ТМЦОрынб!T9</f>
        <v>1559017</v>
      </c>
      <c r="BI18" s="1890"/>
      <c r="BJ18" s="1895" t="e">
        <f>BF18+'Кальк Турк без фмн'!BJ18+'Кальк31 ул (Адм Корп)'!BU18+'Кальк31 ул (31)'!BU18</f>
        <v>#REF!</v>
      </c>
      <c r="BK18" s="2531" t="e">
        <f>'гсм школа'!I60+'моющ МБ 2.03.05'!V14+'моющФМН 2.03.05'!V14+'хоз свод'!R9+#REF!+'пр запасы фмн 2.03.09.'!T9+'пр запасы мб 2.03.09.'!T9+моющМШ!R9+хозМШ!T9+'ТМЦ МШ'!R9+моющОрынб!R9+ТМЦОрынб!R9+хозАДМ!T9+#REF!+'моющИНТ 2.03.05.'!V9+хозИНТ!T7+'хоз кот и ул освещ'!T7+тмцИНТ!R9</f>
        <v>#REF!</v>
      </c>
      <c r="BM18" s="1898"/>
    </row>
    <row r="19" spans="1:65" hidden="1">
      <c r="A19" s="517">
        <v>9</v>
      </c>
      <c r="B19" s="517" t="s">
        <v>354</v>
      </c>
      <c r="C19" s="2452"/>
      <c r="BG19" s="1890"/>
    </row>
    <row r="20" spans="1:65" hidden="1">
      <c r="A20" s="517">
        <v>10</v>
      </c>
      <c r="B20" s="517" t="s">
        <v>355</v>
      </c>
      <c r="C20" s="2452"/>
      <c r="BG20" s="1890"/>
    </row>
    <row r="21" spans="1:65" hidden="1">
      <c r="A21" s="517">
        <v>11</v>
      </c>
      <c r="B21" s="517" t="s">
        <v>356</v>
      </c>
      <c r="C21" s="2452"/>
      <c r="BG21" s="1890"/>
    </row>
    <row r="22" spans="1:65" hidden="1">
      <c r="A22" s="517">
        <v>12</v>
      </c>
      <c r="B22" s="517" t="s">
        <v>357</v>
      </c>
      <c r="C22" s="2451"/>
      <c r="BG22" s="1890"/>
    </row>
    <row r="23" spans="1:65">
      <c r="A23" s="517"/>
      <c r="B23" s="516" t="s">
        <v>358</v>
      </c>
      <c r="C23" s="2453" t="e">
        <f>ROUND(SUM(C11:C22),2)</f>
        <v>#REF!</v>
      </c>
      <c r="D23" s="419" t="e">
        <f>(#REF!+#REF!)*1.12</f>
        <v>#REF!</v>
      </c>
      <c r="E23" s="1890" t="e">
        <f>(#REF!+#REF!)*1.12</f>
        <v>#REF!</v>
      </c>
      <c r="F23" s="1890" t="e">
        <f>#REF!*1.12</f>
        <v>#REF!</v>
      </c>
      <c r="BF23" s="1890"/>
      <c r="BG23" s="1890"/>
      <c r="BJ23" s="419" t="e">
        <f>('Кальк Турк без фмн'!D19+'Кальк31 ул (Адм Корп)'!D19+'Кальк31 ул (31)'!D19)*1.12</f>
        <v>#REF!</v>
      </c>
      <c r="BK23" s="419" t="e">
        <f>#REF!</f>
        <v>#REF!</v>
      </c>
    </row>
    <row r="24" spans="1:65">
      <c r="A24" s="517"/>
      <c r="B24" s="516" t="s">
        <v>359</v>
      </c>
      <c r="C24" s="2453" t="e">
        <f>ROUND(C23/4,2)</f>
        <v>#REF!</v>
      </c>
      <c r="D24" s="1890" t="e">
        <f>C23*1.12</f>
        <v>#REF!</v>
      </c>
      <c r="BG24" s="1890"/>
      <c r="BJ24" s="419" t="e">
        <f>('Кальк31 ул (Адм Корп)'!D20+'Кальк31 ул (31)'!D20)*1.12</f>
        <v>#REF!</v>
      </c>
      <c r="BK24" s="419" t="e">
        <f>#REF!</f>
        <v>#REF!</v>
      </c>
    </row>
    <row r="25" spans="1:65">
      <c r="A25" s="517"/>
      <c r="B25" s="517" t="s">
        <v>360</v>
      </c>
      <c r="C25" s="2452">
        <f>26303+3291</f>
        <v>29594</v>
      </c>
      <c r="BF25" s="1898"/>
      <c r="BJ25" s="419">
        <f>'Кальк31 ул (31)'!D21</f>
        <v>14430</v>
      </c>
      <c r="BK25" s="419" t="e">
        <f>#REF!+#REF!</f>
        <v>#REF!</v>
      </c>
    </row>
    <row r="26" spans="1:65">
      <c r="A26" s="517"/>
      <c r="B26" s="516" t="s">
        <v>361</v>
      </c>
      <c r="C26" s="2453">
        <f>C25</f>
        <v>29594</v>
      </c>
      <c r="BG26" s="1890"/>
    </row>
    <row r="27" spans="1:65">
      <c r="A27" s="517"/>
      <c r="B27" s="517" t="s">
        <v>362</v>
      </c>
      <c r="C27" s="2452" t="e">
        <f>ROUND(C24/C26,2)</f>
        <v>#REF!</v>
      </c>
    </row>
    <row r="28" spans="1:65">
      <c r="A28" s="517"/>
      <c r="B28" s="517" t="str">
        <f>'[59]Кальк31 ул (2)'!B31</f>
        <v>Цена за 1 кв.м. в месяц без НДС (Административные расходы)</v>
      </c>
      <c r="C28" s="2452" t="e">
        <f>'Кальк АУП'!C34</f>
        <v>#REF!</v>
      </c>
      <c r="BG28" s="1895"/>
    </row>
    <row r="29" spans="1:65">
      <c r="A29" s="517"/>
      <c r="B29" s="517" t="str">
        <f>'[59]Кальк31 ул (2)'!B32</f>
        <v>ИТОГО Цена за 1 кв.м. без НДС</v>
      </c>
      <c r="C29" s="2452" t="e">
        <f>C28+C27</f>
        <v>#REF!</v>
      </c>
    </row>
    <row r="30" spans="1:65">
      <c r="A30" s="517"/>
      <c r="B30" s="517" t="s">
        <v>363</v>
      </c>
      <c r="C30" s="2452" t="e">
        <f>ROUND(C29*12%,2)</f>
        <v>#REF!</v>
      </c>
      <c r="BG30" s="1895"/>
    </row>
    <row r="31" spans="1:65">
      <c r="A31" s="517"/>
      <c r="B31" s="517" t="s">
        <v>364</v>
      </c>
      <c r="C31" s="2453" t="e">
        <f>C30+C29</f>
        <v>#REF!</v>
      </c>
      <c r="D31" s="664" t="s">
        <v>365</v>
      </c>
    </row>
    <row r="32" spans="1:65">
      <c r="A32" s="517"/>
      <c r="B32" s="517" t="s">
        <v>366</v>
      </c>
      <c r="C32" s="2452" t="e">
        <f>ROUND(C31*C25,2)</f>
        <v>#REF!</v>
      </c>
      <c r="D32" s="664"/>
      <c r="BG32" s="1890"/>
    </row>
    <row r="33" spans="1:59" s="1887" customFormat="1">
      <c r="A33" s="1886"/>
      <c r="B33" s="1886" t="s">
        <v>367</v>
      </c>
      <c r="C33" s="2454" t="e">
        <f>C32*4</f>
        <v>#REF!</v>
      </c>
      <c r="D33" s="2428"/>
      <c r="E33" s="1901"/>
      <c r="BG33" s="1902"/>
    </row>
    <row r="34" spans="1:59" s="1887" customFormat="1">
      <c r="C34" s="2447"/>
      <c r="D34" s="2428"/>
      <c r="E34" s="1901"/>
    </row>
    <row r="35" spans="1:59" s="1887" customFormat="1">
      <c r="C35" s="2447"/>
      <c r="D35" s="2428"/>
      <c r="E35" s="1901"/>
      <c r="BF35" s="2529" t="e">
        <f>C33+'Кальк Турк без фмн'!D39+'Кальк31 ул (Адм Корп)'!D33+'Кальк31 ул (31)'!D36+'Кальк31 ул (31)'!D37</f>
        <v>#REF!</v>
      </c>
    </row>
    <row r="36" spans="1:59">
      <c r="A36" s="2042" t="s">
        <v>368</v>
      </c>
      <c r="F36" s="2448" t="s">
        <v>369</v>
      </c>
      <c r="BF36" s="1680">
        <v>433505396</v>
      </c>
    </row>
    <row r="37" spans="1:59">
      <c r="A37" s="2042" t="s">
        <v>370</v>
      </c>
      <c r="C37" s="2099" t="s">
        <v>371</v>
      </c>
      <c r="D37" s="1890"/>
      <c r="E37" s="1890"/>
      <c r="F37" s="2448"/>
      <c r="BF37" s="2530" t="e">
        <f>BF35-BF36</f>
        <v>#REF!</v>
      </c>
    </row>
    <row r="38" spans="1:59">
      <c r="A38" s="2042"/>
      <c r="F38" s="2448"/>
    </row>
    <row r="39" spans="1:59">
      <c r="A39" s="2042" t="s">
        <v>372</v>
      </c>
      <c r="C39" s="2098" t="s">
        <v>373</v>
      </c>
      <c r="F39" s="2448" t="s">
        <v>374</v>
      </c>
    </row>
    <row r="40" spans="1:59">
      <c r="A40" s="2042"/>
      <c r="F40" s="1884"/>
    </row>
    <row r="41" spans="1:59">
      <c r="A41" s="2042" t="s">
        <v>375</v>
      </c>
      <c r="C41" s="2098" t="s">
        <v>376</v>
      </c>
      <c r="F41" s="2448" t="s">
        <v>377</v>
      </c>
    </row>
  </sheetData>
  <mergeCells count="1">
    <mergeCell ref="A7:C7"/>
  </mergeCells>
  <pageMargins left="0.31" right="0.34" top="0.74803149606299213" bottom="0.74803149606299213" header="0.31496062992125984" footer="0.31496062992125984"/>
  <pageSetup paperSize="9" scale="9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0.59999389629810485"/>
    <pageSetUpPr fitToPage="1"/>
  </sheetPr>
  <dimension ref="A1:BJ49"/>
  <sheetViews>
    <sheetView view="pageBreakPreview" topLeftCell="A13" zoomScale="96" zoomScaleSheetLayoutView="96" workbookViewId="0">
      <selection activeCell="B41" sqref="B41"/>
    </sheetView>
  </sheetViews>
  <sheetFormatPr defaultColWidth="9.140625" defaultRowHeight="15.75"/>
  <cols>
    <col min="1" max="1" width="6.5703125" style="419" customWidth="1"/>
    <col min="2" max="2" width="72" style="419" customWidth="1"/>
    <col min="3" max="3" width="22.42578125" style="2431" customWidth="1"/>
    <col min="4" max="4" width="15.42578125" style="419" hidden="1" customWidth="1"/>
    <col min="5" max="5" width="16" style="419" hidden="1" customWidth="1"/>
    <col min="6" max="6" width="15.7109375" style="419" hidden="1" customWidth="1"/>
    <col min="7" max="57" width="0" style="419" hidden="1" customWidth="1"/>
    <col min="58" max="58" width="21.42578125" style="419" customWidth="1"/>
    <col min="59" max="59" width="18.140625" style="419" customWidth="1"/>
    <col min="60" max="60" width="17.85546875" style="419" bestFit="1" customWidth="1"/>
    <col min="61" max="61" width="15.85546875" style="419" bestFit="1" customWidth="1"/>
    <col min="62" max="63" width="14.85546875" style="419" bestFit="1" customWidth="1"/>
    <col min="64" max="16384" width="9.140625" style="419"/>
  </cols>
  <sheetData>
    <row r="1" spans="1:62" s="1883" customFormat="1">
      <c r="C1" s="2430" t="s">
        <v>337</v>
      </c>
    </row>
    <row r="2" spans="1:62" s="1883" customFormat="1">
      <c r="C2" s="2430" t="s">
        <v>338</v>
      </c>
    </row>
    <row r="3" spans="1:62" s="1883" customFormat="1">
      <c r="C3" s="2430" t="s">
        <v>339</v>
      </c>
    </row>
    <row r="4" spans="1:62" s="1883" customFormat="1">
      <c r="C4" s="2430" t="s">
        <v>340</v>
      </c>
    </row>
    <row r="5" spans="1:62">
      <c r="C5" s="2430" t="s">
        <v>341</v>
      </c>
    </row>
    <row r="7" spans="1:62" ht="48" customHeight="1">
      <c r="A7" s="3914" t="s">
        <v>342</v>
      </c>
      <c r="B7" s="3914"/>
      <c r="C7" s="3914"/>
    </row>
    <row r="9" spans="1:62">
      <c r="A9" s="419" t="s">
        <v>378</v>
      </c>
      <c r="C9" s="2449" t="s">
        <v>254</v>
      </c>
    </row>
    <row r="10" spans="1:62" s="1887" customFormat="1" ht="125.45" customHeight="1">
      <c r="A10" s="1886" t="s">
        <v>34</v>
      </c>
      <c r="B10" s="1013" t="s">
        <v>344</v>
      </c>
      <c r="C10" s="2450" t="s">
        <v>379</v>
      </c>
      <c r="BF10" s="2450" t="s">
        <v>380</v>
      </c>
    </row>
    <row r="11" spans="1:62">
      <c r="A11" s="517">
        <v>1</v>
      </c>
      <c r="B11" s="517" t="s">
        <v>346</v>
      </c>
      <c r="C11" s="2503">
        <f>'штатка школа Орынб 2017-2018'!Q9+'штатка школа Орынб 2017-2018'!T9+'штатка школа Орынб 2017-2018'!U9</f>
        <v>94615987.200000003</v>
      </c>
      <c r="BF11" s="2451">
        <f>C11</f>
        <v>94615987.200000003</v>
      </c>
      <c r="BG11" s="1890"/>
      <c r="BH11" s="1895">
        <f>'штатка школа Орынб'!Q9+'штатка школа Орынб'!T9+'штатка школа Орынб'!U9</f>
        <v>26610746.399999999</v>
      </c>
      <c r="BI11" s="1890"/>
      <c r="BJ11" s="1890"/>
    </row>
    <row r="12" spans="1:62">
      <c r="A12" s="517">
        <v>2</v>
      </c>
      <c r="B12" s="517" t="s">
        <v>347</v>
      </c>
      <c r="C12" s="2435" t="e">
        <f>#REF!+#REF!</f>
        <v>#REF!</v>
      </c>
      <c r="BF12" s="2452" t="e">
        <f>C12</f>
        <v>#REF!</v>
      </c>
      <c r="BG12" s="1890" t="e">
        <f>#REF!</f>
        <v>#REF!</v>
      </c>
      <c r="BH12" s="1895" t="e">
        <f>#REF!</f>
        <v>#REF!</v>
      </c>
      <c r="BI12" s="1890"/>
      <c r="BJ12" s="1890"/>
    </row>
    <row r="13" spans="1:62">
      <c r="A13" s="517">
        <v>3</v>
      </c>
      <c r="B13" s="517" t="s">
        <v>348</v>
      </c>
      <c r="C13" s="2435" t="e">
        <f>#REF!+#REF!</f>
        <v>#REF!</v>
      </c>
      <c r="BF13" s="2452" t="e">
        <f>C13</f>
        <v>#REF!</v>
      </c>
      <c r="BG13" s="1890" t="e">
        <f>#REF!</f>
        <v>#REF!</v>
      </c>
      <c r="BH13" s="1895" t="e">
        <f>#REF!</f>
        <v>#REF!</v>
      </c>
      <c r="BI13" s="1890"/>
      <c r="BJ13" s="1890"/>
    </row>
    <row r="14" spans="1:62">
      <c r="A14" s="517">
        <v>4</v>
      </c>
      <c r="B14" s="517" t="s">
        <v>349</v>
      </c>
      <c r="C14" s="2435">
        <f>'штатка школа Орынб 2017-2018'!Q9*0.81*0.1%</f>
        <v>69735.168000000005</v>
      </c>
      <c r="BF14" s="2452">
        <f>C14</f>
        <v>69735.168000000005</v>
      </c>
      <c r="BG14" s="1890"/>
      <c r="BH14" s="1895" t="e">
        <f>#REF!</f>
        <v>#REF!</v>
      </c>
      <c r="BI14" s="1890"/>
      <c r="BJ14" s="1890"/>
    </row>
    <row r="15" spans="1:62">
      <c r="A15" s="517">
        <v>5</v>
      </c>
      <c r="B15" s="517" t="s">
        <v>381</v>
      </c>
      <c r="C15" s="2435" t="e">
        <f>#REF!/1.12</f>
        <v>#REF!</v>
      </c>
      <c r="BF15" s="2435" t="e">
        <f>#REF!/1.12</f>
        <v>#REF!</v>
      </c>
      <c r="BG15" s="1890"/>
      <c r="BH15" s="1895"/>
      <c r="BI15" s="1890"/>
      <c r="BJ15" s="1890" t="e">
        <f>BF15*1.12</f>
        <v>#REF!</v>
      </c>
    </row>
    <row r="16" spans="1:62" hidden="1">
      <c r="A16" s="517">
        <v>6</v>
      </c>
      <c r="B16" s="517" t="s">
        <v>351</v>
      </c>
      <c r="C16" s="2435"/>
      <c r="BF16" s="2452"/>
      <c r="BG16" s="1890"/>
    </row>
    <row r="17" spans="1:61" hidden="1">
      <c r="A17" s="517">
        <v>7</v>
      </c>
      <c r="B17" s="517" t="s">
        <v>352</v>
      </c>
      <c r="C17" s="2435"/>
      <c r="E17" s="1890"/>
      <c r="BF17" s="2452"/>
      <c r="BG17" s="1890"/>
      <c r="BI17" s="1890"/>
    </row>
    <row r="18" spans="1:61">
      <c r="A18" s="517">
        <v>6</v>
      </c>
      <c r="B18" s="517" t="s">
        <v>353</v>
      </c>
      <c r="C18" s="2435" t="e">
        <f>BH18/1.12</f>
        <v>#REF!</v>
      </c>
      <c r="BF18" s="2435" t="e">
        <f>(хозМШ!T9+моющОрынб!AB9+ТМЦОрынб!Z9+'гсм школа'!#REF!+'гсм школа'!#REF!+'гсм школа'!#REF!+'гсм школа'!#REF!)/1.12</f>
        <v>#REF!</v>
      </c>
      <c r="BG18" s="1890">
        <f>моющОрынб!T9+ТМЦОрынб!T9</f>
        <v>1559017</v>
      </c>
      <c r="BH18" s="1895" t="e">
        <f>моющОрынб!AB9+хозМШ!V9+'ТМЦ МШ'!R9+'гсм школа'!#REF!+'гсм школа'!#REF!+'гсм школа'!#REF!+'гсм школа'!#REF!</f>
        <v>#REF!</v>
      </c>
      <c r="BI18" s="1890"/>
    </row>
    <row r="19" spans="1:61" hidden="1">
      <c r="A19" s="517">
        <v>9</v>
      </c>
      <c r="B19" s="517" t="s">
        <v>354</v>
      </c>
      <c r="C19" s="2435"/>
      <c r="BF19" s="2452"/>
      <c r="BG19" s="1890"/>
    </row>
    <row r="20" spans="1:61" hidden="1">
      <c r="A20" s="517">
        <v>10</v>
      </c>
      <c r="B20" s="517" t="s">
        <v>355</v>
      </c>
      <c r="C20" s="2435"/>
      <c r="BF20" s="2452"/>
      <c r="BG20" s="1890"/>
    </row>
    <row r="21" spans="1:61" hidden="1">
      <c r="A21" s="517">
        <v>11</v>
      </c>
      <c r="B21" s="517" t="s">
        <v>356</v>
      </c>
      <c r="C21" s="2435"/>
      <c r="BF21" s="2452"/>
      <c r="BG21" s="1890"/>
    </row>
    <row r="22" spans="1:61" hidden="1">
      <c r="A22" s="517">
        <v>12</v>
      </c>
      <c r="B22" s="517" t="s">
        <v>357</v>
      </c>
      <c r="C22" s="2503"/>
      <c r="BF22" s="2451"/>
      <c r="BG22" s="1890"/>
    </row>
    <row r="23" spans="1:61">
      <c r="A23" s="517"/>
      <c r="B23" s="516" t="s">
        <v>358</v>
      </c>
      <c r="C23" s="2439" t="e">
        <f>ROUND(SUM(C11:C22),2)</f>
        <v>#REF!</v>
      </c>
      <c r="D23" s="419" t="e">
        <f>(#REF!+#REF!)*1.12</f>
        <v>#REF!</v>
      </c>
      <c r="E23" s="1890" t="e">
        <f>(#REF!+#REF!)*1.12</f>
        <v>#REF!</v>
      </c>
      <c r="F23" s="1890" t="e">
        <f>#REF!*1.12</f>
        <v>#REF!</v>
      </c>
      <c r="BF23" s="2453" t="e">
        <f>ROUND(SUM(BF11:BF22),2)</f>
        <v>#REF!</v>
      </c>
      <c r="BG23" s="1890"/>
    </row>
    <row r="24" spans="1:61">
      <c r="A24" s="517"/>
      <c r="B24" s="516" t="s">
        <v>359</v>
      </c>
      <c r="C24" s="2439" t="e">
        <f>ROUND(C23/12,2)</f>
        <v>#REF!</v>
      </c>
      <c r="D24" s="1890" t="e">
        <f>C23*1.12</f>
        <v>#REF!</v>
      </c>
      <c r="BF24" s="2453" t="e">
        <f>ROUND(BF23/12,2)</f>
        <v>#REF!</v>
      </c>
      <c r="BG24" s="1890"/>
    </row>
    <row r="25" spans="1:61">
      <c r="A25" s="517"/>
      <c r="B25" s="517" t="s">
        <v>360</v>
      </c>
      <c r="C25" s="2435">
        <f>26303+3291</f>
        <v>29594</v>
      </c>
      <c r="BF25" s="2452">
        <f>26303+3291</f>
        <v>29594</v>
      </c>
    </row>
    <row r="26" spans="1:61">
      <c r="A26" s="517"/>
      <c r="B26" s="516" t="s">
        <v>361</v>
      </c>
      <c r="C26" s="2439">
        <f>C25</f>
        <v>29594</v>
      </c>
      <c r="BF26" s="2453">
        <f>BF25</f>
        <v>29594</v>
      </c>
      <c r="BG26" s="1890"/>
    </row>
    <row r="27" spans="1:61">
      <c r="A27" s="517"/>
      <c r="B27" s="517" t="s">
        <v>362</v>
      </c>
      <c r="C27" s="2435" t="e">
        <f>ROUND(C24/C26,2)</f>
        <v>#REF!</v>
      </c>
      <c r="BF27" s="2452" t="e">
        <f>ROUND(BF24/BF26,2)</f>
        <v>#REF!</v>
      </c>
    </row>
    <row r="28" spans="1:61">
      <c r="A28" s="517"/>
      <c r="B28" s="517" t="str">
        <f>'[59]Кальк31 ул (2)'!B31</f>
        <v>Цена за 1 кв.м. в месяц без НДС (Административные расходы)</v>
      </c>
      <c r="C28" s="2435" t="e">
        <f>'Кальк АУП'!C34</f>
        <v>#REF!</v>
      </c>
      <c r="BF28" s="2452" t="e">
        <f>C28</f>
        <v>#REF!</v>
      </c>
      <c r="BG28" s="1895"/>
    </row>
    <row r="29" spans="1:61">
      <c r="A29" s="517"/>
      <c r="B29" s="517" t="str">
        <f>'[59]Кальк31 ул (2)'!B32</f>
        <v>ИТОГО Цена за 1 кв.м. без НДС</v>
      </c>
      <c r="C29" s="2435" t="e">
        <f>C28+C27</f>
        <v>#REF!</v>
      </c>
      <c r="BF29" s="2452" t="e">
        <f>BF28+BF27</f>
        <v>#REF!</v>
      </c>
    </row>
    <row r="30" spans="1:61">
      <c r="A30" s="517"/>
      <c r="B30" s="517" t="s">
        <v>363</v>
      </c>
      <c r="C30" s="2435" t="e">
        <f>ROUND(C29*12%,2)</f>
        <v>#REF!</v>
      </c>
      <c r="BF30" s="2452" t="e">
        <f>ROUND(BF29*12%,2)</f>
        <v>#REF!</v>
      </c>
      <c r="BG30" s="1895"/>
    </row>
    <row r="31" spans="1:61">
      <c r="A31" s="517"/>
      <c r="B31" s="517" t="s">
        <v>364</v>
      </c>
      <c r="C31" s="2439" t="e">
        <f>C30+C29</f>
        <v>#REF!</v>
      </c>
      <c r="D31" s="664" t="s">
        <v>365</v>
      </c>
      <c r="BF31" s="2453" t="e">
        <f>BF30+BF29</f>
        <v>#REF!</v>
      </c>
    </row>
    <row r="32" spans="1:61">
      <c r="A32" s="517"/>
      <c r="B32" s="517" t="s">
        <v>366</v>
      </c>
      <c r="C32" s="2435" t="e">
        <f>ROUND(C31*C25,2)</f>
        <v>#REF!</v>
      </c>
      <c r="D32" s="664"/>
      <c r="BF32" s="2452" t="e">
        <f>ROUND(BF31*BF25,2)</f>
        <v>#REF!</v>
      </c>
      <c r="BG32" s="1890"/>
    </row>
    <row r="33" spans="1:59" s="1887" customFormat="1">
      <c r="A33" s="1886"/>
      <c r="B33" s="1886" t="s">
        <v>382</v>
      </c>
      <c r="C33" s="2446" t="e">
        <f>C32*12</f>
        <v>#REF!</v>
      </c>
      <c r="D33" s="2428"/>
      <c r="E33" s="1901"/>
      <c r="BF33" s="2454" t="e">
        <f>BF32*12</f>
        <v>#REF!</v>
      </c>
      <c r="BG33" s="1902"/>
    </row>
    <row r="34" spans="1:59" s="1887" customFormat="1">
      <c r="C34" s="2447"/>
      <c r="D34" s="2428"/>
      <c r="E34" s="1901"/>
    </row>
    <row r="35" spans="1:59" s="1887" customFormat="1">
      <c r="C35" s="2447"/>
      <c r="D35" s="2428"/>
      <c r="E35" s="1901"/>
    </row>
    <row r="36" spans="1:59">
      <c r="A36" s="2042" t="s">
        <v>368</v>
      </c>
      <c r="F36" s="2448" t="s">
        <v>369</v>
      </c>
    </row>
    <row r="37" spans="1:59">
      <c r="A37" s="2042" t="s">
        <v>370</v>
      </c>
      <c r="C37" s="2099" t="s">
        <v>371</v>
      </c>
      <c r="D37" s="1890"/>
      <c r="E37" s="1890"/>
      <c r="F37" s="2448"/>
    </row>
    <row r="38" spans="1:59">
      <c r="A38" s="2042"/>
      <c r="F38" s="2448"/>
    </row>
    <row r="39" spans="1:59">
      <c r="A39" s="2042" t="s">
        <v>372</v>
      </c>
      <c r="C39" s="2098" t="s">
        <v>373</v>
      </c>
      <c r="F39" s="2448" t="s">
        <v>374</v>
      </c>
    </row>
    <row r="40" spans="1:59">
      <c r="A40" s="2042"/>
      <c r="F40" s="1884"/>
    </row>
    <row r="41" spans="1:59">
      <c r="A41" s="2042" t="s">
        <v>375</v>
      </c>
      <c r="C41" s="2098" t="s">
        <v>376</v>
      </c>
      <c r="F41" s="2448" t="s">
        <v>377</v>
      </c>
    </row>
    <row r="43" spans="1:59">
      <c r="BF43" s="1680">
        <v>442225953.72000003</v>
      </c>
    </row>
    <row r="44" spans="1:59">
      <c r="BF44" s="2507" t="e">
        <f>BF11+BF12+BF13+BF14+BF15*1.12+BF18*1.12+'Кальк31 ул (Адм Корп) 2017-2018'!BZ11+'Кальк31 ул (Адм Корп) 2017-2018'!BZ12+'Кальк31 ул (Адм Корп) 2017-2018'!BZ13+'Кальк31 ул (Адм Корп) 2017-2018'!BZ14+'Кальк31 ул (Адм Корп) 2017-2018'!BZ18*1.12+'Кальк31 ул (Адм Корп) 2017-2018'!BZ19*1.12+'Кальк31 2017-2018'!BX11+'Кальк31 2017-2018'!BX12+'Кальк31 2017-2018'!BX13+'Кальк31 2017-2018'!BX14+'Кальк31 2017-2018'!BX18*1.12+'Кальк31 2017-2018'!BX19*1.12+'Кальк31 2017-2018'!BX21+C28*C26*12+'Кальк31 ул (Адм Корп) 2017-2018'!BZ28*'Кальк31 ул (Адм Корп) 2017-2018'!BZ26*12+'Кальк31 2017-2018'!BX30*'Кальк31 2017-2018'!BX28*12</f>
        <v>#REF!</v>
      </c>
    </row>
    <row r="46" spans="1:59">
      <c r="BF46" s="419" t="e">
        <f>BF28*BF25</f>
        <v>#REF!</v>
      </c>
    </row>
    <row r="47" spans="1:59">
      <c r="BF47" s="419" t="e">
        <f>'Кальк31 ул (Адм Корп) 2017-2018'!BZ28*'Кальк31 ул (Адм Корп) 2017-2018'!BZ26</f>
        <v>#REF!</v>
      </c>
    </row>
    <row r="48" spans="1:59">
      <c r="BF48" s="419" t="e">
        <f>'Кальк31 2017-2018'!BX30*'Кальк31 2017-2018'!BX28</f>
        <v>#REF!</v>
      </c>
    </row>
    <row r="49" spans="58:58">
      <c r="BF49" s="419" t="e">
        <f>SUM(BF46:BF48)*12</f>
        <v>#REF!</v>
      </c>
    </row>
  </sheetData>
  <mergeCells count="1">
    <mergeCell ref="A7:C7"/>
  </mergeCells>
  <pageMargins left="0.31" right="0.34" top="0.74803149606299213" bottom="0.74803149606299213" header="0.31496062992125984" footer="0.31496062992125984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  <pageSetUpPr fitToPage="1"/>
  </sheetPr>
  <dimension ref="A1:BO50"/>
  <sheetViews>
    <sheetView view="pageBreakPreview" topLeftCell="A13" zoomScale="95" zoomScaleSheetLayoutView="95" workbookViewId="0">
      <selection activeCell="A20" sqref="A20:XFD23"/>
    </sheetView>
  </sheetViews>
  <sheetFormatPr defaultColWidth="9.140625" defaultRowHeight="15.75" outlineLevelRow="1"/>
  <cols>
    <col min="1" max="1" width="6.5703125" style="419" customWidth="1"/>
    <col min="2" max="2" width="72.85546875" style="419" customWidth="1"/>
    <col min="3" max="3" width="15.85546875" style="419" hidden="1" customWidth="1"/>
    <col min="4" max="4" width="26.5703125" style="2431" customWidth="1"/>
    <col min="5" max="6" width="20" style="419" hidden="1" customWidth="1"/>
    <col min="7" max="7" width="20.42578125" style="1884" hidden="1" customWidth="1"/>
    <col min="8" max="8" width="15.42578125" style="419" hidden="1" customWidth="1"/>
    <col min="9" max="9" width="16" style="419" hidden="1" customWidth="1"/>
    <col min="10" max="10" width="15.7109375" style="419" customWidth="1"/>
    <col min="11" max="61" width="9.140625" style="419" customWidth="1"/>
    <col min="62" max="62" width="17.85546875" style="419" bestFit="1" customWidth="1"/>
    <col min="63" max="63" width="18.140625" style="419" customWidth="1"/>
    <col min="64" max="64" width="9.140625" style="419"/>
    <col min="65" max="65" width="17.85546875" style="419" bestFit="1" customWidth="1"/>
    <col min="66" max="67" width="14.85546875" style="419" bestFit="1" customWidth="1"/>
    <col min="68" max="16384" width="9.140625" style="419"/>
  </cols>
  <sheetData>
    <row r="1" spans="1:66">
      <c r="D1" s="2429" t="s">
        <v>337</v>
      </c>
      <c r="G1" s="1882" t="s">
        <v>337</v>
      </c>
    </row>
    <row r="2" spans="1:66">
      <c r="D2" s="2429" t="s">
        <v>338</v>
      </c>
      <c r="G2" s="1882" t="s">
        <v>338</v>
      </c>
    </row>
    <row r="3" spans="1:66">
      <c r="D3" s="2429" t="s">
        <v>339</v>
      </c>
      <c r="G3" s="1882" t="s">
        <v>339</v>
      </c>
    </row>
    <row r="4" spans="1:66">
      <c r="D4" s="2429" t="s">
        <v>340</v>
      </c>
      <c r="G4" s="1882" t="s">
        <v>340</v>
      </c>
    </row>
    <row r="5" spans="1:66">
      <c r="D5" s="2430" t="s">
        <v>341</v>
      </c>
      <c r="G5" s="1882" t="s">
        <v>341</v>
      </c>
    </row>
    <row r="6" spans="1:66">
      <c r="F6" s="1883"/>
      <c r="G6" s="1883"/>
    </row>
    <row r="7" spans="1:66" ht="31.9" customHeight="1">
      <c r="A7" s="3914" t="s">
        <v>383</v>
      </c>
      <c r="B7" s="3914"/>
      <c r="C7" s="3914"/>
      <c r="D7" s="3914"/>
      <c r="E7" s="1885"/>
      <c r="F7" s="1885"/>
      <c r="G7" s="1885"/>
    </row>
    <row r="9" spans="1:66">
      <c r="A9" s="419" t="s">
        <v>384</v>
      </c>
      <c r="G9" s="759" t="s">
        <v>254</v>
      </c>
    </row>
    <row r="10" spans="1:66" s="1887" customFormat="1" ht="125.45" customHeight="1">
      <c r="A10" s="1886" t="s">
        <v>34</v>
      </c>
      <c r="B10" s="1013" t="s">
        <v>344</v>
      </c>
      <c r="C10" s="1013" t="s">
        <v>345</v>
      </c>
      <c r="D10" s="2432" t="s">
        <v>345</v>
      </c>
      <c r="E10" s="1886" t="s">
        <v>385</v>
      </c>
      <c r="F10" s="245" t="s">
        <v>386</v>
      </c>
      <c r="G10" s="245" t="s">
        <v>387</v>
      </c>
    </row>
    <row r="11" spans="1:66">
      <c r="A11" s="517">
        <v>1</v>
      </c>
      <c r="B11" s="517" t="s">
        <v>346</v>
      </c>
      <c r="C11" s="2433">
        <f>E11+F11+G11</f>
        <v>52264044</v>
      </c>
      <c r="D11" s="2434">
        <f>'штатка школа МШ'!Q9+'штатка школа МШ'!T9+'штатка школа МШ'!U9</f>
        <v>0</v>
      </c>
      <c r="E11" s="1889">
        <f>'[59]ФОТ МШ'!AX21+'[59]ФОТ МШ'!BA21+'[59]ФОТ МШ'!BB21</f>
        <v>52264044</v>
      </c>
      <c r="F11" s="1889"/>
      <c r="G11" s="1052"/>
      <c r="BJ11" s="1895">
        <f>'штатка школа МШ'!Q9+'штатка школа МШ'!T9+'штатка школа МШ'!U9</f>
        <v>0</v>
      </c>
      <c r="BK11" s="1890"/>
      <c r="BM11" s="1890"/>
      <c r="BN11" s="1890"/>
    </row>
    <row r="12" spans="1:66">
      <c r="A12" s="517">
        <v>2</v>
      </c>
      <c r="B12" s="517" t="s">
        <v>347</v>
      </c>
      <c r="C12" s="2433" t="e">
        <f t="shared" ref="C12:C23" si="0">E12+F12+G12</f>
        <v>#REF!</v>
      </c>
      <c r="D12" s="2435" t="e">
        <f>#REF!</f>
        <v>#REF!</v>
      </c>
      <c r="E12" s="1889" t="e">
        <f>'[59]ГПО ФМН'!G48-'[59]ГПО МШ '!CD40</f>
        <v>#REF!</v>
      </c>
      <c r="F12" s="1889"/>
      <c r="G12" s="1052"/>
      <c r="BJ12" s="1895" t="e">
        <f>#REF!</f>
        <v>#REF!</v>
      </c>
      <c r="BM12" s="1890"/>
      <c r="BN12" s="1890"/>
    </row>
    <row r="13" spans="1:66">
      <c r="A13" s="517">
        <v>3</v>
      </c>
      <c r="B13" s="517" t="s">
        <v>348</v>
      </c>
      <c r="C13" s="2433">
        <f t="shared" si="0"/>
        <v>840000</v>
      </c>
      <c r="D13" s="2435" t="e">
        <f>#REF!</f>
        <v>#REF!</v>
      </c>
      <c r="E13" s="1889">
        <f>('[59]мед страх'!C16-'[59]ФОТ МШ'!C16)*'[59]мед страх'!F12</f>
        <v>840000</v>
      </c>
      <c r="F13" s="1889"/>
      <c r="G13" s="1052"/>
      <c r="BJ13" s="1895" t="e">
        <f>#REF!</f>
        <v>#REF!</v>
      </c>
      <c r="BK13" s="419">
        <f>21*60000</f>
        <v>1260000</v>
      </c>
      <c r="BL13" s="1895"/>
      <c r="BM13" s="1890"/>
      <c r="BN13" s="1890"/>
    </row>
    <row r="14" spans="1:66">
      <c r="A14" s="517">
        <v>4</v>
      </c>
      <c r="B14" s="517" t="s">
        <v>349</v>
      </c>
      <c r="C14" s="2433">
        <f t="shared" si="0"/>
        <v>38520</v>
      </c>
      <c r="D14" s="2435" t="e">
        <f>#REF!</f>
        <v>#REF!</v>
      </c>
      <c r="E14" s="1889">
        <f>'[59]банк услуги'!F9</f>
        <v>38520</v>
      </c>
      <c r="F14" s="1889"/>
      <c r="G14" s="1052"/>
      <c r="BJ14" s="1895" t="e">
        <f>#REF!</f>
        <v>#REF!</v>
      </c>
      <c r="BK14" s="1890"/>
      <c r="BM14" s="1890"/>
      <c r="BN14" s="1890"/>
    </row>
    <row r="15" spans="1:66">
      <c r="A15" s="517">
        <v>5</v>
      </c>
      <c r="B15" s="517" t="s">
        <v>350</v>
      </c>
      <c r="C15" s="2433">
        <f t="shared" si="0"/>
        <v>0</v>
      </c>
      <c r="D15" s="2435">
        <f>E15</f>
        <v>0</v>
      </c>
      <c r="E15" s="1889"/>
      <c r="F15" s="1889"/>
      <c r="G15" s="1052"/>
      <c r="BK15" s="2436"/>
      <c r="BM15" s="1890"/>
      <c r="BN15" s="1890"/>
    </row>
    <row r="16" spans="1:66">
      <c r="A16" s="517">
        <v>6</v>
      </c>
      <c r="B16" s="517" t="s">
        <v>351</v>
      </c>
      <c r="C16" s="2433">
        <f t="shared" si="0"/>
        <v>0</v>
      </c>
      <c r="D16" s="2435">
        <f>E16</f>
        <v>0</v>
      </c>
      <c r="E16" s="517"/>
      <c r="F16" s="2433"/>
      <c r="G16" s="2437"/>
    </row>
    <row r="17" spans="1:65">
      <c r="A17" s="517">
        <v>7</v>
      </c>
      <c r="B17" s="517" t="s">
        <v>352</v>
      </c>
      <c r="C17" s="2433">
        <f t="shared" si="0"/>
        <v>0</v>
      </c>
      <c r="D17" s="2435">
        <f>E17</f>
        <v>0</v>
      </c>
      <c r="E17" s="517"/>
      <c r="F17" s="2433"/>
      <c r="G17" s="2437"/>
      <c r="I17" s="1890"/>
      <c r="BK17" s="1890"/>
    </row>
    <row r="18" spans="1:65">
      <c r="A18" s="517">
        <v>8</v>
      </c>
      <c r="B18" s="517" t="s">
        <v>353</v>
      </c>
      <c r="C18" s="2433">
        <f t="shared" si="0"/>
        <v>6031371.2232142845</v>
      </c>
      <c r="D18" s="2435" t="e">
        <f>BJ18/1.12</f>
        <v>#REF!</v>
      </c>
      <c r="E18" s="517"/>
      <c r="F18" s="2433">
        <v>6031371.2232142845</v>
      </c>
      <c r="G18" s="2437"/>
      <c r="BJ18" s="1895" t="e">
        <f>моющМШ!T9+хозМШ!V9+'ТМЦ МШ'!T9+'гсм школа'!#REF!+'гсм школа'!#REF!+'гсм школа'!#REF!+'гсм школа'!#REF!</f>
        <v>#REF!</v>
      </c>
      <c r="BK18" s="1890" t="e">
        <f>моющМШ!T9+хозМШ!V9+'ТМЦ МШ'!T9+'гсм школа'!#REF!+'гсм школа'!#REF!+'гсм школа'!#REF!+'гсм школа'!#REF!</f>
        <v>#REF!</v>
      </c>
    </row>
    <row r="19" spans="1:65">
      <c r="A19" s="517">
        <v>9</v>
      </c>
      <c r="B19" s="517" t="s">
        <v>388</v>
      </c>
      <c r="C19" s="2433">
        <f t="shared" si="0"/>
        <v>11607.142857142857</v>
      </c>
      <c r="D19" s="2435" t="e">
        <f>BJ19/1.12</f>
        <v>#REF!</v>
      </c>
      <c r="E19" s="517"/>
      <c r="F19" s="2433">
        <v>11607.142857142857</v>
      </c>
      <c r="G19" s="2437"/>
      <c r="BJ19" s="1895" t="e">
        <f>#REF!</f>
        <v>#REF!</v>
      </c>
      <c r="BK19" s="1890" t="e">
        <f>#REF!</f>
        <v>#REF!</v>
      </c>
    </row>
    <row r="20" spans="1:65" hidden="1">
      <c r="A20" s="517">
        <v>10</v>
      </c>
      <c r="B20" s="517" t="s">
        <v>389</v>
      </c>
      <c r="C20" s="2433">
        <f t="shared" si="0"/>
        <v>0</v>
      </c>
      <c r="D20" s="2435"/>
      <c r="E20" s="517"/>
      <c r="F20" s="2433"/>
      <c r="G20" s="2437"/>
    </row>
    <row r="21" spans="1:65" hidden="1">
      <c r="A21" s="517">
        <v>11</v>
      </c>
      <c r="B21" s="517" t="s">
        <v>356</v>
      </c>
      <c r="C21" s="2433">
        <f t="shared" si="0"/>
        <v>0</v>
      </c>
      <c r="D21" s="2435"/>
      <c r="E21" s="517"/>
      <c r="F21" s="2433"/>
      <c r="G21" s="2437"/>
    </row>
    <row r="22" spans="1:65" hidden="1" outlineLevel="1">
      <c r="A22" s="517">
        <v>12</v>
      </c>
      <c r="B22" s="517" t="s">
        <v>390</v>
      </c>
      <c r="C22" s="2433">
        <f t="shared" si="0"/>
        <v>0</v>
      </c>
      <c r="D22" s="2435"/>
      <c r="E22" s="517"/>
      <c r="F22" s="1889"/>
      <c r="G22" s="2437"/>
    </row>
    <row r="23" spans="1:65" hidden="1">
      <c r="A23" s="517">
        <v>12</v>
      </c>
      <c r="B23" s="517" t="s">
        <v>357</v>
      </c>
      <c r="C23" s="2433">
        <f t="shared" si="0"/>
        <v>0</v>
      </c>
      <c r="D23" s="2435"/>
      <c r="E23" s="517"/>
      <c r="F23" s="517"/>
      <c r="G23" s="2437"/>
    </row>
    <row r="24" spans="1:65">
      <c r="A24" s="517"/>
      <c r="B24" s="516" t="s">
        <v>391</v>
      </c>
      <c r="C24" s="2438" t="e">
        <f>SUM(C11:C23)</f>
        <v>#REF!</v>
      </c>
      <c r="D24" s="2439" t="e">
        <f>SUM(D11:D23)</f>
        <v>#REF!</v>
      </c>
      <c r="E24" s="1891" t="e">
        <f>SUM(E11:E23)</f>
        <v>#REF!</v>
      </c>
      <c r="F24" s="1892">
        <f>SUM(F11:F23)</f>
        <v>6042978.3660714272</v>
      </c>
      <c r="G24" s="1892">
        <f>SUM(G11:G23)</f>
        <v>0</v>
      </c>
      <c r="H24" s="419" t="e">
        <f>(#REF!+E24)*1.12</f>
        <v>#REF!</v>
      </c>
      <c r="I24" s="1890" t="e">
        <f>(#REF!+E24)*1.12</f>
        <v>#REF!</v>
      </c>
      <c r="J24" s="1890" t="e">
        <f>E24*1.12</f>
        <v>#REF!</v>
      </c>
      <c r="BJ24" s="1890"/>
      <c r="BK24" s="1890"/>
    </row>
    <row r="25" spans="1:65">
      <c r="A25" s="517"/>
      <c r="B25" s="516" t="s">
        <v>359</v>
      </c>
      <c r="C25" s="2438" t="e">
        <f>C24/5</f>
        <v>#REF!</v>
      </c>
      <c r="D25" s="2439" t="e">
        <f>D24/12</f>
        <v>#REF!</v>
      </c>
      <c r="E25" s="2438" t="e">
        <f>E24/5</f>
        <v>#REF!</v>
      </c>
      <c r="F25" s="1892">
        <f>F24/5</f>
        <v>1208595.6732142854</v>
      </c>
      <c r="G25" s="1892">
        <f>G24/5</f>
        <v>0</v>
      </c>
      <c r="H25" s="1890" t="e">
        <f>C24*1.12</f>
        <v>#REF!</v>
      </c>
      <c r="BK25" s="1890"/>
    </row>
    <row r="26" spans="1:65">
      <c r="A26" s="517"/>
      <c r="B26" s="517" t="s">
        <v>392</v>
      </c>
      <c r="C26" s="2433">
        <v>12104</v>
      </c>
      <c r="D26" s="2435">
        <f>E26</f>
        <v>12104</v>
      </c>
      <c r="E26" s="2440">
        <f>E28+E29</f>
        <v>12104</v>
      </c>
      <c r="F26" s="2440">
        <v>12104</v>
      </c>
      <c r="G26" s="2440">
        <f>G28+G29</f>
        <v>0</v>
      </c>
      <c r="BJ26" s="1884"/>
    </row>
    <row r="27" spans="1:65">
      <c r="A27" s="517"/>
      <c r="B27" s="2441" t="s">
        <v>255</v>
      </c>
      <c r="C27" s="2433"/>
      <c r="D27" s="2435"/>
      <c r="E27" s="517"/>
      <c r="F27" s="1052"/>
      <c r="G27" s="1052"/>
    </row>
    <row r="28" spans="1:65">
      <c r="A28" s="517"/>
      <c r="B28" s="2442" t="s">
        <v>393</v>
      </c>
      <c r="C28" s="2433">
        <v>5447</v>
      </c>
      <c r="D28" s="2435">
        <f>E28</f>
        <v>5447</v>
      </c>
      <c r="E28" s="2443">
        <f>C28</f>
        <v>5447</v>
      </c>
      <c r="F28" s="2440">
        <f>E28</f>
        <v>5447</v>
      </c>
      <c r="G28" s="2440"/>
    </row>
    <row r="29" spans="1:65">
      <c r="A29" s="517"/>
      <c r="B29" s="2442" t="s">
        <v>394</v>
      </c>
      <c r="C29" s="2433">
        <f>C26-C28</f>
        <v>6657</v>
      </c>
      <c r="D29" s="2435">
        <f>E29</f>
        <v>6657</v>
      </c>
      <c r="E29" s="2443">
        <f>C29</f>
        <v>6657</v>
      </c>
      <c r="F29" s="1889">
        <f>E29</f>
        <v>6657</v>
      </c>
      <c r="G29" s="2440"/>
      <c r="BK29" s="1890"/>
    </row>
    <row r="30" spans="1:65">
      <c r="A30" s="517"/>
      <c r="B30" s="516" t="s">
        <v>361</v>
      </c>
      <c r="C30" s="2438">
        <f>C26</f>
        <v>12104</v>
      </c>
      <c r="D30" s="2439">
        <f>D29+D28</f>
        <v>12104</v>
      </c>
      <c r="E30" s="1891">
        <f>C30</f>
        <v>12104</v>
      </c>
      <c r="F30" s="2444">
        <f>F26</f>
        <v>12104</v>
      </c>
      <c r="G30" s="2444">
        <f>G26</f>
        <v>0</v>
      </c>
      <c r="BK30" s="1890"/>
    </row>
    <row r="31" spans="1:65">
      <c r="A31" s="517"/>
      <c r="B31" s="517" t="s">
        <v>362</v>
      </c>
      <c r="C31" s="2435"/>
      <c r="D31" s="2435" t="e">
        <f>ROUND(D25/D30,2)</f>
        <v>#REF!</v>
      </c>
      <c r="E31" s="2445" t="e">
        <f>E25/E30</f>
        <v>#REF!</v>
      </c>
      <c r="F31" s="2445">
        <f>F25/F30</f>
        <v>99.850931362713595</v>
      </c>
      <c r="G31" s="2445" t="e">
        <f>G25/G30</f>
        <v>#DIV/0!</v>
      </c>
    </row>
    <row r="32" spans="1:65">
      <c r="A32" s="517"/>
      <c r="B32" s="517" t="str">
        <f>'[59]Кальк31 ул (2)'!B31</f>
        <v>Цена за 1 кв.м. в месяц без НДС (Административные расходы)</v>
      </c>
      <c r="C32" s="2435"/>
      <c r="D32" s="2435" t="e">
        <f>'Кальк АУП'!C34</f>
        <v>#REF!</v>
      </c>
      <c r="E32" s="2445"/>
      <c r="F32" s="2445"/>
      <c r="G32" s="2445"/>
      <c r="BJ32" s="1895"/>
      <c r="BK32" s="1895"/>
      <c r="BM32" s="1895"/>
    </row>
    <row r="33" spans="1:66">
      <c r="A33" s="517"/>
      <c r="B33" s="517" t="str">
        <f>'[59]Кальк31 ул (2)'!B32</f>
        <v>ИТОГО Цена за 1 кв.м. без НДС</v>
      </c>
      <c r="C33" s="2435"/>
      <c r="D33" s="2435" t="e">
        <f>D32+D31</f>
        <v>#REF!</v>
      </c>
      <c r="E33" s="2445"/>
      <c r="F33" s="2445"/>
      <c r="G33" s="2445"/>
    </row>
    <row r="34" spans="1:66">
      <c r="A34" s="517"/>
      <c r="B34" s="517" t="s">
        <v>363</v>
      </c>
      <c r="C34" s="2435"/>
      <c r="D34" s="2435" t="e">
        <f>ROUND(D33*12%,2)</f>
        <v>#REF!</v>
      </c>
      <c r="E34" s="1893" t="e">
        <f>E31*12%</f>
        <v>#REF!</v>
      </c>
      <c r="F34" s="1894">
        <f>F31*12%</f>
        <v>11.982111763525632</v>
      </c>
      <c r="G34" s="1894" t="e">
        <f>G31*12%</f>
        <v>#DIV/0!</v>
      </c>
      <c r="BK34" s="1895"/>
    </row>
    <row r="35" spans="1:66">
      <c r="A35" s="517"/>
      <c r="B35" s="517" t="s">
        <v>364</v>
      </c>
      <c r="C35" s="2439"/>
      <c r="D35" s="2439" t="e">
        <f>D33+D34</f>
        <v>#REF!</v>
      </c>
      <c r="E35" s="1896" t="e">
        <f>E34+E31</f>
        <v>#REF!</v>
      </c>
      <c r="F35" s="1897">
        <f>F34+F31</f>
        <v>111.83304312623923</v>
      </c>
      <c r="G35" s="1897" t="e">
        <f>G34+G31</f>
        <v>#DIV/0!</v>
      </c>
      <c r="H35" s="664" t="s">
        <v>365</v>
      </c>
      <c r="BK35" s="1895"/>
    </row>
    <row r="36" spans="1:66">
      <c r="A36" s="517"/>
      <c r="B36" s="517" t="s">
        <v>395</v>
      </c>
      <c r="C36" s="2433" t="e">
        <f>E36+F36</f>
        <v>#REF!</v>
      </c>
      <c r="D36" s="2435" t="e">
        <f>D35*D28</f>
        <v>#REF!</v>
      </c>
      <c r="E36" s="2440" t="e">
        <f>E35*E28</f>
        <v>#REF!</v>
      </c>
      <c r="F36" s="2440">
        <f>F35*F28</f>
        <v>609154.58590862504</v>
      </c>
      <c r="G36" s="2440">
        <f>G38/5</f>
        <v>0</v>
      </c>
      <c r="H36" s="664" t="s">
        <v>396</v>
      </c>
      <c r="BK36" s="1890"/>
      <c r="BN36" s="1890"/>
    </row>
    <row r="37" spans="1:66">
      <c r="A37" s="517"/>
      <c r="B37" s="517" t="s">
        <v>366</v>
      </c>
      <c r="C37" s="2433" t="e">
        <f>E37+G37</f>
        <v>#REF!</v>
      </c>
      <c r="D37" s="2435" t="e">
        <f>D35*D29</f>
        <v>#REF!</v>
      </c>
      <c r="E37" s="2433" t="e">
        <f>E35*E29</f>
        <v>#REF!</v>
      </c>
      <c r="F37" s="2433">
        <f>F35*F29</f>
        <v>744472.56809137459</v>
      </c>
      <c r="G37" s="2433" t="e">
        <f>ROUND(G35*G29,0)</f>
        <v>#DIV/0!</v>
      </c>
      <c r="H37" s="664"/>
      <c r="BK37" s="1890"/>
    </row>
    <row r="38" spans="1:66" s="1887" customFormat="1" ht="31.5">
      <c r="A38" s="1886"/>
      <c r="B38" s="1886" t="s">
        <v>397</v>
      </c>
      <c r="C38" s="1899" t="e">
        <f>E38+F38</f>
        <v>#REF!</v>
      </c>
      <c r="D38" s="2446" t="e">
        <f>D36*12</f>
        <v>#REF!</v>
      </c>
      <c r="E38" s="1900" t="e">
        <f>E35*E28*5</f>
        <v>#REF!</v>
      </c>
      <c r="F38" s="1900">
        <f>F36*5</f>
        <v>3045772.9295431254</v>
      </c>
      <c r="G38" s="1900"/>
      <c r="H38" s="2427" t="s">
        <v>398</v>
      </c>
      <c r="I38" s="1901"/>
    </row>
    <row r="39" spans="1:66" s="1887" customFormat="1">
      <c r="A39" s="1886"/>
      <c r="B39" s="1886" t="s">
        <v>367</v>
      </c>
      <c r="C39" s="1899" t="e">
        <f>E39+G39</f>
        <v>#REF!</v>
      </c>
      <c r="D39" s="2446" t="e">
        <f>D37*12</f>
        <v>#REF!</v>
      </c>
      <c r="E39" s="1900" t="e">
        <f>E35*E29*5</f>
        <v>#REF!</v>
      </c>
      <c r="F39" s="1900">
        <f>F37*5</f>
        <v>3722362.8404568732</v>
      </c>
      <c r="G39" s="1900" t="e">
        <f>G35*G29*5</f>
        <v>#DIV/0!</v>
      </c>
      <c r="H39" s="2428"/>
      <c r="I39" s="1901"/>
      <c r="BJ39" s="1902"/>
      <c r="BK39" s="1902"/>
    </row>
    <row r="40" spans="1:66" s="1887" customFormat="1">
      <c r="C40" s="1903"/>
      <c r="D40" s="2447"/>
      <c r="E40" s="1903"/>
      <c r="F40" s="1903"/>
      <c r="G40" s="1904"/>
      <c r="H40" s="2428"/>
      <c r="I40" s="1901"/>
    </row>
    <row r="41" spans="1:66" s="1887" customFormat="1">
      <c r="A41" s="2042" t="s">
        <v>368</v>
      </c>
      <c r="C41" s="1903"/>
      <c r="D41" s="2447"/>
      <c r="E41" s="1903"/>
      <c r="F41" s="1903"/>
      <c r="G41" s="1904"/>
      <c r="H41" s="2428"/>
      <c r="I41" s="1901"/>
    </row>
    <row r="42" spans="1:66">
      <c r="A42" s="2042" t="s">
        <v>370</v>
      </c>
      <c r="C42" s="1903"/>
      <c r="D42" s="2099" t="s">
        <v>371</v>
      </c>
      <c r="G42" s="2448" t="s">
        <v>369</v>
      </c>
    </row>
    <row r="43" spans="1:66">
      <c r="A43" s="2042"/>
      <c r="C43" s="1890"/>
      <c r="D43" s="419"/>
      <c r="F43" s="1890"/>
      <c r="G43" s="2448"/>
    </row>
    <row r="44" spans="1:66">
      <c r="A44" s="2042" t="s">
        <v>372</v>
      </c>
      <c r="D44" s="2098" t="s">
        <v>373</v>
      </c>
      <c r="G44" s="2448" t="s">
        <v>374</v>
      </c>
    </row>
    <row r="45" spans="1:66">
      <c r="A45" s="2042"/>
      <c r="D45" s="419"/>
    </row>
    <row r="46" spans="1:66">
      <c r="A46" s="2042" t="s">
        <v>375</v>
      </c>
      <c r="D46" s="2098" t="s">
        <v>376</v>
      </c>
      <c r="G46" s="2448" t="s">
        <v>377</v>
      </c>
    </row>
    <row r="50" spans="1:67" s="2431" customFormat="1">
      <c r="A50" s="419"/>
      <c r="B50" s="419"/>
      <c r="C50" s="419" t="e">
        <f>SUM(C11:C14)+SUM(C15:C22)*1.12</f>
        <v>#REF!</v>
      </c>
      <c r="E50" s="419"/>
      <c r="F50" s="419"/>
      <c r="G50" s="1884"/>
      <c r="H50" s="419"/>
      <c r="I50" s="419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19"/>
      <c r="AC50" s="419"/>
      <c r="AD50" s="419"/>
      <c r="AE50" s="419"/>
      <c r="AF50" s="419"/>
      <c r="AG50" s="419"/>
      <c r="AH50" s="419"/>
      <c r="AI50" s="419"/>
      <c r="AJ50" s="419"/>
      <c r="AK50" s="419"/>
      <c r="AL50" s="419"/>
      <c r="AM50" s="419"/>
      <c r="AN50" s="419"/>
      <c r="AO50" s="419"/>
      <c r="AP50" s="419"/>
      <c r="AQ50" s="419"/>
      <c r="AR50" s="419"/>
      <c r="AS50" s="419"/>
      <c r="AT50" s="419"/>
      <c r="AU50" s="419"/>
      <c r="AV50" s="419"/>
      <c r="AW50" s="419"/>
      <c r="AX50" s="419"/>
      <c r="AY50" s="419"/>
      <c r="AZ50" s="419"/>
      <c r="BA50" s="419"/>
      <c r="BB50" s="419"/>
      <c r="BC50" s="419"/>
      <c r="BD50" s="419"/>
      <c r="BE50" s="419"/>
      <c r="BF50" s="419"/>
      <c r="BG50" s="419"/>
      <c r="BH50" s="419"/>
      <c r="BI50" s="419"/>
      <c r="BJ50" s="419"/>
      <c r="BK50" s="419"/>
      <c r="BL50" s="419"/>
      <c r="BM50" s="419"/>
      <c r="BN50" s="419"/>
      <c r="BO50" s="419"/>
    </row>
  </sheetData>
  <mergeCells count="1">
    <mergeCell ref="A7:D7"/>
  </mergeCells>
  <pageMargins left="0.39" right="0.22" top="0.52" bottom="0.74803149606299213" header="0.31496062992125984" footer="0.31496062992125984"/>
  <pageSetup paperSize="9" scale="9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  <pageSetUpPr fitToPage="1"/>
  </sheetPr>
  <dimension ref="A1:BO50"/>
  <sheetViews>
    <sheetView view="pageBreakPreview" topLeftCell="A13" zoomScale="95" zoomScaleSheetLayoutView="95" workbookViewId="0">
      <selection sqref="A1:E46"/>
    </sheetView>
  </sheetViews>
  <sheetFormatPr defaultColWidth="9.140625" defaultRowHeight="15.75" outlineLevelRow="1"/>
  <cols>
    <col min="1" max="1" width="6.5703125" style="419" customWidth="1"/>
    <col min="2" max="2" width="72.85546875" style="419" customWidth="1"/>
    <col min="3" max="3" width="15.85546875" style="419" hidden="1" customWidth="1"/>
    <col min="4" max="4" width="26.5703125" style="2431" customWidth="1"/>
    <col min="5" max="6" width="20" style="419" hidden="1" customWidth="1"/>
    <col min="7" max="7" width="20.42578125" style="1884" hidden="1" customWidth="1"/>
    <col min="8" max="8" width="15.42578125" style="419" hidden="1" customWidth="1"/>
    <col min="9" max="9" width="16" style="419" hidden="1" customWidth="1"/>
    <col min="10" max="10" width="15.7109375" style="419" hidden="1" customWidth="1"/>
    <col min="11" max="61" width="9.140625" style="419" hidden="1" customWidth="1"/>
    <col min="62" max="62" width="17.85546875" style="419" hidden="1" customWidth="1"/>
    <col min="63" max="63" width="18.140625" style="419" hidden="1" customWidth="1"/>
    <col min="64" max="64" width="9.140625" style="419" hidden="1" customWidth="1"/>
    <col min="65" max="65" width="17.85546875" style="419" hidden="1" customWidth="1"/>
    <col min="66" max="66" width="14.85546875" style="419" hidden="1" customWidth="1"/>
    <col min="67" max="67" width="23.7109375" style="1680" customWidth="1"/>
    <col min="68" max="68" width="9.140625" style="419" customWidth="1"/>
    <col min="69" max="16384" width="9.140625" style="419"/>
  </cols>
  <sheetData>
    <row r="1" spans="1:67" s="1883" customFormat="1">
      <c r="D1" s="2430" t="s">
        <v>337</v>
      </c>
      <c r="G1" s="1882" t="s">
        <v>337</v>
      </c>
      <c r="BO1" s="2772"/>
    </row>
    <row r="2" spans="1:67" s="1883" customFormat="1">
      <c r="D2" s="2430" t="s">
        <v>338</v>
      </c>
      <c r="G2" s="1882" t="s">
        <v>338</v>
      </c>
      <c r="BO2" s="2772"/>
    </row>
    <row r="3" spans="1:67" s="1883" customFormat="1">
      <c r="D3" s="2430" t="s">
        <v>339</v>
      </c>
      <c r="G3" s="1882" t="s">
        <v>339</v>
      </c>
      <c r="BO3" s="2772"/>
    </row>
    <row r="4" spans="1:67" s="1883" customFormat="1">
      <c r="D4" s="2430" t="s">
        <v>340</v>
      </c>
      <c r="G4" s="1882" t="s">
        <v>340</v>
      </c>
      <c r="BO4" s="2772"/>
    </row>
    <row r="5" spans="1:67">
      <c r="D5" s="2430" t="s">
        <v>341</v>
      </c>
      <c r="G5" s="1882" t="s">
        <v>341</v>
      </c>
    </row>
    <row r="6" spans="1:67">
      <c r="F6" s="1883"/>
      <c r="G6" s="1883"/>
    </row>
    <row r="7" spans="1:67" ht="31.9" customHeight="1">
      <c r="A7" s="3914" t="s">
        <v>383</v>
      </c>
      <c r="B7" s="3914"/>
      <c r="C7" s="3914"/>
      <c r="D7" s="3914"/>
      <c r="E7" s="1885"/>
      <c r="F7" s="1885"/>
      <c r="G7" s="1885"/>
    </row>
    <row r="9" spans="1:67">
      <c r="A9" s="419" t="s">
        <v>384</v>
      </c>
      <c r="G9" s="759" t="s">
        <v>254</v>
      </c>
    </row>
    <row r="10" spans="1:67" s="1887" customFormat="1" ht="125.45" customHeight="1">
      <c r="A10" s="1886" t="s">
        <v>34</v>
      </c>
      <c r="B10" s="1013" t="s">
        <v>344</v>
      </c>
      <c r="C10" s="1013" t="s">
        <v>345</v>
      </c>
      <c r="D10" s="2432" t="s">
        <v>345</v>
      </c>
      <c r="E10" s="1886" t="s">
        <v>385</v>
      </c>
      <c r="F10" s="245" t="s">
        <v>386</v>
      </c>
      <c r="G10" s="245" t="s">
        <v>387</v>
      </c>
      <c r="BO10" s="2771"/>
    </row>
    <row r="11" spans="1:67">
      <c r="A11" s="517">
        <v>1</v>
      </c>
      <c r="B11" s="517" t="s">
        <v>346</v>
      </c>
      <c r="C11" s="2433">
        <f>E11+F11+G11</f>
        <v>52264044</v>
      </c>
      <c r="D11" s="2434">
        <f>'штатка школа МШ'!Q9+'штатка школа МШ'!T9+'штатка школа МШ'!U9</f>
        <v>0</v>
      </c>
      <c r="E11" s="1889">
        <f>'[59]ФОТ МШ'!AX21+'[59]ФОТ МШ'!BA21+'[59]ФОТ МШ'!BB21</f>
        <v>52264044</v>
      </c>
      <c r="F11" s="1889"/>
      <c r="G11" s="1052"/>
      <c r="BJ11" s="1895">
        <f>'штатка школа МШ'!Q9+'штатка школа МШ'!T9+'штатка школа МШ'!U9</f>
        <v>0</v>
      </c>
      <c r="BK11" s="1890">
        <f>'штатка школа МШ'!Q9+'штатка школа МШ'!T9+'штатка школа МШ'!U9</f>
        <v>0</v>
      </c>
      <c r="BM11" s="1890"/>
      <c r="BN11" s="1890"/>
      <c r="BO11" s="1680">
        <f>'штатка школа МШ'!Q9+'штатка школа МШ'!T9+'штатка школа МШ'!U9</f>
        <v>0</v>
      </c>
    </row>
    <row r="12" spans="1:67">
      <c r="A12" s="517">
        <v>2</v>
      </c>
      <c r="B12" s="517" t="s">
        <v>347</v>
      </c>
      <c r="C12" s="2433" t="e">
        <f t="shared" ref="C12:C23" si="0">E12+F12+G12</f>
        <v>#REF!</v>
      </c>
      <c r="D12" s="2435" t="e">
        <f>#REF!</f>
        <v>#REF!</v>
      </c>
      <c r="E12" s="1889" t="e">
        <f>'[59]ГПО ФМН'!G48-'[59]ГПО МШ '!CD40</f>
        <v>#REF!</v>
      </c>
      <c r="F12" s="1889"/>
      <c r="G12" s="1052"/>
      <c r="BJ12" s="1895" t="e">
        <f>#REF!</f>
        <v>#REF!</v>
      </c>
      <c r="BM12" s="1890"/>
      <c r="BN12" s="1890"/>
      <c r="BO12" s="1680" t="e">
        <f>#REF!+#REF!</f>
        <v>#REF!</v>
      </c>
    </row>
    <row r="13" spans="1:67">
      <c r="A13" s="517">
        <v>3</v>
      </c>
      <c r="B13" s="517" t="s">
        <v>348</v>
      </c>
      <c r="C13" s="2433">
        <f t="shared" si="0"/>
        <v>840000</v>
      </c>
      <c r="D13" s="2435" t="e">
        <f>#REF!</f>
        <v>#REF!</v>
      </c>
      <c r="E13" s="1889">
        <f>('[59]мед страх'!C16-'[59]ФОТ МШ'!C16)*'[59]мед страх'!F12</f>
        <v>840000</v>
      </c>
      <c r="F13" s="1889"/>
      <c r="G13" s="1052"/>
      <c r="BJ13" s="1895" t="e">
        <f>#REF!</f>
        <v>#REF!</v>
      </c>
      <c r="BK13" s="419">
        <f>21*60000</f>
        <v>1260000</v>
      </c>
      <c r="BL13" s="1895"/>
      <c r="BM13" s="1890"/>
      <c r="BN13" s="1890"/>
    </row>
    <row r="14" spans="1:67">
      <c r="A14" s="517">
        <v>4</v>
      </c>
      <c r="B14" s="517" t="s">
        <v>349</v>
      </c>
      <c r="C14" s="2433">
        <f t="shared" si="0"/>
        <v>38520</v>
      </c>
      <c r="D14" s="2435" t="e">
        <f>#REF!</f>
        <v>#REF!</v>
      </c>
      <c r="E14" s="1889">
        <f>'[59]банк услуги'!F9</f>
        <v>38520</v>
      </c>
      <c r="F14" s="1889"/>
      <c r="G14" s="1052"/>
      <c r="BJ14" s="1895" t="e">
        <f>#REF!</f>
        <v>#REF!</v>
      </c>
      <c r="BK14" s="1890"/>
      <c r="BM14" s="1890"/>
      <c r="BN14" s="1890"/>
      <c r="BO14" s="1680" t="e">
        <f>#REF!</f>
        <v>#REF!</v>
      </c>
    </row>
    <row r="15" spans="1:67">
      <c r="A15" s="517">
        <v>5</v>
      </c>
      <c r="B15" s="517" t="s">
        <v>350</v>
      </c>
      <c r="C15" s="2433">
        <f t="shared" si="0"/>
        <v>0</v>
      </c>
      <c r="D15" s="2435">
        <f>E15</f>
        <v>0</v>
      </c>
      <c r="E15" s="1889"/>
      <c r="F15" s="1889"/>
      <c r="G15" s="1052"/>
      <c r="BK15" s="2436"/>
      <c r="BM15" s="1890"/>
      <c r="BN15" s="1890"/>
    </row>
    <row r="16" spans="1:67">
      <c r="A16" s="517">
        <v>6</v>
      </c>
      <c r="B16" s="517" t="s">
        <v>351</v>
      </c>
      <c r="C16" s="2433">
        <f t="shared" si="0"/>
        <v>0</v>
      </c>
      <c r="D16" s="2435">
        <f>E16</f>
        <v>0</v>
      </c>
      <c r="E16" s="517"/>
      <c r="F16" s="2433"/>
      <c r="G16" s="2437"/>
    </row>
    <row r="17" spans="1:67">
      <c r="A17" s="517">
        <v>7</v>
      </c>
      <c r="B17" s="517" t="s">
        <v>352</v>
      </c>
      <c r="C17" s="2433">
        <f t="shared" si="0"/>
        <v>0</v>
      </c>
      <c r="D17" s="2435">
        <f>E17</f>
        <v>0</v>
      </c>
      <c r="E17" s="517"/>
      <c r="F17" s="2433"/>
      <c r="G17" s="2437"/>
      <c r="I17" s="1890"/>
      <c r="BK17" s="1890"/>
      <c r="BM17" s="2531" t="e">
        <f>моющМШ!R9+хозМШ!T9+'ТМЦ МШ'!R9+'гсм школа'!#REF!+'гсм школа'!#REF!+'гсм школа'!#REF!+'гсм школа'!#REF!</f>
        <v>#REF!</v>
      </c>
    </row>
    <row r="18" spans="1:67">
      <c r="A18" s="517">
        <v>8</v>
      </c>
      <c r="B18" s="517" t="s">
        <v>353</v>
      </c>
      <c r="C18" s="2433">
        <f t="shared" si="0"/>
        <v>6031371.2232142845</v>
      </c>
      <c r="D18" s="2435" t="e">
        <f>BJ18/1.12</f>
        <v>#REF!</v>
      </c>
      <c r="E18" s="517"/>
      <c r="F18" s="2433">
        <v>6031371.2232142845</v>
      </c>
      <c r="G18" s="2437"/>
      <c r="BJ18" s="1895" t="e">
        <f>моющМШ!T9+хозМШ!V9+'ТМЦ МШ'!T9+'гсм школа'!#REF!+'гсм школа'!#REF!+'гсм школа'!#REF!+'гсм школа'!#REF!</f>
        <v>#REF!</v>
      </c>
      <c r="BK18" s="1890" t="e">
        <f>моющМШ!T9+хозМШ!V9+'ТМЦ МШ'!T9+'гсм школа'!#REF!+'гсм школа'!#REF!+'гсм школа'!#REF!+'гсм школа'!#REF!</f>
        <v>#REF!</v>
      </c>
      <c r="BM18" s="2531"/>
      <c r="BO18" s="1680" t="e">
        <f>('гсм школа'!#REF!+'гсм школа'!#REF!+'гсм школа'!#REF!+'гсм школа'!#REF!+моющМШ!R9+хозМШ!T9+'ТМЦ МШ'!R9)/1.12</f>
        <v>#REF!</v>
      </c>
    </row>
    <row r="19" spans="1:67">
      <c r="A19" s="517">
        <v>9</v>
      </c>
      <c r="B19" s="517" t="s">
        <v>388</v>
      </c>
      <c r="C19" s="2433">
        <f t="shared" si="0"/>
        <v>11607.142857142857</v>
      </c>
      <c r="D19" s="2435" t="e">
        <f>BJ19/1.12</f>
        <v>#REF!</v>
      </c>
      <c r="E19" s="517"/>
      <c r="F19" s="2433">
        <v>11607.142857142857</v>
      </c>
      <c r="G19" s="2437"/>
      <c r="BJ19" s="1895" t="e">
        <f>#REF!</f>
        <v>#REF!</v>
      </c>
      <c r="BK19" s="1890" t="e">
        <f>#REF!</f>
        <v>#REF!</v>
      </c>
      <c r="BO19" s="1680" t="e">
        <f>(#REF!)/1.12</f>
        <v>#REF!</v>
      </c>
    </row>
    <row r="20" spans="1:67" hidden="1">
      <c r="A20" s="517">
        <v>10</v>
      </c>
      <c r="B20" s="517" t="s">
        <v>389</v>
      </c>
      <c r="C20" s="2433">
        <f t="shared" si="0"/>
        <v>0</v>
      </c>
      <c r="D20" s="2435"/>
      <c r="E20" s="517"/>
      <c r="F20" s="2433"/>
      <c r="G20" s="2437"/>
    </row>
    <row r="21" spans="1:67" hidden="1">
      <c r="A21" s="517">
        <v>11</v>
      </c>
      <c r="B21" s="517" t="s">
        <v>356</v>
      </c>
      <c r="C21" s="2433">
        <f t="shared" si="0"/>
        <v>0</v>
      </c>
      <c r="D21" s="2435"/>
      <c r="E21" s="517"/>
      <c r="F21" s="2433"/>
      <c r="G21" s="2437"/>
    </row>
    <row r="22" spans="1:67" hidden="1" outlineLevel="1">
      <c r="A22" s="517">
        <v>12</v>
      </c>
      <c r="B22" s="517" t="s">
        <v>390</v>
      </c>
      <c r="C22" s="2433">
        <f t="shared" si="0"/>
        <v>0</v>
      </c>
      <c r="D22" s="2435"/>
      <c r="E22" s="517"/>
      <c r="F22" s="1889"/>
      <c r="G22" s="2437"/>
    </row>
    <row r="23" spans="1:67" hidden="1">
      <c r="A23" s="517">
        <v>12</v>
      </c>
      <c r="B23" s="517" t="s">
        <v>357</v>
      </c>
      <c r="C23" s="2433">
        <f t="shared" si="0"/>
        <v>0</v>
      </c>
      <c r="D23" s="2435"/>
      <c r="E23" s="517"/>
      <c r="F23" s="517"/>
      <c r="G23" s="2437"/>
    </row>
    <row r="24" spans="1:67">
      <c r="A24" s="517"/>
      <c r="B24" s="516" t="s">
        <v>391</v>
      </c>
      <c r="C24" s="2438"/>
      <c r="D24" s="2439" t="e">
        <f>SUM(D11:D23)</f>
        <v>#REF!</v>
      </c>
      <c r="E24" s="1891" t="e">
        <f>SUM(E11:E23)</f>
        <v>#REF!</v>
      </c>
      <c r="F24" s="1892">
        <f>SUM(F11:F23)</f>
        <v>6042978.3660714272</v>
      </c>
      <c r="G24" s="1892">
        <f>SUM(G11:G23)</f>
        <v>0</v>
      </c>
      <c r="I24" s="1890"/>
      <c r="J24" s="1890" t="e">
        <f>E24*1.12</f>
        <v>#REF!</v>
      </c>
      <c r="BJ24" s="1890"/>
      <c r="BK24" s="1890"/>
    </row>
    <row r="25" spans="1:67">
      <c r="A25" s="517"/>
      <c r="B25" s="516" t="s">
        <v>359</v>
      </c>
      <c r="C25" s="2438">
        <f>C24/5</f>
        <v>0</v>
      </c>
      <c r="D25" s="2438" t="e">
        <f>D24/12</f>
        <v>#REF!</v>
      </c>
      <c r="E25" s="2438" t="e">
        <f>E24/5</f>
        <v>#REF!</v>
      </c>
      <c r="F25" s="1892">
        <f>F24/5</f>
        <v>1208595.6732142854</v>
      </c>
      <c r="G25" s="1892">
        <f>G24/5</f>
        <v>0</v>
      </c>
      <c r="H25" s="1890">
        <f>C24*1.12</f>
        <v>0</v>
      </c>
      <c r="BK25" s="1890"/>
    </row>
    <row r="26" spans="1:67">
      <c r="A26" s="517"/>
      <c r="B26" s="517" t="s">
        <v>392</v>
      </c>
      <c r="C26" s="2433">
        <v>12104</v>
      </c>
      <c r="D26" s="2435">
        <f>E26</f>
        <v>12104</v>
      </c>
      <c r="E26" s="2440">
        <f>E28+E29</f>
        <v>12104</v>
      </c>
      <c r="F26" s="2440">
        <v>12104</v>
      </c>
      <c r="G26" s="2440">
        <f>G28+G29</f>
        <v>0</v>
      </c>
      <c r="BJ26" s="1884"/>
    </row>
    <row r="27" spans="1:67" hidden="1">
      <c r="A27" s="517"/>
      <c r="B27" s="2441" t="s">
        <v>255</v>
      </c>
      <c r="C27" s="2433"/>
      <c r="D27" s="2435"/>
      <c r="E27" s="517"/>
      <c r="F27" s="1052"/>
      <c r="G27" s="1052"/>
    </row>
    <row r="28" spans="1:67" hidden="1">
      <c r="A28" s="517"/>
      <c r="B28" s="2442" t="s">
        <v>393</v>
      </c>
      <c r="C28" s="2433">
        <v>5447</v>
      </c>
      <c r="D28" s="2435">
        <f>E28</f>
        <v>5447</v>
      </c>
      <c r="E28" s="2443">
        <f>C28</f>
        <v>5447</v>
      </c>
      <c r="F28" s="2440">
        <f>E28</f>
        <v>5447</v>
      </c>
      <c r="G28" s="2440"/>
    </row>
    <row r="29" spans="1:67" hidden="1">
      <c r="A29" s="517"/>
      <c r="B29" s="2442" t="s">
        <v>394</v>
      </c>
      <c r="C29" s="2433">
        <f>C26-C28</f>
        <v>6657</v>
      </c>
      <c r="D29" s="2435">
        <f>E29</f>
        <v>6657</v>
      </c>
      <c r="E29" s="2443">
        <f>C29</f>
        <v>6657</v>
      </c>
      <c r="F29" s="1889">
        <f>E29</f>
        <v>6657</v>
      </c>
      <c r="G29" s="2440"/>
      <c r="BK29" s="1890"/>
    </row>
    <row r="30" spans="1:67">
      <c r="A30" s="517"/>
      <c r="B30" s="516" t="s">
        <v>361</v>
      </c>
      <c r="C30" s="2438">
        <f>C26</f>
        <v>12104</v>
      </c>
      <c r="D30" s="2439">
        <f>D29+D28</f>
        <v>12104</v>
      </c>
      <c r="E30" s="1891">
        <f>C30</f>
        <v>12104</v>
      </c>
      <c r="F30" s="2444">
        <f>F26</f>
        <v>12104</v>
      </c>
      <c r="G30" s="2444">
        <f>G26</f>
        <v>0</v>
      </c>
      <c r="BK30" s="1890"/>
    </row>
    <row r="31" spans="1:67">
      <c r="A31" s="517"/>
      <c r="B31" s="517" t="s">
        <v>362</v>
      </c>
      <c r="C31" s="2435"/>
      <c r="D31" s="2435" t="e">
        <f>ROUND(D25/D30,2)</f>
        <v>#REF!</v>
      </c>
      <c r="E31" s="2445" t="e">
        <f>E25/E30</f>
        <v>#REF!</v>
      </c>
      <c r="F31" s="2445">
        <f>F25/F30</f>
        <v>99.850931362713595</v>
      </c>
      <c r="G31" s="2445" t="e">
        <f>G25/G30</f>
        <v>#DIV/0!</v>
      </c>
    </row>
    <row r="32" spans="1:67" hidden="1">
      <c r="A32" s="517"/>
      <c r="B32" s="517" t="str">
        <f>'[59]Кальк31 ул (2)'!B31</f>
        <v>Цена за 1 кв.м. в месяц без НДС (Административные расходы)</v>
      </c>
      <c r="C32" s="2435"/>
      <c r="D32" s="2435"/>
      <c r="E32" s="2445"/>
      <c r="F32" s="2445"/>
      <c r="G32" s="2445"/>
      <c r="BJ32" s="1895"/>
      <c r="BK32" s="1895"/>
      <c r="BM32" s="1895"/>
    </row>
    <row r="33" spans="1:67">
      <c r="A33" s="517"/>
      <c r="B33" s="517" t="str">
        <f>'[59]Кальк31 ул (2)'!B32</f>
        <v>ИТОГО Цена за 1 кв.м. без НДС</v>
      </c>
      <c r="C33" s="2435"/>
      <c r="D33" s="2435" t="e">
        <f>D32+D31</f>
        <v>#REF!</v>
      </c>
      <c r="E33" s="2445"/>
      <c r="F33" s="2445"/>
      <c r="G33" s="2445"/>
    </row>
    <row r="34" spans="1:67">
      <c r="A34" s="517"/>
      <c r="B34" s="517" t="s">
        <v>363</v>
      </c>
      <c r="C34" s="2435"/>
      <c r="D34" s="2435" t="e">
        <f>ROUND(D33*12%,2)</f>
        <v>#REF!</v>
      </c>
      <c r="E34" s="1893" t="e">
        <f>E31*12%</f>
        <v>#REF!</v>
      </c>
      <c r="F34" s="1894">
        <f>F31*12%</f>
        <v>11.982111763525632</v>
      </c>
      <c r="G34" s="1894" t="e">
        <f>G31*12%</f>
        <v>#DIV/0!</v>
      </c>
      <c r="BK34" s="1895"/>
    </row>
    <row r="35" spans="1:67">
      <c r="A35" s="517"/>
      <c r="B35" s="517" t="s">
        <v>364</v>
      </c>
      <c r="C35" s="2439"/>
      <c r="D35" s="2439" t="e">
        <f>D33+D34</f>
        <v>#REF!</v>
      </c>
      <c r="E35" s="1896" t="e">
        <f>E34+E31</f>
        <v>#REF!</v>
      </c>
      <c r="F35" s="1897">
        <f>F34+F31</f>
        <v>111.83304312623923</v>
      </c>
      <c r="G35" s="1897" t="e">
        <f>G34+G31</f>
        <v>#DIV/0!</v>
      </c>
      <c r="H35" s="664" t="s">
        <v>365</v>
      </c>
      <c r="BK35" s="1895"/>
    </row>
    <row r="36" spans="1:67" hidden="1">
      <c r="A36" s="517"/>
      <c r="B36" s="517" t="s">
        <v>395</v>
      </c>
      <c r="C36" s="2433" t="e">
        <f>E36+F36</f>
        <v>#REF!</v>
      </c>
      <c r="D36" s="2435" t="e">
        <f>D35*D28</f>
        <v>#REF!</v>
      </c>
      <c r="E36" s="2440" t="e">
        <f>E35*E28</f>
        <v>#REF!</v>
      </c>
      <c r="F36" s="2440">
        <f>F35*F28</f>
        <v>609154.58590862504</v>
      </c>
      <c r="G36" s="2440">
        <f>G38/5</f>
        <v>0</v>
      </c>
      <c r="H36" s="664" t="s">
        <v>396</v>
      </c>
      <c r="BK36" s="1890"/>
      <c r="BN36" s="1890"/>
    </row>
    <row r="37" spans="1:67">
      <c r="A37" s="517"/>
      <c r="B37" s="517" t="s">
        <v>366</v>
      </c>
      <c r="C37" s="2433"/>
      <c r="D37" s="2435" t="e">
        <f>ROUND(D35*D26,2)</f>
        <v>#REF!</v>
      </c>
      <c r="E37" s="2433" t="e">
        <f>E35*E29</f>
        <v>#REF!</v>
      </c>
      <c r="F37" s="2433"/>
      <c r="G37" s="2433" t="e">
        <f>ROUND(G35*G29,0)</f>
        <v>#DIV/0!</v>
      </c>
      <c r="H37" s="664"/>
      <c r="BK37" s="1890"/>
    </row>
    <row r="38" spans="1:67" s="1887" customFormat="1" ht="31.5" hidden="1">
      <c r="A38" s="1886"/>
      <c r="B38" s="1886" t="s">
        <v>397</v>
      </c>
      <c r="C38" s="1899" t="e">
        <f>E38+F38</f>
        <v>#REF!</v>
      </c>
      <c r="D38" s="2446" t="e">
        <f>D36*12</f>
        <v>#REF!</v>
      </c>
      <c r="E38" s="1900" t="e">
        <f>E35*E28*5</f>
        <v>#REF!</v>
      </c>
      <c r="F38" s="1900">
        <f>F36*5</f>
        <v>3045772.9295431254</v>
      </c>
      <c r="G38" s="1900"/>
      <c r="H38" s="2427" t="s">
        <v>398</v>
      </c>
      <c r="I38" s="1901"/>
      <c r="BO38" s="2771"/>
    </row>
    <row r="39" spans="1:67" s="1887" customFormat="1">
      <c r="A39" s="1886"/>
      <c r="B39" s="1886" t="s">
        <v>367</v>
      </c>
      <c r="C39" s="1899" t="e">
        <f>E39+G39</f>
        <v>#REF!</v>
      </c>
      <c r="D39" s="2446" t="e">
        <f>ROUND(D37*12,2)</f>
        <v>#REF!</v>
      </c>
      <c r="E39" s="1900" t="e">
        <f>E35*E29*5</f>
        <v>#REF!</v>
      </c>
      <c r="F39" s="1900">
        <f>F35*F29*5</f>
        <v>3722362.8404568732</v>
      </c>
      <c r="G39" s="1900" t="e">
        <f>G35*G29*5</f>
        <v>#DIV/0!</v>
      </c>
      <c r="H39" s="2428"/>
      <c r="I39" s="1901"/>
      <c r="BJ39" s="1902"/>
      <c r="BK39" s="1902"/>
      <c r="BO39" s="2771"/>
    </row>
    <row r="40" spans="1:67" s="1887" customFormat="1">
      <c r="C40" s="1903"/>
      <c r="D40" s="2447"/>
      <c r="E40" s="1903"/>
      <c r="F40" s="1903"/>
      <c r="G40" s="1904"/>
      <c r="H40" s="2428"/>
      <c r="I40" s="1901"/>
      <c r="BO40" s="2771"/>
    </row>
    <row r="41" spans="1:67" s="1887" customFormat="1">
      <c r="A41" s="2042" t="s">
        <v>368</v>
      </c>
      <c r="C41" s="1903"/>
      <c r="D41" s="2447"/>
      <c r="E41" s="1903"/>
      <c r="F41" s="1903"/>
      <c r="G41" s="1904"/>
      <c r="H41" s="2428"/>
      <c r="I41" s="1901"/>
      <c r="BO41" s="2771"/>
    </row>
    <row r="42" spans="1:67">
      <c r="A42" s="2042" t="s">
        <v>370</v>
      </c>
      <c r="C42" s="1903"/>
      <c r="D42" s="2099" t="s">
        <v>371</v>
      </c>
      <c r="G42" s="2448" t="s">
        <v>369</v>
      </c>
    </row>
    <row r="43" spans="1:67">
      <c r="A43" s="2042"/>
      <c r="C43" s="1890"/>
      <c r="D43" s="419"/>
      <c r="F43" s="1890"/>
      <c r="G43" s="2448"/>
    </row>
    <row r="44" spans="1:67">
      <c r="A44" s="2042" t="s">
        <v>372</v>
      </c>
      <c r="D44" s="2098" t="s">
        <v>373</v>
      </c>
      <c r="G44" s="2448" t="s">
        <v>374</v>
      </c>
    </row>
    <row r="45" spans="1:67">
      <c r="A45" s="2042"/>
      <c r="D45" s="419"/>
    </row>
    <row r="46" spans="1:67">
      <c r="A46" s="2042" t="s">
        <v>375</v>
      </c>
      <c r="D46" s="2098" t="s">
        <v>376</v>
      </c>
      <c r="G46" s="2448" t="s">
        <v>377</v>
      </c>
    </row>
    <row r="50" spans="1:67" s="2431" customFormat="1">
      <c r="A50" s="419"/>
      <c r="B50" s="419"/>
      <c r="C50" s="419" t="e">
        <f>SUM(C11:C14)+SUM(C15:C22)*1.12</f>
        <v>#REF!</v>
      </c>
      <c r="E50" s="419"/>
      <c r="F50" s="419"/>
      <c r="G50" s="1884"/>
      <c r="H50" s="419"/>
      <c r="I50" s="419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19"/>
      <c r="AC50" s="419"/>
      <c r="AD50" s="419"/>
      <c r="AE50" s="419"/>
      <c r="AF50" s="419"/>
      <c r="AG50" s="419"/>
      <c r="AH50" s="419"/>
      <c r="AI50" s="419"/>
      <c r="AJ50" s="419"/>
      <c r="AK50" s="419"/>
      <c r="AL50" s="419"/>
      <c r="AM50" s="419"/>
      <c r="AN50" s="419"/>
      <c r="AO50" s="419"/>
      <c r="AP50" s="419"/>
      <c r="AQ50" s="419"/>
      <c r="AR50" s="419"/>
      <c r="AS50" s="419"/>
      <c r="AT50" s="419"/>
      <c r="AU50" s="419"/>
      <c r="AV50" s="419"/>
      <c r="AW50" s="419"/>
      <c r="AX50" s="419"/>
      <c r="AY50" s="419"/>
      <c r="AZ50" s="419"/>
      <c r="BA50" s="419"/>
      <c r="BB50" s="419"/>
      <c r="BC50" s="419"/>
      <c r="BD50" s="419"/>
      <c r="BE50" s="419"/>
      <c r="BF50" s="419"/>
      <c r="BG50" s="419"/>
      <c r="BH50" s="419"/>
      <c r="BI50" s="419"/>
      <c r="BJ50" s="419"/>
      <c r="BK50" s="419"/>
      <c r="BL50" s="419"/>
      <c r="BM50" s="419"/>
      <c r="BN50" s="419"/>
      <c r="BO50" s="1680"/>
    </row>
  </sheetData>
  <mergeCells count="1">
    <mergeCell ref="A7:D7"/>
  </mergeCells>
  <pageMargins left="0.39" right="0.22" top="0.52" bottom="0.74803149606299213" header="0.31496062992125984" footer="0.31496062992125984"/>
  <pageSetup paperSize="9" scale="9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</sheetPr>
  <dimension ref="A1:CA52"/>
  <sheetViews>
    <sheetView view="pageBreakPreview" topLeftCell="A15" zoomScale="99" zoomScaleNormal="71" zoomScaleSheetLayoutView="99" workbookViewId="0">
      <selection activeCell="D31" sqref="D31"/>
    </sheetView>
  </sheetViews>
  <sheetFormatPr defaultColWidth="9.140625" defaultRowHeight="15.75" outlineLevelRow="1" outlineLevelCol="1"/>
  <cols>
    <col min="1" max="1" width="6.5703125" style="419" customWidth="1"/>
    <col min="2" max="2" width="80.28515625" style="419" customWidth="1"/>
    <col min="3" max="3" width="17.5703125" style="419" hidden="1" customWidth="1"/>
    <col min="4" max="4" width="32.28515625" style="419" customWidth="1"/>
    <col min="5" max="5" width="23.7109375" style="419" hidden="1" customWidth="1"/>
    <col min="6" max="6" width="20" style="419" hidden="1" customWidth="1"/>
    <col min="7" max="7" width="20.42578125" style="1884" hidden="1" customWidth="1"/>
    <col min="8" max="8" width="19.85546875" style="1884" hidden="1" customWidth="1"/>
    <col min="9" max="9" width="22.140625" style="1884" hidden="1" customWidth="1"/>
    <col min="10" max="10" width="15.42578125" style="419" hidden="1" customWidth="1"/>
    <col min="11" max="11" width="16" style="419" hidden="1" customWidth="1"/>
    <col min="12" max="12" width="15.7109375" style="419" hidden="1" customWidth="1"/>
    <col min="13" max="63" width="0" style="419" hidden="1" customWidth="1"/>
    <col min="64" max="64" width="25.140625" style="419" hidden="1" customWidth="1" outlineLevel="1"/>
    <col min="65" max="65" width="20.140625" style="419" hidden="1" customWidth="1" outlineLevel="1"/>
    <col min="66" max="66" width="20.42578125" style="419" hidden="1" customWidth="1" outlineLevel="1"/>
    <col min="67" max="67" width="19.85546875" style="419" hidden="1" customWidth="1" outlineLevel="1"/>
    <col min="68" max="68" width="21.28515625" style="419" hidden="1" customWidth="1" outlineLevel="1"/>
    <col min="69" max="69" width="18.85546875" style="419" hidden="1" customWidth="1" outlineLevel="1"/>
    <col min="70" max="70" width="21" style="419" hidden="1" customWidth="1" outlineLevel="1"/>
    <col min="71" max="72" width="18.7109375" style="419" hidden="1" customWidth="1" outlineLevel="1"/>
    <col min="73" max="73" width="18" style="2377" bestFit="1" customWidth="1" collapsed="1"/>
    <col min="74" max="74" width="10.28515625" style="419" bestFit="1" customWidth="1"/>
    <col min="75" max="75" width="19.140625" style="419" bestFit="1" customWidth="1"/>
    <col min="76" max="76" width="23.140625" style="419" customWidth="1"/>
    <col min="77" max="77" width="16.7109375" style="419" bestFit="1" customWidth="1"/>
    <col min="78" max="78" width="9.140625" style="419"/>
    <col min="79" max="79" width="18" style="419" bestFit="1" customWidth="1"/>
    <col min="80" max="16384" width="9.140625" style="419"/>
  </cols>
  <sheetData>
    <row r="1" spans="1:79" s="1883" customFormat="1">
      <c r="D1" s="1882" t="s">
        <v>337</v>
      </c>
      <c r="E1" s="1882" t="s">
        <v>337</v>
      </c>
      <c r="BU1" s="2479"/>
    </row>
    <row r="2" spans="1:79" s="1883" customFormat="1">
      <c r="D2" s="1882" t="s">
        <v>338</v>
      </c>
      <c r="E2" s="1882" t="s">
        <v>338</v>
      </c>
      <c r="BU2" s="2479"/>
    </row>
    <row r="3" spans="1:79" s="1883" customFormat="1">
      <c r="D3" s="1882" t="s">
        <v>339</v>
      </c>
      <c r="E3" s="1882" t="s">
        <v>339</v>
      </c>
      <c r="BU3" s="2479"/>
    </row>
    <row r="4" spans="1:79" s="1883" customFormat="1">
      <c r="D4" s="1882" t="s">
        <v>340</v>
      </c>
      <c r="E4" s="1882" t="s">
        <v>340</v>
      </c>
      <c r="BU4" s="2479"/>
    </row>
    <row r="5" spans="1:79">
      <c r="E5" s="1882" t="s">
        <v>341</v>
      </c>
      <c r="G5" s="1883"/>
      <c r="H5" s="1883"/>
    </row>
    <row r="6" spans="1:79">
      <c r="E6" s="1883"/>
      <c r="G6" s="1883"/>
      <c r="H6" s="1883"/>
    </row>
    <row r="7" spans="1:79" ht="31.9" customHeight="1">
      <c r="A7" s="3914" t="s">
        <v>399</v>
      </c>
      <c r="B7" s="3914"/>
      <c r="C7" s="3914"/>
      <c r="D7" s="3914"/>
      <c r="E7" s="3914"/>
      <c r="F7" s="1885"/>
      <c r="G7" s="1885"/>
      <c r="H7" s="1885"/>
      <c r="I7" s="1885"/>
    </row>
    <row r="9" spans="1:79">
      <c r="A9" s="419" t="s">
        <v>384</v>
      </c>
      <c r="I9" s="759" t="s">
        <v>254</v>
      </c>
    </row>
    <row r="10" spans="1:79" s="1887" customFormat="1" ht="125.45" customHeight="1">
      <c r="A10" s="1886" t="s">
        <v>34</v>
      </c>
      <c r="B10" s="1013" t="s">
        <v>344</v>
      </c>
      <c r="C10" s="1013" t="s">
        <v>345</v>
      </c>
      <c r="D10" s="1013" t="s">
        <v>345</v>
      </c>
      <c r="E10" s="1886" t="s">
        <v>400</v>
      </c>
      <c r="F10" s="1886" t="s">
        <v>401</v>
      </c>
      <c r="G10" s="245" t="s">
        <v>402</v>
      </c>
      <c r="H10" s="245" t="s">
        <v>403</v>
      </c>
      <c r="I10" s="245" t="s">
        <v>404</v>
      </c>
      <c r="BU10" s="2378"/>
    </row>
    <row r="11" spans="1:79">
      <c r="A11" s="517">
        <v>1</v>
      </c>
      <c r="B11" s="517" t="s">
        <v>346</v>
      </c>
      <c r="C11" s="2379" t="e">
        <f>F11+G11+H11+I11</f>
        <v>#REF!</v>
      </c>
      <c r="D11" s="2380" t="e">
        <f>#REF!+#REF!+#REF!</f>
        <v>#REF!</v>
      </c>
      <c r="E11" s="1888">
        <f>'[59]ФОТ  инт'!AM13+'[59]ФОТ  инт'!AP13+'[59]ФОТ  инт'!AQ13</f>
        <v>21791851.199999999</v>
      </c>
      <c r="F11" s="1889">
        <f>'[59]ФОТ  инт'!AQ23+'[59]ФОТ ФМН'!AQ30+'[59]ФОТ МБ'!AQ41</f>
        <v>140214816</v>
      </c>
      <c r="G11" s="1052"/>
      <c r="H11" s="1052"/>
      <c r="I11" s="2381" t="e">
        <f>D11+'[59]Кальк Турк'!D11+'[59]Кальк МШ Ор'!C11</f>
        <v>#REF!</v>
      </c>
      <c r="BL11" s="1895" t="e">
        <f>D11-'[59]Бюджет 1 кв.метр'!E47-'[59]Бюджет 1 кв.метр'!F47-'[59]Бюджет 1 кв.метр'!G47-'[59]Бюджет 1 кв.метр'!H47-'[59]Бюджет 1 кв.метр'!E58-'[59]Бюджет 1 кв.метр'!F58-'[59]Бюджет 1 кв.метр'!G58-'[59]Бюджет 1 кв.метр'!H58</f>
        <v>#REF!</v>
      </c>
      <c r="BO11" s="1890"/>
      <c r="BP11" s="1890"/>
      <c r="BQ11" s="2163"/>
      <c r="BR11" s="1890"/>
      <c r="BS11" s="1890"/>
      <c r="BU11" s="2377" t="e">
        <f>#REF!+#REF!+#REF!</f>
        <v>#REF!</v>
      </c>
      <c r="BW11" s="1895" t="e">
        <f>BU11+'Кальк31 ул (31)'!BU11+'Кальк АУП'!BF11+'Кальк Турк без фмн'!BJ11+'Кальк МШ Ор'!BF11</f>
        <v>#REF!</v>
      </c>
      <c r="BX11" s="463" t="e">
        <f>#REF!+#REF!+#REF!</f>
        <v>#REF!</v>
      </c>
      <c r="BY11" s="463" t="e">
        <f>BW11-BX11</f>
        <v>#REF!</v>
      </c>
      <c r="CA11" s="1680" t="e">
        <f>#REF!+#REF!+#REF!</f>
        <v>#REF!</v>
      </c>
    </row>
    <row r="12" spans="1:79">
      <c r="A12" s="517">
        <v>2</v>
      </c>
      <c r="B12" s="517" t="s">
        <v>347</v>
      </c>
      <c r="C12" s="2379">
        <f t="shared" ref="C12:C21" si="0">F12+G12+H12+I12</f>
        <v>364536</v>
      </c>
      <c r="D12" s="2382" t="e">
        <f>#REF!</f>
        <v>#REF!</v>
      </c>
      <c r="E12" s="1888">
        <f>'[59]ГПО  инт'!AV75</f>
        <v>59896.800000000003</v>
      </c>
      <c r="F12" s="1889">
        <f>'[59]ГПО  инт'!AV75+'[59]ГПО ФМН'!G48+'[59]ГПО МБ'!G68</f>
        <v>364536</v>
      </c>
      <c r="G12" s="1052"/>
      <c r="H12" s="1052"/>
      <c r="I12" s="1052"/>
      <c r="BL12" s="1895" t="e">
        <f>D12-'[59]Бюджет 1 кв.метр'!E123-'[59]Бюджет 1 кв.метр'!F123-'[59]Бюджет 1 кв.метр'!G123-'[59]Бюджет 1 кв.метр'!H123</f>
        <v>#REF!</v>
      </c>
      <c r="BO12" s="1890"/>
      <c r="BP12" s="1890"/>
      <c r="BR12" s="1890"/>
      <c r="BS12" s="1890"/>
      <c r="BU12" s="2377" t="e">
        <f>#REF!</f>
        <v>#REF!</v>
      </c>
      <c r="BW12" s="1895" t="e">
        <f>BU12+'Кальк31 ул (31)'!BU12+'Кальк АУП'!BF12+'Кальк Турк без фмн'!BJ12+'Кальк МШ Ор'!BF12</f>
        <v>#REF!</v>
      </c>
      <c r="BX12" s="419" t="e">
        <f>#REF!</f>
        <v>#REF!</v>
      </c>
      <c r="BY12" s="1895" t="e">
        <f>BW12-BX12</f>
        <v>#REF!</v>
      </c>
    </row>
    <row r="13" spans="1:79">
      <c r="A13" s="517">
        <v>3</v>
      </c>
      <c r="B13" s="517" t="s">
        <v>348</v>
      </c>
      <c r="C13" s="2379">
        <f t="shared" si="0"/>
        <v>8900000</v>
      </c>
      <c r="D13" s="2382" t="e">
        <f>#REF!</f>
        <v>#REF!</v>
      </c>
      <c r="E13" s="1888">
        <f>[59]медстрах!G15</f>
        <v>900000</v>
      </c>
      <c r="F13" s="1889">
        <f>[59]медстрах!G15+[59]медстрахФМН!D7+'[59]мед страх МБ'!D7</f>
        <v>8900000</v>
      </c>
      <c r="G13" s="1052"/>
      <c r="H13" s="1052"/>
      <c r="I13" s="1052"/>
      <c r="BL13" s="1895" t="e">
        <f>D13-'[59]Бюджет 1 кв.метр'!E126-'[59]Бюджет 1 кв.метр'!F126-'[59]Бюджет 1 кв.метр'!G126-'[59]Бюджет 1 кв.метр'!H126</f>
        <v>#REF!</v>
      </c>
      <c r="BM13" s="419">
        <f>'[59]ФОТ комплекс'!C64-'[59]ФОТ комплекс'!C8-'[59]ФОТ комплекс'!C41</f>
        <v>146</v>
      </c>
      <c r="BO13" s="1890"/>
      <c r="BP13" s="1890"/>
      <c r="BR13" s="1890"/>
      <c r="BS13" s="1890"/>
      <c r="BU13" s="2377" t="e">
        <f>#REF!</f>
        <v>#REF!</v>
      </c>
      <c r="BW13" s="1898" t="e">
        <f>BU13+'Кальк31 ул (31)'!BU13+'Кальк АУП'!BF13+'Кальк Турк без фмн'!BJ13+'Кальк МШ Ор'!BF13</f>
        <v>#REF!</v>
      </c>
      <c r="BX13" s="419" t="e">
        <f>#REF!</f>
        <v>#REF!</v>
      </c>
      <c r="BY13" s="1898" t="e">
        <f>BW13-BX13</f>
        <v>#REF!</v>
      </c>
    </row>
    <row r="14" spans="1:79">
      <c r="A14" s="517">
        <v>4</v>
      </c>
      <c r="B14" s="517" t="s">
        <v>349</v>
      </c>
      <c r="C14" s="2379">
        <f t="shared" si="0"/>
        <v>123816.20000000001</v>
      </c>
      <c r="D14" s="2382" t="e">
        <f>#REF!</f>
        <v>#REF!</v>
      </c>
      <c r="E14" s="1888">
        <f>'[59]банк усл'!F9</f>
        <v>16061</v>
      </c>
      <c r="F14" s="1889">
        <f>'[59]банк усл'!F9+'[59]банк усл ФМН'!F7+'[59]банк услугиМБ'!F7</f>
        <v>123816.20000000001</v>
      </c>
      <c r="G14" s="1052"/>
      <c r="H14" s="1052"/>
      <c r="I14" s="1052"/>
      <c r="BL14" s="2383" t="e">
        <f>D14-'[59]Бюджет 1 кв.метр'!E134-'[59]Бюджет 1 кв.метр'!F134-'[59]Бюджет 1 кв.метр'!G134-'[59]Бюджет 1 кв.метр'!H134</f>
        <v>#REF!</v>
      </c>
      <c r="BM14" s="2384" t="e">
        <f>D13/100000</f>
        <v>#REF!</v>
      </c>
      <c r="BN14" s="2384" t="e">
        <f>BM14*64800</f>
        <v>#REF!</v>
      </c>
      <c r="BO14" s="2385" t="e">
        <f>D13-BN14</f>
        <v>#REF!</v>
      </c>
      <c r="BP14" s="2385"/>
      <c r="BQ14" s="2384"/>
      <c r="BR14" s="2385"/>
      <c r="BS14" s="2385"/>
      <c r="BT14" s="2384"/>
      <c r="BU14" s="2386" t="e">
        <f>#REF!</f>
        <v>#REF!</v>
      </c>
      <c r="BV14" s="2384"/>
      <c r="BW14" s="2455" t="e">
        <f>BU14+'Кальк31 ул (31)'!BU14+'Кальк АУП'!BF14+'Кальк Турк без фмн'!BJ14+'Кальк МШ Ор'!BF14</f>
        <v>#REF!</v>
      </c>
      <c r="BX14" s="419" t="e">
        <f>#REF!</f>
        <v>#REF!</v>
      </c>
      <c r="BY14" s="1898" t="e">
        <f>BW14-BX14</f>
        <v>#REF!</v>
      </c>
    </row>
    <row r="15" spans="1:79">
      <c r="A15" s="517">
        <v>5</v>
      </c>
      <c r="B15" s="517" t="s">
        <v>350</v>
      </c>
      <c r="C15" s="2379">
        <f t="shared" si="0"/>
        <v>296875</v>
      </c>
      <c r="D15" s="2382">
        <f>('[59]Бюджет 1 кв.метр'!E195+'[59]Бюджет 1 кв.метр'!F195+'[59]Бюджет 1 кв.метр'!G195+'[59]Бюджет 1 кв.метр'!H195)/1.12</f>
        <v>0</v>
      </c>
      <c r="E15" s="1888">
        <f>'[59]соцсфера ИНТ'!F6</f>
        <v>46874.999999999993</v>
      </c>
      <c r="F15" s="1889">
        <f>('[59]соцсфера ИНТ'!H6+[59]соцсфера!H7+'[59]соцсфера МБ'!H6)/1.12</f>
        <v>296875</v>
      </c>
      <c r="G15" s="1052"/>
      <c r="H15" s="1052"/>
      <c r="I15" s="1052"/>
      <c r="BL15" s="2383">
        <f>D15*1.12-'[59]Бюджет 1 кв.метр'!E156-'[59]Бюджет 1 кв.метр'!F156-'[59]Бюджет 1 кв.метр'!G156-'[59]Бюджет 1 кв.метр'!H156</f>
        <v>-20990863.295999996</v>
      </c>
      <c r="BM15" s="2384"/>
      <c r="BN15" s="2384"/>
      <c r="BO15" s="2385"/>
      <c r="BP15" s="2385"/>
      <c r="BQ15" s="2384"/>
      <c r="BR15" s="2425"/>
      <c r="BS15" s="2385"/>
      <c r="BT15" s="2384"/>
      <c r="BU15" s="2386"/>
      <c r="BV15" s="2384"/>
      <c r="BW15" s="2384"/>
    </row>
    <row r="16" spans="1:79">
      <c r="A16" s="517">
        <v>6</v>
      </c>
      <c r="B16" s="517" t="s">
        <v>351</v>
      </c>
      <c r="C16" s="2379">
        <f t="shared" si="0"/>
        <v>0</v>
      </c>
      <c r="D16" s="2388"/>
      <c r="E16" s="517"/>
      <c r="F16" s="517"/>
      <c r="G16" s="2379"/>
      <c r="H16" s="2379"/>
      <c r="I16" s="2379"/>
      <c r="BL16" s="2384"/>
      <c r="BM16" s="2384"/>
      <c r="BN16" s="2384"/>
      <c r="BO16" s="2384"/>
      <c r="BP16" s="2384"/>
      <c r="BQ16" s="2384"/>
      <c r="BR16" s="2385"/>
      <c r="BS16" s="2385"/>
      <c r="BT16" s="2384"/>
      <c r="BU16" s="2386"/>
      <c r="BV16" s="2384"/>
      <c r="BW16" s="2384"/>
    </row>
    <row r="17" spans="1:77">
      <c r="A17" s="517">
        <v>7</v>
      </c>
      <c r="B17" s="517" t="s">
        <v>352</v>
      </c>
      <c r="C17" s="2379">
        <f t="shared" si="0"/>
        <v>0</v>
      </c>
      <c r="D17" s="2388"/>
      <c r="E17" s="517"/>
      <c r="F17" s="517"/>
      <c r="G17" s="2379"/>
      <c r="H17" s="2379"/>
      <c r="I17" s="2379"/>
      <c r="K17" s="1890"/>
      <c r="BL17" s="2384"/>
      <c r="BM17" s="2384"/>
      <c r="BN17" s="2384"/>
      <c r="BO17" s="2384"/>
      <c r="BP17" s="2384"/>
      <c r="BQ17" s="2384"/>
      <c r="BR17" s="2385"/>
      <c r="BS17" s="2385"/>
      <c r="BT17" s="2384"/>
      <c r="BU17" s="2386"/>
      <c r="BV17" s="2384"/>
      <c r="BW17" s="2384"/>
    </row>
    <row r="18" spans="1:77">
      <c r="A18" s="517">
        <v>8</v>
      </c>
      <c r="B18" s="517" t="s">
        <v>353</v>
      </c>
      <c r="C18" s="2379">
        <f t="shared" si="0"/>
        <v>38125058.621964276</v>
      </c>
      <c r="D18" s="2388" t="e">
        <f>BU18/1.12</f>
        <v>#REF!</v>
      </c>
      <c r="E18" s="1889">
        <f>I18</f>
        <v>8421211.4464285709</v>
      </c>
      <c r="F18" s="517"/>
      <c r="G18" s="2379">
        <v>29703847.175535709</v>
      </c>
      <c r="H18" s="2379"/>
      <c r="I18" s="2379">
        <v>8421211.4464285709</v>
      </c>
      <c r="BL18" s="2383" t="e">
        <f>D18*1.12-'[59]Бюджет 1 кв.метр'!E61-'[59]Бюджет 1 кв.метр'!F61-'[59]Бюджет 1 кв.метр'!G61-'[59]Бюджет 1 кв.метр'!H61</f>
        <v>#REF!</v>
      </c>
      <c r="BM18" s="2384"/>
      <c r="BN18" s="2384"/>
      <c r="BO18" s="2384"/>
      <c r="BP18" s="2384"/>
      <c r="BQ18" s="2383"/>
      <c r="BR18" s="2385"/>
      <c r="BS18" s="2385"/>
      <c r="BT18" s="2384"/>
      <c r="BU18" s="2386" t="e">
        <f>хозАДМ!V9+#REF!+'хоз кот и ул освещ'!V4</f>
        <v>#REF!</v>
      </c>
      <c r="BV18" s="2384"/>
      <c r="BW18" s="2383" t="e">
        <f>BU18+'Кальк31 ул (31)'!BU18+'Кальк Турк без фмн'!BJ18+'Кальк МШ Ор'!BF18</f>
        <v>#REF!</v>
      </c>
      <c r="BX18" s="419" t="e">
        <f>#REF!</f>
        <v>#REF!</v>
      </c>
      <c r="BY18" s="1898" t="e">
        <f>BW18-BX18</f>
        <v>#REF!</v>
      </c>
    </row>
    <row r="19" spans="1:77">
      <c r="A19" s="517">
        <v>9</v>
      </c>
      <c r="B19" s="517" t="s">
        <v>405</v>
      </c>
      <c r="C19" s="2379">
        <f t="shared" si="0"/>
        <v>35336</v>
      </c>
      <c r="D19" s="2388" t="e">
        <f>BU19/1.12</f>
        <v>#REF!</v>
      </c>
      <c r="E19" s="517"/>
      <c r="F19" s="517"/>
      <c r="G19" s="2379">
        <v>35336</v>
      </c>
      <c r="H19" s="2379"/>
      <c r="I19" s="2379"/>
      <c r="BL19" s="2383" t="e">
        <f>D19*1.12-'[59]Бюджет 1 кв.метр'!E164-'[59]Бюджет 1 кв.метр'!F164-'[59]Бюджет 1 кв.метр'!G164-'[59]Бюджет 1 кв.метр'!H164</f>
        <v>#REF!</v>
      </c>
      <c r="BM19" s="2384"/>
      <c r="BN19" s="2384"/>
      <c r="BO19" s="2384"/>
      <c r="BP19" s="2384"/>
      <c r="BQ19" s="2385"/>
      <c r="BR19" s="2383"/>
      <c r="BS19" s="2385"/>
      <c r="BT19" s="2384"/>
      <c r="BU19" s="2386" t="e">
        <f>#REF!</f>
        <v>#REF!</v>
      </c>
      <c r="BV19" s="2389"/>
      <c r="BW19" s="2455" t="e">
        <f>BU19+'Кальк31 ул (31)'!BU19+'Кальк Турк без фмн'!BJ19</f>
        <v>#REF!</v>
      </c>
      <c r="BX19" s="419" t="e">
        <f>#REF!</f>
        <v>#REF!</v>
      </c>
      <c r="BY19" s="1898" t="e">
        <f>BW19-BX19</f>
        <v>#REF!</v>
      </c>
    </row>
    <row r="20" spans="1:77">
      <c r="A20" s="517">
        <v>10</v>
      </c>
      <c r="B20" s="517" t="s">
        <v>389</v>
      </c>
      <c r="C20" s="2379">
        <f t="shared" si="0"/>
        <v>0</v>
      </c>
      <c r="D20" s="2388" t="e">
        <f>BU20/1.12</f>
        <v>#REF!</v>
      </c>
      <c r="E20" s="517"/>
      <c r="F20" s="517"/>
      <c r="G20" s="2379"/>
      <c r="H20" s="2379"/>
      <c r="I20" s="2379"/>
      <c r="BL20" s="2384"/>
      <c r="BM20" s="2384"/>
      <c r="BN20" s="2384"/>
      <c r="BO20" s="2384"/>
      <c r="BP20" s="2384"/>
      <c r="BQ20" s="2384"/>
      <c r="BR20" s="2384"/>
      <c r="BS20" s="2385"/>
      <c r="BT20" s="2384"/>
      <c r="BU20" s="2386" t="e">
        <f>#REF!</f>
        <v>#REF!</v>
      </c>
      <c r="BV20" s="2384"/>
      <c r="BW20" s="2455" t="e">
        <f>BU20+'Кальк31 ул (31)'!BU20</f>
        <v>#REF!</v>
      </c>
      <c r="BX20" s="419" t="e">
        <f>#REF!</f>
        <v>#REF!</v>
      </c>
      <c r="BY20" s="1898" t="e">
        <f>BW20-BX20</f>
        <v>#REF!</v>
      </c>
    </row>
    <row r="21" spans="1:77">
      <c r="A21" s="517">
        <v>11</v>
      </c>
      <c r="B21" s="517" t="s">
        <v>406</v>
      </c>
      <c r="C21" s="2379">
        <f t="shared" si="0"/>
        <v>0</v>
      </c>
      <c r="D21" s="2388"/>
      <c r="E21" s="517"/>
      <c r="F21" s="517"/>
      <c r="G21" s="2379"/>
      <c r="H21" s="2379"/>
      <c r="I21" s="2379"/>
      <c r="BL21" s="2384" t="s">
        <v>407</v>
      </c>
      <c r="BM21" s="2384"/>
      <c r="BN21" s="2384"/>
      <c r="BO21" s="2384" t="s">
        <v>408</v>
      </c>
      <c r="BP21" s="2384"/>
      <c r="BQ21" s="2386"/>
      <c r="BR21" s="2386" t="s">
        <v>409</v>
      </c>
      <c r="BS21" s="2385"/>
      <c r="BT21" s="2384"/>
      <c r="BU21" s="2386"/>
      <c r="BV21" s="2384"/>
      <c r="BW21" s="2383" t="e">
        <f>SUM(BW11:BW20)</f>
        <v>#REF!</v>
      </c>
    </row>
    <row r="22" spans="1:77" outlineLevel="1">
      <c r="A22" s="517">
        <v>12</v>
      </c>
      <c r="B22" s="517" t="s">
        <v>58</v>
      </c>
      <c r="C22" s="2379">
        <v>0</v>
      </c>
      <c r="D22" s="2388"/>
      <c r="E22" s="517"/>
      <c r="F22" s="517"/>
      <c r="G22" s="2379"/>
      <c r="H22" s="2379"/>
      <c r="I22" s="2379"/>
      <c r="BL22" s="2390" t="s">
        <v>410</v>
      </c>
      <c r="BM22" s="2390" t="s">
        <v>214</v>
      </c>
      <c r="BN22" s="2390" t="s">
        <v>411</v>
      </c>
      <c r="BO22" s="2390" t="s">
        <v>410</v>
      </c>
      <c r="BP22" s="2390" t="s">
        <v>214</v>
      </c>
      <c r="BQ22" s="2390" t="s">
        <v>411</v>
      </c>
      <c r="BR22" s="2390" t="s">
        <v>410</v>
      </c>
      <c r="BS22" s="2390" t="s">
        <v>214</v>
      </c>
      <c r="BT22" s="2390" t="s">
        <v>411</v>
      </c>
      <c r="BU22" s="2386"/>
      <c r="BV22" s="2384"/>
      <c r="BW22" s="2384"/>
    </row>
    <row r="23" spans="1:77">
      <c r="A23" s="517"/>
      <c r="B23" s="516" t="s">
        <v>412</v>
      </c>
      <c r="C23" s="2391" t="e">
        <f>SUM(C11:C22)</f>
        <v>#REF!</v>
      </c>
      <c r="D23" s="2392" t="e">
        <f>SUM(D11:D15)+D18+D19+D20</f>
        <v>#REF!</v>
      </c>
      <c r="E23" s="1891">
        <f>SUM(E11:E15)+E18+E19</f>
        <v>31235895.446428571</v>
      </c>
      <c r="F23" s="1891">
        <f>SUM(F11:F22)</f>
        <v>149900043.19999999</v>
      </c>
      <c r="G23" s="1891">
        <f>SUM(G11:G22)</f>
        <v>29739183.175535709</v>
      </c>
      <c r="H23" s="1892">
        <f>SUM(H11:H22)</f>
        <v>0</v>
      </c>
      <c r="I23" s="1892" t="e">
        <f>SUM(I11:I22)</f>
        <v>#REF!</v>
      </c>
      <c r="J23" s="419" t="e">
        <f>(#REF!+F23)*1.12</f>
        <v>#REF!</v>
      </c>
      <c r="K23" s="1890" t="e">
        <f>(#REF!+F23)*1.12</f>
        <v>#REF!</v>
      </c>
      <c r="L23" s="1890">
        <f>F23*1.12</f>
        <v>167888048.384</v>
      </c>
      <c r="BL23" s="2393" t="e">
        <f>D23*1.12</f>
        <v>#REF!</v>
      </c>
      <c r="BM23" s="2393" t="e">
        <f>BL23-D23</f>
        <v>#REF!</v>
      </c>
      <c r="BN23" s="2394"/>
      <c r="BO23" s="2393">
        <f>'[59]Кальк Турк'!D24*1.12</f>
        <v>66414239.360000007</v>
      </c>
      <c r="BP23" s="2393">
        <f>BO23-'[59]Кальк Турк'!D24</f>
        <v>7115811.3600000069</v>
      </c>
      <c r="BQ23" s="2394">
        <f>'[59]Кальк Турк'!D24</f>
        <v>59298428</v>
      </c>
      <c r="BR23" s="2393"/>
      <c r="BS23" s="2393"/>
      <c r="BT23" s="2394"/>
      <c r="BU23" s="2386"/>
      <c r="BV23" s="2384"/>
      <c r="BW23" s="2384"/>
    </row>
    <row r="24" spans="1:77">
      <c r="A24" s="517"/>
      <c r="B24" s="516" t="s">
        <v>359</v>
      </c>
      <c r="C24" s="2391" t="e">
        <f>C23/12</f>
        <v>#REF!</v>
      </c>
      <c r="D24" s="2392" t="e">
        <f t="shared" ref="D24:I24" si="1">D23/12</f>
        <v>#REF!</v>
      </c>
      <c r="E24" s="2391">
        <f t="shared" si="1"/>
        <v>2602991.2872023811</v>
      </c>
      <c r="F24" s="2391">
        <f t="shared" si="1"/>
        <v>12491670.266666666</v>
      </c>
      <c r="G24" s="2391">
        <f>G23/12</f>
        <v>2478265.2646279759</v>
      </c>
      <c r="H24" s="2391">
        <f t="shared" si="1"/>
        <v>0</v>
      </c>
      <c r="I24" s="2391" t="e">
        <f t="shared" si="1"/>
        <v>#REF!</v>
      </c>
      <c r="J24" s="1890" t="e">
        <f>C23*1.12</f>
        <v>#REF!</v>
      </c>
      <c r="BL24" s="2394"/>
      <c r="BM24" s="2394"/>
      <c r="BN24" s="2394"/>
      <c r="BO24" s="2394"/>
      <c r="BP24" s="2394"/>
      <c r="BQ24" s="2394"/>
      <c r="BR24" s="2394"/>
      <c r="BS24" s="2394"/>
      <c r="BT24" s="2394"/>
      <c r="BU24" s="2386"/>
      <c r="BV24" s="2384"/>
      <c r="BW24" s="2384"/>
    </row>
    <row r="25" spans="1:77">
      <c r="A25" s="517"/>
      <c r="B25" s="517" t="s">
        <v>413</v>
      </c>
      <c r="C25" s="2379"/>
      <c r="D25" s="2397">
        <f>'площ для обсл объек'!F5</f>
        <v>10053.200000000001</v>
      </c>
      <c r="E25" s="2379"/>
      <c r="F25" s="2379"/>
      <c r="G25" s="2396"/>
      <c r="H25" s="2396"/>
      <c r="I25" s="2396"/>
      <c r="BL25" s="2398" t="s">
        <v>414</v>
      </c>
      <c r="BM25" s="2426"/>
      <c r="BN25" s="2394"/>
      <c r="BO25" s="2394"/>
      <c r="BP25" s="2394"/>
      <c r="BQ25" s="2394"/>
      <c r="BR25" s="2394"/>
      <c r="BS25" s="2394"/>
      <c r="BT25" s="2394"/>
      <c r="BU25" s="2386"/>
      <c r="BV25" s="2384"/>
      <c r="BW25" s="2384"/>
    </row>
    <row r="26" spans="1:77">
      <c r="A26" s="517"/>
      <c r="B26" s="516" t="s">
        <v>361</v>
      </c>
      <c r="C26" s="2391" t="e">
        <f>SUM(#REF!)</f>
        <v>#REF!</v>
      </c>
      <c r="D26" s="2392">
        <f>SUM(D25:D25)</f>
        <v>10053.200000000001</v>
      </c>
      <c r="E26" s="2391" t="e">
        <f>SUM(#REF!)</f>
        <v>#REF!</v>
      </c>
      <c r="F26" s="2391" t="e">
        <f>SUM(#REF!)</f>
        <v>#REF!</v>
      </c>
      <c r="G26" s="2391" t="e">
        <f>SUM(#REF!)</f>
        <v>#REF!</v>
      </c>
      <c r="H26" s="2391" t="e">
        <f>SUM(#REF!)</f>
        <v>#REF!</v>
      </c>
      <c r="I26" s="2391" t="e">
        <f>SUM(#REF!)</f>
        <v>#REF!</v>
      </c>
      <c r="BL26" s="2390" t="s">
        <v>410</v>
      </c>
      <c r="BM26" s="2390" t="s">
        <v>214</v>
      </c>
      <c r="BN26" s="2390" t="s">
        <v>411</v>
      </c>
      <c r="BO26" s="2390" t="s">
        <v>410</v>
      </c>
      <c r="BP26" s="2390" t="s">
        <v>214</v>
      </c>
      <c r="BQ26" s="2390" t="s">
        <v>411</v>
      </c>
      <c r="BR26" s="2390" t="s">
        <v>410</v>
      </c>
      <c r="BS26" s="2390" t="s">
        <v>214</v>
      </c>
      <c r="BT26" s="2390" t="s">
        <v>411</v>
      </c>
      <c r="BU26" s="2386"/>
      <c r="BV26" s="2384"/>
      <c r="BW26" s="2384"/>
    </row>
    <row r="27" spans="1:77">
      <c r="A27" s="517"/>
      <c r="B27" s="517" t="s">
        <v>415</v>
      </c>
      <c r="C27" s="2388"/>
      <c r="D27" s="2399" t="e">
        <f>ROUND(D24/D26,2)</f>
        <v>#REF!</v>
      </c>
      <c r="E27" s="2388" t="e">
        <f>E24/E26</f>
        <v>#REF!</v>
      </c>
      <c r="F27" s="2388" t="e">
        <f>F24/F26</f>
        <v>#REF!</v>
      </c>
      <c r="G27" s="2388" t="e">
        <f>G24/(#REF!+#REF!)</f>
        <v>#REF!</v>
      </c>
      <c r="H27" s="2388" t="e">
        <f>H24/H26</f>
        <v>#REF!</v>
      </c>
      <c r="I27" s="2388" t="e">
        <f>I24/I26</f>
        <v>#REF!</v>
      </c>
      <c r="BL27" s="2400" t="e">
        <f>D27*D26*1.12*12</f>
        <v>#REF!</v>
      </c>
      <c r="BM27" s="2394"/>
      <c r="BN27" s="2394"/>
      <c r="BO27" s="2400">
        <f>'[59]Кальк Турк'!D31*1.12*'[59]Кальк Турк'!D30*6</f>
        <v>66414008.908799998</v>
      </c>
      <c r="BP27" s="2400">
        <f>BO27-BQ27</f>
        <v>7115786.6688000038</v>
      </c>
      <c r="BQ27" s="2400">
        <f>'[59]Кальк Турк'!D31*'[59]Кальк Турк'!D30*6</f>
        <v>59298222.239999995</v>
      </c>
      <c r="BR27" s="2400"/>
      <c r="BS27" s="2400"/>
      <c r="BT27" s="2400"/>
      <c r="BU27" s="2386" t="e">
        <f>D24/D26</f>
        <v>#REF!</v>
      </c>
      <c r="BV27" s="2384"/>
      <c r="BW27" s="2384"/>
    </row>
    <row r="28" spans="1:77">
      <c r="A28" s="517"/>
      <c r="B28" s="517" t="s">
        <v>416</v>
      </c>
      <c r="C28" s="2388"/>
      <c r="D28" s="2399" t="e">
        <f>ROUND('Кальк АУП'!C34,2)</f>
        <v>#REF!</v>
      </c>
      <c r="E28" s="2388"/>
      <c r="F28" s="2388"/>
      <c r="G28" s="2388"/>
      <c r="H28" s="2388"/>
      <c r="I28" s="2388"/>
      <c r="BL28" s="2400" t="e">
        <f>D28*1.12*D26*12</f>
        <v>#REF!</v>
      </c>
      <c r="BM28" s="2400" t="e">
        <f>BL28-BN28</f>
        <v>#REF!</v>
      </c>
      <c r="BN28" s="2400" t="e">
        <f>D28*D26*12</f>
        <v>#REF!</v>
      </c>
      <c r="BO28" s="2400">
        <f>'[59]Кальк Турк'!D32*1.12*'[59]Кальк Турк'!D30*6</f>
        <v>4825835.7504000003</v>
      </c>
      <c r="BP28" s="2400">
        <f>BO28-BQ28</f>
        <v>517053.83040000033</v>
      </c>
      <c r="BQ28" s="2400">
        <f>'[59]Кальк Турк'!D32*6*'[59]Кальк Турк'!D30</f>
        <v>4308781.92</v>
      </c>
      <c r="BR28" s="2400"/>
      <c r="BS28" s="2400"/>
      <c r="BT28" s="2400"/>
      <c r="BU28" s="2386" t="e">
        <f>D28</f>
        <v>#REF!</v>
      </c>
      <c r="BV28" s="2384"/>
      <c r="BW28" s="2384"/>
    </row>
    <row r="29" spans="1:77">
      <c r="A29" s="517"/>
      <c r="B29" s="516" t="s">
        <v>417</v>
      </c>
      <c r="C29" s="2392"/>
      <c r="D29" s="2401" t="e">
        <f>D28+D27</f>
        <v>#REF!</v>
      </c>
      <c r="E29" s="2388"/>
      <c r="F29" s="2388"/>
      <c r="G29" s="2388"/>
      <c r="H29" s="2388"/>
      <c r="I29" s="2388"/>
      <c r="BL29" s="2400"/>
      <c r="BM29" s="2393"/>
      <c r="BN29" s="2394"/>
      <c r="BO29" s="2400"/>
      <c r="BP29" s="2393"/>
      <c r="BQ29" s="2394"/>
      <c r="BR29" s="2400"/>
      <c r="BS29" s="2393"/>
      <c r="BT29" s="2394"/>
      <c r="BU29" s="2386" t="e">
        <f>SUM(BU27:BU28)</f>
        <v>#REF!</v>
      </c>
      <c r="BV29" s="2384"/>
      <c r="BW29" s="2384"/>
    </row>
    <row r="30" spans="1:77">
      <c r="A30" s="517"/>
      <c r="B30" s="517" t="s">
        <v>363</v>
      </c>
      <c r="C30" s="2388"/>
      <c r="D30" s="2395" t="e">
        <f>ROUND(D29*12%,2)</f>
        <v>#REF!</v>
      </c>
      <c r="E30" s="1893" t="e">
        <f>E27*12%</f>
        <v>#REF!</v>
      </c>
      <c r="F30" s="1893" t="e">
        <f>F27*12%</f>
        <v>#REF!</v>
      </c>
      <c r="G30" s="1894" t="e">
        <f>G27*12%</f>
        <v>#REF!</v>
      </c>
      <c r="H30" s="1894" t="e">
        <f>H27*12%</f>
        <v>#REF!</v>
      </c>
      <c r="I30" s="1894" t="e">
        <f>I27*12%</f>
        <v>#REF!</v>
      </c>
      <c r="BL30" s="2394"/>
      <c r="BM30" s="2394"/>
      <c r="BN30" s="2394"/>
      <c r="BO30" s="2394"/>
      <c r="BP30" s="2394"/>
      <c r="BQ30" s="2394"/>
      <c r="BR30" s="2394"/>
      <c r="BS30" s="2394"/>
      <c r="BT30" s="2394"/>
      <c r="BU30" s="2386" t="e">
        <f>BU29*12%</f>
        <v>#REF!</v>
      </c>
      <c r="BV30" s="2384"/>
      <c r="BW30" s="2384"/>
    </row>
    <row r="31" spans="1:77">
      <c r="A31" s="517"/>
      <c r="B31" s="517" t="s">
        <v>418</v>
      </c>
      <c r="C31" s="2392"/>
      <c r="D31" s="2401" t="e">
        <f>D30+D29</f>
        <v>#REF!</v>
      </c>
      <c r="E31" s="1896" t="e">
        <f>E30+E27</f>
        <v>#REF!</v>
      </c>
      <c r="F31" s="1896" t="e">
        <f>F30+F27</f>
        <v>#REF!</v>
      </c>
      <c r="G31" s="1897" t="e">
        <f>G30+G27</f>
        <v>#REF!</v>
      </c>
      <c r="H31" s="1897" t="e">
        <f>H30+H27</f>
        <v>#REF!</v>
      </c>
      <c r="I31" s="1897" t="e">
        <f>I30+I27</f>
        <v>#REF!</v>
      </c>
      <c r="J31" s="664" t="s">
        <v>365</v>
      </c>
      <c r="BL31" s="2400" t="e">
        <f>D31*D26*12</f>
        <v>#REF!</v>
      </c>
      <c r="BM31" s="2400" t="e">
        <f>BL31-BN31</f>
        <v>#REF!</v>
      </c>
      <c r="BN31" s="2400" t="e">
        <f>D29*D26*12</f>
        <v>#REF!</v>
      </c>
      <c r="BO31" s="2400">
        <f>'[59]Кальк Турк'!D35*'[59]Кальк Турк'!D30*6</f>
        <v>71239786.560000002</v>
      </c>
      <c r="BP31" s="2400">
        <f>BO31-BQ31</f>
        <v>7632782.400000006</v>
      </c>
      <c r="BQ31" s="2400">
        <f>'[59]Кальк Турк'!D33*6*'[59]Кальк Турк'!D30</f>
        <v>63607004.159999996</v>
      </c>
      <c r="BR31" s="2400"/>
      <c r="BS31" s="2400"/>
      <c r="BT31" s="2400" t="e">
        <f>'[59]Кальк Турк'!G33*6*'[59]Кальк Турк'!G30</f>
        <v>#REF!</v>
      </c>
      <c r="BU31" s="2386" t="e">
        <f>BU29+BU30</f>
        <v>#REF!</v>
      </c>
      <c r="BV31" s="2384"/>
      <c r="BW31" s="2384"/>
    </row>
    <row r="32" spans="1:77">
      <c r="A32" s="517"/>
      <c r="B32" s="517" t="s">
        <v>419</v>
      </c>
      <c r="C32" s="1899"/>
      <c r="D32" s="2402" t="e">
        <f>ROUND(D31*D25,2)</f>
        <v>#REF!</v>
      </c>
      <c r="E32" s="2396"/>
      <c r="F32" s="2396"/>
      <c r="G32" s="2396"/>
      <c r="H32" s="2396"/>
      <c r="I32" s="2396"/>
      <c r="J32" s="664"/>
      <c r="BL32" s="2394"/>
      <c r="BM32" s="2394"/>
      <c r="BN32" s="2394"/>
      <c r="BO32" s="2394"/>
      <c r="BP32" s="2394"/>
      <c r="BQ32" s="2394"/>
      <c r="BR32" s="2394"/>
      <c r="BS32" s="2394"/>
      <c r="BT32" s="2394"/>
      <c r="BU32" s="2386" t="e">
        <f>D31*D25</f>
        <v>#REF!</v>
      </c>
      <c r="BV32" s="2384"/>
      <c r="BW32" s="2384"/>
    </row>
    <row r="33" spans="1:75" s="1887" customFormat="1">
      <c r="A33" s="1886"/>
      <c r="B33" s="517" t="s">
        <v>420</v>
      </c>
      <c r="C33" s="1899"/>
      <c r="D33" s="2403" t="e">
        <f>ROUND(D32*12,2)</f>
        <v>#REF!</v>
      </c>
      <c r="E33" s="1900"/>
      <c r="F33" s="1900"/>
      <c r="G33" s="1900"/>
      <c r="H33" s="1900"/>
      <c r="I33" s="1900"/>
      <c r="J33" s="2427"/>
      <c r="K33" s="1901"/>
      <c r="BL33" s="2408"/>
      <c r="BM33" s="2409"/>
      <c r="BN33" s="2407"/>
      <c r="BO33" s="2407"/>
      <c r="BP33" s="2408"/>
      <c r="BQ33" s="2408"/>
      <c r="BR33" s="2409"/>
      <c r="BS33" s="2408"/>
      <c r="BT33" s="2408"/>
      <c r="BU33" s="2407"/>
      <c r="BV33" s="2408"/>
      <c r="BW33" s="2408"/>
    </row>
    <row r="34" spans="1:75" s="1887" customFormat="1">
      <c r="C34" s="1902"/>
      <c r="D34" s="1902"/>
      <c r="F34" s="1903"/>
      <c r="G34" s="1905"/>
      <c r="H34" s="1905"/>
      <c r="I34" s="1904"/>
      <c r="J34" s="2428"/>
      <c r="K34" s="1901"/>
      <c r="BL34" s="2411" t="e">
        <f>D31-'[59]Кальк31 ул (2)'!D34</f>
        <v>#REF!</v>
      </c>
      <c r="BM34" s="2411"/>
      <c r="BN34" s="2408"/>
      <c r="BO34" s="2411"/>
      <c r="BP34" s="2408"/>
      <c r="BQ34" s="2408"/>
      <c r="BR34" s="2408"/>
      <c r="BS34" s="2408"/>
      <c r="BT34" s="2408"/>
      <c r="BU34" s="2407"/>
      <c r="BV34" s="2408"/>
      <c r="BW34" s="2408"/>
    </row>
    <row r="35" spans="1:75">
      <c r="A35" s="2042" t="s">
        <v>368</v>
      </c>
      <c r="D35" s="2412" t="s">
        <v>271</v>
      </c>
      <c r="E35" s="1906" t="s">
        <v>369</v>
      </c>
      <c r="H35" s="1906"/>
      <c r="I35" s="1906"/>
      <c r="BL35" s="1890" t="e">
        <f>#REF!-'[59]Кальк31 ул (2)'!D38</f>
        <v>#REF!</v>
      </c>
    </row>
    <row r="36" spans="1:75">
      <c r="A36" s="2042" t="s">
        <v>370</v>
      </c>
      <c r="C36" s="1890"/>
      <c r="D36" s="2099" t="s">
        <v>371</v>
      </c>
      <c r="E36" s="1884"/>
      <c r="BL36" s="1895" t="e">
        <f>BL35*2</f>
        <v>#REF!</v>
      </c>
      <c r="BM36" s="1895">
        <v>489.39</v>
      </c>
      <c r="BO36" s="1895"/>
    </row>
    <row r="37" spans="1:75">
      <c r="A37" s="2042"/>
      <c r="E37" s="1906"/>
      <c r="H37" s="1906"/>
      <c r="I37" s="1906"/>
      <c r="BL37" s="1895" t="e">
        <f>BL36-BO14</f>
        <v>#REF!</v>
      </c>
      <c r="BM37" s="1895">
        <f>BM36*1.12</f>
        <v>548.11680000000001</v>
      </c>
    </row>
    <row r="38" spans="1:75">
      <c r="A38" s="2042" t="s">
        <v>372</v>
      </c>
      <c r="D38" s="2098" t="s">
        <v>373</v>
      </c>
      <c r="E38" s="1906" t="s">
        <v>374</v>
      </c>
      <c r="H38" s="1906"/>
      <c r="I38" s="1906"/>
      <c r="BL38" s="1895"/>
      <c r="BO38" s="1890"/>
    </row>
    <row r="39" spans="1:75">
      <c r="A39" s="2042"/>
      <c r="E39" s="1884"/>
      <c r="BM39" s="1895" t="e">
        <f>#REF!+#REF!+#REF!+3222.12</f>
        <v>#REF!</v>
      </c>
    </row>
    <row r="40" spans="1:75">
      <c r="A40" s="2042" t="s">
        <v>375</v>
      </c>
      <c r="D40" s="2098" t="s">
        <v>376</v>
      </c>
      <c r="E40" s="1906" t="s">
        <v>377</v>
      </c>
      <c r="BM40" s="1895">
        <f>13674.8-3222.12</f>
        <v>10452.68</v>
      </c>
    </row>
    <row r="41" spans="1:75">
      <c r="C41" s="1903"/>
      <c r="BM41" s="1895">
        <v>596.74</v>
      </c>
    </row>
    <row r="42" spans="1:75">
      <c r="C42" s="1890"/>
      <c r="BM42" s="1895">
        <f>BM41*BM40</f>
        <v>6237532.2631999999</v>
      </c>
    </row>
    <row r="43" spans="1:75">
      <c r="C43" s="1890" t="e">
        <f>C23*1.12-#REF!-#REF!</f>
        <v>#REF!</v>
      </c>
      <c r="F43" s="1890" t="e">
        <f>F23*1.12-#REF!-#REF!</f>
        <v>#REF!</v>
      </c>
      <c r="G43" s="1890" t="e">
        <f>G23*1.12-#REF!-#REF!</f>
        <v>#REF!</v>
      </c>
      <c r="H43" s="1890" t="e">
        <f>H23*1.12-#REF!-#REF!</f>
        <v>#REF!</v>
      </c>
      <c r="I43" s="1890" t="e">
        <f>I23*1.12-#REF!-#REF!</f>
        <v>#REF!</v>
      </c>
      <c r="BM43" s="1895">
        <f>BM42*12</f>
        <v>74850387.158399999</v>
      </c>
    </row>
    <row r="44" spans="1:75">
      <c r="C44" s="1890" t="e">
        <v>#REF!</v>
      </c>
    </row>
    <row r="45" spans="1:75">
      <c r="C45" s="1890" t="e">
        <f>C44/1.12</f>
        <v>#REF!</v>
      </c>
      <c r="F45" s="1890" t="e">
        <f>C52*#REF!*12</f>
        <v>#REF!</v>
      </c>
    </row>
    <row r="46" spans="1:75">
      <c r="C46" s="1890" t="e">
        <f>SUM(C11:C14)+SUM(C15:C22)*1.12</f>
        <v>#REF!</v>
      </c>
    </row>
    <row r="47" spans="1:75">
      <c r="C47" s="1890">
        <v>684085846.04980612</v>
      </c>
    </row>
    <row r="48" spans="1:75">
      <c r="C48" s="1890">
        <v>-175533860.98913491</v>
      </c>
    </row>
    <row r="52" spans="3:3">
      <c r="C52" s="419" t="e">
        <f>'[59]ФОТ ауп'!AM58/('Кальк31 ул (Адм Корп)'!#REF!+'Кальк31 ул (Адм Корп)'!#REF!+'Кальк31 ул (Адм Корп)'!#REF!+'[59]Кальк Турк'!C26+'[59]Кальк МШ Ор'!C25)/12</f>
        <v>#REF!</v>
      </c>
    </row>
  </sheetData>
  <mergeCells count="1">
    <mergeCell ref="A7:E7"/>
  </mergeCells>
  <pageMargins left="0.39370078740157483" right="0.19685039370078741" top="0.5" bottom="0.23622047244094491" header="0.49" footer="0.31496062992125984"/>
  <pageSetup paperSize="9" scale="7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  <pageSetUpPr fitToPage="1"/>
  </sheetPr>
  <dimension ref="A1:DD56"/>
  <sheetViews>
    <sheetView view="pageBreakPreview" topLeftCell="A7" zoomScale="99" zoomScaleNormal="89" zoomScaleSheetLayoutView="99" workbookViewId="0">
      <selection activeCell="CY33" sqref="CY33"/>
    </sheetView>
  </sheetViews>
  <sheetFormatPr defaultColWidth="9.140625" defaultRowHeight="15.75" outlineLevelRow="1" outlineLevelCol="1"/>
  <cols>
    <col min="1" max="1" width="6.5703125" style="419" customWidth="1"/>
    <col min="2" max="2" width="80.28515625" style="419" customWidth="1"/>
    <col min="3" max="3" width="17.5703125" style="419" hidden="1" customWidth="1"/>
    <col min="4" max="4" width="20.85546875" style="419" customWidth="1"/>
    <col min="5" max="5" width="23.7109375" style="419" hidden="1" customWidth="1"/>
    <col min="6" max="6" width="20" style="419" hidden="1" customWidth="1"/>
    <col min="7" max="7" width="20.42578125" style="1884" hidden="1" customWidth="1"/>
    <col min="8" max="8" width="19.85546875" style="1884" hidden="1" customWidth="1"/>
    <col min="9" max="9" width="22.140625" style="1884" hidden="1" customWidth="1"/>
    <col min="10" max="10" width="15.42578125" style="419" hidden="1" customWidth="1"/>
    <col min="11" max="11" width="16" style="419" hidden="1" customWidth="1"/>
    <col min="12" max="12" width="15.7109375" style="419" hidden="1" customWidth="1"/>
    <col min="13" max="63" width="0" style="419" hidden="1" customWidth="1"/>
    <col min="64" max="64" width="25.140625" style="419" hidden="1" customWidth="1" outlineLevel="1"/>
    <col min="65" max="65" width="20.140625" style="419" hidden="1" customWidth="1" outlineLevel="1"/>
    <col min="66" max="66" width="20.42578125" style="419" hidden="1" customWidth="1" outlineLevel="1"/>
    <col min="67" max="67" width="19.85546875" style="419" hidden="1" customWidth="1" outlineLevel="1"/>
    <col min="68" max="68" width="21.28515625" style="419" hidden="1" customWidth="1" outlineLevel="1"/>
    <col min="69" max="69" width="18.85546875" style="419" hidden="1" customWidth="1" outlineLevel="1"/>
    <col min="70" max="70" width="21" style="419" hidden="1" customWidth="1" outlineLevel="1"/>
    <col min="71" max="72" width="18.7109375" style="419" hidden="1" customWidth="1" outlineLevel="1"/>
    <col min="73" max="73" width="19.140625" style="2377" hidden="1" customWidth="1" collapsed="1"/>
    <col min="74" max="74" width="16.5703125" style="419" hidden="1" customWidth="1"/>
    <col min="75" max="75" width="18" style="419" hidden="1" customWidth="1"/>
    <col min="76" max="85" width="0" style="419" hidden="1" customWidth="1"/>
    <col min="86" max="86" width="34.5703125" style="419" hidden="1" customWidth="1"/>
    <col min="87" max="87" width="15.42578125" style="419" hidden="1" customWidth="1"/>
    <col min="88" max="88" width="16.85546875" style="419" hidden="1" customWidth="1"/>
    <col min="89" max="89" width="17.28515625" style="419" hidden="1" customWidth="1"/>
    <col min="90" max="91" width="0" style="419" hidden="1" customWidth="1"/>
    <col min="92" max="92" width="29.7109375" style="419" hidden="1" customWidth="1"/>
    <col min="93" max="94" width="0" style="419" hidden="1" customWidth="1"/>
    <col min="95" max="95" width="20.42578125" style="419" hidden="1" customWidth="1"/>
    <col min="96" max="96" width="20.7109375" style="419" hidden="1" customWidth="1"/>
    <col min="97" max="97" width="0" style="419" hidden="1" customWidth="1"/>
    <col min="98" max="98" width="17.85546875" style="419" hidden="1" customWidth="1"/>
    <col min="99" max="99" width="20.140625" style="419" hidden="1" customWidth="1"/>
    <col min="100" max="100" width="21.5703125" style="419" customWidth="1"/>
    <col min="101" max="101" width="12.140625" style="419" customWidth="1"/>
    <col min="102" max="102" width="74.7109375" style="419" customWidth="1"/>
    <col min="103" max="103" width="15.5703125" style="419" bestFit="1" customWidth="1"/>
    <col min="104" max="104" width="18" style="419" bestFit="1" customWidth="1"/>
    <col min="105" max="105" width="14.42578125" style="419" bestFit="1" customWidth="1"/>
    <col min="106" max="106" width="12.28515625" style="419" customWidth="1"/>
    <col min="107" max="107" width="9.140625" style="419"/>
    <col min="108" max="108" width="14.42578125" style="419" bestFit="1" customWidth="1"/>
    <col min="109" max="16384" width="9.140625" style="419"/>
  </cols>
  <sheetData>
    <row r="1" spans="1:103" s="1883" customFormat="1" hidden="1">
      <c r="D1" s="1882" t="s">
        <v>421</v>
      </c>
      <c r="E1" s="1882" t="s">
        <v>337</v>
      </c>
      <c r="BU1" s="2479"/>
    </row>
    <row r="2" spans="1:103" s="1883" customFormat="1" hidden="1">
      <c r="D2" s="1882" t="s">
        <v>422</v>
      </c>
      <c r="E2" s="1882" t="s">
        <v>338</v>
      </c>
      <c r="BU2" s="2479"/>
    </row>
    <row r="3" spans="1:103" s="1883" customFormat="1" hidden="1">
      <c r="D3" s="1882" t="s">
        <v>30</v>
      </c>
      <c r="E3" s="1882" t="s">
        <v>339</v>
      </c>
      <c r="BU3" s="2479"/>
    </row>
    <row r="4" spans="1:103" s="1883" customFormat="1" hidden="1">
      <c r="D4" s="1882" t="s">
        <v>423</v>
      </c>
      <c r="E4" s="1882" t="s">
        <v>340</v>
      </c>
      <c r="BU4" s="2479"/>
    </row>
    <row r="5" spans="1:103" hidden="1">
      <c r="E5" s="1882" t="s">
        <v>341</v>
      </c>
      <c r="G5" s="1883"/>
      <c r="H5" s="1883"/>
    </row>
    <row r="6" spans="1:103" hidden="1">
      <c r="E6" s="1883"/>
      <c r="G6" s="1883"/>
      <c r="H6" s="1883"/>
    </row>
    <row r="7" spans="1:103" ht="31.9" customHeight="1">
      <c r="A7" s="3914" t="s">
        <v>424</v>
      </c>
      <c r="B7" s="3914"/>
      <c r="C7" s="3914"/>
      <c r="D7" s="3914"/>
      <c r="E7" s="3914"/>
      <c r="F7" s="3914"/>
      <c r="G7" s="3914"/>
      <c r="H7" s="3914"/>
      <c r="I7" s="3914"/>
      <c r="J7" s="3914"/>
      <c r="K7" s="3914"/>
      <c r="L7" s="3914"/>
      <c r="M7" s="3914"/>
      <c r="N7" s="3914"/>
      <c r="O7" s="3914"/>
      <c r="P7" s="3914"/>
      <c r="Q7" s="3914"/>
      <c r="R7" s="3914"/>
      <c r="S7" s="3914"/>
      <c r="T7" s="3914"/>
      <c r="U7" s="3914"/>
      <c r="V7" s="3914"/>
      <c r="W7" s="3914"/>
      <c r="X7" s="3914"/>
      <c r="Y7" s="3914"/>
      <c r="Z7" s="3914"/>
      <c r="AA7" s="3914"/>
      <c r="AB7" s="3914"/>
      <c r="AC7" s="3914"/>
      <c r="AD7" s="3914"/>
      <c r="AE7" s="3914"/>
      <c r="AF7" s="3914"/>
      <c r="AG7" s="3914"/>
      <c r="AH7" s="3914"/>
      <c r="AI7" s="3914"/>
      <c r="AJ7" s="3914"/>
      <c r="AK7" s="3914"/>
      <c r="AL7" s="3914"/>
      <c r="AM7" s="3914"/>
      <c r="AN7" s="3914"/>
      <c r="AO7" s="3914"/>
      <c r="AP7" s="3914"/>
      <c r="AQ7" s="3914"/>
      <c r="AR7" s="3914"/>
      <c r="AS7" s="3914"/>
      <c r="AT7" s="3914"/>
      <c r="AU7" s="3914"/>
      <c r="AV7" s="3914"/>
      <c r="AW7" s="3914"/>
      <c r="AX7" s="3914"/>
      <c r="AY7" s="3914"/>
      <c r="AZ7" s="3914"/>
      <c r="BA7" s="3914"/>
      <c r="BB7" s="3914"/>
      <c r="BC7" s="3914"/>
      <c r="BD7" s="3914"/>
      <c r="BE7" s="3914"/>
      <c r="BF7" s="3914"/>
      <c r="BG7" s="3914"/>
      <c r="BH7" s="3914"/>
      <c r="BI7" s="3914"/>
      <c r="BJ7" s="3914"/>
      <c r="BK7" s="3914"/>
      <c r="BL7" s="3914"/>
      <c r="BM7" s="3914"/>
      <c r="BN7" s="3914"/>
      <c r="BO7" s="3914"/>
      <c r="BP7" s="3914"/>
      <c r="BQ7" s="3914"/>
      <c r="BR7" s="3914"/>
      <c r="BS7" s="3914"/>
      <c r="BT7" s="3914"/>
      <c r="BU7" s="3914"/>
      <c r="BV7" s="3914"/>
      <c r="BW7" s="3914"/>
      <c r="BX7" s="3914"/>
      <c r="BY7" s="3914"/>
      <c r="BZ7" s="3914"/>
      <c r="CA7" s="3914"/>
      <c r="CB7" s="3914"/>
      <c r="CC7" s="3914"/>
      <c r="CD7" s="3914"/>
      <c r="CE7" s="3914"/>
      <c r="CF7" s="3914"/>
      <c r="CG7" s="3914"/>
      <c r="CH7" s="3914"/>
      <c r="CI7" s="3914"/>
      <c r="CJ7" s="3914"/>
      <c r="CK7" s="3914"/>
      <c r="CL7" s="3914"/>
      <c r="CM7" s="3914"/>
      <c r="CN7" s="3914"/>
      <c r="CO7" s="3914"/>
      <c r="CP7" s="3914"/>
      <c r="CQ7" s="3914"/>
      <c r="CR7" s="3914"/>
      <c r="CS7" s="3914"/>
      <c r="CT7" s="3914"/>
      <c r="CU7" s="3914"/>
      <c r="CV7" s="3914"/>
      <c r="CW7" s="3914"/>
      <c r="CX7" s="3914"/>
    </row>
    <row r="9" spans="1:103">
      <c r="A9" s="419" t="s">
        <v>425</v>
      </c>
      <c r="I9" s="759" t="s">
        <v>254</v>
      </c>
    </row>
    <row r="10" spans="1:103" s="1887" customFormat="1" ht="78.75">
      <c r="A10" s="1886" t="s">
        <v>34</v>
      </c>
      <c r="B10" s="1013" t="s">
        <v>344</v>
      </c>
      <c r="C10" s="1013" t="s">
        <v>345</v>
      </c>
      <c r="D10" s="1013" t="s">
        <v>380</v>
      </c>
      <c r="E10" s="1886" t="s">
        <v>400</v>
      </c>
      <c r="F10" s="1886" t="s">
        <v>401</v>
      </c>
      <c r="G10" s="245" t="s">
        <v>402</v>
      </c>
      <c r="H10" s="245" t="s">
        <v>403</v>
      </c>
      <c r="I10" s="245" t="s">
        <v>404</v>
      </c>
      <c r="BU10" s="2378"/>
      <c r="CQ10" s="1013" t="s">
        <v>380</v>
      </c>
      <c r="CR10" s="1013" t="s">
        <v>426</v>
      </c>
      <c r="CV10" s="1013" t="s">
        <v>379</v>
      </c>
      <c r="CW10" s="1013" t="s">
        <v>427</v>
      </c>
      <c r="CX10" s="1013" t="s">
        <v>428</v>
      </c>
    </row>
    <row r="11" spans="1:103" ht="47.25">
      <c r="A11" s="517">
        <v>1</v>
      </c>
      <c r="B11" s="517" t="s">
        <v>346</v>
      </c>
      <c r="C11" s="2379">
        <f>F11+G11+H11+I11</f>
        <v>435603839.60000002</v>
      </c>
      <c r="D11" s="2977">
        <f>'штатка МБ 2.01.'!Q9+'штатка МБ 2.01.'!T9+'штатка МБ 2.01.'!U9+'штатка ФМН 2.01.'!Q9+'штатка ФМН 2.01.'!T9+'штатка ФМН 2.01.'!U9+'штатка спальн блок 2.01.'!Q10+'штатка спальн блок 2.01.'!T10+'штатка спальн блок 2.01.'!U10+'штатка МБ 2.01.'!W9+'штатка ФМН 2.01.'!W110+'штатка спальн блок 2.01.'!W10</f>
        <v>231548553.59999999</v>
      </c>
      <c r="E11" s="1888">
        <f>'[60]ФОТ  инт'!AM13+'[60]ФОТ  инт'!AP13+'[60]ФОТ  инт'!AQ13</f>
        <v>21791851.199999999</v>
      </c>
      <c r="F11" s="1889">
        <f>'[60]ФОТ  инт'!AQ23+'[60]ФОТ ФМН'!AQ30+'[60]ФОТ МБ'!AQ41</f>
        <v>140214816</v>
      </c>
      <c r="G11" s="1052"/>
      <c r="H11" s="1052"/>
      <c r="I11" s="2381">
        <f>D11+'[60]Кальк Турк'!D11+'[60]Кальк МШ Ор'!C11</f>
        <v>295389023.60000002</v>
      </c>
      <c r="BL11" s="1895">
        <f>D11-'[60]Бюджет 1 кв.метр'!E47-'[60]Бюджет 1 кв.метр'!F47-'[60]Бюджет 1 кв.метр'!G47-'[60]Бюджет 1 кв.метр'!H47-'[60]Бюджет 1 кв.метр'!E58-'[60]Бюджет 1 кв.метр'!F58-'[60]Бюджет 1 кв.метр'!G58-'[60]Бюджет 1 кв.метр'!H58</f>
        <v>63599373.599999994</v>
      </c>
      <c r="BO11" s="1890"/>
      <c r="BP11" s="1890"/>
      <c r="BQ11" s="2163"/>
      <c r="BR11" s="1890"/>
      <c r="BS11" s="1890"/>
      <c r="BU11" s="2377">
        <f>'штатка МБ 2.01.'!Q9+'штатка МБ 2.01.'!T9+'штатка МБ 2.01.'!U9+'штатка ФМН 2.01.'!Q9+'штатка ФМН 2.01.'!T9+'штатка ФМН 2.01.'!U9+'штатка спальн блок 2.01.'!Q10+'штатка спальн блок 2.01.'!T10+'штатка спальн блок 2.01.'!U10</f>
        <v>229460649.59999999</v>
      </c>
      <c r="BW11" s="2531">
        <f>'штатка МБ 2.01.'!Q9+'штатка МБ 2.01.'!T9+'штатка МБ 2.01.'!U9+'штатка ФМН 2.01.'!Q9+'штатка ФМН 2.01.'!T9+'штатка ФМН 2.01.'!U9+'штатка спальн блок 2.01.'!Q10+'штатка спальн блок 2.01.'!T10+'штатка спальн блок 2.01.'!U10</f>
        <v>229460649.59999999</v>
      </c>
      <c r="CH11" s="2959">
        <f>'штатка МБ 2.01.'!Q9+'штатка спальн блок 2.01.'!Q10+'штатка ФМН 2.01.'!Q9+'штатка МБ 2.01.'!T9+'штатка МБ 2.01.'!U9+'штатка ФМН 2.01.'!T9+'штатка ФМН 2.01.'!U9+'штатка спальн блок 2.01.'!T10+'штатка спальн блок 2.01.'!U10</f>
        <v>229460649.59999999</v>
      </c>
      <c r="CI11" s="1898">
        <f>D11-CH11</f>
        <v>2087904</v>
      </c>
      <c r="CK11" s="1898" t="e">
        <f>D11+#REF!+'Кальк Турк без фмн'!D11</f>
        <v>#REF!</v>
      </c>
      <c r="CQ11" s="2977">
        <f>D11</f>
        <v>231548553.59999999</v>
      </c>
      <c r="CR11" s="2977">
        <f>D11</f>
        <v>231548553.59999999</v>
      </c>
      <c r="CU11" s="1895"/>
      <c r="CV11" s="2977">
        <v>177894961.33000001</v>
      </c>
      <c r="CW11" s="3416">
        <f>(D11-CV11)/CV11</f>
        <v>0.30160265287374327</v>
      </c>
      <c r="CX11" s="3417" t="s">
        <v>429</v>
      </c>
      <c r="CY11" s="2531">
        <f>'штатка МБ 2.01.'!Q9+'штатка МБ 2.01.'!V9+'штатка МБ 2.01.'!W9+'штатка ФМН 2.01.'!Q9+'штатка ФМН 2.01.'!V9+'штатка ФМН 2.01.'!W110+'штатка спальн блок 2.01.'!Q10+'штатка спальн блок 2.01.'!V10+'штатка спальн блок 2.01.'!W10</f>
        <v>231548553.60000002</v>
      </c>
    </row>
    <row r="12" spans="1:103">
      <c r="A12" s="517">
        <v>2</v>
      </c>
      <c r="B12" s="517" t="s">
        <v>347</v>
      </c>
      <c r="C12" s="2379">
        <f t="shared" ref="C12:C21" si="0">F12+G12+H12+I12</f>
        <v>364536</v>
      </c>
      <c r="D12" s="3394" t="e">
        <f>#REF!+#REF!+#REF!</f>
        <v>#REF!</v>
      </c>
      <c r="E12" s="1888">
        <f>'[60]ГПО  инт'!AV75</f>
        <v>59896.800000000003</v>
      </c>
      <c r="F12" s="1889">
        <f>'[60]ГПО  инт'!AV75+'[60]ГПО ФМН'!G48+'[60]ГПО МБ'!G68</f>
        <v>364536</v>
      </c>
      <c r="G12" s="1052"/>
      <c r="H12" s="1052"/>
      <c r="I12" s="1052"/>
      <c r="BL12" s="1895" t="e">
        <f>D12-'[60]Бюджет 1 кв.метр'!E123-'[60]Бюджет 1 кв.метр'!F123-'[60]Бюджет 1 кв.метр'!G123-'[60]Бюджет 1 кв.метр'!H123</f>
        <v>#REF!</v>
      </c>
      <c r="BO12" s="1890"/>
      <c r="BP12" s="1890"/>
      <c r="BR12" s="1890"/>
      <c r="BS12" s="1890"/>
      <c r="BU12" s="2377" t="e">
        <f>#REF!+#REF!+#REF!</f>
        <v>#REF!</v>
      </c>
      <c r="CH12" s="2961" t="e">
        <f>D12</f>
        <v>#REF!</v>
      </c>
      <c r="CI12" s="1898" t="e">
        <f t="shared" ref="CI12:CI14" si="1">D12-CH12</f>
        <v>#REF!</v>
      </c>
      <c r="CK12" s="1898" t="e">
        <f>D12+#REF!+'Кальк Турк без фмн'!D12</f>
        <v>#REF!</v>
      </c>
      <c r="CQ12" s="2382" t="e">
        <f>D12</f>
        <v>#REF!</v>
      </c>
      <c r="CR12" s="2382" t="e">
        <f>D12</f>
        <v>#REF!</v>
      </c>
      <c r="CT12" s="1895"/>
      <c r="CV12" s="3394">
        <v>493518</v>
      </c>
      <c r="CW12" s="3416" t="e">
        <f t="shared" ref="CW12:CW14" si="2">(D12-CV12)/CV12</f>
        <v>#REF!</v>
      </c>
      <c r="CX12" s="3417" t="s">
        <v>430</v>
      </c>
      <c r="CY12" s="419" t="e">
        <f>#REF!+#REF!+#REF!</f>
        <v>#REF!</v>
      </c>
    </row>
    <row r="13" spans="1:103">
      <c r="A13" s="517">
        <v>3</v>
      </c>
      <c r="B13" s="517" t="s">
        <v>348</v>
      </c>
      <c r="C13" s="2379">
        <f t="shared" si="0"/>
        <v>8900000</v>
      </c>
      <c r="D13" s="3394"/>
      <c r="E13" s="1888">
        <f>[60]медстрах!G15</f>
        <v>900000</v>
      </c>
      <c r="F13" s="1889">
        <f>[60]медстрах!G15+[60]медстрахФМН!D7+'[60]мед страх МБ'!D7</f>
        <v>8900000</v>
      </c>
      <c r="G13" s="1052"/>
      <c r="H13" s="1052"/>
      <c r="I13" s="1052"/>
      <c r="BL13" s="1895">
        <f>D13-'[60]Бюджет 1 кв.метр'!E126-'[60]Бюджет 1 кв.метр'!F126-'[60]Бюджет 1 кв.метр'!G126-'[60]Бюджет 1 кв.метр'!H126</f>
        <v>-6540000</v>
      </c>
      <c r="BM13" s="419">
        <f>'[60]ФОТ комплекс'!C64-'[60]ФОТ комплекс'!C8-'[60]ФОТ комплекс'!C41</f>
        <v>167</v>
      </c>
      <c r="BO13" s="1890"/>
      <c r="BP13" s="1890"/>
      <c r="BR13" s="1890"/>
      <c r="BS13" s="1890"/>
      <c r="BU13" s="2377" t="e">
        <f>#REF!+#REF!+#REF!</f>
        <v>#REF!</v>
      </c>
      <c r="CH13" s="2962">
        <f>D13</f>
        <v>0</v>
      </c>
      <c r="CI13" s="1898"/>
      <c r="CK13" s="1895" t="e">
        <f>D13+#REF!+'Кальк Турк без фмн'!D13</f>
        <v>#REF!</v>
      </c>
      <c r="CQ13" s="2382" t="e">
        <f>#REF!+#REF!+#REF!</f>
        <v>#REF!</v>
      </c>
      <c r="CR13" s="2382" t="e">
        <f>#REF!+#REF!+#REF!</f>
        <v>#REF!</v>
      </c>
      <c r="CU13" s="1895"/>
      <c r="CV13" s="3394">
        <v>6700340</v>
      </c>
      <c r="CW13" s="3415">
        <f t="shared" si="2"/>
        <v>-1</v>
      </c>
      <c r="CX13" s="3417" t="s">
        <v>431</v>
      </c>
      <c r="CY13" s="419" t="e">
        <f>#REF!+#REF!+#REF!</f>
        <v>#REF!</v>
      </c>
    </row>
    <row r="14" spans="1:103">
      <c r="A14" s="517">
        <v>4</v>
      </c>
      <c r="B14" s="517" t="s">
        <v>349</v>
      </c>
      <c r="C14" s="2379">
        <f t="shared" si="0"/>
        <v>123816.20000000001</v>
      </c>
      <c r="D14" s="3395" t="e">
        <f>#REF!+#REF!</f>
        <v>#REF!</v>
      </c>
      <c r="E14" s="3014">
        <f>'[60]банк усл'!F9</f>
        <v>16061</v>
      </c>
      <c r="F14" s="3015">
        <f>'[60]банк усл'!F9+'[60]банк усл ФМН'!F7+'[60]банк услугиМБ'!F7</f>
        <v>123816.20000000001</v>
      </c>
      <c r="G14" s="3016"/>
      <c r="H14" s="3016"/>
      <c r="I14" s="3016"/>
      <c r="BL14" s="2383" t="e">
        <f>D14-'[60]Бюджет 1 кв.метр'!E134-'[60]Бюджет 1 кв.метр'!F134-'[60]Бюджет 1 кв.метр'!G134-'[60]Бюджет 1 кв.метр'!H134</f>
        <v>#REF!</v>
      </c>
      <c r="BM14" s="2384">
        <f>D13/100000</f>
        <v>0</v>
      </c>
      <c r="BN14" s="2384">
        <f>BM14*64800</f>
        <v>0</v>
      </c>
      <c r="BO14" s="2385">
        <f>D13-BN14</f>
        <v>0</v>
      </c>
      <c r="BP14" s="2385"/>
      <c r="BQ14" s="2384"/>
      <c r="BR14" s="2385"/>
      <c r="BS14" s="2385"/>
      <c r="BT14" s="2384"/>
      <c r="BU14" s="2386" t="e">
        <f>#REF!+#REF!+#REF!</f>
        <v>#REF!</v>
      </c>
      <c r="BV14" s="2384"/>
      <c r="BW14" s="2384"/>
      <c r="CH14" s="2963" t="e">
        <f>D14</f>
        <v>#REF!</v>
      </c>
      <c r="CI14" s="1898" t="e">
        <f t="shared" si="1"/>
        <v>#REF!</v>
      </c>
      <c r="CK14" s="1898" t="e">
        <f>D14+#REF!+'Кальк Турк без фмн'!D14</f>
        <v>#REF!</v>
      </c>
      <c r="CQ14" s="3013" t="e">
        <f>D14</f>
        <v>#REF!</v>
      </c>
      <c r="CR14" s="3013" t="e">
        <f>D14</f>
        <v>#REF!</v>
      </c>
      <c r="CV14" s="3395">
        <v>70720</v>
      </c>
      <c r="CW14" s="3416" t="e">
        <f t="shared" si="2"/>
        <v>#REF!</v>
      </c>
      <c r="CX14" s="3417"/>
      <c r="CY14" s="419" t="e">
        <f>#REF!+#REF!</f>
        <v>#REF!</v>
      </c>
    </row>
    <row r="15" spans="1:103" hidden="1">
      <c r="A15" s="517">
        <v>5</v>
      </c>
      <c r="B15" s="517" t="s">
        <v>350</v>
      </c>
      <c r="C15" s="2379">
        <f t="shared" si="0"/>
        <v>296875</v>
      </c>
      <c r="D15" s="2382">
        <f>('[60]Бюджет 1 кв.метр'!E195+'[60]Бюджет 1 кв.метр'!F195+'[60]Бюджет 1 кв.метр'!G195+'[60]Бюджет 1 кв.метр'!H195)/1.12</f>
        <v>0</v>
      </c>
      <c r="E15" s="3020">
        <f>'[60]соцсфера ИНТ'!F6</f>
        <v>46874.999999999993</v>
      </c>
      <c r="F15" s="1889">
        <f>('[60]соцсфера ИНТ'!H6+[60]соцсфера!H7+'[60]соцсфера МБ'!H6)/1.12</f>
        <v>296875</v>
      </c>
      <c r="G15" s="1052"/>
      <c r="H15" s="1052"/>
      <c r="I15" s="1052"/>
      <c r="J15" s="517"/>
      <c r="K15" s="517"/>
      <c r="L15" s="517"/>
      <c r="M15" s="517"/>
      <c r="N15" s="517"/>
      <c r="O15" s="517"/>
      <c r="P15" s="517"/>
      <c r="Q15" s="517"/>
      <c r="R15" s="517"/>
      <c r="S15" s="517"/>
      <c r="T15" s="517"/>
      <c r="U15" s="517"/>
      <c r="V15" s="517"/>
      <c r="W15" s="517"/>
      <c r="X15" s="517"/>
      <c r="Y15" s="517"/>
      <c r="Z15" s="517"/>
      <c r="AA15" s="517"/>
      <c r="AB15" s="517"/>
      <c r="AC15" s="517"/>
      <c r="AD15" s="517"/>
      <c r="AE15" s="517"/>
      <c r="AF15" s="517"/>
      <c r="AG15" s="517"/>
      <c r="AH15" s="517"/>
      <c r="AI15" s="517"/>
      <c r="AJ15" s="517"/>
      <c r="AK15" s="517"/>
      <c r="AL15" s="517"/>
      <c r="AM15" s="517"/>
      <c r="AN15" s="517"/>
      <c r="AO15" s="517"/>
      <c r="AP15" s="517"/>
      <c r="AQ15" s="517"/>
      <c r="AR15" s="517"/>
      <c r="AS15" s="517"/>
      <c r="AT15" s="517"/>
      <c r="AU15" s="517"/>
      <c r="AV15" s="517"/>
      <c r="AW15" s="517"/>
      <c r="AX15" s="517"/>
      <c r="AY15" s="517"/>
      <c r="AZ15" s="517"/>
      <c r="BA15" s="517"/>
      <c r="BB15" s="517"/>
      <c r="BC15" s="517"/>
      <c r="BD15" s="517"/>
      <c r="BE15" s="517"/>
      <c r="BF15" s="517"/>
      <c r="BG15" s="517"/>
      <c r="BH15" s="517"/>
      <c r="BI15" s="517"/>
      <c r="BJ15" s="517"/>
      <c r="BK15" s="517"/>
      <c r="BL15" s="2400">
        <f>D15*1.12-'[60]Бюджет 1 кв.метр'!E156-'[60]Бюджет 1 кв.метр'!F156-'[60]Бюджет 1 кв.метр'!G156-'[60]Бюджет 1 кв.метр'!H156</f>
        <v>-20990863.295999996</v>
      </c>
      <c r="BM15" s="2394"/>
      <c r="BN15" s="2394"/>
      <c r="BO15" s="2393"/>
      <c r="BP15" s="2393"/>
      <c r="BQ15" s="2394"/>
      <c r="BR15" s="3021"/>
      <c r="BS15" s="2393"/>
      <c r="BT15" s="2394"/>
      <c r="BU15" s="3022"/>
      <c r="BV15" s="2394"/>
      <c r="BW15" s="2394"/>
      <c r="BX15" s="517"/>
      <c r="BY15" s="517"/>
      <c r="BZ15" s="517"/>
      <c r="CA15" s="517"/>
      <c r="CB15" s="517"/>
      <c r="CC15" s="517"/>
      <c r="CD15" s="517"/>
      <c r="CE15" s="517"/>
      <c r="CF15" s="517"/>
      <c r="CG15" s="517"/>
      <c r="CH15" s="517"/>
      <c r="CI15" s="517"/>
      <c r="CJ15" s="517"/>
      <c r="CK15" s="517"/>
      <c r="CL15" s="517"/>
      <c r="CM15" s="517"/>
      <c r="CN15" s="517"/>
      <c r="CO15" s="517"/>
      <c r="CP15" s="517"/>
      <c r="CQ15" s="2382" t="e">
        <f>('[60]Бюджет 1 кв.метр'!CR195+'[60]Бюджет 1 кв.метр'!CS195+'[60]Бюджет 1 кв.метр'!CT195+'[60]Бюджет 1 кв.метр'!CU195)/1.12</f>
        <v>#REF!</v>
      </c>
      <c r="CR15" s="2382" t="e">
        <f>('[60]Бюджет 1 кв.метр'!CS195+'[60]Бюджет 1 кв.метр'!CT195+'[60]Бюджет 1 кв.метр'!CU195+'[60]Бюджет 1 кв.метр'!CV195)/1.12</f>
        <v>#REF!</v>
      </c>
      <c r="CV15" s="2382"/>
      <c r="CW15" s="2382"/>
      <c r="CX15" s="2382"/>
    </row>
    <row r="16" spans="1:103" hidden="1">
      <c r="A16" s="517">
        <v>6</v>
      </c>
      <c r="B16" s="517" t="s">
        <v>363</v>
      </c>
      <c r="C16" s="2379">
        <f t="shared" si="0"/>
        <v>0</v>
      </c>
      <c r="D16" s="517"/>
      <c r="E16" s="517"/>
      <c r="F16" s="517"/>
      <c r="G16" s="2379"/>
      <c r="H16" s="2379"/>
      <c r="I16" s="2379"/>
      <c r="J16" s="517"/>
      <c r="K16" s="517"/>
      <c r="L16" s="517"/>
      <c r="M16" s="517"/>
      <c r="N16" s="517"/>
      <c r="O16" s="517"/>
      <c r="P16" s="517"/>
      <c r="Q16" s="517"/>
      <c r="R16" s="517"/>
      <c r="S16" s="517"/>
      <c r="T16" s="517"/>
      <c r="U16" s="517"/>
      <c r="V16" s="517"/>
      <c r="W16" s="517"/>
      <c r="X16" s="517"/>
      <c r="Y16" s="517"/>
      <c r="Z16" s="517"/>
      <c r="AA16" s="517"/>
      <c r="AB16" s="517"/>
      <c r="AC16" s="517"/>
      <c r="AD16" s="517"/>
      <c r="AE16" s="517"/>
      <c r="AF16" s="517"/>
      <c r="AG16" s="517"/>
      <c r="AH16" s="517"/>
      <c r="AI16" s="517"/>
      <c r="AJ16" s="517"/>
      <c r="AK16" s="517"/>
      <c r="AL16" s="517"/>
      <c r="AM16" s="517"/>
      <c r="AN16" s="517"/>
      <c r="AO16" s="517"/>
      <c r="AP16" s="517"/>
      <c r="AQ16" s="517"/>
      <c r="AR16" s="517"/>
      <c r="AS16" s="517"/>
      <c r="AT16" s="517"/>
      <c r="AU16" s="517"/>
      <c r="AV16" s="517"/>
      <c r="AW16" s="517"/>
      <c r="AX16" s="517"/>
      <c r="AY16" s="517"/>
      <c r="AZ16" s="517"/>
      <c r="BA16" s="517"/>
      <c r="BB16" s="517"/>
      <c r="BC16" s="517"/>
      <c r="BD16" s="517"/>
      <c r="BE16" s="517"/>
      <c r="BF16" s="517"/>
      <c r="BG16" s="517"/>
      <c r="BH16" s="517"/>
      <c r="BI16" s="517"/>
      <c r="BJ16" s="517"/>
      <c r="BK16" s="517"/>
      <c r="BL16" s="2394"/>
      <c r="BM16" s="2394"/>
      <c r="BN16" s="2394"/>
      <c r="BO16" s="2394"/>
      <c r="BP16" s="2394"/>
      <c r="BQ16" s="2394"/>
      <c r="BR16" s="2393"/>
      <c r="BS16" s="2393"/>
      <c r="BT16" s="2394"/>
      <c r="BU16" s="3022"/>
      <c r="BV16" s="2394"/>
      <c r="BW16" s="2394"/>
      <c r="BX16" s="517"/>
      <c r="BY16" s="517"/>
      <c r="BZ16" s="517"/>
      <c r="CA16" s="517"/>
      <c r="CB16" s="517"/>
      <c r="CC16" s="517"/>
      <c r="CD16" s="517"/>
      <c r="CE16" s="517"/>
      <c r="CF16" s="517"/>
      <c r="CG16" s="517"/>
      <c r="CH16" s="2416" t="e">
        <f>#REF!+#REF!+#REF!</f>
        <v>#REF!</v>
      </c>
      <c r="CI16" s="517"/>
      <c r="CJ16" s="517"/>
      <c r="CK16" s="517"/>
      <c r="CL16" s="517"/>
      <c r="CM16" s="517"/>
      <c r="CN16" s="517"/>
      <c r="CO16" s="517"/>
      <c r="CP16" s="517"/>
      <c r="CQ16" s="517"/>
      <c r="CR16" s="517"/>
      <c r="CV16" s="517"/>
      <c r="CW16" s="517"/>
      <c r="CX16" s="2388"/>
    </row>
    <row r="17" spans="1:108" hidden="1">
      <c r="A17" s="517">
        <v>7</v>
      </c>
      <c r="B17" s="517" t="s">
        <v>352</v>
      </c>
      <c r="C17" s="2379">
        <f t="shared" si="0"/>
        <v>0</v>
      </c>
      <c r="D17" s="2388"/>
      <c r="E17" s="517"/>
      <c r="F17" s="517"/>
      <c r="G17" s="2379"/>
      <c r="H17" s="2379"/>
      <c r="I17" s="2379"/>
      <c r="J17" s="517"/>
      <c r="K17" s="1889"/>
      <c r="L17" s="517"/>
      <c r="M17" s="517"/>
      <c r="N17" s="517"/>
      <c r="O17" s="517"/>
      <c r="P17" s="517"/>
      <c r="Q17" s="517"/>
      <c r="R17" s="517"/>
      <c r="S17" s="517"/>
      <c r="T17" s="517"/>
      <c r="U17" s="517"/>
      <c r="V17" s="517"/>
      <c r="W17" s="517"/>
      <c r="X17" s="517"/>
      <c r="Y17" s="517"/>
      <c r="Z17" s="517"/>
      <c r="AA17" s="517"/>
      <c r="AB17" s="517"/>
      <c r="AC17" s="517"/>
      <c r="AD17" s="517"/>
      <c r="AE17" s="517"/>
      <c r="AF17" s="517"/>
      <c r="AG17" s="517"/>
      <c r="AH17" s="517"/>
      <c r="AI17" s="517"/>
      <c r="AJ17" s="517"/>
      <c r="AK17" s="517"/>
      <c r="AL17" s="517"/>
      <c r="AM17" s="517"/>
      <c r="AN17" s="517"/>
      <c r="AO17" s="517"/>
      <c r="AP17" s="517"/>
      <c r="AQ17" s="517"/>
      <c r="AR17" s="517"/>
      <c r="AS17" s="517"/>
      <c r="AT17" s="517"/>
      <c r="AU17" s="517"/>
      <c r="AV17" s="517"/>
      <c r="AW17" s="517"/>
      <c r="AX17" s="517"/>
      <c r="AY17" s="517"/>
      <c r="AZ17" s="517"/>
      <c r="BA17" s="517"/>
      <c r="BB17" s="517"/>
      <c r="BC17" s="517"/>
      <c r="BD17" s="517"/>
      <c r="BE17" s="517"/>
      <c r="BF17" s="517"/>
      <c r="BG17" s="517"/>
      <c r="BH17" s="517"/>
      <c r="BI17" s="517"/>
      <c r="BJ17" s="517"/>
      <c r="BK17" s="517"/>
      <c r="BL17" s="2394"/>
      <c r="BM17" s="2394"/>
      <c r="BN17" s="2394"/>
      <c r="BO17" s="2394"/>
      <c r="BP17" s="2394"/>
      <c r="BQ17" s="2394"/>
      <c r="BR17" s="2393"/>
      <c r="BS17" s="2393"/>
      <c r="BT17" s="2394"/>
      <c r="BU17" s="3022"/>
      <c r="BV17" s="2394"/>
      <c r="BW17" s="2394"/>
      <c r="BX17" s="517"/>
      <c r="BY17" s="517"/>
      <c r="BZ17" s="517"/>
      <c r="CA17" s="517"/>
      <c r="CB17" s="517"/>
      <c r="CC17" s="517"/>
      <c r="CD17" s="517"/>
      <c r="CE17" s="517"/>
      <c r="CF17" s="517"/>
      <c r="CG17" s="517"/>
      <c r="CH17" s="517"/>
      <c r="CI17" s="517"/>
      <c r="CJ17" s="517"/>
      <c r="CK17" s="517"/>
      <c r="CL17" s="517"/>
      <c r="CM17" s="517"/>
      <c r="CN17" s="517"/>
      <c r="CO17" s="517"/>
      <c r="CP17" s="517"/>
      <c r="CQ17" s="2388"/>
      <c r="CR17" s="2388"/>
      <c r="CV17" s="2388"/>
      <c r="CW17" s="2388"/>
      <c r="CX17" s="2388"/>
    </row>
    <row r="18" spans="1:108" ht="52.5" customHeight="1">
      <c r="A18" s="517">
        <v>5</v>
      </c>
      <c r="B18" s="517" t="s">
        <v>353</v>
      </c>
      <c r="C18" s="2379">
        <f t="shared" si="0"/>
        <v>38125058.621964276</v>
      </c>
      <c r="D18" s="2388">
        <f>('моющ МБ 2.03.05'!V14+'моющФМН 2.03.05'!V14+'моющИНТ 2.03.05.'!V9+'хоз 2.03.06.'!AY9+'хоз 2.03.06.'!AZ9+'хоз 2.03.06.'!BA9+'пр запасы фмн 2.03.09.'!T9+'пр запасы мб 2.03.09.'!T9+'2.03.01.0приобретение комп к ОС'!Q9+'2.03.01.0приобретение комп к ОС'!S9+'2.03.01.0приобретение комп к ОС'!U9)/1.12</f>
        <v>11240869.1875</v>
      </c>
      <c r="E18" s="1889">
        <f>I18</f>
        <v>8421211.4464285709</v>
      </c>
      <c r="F18" s="517"/>
      <c r="G18" s="2379">
        <f>('[61]гсм школа'!$M$48+'[61]гсм школа'!$M$50+'[61]моющ школы'!$R$15+'[61]хоз школы'!$R$9+'[61]тмц школы'!$R$9)/1.12</f>
        <v>29703847.175535709</v>
      </c>
      <c r="H18" s="2379"/>
      <c r="I18" s="2379">
        <f>([61]моющИНТ!$R$9+[61]хозИНТ!$R$8+[61]тмцИНТ!$R$9)/1.12</f>
        <v>8421211.4464285709</v>
      </c>
      <c r="J18" s="517"/>
      <c r="K18" s="517"/>
      <c r="L18" s="517"/>
      <c r="M18" s="517"/>
      <c r="N18" s="517"/>
      <c r="O18" s="517"/>
      <c r="P18" s="517"/>
      <c r="Q18" s="517"/>
      <c r="R18" s="517"/>
      <c r="S18" s="517"/>
      <c r="T18" s="517"/>
      <c r="U18" s="517"/>
      <c r="V18" s="517"/>
      <c r="W18" s="517"/>
      <c r="X18" s="517"/>
      <c r="Y18" s="517"/>
      <c r="Z18" s="517"/>
      <c r="AA18" s="517"/>
      <c r="AB18" s="517"/>
      <c r="AC18" s="517"/>
      <c r="AD18" s="517"/>
      <c r="AE18" s="517"/>
      <c r="AF18" s="517"/>
      <c r="AG18" s="517"/>
      <c r="AH18" s="517"/>
      <c r="AI18" s="517"/>
      <c r="AJ18" s="517"/>
      <c r="AK18" s="517"/>
      <c r="AL18" s="517"/>
      <c r="AM18" s="517"/>
      <c r="AN18" s="517"/>
      <c r="AO18" s="517"/>
      <c r="AP18" s="517"/>
      <c r="AQ18" s="517"/>
      <c r="AR18" s="517"/>
      <c r="AS18" s="517"/>
      <c r="AT18" s="517"/>
      <c r="AU18" s="517"/>
      <c r="AV18" s="517"/>
      <c r="AW18" s="517"/>
      <c r="AX18" s="517"/>
      <c r="AY18" s="517"/>
      <c r="AZ18" s="517"/>
      <c r="BA18" s="517"/>
      <c r="BB18" s="517"/>
      <c r="BC18" s="517"/>
      <c r="BD18" s="517"/>
      <c r="BE18" s="517"/>
      <c r="BF18" s="517"/>
      <c r="BG18" s="517"/>
      <c r="BH18" s="517"/>
      <c r="BI18" s="517"/>
      <c r="BJ18" s="517"/>
      <c r="BK18" s="517"/>
      <c r="BL18" s="2400">
        <f>D18*1.12-'[60]Бюджет 1 кв.метр'!E61-'[60]Бюджет 1 кв.метр'!F61-'[60]Бюджет 1 кв.метр'!G61-'[60]Бюджет 1 кв.метр'!H61</f>
        <v>-19208749.566599999</v>
      </c>
      <c r="BM18" s="2394"/>
      <c r="BN18" s="2394"/>
      <c r="BO18" s="2394"/>
      <c r="BP18" s="2394"/>
      <c r="BQ18" s="2400"/>
      <c r="BR18" s="2393"/>
      <c r="BS18" s="2393"/>
      <c r="BT18" s="2394"/>
      <c r="BU18" s="3022" t="e">
        <f>'моющ МБ 2.03.05'!X14+'моющФМН 2.03.05'!X14+'хоз свод'!T9+#REF!+'пр запасы фмн 2.03.09.'!V9+'пр запасы мб 2.03.09.'!V9+'хоз кот и ул освещ'!V4+'хоз кот и ул освещ'!V4+'моющИНТ 2.03.05.'!X9+хозИНТ!T7+тмцИНТ!T9+'гсм школа'!I47+'гсм школа'!I48+'гсм школа'!I49+'гсм школа'!I50+'гсм школа'!I52+'гсм школа'!I54+'гсм школа'!I56+'гсм школа'!I58+'гсм школа'!#REF!+'гсм школа'!#REF!+'гсм школа'!#REF!</f>
        <v>#REF!</v>
      </c>
      <c r="BV18" s="3023" t="e">
        <f>'гсм школа'!K47+'гсм школа'!K48+'гсм школа'!K49+'гсм школа'!K50+'гсм школа'!K52+'гсм школа'!K54+'гсм школа'!K56+'гсм школа'!K58+'гсм школа'!#REF!+'гсм школа'!#REF!+'гсм школа'!#REF!+'гсм школа'!#REF!+'гсм школа'!#REF!+'гсм школа'!#REF!+'моющ МБ 2.03.05'!X14+'моющФМН 2.03.05'!X14+'хоз свод'!T9+#REF!+'пр запасы фмн 2.03.09.'!V9+'пр запасы мб 2.03.09.'!V9+'моющИНТ 2.03.05.'!X9+хозИНТ!V7+'хоз кот и ул освещ'!V4+'хоз кот и ул освещ'!V4+тмцИНТ!T9</f>
        <v>#REF!</v>
      </c>
      <c r="BW18" s="2400"/>
      <c r="BX18" s="517"/>
      <c r="BY18" s="517"/>
      <c r="BZ18" s="517"/>
      <c r="CA18" s="517"/>
      <c r="CB18" s="517"/>
      <c r="CC18" s="517"/>
      <c r="CD18" s="517"/>
      <c r="CE18" s="517"/>
      <c r="CF18" s="517"/>
      <c r="CG18" s="517"/>
      <c r="CH18" s="3024" t="e">
        <f>('гсм школа'!I47+'гсм школа'!I48+'гсм школа'!I49+'гсм школа'!I50+'гсм школа'!I52+'гсм школа'!I54+'гсм школа'!I56+'гсм школа'!I58+'гсм школа'!#REF!+'гсм школа'!#REF!+'гсм школа'!#REF!+'гсм школа'!#REF!+'гсм школа'!#REF!+'гсм школа'!#REF!+'моющ МБ 2.03.05'!V14+'моющФМН 2.03.05'!V14+#REF!+#REF!+'пр запасы фмн 2.03.09.'!T9+'пр запасы мб 2.03.09.'!T9+'моющИНТ 2.03.05.'!V9+хозИНТ!T7+'хоз кот и ул освещ'!V4+'хоз кот и ул освещ'!V4+тмцИНТ!R9)</f>
        <v>#REF!</v>
      </c>
      <c r="CI18" s="3025" t="e">
        <f>D18-CH18</f>
        <v>#REF!</v>
      </c>
      <c r="CJ18" s="517"/>
      <c r="CK18" s="3025" t="e">
        <f>(D18+#REF!+'Кальк Турк без фмн'!D18)*1.12</f>
        <v>#REF!</v>
      </c>
      <c r="CL18" s="517"/>
      <c r="CM18" s="517"/>
      <c r="CN18" s="517"/>
      <c r="CO18" s="517"/>
      <c r="CP18" s="517"/>
      <c r="CQ18" s="2388" t="e">
        <f>('гсм школа'!#REF!+'моющ МБ 2.03.05'!#REF!+'моющФМН 2.03.05'!Z14+'хоз 2.03.06.'!AA9+'хозМБ)'!X9+'пр запасы фмн 2.03.09.'!X9+'пр запасы мб 2.03.09.'!X9+'моющИНТ 2.03.05.'!Z9+хозИНТ!X7+тмцИНТ!V9)/1.12</f>
        <v>#REF!</v>
      </c>
      <c r="CR18" s="2388" t="e">
        <f>('гсм школа'!#REF!+'моющ МБ 2.03.05'!#REF!+'моющФМН 2.03.05'!AD14+'хоз 2.03.06.'!AE9+'хозМБ)'!AB9+'пр запасы фмн 2.03.09.'!AB9+'пр запасы мб 2.03.09.'!AB9+'моющИНТ 2.03.05.'!AD9+хозИНТ!AB7+тмцИНТ!Z9)/1.12</f>
        <v>#REF!</v>
      </c>
      <c r="CT18" s="2388">
        <f>'гсм школа'!I60+'моющ МБ 2.03.05'!V14+'моющФМН 2.03.05'!V14+'моющИНТ 2.03.05.'!V9+'хоз 2.03.06.'!U9+'хозМБ)'!R9+'пр запасы фмн 2.03.09.'!T9+'пр запасы мб 2.03.09.'!T9+тмцИНТ!R9</f>
        <v>4449605.1100000003</v>
      </c>
      <c r="CU18" s="1898">
        <f>CT18/1.12</f>
        <v>3972861.7053571427</v>
      </c>
      <c r="CV18" s="2388">
        <v>18755929.82</v>
      </c>
      <c r="CW18" s="3415">
        <f t="shared" ref="CW18:CW21" si="3">(D18-CV18)/CV18</f>
        <v>-0.40067651695339945</v>
      </c>
      <c r="CX18" s="3417" t="s">
        <v>432</v>
      </c>
      <c r="CY18" s="2531">
        <f>('хоз 2.03.06.'!AL9+'хоз 2.03.06.'!AN9+'хоз 2.03.06.'!AP9+'пр запасы фмн 2.03.09.'!T9+'пр запасы мб 2.03.09.'!T9+тмцИНТ!R9)/1.12</f>
        <v>9303326.1178571433</v>
      </c>
      <c r="CZ18" s="1680" t="e">
        <f>(D18+#REF!)*1.12</f>
        <v>#REF!</v>
      </c>
      <c r="DA18" s="2531" t="e">
        <f>'2.03.01.0приобретение комп к ОС'!L9+'моющ МБ 2.03.05'!V14+'моющФМН 2.03.05'!V14+'моющИНТ 2.03.05.'!V9+'хоз 2.03.06.'!AX9+'пр запасы фмн 2.03.09.'!T9+'пр запасы мб 2.03.09.'!T9+#REF!</f>
        <v>#REF!</v>
      </c>
      <c r="DB18" s="1898" t="e">
        <f>CZ18-DA18</f>
        <v>#REF!</v>
      </c>
      <c r="DD18" s="2531" t="e">
        <f>'2.03.01.0приобретение комп к ОС'!L9+'моющ МБ 2.03.05'!V14+'моющФМН 2.03.05'!V14+'моющИНТ 2.03.05.'!V9+'хоз 2.03.06.'!AX9+'пр запасы фмн 2.03.09.'!T9+'пр запасы мб 2.03.09.'!T9+#REF!</f>
        <v>#REF!</v>
      </c>
    </row>
    <row r="19" spans="1:108" ht="94.5">
      <c r="A19" s="517">
        <v>6</v>
      </c>
      <c r="B19" s="517" t="s">
        <v>388</v>
      </c>
      <c r="C19" s="2379">
        <f t="shared" si="0"/>
        <v>35336</v>
      </c>
      <c r="D19" s="2379" t="e">
        <f>#REF!+#REF!</f>
        <v>#REF!</v>
      </c>
      <c r="E19" s="517"/>
      <c r="F19" s="517"/>
      <c r="G19" s="2379">
        <f>('[61]Свободная форма курсы'!$G$53+'[61]Свободная форма курсы'!$G$79)/1.12</f>
        <v>35336</v>
      </c>
      <c r="H19" s="2379"/>
      <c r="I19" s="2379"/>
      <c r="J19" s="517"/>
      <c r="K19" s="517"/>
      <c r="L19" s="517"/>
      <c r="M19" s="517"/>
      <c r="N19" s="517"/>
      <c r="O19" s="517"/>
      <c r="P19" s="517"/>
      <c r="Q19" s="517"/>
      <c r="R19" s="517"/>
      <c r="S19" s="517"/>
      <c r="T19" s="517"/>
      <c r="U19" s="517"/>
      <c r="V19" s="517"/>
      <c r="W19" s="517"/>
      <c r="X19" s="517"/>
      <c r="Y19" s="517"/>
      <c r="Z19" s="517"/>
      <c r="AA19" s="517"/>
      <c r="AB19" s="517"/>
      <c r="AC19" s="517"/>
      <c r="AD19" s="517"/>
      <c r="AE19" s="517"/>
      <c r="AF19" s="517"/>
      <c r="AG19" s="517"/>
      <c r="AH19" s="517"/>
      <c r="AI19" s="517"/>
      <c r="AJ19" s="517"/>
      <c r="AK19" s="517"/>
      <c r="AL19" s="517"/>
      <c r="AM19" s="517"/>
      <c r="AN19" s="517"/>
      <c r="AO19" s="517"/>
      <c r="AP19" s="517"/>
      <c r="AQ19" s="517"/>
      <c r="AR19" s="517"/>
      <c r="AS19" s="517"/>
      <c r="AT19" s="517"/>
      <c r="AU19" s="517"/>
      <c r="AV19" s="517"/>
      <c r="AW19" s="517"/>
      <c r="AX19" s="517"/>
      <c r="AY19" s="517"/>
      <c r="AZ19" s="517"/>
      <c r="BA19" s="517"/>
      <c r="BB19" s="517"/>
      <c r="BC19" s="517"/>
      <c r="BD19" s="517"/>
      <c r="BE19" s="517"/>
      <c r="BF19" s="517"/>
      <c r="BG19" s="517"/>
      <c r="BH19" s="517"/>
      <c r="BI19" s="517"/>
      <c r="BJ19" s="517"/>
      <c r="BK19" s="517"/>
      <c r="BL19" s="2400" t="e">
        <f>D19*1.12-'[60]Бюджет 1 кв.метр'!E164-'[60]Бюджет 1 кв.метр'!F164-'[60]Бюджет 1 кв.метр'!G164-'[60]Бюджет 1 кв.метр'!H164</f>
        <v>#REF!</v>
      </c>
      <c r="BM19" s="2394"/>
      <c r="BN19" s="2394"/>
      <c r="BO19" s="2394"/>
      <c r="BP19" s="2394"/>
      <c r="BQ19" s="2393"/>
      <c r="BR19" s="2400"/>
      <c r="BS19" s="2393"/>
      <c r="BT19" s="2394"/>
      <c r="BU19" s="3022" t="e">
        <f>#REF!+#REF!</f>
        <v>#REF!</v>
      </c>
      <c r="BV19" s="3026"/>
      <c r="BW19" s="2394"/>
      <c r="BX19" s="517"/>
      <c r="BY19" s="517"/>
      <c r="BZ19" s="517"/>
      <c r="CA19" s="517"/>
      <c r="CB19" s="517"/>
      <c r="CC19" s="517"/>
      <c r="CD19" s="517"/>
      <c r="CE19" s="517"/>
      <c r="CF19" s="517"/>
      <c r="CG19" s="517"/>
      <c r="CH19" s="3024" t="e">
        <f>(#REF!+#REF!)</f>
        <v>#REF!</v>
      </c>
      <c r="CI19" s="517"/>
      <c r="CJ19" s="517"/>
      <c r="CK19" s="517" t="e">
        <f>(D19+#REF!+'Кальк Турк без фмн'!D19)*1.12</f>
        <v>#REF!</v>
      </c>
      <c r="CL19" s="517"/>
      <c r="CM19" s="517"/>
      <c r="CN19" s="517"/>
      <c r="CO19" s="517"/>
      <c r="CP19" s="517"/>
      <c r="CQ19" s="2388" t="e">
        <f>(#REF!+#REF!)/1.12</f>
        <v>#REF!</v>
      </c>
      <c r="CR19" s="2388" t="e">
        <f>(#REF!+#REF!)/1.12</f>
        <v>#REF!</v>
      </c>
      <c r="CV19" s="2379">
        <v>25000</v>
      </c>
      <c r="CW19" s="3415" t="e">
        <f t="shared" si="3"/>
        <v>#REF!</v>
      </c>
      <c r="CX19" s="3492" t="s">
        <v>433</v>
      </c>
      <c r="CY19" s="2531" t="e">
        <f>#REF!+#REF!</f>
        <v>#REF!</v>
      </c>
      <c r="CZ19" s="2531" t="e">
        <f>#REF!+#REF!</f>
        <v>#REF!</v>
      </c>
    </row>
    <row r="20" spans="1:108" ht="47.25">
      <c r="A20" s="517">
        <v>7</v>
      </c>
      <c r="B20" s="517" t="s">
        <v>389</v>
      </c>
      <c r="C20" s="2379">
        <f t="shared" si="0"/>
        <v>0</v>
      </c>
      <c r="D20" s="2388" t="e">
        <f>(#REF!)/1.12</f>
        <v>#REF!</v>
      </c>
      <c r="E20" s="517"/>
      <c r="F20" s="517"/>
      <c r="G20" s="2379"/>
      <c r="H20" s="2379"/>
      <c r="I20" s="2379"/>
      <c r="J20" s="517"/>
      <c r="K20" s="517"/>
      <c r="L20" s="517"/>
      <c r="M20" s="517"/>
      <c r="N20" s="517"/>
      <c r="O20" s="517"/>
      <c r="P20" s="517"/>
      <c r="Q20" s="517"/>
      <c r="R20" s="517"/>
      <c r="S20" s="517"/>
      <c r="T20" s="517"/>
      <c r="U20" s="517"/>
      <c r="V20" s="517"/>
      <c r="W20" s="517"/>
      <c r="X20" s="517"/>
      <c r="Y20" s="517"/>
      <c r="Z20" s="517"/>
      <c r="AA20" s="517"/>
      <c r="AB20" s="517"/>
      <c r="AC20" s="517"/>
      <c r="AD20" s="517"/>
      <c r="AE20" s="517"/>
      <c r="AF20" s="517"/>
      <c r="AG20" s="517"/>
      <c r="AH20" s="517"/>
      <c r="AI20" s="517"/>
      <c r="AJ20" s="517"/>
      <c r="AK20" s="517"/>
      <c r="AL20" s="517"/>
      <c r="AM20" s="517"/>
      <c r="AN20" s="517"/>
      <c r="AO20" s="517"/>
      <c r="AP20" s="517"/>
      <c r="AQ20" s="517"/>
      <c r="AR20" s="517"/>
      <c r="AS20" s="517"/>
      <c r="AT20" s="517"/>
      <c r="AU20" s="517"/>
      <c r="AV20" s="517"/>
      <c r="AW20" s="517"/>
      <c r="AX20" s="517"/>
      <c r="AY20" s="517"/>
      <c r="AZ20" s="517"/>
      <c r="BA20" s="517"/>
      <c r="BB20" s="517"/>
      <c r="BC20" s="517"/>
      <c r="BD20" s="517"/>
      <c r="BE20" s="517"/>
      <c r="BF20" s="517"/>
      <c r="BG20" s="517"/>
      <c r="BH20" s="517"/>
      <c r="BI20" s="517"/>
      <c r="BJ20" s="517"/>
      <c r="BK20" s="517"/>
      <c r="BL20" s="2394"/>
      <c r="BM20" s="2394"/>
      <c r="BN20" s="2394"/>
      <c r="BO20" s="2394"/>
      <c r="BP20" s="2394"/>
      <c r="BQ20" s="2394"/>
      <c r="BR20" s="2394"/>
      <c r="BS20" s="2393"/>
      <c r="BT20" s="2394"/>
      <c r="BU20" s="3022" t="e">
        <f>#REF!+#REF!+#REF!+#REF!</f>
        <v>#REF!</v>
      </c>
      <c r="BV20" s="2394"/>
      <c r="BW20" s="2394"/>
      <c r="BX20" s="517"/>
      <c r="BY20" s="517"/>
      <c r="BZ20" s="517"/>
      <c r="CA20" s="517"/>
      <c r="CB20" s="517"/>
      <c r="CC20" s="517"/>
      <c r="CD20" s="517"/>
      <c r="CE20" s="517"/>
      <c r="CF20" s="517"/>
      <c r="CG20" s="517"/>
      <c r="CH20" s="3024" t="e">
        <f>(#REF!+#REF!+#REF!+#REF!)</f>
        <v>#REF!</v>
      </c>
      <c r="CI20" s="517"/>
      <c r="CJ20" s="517"/>
      <c r="CK20" s="517" t="e">
        <f>(D20+#REF!)*1.12</f>
        <v>#REF!</v>
      </c>
      <c r="CL20" s="517"/>
      <c r="CM20" s="517"/>
      <c r="CN20" s="517"/>
      <c r="CO20" s="517"/>
      <c r="CP20" s="517"/>
      <c r="CQ20" s="2388" t="e">
        <f>(#REF!+#REF!+#REF!+#REF!)/1.12</f>
        <v>#REF!</v>
      </c>
      <c r="CR20" s="2388" t="e">
        <f>(#REF!+#REF!+#REF!+#REF!)/1.12</f>
        <v>#REF!</v>
      </c>
      <c r="CV20" s="2388">
        <v>1067828.57</v>
      </c>
      <c r="CW20" s="3415" t="e">
        <f t="shared" si="3"/>
        <v>#REF!</v>
      </c>
      <c r="CX20" s="3417" t="s">
        <v>434</v>
      </c>
      <c r="CY20" s="419" t="e">
        <f>#REF!/1.12</f>
        <v>#REF!</v>
      </c>
    </row>
    <row r="21" spans="1:108" ht="47.25">
      <c r="A21" s="517">
        <v>8</v>
      </c>
      <c r="B21" s="517" t="s">
        <v>435</v>
      </c>
      <c r="C21" s="2379">
        <f t="shared" si="0"/>
        <v>0</v>
      </c>
      <c r="D21" s="3019">
        <f>'налог на транс 2.22.03'!K18</f>
        <v>14430</v>
      </c>
      <c r="E21" s="3018"/>
      <c r="F21" s="3018"/>
      <c r="G21" s="3019"/>
      <c r="H21" s="3019"/>
      <c r="I21" s="3019"/>
      <c r="BL21" s="2384" t="s">
        <v>407</v>
      </c>
      <c r="BM21" s="2384"/>
      <c r="BN21" s="2384"/>
      <c r="BO21" s="2384" t="s">
        <v>408</v>
      </c>
      <c r="BP21" s="2384"/>
      <c r="BQ21" s="2386"/>
      <c r="BR21" s="2386" t="s">
        <v>409</v>
      </c>
      <c r="BS21" s="2385"/>
      <c r="BT21" s="2384"/>
      <c r="BU21" s="2386">
        <f>'налог на транс 2.22.03'!K18</f>
        <v>14430</v>
      </c>
      <c r="BV21" s="2384"/>
      <c r="BW21" s="2384"/>
      <c r="CH21" s="2960">
        <f>'налог на транс 2.22.03'!K18</f>
        <v>14430</v>
      </c>
      <c r="CK21" s="1895">
        <f>D21</f>
        <v>14430</v>
      </c>
      <c r="CQ21" s="3017">
        <f>'налог на транс 2.22.03'!N18</f>
        <v>20525</v>
      </c>
      <c r="CR21" s="3017">
        <f>'налог на транс 2.22.03'!Q18</f>
        <v>21549</v>
      </c>
      <c r="CV21" s="3019">
        <v>12557</v>
      </c>
      <c r="CW21" s="3415">
        <f t="shared" si="3"/>
        <v>0.14915983116986542</v>
      </c>
      <c r="CX21" s="3417" t="s">
        <v>436</v>
      </c>
    </row>
    <row r="22" spans="1:108" hidden="1" outlineLevel="1">
      <c r="A22" s="517">
        <v>12</v>
      </c>
      <c r="B22" s="517" t="s">
        <v>58</v>
      </c>
      <c r="C22" s="2379">
        <f>'[62]Бюджет Адм+школы new'!$Z$57/1.12</f>
        <v>0</v>
      </c>
      <c r="D22" s="2388"/>
      <c r="E22" s="517"/>
      <c r="F22" s="517"/>
      <c r="G22" s="2379"/>
      <c r="H22" s="2379"/>
      <c r="I22" s="2379"/>
      <c r="BL22" s="2390" t="s">
        <v>410</v>
      </c>
      <c r="BM22" s="2390" t="s">
        <v>214</v>
      </c>
      <c r="BN22" s="2390" t="s">
        <v>411</v>
      </c>
      <c r="BO22" s="2390" t="s">
        <v>410</v>
      </c>
      <c r="BP22" s="2390" t="s">
        <v>214</v>
      </c>
      <c r="BQ22" s="2390" t="s">
        <v>411</v>
      </c>
      <c r="BR22" s="2390" t="s">
        <v>410</v>
      </c>
      <c r="BS22" s="2390" t="s">
        <v>214</v>
      </c>
      <c r="BT22" s="2390" t="s">
        <v>411</v>
      </c>
      <c r="BU22" s="2386"/>
      <c r="BV22" s="2384"/>
      <c r="BW22" s="2384"/>
      <c r="CQ22" s="2388"/>
      <c r="CR22" s="2388"/>
      <c r="CV22" s="2388"/>
      <c r="CW22" s="2388"/>
      <c r="CX22" s="3418"/>
    </row>
    <row r="23" spans="1:108" collapsed="1">
      <c r="A23" s="517"/>
      <c r="B23" s="516" t="s">
        <v>437</v>
      </c>
      <c r="C23" s="2391">
        <f>SUM(C11:C22)</f>
        <v>483449461.42196429</v>
      </c>
      <c r="D23" s="2392" t="e">
        <f>SUM(D11:D15)+D18+D19+D20+D21</f>
        <v>#REF!</v>
      </c>
      <c r="E23" s="1891">
        <f>SUM(E11:E15)+E18+E19</f>
        <v>31235895.446428571</v>
      </c>
      <c r="F23" s="1891">
        <f>SUM(F11:F22)</f>
        <v>149900043.19999999</v>
      </c>
      <c r="G23" s="1891">
        <f>SUM(G11:G22)</f>
        <v>29739183.175535709</v>
      </c>
      <c r="H23" s="1892">
        <f>SUM(H11:H22)</f>
        <v>0</v>
      </c>
      <c r="I23" s="1892">
        <f>SUM(I11:I22)</f>
        <v>303810235.04642862</v>
      </c>
      <c r="J23" s="419" t="e">
        <f>(#REF!+F23)*1.12</f>
        <v>#REF!</v>
      </c>
      <c r="K23" s="1890" t="e">
        <f>(#REF!+F23)*1.12</f>
        <v>#REF!</v>
      </c>
      <c r="L23" s="1890">
        <f>F23*1.12</f>
        <v>167888048.384</v>
      </c>
      <c r="BL23" s="2393" t="e">
        <f>D23*1.12</f>
        <v>#REF!</v>
      </c>
      <c r="BM23" s="2393" t="e">
        <f>BL23-D23</f>
        <v>#REF!</v>
      </c>
      <c r="BN23" s="2394"/>
      <c r="BO23" s="2393">
        <f>'[60]Кальк Турк'!D24*1.12</f>
        <v>40802425.440000005</v>
      </c>
      <c r="BP23" s="2393">
        <f>BO23-'[60]Кальк Турк'!D24</f>
        <v>4371688.4400000051</v>
      </c>
      <c r="BQ23" s="2394">
        <f>'[60]Кальк Турк'!D24</f>
        <v>36430737</v>
      </c>
      <c r="BR23" s="2393"/>
      <c r="BS23" s="2393"/>
      <c r="BT23" s="2394"/>
      <c r="BU23" s="2386"/>
      <c r="BV23" s="2384"/>
      <c r="BW23" s="2384"/>
      <c r="CH23" s="1898" t="e">
        <f>CH11+CH12+CH13+CH14+CH16+CH18+CH19+CH20+CH21</f>
        <v>#REF!</v>
      </c>
      <c r="CN23" s="1898" t="e">
        <f>D11+D12+D13+D14+CH16+D18+D19+D20+D21</f>
        <v>#REF!</v>
      </c>
      <c r="CO23" s="419" t="s">
        <v>438</v>
      </c>
      <c r="CQ23" s="2392" t="e">
        <f>SUM(CQ11:CQ15)+CQ18+CQ19+CQ20+CQ21</f>
        <v>#REF!</v>
      </c>
      <c r="CR23" s="2392" t="e">
        <f>SUM(CR11:CR15)+CR18+CR19+CR20+CR21</f>
        <v>#REF!</v>
      </c>
      <c r="CV23" s="2392">
        <f>SUM(CV11:CV15)+CV18+CV19+CV20+CV21</f>
        <v>205020854.72</v>
      </c>
      <c r="CW23" s="3416" t="e">
        <f>(D23-CV23)/CV23</f>
        <v>#REF!</v>
      </c>
      <c r="CX23" s="3416"/>
    </row>
    <row r="24" spans="1:108">
      <c r="A24" s="517"/>
      <c r="B24" s="516" t="s">
        <v>359</v>
      </c>
      <c r="C24" s="2391">
        <f>C23/12</f>
        <v>40287455.118497021</v>
      </c>
      <c r="D24" s="2392" t="e">
        <f>D23/12</f>
        <v>#REF!</v>
      </c>
      <c r="E24" s="2391">
        <f t="shared" ref="E24:I24" si="4">E23/12</f>
        <v>2602991.2872023811</v>
      </c>
      <c r="F24" s="2391">
        <f t="shared" si="4"/>
        <v>12491670.266666666</v>
      </c>
      <c r="G24" s="2391">
        <f>G23/12</f>
        <v>2478265.2646279759</v>
      </c>
      <c r="H24" s="2391">
        <f t="shared" si="4"/>
        <v>0</v>
      </c>
      <c r="I24" s="2391">
        <f t="shared" si="4"/>
        <v>25317519.587202385</v>
      </c>
      <c r="J24" s="1890">
        <f>C23*1.12</f>
        <v>541463396.79260004</v>
      </c>
      <c r="BL24" s="2394"/>
      <c r="BM24" s="2394"/>
      <c r="BN24" s="2394"/>
      <c r="BO24" s="2394"/>
      <c r="BP24" s="2394"/>
      <c r="BQ24" s="2394"/>
      <c r="BR24" s="2394"/>
      <c r="BS24" s="2394"/>
      <c r="BT24" s="2394"/>
      <c r="BU24" s="2386"/>
      <c r="BV24" s="2384"/>
      <c r="BW24" s="2384"/>
      <c r="CH24" s="1898" t="e">
        <f>CH23/12</f>
        <v>#REF!</v>
      </c>
      <c r="CN24" s="1898" t="e">
        <f>CN23/12</f>
        <v>#REF!</v>
      </c>
      <c r="CO24" s="419" t="s">
        <v>439</v>
      </c>
      <c r="CQ24" s="2392" t="e">
        <f>CQ23/12</f>
        <v>#REF!</v>
      </c>
      <c r="CR24" s="2392" t="e">
        <f>CR23/12</f>
        <v>#REF!</v>
      </c>
      <c r="CV24" s="2392">
        <f>CV23/12</f>
        <v>17085071.226666667</v>
      </c>
      <c r="CW24" s="2392"/>
      <c r="CX24" s="2392"/>
    </row>
    <row r="25" spans="1:108">
      <c r="A25" s="517"/>
      <c r="B25" s="517" t="s">
        <v>440</v>
      </c>
      <c r="C25" s="2379">
        <v>15941.2</v>
      </c>
      <c r="D25" s="2388">
        <v>16815.8</v>
      </c>
      <c r="E25" s="1889"/>
      <c r="F25" s="1889">
        <f>C25</f>
        <v>15941.2</v>
      </c>
      <c r="G25" s="2396">
        <v>15941.2</v>
      </c>
      <c r="H25" s="2396"/>
      <c r="I25" s="2396"/>
      <c r="BL25" s="2394"/>
      <c r="BM25" s="2394"/>
      <c r="BN25" s="2394"/>
      <c r="BO25" s="2394"/>
      <c r="BP25" s="2394"/>
      <c r="BQ25" s="2394"/>
      <c r="BR25" s="2394"/>
      <c r="BS25" s="2394"/>
      <c r="BT25" s="2394"/>
      <c r="BU25" s="2386"/>
      <c r="BV25" s="2384"/>
      <c r="BW25" s="2384"/>
      <c r="CH25" s="2530">
        <f>D25</f>
        <v>16815.8</v>
      </c>
      <c r="CQ25" s="2395">
        <v>16815.8</v>
      </c>
      <c r="CR25" s="2395">
        <v>16815.8</v>
      </c>
      <c r="CV25" s="2388">
        <v>16815.8</v>
      </c>
      <c r="CW25" s="2388"/>
      <c r="CX25" s="2388"/>
    </row>
    <row r="26" spans="1:108">
      <c r="A26" s="517"/>
      <c r="B26" s="517" t="s">
        <v>441</v>
      </c>
      <c r="C26" s="2379">
        <v>15941.2</v>
      </c>
      <c r="D26" s="2388">
        <v>16859.7</v>
      </c>
      <c r="E26" s="1889"/>
      <c r="F26" s="1889">
        <f>C26</f>
        <v>15941.2</v>
      </c>
      <c r="G26" s="2396">
        <f>F26</f>
        <v>15941.2</v>
      </c>
      <c r="H26" s="2396">
        <f>F26</f>
        <v>15941.2</v>
      </c>
      <c r="I26" s="2396"/>
      <c r="BL26" s="2394"/>
      <c r="BM26" s="2394"/>
      <c r="BN26" s="2394"/>
      <c r="BO26" s="2394"/>
      <c r="BP26" s="2394"/>
      <c r="BQ26" s="2394"/>
      <c r="BR26" s="2394"/>
      <c r="BS26" s="2394"/>
      <c r="BT26" s="2394"/>
      <c r="BU26" s="2386"/>
      <c r="BV26" s="2384"/>
      <c r="BW26" s="2384"/>
      <c r="CH26" s="2530">
        <f t="shared" ref="CH26:CH27" si="5">D26</f>
        <v>16859.7</v>
      </c>
      <c r="CQ26" s="2395">
        <v>16859.7</v>
      </c>
      <c r="CR26" s="2395">
        <v>16859.7</v>
      </c>
      <c r="CV26" s="2388">
        <v>16859.7</v>
      </c>
      <c r="CW26" s="2388"/>
      <c r="CX26" s="2388"/>
    </row>
    <row r="27" spans="1:108">
      <c r="A27" s="517"/>
      <c r="B27" s="517" t="s">
        <v>442</v>
      </c>
      <c r="C27" s="2379">
        <v>4333.2</v>
      </c>
      <c r="D27" s="2920">
        <f>1369.5+1359.9+1350.8</f>
        <v>4080.2</v>
      </c>
      <c r="E27" s="2379">
        <f>C27</f>
        <v>4333.2</v>
      </c>
      <c r="F27" s="2379">
        <v>4333.2</v>
      </c>
      <c r="G27" s="2396"/>
      <c r="H27" s="2396"/>
      <c r="I27" s="2396">
        <f>F27</f>
        <v>4333.2</v>
      </c>
      <c r="BL27" s="2398" t="s">
        <v>414</v>
      </c>
      <c r="BM27" s="2394"/>
      <c r="BN27" s="2394"/>
      <c r="BO27" s="2394"/>
      <c r="BP27" s="2394"/>
      <c r="BQ27" s="2394"/>
      <c r="BR27" s="2394"/>
      <c r="BS27" s="2394"/>
      <c r="BT27" s="2394"/>
      <c r="BU27" s="2386"/>
      <c r="BV27" s="2384"/>
      <c r="BW27" s="2384"/>
      <c r="CH27" s="2530">
        <f t="shared" si="5"/>
        <v>4080.2</v>
      </c>
      <c r="CQ27" s="2397">
        <f>1369.5+1359.9+1350.8</f>
        <v>4080.2</v>
      </c>
      <c r="CR27" s="2397">
        <f>1369.5+1359.9+1350.8</f>
        <v>4080.2</v>
      </c>
      <c r="CV27" s="2920">
        <f>1369.5+1359.9+1350.8</f>
        <v>4080.2</v>
      </c>
      <c r="CW27" s="2920"/>
      <c r="CX27" s="2920"/>
    </row>
    <row r="28" spans="1:108">
      <c r="A28" s="517"/>
      <c r="B28" s="516" t="s">
        <v>361</v>
      </c>
      <c r="C28" s="2391">
        <f t="shared" ref="C28:I28" si="6">SUM(C25:C27)</f>
        <v>36215.599999999999</v>
      </c>
      <c r="D28" s="2392">
        <f>SUM(D25:D27)</f>
        <v>37755.699999999997</v>
      </c>
      <c r="E28" s="2391">
        <f t="shared" si="6"/>
        <v>4333.2</v>
      </c>
      <c r="F28" s="2391">
        <f t="shared" si="6"/>
        <v>36215.599999999999</v>
      </c>
      <c r="G28" s="2391">
        <f t="shared" si="6"/>
        <v>31882.400000000001</v>
      </c>
      <c r="H28" s="2391">
        <f t="shared" si="6"/>
        <v>15941.2</v>
      </c>
      <c r="I28" s="2391">
        <f t="shared" si="6"/>
        <v>4333.2</v>
      </c>
      <c r="BL28" s="2390" t="s">
        <v>410</v>
      </c>
      <c r="BM28" s="2390" t="s">
        <v>214</v>
      </c>
      <c r="BN28" s="2390" t="s">
        <v>411</v>
      </c>
      <c r="BO28" s="2390" t="s">
        <v>410</v>
      </c>
      <c r="BP28" s="2390" t="s">
        <v>214</v>
      </c>
      <c r="BQ28" s="2390" t="s">
        <v>411</v>
      </c>
      <c r="BR28" s="2390" t="s">
        <v>410</v>
      </c>
      <c r="BS28" s="2390" t="s">
        <v>214</v>
      </c>
      <c r="BT28" s="2390" t="s">
        <v>411</v>
      </c>
      <c r="BU28" s="2386"/>
      <c r="BV28" s="2384"/>
      <c r="BW28" s="2384"/>
      <c r="CH28" s="1895">
        <f>D28</f>
        <v>37755.699999999997</v>
      </c>
      <c r="CN28" s="1895">
        <f>D28</f>
        <v>37755.699999999997</v>
      </c>
      <c r="CQ28" s="2392">
        <f>SUM(CQ25:CQ27)</f>
        <v>37755.699999999997</v>
      </c>
      <c r="CR28" s="2392">
        <f>SUM(CR25:CR27)</f>
        <v>37755.699999999997</v>
      </c>
      <c r="CV28" s="2392">
        <f>SUM(CV25:CV27)</f>
        <v>37755.699999999997</v>
      </c>
      <c r="CW28" s="2392"/>
      <c r="CX28" s="2392"/>
    </row>
    <row r="29" spans="1:108">
      <c r="A29" s="517"/>
      <c r="B29" s="517" t="s">
        <v>415</v>
      </c>
      <c r="C29" s="2388"/>
      <c r="D29" s="2388" t="e">
        <f>ROUND(D24/D28,2)</f>
        <v>#REF!</v>
      </c>
      <c r="E29" s="2388">
        <f>E24/E28</f>
        <v>600.70878039379238</v>
      </c>
      <c r="F29" s="2388">
        <f>F24/F28</f>
        <v>344.92512250705954</v>
      </c>
      <c r="G29" s="2388">
        <f>G24/(F25+F26)</f>
        <v>77.731452607958488</v>
      </c>
      <c r="H29" s="2388">
        <f>H24/H28</f>
        <v>0</v>
      </c>
      <c r="I29" s="2388">
        <f>I24/I28</f>
        <v>5842.6842950250129</v>
      </c>
      <c r="BL29" s="2400" t="e">
        <f>D29*D28*1.12*12</f>
        <v>#REF!</v>
      </c>
      <c r="BM29" s="2394"/>
      <c r="BN29" s="2394"/>
      <c r="BO29" s="2400">
        <f>'[60]Кальк Турк'!D31*1.12*'[60]Кальк Турк'!D30*6</f>
        <v>40802022.374400005</v>
      </c>
      <c r="BP29" s="2400">
        <f>BO29-BQ29</f>
        <v>4371645.2544000074</v>
      </c>
      <c r="BQ29" s="2400">
        <f>'[60]Кальк Турк'!D31*'[60]Кальк Турк'!D30*6</f>
        <v>36430377.119999997</v>
      </c>
      <c r="BR29" s="2400"/>
      <c r="BS29" s="2400"/>
      <c r="BT29" s="2400"/>
      <c r="BU29" s="2386" t="e">
        <f>D24/D28</f>
        <v>#REF!</v>
      </c>
      <c r="BV29" s="2384"/>
      <c r="BW29" s="2384"/>
      <c r="CH29" s="419" t="e">
        <f>ROUND(CH24/CH28,2)</f>
        <v>#REF!</v>
      </c>
      <c r="CQ29" s="2399" t="e">
        <f>ROUND(CQ24/CQ28,2)</f>
        <v>#REF!</v>
      </c>
      <c r="CR29" s="2399" t="e">
        <f>ROUND(CR24/CR28,2)</f>
        <v>#REF!</v>
      </c>
      <c r="CV29" s="2388">
        <f>ROUND(CV24/CV28,2)</f>
        <v>452.52</v>
      </c>
      <c r="CW29" s="2388"/>
      <c r="CX29" s="2388"/>
    </row>
    <row r="30" spans="1:108" hidden="1">
      <c r="A30" s="517"/>
      <c r="B30" s="517" t="s">
        <v>416</v>
      </c>
      <c r="C30" s="2388"/>
      <c r="D30" s="2388"/>
      <c r="E30" s="2388"/>
      <c r="F30" s="2388"/>
      <c r="G30" s="2388"/>
      <c r="H30" s="2388"/>
      <c r="I30" s="2388"/>
      <c r="BL30" s="2400">
        <f>D30*1.12*D28*12</f>
        <v>0</v>
      </c>
      <c r="BM30" s="2400">
        <f>BL30-BN30</f>
        <v>0</v>
      </c>
      <c r="BN30" s="2400">
        <f>D30*D28*12</f>
        <v>0</v>
      </c>
      <c r="BO30" s="2400">
        <f>'[60]Кальк Турк'!D32*1.12*'[60]Кальк Турк'!D30*6</f>
        <v>4825835.7504000003</v>
      </c>
      <c r="BP30" s="2400">
        <f>BO30-BQ30</f>
        <v>517053.83040000033</v>
      </c>
      <c r="BQ30" s="2400">
        <f>'[60]Кальк Турк'!D32*6*'[60]Кальк Турк'!D30</f>
        <v>4308781.92</v>
      </c>
      <c r="BR30" s="2400"/>
      <c r="BS30" s="2400"/>
      <c r="BT30" s="2400"/>
      <c r="BU30" s="2386">
        <f>D30</f>
        <v>0</v>
      </c>
      <c r="BV30" s="2384"/>
      <c r="BW30" s="2384"/>
      <c r="CQ30" s="2399"/>
      <c r="CR30" s="2399"/>
      <c r="CV30" s="2388"/>
      <c r="CW30" s="2388"/>
      <c r="CX30" s="2388"/>
    </row>
    <row r="31" spans="1:108">
      <c r="A31" s="517"/>
      <c r="B31" s="516" t="s">
        <v>417</v>
      </c>
      <c r="C31" s="2392"/>
      <c r="D31" s="2392" t="e">
        <f>D30+D29</f>
        <v>#REF!</v>
      </c>
      <c r="E31" s="2388"/>
      <c r="F31" s="2388"/>
      <c r="G31" s="2388"/>
      <c r="H31" s="2388"/>
      <c r="I31" s="2388"/>
      <c r="BL31" s="2400"/>
      <c r="BM31" s="2393"/>
      <c r="BN31" s="2394"/>
      <c r="BO31" s="2400"/>
      <c r="BP31" s="2393"/>
      <c r="BQ31" s="2394"/>
      <c r="BR31" s="2400"/>
      <c r="BS31" s="2393"/>
      <c r="BT31" s="2394"/>
      <c r="BU31" s="2386" t="e">
        <f>SUM(BU29:BU30)</f>
        <v>#REF!</v>
      </c>
      <c r="BV31" s="2384"/>
      <c r="BW31" s="2384"/>
      <c r="CQ31" s="2401" t="e">
        <f>CQ30+CQ29</f>
        <v>#REF!</v>
      </c>
      <c r="CR31" s="2401" t="e">
        <f>CR30+CR29</f>
        <v>#REF!</v>
      </c>
      <c r="CV31" s="2392">
        <f>CV30+CV29</f>
        <v>452.52</v>
      </c>
      <c r="CW31" s="2392"/>
      <c r="CX31" s="2392"/>
    </row>
    <row r="32" spans="1:108">
      <c r="A32" s="517"/>
      <c r="B32" s="517" t="s">
        <v>363</v>
      </c>
      <c r="C32" s="2388"/>
      <c r="D32" s="2388" t="e">
        <f>ROUND(D31*12%,2)</f>
        <v>#REF!</v>
      </c>
      <c r="E32" s="1893">
        <f>E29*12%</f>
        <v>72.08505364725508</v>
      </c>
      <c r="F32" s="1893">
        <f>F29*12%</f>
        <v>41.391014700847144</v>
      </c>
      <c r="G32" s="1894">
        <f>G29*12%</f>
        <v>9.3277743129550181</v>
      </c>
      <c r="H32" s="1894">
        <f>H29*12%</f>
        <v>0</v>
      </c>
      <c r="I32" s="1894">
        <f>I29*12%</f>
        <v>701.12211540300154</v>
      </c>
      <c r="BL32" s="2394"/>
      <c r="BM32" s="2394"/>
      <c r="BN32" s="2394"/>
      <c r="BO32" s="2394"/>
      <c r="BP32" s="2394"/>
      <c r="BQ32" s="2394"/>
      <c r="BR32" s="2394"/>
      <c r="BS32" s="2394"/>
      <c r="BT32" s="2394"/>
      <c r="BU32" s="2386" t="e">
        <f>BU31*12%</f>
        <v>#REF!</v>
      </c>
      <c r="BV32" s="2384"/>
      <c r="BW32" s="2384"/>
      <c r="CH32" s="1680"/>
      <c r="CQ32" s="2395" t="e">
        <f>ROUND(CQ31*12%,2)</f>
        <v>#REF!</v>
      </c>
      <c r="CR32" s="2395" t="e">
        <f>ROUND(CR31*12%,2)</f>
        <v>#REF!</v>
      </c>
      <c r="CV32" s="2388">
        <f>ROUND(CV31*12%,2)</f>
        <v>54.3</v>
      </c>
      <c r="CW32" s="2388"/>
      <c r="CX32" s="2388"/>
    </row>
    <row r="33" spans="1:103">
      <c r="A33" s="517"/>
      <c r="B33" s="517" t="s">
        <v>443</v>
      </c>
      <c r="C33" s="2392"/>
      <c r="D33" s="3419" t="e">
        <f>D32+D31</f>
        <v>#REF!</v>
      </c>
      <c r="E33" s="1896">
        <f>E32+E29</f>
        <v>672.79383404104749</v>
      </c>
      <c r="F33" s="1896">
        <f>F32+F29</f>
        <v>386.31613720790671</v>
      </c>
      <c r="G33" s="1897">
        <f>G32+G29</f>
        <v>87.059226920913503</v>
      </c>
      <c r="H33" s="1897">
        <f>H32+H29</f>
        <v>0</v>
      </c>
      <c r="I33" s="1897">
        <f>I32+I29</f>
        <v>6543.8064104280147</v>
      </c>
      <c r="J33" s="664" t="s">
        <v>365</v>
      </c>
      <c r="BL33" s="2400" t="e">
        <f>D33*D28*12</f>
        <v>#REF!</v>
      </c>
      <c r="BM33" s="2400" t="e">
        <f>BL33-BN33</f>
        <v>#REF!</v>
      </c>
      <c r="BN33" s="2400" t="e">
        <f>D31*D28*12</f>
        <v>#REF!</v>
      </c>
      <c r="BO33" s="2400">
        <f>'[60]Кальк Турк'!D35*'[60]Кальк Турк'!D30*6</f>
        <v>45628206.719999999</v>
      </c>
      <c r="BP33" s="2400">
        <f>BO33-BQ33</f>
        <v>4889047.68</v>
      </c>
      <c r="BQ33" s="2400">
        <f>'[60]Кальк Турк'!D33*6*'[60]Кальк Турк'!D30</f>
        <v>40739159.039999999</v>
      </c>
      <c r="BR33" s="2400"/>
      <c r="BS33" s="2400"/>
      <c r="BT33" s="2400" t="e">
        <f>'[60]Кальк Турк'!G33*6*'[60]Кальк Турк'!G30</f>
        <v>#REF!</v>
      </c>
      <c r="BU33" s="2386" t="e">
        <f>BU31+BU32</f>
        <v>#REF!</v>
      </c>
      <c r="BV33" s="2384"/>
      <c r="BW33" s="2384"/>
      <c r="CH33" s="1898"/>
      <c r="CI33" s="2507"/>
      <c r="CN33" s="419" t="e">
        <f>CN24/CN28</f>
        <v>#REF!</v>
      </c>
      <c r="CQ33" s="2401" t="e">
        <f>CQ32+CQ31</f>
        <v>#REF!</v>
      </c>
      <c r="CR33" s="2401" t="e">
        <f>CR32+CR31</f>
        <v>#REF!</v>
      </c>
      <c r="CV33" s="2392">
        <f>CV32+CV31</f>
        <v>506.82</v>
      </c>
      <c r="CW33" s="3416" t="e">
        <f>(D33-CV33)/CV33</f>
        <v>#REF!</v>
      </c>
      <c r="CX33" s="3416"/>
      <c r="CY33" s="2708">
        <v>473.37</v>
      </c>
    </row>
    <row r="34" spans="1:103">
      <c r="A34" s="517"/>
      <c r="B34" s="517" t="s">
        <v>395</v>
      </c>
      <c r="C34" s="1899">
        <f>SUM(F34:I34)</f>
        <v>22560974.866358336</v>
      </c>
      <c r="D34" s="2921" t="e">
        <f>ROUND(D33*(D25+D27),0)</f>
        <v>#REF!</v>
      </c>
      <c r="E34" s="2396">
        <f>E33*(E27/2)</f>
        <v>1457675.1208333333</v>
      </c>
      <c r="F34" s="2396">
        <f>F36/12</f>
        <v>6995335.3493333338</v>
      </c>
      <c r="G34" s="2396">
        <f>G36/12</f>
        <v>1387828.5481916664</v>
      </c>
      <c r="H34" s="2396"/>
      <c r="I34" s="2396">
        <f>I36/12</f>
        <v>14177810.968833337</v>
      </c>
      <c r="J34" s="664" t="s">
        <v>396</v>
      </c>
      <c r="BL34" s="2394"/>
      <c r="BM34" s="2394"/>
      <c r="BN34" s="2394"/>
      <c r="BO34" s="2394"/>
      <c r="BP34" s="2394"/>
      <c r="BQ34" s="2394"/>
      <c r="BR34" s="2394"/>
      <c r="BS34" s="2394"/>
      <c r="BT34" s="2394"/>
      <c r="BU34" s="2386" t="e">
        <f>D33*(D25+D27/2)</f>
        <v>#REF!</v>
      </c>
      <c r="BV34" s="2384"/>
      <c r="BW34" s="2384"/>
      <c r="CH34" s="2507" t="e">
        <f>ROUND(CH29*(CH25+CH27),0)</f>
        <v>#REF!</v>
      </c>
      <c r="CN34" s="2507" t="e">
        <f>CN33*(D25+D27)</f>
        <v>#REF!</v>
      </c>
      <c r="CQ34" s="2402" t="e">
        <f>ROUND(CQ33*(CQ25+CQ27),0)</f>
        <v>#REF!</v>
      </c>
      <c r="CR34" s="2402" t="e">
        <f>ROUND(CR33*(CR25+CR27),0)</f>
        <v>#REF!</v>
      </c>
      <c r="CV34" s="2396">
        <f>ROUND(CV33*(CV25+CV27),0)</f>
        <v>10590511</v>
      </c>
      <c r="CW34" s="2396"/>
      <c r="CX34" s="2396"/>
    </row>
    <row r="35" spans="1:103">
      <c r="A35" s="517"/>
      <c r="B35" s="517" t="s">
        <v>444</v>
      </c>
      <c r="C35" s="1899">
        <f>SUM(F35:I35)</f>
        <v>22560974.866358336</v>
      </c>
      <c r="D35" s="2921" t="e">
        <f>ROUND(D33*(D26),0)</f>
        <v>#REF!</v>
      </c>
      <c r="E35" s="2396">
        <f>E33*(E27/2)</f>
        <v>1457675.1208333333</v>
      </c>
      <c r="F35" s="2396">
        <f>F37/12</f>
        <v>6995335.3493333338</v>
      </c>
      <c r="G35" s="2396">
        <f>G37/12</f>
        <v>1387828.5481916664</v>
      </c>
      <c r="H35" s="2396">
        <f>H37/12</f>
        <v>0</v>
      </c>
      <c r="I35" s="2396">
        <f>I37/12</f>
        <v>14177810.968833337</v>
      </c>
      <c r="J35" s="664"/>
      <c r="BL35" s="2394"/>
      <c r="BM35" s="2394"/>
      <c r="BN35" s="2394"/>
      <c r="BO35" s="2394"/>
      <c r="BP35" s="2394"/>
      <c r="BQ35" s="2394"/>
      <c r="BR35" s="2394"/>
      <c r="BS35" s="2394"/>
      <c r="BT35" s="2394"/>
      <c r="BU35" s="2386" t="e">
        <f>D33*(D26+D27/2)</f>
        <v>#REF!</v>
      </c>
      <c r="BV35" s="2384"/>
      <c r="BW35" s="2384"/>
      <c r="CH35" s="2507" t="e">
        <f>CH29*CH26</f>
        <v>#REF!</v>
      </c>
      <c r="CN35" s="2507" t="e">
        <f>D26*CN33</f>
        <v>#REF!</v>
      </c>
      <c r="CQ35" s="2402" t="e">
        <f>ROUND(CQ33*(CQ26),0)</f>
        <v>#REF!</v>
      </c>
      <c r="CR35" s="2402" t="e">
        <f>ROUND(CR33*(CR26),0)</f>
        <v>#REF!</v>
      </c>
      <c r="CT35" s="1898"/>
      <c r="CV35" s="2396">
        <f>ROUND(CV33*(CV26),0)</f>
        <v>8544833</v>
      </c>
      <c r="CW35" s="2396"/>
      <c r="CX35" s="2396"/>
    </row>
    <row r="36" spans="1:103" s="1887" customFormat="1" ht="31.5">
      <c r="A36" s="1886"/>
      <c r="B36" s="1886" t="s">
        <v>445</v>
      </c>
      <c r="C36" s="1899">
        <f>SUM(F36:I36)</f>
        <v>270731698.39630008</v>
      </c>
      <c r="D36" s="2922" t="e">
        <f>ROUND(D34*12,0)</f>
        <v>#REF!</v>
      </c>
      <c r="E36" s="1900">
        <f>E34*12</f>
        <v>17492101.449999999</v>
      </c>
      <c r="F36" s="1900">
        <f>F33*F25*12+F27/2*F33*12</f>
        <v>83944024.192000002</v>
      </c>
      <c r="G36" s="1900">
        <f>G33*G25*12</f>
        <v>16653942.578299996</v>
      </c>
      <c r="H36" s="1900"/>
      <c r="I36" s="1900">
        <f>I33*I27/2*12</f>
        <v>170133731.62600005</v>
      </c>
      <c r="J36" s="2404" t="s">
        <v>398</v>
      </c>
      <c r="K36" s="1901"/>
      <c r="BL36" s="2405" t="e">
        <f>D36+D37+#REF!</f>
        <v>#REF!</v>
      </c>
      <c r="BM36" s="2406"/>
      <c r="BN36" s="2406"/>
      <c r="BO36" s="2405">
        <f>'[60]Кальк Турк'!D39+'[60]Кальк Турк'!D38</f>
        <v>45628206.719999999</v>
      </c>
      <c r="BP36" s="2406"/>
      <c r="BQ36" s="2406"/>
      <c r="BR36" s="2405">
        <f>'[60]Кальк МШ Ор'!C33</f>
        <v>51843555.659999996</v>
      </c>
      <c r="BS36" s="2406"/>
      <c r="BT36" s="2406"/>
      <c r="BU36" s="2407"/>
      <c r="BV36" s="2408"/>
      <c r="BW36" s="2408"/>
      <c r="CH36" s="2957" t="e">
        <f>CH34*12</f>
        <v>#REF!</v>
      </c>
      <c r="CN36" s="2957" t="e">
        <f>CN34*12</f>
        <v>#REF!</v>
      </c>
      <c r="CQ36" s="2403" t="e">
        <f>ROUND(CQ34*11,0)</f>
        <v>#REF!</v>
      </c>
      <c r="CR36" s="2403" t="e">
        <f>ROUND(CR34*11,0)</f>
        <v>#REF!</v>
      </c>
      <c r="CV36" s="3393">
        <f>ROUND(CV34*12,0)</f>
        <v>127086132</v>
      </c>
      <c r="CW36" s="3393"/>
      <c r="CX36" s="3393"/>
    </row>
    <row r="37" spans="1:103" s="1887" customFormat="1">
      <c r="A37" s="1886"/>
      <c r="B37" s="1886" t="s">
        <v>446</v>
      </c>
      <c r="C37" s="1899">
        <f>SUM(F37:I37)</f>
        <v>270731698.39630008</v>
      </c>
      <c r="D37" s="2922" t="e">
        <f>ROUND(D35*12,0)</f>
        <v>#REF!</v>
      </c>
      <c r="E37" s="1900">
        <f>E35*12</f>
        <v>17492101.449999999</v>
      </c>
      <c r="F37" s="1900">
        <f>F33*F26*12+F27/2*F33*12</f>
        <v>83944024.192000002</v>
      </c>
      <c r="G37" s="1900">
        <f>G33*G26*12+G27/2*G33*12</f>
        <v>16653942.578299996</v>
      </c>
      <c r="H37" s="1900">
        <f>H33*H26*12</f>
        <v>0</v>
      </c>
      <c r="I37" s="1900">
        <f>I33*I27/2*12</f>
        <v>170133731.62600005</v>
      </c>
      <c r="J37" s="2404" t="s">
        <v>447</v>
      </c>
      <c r="K37" s="1901"/>
      <c r="BL37" s="2408"/>
      <c r="BM37" s="2408"/>
      <c r="BN37" s="2408"/>
      <c r="BO37" s="2408"/>
      <c r="BP37" s="2408"/>
      <c r="BQ37" s="2408"/>
      <c r="BR37" s="2409" t="e">
        <f>BR36+BO36+BL36</f>
        <v>#REF!</v>
      </c>
      <c r="BS37" s="2408"/>
      <c r="BT37" s="2408"/>
      <c r="BU37" s="2407"/>
      <c r="BV37" s="2408"/>
      <c r="BW37" s="2408"/>
      <c r="CH37" s="2957" t="e">
        <f>CH35*12</f>
        <v>#REF!</v>
      </c>
      <c r="CI37" s="1887">
        <v>99137059.200000003</v>
      </c>
      <c r="CJ37" s="2957" t="e">
        <f>CH37-CI37</f>
        <v>#REF!</v>
      </c>
      <c r="CN37" s="2957" t="e">
        <f>CN35*12</f>
        <v>#REF!</v>
      </c>
      <c r="CQ37" s="2403" t="e">
        <f>ROUND(CQ35*11,0)</f>
        <v>#REF!</v>
      </c>
      <c r="CR37" s="2403" t="e">
        <f>ROUND(CR35*11,0)</f>
        <v>#REF!</v>
      </c>
      <c r="CV37" s="3393">
        <f>ROUND(CV35*12,0)</f>
        <v>102537996</v>
      </c>
      <c r="CW37" s="3393"/>
      <c r="CX37" s="3393"/>
    </row>
    <row r="38" spans="1:103" s="1887" customFormat="1">
      <c r="C38" s="1902"/>
      <c r="D38" s="1902"/>
      <c r="F38" s="1903"/>
      <c r="G38" s="1905"/>
      <c r="H38" s="1905"/>
      <c r="I38" s="1904"/>
      <c r="J38" s="2410"/>
      <c r="K38" s="1901"/>
      <c r="BL38" s="2411" t="e">
        <f>D33-'[60]Кальк31 ул (2)'!D34</f>
        <v>#REF!</v>
      </c>
      <c r="BM38" s="2411"/>
      <c r="BN38" s="2408"/>
      <c r="BO38" s="2411"/>
      <c r="BP38" s="2408"/>
      <c r="BQ38" s="2408"/>
      <c r="BR38" s="2408"/>
      <c r="BS38" s="2408"/>
      <c r="BT38" s="2408"/>
      <c r="BU38" s="2407">
        <v>52684281.960000001</v>
      </c>
      <c r="BV38" s="2408">
        <f>'[60]Кальк31 ул (Адм Корп)'!D33</f>
        <v>44887040.400000006</v>
      </c>
      <c r="BW38" s="2411">
        <f>BU38-BV38</f>
        <v>7797241.5599999949</v>
      </c>
      <c r="CN38" s="2958" t="e">
        <f>SUM(CN36:CN37)</f>
        <v>#REF!</v>
      </c>
    </row>
    <row r="39" spans="1:103">
      <c r="A39" s="2042"/>
      <c r="B39" s="2708" t="s">
        <v>23</v>
      </c>
      <c r="D39" s="2980" t="s">
        <v>448</v>
      </c>
      <c r="E39" s="1906" t="s">
        <v>369</v>
      </c>
      <c r="H39" s="1906"/>
      <c r="I39" s="1906"/>
      <c r="BL39" s="1890" t="e">
        <f>D36-'[60]Кальк31 ул (2)'!D38</f>
        <v>#REF!</v>
      </c>
    </row>
    <row r="40" spans="1:103" ht="17.25" customHeight="1">
      <c r="A40" s="2042"/>
      <c r="B40" s="2708"/>
      <c r="C40" s="1890"/>
      <c r="D40" s="2978"/>
      <c r="E40" s="1884"/>
      <c r="BL40" s="1895" t="e">
        <f>BL39*2</f>
        <v>#REF!</v>
      </c>
      <c r="BM40" s="1895">
        <v>489.39</v>
      </c>
      <c r="BO40" s="1895"/>
    </row>
    <row r="41" spans="1:103" hidden="1">
      <c r="A41" s="2042"/>
      <c r="B41" s="2708" t="s">
        <v>449</v>
      </c>
      <c r="D41" s="2981" t="s">
        <v>450</v>
      </c>
      <c r="E41" s="1906"/>
      <c r="H41" s="1906"/>
      <c r="I41" s="1906"/>
      <c r="BL41" s="1895" t="e">
        <f>BL40-BO14</f>
        <v>#REF!</v>
      </c>
      <c r="BM41" s="1895">
        <f>BM40*1.12</f>
        <v>548.11680000000001</v>
      </c>
      <c r="CH41" s="2507" t="e">
        <f>CH36+CH37+#REF!</f>
        <v>#REF!</v>
      </c>
    </row>
    <row r="42" spans="1:103">
      <c r="A42" s="2042"/>
      <c r="B42" s="2708"/>
      <c r="D42" s="2979"/>
      <c r="E42" s="1906" t="s">
        <v>374</v>
      </c>
      <c r="H42" s="1906"/>
      <c r="I42" s="1906"/>
      <c r="BL42" s="1895"/>
      <c r="BO42" s="1890"/>
      <c r="CH42" s="1680">
        <v>288374421</v>
      </c>
    </row>
    <row r="43" spans="1:103">
      <c r="A43" s="2042"/>
      <c r="B43" s="2708" t="s">
        <v>451</v>
      </c>
      <c r="C43" s="2708"/>
      <c r="D43" s="2981" t="s">
        <v>452</v>
      </c>
      <c r="E43" s="1884"/>
      <c r="BM43" s="1895">
        <f>D25+D26+D27+3222.12</f>
        <v>40977.82</v>
      </c>
      <c r="CH43" s="2507" t="e">
        <f>CH42-CH41</f>
        <v>#REF!</v>
      </c>
    </row>
    <row r="44" spans="1:103">
      <c r="A44" s="2042"/>
      <c r="D44" s="2098"/>
      <c r="E44" s="1906" t="s">
        <v>377</v>
      </c>
      <c r="BM44" s="1895">
        <f>13674.8-3222.12</f>
        <v>10452.68</v>
      </c>
    </row>
    <row r="45" spans="1:103">
      <c r="C45" s="1903"/>
      <c r="BM45" s="1895">
        <v>596.74</v>
      </c>
    </row>
    <row r="46" spans="1:103">
      <c r="B46" s="2708" t="s">
        <v>375</v>
      </c>
      <c r="C46" s="1890"/>
      <c r="D46" s="2981" t="s">
        <v>453</v>
      </c>
      <c r="BM46" s="1895">
        <f>BM45*BM44</f>
        <v>6237532.2631999999</v>
      </c>
    </row>
    <row r="47" spans="1:103">
      <c r="C47" s="1890">
        <f>C23*1.12-C36-C37</f>
        <v>0</v>
      </c>
      <c r="D47" s="1680"/>
      <c r="F47" s="1890">
        <f>F23*1.12-F36-F37</f>
        <v>0</v>
      </c>
      <c r="G47" s="1890">
        <f>G23*1.12-G36-G37</f>
        <v>0</v>
      </c>
      <c r="H47" s="1890">
        <f>H23*1.12-H36-H37</f>
        <v>0</v>
      </c>
      <c r="I47" s="1890">
        <f>I23*1.12-I36-I37</f>
        <v>0</v>
      </c>
      <c r="BM47" s="1895">
        <f>BM46*12</f>
        <v>74850387.158399999</v>
      </c>
    </row>
    <row r="48" spans="1:103">
      <c r="C48" s="1890">
        <f>C36+C37+'[63]Калькуляция Туркестан'!C36+'[63]Калькуляция Туркестан'!C37+'[63]Калькуляция МШ Орынбор'!C31+'[63]Калькуляция АБ'!C33</f>
        <v>978830241.72180617</v>
      </c>
      <c r="D48" s="2507">
        <v>473.37</v>
      </c>
    </row>
    <row r="49" spans="3:6">
      <c r="C49" s="1890">
        <f>C48/1.12</f>
        <v>873955572.96589828</v>
      </c>
      <c r="D49" s="1680"/>
      <c r="F49" s="1890">
        <f>C56*C25*12</f>
        <v>10729806.251570392</v>
      </c>
    </row>
    <row r="50" spans="3:6">
      <c r="C50" s="1890">
        <f>SUM(C11:C14)+SUM(C15:C22)*1.12</f>
        <v>488064333.7766</v>
      </c>
      <c r="D50" s="2507"/>
    </row>
    <row r="51" spans="3:6">
      <c r="C51" s="1890">
        <f>C50+'[63]Калькуляция Туркестан'!C49+'[63]Калькуляция МШ Орынбор'!C49+'[63]Калькуляция АБ'!C51</f>
        <v>899476461.64980614</v>
      </c>
    </row>
    <row r="52" spans="3:6">
      <c r="C52" s="1890">
        <f>C51-'[62]Бюджет Адм+школы new'!$W$79</f>
        <v>39856754.610865116</v>
      </c>
    </row>
    <row r="56" spans="3:6">
      <c r="C56" s="419">
        <f>'[60]ФОТ ауп'!AM58/('Кальк31 ул (31)'!C25+'Кальк31 ул (31)'!C26+'Кальк31 ул (31)'!C27+'[60]Кальк Турк'!C26+'[60]Кальк МШ Ор'!C25)/12</f>
        <v>56.090540295849713</v>
      </c>
    </row>
  </sheetData>
  <mergeCells count="1">
    <mergeCell ref="A7:CX7"/>
  </mergeCells>
  <pageMargins left="0.39370078740157483" right="0.19685039370078741" top="0.51181102362204722" bottom="0.23622047244094491" header="0.47244094488188981" footer="0.31496062992125984"/>
  <pageSetup paperSize="9"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  <pageSetUpPr fitToPage="1"/>
  </sheetPr>
  <dimension ref="A1:BQ56"/>
  <sheetViews>
    <sheetView topLeftCell="A8" zoomScaleSheetLayoutView="100" workbookViewId="0">
      <selection sqref="A1:C46"/>
    </sheetView>
  </sheetViews>
  <sheetFormatPr defaultColWidth="9.140625" defaultRowHeight="15.75" outlineLevelRow="1"/>
  <cols>
    <col min="1" max="1" width="6.5703125" style="419" customWidth="1"/>
    <col min="2" max="2" width="66.28515625" style="419" customWidth="1"/>
    <col min="3" max="3" width="26.85546875" style="2424" customWidth="1"/>
    <col min="4" max="4" width="15.42578125" style="419" hidden="1" customWidth="1"/>
    <col min="5" max="5" width="16" style="419" hidden="1" customWidth="1"/>
    <col min="6" max="6" width="15.7109375" style="419" hidden="1" customWidth="1"/>
    <col min="7" max="19" width="9.140625" style="419" hidden="1" customWidth="1"/>
    <col min="20" max="57" width="0" style="419" hidden="1" customWidth="1"/>
    <col min="58" max="59" width="20.140625" style="419" hidden="1" customWidth="1"/>
    <col min="60" max="60" width="16" style="419" hidden="1" customWidth="1"/>
    <col min="61" max="61" width="16.5703125" style="419" hidden="1" customWidth="1"/>
    <col min="62" max="62" width="14.85546875" style="419" hidden="1" customWidth="1"/>
    <col min="63" max="63" width="5.5703125" style="419" hidden="1" customWidth="1"/>
    <col min="64" max="64" width="5.7109375" style="419" hidden="1" customWidth="1"/>
    <col min="65" max="65" width="6.140625" style="419" hidden="1" customWidth="1"/>
    <col min="66" max="66" width="9.5703125" style="419" hidden="1" customWidth="1"/>
    <col min="67" max="68" width="18.7109375" style="419" hidden="1" customWidth="1"/>
    <col min="69" max="69" width="42.42578125" style="1680" customWidth="1"/>
    <col min="70" max="16384" width="9.140625" style="419"/>
  </cols>
  <sheetData>
    <row r="1" spans="1:69">
      <c r="C1" s="2413" t="s">
        <v>337</v>
      </c>
    </row>
    <row r="2" spans="1:69">
      <c r="C2" s="2413" t="s">
        <v>338</v>
      </c>
    </row>
    <row r="3" spans="1:69">
      <c r="C3" s="2413" t="s">
        <v>339</v>
      </c>
    </row>
    <row r="4" spans="1:69">
      <c r="C4" s="2413" t="s">
        <v>340</v>
      </c>
    </row>
    <row r="5" spans="1:69">
      <c r="C5" s="2413" t="s">
        <v>341</v>
      </c>
    </row>
    <row r="7" spans="1:69" ht="31.9" customHeight="1">
      <c r="A7" s="3914" t="s">
        <v>454</v>
      </c>
      <c r="B7" s="3914"/>
      <c r="C7" s="3914"/>
    </row>
    <row r="9" spans="1:69">
      <c r="A9" s="419" t="s">
        <v>384</v>
      </c>
      <c r="C9" s="2414" t="s">
        <v>254</v>
      </c>
    </row>
    <row r="10" spans="1:69" s="1887" customFormat="1" ht="125.45" customHeight="1">
      <c r="A10" s="1886" t="s">
        <v>34</v>
      </c>
      <c r="B10" s="1013" t="s">
        <v>344</v>
      </c>
      <c r="C10" s="2415" t="s">
        <v>455</v>
      </c>
      <c r="BQ10" s="2771"/>
    </row>
    <row r="11" spans="1:69">
      <c r="A11" s="517">
        <v>1</v>
      </c>
      <c r="B11" s="517" t="s">
        <v>346</v>
      </c>
      <c r="C11" s="2416">
        <f>'штатка АУП'!Q9+'штатка АУП'!T9+'штатка АУП'!U9</f>
        <v>41977404</v>
      </c>
      <c r="BF11" s="1895">
        <f>'штатка АУП'!Q9+'штатка АУП'!T9+'штатка АУП'!U9</f>
        <v>41977404</v>
      </c>
      <c r="BG11" s="1890">
        <f>'штатка АУП'!Q9+'штатка АУП'!T9+'штатка АУП'!U9</f>
        <v>41977404</v>
      </c>
      <c r="BI11" s="1890"/>
      <c r="BJ11" s="1890"/>
      <c r="BQ11" s="1680">
        <f>'штатка АУП'!Q9+'штатка АУП'!T9+'штатка АУП'!U9</f>
        <v>41977404</v>
      </c>
    </row>
    <row r="12" spans="1:69">
      <c r="A12" s="517">
        <v>2</v>
      </c>
      <c r="B12" s="517" t="s">
        <v>347</v>
      </c>
      <c r="C12" s="2388" t="e">
        <f>#REF!</f>
        <v>#REF!</v>
      </c>
      <c r="BF12" s="1895" t="e">
        <f>#REF!+#REF!</f>
        <v>#REF!</v>
      </c>
      <c r="BI12" s="1890"/>
      <c r="BJ12" s="1890"/>
      <c r="BQ12" s="1680" t="e">
        <f>#REF!+#REF!</f>
        <v>#REF!</v>
      </c>
    </row>
    <row r="13" spans="1:69">
      <c r="A13" s="517">
        <v>3</v>
      </c>
      <c r="B13" s="517" t="s">
        <v>348</v>
      </c>
      <c r="C13" s="2388" t="e">
        <f>#REF!</f>
        <v>#REF!</v>
      </c>
      <c r="BF13" s="1895" t="e">
        <f>#REF!</f>
        <v>#REF!</v>
      </c>
      <c r="BG13" s="1890"/>
      <c r="BI13" s="1890"/>
      <c r="BJ13" s="1890"/>
    </row>
    <row r="14" spans="1:69">
      <c r="A14" s="517">
        <v>4</v>
      </c>
      <c r="B14" s="517" t="s">
        <v>349</v>
      </c>
      <c r="C14" s="2388" t="e">
        <f>#REF!</f>
        <v>#REF!</v>
      </c>
      <c r="BF14" s="1895" t="e">
        <f>#REF!</f>
        <v>#REF!</v>
      </c>
      <c r="BG14" s="1890"/>
      <c r="BI14" s="1890"/>
      <c r="BJ14" s="1890"/>
      <c r="BQ14" s="1680" t="e">
        <f>#REF!</f>
        <v>#REF!</v>
      </c>
    </row>
    <row r="15" spans="1:69">
      <c r="A15" s="517">
        <v>5</v>
      </c>
      <c r="B15" s="517" t="s">
        <v>350</v>
      </c>
      <c r="C15" s="2388">
        <f>[60]соцсфераАУП!G41/1.12</f>
        <v>0</v>
      </c>
      <c r="BF15" s="1895"/>
      <c r="BG15" s="2417"/>
      <c r="BI15" s="1890"/>
      <c r="BJ15" s="1890"/>
    </row>
    <row r="16" spans="1:69" hidden="1">
      <c r="A16" s="517">
        <v>6</v>
      </c>
      <c r="B16" s="517" t="s">
        <v>351</v>
      </c>
      <c r="C16" s="2388"/>
    </row>
    <row r="17" spans="1:65">
      <c r="A17" s="517">
        <v>7</v>
      </c>
      <c r="B17" s="517" t="s">
        <v>456</v>
      </c>
      <c r="C17" s="2388"/>
      <c r="BI17" s="2418"/>
      <c r="BM17" s="1890"/>
    </row>
    <row r="18" spans="1:65" hidden="1">
      <c r="A18" s="517">
        <v>8</v>
      </c>
      <c r="B18" s="517" t="s">
        <v>352</v>
      </c>
      <c r="C18" s="2388"/>
      <c r="E18" s="1890"/>
      <c r="BG18" s="1890"/>
    </row>
    <row r="19" spans="1:65">
      <c r="A19" s="517">
        <v>9</v>
      </c>
      <c r="B19" s="517" t="s">
        <v>353</v>
      </c>
      <c r="C19" s="2388"/>
      <c r="BG19" s="1890"/>
    </row>
    <row r="20" spans="1:65" hidden="1">
      <c r="A20" s="517">
        <v>10</v>
      </c>
      <c r="B20" s="517" t="s">
        <v>457</v>
      </c>
      <c r="C20" s="2388"/>
    </row>
    <row r="21" spans="1:65" hidden="1">
      <c r="A21" s="517">
        <v>11</v>
      </c>
      <c r="B21" s="517" t="s">
        <v>355</v>
      </c>
      <c r="C21" s="2388"/>
    </row>
    <row r="22" spans="1:65" hidden="1">
      <c r="A22" s="517">
        <v>12</v>
      </c>
      <c r="B22" s="517" t="s">
        <v>356</v>
      </c>
      <c r="C22" s="2388"/>
    </row>
    <row r="23" spans="1:65">
      <c r="A23" s="517">
        <v>13</v>
      </c>
      <c r="B23" s="517" t="s">
        <v>458</v>
      </c>
      <c r="C23" s="2388"/>
    </row>
    <row r="24" spans="1:65" hidden="1">
      <c r="A24" s="517"/>
      <c r="B24" s="517"/>
      <c r="C24" s="2388"/>
    </row>
    <row r="25" spans="1:65">
      <c r="A25" s="517"/>
      <c r="B25" s="516" t="s">
        <v>391</v>
      </c>
      <c r="C25" s="2392" t="e">
        <f>SUM(C11:C23)</f>
        <v>#REF!</v>
      </c>
      <c r="D25" s="419" t="e">
        <f>(#REF!+#REF!)*1.12</f>
        <v>#REF!</v>
      </c>
      <c r="E25" s="1890" t="e">
        <f>(#REF!+#REF!)*1.12</f>
        <v>#REF!</v>
      </c>
      <c r="F25" s="1890" t="e">
        <f>#REF!*1.12</f>
        <v>#REF!</v>
      </c>
      <c r="BF25" s="2419" t="e">
        <f>C25*1.12</f>
        <v>#REF!</v>
      </c>
      <c r="BI25" s="419" t="e">
        <f>C36*C30*12</f>
        <v>#REF!</v>
      </c>
    </row>
    <row r="26" spans="1:65">
      <c r="A26" s="517"/>
      <c r="B26" s="516" t="s">
        <v>359</v>
      </c>
      <c r="C26" s="2392" t="e">
        <f>C25/12</f>
        <v>#REF!</v>
      </c>
      <c r="D26" s="1890" t="e">
        <f>C25*1.12</f>
        <v>#REF!</v>
      </c>
    </row>
    <row r="27" spans="1:65" outlineLevel="1">
      <c r="A27" s="517"/>
      <c r="B27" s="517" t="s">
        <v>459</v>
      </c>
      <c r="C27" s="2388">
        <v>16815.8</v>
      </c>
      <c r="BF27" s="2420">
        <f>ROUND(C27/$C$33,3)</f>
        <v>0.35199999999999998</v>
      </c>
      <c r="BG27" s="2419">
        <f>$C$11*BF27</f>
        <v>14776046.207999999</v>
      </c>
      <c r="BH27" s="2419" t="e">
        <f>$C$12*BF27</f>
        <v>#REF!</v>
      </c>
      <c r="BI27" s="2419" t="e">
        <f>$C$13*BF27</f>
        <v>#REF!</v>
      </c>
      <c r="BJ27" s="2419" t="e">
        <f>$C$14*BF27</f>
        <v>#REF!</v>
      </c>
    </row>
    <row r="28" spans="1:65" outlineLevel="1">
      <c r="A28" s="517"/>
      <c r="B28" s="517" t="s">
        <v>460</v>
      </c>
      <c r="C28" s="2388">
        <v>16859.7</v>
      </c>
      <c r="BF28" s="2420">
        <f>ROUND(C28/$C$33,3)</f>
        <v>0.35299999999999998</v>
      </c>
      <c r="BG28" s="2419">
        <f t="shared" ref="BG28:BG32" si="0">$C$11*BF28</f>
        <v>14818023.612</v>
      </c>
      <c r="BH28" s="2419" t="e">
        <f t="shared" ref="BH28:BH32" si="1">$C$12*BF28</f>
        <v>#REF!</v>
      </c>
      <c r="BI28" s="2419" t="e">
        <f t="shared" ref="BI28:BI32" si="2">$C$13*BF28</f>
        <v>#REF!</v>
      </c>
      <c r="BJ28" s="2419" t="e">
        <f t="shared" ref="BJ28:BJ32" si="3">$C$14*BF28</f>
        <v>#REF!</v>
      </c>
    </row>
    <row r="29" spans="1:65" outlineLevel="1">
      <c r="A29" s="517"/>
      <c r="B29" s="517" t="s">
        <v>461</v>
      </c>
      <c r="C29" s="2388">
        <v>4080.2</v>
      </c>
      <c r="BF29" s="2420">
        <f>ROUND(C29/$C$33,3)</f>
        <v>8.5000000000000006E-2</v>
      </c>
      <c r="BG29" s="2419">
        <f t="shared" si="0"/>
        <v>3568079.3400000003</v>
      </c>
      <c r="BH29" s="2419" t="e">
        <f t="shared" si="1"/>
        <v>#REF!</v>
      </c>
      <c r="BI29" s="2419" t="e">
        <f t="shared" si="2"/>
        <v>#REF!</v>
      </c>
      <c r="BJ29" s="2419" t="e">
        <f t="shared" si="3"/>
        <v>#REF!</v>
      </c>
    </row>
    <row r="30" spans="1:65" outlineLevel="1">
      <c r="A30" s="517"/>
      <c r="B30" s="517" t="s">
        <v>462</v>
      </c>
      <c r="C30" s="2388">
        <f>'площ для обсл объек'!F5</f>
        <v>10053.200000000001</v>
      </c>
      <c r="BF30" s="2420">
        <f>ROUND(C30/$C$33,3)</f>
        <v>0.21</v>
      </c>
      <c r="BG30" s="2419">
        <f t="shared" si="0"/>
        <v>8815254.8399999999</v>
      </c>
      <c r="BH30" s="2419" t="e">
        <f t="shared" si="1"/>
        <v>#REF!</v>
      </c>
      <c r="BI30" s="2419" t="e">
        <f t="shared" si="2"/>
        <v>#REF!</v>
      </c>
      <c r="BJ30" s="2419" t="e">
        <f t="shared" si="3"/>
        <v>#REF!</v>
      </c>
    </row>
    <row r="31" spans="1:65" hidden="1" outlineLevel="1">
      <c r="A31" s="517"/>
      <c r="B31" s="517" t="s">
        <v>463</v>
      </c>
      <c r="C31" s="2388"/>
      <c r="BF31" s="2420">
        <f>ROUND(C31/$C$33/2,3)</f>
        <v>0</v>
      </c>
      <c r="BG31" s="2419">
        <f t="shared" si="0"/>
        <v>0</v>
      </c>
      <c r="BH31" s="2419" t="e">
        <f t="shared" si="1"/>
        <v>#REF!</v>
      </c>
      <c r="BI31" s="2419" t="e">
        <f t="shared" si="2"/>
        <v>#REF!</v>
      </c>
      <c r="BJ31" s="2419" t="e">
        <f t="shared" si="3"/>
        <v>#REF!</v>
      </c>
    </row>
    <row r="32" spans="1:65" hidden="1" outlineLevel="1">
      <c r="A32" s="517"/>
      <c r="B32" s="517" t="s">
        <v>464</v>
      </c>
      <c r="C32" s="2388"/>
      <c r="BF32" s="2420">
        <f>ROUND(C32/$C$33/2,3)</f>
        <v>0</v>
      </c>
      <c r="BG32" s="2419">
        <f t="shared" si="0"/>
        <v>0</v>
      </c>
      <c r="BH32" s="2419" t="e">
        <f t="shared" si="1"/>
        <v>#REF!</v>
      </c>
      <c r="BI32" s="2419" t="e">
        <f t="shared" si="2"/>
        <v>#REF!</v>
      </c>
      <c r="BJ32" s="2419" t="e">
        <f t="shared" si="3"/>
        <v>#REF!</v>
      </c>
    </row>
    <row r="33" spans="1:69" collapsed="1">
      <c r="A33" s="517"/>
      <c r="B33" s="516" t="s">
        <v>465</v>
      </c>
      <c r="C33" s="2392">
        <f>BJ43</f>
        <v>47808.899999999994</v>
      </c>
      <c r="BH33" s="419" t="s">
        <v>466</v>
      </c>
      <c r="BI33" s="419" t="s">
        <v>467</v>
      </c>
      <c r="BJ33" s="419" t="s">
        <v>468</v>
      </c>
    </row>
    <row r="34" spans="1:69">
      <c r="A34" s="517"/>
      <c r="B34" s="517" t="s">
        <v>362</v>
      </c>
      <c r="C34" s="2388" t="e">
        <f>ROUND(C26/C33,2)</f>
        <v>#REF!</v>
      </c>
    </row>
    <row r="35" spans="1:69" hidden="1">
      <c r="A35" s="517"/>
      <c r="B35" s="517" t="s">
        <v>363</v>
      </c>
      <c r="C35" s="2388" t="e">
        <f>ROUND(C34*0.12,2)</f>
        <v>#REF!</v>
      </c>
      <c r="BG35" s="1890"/>
    </row>
    <row r="36" spans="1:69" hidden="1">
      <c r="A36" s="517"/>
      <c r="B36" s="517" t="s">
        <v>364</v>
      </c>
      <c r="C36" s="2392" t="e">
        <f>C34+C35</f>
        <v>#REF!</v>
      </c>
      <c r="D36" s="664" t="s">
        <v>365</v>
      </c>
      <c r="BF36" s="419" t="e">
        <f>C30*C36*12</f>
        <v>#REF!</v>
      </c>
      <c r="BG36" s="1890" t="s">
        <v>469</v>
      </c>
      <c r="BH36" s="1890">
        <f>C28</f>
        <v>16859.7</v>
      </c>
      <c r="BI36" s="1890">
        <f t="shared" ref="BI36:BJ39" si="4">BH36</f>
        <v>16859.7</v>
      </c>
      <c r="BJ36" s="1890">
        <f t="shared" si="4"/>
        <v>16859.7</v>
      </c>
      <c r="BK36" s="419">
        <v>6</v>
      </c>
      <c r="BL36" s="419">
        <v>6</v>
      </c>
      <c r="BM36" s="419">
        <f t="shared" ref="BM36:BM41" si="5">BL36+BK36</f>
        <v>12</v>
      </c>
      <c r="BN36" s="1895" t="e">
        <f>C36</f>
        <v>#REF!</v>
      </c>
      <c r="BO36" s="2377" t="e">
        <f t="shared" ref="BO36:BO41" si="6">BN36*BK36*BI36+BN36*BL36*BJ36</f>
        <v>#REF!</v>
      </c>
    </row>
    <row r="37" spans="1:69" hidden="1">
      <c r="A37" s="517"/>
      <c r="B37" s="517" t="s">
        <v>470</v>
      </c>
      <c r="C37" s="2388" t="e">
        <f>C36*C33</f>
        <v>#REF!</v>
      </c>
      <c r="D37" s="664"/>
      <c r="BG37" s="419" t="s">
        <v>471</v>
      </c>
      <c r="BH37" s="1890">
        <f>C27</f>
        <v>16815.8</v>
      </c>
      <c r="BI37" s="1890">
        <f t="shared" si="4"/>
        <v>16815.8</v>
      </c>
      <c r="BJ37" s="1890">
        <f t="shared" si="4"/>
        <v>16815.8</v>
      </c>
      <c r="BK37" s="419">
        <v>6</v>
      </c>
      <c r="BL37" s="419">
        <v>6</v>
      </c>
      <c r="BM37" s="419">
        <f t="shared" si="5"/>
        <v>12</v>
      </c>
      <c r="BN37" s="1895" t="e">
        <f>BN36</f>
        <v>#REF!</v>
      </c>
      <c r="BO37" s="2377" t="e">
        <f t="shared" si="6"/>
        <v>#REF!</v>
      </c>
    </row>
    <row r="38" spans="1:69" s="1887" customFormat="1" hidden="1">
      <c r="A38" s="1886"/>
      <c r="B38" s="517" t="s">
        <v>472</v>
      </c>
      <c r="C38" s="2421" t="e">
        <f>C37*12</f>
        <v>#REF!</v>
      </c>
      <c r="D38" s="2410"/>
      <c r="E38" s="1901"/>
      <c r="BG38" s="419" t="s">
        <v>473</v>
      </c>
      <c r="BH38" s="1890">
        <f>C29</f>
        <v>4080.2</v>
      </c>
      <c r="BI38" s="1890">
        <f t="shared" si="4"/>
        <v>4080.2</v>
      </c>
      <c r="BJ38" s="1890">
        <f t="shared" si="4"/>
        <v>4080.2</v>
      </c>
      <c r="BK38" s="419">
        <v>6</v>
      </c>
      <c r="BL38" s="419">
        <v>6</v>
      </c>
      <c r="BM38" s="419">
        <f t="shared" si="5"/>
        <v>12</v>
      </c>
      <c r="BN38" s="1895" t="e">
        <f>BN37</f>
        <v>#REF!</v>
      </c>
      <c r="BO38" s="2377" t="e">
        <f t="shared" si="6"/>
        <v>#REF!</v>
      </c>
      <c r="BQ38" s="2771"/>
    </row>
    <row r="39" spans="1:69" s="1887" customFormat="1">
      <c r="C39" s="2422"/>
      <c r="D39" s="2410"/>
      <c r="E39" s="1901"/>
      <c r="BG39" s="419" t="s">
        <v>474</v>
      </c>
      <c r="BH39" s="1890">
        <f>C30</f>
        <v>10053.200000000001</v>
      </c>
      <c r="BI39" s="1890">
        <f t="shared" si="4"/>
        <v>10053.200000000001</v>
      </c>
      <c r="BJ39" s="1890">
        <f t="shared" si="4"/>
        <v>10053.200000000001</v>
      </c>
      <c r="BK39" s="419">
        <v>6</v>
      </c>
      <c r="BL39" s="419">
        <v>6</v>
      </c>
      <c r="BM39" s="419">
        <f>BL39+BK39</f>
        <v>12</v>
      </c>
      <c r="BN39" s="1895" t="e">
        <f>BN38</f>
        <v>#REF!</v>
      </c>
      <c r="BO39" s="2377" t="e">
        <f t="shared" si="6"/>
        <v>#REF!</v>
      </c>
      <c r="BQ39" s="2771"/>
    </row>
    <row r="40" spans="1:69" s="1887" customFormat="1">
      <c r="C40" s="2422"/>
      <c r="D40" s="2410"/>
      <c r="E40" s="1901"/>
      <c r="BG40" s="419" t="s">
        <v>475</v>
      </c>
      <c r="BH40" s="1890">
        <f>C31</f>
        <v>0</v>
      </c>
      <c r="BI40" s="419"/>
      <c r="BJ40" s="1890">
        <f>BH40</f>
        <v>0</v>
      </c>
      <c r="BK40" s="419"/>
      <c r="BL40" s="419">
        <v>6</v>
      </c>
      <c r="BM40" s="419">
        <f t="shared" si="5"/>
        <v>6</v>
      </c>
      <c r="BN40" s="1895" t="e">
        <f>BN39</f>
        <v>#REF!</v>
      </c>
      <c r="BO40" s="2377" t="e">
        <f t="shared" si="6"/>
        <v>#REF!</v>
      </c>
      <c r="BQ40" s="2771"/>
    </row>
    <row r="41" spans="1:69">
      <c r="A41" s="2042" t="s">
        <v>368</v>
      </c>
      <c r="BG41" s="419" t="s">
        <v>476</v>
      </c>
      <c r="BH41" s="1890">
        <f>C32</f>
        <v>0</v>
      </c>
      <c r="BJ41" s="1890">
        <f>BH41</f>
        <v>0</v>
      </c>
      <c r="BL41" s="419">
        <v>6</v>
      </c>
      <c r="BM41" s="419">
        <f t="shared" si="5"/>
        <v>6</v>
      </c>
      <c r="BN41" s="1895" t="e">
        <f>BN40</f>
        <v>#REF!</v>
      </c>
      <c r="BO41" s="2377" t="e">
        <f t="shared" si="6"/>
        <v>#REF!</v>
      </c>
    </row>
    <row r="42" spans="1:69">
      <c r="A42" s="2042" t="s">
        <v>370</v>
      </c>
      <c r="C42" s="2099" t="s">
        <v>371</v>
      </c>
      <c r="BH42" s="1890">
        <f>SUM(BH36:BH41)</f>
        <v>47808.899999999994</v>
      </c>
      <c r="BI42" s="1890">
        <f>SUM(BI36:BI41)</f>
        <v>47808.899999999994</v>
      </c>
      <c r="BJ42" s="1890">
        <f>SUM(BJ36:BJ41)</f>
        <v>47808.899999999994</v>
      </c>
      <c r="BM42" s="419">
        <f>SUM(BM36:BM41)</f>
        <v>60</v>
      </c>
      <c r="BN42" s="1895"/>
      <c r="BO42" s="2377" t="e">
        <f>SUM(BO36:BO41)</f>
        <v>#REF!</v>
      </c>
    </row>
    <row r="43" spans="1:69">
      <c r="A43" s="2042"/>
      <c r="BG43" s="1890"/>
      <c r="BJ43" s="2377">
        <f>((BI42*12)+(BJ40+BJ41)*12)/12</f>
        <v>47808.899999999994</v>
      </c>
      <c r="BM43" s="2423">
        <f>BM42/6</f>
        <v>10</v>
      </c>
      <c r="BO43" s="1898" t="e">
        <f>BO42/1.12</f>
        <v>#REF!</v>
      </c>
    </row>
    <row r="44" spans="1:69">
      <c r="A44" s="2042" t="s">
        <v>372</v>
      </c>
      <c r="C44" s="2098" t="s">
        <v>373</v>
      </c>
      <c r="BO44" s="2377"/>
    </row>
    <row r="45" spans="1:69">
      <c r="A45" s="2042"/>
      <c r="BH45" s="1895">
        <f>(C27*12+C28*12+C29*12+C30*12+C31*12+C32*12)/12</f>
        <v>47808.9</v>
      </c>
      <c r="BI45" s="1890">
        <f>((C27+C28+C29+C30)*12+(BH40/6+BH41/6)/12)/12</f>
        <v>47808.899999999994</v>
      </c>
    </row>
    <row r="46" spans="1:69">
      <c r="A46" s="2042" t="s">
        <v>375</v>
      </c>
      <c r="C46" s="2098" t="s">
        <v>376</v>
      </c>
    </row>
    <row r="53" spans="3:3">
      <c r="C53" s="2424" t="e">
        <f>C38-'[60]Бюджет 1 кв.метр'!I235</f>
        <v>#REF!</v>
      </c>
    </row>
    <row r="56" spans="3:3">
      <c r="C56" s="2424" t="e">
        <f>SUM(C11:C14)+SUM(C15:C23)*1.12</f>
        <v>#REF!</v>
      </c>
    </row>
  </sheetData>
  <mergeCells count="1">
    <mergeCell ref="A7:C7"/>
  </mergeCells>
  <pageMargins left="0.37" right="0.34" top="0.74803149606299213" bottom="0.74803149606299213" header="0.31496062992125984" footer="0.31496062992125984"/>
  <pageSetup paperSize="9" scale="9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2:I26"/>
  <sheetViews>
    <sheetView workbookViewId="0">
      <selection sqref="A1:G27"/>
    </sheetView>
  </sheetViews>
  <sheetFormatPr defaultColWidth="17.7109375" defaultRowHeight="18.75"/>
  <cols>
    <col min="1" max="1" width="4.7109375" style="2553" bestFit="1" customWidth="1"/>
    <col min="2" max="2" width="29.140625" style="2553" customWidth="1"/>
    <col min="3" max="5" width="17.7109375" style="2553"/>
    <col min="6" max="6" width="19.42578125" style="2553" customWidth="1"/>
    <col min="7" max="16384" width="17.7109375" style="2553"/>
  </cols>
  <sheetData>
    <row r="2" spans="1:9">
      <c r="B2" s="3918" t="s">
        <v>477</v>
      </c>
      <c r="C2" s="3918"/>
      <c r="D2" s="3918"/>
      <c r="E2" s="3918"/>
      <c r="F2" s="3918"/>
      <c r="G2" s="3918"/>
    </row>
    <row r="4" spans="1:9" ht="93.75">
      <c r="A4" s="2926" t="s">
        <v>2</v>
      </c>
      <c r="B4" s="2926" t="s">
        <v>478</v>
      </c>
      <c r="C4" s="2926" t="s">
        <v>479</v>
      </c>
      <c r="D4" s="2926" t="s">
        <v>480</v>
      </c>
      <c r="E4" s="2926" t="s">
        <v>481</v>
      </c>
      <c r="F4" s="2927" t="s">
        <v>482</v>
      </c>
      <c r="G4" s="2927" t="s">
        <v>483</v>
      </c>
      <c r="H4" s="2928"/>
    </row>
    <row r="5" spans="1:9">
      <c r="A5" s="2929"/>
      <c r="B5" s="2935" t="s">
        <v>484</v>
      </c>
      <c r="C5" s="2929">
        <f>17861.7-1107.4</f>
        <v>16754.3</v>
      </c>
      <c r="D5" s="2929">
        <v>2634.3</v>
      </c>
      <c r="E5" s="2929">
        <v>1499.6</v>
      </c>
      <c r="F5" s="2929">
        <f>C5-D5-E5-C6</f>
        <v>10053.200000000001</v>
      </c>
      <c r="G5" s="2594">
        <f>ROUND(F5*100/$F$17,2)</f>
        <v>21.03</v>
      </c>
      <c r="I5" s="2590">
        <f>D5+F5</f>
        <v>12687.5</v>
      </c>
    </row>
    <row r="6" spans="1:9">
      <c r="A6" s="2929"/>
      <c r="B6" s="2935" t="s">
        <v>485</v>
      </c>
      <c r="C6" s="2930">
        <f>SUM(C7:C10)</f>
        <v>2567.1999999999998</v>
      </c>
      <c r="D6" s="2929"/>
      <c r="E6" s="2929"/>
      <c r="F6" s="2929"/>
      <c r="G6" s="2594"/>
    </row>
    <row r="7" spans="1:9">
      <c r="A7" s="2929"/>
      <c r="B7" s="2935" t="s">
        <v>486</v>
      </c>
      <c r="C7" s="2929">
        <f>28.5+26.9+6.5+3.6+8.7+16.3+160.5+4.3+16.4+3.6+4.3+3.6+16.6+4.4+16.5+3.6+7.1+3.6+21.2+18.7+7+21.1+6+4.3+3.5+16.6+3.4+16.5+4.4+3.4+4.4+16.8+3.5+16.6+4.3+4.3+3.5+16.8+7.2+5.2+35.2+4.2+7.5+4.6+42.4+6</f>
        <v>643.60000000000025</v>
      </c>
      <c r="D7" s="2929"/>
      <c r="E7" s="2929"/>
      <c r="F7" s="2929"/>
      <c r="G7" s="2594"/>
    </row>
    <row r="8" spans="1:9">
      <c r="A8" s="2929"/>
      <c r="B8" s="2935" t="s">
        <v>487</v>
      </c>
      <c r="C8" s="2929">
        <f>28.5+26.9+3.6+6.5+24.4+51.6+4.3+16.4+3.6+4.3+3.6+16.6+4.4+16.5+3.6+7.3+3.6+21+18.7+108.9+7+21.1+6+4.3+3.5+16.6+3.4+16.5+4.4+3.4+4.4+16.8+3.5+16.6+4.3+4.3+3.5+16.8+7.5+5.4+34.2+4.5+7.5+4.6+42.4+6</f>
        <v>642.80000000000007</v>
      </c>
      <c r="D8" s="2929"/>
      <c r="E8" s="2929"/>
      <c r="F8" s="2929"/>
      <c r="G8" s="2594"/>
    </row>
    <row r="9" spans="1:9">
      <c r="A9" s="2929"/>
      <c r="B9" s="2935" t="s">
        <v>488</v>
      </c>
      <c r="C9" s="2929">
        <f>28.5+26.9+3.6+6.5+24.9+51.6+4.3+16.4+3.6+4.3+3.6+16.6+4.4+16.5+3.6+7.1+3.6+21.2+18.7+113+9.1+21.3+3.5+4.3+3.5+16.6+4.4+16.4+3.6+4.4+3.4+16.5+4.4+16.8+3.4+4.3+3.5+16.6+4.3+3.5+16.8+4.3+16.7+3.4+4.3+3.5+16.6+4.3+24.8+3.1</f>
        <v>640.49999999999977</v>
      </c>
      <c r="D9" s="2929"/>
      <c r="E9" s="2929"/>
      <c r="F9" s="2929"/>
      <c r="G9" s="2594"/>
    </row>
    <row r="10" spans="1:9">
      <c r="A10" s="2929"/>
      <c r="B10" s="2935" t="s">
        <v>489</v>
      </c>
      <c r="C10" s="2929">
        <f>28.5+26.9+3.6+6.5+24.5+51.6+4.3+16.4+3.6+4.3+3.6+16.6+4.4+16.5+3.6+7.1+3.6+21.2+18.7+113+9.1+21.3+3.5+4.3+3.5+16.6+4.4+16.4+3.6+4.4+3.7+16.5+4.4+16.8+3.4+4.3+3.5+16.6+4.3+3.5+16.8+4.1+16.7+3.5+4.3+3.5+16.6+4.2+24.9+3.1</f>
        <v>640.29999999999995</v>
      </c>
      <c r="D10" s="2929"/>
      <c r="E10" s="2929"/>
      <c r="F10" s="2929"/>
      <c r="G10" s="2594"/>
    </row>
    <row r="11" spans="1:9" hidden="1">
      <c r="A11" s="2929"/>
      <c r="B11" s="2935" t="s">
        <v>490</v>
      </c>
      <c r="C11" s="2929">
        <v>125.54</v>
      </c>
      <c r="D11" s="2929"/>
      <c r="E11" s="2929"/>
      <c r="F11" s="2929"/>
      <c r="G11" s="2594">
        <f t="shared" ref="G11" si="0">ROUND(F11*100/$F$17,0)</f>
        <v>0</v>
      </c>
    </row>
    <row r="12" spans="1:9">
      <c r="A12" s="2929"/>
      <c r="B12" s="2935" t="s">
        <v>491</v>
      </c>
      <c r="C12" s="2929">
        <v>26507</v>
      </c>
      <c r="D12" s="2929">
        <v>6100.8</v>
      </c>
      <c r="E12" s="2929">
        <v>3590.4</v>
      </c>
      <c r="F12" s="2929">
        <f>C12-D12-E12</f>
        <v>16815.8</v>
      </c>
      <c r="G12" s="2594">
        <f>ROUND(F12*100/$F$17,2)</f>
        <v>35.17</v>
      </c>
    </row>
    <row r="13" spans="1:9">
      <c r="A13" s="2929"/>
      <c r="B13" s="2935" t="s">
        <v>492</v>
      </c>
      <c r="C13" s="2929">
        <v>26488.2</v>
      </c>
      <c r="D13" s="2929">
        <v>6064.1</v>
      </c>
      <c r="E13" s="2929">
        <v>3564.4</v>
      </c>
      <c r="F13" s="2929">
        <f>C13-D13-E13</f>
        <v>16859.699999999997</v>
      </c>
      <c r="G13" s="2594">
        <f>ROUND(F13*100/$F$17,2)</f>
        <v>35.26</v>
      </c>
    </row>
    <row r="14" spans="1:9" ht="37.5">
      <c r="A14" s="2929"/>
      <c r="B14" s="2935" t="s">
        <v>493</v>
      </c>
      <c r="C14" s="2929">
        <v>6890</v>
      </c>
      <c r="D14" s="2929">
        <f>1402</f>
        <v>1402</v>
      </c>
      <c r="E14" s="2929">
        <v>1407.8</v>
      </c>
      <c r="F14" s="2929">
        <f>C14-D14-E14</f>
        <v>4080.2</v>
      </c>
      <c r="G14" s="2594">
        <f>ROUND(F14*100/$F$17,2)+0.01</f>
        <v>8.5399999999999991</v>
      </c>
    </row>
    <row r="15" spans="1:9" hidden="1">
      <c r="A15" s="2594"/>
      <c r="B15" s="2936" t="s">
        <v>494</v>
      </c>
      <c r="C15" s="2594"/>
      <c r="D15" s="2594"/>
      <c r="E15" s="2594"/>
      <c r="F15" s="2931">
        <f>F14/2</f>
        <v>2040.1</v>
      </c>
      <c r="G15" s="2594">
        <f>ROUND(F15*100/$F$17,2)</f>
        <v>4.2699999999999996</v>
      </c>
    </row>
    <row r="16" spans="1:9" hidden="1">
      <c r="A16" s="2594"/>
      <c r="B16" s="2936" t="s">
        <v>495</v>
      </c>
      <c r="C16" s="2594"/>
      <c r="D16" s="2594"/>
      <c r="E16" s="2594"/>
      <c r="F16" s="2931">
        <f>F14/2</f>
        <v>2040.1</v>
      </c>
      <c r="G16" s="2594">
        <f>ROUND(F16*100/$F$17,2)</f>
        <v>4.2699999999999996</v>
      </c>
    </row>
    <row r="17" spans="1:7">
      <c r="A17" s="2594"/>
      <c r="B17" s="3915" t="s">
        <v>496</v>
      </c>
      <c r="C17" s="3916"/>
      <c r="D17" s="3916"/>
      <c r="E17" s="3917"/>
      <c r="F17" s="2931">
        <f>F5+F12+F13+F14</f>
        <v>47808.899999999994</v>
      </c>
      <c r="G17" s="2594"/>
    </row>
    <row r="18" spans="1:7">
      <c r="B18" s="2932"/>
      <c r="F18" s="2590"/>
    </row>
    <row r="19" spans="1:7" hidden="1">
      <c r="A19" s="2933"/>
      <c r="B19" s="2934" t="s">
        <v>497</v>
      </c>
    </row>
    <row r="21" spans="1:7">
      <c r="B21" s="2556" t="s">
        <v>498</v>
      </c>
      <c r="F21" s="2556" t="s">
        <v>371</v>
      </c>
    </row>
    <row r="22" spans="1:7">
      <c r="F22" s="2590"/>
    </row>
    <row r="23" spans="1:7" hidden="1">
      <c r="B23" s="2708" t="s">
        <v>451</v>
      </c>
      <c r="C23" s="2708"/>
      <c r="F23" s="2981" t="s">
        <v>452</v>
      </c>
    </row>
    <row r="24" spans="1:7" hidden="1">
      <c r="B24" s="419"/>
      <c r="C24" s="419"/>
      <c r="F24" s="2098"/>
    </row>
    <row r="25" spans="1:7">
      <c r="B25" s="419"/>
      <c r="C25" s="1903"/>
      <c r="F25" s="419"/>
    </row>
    <row r="26" spans="1:7">
      <c r="B26" s="2556" t="s">
        <v>375</v>
      </c>
      <c r="C26" s="1890"/>
      <c r="F26" s="2556" t="s">
        <v>377</v>
      </c>
    </row>
  </sheetData>
  <mergeCells count="2">
    <mergeCell ref="B17:E17"/>
    <mergeCell ref="B2:G2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  <pageSetUpPr fitToPage="1"/>
  </sheetPr>
  <dimension ref="A1:W135"/>
  <sheetViews>
    <sheetView workbookViewId="0">
      <pane ySplit="1" topLeftCell="A123" activePane="bottomLeft" state="frozen"/>
      <selection sqref="A1:IV65536"/>
      <selection pane="bottomLeft" activeCell="F114" sqref="F114"/>
    </sheetView>
  </sheetViews>
  <sheetFormatPr defaultColWidth="11.5703125" defaultRowHeight="15"/>
  <cols>
    <col min="1" max="1" width="3.5703125" customWidth="1"/>
    <col min="2" max="2" width="39.28515625" bestFit="1" customWidth="1"/>
    <col min="3" max="3" width="24.28515625" hidden="1" customWidth="1"/>
    <col min="4" max="4" width="9.7109375" customWidth="1"/>
    <col min="5" max="5" width="10.28515625" customWidth="1"/>
    <col min="6" max="6" width="10.85546875" customWidth="1"/>
    <col min="7" max="7" width="10.140625" customWidth="1"/>
    <col min="8" max="8" width="15.28515625" customWidth="1"/>
    <col min="9" max="9" width="10.140625" customWidth="1"/>
    <col min="10" max="10" width="11.7109375" customWidth="1"/>
    <col min="11" max="11" width="8.140625" customWidth="1"/>
    <col min="12" max="12" width="9" customWidth="1"/>
    <col min="13" max="13" width="13.28515625" customWidth="1"/>
    <col min="14" max="14" width="16.5703125" customWidth="1"/>
    <col min="15" max="15" width="14.140625" customWidth="1"/>
    <col min="16" max="17" width="15.140625" customWidth="1"/>
    <col min="18" max="18" width="14" customWidth="1"/>
    <col min="19" max="19" width="13.5703125" customWidth="1"/>
    <col min="20" max="20" width="14.85546875" customWidth="1"/>
    <col min="21" max="21" width="13.7109375" customWidth="1"/>
    <col min="22" max="22" width="9.140625" customWidth="1"/>
    <col min="23" max="23" width="13" customWidth="1"/>
    <col min="24" max="244" width="9.140625" customWidth="1"/>
    <col min="245" max="245" width="3.7109375" customWidth="1"/>
    <col min="246" max="246" width="26.7109375" customWidth="1"/>
    <col min="247" max="247" width="19.140625" customWidth="1"/>
    <col min="248" max="248" width="7.42578125" customWidth="1"/>
    <col min="249" max="249" width="11.85546875" customWidth="1"/>
    <col min="250" max="250" width="12.5703125" customWidth="1"/>
  </cols>
  <sheetData>
    <row r="1" spans="1:23" ht="15.75">
      <c r="A1" s="188"/>
      <c r="B1" s="188"/>
      <c r="C1" s="188"/>
      <c r="D1" s="188"/>
      <c r="E1" s="194"/>
      <c r="F1" s="194"/>
      <c r="G1" s="194"/>
      <c r="H1" s="187"/>
      <c r="I1" s="187"/>
      <c r="J1" s="187"/>
      <c r="K1" s="194"/>
      <c r="L1" s="187"/>
      <c r="M1" s="187"/>
      <c r="N1" s="187"/>
      <c r="O1" s="188"/>
      <c r="P1" s="188"/>
      <c r="Q1" s="188"/>
      <c r="R1" s="188"/>
      <c r="S1" s="188"/>
      <c r="T1" s="962" t="s">
        <v>267</v>
      </c>
      <c r="U1" s="961" t="s">
        <v>268</v>
      </c>
    </row>
    <row r="2" spans="1:23" ht="15.75">
      <c r="A2" s="949"/>
      <c r="B2" s="955" t="s">
        <v>499</v>
      </c>
      <c r="C2" s="950"/>
      <c r="D2" s="950"/>
      <c r="E2" s="950"/>
      <c r="F2" s="950"/>
      <c r="G2" s="950"/>
      <c r="H2" s="951"/>
      <c r="I2" s="951"/>
      <c r="J2" s="951"/>
      <c r="K2" s="952"/>
      <c r="L2" s="952"/>
      <c r="M2" s="952"/>
      <c r="N2" s="950"/>
      <c r="O2" s="949"/>
      <c r="P2" s="949"/>
      <c r="Q2" s="949"/>
      <c r="R2" s="949"/>
      <c r="S2" s="949"/>
      <c r="T2" s="949"/>
      <c r="U2" s="949"/>
    </row>
    <row r="3" spans="1:23">
      <c r="A3" s="188"/>
      <c r="B3" s="188"/>
      <c r="C3" s="188"/>
      <c r="D3" s="188"/>
      <c r="E3" s="194"/>
      <c r="F3" s="194"/>
      <c r="G3" s="194"/>
      <c r="H3" s="187"/>
      <c r="I3" s="187"/>
      <c r="J3" s="187"/>
      <c r="K3" s="190"/>
      <c r="L3" s="190"/>
      <c r="M3" s="190"/>
      <c r="N3" s="187"/>
      <c r="O3" s="188"/>
      <c r="P3" s="188"/>
      <c r="Q3" s="188"/>
      <c r="R3" s="188"/>
      <c r="S3" s="188"/>
      <c r="T3" s="188"/>
      <c r="U3" s="188"/>
    </row>
    <row r="4" spans="1:23" ht="15.75">
      <c r="A4" s="949"/>
      <c r="B4" s="956" t="s">
        <v>500</v>
      </c>
      <c r="C4" s="949"/>
      <c r="D4" s="949"/>
      <c r="E4" s="953"/>
      <c r="F4" s="953"/>
      <c r="G4" s="953"/>
      <c r="H4" s="951"/>
      <c r="I4" s="951"/>
      <c r="J4" s="951"/>
      <c r="K4" s="953"/>
      <c r="L4" s="951"/>
      <c r="M4" s="951"/>
      <c r="N4" s="954"/>
      <c r="O4" s="953"/>
      <c r="P4" s="952" t="s">
        <v>501</v>
      </c>
      <c r="Q4" s="963">
        <v>1852</v>
      </c>
      <c r="R4" s="957" t="s">
        <v>502</v>
      </c>
      <c r="S4" s="949"/>
      <c r="T4" s="949"/>
      <c r="U4" s="949"/>
    </row>
    <row r="5" spans="1:23" ht="27" customHeight="1">
      <c r="A5" s="168" t="s">
        <v>503</v>
      </c>
      <c r="B5" s="82"/>
      <c r="C5" s="188"/>
      <c r="D5" s="188"/>
      <c r="E5" s="194"/>
      <c r="F5" s="194"/>
      <c r="G5" s="194"/>
      <c r="H5" s="187"/>
      <c r="I5" s="187"/>
      <c r="J5" s="187"/>
      <c r="K5" s="194"/>
      <c r="L5" s="187"/>
      <c r="M5" s="187"/>
      <c r="N5" s="1921"/>
      <c r="O5" s="194"/>
      <c r="P5" s="190" t="s">
        <v>504</v>
      </c>
      <c r="Q5" s="964">
        <f>17439*1.1</f>
        <v>19182.900000000001</v>
      </c>
      <c r="R5" s="957" t="s">
        <v>505</v>
      </c>
      <c r="S5" s="188"/>
      <c r="T5" s="188"/>
      <c r="U5" s="188"/>
    </row>
    <row r="6" spans="1:23" ht="15.75" customHeight="1">
      <c r="A6" s="191"/>
      <c r="B6" s="191"/>
      <c r="C6" s="191"/>
      <c r="D6" s="191"/>
      <c r="E6" s="211">
        <f>12*K10</f>
        <v>0</v>
      </c>
      <c r="F6" s="192"/>
      <c r="G6" s="192"/>
      <c r="H6" s="212"/>
      <c r="I6" s="212"/>
      <c r="J6" s="212"/>
      <c r="K6" s="211">
        <f>E6-(E6*19%)</f>
        <v>0</v>
      </c>
      <c r="L6" s="212"/>
      <c r="M6" s="212"/>
      <c r="N6" s="212"/>
      <c r="O6" s="265" t="e">
        <f>O10*19%</f>
        <v>#REF!</v>
      </c>
      <c r="P6" s="190" t="s">
        <v>506</v>
      </c>
      <c r="Q6" s="963">
        <v>19966</v>
      </c>
      <c r="R6" s="957" t="s">
        <v>502</v>
      </c>
      <c r="S6" s="188"/>
      <c r="T6" s="188"/>
      <c r="U6" s="188"/>
    </row>
    <row r="7" spans="1:23">
      <c r="A7" s="3920" t="s">
        <v>34</v>
      </c>
      <c r="B7" s="3920" t="s">
        <v>507</v>
      </c>
      <c r="C7" s="3920" t="s">
        <v>277</v>
      </c>
      <c r="D7" s="3921" t="s">
        <v>508</v>
      </c>
      <c r="E7" s="3923" t="s">
        <v>509</v>
      </c>
      <c r="F7" s="3924" t="s">
        <v>510</v>
      </c>
      <c r="G7" s="3924" t="s">
        <v>511</v>
      </c>
      <c r="H7" s="3925" t="s">
        <v>512</v>
      </c>
      <c r="I7" s="3924" t="s">
        <v>513</v>
      </c>
      <c r="J7" s="3924"/>
      <c r="K7" s="3924" t="s">
        <v>514</v>
      </c>
      <c r="L7" s="3924"/>
      <c r="M7" s="3927" t="s">
        <v>515</v>
      </c>
      <c r="N7" s="3919" t="s">
        <v>516</v>
      </c>
      <c r="O7" s="3930" t="s">
        <v>517</v>
      </c>
      <c r="P7" s="3924" t="s">
        <v>518</v>
      </c>
      <c r="Q7" s="3919" t="s">
        <v>519</v>
      </c>
      <c r="R7" s="3929" t="s">
        <v>313</v>
      </c>
      <c r="S7" s="3929" t="s">
        <v>314</v>
      </c>
      <c r="T7" s="3929" t="s">
        <v>116</v>
      </c>
      <c r="U7" s="3929" t="s">
        <v>315</v>
      </c>
    </row>
    <row r="8" spans="1:23" ht="55.5" customHeight="1">
      <c r="A8" s="3920"/>
      <c r="B8" s="3920"/>
      <c r="C8" s="3920"/>
      <c r="D8" s="3922"/>
      <c r="E8" s="3923"/>
      <c r="F8" s="3924"/>
      <c r="G8" s="3924"/>
      <c r="H8" s="3926"/>
      <c r="I8" s="610" t="s">
        <v>520</v>
      </c>
      <c r="J8" s="610" t="s">
        <v>345</v>
      </c>
      <c r="K8" s="610" t="s">
        <v>520</v>
      </c>
      <c r="L8" s="610" t="s">
        <v>345</v>
      </c>
      <c r="M8" s="3928"/>
      <c r="N8" s="3919"/>
      <c r="O8" s="3928"/>
      <c r="P8" s="3924"/>
      <c r="Q8" s="3919"/>
      <c r="R8" s="3929"/>
      <c r="S8" s="3929"/>
      <c r="T8" s="3929"/>
      <c r="U8" s="3929"/>
    </row>
    <row r="9" spans="1:23">
      <c r="A9" s="544">
        <v>1</v>
      </c>
      <c r="B9" s="545">
        <f t="shared" ref="B9:U9" si="0">A9+1</f>
        <v>2</v>
      </c>
      <c r="C9" s="545">
        <f t="shared" si="0"/>
        <v>3</v>
      </c>
      <c r="D9" s="545">
        <f t="shared" si="0"/>
        <v>4</v>
      </c>
      <c r="E9" s="545">
        <f t="shared" si="0"/>
        <v>5</v>
      </c>
      <c r="F9" s="545">
        <f t="shared" si="0"/>
        <v>6</v>
      </c>
      <c r="G9" s="545">
        <f t="shared" si="0"/>
        <v>7</v>
      </c>
      <c r="H9" s="545">
        <f t="shared" si="0"/>
        <v>8</v>
      </c>
      <c r="I9" s="545">
        <f t="shared" si="0"/>
        <v>9</v>
      </c>
      <c r="J9" s="545">
        <f t="shared" si="0"/>
        <v>10</v>
      </c>
      <c r="K9" s="545">
        <f t="shared" si="0"/>
        <v>11</v>
      </c>
      <c r="L9" s="545">
        <f t="shared" si="0"/>
        <v>12</v>
      </c>
      <c r="M9" s="545">
        <f t="shared" si="0"/>
        <v>13</v>
      </c>
      <c r="N9" s="545">
        <f t="shared" si="0"/>
        <v>14</v>
      </c>
      <c r="O9" s="545">
        <f t="shared" si="0"/>
        <v>15</v>
      </c>
      <c r="P9" s="545">
        <f t="shared" si="0"/>
        <v>16</v>
      </c>
      <c r="Q9" s="545">
        <f t="shared" si="0"/>
        <v>17</v>
      </c>
      <c r="R9" s="545">
        <f t="shared" si="0"/>
        <v>18</v>
      </c>
      <c r="S9" s="545">
        <f t="shared" si="0"/>
        <v>19</v>
      </c>
      <c r="T9" s="545">
        <f t="shared" si="0"/>
        <v>20</v>
      </c>
      <c r="U9" s="545">
        <f t="shared" si="0"/>
        <v>21</v>
      </c>
    </row>
    <row r="10" spans="1:23">
      <c r="A10" s="347"/>
      <c r="B10" s="347" t="s">
        <v>306</v>
      </c>
      <c r="C10" s="347"/>
      <c r="D10" s="2027" t="e">
        <f>D11+D62+D99+D108</f>
        <v>#REF!</v>
      </c>
      <c r="E10" s="347"/>
      <c r="F10" s="348"/>
      <c r="G10" s="945"/>
      <c r="H10" s="1719" t="e">
        <f>H11+H62+H99+H108</f>
        <v>#REF!</v>
      </c>
      <c r="I10" s="945"/>
      <c r="J10" s="348"/>
      <c r="K10" s="945"/>
      <c r="L10" s="348"/>
      <c r="M10" s="543" t="e">
        <f t="shared" ref="M10:U10" si="1">M11+M62+M99+M108</f>
        <v>#REF!</v>
      </c>
      <c r="N10" s="1719" t="e">
        <f t="shared" si="1"/>
        <v>#REF!</v>
      </c>
      <c r="O10" s="1719" t="e">
        <f t="shared" si="1"/>
        <v>#REF!</v>
      </c>
      <c r="P10" s="1719" t="e">
        <f t="shared" si="1"/>
        <v>#REF!</v>
      </c>
      <c r="Q10" s="543" t="e">
        <f t="shared" si="1"/>
        <v>#REF!</v>
      </c>
      <c r="R10" s="1719" t="e">
        <f t="shared" si="1"/>
        <v>#REF!</v>
      </c>
      <c r="S10" s="1719" t="e">
        <f t="shared" si="1"/>
        <v>#REF!</v>
      </c>
      <c r="T10" s="1719" t="e">
        <f t="shared" si="1"/>
        <v>#REF!</v>
      </c>
      <c r="U10" s="1719" t="e">
        <f t="shared" si="1"/>
        <v>#REF!</v>
      </c>
      <c r="W10" s="1039" t="e">
        <f>Q10+T10+U10</f>
        <v>#REF!</v>
      </c>
    </row>
    <row r="11" spans="1:23" ht="30">
      <c r="A11" s="327"/>
      <c r="B11" s="2032" t="s">
        <v>521</v>
      </c>
      <c r="C11" s="327"/>
      <c r="D11" s="3800">
        <f>SUM(D12:D61)</f>
        <v>3</v>
      </c>
      <c r="E11" s="3801"/>
      <c r="F11" s="3802">
        <f>SUM(F12:F61)</f>
        <v>1089000</v>
      </c>
      <c r="G11" s="3803"/>
      <c r="H11" s="3802">
        <f>SUM(H12:H61)</f>
        <v>13068000</v>
      </c>
      <c r="I11" s="3803"/>
      <c r="J11" s="3802">
        <f>SUM(J12:J61)</f>
        <v>0</v>
      </c>
      <c r="K11" s="3803"/>
      <c r="L11" s="3802">
        <f t="shared" ref="L11:U11" si="2">SUM(L12:L61)</f>
        <v>0</v>
      </c>
      <c r="M11" s="3802">
        <f t="shared" si="2"/>
        <v>0</v>
      </c>
      <c r="N11" s="3802">
        <f t="shared" si="2"/>
        <v>13068000</v>
      </c>
      <c r="O11" s="3802">
        <f t="shared" si="2"/>
        <v>2178000</v>
      </c>
      <c r="P11" s="3802">
        <f t="shared" si="2"/>
        <v>4356000</v>
      </c>
      <c r="Q11" s="3802">
        <f t="shared" si="2"/>
        <v>19602000</v>
      </c>
      <c r="R11" s="3802">
        <f t="shared" si="2"/>
        <v>1960200</v>
      </c>
      <c r="S11" s="3802">
        <f t="shared" si="2"/>
        <v>1764180</v>
      </c>
      <c r="T11" s="3802">
        <f t="shared" si="2"/>
        <v>1058508</v>
      </c>
      <c r="U11" s="3802">
        <f t="shared" si="2"/>
        <v>882090</v>
      </c>
    </row>
    <row r="12" spans="1:23">
      <c r="A12" s="2024">
        <v>1</v>
      </c>
      <c r="B12" s="1020" t="s">
        <v>522</v>
      </c>
      <c r="C12" s="943"/>
      <c r="D12" s="2024">
        <v>1</v>
      </c>
      <c r="E12" s="942"/>
      <c r="F12" s="1021">
        <v>544500</v>
      </c>
      <c r="G12" s="946">
        <v>12</v>
      </c>
      <c r="H12" s="350">
        <f>D12*F12*G12</f>
        <v>6534000</v>
      </c>
      <c r="I12" s="946"/>
      <c r="J12" s="350">
        <f>I12*$Q$4</f>
        <v>0</v>
      </c>
      <c r="K12" s="948"/>
      <c r="L12" s="350">
        <f>K12*F12</f>
        <v>0</v>
      </c>
      <c r="M12" s="350">
        <f>D12*G12*(J12+L12)</f>
        <v>0</v>
      </c>
      <c r="N12" s="350">
        <f>H12+M12</f>
        <v>6534000</v>
      </c>
      <c r="O12" s="946">
        <f>F12*2</f>
        <v>1089000</v>
      </c>
      <c r="P12" s="946">
        <f>F12*4</f>
        <v>2178000</v>
      </c>
      <c r="Q12" s="350">
        <f>N12+O12+P12</f>
        <v>9801000</v>
      </c>
      <c r="R12" s="350">
        <f>Q12*10%</f>
        <v>980100</v>
      </c>
      <c r="S12" s="350">
        <f>(Q12-R12)*10%</f>
        <v>882090</v>
      </c>
      <c r="T12" s="327">
        <f>(Q12-R12)*6%</f>
        <v>529254</v>
      </c>
      <c r="U12" s="327">
        <f>(Q12-R12)*5%</f>
        <v>441045</v>
      </c>
    </row>
    <row r="13" spans="1:23">
      <c r="A13" s="2024">
        <v>2</v>
      </c>
      <c r="B13" s="1020" t="s">
        <v>523</v>
      </c>
      <c r="C13" s="944"/>
      <c r="D13" s="2028">
        <v>1</v>
      </c>
      <c r="E13" s="944"/>
      <c r="F13" s="1021">
        <v>302500</v>
      </c>
      <c r="G13" s="946">
        <v>12</v>
      </c>
      <c r="H13" s="350">
        <f>D13*F13*G13</f>
        <v>3630000</v>
      </c>
      <c r="I13" s="946"/>
      <c r="J13" s="350">
        <f>I13*$Q$4</f>
        <v>0</v>
      </c>
      <c r="K13" s="946"/>
      <c r="L13" s="350">
        <f>K13*F13</f>
        <v>0</v>
      </c>
      <c r="M13" s="350">
        <f>D13*G13*(J13+L13)</f>
        <v>0</v>
      </c>
      <c r="N13" s="350">
        <f>H13+M13</f>
        <v>3630000</v>
      </c>
      <c r="O13" s="946">
        <f>F13*2</f>
        <v>605000</v>
      </c>
      <c r="P13" s="946">
        <f>F13*4</f>
        <v>1210000</v>
      </c>
      <c r="Q13" s="350">
        <f>N13+O13+P13</f>
        <v>5445000</v>
      </c>
      <c r="R13" s="350">
        <f>Q13*10%</f>
        <v>544500</v>
      </c>
      <c r="S13" s="350">
        <f>(Q13-R13)*10%</f>
        <v>490050</v>
      </c>
      <c r="T13" s="327">
        <f>(Q13-R13)*6%</f>
        <v>294030</v>
      </c>
      <c r="U13" s="327">
        <f>(Q13-R13)*5%</f>
        <v>245025</v>
      </c>
    </row>
    <row r="14" spans="1:23">
      <c r="A14" s="2024">
        <v>3</v>
      </c>
      <c r="B14" s="1020" t="s">
        <v>524</v>
      </c>
      <c r="C14" s="944"/>
      <c r="D14" s="2028">
        <v>1</v>
      </c>
      <c r="E14" s="944"/>
      <c r="F14" s="1021">
        <v>242000</v>
      </c>
      <c r="G14" s="946">
        <v>12</v>
      </c>
      <c r="H14" s="350">
        <f>D14*F14*G14</f>
        <v>2904000</v>
      </c>
      <c r="I14" s="946"/>
      <c r="J14" s="350">
        <f t="shared" ref="J14:J61" si="3">I14*$Q$4</f>
        <v>0</v>
      </c>
      <c r="K14" s="946"/>
      <c r="L14" s="350">
        <f t="shared" ref="L14:L30" si="4">K14*F14</f>
        <v>0</v>
      </c>
      <c r="M14" s="350">
        <f t="shared" ref="M14:M30" si="5">D14*G14*(J14+L14)</f>
        <v>0</v>
      </c>
      <c r="N14" s="350">
        <f>H14+M14</f>
        <v>2904000</v>
      </c>
      <c r="O14" s="946">
        <f>F14*2</f>
        <v>484000</v>
      </c>
      <c r="P14" s="946">
        <f>F14*4</f>
        <v>968000</v>
      </c>
      <c r="Q14" s="350">
        <f t="shared" ref="Q14:Q30" si="6">N14+O14+P14</f>
        <v>4356000</v>
      </c>
      <c r="R14" s="350">
        <f t="shared" ref="R14:R61" si="7">Q14*10%</f>
        <v>435600</v>
      </c>
      <c r="S14" s="350">
        <f t="shared" ref="S14:S30" si="8">(Q14-R14)*10%</f>
        <v>392040</v>
      </c>
      <c r="T14" s="327">
        <f t="shared" ref="T14:T30" si="9">(Q14-R14)*6%</f>
        <v>235224</v>
      </c>
      <c r="U14" s="327">
        <f t="shared" ref="U14:U30" si="10">(Q14-R14)*5%</f>
        <v>196020</v>
      </c>
    </row>
    <row r="15" spans="1:23" hidden="1">
      <c r="A15" s="2025"/>
      <c r="B15" s="944"/>
      <c r="C15" s="944"/>
      <c r="D15" s="2028"/>
      <c r="E15" s="944"/>
      <c r="F15" s="350">
        <f t="shared" ref="F15:F61" si="11">ROUNDUP((E15*$Q$5),-3)</f>
        <v>0</v>
      </c>
      <c r="G15" s="946"/>
      <c r="H15" s="350">
        <f t="shared" ref="H15:H30" si="12">D15*F15*G15</f>
        <v>0</v>
      </c>
      <c r="I15" s="946"/>
      <c r="J15" s="350">
        <f t="shared" si="3"/>
        <v>0</v>
      </c>
      <c r="K15" s="946"/>
      <c r="L15" s="350">
        <f t="shared" si="4"/>
        <v>0</v>
      </c>
      <c r="M15" s="350">
        <f t="shared" si="5"/>
        <v>0</v>
      </c>
      <c r="N15" s="350">
        <f t="shared" ref="N15:N30" si="13">H15+M15</f>
        <v>0</v>
      </c>
      <c r="O15" s="946"/>
      <c r="P15" s="946"/>
      <c r="Q15" s="350">
        <f t="shared" si="6"/>
        <v>0</v>
      </c>
      <c r="R15" s="350">
        <f t="shared" si="7"/>
        <v>0</v>
      </c>
      <c r="S15" s="350">
        <f t="shared" si="8"/>
        <v>0</v>
      </c>
      <c r="T15" s="327">
        <f t="shared" si="9"/>
        <v>0</v>
      </c>
      <c r="U15" s="327">
        <f t="shared" si="10"/>
        <v>0</v>
      </c>
    </row>
    <row r="16" spans="1:23" ht="25.5" hidden="1" customHeight="1">
      <c r="A16" s="2025"/>
      <c r="B16" s="944"/>
      <c r="C16" s="944"/>
      <c r="D16" s="2028"/>
      <c r="E16" s="944"/>
      <c r="F16" s="350">
        <f t="shared" si="11"/>
        <v>0</v>
      </c>
      <c r="G16" s="946"/>
      <c r="H16" s="350">
        <f t="shared" si="12"/>
        <v>0</v>
      </c>
      <c r="I16" s="946"/>
      <c r="J16" s="350">
        <f t="shared" si="3"/>
        <v>0</v>
      </c>
      <c r="K16" s="946"/>
      <c r="L16" s="350">
        <f t="shared" si="4"/>
        <v>0</v>
      </c>
      <c r="M16" s="350">
        <f t="shared" si="5"/>
        <v>0</v>
      </c>
      <c r="N16" s="350">
        <f t="shared" si="13"/>
        <v>0</v>
      </c>
      <c r="O16" s="946"/>
      <c r="P16" s="946"/>
      <c r="Q16" s="350">
        <f t="shared" si="6"/>
        <v>0</v>
      </c>
      <c r="R16" s="350">
        <f t="shared" si="7"/>
        <v>0</v>
      </c>
      <c r="S16" s="350">
        <f t="shared" si="8"/>
        <v>0</v>
      </c>
      <c r="T16" s="327">
        <f t="shared" si="9"/>
        <v>0</v>
      </c>
      <c r="U16" s="327">
        <f t="shared" si="10"/>
        <v>0</v>
      </c>
    </row>
    <row r="17" spans="1:21" ht="25.5" hidden="1" customHeight="1">
      <c r="A17" s="2025"/>
      <c r="B17" s="944"/>
      <c r="C17" s="944"/>
      <c r="D17" s="2028"/>
      <c r="E17" s="944"/>
      <c r="F17" s="350">
        <f t="shared" si="11"/>
        <v>0</v>
      </c>
      <c r="G17" s="946"/>
      <c r="H17" s="350">
        <f t="shared" si="12"/>
        <v>0</v>
      </c>
      <c r="I17" s="946"/>
      <c r="J17" s="350">
        <f t="shared" si="3"/>
        <v>0</v>
      </c>
      <c r="K17" s="946"/>
      <c r="L17" s="350">
        <f t="shared" si="4"/>
        <v>0</v>
      </c>
      <c r="M17" s="350">
        <f t="shared" si="5"/>
        <v>0</v>
      </c>
      <c r="N17" s="350">
        <f t="shared" si="13"/>
        <v>0</v>
      </c>
      <c r="O17" s="946"/>
      <c r="P17" s="946"/>
      <c r="Q17" s="350">
        <f t="shared" si="6"/>
        <v>0</v>
      </c>
      <c r="R17" s="350">
        <f t="shared" si="7"/>
        <v>0</v>
      </c>
      <c r="S17" s="350">
        <f t="shared" si="8"/>
        <v>0</v>
      </c>
      <c r="T17" s="327">
        <f t="shared" si="9"/>
        <v>0</v>
      </c>
      <c r="U17" s="327">
        <f t="shared" si="10"/>
        <v>0</v>
      </c>
    </row>
    <row r="18" spans="1:21" hidden="1">
      <c r="A18" s="2025"/>
      <c r="B18" s="944"/>
      <c r="C18" s="944"/>
      <c r="D18" s="2028"/>
      <c r="E18" s="944"/>
      <c r="F18" s="350">
        <f t="shared" si="11"/>
        <v>0</v>
      </c>
      <c r="G18" s="946"/>
      <c r="H18" s="350">
        <f t="shared" si="12"/>
        <v>0</v>
      </c>
      <c r="I18" s="946"/>
      <c r="J18" s="350">
        <f t="shared" si="3"/>
        <v>0</v>
      </c>
      <c r="K18" s="946"/>
      <c r="L18" s="350">
        <f t="shared" si="4"/>
        <v>0</v>
      </c>
      <c r="M18" s="350">
        <f t="shared" si="5"/>
        <v>0</v>
      </c>
      <c r="N18" s="350">
        <f t="shared" si="13"/>
        <v>0</v>
      </c>
      <c r="O18" s="946"/>
      <c r="P18" s="946"/>
      <c r="Q18" s="350">
        <f t="shared" si="6"/>
        <v>0</v>
      </c>
      <c r="R18" s="350">
        <f t="shared" si="7"/>
        <v>0</v>
      </c>
      <c r="S18" s="350">
        <f t="shared" si="8"/>
        <v>0</v>
      </c>
      <c r="T18" s="327">
        <f t="shared" si="9"/>
        <v>0</v>
      </c>
      <c r="U18" s="327">
        <f t="shared" si="10"/>
        <v>0</v>
      </c>
    </row>
    <row r="19" spans="1:21" ht="25.5" hidden="1" customHeight="1">
      <c r="A19" s="2025"/>
      <c r="B19" s="944"/>
      <c r="C19" s="944"/>
      <c r="D19" s="2028"/>
      <c r="E19" s="944"/>
      <c r="F19" s="350">
        <f t="shared" si="11"/>
        <v>0</v>
      </c>
      <c r="G19" s="946"/>
      <c r="H19" s="350">
        <f t="shared" si="12"/>
        <v>0</v>
      </c>
      <c r="I19" s="946"/>
      <c r="J19" s="350">
        <f t="shared" si="3"/>
        <v>0</v>
      </c>
      <c r="K19" s="946"/>
      <c r="L19" s="350">
        <f t="shared" si="4"/>
        <v>0</v>
      </c>
      <c r="M19" s="350">
        <f t="shared" si="5"/>
        <v>0</v>
      </c>
      <c r="N19" s="350">
        <f t="shared" si="13"/>
        <v>0</v>
      </c>
      <c r="O19" s="946"/>
      <c r="P19" s="946"/>
      <c r="Q19" s="350">
        <f t="shared" si="6"/>
        <v>0</v>
      </c>
      <c r="R19" s="350">
        <f t="shared" si="7"/>
        <v>0</v>
      </c>
      <c r="S19" s="350">
        <f t="shared" si="8"/>
        <v>0</v>
      </c>
      <c r="T19" s="327">
        <f t="shared" si="9"/>
        <v>0</v>
      </c>
      <c r="U19" s="327">
        <f t="shared" si="10"/>
        <v>0</v>
      </c>
    </row>
    <row r="20" spans="1:21" ht="38.25" hidden="1" customHeight="1">
      <c r="A20" s="2025"/>
      <c r="B20" s="944"/>
      <c r="C20" s="944"/>
      <c r="D20" s="2028"/>
      <c r="E20" s="944"/>
      <c r="F20" s="350">
        <f t="shared" si="11"/>
        <v>0</v>
      </c>
      <c r="G20" s="946"/>
      <c r="H20" s="350">
        <f t="shared" si="12"/>
        <v>0</v>
      </c>
      <c r="I20" s="946"/>
      <c r="J20" s="350">
        <f t="shared" si="3"/>
        <v>0</v>
      </c>
      <c r="K20" s="946"/>
      <c r="L20" s="350">
        <f t="shared" si="4"/>
        <v>0</v>
      </c>
      <c r="M20" s="350">
        <f t="shared" si="5"/>
        <v>0</v>
      </c>
      <c r="N20" s="350">
        <f t="shared" si="13"/>
        <v>0</v>
      </c>
      <c r="O20" s="946"/>
      <c r="P20" s="946"/>
      <c r="Q20" s="350">
        <f t="shared" si="6"/>
        <v>0</v>
      </c>
      <c r="R20" s="350">
        <f t="shared" si="7"/>
        <v>0</v>
      </c>
      <c r="S20" s="350">
        <f t="shared" si="8"/>
        <v>0</v>
      </c>
      <c r="T20" s="327">
        <f t="shared" si="9"/>
        <v>0</v>
      </c>
      <c r="U20" s="327">
        <f t="shared" si="10"/>
        <v>0</v>
      </c>
    </row>
    <row r="21" spans="1:21" ht="38.25" hidden="1" customHeight="1">
      <c r="A21" s="2025"/>
      <c r="B21" s="944"/>
      <c r="C21" s="944"/>
      <c r="D21" s="2028"/>
      <c r="E21" s="944"/>
      <c r="F21" s="350">
        <f t="shared" si="11"/>
        <v>0</v>
      </c>
      <c r="G21" s="946"/>
      <c r="H21" s="350">
        <f t="shared" si="12"/>
        <v>0</v>
      </c>
      <c r="I21" s="946"/>
      <c r="J21" s="350">
        <f t="shared" si="3"/>
        <v>0</v>
      </c>
      <c r="K21" s="946"/>
      <c r="L21" s="350">
        <f t="shared" si="4"/>
        <v>0</v>
      </c>
      <c r="M21" s="350">
        <f t="shared" si="5"/>
        <v>0</v>
      </c>
      <c r="N21" s="350">
        <f t="shared" si="13"/>
        <v>0</v>
      </c>
      <c r="O21" s="946"/>
      <c r="P21" s="946"/>
      <c r="Q21" s="350">
        <f t="shared" si="6"/>
        <v>0</v>
      </c>
      <c r="R21" s="350">
        <f t="shared" si="7"/>
        <v>0</v>
      </c>
      <c r="S21" s="350">
        <f t="shared" si="8"/>
        <v>0</v>
      </c>
      <c r="T21" s="327">
        <f t="shared" si="9"/>
        <v>0</v>
      </c>
      <c r="U21" s="327">
        <f t="shared" si="10"/>
        <v>0</v>
      </c>
    </row>
    <row r="22" spans="1:21" ht="25.5" hidden="1" customHeight="1">
      <c r="A22" s="2025"/>
      <c r="B22" s="944"/>
      <c r="C22" s="944"/>
      <c r="D22" s="2028"/>
      <c r="E22" s="944"/>
      <c r="F22" s="350">
        <f t="shared" si="11"/>
        <v>0</v>
      </c>
      <c r="G22" s="946"/>
      <c r="H22" s="350">
        <f t="shared" si="12"/>
        <v>0</v>
      </c>
      <c r="I22" s="946"/>
      <c r="J22" s="350">
        <f t="shared" si="3"/>
        <v>0</v>
      </c>
      <c r="K22" s="946"/>
      <c r="L22" s="350">
        <f t="shared" si="4"/>
        <v>0</v>
      </c>
      <c r="M22" s="350">
        <f t="shared" si="5"/>
        <v>0</v>
      </c>
      <c r="N22" s="350">
        <f t="shared" si="13"/>
        <v>0</v>
      </c>
      <c r="O22" s="946"/>
      <c r="P22" s="946"/>
      <c r="Q22" s="350">
        <f t="shared" si="6"/>
        <v>0</v>
      </c>
      <c r="R22" s="350">
        <f t="shared" si="7"/>
        <v>0</v>
      </c>
      <c r="S22" s="350">
        <f t="shared" si="8"/>
        <v>0</v>
      </c>
      <c r="T22" s="327">
        <f t="shared" si="9"/>
        <v>0</v>
      </c>
      <c r="U22" s="327">
        <f t="shared" si="10"/>
        <v>0</v>
      </c>
    </row>
    <row r="23" spans="1:21" ht="25.5" hidden="1" customHeight="1">
      <c r="A23" s="2025"/>
      <c r="B23" s="944"/>
      <c r="C23" s="944"/>
      <c r="D23" s="2028"/>
      <c r="E23" s="944"/>
      <c r="F23" s="350">
        <f t="shared" si="11"/>
        <v>0</v>
      </c>
      <c r="G23" s="946"/>
      <c r="H23" s="350">
        <f>D23*F23*G23</f>
        <v>0</v>
      </c>
      <c r="I23" s="946"/>
      <c r="J23" s="350">
        <f t="shared" si="3"/>
        <v>0</v>
      </c>
      <c r="K23" s="946"/>
      <c r="L23" s="350">
        <f t="shared" si="4"/>
        <v>0</v>
      </c>
      <c r="M23" s="350">
        <f t="shared" si="5"/>
        <v>0</v>
      </c>
      <c r="N23" s="350">
        <f t="shared" si="13"/>
        <v>0</v>
      </c>
      <c r="O23" s="946"/>
      <c r="P23" s="946"/>
      <c r="Q23" s="350">
        <f t="shared" si="6"/>
        <v>0</v>
      </c>
      <c r="R23" s="350">
        <f t="shared" si="7"/>
        <v>0</v>
      </c>
      <c r="S23" s="350">
        <f t="shared" si="8"/>
        <v>0</v>
      </c>
      <c r="T23" s="327">
        <f t="shared" si="9"/>
        <v>0</v>
      </c>
      <c r="U23" s="327">
        <f t="shared" si="10"/>
        <v>0</v>
      </c>
    </row>
    <row r="24" spans="1:21" ht="25.5" hidden="1" customHeight="1">
      <c r="A24" s="2025"/>
      <c r="B24" s="944"/>
      <c r="C24" s="944"/>
      <c r="D24" s="2028"/>
      <c r="E24" s="944"/>
      <c r="F24" s="350">
        <f t="shared" si="11"/>
        <v>0</v>
      </c>
      <c r="G24" s="946"/>
      <c r="H24" s="350">
        <f t="shared" si="12"/>
        <v>0</v>
      </c>
      <c r="I24" s="946"/>
      <c r="J24" s="350">
        <f t="shared" si="3"/>
        <v>0</v>
      </c>
      <c r="K24" s="946"/>
      <c r="L24" s="350">
        <f t="shared" si="4"/>
        <v>0</v>
      </c>
      <c r="M24" s="350">
        <f t="shared" si="5"/>
        <v>0</v>
      </c>
      <c r="N24" s="350">
        <f t="shared" si="13"/>
        <v>0</v>
      </c>
      <c r="O24" s="946"/>
      <c r="P24" s="946"/>
      <c r="Q24" s="350">
        <f t="shared" si="6"/>
        <v>0</v>
      </c>
      <c r="R24" s="350">
        <f t="shared" si="7"/>
        <v>0</v>
      </c>
      <c r="S24" s="350">
        <f t="shared" si="8"/>
        <v>0</v>
      </c>
      <c r="T24" s="327">
        <f t="shared" si="9"/>
        <v>0</v>
      </c>
      <c r="U24" s="327">
        <f t="shared" si="10"/>
        <v>0</v>
      </c>
    </row>
    <row r="25" spans="1:21" ht="25.5" hidden="1" customHeight="1">
      <c r="A25" s="2025"/>
      <c r="B25" s="944"/>
      <c r="C25" s="944"/>
      <c r="D25" s="2028"/>
      <c r="E25" s="944"/>
      <c r="F25" s="350">
        <f t="shared" si="11"/>
        <v>0</v>
      </c>
      <c r="G25" s="946"/>
      <c r="H25" s="350">
        <f t="shared" si="12"/>
        <v>0</v>
      </c>
      <c r="I25" s="946"/>
      <c r="J25" s="350">
        <f t="shared" si="3"/>
        <v>0</v>
      </c>
      <c r="K25" s="946"/>
      <c r="L25" s="350">
        <f t="shared" si="4"/>
        <v>0</v>
      </c>
      <c r="M25" s="350">
        <f t="shared" si="5"/>
        <v>0</v>
      </c>
      <c r="N25" s="350">
        <f t="shared" si="13"/>
        <v>0</v>
      </c>
      <c r="O25" s="946"/>
      <c r="P25" s="946"/>
      <c r="Q25" s="350">
        <f t="shared" si="6"/>
        <v>0</v>
      </c>
      <c r="R25" s="350">
        <f t="shared" si="7"/>
        <v>0</v>
      </c>
      <c r="S25" s="350">
        <f t="shared" si="8"/>
        <v>0</v>
      </c>
      <c r="T25" s="327">
        <f t="shared" si="9"/>
        <v>0</v>
      </c>
      <c r="U25" s="327">
        <f t="shared" si="10"/>
        <v>0</v>
      </c>
    </row>
    <row r="26" spans="1:21" ht="25.5" hidden="1" customHeight="1">
      <c r="A26" s="2025"/>
      <c r="B26" s="944"/>
      <c r="C26" s="944"/>
      <c r="D26" s="2028"/>
      <c r="E26" s="944"/>
      <c r="F26" s="350">
        <f t="shared" si="11"/>
        <v>0</v>
      </c>
      <c r="G26" s="946"/>
      <c r="H26" s="350">
        <f t="shared" si="12"/>
        <v>0</v>
      </c>
      <c r="I26" s="946"/>
      <c r="J26" s="350">
        <f t="shared" si="3"/>
        <v>0</v>
      </c>
      <c r="K26" s="946"/>
      <c r="L26" s="350">
        <f t="shared" si="4"/>
        <v>0</v>
      </c>
      <c r="M26" s="350">
        <f t="shared" si="5"/>
        <v>0</v>
      </c>
      <c r="N26" s="350">
        <f t="shared" si="13"/>
        <v>0</v>
      </c>
      <c r="O26" s="946"/>
      <c r="P26" s="946"/>
      <c r="Q26" s="350">
        <f t="shared" si="6"/>
        <v>0</v>
      </c>
      <c r="R26" s="350">
        <f t="shared" si="7"/>
        <v>0</v>
      </c>
      <c r="S26" s="350">
        <f t="shared" si="8"/>
        <v>0</v>
      </c>
      <c r="T26" s="327">
        <f t="shared" si="9"/>
        <v>0</v>
      </c>
      <c r="U26" s="327">
        <f t="shared" si="10"/>
        <v>0</v>
      </c>
    </row>
    <row r="27" spans="1:21" ht="25.5" hidden="1" customHeight="1">
      <c r="A27" s="2025"/>
      <c r="B27" s="944"/>
      <c r="C27" s="944"/>
      <c r="D27" s="2028"/>
      <c r="E27" s="944"/>
      <c r="F27" s="350">
        <f t="shared" si="11"/>
        <v>0</v>
      </c>
      <c r="G27" s="946"/>
      <c r="H27" s="350">
        <f t="shared" si="12"/>
        <v>0</v>
      </c>
      <c r="I27" s="946"/>
      <c r="J27" s="350">
        <f t="shared" si="3"/>
        <v>0</v>
      </c>
      <c r="K27" s="946"/>
      <c r="L27" s="350">
        <f t="shared" si="4"/>
        <v>0</v>
      </c>
      <c r="M27" s="350">
        <f t="shared" si="5"/>
        <v>0</v>
      </c>
      <c r="N27" s="350">
        <f t="shared" si="13"/>
        <v>0</v>
      </c>
      <c r="O27" s="946"/>
      <c r="P27" s="946"/>
      <c r="Q27" s="350">
        <f t="shared" si="6"/>
        <v>0</v>
      </c>
      <c r="R27" s="350">
        <f t="shared" si="7"/>
        <v>0</v>
      </c>
      <c r="S27" s="350">
        <f t="shared" si="8"/>
        <v>0</v>
      </c>
      <c r="T27" s="327">
        <f t="shared" si="9"/>
        <v>0</v>
      </c>
      <c r="U27" s="327">
        <f t="shared" si="10"/>
        <v>0</v>
      </c>
    </row>
    <row r="28" spans="1:21" ht="25.5" hidden="1" customHeight="1">
      <c r="A28" s="2025"/>
      <c r="B28" s="944"/>
      <c r="C28" s="944"/>
      <c r="D28" s="2028"/>
      <c r="E28" s="944"/>
      <c r="F28" s="350">
        <f t="shared" si="11"/>
        <v>0</v>
      </c>
      <c r="G28" s="946"/>
      <c r="H28" s="350">
        <f t="shared" si="12"/>
        <v>0</v>
      </c>
      <c r="I28" s="946"/>
      <c r="J28" s="350">
        <f t="shared" si="3"/>
        <v>0</v>
      </c>
      <c r="K28" s="946"/>
      <c r="L28" s="350">
        <f t="shared" si="4"/>
        <v>0</v>
      </c>
      <c r="M28" s="350">
        <f t="shared" si="5"/>
        <v>0</v>
      </c>
      <c r="N28" s="350">
        <f t="shared" si="13"/>
        <v>0</v>
      </c>
      <c r="O28" s="946"/>
      <c r="P28" s="946"/>
      <c r="Q28" s="350">
        <f t="shared" si="6"/>
        <v>0</v>
      </c>
      <c r="R28" s="350">
        <f t="shared" si="7"/>
        <v>0</v>
      </c>
      <c r="S28" s="350">
        <f t="shared" si="8"/>
        <v>0</v>
      </c>
      <c r="T28" s="327">
        <f t="shared" si="9"/>
        <v>0</v>
      </c>
      <c r="U28" s="327">
        <f t="shared" si="10"/>
        <v>0</v>
      </c>
    </row>
    <row r="29" spans="1:21" ht="25.5" hidden="1" customHeight="1">
      <c r="A29" s="2025"/>
      <c r="B29" s="944"/>
      <c r="C29" s="944"/>
      <c r="D29" s="2028"/>
      <c r="E29" s="944"/>
      <c r="F29" s="350">
        <f t="shared" si="11"/>
        <v>0</v>
      </c>
      <c r="G29" s="946"/>
      <c r="H29" s="350">
        <f t="shared" si="12"/>
        <v>0</v>
      </c>
      <c r="I29" s="946"/>
      <c r="J29" s="350">
        <f t="shared" si="3"/>
        <v>0</v>
      </c>
      <c r="K29" s="946"/>
      <c r="L29" s="350">
        <f t="shared" si="4"/>
        <v>0</v>
      </c>
      <c r="M29" s="350">
        <f t="shared" si="5"/>
        <v>0</v>
      </c>
      <c r="N29" s="350">
        <f t="shared" si="13"/>
        <v>0</v>
      </c>
      <c r="O29" s="946"/>
      <c r="P29" s="946"/>
      <c r="Q29" s="350">
        <f t="shared" si="6"/>
        <v>0</v>
      </c>
      <c r="R29" s="350">
        <f t="shared" si="7"/>
        <v>0</v>
      </c>
      <c r="S29" s="350">
        <f t="shared" si="8"/>
        <v>0</v>
      </c>
      <c r="T29" s="327">
        <f t="shared" si="9"/>
        <v>0</v>
      </c>
      <c r="U29" s="327">
        <f t="shared" si="10"/>
        <v>0</v>
      </c>
    </row>
    <row r="30" spans="1:21" hidden="1">
      <c r="A30" s="2025"/>
      <c r="B30" s="944"/>
      <c r="C30" s="944"/>
      <c r="D30" s="2028"/>
      <c r="E30" s="944"/>
      <c r="F30" s="350">
        <f t="shared" si="11"/>
        <v>0</v>
      </c>
      <c r="G30" s="946"/>
      <c r="H30" s="350">
        <f t="shared" si="12"/>
        <v>0</v>
      </c>
      <c r="I30" s="946"/>
      <c r="J30" s="350">
        <f t="shared" si="3"/>
        <v>0</v>
      </c>
      <c r="K30" s="946"/>
      <c r="L30" s="350">
        <f t="shared" si="4"/>
        <v>0</v>
      </c>
      <c r="M30" s="350">
        <f t="shared" si="5"/>
        <v>0</v>
      </c>
      <c r="N30" s="350">
        <f t="shared" si="13"/>
        <v>0</v>
      </c>
      <c r="O30" s="946"/>
      <c r="P30" s="946"/>
      <c r="Q30" s="350">
        <f t="shared" si="6"/>
        <v>0</v>
      </c>
      <c r="R30" s="350">
        <f t="shared" si="7"/>
        <v>0</v>
      </c>
      <c r="S30" s="350">
        <f t="shared" si="8"/>
        <v>0</v>
      </c>
      <c r="T30" s="327">
        <f t="shared" si="9"/>
        <v>0</v>
      </c>
      <c r="U30" s="327">
        <f t="shared" si="10"/>
        <v>0</v>
      </c>
    </row>
    <row r="31" spans="1:21" ht="25.5" hidden="1" customHeight="1">
      <c r="A31" s="2025"/>
      <c r="B31" s="944"/>
      <c r="C31" s="944"/>
      <c r="D31" s="2028"/>
      <c r="E31" s="944"/>
      <c r="F31" s="350">
        <f>ROUNDUP((E31*$Q$5),-3)</f>
        <v>0</v>
      </c>
      <c r="G31" s="946"/>
      <c r="H31" s="350">
        <f>D31*F31*G31</f>
        <v>0</v>
      </c>
      <c r="I31" s="946"/>
      <c r="J31" s="350">
        <f>I31*$Q$4</f>
        <v>0</v>
      </c>
      <c r="K31" s="946"/>
      <c r="L31" s="350">
        <f>K31*F31</f>
        <v>0</v>
      </c>
      <c r="M31" s="350">
        <f>D31*G31*(J31+L31)</f>
        <v>0</v>
      </c>
      <c r="N31" s="350">
        <f>H31+M31</f>
        <v>0</v>
      </c>
      <c r="O31" s="946"/>
      <c r="P31" s="946"/>
      <c r="Q31" s="350">
        <f>N31+O31+P31</f>
        <v>0</v>
      </c>
      <c r="R31" s="350">
        <f>Q31*10%</f>
        <v>0</v>
      </c>
      <c r="S31" s="350">
        <f>(Q31-R31)*10%</f>
        <v>0</v>
      </c>
      <c r="T31" s="327">
        <f>(Q31-R31)*6%</f>
        <v>0</v>
      </c>
      <c r="U31" s="327">
        <f>(Q31-R31)*5%</f>
        <v>0</v>
      </c>
    </row>
    <row r="32" spans="1:21" ht="25.5" hidden="1" customHeight="1">
      <c r="A32" s="2025"/>
      <c r="B32" s="944"/>
      <c r="C32" s="944"/>
      <c r="D32" s="2028"/>
      <c r="E32" s="944"/>
      <c r="F32" s="350">
        <f t="shared" si="11"/>
        <v>0</v>
      </c>
      <c r="G32" s="946"/>
      <c r="H32" s="350">
        <f t="shared" ref="H32:H44" si="14">D32*F32*G32</f>
        <v>0</v>
      </c>
      <c r="I32" s="946"/>
      <c r="J32" s="350">
        <f t="shared" si="3"/>
        <v>0</v>
      </c>
      <c r="K32" s="946"/>
      <c r="L32" s="350">
        <f t="shared" ref="L32:L44" si="15">K32*F32</f>
        <v>0</v>
      </c>
      <c r="M32" s="350">
        <f t="shared" ref="M32:M44" si="16">D32*G32*(J32+L32)</f>
        <v>0</v>
      </c>
      <c r="N32" s="350">
        <f t="shared" ref="N32:N44" si="17">H32+M32</f>
        <v>0</v>
      </c>
      <c r="O32" s="946"/>
      <c r="P32" s="946"/>
      <c r="Q32" s="350">
        <f t="shared" ref="Q32:Q44" si="18">N32+O32+P32</f>
        <v>0</v>
      </c>
      <c r="R32" s="350">
        <f t="shared" si="7"/>
        <v>0</v>
      </c>
      <c r="S32" s="350">
        <f t="shared" ref="S32:S44" si="19">(Q32-R32)*10%</f>
        <v>0</v>
      </c>
      <c r="T32" s="327">
        <f t="shared" ref="T32:T44" si="20">(Q32-R32)*6%</f>
        <v>0</v>
      </c>
      <c r="U32" s="327">
        <f t="shared" ref="U32:U44" si="21">(Q32-R32)*5%</f>
        <v>0</v>
      </c>
    </row>
    <row r="33" spans="1:21" ht="25.5" hidden="1" customHeight="1">
      <c r="A33" s="2025"/>
      <c r="B33" s="944"/>
      <c r="C33" s="944"/>
      <c r="D33" s="2028"/>
      <c r="E33" s="944"/>
      <c r="F33" s="350">
        <f t="shared" si="11"/>
        <v>0</v>
      </c>
      <c r="G33" s="946"/>
      <c r="H33" s="350">
        <f t="shared" si="14"/>
        <v>0</v>
      </c>
      <c r="I33" s="946"/>
      <c r="J33" s="350">
        <f t="shared" si="3"/>
        <v>0</v>
      </c>
      <c r="K33" s="946"/>
      <c r="L33" s="350">
        <f t="shared" si="15"/>
        <v>0</v>
      </c>
      <c r="M33" s="350">
        <f t="shared" si="16"/>
        <v>0</v>
      </c>
      <c r="N33" s="350">
        <f t="shared" si="17"/>
        <v>0</v>
      </c>
      <c r="O33" s="946"/>
      <c r="P33" s="946"/>
      <c r="Q33" s="350">
        <f t="shared" si="18"/>
        <v>0</v>
      </c>
      <c r="R33" s="350">
        <f t="shared" si="7"/>
        <v>0</v>
      </c>
      <c r="S33" s="350">
        <f t="shared" si="19"/>
        <v>0</v>
      </c>
      <c r="T33" s="327">
        <f t="shared" si="20"/>
        <v>0</v>
      </c>
      <c r="U33" s="327">
        <f t="shared" si="21"/>
        <v>0</v>
      </c>
    </row>
    <row r="34" spans="1:21" ht="25.5" hidden="1" customHeight="1">
      <c r="A34" s="2025"/>
      <c r="B34" s="944"/>
      <c r="C34" s="944"/>
      <c r="D34" s="2028"/>
      <c r="E34" s="944"/>
      <c r="F34" s="350">
        <f t="shared" si="11"/>
        <v>0</v>
      </c>
      <c r="G34" s="946"/>
      <c r="H34" s="350">
        <f t="shared" si="14"/>
        <v>0</v>
      </c>
      <c r="I34" s="946"/>
      <c r="J34" s="350">
        <f t="shared" si="3"/>
        <v>0</v>
      </c>
      <c r="K34" s="946"/>
      <c r="L34" s="350">
        <f t="shared" si="15"/>
        <v>0</v>
      </c>
      <c r="M34" s="350">
        <f t="shared" si="16"/>
        <v>0</v>
      </c>
      <c r="N34" s="350">
        <f t="shared" si="17"/>
        <v>0</v>
      </c>
      <c r="O34" s="946"/>
      <c r="P34" s="946"/>
      <c r="Q34" s="350">
        <f t="shared" si="18"/>
        <v>0</v>
      </c>
      <c r="R34" s="350">
        <f t="shared" si="7"/>
        <v>0</v>
      </c>
      <c r="S34" s="350">
        <f t="shared" si="19"/>
        <v>0</v>
      </c>
      <c r="T34" s="327">
        <f t="shared" si="20"/>
        <v>0</v>
      </c>
      <c r="U34" s="327">
        <f t="shared" si="21"/>
        <v>0</v>
      </c>
    </row>
    <row r="35" spans="1:21" ht="25.5" hidden="1" customHeight="1">
      <c r="A35" s="2025"/>
      <c r="B35" s="944"/>
      <c r="C35" s="944"/>
      <c r="D35" s="2028"/>
      <c r="E35" s="944"/>
      <c r="F35" s="350">
        <f t="shared" si="11"/>
        <v>0</v>
      </c>
      <c r="G35" s="946"/>
      <c r="H35" s="350">
        <f t="shared" si="14"/>
        <v>0</v>
      </c>
      <c r="I35" s="946"/>
      <c r="J35" s="350">
        <f t="shared" si="3"/>
        <v>0</v>
      </c>
      <c r="K35" s="946"/>
      <c r="L35" s="350">
        <f t="shared" si="15"/>
        <v>0</v>
      </c>
      <c r="M35" s="350">
        <f t="shared" si="16"/>
        <v>0</v>
      </c>
      <c r="N35" s="350">
        <f t="shared" si="17"/>
        <v>0</v>
      </c>
      <c r="O35" s="946"/>
      <c r="P35" s="946"/>
      <c r="Q35" s="350">
        <f t="shared" si="18"/>
        <v>0</v>
      </c>
      <c r="R35" s="350">
        <f t="shared" si="7"/>
        <v>0</v>
      </c>
      <c r="S35" s="350">
        <f t="shared" si="19"/>
        <v>0</v>
      </c>
      <c r="T35" s="327">
        <f t="shared" si="20"/>
        <v>0</v>
      </c>
      <c r="U35" s="327">
        <f t="shared" si="21"/>
        <v>0</v>
      </c>
    </row>
    <row r="36" spans="1:21" hidden="1">
      <c r="A36" s="2025"/>
      <c r="B36" s="944"/>
      <c r="C36" s="944"/>
      <c r="D36" s="2028"/>
      <c r="E36" s="944"/>
      <c r="F36" s="350">
        <f t="shared" si="11"/>
        <v>0</v>
      </c>
      <c r="G36" s="946"/>
      <c r="H36" s="350">
        <f t="shared" si="14"/>
        <v>0</v>
      </c>
      <c r="I36" s="946"/>
      <c r="J36" s="350">
        <f t="shared" si="3"/>
        <v>0</v>
      </c>
      <c r="K36" s="946"/>
      <c r="L36" s="350">
        <f t="shared" si="15"/>
        <v>0</v>
      </c>
      <c r="M36" s="350">
        <f t="shared" si="16"/>
        <v>0</v>
      </c>
      <c r="N36" s="350">
        <f t="shared" si="17"/>
        <v>0</v>
      </c>
      <c r="O36" s="946"/>
      <c r="P36" s="946"/>
      <c r="Q36" s="350">
        <f t="shared" si="18"/>
        <v>0</v>
      </c>
      <c r="R36" s="350">
        <f t="shared" si="7"/>
        <v>0</v>
      </c>
      <c r="S36" s="350">
        <f t="shared" si="19"/>
        <v>0</v>
      </c>
      <c r="T36" s="327">
        <f t="shared" si="20"/>
        <v>0</v>
      </c>
      <c r="U36" s="327">
        <f t="shared" si="21"/>
        <v>0</v>
      </c>
    </row>
    <row r="37" spans="1:21" ht="25.5" hidden="1" customHeight="1">
      <c r="A37" s="2025"/>
      <c r="B37" s="944"/>
      <c r="C37" s="944"/>
      <c r="D37" s="2028"/>
      <c r="E37" s="944"/>
      <c r="F37" s="350">
        <f t="shared" si="11"/>
        <v>0</v>
      </c>
      <c r="G37" s="946"/>
      <c r="H37" s="350">
        <f t="shared" si="14"/>
        <v>0</v>
      </c>
      <c r="I37" s="946"/>
      <c r="J37" s="350">
        <f t="shared" si="3"/>
        <v>0</v>
      </c>
      <c r="K37" s="946"/>
      <c r="L37" s="350">
        <f t="shared" si="15"/>
        <v>0</v>
      </c>
      <c r="M37" s="350">
        <f t="shared" si="16"/>
        <v>0</v>
      </c>
      <c r="N37" s="350">
        <f t="shared" si="17"/>
        <v>0</v>
      </c>
      <c r="O37" s="946"/>
      <c r="P37" s="946"/>
      <c r="Q37" s="350">
        <f t="shared" si="18"/>
        <v>0</v>
      </c>
      <c r="R37" s="350">
        <f t="shared" si="7"/>
        <v>0</v>
      </c>
      <c r="S37" s="350">
        <f t="shared" si="19"/>
        <v>0</v>
      </c>
      <c r="T37" s="327">
        <f t="shared" si="20"/>
        <v>0</v>
      </c>
      <c r="U37" s="327">
        <f t="shared" si="21"/>
        <v>0</v>
      </c>
    </row>
    <row r="38" spans="1:21" hidden="1">
      <c r="A38" s="2025"/>
      <c r="B38" s="944"/>
      <c r="C38" s="944"/>
      <c r="D38" s="2028"/>
      <c r="E38" s="944"/>
      <c r="F38" s="350">
        <f t="shared" si="11"/>
        <v>0</v>
      </c>
      <c r="G38" s="946"/>
      <c r="H38" s="350">
        <f t="shared" si="14"/>
        <v>0</v>
      </c>
      <c r="I38" s="946"/>
      <c r="J38" s="350">
        <f t="shared" si="3"/>
        <v>0</v>
      </c>
      <c r="K38" s="946"/>
      <c r="L38" s="350">
        <f t="shared" si="15"/>
        <v>0</v>
      </c>
      <c r="M38" s="350">
        <f t="shared" si="16"/>
        <v>0</v>
      </c>
      <c r="N38" s="350">
        <f t="shared" si="17"/>
        <v>0</v>
      </c>
      <c r="O38" s="946"/>
      <c r="P38" s="946"/>
      <c r="Q38" s="350">
        <f t="shared" si="18"/>
        <v>0</v>
      </c>
      <c r="R38" s="350">
        <f t="shared" si="7"/>
        <v>0</v>
      </c>
      <c r="S38" s="350">
        <f t="shared" si="19"/>
        <v>0</v>
      </c>
      <c r="T38" s="327">
        <f t="shared" si="20"/>
        <v>0</v>
      </c>
      <c r="U38" s="327">
        <f t="shared" si="21"/>
        <v>0</v>
      </c>
    </row>
    <row r="39" spans="1:21" ht="25.5" hidden="1" customHeight="1">
      <c r="A39" s="2025"/>
      <c r="B39" s="944"/>
      <c r="C39" s="944"/>
      <c r="D39" s="2028"/>
      <c r="E39" s="944"/>
      <c r="F39" s="350">
        <f t="shared" si="11"/>
        <v>0</v>
      </c>
      <c r="G39" s="946"/>
      <c r="H39" s="350">
        <f t="shared" si="14"/>
        <v>0</v>
      </c>
      <c r="I39" s="946"/>
      <c r="J39" s="350">
        <f t="shared" si="3"/>
        <v>0</v>
      </c>
      <c r="K39" s="946"/>
      <c r="L39" s="350">
        <f t="shared" si="15"/>
        <v>0</v>
      </c>
      <c r="M39" s="350">
        <f t="shared" si="16"/>
        <v>0</v>
      </c>
      <c r="N39" s="350">
        <f t="shared" si="17"/>
        <v>0</v>
      </c>
      <c r="O39" s="946"/>
      <c r="P39" s="946"/>
      <c r="Q39" s="350">
        <f t="shared" si="18"/>
        <v>0</v>
      </c>
      <c r="R39" s="350">
        <f t="shared" si="7"/>
        <v>0</v>
      </c>
      <c r="S39" s="350">
        <f t="shared" si="19"/>
        <v>0</v>
      </c>
      <c r="T39" s="327">
        <f t="shared" si="20"/>
        <v>0</v>
      </c>
      <c r="U39" s="327">
        <f t="shared" si="21"/>
        <v>0</v>
      </c>
    </row>
    <row r="40" spans="1:21" ht="25.5" hidden="1" customHeight="1">
      <c r="A40" s="2025"/>
      <c r="B40" s="944"/>
      <c r="C40" s="944"/>
      <c r="D40" s="2028"/>
      <c r="E40" s="944"/>
      <c r="F40" s="350">
        <f t="shared" si="11"/>
        <v>0</v>
      </c>
      <c r="G40" s="946"/>
      <c r="H40" s="350">
        <f t="shared" si="14"/>
        <v>0</v>
      </c>
      <c r="I40" s="946"/>
      <c r="J40" s="350">
        <f t="shared" si="3"/>
        <v>0</v>
      </c>
      <c r="K40" s="946"/>
      <c r="L40" s="350">
        <f t="shared" si="15"/>
        <v>0</v>
      </c>
      <c r="M40" s="350">
        <f t="shared" si="16"/>
        <v>0</v>
      </c>
      <c r="N40" s="350">
        <f t="shared" si="17"/>
        <v>0</v>
      </c>
      <c r="O40" s="946"/>
      <c r="P40" s="946"/>
      <c r="Q40" s="350">
        <f t="shared" si="18"/>
        <v>0</v>
      </c>
      <c r="R40" s="350">
        <f t="shared" si="7"/>
        <v>0</v>
      </c>
      <c r="S40" s="350">
        <f t="shared" si="19"/>
        <v>0</v>
      </c>
      <c r="T40" s="327">
        <f t="shared" si="20"/>
        <v>0</v>
      </c>
      <c r="U40" s="327">
        <f t="shared" si="21"/>
        <v>0</v>
      </c>
    </row>
    <row r="41" spans="1:21" ht="25.5" hidden="1" customHeight="1">
      <c r="A41" s="2025"/>
      <c r="B41" s="944"/>
      <c r="C41" s="944"/>
      <c r="D41" s="2028"/>
      <c r="E41" s="944"/>
      <c r="F41" s="350">
        <f t="shared" si="11"/>
        <v>0</v>
      </c>
      <c r="G41" s="946"/>
      <c r="H41" s="350">
        <f t="shared" si="14"/>
        <v>0</v>
      </c>
      <c r="I41" s="946"/>
      <c r="J41" s="350">
        <f t="shared" si="3"/>
        <v>0</v>
      </c>
      <c r="K41" s="946"/>
      <c r="L41" s="350">
        <f t="shared" si="15"/>
        <v>0</v>
      </c>
      <c r="M41" s="350">
        <f t="shared" si="16"/>
        <v>0</v>
      </c>
      <c r="N41" s="350">
        <f t="shared" si="17"/>
        <v>0</v>
      </c>
      <c r="O41" s="946"/>
      <c r="P41" s="946"/>
      <c r="Q41" s="350">
        <f t="shared" si="18"/>
        <v>0</v>
      </c>
      <c r="R41" s="350">
        <f t="shared" si="7"/>
        <v>0</v>
      </c>
      <c r="S41" s="350">
        <f t="shared" si="19"/>
        <v>0</v>
      </c>
      <c r="T41" s="327">
        <f t="shared" si="20"/>
        <v>0</v>
      </c>
      <c r="U41" s="327">
        <f t="shared" si="21"/>
        <v>0</v>
      </c>
    </row>
    <row r="42" spans="1:21" ht="25.5" hidden="1" customHeight="1">
      <c r="A42" s="2025"/>
      <c r="B42" s="944"/>
      <c r="C42" s="944"/>
      <c r="D42" s="2028"/>
      <c r="E42" s="944"/>
      <c r="F42" s="350">
        <f t="shared" si="11"/>
        <v>0</v>
      </c>
      <c r="G42" s="946"/>
      <c r="H42" s="350">
        <f t="shared" si="14"/>
        <v>0</v>
      </c>
      <c r="I42" s="946"/>
      <c r="J42" s="350">
        <f t="shared" si="3"/>
        <v>0</v>
      </c>
      <c r="K42" s="946"/>
      <c r="L42" s="350">
        <f t="shared" si="15"/>
        <v>0</v>
      </c>
      <c r="M42" s="350">
        <f t="shared" si="16"/>
        <v>0</v>
      </c>
      <c r="N42" s="350">
        <f t="shared" si="17"/>
        <v>0</v>
      </c>
      <c r="O42" s="946"/>
      <c r="P42" s="946"/>
      <c r="Q42" s="350">
        <f t="shared" si="18"/>
        <v>0</v>
      </c>
      <c r="R42" s="350">
        <f t="shared" si="7"/>
        <v>0</v>
      </c>
      <c r="S42" s="350">
        <f t="shared" si="19"/>
        <v>0</v>
      </c>
      <c r="T42" s="327">
        <f t="shared" si="20"/>
        <v>0</v>
      </c>
      <c r="U42" s="327">
        <f t="shared" si="21"/>
        <v>0</v>
      </c>
    </row>
    <row r="43" spans="1:21" hidden="1">
      <c r="A43" s="2025"/>
      <c r="B43" s="944"/>
      <c r="C43" s="944"/>
      <c r="D43" s="2028"/>
      <c r="E43" s="944"/>
      <c r="F43" s="350">
        <f t="shared" si="11"/>
        <v>0</v>
      </c>
      <c r="G43" s="946"/>
      <c r="H43" s="350">
        <f t="shared" si="14"/>
        <v>0</v>
      </c>
      <c r="I43" s="946"/>
      <c r="J43" s="350">
        <f t="shared" si="3"/>
        <v>0</v>
      </c>
      <c r="K43" s="946"/>
      <c r="L43" s="350">
        <f t="shared" si="15"/>
        <v>0</v>
      </c>
      <c r="M43" s="350">
        <f t="shared" si="16"/>
        <v>0</v>
      </c>
      <c r="N43" s="350">
        <f t="shared" si="17"/>
        <v>0</v>
      </c>
      <c r="O43" s="946"/>
      <c r="P43" s="946"/>
      <c r="Q43" s="350">
        <f t="shared" si="18"/>
        <v>0</v>
      </c>
      <c r="R43" s="350">
        <f t="shared" si="7"/>
        <v>0</v>
      </c>
      <c r="S43" s="350">
        <f t="shared" si="19"/>
        <v>0</v>
      </c>
      <c r="T43" s="327">
        <f t="shared" si="20"/>
        <v>0</v>
      </c>
      <c r="U43" s="327">
        <f t="shared" si="21"/>
        <v>0</v>
      </c>
    </row>
    <row r="44" spans="1:21" hidden="1">
      <c r="A44" s="2025"/>
      <c r="B44" s="944"/>
      <c r="C44" s="944"/>
      <c r="D44" s="2028"/>
      <c r="E44" s="944"/>
      <c r="F44" s="350">
        <f t="shared" si="11"/>
        <v>0</v>
      </c>
      <c r="G44" s="946"/>
      <c r="H44" s="350">
        <f t="shared" si="14"/>
        <v>0</v>
      </c>
      <c r="I44" s="946"/>
      <c r="J44" s="350">
        <f t="shared" si="3"/>
        <v>0</v>
      </c>
      <c r="K44" s="946"/>
      <c r="L44" s="350">
        <f t="shared" si="15"/>
        <v>0</v>
      </c>
      <c r="M44" s="350">
        <f t="shared" si="16"/>
        <v>0</v>
      </c>
      <c r="N44" s="350">
        <f t="shared" si="17"/>
        <v>0</v>
      </c>
      <c r="O44" s="946"/>
      <c r="P44" s="946"/>
      <c r="Q44" s="350">
        <f t="shared" si="18"/>
        <v>0</v>
      </c>
      <c r="R44" s="350">
        <f t="shared" si="7"/>
        <v>0</v>
      </c>
      <c r="S44" s="350">
        <f t="shared" si="19"/>
        <v>0</v>
      </c>
      <c r="T44" s="327">
        <f t="shared" si="20"/>
        <v>0</v>
      </c>
      <c r="U44" s="327">
        <f t="shared" si="21"/>
        <v>0</v>
      </c>
    </row>
    <row r="45" spans="1:21" ht="25.5" hidden="1" customHeight="1">
      <c r="A45" s="2025"/>
      <c r="B45" s="944"/>
      <c r="C45" s="944"/>
      <c r="D45" s="2028"/>
      <c r="E45" s="944"/>
      <c r="F45" s="350">
        <f>ROUNDUP((E45*$Q$5),-3)</f>
        <v>0</v>
      </c>
      <c r="G45" s="946"/>
      <c r="H45" s="350">
        <f>D45*F45*G45</f>
        <v>0</v>
      </c>
      <c r="I45" s="946"/>
      <c r="J45" s="350">
        <f>I45*$Q$4</f>
        <v>0</v>
      </c>
      <c r="K45" s="946"/>
      <c r="L45" s="350">
        <f>K45*F45</f>
        <v>0</v>
      </c>
      <c r="M45" s="350">
        <f>D45*G45*(J45+L45)</f>
        <v>0</v>
      </c>
      <c r="N45" s="350">
        <f>H45+M45</f>
        <v>0</v>
      </c>
      <c r="O45" s="946"/>
      <c r="P45" s="946"/>
      <c r="Q45" s="350">
        <f>N45+O45+P45</f>
        <v>0</v>
      </c>
      <c r="R45" s="350">
        <f>Q45*10%</f>
        <v>0</v>
      </c>
      <c r="S45" s="350">
        <f>(Q45-R45)*10%</f>
        <v>0</v>
      </c>
      <c r="T45" s="327">
        <f>(Q45-R45)*6%</f>
        <v>0</v>
      </c>
      <c r="U45" s="327">
        <f>(Q45-R45)*5%</f>
        <v>0</v>
      </c>
    </row>
    <row r="46" spans="1:21" ht="38.25" hidden="1" customHeight="1">
      <c r="A46" s="2025"/>
      <c r="B46" s="944"/>
      <c r="C46" s="944"/>
      <c r="D46" s="2028"/>
      <c r="E46" s="944"/>
      <c r="F46" s="350">
        <f t="shared" si="11"/>
        <v>0</v>
      </c>
      <c r="G46" s="946"/>
      <c r="H46" s="350">
        <f t="shared" ref="H46:H61" si="22">D46*F46*G46</f>
        <v>0</v>
      </c>
      <c r="I46" s="946"/>
      <c r="J46" s="350">
        <f t="shared" si="3"/>
        <v>0</v>
      </c>
      <c r="K46" s="946"/>
      <c r="L46" s="350">
        <f t="shared" ref="L46:L61" si="23">K46*F46</f>
        <v>0</v>
      </c>
      <c r="M46" s="350">
        <f t="shared" ref="M46:M61" si="24">D46*G46*(J46+L46)</f>
        <v>0</v>
      </c>
      <c r="N46" s="350">
        <f t="shared" ref="N46:N61" si="25">H46+M46</f>
        <v>0</v>
      </c>
      <c r="O46" s="946"/>
      <c r="P46" s="946"/>
      <c r="Q46" s="350">
        <f t="shared" ref="Q46:Q61" si="26">N46+O46+P46</f>
        <v>0</v>
      </c>
      <c r="R46" s="350">
        <f t="shared" si="7"/>
        <v>0</v>
      </c>
      <c r="S46" s="350">
        <f t="shared" ref="S46:S61" si="27">(Q46-R46)*10%</f>
        <v>0</v>
      </c>
      <c r="T46" s="327">
        <f t="shared" ref="T46:T61" si="28">(Q46-R46)*6%</f>
        <v>0</v>
      </c>
      <c r="U46" s="327">
        <f t="shared" ref="U46:U61" si="29">(Q46-R46)*5%</f>
        <v>0</v>
      </c>
    </row>
    <row r="47" spans="1:21" ht="38.25" hidden="1" customHeight="1">
      <c r="A47" s="2025"/>
      <c r="B47" s="944"/>
      <c r="C47" s="944"/>
      <c r="D47" s="2028"/>
      <c r="E47" s="944"/>
      <c r="F47" s="350">
        <f t="shared" si="11"/>
        <v>0</v>
      </c>
      <c r="G47" s="946"/>
      <c r="H47" s="350">
        <f t="shared" si="22"/>
        <v>0</v>
      </c>
      <c r="I47" s="946"/>
      <c r="J47" s="350">
        <f t="shared" si="3"/>
        <v>0</v>
      </c>
      <c r="K47" s="946"/>
      <c r="L47" s="350">
        <f t="shared" si="23"/>
        <v>0</v>
      </c>
      <c r="M47" s="350">
        <f t="shared" si="24"/>
        <v>0</v>
      </c>
      <c r="N47" s="350">
        <f t="shared" si="25"/>
        <v>0</v>
      </c>
      <c r="O47" s="946"/>
      <c r="P47" s="946"/>
      <c r="Q47" s="350">
        <f t="shared" si="26"/>
        <v>0</v>
      </c>
      <c r="R47" s="350">
        <f t="shared" si="7"/>
        <v>0</v>
      </c>
      <c r="S47" s="350">
        <f t="shared" si="27"/>
        <v>0</v>
      </c>
      <c r="T47" s="327">
        <f t="shared" si="28"/>
        <v>0</v>
      </c>
      <c r="U47" s="327">
        <f t="shared" si="29"/>
        <v>0</v>
      </c>
    </row>
    <row r="48" spans="1:21" ht="25.5" hidden="1" customHeight="1">
      <c r="A48" s="2025"/>
      <c r="B48" s="944"/>
      <c r="C48" s="944"/>
      <c r="D48" s="2028"/>
      <c r="E48" s="944"/>
      <c r="F48" s="350">
        <f t="shared" si="11"/>
        <v>0</v>
      </c>
      <c r="G48" s="946"/>
      <c r="H48" s="350">
        <f t="shared" si="22"/>
        <v>0</v>
      </c>
      <c r="I48" s="946"/>
      <c r="J48" s="350">
        <f t="shared" si="3"/>
        <v>0</v>
      </c>
      <c r="K48" s="946"/>
      <c r="L48" s="350">
        <f t="shared" si="23"/>
        <v>0</v>
      </c>
      <c r="M48" s="350">
        <f t="shared" si="24"/>
        <v>0</v>
      </c>
      <c r="N48" s="350">
        <f t="shared" si="25"/>
        <v>0</v>
      </c>
      <c r="O48" s="946"/>
      <c r="P48" s="946"/>
      <c r="Q48" s="350">
        <f t="shared" si="26"/>
        <v>0</v>
      </c>
      <c r="R48" s="350">
        <f t="shared" si="7"/>
        <v>0</v>
      </c>
      <c r="S48" s="350">
        <f t="shared" si="27"/>
        <v>0</v>
      </c>
      <c r="T48" s="327">
        <f t="shared" si="28"/>
        <v>0</v>
      </c>
      <c r="U48" s="327">
        <f t="shared" si="29"/>
        <v>0</v>
      </c>
    </row>
    <row r="49" spans="1:21" ht="25.5" hidden="1" customHeight="1">
      <c r="A49" s="2025"/>
      <c r="B49" s="944"/>
      <c r="C49" s="944"/>
      <c r="D49" s="2028"/>
      <c r="E49" s="944"/>
      <c r="F49" s="350">
        <f t="shared" si="11"/>
        <v>0</v>
      </c>
      <c r="G49" s="946"/>
      <c r="H49" s="350">
        <f t="shared" si="22"/>
        <v>0</v>
      </c>
      <c r="I49" s="946"/>
      <c r="J49" s="350">
        <f t="shared" si="3"/>
        <v>0</v>
      </c>
      <c r="K49" s="946"/>
      <c r="L49" s="350">
        <f t="shared" si="23"/>
        <v>0</v>
      </c>
      <c r="M49" s="350">
        <f t="shared" si="24"/>
        <v>0</v>
      </c>
      <c r="N49" s="350">
        <f t="shared" si="25"/>
        <v>0</v>
      </c>
      <c r="O49" s="946"/>
      <c r="P49" s="946"/>
      <c r="Q49" s="350">
        <f t="shared" si="26"/>
        <v>0</v>
      </c>
      <c r="R49" s="350">
        <f t="shared" si="7"/>
        <v>0</v>
      </c>
      <c r="S49" s="350">
        <f t="shared" si="27"/>
        <v>0</v>
      </c>
      <c r="T49" s="327">
        <f t="shared" si="28"/>
        <v>0</v>
      </c>
      <c r="U49" s="327">
        <f t="shared" si="29"/>
        <v>0</v>
      </c>
    </row>
    <row r="50" spans="1:21" ht="38.25" hidden="1" customHeight="1">
      <c r="A50" s="2025"/>
      <c r="B50" s="944"/>
      <c r="C50" s="944"/>
      <c r="D50" s="2028"/>
      <c r="E50" s="944"/>
      <c r="F50" s="350">
        <f t="shared" si="11"/>
        <v>0</v>
      </c>
      <c r="G50" s="946"/>
      <c r="H50" s="350">
        <f t="shared" si="22"/>
        <v>0</v>
      </c>
      <c r="I50" s="946"/>
      <c r="J50" s="350">
        <f t="shared" si="3"/>
        <v>0</v>
      </c>
      <c r="K50" s="946"/>
      <c r="L50" s="350">
        <f t="shared" si="23"/>
        <v>0</v>
      </c>
      <c r="M50" s="350">
        <f t="shared" si="24"/>
        <v>0</v>
      </c>
      <c r="N50" s="350">
        <f t="shared" si="25"/>
        <v>0</v>
      </c>
      <c r="O50" s="946"/>
      <c r="P50" s="946"/>
      <c r="Q50" s="350">
        <f t="shared" si="26"/>
        <v>0</v>
      </c>
      <c r="R50" s="350">
        <f t="shared" si="7"/>
        <v>0</v>
      </c>
      <c r="S50" s="350">
        <f t="shared" si="27"/>
        <v>0</v>
      </c>
      <c r="T50" s="327">
        <f t="shared" si="28"/>
        <v>0</v>
      </c>
      <c r="U50" s="327">
        <f t="shared" si="29"/>
        <v>0</v>
      </c>
    </row>
    <row r="51" spans="1:21" hidden="1">
      <c r="A51" s="2025"/>
      <c r="B51" s="944"/>
      <c r="C51" s="944"/>
      <c r="D51" s="2028"/>
      <c r="E51" s="944"/>
      <c r="F51" s="350">
        <f t="shared" si="11"/>
        <v>0</v>
      </c>
      <c r="G51" s="946"/>
      <c r="H51" s="350">
        <f t="shared" si="22"/>
        <v>0</v>
      </c>
      <c r="I51" s="946"/>
      <c r="J51" s="350">
        <f t="shared" si="3"/>
        <v>0</v>
      </c>
      <c r="K51" s="946"/>
      <c r="L51" s="350">
        <f t="shared" si="23"/>
        <v>0</v>
      </c>
      <c r="M51" s="350">
        <f t="shared" si="24"/>
        <v>0</v>
      </c>
      <c r="N51" s="350">
        <f t="shared" si="25"/>
        <v>0</v>
      </c>
      <c r="O51" s="946"/>
      <c r="P51" s="946"/>
      <c r="Q51" s="350">
        <f t="shared" si="26"/>
        <v>0</v>
      </c>
      <c r="R51" s="350">
        <f t="shared" si="7"/>
        <v>0</v>
      </c>
      <c r="S51" s="350">
        <f t="shared" si="27"/>
        <v>0</v>
      </c>
      <c r="T51" s="327">
        <f t="shared" si="28"/>
        <v>0</v>
      </c>
      <c r="U51" s="327">
        <f t="shared" si="29"/>
        <v>0</v>
      </c>
    </row>
    <row r="52" spans="1:21" ht="25.5" hidden="1" customHeight="1">
      <c r="A52" s="2025"/>
      <c r="B52" s="944"/>
      <c r="C52" s="944"/>
      <c r="D52" s="2028"/>
      <c r="E52" s="944"/>
      <c r="F52" s="350">
        <f t="shared" si="11"/>
        <v>0</v>
      </c>
      <c r="G52" s="946"/>
      <c r="H52" s="350">
        <f t="shared" si="22"/>
        <v>0</v>
      </c>
      <c r="I52" s="946"/>
      <c r="J52" s="350">
        <f t="shared" si="3"/>
        <v>0</v>
      </c>
      <c r="K52" s="946"/>
      <c r="L52" s="350">
        <f t="shared" si="23"/>
        <v>0</v>
      </c>
      <c r="M52" s="350">
        <f t="shared" si="24"/>
        <v>0</v>
      </c>
      <c r="N52" s="350">
        <f t="shared" si="25"/>
        <v>0</v>
      </c>
      <c r="O52" s="946"/>
      <c r="P52" s="946"/>
      <c r="Q52" s="350">
        <f t="shared" si="26"/>
        <v>0</v>
      </c>
      <c r="R52" s="350">
        <f t="shared" si="7"/>
        <v>0</v>
      </c>
      <c r="S52" s="350">
        <f t="shared" si="27"/>
        <v>0</v>
      </c>
      <c r="T52" s="327">
        <f t="shared" si="28"/>
        <v>0</v>
      </c>
      <c r="U52" s="327">
        <f t="shared" si="29"/>
        <v>0</v>
      </c>
    </row>
    <row r="53" spans="1:21" ht="25.5" hidden="1" customHeight="1">
      <c r="A53" s="2025"/>
      <c r="B53" s="944"/>
      <c r="C53" s="944"/>
      <c r="D53" s="2028"/>
      <c r="E53" s="944"/>
      <c r="F53" s="350">
        <f t="shared" si="11"/>
        <v>0</v>
      </c>
      <c r="G53" s="946"/>
      <c r="H53" s="350">
        <f t="shared" si="22"/>
        <v>0</v>
      </c>
      <c r="I53" s="946"/>
      <c r="J53" s="350">
        <f t="shared" si="3"/>
        <v>0</v>
      </c>
      <c r="K53" s="946"/>
      <c r="L53" s="350">
        <f t="shared" si="23"/>
        <v>0</v>
      </c>
      <c r="M53" s="350">
        <f t="shared" si="24"/>
        <v>0</v>
      </c>
      <c r="N53" s="350">
        <f t="shared" si="25"/>
        <v>0</v>
      </c>
      <c r="O53" s="946"/>
      <c r="P53" s="946"/>
      <c r="Q53" s="350">
        <f t="shared" si="26"/>
        <v>0</v>
      </c>
      <c r="R53" s="350">
        <f t="shared" si="7"/>
        <v>0</v>
      </c>
      <c r="S53" s="350">
        <f t="shared" si="27"/>
        <v>0</v>
      </c>
      <c r="T53" s="327">
        <f t="shared" si="28"/>
        <v>0</v>
      </c>
      <c r="U53" s="327">
        <f t="shared" si="29"/>
        <v>0</v>
      </c>
    </row>
    <row r="54" spans="1:21" ht="25.5" hidden="1" customHeight="1">
      <c r="A54" s="2025"/>
      <c r="B54" s="944"/>
      <c r="C54" s="944"/>
      <c r="D54" s="2028"/>
      <c r="E54" s="944"/>
      <c r="F54" s="350">
        <f t="shared" si="11"/>
        <v>0</v>
      </c>
      <c r="G54" s="946"/>
      <c r="H54" s="350">
        <f t="shared" si="22"/>
        <v>0</v>
      </c>
      <c r="I54" s="946"/>
      <c r="J54" s="350">
        <f t="shared" si="3"/>
        <v>0</v>
      </c>
      <c r="K54" s="946"/>
      <c r="L54" s="350">
        <f t="shared" si="23"/>
        <v>0</v>
      </c>
      <c r="M54" s="350">
        <f t="shared" si="24"/>
        <v>0</v>
      </c>
      <c r="N54" s="350">
        <f t="shared" si="25"/>
        <v>0</v>
      </c>
      <c r="O54" s="946"/>
      <c r="P54" s="946"/>
      <c r="Q54" s="350">
        <f t="shared" si="26"/>
        <v>0</v>
      </c>
      <c r="R54" s="350">
        <f t="shared" si="7"/>
        <v>0</v>
      </c>
      <c r="S54" s="350">
        <f t="shared" si="27"/>
        <v>0</v>
      </c>
      <c r="T54" s="327">
        <f t="shared" si="28"/>
        <v>0</v>
      </c>
      <c r="U54" s="327">
        <f t="shared" si="29"/>
        <v>0</v>
      </c>
    </row>
    <row r="55" spans="1:21" hidden="1">
      <c r="A55" s="2025"/>
      <c r="B55" s="944"/>
      <c r="C55" s="944"/>
      <c r="D55" s="2028"/>
      <c r="E55" s="944"/>
      <c r="F55" s="350">
        <f t="shared" si="11"/>
        <v>0</v>
      </c>
      <c r="G55" s="946"/>
      <c r="H55" s="350">
        <f t="shared" si="22"/>
        <v>0</v>
      </c>
      <c r="I55" s="946"/>
      <c r="J55" s="350">
        <f t="shared" si="3"/>
        <v>0</v>
      </c>
      <c r="K55" s="946"/>
      <c r="L55" s="350">
        <f t="shared" si="23"/>
        <v>0</v>
      </c>
      <c r="M55" s="350">
        <f t="shared" si="24"/>
        <v>0</v>
      </c>
      <c r="N55" s="350">
        <f t="shared" si="25"/>
        <v>0</v>
      </c>
      <c r="O55" s="946"/>
      <c r="P55" s="946"/>
      <c r="Q55" s="350">
        <f t="shared" si="26"/>
        <v>0</v>
      </c>
      <c r="R55" s="350">
        <f t="shared" si="7"/>
        <v>0</v>
      </c>
      <c r="S55" s="350">
        <f t="shared" si="27"/>
        <v>0</v>
      </c>
      <c r="T55" s="327">
        <f t="shared" si="28"/>
        <v>0</v>
      </c>
      <c r="U55" s="327">
        <f t="shared" si="29"/>
        <v>0</v>
      </c>
    </row>
    <row r="56" spans="1:21" hidden="1">
      <c r="A56" s="2025"/>
      <c r="B56" s="944"/>
      <c r="C56" s="944"/>
      <c r="D56" s="2028"/>
      <c r="E56" s="944"/>
      <c r="F56" s="350">
        <f t="shared" si="11"/>
        <v>0</v>
      </c>
      <c r="G56" s="946"/>
      <c r="H56" s="350">
        <f t="shared" si="22"/>
        <v>0</v>
      </c>
      <c r="I56" s="946"/>
      <c r="J56" s="350">
        <f t="shared" si="3"/>
        <v>0</v>
      </c>
      <c r="K56" s="946"/>
      <c r="L56" s="350">
        <f t="shared" si="23"/>
        <v>0</v>
      </c>
      <c r="M56" s="350">
        <f t="shared" si="24"/>
        <v>0</v>
      </c>
      <c r="N56" s="350">
        <f t="shared" si="25"/>
        <v>0</v>
      </c>
      <c r="O56" s="946"/>
      <c r="P56" s="946"/>
      <c r="Q56" s="350">
        <f t="shared" si="26"/>
        <v>0</v>
      </c>
      <c r="R56" s="350">
        <f t="shared" si="7"/>
        <v>0</v>
      </c>
      <c r="S56" s="350">
        <f t="shared" si="27"/>
        <v>0</v>
      </c>
      <c r="T56" s="327">
        <f t="shared" si="28"/>
        <v>0</v>
      </c>
      <c r="U56" s="327">
        <f t="shared" si="29"/>
        <v>0</v>
      </c>
    </row>
    <row r="57" spans="1:21" ht="25.5" hidden="1" customHeight="1">
      <c r="A57" s="2025"/>
      <c r="B57" s="944"/>
      <c r="C57" s="944"/>
      <c r="D57" s="2028"/>
      <c r="E57" s="944"/>
      <c r="F57" s="350">
        <f t="shared" si="11"/>
        <v>0</v>
      </c>
      <c r="G57" s="946"/>
      <c r="H57" s="350">
        <f t="shared" si="22"/>
        <v>0</v>
      </c>
      <c r="I57" s="946"/>
      <c r="J57" s="350">
        <f t="shared" si="3"/>
        <v>0</v>
      </c>
      <c r="K57" s="946"/>
      <c r="L57" s="350">
        <f t="shared" si="23"/>
        <v>0</v>
      </c>
      <c r="M57" s="350">
        <f t="shared" si="24"/>
        <v>0</v>
      </c>
      <c r="N57" s="350">
        <f t="shared" si="25"/>
        <v>0</v>
      </c>
      <c r="O57" s="946"/>
      <c r="P57" s="946"/>
      <c r="Q57" s="350">
        <f t="shared" si="26"/>
        <v>0</v>
      </c>
      <c r="R57" s="350">
        <f t="shared" si="7"/>
        <v>0</v>
      </c>
      <c r="S57" s="350">
        <f t="shared" si="27"/>
        <v>0</v>
      </c>
      <c r="T57" s="327">
        <f t="shared" si="28"/>
        <v>0</v>
      </c>
      <c r="U57" s="327">
        <f t="shared" si="29"/>
        <v>0</v>
      </c>
    </row>
    <row r="58" spans="1:21" hidden="1">
      <c r="A58" s="2025"/>
      <c r="B58" s="944"/>
      <c r="C58" s="944"/>
      <c r="D58" s="2028"/>
      <c r="E58" s="944"/>
      <c r="F58" s="350">
        <f t="shared" si="11"/>
        <v>0</v>
      </c>
      <c r="G58" s="946"/>
      <c r="H58" s="350">
        <f t="shared" si="22"/>
        <v>0</v>
      </c>
      <c r="I58" s="946"/>
      <c r="J58" s="350">
        <f t="shared" si="3"/>
        <v>0</v>
      </c>
      <c r="K58" s="946"/>
      <c r="L58" s="350">
        <f t="shared" si="23"/>
        <v>0</v>
      </c>
      <c r="M58" s="350">
        <f t="shared" si="24"/>
        <v>0</v>
      </c>
      <c r="N58" s="350">
        <f t="shared" si="25"/>
        <v>0</v>
      </c>
      <c r="O58" s="946"/>
      <c r="P58" s="946"/>
      <c r="Q58" s="350">
        <f t="shared" si="26"/>
        <v>0</v>
      </c>
      <c r="R58" s="350">
        <f t="shared" si="7"/>
        <v>0</v>
      </c>
      <c r="S58" s="350">
        <f t="shared" si="27"/>
        <v>0</v>
      </c>
      <c r="T58" s="327">
        <f t="shared" si="28"/>
        <v>0</v>
      </c>
      <c r="U58" s="327">
        <f t="shared" si="29"/>
        <v>0</v>
      </c>
    </row>
    <row r="59" spans="1:21" hidden="1">
      <c r="A59" s="2025"/>
      <c r="B59" s="944"/>
      <c r="C59" s="944"/>
      <c r="D59" s="2028"/>
      <c r="E59" s="944"/>
      <c r="F59" s="350">
        <f t="shared" si="11"/>
        <v>0</v>
      </c>
      <c r="G59" s="946"/>
      <c r="H59" s="350">
        <f t="shared" si="22"/>
        <v>0</v>
      </c>
      <c r="I59" s="946"/>
      <c r="J59" s="350">
        <f t="shared" si="3"/>
        <v>0</v>
      </c>
      <c r="K59" s="946"/>
      <c r="L59" s="350">
        <f t="shared" si="23"/>
        <v>0</v>
      </c>
      <c r="M59" s="350">
        <f t="shared" si="24"/>
        <v>0</v>
      </c>
      <c r="N59" s="350">
        <f t="shared" si="25"/>
        <v>0</v>
      </c>
      <c r="O59" s="946"/>
      <c r="P59" s="946"/>
      <c r="Q59" s="350">
        <f t="shared" si="26"/>
        <v>0</v>
      </c>
      <c r="R59" s="350">
        <f t="shared" si="7"/>
        <v>0</v>
      </c>
      <c r="S59" s="350">
        <f t="shared" si="27"/>
        <v>0</v>
      </c>
      <c r="T59" s="327">
        <f t="shared" si="28"/>
        <v>0</v>
      </c>
      <c r="U59" s="327">
        <f t="shared" si="29"/>
        <v>0</v>
      </c>
    </row>
    <row r="60" spans="1:21" hidden="1">
      <c r="A60" s="2025"/>
      <c r="B60" s="944"/>
      <c r="C60" s="944"/>
      <c r="D60" s="2028"/>
      <c r="E60" s="944"/>
      <c r="F60" s="350">
        <f t="shared" si="11"/>
        <v>0</v>
      </c>
      <c r="G60" s="946"/>
      <c r="H60" s="350">
        <f t="shared" si="22"/>
        <v>0</v>
      </c>
      <c r="I60" s="946"/>
      <c r="J60" s="350">
        <f t="shared" si="3"/>
        <v>0</v>
      </c>
      <c r="K60" s="946"/>
      <c r="L60" s="350">
        <f t="shared" si="23"/>
        <v>0</v>
      </c>
      <c r="M60" s="350">
        <f t="shared" si="24"/>
        <v>0</v>
      </c>
      <c r="N60" s="350">
        <f t="shared" si="25"/>
        <v>0</v>
      </c>
      <c r="O60" s="946"/>
      <c r="P60" s="946"/>
      <c r="Q60" s="350">
        <f t="shared" si="26"/>
        <v>0</v>
      </c>
      <c r="R60" s="350">
        <f t="shared" si="7"/>
        <v>0</v>
      </c>
      <c r="S60" s="350">
        <f t="shared" si="27"/>
        <v>0</v>
      </c>
      <c r="T60" s="327">
        <f t="shared" si="28"/>
        <v>0</v>
      </c>
      <c r="U60" s="327">
        <f t="shared" si="29"/>
        <v>0</v>
      </c>
    </row>
    <row r="61" spans="1:21" ht="25.5" hidden="1" customHeight="1">
      <c r="A61" s="2025"/>
      <c r="B61" s="944"/>
      <c r="C61" s="944"/>
      <c r="D61" s="2028"/>
      <c r="E61" s="944"/>
      <c r="F61" s="350">
        <f t="shared" si="11"/>
        <v>0</v>
      </c>
      <c r="G61" s="946"/>
      <c r="H61" s="350">
        <f t="shared" si="22"/>
        <v>0</v>
      </c>
      <c r="I61" s="946"/>
      <c r="J61" s="350">
        <f t="shared" si="3"/>
        <v>0</v>
      </c>
      <c r="K61" s="946"/>
      <c r="L61" s="350">
        <f t="shared" si="23"/>
        <v>0</v>
      </c>
      <c r="M61" s="350">
        <f t="shared" si="24"/>
        <v>0</v>
      </c>
      <c r="N61" s="350">
        <f t="shared" si="25"/>
        <v>0</v>
      </c>
      <c r="O61" s="946"/>
      <c r="P61" s="946"/>
      <c r="Q61" s="350">
        <f t="shared" si="26"/>
        <v>0</v>
      </c>
      <c r="R61" s="350">
        <f t="shared" si="7"/>
        <v>0</v>
      </c>
      <c r="S61" s="350">
        <f t="shared" si="27"/>
        <v>0</v>
      </c>
      <c r="T61" s="327">
        <f t="shared" si="28"/>
        <v>0</v>
      </c>
      <c r="U61" s="327">
        <f t="shared" si="29"/>
        <v>0</v>
      </c>
    </row>
    <row r="62" spans="1:21" ht="25.5" hidden="1" customHeight="1">
      <c r="A62" s="2025"/>
      <c r="B62" s="942" t="s">
        <v>525</v>
      </c>
      <c r="C62" s="942"/>
      <c r="D62" s="2024">
        <f>SUM(D63:D98)</f>
        <v>0</v>
      </c>
      <c r="E62" s="942"/>
      <c r="F62" s="350">
        <f>SUM(F63:F98)</f>
        <v>0</v>
      </c>
      <c r="G62" s="946"/>
      <c r="H62" s="350">
        <f>SUM(H63:H98)</f>
        <v>0</v>
      </c>
      <c r="I62" s="946"/>
      <c r="J62" s="350">
        <f>SUM(J63:J98)</f>
        <v>0</v>
      </c>
      <c r="K62" s="946"/>
      <c r="L62" s="350">
        <f t="shared" ref="L62:U62" si="30">SUM(L63:L98)</f>
        <v>0</v>
      </c>
      <c r="M62" s="350">
        <f t="shared" si="30"/>
        <v>0</v>
      </c>
      <c r="N62" s="350">
        <f t="shared" si="30"/>
        <v>0</v>
      </c>
      <c r="O62" s="350">
        <f t="shared" si="30"/>
        <v>0</v>
      </c>
      <c r="P62" s="350">
        <f t="shared" si="30"/>
        <v>0</v>
      </c>
      <c r="Q62" s="350">
        <f t="shared" si="30"/>
        <v>0</v>
      </c>
      <c r="R62" s="350">
        <f t="shared" si="30"/>
        <v>0</v>
      </c>
      <c r="S62" s="350">
        <f t="shared" si="30"/>
        <v>0</v>
      </c>
      <c r="T62" s="350">
        <f t="shared" si="30"/>
        <v>0</v>
      </c>
      <c r="U62" s="350">
        <f t="shared" si="30"/>
        <v>0</v>
      </c>
    </row>
    <row r="63" spans="1:21" ht="51" hidden="1" customHeight="1">
      <c r="A63" s="2025"/>
      <c r="B63" s="944" t="s">
        <v>526</v>
      </c>
      <c r="C63" s="944"/>
      <c r="D63" s="2028"/>
      <c r="E63" s="944"/>
      <c r="F63" s="350">
        <f>ROUNDUP((E63*$Q$5),-3)</f>
        <v>0</v>
      </c>
      <c r="G63" s="946"/>
      <c r="H63" s="350">
        <f>D63*F63*G63</f>
        <v>0</v>
      </c>
      <c r="I63" s="946"/>
      <c r="J63" s="350">
        <f>I63*$Q$4</f>
        <v>0</v>
      </c>
      <c r="K63" s="946"/>
      <c r="L63" s="350">
        <f>K63*F63</f>
        <v>0</v>
      </c>
      <c r="M63" s="350">
        <f>D63*G63*(J63+L63)</f>
        <v>0</v>
      </c>
      <c r="N63" s="350">
        <f>H63+M63</f>
        <v>0</v>
      </c>
      <c r="O63" s="946"/>
      <c r="P63" s="946"/>
      <c r="Q63" s="350">
        <f>N63+O63+P63</f>
        <v>0</v>
      </c>
      <c r="R63" s="350">
        <f>Q63*10%</f>
        <v>0</v>
      </c>
      <c r="S63" s="350">
        <f>(Q63-R63)*10%</f>
        <v>0</v>
      </c>
      <c r="T63" s="327">
        <f>(Q63-R63)*6%</f>
        <v>0</v>
      </c>
      <c r="U63" s="327">
        <f>(Q63-R63)*5%</f>
        <v>0</v>
      </c>
    </row>
    <row r="64" spans="1:21" hidden="1">
      <c r="A64" s="2025"/>
      <c r="B64" s="942"/>
      <c r="C64" s="944"/>
      <c r="D64" s="2028"/>
      <c r="E64" s="944"/>
      <c r="F64" s="350">
        <f>ROUNDUP((E64*$Q$5),-3)</f>
        <v>0</v>
      </c>
      <c r="G64" s="946"/>
      <c r="H64" s="350">
        <f>D64*F64*G64</f>
        <v>0</v>
      </c>
      <c r="I64" s="946"/>
      <c r="J64" s="350">
        <f>I64*$Q$4</f>
        <v>0</v>
      </c>
      <c r="K64" s="946"/>
      <c r="L64" s="350">
        <f>K64*F64</f>
        <v>0</v>
      </c>
      <c r="M64" s="350">
        <f>D64*G64*(J64+L64)</f>
        <v>0</v>
      </c>
      <c r="N64" s="350">
        <f>H64+M64</f>
        <v>0</v>
      </c>
      <c r="O64" s="946"/>
      <c r="P64" s="946"/>
      <c r="Q64" s="350">
        <f>N64+O64+P64</f>
        <v>0</v>
      </c>
      <c r="R64" s="350">
        <f>Q64*10%</f>
        <v>0</v>
      </c>
      <c r="S64" s="350">
        <f>(Q64-R64)*10%</f>
        <v>0</v>
      </c>
      <c r="T64" s="327">
        <f>(Q64-R64)*6%</f>
        <v>0</v>
      </c>
      <c r="U64" s="327">
        <f>(Q64-R64)*5%</f>
        <v>0</v>
      </c>
    </row>
    <row r="65" spans="1:21" hidden="1">
      <c r="A65" s="2025"/>
      <c r="B65" s="944"/>
      <c r="C65" s="944"/>
      <c r="D65" s="2028"/>
      <c r="E65" s="944"/>
      <c r="F65" s="350">
        <f>ROUNDUP((E65*$Q$5),-3)</f>
        <v>0</v>
      </c>
      <c r="G65" s="946"/>
      <c r="H65" s="350">
        <f>D65*F65*G65</f>
        <v>0</v>
      </c>
      <c r="I65" s="946"/>
      <c r="J65" s="350">
        <f>I65*$Q$4</f>
        <v>0</v>
      </c>
      <c r="K65" s="946"/>
      <c r="L65" s="350">
        <f>K65*F65</f>
        <v>0</v>
      </c>
      <c r="M65" s="350">
        <f>D65*G65*(J65+L65)</f>
        <v>0</v>
      </c>
      <c r="N65" s="350">
        <f>H65+M65</f>
        <v>0</v>
      </c>
      <c r="O65" s="946"/>
      <c r="P65" s="946"/>
      <c r="Q65" s="350">
        <f>N65+O65+P65</f>
        <v>0</v>
      </c>
      <c r="R65" s="350">
        <f>Q65*10%</f>
        <v>0</v>
      </c>
      <c r="S65" s="350">
        <f>(Q65-R65)*10%</f>
        <v>0</v>
      </c>
      <c r="T65" s="327">
        <f>(Q65-R65)*6%</f>
        <v>0</v>
      </c>
      <c r="U65" s="327">
        <f>(Q65-R65)*5%</f>
        <v>0</v>
      </c>
    </row>
    <row r="66" spans="1:21" ht="25.5" hidden="1" customHeight="1">
      <c r="A66" s="2025"/>
      <c r="B66" s="944"/>
      <c r="C66" s="944"/>
      <c r="D66" s="2028"/>
      <c r="E66" s="944"/>
      <c r="F66" s="350">
        <f>ROUNDUP((E66*$Q$5),-3)</f>
        <v>0</v>
      </c>
      <c r="G66" s="946"/>
      <c r="H66" s="350">
        <f>D66*F66*G66</f>
        <v>0</v>
      </c>
      <c r="I66" s="946"/>
      <c r="J66" s="350">
        <f>I66*$Q$4</f>
        <v>0</v>
      </c>
      <c r="K66" s="946"/>
      <c r="L66" s="350">
        <f>K66*F66</f>
        <v>0</v>
      </c>
      <c r="M66" s="350">
        <f>D66*G66*(J66+L66)</f>
        <v>0</v>
      </c>
      <c r="N66" s="350">
        <f>H66+M66</f>
        <v>0</v>
      </c>
      <c r="O66" s="946"/>
      <c r="P66" s="946"/>
      <c r="Q66" s="350">
        <f>N66+O66+P66</f>
        <v>0</v>
      </c>
      <c r="R66" s="350">
        <f>Q66*10%</f>
        <v>0</v>
      </c>
      <c r="S66" s="350">
        <f>(Q66-R66)*10%</f>
        <v>0</v>
      </c>
      <c r="T66" s="327">
        <f>(Q66-R66)*6%</f>
        <v>0</v>
      </c>
      <c r="U66" s="327">
        <f>(Q66-R66)*5%</f>
        <v>0</v>
      </c>
    </row>
    <row r="67" spans="1:21" hidden="1">
      <c r="A67" s="2025"/>
      <c r="B67" s="944"/>
      <c r="C67" s="944"/>
      <c r="D67" s="2028"/>
      <c r="E67" s="944"/>
      <c r="F67" s="350">
        <f>ROUNDUP((E67*$Q$5),-3)</f>
        <v>0</v>
      </c>
      <c r="G67" s="946"/>
      <c r="H67" s="350">
        <f>D67*F67*G67</f>
        <v>0</v>
      </c>
      <c r="I67" s="946"/>
      <c r="J67" s="350">
        <f>I67*$Q$4</f>
        <v>0</v>
      </c>
      <c r="K67" s="946"/>
      <c r="L67" s="350">
        <f>K67*F67</f>
        <v>0</v>
      </c>
      <c r="M67" s="350">
        <f>D67*G67*(J67+L67)</f>
        <v>0</v>
      </c>
      <c r="N67" s="350">
        <f>H67+M67</f>
        <v>0</v>
      </c>
      <c r="O67" s="946"/>
      <c r="P67" s="946"/>
      <c r="Q67" s="350">
        <f>N67+O67+P67</f>
        <v>0</v>
      </c>
      <c r="R67" s="350">
        <f>Q67*10%</f>
        <v>0</v>
      </c>
      <c r="S67" s="350">
        <f>(Q67-R67)*10%</f>
        <v>0</v>
      </c>
      <c r="T67" s="327">
        <f>(Q67-R67)*6%</f>
        <v>0</v>
      </c>
      <c r="U67" s="327">
        <f>(Q67-R67)*5%</f>
        <v>0</v>
      </c>
    </row>
    <row r="68" spans="1:21" ht="25.5" hidden="1" customHeight="1">
      <c r="A68" s="2025"/>
      <c r="B68" s="944"/>
      <c r="C68" s="944"/>
      <c r="D68" s="2028"/>
      <c r="E68" s="944"/>
      <c r="F68" s="350">
        <f t="shared" ref="F68:F98" si="31">ROUNDUP((E68*$Q$5),-3)</f>
        <v>0</v>
      </c>
      <c r="G68" s="946"/>
      <c r="H68" s="350">
        <f t="shared" ref="H68:H98" si="32">D68*F68*G68</f>
        <v>0</v>
      </c>
      <c r="I68" s="946"/>
      <c r="J68" s="350">
        <f t="shared" ref="J68:J98" si="33">I68*$Q$4</f>
        <v>0</v>
      </c>
      <c r="K68" s="946"/>
      <c r="L68" s="350">
        <f t="shared" ref="L68:L98" si="34">K68*F68</f>
        <v>0</v>
      </c>
      <c r="M68" s="350">
        <f t="shared" ref="M68:M98" si="35">D68*G68*(J68+L68)</f>
        <v>0</v>
      </c>
      <c r="N68" s="350">
        <f t="shared" ref="N68:N98" si="36">H68+M68</f>
        <v>0</v>
      </c>
      <c r="O68" s="946"/>
      <c r="P68" s="946"/>
      <c r="Q68" s="350">
        <f t="shared" ref="Q68:Q98" si="37">N68+O68+P68</f>
        <v>0</v>
      </c>
      <c r="R68" s="350">
        <f t="shared" ref="R68:R98" si="38">Q68*10%</f>
        <v>0</v>
      </c>
      <c r="S68" s="350">
        <f t="shared" ref="S68:S98" si="39">(Q68-R68)*10%</f>
        <v>0</v>
      </c>
      <c r="T68" s="327">
        <f t="shared" ref="T68:T98" si="40">(Q68-R68)*6%</f>
        <v>0</v>
      </c>
      <c r="U68" s="327">
        <f t="shared" ref="U68:U98" si="41">(Q68-R68)*5%</f>
        <v>0</v>
      </c>
    </row>
    <row r="69" spans="1:21" hidden="1">
      <c r="A69" s="2025"/>
      <c r="B69" s="944"/>
      <c r="C69" s="944"/>
      <c r="D69" s="2028"/>
      <c r="E69" s="944"/>
      <c r="F69" s="350">
        <f t="shared" si="31"/>
        <v>0</v>
      </c>
      <c r="G69" s="946"/>
      <c r="H69" s="350">
        <f t="shared" si="32"/>
        <v>0</v>
      </c>
      <c r="I69" s="946"/>
      <c r="J69" s="350">
        <f t="shared" si="33"/>
        <v>0</v>
      </c>
      <c r="K69" s="946"/>
      <c r="L69" s="350">
        <f t="shared" si="34"/>
        <v>0</v>
      </c>
      <c r="M69" s="350">
        <f t="shared" si="35"/>
        <v>0</v>
      </c>
      <c r="N69" s="350">
        <f t="shared" si="36"/>
        <v>0</v>
      </c>
      <c r="O69" s="946"/>
      <c r="P69" s="946"/>
      <c r="Q69" s="350">
        <f t="shared" si="37"/>
        <v>0</v>
      </c>
      <c r="R69" s="350">
        <f t="shared" si="38"/>
        <v>0</v>
      </c>
      <c r="S69" s="350">
        <f t="shared" si="39"/>
        <v>0</v>
      </c>
      <c r="T69" s="327">
        <f t="shared" si="40"/>
        <v>0</v>
      </c>
      <c r="U69" s="327">
        <f t="shared" si="41"/>
        <v>0</v>
      </c>
    </row>
    <row r="70" spans="1:21" ht="25.5" hidden="1" customHeight="1">
      <c r="A70" s="2025"/>
      <c r="B70" s="944"/>
      <c r="C70" s="944"/>
      <c r="D70" s="2028"/>
      <c r="E70" s="944"/>
      <c r="F70" s="350">
        <f t="shared" si="31"/>
        <v>0</v>
      </c>
      <c r="G70" s="946"/>
      <c r="H70" s="350">
        <f t="shared" si="32"/>
        <v>0</v>
      </c>
      <c r="I70" s="946"/>
      <c r="J70" s="350">
        <f t="shared" si="33"/>
        <v>0</v>
      </c>
      <c r="K70" s="946"/>
      <c r="L70" s="350">
        <f t="shared" si="34"/>
        <v>0</v>
      </c>
      <c r="M70" s="350">
        <f t="shared" si="35"/>
        <v>0</v>
      </c>
      <c r="N70" s="350">
        <f t="shared" si="36"/>
        <v>0</v>
      </c>
      <c r="O70" s="946"/>
      <c r="P70" s="946"/>
      <c r="Q70" s="350">
        <f t="shared" si="37"/>
        <v>0</v>
      </c>
      <c r="R70" s="350">
        <f t="shared" si="38"/>
        <v>0</v>
      </c>
      <c r="S70" s="350">
        <f t="shared" si="39"/>
        <v>0</v>
      </c>
      <c r="T70" s="327">
        <f t="shared" si="40"/>
        <v>0</v>
      </c>
      <c r="U70" s="327">
        <f t="shared" si="41"/>
        <v>0</v>
      </c>
    </row>
    <row r="71" spans="1:21" ht="25.5" hidden="1" customHeight="1">
      <c r="A71" s="2025"/>
      <c r="B71" s="944"/>
      <c r="C71" s="944"/>
      <c r="D71" s="2028"/>
      <c r="E71" s="944"/>
      <c r="F71" s="350">
        <f t="shared" si="31"/>
        <v>0</v>
      </c>
      <c r="G71" s="946"/>
      <c r="H71" s="350">
        <f t="shared" si="32"/>
        <v>0</v>
      </c>
      <c r="I71" s="946"/>
      <c r="J71" s="350">
        <f t="shared" si="33"/>
        <v>0</v>
      </c>
      <c r="K71" s="946"/>
      <c r="L71" s="350">
        <f t="shared" si="34"/>
        <v>0</v>
      </c>
      <c r="M71" s="350">
        <f t="shared" si="35"/>
        <v>0</v>
      </c>
      <c r="N71" s="350">
        <f t="shared" si="36"/>
        <v>0</v>
      </c>
      <c r="O71" s="946"/>
      <c r="P71" s="946"/>
      <c r="Q71" s="350">
        <f t="shared" si="37"/>
        <v>0</v>
      </c>
      <c r="R71" s="350">
        <f t="shared" si="38"/>
        <v>0</v>
      </c>
      <c r="S71" s="350">
        <f t="shared" si="39"/>
        <v>0</v>
      </c>
      <c r="T71" s="327">
        <f t="shared" si="40"/>
        <v>0</v>
      </c>
      <c r="U71" s="327">
        <f t="shared" si="41"/>
        <v>0</v>
      </c>
    </row>
    <row r="72" spans="1:21" ht="25.5" hidden="1" customHeight="1">
      <c r="A72" s="2025"/>
      <c r="B72" s="944"/>
      <c r="C72" s="944"/>
      <c r="D72" s="2028"/>
      <c r="E72" s="944"/>
      <c r="F72" s="350">
        <f t="shared" si="31"/>
        <v>0</v>
      </c>
      <c r="G72" s="946"/>
      <c r="H72" s="350">
        <f t="shared" si="32"/>
        <v>0</v>
      </c>
      <c r="I72" s="946"/>
      <c r="J72" s="350">
        <f t="shared" si="33"/>
        <v>0</v>
      </c>
      <c r="K72" s="946"/>
      <c r="L72" s="350">
        <f t="shared" si="34"/>
        <v>0</v>
      </c>
      <c r="M72" s="350">
        <f t="shared" si="35"/>
        <v>0</v>
      </c>
      <c r="N72" s="350">
        <f t="shared" si="36"/>
        <v>0</v>
      </c>
      <c r="O72" s="946"/>
      <c r="P72" s="946"/>
      <c r="Q72" s="350">
        <f t="shared" si="37"/>
        <v>0</v>
      </c>
      <c r="R72" s="350">
        <f t="shared" si="38"/>
        <v>0</v>
      </c>
      <c r="S72" s="350">
        <f t="shared" si="39"/>
        <v>0</v>
      </c>
      <c r="T72" s="327">
        <f t="shared" si="40"/>
        <v>0</v>
      </c>
      <c r="U72" s="327">
        <f t="shared" si="41"/>
        <v>0</v>
      </c>
    </row>
    <row r="73" spans="1:21" ht="25.5" hidden="1" customHeight="1">
      <c r="A73" s="2025"/>
      <c r="B73" s="944"/>
      <c r="C73" s="944"/>
      <c r="D73" s="2028"/>
      <c r="E73" s="944"/>
      <c r="F73" s="350">
        <f t="shared" si="31"/>
        <v>0</v>
      </c>
      <c r="G73" s="946"/>
      <c r="H73" s="350">
        <f t="shared" si="32"/>
        <v>0</v>
      </c>
      <c r="I73" s="946"/>
      <c r="J73" s="350">
        <f t="shared" si="33"/>
        <v>0</v>
      </c>
      <c r="K73" s="946"/>
      <c r="L73" s="350">
        <f t="shared" si="34"/>
        <v>0</v>
      </c>
      <c r="M73" s="350">
        <f t="shared" si="35"/>
        <v>0</v>
      </c>
      <c r="N73" s="350">
        <f t="shared" si="36"/>
        <v>0</v>
      </c>
      <c r="O73" s="946"/>
      <c r="P73" s="946"/>
      <c r="Q73" s="350">
        <f t="shared" si="37"/>
        <v>0</v>
      </c>
      <c r="R73" s="350">
        <f t="shared" si="38"/>
        <v>0</v>
      </c>
      <c r="S73" s="350">
        <f t="shared" si="39"/>
        <v>0</v>
      </c>
      <c r="T73" s="327">
        <f t="shared" si="40"/>
        <v>0</v>
      </c>
      <c r="U73" s="327">
        <f t="shared" si="41"/>
        <v>0</v>
      </c>
    </row>
    <row r="74" spans="1:21" ht="25.5" hidden="1" customHeight="1">
      <c r="A74" s="2025"/>
      <c r="B74" s="944"/>
      <c r="C74" s="944"/>
      <c r="D74" s="2028"/>
      <c r="E74" s="944"/>
      <c r="F74" s="350">
        <f t="shared" si="31"/>
        <v>0</v>
      </c>
      <c r="G74" s="946"/>
      <c r="H74" s="350">
        <f t="shared" si="32"/>
        <v>0</v>
      </c>
      <c r="I74" s="946"/>
      <c r="J74" s="350">
        <f t="shared" si="33"/>
        <v>0</v>
      </c>
      <c r="K74" s="946"/>
      <c r="L74" s="350">
        <f t="shared" si="34"/>
        <v>0</v>
      </c>
      <c r="M74" s="350">
        <f t="shared" si="35"/>
        <v>0</v>
      </c>
      <c r="N74" s="350">
        <f t="shared" si="36"/>
        <v>0</v>
      </c>
      <c r="O74" s="946"/>
      <c r="P74" s="946"/>
      <c r="Q74" s="350">
        <f t="shared" si="37"/>
        <v>0</v>
      </c>
      <c r="R74" s="350">
        <f t="shared" si="38"/>
        <v>0</v>
      </c>
      <c r="S74" s="350">
        <f t="shared" si="39"/>
        <v>0</v>
      </c>
      <c r="T74" s="327">
        <f t="shared" si="40"/>
        <v>0</v>
      </c>
      <c r="U74" s="327">
        <f t="shared" si="41"/>
        <v>0</v>
      </c>
    </row>
    <row r="75" spans="1:21" ht="25.5" hidden="1" customHeight="1">
      <c r="A75" s="2025"/>
      <c r="B75" s="944"/>
      <c r="C75" s="944"/>
      <c r="D75" s="2028"/>
      <c r="E75" s="944"/>
      <c r="F75" s="350">
        <f t="shared" si="31"/>
        <v>0</v>
      </c>
      <c r="G75" s="946"/>
      <c r="H75" s="350">
        <f t="shared" si="32"/>
        <v>0</v>
      </c>
      <c r="I75" s="946"/>
      <c r="J75" s="350">
        <f t="shared" si="33"/>
        <v>0</v>
      </c>
      <c r="K75" s="946"/>
      <c r="L75" s="350">
        <f t="shared" si="34"/>
        <v>0</v>
      </c>
      <c r="M75" s="350">
        <f t="shared" si="35"/>
        <v>0</v>
      </c>
      <c r="N75" s="350">
        <f t="shared" si="36"/>
        <v>0</v>
      </c>
      <c r="O75" s="946"/>
      <c r="P75" s="946"/>
      <c r="Q75" s="350">
        <f t="shared" si="37"/>
        <v>0</v>
      </c>
      <c r="R75" s="350">
        <f t="shared" si="38"/>
        <v>0</v>
      </c>
      <c r="S75" s="350">
        <f t="shared" si="39"/>
        <v>0</v>
      </c>
      <c r="T75" s="327">
        <f t="shared" si="40"/>
        <v>0</v>
      </c>
      <c r="U75" s="327">
        <f t="shared" si="41"/>
        <v>0</v>
      </c>
    </row>
    <row r="76" spans="1:21" ht="25.5" hidden="1" customHeight="1">
      <c r="A76" s="2025"/>
      <c r="B76" s="944"/>
      <c r="C76" s="944"/>
      <c r="D76" s="2028"/>
      <c r="E76" s="944"/>
      <c r="F76" s="350">
        <f t="shared" si="31"/>
        <v>0</v>
      </c>
      <c r="G76" s="946"/>
      <c r="H76" s="350">
        <f t="shared" si="32"/>
        <v>0</v>
      </c>
      <c r="I76" s="946"/>
      <c r="J76" s="350">
        <f t="shared" si="33"/>
        <v>0</v>
      </c>
      <c r="K76" s="946"/>
      <c r="L76" s="350">
        <f t="shared" si="34"/>
        <v>0</v>
      </c>
      <c r="M76" s="350">
        <f t="shared" si="35"/>
        <v>0</v>
      </c>
      <c r="N76" s="350">
        <f t="shared" si="36"/>
        <v>0</v>
      </c>
      <c r="O76" s="946"/>
      <c r="P76" s="946"/>
      <c r="Q76" s="350">
        <f t="shared" si="37"/>
        <v>0</v>
      </c>
      <c r="R76" s="350">
        <f t="shared" si="38"/>
        <v>0</v>
      </c>
      <c r="S76" s="350">
        <f t="shared" si="39"/>
        <v>0</v>
      </c>
      <c r="T76" s="327">
        <f t="shared" si="40"/>
        <v>0</v>
      </c>
      <c r="U76" s="327">
        <f t="shared" si="41"/>
        <v>0</v>
      </c>
    </row>
    <row r="77" spans="1:21" ht="25.5" hidden="1" customHeight="1">
      <c r="A77" s="2025"/>
      <c r="B77" s="944"/>
      <c r="C77" s="944"/>
      <c r="D77" s="2028"/>
      <c r="E77" s="944"/>
      <c r="F77" s="350">
        <f t="shared" si="31"/>
        <v>0</v>
      </c>
      <c r="G77" s="946"/>
      <c r="H77" s="350">
        <f t="shared" si="32"/>
        <v>0</v>
      </c>
      <c r="I77" s="946"/>
      <c r="J77" s="350">
        <f t="shared" si="33"/>
        <v>0</v>
      </c>
      <c r="K77" s="946"/>
      <c r="L77" s="350">
        <f t="shared" si="34"/>
        <v>0</v>
      </c>
      <c r="M77" s="350">
        <f t="shared" si="35"/>
        <v>0</v>
      </c>
      <c r="N77" s="350">
        <f t="shared" si="36"/>
        <v>0</v>
      </c>
      <c r="O77" s="946"/>
      <c r="P77" s="946"/>
      <c r="Q77" s="350">
        <f t="shared" si="37"/>
        <v>0</v>
      </c>
      <c r="R77" s="350">
        <f t="shared" si="38"/>
        <v>0</v>
      </c>
      <c r="S77" s="350">
        <f t="shared" si="39"/>
        <v>0</v>
      </c>
      <c r="T77" s="327">
        <f t="shared" si="40"/>
        <v>0</v>
      </c>
      <c r="U77" s="327">
        <f t="shared" si="41"/>
        <v>0</v>
      </c>
    </row>
    <row r="78" spans="1:21" hidden="1">
      <c r="A78" s="2025"/>
      <c r="B78" s="944"/>
      <c r="C78" s="944"/>
      <c r="D78" s="2028"/>
      <c r="E78" s="944"/>
      <c r="F78" s="350">
        <f t="shared" si="31"/>
        <v>0</v>
      </c>
      <c r="G78" s="946"/>
      <c r="H78" s="350">
        <f t="shared" si="32"/>
        <v>0</v>
      </c>
      <c r="I78" s="946"/>
      <c r="J78" s="350">
        <f t="shared" si="33"/>
        <v>0</v>
      </c>
      <c r="K78" s="946"/>
      <c r="L78" s="350">
        <f t="shared" si="34"/>
        <v>0</v>
      </c>
      <c r="M78" s="350">
        <f t="shared" si="35"/>
        <v>0</v>
      </c>
      <c r="N78" s="350">
        <f t="shared" si="36"/>
        <v>0</v>
      </c>
      <c r="O78" s="946"/>
      <c r="P78" s="946"/>
      <c r="Q78" s="350">
        <f t="shared" si="37"/>
        <v>0</v>
      </c>
      <c r="R78" s="350">
        <f t="shared" si="38"/>
        <v>0</v>
      </c>
      <c r="S78" s="350">
        <f t="shared" si="39"/>
        <v>0</v>
      </c>
      <c r="T78" s="327">
        <f t="shared" si="40"/>
        <v>0</v>
      </c>
      <c r="U78" s="327">
        <f t="shared" si="41"/>
        <v>0</v>
      </c>
    </row>
    <row r="79" spans="1:21" hidden="1">
      <c r="A79" s="2025"/>
      <c r="B79" s="944"/>
      <c r="C79" s="944"/>
      <c r="D79" s="2028"/>
      <c r="E79" s="944"/>
      <c r="F79" s="350">
        <f t="shared" si="31"/>
        <v>0</v>
      </c>
      <c r="G79" s="946"/>
      <c r="H79" s="350">
        <f t="shared" si="32"/>
        <v>0</v>
      </c>
      <c r="I79" s="946"/>
      <c r="J79" s="350">
        <f t="shared" si="33"/>
        <v>0</v>
      </c>
      <c r="K79" s="946"/>
      <c r="L79" s="350">
        <f t="shared" si="34"/>
        <v>0</v>
      </c>
      <c r="M79" s="350">
        <f t="shared" si="35"/>
        <v>0</v>
      </c>
      <c r="N79" s="350">
        <f t="shared" si="36"/>
        <v>0</v>
      </c>
      <c r="O79" s="946"/>
      <c r="P79" s="946"/>
      <c r="Q79" s="350">
        <f t="shared" si="37"/>
        <v>0</v>
      </c>
      <c r="R79" s="350">
        <f t="shared" si="38"/>
        <v>0</v>
      </c>
      <c r="S79" s="350">
        <f t="shared" si="39"/>
        <v>0</v>
      </c>
      <c r="T79" s="327">
        <f t="shared" si="40"/>
        <v>0</v>
      </c>
      <c r="U79" s="327">
        <f t="shared" si="41"/>
        <v>0</v>
      </c>
    </row>
    <row r="80" spans="1:21" hidden="1">
      <c r="A80" s="2025"/>
      <c r="B80" s="944"/>
      <c r="C80" s="944"/>
      <c r="D80" s="2028"/>
      <c r="E80" s="944"/>
      <c r="F80" s="350">
        <f t="shared" si="31"/>
        <v>0</v>
      </c>
      <c r="G80" s="946"/>
      <c r="H80" s="350">
        <f t="shared" si="32"/>
        <v>0</v>
      </c>
      <c r="I80" s="946"/>
      <c r="J80" s="350">
        <f t="shared" si="33"/>
        <v>0</v>
      </c>
      <c r="K80" s="946"/>
      <c r="L80" s="350">
        <f t="shared" si="34"/>
        <v>0</v>
      </c>
      <c r="M80" s="350">
        <f t="shared" si="35"/>
        <v>0</v>
      </c>
      <c r="N80" s="350">
        <f t="shared" si="36"/>
        <v>0</v>
      </c>
      <c r="O80" s="946"/>
      <c r="P80" s="946"/>
      <c r="Q80" s="350">
        <f t="shared" si="37"/>
        <v>0</v>
      </c>
      <c r="R80" s="350">
        <f t="shared" si="38"/>
        <v>0</v>
      </c>
      <c r="S80" s="350">
        <f t="shared" si="39"/>
        <v>0</v>
      </c>
      <c r="T80" s="327">
        <f t="shared" si="40"/>
        <v>0</v>
      </c>
      <c r="U80" s="327">
        <f t="shared" si="41"/>
        <v>0</v>
      </c>
    </row>
    <row r="81" spans="1:21" hidden="1">
      <c r="A81" s="2025"/>
      <c r="B81" s="944"/>
      <c r="C81" s="944"/>
      <c r="D81" s="2028"/>
      <c r="E81" s="944"/>
      <c r="F81" s="350">
        <f t="shared" si="31"/>
        <v>0</v>
      </c>
      <c r="G81" s="946"/>
      <c r="H81" s="350">
        <f t="shared" si="32"/>
        <v>0</v>
      </c>
      <c r="I81" s="946"/>
      <c r="J81" s="350">
        <f t="shared" si="33"/>
        <v>0</v>
      </c>
      <c r="K81" s="946"/>
      <c r="L81" s="350">
        <f t="shared" si="34"/>
        <v>0</v>
      </c>
      <c r="M81" s="350">
        <f t="shared" si="35"/>
        <v>0</v>
      </c>
      <c r="N81" s="350">
        <f t="shared" si="36"/>
        <v>0</v>
      </c>
      <c r="O81" s="946"/>
      <c r="P81" s="946"/>
      <c r="Q81" s="350">
        <f t="shared" si="37"/>
        <v>0</v>
      </c>
      <c r="R81" s="350">
        <f t="shared" si="38"/>
        <v>0</v>
      </c>
      <c r="S81" s="350">
        <f t="shared" si="39"/>
        <v>0</v>
      </c>
      <c r="T81" s="327">
        <f t="shared" si="40"/>
        <v>0</v>
      </c>
      <c r="U81" s="327">
        <f t="shared" si="41"/>
        <v>0</v>
      </c>
    </row>
    <row r="82" spans="1:21" hidden="1">
      <c r="A82" s="2025"/>
      <c r="B82" s="944"/>
      <c r="C82" s="944"/>
      <c r="D82" s="2028"/>
      <c r="E82" s="944"/>
      <c r="F82" s="350">
        <f t="shared" si="31"/>
        <v>0</v>
      </c>
      <c r="G82" s="946"/>
      <c r="H82" s="350">
        <f t="shared" si="32"/>
        <v>0</v>
      </c>
      <c r="I82" s="946"/>
      <c r="J82" s="350">
        <f t="shared" si="33"/>
        <v>0</v>
      </c>
      <c r="K82" s="946"/>
      <c r="L82" s="350">
        <f t="shared" si="34"/>
        <v>0</v>
      </c>
      <c r="M82" s="350">
        <f t="shared" si="35"/>
        <v>0</v>
      </c>
      <c r="N82" s="350">
        <f t="shared" si="36"/>
        <v>0</v>
      </c>
      <c r="O82" s="946"/>
      <c r="P82" s="946"/>
      <c r="Q82" s="350">
        <f t="shared" si="37"/>
        <v>0</v>
      </c>
      <c r="R82" s="350">
        <f t="shared" si="38"/>
        <v>0</v>
      </c>
      <c r="S82" s="350">
        <f t="shared" si="39"/>
        <v>0</v>
      </c>
      <c r="T82" s="327">
        <f t="shared" si="40"/>
        <v>0</v>
      </c>
      <c r="U82" s="327">
        <f t="shared" si="41"/>
        <v>0</v>
      </c>
    </row>
    <row r="83" spans="1:21" hidden="1">
      <c r="A83" s="2025"/>
      <c r="B83" s="944"/>
      <c r="C83" s="944"/>
      <c r="D83" s="2028"/>
      <c r="E83" s="944"/>
      <c r="F83" s="350">
        <f t="shared" si="31"/>
        <v>0</v>
      </c>
      <c r="G83" s="946"/>
      <c r="H83" s="350">
        <f t="shared" si="32"/>
        <v>0</v>
      </c>
      <c r="I83" s="946"/>
      <c r="J83" s="350">
        <f t="shared" si="33"/>
        <v>0</v>
      </c>
      <c r="K83" s="946"/>
      <c r="L83" s="350">
        <f t="shared" si="34"/>
        <v>0</v>
      </c>
      <c r="M83" s="350">
        <f t="shared" si="35"/>
        <v>0</v>
      </c>
      <c r="N83" s="350">
        <f t="shared" si="36"/>
        <v>0</v>
      </c>
      <c r="O83" s="946"/>
      <c r="P83" s="946"/>
      <c r="Q83" s="350">
        <f t="shared" si="37"/>
        <v>0</v>
      </c>
      <c r="R83" s="350">
        <f t="shared" si="38"/>
        <v>0</v>
      </c>
      <c r="S83" s="350">
        <f t="shared" si="39"/>
        <v>0</v>
      </c>
      <c r="T83" s="327">
        <f t="shared" si="40"/>
        <v>0</v>
      </c>
      <c r="U83" s="327">
        <f t="shared" si="41"/>
        <v>0</v>
      </c>
    </row>
    <row r="84" spans="1:21" hidden="1">
      <c r="A84" s="2025"/>
      <c r="B84" s="944"/>
      <c r="C84" s="944"/>
      <c r="D84" s="2028"/>
      <c r="E84" s="944"/>
      <c r="F84" s="350">
        <f t="shared" si="31"/>
        <v>0</v>
      </c>
      <c r="G84" s="946"/>
      <c r="H84" s="350">
        <f t="shared" si="32"/>
        <v>0</v>
      </c>
      <c r="I84" s="946"/>
      <c r="J84" s="350">
        <f t="shared" si="33"/>
        <v>0</v>
      </c>
      <c r="K84" s="946"/>
      <c r="L84" s="350">
        <f t="shared" si="34"/>
        <v>0</v>
      </c>
      <c r="M84" s="350">
        <f t="shared" si="35"/>
        <v>0</v>
      </c>
      <c r="N84" s="350">
        <f t="shared" si="36"/>
        <v>0</v>
      </c>
      <c r="O84" s="946"/>
      <c r="P84" s="946"/>
      <c r="Q84" s="350">
        <f t="shared" si="37"/>
        <v>0</v>
      </c>
      <c r="R84" s="350">
        <f t="shared" si="38"/>
        <v>0</v>
      </c>
      <c r="S84" s="350">
        <f t="shared" si="39"/>
        <v>0</v>
      </c>
      <c r="T84" s="327">
        <f t="shared" si="40"/>
        <v>0</v>
      </c>
      <c r="U84" s="327">
        <f t="shared" si="41"/>
        <v>0</v>
      </c>
    </row>
    <row r="85" spans="1:21" hidden="1">
      <c r="A85" s="2025"/>
      <c r="B85" s="944"/>
      <c r="C85" s="944"/>
      <c r="D85" s="2028"/>
      <c r="E85" s="944"/>
      <c r="F85" s="350">
        <f t="shared" si="31"/>
        <v>0</v>
      </c>
      <c r="G85" s="946"/>
      <c r="H85" s="350">
        <f t="shared" si="32"/>
        <v>0</v>
      </c>
      <c r="I85" s="946"/>
      <c r="J85" s="350">
        <f t="shared" si="33"/>
        <v>0</v>
      </c>
      <c r="K85" s="946"/>
      <c r="L85" s="350">
        <f t="shared" si="34"/>
        <v>0</v>
      </c>
      <c r="M85" s="350">
        <f t="shared" si="35"/>
        <v>0</v>
      </c>
      <c r="N85" s="350">
        <f t="shared" si="36"/>
        <v>0</v>
      </c>
      <c r="O85" s="946"/>
      <c r="P85" s="946"/>
      <c r="Q85" s="350">
        <f t="shared" si="37"/>
        <v>0</v>
      </c>
      <c r="R85" s="350">
        <f t="shared" si="38"/>
        <v>0</v>
      </c>
      <c r="S85" s="350">
        <f t="shared" si="39"/>
        <v>0</v>
      </c>
      <c r="T85" s="327">
        <f t="shared" si="40"/>
        <v>0</v>
      </c>
      <c r="U85" s="327">
        <f t="shared" si="41"/>
        <v>0</v>
      </c>
    </row>
    <row r="86" spans="1:21" hidden="1">
      <c r="A86" s="2025"/>
      <c r="B86" s="944"/>
      <c r="C86" s="944"/>
      <c r="D86" s="2028"/>
      <c r="E86" s="944"/>
      <c r="F86" s="350">
        <f t="shared" si="31"/>
        <v>0</v>
      </c>
      <c r="G86" s="946"/>
      <c r="H86" s="350">
        <f t="shared" si="32"/>
        <v>0</v>
      </c>
      <c r="I86" s="946"/>
      <c r="J86" s="350">
        <f t="shared" si="33"/>
        <v>0</v>
      </c>
      <c r="K86" s="946"/>
      <c r="L86" s="350">
        <f t="shared" si="34"/>
        <v>0</v>
      </c>
      <c r="M86" s="350">
        <f t="shared" si="35"/>
        <v>0</v>
      </c>
      <c r="N86" s="350">
        <f t="shared" si="36"/>
        <v>0</v>
      </c>
      <c r="O86" s="946"/>
      <c r="P86" s="946"/>
      <c r="Q86" s="350">
        <f t="shared" si="37"/>
        <v>0</v>
      </c>
      <c r="R86" s="350">
        <f t="shared" si="38"/>
        <v>0</v>
      </c>
      <c r="S86" s="350">
        <f t="shared" si="39"/>
        <v>0</v>
      </c>
      <c r="T86" s="327">
        <f t="shared" si="40"/>
        <v>0</v>
      </c>
      <c r="U86" s="327">
        <f t="shared" si="41"/>
        <v>0</v>
      </c>
    </row>
    <row r="87" spans="1:21" hidden="1">
      <c r="A87" s="2025"/>
      <c r="B87" s="944"/>
      <c r="C87" s="944"/>
      <c r="D87" s="2028"/>
      <c r="E87" s="944"/>
      <c r="F87" s="350">
        <f t="shared" si="31"/>
        <v>0</v>
      </c>
      <c r="G87" s="946"/>
      <c r="H87" s="350">
        <f t="shared" si="32"/>
        <v>0</v>
      </c>
      <c r="I87" s="946"/>
      <c r="J87" s="350">
        <f t="shared" si="33"/>
        <v>0</v>
      </c>
      <c r="K87" s="946"/>
      <c r="L87" s="350">
        <f t="shared" si="34"/>
        <v>0</v>
      </c>
      <c r="M87" s="350">
        <f t="shared" si="35"/>
        <v>0</v>
      </c>
      <c r="N87" s="350">
        <f t="shared" si="36"/>
        <v>0</v>
      </c>
      <c r="O87" s="946"/>
      <c r="P87" s="946"/>
      <c r="Q87" s="350">
        <f t="shared" si="37"/>
        <v>0</v>
      </c>
      <c r="R87" s="350">
        <f t="shared" si="38"/>
        <v>0</v>
      </c>
      <c r="S87" s="350">
        <f t="shared" si="39"/>
        <v>0</v>
      </c>
      <c r="T87" s="327">
        <f t="shared" si="40"/>
        <v>0</v>
      </c>
      <c r="U87" s="327">
        <f t="shared" si="41"/>
        <v>0</v>
      </c>
    </row>
    <row r="88" spans="1:21" hidden="1">
      <c r="A88" s="2025"/>
      <c r="B88" s="944"/>
      <c r="C88" s="944"/>
      <c r="D88" s="2028"/>
      <c r="E88" s="944"/>
      <c r="F88" s="350">
        <f t="shared" si="31"/>
        <v>0</v>
      </c>
      <c r="G88" s="946"/>
      <c r="H88" s="350">
        <f t="shared" si="32"/>
        <v>0</v>
      </c>
      <c r="I88" s="946"/>
      <c r="J88" s="350">
        <f t="shared" si="33"/>
        <v>0</v>
      </c>
      <c r="K88" s="946"/>
      <c r="L88" s="350">
        <f t="shared" si="34"/>
        <v>0</v>
      </c>
      <c r="M88" s="350">
        <f t="shared" si="35"/>
        <v>0</v>
      </c>
      <c r="N88" s="350">
        <f t="shared" si="36"/>
        <v>0</v>
      </c>
      <c r="O88" s="946"/>
      <c r="P88" s="946"/>
      <c r="Q88" s="350">
        <f t="shared" si="37"/>
        <v>0</v>
      </c>
      <c r="R88" s="350">
        <f t="shared" si="38"/>
        <v>0</v>
      </c>
      <c r="S88" s="350">
        <f t="shared" si="39"/>
        <v>0</v>
      </c>
      <c r="T88" s="327">
        <f t="shared" si="40"/>
        <v>0</v>
      </c>
      <c r="U88" s="327">
        <f t="shared" si="41"/>
        <v>0</v>
      </c>
    </row>
    <row r="89" spans="1:21" hidden="1">
      <c r="A89" s="2025"/>
      <c r="B89" s="944"/>
      <c r="C89" s="944"/>
      <c r="D89" s="2028"/>
      <c r="E89" s="944"/>
      <c r="F89" s="350">
        <f t="shared" si="31"/>
        <v>0</v>
      </c>
      <c r="G89" s="946"/>
      <c r="H89" s="350">
        <f t="shared" si="32"/>
        <v>0</v>
      </c>
      <c r="I89" s="946"/>
      <c r="J89" s="350">
        <f t="shared" si="33"/>
        <v>0</v>
      </c>
      <c r="K89" s="946"/>
      <c r="L89" s="350">
        <f t="shared" si="34"/>
        <v>0</v>
      </c>
      <c r="M89" s="350">
        <f t="shared" si="35"/>
        <v>0</v>
      </c>
      <c r="N89" s="350">
        <f t="shared" si="36"/>
        <v>0</v>
      </c>
      <c r="O89" s="946"/>
      <c r="P89" s="946"/>
      <c r="Q89" s="350">
        <f t="shared" si="37"/>
        <v>0</v>
      </c>
      <c r="R89" s="350">
        <f t="shared" si="38"/>
        <v>0</v>
      </c>
      <c r="S89" s="350">
        <f t="shared" si="39"/>
        <v>0</v>
      </c>
      <c r="T89" s="327">
        <f t="shared" si="40"/>
        <v>0</v>
      </c>
      <c r="U89" s="327">
        <f t="shared" si="41"/>
        <v>0</v>
      </c>
    </row>
    <row r="90" spans="1:21" hidden="1">
      <c r="A90" s="2025"/>
      <c r="B90" s="944"/>
      <c r="C90" s="944"/>
      <c r="D90" s="2028"/>
      <c r="E90" s="944"/>
      <c r="F90" s="350">
        <f t="shared" si="31"/>
        <v>0</v>
      </c>
      <c r="G90" s="946"/>
      <c r="H90" s="350">
        <f t="shared" si="32"/>
        <v>0</v>
      </c>
      <c r="I90" s="946"/>
      <c r="J90" s="350">
        <f t="shared" si="33"/>
        <v>0</v>
      </c>
      <c r="K90" s="946"/>
      <c r="L90" s="350">
        <f t="shared" si="34"/>
        <v>0</v>
      </c>
      <c r="M90" s="350">
        <f t="shared" si="35"/>
        <v>0</v>
      </c>
      <c r="N90" s="350">
        <f t="shared" si="36"/>
        <v>0</v>
      </c>
      <c r="O90" s="946"/>
      <c r="P90" s="946"/>
      <c r="Q90" s="350">
        <f t="shared" si="37"/>
        <v>0</v>
      </c>
      <c r="R90" s="350">
        <f t="shared" si="38"/>
        <v>0</v>
      </c>
      <c r="S90" s="350">
        <f t="shared" si="39"/>
        <v>0</v>
      </c>
      <c r="T90" s="327">
        <f t="shared" si="40"/>
        <v>0</v>
      </c>
      <c r="U90" s="327">
        <f t="shared" si="41"/>
        <v>0</v>
      </c>
    </row>
    <row r="91" spans="1:21" hidden="1">
      <c r="A91" s="2025"/>
      <c r="B91" s="944"/>
      <c r="C91" s="944"/>
      <c r="D91" s="2028"/>
      <c r="E91" s="944"/>
      <c r="F91" s="350">
        <f t="shared" si="31"/>
        <v>0</v>
      </c>
      <c r="G91" s="946"/>
      <c r="H91" s="350">
        <f t="shared" si="32"/>
        <v>0</v>
      </c>
      <c r="I91" s="946"/>
      <c r="J91" s="350">
        <f t="shared" si="33"/>
        <v>0</v>
      </c>
      <c r="K91" s="946"/>
      <c r="L91" s="350">
        <f t="shared" si="34"/>
        <v>0</v>
      </c>
      <c r="M91" s="350">
        <f t="shared" si="35"/>
        <v>0</v>
      </c>
      <c r="N91" s="350">
        <f t="shared" si="36"/>
        <v>0</v>
      </c>
      <c r="O91" s="946"/>
      <c r="P91" s="946"/>
      <c r="Q91" s="350">
        <f t="shared" si="37"/>
        <v>0</v>
      </c>
      <c r="R91" s="350">
        <f t="shared" si="38"/>
        <v>0</v>
      </c>
      <c r="S91" s="350">
        <f t="shared" si="39"/>
        <v>0</v>
      </c>
      <c r="T91" s="327">
        <f t="shared" si="40"/>
        <v>0</v>
      </c>
      <c r="U91" s="327">
        <f t="shared" si="41"/>
        <v>0</v>
      </c>
    </row>
    <row r="92" spans="1:21" hidden="1">
      <c r="A92" s="2025"/>
      <c r="B92" s="944"/>
      <c r="C92" s="944"/>
      <c r="D92" s="2028"/>
      <c r="E92" s="944"/>
      <c r="F92" s="350">
        <f t="shared" si="31"/>
        <v>0</v>
      </c>
      <c r="G92" s="946"/>
      <c r="H92" s="350">
        <f t="shared" si="32"/>
        <v>0</v>
      </c>
      <c r="I92" s="946"/>
      <c r="J92" s="350">
        <f t="shared" si="33"/>
        <v>0</v>
      </c>
      <c r="K92" s="946"/>
      <c r="L92" s="350">
        <f t="shared" si="34"/>
        <v>0</v>
      </c>
      <c r="M92" s="350">
        <f t="shared" si="35"/>
        <v>0</v>
      </c>
      <c r="N92" s="350">
        <f t="shared" si="36"/>
        <v>0</v>
      </c>
      <c r="O92" s="946"/>
      <c r="P92" s="946"/>
      <c r="Q92" s="350">
        <f t="shared" si="37"/>
        <v>0</v>
      </c>
      <c r="R92" s="350">
        <f t="shared" si="38"/>
        <v>0</v>
      </c>
      <c r="S92" s="350">
        <f t="shared" si="39"/>
        <v>0</v>
      </c>
      <c r="T92" s="327">
        <f t="shared" si="40"/>
        <v>0</v>
      </c>
      <c r="U92" s="327">
        <f t="shared" si="41"/>
        <v>0</v>
      </c>
    </row>
    <row r="93" spans="1:21" hidden="1">
      <c r="A93" s="2025"/>
      <c r="B93" s="944"/>
      <c r="C93" s="944"/>
      <c r="D93" s="2028"/>
      <c r="E93" s="944"/>
      <c r="F93" s="350">
        <f t="shared" si="31"/>
        <v>0</v>
      </c>
      <c r="G93" s="946"/>
      <c r="H93" s="350">
        <f t="shared" si="32"/>
        <v>0</v>
      </c>
      <c r="I93" s="946"/>
      <c r="J93" s="350">
        <f t="shared" si="33"/>
        <v>0</v>
      </c>
      <c r="K93" s="946"/>
      <c r="L93" s="350">
        <f t="shared" si="34"/>
        <v>0</v>
      </c>
      <c r="M93" s="350">
        <f t="shared" si="35"/>
        <v>0</v>
      </c>
      <c r="N93" s="350">
        <f t="shared" si="36"/>
        <v>0</v>
      </c>
      <c r="O93" s="946"/>
      <c r="P93" s="946"/>
      <c r="Q93" s="350">
        <f t="shared" si="37"/>
        <v>0</v>
      </c>
      <c r="R93" s="350">
        <f t="shared" si="38"/>
        <v>0</v>
      </c>
      <c r="S93" s="350">
        <f t="shared" si="39"/>
        <v>0</v>
      </c>
      <c r="T93" s="327">
        <f t="shared" si="40"/>
        <v>0</v>
      </c>
      <c r="U93" s="327">
        <f t="shared" si="41"/>
        <v>0</v>
      </c>
    </row>
    <row r="94" spans="1:21" hidden="1">
      <c r="A94" s="2025"/>
      <c r="B94" s="944"/>
      <c r="C94" s="944"/>
      <c r="D94" s="2028"/>
      <c r="E94" s="944"/>
      <c r="F94" s="350">
        <f t="shared" si="31"/>
        <v>0</v>
      </c>
      <c r="G94" s="946"/>
      <c r="H94" s="350">
        <f t="shared" si="32"/>
        <v>0</v>
      </c>
      <c r="I94" s="946"/>
      <c r="J94" s="350">
        <f t="shared" si="33"/>
        <v>0</v>
      </c>
      <c r="K94" s="946"/>
      <c r="L94" s="350">
        <f t="shared" si="34"/>
        <v>0</v>
      </c>
      <c r="M94" s="350">
        <f t="shared" si="35"/>
        <v>0</v>
      </c>
      <c r="N94" s="350">
        <f t="shared" si="36"/>
        <v>0</v>
      </c>
      <c r="O94" s="946"/>
      <c r="P94" s="946"/>
      <c r="Q94" s="350">
        <f t="shared" si="37"/>
        <v>0</v>
      </c>
      <c r="R94" s="350">
        <f t="shared" si="38"/>
        <v>0</v>
      </c>
      <c r="S94" s="350">
        <f t="shared" si="39"/>
        <v>0</v>
      </c>
      <c r="T94" s="327">
        <f t="shared" si="40"/>
        <v>0</v>
      </c>
      <c r="U94" s="327">
        <f t="shared" si="41"/>
        <v>0</v>
      </c>
    </row>
    <row r="95" spans="1:21" hidden="1">
      <c r="A95" s="2025"/>
      <c r="B95" s="944"/>
      <c r="C95" s="944"/>
      <c r="D95" s="2028"/>
      <c r="E95" s="944"/>
      <c r="F95" s="350">
        <f t="shared" si="31"/>
        <v>0</v>
      </c>
      <c r="G95" s="946"/>
      <c r="H95" s="350">
        <f t="shared" si="32"/>
        <v>0</v>
      </c>
      <c r="I95" s="946"/>
      <c r="J95" s="350">
        <f t="shared" si="33"/>
        <v>0</v>
      </c>
      <c r="K95" s="946"/>
      <c r="L95" s="350">
        <f t="shared" si="34"/>
        <v>0</v>
      </c>
      <c r="M95" s="350">
        <f t="shared" si="35"/>
        <v>0</v>
      </c>
      <c r="N95" s="350">
        <f t="shared" si="36"/>
        <v>0</v>
      </c>
      <c r="O95" s="946"/>
      <c r="P95" s="946"/>
      <c r="Q95" s="350">
        <f t="shared" si="37"/>
        <v>0</v>
      </c>
      <c r="R95" s="350">
        <f t="shared" si="38"/>
        <v>0</v>
      </c>
      <c r="S95" s="350">
        <f t="shared" si="39"/>
        <v>0</v>
      </c>
      <c r="T95" s="327">
        <f t="shared" si="40"/>
        <v>0</v>
      </c>
      <c r="U95" s="327">
        <f t="shared" si="41"/>
        <v>0</v>
      </c>
    </row>
    <row r="96" spans="1:21" hidden="1">
      <c r="A96" s="2025"/>
      <c r="B96" s="944"/>
      <c r="C96" s="944"/>
      <c r="D96" s="2028"/>
      <c r="E96" s="944"/>
      <c r="F96" s="350">
        <f t="shared" si="31"/>
        <v>0</v>
      </c>
      <c r="G96" s="946"/>
      <c r="H96" s="350">
        <f t="shared" si="32"/>
        <v>0</v>
      </c>
      <c r="I96" s="946"/>
      <c r="J96" s="350">
        <f t="shared" si="33"/>
        <v>0</v>
      </c>
      <c r="K96" s="946"/>
      <c r="L96" s="350">
        <f t="shared" si="34"/>
        <v>0</v>
      </c>
      <c r="M96" s="350">
        <f t="shared" si="35"/>
        <v>0</v>
      </c>
      <c r="N96" s="350">
        <f t="shared" si="36"/>
        <v>0</v>
      </c>
      <c r="O96" s="946"/>
      <c r="P96" s="946"/>
      <c r="Q96" s="350">
        <f t="shared" si="37"/>
        <v>0</v>
      </c>
      <c r="R96" s="350">
        <f t="shared" si="38"/>
        <v>0</v>
      </c>
      <c r="S96" s="350">
        <f t="shared" si="39"/>
        <v>0</v>
      </c>
      <c r="T96" s="327">
        <f t="shared" si="40"/>
        <v>0</v>
      </c>
      <c r="U96" s="327">
        <f t="shared" si="41"/>
        <v>0</v>
      </c>
    </row>
    <row r="97" spans="1:21" hidden="1">
      <c r="A97" s="2025"/>
      <c r="B97" s="944"/>
      <c r="C97" s="944"/>
      <c r="D97" s="2028"/>
      <c r="E97" s="944"/>
      <c r="F97" s="350">
        <f t="shared" si="31"/>
        <v>0</v>
      </c>
      <c r="G97" s="946"/>
      <c r="H97" s="350">
        <f t="shared" si="32"/>
        <v>0</v>
      </c>
      <c r="I97" s="946"/>
      <c r="J97" s="350">
        <f t="shared" si="33"/>
        <v>0</v>
      </c>
      <c r="K97" s="946"/>
      <c r="L97" s="350">
        <f t="shared" si="34"/>
        <v>0</v>
      </c>
      <c r="M97" s="350">
        <f t="shared" si="35"/>
        <v>0</v>
      </c>
      <c r="N97" s="350">
        <f t="shared" si="36"/>
        <v>0</v>
      </c>
      <c r="O97" s="946"/>
      <c r="P97" s="946"/>
      <c r="Q97" s="350">
        <f t="shared" si="37"/>
        <v>0</v>
      </c>
      <c r="R97" s="350">
        <f t="shared" si="38"/>
        <v>0</v>
      </c>
      <c r="S97" s="350">
        <f t="shared" si="39"/>
        <v>0</v>
      </c>
      <c r="T97" s="327">
        <f t="shared" si="40"/>
        <v>0</v>
      </c>
      <c r="U97" s="327">
        <f t="shared" si="41"/>
        <v>0</v>
      </c>
    </row>
    <row r="98" spans="1:21" hidden="1">
      <c r="A98" s="2025"/>
      <c r="B98" s="944"/>
      <c r="C98" s="944"/>
      <c r="D98" s="2028"/>
      <c r="E98" s="944"/>
      <c r="F98" s="350">
        <f t="shared" si="31"/>
        <v>0</v>
      </c>
      <c r="G98" s="946"/>
      <c r="H98" s="350">
        <f t="shared" si="32"/>
        <v>0</v>
      </c>
      <c r="I98" s="946"/>
      <c r="J98" s="350">
        <f t="shared" si="33"/>
        <v>0</v>
      </c>
      <c r="K98" s="946"/>
      <c r="L98" s="350">
        <f t="shared" si="34"/>
        <v>0</v>
      </c>
      <c r="M98" s="350">
        <f t="shared" si="35"/>
        <v>0</v>
      </c>
      <c r="N98" s="350">
        <f t="shared" si="36"/>
        <v>0</v>
      </c>
      <c r="O98" s="946"/>
      <c r="P98" s="946"/>
      <c r="Q98" s="350">
        <f t="shared" si="37"/>
        <v>0</v>
      </c>
      <c r="R98" s="350">
        <f t="shared" si="38"/>
        <v>0</v>
      </c>
      <c r="S98" s="350">
        <f t="shared" si="39"/>
        <v>0</v>
      </c>
      <c r="T98" s="327">
        <f t="shared" si="40"/>
        <v>0</v>
      </c>
      <c r="U98" s="327">
        <f t="shared" si="41"/>
        <v>0</v>
      </c>
    </row>
    <row r="99" spans="1:21" hidden="1">
      <c r="A99" s="2025"/>
      <c r="B99" s="942" t="s">
        <v>527</v>
      </c>
      <c r="C99" s="942"/>
      <c r="D99" s="2024">
        <f>SUM(D100:D107)</f>
        <v>0</v>
      </c>
      <c r="E99" s="942"/>
      <c r="F99" s="350">
        <f>SUM(F100:F107)</f>
        <v>0</v>
      </c>
      <c r="G99" s="947"/>
      <c r="H99" s="327">
        <f t="shared" ref="H99:U99" si="42">SUM(H100:H107)</f>
        <v>0</v>
      </c>
      <c r="I99" s="947"/>
      <c r="J99" s="327">
        <f t="shared" si="42"/>
        <v>0</v>
      </c>
      <c r="K99" s="947"/>
      <c r="L99" s="327">
        <f t="shared" si="42"/>
        <v>0</v>
      </c>
      <c r="M99" s="327">
        <f t="shared" si="42"/>
        <v>0</v>
      </c>
      <c r="N99" s="327">
        <f t="shared" si="42"/>
        <v>0</v>
      </c>
      <c r="O99" s="327">
        <f t="shared" si="42"/>
        <v>0</v>
      </c>
      <c r="P99" s="350">
        <f>SUM(P100:P107)</f>
        <v>0</v>
      </c>
      <c r="Q99" s="327">
        <f t="shared" si="42"/>
        <v>0</v>
      </c>
      <c r="R99" s="327">
        <f t="shared" si="42"/>
        <v>0</v>
      </c>
      <c r="S99" s="327">
        <f t="shared" si="42"/>
        <v>0</v>
      </c>
      <c r="T99" s="327">
        <f t="shared" si="42"/>
        <v>0</v>
      </c>
      <c r="U99" s="327">
        <f t="shared" si="42"/>
        <v>0</v>
      </c>
    </row>
    <row r="100" spans="1:21" hidden="1">
      <c r="A100" s="2025"/>
      <c r="B100" s="942" t="s">
        <v>327</v>
      </c>
      <c r="C100" s="942"/>
      <c r="D100" s="2024"/>
      <c r="E100" s="942"/>
      <c r="F100" s="350">
        <f t="shared" ref="F100:F107" si="43">ROUNDUP((E100*$Q$5),-3)</f>
        <v>0</v>
      </c>
      <c r="G100" s="946"/>
      <c r="H100" s="350">
        <f t="shared" ref="H100:H107" si="44">D100*F100*G100</f>
        <v>0</v>
      </c>
      <c r="I100" s="946"/>
      <c r="J100" s="350">
        <f t="shared" ref="J100:J107" si="45">I100*$Q$4</f>
        <v>0</v>
      </c>
      <c r="K100" s="946"/>
      <c r="L100" s="350">
        <f t="shared" ref="L100:L107" si="46">K100*F100</f>
        <v>0</v>
      </c>
      <c r="M100" s="350">
        <f t="shared" ref="M100:M107" si="47">D100*G100*(J100+L100)</f>
        <v>0</v>
      </c>
      <c r="N100" s="350">
        <f t="shared" ref="N100:N107" si="48">H100+M100</f>
        <v>0</v>
      </c>
      <c r="O100" s="946"/>
      <c r="P100" s="946"/>
      <c r="Q100" s="350">
        <f t="shared" ref="Q100:Q107" si="49">N100+O100+P100</f>
        <v>0</v>
      </c>
      <c r="R100" s="350">
        <f t="shared" ref="R100:R107" si="50">Q100*10%</f>
        <v>0</v>
      </c>
      <c r="S100" s="350">
        <f t="shared" ref="S100:S107" si="51">(Q100-R100)*10%</f>
        <v>0</v>
      </c>
      <c r="T100" s="327">
        <f t="shared" ref="T100:T107" si="52">(Q100-R100)*6%</f>
        <v>0</v>
      </c>
      <c r="U100" s="327">
        <f t="shared" ref="U100:U107" si="53">(Q100-R100)*5%</f>
        <v>0</v>
      </c>
    </row>
    <row r="101" spans="1:21" hidden="1">
      <c r="A101" s="2025"/>
      <c r="B101" s="942"/>
      <c r="C101" s="942"/>
      <c r="D101" s="2024"/>
      <c r="E101" s="942"/>
      <c r="F101" s="350">
        <f t="shared" si="43"/>
        <v>0</v>
      </c>
      <c r="G101" s="946"/>
      <c r="H101" s="350">
        <f t="shared" si="44"/>
        <v>0</v>
      </c>
      <c r="I101" s="946"/>
      <c r="J101" s="350">
        <f t="shared" si="45"/>
        <v>0</v>
      </c>
      <c r="K101" s="946"/>
      <c r="L101" s="350">
        <f t="shared" si="46"/>
        <v>0</v>
      </c>
      <c r="M101" s="350">
        <f t="shared" si="47"/>
        <v>0</v>
      </c>
      <c r="N101" s="350">
        <f t="shared" si="48"/>
        <v>0</v>
      </c>
      <c r="O101" s="946"/>
      <c r="P101" s="946"/>
      <c r="Q101" s="350">
        <f t="shared" si="49"/>
        <v>0</v>
      </c>
      <c r="R101" s="350">
        <f t="shared" si="50"/>
        <v>0</v>
      </c>
      <c r="S101" s="350">
        <f t="shared" si="51"/>
        <v>0</v>
      </c>
      <c r="T101" s="327">
        <f t="shared" si="52"/>
        <v>0</v>
      </c>
      <c r="U101" s="327">
        <f t="shared" si="53"/>
        <v>0</v>
      </c>
    </row>
    <row r="102" spans="1:21" hidden="1">
      <c r="A102" s="2025"/>
      <c r="B102" s="942"/>
      <c r="C102" s="942"/>
      <c r="D102" s="2024"/>
      <c r="E102" s="942"/>
      <c r="F102" s="350">
        <f t="shared" si="43"/>
        <v>0</v>
      </c>
      <c r="G102" s="946"/>
      <c r="H102" s="350">
        <f t="shared" si="44"/>
        <v>0</v>
      </c>
      <c r="I102" s="946"/>
      <c r="J102" s="350">
        <f t="shared" si="45"/>
        <v>0</v>
      </c>
      <c r="K102" s="946"/>
      <c r="L102" s="350">
        <f t="shared" si="46"/>
        <v>0</v>
      </c>
      <c r="M102" s="350">
        <f t="shared" si="47"/>
        <v>0</v>
      </c>
      <c r="N102" s="350">
        <f t="shared" si="48"/>
        <v>0</v>
      </c>
      <c r="O102" s="946"/>
      <c r="P102" s="946"/>
      <c r="Q102" s="350">
        <f t="shared" si="49"/>
        <v>0</v>
      </c>
      <c r="R102" s="350">
        <f t="shared" si="50"/>
        <v>0</v>
      </c>
      <c r="S102" s="350">
        <f t="shared" si="51"/>
        <v>0</v>
      </c>
      <c r="T102" s="327">
        <f t="shared" si="52"/>
        <v>0</v>
      </c>
      <c r="U102" s="327">
        <f t="shared" si="53"/>
        <v>0</v>
      </c>
    </row>
    <row r="103" spans="1:21" hidden="1">
      <c r="A103" s="2025"/>
      <c r="B103" s="942"/>
      <c r="C103" s="942"/>
      <c r="D103" s="2024"/>
      <c r="E103" s="942"/>
      <c r="F103" s="350">
        <f t="shared" si="43"/>
        <v>0</v>
      </c>
      <c r="G103" s="946"/>
      <c r="H103" s="350">
        <f t="shared" si="44"/>
        <v>0</v>
      </c>
      <c r="I103" s="946"/>
      <c r="J103" s="350">
        <f t="shared" si="45"/>
        <v>0</v>
      </c>
      <c r="K103" s="946"/>
      <c r="L103" s="350">
        <f t="shared" si="46"/>
        <v>0</v>
      </c>
      <c r="M103" s="350">
        <f t="shared" si="47"/>
        <v>0</v>
      </c>
      <c r="N103" s="350">
        <f t="shared" si="48"/>
        <v>0</v>
      </c>
      <c r="O103" s="946"/>
      <c r="P103" s="946"/>
      <c r="Q103" s="350">
        <f t="shared" si="49"/>
        <v>0</v>
      </c>
      <c r="R103" s="350">
        <f t="shared" si="50"/>
        <v>0</v>
      </c>
      <c r="S103" s="350">
        <f t="shared" si="51"/>
        <v>0</v>
      </c>
      <c r="T103" s="327">
        <f t="shared" si="52"/>
        <v>0</v>
      </c>
      <c r="U103" s="327">
        <f t="shared" si="53"/>
        <v>0</v>
      </c>
    </row>
    <row r="104" spans="1:21" hidden="1">
      <c r="A104" s="2025"/>
      <c r="B104" s="942"/>
      <c r="C104" s="942"/>
      <c r="D104" s="2024"/>
      <c r="E104" s="942"/>
      <c r="F104" s="350">
        <f t="shared" si="43"/>
        <v>0</v>
      </c>
      <c r="G104" s="946"/>
      <c r="H104" s="350">
        <f t="shared" si="44"/>
        <v>0</v>
      </c>
      <c r="I104" s="946"/>
      <c r="J104" s="350">
        <f t="shared" si="45"/>
        <v>0</v>
      </c>
      <c r="K104" s="946"/>
      <c r="L104" s="350">
        <f t="shared" si="46"/>
        <v>0</v>
      </c>
      <c r="M104" s="350">
        <f t="shared" si="47"/>
        <v>0</v>
      </c>
      <c r="N104" s="350">
        <f t="shared" si="48"/>
        <v>0</v>
      </c>
      <c r="O104" s="946"/>
      <c r="P104" s="946"/>
      <c r="Q104" s="350">
        <f t="shared" si="49"/>
        <v>0</v>
      </c>
      <c r="R104" s="350">
        <f t="shared" si="50"/>
        <v>0</v>
      </c>
      <c r="S104" s="350">
        <f t="shared" si="51"/>
        <v>0</v>
      </c>
      <c r="T104" s="327">
        <f t="shared" si="52"/>
        <v>0</v>
      </c>
      <c r="U104" s="327">
        <f t="shared" si="53"/>
        <v>0</v>
      </c>
    </row>
    <row r="105" spans="1:21" hidden="1">
      <c r="A105" s="2025"/>
      <c r="B105" s="942"/>
      <c r="C105" s="942"/>
      <c r="D105" s="2024"/>
      <c r="E105" s="942"/>
      <c r="F105" s="350">
        <f t="shared" si="43"/>
        <v>0</v>
      </c>
      <c r="G105" s="946"/>
      <c r="H105" s="350">
        <f t="shared" si="44"/>
        <v>0</v>
      </c>
      <c r="I105" s="946"/>
      <c r="J105" s="350">
        <f t="shared" si="45"/>
        <v>0</v>
      </c>
      <c r="K105" s="946"/>
      <c r="L105" s="350">
        <f t="shared" si="46"/>
        <v>0</v>
      </c>
      <c r="M105" s="350">
        <f t="shared" si="47"/>
        <v>0</v>
      </c>
      <c r="N105" s="350">
        <f t="shared" si="48"/>
        <v>0</v>
      </c>
      <c r="O105" s="946"/>
      <c r="P105" s="946"/>
      <c r="Q105" s="350">
        <f t="shared" si="49"/>
        <v>0</v>
      </c>
      <c r="R105" s="350">
        <f t="shared" si="50"/>
        <v>0</v>
      </c>
      <c r="S105" s="350">
        <f t="shared" si="51"/>
        <v>0</v>
      </c>
      <c r="T105" s="327">
        <f t="shared" si="52"/>
        <v>0</v>
      </c>
      <c r="U105" s="327">
        <f t="shared" si="53"/>
        <v>0</v>
      </c>
    </row>
    <row r="106" spans="1:21" hidden="1">
      <c r="A106" s="2025"/>
      <c r="B106" s="942"/>
      <c r="C106" s="942"/>
      <c r="D106" s="2024"/>
      <c r="E106" s="942"/>
      <c r="F106" s="350">
        <f t="shared" si="43"/>
        <v>0</v>
      </c>
      <c r="G106" s="946"/>
      <c r="H106" s="350">
        <f t="shared" si="44"/>
        <v>0</v>
      </c>
      <c r="I106" s="946"/>
      <c r="J106" s="350">
        <f t="shared" si="45"/>
        <v>0</v>
      </c>
      <c r="K106" s="946"/>
      <c r="L106" s="350">
        <f t="shared" si="46"/>
        <v>0</v>
      </c>
      <c r="M106" s="350">
        <f t="shared" si="47"/>
        <v>0</v>
      </c>
      <c r="N106" s="350">
        <f t="shared" si="48"/>
        <v>0</v>
      </c>
      <c r="O106" s="946"/>
      <c r="P106" s="946"/>
      <c r="Q106" s="350">
        <f t="shared" si="49"/>
        <v>0</v>
      </c>
      <c r="R106" s="350">
        <f t="shared" si="50"/>
        <v>0</v>
      </c>
      <c r="S106" s="350">
        <f t="shared" si="51"/>
        <v>0</v>
      </c>
      <c r="T106" s="327">
        <f t="shared" si="52"/>
        <v>0</v>
      </c>
      <c r="U106" s="327">
        <f t="shared" si="53"/>
        <v>0</v>
      </c>
    </row>
    <row r="107" spans="1:21" hidden="1">
      <c r="A107" s="2025"/>
      <c r="B107" s="942"/>
      <c r="C107" s="942"/>
      <c r="D107" s="2024"/>
      <c r="E107" s="942"/>
      <c r="F107" s="350">
        <f t="shared" si="43"/>
        <v>0</v>
      </c>
      <c r="G107" s="946"/>
      <c r="H107" s="350">
        <f t="shared" si="44"/>
        <v>0</v>
      </c>
      <c r="I107" s="946"/>
      <c r="J107" s="350">
        <f t="shared" si="45"/>
        <v>0</v>
      </c>
      <c r="K107" s="946"/>
      <c r="L107" s="350">
        <f t="shared" si="46"/>
        <v>0</v>
      </c>
      <c r="M107" s="350">
        <f t="shared" si="47"/>
        <v>0</v>
      </c>
      <c r="N107" s="350">
        <f t="shared" si="48"/>
        <v>0</v>
      </c>
      <c r="O107" s="946"/>
      <c r="P107" s="946"/>
      <c r="Q107" s="350">
        <f t="shared" si="49"/>
        <v>0</v>
      </c>
      <c r="R107" s="350">
        <f t="shared" si="50"/>
        <v>0</v>
      </c>
      <c r="S107" s="350">
        <f t="shared" si="51"/>
        <v>0</v>
      </c>
      <c r="T107" s="327">
        <f t="shared" si="52"/>
        <v>0</v>
      </c>
      <c r="U107" s="327">
        <f t="shared" si="53"/>
        <v>0</v>
      </c>
    </row>
    <row r="108" spans="1:21">
      <c r="A108" s="2025"/>
      <c r="B108" s="2016" t="s">
        <v>528</v>
      </c>
      <c r="C108" s="942"/>
      <c r="D108" s="2024" t="e">
        <f>SUM(D110:D126)</f>
        <v>#REF!</v>
      </c>
      <c r="E108" s="942"/>
      <c r="F108" s="350">
        <f>SUM(F110:F126)</f>
        <v>2573000</v>
      </c>
      <c r="G108" s="947"/>
      <c r="H108" s="350" t="e">
        <f>SUM(H110:H126)</f>
        <v>#REF!</v>
      </c>
      <c r="I108" s="947"/>
      <c r="J108" s="350">
        <f>SUM(J110:J126)</f>
        <v>0</v>
      </c>
      <c r="K108" s="947"/>
      <c r="L108" s="350">
        <f t="shared" ref="L108:U108" si="54">SUM(L110:L126)</f>
        <v>7600</v>
      </c>
      <c r="M108" s="350" t="e">
        <f t="shared" si="54"/>
        <v>#REF!</v>
      </c>
      <c r="N108" s="350" t="e">
        <f t="shared" si="54"/>
        <v>#REF!</v>
      </c>
      <c r="O108" s="350" t="e">
        <f t="shared" si="54"/>
        <v>#REF!</v>
      </c>
      <c r="P108" s="350" t="e">
        <f t="shared" si="54"/>
        <v>#REF!</v>
      </c>
      <c r="Q108" s="350" t="e">
        <f t="shared" si="54"/>
        <v>#REF!</v>
      </c>
      <c r="R108" s="350" t="e">
        <f t="shared" si="54"/>
        <v>#REF!</v>
      </c>
      <c r="S108" s="350" t="e">
        <f t="shared" si="54"/>
        <v>#REF!</v>
      </c>
      <c r="T108" s="350" t="e">
        <f t="shared" si="54"/>
        <v>#REF!</v>
      </c>
      <c r="U108" s="350" t="e">
        <f t="shared" si="54"/>
        <v>#REF!</v>
      </c>
    </row>
    <row r="109" spans="1:21">
      <c r="A109" s="2025"/>
      <c r="B109" s="2016" t="s">
        <v>529</v>
      </c>
      <c r="C109" s="942"/>
      <c r="D109" s="2024"/>
      <c r="E109" s="942"/>
      <c r="F109" s="350"/>
      <c r="G109" s="947"/>
      <c r="H109" s="350"/>
      <c r="I109" s="947"/>
      <c r="J109" s="350"/>
      <c r="K109" s="947"/>
      <c r="L109" s="350"/>
      <c r="M109" s="350"/>
      <c r="N109" s="350"/>
      <c r="O109" s="350"/>
      <c r="P109" s="350"/>
      <c r="Q109" s="350"/>
      <c r="R109" s="327"/>
      <c r="S109" s="350"/>
      <c r="T109" s="350"/>
      <c r="U109" s="350"/>
    </row>
    <row r="110" spans="1:21">
      <c r="A110" s="2024">
        <v>4</v>
      </c>
      <c r="B110" s="1022" t="s">
        <v>530</v>
      </c>
      <c r="C110" s="943"/>
      <c r="D110" s="2029" t="e">
        <f>#REF!+'штатка МБ 2.01.'!D112+'штатка ФМН 2.01.'!D112+'штатка школа МШ'!D112+'штатка школа Орынб'!D112+'штатка спальн блок 2.01.'!D15</f>
        <v>#REF!</v>
      </c>
      <c r="E110" s="942"/>
      <c r="F110" s="1021">
        <f>72000+10000</f>
        <v>82000</v>
      </c>
      <c r="G110" s="946">
        <v>12</v>
      </c>
      <c r="H110" s="350" t="e">
        <f>D110*F110*G110</f>
        <v>#REF!</v>
      </c>
      <c r="I110" s="946"/>
      <c r="J110" s="350">
        <f>I110*$Q$4</f>
        <v>0</v>
      </c>
      <c r="K110" s="946"/>
      <c r="L110" s="350">
        <f>K110*F110</f>
        <v>0</v>
      </c>
      <c r="M110" s="350" t="e">
        <f>D110*G110*(J110+L110)</f>
        <v>#REF!</v>
      </c>
      <c r="N110" s="350" t="e">
        <f>H110+M110</f>
        <v>#REF!</v>
      </c>
      <c r="O110" s="946" t="e">
        <f>F110*D110*2</f>
        <v>#REF!</v>
      </c>
      <c r="P110" s="946" t="e">
        <f>F110*D110*4</f>
        <v>#REF!</v>
      </c>
      <c r="Q110" s="350" t="e">
        <f>N110+O110+P110</f>
        <v>#REF!</v>
      </c>
      <c r="R110" s="350" t="e">
        <f>Q110*10%</f>
        <v>#REF!</v>
      </c>
      <c r="S110" s="350" t="e">
        <f>(Q110-R110)*10%</f>
        <v>#REF!</v>
      </c>
      <c r="T110" s="327" t="e">
        <f>(Q110-R110)*6%</f>
        <v>#REF!</v>
      </c>
      <c r="U110" s="327" t="e">
        <f>(Q110-R110)*5%</f>
        <v>#REF!</v>
      </c>
    </row>
    <row r="111" spans="1:21">
      <c r="A111" s="2024">
        <v>5</v>
      </c>
      <c r="B111" s="1022" t="s">
        <v>531</v>
      </c>
      <c r="C111" s="943"/>
      <c r="D111" s="2029">
        <f>'штатка МБ 2.01.'!D113+'штатка ФМН 2.01.'!D113+'штатка школа МШ'!D113+'штатка школа Орынб'!D113+'штатка спальн блок 2.01.'!D16</f>
        <v>129</v>
      </c>
      <c r="E111" s="942"/>
      <c r="F111" s="1021">
        <f>66000+10000</f>
        <v>76000</v>
      </c>
      <c r="G111" s="946">
        <v>12</v>
      </c>
      <c r="H111" s="350">
        <f>D111*F111*G111</f>
        <v>117648000</v>
      </c>
      <c r="I111" s="946"/>
      <c r="J111" s="350">
        <f>I111*$Q$4</f>
        <v>0</v>
      </c>
      <c r="K111" s="1025">
        <v>0.1</v>
      </c>
      <c r="L111" s="350">
        <f>K111*F111</f>
        <v>7600</v>
      </c>
      <c r="M111" s="350">
        <f>D111*G111*(J111+L111)</f>
        <v>11764800</v>
      </c>
      <c r="N111" s="350">
        <f>H111+M111</f>
        <v>129412800</v>
      </c>
      <c r="O111" s="946">
        <f>F111*D111*2</f>
        <v>19608000</v>
      </c>
      <c r="P111" s="946">
        <f>F111*D111*4</f>
        <v>39216000</v>
      </c>
      <c r="Q111" s="350">
        <f>N111+O111+P111</f>
        <v>188236800</v>
      </c>
      <c r="R111" s="350">
        <f>Q111*10%</f>
        <v>18823680</v>
      </c>
      <c r="S111" s="350">
        <f>(Q111-R111)*10%</f>
        <v>16941312</v>
      </c>
      <c r="T111" s="327">
        <f>(Q111-R111)*6%</f>
        <v>10164787.199999999</v>
      </c>
      <c r="U111" s="327">
        <f>(Q111-R111)*5%</f>
        <v>8470656</v>
      </c>
    </row>
    <row r="112" spans="1:21">
      <c r="A112" s="2024">
        <v>6</v>
      </c>
      <c r="B112" s="1022" t="s">
        <v>532</v>
      </c>
      <c r="C112" s="943"/>
      <c r="D112" s="2029" t="e">
        <f>#REF!+'штатка МБ 2.01.'!D114+'штатка ФМН 2.01.'!D114+'штатка школа МШ'!D114+'штатка школа Орынб'!D114</f>
        <v>#REF!</v>
      </c>
      <c r="E112" s="942"/>
      <c r="F112" s="1021">
        <f>66000+10000</f>
        <v>76000</v>
      </c>
      <c r="G112" s="946">
        <v>12</v>
      </c>
      <c r="H112" s="350" t="e">
        <f t="shared" ref="H112:H126" si="55">D112*F112*G112</f>
        <v>#REF!</v>
      </c>
      <c r="I112" s="946"/>
      <c r="J112" s="350">
        <f t="shared" ref="J112:J126" si="56">I112*$Q$4</f>
        <v>0</v>
      </c>
      <c r="K112" s="946"/>
      <c r="L112" s="350">
        <f t="shared" ref="L112:L126" si="57">K112*F112</f>
        <v>0</v>
      </c>
      <c r="M112" s="350" t="e">
        <f t="shared" ref="M112:M126" si="58">D112*G112*(J112+L112)</f>
        <v>#REF!</v>
      </c>
      <c r="N112" s="350" t="e">
        <f t="shared" ref="N112:N126" si="59">H112+M112</f>
        <v>#REF!</v>
      </c>
      <c r="O112" s="946" t="e">
        <f>F112*D112*2</f>
        <v>#REF!</v>
      </c>
      <c r="P112" s="946" t="e">
        <f>F112*D112*4</f>
        <v>#REF!</v>
      </c>
      <c r="Q112" s="350" t="e">
        <f t="shared" ref="Q112:Q126" si="60">N112+O112+P112</f>
        <v>#REF!</v>
      </c>
      <c r="R112" s="350" t="e">
        <f t="shared" ref="R112:R126" si="61">Q112*10%</f>
        <v>#REF!</v>
      </c>
      <c r="S112" s="350" t="e">
        <f t="shared" ref="S112:S126" si="62">(Q112-R112)*10%</f>
        <v>#REF!</v>
      </c>
      <c r="T112" s="327" t="e">
        <f t="shared" ref="T112:T126" si="63">(Q112-R112)*6%</f>
        <v>#REF!</v>
      </c>
      <c r="U112" s="327" t="e">
        <f t="shared" ref="U112:U126" si="64">(Q112-R112)*5%</f>
        <v>#REF!</v>
      </c>
    </row>
    <row r="113" spans="1:21">
      <c r="A113" s="2024">
        <v>7</v>
      </c>
      <c r="B113" s="1022" t="s">
        <v>533</v>
      </c>
      <c r="C113" s="943"/>
      <c r="D113" s="2029">
        <f>'штатка МБ 2.01.'!D115+'штатка ФМН 2.01.'!D115+'штатка школа МШ'!D115+'штатка школа Орынб'!D115</f>
        <v>2</v>
      </c>
      <c r="E113" s="942"/>
      <c r="F113" s="1021">
        <f>72000+10000</f>
        <v>82000</v>
      </c>
      <c r="G113" s="946">
        <v>12</v>
      </c>
      <c r="H113" s="350">
        <f t="shared" si="55"/>
        <v>1968000</v>
      </c>
      <c r="I113" s="946"/>
      <c r="J113" s="350">
        <f t="shared" si="56"/>
        <v>0</v>
      </c>
      <c r="K113" s="946"/>
      <c r="L113" s="350">
        <f t="shared" si="57"/>
        <v>0</v>
      </c>
      <c r="M113" s="350">
        <f t="shared" si="58"/>
        <v>0</v>
      </c>
      <c r="N113" s="350">
        <f t="shared" si="59"/>
        <v>1968000</v>
      </c>
      <c r="O113" s="946">
        <f t="shared" ref="O113:O119" si="65">F113*D113*2</f>
        <v>328000</v>
      </c>
      <c r="P113" s="946">
        <f t="shared" ref="P113:P119" si="66">F113*D113*4</f>
        <v>656000</v>
      </c>
      <c r="Q113" s="350">
        <f t="shared" si="60"/>
        <v>2952000</v>
      </c>
      <c r="R113" s="350">
        <f t="shared" si="61"/>
        <v>295200</v>
      </c>
      <c r="S113" s="350">
        <f t="shared" si="62"/>
        <v>265680</v>
      </c>
      <c r="T113" s="327">
        <f t="shared" si="63"/>
        <v>159408</v>
      </c>
      <c r="U113" s="327">
        <f t="shared" si="64"/>
        <v>132840</v>
      </c>
    </row>
    <row r="114" spans="1:21">
      <c r="A114" s="2024">
        <v>8</v>
      </c>
      <c r="B114" s="1022" t="s">
        <v>534</v>
      </c>
      <c r="C114" s="943"/>
      <c r="D114" s="2029" t="e">
        <f>#REF!+'штатка МБ 2.01.'!D116+'штатка ФМН 2.01.'!D116+'штатка школа МШ'!D116+'штатка школа Орынб'!D116</f>
        <v>#REF!</v>
      </c>
      <c r="E114" s="942"/>
      <c r="F114" s="1021">
        <f>72000+28000</f>
        <v>100000</v>
      </c>
      <c r="G114" s="946">
        <v>12</v>
      </c>
      <c r="H114" s="350" t="e">
        <f t="shared" si="55"/>
        <v>#REF!</v>
      </c>
      <c r="I114" s="946"/>
      <c r="J114" s="350">
        <f t="shared" si="56"/>
        <v>0</v>
      </c>
      <c r="K114" s="946"/>
      <c r="L114" s="350">
        <f t="shared" si="57"/>
        <v>0</v>
      </c>
      <c r="M114" s="350" t="e">
        <f t="shared" si="58"/>
        <v>#REF!</v>
      </c>
      <c r="N114" s="350" t="e">
        <f t="shared" si="59"/>
        <v>#REF!</v>
      </c>
      <c r="O114" s="946" t="e">
        <f t="shared" si="65"/>
        <v>#REF!</v>
      </c>
      <c r="P114" s="946" t="e">
        <f t="shared" si="66"/>
        <v>#REF!</v>
      </c>
      <c r="Q114" s="350" t="e">
        <f t="shared" si="60"/>
        <v>#REF!</v>
      </c>
      <c r="R114" s="350" t="e">
        <f t="shared" si="61"/>
        <v>#REF!</v>
      </c>
      <c r="S114" s="350" t="e">
        <f t="shared" si="62"/>
        <v>#REF!</v>
      </c>
      <c r="T114" s="327" t="e">
        <f t="shared" si="63"/>
        <v>#REF!</v>
      </c>
      <c r="U114" s="327" t="e">
        <f t="shared" si="64"/>
        <v>#REF!</v>
      </c>
    </row>
    <row r="115" spans="1:21">
      <c r="A115" s="2024">
        <v>9</v>
      </c>
      <c r="B115" s="1022" t="s">
        <v>535</v>
      </c>
      <c r="C115" s="943"/>
      <c r="D115" s="2029">
        <f>'штатка спальн блок 2.01.'!D19</f>
        <v>2</v>
      </c>
      <c r="E115" s="942"/>
      <c r="F115" s="1021">
        <f>66000+10000</f>
        <v>76000</v>
      </c>
      <c r="G115" s="946">
        <v>12</v>
      </c>
      <c r="H115" s="350">
        <f t="shared" si="55"/>
        <v>1824000</v>
      </c>
      <c r="I115" s="946"/>
      <c r="J115" s="350">
        <f t="shared" si="56"/>
        <v>0</v>
      </c>
      <c r="K115" s="946"/>
      <c r="L115" s="350">
        <f t="shared" si="57"/>
        <v>0</v>
      </c>
      <c r="M115" s="350">
        <f t="shared" si="58"/>
        <v>0</v>
      </c>
      <c r="N115" s="350">
        <f t="shared" si="59"/>
        <v>1824000</v>
      </c>
      <c r="O115" s="946">
        <f t="shared" si="65"/>
        <v>304000</v>
      </c>
      <c r="P115" s="946">
        <f t="shared" si="66"/>
        <v>608000</v>
      </c>
      <c r="Q115" s="350">
        <f t="shared" si="60"/>
        <v>2736000</v>
      </c>
      <c r="R115" s="350">
        <f t="shared" si="61"/>
        <v>273600</v>
      </c>
      <c r="S115" s="350">
        <f t="shared" si="62"/>
        <v>246240</v>
      </c>
      <c r="T115" s="327">
        <f t="shared" si="63"/>
        <v>147744</v>
      </c>
      <c r="U115" s="327">
        <f t="shared" si="64"/>
        <v>123120</v>
      </c>
    </row>
    <row r="116" spans="1:21">
      <c r="A116" s="2024">
        <v>10</v>
      </c>
      <c r="B116" s="1022" t="s">
        <v>536</v>
      </c>
      <c r="C116" s="943"/>
      <c r="D116" s="2029" t="e">
        <f>'штатка спальн блок 2.01.'!D20+#REF!</f>
        <v>#REF!</v>
      </c>
      <c r="E116" s="942"/>
      <c r="F116" s="1021">
        <f>120000+30000</f>
        <v>150000</v>
      </c>
      <c r="G116" s="946">
        <v>12</v>
      </c>
      <c r="H116" s="350" t="e">
        <f t="shared" si="55"/>
        <v>#REF!</v>
      </c>
      <c r="I116" s="946"/>
      <c r="J116" s="350">
        <f t="shared" si="56"/>
        <v>0</v>
      </c>
      <c r="K116" s="946"/>
      <c r="L116" s="350">
        <f t="shared" si="57"/>
        <v>0</v>
      </c>
      <c r="M116" s="350" t="e">
        <f t="shared" si="58"/>
        <v>#REF!</v>
      </c>
      <c r="N116" s="350" t="e">
        <f t="shared" si="59"/>
        <v>#REF!</v>
      </c>
      <c r="O116" s="946" t="e">
        <f t="shared" si="65"/>
        <v>#REF!</v>
      </c>
      <c r="P116" s="946" t="e">
        <f t="shared" si="66"/>
        <v>#REF!</v>
      </c>
      <c r="Q116" s="350" t="e">
        <f t="shared" si="60"/>
        <v>#REF!</v>
      </c>
      <c r="R116" s="350" t="e">
        <f t="shared" si="61"/>
        <v>#REF!</v>
      </c>
      <c r="S116" s="350" t="e">
        <f t="shared" si="62"/>
        <v>#REF!</v>
      </c>
      <c r="T116" s="327" t="e">
        <f t="shared" si="63"/>
        <v>#REF!</v>
      </c>
      <c r="U116" s="327" t="e">
        <f t="shared" si="64"/>
        <v>#REF!</v>
      </c>
    </row>
    <row r="117" spans="1:21">
      <c r="A117" s="2024">
        <v>11</v>
      </c>
      <c r="B117" s="1022" t="s">
        <v>537</v>
      </c>
      <c r="C117" s="943"/>
      <c r="D117" s="2029">
        <f>'штатка спальн блок 2.01.'!D21</f>
        <v>1</v>
      </c>
      <c r="E117" s="942"/>
      <c r="F117" s="1021">
        <f>72000+10000</f>
        <v>82000</v>
      </c>
      <c r="G117" s="946">
        <v>12</v>
      </c>
      <c r="H117" s="350">
        <f t="shared" si="55"/>
        <v>984000</v>
      </c>
      <c r="I117" s="946"/>
      <c r="J117" s="350">
        <f t="shared" si="56"/>
        <v>0</v>
      </c>
      <c r="K117" s="946"/>
      <c r="L117" s="350">
        <f t="shared" si="57"/>
        <v>0</v>
      </c>
      <c r="M117" s="350">
        <f t="shared" si="58"/>
        <v>0</v>
      </c>
      <c r="N117" s="350">
        <f t="shared" si="59"/>
        <v>984000</v>
      </c>
      <c r="O117" s="946">
        <f t="shared" si="65"/>
        <v>164000</v>
      </c>
      <c r="P117" s="946">
        <f t="shared" si="66"/>
        <v>328000</v>
      </c>
      <c r="Q117" s="350">
        <f t="shared" si="60"/>
        <v>1476000</v>
      </c>
      <c r="R117" s="350">
        <f t="shared" si="61"/>
        <v>147600</v>
      </c>
      <c r="S117" s="350">
        <f t="shared" si="62"/>
        <v>132840</v>
      </c>
      <c r="T117" s="327">
        <f t="shared" si="63"/>
        <v>79704</v>
      </c>
      <c r="U117" s="327">
        <f t="shared" si="64"/>
        <v>66420</v>
      </c>
    </row>
    <row r="118" spans="1:21">
      <c r="A118" s="2024">
        <v>12</v>
      </c>
      <c r="B118" s="1023" t="s">
        <v>538</v>
      </c>
      <c r="C118" s="943"/>
      <c r="D118" s="2030" t="e">
        <f>#REF!</f>
        <v>#REF!</v>
      </c>
      <c r="E118" s="942"/>
      <c r="F118" s="1024">
        <v>240000</v>
      </c>
      <c r="G118" s="946">
        <v>12</v>
      </c>
      <c r="H118" s="350" t="e">
        <f t="shared" si="55"/>
        <v>#REF!</v>
      </c>
      <c r="I118" s="946"/>
      <c r="J118" s="350">
        <f t="shared" si="56"/>
        <v>0</v>
      </c>
      <c r="K118" s="946"/>
      <c r="L118" s="350">
        <f t="shared" si="57"/>
        <v>0</v>
      </c>
      <c r="M118" s="350" t="e">
        <f t="shared" si="58"/>
        <v>#REF!</v>
      </c>
      <c r="N118" s="350" t="e">
        <f t="shared" si="59"/>
        <v>#REF!</v>
      </c>
      <c r="O118" s="946" t="e">
        <f t="shared" si="65"/>
        <v>#REF!</v>
      </c>
      <c r="P118" s="946" t="e">
        <f t="shared" si="66"/>
        <v>#REF!</v>
      </c>
      <c r="Q118" s="350" t="e">
        <f t="shared" si="60"/>
        <v>#REF!</v>
      </c>
      <c r="R118" s="350" t="e">
        <f t="shared" si="61"/>
        <v>#REF!</v>
      </c>
      <c r="S118" s="350" t="e">
        <f t="shared" si="62"/>
        <v>#REF!</v>
      </c>
      <c r="T118" s="327" t="e">
        <f t="shared" si="63"/>
        <v>#REF!</v>
      </c>
      <c r="U118" s="327" t="e">
        <f t="shared" si="64"/>
        <v>#REF!</v>
      </c>
    </row>
    <row r="119" spans="1:21">
      <c r="A119" s="2024">
        <v>13</v>
      </c>
      <c r="B119" s="1023" t="s">
        <v>539</v>
      </c>
      <c r="C119" s="943"/>
      <c r="D119" s="2030" t="e">
        <f>#REF!</f>
        <v>#REF!</v>
      </c>
      <c r="E119" s="942"/>
      <c r="F119" s="1024">
        <v>80000</v>
      </c>
      <c r="G119" s="946">
        <v>12</v>
      </c>
      <c r="H119" s="350" t="e">
        <f t="shared" si="55"/>
        <v>#REF!</v>
      </c>
      <c r="I119" s="946"/>
      <c r="J119" s="350">
        <f t="shared" si="56"/>
        <v>0</v>
      </c>
      <c r="K119" s="946"/>
      <c r="L119" s="350">
        <f t="shared" si="57"/>
        <v>0</v>
      </c>
      <c r="M119" s="350" t="e">
        <f t="shared" si="58"/>
        <v>#REF!</v>
      </c>
      <c r="N119" s="350" t="e">
        <f t="shared" si="59"/>
        <v>#REF!</v>
      </c>
      <c r="O119" s="946" t="e">
        <f t="shared" si="65"/>
        <v>#REF!</v>
      </c>
      <c r="P119" s="946" t="e">
        <f t="shared" si="66"/>
        <v>#REF!</v>
      </c>
      <c r="Q119" s="350" t="e">
        <f t="shared" si="60"/>
        <v>#REF!</v>
      </c>
      <c r="R119" s="350" t="e">
        <f t="shared" si="61"/>
        <v>#REF!</v>
      </c>
      <c r="S119" s="350" t="e">
        <f t="shared" si="62"/>
        <v>#REF!</v>
      </c>
      <c r="T119" s="327" t="e">
        <f t="shared" si="63"/>
        <v>#REF!</v>
      </c>
      <c r="U119" s="327" t="e">
        <f t="shared" si="64"/>
        <v>#REF!</v>
      </c>
    </row>
    <row r="120" spans="1:21">
      <c r="A120" s="2024">
        <v>14</v>
      </c>
      <c r="B120" s="1027" t="s">
        <v>540</v>
      </c>
      <c r="C120" s="943"/>
      <c r="D120" s="2031"/>
      <c r="E120" s="942"/>
      <c r="F120" s="350">
        <f>ROUNDUP((E120*$Q$5),-3)</f>
        <v>0</v>
      </c>
      <c r="G120" s="946"/>
      <c r="H120" s="350">
        <f t="shared" si="55"/>
        <v>0</v>
      </c>
      <c r="I120" s="946"/>
      <c r="J120" s="350">
        <f t="shared" si="56"/>
        <v>0</v>
      </c>
      <c r="K120" s="946"/>
      <c r="L120" s="350">
        <f t="shared" si="57"/>
        <v>0</v>
      </c>
      <c r="M120" s="350">
        <f t="shared" si="58"/>
        <v>0</v>
      </c>
      <c r="N120" s="350">
        <f t="shared" si="59"/>
        <v>0</v>
      </c>
      <c r="O120" s="946"/>
      <c r="P120" s="946"/>
      <c r="Q120" s="350">
        <f t="shared" si="60"/>
        <v>0</v>
      </c>
      <c r="R120" s="350">
        <f t="shared" si="61"/>
        <v>0</v>
      </c>
      <c r="S120" s="350">
        <f t="shared" si="62"/>
        <v>0</v>
      </c>
      <c r="T120" s="327">
        <f t="shared" si="63"/>
        <v>0</v>
      </c>
      <c r="U120" s="327">
        <f t="shared" si="64"/>
        <v>0</v>
      </c>
    </row>
    <row r="121" spans="1:21">
      <c r="A121" s="2024">
        <v>15</v>
      </c>
      <c r="B121" s="1022" t="s">
        <v>541</v>
      </c>
      <c r="C121" s="943"/>
      <c r="D121" s="2031">
        <f>'штатка АУП'!D19</f>
        <v>1</v>
      </c>
      <c r="E121" s="942"/>
      <c r="F121" s="1021">
        <v>484000.00000000012</v>
      </c>
      <c r="G121" s="946">
        <v>12</v>
      </c>
      <c r="H121" s="350">
        <f t="shared" si="55"/>
        <v>5808000.0000000019</v>
      </c>
      <c r="I121" s="946"/>
      <c r="J121" s="350">
        <f t="shared" si="56"/>
        <v>0</v>
      </c>
      <c r="K121" s="946"/>
      <c r="L121" s="350">
        <f t="shared" si="57"/>
        <v>0</v>
      </c>
      <c r="M121" s="350">
        <f t="shared" si="58"/>
        <v>0</v>
      </c>
      <c r="N121" s="350">
        <f t="shared" si="59"/>
        <v>5808000.0000000019</v>
      </c>
      <c r="O121" s="946">
        <f t="shared" ref="O121:O126" si="67">F121*D121*2</f>
        <v>968000.00000000023</v>
      </c>
      <c r="P121" s="946">
        <f t="shared" ref="P121:P126" si="68">F121*D121*4</f>
        <v>1936000.0000000005</v>
      </c>
      <c r="Q121" s="350">
        <f t="shared" si="60"/>
        <v>8712000.0000000019</v>
      </c>
      <c r="R121" s="350">
        <f t="shared" si="61"/>
        <v>871200.00000000023</v>
      </c>
      <c r="S121" s="350">
        <f t="shared" si="62"/>
        <v>784080.00000000023</v>
      </c>
      <c r="T121" s="327">
        <f t="shared" si="63"/>
        <v>470448.00000000012</v>
      </c>
      <c r="U121" s="327">
        <f t="shared" si="64"/>
        <v>392040.00000000012</v>
      </c>
    </row>
    <row r="122" spans="1:21">
      <c r="A122" s="2024">
        <v>16</v>
      </c>
      <c r="B122" s="1022" t="s">
        <v>542</v>
      </c>
      <c r="C122" s="943"/>
      <c r="D122" s="2031">
        <f>'штатка АУП'!D20</f>
        <v>0</v>
      </c>
      <c r="E122" s="942"/>
      <c r="F122" s="1021">
        <v>302500</v>
      </c>
      <c r="G122" s="946">
        <v>12</v>
      </c>
      <c r="H122" s="350">
        <f t="shared" si="55"/>
        <v>0</v>
      </c>
      <c r="I122" s="946"/>
      <c r="J122" s="350">
        <f t="shared" si="56"/>
        <v>0</v>
      </c>
      <c r="K122" s="946"/>
      <c r="L122" s="350">
        <f t="shared" si="57"/>
        <v>0</v>
      </c>
      <c r="M122" s="350">
        <f t="shared" si="58"/>
        <v>0</v>
      </c>
      <c r="N122" s="350">
        <f t="shared" si="59"/>
        <v>0</v>
      </c>
      <c r="O122" s="946">
        <f t="shared" si="67"/>
        <v>0</v>
      </c>
      <c r="P122" s="946">
        <f t="shared" si="68"/>
        <v>0</v>
      </c>
      <c r="Q122" s="350">
        <f t="shared" si="60"/>
        <v>0</v>
      </c>
      <c r="R122" s="350">
        <f t="shared" si="61"/>
        <v>0</v>
      </c>
      <c r="S122" s="350">
        <f t="shared" si="62"/>
        <v>0</v>
      </c>
      <c r="T122" s="327">
        <f t="shared" si="63"/>
        <v>0</v>
      </c>
      <c r="U122" s="327">
        <f t="shared" si="64"/>
        <v>0</v>
      </c>
    </row>
    <row r="123" spans="1:21">
      <c r="A123" s="2024">
        <v>17</v>
      </c>
      <c r="B123" s="1022" t="s">
        <v>543</v>
      </c>
      <c r="C123" s="943"/>
      <c r="D123" s="2031">
        <f>'штатка АУП'!D21</f>
        <v>1</v>
      </c>
      <c r="E123" s="942"/>
      <c r="F123" s="1021">
        <v>302500</v>
      </c>
      <c r="G123" s="946">
        <v>12</v>
      </c>
      <c r="H123" s="350">
        <f t="shared" si="55"/>
        <v>3630000</v>
      </c>
      <c r="I123" s="946"/>
      <c r="J123" s="350">
        <f t="shared" si="56"/>
        <v>0</v>
      </c>
      <c r="K123" s="946"/>
      <c r="L123" s="350">
        <f t="shared" si="57"/>
        <v>0</v>
      </c>
      <c r="M123" s="350">
        <f t="shared" si="58"/>
        <v>0</v>
      </c>
      <c r="N123" s="350">
        <f t="shared" si="59"/>
        <v>3630000</v>
      </c>
      <c r="O123" s="946">
        <f t="shared" si="67"/>
        <v>605000</v>
      </c>
      <c r="P123" s="946">
        <f t="shared" si="68"/>
        <v>1210000</v>
      </c>
      <c r="Q123" s="350">
        <f t="shared" si="60"/>
        <v>5445000</v>
      </c>
      <c r="R123" s="350">
        <f t="shared" si="61"/>
        <v>544500</v>
      </c>
      <c r="S123" s="350">
        <f t="shared" si="62"/>
        <v>490050</v>
      </c>
      <c r="T123" s="327">
        <f t="shared" si="63"/>
        <v>294030</v>
      </c>
      <c r="U123" s="327">
        <f t="shared" si="64"/>
        <v>245025</v>
      </c>
    </row>
    <row r="124" spans="1:21">
      <c r="A124" s="2024">
        <v>18</v>
      </c>
      <c r="B124" s="1022" t="s">
        <v>544</v>
      </c>
      <c r="C124" s="943"/>
      <c r="D124" s="2031" t="e">
        <f>#REF!+'штатка МБ 2.01.'!D127+'штатка ФМН 2.01.'!D127+'штатка школа МШ'!D127+'штатка школа Орынб'!D127</f>
        <v>#REF!</v>
      </c>
      <c r="E124" s="942"/>
      <c r="F124" s="1021">
        <v>240000</v>
      </c>
      <c r="G124" s="946">
        <v>12</v>
      </c>
      <c r="H124" s="350" t="e">
        <f t="shared" si="55"/>
        <v>#REF!</v>
      </c>
      <c r="I124" s="946"/>
      <c r="J124" s="350">
        <f t="shared" si="56"/>
        <v>0</v>
      </c>
      <c r="K124" s="946"/>
      <c r="L124" s="350">
        <f t="shared" si="57"/>
        <v>0</v>
      </c>
      <c r="M124" s="350" t="e">
        <f t="shared" si="58"/>
        <v>#REF!</v>
      </c>
      <c r="N124" s="350" t="e">
        <f t="shared" si="59"/>
        <v>#REF!</v>
      </c>
      <c r="O124" s="946" t="e">
        <f t="shared" si="67"/>
        <v>#REF!</v>
      </c>
      <c r="P124" s="946" t="e">
        <f t="shared" si="68"/>
        <v>#REF!</v>
      </c>
      <c r="Q124" s="350" t="e">
        <f t="shared" si="60"/>
        <v>#REF!</v>
      </c>
      <c r="R124" s="350" t="e">
        <f t="shared" si="61"/>
        <v>#REF!</v>
      </c>
      <c r="S124" s="350" t="e">
        <f t="shared" si="62"/>
        <v>#REF!</v>
      </c>
      <c r="T124" s="327" t="e">
        <f t="shared" si="63"/>
        <v>#REF!</v>
      </c>
      <c r="U124" s="327" t="e">
        <f t="shared" si="64"/>
        <v>#REF!</v>
      </c>
    </row>
    <row r="125" spans="1:21">
      <c r="A125" s="2024">
        <v>19</v>
      </c>
      <c r="B125" s="1022" t="s">
        <v>545</v>
      </c>
      <c r="C125" s="943"/>
      <c r="D125" s="2031" t="e">
        <f>#REF!+'штатка МБ 2.01.'!D128+'штатка ФМН 2.01.'!D128+'штатка школа МШ'!D128+'штатка школа Орынб'!D128</f>
        <v>#REF!</v>
      </c>
      <c r="E125" s="942"/>
      <c r="F125" s="1021">
        <f>78000+22000</f>
        <v>100000</v>
      </c>
      <c r="G125" s="946">
        <v>12</v>
      </c>
      <c r="H125" s="350" t="e">
        <f t="shared" si="55"/>
        <v>#REF!</v>
      </c>
      <c r="I125" s="946"/>
      <c r="J125" s="350">
        <f t="shared" si="56"/>
        <v>0</v>
      </c>
      <c r="K125" s="946"/>
      <c r="L125" s="350">
        <f t="shared" si="57"/>
        <v>0</v>
      </c>
      <c r="M125" s="350" t="e">
        <f t="shared" si="58"/>
        <v>#REF!</v>
      </c>
      <c r="N125" s="350" t="e">
        <f t="shared" si="59"/>
        <v>#REF!</v>
      </c>
      <c r="O125" s="946" t="e">
        <f t="shared" si="67"/>
        <v>#REF!</v>
      </c>
      <c r="P125" s="946" t="e">
        <f t="shared" si="68"/>
        <v>#REF!</v>
      </c>
      <c r="Q125" s="350" t="e">
        <f t="shared" si="60"/>
        <v>#REF!</v>
      </c>
      <c r="R125" s="350" t="e">
        <f t="shared" si="61"/>
        <v>#REF!</v>
      </c>
      <c r="S125" s="350" t="e">
        <f t="shared" si="62"/>
        <v>#REF!</v>
      </c>
      <c r="T125" s="327" t="e">
        <f t="shared" si="63"/>
        <v>#REF!</v>
      </c>
      <c r="U125" s="327" t="e">
        <f t="shared" si="64"/>
        <v>#REF!</v>
      </c>
    </row>
    <row r="126" spans="1:21">
      <c r="A126" s="2024">
        <v>20</v>
      </c>
      <c r="B126" s="1022" t="s">
        <v>546</v>
      </c>
      <c r="C126" s="943"/>
      <c r="D126" s="2031" t="e">
        <f>#REF!+'штатка МБ 2.01.'!D130+'штатка ФМН 2.01.'!D129+'штатка школа МШ'!D130+'штатка школа Орынб'!D130</f>
        <v>#REF!</v>
      </c>
      <c r="E126" s="942"/>
      <c r="F126" s="1021">
        <f>72000+28000</f>
        <v>100000</v>
      </c>
      <c r="G126" s="946">
        <v>12</v>
      </c>
      <c r="H126" s="350" t="e">
        <f t="shared" si="55"/>
        <v>#REF!</v>
      </c>
      <c r="I126" s="946"/>
      <c r="J126" s="350">
        <f t="shared" si="56"/>
        <v>0</v>
      </c>
      <c r="K126" s="946"/>
      <c r="L126" s="350">
        <f t="shared" si="57"/>
        <v>0</v>
      </c>
      <c r="M126" s="350" t="e">
        <f t="shared" si="58"/>
        <v>#REF!</v>
      </c>
      <c r="N126" s="350" t="e">
        <f t="shared" si="59"/>
        <v>#REF!</v>
      </c>
      <c r="O126" s="946" t="e">
        <f t="shared" si="67"/>
        <v>#REF!</v>
      </c>
      <c r="P126" s="946" t="e">
        <f t="shared" si="68"/>
        <v>#REF!</v>
      </c>
      <c r="Q126" s="350" t="e">
        <f t="shared" si="60"/>
        <v>#REF!</v>
      </c>
      <c r="R126" s="350" t="e">
        <f t="shared" si="61"/>
        <v>#REF!</v>
      </c>
      <c r="S126" s="350" t="e">
        <f t="shared" si="62"/>
        <v>#REF!</v>
      </c>
      <c r="T126" s="327" t="e">
        <f t="shared" si="63"/>
        <v>#REF!</v>
      </c>
      <c r="U126" s="327" t="e">
        <f t="shared" si="64"/>
        <v>#REF!</v>
      </c>
    </row>
    <row r="127" spans="1:21">
      <c r="A127" s="351"/>
      <c r="B127" s="352"/>
      <c r="C127" s="352"/>
      <c r="D127" s="352"/>
      <c r="E127" s="353"/>
      <c r="F127" s="354"/>
      <c r="G127" s="354"/>
      <c r="H127" s="354"/>
      <c r="I127" s="354"/>
      <c r="J127" s="354"/>
      <c r="K127" s="354"/>
      <c r="L127" s="354"/>
      <c r="M127" s="354"/>
      <c r="N127" s="354"/>
      <c r="O127" s="354"/>
      <c r="P127" s="354"/>
      <c r="Q127" s="354"/>
      <c r="R127" s="193"/>
      <c r="S127" s="193"/>
      <c r="T127" s="193"/>
      <c r="U127" s="193"/>
    </row>
    <row r="128" spans="1:21" ht="15.75">
      <c r="A128" s="188"/>
      <c r="B128" s="300"/>
      <c r="C128" s="514"/>
      <c r="D128" s="2155"/>
      <c r="E128" s="1075"/>
      <c r="F128" s="419"/>
      <c r="G128" s="406"/>
      <c r="H128" s="406"/>
      <c r="I128" s="406"/>
      <c r="J128" s="1075"/>
      <c r="K128" s="406"/>
      <c r="L128" s="406"/>
      <c r="M128" s="716"/>
      <c r="N128" s="958"/>
      <c r="O128" s="959"/>
      <c r="P128" s="959"/>
      <c r="Q128" s="2026"/>
      <c r="R128" s="949"/>
      <c r="S128" s="949"/>
      <c r="T128" s="949"/>
      <c r="U128" s="949"/>
    </row>
    <row r="129" spans="1:21" ht="15.75">
      <c r="A129" s="188"/>
      <c r="B129" s="426" t="s">
        <v>330</v>
      </c>
      <c r="C129" s="514"/>
      <c r="D129" s="2155"/>
      <c r="E129" s="1075"/>
      <c r="F129" s="419"/>
      <c r="G129" s="406"/>
      <c r="H129" s="406"/>
      <c r="I129" s="406"/>
      <c r="J129" s="1075" t="s">
        <v>369</v>
      </c>
      <c r="K129" s="406"/>
      <c r="L129" s="406"/>
      <c r="M129" s="3804"/>
      <c r="N129" s="3804"/>
      <c r="O129" s="959"/>
      <c r="P129" s="959"/>
      <c r="Q129" s="2026"/>
      <c r="R129" s="949"/>
      <c r="S129" s="949"/>
      <c r="T129" s="949"/>
      <c r="U129" s="949"/>
    </row>
    <row r="130" spans="1:21" ht="15.75">
      <c r="A130" s="188"/>
      <c r="B130" s="426"/>
      <c r="C130" s="514"/>
      <c r="D130" s="2155"/>
      <c r="E130" s="1075"/>
      <c r="F130" s="419"/>
      <c r="G130" s="406"/>
      <c r="H130" s="406"/>
      <c r="I130" s="406"/>
      <c r="J130" s="1075"/>
      <c r="K130" s="406"/>
      <c r="L130" s="406"/>
      <c r="M130" s="960"/>
      <c r="N130" s="960"/>
      <c r="O130" s="959"/>
      <c r="P130" s="959"/>
      <c r="Q130" s="959"/>
      <c r="R130" s="949"/>
      <c r="S130" s="949"/>
      <c r="T130" s="949"/>
      <c r="U130" s="949"/>
    </row>
    <row r="131" spans="1:21" ht="15.75">
      <c r="A131" s="188"/>
      <c r="B131" s="1073" t="s">
        <v>547</v>
      </c>
      <c r="C131" s="1076"/>
      <c r="D131" s="475"/>
      <c r="E131" s="1077"/>
      <c r="F131" s="419"/>
      <c r="G131" s="406"/>
      <c r="H131" s="406"/>
      <c r="I131" s="406"/>
      <c r="K131" s="406"/>
      <c r="L131" s="406"/>
      <c r="M131" s="960"/>
      <c r="N131" s="960"/>
      <c r="O131" s="959"/>
      <c r="P131" s="959"/>
      <c r="Q131" s="959"/>
      <c r="R131" s="949"/>
      <c r="S131" s="949"/>
      <c r="T131" s="949"/>
      <c r="U131" s="949"/>
    </row>
    <row r="132" spans="1:21" ht="15.75">
      <c r="A132" s="188"/>
      <c r="B132" s="1073" t="s">
        <v>548</v>
      </c>
      <c r="C132" s="1076"/>
      <c r="D132" s="475"/>
      <c r="E132" s="1077"/>
      <c r="F132" s="419"/>
      <c r="G132" s="406"/>
      <c r="H132" s="406"/>
      <c r="I132" s="406"/>
      <c r="J132" s="1074" t="s">
        <v>374</v>
      </c>
      <c r="K132" s="406"/>
      <c r="L132" s="406"/>
      <c r="M132" s="960"/>
      <c r="N132" s="960"/>
      <c r="O132" s="949"/>
      <c r="P132" s="949"/>
      <c r="Q132" s="949"/>
      <c r="R132" s="949"/>
      <c r="S132" s="949"/>
      <c r="T132" s="949"/>
      <c r="U132" s="949"/>
    </row>
    <row r="133" spans="1:21" ht="15.75">
      <c r="A133" s="188"/>
      <c r="B133" s="1073"/>
      <c r="C133" s="1076"/>
      <c r="D133" s="475"/>
      <c r="E133" s="1077"/>
      <c r="F133" s="580"/>
      <c r="G133" s="406"/>
      <c r="H133" s="406"/>
      <c r="I133" s="406"/>
      <c r="J133" s="1078"/>
      <c r="K133" s="406"/>
      <c r="L133" s="406"/>
      <c r="M133" s="187"/>
      <c r="N133" s="187"/>
      <c r="O133" s="188"/>
      <c r="P133" s="188"/>
      <c r="Q133" s="188"/>
      <c r="R133" s="188"/>
      <c r="S133" s="188"/>
      <c r="T133" s="188"/>
      <c r="U133" s="188"/>
    </row>
    <row r="134" spans="1:21" ht="15.75">
      <c r="A134" s="188"/>
      <c r="B134" s="1073" t="s">
        <v>375</v>
      </c>
      <c r="C134" s="1078"/>
      <c r="D134" s="1078"/>
      <c r="E134" s="1078"/>
      <c r="F134" s="580"/>
      <c r="G134" s="406"/>
      <c r="H134" s="406"/>
      <c r="I134" s="406"/>
      <c r="J134" s="1074" t="s">
        <v>376</v>
      </c>
      <c r="K134" s="406"/>
      <c r="L134" s="406"/>
      <c r="M134" s="187"/>
      <c r="N134" s="187"/>
      <c r="O134" s="188"/>
      <c r="P134" s="188"/>
      <c r="Q134" s="188"/>
      <c r="R134" s="188"/>
      <c r="S134" s="188"/>
      <c r="T134" s="188"/>
      <c r="U134" s="188"/>
    </row>
    <row r="135" spans="1:21">
      <c r="A135" s="188"/>
      <c r="B135" s="188"/>
      <c r="C135" s="188"/>
      <c r="D135" s="188"/>
      <c r="E135" s="194"/>
      <c r="F135" s="194"/>
      <c r="G135" s="194"/>
      <c r="H135" s="187"/>
      <c r="I135" s="187"/>
      <c r="J135" s="187"/>
      <c r="K135" s="194"/>
      <c r="L135" s="187"/>
      <c r="M135" s="187"/>
      <c r="N135" s="187"/>
      <c r="O135" s="188"/>
      <c r="P135" s="188"/>
      <c r="Q135" s="188"/>
      <c r="R135" s="188"/>
      <c r="S135" s="188"/>
      <c r="T135" s="188"/>
      <c r="U135" s="188"/>
    </row>
  </sheetData>
  <sheetProtection formatColumns="0" insertRows="0" deleteRows="0"/>
  <mergeCells count="19">
    <mergeCell ref="U7:U8"/>
    <mergeCell ref="O7:O8"/>
    <mergeCell ref="P7:P8"/>
    <mergeCell ref="Q7:Q8"/>
    <mergeCell ref="R7:R8"/>
    <mergeCell ref="S7:S8"/>
    <mergeCell ref="T7:T8"/>
    <mergeCell ref="N7:N8"/>
    <mergeCell ref="A7:A8"/>
    <mergeCell ref="B7:B8"/>
    <mergeCell ref="C7:C8"/>
    <mergeCell ref="D7:D8"/>
    <mergeCell ref="E7:E8"/>
    <mergeCell ref="F7:F8"/>
    <mergeCell ref="G7:G8"/>
    <mergeCell ref="H7:H8"/>
    <mergeCell ref="I7:J7"/>
    <mergeCell ref="K7:L7"/>
    <mergeCell ref="M7:M8"/>
  </mergeCells>
  <pageMargins left="0" right="0" top="0" bottom="0" header="0" footer="0"/>
  <pageSetup paperSize="9" scale="4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H20"/>
  <sheetViews>
    <sheetView workbookViewId="0">
      <selection activeCell="F12" sqref="F12"/>
    </sheetView>
  </sheetViews>
  <sheetFormatPr defaultRowHeight="15"/>
  <cols>
    <col min="1" max="1" width="4.5703125" customWidth="1"/>
    <col min="2" max="2" width="14.7109375" customWidth="1"/>
    <col min="3" max="3" width="10.42578125" bestFit="1" customWidth="1"/>
    <col min="4" max="5" width="9.42578125" bestFit="1" customWidth="1"/>
    <col min="6" max="6" width="18.7109375" customWidth="1"/>
    <col min="7" max="7" width="12.85546875" customWidth="1"/>
  </cols>
  <sheetData>
    <row r="2" spans="1:8" ht="60">
      <c r="A2" s="2109" t="s">
        <v>2</v>
      </c>
      <c r="B2" s="2109" t="s">
        <v>478</v>
      </c>
      <c r="C2" s="2109" t="s">
        <v>549</v>
      </c>
      <c r="D2" s="2109" t="s">
        <v>480</v>
      </c>
      <c r="E2" s="2109" t="s">
        <v>481</v>
      </c>
      <c r="F2" s="2110" t="s">
        <v>482</v>
      </c>
      <c r="G2" s="2110" t="s">
        <v>483</v>
      </c>
      <c r="H2" s="2111"/>
    </row>
    <row r="3" spans="1:8">
      <c r="A3" s="2112"/>
      <c r="B3" s="2113" t="s">
        <v>550</v>
      </c>
      <c r="C3" s="2112">
        <f>17861.7-1107.4</f>
        <v>16754.3</v>
      </c>
      <c r="D3" s="2112">
        <v>2634.3</v>
      </c>
      <c r="E3" s="2112">
        <v>1499.6</v>
      </c>
      <c r="F3" s="2112">
        <f>C3-D3-E3-C4</f>
        <v>10053.200000000001</v>
      </c>
      <c r="G3" s="376">
        <f>ROUND(F3*100/$F$15,2)</f>
        <v>21.03</v>
      </c>
    </row>
    <row r="4" spans="1:8" ht="30">
      <c r="A4" s="2112"/>
      <c r="B4" s="2113" t="s">
        <v>551</v>
      </c>
      <c r="C4" s="2114">
        <f>SUM(C5:C8)</f>
        <v>2567.1999999999998</v>
      </c>
      <c r="D4" s="2112"/>
      <c r="E4" s="2112"/>
      <c r="F4" s="2112"/>
      <c r="G4" s="376"/>
    </row>
    <row r="5" spans="1:8">
      <c r="A5" s="2112"/>
      <c r="B5" s="2113" t="s">
        <v>486</v>
      </c>
      <c r="C5" s="2112">
        <f>28.5+26.9+6.5+3.6+8.7+16.3+160.5+4.3+16.4+3.6+4.3+3.6+16.6+4.4+16.5+3.6+7.1+3.6+21.2+18.7+7+21.1+6+4.3+3.5+16.6+3.4+16.5+4.4+3.4+4.4+16.8+3.5+16.6+4.3+4.3+3.5+16.8+7.2+5.2+35.2+4.2+7.5+4.6+42.4+6</f>
        <v>643.60000000000025</v>
      </c>
      <c r="D5" s="2112"/>
      <c r="E5" s="2112"/>
      <c r="F5" s="2112"/>
      <c r="G5" s="376"/>
    </row>
    <row r="6" spans="1:8">
      <c r="A6" s="2112"/>
      <c r="B6" s="2113" t="s">
        <v>487</v>
      </c>
      <c r="C6" s="2112">
        <f>28.5+26.9+3.6+6.5+24.4+51.6+4.3+16.4+3.6+4.3+3.6+16.6+4.4+16.5+3.6+7.3+3.6+21+18.7+108.9+7+21.1+6+4.3+3.5+16.6+3.4+16.5+4.4+3.4+4.4+16.8+3.5+16.6+4.3+4.3+3.5+16.8+7.5+5.4+34.2+4.5+7.5+4.6+42.4+6</f>
        <v>642.80000000000007</v>
      </c>
      <c r="D6" s="2112"/>
      <c r="E6" s="2112"/>
      <c r="F6" s="2112"/>
      <c r="G6" s="376"/>
    </row>
    <row r="7" spans="1:8">
      <c r="A7" s="2112"/>
      <c r="B7" s="2113" t="s">
        <v>488</v>
      </c>
      <c r="C7" s="2112">
        <f>28.5+26.9+3.6+6.5+24.9+51.6+4.3+16.4+3.6+4.3+3.6+16.6+4.4+16.5+3.6+7.1+3.6+21.2+18.7+113+9.1+21.3+3.5+4.3+3.5+16.6+4.4+16.4+3.6+4.4+3.4+16.5+4.4+16.8+3.4+4.3+3.5+16.6+4.3+3.5+16.8+4.3+16.7+3.4+4.3+3.5+16.6+4.3+24.8+3.1</f>
        <v>640.49999999999977</v>
      </c>
      <c r="D7" s="2112"/>
      <c r="E7" s="2112"/>
      <c r="F7" s="2112"/>
      <c r="G7" s="376"/>
    </row>
    <row r="8" spans="1:8">
      <c r="A8" s="2112"/>
      <c r="B8" s="2113" t="s">
        <v>489</v>
      </c>
      <c r="C8" s="2112">
        <f>28.5+26.9+3.6+6.5+24.5+51.6+4.3+16.4+3.6+4.3+3.6+16.6+4.4+16.5+3.6+7.1+3.6+21.2+18.7+113+9.1+21.3+3.5+4.3+3.5+16.6+4.4+16.4+3.6+4.4+3.7+16.5+4.4+16.8+3.4+4.3+3.5+16.6+4.3+3.5+16.8+4.1+16.7+3.5+4.3+3.5+16.6+4.2+24.9+3.1</f>
        <v>640.29999999999995</v>
      </c>
      <c r="D8" s="2112"/>
      <c r="E8" s="2112"/>
      <c r="F8" s="2112"/>
      <c r="G8" s="376"/>
    </row>
    <row r="9" spans="1:8" hidden="1">
      <c r="A9" s="2112"/>
      <c r="B9" s="2113" t="s">
        <v>490</v>
      </c>
      <c r="C9" s="2112">
        <v>125.54</v>
      </c>
      <c r="D9" s="2112"/>
      <c r="E9" s="2112"/>
      <c r="F9" s="2112"/>
      <c r="G9" s="376">
        <f>ROUND(F9*100/$F$15,0)</f>
        <v>0</v>
      </c>
    </row>
    <row r="10" spans="1:8">
      <c r="A10" s="2112"/>
      <c r="B10" s="2113" t="s">
        <v>491</v>
      </c>
      <c r="C10" s="2112">
        <v>26507</v>
      </c>
      <c r="D10" s="2112">
        <v>6100.8</v>
      </c>
      <c r="E10" s="2112">
        <v>3590.4</v>
      </c>
      <c r="F10" s="2112">
        <f>C10-D10-E10</f>
        <v>16815.8</v>
      </c>
      <c r="G10" s="376">
        <f>ROUND(F10*100/$F$15,2)</f>
        <v>35.17</v>
      </c>
    </row>
    <row r="11" spans="1:8">
      <c r="A11" s="2112"/>
      <c r="B11" s="2113" t="s">
        <v>492</v>
      </c>
      <c r="C11" s="2112">
        <v>26488.2</v>
      </c>
      <c r="D11" s="2112">
        <v>6064.1</v>
      </c>
      <c r="E11" s="2112">
        <v>3564.4</v>
      </c>
      <c r="F11" s="2112">
        <f>C11-D11-E11</f>
        <v>16859.699999999997</v>
      </c>
      <c r="G11" s="376">
        <f>ROUND(F11*100/$F$15,2)</f>
        <v>35.26</v>
      </c>
    </row>
    <row r="12" spans="1:8" ht="30">
      <c r="A12" s="2112"/>
      <c r="B12" s="2113" t="s">
        <v>493</v>
      </c>
      <c r="C12" s="2112">
        <v>6890</v>
      </c>
      <c r="D12" s="2112">
        <f>1402</f>
        <v>1402</v>
      </c>
      <c r="E12" s="2112">
        <v>1407.8</v>
      </c>
      <c r="F12" s="2112">
        <f>C12-D12-E12</f>
        <v>4080.2</v>
      </c>
      <c r="G12" s="376">
        <f>ROUND(F12*100/$F$15,2)+0.01</f>
        <v>8.5399999999999991</v>
      </c>
    </row>
    <row r="13" spans="1:8">
      <c r="A13" s="376"/>
      <c r="B13" s="2115" t="s">
        <v>494</v>
      </c>
      <c r="C13" s="376"/>
      <c r="D13" s="376"/>
      <c r="E13" s="376"/>
      <c r="F13" s="2116">
        <f>F12/2</f>
        <v>2040.1</v>
      </c>
      <c r="G13" s="376">
        <f>ROUND(F13*100/$F$15,2)</f>
        <v>4.2699999999999996</v>
      </c>
    </row>
    <row r="14" spans="1:8">
      <c r="A14" s="376"/>
      <c r="B14" s="2115" t="s">
        <v>495</v>
      </c>
      <c r="C14" s="376"/>
      <c r="D14" s="376"/>
      <c r="E14" s="376"/>
      <c r="F14" s="2116">
        <f>F12/2</f>
        <v>2040.1</v>
      </c>
      <c r="G14" s="376">
        <f>ROUND(F14*100/$F$15,2)</f>
        <v>4.2699999999999996</v>
      </c>
    </row>
    <row r="15" spans="1:8" ht="45" customHeight="1">
      <c r="A15" s="376"/>
      <c r="B15" s="3931" t="s">
        <v>552</v>
      </c>
      <c r="C15" s="3932"/>
      <c r="D15" s="3932"/>
      <c r="E15" s="3933"/>
      <c r="F15" s="2116">
        <f>F3+F10+F11+F12</f>
        <v>47808.899999999994</v>
      </c>
      <c r="G15" s="376"/>
    </row>
    <row r="16" spans="1:8">
      <c r="B16" s="2117"/>
      <c r="F16" s="2118"/>
    </row>
    <row r="17" spans="1:6">
      <c r="A17" s="2119"/>
      <c r="B17" s="2120" t="s">
        <v>497</v>
      </c>
    </row>
    <row r="20" spans="1:6">
      <c r="F20" s="2118"/>
    </row>
  </sheetData>
  <mergeCells count="1">
    <mergeCell ref="B15:E1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  <pageSetUpPr fitToPage="1"/>
  </sheetPr>
  <dimension ref="A1:W135"/>
  <sheetViews>
    <sheetView workbookViewId="0">
      <pane ySplit="1" topLeftCell="A2" activePane="bottomLeft" state="frozen"/>
      <selection activeCell="B77" sqref="B77"/>
      <selection pane="bottomLeft" activeCell="B77" sqref="B77"/>
    </sheetView>
  </sheetViews>
  <sheetFormatPr defaultColWidth="11.5703125" defaultRowHeight="15"/>
  <cols>
    <col min="1" max="1" width="3.5703125" customWidth="1"/>
    <col min="2" max="2" width="39.28515625" bestFit="1" customWidth="1"/>
    <col min="3" max="3" width="24.28515625" hidden="1" customWidth="1"/>
    <col min="4" max="4" width="9.7109375" customWidth="1"/>
    <col min="5" max="5" width="10.28515625" customWidth="1"/>
    <col min="6" max="6" width="10.85546875" customWidth="1"/>
    <col min="7" max="7" width="10.140625" customWidth="1"/>
    <col min="8" max="8" width="15.28515625" customWidth="1"/>
    <col min="9" max="9" width="10.140625" customWidth="1"/>
    <col min="10" max="10" width="11.7109375" customWidth="1"/>
    <col min="11" max="11" width="8.140625" customWidth="1"/>
    <col min="12" max="12" width="9" customWidth="1"/>
    <col min="13" max="13" width="13.28515625" customWidth="1"/>
    <col min="14" max="14" width="16.5703125" customWidth="1"/>
    <col min="15" max="15" width="14.140625" customWidth="1"/>
    <col min="16" max="17" width="15.140625" customWidth="1"/>
    <col min="18" max="18" width="14" customWidth="1"/>
    <col min="19" max="19" width="13.5703125" customWidth="1"/>
    <col min="20" max="20" width="14.85546875" customWidth="1"/>
    <col min="21" max="21" width="13.7109375" customWidth="1"/>
    <col min="22" max="22" width="9.140625" customWidth="1"/>
    <col min="23" max="23" width="13" customWidth="1"/>
    <col min="24" max="244" width="9.140625" customWidth="1"/>
    <col min="245" max="245" width="3.7109375" customWidth="1"/>
    <col min="246" max="246" width="26.7109375" customWidth="1"/>
    <col min="247" max="247" width="19.140625" customWidth="1"/>
    <col min="248" max="248" width="7.42578125" customWidth="1"/>
    <col min="249" max="249" width="11.85546875" customWidth="1"/>
    <col min="250" max="250" width="12.5703125" customWidth="1"/>
  </cols>
  <sheetData>
    <row r="1" spans="1:23" ht="15.75">
      <c r="A1" s="188"/>
      <c r="B1" s="188"/>
      <c r="C1" s="188"/>
      <c r="D1" s="188"/>
      <c r="E1" s="194"/>
      <c r="F1" s="194"/>
      <c r="G1" s="194"/>
      <c r="H1" s="187"/>
      <c r="I1" s="187"/>
      <c r="J1" s="187"/>
      <c r="K1" s="194"/>
      <c r="L1" s="187"/>
      <c r="M1" s="187"/>
      <c r="N1" s="187"/>
      <c r="O1" s="188"/>
      <c r="P1" s="188"/>
      <c r="Q1" s="188"/>
      <c r="R1" s="188"/>
      <c r="S1" s="188"/>
      <c r="T1" s="962" t="s">
        <v>267</v>
      </c>
      <c r="U1" s="961" t="s">
        <v>268</v>
      </c>
    </row>
    <row r="2" spans="1:23" ht="15.75">
      <c r="A2" s="949"/>
      <c r="B2" s="955" t="s">
        <v>499</v>
      </c>
      <c r="C2" s="950"/>
      <c r="D2" s="950"/>
      <c r="E2" s="950"/>
      <c r="F2" s="950"/>
      <c r="G2" s="950"/>
      <c r="H2" s="951"/>
      <c r="I2" s="951"/>
      <c r="J2" s="951"/>
      <c r="K2" s="952"/>
      <c r="L2" s="952"/>
      <c r="M2" s="952"/>
      <c r="N2" s="950"/>
      <c r="O2" s="949"/>
      <c r="P2" s="949"/>
      <c r="Q2" s="949"/>
      <c r="R2" s="949"/>
      <c r="S2" s="949"/>
      <c r="T2" s="949"/>
      <c r="U2" s="949"/>
    </row>
    <row r="3" spans="1:23">
      <c r="A3" s="188"/>
      <c r="B3" s="188"/>
      <c r="C3" s="188"/>
      <c r="D3" s="188"/>
      <c r="E3" s="194"/>
      <c r="F3" s="194"/>
      <c r="G3" s="194"/>
      <c r="H3" s="187"/>
      <c r="I3" s="187"/>
      <c r="J3" s="187"/>
      <c r="K3" s="190"/>
      <c r="L3" s="190"/>
      <c r="M3" s="190"/>
      <c r="N3" s="187"/>
      <c r="O3" s="188"/>
      <c r="P3" s="188"/>
      <c r="Q3" s="188"/>
      <c r="R3" s="188"/>
      <c r="S3" s="188"/>
      <c r="T3" s="188"/>
      <c r="U3" s="188"/>
    </row>
    <row r="4" spans="1:23" ht="15.75">
      <c r="A4" s="949"/>
      <c r="B4" s="956" t="s">
        <v>500</v>
      </c>
      <c r="C4" s="949"/>
      <c r="D4" s="949"/>
      <c r="E4" s="953"/>
      <c r="F4" s="953"/>
      <c r="G4" s="953"/>
      <c r="H4" s="951"/>
      <c r="I4" s="951"/>
      <c r="J4" s="951"/>
      <c r="K4" s="953"/>
      <c r="L4" s="951"/>
      <c r="M4" s="951"/>
      <c r="N4" s="954"/>
      <c r="O4" s="953"/>
      <c r="P4" s="952" t="s">
        <v>501</v>
      </c>
      <c r="Q4" s="963">
        <v>1852</v>
      </c>
      <c r="R4" s="957" t="s">
        <v>502</v>
      </c>
      <c r="S4" s="949"/>
      <c r="T4" s="949"/>
      <c r="U4" s="949"/>
    </row>
    <row r="5" spans="1:23" ht="27" customHeight="1">
      <c r="A5" s="168" t="s">
        <v>503</v>
      </c>
      <c r="B5" s="82"/>
      <c r="C5" s="188"/>
      <c r="D5" s="188"/>
      <c r="E5" s="194"/>
      <c r="F5" s="194"/>
      <c r="G5" s="194"/>
      <c r="H5" s="187"/>
      <c r="I5" s="187"/>
      <c r="J5" s="187"/>
      <c r="K5" s="194"/>
      <c r="L5" s="187"/>
      <c r="M5" s="187"/>
      <c r="N5" s="1921"/>
      <c r="O5" s="194"/>
      <c r="P5" s="190" t="s">
        <v>504</v>
      </c>
      <c r="Q5" s="964">
        <f>17439*1.1</f>
        <v>19182.900000000001</v>
      </c>
      <c r="R5" s="957" t="s">
        <v>505</v>
      </c>
      <c r="S5" s="188"/>
      <c r="T5" s="188"/>
      <c r="U5" s="188"/>
    </row>
    <row r="6" spans="1:23" ht="15.75" customHeight="1">
      <c r="A6" s="191"/>
      <c r="B6" s="191"/>
      <c r="C6" s="191"/>
      <c r="D6" s="191"/>
      <c r="E6" s="211">
        <f>12*K10</f>
        <v>0</v>
      </c>
      <c r="F6" s="192"/>
      <c r="G6" s="192"/>
      <c r="H6" s="212"/>
      <c r="I6" s="212"/>
      <c r="J6" s="212"/>
      <c r="K6" s="211">
        <f>E6-(E6*19%)</f>
        <v>0</v>
      </c>
      <c r="L6" s="212"/>
      <c r="M6" s="212"/>
      <c r="N6" s="212"/>
      <c r="O6" s="265" t="e">
        <f>O10*19%</f>
        <v>#REF!</v>
      </c>
      <c r="P6" s="190" t="s">
        <v>506</v>
      </c>
      <c r="Q6" s="963">
        <v>19966</v>
      </c>
      <c r="R6" s="957" t="s">
        <v>502</v>
      </c>
      <c r="S6" s="188"/>
      <c r="T6" s="188"/>
      <c r="U6" s="188"/>
    </row>
    <row r="7" spans="1:23">
      <c r="A7" s="3920" t="s">
        <v>34</v>
      </c>
      <c r="B7" s="3920" t="s">
        <v>507</v>
      </c>
      <c r="C7" s="3920" t="s">
        <v>277</v>
      </c>
      <c r="D7" s="3921" t="s">
        <v>508</v>
      </c>
      <c r="E7" s="3923" t="s">
        <v>509</v>
      </c>
      <c r="F7" s="3924" t="s">
        <v>510</v>
      </c>
      <c r="G7" s="3924" t="s">
        <v>511</v>
      </c>
      <c r="H7" s="3925" t="s">
        <v>512</v>
      </c>
      <c r="I7" s="3924" t="s">
        <v>513</v>
      </c>
      <c r="J7" s="3924"/>
      <c r="K7" s="3924" t="s">
        <v>514</v>
      </c>
      <c r="L7" s="3924"/>
      <c r="M7" s="3927" t="s">
        <v>515</v>
      </c>
      <c r="N7" s="3919" t="s">
        <v>516</v>
      </c>
      <c r="O7" s="3930" t="s">
        <v>517</v>
      </c>
      <c r="P7" s="3924" t="s">
        <v>518</v>
      </c>
      <c r="Q7" s="3919" t="s">
        <v>519</v>
      </c>
      <c r="R7" s="3929" t="s">
        <v>313</v>
      </c>
      <c r="S7" s="3929" t="s">
        <v>314</v>
      </c>
      <c r="T7" s="3929" t="s">
        <v>116</v>
      </c>
      <c r="U7" s="3929" t="s">
        <v>315</v>
      </c>
    </row>
    <row r="8" spans="1:23" ht="55.5" customHeight="1">
      <c r="A8" s="3920"/>
      <c r="B8" s="3920"/>
      <c r="C8" s="3920"/>
      <c r="D8" s="3922"/>
      <c r="E8" s="3923"/>
      <c r="F8" s="3924"/>
      <c r="G8" s="3924"/>
      <c r="H8" s="3926"/>
      <c r="I8" s="610" t="s">
        <v>520</v>
      </c>
      <c r="J8" s="610" t="s">
        <v>345</v>
      </c>
      <c r="K8" s="610" t="s">
        <v>520</v>
      </c>
      <c r="L8" s="610" t="s">
        <v>345</v>
      </c>
      <c r="M8" s="3928"/>
      <c r="N8" s="3919"/>
      <c r="O8" s="3928"/>
      <c r="P8" s="3924"/>
      <c r="Q8" s="3919"/>
      <c r="R8" s="3929"/>
      <c r="S8" s="3929"/>
      <c r="T8" s="3929"/>
      <c r="U8" s="3929"/>
    </row>
    <row r="9" spans="1:23">
      <c r="A9" s="544">
        <v>1</v>
      </c>
      <c r="B9" s="545">
        <f t="shared" ref="B9:U9" si="0">A9+1</f>
        <v>2</v>
      </c>
      <c r="C9" s="545">
        <f t="shared" si="0"/>
        <v>3</v>
      </c>
      <c r="D9" s="545">
        <f t="shared" si="0"/>
        <v>4</v>
      </c>
      <c r="E9" s="545">
        <f t="shared" si="0"/>
        <v>5</v>
      </c>
      <c r="F9" s="545">
        <f t="shared" si="0"/>
        <v>6</v>
      </c>
      <c r="G9" s="545">
        <f t="shared" si="0"/>
        <v>7</v>
      </c>
      <c r="H9" s="545">
        <f t="shared" si="0"/>
        <v>8</v>
      </c>
      <c r="I9" s="545">
        <f t="shared" si="0"/>
        <v>9</v>
      </c>
      <c r="J9" s="545">
        <f t="shared" si="0"/>
        <v>10</v>
      </c>
      <c r="K9" s="545">
        <f t="shared" si="0"/>
        <v>11</v>
      </c>
      <c r="L9" s="545">
        <f t="shared" si="0"/>
        <v>12</v>
      </c>
      <c r="M9" s="545">
        <f t="shared" si="0"/>
        <v>13</v>
      </c>
      <c r="N9" s="545">
        <f t="shared" si="0"/>
        <v>14</v>
      </c>
      <c r="O9" s="545">
        <f t="shared" si="0"/>
        <v>15</v>
      </c>
      <c r="P9" s="545">
        <f t="shared" si="0"/>
        <v>16</v>
      </c>
      <c r="Q9" s="545">
        <f t="shared" si="0"/>
        <v>17</v>
      </c>
      <c r="R9" s="545">
        <f t="shared" si="0"/>
        <v>18</v>
      </c>
      <c r="S9" s="545">
        <f t="shared" si="0"/>
        <v>19</v>
      </c>
      <c r="T9" s="545">
        <f t="shared" si="0"/>
        <v>20</v>
      </c>
      <c r="U9" s="545">
        <f t="shared" si="0"/>
        <v>21</v>
      </c>
    </row>
    <row r="10" spans="1:23">
      <c r="A10" s="347"/>
      <c r="B10" s="347" t="s">
        <v>306</v>
      </c>
      <c r="C10" s="347"/>
      <c r="D10" s="2027" t="e">
        <f>D11+D62+D99+D108</f>
        <v>#REF!</v>
      </c>
      <c r="E10" s="347"/>
      <c r="F10" s="348"/>
      <c r="G10" s="945"/>
      <c r="H10" s="1719" t="e">
        <f>H11+H62+H99+H108</f>
        <v>#REF!</v>
      </c>
      <c r="I10" s="945"/>
      <c r="J10" s="348"/>
      <c r="K10" s="945"/>
      <c r="L10" s="348"/>
      <c r="M10" s="543" t="e">
        <f t="shared" ref="M10:U10" si="1">M11+M62+M99+M108</f>
        <v>#REF!</v>
      </c>
      <c r="N10" s="1719" t="e">
        <f>N11+N62+N99+N108</f>
        <v>#REF!</v>
      </c>
      <c r="O10" s="1719" t="e">
        <f t="shared" si="1"/>
        <v>#REF!</v>
      </c>
      <c r="P10" s="1719" t="e">
        <f t="shared" si="1"/>
        <v>#REF!</v>
      </c>
      <c r="Q10" s="543" t="e">
        <f t="shared" si="1"/>
        <v>#REF!</v>
      </c>
      <c r="R10" s="1719" t="e">
        <f t="shared" si="1"/>
        <v>#REF!</v>
      </c>
      <c r="S10" s="1719" t="e">
        <f t="shared" si="1"/>
        <v>#REF!</v>
      </c>
      <c r="T10" s="1719" t="e">
        <f t="shared" si="1"/>
        <v>#REF!</v>
      </c>
      <c r="U10" s="1719" t="e">
        <f t="shared" si="1"/>
        <v>#REF!</v>
      </c>
      <c r="W10" s="1039" t="e">
        <f>Q10+T10+U10</f>
        <v>#REF!</v>
      </c>
    </row>
    <row r="11" spans="1:23" ht="30">
      <c r="A11" s="327"/>
      <c r="B11" s="2032" t="s">
        <v>521</v>
      </c>
      <c r="C11" s="327"/>
      <c r="D11" s="3800">
        <f>SUM(D12:D61)</f>
        <v>3</v>
      </c>
      <c r="E11" s="3801"/>
      <c r="F11" s="3802">
        <f>SUM(F12:F61)</f>
        <v>1089000</v>
      </c>
      <c r="G11" s="3803"/>
      <c r="H11" s="3802">
        <f>SUM(H12:H61)</f>
        <v>13068000</v>
      </c>
      <c r="I11" s="3803"/>
      <c r="J11" s="3802">
        <f>SUM(J12:J61)</f>
        <v>0</v>
      </c>
      <c r="K11" s="3803"/>
      <c r="L11" s="3802">
        <f t="shared" ref="L11:U11" si="2">SUM(L12:L61)</f>
        <v>0</v>
      </c>
      <c r="M11" s="3802">
        <f t="shared" si="2"/>
        <v>0</v>
      </c>
      <c r="N11" s="3802">
        <f t="shared" si="2"/>
        <v>13068000</v>
      </c>
      <c r="O11" s="3802">
        <f t="shared" si="2"/>
        <v>2178000</v>
      </c>
      <c r="P11" s="3802">
        <f t="shared" si="2"/>
        <v>4356000</v>
      </c>
      <c r="Q11" s="3802">
        <f t="shared" si="2"/>
        <v>19602000</v>
      </c>
      <c r="R11" s="3802">
        <f t="shared" si="2"/>
        <v>1960200</v>
      </c>
      <c r="S11" s="3802">
        <f t="shared" si="2"/>
        <v>1764180</v>
      </c>
      <c r="T11" s="3802">
        <f t="shared" si="2"/>
        <v>1058508</v>
      </c>
      <c r="U11" s="3802">
        <f t="shared" si="2"/>
        <v>882090</v>
      </c>
    </row>
    <row r="12" spans="1:23">
      <c r="A12" s="2024">
        <v>1</v>
      </c>
      <c r="B12" s="1020" t="s">
        <v>522</v>
      </c>
      <c r="C12" s="943"/>
      <c r="D12" s="2024">
        <v>1</v>
      </c>
      <c r="E12" s="942"/>
      <c r="F12" s="1021">
        <v>544500</v>
      </c>
      <c r="G12" s="946">
        <v>12</v>
      </c>
      <c r="H12" s="350">
        <f>D12*F12*G12</f>
        <v>6534000</v>
      </c>
      <c r="I12" s="946"/>
      <c r="J12" s="350">
        <f>I12*$Q$4</f>
        <v>0</v>
      </c>
      <c r="K12" s="948"/>
      <c r="L12" s="350">
        <f>K12*F12</f>
        <v>0</v>
      </c>
      <c r="M12" s="350">
        <f>D12*G12*(J12+L12)</f>
        <v>0</v>
      </c>
      <c r="N12" s="350">
        <f>H12+M12</f>
        <v>6534000</v>
      </c>
      <c r="O12" s="946">
        <f>F12*2</f>
        <v>1089000</v>
      </c>
      <c r="P12" s="946">
        <f>F12*4</f>
        <v>2178000</v>
      </c>
      <c r="Q12" s="350">
        <f>N12+O12+P12</f>
        <v>9801000</v>
      </c>
      <c r="R12" s="350">
        <f>Q12*10%</f>
        <v>980100</v>
      </c>
      <c r="S12" s="350">
        <f>(Q12-R12)*10%</f>
        <v>882090</v>
      </c>
      <c r="T12" s="327">
        <f>(Q12-R12)*6%</f>
        <v>529254</v>
      </c>
      <c r="U12" s="327">
        <f>(Q12-R12)*5%</f>
        <v>441045</v>
      </c>
    </row>
    <row r="13" spans="1:23">
      <c r="A13" s="2024">
        <v>2</v>
      </c>
      <c r="B13" s="1020" t="s">
        <v>523</v>
      </c>
      <c r="C13" s="944"/>
      <c r="D13" s="2028">
        <v>1</v>
      </c>
      <c r="E13" s="944"/>
      <c r="F13" s="1021">
        <v>302500</v>
      </c>
      <c r="G13" s="946">
        <v>12</v>
      </c>
      <c r="H13" s="350">
        <f>D13*F13*G13</f>
        <v>3630000</v>
      </c>
      <c r="I13" s="946"/>
      <c r="J13" s="350">
        <f>I13*$Q$4</f>
        <v>0</v>
      </c>
      <c r="K13" s="946"/>
      <c r="L13" s="350">
        <f>K13*F13</f>
        <v>0</v>
      </c>
      <c r="M13" s="350">
        <f>D13*G13*(J13+L13)</f>
        <v>0</v>
      </c>
      <c r="N13" s="350">
        <f>H13+M13</f>
        <v>3630000</v>
      </c>
      <c r="O13" s="946">
        <f>F13*2</f>
        <v>605000</v>
      </c>
      <c r="P13" s="946">
        <f>F13*4</f>
        <v>1210000</v>
      </c>
      <c r="Q13" s="350">
        <f>N13+O13+P13</f>
        <v>5445000</v>
      </c>
      <c r="R13" s="350">
        <f>Q13*10%</f>
        <v>544500</v>
      </c>
      <c r="S13" s="350">
        <f>(Q13-R13)*10%</f>
        <v>490050</v>
      </c>
      <c r="T13" s="327">
        <f>(Q13-R13)*6%</f>
        <v>294030</v>
      </c>
      <c r="U13" s="327">
        <f>(Q13-R13)*5%</f>
        <v>245025</v>
      </c>
    </row>
    <row r="14" spans="1:23">
      <c r="A14" s="2024">
        <v>3</v>
      </c>
      <c r="B14" s="1020" t="s">
        <v>524</v>
      </c>
      <c r="C14" s="944"/>
      <c r="D14" s="2028">
        <v>1</v>
      </c>
      <c r="E14" s="944"/>
      <c r="F14" s="1021">
        <v>242000</v>
      </c>
      <c r="G14" s="946">
        <v>12</v>
      </c>
      <c r="H14" s="350">
        <f>D14*F14*G14</f>
        <v>2904000</v>
      </c>
      <c r="I14" s="946"/>
      <c r="J14" s="350">
        <f t="shared" ref="J14:J61" si="3">I14*$Q$4</f>
        <v>0</v>
      </c>
      <c r="K14" s="946"/>
      <c r="L14" s="350">
        <f t="shared" ref="L14:L30" si="4">K14*F14</f>
        <v>0</v>
      </c>
      <c r="M14" s="350">
        <f t="shared" ref="M14:M30" si="5">D14*G14*(J14+L14)</f>
        <v>0</v>
      </c>
      <c r="N14" s="350">
        <f>H14+M14</f>
        <v>2904000</v>
      </c>
      <c r="O14" s="946">
        <f>F14*2</f>
        <v>484000</v>
      </c>
      <c r="P14" s="946">
        <f>F14*4</f>
        <v>968000</v>
      </c>
      <c r="Q14" s="350">
        <f t="shared" ref="Q14:Q30" si="6">N14+O14+P14</f>
        <v>4356000</v>
      </c>
      <c r="R14" s="350">
        <f t="shared" ref="R14:R61" si="7">Q14*10%</f>
        <v>435600</v>
      </c>
      <c r="S14" s="350">
        <f t="shared" ref="S14:S30" si="8">(Q14-R14)*10%</f>
        <v>392040</v>
      </c>
      <c r="T14" s="327">
        <f t="shared" ref="T14:T30" si="9">(Q14-R14)*6%</f>
        <v>235224</v>
      </c>
      <c r="U14" s="327">
        <f t="shared" ref="U14:U30" si="10">(Q14-R14)*5%</f>
        <v>196020</v>
      </c>
    </row>
    <row r="15" spans="1:23" hidden="1">
      <c r="A15" s="2025"/>
      <c r="B15" s="944"/>
      <c r="C15" s="944"/>
      <c r="D15" s="2028"/>
      <c r="E15" s="944"/>
      <c r="F15" s="350">
        <f t="shared" ref="F15:F61" si="11">ROUNDUP((E15*$Q$5),-3)</f>
        <v>0</v>
      </c>
      <c r="G15" s="946"/>
      <c r="H15" s="350">
        <f t="shared" ref="H15:H30" si="12">D15*F15*G15</f>
        <v>0</v>
      </c>
      <c r="I15" s="946"/>
      <c r="J15" s="350">
        <f t="shared" si="3"/>
        <v>0</v>
      </c>
      <c r="K15" s="946"/>
      <c r="L15" s="350">
        <f t="shared" si="4"/>
        <v>0</v>
      </c>
      <c r="M15" s="350">
        <f t="shared" si="5"/>
        <v>0</v>
      </c>
      <c r="N15" s="350">
        <f t="shared" ref="N15:N30" si="13">H15+M15</f>
        <v>0</v>
      </c>
      <c r="O15" s="946"/>
      <c r="P15" s="946"/>
      <c r="Q15" s="350">
        <f t="shared" si="6"/>
        <v>0</v>
      </c>
      <c r="R15" s="350">
        <f t="shared" si="7"/>
        <v>0</v>
      </c>
      <c r="S15" s="350">
        <f t="shared" si="8"/>
        <v>0</v>
      </c>
      <c r="T15" s="327">
        <f t="shared" si="9"/>
        <v>0</v>
      </c>
      <c r="U15" s="327">
        <f t="shared" si="10"/>
        <v>0</v>
      </c>
    </row>
    <row r="16" spans="1:23" ht="25.5" hidden="1" customHeight="1">
      <c r="A16" s="2025"/>
      <c r="B16" s="944"/>
      <c r="C16" s="944"/>
      <c r="D16" s="2028"/>
      <c r="E16" s="944"/>
      <c r="F16" s="350">
        <f t="shared" si="11"/>
        <v>0</v>
      </c>
      <c r="G16" s="946"/>
      <c r="H16" s="350">
        <f t="shared" si="12"/>
        <v>0</v>
      </c>
      <c r="I16" s="946"/>
      <c r="J16" s="350">
        <f t="shared" si="3"/>
        <v>0</v>
      </c>
      <c r="K16" s="946"/>
      <c r="L16" s="350">
        <f t="shared" si="4"/>
        <v>0</v>
      </c>
      <c r="M16" s="350">
        <f t="shared" si="5"/>
        <v>0</v>
      </c>
      <c r="N16" s="350">
        <f t="shared" si="13"/>
        <v>0</v>
      </c>
      <c r="O16" s="946"/>
      <c r="P16" s="946"/>
      <c r="Q16" s="350">
        <f t="shared" si="6"/>
        <v>0</v>
      </c>
      <c r="R16" s="350">
        <f t="shared" si="7"/>
        <v>0</v>
      </c>
      <c r="S16" s="350">
        <f t="shared" si="8"/>
        <v>0</v>
      </c>
      <c r="T16" s="327">
        <f t="shared" si="9"/>
        <v>0</v>
      </c>
      <c r="U16" s="327">
        <f t="shared" si="10"/>
        <v>0</v>
      </c>
    </row>
    <row r="17" spans="1:21" ht="25.5" hidden="1" customHeight="1">
      <c r="A17" s="2025"/>
      <c r="B17" s="944"/>
      <c r="C17" s="944"/>
      <c r="D17" s="2028"/>
      <c r="E17" s="944"/>
      <c r="F17" s="350">
        <f t="shared" si="11"/>
        <v>0</v>
      </c>
      <c r="G17" s="946"/>
      <c r="H17" s="350">
        <f t="shared" si="12"/>
        <v>0</v>
      </c>
      <c r="I17" s="946"/>
      <c r="J17" s="350">
        <f t="shared" si="3"/>
        <v>0</v>
      </c>
      <c r="K17" s="946"/>
      <c r="L17" s="350">
        <f t="shared" si="4"/>
        <v>0</v>
      </c>
      <c r="M17" s="350">
        <f t="shared" si="5"/>
        <v>0</v>
      </c>
      <c r="N17" s="350">
        <f t="shared" si="13"/>
        <v>0</v>
      </c>
      <c r="O17" s="946"/>
      <c r="P17" s="946"/>
      <c r="Q17" s="350">
        <f t="shared" si="6"/>
        <v>0</v>
      </c>
      <c r="R17" s="350">
        <f t="shared" si="7"/>
        <v>0</v>
      </c>
      <c r="S17" s="350">
        <f t="shared" si="8"/>
        <v>0</v>
      </c>
      <c r="T17" s="327">
        <f t="shared" si="9"/>
        <v>0</v>
      </c>
      <c r="U17" s="327">
        <f t="shared" si="10"/>
        <v>0</v>
      </c>
    </row>
    <row r="18" spans="1:21" hidden="1">
      <c r="A18" s="2025"/>
      <c r="B18" s="944"/>
      <c r="C18" s="944"/>
      <c r="D18" s="2028"/>
      <c r="E18" s="944"/>
      <c r="F18" s="350">
        <f t="shared" si="11"/>
        <v>0</v>
      </c>
      <c r="G18" s="946"/>
      <c r="H18" s="350">
        <f t="shared" si="12"/>
        <v>0</v>
      </c>
      <c r="I18" s="946"/>
      <c r="J18" s="350">
        <f t="shared" si="3"/>
        <v>0</v>
      </c>
      <c r="K18" s="946"/>
      <c r="L18" s="350">
        <f t="shared" si="4"/>
        <v>0</v>
      </c>
      <c r="M18" s="350">
        <f t="shared" si="5"/>
        <v>0</v>
      </c>
      <c r="N18" s="350">
        <f t="shared" si="13"/>
        <v>0</v>
      </c>
      <c r="O18" s="946"/>
      <c r="P18" s="946"/>
      <c r="Q18" s="350">
        <f t="shared" si="6"/>
        <v>0</v>
      </c>
      <c r="R18" s="350">
        <f t="shared" si="7"/>
        <v>0</v>
      </c>
      <c r="S18" s="350">
        <f t="shared" si="8"/>
        <v>0</v>
      </c>
      <c r="T18" s="327">
        <f t="shared" si="9"/>
        <v>0</v>
      </c>
      <c r="U18" s="327">
        <f t="shared" si="10"/>
        <v>0</v>
      </c>
    </row>
    <row r="19" spans="1:21" ht="25.5" hidden="1" customHeight="1">
      <c r="A19" s="2025"/>
      <c r="B19" s="944"/>
      <c r="C19" s="944"/>
      <c r="D19" s="2028"/>
      <c r="E19" s="944"/>
      <c r="F19" s="350">
        <f t="shared" si="11"/>
        <v>0</v>
      </c>
      <c r="G19" s="946"/>
      <c r="H19" s="350">
        <f t="shared" si="12"/>
        <v>0</v>
      </c>
      <c r="I19" s="946"/>
      <c r="J19" s="350">
        <f t="shared" si="3"/>
        <v>0</v>
      </c>
      <c r="K19" s="946"/>
      <c r="L19" s="350">
        <f t="shared" si="4"/>
        <v>0</v>
      </c>
      <c r="M19" s="350">
        <f t="shared" si="5"/>
        <v>0</v>
      </c>
      <c r="N19" s="350">
        <f t="shared" si="13"/>
        <v>0</v>
      </c>
      <c r="O19" s="946"/>
      <c r="P19" s="946"/>
      <c r="Q19" s="350">
        <f t="shared" si="6"/>
        <v>0</v>
      </c>
      <c r="R19" s="350">
        <f t="shared" si="7"/>
        <v>0</v>
      </c>
      <c r="S19" s="350">
        <f t="shared" si="8"/>
        <v>0</v>
      </c>
      <c r="T19" s="327">
        <f t="shared" si="9"/>
        <v>0</v>
      </c>
      <c r="U19" s="327">
        <f t="shared" si="10"/>
        <v>0</v>
      </c>
    </row>
    <row r="20" spans="1:21" ht="38.25" hidden="1" customHeight="1">
      <c r="A20" s="2025"/>
      <c r="B20" s="944"/>
      <c r="C20" s="944"/>
      <c r="D20" s="2028"/>
      <c r="E20" s="944"/>
      <c r="F20" s="350">
        <f t="shared" si="11"/>
        <v>0</v>
      </c>
      <c r="G20" s="946"/>
      <c r="H20" s="350">
        <f t="shared" si="12"/>
        <v>0</v>
      </c>
      <c r="I20" s="946"/>
      <c r="J20" s="350">
        <f t="shared" si="3"/>
        <v>0</v>
      </c>
      <c r="K20" s="946"/>
      <c r="L20" s="350">
        <f t="shared" si="4"/>
        <v>0</v>
      </c>
      <c r="M20" s="350">
        <f t="shared" si="5"/>
        <v>0</v>
      </c>
      <c r="N20" s="350">
        <f t="shared" si="13"/>
        <v>0</v>
      </c>
      <c r="O20" s="946"/>
      <c r="P20" s="946"/>
      <c r="Q20" s="350">
        <f t="shared" si="6"/>
        <v>0</v>
      </c>
      <c r="R20" s="350">
        <f t="shared" si="7"/>
        <v>0</v>
      </c>
      <c r="S20" s="350">
        <f t="shared" si="8"/>
        <v>0</v>
      </c>
      <c r="T20" s="327">
        <f t="shared" si="9"/>
        <v>0</v>
      </c>
      <c r="U20" s="327">
        <f t="shared" si="10"/>
        <v>0</v>
      </c>
    </row>
    <row r="21" spans="1:21" ht="38.25" hidden="1" customHeight="1">
      <c r="A21" s="2025"/>
      <c r="B21" s="944"/>
      <c r="C21" s="944"/>
      <c r="D21" s="2028"/>
      <c r="E21" s="944"/>
      <c r="F21" s="350">
        <f t="shared" si="11"/>
        <v>0</v>
      </c>
      <c r="G21" s="946"/>
      <c r="H21" s="350">
        <f t="shared" si="12"/>
        <v>0</v>
      </c>
      <c r="I21" s="946"/>
      <c r="J21" s="350">
        <f t="shared" si="3"/>
        <v>0</v>
      </c>
      <c r="K21" s="946"/>
      <c r="L21" s="350">
        <f t="shared" si="4"/>
        <v>0</v>
      </c>
      <c r="M21" s="350">
        <f t="shared" si="5"/>
        <v>0</v>
      </c>
      <c r="N21" s="350">
        <f t="shared" si="13"/>
        <v>0</v>
      </c>
      <c r="O21" s="946"/>
      <c r="P21" s="946"/>
      <c r="Q21" s="350">
        <f t="shared" si="6"/>
        <v>0</v>
      </c>
      <c r="R21" s="350">
        <f t="shared" si="7"/>
        <v>0</v>
      </c>
      <c r="S21" s="350">
        <f t="shared" si="8"/>
        <v>0</v>
      </c>
      <c r="T21" s="327">
        <f t="shared" si="9"/>
        <v>0</v>
      </c>
      <c r="U21" s="327">
        <f t="shared" si="10"/>
        <v>0</v>
      </c>
    </row>
    <row r="22" spans="1:21" ht="25.5" hidden="1" customHeight="1">
      <c r="A22" s="2025"/>
      <c r="B22" s="944"/>
      <c r="C22" s="944"/>
      <c r="D22" s="2028"/>
      <c r="E22" s="944"/>
      <c r="F22" s="350">
        <f t="shared" si="11"/>
        <v>0</v>
      </c>
      <c r="G22" s="946"/>
      <c r="H22" s="350">
        <f t="shared" si="12"/>
        <v>0</v>
      </c>
      <c r="I22" s="946"/>
      <c r="J22" s="350">
        <f t="shared" si="3"/>
        <v>0</v>
      </c>
      <c r="K22" s="946"/>
      <c r="L22" s="350">
        <f t="shared" si="4"/>
        <v>0</v>
      </c>
      <c r="M22" s="350">
        <f t="shared" si="5"/>
        <v>0</v>
      </c>
      <c r="N22" s="350">
        <f t="shared" si="13"/>
        <v>0</v>
      </c>
      <c r="O22" s="946"/>
      <c r="P22" s="946"/>
      <c r="Q22" s="350">
        <f t="shared" si="6"/>
        <v>0</v>
      </c>
      <c r="R22" s="350">
        <f t="shared" si="7"/>
        <v>0</v>
      </c>
      <c r="S22" s="350">
        <f t="shared" si="8"/>
        <v>0</v>
      </c>
      <c r="T22" s="327">
        <f t="shared" si="9"/>
        <v>0</v>
      </c>
      <c r="U22" s="327">
        <f t="shared" si="10"/>
        <v>0</v>
      </c>
    </row>
    <row r="23" spans="1:21" ht="25.5" hidden="1" customHeight="1">
      <c r="A23" s="2025"/>
      <c r="B23" s="944"/>
      <c r="C23" s="944"/>
      <c r="D23" s="2028"/>
      <c r="E23" s="944"/>
      <c r="F23" s="350">
        <f t="shared" si="11"/>
        <v>0</v>
      </c>
      <c r="G23" s="946"/>
      <c r="H23" s="350">
        <f>D23*F23*G23</f>
        <v>0</v>
      </c>
      <c r="I23" s="946"/>
      <c r="J23" s="350">
        <f t="shared" si="3"/>
        <v>0</v>
      </c>
      <c r="K23" s="946"/>
      <c r="L23" s="350">
        <f t="shared" si="4"/>
        <v>0</v>
      </c>
      <c r="M23" s="350">
        <f t="shared" si="5"/>
        <v>0</v>
      </c>
      <c r="N23" s="350">
        <f t="shared" si="13"/>
        <v>0</v>
      </c>
      <c r="O23" s="946"/>
      <c r="P23" s="946"/>
      <c r="Q23" s="350">
        <f t="shared" si="6"/>
        <v>0</v>
      </c>
      <c r="R23" s="350">
        <f t="shared" si="7"/>
        <v>0</v>
      </c>
      <c r="S23" s="350">
        <f t="shared" si="8"/>
        <v>0</v>
      </c>
      <c r="T23" s="327">
        <f t="shared" si="9"/>
        <v>0</v>
      </c>
      <c r="U23" s="327">
        <f t="shared" si="10"/>
        <v>0</v>
      </c>
    </row>
    <row r="24" spans="1:21" ht="25.5" hidden="1" customHeight="1">
      <c r="A24" s="2025"/>
      <c r="B24" s="944"/>
      <c r="C24" s="944"/>
      <c r="D24" s="2028"/>
      <c r="E24" s="944"/>
      <c r="F24" s="350">
        <f t="shared" si="11"/>
        <v>0</v>
      </c>
      <c r="G24" s="946"/>
      <c r="H24" s="350">
        <f t="shared" si="12"/>
        <v>0</v>
      </c>
      <c r="I24" s="946"/>
      <c r="J24" s="350">
        <f t="shared" si="3"/>
        <v>0</v>
      </c>
      <c r="K24" s="946"/>
      <c r="L24" s="350">
        <f t="shared" si="4"/>
        <v>0</v>
      </c>
      <c r="M24" s="350">
        <f t="shared" si="5"/>
        <v>0</v>
      </c>
      <c r="N24" s="350">
        <f t="shared" si="13"/>
        <v>0</v>
      </c>
      <c r="O24" s="946"/>
      <c r="P24" s="946"/>
      <c r="Q24" s="350">
        <f t="shared" si="6"/>
        <v>0</v>
      </c>
      <c r="R24" s="350">
        <f t="shared" si="7"/>
        <v>0</v>
      </c>
      <c r="S24" s="350">
        <f t="shared" si="8"/>
        <v>0</v>
      </c>
      <c r="T24" s="327">
        <f t="shared" si="9"/>
        <v>0</v>
      </c>
      <c r="U24" s="327">
        <f t="shared" si="10"/>
        <v>0</v>
      </c>
    </row>
    <row r="25" spans="1:21" ht="25.5" hidden="1" customHeight="1">
      <c r="A25" s="2025"/>
      <c r="B25" s="944"/>
      <c r="C25" s="944"/>
      <c r="D25" s="2028"/>
      <c r="E25" s="944"/>
      <c r="F25" s="350">
        <f t="shared" si="11"/>
        <v>0</v>
      </c>
      <c r="G25" s="946"/>
      <c r="H25" s="350">
        <f t="shared" si="12"/>
        <v>0</v>
      </c>
      <c r="I25" s="946"/>
      <c r="J25" s="350">
        <f t="shared" si="3"/>
        <v>0</v>
      </c>
      <c r="K25" s="946"/>
      <c r="L25" s="350">
        <f t="shared" si="4"/>
        <v>0</v>
      </c>
      <c r="M25" s="350">
        <f t="shared" si="5"/>
        <v>0</v>
      </c>
      <c r="N25" s="350">
        <f t="shared" si="13"/>
        <v>0</v>
      </c>
      <c r="O25" s="946"/>
      <c r="P25" s="946"/>
      <c r="Q25" s="350">
        <f t="shared" si="6"/>
        <v>0</v>
      </c>
      <c r="R25" s="350">
        <f t="shared" si="7"/>
        <v>0</v>
      </c>
      <c r="S25" s="350">
        <f t="shared" si="8"/>
        <v>0</v>
      </c>
      <c r="T25" s="327">
        <f t="shared" si="9"/>
        <v>0</v>
      </c>
      <c r="U25" s="327">
        <f t="shared" si="10"/>
        <v>0</v>
      </c>
    </row>
    <row r="26" spans="1:21" ht="25.5" hidden="1" customHeight="1">
      <c r="A26" s="2025"/>
      <c r="B26" s="944"/>
      <c r="C26" s="944"/>
      <c r="D26" s="2028"/>
      <c r="E26" s="944"/>
      <c r="F26" s="350">
        <f t="shared" si="11"/>
        <v>0</v>
      </c>
      <c r="G26" s="946"/>
      <c r="H26" s="350">
        <f t="shared" si="12"/>
        <v>0</v>
      </c>
      <c r="I26" s="946"/>
      <c r="J26" s="350">
        <f t="shared" si="3"/>
        <v>0</v>
      </c>
      <c r="K26" s="946"/>
      <c r="L26" s="350">
        <f t="shared" si="4"/>
        <v>0</v>
      </c>
      <c r="M26" s="350">
        <f t="shared" si="5"/>
        <v>0</v>
      </c>
      <c r="N26" s="350">
        <f t="shared" si="13"/>
        <v>0</v>
      </c>
      <c r="O26" s="946"/>
      <c r="P26" s="946"/>
      <c r="Q26" s="350">
        <f t="shared" si="6"/>
        <v>0</v>
      </c>
      <c r="R26" s="350">
        <f t="shared" si="7"/>
        <v>0</v>
      </c>
      <c r="S26" s="350">
        <f t="shared" si="8"/>
        <v>0</v>
      </c>
      <c r="T26" s="327">
        <f t="shared" si="9"/>
        <v>0</v>
      </c>
      <c r="U26" s="327">
        <f t="shared" si="10"/>
        <v>0</v>
      </c>
    </row>
    <row r="27" spans="1:21" ht="25.5" hidden="1" customHeight="1">
      <c r="A27" s="2025"/>
      <c r="B27" s="944"/>
      <c r="C27" s="944"/>
      <c r="D27" s="2028"/>
      <c r="E27" s="944"/>
      <c r="F27" s="350">
        <f t="shared" si="11"/>
        <v>0</v>
      </c>
      <c r="G27" s="946"/>
      <c r="H27" s="350">
        <f t="shared" si="12"/>
        <v>0</v>
      </c>
      <c r="I27" s="946"/>
      <c r="J27" s="350">
        <f t="shared" si="3"/>
        <v>0</v>
      </c>
      <c r="K27" s="946"/>
      <c r="L27" s="350">
        <f t="shared" si="4"/>
        <v>0</v>
      </c>
      <c r="M27" s="350">
        <f t="shared" si="5"/>
        <v>0</v>
      </c>
      <c r="N27" s="350">
        <f t="shared" si="13"/>
        <v>0</v>
      </c>
      <c r="O27" s="946"/>
      <c r="P27" s="946"/>
      <c r="Q27" s="350">
        <f t="shared" si="6"/>
        <v>0</v>
      </c>
      <c r="R27" s="350">
        <f t="shared" si="7"/>
        <v>0</v>
      </c>
      <c r="S27" s="350">
        <f t="shared" si="8"/>
        <v>0</v>
      </c>
      <c r="T27" s="327">
        <f t="shared" si="9"/>
        <v>0</v>
      </c>
      <c r="U27" s="327">
        <f t="shared" si="10"/>
        <v>0</v>
      </c>
    </row>
    <row r="28" spans="1:21" ht="25.5" hidden="1" customHeight="1">
      <c r="A28" s="2025"/>
      <c r="B28" s="944"/>
      <c r="C28" s="944"/>
      <c r="D28" s="2028"/>
      <c r="E28" s="944"/>
      <c r="F28" s="350">
        <f t="shared" si="11"/>
        <v>0</v>
      </c>
      <c r="G28" s="946"/>
      <c r="H28" s="350">
        <f t="shared" si="12"/>
        <v>0</v>
      </c>
      <c r="I28" s="946"/>
      <c r="J28" s="350">
        <f t="shared" si="3"/>
        <v>0</v>
      </c>
      <c r="K28" s="946"/>
      <c r="L28" s="350">
        <f t="shared" si="4"/>
        <v>0</v>
      </c>
      <c r="M28" s="350">
        <f t="shared" si="5"/>
        <v>0</v>
      </c>
      <c r="N28" s="350">
        <f t="shared" si="13"/>
        <v>0</v>
      </c>
      <c r="O28" s="946"/>
      <c r="P28" s="946"/>
      <c r="Q28" s="350">
        <f t="shared" si="6"/>
        <v>0</v>
      </c>
      <c r="R28" s="350">
        <f t="shared" si="7"/>
        <v>0</v>
      </c>
      <c r="S28" s="350">
        <f t="shared" si="8"/>
        <v>0</v>
      </c>
      <c r="T28" s="327">
        <f t="shared" si="9"/>
        <v>0</v>
      </c>
      <c r="U28" s="327">
        <f t="shared" si="10"/>
        <v>0</v>
      </c>
    </row>
    <row r="29" spans="1:21" ht="25.5" hidden="1" customHeight="1">
      <c r="A29" s="2025"/>
      <c r="B29" s="944"/>
      <c r="C29" s="944"/>
      <c r="D29" s="2028"/>
      <c r="E29" s="944"/>
      <c r="F29" s="350">
        <f t="shared" si="11"/>
        <v>0</v>
      </c>
      <c r="G29" s="946"/>
      <c r="H29" s="350">
        <f t="shared" si="12"/>
        <v>0</v>
      </c>
      <c r="I29" s="946"/>
      <c r="J29" s="350">
        <f t="shared" si="3"/>
        <v>0</v>
      </c>
      <c r="K29" s="946"/>
      <c r="L29" s="350">
        <f t="shared" si="4"/>
        <v>0</v>
      </c>
      <c r="M29" s="350">
        <f t="shared" si="5"/>
        <v>0</v>
      </c>
      <c r="N29" s="350">
        <f t="shared" si="13"/>
        <v>0</v>
      </c>
      <c r="O29" s="946"/>
      <c r="P29" s="946"/>
      <c r="Q29" s="350">
        <f t="shared" si="6"/>
        <v>0</v>
      </c>
      <c r="R29" s="350">
        <f t="shared" si="7"/>
        <v>0</v>
      </c>
      <c r="S29" s="350">
        <f t="shared" si="8"/>
        <v>0</v>
      </c>
      <c r="T29" s="327">
        <f t="shared" si="9"/>
        <v>0</v>
      </c>
      <c r="U29" s="327">
        <f t="shared" si="10"/>
        <v>0</v>
      </c>
    </row>
    <row r="30" spans="1:21" hidden="1">
      <c r="A30" s="2025"/>
      <c r="B30" s="944"/>
      <c r="C30" s="944"/>
      <c r="D30" s="2028"/>
      <c r="E30" s="944"/>
      <c r="F30" s="350">
        <f t="shared" si="11"/>
        <v>0</v>
      </c>
      <c r="G30" s="946"/>
      <c r="H30" s="350">
        <f t="shared" si="12"/>
        <v>0</v>
      </c>
      <c r="I30" s="946"/>
      <c r="J30" s="350">
        <f t="shared" si="3"/>
        <v>0</v>
      </c>
      <c r="K30" s="946"/>
      <c r="L30" s="350">
        <f t="shared" si="4"/>
        <v>0</v>
      </c>
      <c r="M30" s="350">
        <f t="shared" si="5"/>
        <v>0</v>
      </c>
      <c r="N30" s="350">
        <f t="shared" si="13"/>
        <v>0</v>
      </c>
      <c r="O30" s="946"/>
      <c r="P30" s="946"/>
      <c r="Q30" s="350">
        <f t="shared" si="6"/>
        <v>0</v>
      </c>
      <c r="R30" s="350">
        <f t="shared" si="7"/>
        <v>0</v>
      </c>
      <c r="S30" s="350">
        <f t="shared" si="8"/>
        <v>0</v>
      </c>
      <c r="T30" s="327">
        <f t="shared" si="9"/>
        <v>0</v>
      </c>
      <c r="U30" s="327">
        <f t="shared" si="10"/>
        <v>0</v>
      </c>
    </row>
    <row r="31" spans="1:21" ht="25.5" hidden="1" customHeight="1">
      <c r="A31" s="2025"/>
      <c r="B31" s="944"/>
      <c r="C31" s="944"/>
      <c r="D31" s="2028"/>
      <c r="E31" s="944"/>
      <c r="F31" s="350">
        <f>ROUNDUP((E31*$Q$5),-3)</f>
        <v>0</v>
      </c>
      <c r="G31" s="946"/>
      <c r="H31" s="350">
        <f>D31*F31*G31</f>
        <v>0</v>
      </c>
      <c r="I31" s="946"/>
      <c r="J31" s="350">
        <f>I31*$Q$4</f>
        <v>0</v>
      </c>
      <c r="K31" s="946"/>
      <c r="L31" s="350">
        <f>K31*F31</f>
        <v>0</v>
      </c>
      <c r="M31" s="350">
        <f>D31*G31*(J31+L31)</f>
        <v>0</v>
      </c>
      <c r="N31" s="350">
        <f>H31+M31</f>
        <v>0</v>
      </c>
      <c r="O31" s="946"/>
      <c r="P31" s="946"/>
      <c r="Q31" s="350">
        <f>N31+O31+P31</f>
        <v>0</v>
      </c>
      <c r="R31" s="350">
        <f>Q31*10%</f>
        <v>0</v>
      </c>
      <c r="S31" s="350">
        <f>(Q31-R31)*10%</f>
        <v>0</v>
      </c>
      <c r="T31" s="327">
        <f>(Q31-R31)*6%</f>
        <v>0</v>
      </c>
      <c r="U31" s="327">
        <f>(Q31-R31)*5%</f>
        <v>0</v>
      </c>
    </row>
    <row r="32" spans="1:21" ht="25.5" hidden="1" customHeight="1">
      <c r="A32" s="2025"/>
      <c r="B32" s="944"/>
      <c r="C32" s="944"/>
      <c r="D32" s="2028"/>
      <c r="E32" s="944"/>
      <c r="F32" s="350">
        <f t="shared" si="11"/>
        <v>0</v>
      </c>
      <c r="G32" s="946"/>
      <c r="H32" s="350">
        <f t="shared" ref="H32:H44" si="14">D32*F32*G32</f>
        <v>0</v>
      </c>
      <c r="I32" s="946"/>
      <c r="J32" s="350">
        <f t="shared" si="3"/>
        <v>0</v>
      </c>
      <c r="K32" s="946"/>
      <c r="L32" s="350">
        <f t="shared" ref="L32:L44" si="15">K32*F32</f>
        <v>0</v>
      </c>
      <c r="M32" s="350">
        <f t="shared" ref="M32:M44" si="16">D32*G32*(J32+L32)</f>
        <v>0</v>
      </c>
      <c r="N32" s="350">
        <f t="shared" ref="N32:N44" si="17">H32+M32</f>
        <v>0</v>
      </c>
      <c r="O32" s="946"/>
      <c r="P32" s="946"/>
      <c r="Q32" s="350">
        <f t="shared" ref="Q32:Q44" si="18">N32+O32+P32</f>
        <v>0</v>
      </c>
      <c r="R32" s="350">
        <f t="shared" si="7"/>
        <v>0</v>
      </c>
      <c r="S32" s="350">
        <f t="shared" ref="S32:S44" si="19">(Q32-R32)*10%</f>
        <v>0</v>
      </c>
      <c r="T32" s="327">
        <f t="shared" ref="T32:T44" si="20">(Q32-R32)*6%</f>
        <v>0</v>
      </c>
      <c r="U32" s="327">
        <f t="shared" ref="U32:U44" si="21">(Q32-R32)*5%</f>
        <v>0</v>
      </c>
    </row>
    <row r="33" spans="1:21" ht="25.5" hidden="1" customHeight="1">
      <c r="A33" s="2025"/>
      <c r="B33" s="944"/>
      <c r="C33" s="944"/>
      <c r="D33" s="2028"/>
      <c r="E33" s="944"/>
      <c r="F33" s="350">
        <f t="shared" si="11"/>
        <v>0</v>
      </c>
      <c r="G33" s="946"/>
      <c r="H33" s="350">
        <f t="shared" si="14"/>
        <v>0</v>
      </c>
      <c r="I33" s="946"/>
      <c r="J33" s="350">
        <f t="shared" si="3"/>
        <v>0</v>
      </c>
      <c r="K33" s="946"/>
      <c r="L33" s="350">
        <f t="shared" si="15"/>
        <v>0</v>
      </c>
      <c r="M33" s="350">
        <f t="shared" si="16"/>
        <v>0</v>
      </c>
      <c r="N33" s="350">
        <f t="shared" si="17"/>
        <v>0</v>
      </c>
      <c r="O33" s="946"/>
      <c r="P33" s="946"/>
      <c r="Q33" s="350">
        <f t="shared" si="18"/>
        <v>0</v>
      </c>
      <c r="R33" s="350">
        <f t="shared" si="7"/>
        <v>0</v>
      </c>
      <c r="S33" s="350">
        <f t="shared" si="19"/>
        <v>0</v>
      </c>
      <c r="T33" s="327">
        <f t="shared" si="20"/>
        <v>0</v>
      </c>
      <c r="U33" s="327">
        <f t="shared" si="21"/>
        <v>0</v>
      </c>
    </row>
    <row r="34" spans="1:21" ht="25.5" hidden="1" customHeight="1">
      <c r="A34" s="2025"/>
      <c r="B34" s="944"/>
      <c r="C34" s="944"/>
      <c r="D34" s="2028"/>
      <c r="E34" s="944"/>
      <c r="F34" s="350">
        <f t="shared" si="11"/>
        <v>0</v>
      </c>
      <c r="G34" s="946"/>
      <c r="H34" s="350">
        <f t="shared" si="14"/>
        <v>0</v>
      </c>
      <c r="I34" s="946"/>
      <c r="J34" s="350">
        <f t="shared" si="3"/>
        <v>0</v>
      </c>
      <c r="K34" s="946"/>
      <c r="L34" s="350">
        <f t="shared" si="15"/>
        <v>0</v>
      </c>
      <c r="M34" s="350">
        <f t="shared" si="16"/>
        <v>0</v>
      </c>
      <c r="N34" s="350">
        <f t="shared" si="17"/>
        <v>0</v>
      </c>
      <c r="O34" s="946"/>
      <c r="P34" s="946"/>
      <c r="Q34" s="350">
        <f t="shared" si="18"/>
        <v>0</v>
      </c>
      <c r="R34" s="350">
        <f t="shared" si="7"/>
        <v>0</v>
      </c>
      <c r="S34" s="350">
        <f t="shared" si="19"/>
        <v>0</v>
      </c>
      <c r="T34" s="327">
        <f t="shared" si="20"/>
        <v>0</v>
      </c>
      <c r="U34" s="327">
        <f t="shared" si="21"/>
        <v>0</v>
      </c>
    </row>
    <row r="35" spans="1:21" ht="25.5" hidden="1" customHeight="1">
      <c r="A35" s="2025"/>
      <c r="B35" s="944"/>
      <c r="C35" s="944"/>
      <c r="D35" s="2028"/>
      <c r="E35" s="944"/>
      <c r="F35" s="350">
        <f t="shared" si="11"/>
        <v>0</v>
      </c>
      <c r="G35" s="946"/>
      <c r="H35" s="350">
        <f t="shared" si="14"/>
        <v>0</v>
      </c>
      <c r="I35" s="946"/>
      <c r="J35" s="350">
        <f t="shared" si="3"/>
        <v>0</v>
      </c>
      <c r="K35" s="946"/>
      <c r="L35" s="350">
        <f t="shared" si="15"/>
        <v>0</v>
      </c>
      <c r="M35" s="350">
        <f t="shared" si="16"/>
        <v>0</v>
      </c>
      <c r="N35" s="350">
        <f t="shared" si="17"/>
        <v>0</v>
      </c>
      <c r="O35" s="946"/>
      <c r="P35" s="946"/>
      <c r="Q35" s="350">
        <f t="shared" si="18"/>
        <v>0</v>
      </c>
      <c r="R35" s="350">
        <f t="shared" si="7"/>
        <v>0</v>
      </c>
      <c r="S35" s="350">
        <f t="shared" si="19"/>
        <v>0</v>
      </c>
      <c r="T35" s="327">
        <f t="shared" si="20"/>
        <v>0</v>
      </c>
      <c r="U35" s="327">
        <f t="shared" si="21"/>
        <v>0</v>
      </c>
    </row>
    <row r="36" spans="1:21" hidden="1">
      <c r="A36" s="2025"/>
      <c r="B36" s="944"/>
      <c r="C36" s="944"/>
      <c r="D36" s="2028"/>
      <c r="E36" s="944"/>
      <c r="F36" s="350">
        <f t="shared" si="11"/>
        <v>0</v>
      </c>
      <c r="G36" s="946"/>
      <c r="H36" s="350">
        <f t="shared" si="14"/>
        <v>0</v>
      </c>
      <c r="I36" s="946"/>
      <c r="J36" s="350">
        <f t="shared" si="3"/>
        <v>0</v>
      </c>
      <c r="K36" s="946"/>
      <c r="L36" s="350">
        <f t="shared" si="15"/>
        <v>0</v>
      </c>
      <c r="M36" s="350">
        <f t="shared" si="16"/>
        <v>0</v>
      </c>
      <c r="N36" s="350">
        <f t="shared" si="17"/>
        <v>0</v>
      </c>
      <c r="O36" s="946"/>
      <c r="P36" s="946"/>
      <c r="Q36" s="350">
        <f t="shared" si="18"/>
        <v>0</v>
      </c>
      <c r="R36" s="350">
        <f t="shared" si="7"/>
        <v>0</v>
      </c>
      <c r="S36" s="350">
        <f t="shared" si="19"/>
        <v>0</v>
      </c>
      <c r="T36" s="327">
        <f t="shared" si="20"/>
        <v>0</v>
      </c>
      <c r="U36" s="327">
        <f t="shared" si="21"/>
        <v>0</v>
      </c>
    </row>
    <row r="37" spans="1:21" ht="25.5" hidden="1" customHeight="1">
      <c r="A37" s="2025"/>
      <c r="B37" s="944"/>
      <c r="C37" s="944"/>
      <c r="D37" s="2028"/>
      <c r="E37" s="944"/>
      <c r="F37" s="350">
        <f t="shared" si="11"/>
        <v>0</v>
      </c>
      <c r="G37" s="946"/>
      <c r="H37" s="350">
        <f t="shared" si="14"/>
        <v>0</v>
      </c>
      <c r="I37" s="946"/>
      <c r="J37" s="350">
        <f t="shared" si="3"/>
        <v>0</v>
      </c>
      <c r="K37" s="946"/>
      <c r="L37" s="350">
        <f t="shared" si="15"/>
        <v>0</v>
      </c>
      <c r="M37" s="350">
        <f t="shared" si="16"/>
        <v>0</v>
      </c>
      <c r="N37" s="350">
        <f t="shared" si="17"/>
        <v>0</v>
      </c>
      <c r="O37" s="946"/>
      <c r="P37" s="946"/>
      <c r="Q37" s="350">
        <f t="shared" si="18"/>
        <v>0</v>
      </c>
      <c r="R37" s="350">
        <f t="shared" si="7"/>
        <v>0</v>
      </c>
      <c r="S37" s="350">
        <f t="shared" si="19"/>
        <v>0</v>
      </c>
      <c r="T37" s="327">
        <f t="shared" si="20"/>
        <v>0</v>
      </c>
      <c r="U37" s="327">
        <f t="shared" si="21"/>
        <v>0</v>
      </c>
    </row>
    <row r="38" spans="1:21" hidden="1">
      <c r="A38" s="2025"/>
      <c r="B38" s="944"/>
      <c r="C38" s="944"/>
      <c r="D38" s="2028"/>
      <c r="E38" s="944"/>
      <c r="F38" s="350">
        <f t="shared" si="11"/>
        <v>0</v>
      </c>
      <c r="G38" s="946"/>
      <c r="H38" s="350">
        <f t="shared" si="14"/>
        <v>0</v>
      </c>
      <c r="I38" s="946"/>
      <c r="J38" s="350">
        <f t="shared" si="3"/>
        <v>0</v>
      </c>
      <c r="K38" s="946"/>
      <c r="L38" s="350">
        <f t="shared" si="15"/>
        <v>0</v>
      </c>
      <c r="M38" s="350">
        <f t="shared" si="16"/>
        <v>0</v>
      </c>
      <c r="N38" s="350">
        <f t="shared" si="17"/>
        <v>0</v>
      </c>
      <c r="O38" s="946"/>
      <c r="P38" s="946"/>
      <c r="Q38" s="350">
        <f t="shared" si="18"/>
        <v>0</v>
      </c>
      <c r="R38" s="350">
        <f t="shared" si="7"/>
        <v>0</v>
      </c>
      <c r="S38" s="350">
        <f t="shared" si="19"/>
        <v>0</v>
      </c>
      <c r="T38" s="327">
        <f t="shared" si="20"/>
        <v>0</v>
      </c>
      <c r="U38" s="327">
        <f t="shared" si="21"/>
        <v>0</v>
      </c>
    </row>
    <row r="39" spans="1:21" ht="25.5" hidden="1" customHeight="1">
      <c r="A39" s="2025"/>
      <c r="B39" s="944"/>
      <c r="C39" s="944"/>
      <c r="D39" s="2028"/>
      <c r="E39" s="944"/>
      <c r="F39" s="350">
        <f t="shared" si="11"/>
        <v>0</v>
      </c>
      <c r="G39" s="946"/>
      <c r="H39" s="350">
        <f t="shared" si="14"/>
        <v>0</v>
      </c>
      <c r="I39" s="946"/>
      <c r="J39" s="350">
        <f t="shared" si="3"/>
        <v>0</v>
      </c>
      <c r="K39" s="946"/>
      <c r="L39" s="350">
        <f t="shared" si="15"/>
        <v>0</v>
      </c>
      <c r="M39" s="350">
        <f t="shared" si="16"/>
        <v>0</v>
      </c>
      <c r="N39" s="350">
        <f t="shared" si="17"/>
        <v>0</v>
      </c>
      <c r="O39" s="946"/>
      <c r="P39" s="946"/>
      <c r="Q39" s="350">
        <f t="shared" si="18"/>
        <v>0</v>
      </c>
      <c r="R39" s="350">
        <f t="shared" si="7"/>
        <v>0</v>
      </c>
      <c r="S39" s="350">
        <f t="shared" si="19"/>
        <v>0</v>
      </c>
      <c r="T39" s="327">
        <f t="shared" si="20"/>
        <v>0</v>
      </c>
      <c r="U39" s="327">
        <f t="shared" si="21"/>
        <v>0</v>
      </c>
    </row>
    <row r="40" spans="1:21" ht="25.5" hidden="1" customHeight="1">
      <c r="A40" s="2025"/>
      <c r="B40" s="944"/>
      <c r="C40" s="944"/>
      <c r="D40" s="2028"/>
      <c r="E40" s="944"/>
      <c r="F40" s="350">
        <f t="shared" si="11"/>
        <v>0</v>
      </c>
      <c r="G40" s="946"/>
      <c r="H40" s="350">
        <f t="shared" si="14"/>
        <v>0</v>
      </c>
      <c r="I40" s="946"/>
      <c r="J40" s="350">
        <f t="shared" si="3"/>
        <v>0</v>
      </c>
      <c r="K40" s="946"/>
      <c r="L40" s="350">
        <f t="shared" si="15"/>
        <v>0</v>
      </c>
      <c r="M40" s="350">
        <f t="shared" si="16"/>
        <v>0</v>
      </c>
      <c r="N40" s="350">
        <f t="shared" si="17"/>
        <v>0</v>
      </c>
      <c r="O40" s="946"/>
      <c r="P40" s="946"/>
      <c r="Q40" s="350">
        <f t="shared" si="18"/>
        <v>0</v>
      </c>
      <c r="R40" s="350">
        <f t="shared" si="7"/>
        <v>0</v>
      </c>
      <c r="S40" s="350">
        <f t="shared" si="19"/>
        <v>0</v>
      </c>
      <c r="T40" s="327">
        <f t="shared" si="20"/>
        <v>0</v>
      </c>
      <c r="U40" s="327">
        <f t="shared" si="21"/>
        <v>0</v>
      </c>
    </row>
    <row r="41" spans="1:21" ht="25.5" hidden="1" customHeight="1">
      <c r="A41" s="2025"/>
      <c r="B41" s="944"/>
      <c r="C41" s="944"/>
      <c r="D41" s="2028"/>
      <c r="E41" s="944"/>
      <c r="F41" s="350">
        <f t="shared" si="11"/>
        <v>0</v>
      </c>
      <c r="G41" s="946"/>
      <c r="H41" s="350">
        <f t="shared" si="14"/>
        <v>0</v>
      </c>
      <c r="I41" s="946"/>
      <c r="J41" s="350">
        <f t="shared" si="3"/>
        <v>0</v>
      </c>
      <c r="K41" s="946"/>
      <c r="L41" s="350">
        <f t="shared" si="15"/>
        <v>0</v>
      </c>
      <c r="M41" s="350">
        <f t="shared" si="16"/>
        <v>0</v>
      </c>
      <c r="N41" s="350">
        <f t="shared" si="17"/>
        <v>0</v>
      </c>
      <c r="O41" s="946"/>
      <c r="P41" s="946"/>
      <c r="Q41" s="350">
        <f t="shared" si="18"/>
        <v>0</v>
      </c>
      <c r="R41" s="350">
        <f t="shared" si="7"/>
        <v>0</v>
      </c>
      <c r="S41" s="350">
        <f t="shared" si="19"/>
        <v>0</v>
      </c>
      <c r="T41" s="327">
        <f t="shared" si="20"/>
        <v>0</v>
      </c>
      <c r="U41" s="327">
        <f t="shared" si="21"/>
        <v>0</v>
      </c>
    </row>
    <row r="42" spans="1:21" ht="25.5" hidden="1" customHeight="1">
      <c r="A42" s="2025"/>
      <c r="B42" s="944"/>
      <c r="C42" s="944"/>
      <c r="D42" s="2028"/>
      <c r="E42" s="944"/>
      <c r="F42" s="350">
        <f t="shared" si="11"/>
        <v>0</v>
      </c>
      <c r="G42" s="946"/>
      <c r="H42" s="350">
        <f t="shared" si="14"/>
        <v>0</v>
      </c>
      <c r="I42" s="946"/>
      <c r="J42" s="350">
        <f t="shared" si="3"/>
        <v>0</v>
      </c>
      <c r="K42" s="946"/>
      <c r="L42" s="350">
        <f t="shared" si="15"/>
        <v>0</v>
      </c>
      <c r="M42" s="350">
        <f t="shared" si="16"/>
        <v>0</v>
      </c>
      <c r="N42" s="350">
        <f t="shared" si="17"/>
        <v>0</v>
      </c>
      <c r="O42" s="946"/>
      <c r="P42" s="946"/>
      <c r="Q42" s="350">
        <f t="shared" si="18"/>
        <v>0</v>
      </c>
      <c r="R42" s="350">
        <f t="shared" si="7"/>
        <v>0</v>
      </c>
      <c r="S42" s="350">
        <f t="shared" si="19"/>
        <v>0</v>
      </c>
      <c r="T42" s="327">
        <f t="shared" si="20"/>
        <v>0</v>
      </c>
      <c r="U42" s="327">
        <f t="shared" si="21"/>
        <v>0</v>
      </c>
    </row>
    <row r="43" spans="1:21" hidden="1">
      <c r="A43" s="2025"/>
      <c r="B43" s="944"/>
      <c r="C43" s="944"/>
      <c r="D43" s="2028"/>
      <c r="E43" s="944"/>
      <c r="F43" s="350">
        <f t="shared" si="11"/>
        <v>0</v>
      </c>
      <c r="G43" s="946"/>
      <c r="H43" s="350">
        <f t="shared" si="14"/>
        <v>0</v>
      </c>
      <c r="I43" s="946"/>
      <c r="J43" s="350">
        <f t="shared" si="3"/>
        <v>0</v>
      </c>
      <c r="K43" s="946"/>
      <c r="L43" s="350">
        <f t="shared" si="15"/>
        <v>0</v>
      </c>
      <c r="M43" s="350">
        <f t="shared" si="16"/>
        <v>0</v>
      </c>
      <c r="N43" s="350">
        <f t="shared" si="17"/>
        <v>0</v>
      </c>
      <c r="O43" s="946"/>
      <c r="P43" s="946"/>
      <c r="Q43" s="350">
        <f t="shared" si="18"/>
        <v>0</v>
      </c>
      <c r="R43" s="350">
        <f t="shared" si="7"/>
        <v>0</v>
      </c>
      <c r="S43" s="350">
        <f t="shared" si="19"/>
        <v>0</v>
      </c>
      <c r="T43" s="327">
        <f t="shared" si="20"/>
        <v>0</v>
      </c>
      <c r="U43" s="327">
        <f t="shared" si="21"/>
        <v>0</v>
      </c>
    </row>
    <row r="44" spans="1:21" hidden="1">
      <c r="A44" s="2025"/>
      <c r="B44" s="944"/>
      <c r="C44" s="944"/>
      <c r="D44" s="2028"/>
      <c r="E44" s="944"/>
      <c r="F44" s="350">
        <f t="shared" si="11"/>
        <v>0</v>
      </c>
      <c r="G44" s="946"/>
      <c r="H44" s="350">
        <f t="shared" si="14"/>
        <v>0</v>
      </c>
      <c r="I44" s="946"/>
      <c r="J44" s="350">
        <f t="shared" si="3"/>
        <v>0</v>
      </c>
      <c r="K44" s="946"/>
      <c r="L44" s="350">
        <f t="shared" si="15"/>
        <v>0</v>
      </c>
      <c r="M44" s="350">
        <f t="shared" si="16"/>
        <v>0</v>
      </c>
      <c r="N44" s="350">
        <f t="shared" si="17"/>
        <v>0</v>
      </c>
      <c r="O44" s="946"/>
      <c r="P44" s="946"/>
      <c r="Q44" s="350">
        <f t="shared" si="18"/>
        <v>0</v>
      </c>
      <c r="R44" s="350">
        <f t="shared" si="7"/>
        <v>0</v>
      </c>
      <c r="S44" s="350">
        <f t="shared" si="19"/>
        <v>0</v>
      </c>
      <c r="T44" s="327">
        <f t="shared" si="20"/>
        <v>0</v>
      </c>
      <c r="U44" s="327">
        <f t="shared" si="21"/>
        <v>0</v>
      </c>
    </row>
    <row r="45" spans="1:21" ht="25.5" hidden="1" customHeight="1">
      <c r="A45" s="2025"/>
      <c r="B45" s="944"/>
      <c r="C45" s="944"/>
      <c r="D45" s="2028"/>
      <c r="E45" s="944"/>
      <c r="F45" s="350">
        <f>ROUNDUP((E45*$Q$5),-3)</f>
        <v>0</v>
      </c>
      <c r="G45" s="946"/>
      <c r="H45" s="350">
        <f>D45*F45*G45</f>
        <v>0</v>
      </c>
      <c r="I45" s="946"/>
      <c r="J45" s="350">
        <f>I45*$Q$4</f>
        <v>0</v>
      </c>
      <c r="K45" s="946"/>
      <c r="L45" s="350">
        <f>K45*F45</f>
        <v>0</v>
      </c>
      <c r="M45" s="350">
        <f>D45*G45*(J45+L45)</f>
        <v>0</v>
      </c>
      <c r="N45" s="350">
        <f>H45+M45</f>
        <v>0</v>
      </c>
      <c r="O45" s="946"/>
      <c r="P45" s="946"/>
      <c r="Q45" s="350">
        <f>N45+O45+P45</f>
        <v>0</v>
      </c>
      <c r="R45" s="350">
        <f>Q45*10%</f>
        <v>0</v>
      </c>
      <c r="S45" s="350">
        <f>(Q45-R45)*10%</f>
        <v>0</v>
      </c>
      <c r="T45" s="327">
        <f>(Q45-R45)*6%</f>
        <v>0</v>
      </c>
      <c r="U45" s="327">
        <f>(Q45-R45)*5%</f>
        <v>0</v>
      </c>
    </row>
    <row r="46" spans="1:21" ht="38.25" hidden="1" customHeight="1">
      <c r="A46" s="2025"/>
      <c r="B46" s="944"/>
      <c r="C46" s="944"/>
      <c r="D46" s="2028"/>
      <c r="E46" s="944"/>
      <c r="F46" s="350">
        <f t="shared" si="11"/>
        <v>0</v>
      </c>
      <c r="G46" s="946"/>
      <c r="H46" s="350">
        <f t="shared" ref="H46:H61" si="22">D46*F46*G46</f>
        <v>0</v>
      </c>
      <c r="I46" s="946"/>
      <c r="J46" s="350">
        <f t="shared" si="3"/>
        <v>0</v>
      </c>
      <c r="K46" s="946"/>
      <c r="L46" s="350">
        <f t="shared" ref="L46:L61" si="23">K46*F46</f>
        <v>0</v>
      </c>
      <c r="M46" s="350">
        <f t="shared" ref="M46:M61" si="24">D46*G46*(J46+L46)</f>
        <v>0</v>
      </c>
      <c r="N46" s="350">
        <f t="shared" ref="N46:N61" si="25">H46+M46</f>
        <v>0</v>
      </c>
      <c r="O46" s="946"/>
      <c r="P46" s="946"/>
      <c r="Q46" s="350">
        <f t="shared" ref="Q46:Q61" si="26">N46+O46+P46</f>
        <v>0</v>
      </c>
      <c r="R46" s="350">
        <f t="shared" si="7"/>
        <v>0</v>
      </c>
      <c r="S46" s="350">
        <f t="shared" ref="S46:S61" si="27">(Q46-R46)*10%</f>
        <v>0</v>
      </c>
      <c r="T46" s="327">
        <f t="shared" ref="T46:T61" si="28">(Q46-R46)*6%</f>
        <v>0</v>
      </c>
      <c r="U46" s="327">
        <f t="shared" ref="U46:U61" si="29">(Q46-R46)*5%</f>
        <v>0</v>
      </c>
    </row>
    <row r="47" spans="1:21" ht="38.25" hidden="1" customHeight="1">
      <c r="A47" s="2025"/>
      <c r="B47" s="944"/>
      <c r="C47" s="944"/>
      <c r="D47" s="2028"/>
      <c r="E47" s="944"/>
      <c r="F47" s="350">
        <f t="shared" si="11"/>
        <v>0</v>
      </c>
      <c r="G47" s="946"/>
      <c r="H47" s="350">
        <f t="shared" si="22"/>
        <v>0</v>
      </c>
      <c r="I47" s="946"/>
      <c r="J47" s="350">
        <f t="shared" si="3"/>
        <v>0</v>
      </c>
      <c r="K47" s="946"/>
      <c r="L47" s="350">
        <f t="shared" si="23"/>
        <v>0</v>
      </c>
      <c r="M47" s="350">
        <f t="shared" si="24"/>
        <v>0</v>
      </c>
      <c r="N47" s="350">
        <f t="shared" si="25"/>
        <v>0</v>
      </c>
      <c r="O47" s="946"/>
      <c r="P47" s="946"/>
      <c r="Q47" s="350">
        <f t="shared" si="26"/>
        <v>0</v>
      </c>
      <c r="R47" s="350">
        <f t="shared" si="7"/>
        <v>0</v>
      </c>
      <c r="S47" s="350">
        <f t="shared" si="27"/>
        <v>0</v>
      </c>
      <c r="T47" s="327">
        <f t="shared" si="28"/>
        <v>0</v>
      </c>
      <c r="U47" s="327">
        <f t="shared" si="29"/>
        <v>0</v>
      </c>
    </row>
    <row r="48" spans="1:21" ht="25.5" hidden="1" customHeight="1">
      <c r="A48" s="2025"/>
      <c r="B48" s="944"/>
      <c r="C48" s="944"/>
      <c r="D48" s="2028"/>
      <c r="E48" s="944"/>
      <c r="F48" s="350">
        <f t="shared" si="11"/>
        <v>0</v>
      </c>
      <c r="G48" s="946"/>
      <c r="H48" s="350">
        <f t="shared" si="22"/>
        <v>0</v>
      </c>
      <c r="I48" s="946"/>
      <c r="J48" s="350">
        <f t="shared" si="3"/>
        <v>0</v>
      </c>
      <c r="K48" s="946"/>
      <c r="L48" s="350">
        <f t="shared" si="23"/>
        <v>0</v>
      </c>
      <c r="M48" s="350">
        <f t="shared" si="24"/>
        <v>0</v>
      </c>
      <c r="N48" s="350">
        <f t="shared" si="25"/>
        <v>0</v>
      </c>
      <c r="O48" s="946"/>
      <c r="P48" s="946"/>
      <c r="Q48" s="350">
        <f t="shared" si="26"/>
        <v>0</v>
      </c>
      <c r="R48" s="350">
        <f t="shared" si="7"/>
        <v>0</v>
      </c>
      <c r="S48" s="350">
        <f t="shared" si="27"/>
        <v>0</v>
      </c>
      <c r="T48" s="327">
        <f t="shared" si="28"/>
        <v>0</v>
      </c>
      <c r="U48" s="327">
        <f t="shared" si="29"/>
        <v>0</v>
      </c>
    </row>
    <row r="49" spans="1:21" ht="25.5" hidden="1" customHeight="1">
      <c r="A49" s="2025"/>
      <c r="B49" s="944"/>
      <c r="C49" s="944"/>
      <c r="D49" s="2028"/>
      <c r="E49" s="944"/>
      <c r="F49" s="350">
        <f t="shared" si="11"/>
        <v>0</v>
      </c>
      <c r="G49" s="946"/>
      <c r="H49" s="350">
        <f t="shared" si="22"/>
        <v>0</v>
      </c>
      <c r="I49" s="946"/>
      <c r="J49" s="350">
        <f t="shared" si="3"/>
        <v>0</v>
      </c>
      <c r="K49" s="946"/>
      <c r="L49" s="350">
        <f t="shared" si="23"/>
        <v>0</v>
      </c>
      <c r="M49" s="350">
        <f t="shared" si="24"/>
        <v>0</v>
      </c>
      <c r="N49" s="350">
        <f t="shared" si="25"/>
        <v>0</v>
      </c>
      <c r="O49" s="946"/>
      <c r="P49" s="946"/>
      <c r="Q49" s="350">
        <f t="shared" si="26"/>
        <v>0</v>
      </c>
      <c r="R49" s="350">
        <f t="shared" si="7"/>
        <v>0</v>
      </c>
      <c r="S49" s="350">
        <f t="shared" si="27"/>
        <v>0</v>
      </c>
      <c r="T49" s="327">
        <f t="shared" si="28"/>
        <v>0</v>
      </c>
      <c r="U49" s="327">
        <f t="shared" si="29"/>
        <v>0</v>
      </c>
    </row>
    <row r="50" spans="1:21" ht="38.25" hidden="1" customHeight="1">
      <c r="A50" s="2025"/>
      <c r="B50" s="944"/>
      <c r="C50" s="944"/>
      <c r="D50" s="2028"/>
      <c r="E50" s="944"/>
      <c r="F50" s="350">
        <f t="shared" si="11"/>
        <v>0</v>
      </c>
      <c r="G50" s="946"/>
      <c r="H50" s="350">
        <f t="shared" si="22"/>
        <v>0</v>
      </c>
      <c r="I50" s="946"/>
      <c r="J50" s="350">
        <f t="shared" si="3"/>
        <v>0</v>
      </c>
      <c r="K50" s="946"/>
      <c r="L50" s="350">
        <f t="shared" si="23"/>
        <v>0</v>
      </c>
      <c r="M50" s="350">
        <f t="shared" si="24"/>
        <v>0</v>
      </c>
      <c r="N50" s="350">
        <f t="shared" si="25"/>
        <v>0</v>
      </c>
      <c r="O50" s="946"/>
      <c r="P50" s="946"/>
      <c r="Q50" s="350">
        <f t="shared" si="26"/>
        <v>0</v>
      </c>
      <c r="R50" s="350">
        <f t="shared" si="7"/>
        <v>0</v>
      </c>
      <c r="S50" s="350">
        <f t="shared" si="27"/>
        <v>0</v>
      </c>
      <c r="T50" s="327">
        <f t="shared" si="28"/>
        <v>0</v>
      </c>
      <c r="U50" s="327">
        <f t="shared" si="29"/>
        <v>0</v>
      </c>
    </row>
    <row r="51" spans="1:21" hidden="1">
      <c r="A51" s="2025"/>
      <c r="B51" s="944"/>
      <c r="C51" s="944"/>
      <c r="D51" s="2028"/>
      <c r="E51" s="944"/>
      <c r="F51" s="350">
        <f t="shared" si="11"/>
        <v>0</v>
      </c>
      <c r="G51" s="946"/>
      <c r="H51" s="350">
        <f t="shared" si="22"/>
        <v>0</v>
      </c>
      <c r="I51" s="946"/>
      <c r="J51" s="350">
        <f t="shared" si="3"/>
        <v>0</v>
      </c>
      <c r="K51" s="946"/>
      <c r="L51" s="350">
        <f t="shared" si="23"/>
        <v>0</v>
      </c>
      <c r="M51" s="350">
        <f t="shared" si="24"/>
        <v>0</v>
      </c>
      <c r="N51" s="350">
        <f t="shared" si="25"/>
        <v>0</v>
      </c>
      <c r="O51" s="946"/>
      <c r="P51" s="946"/>
      <c r="Q51" s="350">
        <f t="shared" si="26"/>
        <v>0</v>
      </c>
      <c r="R51" s="350">
        <f t="shared" si="7"/>
        <v>0</v>
      </c>
      <c r="S51" s="350">
        <f t="shared" si="27"/>
        <v>0</v>
      </c>
      <c r="T51" s="327">
        <f t="shared" si="28"/>
        <v>0</v>
      </c>
      <c r="U51" s="327">
        <f t="shared" si="29"/>
        <v>0</v>
      </c>
    </row>
    <row r="52" spans="1:21" ht="25.5" hidden="1" customHeight="1">
      <c r="A52" s="2025"/>
      <c r="B52" s="944"/>
      <c r="C52" s="944"/>
      <c r="D52" s="2028"/>
      <c r="E52" s="944"/>
      <c r="F52" s="350">
        <f t="shared" si="11"/>
        <v>0</v>
      </c>
      <c r="G52" s="946"/>
      <c r="H52" s="350">
        <f t="shared" si="22"/>
        <v>0</v>
      </c>
      <c r="I52" s="946"/>
      <c r="J52" s="350">
        <f t="shared" si="3"/>
        <v>0</v>
      </c>
      <c r="K52" s="946"/>
      <c r="L52" s="350">
        <f t="shared" si="23"/>
        <v>0</v>
      </c>
      <c r="M52" s="350">
        <f t="shared" si="24"/>
        <v>0</v>
      </c>
      <c r="N52" s="350">
        <f t="shared" si="25"/>
        <v>0</v>
      </c>
      <c r="O52" s="946"/>
      <c r="P52" s="946"/>
      <c r="Q52" s="350">
        <f t="shared" si="26"/>
        <v>0</v>
      </c>
      <c r="R52" s="350">
        <f t="shared" si="7"/>
        <v>0</v>
      </c>
      <c r="S52" s="350">
        <f t="shared" si="27"/>
        <v>0</v>
      </c>
      <c r="T52" s="327">
        <f t="shared" si="28"/>
        <v>0</v>
      </c>
      <c r="U52" s="327">
        <f t="shared" si="29"/>
        <v>0</v>
      </c>
    </row>
    <row r="53" spans="1:21" ht="25.5" hidden="1" customHeight="1">
      <c r="A53" s="2025"/>
      <c r="B53" s="944"/>
      <c r="C53" s="944"/>
      <c r="D53" s="2028"/>
      <c r="E53" s="944"/>
      <c r="F53" s="350">
        <f t="shared" si="11"/>
        <v>0</v>
      </c>
      <c r="G53" s="946"/>
      <c r="H53" s="350">
        <f t="shared" si="22"/>
        <v>0</v>
      </c>
      <c r="I53" s="946"/>
      <c r="J53" s="350">
        <f t="shared" si="3"/>
        <v>0</v>
      </c>
      <c r="K53" s="946"/>
      <c r="L53" s="350">
        <f t="shared" si="23"/>
        <v>0</v>
      </c>
      <c r="M53" s="350">
        <f t="shared" si="24"/>
        <v>0</v>
      </c>
      <c r="N53" s="350">
        <f t="shared" si="25"/>
        <v>0</v>
      </c>
      <c r="O53" s="946"/>
      <c r="P53" s="946"/>
      <c r="Q53" s="350">
        <f t="shared" si="26"/>
        <v>0</v>
      </c>
      <c r="R53" s="350">
        <f t="shared" si="7"/>
        <v>0</v>
      </c>
      <c r="S53" s="350">
        <f t="shared" si="27"/>
        <v>0</v>
      </c>
      <c r="T53" s="327">
        <f t="shared" si="28"/>
        <v>0</v>
      </c>
      <c r="U53" s="327">
        <f t="shared" si="29"/>
        <v>0</v>
      </c>
    </row>
    <row r="54" spans="1:21" ht="25.5" hidden="1" customHeight="1">
      <c r="A54" s="2025"/>
      <c r="B54" s="944"/>
      <c r="C54" s="944"/>
      <c r="D54" s="2028"/>
      <c r="E54" s="944"/>
      <c r="F54" s="350">
        <f t="shared" si="11"/>
        <v>0</v>
      </c>
      <c r="G54" s="946"/>
      <c r="H54" s="350">
        <f t="shared" si="22"/>
        <v>0</v>
      </c>
      <c r="I54" s="946"/>
      <c r="J54" s="350">
        <f t="shared" si="3"/>
        <v>0</v>
      </c>
      <c r="K54" s="946"/>
      <c r="L54" s="350">
        <f t="shared" si="23"/>
        <v>0</v>
      </c>
      <c r="M54" s="350">
        <f t="shared" si="24"/>
        <v>0</v>
      </c>
      <c r="N54" s="350">
        <f t="shared" si="25"/>
        <v>0</v>
      </c>
      <c r="O54" s="946"/>
      <c r="P54" s="946"/>
      <c r="Q54" s="350">
        <f t="shared" si="26"/>
        <v>0</v>
      </c>
      <c r="R54" s="350">
        <f t="shared" si="7"/>
        <v>0</v>
      </c>
      <c r="S54" s="350">
        <f t="shared" si="27"/>
        <v>0</v>
      </c>
      <c r="T54" s="327">
        <f t="shared" si="28"/>
        <v>0</v>
      </c>
      <c r="U54" s="327">
        <f t="shared" si="29"/>
        <v>0</v>
      </c>
    </row>
    <row r="55" spans="1:21" hidden="1">
      <c r="A55" s="2025"/>
      <c r="B55" s="944"/>
      <c r="C55" s="944"/>
      <c r="D55" s="2028"/>
      <c r="E55" s="944"/>
      <c r="F55" s="350">
        <f t="shared" si="11"/>
        <v>0</v>
      </c>
      <c r="G55" s="946"/>
      <c r="H55" s="350">
        <f t="shared" si="22"/>
        <v>0</v>
      </c>
      <c r="I55" s="946"/>
      <c r="J55" s="350">
        <f t="shared" si="3"/>
        <v>0</v>
      </c>
      <c r="K55" s="946"/>
      <c r="L55" s="350">
        <f t="shared" si="23"/>
        <v>0</v>
      </c>
      <c r="M55" s="350">
        <f t="shared" si="24"/>
        <v>0</v>
      </c>
      <c r="N55" s="350">
        <f t="shared" si="25"/>
        <v>0</v>
      </c>
      <c r="O55" s="946"/>
      <c r="P55" s="946"/>
      <c r="Q55" s="350">
        <f t="shared" si="26"/>
        <v>0</v>
      </c>
      <c r="R55" s="350">
        <f t="shared" si="7"/>
        <v>0</v>
      </c>
      <c r="S55" s="350">
        <f t="shared" si="27"/>
        <v>0</v>
      </c>
      <c r="T55" s="327">
        <f t="shared" si="28"/>
        <v>0</v>
      </c>
      <c r="U55" s="327">
        <f t="shared" si="29"/>
        <v>0</v>
      </c>
    </row>
    <row r="56" spans="1:21" hidden="1">
      <c r="A56" s="2025"/>
      <c r="B56" s="944"/>
      <c r="C56" s="944"/>
      <c r="D56" s="2028"/>
      <c r="E56" s="944"/>
      <c r="F56" s="350">
        <f t="shared" si="11"/>
        <v>0</v>
      </c>
      <c r="G56" s="946"/>
      <c r="H56" s="350">
        <f t="shared" si="22"/>
        <v>0</v>
      </c>
      <c r="I56" s="946"/>
      <c r="J56" s="350">
        <f t="shared" si="3"/>
        <v>0</v>
      </c>
      <c r="K56" s="946"/>
      <c r="L56" s="350">
        <f t="shared" si="23"/>
        <v>0</v>
      </c>
      <c r="M56" s="350">
        <f t="shared" si="24"/>
        <v>0</v>
      </c>
      <c r="N56" s="350">
        <f t="shared" si="25"/>
        <v>0</v>
      </c>
      <c r="O56" s="946"/>
      <c r="P56" s="946"/>
      <c r="Q56" s="350">
        <f t="shared" si="26"/>
        <v>0</v>
      </c>
      <c r="R56" s="350">
        <f t="shared" si="7"/>
        <v>0</v>
      </c>
      <c r="S56" s="350">
        <f t="shared" si="27"/>
        <v>0</v>
      </c>
      <c r="T56" s="327">
        <f t="shared" si="28"/>
        <v>0</v>
      </c>
      <c r="U56" s="327">
        <f t="shared" si="29"/>
        <v>0</v>
      </c>
    </row>
    <row r="57" spans="1:21" ht="25.5" hidden="1" customHeight="1">
      <c r="A57" s="2025"/>
      <c r="B57" s="944"/>
      <c r="C57" s="944"/>
      <c r="D57" s="2028"/>
      <c r="E57" s="944"/>
      <c r="F57" s="350">
        <f t="shared" si="11"/>
        <v>0</v>
      </c>
      <c r="G57" s="946"/>
      <c r="H57" s="350">
        <f t="shared" si="22"/>
        <v>0</v>
      </c>
      <c r="I57" s="946"/>
      <c r="J57" s="350">
        <f t="shared" si="3"/>
        <v>0</v>
      </c>
      <c r="K57" s="946"/>
      <c r="L57" s="350">
        <f t="shared" si="23"/>
        <v>0</v>
      </c>
      <c r="M57" s="350">
        <f t="shared" si="24"/>
        <v>0</v>
      </c>
      <c r="N57" s="350">
        <f t="shared" si="25"/>
        <v>0</v>
      </c>
      <c r="O57" s="946"/>
      <c r="P57" s="946"/>
      <c r="Q57" s="350">
        <f t="shared" si="26"/>
        <v>0</v>
      </c>
      <c r="R57" s="350">
        <f t="shared" si="7"/>
        <v>0</v>
      </c>
      <c r="S57" s="350">
        <f t="shared" si="27"/>
        <v>0</v>
      </c>
      <c r="T57" s="327">
        <f t="shared" si="28"/>
        <v>0</v>
      </c>
      <c r="U57" s="327">
        <f t="shared" si="29"/>
        <v>0</v>
      </c>
    </row>
    <row r="58" spans="1:21" hidden="1">
      <c r="A58" s="2025"/>
      <c r="B58" s="944"/>
      <c r="C58" s="944"/>
      <c r="D58" s="2028"/>
      <c r="E58" s="944"/>
      <c r="F58" s="350">
        <f t="shared" si="11"/>
        <v>0</v>
      </c>
      <c r="G58" s="946"/>
      <c r="H58" s="350">
        <f t="shared" si="22"/>
        <v>0</v>
      </c>
      <c r="I58" s="946"/>
      <c r="J58" s="350">
        <f t="shared" si="3"/>
        <v>0</v>
      </c>
      <c r="K58" s="946"/>
      <c r="L58" s="350">
        <f t="shared" si="23"/>
        <v>0</v>
      </c>
      <c r="M58" s="350">
        <f t="shared" si="24"/>
        <v>0</v>
      </c>
      <c r="N58" s="350">
        <f t="shared" si="25"/>
        <v>0</v>
      </c>
      <c r="O58" s="946"/>
      <c r="P58" s="946"/>
      <c r="Q58" s="350">
        <f t="shared" si="26"/>
        <v>0</v>
      </c>
      <c r="R58" s="350">
        <f t="shared" si="7"/>
        <v>0</v>
      </c>
      <c r="S58" s="350">
        <f t="shared" si="27"/>
        <v>0</v>
      </c>
      <c r="T58" s="327">
        <f t="shared" si="28"/>
        <v>0</v>
      </c>
      <c r="U58" s="327">
        <f t="shared" si="29"/>
        <v>0</v>
      </c>
    </row>
    <row r="59" spans="1:21" hidden="1">
      <c r="A59" s="2025"/>
      <c r="B59" s="944"/>
      <c r="C59" s="944"/>
      <c r="D59" s="2028"/>
      <c r="E59" s="944"/>
      <c r="F59" s="350">
        <f t="shared" si="11"/>
        <v>0</v>
      </c>
      <c r="G59" s="946"/>
      <c r="H59" s="350">
        <f t="shared" si="22"/>
        <v>0</v>
      </c>
      <c r="I59" s="946"/>
      <c r="J59" s="350">
        <f t="shared" si="3"/>
        <v>0</v>
      </c>
      <c r="K59" s="946"/>
      <c r="L59" s="350">
        <f t="shared" si="23"/>
        <v>0</v>
      </c>
      <c r="M59" s="350">
        <f t="shared" si="24"/>
        <v>0</v>
      </c>
      <c r="N59" s="350">
        <f t="shared" si="25"/>
        <v>0</v>
      </c>
      <c r="O59" s="946"/>
      <c r="P59" s="946"/>
      <c r="Q59" s="350">
        <f t="shared" si="26"/>
        <v>0</v>
      </c>
      <c r="R59" s="350">
        <f t="shared" si="7"/>
        <v>0</v>
      </c>
      <c r="S59" s="350">
        <f t="shared" si="27"/>
        <v>0</v>
      </c>
      <c r="T59" s="327">
        <f t="shared" si="28"/>
        <v>0</v>
      </c>
      <c r="U59" s="327">
        <f t="shared" si="29"/>
        <v>0</v>
      </c>
    </row>
    <row r="60" spans="1:21" hidden="1">
      <c r="A60" s="2025"/>
      <c r="B60" s="944"/>
      <c r="C60" s="944"/>
      <c r="D60" s="2028"/>
      <c r="E60" s="944"/>
      <c r="F60" s="350">
        <f t="shared" si="11"/>
        <v>0</v>
      </c>
      <c r="G60" s="946"/>
      <c r="H60" s="350">
        <f t="shared" si="22"/>
        <v>0</v>
      </c>
      <c r="I60" s="946"/>
      <c r="J60" s="350">
        <f t="shared" si="3"/>
        <v>0</v>
      </c>
      <c r="K60" s="946"/>
      <c r="L60" s="350">
        <f t="shared" si="23"/>
        <v>0</v>
      </c>
      <c r="M60" s="350">
        <f t="shared" si="24"/>
        <v>0</v>
      </c>
      <c r="N60" s="350">
        <f t="shared" si="25"/>
        <v>0</v>
      </c>
      <c r="O60" s="946"/>
      <c r="P60" s="946"/>
      <c r="Q60" s="350">
        <f t="shared" si="26"/>
        <v>0</v>
      </c>
      <c r="R60" s="350">
        <f t="shared" si="7"/>
        <v>0</v>
      </c>
      <c r="S60" s="350">
        <f t="shared" si="27"/>
        <v>0</v>
      </c>
      <c r="T60" s="327">
        <f t="shared" si="28"/>
        <v>0</v>
      </c>
      <c r="U60" s="327">
        <f t="shared" si="29"/>
        <v>0</v>
      </c>
    </row>
    <row r="61" spans="1:21" ht="25.5" hidden="1" customHeight="1">
      <c r="A61" s="2025"/>
      <c r="B61" s="944"/>
      <c r="C61" s="944"/>
      <c r="D61" s="2028"/>
      <c r="E61" s="944"/>
      <c r="F61" s="350">
        <f t="shared" si="11"/>
        <v>0</v>
      </c>
      <c r="G61" s="946"/>
      <c r="H61" s="350">
        <f t="shared" si="22"/>
        <v>0</v>
      </c>
      <c r="I61" s="946"/>
      <c r="J61" s="350">
        <f t="shared" si="3"/>
        <v>0</v>
      </c>
      <c r="K61" s="946"/>
      <c r="L61" s="350">
        <f t="shared" si="23"/>
        <v>0</v>
      </c>
      <c r="M61" s="350">
        <f t="shared" si="24"/>
        <v>0</v>
      </c>
      <c r="N61" s="350">
        <f t="shared" si="25"/>
        <v>0</v>
      </c>
      <c r="O61" s="946"/>
      <c r="P61" s="946"/>
      <c r="Q61" s="350">
        <f t="shared" si="26"/>
        <v>0</v>
      </c>
      <c r="R61" s="350">
        <f t="shared" si="7"/>
        <v>0</v>
      </c>
      <c r="S61" s="350">
        <f t="shared" si="27"/>
        <v>0</v>
      </c>
      <c r="T61" s="327">
        <f t="shared" si="28"/>
        <v>0</v>
      </c>
      <c r="U61" s="327">
        <f t="shared" si="29"/>
        <v>0</v>
      </c>
    </row>
    <row r="62" spans="1:21" ht="25.5" hidden="1" customHeight="1">
      <c r="A62" s="2025"/>
      <c r="B62" s="942" t="s">
        <v>525</v>
      </c>
      <c r="C62" s="942"/>
      <c r="D62" s="2024">
        <f>SUM(D63:D98)</f>
        <v>0</v>
      </c>
      <c r="E62" s="942"/>
      <c r="F62" s="350">
        <f>SUM(F63:F98)</f>
        <v>0</v>
      </c>
      <c r="G62" s="946"/>
      <c r="H62" s="350">
        <f>SUM(H63:H98)</f>
        <v>0</v>
      </c>
      <c r="I62" s="946"/>
      <c r="J62" s="350">
        <f>SUM(J63:J98)</f>
        <v>0</v>
      </c>
      <c r="K62" s="946"/>
      <c r="L62" s="350">
        <f t="shared" ref="L62:U62" si="30">SUM(L63:L98)</f>
        <v>0</v>
      </c>
      <c r="M62" s="350">
        <f t="shared" si="30"/>
        <v>0</v>
      </c>
      <c r="N62" s="350">
        <f t="shared" si="30"/>
        <v>0</v>
      </c>
      <c r="O62" s="350">
        <f t="shared" si="30"/>
        <v>0</v>
      </c>
      <c r="P62" s="350">
        <f t="shared" si="30"/>
        <v>0</v>
      </c>
      <c r="Q62" s="350">
        <f t="shared" si="30"/>
        <v>0</v>
      </c>
      <c r="R62" s="350">
        <f t="shared" si="30"/>
        <v>0</v>
      </c>
      <c r="S62" s="350">
        <f t="shared" si="30"/>
        <v>0</v>
      </c>
      <c r="T62" s="350">
        <f t="shared" si="30"/>
        <v>0</v>
      </c>
      <c r="U62" s="350">
        <f t="shared" si="30"/>
        <v>0</v>
      </c>
    </row>
    <row r="63" spans="1:21" ht="51" hidden="1" customHeight="1">
      <c r="A63" s="2025"/>
      <c r="B63" s="944" t="s">
        <v>526</v>
      </c>
      <c r="C63" s="944"/>
      <c r="D63" s="2028"/>
      <c r="E63" s="944"/>
      <c r="F63" s="350">
        <f>ROUNDUP((E63*$Q$5),-3)</f>
        <v>0</v>
      </c>
      <c r="G63" s="946"/>
      <c r="H63" s="350">
        <f>D63*F63*G63</f>
        <v>0</v>
      </c>
      <c r="I63" s="946"/>
      <c r="J63" s="350">
        <f>I63*$Q$4</f>
        <v>0</v>
      </c>
      <c r="K63" s="946"/>
      <c r="L63" s="350">
        <f>K63*F63</f>
        <v>0</v>
      </c>
      <c r="M63" s="350">
        <f>D63*G63*(J63+L63)</f>
        <v>0</v>
      </c>
      <c r="N63" s="350">
        <f>H63+M63</f>
        <v>0</v>
      </c>
      <c r="O63" s="946"/>
      <c r="P63" s="946"/>
      <c r="Q63" s="350">
        <f>N63+O63+P63</f>
        <v>0</v>
      </c>
      <c r="R63" s="350">
        <f>Q63*10%</f>
        <v>0</v>
      </c>
      <c r="S63" s="350">
        <f>(Q63-R63)*10%</f>
        <v>0</v>
      </c>
      <c r="T63" s="327">
        <f>(Q63-R63)*6%</f>
        <v>0</v>
      </c>
      <c r="U63" s="327">
        <f>(Q63-R63)*5%</f>
        <v>0</v>
      </c>
    </row>
    <row r="64" spans="1:21" hidden="1">
      <c r="A64" s="2025"/>
      <c r="B64" s="942"/>
      <c r="C64" s="944"/>
      <c r="D64" s="2028"/>
      <c r="E64" s="944"/>
      <c r="F64" s="350">
        <f>ROUNDUP((E64*$Q$5),-3)</f>
        <v>0</v>
      </c>
      <c r="G64" s="946"/>
      <c r="H64" s="350">
        <f>D64*F64*G64</f>
        <v>0</v>
      </c>
      <c r="I64" s="946"/>
      <c r="J64" s="350">
        <f>I64*$Q$4</f>
        <v>0</v>
      </c>
      <c r="K64" s="946"/>
      <c r="L64" s="350">
        <f>K64*F64</f>
        <v>0</v>
      </c>
      <c r="M64" s="350">
        <f>D64*G64*(J64+L64)</f>
        <v>0</v>
      </c>
      <c r="N64" s="350">
        <f>H64+M64</f>
        <v>0</v>
      </c>
      <c r="O64" s="946"/>
      <c r="P64" s="946"/>
      <c r="Q64" s="350">
        <f>N64+O64+P64</f>
        <v>0</v>
      </c>
      <c r="R64" s="350">
        <f>Q64*10%</f>
        <v>0</v>
      </c>
      <c r="S64" s="350">
        <f>(Q64-R64)*10%</f>
        <v>0</v>
      </c>
      <c r="T64" s="327">
        <f>(Q64-R64)*6%</f>
        <v>0</v>
      </c>
      <c r="U64" s="327">
        <f>(Q64-R64)*5%</f>
        <v>0</v>
      </c>
    </row>
    <row r="65" spans="1:21" hidden="1">
      <c r="A65" s="2025"/>
      <c r="B65" s="944"/>
      <c r="C65" s="944"/>
      <c r="D65" s="2028"/>
      <c r="E65" s="944"/>
      <c r="F65" s="350">
        <f>ROUNDUP((E65*$Q$5),-3)</f>
        <v>0</v>
      </c>
      <c r="G65" s="946"/>
      <c r="H65" s="350">
        <f>D65*F65*G65</f>
        <v>0</v>
      </c>
      <c r="I65" s="946"/>
      <c r="J65" s="350">
        <f>I65*$Q$4</f>
        <v>0</v>
      </c>
      <c r="K65" s="946"/>
      <c r="L65" s="350">
        <f>K65*F65</f>
        <v>0</v>
      </c>
      <c r="M65" s="350">
        <f>D65*G65*(J65+L65)</f>
        <v>0</v>
      </c>
      <c r="N65" s="350">
        <f>H65+M65</f>
        <v>0</v>
      </c>
      <c r="O65" s="946"/>
      <c r="P65" s="946"/>
      <c r="Q65" s="350">
        <f>N65+O65+P65</f>
        <v>0</v>
      </c>
      <c r="R65" s="350">
        <f>Q65*10%</f>
        <v>0</v>
      </c>
      <c r="S65" s="350">
        <f>(Q65-R65)*10%</f>
        <v>0</v>
      </c>
      <c r="T65" s="327">
        <f>(Q65-R65)*6%</f>
        <v>0</v>
      </c>
      <c r="U65" s="327">
        <f>(Q65-R65)*5%</f>
        <v>0</v>
      </c>
    </row>
    <row r="66" spans="1:21" ht="25.5" hidden="1" customHeight="1">
      <c r="A66" s="2025"/>
      <c r="B66" s="944"/>
      <c r="C66" s="944"/>
      <c r="D66" s="2028"/>
      <c r="E66" s="944"/>
      <c r="F66" s="350">
        <f>ROUNDUP((E66*$Q$5),-3)</f>
        <v>0</v>
      </c>
      <c r="G66" s="946"/>
      <c r="H66" s="350">
        <f>D66*F66*G66</f>
        <v>0</v>
      </c>
      <c r="I66" s="946"/>
      <c r="J66" s="350">
        <f>I66*$Q$4</f>
        <v>0</v>
      </c>
      <c r="K66" s="946"/>
      <c r="L66" s="350">
        <f>K66*F66</f>
        <v>0</v>
      </c>
      <c r="M66" s="350">
        <f>D66*G66*(J66+L66)</f>
        <v>0</v>
      </c>
      <c r="N66" s="350">
        <f>H66+M66</f>
        <v>0</v>
      </c>
      <c r="O66" s="946"/>
      <c r="P66" s="946"/>
      <c r="Q66" s="350">
        <f>N66+O66+P66</f>
        <v>0</v>
      </c>
      <c r="R66" s="350">
        <f>Q66*10%</f>
        <v>0</v>
      </c>
      <c r="S66" s="350">
        <f>(Q66-R66)*10%</f>
        <v>0</v>
      </c>
      <c r="T66" s="327">
        <f>(Q66-R66)*6%</f>
        <v>0</v>
      </c>
      <c r="U66" s="327">
        <f>(Q66-R66)*5%</f>
        <v>0</v>
      </c>
    </row>
    <row r="67" spans="1:21" hidden="1">
      <c r="A67" s="2025"/>
      <c r="B67" s="944"/>
      <c r="C67" s="944"/>
      <c r="D67" s="2028"/>
      <c r="E67" s="944"/>
      <c r="F67" s="350">
        <f>ROUNDUP((E67*$Q$5),-3)</f>
        <v>0</v>
      </c>
      <c r="G67" s="946"/>
      <c r="H67" s="350">
        <f>D67*F67*G67</f>
        <v>0</v>
      </c>
      <c r="I67" s="946"/>
      <c r="J67" s="350">
        <f>I67*$Q$4</f>
        <v>0</v>
      </c>
      <c r="K67" s="946"/>
      <c r="L67" s="350">
        <f>K67*F67</f>
        <v>0</v>
      </c>
      <c r="M67" s="350">
        <f>D67*G67*(J67+L67)</f>
        <v>0</v>
      </c>
      <c r="N67" s="350">
        <f>H67+M67</f>
        <v>0</v>
      </c>
      <c r="O67" s="946"/>
      <c r="P67" s="946"/>
      <c r="Q67" s="350">
        <f>N67+O67+P67</f>
        <v>0</v>
      </c>
      <c r="R67" s="350">
        <f>Q67*10%</f>
        <v>0</v>
      </c>
      <c r="S67" s="350">
        <f>(Q67-R67)*10%</f>
        <v>0</v>
      </c>
      <c r="T67" s="327">
        <f>(Q67-R67)*6%</f>
        <v>0</v>
      </c>
      <c r="U67" s="327">
        <f>(Q67-R67)*5%</f>
        <v>0</v>
      </c>
    </row>
    <row r="68" spans="1:21" ht="25.5" hidden="1" customHeight="1">
      <c r="A68" s="2025"/>
      <c r="B68" s="944"/>
      <c r="C68" s="944"/>
      <c r="D68" s="2028"/>
      <c r="E68" s="944"/>
      <c r="F68" s="350">
        <f t="shared" ref="F68:F98" si="31">ROUNDUP((E68*$Q$5),-3)</f>
        <v>0</v>
      </c>
      <c r="G68" s="946"/>
      <c r="H68" s="350">
        <f t="shared" ref="H68:H98" si="32">D68*F68*G68</f>
        <v>0</v>
      </c>
      <c r="I68" s="946"/>
      <c r="J68" s="350">
        <f t="shared" ref="J68:J98" si="33">I68*$Q$4</f>
        <v>0</v>
      </c>
      <c r="K68" s="946"/>
      <c r="L68" s="350">
        <f t="shared" ref="L68:L98" si="34">K68*F68</f>
        <v>0</v>
      </c>
      <c r="M68" s="350">
        <f t="shared" ref="M68:M98" si="35">D68*G68*(J68+L68)</f>
        <v>0</v>
      </c>
      <c r="N68" s="350">
        <f t="shared" ref="N68:N98" si="36">H68+M68</f>
        <v>0</v>
      </c>
      <c r="O68" s="946"/>
      <c r="P68" s="946"/>
      <c r="Q68" s="350">
        <f t="shared" ref="Q68:Q98" si="37">N68+O68+P68</f>
        <v>0</v>
      </c>
      <c r="R68" s="350">
        <f t="shared" ref="R68:R98" si="38">Q68*10%</f>
        <v>0</v>
      </c>
      <c r="S68" s="350">
        <f t="shared" ref="S68:S98" si="39">(Q68-R68)*10%</f>
        <v>0</v>
      </c>
      <c r="T68" s="327">
        <f t="shared" ref="T68:T98" si="40">(Q68-R68)*6%</f>
        <v>0</v>
      </c>
      <c r="U68" s="327">
        <f t="shared" ref="U68:U98" si="41">(Q68-R68)*5%</f>
        <v>0</v>
      </c>
    </row>
    <row r="69" spans="1:21" hidden="1">
      <c r="A69" s="2025"/>
      <c r="B69" s="944"/>
      <c r="C69" s="944"/>
      <c r="D69" s="2028"/>
      <c r="E69" s="944"/>
      <c r="F69" s="350">
        <f t="shared" si="31"/>
        <v>0</v>
      </c>
      <c r="G69" s="946"/>
      <c r="H69" s="350">
        <f t="shared" si="32"/>
        <v>0</v>
      </c>
      <c r="I69" s="946"/>
      <c r="J69" s="350">
        <f t="shared" si="33"/>
        <v>0</v>
      </c>
      <c r="K69" s="946"/>
      <c r="L69" s="350">
        <f t="shared" si="34"/>
        <v>0</v>
      </c>
      <c r="M69" s="350">
        <f t="shared" si="35"/>
        <v>0</v>
      </c>
      <c r="N69" s="350">
        <f t="shared" si="36"/>
        <v>0</v>
      </c>
      <c r="O69" s="946"/>
      <c r="P69" s="946"/>
      <c r="Q69" s="350">
        <f t="shared" si="37"/>
        <v>0</v>
      </c>
      <c r="R69" s="350">
        <f t="shared" si="38"/>
        <v>0</v>
      </c>
      <c r="S69" s="350">
        <f t="shared" si="39"/>
        <v>0</v>
      </c>
      <c r="T69" s="327">
        <f t="shared" si="40"/>
        <v>0</v>
      </c>
      <c r="U69" s="327">
        <f t="shared" si="41"/>
        <v>0</v>
      </c>
    </row>
    <row r="70" spans="1:21" ht="25.5" hidden="1" customHeight="1">
      <c r="A70" s="2025"/>
      <c r="B70" s="944"/>
      <c r="C70" s="944"/>
      <c r="D70" s="2028"/>
      <c r="E70" s="944"/>
      <c r="F70" s="350">
        <f t="shared" si="31"/>
        <v>0</v>
      </c>
      <c r="G70" s="946"/>
      <c r="H70" s="350">
        <f t="shared" si="32"/>
        <v>0</v>
      </c>
      <c r="I70" s="946"/>
      <c r="J70" s="350">
        <f t="shared" si="33"/>
        <v>0</v>
      </c>
      <c r="K70" s="946"/>
      <c r="L70" s="350">
        <f t="shared" si="34"/>
        <v>0</v>
      </c>
      <c r="M70" s="350">
        <f t="shared" si="35"/>
        <v>0</v>
      </c>
      <c r="N70" s="350">
        <f t="shared" si="36"/>
        <v>0</v>
      </c>
      <c r="O70" s="946"/>
      <c r="P70" s="946"/>
      <c r="Q70" s="350">
        <f t="shared" si="37"/>
        <v>0</v>
      </c>
      <c r="R70" s="350">
        <f t="shared" si="38"/>
        <v>0</v>
      </c>
      <c r="S70" s="350">
        <f t="shared" si="39"/>
        <v>0</v>
      </c>
      <c r="T70" s="327">
        <f t="shared" si="40"/>
        <v>0</v>
      </c>
      <c r="U70" s="327">
        <f t="shared" si="41"/>
        <v>0</v>
      </c>
    </row>
    <row r="71" spans="1:21" ht="25.5" hidden="1" customHeight="1">
      <c r="A71" s="2025"/>
      <c r="B71" s="944"/>
      <c r="C71" s="944"/>
      <c r="D71" s="2028"/>
      <c r="E71" s="944"/>
      <c r="F71" s="350">
        <f t="shared" si="31"/>
        <v>0</v>
      </c>
      <c r="G71" s="946"/>
      <c r="H71" s="350">
        <f t="shared" si="32"/>
        <v>0</v>
      </c>
      <c r="I71" s="946"/>
      <c r="J71" s="350">
        <f t="shared" si="33"/>
        <v>0</v>
      </c>
      <c r="K71" s="946"/>
      <c r="L71" s="350">
        <f t="shared" si="34"/>
        <v>0</v>
      </c>
      <c r="M71" s="350">
        <f t="shared" si="35"/>
        <v>0</v>
      </c>
      <c r="N71" s="350">
        <f t="shared" si="36"/>
        <v>0</v>
      </c>
      <c r="O71" s="946"/>
      <c r="P71" s="946"/>
      <c r="Q71" s="350">
        <f t="shared" si="37"/>
        <v>0</v>
      </c>
      <c r="R71" s="350">
        <f t="shared" si="38"/>
        <v>0</v>
      </c>
      <c r="S71" s="350">
        <f t="shared" si="39"/>
        <v>0</v>
      </c>
      <c r="T71" s="327">
        <f t="shared" si="40"/>
        <v>0</v>
      </c>
      <c r="U71" s="327">
        <f t="shared" si="41"/>
        <v>0</v>
      </c>
    </row>
    <row r="72" spans="1:21" ht="25.5" hidden="1" customHeight="1">
      <c r="A72" s="2025"/>
      <c r="B72" s="944"/>
      <c r="C72" s="944"/>
      <c r="D72" s="2028"/>
      <c r="E72" s="944"/>
      <c r="F72" s="350">
        <f t="shared" si="31"/>
        <v>0</v>
      </c>
      <c r="G72" s="946"/>
      <c r="H72" s="350">
        <f t="shared" si="32"/>
        <v>0</v>
      </c>
      <c r="I72" s="946"/>
      <c r="J72" s="350">
        <f t="shared" si="33"/>
        <v>0</v>
      </c>
      <c r="K72" s="946"/>
      <c r="L72" s="350">
        <f t="shared" si="34"/>
        <v>0</v>
      </c>
      <c r="M72" s="350">
        <f t="shared" si="35"/>
        <v>0</v>
      </c>
      <c r="N72" s="350">
        <f t="shared" si="36"/>
        <v>0</v>
      </c>
      <c r="O72" s="946"/>
      <c r="P72" s="946"/>
      <c r="Q72" s="350">
        <f t="shared" si="37"/>
        <v>0</v>
      </c>
      <c r="R72" s="350">
        <f t="shared" si="38"/>
        <v>0</v>
      </c>
      <c r="S72" s="350">
        <f t="shared" si="39"/>
        <v>0</v>
      </c>
      <c r="T72" s="327">
        <f t="shared" si="40"/>
        <v>0</v>
      </c>
      <c r="U72" s="327">
        <f t="shared" si="41"/>
        <v>0</v>
      </c>
    </row>
    <row r="73" spans="1:21" ht="25.5" hidden="1" customHeight="1">
      <c r="A73" s="2025"/>
      <c r="B73" s="944"/>
      <c r="C73" s="944"/>
      <c r="D73" s="2028"/>
      <c r="E73" s="944"/>
      <c r="F73" s="350">
        <f t="shared" si="31"/>
        <v>0</v>
      </c>
      <c r="G73" s="946"/>
      <c r="H73" s="350">
        <f t="shared" si="32"/>
        <v>0</v>
      </c>
      <c r="I73" s="946"/>
      <c r="J73" s="350">
        <f t="shared" si="33"/>
        <v>0</v>
      </c>
      <c r="K73" s="946"/>
      <c r="L73" s="350">
        <f t="shared" si="34"/>
        <v>0</v>
      </c>
      <c r="M73" s="350">
        <f t="shared" si="35"/>
        <v>0</v>
      </c>
      <c r="N73" s="350">
        <f t="shared" si="36"/>
        <v>0</v>
      </c>
      <c r="O73" s="946"/>
      <c r="P73" s="946"/>
      <c r="Q73" s="350">
        <f t="shared" si="37"/>
        <v>0</v>
      </c>
      <c r="R73" s="350">
        <f t="shared" si="38"/>
        <v>0</v>
      </c>
      <c r="S73" s="350">
        <f t="shared" si="39"/>
        <v>0</v>
      </c>
      <c r="T73" s="327">
        <f t="shared" si="40"/>
        <v>0</v>
      </c>
      <c r="U73" s="327">
        <f t="shared" si="41"/>
        <v>0</v>
      </c>
    </row>
    <row r="74" spans="1:21" ht="25.5" hidden="1" customHeight="1">
      <c r="A74" s="2025"/>
      <c r="B74" s="944"/>
      <c r="C74" s="944"/>
      <c r="D74" s="2028"/>
      <c r="E74" s="944"/>
      <c r="F74" s="350">
        <f t="shared" si="31"/>
        <v>0</v>
      </c>
      <c r="G74" s="946"/>
      <c r="H74" s="350">
        <f t="shared" si="32"/>
        <v>0</v>
      </c>
      <c r="I74" s="946"/>
      <c r="J74" s="350">
        <f t="shared" si="33"/>
        <v>0</v>
      </c>
      <c r="K74" s="946"/>
      <c r="L74" s="350">
        <f t="shared" si="34"/>
        <v>0</v>
      </c>
      <c r="M74" s="350">
        <f t="shared" si="35"/>
        <v>0</v>
      </c>
      <c r="N74" s="350">
        <f t="shared" si="36"/>
        <v>0</v>
      </c>
      <c r="O74" s="946"/>
      <c r="P74" s="946"/>
      <c r="Q74" s="350">
        <f t="shared" si="37"/>
        <v>0</v>
      </c>
      <c r="R74" s="350">
        <f t="shared" si="38"/>
        <v>0</v>
      </c>
      <c r="S74" s="350">
        <f t="shared" si="39"/>
        <v>0</v>
      </c>
      <c r="T74" s="327">
        <f t="shared" si="40"/>
        <v>0</v>
      </c>
      <c r="U74" s="327">
        <f t="shared" si="41"/>
        <v>0</v>
      </c>
    </row>
    <row r="75" spans="1:21" ht="25.5" hidden="1" customHeight="1">
      <c r="A75" s="2025"/>
      <c r="B75" s="944"/>
      <c r="C75" s="944"/>
      <c r="D75" s="2028"/>
      <c r="E75" s="944"/>
      <c r="F75" s="350">
        <f t="shared" si="31"/>
        <v>0</v>
      </c>
      <c r="G75" s="946"/>
      <c r="H75" s="350">
        <f t="shared" si="32"/>
        <v>0</v>
      </c>
      <c r="I75" s="946"/>
      <c r="J75" s="350">
        <f t="shared" si="33"/>
        <v>0</v>
      </c>
      <c r="K75" s="946"/>
      <c r="L75" s="350">
        <f t="shared" si="34"/>
        <v>0</v>
      </c>
      <c r="M75" s="350">
        <f t="shared" si="35"/>
        <v>0</v>
      </c>
      <c r="N75" s="350">
        <f t="shared" si="36"/>
        <v>0</v>
      </c>
      <c r="O75" s="946"/>
      <c r="P75" s="946"/>
      <c r="Q75" s="350">
        <f t="shared" si="37"/>
        <v>0</v>
      </c>
      <c r="R75" s="350">
        <f t="shared" si="38"/>
        <v>0</v>
      </c>
      <c r="S75" s="350">
        <f t="shared" si="39"/>
        <v>0</v>
      </c>
      <c r="T75" s="327">
        <f t="shared" si="40"/>
        <v>0</v>
      </c>
      <c r="U75" s="327">
        <f t="shared" si="41"/>
        <v>0</v>
      </c>
    </row>
    <row r="76" spans="1:21" ht="25.5" hidden="1" customHeight="1">
      <c r="A76" s="2025"/>
      <c r="B76" s="944"/>
      <c r="C76" s="944"/>
      <c r="D76" s="2028"/>
      <c r="E76" s="944"/>
      <c r="F76" s="350">
        <f t="shared" si="31"/>
        <v>0</v>
      </c>
      <c r="G76" s="946"/>
      <c r="H76" s="350">
        <f t="shared" si="32"/>
        <v>0</v>
      </c>
      <c r="I76" s="946"/>
      <c r="J76" s="350">
        <f t="shared" si="33"/>
        <v>0</v>
      </c>
      <c r="K76" s="946"/>
      <c r="L76" s="350">
        <f t="shared" si="34"/>
        <v>0</v>
      </c>
      <c r="M76" s="350">
        <f t="shared" si="35"/>
        <v>0</v>
      </c>
      <c r="N76" s="350">
        <f t="shared" si="36"/>
        <v>0</v>
      </c>
      <c r="O76" s="946"/>
      <c r="P76" s="946"/>
      <c r="Q76" s="350">
        <f t="shared" si="37"/>
        <v>0</v>
      </c>
      <c r="R76" s="350">
        <f t="shared" si="38"/>
        <v>0</v>
      </c>
      <c r="S76" s="350">
        <f t="shared" si="39"/>
        <v>0</v>
      </c>
      <c r="T76" s="327">
        <f t="shared" si="40"/>
        <v>0</v>
      </c>
      <c r="U76" s="327">
        <f t="shared" si="41"/>
        <v>0</v>
      </c>
    </row>
    <row r="77" spans="1:21" ht="25.5" hidden="1" customHeight="1">
      <c r="A77" s="2025"/>
      <c r="B77" s="944"/>
      <c r="C77" s="944"/>
      <c r="D77" s="2028"/>
      <c r="E77" s="944"/>
      <c r="F77" s="350">
        <f t="shared" si="31"/>
        <v>0</v>
      </c>
      <c r="G77" s="946"/>
      <c r="H77" s="350">
        <f t="shared" si="32"/>
        <v>0</v>
      </c>
      <c r="I77" s="946"/>
      <c r="J77" s="350">
        <f t="shared" si="33"/>
        <v>0</v>
      </c>
      <c r="K77" s="946"/>
      <c r="L77" s="350">
        <f t="shared" si="34"/>
        <v>0</v>
      </c>
      <c r="M77" s="350">
        <f t="shared" si="35"/>
        <v>0</v>
      </c>
      <c r="N77" s="350">
        <f t="shared" si="36"/>
        <v>0</v>
      </c>
      <c r="O77" s="946"/>
      <c r="P77" s="946"/>
      <c r="Q77" s="350">
        <f t="shared" si="37"/>
        <v>0</v>
      </c>
      <c r="R77" s="350">
        <f t="shared" si="38"/>
        <v>0</v>
      </c>
      <c r="S77" s="350">
        <f t="shared" si="39"/>
        <v>0</v>
      </c>
      <c r="T77" s="327">
        <f t="shared" si="40"/>
        <v>0</v>
      </c>
      <c r="U77" s="327">
        <f t="shared" si="41"/>
        <v>0</v>
      </c>
    </row>
    <row r="78" spans="1:21" hidden="1">
      <c r="A78" s="2025"/>
      <c r="B78" s="944"/>
      <c r="C78" s="944"/>
      <c r="D78" s="2028"/>
      <c r="E78" s="944"/>
      <c r="F78" s="350">
        <f t="shared" si="31"/>
        <v>0</v>
      </c>
      <c r="G78" s="946"/>
      <c r="H78" s="350">
        <f t="shared" si="32"/>
        <v>0</v>
      </c>
      <c r="I78" s="946"/>
      <c r="J78" s="350">
        <f t="shared" si="33"/>
        <v>0</v>
      </c>
      <c r="K78" s="946"/>
      <c r="L78" s="350">
        <f t="shared" si="34"/>
        <v>0</v>
      </c>
      <c r="M78" s="350">
        <f t="shared" si="35"/>
        <v>0</v>
      </c>
      <c r="N78" s="350">
        <f t="shared" si="36"/>
        <v>0</v>
      </c>
      <c r="O78" s="946"/>
      <c r="P78" s="946"/>
      <c r="Q78" s="350">
        <f t="shared" si="37"/>
        <v>0</v>
      </c>
      <c r="R78" s="350">
        <f t="shared" si="38"/>
        <v>0</v>
      </c>
      <c r="S78" s="350">
        <f t="shared" si="39"/>
        <v>0</v>
      </c>
      <c r="T78" s="327">
        <f t="shared" si="40"/>
        <v>0</v>
      </c>
      <c r="U78" s="327">
        <f t="shared" si="41"/>
        <v>0</v>
      </c>
    </row>
    <row r="79" spans="1:21" hidden="1">
      <c r="A79" s="2025"/>
      <c r="B79" s="944"/>
      <c r="C79" s="944"/>
      <c r="D79" s="2028"/>
      <c r="E79" s="944"/>
      <c r="F79" s="350">
        <f t="shared" si="31"/>
        <v>0</v>
      </c>
      <c r="G79" s="946"/>
      <c r="H79" s="350">
        <f t="shared" si="32"/>
        <v>0</v>
      </c>
      <c r="I79" s="946"/>
      <c r="J79" s="350">
        <f t="shared" si="33"/>
        <v>0</v>
      </c>
      <c r="K79" s="946"/>
      <c r="L79" s="350">
        <f t="shared" si="34"/>
        <v>0</v>
      </c>
      <c r="M79" s="350">
        <f t="shared" si="35"/>
        <v>0</v>
      </c>
      <c r="N79" s="350">
        <f t="shared" si="36"/>
        <v>0</v>
      </c>
      <c r="O79" s="946"/>
      <c r="P79" s="946"/>
      <c r="Q79" s="350">
        <f t="shared" si="37"/>
        <v>0</v>
      </c>
      <c r="R79" s="350">
        <f t="shared" si="38"/>
        <v>0</v>
      </c>
      <c r="S79" s="350">
        <f t="shared" si="39"/>
        <v>0</v>
      </c>
      <c r="T79" s="327">
        <f t="shared" si="40"/>
        <v>0</v>
      </c>
      <c r="U79" s="327">
        <f t="shared" si="41"/>
        <v>0</v>
      </c>
    </row>
    <row r="80" spans="1:21" hidden="1">
      <c r="A80" s="2025"/>
      <c r="B80" s="944"/>
      <c r="C80" s="944"/>
      <c r="D80" s="2028"/>
      <c r="E80" s="944"/>
      <c r="F80" s="350">
        <f t="shared" si="31"/>
        <v>0</v>
      </c>
      <c r="G80" s="946"/>
      <c r="H80" s="350">
        <f t="shared" si="32"/>
        <v>0</v>
      </c>
      <c r="I80" s="946"/>
      <c r="J80" s="350">
        <f t="shared" si="33"/>
        <v>0</v>
      </c>
      <c r="K80" s="946"/>
      <c r="L80" s="350">
        <f t="shared" si="34"/>
        <v>0</v>
      </c>
      <c r="M80" s="350">
        <f t="shared" si="35"/>
        <v>0</v>
      </c>
      <c r="N80" s="350">
        <f t="shared" si="36"/>
        <v>0</v>
      </c>
      <c r="O80" s="946"/>
      <c r="P80" s="946"/>
      <c r="Q80" s="350">
        <f t="shared" si="37"/>
        <v>0</v>
      </c>
      <c r="R80" s="350">
        <f t="shared" si="38"/>
        <v>0</v>
      </c>
      <c r="S80" s="350">
        <f t="shared" si="39"/>
        <v>0</v>
      </c>
      <c r="T80" s="327">
        <f t="shared" si="40"/>
        <v>0</v>
      </c>
      <c r="U80" s="327">
        <f t="shared" si="41"/>
        <v>0</v>
      </c>
    </row>
    <row r="81" spans="1:21" hidden="1">
      <c r="A81" s="2025"/>
      <c r="B81" s="944"/>
      <c r="C81" s="944"/>
      <c r="D81" s="2028"/>
      <c r="E81" s="944"/>
      <c r="F81" s="350">
        <f t="shared" si="31"/>
        <v>0</v>
      </c>
      <c r="G81" s="946"/>
      <c r="H81" s="350">
        <f t="shared" si="32"/>
        <v>0</v>
      </c>
      <c r="I81" s="946"/>
      <c r="J81" s="350">
        <f t="shared" si="33"/>
        <v>0</v>
      </c>
      <c r="K81" s="946"/>
      <c r="L81" s="350">
        <f t="shared" si="34"/>
        <v>0</v>
      </c>
      <c r="M81" s="350">
        <f t="shared" si="35"/>
        <v>0</v>
      </c>
      <c r="N81" s="350">
        <f t="shared" si="36"/>
        <v>0</v>
      </c>
      <c r="O81" s="946"/>
      <c r="P81" s="946"/>
      <c r="Q81" s="350">
        <f t="shared" si="37"/>
        <v>0</v>
      </c>
      <c r="R81" s="350">
        <f t="shared" si="38"/>
        <v>0</v>
      </c>
      <c r="S81" s="350">
        <f t="shared" si="39"/>
        <v>0</v>
      </c>
      <c r="T81" s="327">
        <f t="shared" si="40"/>
        <v>0</v>
      </c>
      <c r="U81" s="327">
        <f t="shared" si="41"/>
        <v>0</v>
      </c>
    </row>
    <row r="82" spans="1:21" hidden="1">
      <c r="A82" s="2025"/>
      <c r="B82" s="944"/>
      <c r="C82" s="944"/>
      <c r="D82" s="2028"/>
      <c r="E82" s="944"/>
      <c r="F82" s="350">
        <f t="shared" si="31"/>
        <v>0</v>
      </c>
      <c r="G82" s="946"/>
      <c r="H82" s="350">
        <f t="shared" si="32"/>
        <v>0</v>
      </c>
      <c r="I82" s="946"/>
      <c r="J82" s="350">
        <f t="shared" si="33"/>
        <v>0</v>
      </c>
      <c r="K82" s="946"/>
      <c r="L82" s="350">
        <f t="shared" si="34"/>
        <v>0</v>
      </c>
      <c r="M82" s="350">
        <f t="shared" si="35"/>
        <v>0</v>
      </c>
      <c r="N82" s="350">
        <f t="shared" si="36"/>
        <v>0</v>
      </c>
      <c r="O82" s="946"/>
      <c r="P82" s="946"/>
      <c r="Q82" s="350">
        <f t="shared" si="37"/>
        <v>0</v>
      </c>
      <c r="R82" s="350">
        <f t="shared" si="38"/>
        <v>0</v>
      </c>
      <c r="S82" s="350">
        <f t="shared" si="39"/>
        <v>0</v>
      </c>
      <c r="T82" s="327">
        <f t="shared" si="40"/>
        <v>0</v>
      </c>
      <c r="U82" s="327">
        <f t="shared" si="41"/>
        <v>0</v>
      </c>
    </row>
    <row r="83" spans="1:21" hidden="1">
      <c r="A83" s="2025"/>
      <c r="B83" s="944"/>
      <c r="C83" s="944"/>
      <c r="D83" s="2028"/>
      <c r="E83" s="944"/>
      <c r="F83" s="350">
        <f t="shared" si="31"/>
        <v>0</v>
      </c>
      <c r="G83" s="946"/>
      <c r="H83" s="350">
        <f t="shared" si="32"/>
        <v>0</v>
      </c>
      <c r="I83" s="946"/>
      <c r="J83" s="350">
        <f t="shared" si="33"/>
        <v>0</v>
      </c>
      <c r="K83" s="946"/>
      <c r="L83" s="350">
        <f t="shared" si="34"/>
        <v>0</v>
      </c>
      <c r="M83" s="350">
        <f t="shared" si="35"/>
        <v>0</v>
      </c>
      <c r="N83" s="350">
        <f t="shared" si="36"/>
        <v>0</v>
      </c>
      <c r="O83" s="946"/>
      <c r="P83" s="946"/>
      <c r="Q83" s="350">
        <f t="shared" si="37"/>
        <v>0</v>
      </c>
      <c r="R83" s="350">
        <f t="shared" si="38"/>
        <v>0</v>
      </c>
      <c r="S83" s="350">
        <f t="shared" si="39"/>
        <v>0</v>
      </c>
      <c r="T83" s="327">
        <f t="shared" si="40"/>
        <v>0</v>
      </c>
      <c r="U83" s="327">
        <f t="shared" si="41"/>
        <v>0</v>
      </c>
    </row>
    <row r="84" spans="1:21" hidden="1">
      <c r="A84" s="2025"/>
      <c r="B84" s="944"/>
      <c r="C84" s="944"/>
      <c r="D84" s="2028"/>
      <c r="E84" s="944"/>
      <c r="F84" s="350">
        <f t="shared" si="31"/>
        <v>0</v>
      </c>
      <c r="G84" s="946"/>
      <c r="H84" s="350">
        <f t="shared" si="32"/>
        <v>0</v>
      </c>
      <c r="I84" s="946"/>
      <c r="J84" s="350">
        <f t="shared" si="33"/>
        <v>0</v>
      </c>
      <c r="K84" s="946"/>
      <c r="L84" s="350">
        <f t="shared" si="34"/>
        <v>0</v>
      </c>
      <c r="M84" s="350">
        <f t="shared" si="35"/>
        <v>0</v>
      </c>
      <c r="N84" s="350">
        <f t="shared" si="36"/>
        <v>0</v>
      </c>
      <c r="O84" s="946"/>
      <c r="P84" s="946"/>
      <c r="Q84" s="350">
        <f t="shared" si="37"/>
        <v>0</v>
      </c>
      <c r="R84" s="350">
        <f t="shared" si="38"/>
        <v>0</v>
      </c>
      <c r="S84" s="350">
        <f t="shared" si="39"/>
        <v>0</v>
      </c>
      <c r="T84" s="327">
        <f t="shared" si="40"/>
        <v>0</v>
      </c>
      <c r="U84" s="327">
        <f t="shared" si="41"/>
        <v>0</v>
      </c>
    </row>
    <row r="85" spans="1:21" hidden="1">
      <c r="A85" s="2025"/>
      <c r="B85" s="944"/>
      <c r="C85" s="944"/>
      <c r="D85" s="2028"/>
      <c r="E85" s="944"/>
      <c r="F85" s="350">
        <f t="shared" si="31"/>
        <v>0</v>
      </c>
      <c r="G85" s="946"/>
      <c r="H85" s="350">
        <f t="shared" si="32"/>
        <v>0</v>
      </c>
      <c r="I85" s="946"/>
      <c r="J85" s="350">
        <f t="shared" si="33"/>
        <v>0</v>
      </c>
      <c r="K85" s="946"/>
      <c r="L85" s="350">
        <f t="shared" si="34"/>
        <v>0</v>
      </c>
      <c r="M85" s="350">
        <f t="shared" si="35"/>
        <v>0</v>
      </c>
      <c r="N85" s="350">
        <f t="shared" si="36"/>
        <v>0</v>
      </c>
      <c r="O85" s="946"/>
      <c r="P85" s="946"/>
      <c r="Q85" s="350">
        <f t="shared" si="37"/>
        <v>0</v>
      </c>
      <c r="R85" s="350">
        <f t="shared" si="38"/>
        <v>0</v>
      </c>
      <c r="S85" s="350">
        <f t="shared" si="39"/>
        <v>0</v>
      </c>
      <c r="T85" s="327">
        <f t="shared" si="40"/>
        <v>0</v>
      </c>
      <c r="U85" s="327">
        <f t="shared" si="41"/>
        <v>0</v>
      </c>
    </row>
    <row r="86" spans="1:21" hidden="1">
      <c r="A86" s="2025"/>
      <c r="B86" s="944"/>
      <c r="C86" s="944"/>
      <c r="D86" s="2028"/>
      <c r="E86" s="944"/>
      <c r="F86" s="350">
        <f t="shared" si="31"/>
        <v>0</v>
      </c>
      <c r="G86" s="946"/>
      <c r="H86" s="350">
        <f t="shared" si="32"/>
        <v>0</v>
      </c>
      <c r="I86" s="946"/>
      <c r="J86" s="350">
        <f t="shared" si="33"/>
        <v>0</v>
      </c>
      <c r="K86" s="946"/>
      <c r="L86" s="350">
        <f t="shared" si="34"/>
        <v>0</v>
      </c>
      <c r="M86" s="350">
        <f t="shared" si="35"/>
        <v>0</v>
      </c>
      <c r="N86" s="350">
        <f t="shared" si="36"/>
        <v>0</v>
      </c>
      <c r="O86" s="946"/>
      <c r="P86" s="946"/>
      <c r="Q86" s="350">
        <f t="shared" si="37"/>
        <v>0</v>
      </c>
      <c r="R86" s="350">
        <f t="shared" si="38"/>
        <v>0</v>
      </c>
      <c r="S86" s="350">
        <f t="shared" si="39"/>
        <v>0</v>
      </c>
      <c r="T86" s="327">
        <f t="shared" si="40"/>
        <v>0</v>
      </c>
      <c r="U86" s="327">
        <f t="shared" si="41"/>
        <v>0</v>
      </c>
    </row>
    <row r="87" spans="1:21" hidden="1">
      <c r="A87" s="2025"/>
      <c r="B87" s="944"/>
      <c r="C87" s="944"/>
      <c r="D87" s="2028"/>
      <c r="E87" s="944"/>
      <c r="F87" s="350">
        <f t="shared" si="31"/>
        <v>0</v>
      </c>
      <c r="G87" s="946"/>
      <c r="H87" s="350">
        <f t="shared" si="32"/>
        <v>0</v>
      </c>
      <c r="I87" s="946"/>
      <c r="J87" s="350">
        <f t="shared" si="33"/>
        <v>0</v>
      </c>
      <c r="K87" s="946"/>
      <c r="L87" s="350">
        <f t="shared" si="34"/>
        <v>0</v>
      </c>
      <c r="M87" s="350">
        <f t="shared" si="35"/>
        <v>0</v>
      </c>
      <c r="N87" s="350">
        <f t="shared" si="36"/>
        <v>0</v>
      </c>
      <c r="O87" s="946"/>
      <c r="P87" s="946"/>
      <c r="Q87" s="350">
        <f t="shared" si="37"/>
        <v>0</v>
      </c>
      <c r="R87" s="350">
        <f t="shared" si="38"/>
        <v>0</v>
      </c>
      <c r="S87" s="350">
        <f t="shared" si="39"/>
        <v>0</v>
      </c>
      <c r="T87" s="327">
        <f t="shared" si="40"/>
        <v>0</v>
      </c>
      <c r="U87" s="327">
        <f t="shared" si="41"/>
        <v>0</v>
      </c>
    </row>
    <row r="88" spans="1:21" hidden="1">
      <c r="A88" s="2025"/>
      <c r="B88" s="944"/>
      <c r="C88" s="944"/>
      <c r="D88" s="2028"/>
      <c r="E88" s="944"/>
      <c r="F88" s="350">
        <f t="shared" si="31"/>
        <v>0</v>
      </c>
      <c r="G88" s="946"/>
      <c r="H88" s="350">
        <f t="shared" si="32"/>
        <v>0</v>
      </c>
      <c r="I88" s="946"/>
      <c r="J88" s="350">
        <f t="shared" si="33"/>
        <v>0</v>
      </c>
      <c r="K88" s="946"/>
      <c r="L88" s="350">
        <f t="shared" si="34"/>
        <v>0</v>
      </c>
      <c r="M88" s="350">
        <f t="shared" si="35"/>
        <v>0</v>
      </c>
      <c r="N88" s="350">
        <f t="shared" si="36"/>
        <v>0</v>
      </c>
      <c r="O88" s="946"/>
      <c r="P88" s="946"/>
      <c r="Q88" s="350">
        <f t="shared" si="37"/>
        <v>0</v>
      </c>
      <c r="R88" s="350">
        <f t="shared" si="38"/>
        <v>0</v>
      </c>
      <c r="S88" s="350">
        <f t="shared" si="39"/>
        <v>0</v>
      </c>
      <c r="T88" s="327">
        <f t="shared" si="40"/>
        <v>0</v>
      </c>
      <c r="U88" s="327">
        <f t="shared" si="41"/>
        <v>0</v>
      </c>
    </row>
    <row r="89" spans="1:21" hidden="1">
      <c r="A89" s="2025"/>
      <c r="B89" s="944"/>
      <c r="C89" s="944"/>
      <c r="D89" s="2028"/>
      <c r="E89" s="944"/>
      <c r="F89" s="350">
        <f t="shared" si="31"/>
        <v>0</v>
      </c>
      <c r="G89" s="946"/>
      <c r="H89" s="350">
        <f t="shared" si="32"/>
        <v>0</v>
      </c>
      <c r="I89" s="946"/>
      <c r="J89" s="350">
        <f t="shared" si="33"/>
        <v>0</v>
      </c>
      <c r="K89" s="946"/>
      <c r="L89" s="350">
        <f t="shared" si="34"/>
        <v>0</v>
      </c>
      <c r="M89" s="350">
        <f t="shared" si="35"/>
        <v>0</v>
      </c>
      <c r="N89" s="350">
        <f t="shared" si="36"/>
        <v>0</v>
      </c>
      <c r="O89" s="946"/>
      <c r="P89" s="946"/>
      <c r="Q89" s="350">
        <f t="shared" si="37"/>
        <v>0</v>
      </c>
      <c r="R89" s="350">
        <f t="shared" si="38"/>
        <v>0</v>
      </c>
      <c r="S89" s="350">
        <f t="shared" si="39"/>
        <v>0</v>
      </c>
      <c r="T89" s="327">
        <f t="shared" si="40"/>
        <v>0</v>
      </c>
      <c r="U89" s="327">
        <f t="shared" si="41"/>
        <v>0</v>
      </c>
    </row>
    <row r="90" spans="1:21" hidden="1">
      <c r="A90" s="2025"/>
      <c r="B90" s="944"/>
      <c r="C90" s="944"/>
      <c r="D90" s="2028"/>
      <c r="E90" s="944"/>
      <c r="F90" s="350">
        <f t="shared" si="31"/>
        <v>0</v>
      </c>
      <c r="G90" s="946"/>
      <c r="H90" s="350">
        <f t="shared" si="32"/>
        <v>0</v>
      </c>
      <c r="I90" s="946"/>
      <c r="J90" s="350">
        <f t="shared" si="33"/>
        <v>0</v>
      </c>
      <c r="K90" s="946"/>
      <c r="L90" s="350">
        <f t="shared" si="34"/>
        <v>0</v>
      </c>
      <c r="M90" s="350">
        <f t="shared" si="35"/>
        <v>0</v>
      </c>
      <c r="N90" s="350">
        <f t="shared" si="36"/>
        <v>0</v>
      </c>
      <c r="O90" s="946"/>
      <c r="P90" s="946"/>
      <c r="Q90" s="350">
        <f t="shared" si="37"/>
        <v>0</v>
      </c>
      <c r="R90" s="350">
        <f t="shared" si="38"/>
        <v>0</v>
      </c>
      <c r="S90" s="350">
        <f t="shared" si="39"/>
        <v>0</v>
      </c>
      <c r="T90" s="327">
        <f t="shared" si="40"/>
        <v>0</v>
      </c>
      <c r="U90" s="327">
        <f t="shared" si="41"/>
        <v>0</v>
      </c>
    </row>
    <row r="91" spans="1:21" hidden="1">
      <c r="A91" s="2025"/>
      <c r="B91" s="944"/>
      <c r="C91" s="944"/>
      <c r="D91" s="2028"/>
      <c r="E91" s="944"/>
      <c r="F91" s="350">
        <f t="shared" si="31"/>
        <v>0</v>
      </c>
      <c r="G91" s="946"/>
      <c r="H91" s="350">
        <f t="shared" si="32"/>
        <v>0</v>
      </c>
      <c r="I91" s="946"/>
      <c r="J91" s="350">
        <f t="shared" si="33"/>
        <v>0</v>
      </c>
      <c r="K91" s="946"/>
      <c r="L91" s="350">
        <f t="shared" si="34"/>
        <v>0</v>
      </c>
      <c r="M91" s="350">
        <f t="shared" si="35"/>
        <v>0</v>
      </c>
      <c r="N91" s="350">
        <f t="shared" si="36"/>
        <v>0</v>
      </c>
      <c r="O91" s="946"/>
      <c r="P91" s="946"/>
      <c r="Q91" s="350">
        <f t="shared" si="37"/>
        <v>0</v>
      </c>
      <c r="R91" s="350">
        <f t="shared" si="38"/>
        <v>0</v>
      </c>
      <c r="S91" s="350">
        <f t="shared" si="39"/>
        <v>0</v>
      </c>
      <c r="T91" s="327">
        <f t="shared" si="40"/>
        <v>0</v>
      </c>
      <c r="U91" s="327">
        <f t="shared" si="41"/>
        <v>0</v>
      </c>
    </row>
    <row r="92" spans="1:21" hidden="1">
      <c r="A92" s="2025"/>
      <c r="B92" s="944"/>
      <c r="C92" s="944"/>
      <c r="D92" s="2028"/>
      <c r="E92" s="944"/>
      <c r="F92" s="350">
        <f t="shared" si="31"/>
        <v>0</v>
      </c>
      <c r="G92" s="946"/>
      <c r="H92" s="350">
        <f t="shared" si="32"/>
        <v>0</v>
      </c>
      <c r="I92" s="946"/>
      <c r="J92" s="350">
        <f t="shared" si="33"/>
        <v>0</v>
      </c>
      <c r="K92" s="946"/>
      <c r="L92" s="350">
        <f t="shared" si="34"/>
        <v>0</v>
      </c>
      <c r="M92" s="350">
        <f t="shared" si="35"/>
        <v>0</v>
      </c>
      <c r="N92" s="350">
        <f t="shared" si="36"/>
        <v>0</v>
      </c>
      <c r="O92" s="946"/>
      <c r="P92" s="946"/>
      <c r="Q92" s="350">
        <f t="shared" si="37"/>
        <v>0</v>
      </c>
      <c r="R92" s="350">
        <f t="shared" si="38"/>
        <v>0</v>
      </c>
      <c r="S92" s="350">
        <f t="shared" si="39"/>
        <v>0</v>
      </c>
      <c r="T92" s="327">
        <f t="shared" si="40"/>
        <v>0</v>
      </c>
      <c r="U92" s="327">
        <f t="shared" si="41"/>
        <v>0</v>
      </c>
    </row>
    <row r="93" spans="1:21" hidden="1">
      <c r="A93" s="2025"/>
      <c r="B93" s="944"/>
      <c r="C93" s="944"/>
      <c r="D93" s="2028"/>
      <c r="E93" s="944"/>
      <c r="F93" s="350">
        <f t="shared" si="31"/>
        <v>0</v>
      </c>
      <c r="G93" s="946"/>
      <c r="H93" s="350">
        <f t="shared" si="32"/>
        <v>0</v>
      </c>
      <c r="I93" s="946"/>
      <c r="J93" s="350">
        <f t="shared" si="33"/>
        <v>0</v>
      </c>
      <c r="K93" s="946"/>
      <c r="L93" s="350">
        <f t="shared" si="34"/>
        <v>0</v>
      </c>
      <c r="M93" s="350">
        <f t="shared" si="35"/>
        <v>0</v>
      </c>
      <c r="N93" s="350">
        <f t="shared" si="36"/>
        <v>0</v>
      </c>
      <c r="O93" s="946"/>
      <c r="P93" s="946"/>
      <c r="Q93" s="350">
        <f t="shared" si="37"/>
        <v>0</v>
      </c>
      <c r="R93" s="350">
        <f t="shared" si="38"/>
        <v>0</v>
      </c>
      <c r="S93" s="350">
        <f t="shared" si="39"/>
        <v>0</v>
      </c>
      <c r="T93" s="327">
        <f t="shared" si="40"/>
        <v>0</v>
      </c>
      <c r="U93" s="327">
        <f t="shared" si="41"/>
        <v>0</v>
      </c>
    </row>
    <row r="94" spans="1:21" hidden="1">
      <c r="A94" s="2025"/>
      <c r="B94" s="944"/>
      <c r="C94" s="944"/>
      <c r="D94" s="2028"/>
      <c r="E94" s="944"/>
      <c r="F94" s="350">
        <f t="shared" si="31"/>
        <v>0</v>
      </c>
      <c r="G94" s="946"/>
      <c r="H94" s="350">
        <f t="shared" si="32"/>
        <v>0</v>
      </c>
      <c r="I94" s="946"/>
      <c r="J94" s="350">
        <f t="shared" si="33"/>
        <v>0</v>
      </c>
      <c r="K94" s="946"/>
      <c r="L94" s="350">
        <f t="shared" si="34"/>
        <v>0</v>
      </c>
      <c r="M94" s="350">
        <f t="shared" si="35"/>
        <v>0</v>
      </c>
      <c r="N94" s="350">
        <f t="shared" si="36"/>
        <v>0</v>
      </c>
      <c r="O94" s="946"/>
      <c r="P94" s="946"/>
      <c r="Q94" s="350">
        <f t="shared" si="37"/>
        <v>0</v>
      </c>
      <c r="R94" s="350">
        <f t="shared" si="38"/>
        <v>0</v>
      </c>
      <c r="S94" s="350">
        <f t="shared" si="39"/>
        <v>0</v>
      </c>
      <c r="T94" s="327">
        <f t="shared" si="40"/>
        <v>0</v>
      </c>
      <c r="U94" s="327">
        <f t="shared" si="41"/>
        <v>0</v>
      </c>
    </row>
    <row r="95" spans="1:21" hidden="1">
      <c r="A95" s="2025"/>
      <c r="B95" s="944"/>
      <c r="C95" s="944"/>
      <c r="D95" s="2028"/>
      <c r="E95" s="944"/>
      <c r="F95" s="350">
        <f t="shared" si="31"/>
        <v>0</v>
      </c>
      <c r="G95" s="946"/>
      <c r="H95" s="350">
        <f t="shared" si="32"/>
        <v>0</v>
      </c>
      <c r="I95" s="946"/>
      <c r="J95" s="350">
        <f t="shared" si="33"/>
        <v>0</v>
      </c>
      <c r="K95" s="946"/>
      <c r="L95" s="350">
        <f t="shared" si="34"/>
        <v>0</v>
      </c>
      <c r="M95" s="350">
        <f t="shared" si="35"/>
        <v>0</v>
      </c>
      <c r="N95" s="350">
        <f t="shared" si="36"/>
        <v>0</v>
      </c>
      <c r="O95" s="946"/>
      <c r="P95" s="946"/>
      <c r="Q95" s="350">
        <f t="shared" si="37"/>
        <v>0</v>
      </c>
      <c r="R95" s="350">
        <f t="shared" si="38"/>
        <v>0</v>
      </c>
      <c r="S95" s="350">
        <f t="shared" si="39"/>
        <v>0</v>
      </c>
      <c r="T95" s="327">
        <f t="shared" si="40"/>
        <v>0</v>
      </c>
      <c r="U95" s="327">
        <f t="shared" si="41"/>
        <v>0</v>
      </c>
    </row>
    <row r="96" spans="1:21" hidden="1">
      <c r="A96" s="2025"/>
      <c r="B96" s="944"/>
      <c r="C96" s="944"/>
      <c r="D96" s="2028"/>
      <c r="E96" s="944"/>
      <c r="F96" s="350">
        <f t="shared" si="31"/>
        <v>0</v>
      </c>
      <c r="G96" s="946"/>
      <c r="H96" s="350">
        <f t="shared" si="32"/>
        <v>0</v>
      </c>
      <c r="I96" s="946"/>
      <c r="J96" s="350">
        <f t="shared" si="33"/>
        <v>0</v>
      </c>
      <c r="K96" s="946"/>
      <c r="L96" s="350">
        <f t="shared" si="34"/>
        <v>0</v>
      </c>
      <c r="M96" s="350">
        <f t="shared" si="35"/>
        <v>0</v>
      </c>
      <c r="N96" s="350">
        <f t="shared" si="36"/>
        <v>0</v>
      </c>
      <c r="O96" s="946"/>
      <c r="P96" s="946"/>
      <c r="Q96" s="350">
        <f t="shared" si="37"/>
        <v>0</v>
      </c>
      <c r="R96" s="350">
        <f t="shared" si="38"/>
        <v>0</v>
      </c>
      <c r="S96" s="350">
        <f t="shared" si="39"/>
        <v>0</v>
      </c>
      <c r="T96" s="327">
        <f t="shared" si="40"/>
        <v>0</v>
      </c>
      <c r="U96" s="327">
        <f t="shared" si="41"/>
        <v>0</v>
      </c>
    </row>
    <row r="97" spans="1:21" hidden="1">
      <c r="A97" s="2025"/>
      <c r="B97" s="944"/>
      <c r="C97" s="944"/>
      <c r="D97" s="2028"/>
      <c r="E97" s="944"/>
      <c r="F97" s="350">
        <f t="shared" si="31"/>
        <v>0</v>
      </c>
      <c r="G97" s="946"/>
      <c r="H97" s="350">
        <f t="shared" si="32"/>
        <v>0</v>
      </c>
      <c r="I97" s="946"/>
      <c r="J97" s="350">
        <f t="shared" si="33"/>
        <v>0</v>
      </c>
      <c r="K97" s="946"/>
      <c r="L97" s="350">
        <f t="shared" si="34"/>
        <v>0</v>
      </c>
      <c r="M97" s="350">
        <f t="shared" si="35"/>
        <v>0</v>
      </c>
      <c r="N97" s="350">
        <f t="shared" si="36"/>
        <v>0</v>
      </c>
      <c r="O97" s="946"/>
      <c r="P97" s="946"/>
      <c r="Q97" s="350">
        <f t="shared" si="37"/>
        <v>0</v>
      </c>
      <c r="R97" s="350">
        <f t="shared" si="38"/>
        <v>0</v>
      </c>
      <c r="S97" s="350">
        <f t="shared" si="39"/>
        <v>0</v>
      </c>
      <c r="T97" s="327">
        <f t="shared" si="40"/>
        <v>0</v>
      </c>
      <c r="U97" s="327">
        <f t="shared" si="41"/>
        <v>0</v>
      </c>
    </row>
    <row r="98" spans="1:21" hidden="1">
      <c r="A98" s="2025"/>
      <c r="B98" s="944"/>
      <c r="C98" s="944"/>
      <c r="D98" s="2028"/>
      <c r="E98" s="944"/>
      <c r="F98" s="350">
        <f t="shared" si="31"/>
        <v>0</v>
      </c>
      <c r="G98" s="946"/>
      <c r="H98" s="350">
        <f t="shared" si="32"/>
        <v>0</v>
      </c>
      <c r="I98" s="946"/>
      <c r="J98" s="350">
        <f t="shared" si="33"/>
        <v>0</v>
      </c>
      <c r="K98" s="946"/>
      <c r="L98" s="350">
        <f t="shared" si="34"/>
        <v>0</v>
      </c>
      <c r="M98" s="350">
        <f t="shared" si="35"/>
        <v>0</v>
      </c>
      <c r="N98" s="350">
        <f t="shared" si="36"/>
        <v>0</v>
      </c>
      <c r="O98" s="946"/>
      <c r="P98" s="946"/>
      <c r="Q98" s="350">
        <f t="shared" si="37"/>
        <v>0</v>
      </c>
      <c r="R98" s="350">
        <f t="shared" si="38"/>
        <v>0</v>
      </c>
      <c r="S98" s="350">
        <f t="shared" si="39"/>
        <v>0</v>
      </c>
      <c r="T98" s="327">
        <f t="shared" si="40"/>
        <v>0</v>
      </c>
      <c r="U98" s="327">
        <f t="shared" si="41"/>
        <v>0</v>
      </c>
    </row>
    <row r="99" spans="1:21" hidden="1">
      <c r="A99" s="2025"/>
      <c r="B99" s="942" t="s">
        <v>527</v>
      </c>
      <c r="C99" s="942"/>
      <c r="D99" s="2024">
        <f>SUM(D100:D107)</f>
        <v>0</v>
      </c>
      <c r="E99" s="942"/>
      <c r="F99" s="350">
        <f>SUM(F100:F107)</f>
        <v>0</v>
      </c>
      <c r="G99" s="947"/>
      <c r="H99" s="327">
        <f t="shared" ref="H99:U99" si="42">SUM(H100:H107)</f>
        <v>0</v>
      </c>
      <c r="I99" s="947"/>
      <c r="J99" s="327">
        <f t="shared" si="42"/>
        <v>0</v>
      </c>
      <c r="K99" s="947"/>
      <c r="L99" s="327">
        <f t="shared" si="42"/>
        <v>0</v>
      </c>
      <c r="M99" s="327">
        <f t="shared" si="42"/>
        <v>0</v>
      </c>
      <c r="N99" s="327">
        <f t="shared" si="42"/>
        <v>0</v>
      </c>
      <c r="O99" s="327">
        <f t="shared" si="42"/>
        <v>0</v>
      </c>
      <c r="P99" s="350">
        <f>SUM(P100:P107)</f>
        <v>0</v>
      </c>
      <c r="Q99" s="327">
        <f t="shared" si="42"/>
        <v>0</v>
      </c>
      <c r="R99" s="327">
        <f t="shared" si="42"/>
        <v>0</v>
      </c>
      <c r="S99" s="327">
        <f t="shared" si="42"/>
        <v>0</v>
      </c>
      <c r="T99" s="327">
        <f t="shared" si="42"/>
        <v>0</v>
      </c>
      <c r="U99" s="327">
        <f t="shared" si="42"/>
        <v>0</v>
      </c>
    </row>
    <row r="100" spans="1:21" hidden="1">
      <c r="A100" s="2025"/>
      <c r="B100" s="942" t="s">
        <v>327</v>
      </c>
      <c r="C100" s="942"/>
      <c r="D100" s="2024"/>
      <c r="E100" s="942"/>
      <c r="F100" s="350">
        <f t="shared" ref="F100:F107" si="43">ROUNDUP((E100*$Q$5),-3)</f>
        <v>0</v>
      </c>
      <c r="G100" s="946"/>
      <c r="H100" s="350">
        <f t="shared" ref="H100:H107" si="44">D100*F100*G100</f>
        <v>0</v>
      </c>
      <c r="I100" s="946"/>
      <c r="J100" s="350">
        <f t="shared" ref="J100:J107" si="45">I100*$Q$4</f>
        <v>0</v>
      </c>
      <c r="K100" s="946"/>
      <c r="L100" s="350">
        <f t="shared" ref="L100:L107" si="46">K100*F100</f>
        <v>0</v>
      </c>
      <c r="M100" s="350">
        <f t="shared" ref="M100:M107" si="47">D100*G100*(J100+L100)</f>
        <v>0</v>
      </c>
      <c r="N100" s="350">
        <f t="shared" ref="N100:N107" si="48">H100+M100</f>
        <v>0</v>
      </c>
      <c r="O100" s="946"/>
      <c r="P100" s="946"/>
      <c r="Q100" s="350">
        <f t="shared" ref="Q100:Q107" si="49">N100+O100+P100</f>
        <v>0</v>
      </c>
      <c r="R100" s="350">
        <f t="shared" ref="R100:R107" si="50">Q100*10%</f>
        <v>0</v>
      </c>
      <c r="S100" s="350">
        <f t="shared" ref="S100:S107" si="51">(Q100-R100)*10%</f>
        <v>0</v>
      </c>
      <c r="T100" s="327">
        <f t="shared" ref="T100:T107" si="52">(Q100-R100)*6%</f>
        <v>0</v>
      </c>
      <c r="U100" s="327">
        <f t="shared" ref="U100:U107" si="53">(Q100-R100)*5%</f>
        <v>0</v>
      </c>
    </row>
    <row r="101" spans="1:21" hidden="1">
      <c r="A101" s="2025"/>
      <c r="B101" s="942"/>
      <c r="C101" s="942"/>
      <c r="D101" s="2024"/>
      <c r="E101" s="942"/>
      <c r="F101" s="350">
        <f t="shared" si="43"/>
        <v>0</v>
      </c>
      <c r="G101" s="946"/>
      <c r="H101" s="350">
        <f t="shared" si="44"/>
        <v>0</v>
      </c>
      <c r="I101" s="946"/>
      <c r="J101" s="350">
        <f t="shared" si="45"/>
        <v>0</v>
      </c>
      <c r="K101" s="946"/>
      <c r="L101" s="350">
        <f t="shared" si="46"/>
        <v>0</v>
      </c>
      <c r="M101" s="350">
        <f t="shared" si="47"/>
        <v>0</v>
      </c>
      <c r="N101" s="350">
        <f t="shared" si="48"/>
        <v>0</v>
      </c>
      <c r="O101" s="946"/>
      <c r="P101" s="946"/>
      <c r="Q101" s="350">
        <f t="shared" si="49"/>
        <v>0</v>
      </c>
      <c r="R101" s="350">
        <f t="shared" si="50"/>
        <v>0</v>
      </c>
      <c r="S101" s="350">
        <f t="shared" si="51"/>
        <v>0</v>
      </c>
      <c r="T101" s="327">
        <f t="shared" si="52"/>
        <v>0</v>
      </c>
      <c r="U101" s="327">
        <f t="shared" si="53"/>
        <v>0</v>
      </c>
    </row>
    <row r="102" spans="1:21" hidden="1">
      <c r="A102" s="2025"/>
      <c r="B102" s="942"/>
      <c r="C102" s="942"/>
      <c r="D102" s="2024"/>
      <c r="E102" s="942"/>
      <c r="F102" s="350">
        <f t="shared" si="43"/>
        <v>0</v>
      </c>
      <c r="G102" s="946"/>
      <c r="H102" s="350">
        <f t="shared" si="44"/>
        <v>0</v>
      </c>
      <c r="I102" s="946"/>
      <c r="J102" s="350">
        <f t="shared" si="45"/>
        <v>0</v>
      </c>
      <c r="K102" s="946"/>
      <c r="L102" s="350">
        <f t="shared" si="46"/>
        <v>0</v>
      </c>
      <c r="M102" s="350">
        <f t="shared" si="47"/>
        <v>0</v>
      </c>
      <c r="N102" s="350">
        <f t="shared" si="48"/>
        <v>0</v>
      </c>
      <c r="O102" s="946"/>
      <c r="P102" s="946"/>
      <c r="Q102" s="350">
        <f t="shared" si="49"/>
        <v>0</v>
      </c>
      <c r="R102" s="350">
        <f t="shared" si="50"/>
        <v>0</v>
      </c>
      <c r="S102" s="350">
        <f t="shared" si="51"/>
        <v>0</v>
      </c>
      <c r="T102" s="327">
        <f t="shared" si="52"/>
        <v>0</v>
      </c>
      <c r="U102" s="327">
        <f t="shared" si="53"/>
        <v>0</v>
      </c>
    </row>
    <row r="103" spans="1:21" hidden="1">
      <c r="A103" s="2025"/>
      <c r="B103" s="942"/>
      <c r="C103" s="942"/>
      <c r="D103" s="2024"/>
      <c r="E103" s="942"/>
      <c r="F103" s="350">
        <f t="shared" si="43"/>
        <v>0</v>
      </c>
      <c r="G103" s="946"/>
      <c r="H103" s="350">
        <f t="shared" si="44"/>
        <v>0</v>
      </c>
      <c r="I103" s="946"/>
      <c r="J103" s="350">
        <f t="shared" si="45"/>
        <v>0</v>
      </c>
      <c r="K103" s="946"/>
      <c r="L103" s="350">
        <f t="shared" si="46"/>
        <v>0</v>
      </c>
      <c r="M103" s="350">
        <f t="shared" si="47"/>
        <v>0</v>
      </c>
      <c r="N103" s="350">
        <f t="shared" si="48"/>
        <v>0</v>
      </c>
      <c r="O103" s="946"/>
      <c r="P103" s="946"/>
      <c r="Q103" s="350">
        <f t="shared" si="49"/>
        <v>0</v>
      </c>
      <c r="R103" s="350">
        <f t="shared" si="50"/>
        <v>0</v>
      </c>
      <c r="S103" s="350">
        <f t="shared" si="51"/>
        <v>0</v>
      </c>
      <c r="T103" s="327">
        <f t="shared" si="52"/>
        <v>0</v>
      </c>
      <c r="U103" s="327">
        <f t="shared" si="53"/>
        <v>0</v>
      </c>
    </row>
    <row r="104" spans="1:21" hidden="1">
      <c r="A104" s="2025"/>
      <c r="B104" s="942"/>
      <c r="C104" s="942"/>
      <c r="D104" s="2024"/>
      <c r="E104" s="942"/>
      <c r="F104" s="350">
        <f t="shared" si="43"/>
        <v>0</v>
      </c>
      <c r="G104" s="946"/>
      <c r="H104" s="350">
        <f t="shared" si="44"/>
        <v>0</v>
      </c>
      <c r="I104" s="946"/>
      <c r="J104" s="350">
        <f t="shared" si="45"/>
        <v>0</v>
      </c>
      <c r="K104" s="946"/>
      <c r="L104" s="350">
        <f t="shared" si="46"/>
        <v>0</v>
      </c>
      <c r="M104" s="350">
        <f t="shared" si="47"/>
        <v>0</v>
      </c>
      <c r="N104" s="350">
        <f t="shared" si="48"/>
        <v>0</v>
      </c>
      <c r="O104" s="946"/>
      <c r="P104" s="946"/>
      <c r="Q104" s="350">
        <f t="shared" si="49"/>
        <v>0</v>
      </c>
      <c r="R104" s="350">
        <f t="shared" si="50"/>
        <v>0</v>
      </c>
      <c r="S104" s="350">
        <f t="shared" si="51"/>
        <v>0</v>
      </c>
      <c r="T104" s="327">
        <f t="shared" si="52"/>
        <v>0</v>
      </c>
      <c r="U104" s="327">
        <f t="shared" si="53"/>
        <v>0</v>
      </c>
    </row>
    <row r="105" spans="1:21" hidden="1">
      <c r="A105" s="2025"/>
      <c r="B105" s="942"/>
      <c r="C105" s="942"/>
      <c r="D105" s="2024"/>
      <c r="E105" s="942"/>
      <c r="F105" s="350">
        <f t="shared" si="43"/>
        <v>0</v>
      </c>
      <c r="G105" s="946"/>
      <c r="H105" s="350">
        <f t="shared" si="44"/>
        <v>0</v>
      </c>
      <c r="I105" s="946"/>
      <c r="J105" s="350">
        <f t="shared" si="45"/>
        <v>0</v>
      </c>
      <c r="K105" s="946"/>
      <c r="L105" s="350">
        <f t="shared" si="46"/>
        <v>0</v>
      </c>
      <c r="M105" s="350">
        <f t="shared" si="47"/>
        <v>0</v>
      </c>
      <c r="N105" s="350">
        <f t="shared" si="48"/>
        <v>0</v>
      </c>
      <c r="O105" s="946"/>
      <c r="P105" s="946"/>
      <c r="Q105" s="350">
        <f t="shared" si="49"/>
        <v>0</v>
      </c>
      <c r="R105" s="350">
        <f t="shared" si="50"/>
        <v>0</v>
      </c>
      <c r="S105" s="350">
        <f t="shared" si="51"/>
        <v>0</v>
      </c>
      <c r="T105" s="327">
        <f t="shared" si="52"/>
        <v>0</v>
      </c>
      <c r="U105" s="327">
        <f t="shared" si="53"/>
        <v>0</v>
      </c>
    </row>
    <row r="106" spans="1:21" hidden="1">
      <c r="A106" s="2025"/>
      <c r="B106" s="942"/>
      <c r="C106" s="942"/>
      <c r="D106" s="2024"/>
      <c r="E106" s="942"/>
      <c r="F106" s="350">
        <f t="shared" si="43"/>
        <v>0</v>
      </c>
      <c r="G106" s="946"/>
      <c r="H106" s="350">
        <f t="shared" si="44"/>
        <v>0</v>
      </c>
      <c r="I106" s="946"/>
      <c r="J106" s="350">
        <f t="shared" si="45"/>
        <v>0</v>
      </c>
      <c r="K106" s="946"/>
      <c r="L106" s="350">
        <f t="shared" si="46"/>
        <v>0</v>
      </c>
      <c r="M106" s="350">
        <f t="shared" si="47"/>
        <v>0</v>
      </c>
      <c r="N106" s="350">
        <f t="shared" si="48"/>
        <v>0</v>
      </c>
      <c r="O106" s="946"/>
      <c r="P106" s="946"/>
      <c r="Q106" s="350">
        <f t="shared" si="49"/>
        <v>0</v>
      </c>
      <c r="R106" s="350">
        <f t="shared" si="50"/>
        <v>0</v>
      </c>
      <c r="S106" s="350">
        <f t="shared" si="51"/>
        <v>0</v>
      </c>
      <c r="T106" s="327">
        <f t="shared" si="52"/>
        <v>0</v>
      </c>
      <c r="U106" s="327">
        <f t="shared" si="53"/>
        <v>0</v>
      </c>
    </row>
    <row r="107" spans="1:21" hidden="1">
      <c r="A107" s="2025"/>
      <c r="B107" s="942"/>
      <c r="C107" s="942"/>
      <c r="D107" s="2024"/>
      <c r="E107" s="942"/>
      <c r="F107" s="350">
        <f t="shared" si="43"/>
        <v>0</v>
      </c>
      <c r="G107" s="946"/>
      <c r="H107" s="350">
        <f t="shared" si="44"/>
        <v>0</v>
      </c>
      <c r="I107" s="946"/>
      <c r="J107" s="350">
        <f t="shared" si="45"/>
        <v>0</v>
      </c>
      <c r="K107" s="946"/>
      <c r="L107" s="350">
        <f t="shared" si="46"/>
        <v>0</v>
      </c>
      <c r="M107" s="350">
        <f t="shared" si="47"/>
        <v>0</v>
      </c>
      <c r="N107" s="350">
        <f t="shared" si="48"/>
        <v>0</v>
      </c>
      <c r="O107" s="946"/>
      <c r="P107" s="946"/>
      <c r="Q107" s="350">
        <f t="shared" si="49"/>
        <v>0</v>
      </c>
      <c r="R107" s="350">
        <f t="shared" si="50"/>
        <v>0</v>
      </c>
      <c r="S107" s="350">
        <f t="shared" si="51"/>
        <v>0</v>
      </c>
      <c r="T107" s="327">
        <f t="shared" si="52"/>
        <v>0</v>
      </c>
      <c r="U107" s="327">
        <f t="shared" si="53"/>
        <v>0</v>
      </c>
    </row>
    <row r="108" spans="1:21">
      <c r="A108" s="2025"/>
      <c r="B108" s="2016" t="s">
        <v>528</v>
      </c>
      <c r="C108" s="942"/>
      <c r="D108" s="2024" t="e">
        <f>SUM(D110:D126)</f>
        <v>#REF!</v>
      </c>
      <c r="E108" s="942"/>
      <c r="F108" s="350">
        <f>SUM(F110:F126)</f>
        <v>2573000</v>
      </c>
      <c r="G108" s="947"/>
      <c r="H108" s="350" t="e">
        <f>SUM(H110:H126)</f>
        <v>#REF!</v>
      </c>
      <c r="I108" s="947"/>
      <c r="J108" s="350">
        <f>SUM(J110:J126)</f>
        <v>0</v>
      </c>
      <c r="K108" s="947"/>
      <c r="L108" s="350">
        <f t="shared" ref="L108:U108" si="54">SUM(L110:L126)</f>
        <v>7600</v>
      </c>
      <c r="M108" s="350" t="e">
        <f t="shared" si="54"/>
        <v>#REF!</v>
      </c>
      <c r="N108" s="350" t="e">
        <f t="shared" si="54"/>
        <v>#REF!</v>
      </c>
      <c r="O108" s="350" t="e">
        <f t="shared" si="54"/>
        <v>#REF!</v>
      </c>
      <c r="P108" s="350" t="e">
        <f t="shared" si="54"/>
        <v>#REF!</v>
      </c>
      <c r="Q108" s="350" t="e">
        <f t="shared" si="54"/>
        <v>#REF!</v>
      </c>
      <c r="R108" s="350" t="e">
        <f t="shared" si="54"/>
        <v>#REF!</v>
      </c>
      <c r="S108" s="350" t="e">
        <f t="shared" si="54"/>
        <v>#REF!</v>
      </c>
      <c r="T108" s="350" t="e">
        <f t="shared" si="54"/>
        <v>#REF!</v>
      </c>
      <c r="U108" s="350" t="e">
        <f t="shared" si="54"/>
        <v>#REF!</v>
      </c>
    </row>
    <row r="109" spans="1:21">
      <c r="A109" s="2025"/>
      <c r="B109" s="2016" t="s">
        <v>529</v>
      </c>
      <c r="C109" s="942"/>
      <c r="D109" s="2024"/>
      <c r="E109" s="942"/>
      <c r="F109" s="350"/>
      <c r="G109" s="947"/>
      <c r="H109" s="350"/>
      <c r="I109" s="947"/>
      <c r="J109" s="350"/>
      <c r="K109" s="947"/>
      <c r="L109" s="350"/>
      <c r="M109" s="350"/>
      <c r="N109" s="350"/>
      <c r="O109" s="350"/>
      <c r="P109" s="350"/>
      <c r="Q109" s="350"/>
      <c r="R109" s="327"/>
      <c r="S109" s="350"/>
      <c r="T109" s="350"/>
      <c r="U109" s="350"/>
    </row>
    <row r="110" spans="1:21">
      <c r="A110" s="2024">
        <v>4</v>
      </c>
      <c r="B110" s="1022" t="s">
        <v>530</v>
      </c>
      <c r="C110" s="943"/>
      <c r="D110" s="2029" t="e">
        <f>#REF!+'штатка МБ 2.01.'!D112+'штатка ФМН 2.01.'!D112+'штатка школа МШ'!D112+'штатка школа Орынб'!D112+'штатка спальн блок 2.01.'!D15</f>
        <v>#REF!</v>
      </c>
      <c r="E110" s="942"/>
      <c r="F110" s="1021">
        <f>72000+10000</f>
        <v>82000</v>
      </c>
      <c r="G110" s="946">
        <v>12</v>
      </c>
      <c r="H110" s="350" t="e">
        <f>D110*F110*G110</f>
        <v>#REF!</v>
      </c>
      <c r="I110" s="946"/>
      <c r="J110" s="350">
        <f>I110*$Q$4</f>
        <v>0</v>
      </c>
      <c r="K110" s="946"/>
      <c r="L110" s="350">
        <f>K110*F110</f>
        <v>0</v>
      </c>
      <c r="M110" s="350" t="e">
        <f>D110*G110*(J110+L110)</f>
        <v>#REF!</v>
      </c>
      <c r="N110" s="350" t="e">
        <f>H110+M110</f>
        <v>#REF!</v>
      </c>
      <c r="O110" s="946" t="e">
        <f>F110*D110*2</f>
        <v>#REF!</v>
      </c>
      <c r="P110" s="946" t="e">
        <f>F110*D110*4</f>
        <v>#REF!</v>
      </c>
      <c r="Q110" s="350" t="e">
        <f>N110+O110+P110</f>
        <v>#REF!</v>
      </c>
      <c r="R110" s="350" t="e">
        <f>Q110*10%</f>
        <v>#REF!</v>
      </c>
      <c r="S110" s="350" t="e">
        <f>(Q110-R110)*10%</f>
        <v>#REF!</v>
      </c>
      <c r="T110" s="327" t="e">
        <f>(Q110-R110)*6%</f>
        <v>#REF!</v>
      </c>
      <c r="U110" s="327" t="e">
        <f>(Q110-R110)*5%</f>
        <v>#REF!</v>
      </c>
    </row>
    <row r="111" spans="1:21">
      <c r="A111" s="2024">
        <v>5</v>
      </c>
      <c r="B111" s="1022" t="s">
        <v>531</v>
      </c>
      <c r="C111" s="943"/>
      <c r="D111" s="2029">
        <f>'штатка МБ 2.01.'!D113+'штатка ФМН 2.01.'!D113+'штатка школа МШ'!D113+'штатка школа Орынб'!D113+'штатка спальн блок 2.01.'!D16</f>
        <v>129</v>
      </c>
      <c r="E111" s="942"/>
      <c r="F111" s="1021">
        <f>66000+10000</f>
        <v>76000</v>
      </c>
      <c r="G111" s="946">
        <v>12</v>
      </c>
      <c r="H111" s="350">
        <f>D111*F111*G111</f>
        <v>117648000</v>
      </c>
      <c r="I111" s="946"/>
      <c r="J111" s="350">
        <f>I111*$Q$4</f>
        <v>0</v>
      </c>
      <c r="K111" s="1025">
        <v>0.1</v>
      </c>
      <c r="L111" s="350">
        <f>K111*F111</f>
        <v>7600</v>
      </c>
      <c r="M111" s="350">
        <f>D111*G111*(J111+L111)</f>
        <v>11764800</v>
      </c>
      <c r="N111" s="350">
        <f>H111+M111</f>
        <v>129412800</v>
      </c>
      <c r="O111" s="946">
        <f>F111*D111*2</f>
        <v>19608000</v>
      </c>
      <c r="P111" s="946">
        <f>F111*D111*4</f>
        <v>39216000</v>
      </c>
      <c r="Q111" s="350">
        <f>N111+O111+P111</f>
        <v>188236800</v>
      </c>
      <c r="R111" s="350">
        <f>Q111*10%</f>
        <v>18823680</v>
      </c>
      <c r="S111" s="350">
        <f>(Q111-R111)*10%</f>
        <v>16941312</v>
      </c>
      <c r="T111" s="327">
        <f>(Q111-R111)*6%</f>
        <v>10164787.199999999</v>
      </c>
      <c r="U111" s="327">
        <f>(Q111-R111)*5%</f>
        <v>8470656</v>
      </c>
    </row>
    <row r="112" spans="1:21">
      <c r="A112" s="2024">
        <v>6</v>
      </c>
      <c r="B112" s="1022" t="s">
        <v>532</v>
      </c>
      <c r="C112" s="943"/>
      <c r="D112" s="2029" t="e">
        <f>#REF!+'штатка МБ 2.01.'!D114+'штатка ФМН 2.01.'!D114+'штатка школа МШ'!D114+'штатка школа Орынб'!D114</f>
        <v>#REF!</v>
      </c>
      <c r="E112" s="942"/>
      <c r="F112" s="1021">
        <f>66000+10000</f>
        <v>76000</v>
      </c>
      <c r="G112" s="946">
        <v>12</v>
      </c>
      <c r="H112" s="350" t="e">
        <f t="shared" ref="H112:H126" si="55">D112*F112*G112</f>
        <v>#REF!</v>
      </c>
      <c r="I112" s="946"/>
      <c r="J112" s="350">
        <f t="shared" ref="J112:J126" si="56">I112*$Q$4</f>
        <v>0</v>
      </c>
      <c r="K112" s="946"/>
      <c r="L112" s="350">
        <f t="shared" ref="L112:L126" si="57">K112*F112</f>
        <v>0</v>
      </c>
      <c r="M112" s="350" t="e">
        <f t="shared" ref="M112:M126" si="58">D112*G112*(J112+L112)</f>
        <v>#REF!</v>
      </c>
      <c r="N112" s="350" t="e">
        <f t="shared" ref="N112:N126" si="59">H112+M112</f>
        <v>#REF!</v>
      </c>
      <c r="O112" s="946" t="e">
        <f>F112*D112*2</f>
        <v>#REF!</v>
      </c>
      <c r="P112" s="946" t="e">
        <f>F112*D112*4</f>
        <v>#REF!</v>
      </c>
      <c r="Q112" s="350" t="e">
        <f t="shared" ref="Q112:Q126" si="60">N112+O112+P112</f>
        <v>#REF!</v>
      </c>
      <c r="R112" s="350" t="e">
        <f t="shared" ref="R112:R126" si="61">Q112*10%</f>
        <v>#REF!</v>
      </c>
      <c r="S112" s="350" t="e">
        <f t="shared" ref="S112:S126" si="62">(Q112-R112)*10%</f>
        <v>#REF!</v>
      </c>
      <c r="T112" s="327" t="e">
        <f t="shared" ref="T112:T126" si="63">(Q112-R112)*6%</f>
        <v>#REF!</v>
      </c>
      <c r="U112" s="327" t="e">
        <f t="shared" ref="U112:U126" si="64">(Q112-R112)*5%</f>
        <v>#REF!</v>
      </c>
    </row>
    <row r="113" spans="1:21">
      <c r="A113" s="2024">
        <v>7</v>
      </c>
      <c r="B113" s="1022" t="s">
        <v>533</v>
      </c>
      <c r="C113" s="943"/>
      <c r="D113" s="2029">
        <f>'штатка МБ 2.01.'!D115+'штатка ФМН 2.01.'!D115+'штатка школа МШ'!D115+'штатка школа Орынб'!D115</f>
        <v>2</v>
      </c>
      <c r="E113" s="942"/>
      <c r="F113" s="1021">
        <f>72000+10000</f>
        <v>82000</v>
      </c>
      <c r="G113" s="946">
        <v>12</v>
      </c>
      <c r="H113" s="350">
        <f t="shared" si="55"/>
        <v>1968000</v>
      </c>
      <c r="I113" s="946"/>
      <c r="J113" s="350">
        <f t="shared" si="56"/>
        <v>0</v>
      </c>
      <c r="K113" s="946"/>
      <c r="L113" s="350">
        <f t="shared" si="57"/>
        <v>0</v>
      </c>
      <c r="M113" s="350">
        <f t="shared" si="58"/>
        <v>0</v>
      </c>
      <c r="N113" s="350">
        <f t="shared" si="59"/>
        <v>1968000</v>
      </c>
      <c r="O113" s="946">
        <f t="shared" ref="O113:O119" si="65">F113*D113*2</f>
        <v>328000</v>
      </c>
      <c r="P113" s="946">
        <f t="shared" ref="P113:P119" si="66">F113*D113*4</f>
        <v>656000</v>
      </c>
      <c r="Q113" s="350">
        <f t="shared" si="60"/>
        <v>2952000</v>
      </c>
      <c r="R113" s="350">
        <f t="shared" si="61"/>
        <v>295200</v>
      </c>
      <c r="S113" s="350">
        <f t="shared" si="62"/>
        <v>265680</v>
      </c>
      <c r="T113" s="327">
        <f t="shared" si="63"/>
        <v>159408</v>
      </c>
      <c r="U113" s="327">
        <f t="shared" si="64"/>
        <v>132840</v>
      </c>
    </row>
    <row r="114" spans="1:21">
      <c r="A114" s="2024">
        <v>8</v>
      </c>
      <c r="B114" s="1022" t="s">
        <v>534</v>
      </c>
      <c r="C114" s="943"/>
      <c r="D114" s="2029" t="e">
        <f>#REF!+'штатка МБ 2.01.'!D116+'штатка ФМН 2.01.'!D116+'штатка школа МШ'!D116+'штатка школа Орынб'!D116</f>
        <v>#REF!</v>
      </c>
      <c r="E114" s="942"/>
      <c r="F114" s="1021">
        <f>72000+28000</f>
        <v>100000</v>
      </c>
      <c r="G114" s="946">
        <v>12</v>
      </c>
      <c r="H114" s="350" t="e">
        <f t="shared" si="55"/>
        <v>#REF!</v>
      </c>
      <c r="I114" s="946"/>
      <c r="J114" s="350">
        <f t="shared" si="56"/>
        <v>0</v>
      </c>
      <c r="K114" s="946"/>
      <c r="L114" s="350">
        <f t="shared" si="57"/>
        <v>0</v>
      </c>
      <c r="M114" s="350" t="e">
        <f t="shared" si="58"/>
        <v>#REF!</v>
      </c>
      <c r="N114" s="350" t="e">
        <f t="shared" si="59"/>
        <v>#REF!</v>
      </c>
      <c r="O114" s="946" t="e">
        <f t="shared" si="65"/>
        <v>#REF!</v>
      </c>
      <c r="P114" s="946" t="e">
        <f t="shared" si="66"/>
        <v>#REF!</v>
      </c>
      <c r="Q114" s="350" t="e">
        <f t="shared" si="60"/>
        <v>#REF!</v>
      </c>
      <c r="R114" s="350" t="e">
        <f t="shared" si="61"/>
        <v>#REF!</v>
      </c>
      <c r="S114" s="350" t="e">
        <f t="shared" si="62"/>
        <v>#REF!</v>
      </c>
      <c r="T114" s="327" t="e">
        <f t="shared" si="63"/>
        <v>#REF!</v>
      </c>
      <c r="U114" s="327" t="e">
        <f t="shared" si="64"/>
        <v>#REF!</v>
      </c>
    </row>
    <row r="115" spans="1:21">
      <c r="A115" s="2024">
        <v>9</v>
      </c>
      <c r="B115" s="1022" t="s">
        <v>535</v>
      </c>
      <c r="C115" s="943"/>
      <c r="D115" s="2029">
        <f>'штатка спальн блок 2.01.'!D19</f>
        <v>2</v>
      </c>
      <c r="E115" s="942"/>
      <c r="F115" s="1021">
        <f>66000+10000</f>
        <v>76000</v>
      </c>
      <c r="G115" s="946">
        <v>12</v>
      </c>
      <c r="H115" s="350">
        <f t="shared" si="55"/>
        <v>1824000</v>
      </c>
      <c r="I115" s="946"/>
      <c r="J115" s="350">
        <f t="shared" si="56"/>
        <v>0</v>
      </c>
      <c r="K115" s="946"/>
      <c r="L115" s="350">
        <f t="shared" si="57"/>
        <v>0</v>
      </c>
      <c r="M115" s="350">
        <f t="shared" si="58"/>
        <v>0</v>
      </c>
      <c r="N115" s="350">
        <f t="shared" si="59"/>
        <v>1824000</v>
      </c>
      <c r="O115" s="946">
        <f t="shared" si="65"/>
        <v>304000</v>
      </c>
      <c r="P115" s="946">
        <f t="shared" si="66"/>
        <v>608000</v>
      </c>
      <c r="Q115" s="350">
        <f t="shared" si="60"/>
        <v>2736000</v>
      </c>
      <c r="R115" s="350">
        <f t="shared" si="61"/>
        <v>273600</v>
      </c>
      <c r="S115" s="350">
        <f t="shared" si="62"/>
        <v>246240</v>
      </c>
      <c r="T115" s="327">
        <f t="shared" si="63"/>
        <v>147744</v>
      </c>
      <c r="U115" s="327">
        <f t="shared" si="64"/>
        <v>123120</v>
      </c>
    </row>
    <row r="116" spans="1:21">
      <c r="A116" s="2024">
        <v>10</v>
      </c>
      <c r="B116" s="1022" t="s">
        <v>536</v>
      </c>
      <c r="C116" s="943"/>
      <c r="D116" s="2029" t="e">
        <f>'штатка спальн блок 2.01.'!D20+#REF!</f>
        <v>#REF!</v>
      </c>
      <c r="E116" s="942"/>
      <c r="F116" s="1021">
        <f>120000+30000</f>
        <v>150000</v>
      </c>
      <c r="G116" s="946">
        <v>12</v>
      </c>
      <c r="H116" s="350" t="e">
        <f t="shared" si="55"/>
        <v>#REF!</v>
      </c>
      <c r="I116" s="946"/>
      <c r="J116" s="350">
        <f t="shared" si="56"/>
        <v>0</v>
      </c>
      <c r="K116" s="946"/>
      <c r="L116" s="350">
        <f t="shared" si="57"/>
        <v>0</v>
      </c>
      <c r="M116" s="350" t="e">
        <f t="shared" si="58"/>
        <v>#REF!</v>
      </c>
      <c r="N116" s="350" t="e">
        <f t="shared" si="59"/>
        <v>#REF!</v>
      </c>
      <c r="O116" s="946" t="e">
        <f t="shared" si="65"/>
        <v>#REF!</v>
      </c>
      <c r="P116" s="946" t="e">
        <f t="shared" si="66"/>
        <v>#REF!</v>
      </c>
      <c r="Q116" s="350" t="e">
        <f t="shared" si="60"/>
        <v>#REF!</v>
      </c>
      <c r="R116" s="350" t="e">
        <f t="shared" si="61"/>
        <v>#REF!</v>
      </c>
      <c r="S116" s="350" t="e">
        <f t="shared" si="62"/>
        <v>#REF!</v>
      </c>
      <c r="T116" s="327" t="e">
        <f t="shared" si="63"/>
        <v>#REF!</v>
      </c>
      <c r="U116" s="327" t="e">
        <f t="shared" si="64"/>
        <v>#REF!</v>
      </c>
    </row>
    <row r="117" spans="1:21">
      <c r="A117" s="2024">
        <v>11</v>
      </c>
      <c r="B117" s="1022" t="s">
        <v>537</v>
      </c>
      <c r="C117" s="943"/>
      <c r="D117" s="2029">
        <f>'штатка спальн блок 2.01.'!D21</f>
        <v>1</v>
      </c>
      <c r="E117" s="942"/>
      <c r="F117" s="1021">
        <f>72000+10000</f>
        <v>82000</v>
      </c>
      <c r="G117" s="946">
        <v>12</v>
      </c>
      <c r="H117" s="350">
        <f t="shared" si="55"/>
        <v>984000</v>
      </c>
      <c r="I117" s="946"/>
      <c r="J117" s="350">
        <f t="shared" si="56"/>
        <v>0</v>
      </c>
      <c r="K117" s="946"/>
      <c r="L117" s="350">
        <f t="shared" si="57"/>
        <v>0</v>
      </c>
      <c r="M117" s="350">
        <f t="shared" si="58"/>
        <v>0</v>
      </c>
      <c r="N117" s="350">
        <f t="shared" si="59"/>
        <v>984000</v>
      </c>
      <c r="O117" s="946">
        <f t="shared" si="65"/>
        <v>164000</v>
      </c>
      <c r="P117" s="946">
        <f t="shared" si="66"/>
        <v>328000</v>
      </c>
      <c r="Q117" s="350">
        <f t="shared" si="60"/>
        <v>1476000</v>
      </c>
      <c r="R117" s="350">
        <f t="shared" si="61"/>
        <v>147600</v>
      </c>
      <c r="S117" s="350">
        <f t="shared" si="62"/>
        <v>132840</v>
      </c>
      <c r="T117" s="327">
        <f t="shared" si="63"/>
        <v>79704</v>
      </c>
      <c r="U117" s="327">
        <f t="shared" si="64"/>
        <v>66420</v>
      </c>
    </row>
    <row r="118" spans="1:21">
      <c r="A118" s="2024">
        <v>12</v>
      </c>
      <c r="B118" s="1023" t="s">
        <v>538</v>
      </c>
      <c r="C118" s="943"/>
      <c r="D118" s="2030" t="e">
        <f>#REF!</f>
        <v>#REF!</v>
      </c>
      <c r="E118" s="942"/>
      <c r="F118" s="1024">
        <v>240000</v>
      </c>
      <c r="G118" s="946">
        <v>12</v>
      </c>
      <c r="H118" s="350" t="e">
        <f t="shared" si="55"/>
        <v>#REF!</v>
      </c>
      <c r="I118" s="946"/>
      <c r="J118" s="350">
        <f t="shared" si="56"/>
        <v>0</v>
      </c>
      <c r="K118" s="946"/>
      <c r="L118" s="350">
        <f t="shared" si="57"/>
        <v>0</v>
      </c>
      <c r="M118" s="350" t="e">
        <f t="shared" si="58"/>
        <v>#REF!</v>
      </c>
      <c r="N118" s="350" t="e">
        <f t="shared" si="59"/>
        <v>#REF!</v>
      </c>
      <c r="O118" s="946" t="e">
        <f t="shared" si="65"/>
        <v>#REF!</v>
      </c>
      <c r="P118" s="946" t="e">
        <f t="shared" si="66"/>
        <v>#REF!</v>
      </c>
      <c r="Q118" s="350" t="e">
        <f t="shared" si="60"/>
        <v>#REF!</v>
      </c>
      <c r="R118" s="350" t="e">
        <f t="shared" si="61"/>
        <v>#REF!</v>
      </c>
      <c r="S118" s="350" t="e">
        <f t="shared" si="62"/>
        <v>#REF!</v>
      </c>
      <c r="T118" s="327" t="e">
        <f t="shared" si="63"/>
        <v>#REF!</v>
      </c>
      <c r="U118" s="327" t="e">
        <f t="shared" si="64"/>
        <v>#REF!</v>
      </c>
    </row>
    <row r="119" spans="1:21">
      <c r="A119" s="2024">
        <v>13</v>
      </c>
      <c r="B119" s="1023" t="s">
        <v>539</v>
      </c>
      <c r="C119" s="943"/>
      <c r="D119" s="2030" t="e">
        <f>#REF!</f>
        <v>#REF!</v>
      </c>
      <c r="E119" s="942"/>
      <c r="F119" s="1024">
        <v>80000</v>
      </c>
      <c r="G119" s="946">
        <v>12</v>
      </c>
      <c r="H119" s="350" t="e">
        <f t="shared" si="55"/>
        <v>#REF!</v>
      </c>
      <c r="I119" s="946"/>
      <c r="J119" s="350">
        <f t="shared" si="56"/>
        <v>0</v>
      </c>
      <c r="K119" s="946"/>
      <c r="L119" s="350">
        <f t="shared" si="57"/>
        <v>0</v>
      </c>
      <c r="M119" s="350" t="e">
        <f t="shared" si="58"/>
        <v>#REF!</v>
      </c>
      <c r="N119" s="350" t="e">
        <f t="shared" si="59"/>
        <v>#REF!</v>
      </c>
      <c r="O119" s="946" t="e">
        <f t="shared" si="65"/>
        <v>#REF!</v>
      </c>
      <c r="P119" s="946" t="e">
        <f t="shared" si="66"/>
        <v>#REF!</v>
      </c>
      <c r="Q119" s="350" t="e">
        <f t="shared" si="60"/>
        <v>#REF!</v>
      </c>
      <c r="R119" s="350" t="e">
        <f t="shared" si="61"/>
        <v>#REF!</v>
      </c>
      <c r="S119" s="350" t="e">
        <f t="shared" si="62"/>
        <v>#REF!</v>
      </c>
      <c r="T119" s="327" t="e">
        <f t="shared" si="63"/>
        <v>#REF!</v>
      </c>
      <c r="U119" s="327" t="e">
        <f t="shared" si="64"/>
        <v>#REF!</v>
      </c>
    </row>
    <row r="120" spans="1:21">
      <c r="A120" s="2024">
        <v>14</v>
      </c>
      <c r="B120" s="1027" t="s">
        <v>540</v>
      </c>
      <c r="C120" s="943"/>
      <c r="D120" s="2031"/>
      <c r="E120" s="942"/>
      <c r="F120" s="350">
        <f>ROUNDUP((E120*$Q$5),-3)</f>
        <v>0</v>
      </c>
      <c r="G120" s="946"/>
      <c r="H120" s="350">
        <f t="shared" si="55"/>
        <v>0</v>
      </c>
      <c r="I120" s="946"/>
      <c r="J120" s="350">
        <f t="shared" si="56"/>
        <v>0</v>
      </c>
      <c r="K120" s="946"/>
      <c r="L120" s="350">
        <f t="shared" si="57"/>
        <v>0</v>
      </c>
      <c r="M120" s="350">
        <f t="shared" si="58"/>
        <v>0</v>
      </c>
      <c r="N120" s="350">
        <f t="shared" si="59"/>
        <v>0</v>
      </c>
      <c r="O120" s="946"/>
      <c r="P120" s="946"/>
      <c r="Q120" s="350">
        <f t="shared" si="60"/>
        <v>0</v>
      </c>
      <c r="R120" s="350">
        <f t="shared" si="61"/>
        <v>0</v>
      </c>
      <c r="S120" s="350">
        <f t="shared" si="62"/>
        <v>0</v>
      </c>
      <c r="T120" s="327">
        <f t="shared" si="63"/>
        <v>0</v>
      </c>
      <c r="U120" s="327">
        <f t="shared" si="64"/>
        <v>0</v>
      </c>
    </row>
    <row r="121" spans="1:21">
      <c r="A121" s="2024">
        <v>15</v>
      </c>
      <c r="B121" s="1022" t="s">
        <v>541</v>
      </c>
      <c r="C121" s="943"/>
      <c r="D121" s="2031">
        <f>'штатка АУП'!D19</f>
        <v>1</v>
      </c>
      <c r="E121" s="942"/>
      <c r="F121" s="1021">
        <v>484000.00000000012</v>
      </c>
      <c r="G121" s="946">
        <v>12</v>
      </c>
      <c r="H121" s="350">
        <f t="shared" si="55"/>
        <v>5808000.0000000019</v>
      </c>
      <c r="I121" s="946"/>
      <c r="J121" s="350">
        <f t="shared" si="56"/>
        <v>0</v>
      </c>
      <c r="K121" s="946"/>
      <c r="L121" s="350">
        <f t="shared" si="57"/>
        <v>0</v>
      </c>
      <c r="M121" s="350">
        <f t="shared" si="58"/>
        <v>0</v>
      </c>
      <c r="N121" s="350">
        <f t="shared" si="59"/>
        <v>5808000.0000000019</v>
      </c>
      <c r="O121" s="946">
        <f t="shared" ref="O121:O126" si="67">F121*D121*2</f>
        <v>968000.00000000023</v>
      </c>
      <c r="P121" s="946">
        <f t="shared" ref="P121:P126" si="68">F121*D121*4</f>
        <v>1936000.0000000005</v>
      </c>
      <c r="Q121" s="350">
        <f t="shared" si="60"/>
        <v>8712000.0000000019</v>
      </c>
      <c r="R121" s="350">
        <f t="shared" si="61"/>
        <v>871200.00000000023</v>
      </c>
      <c r="S121" s="350">
        <f t="shared" si="62"/>
        <v>784080.00000000023</v>
      </c>
      <c r="T121" s="327">
        <f t="shared" si="63"/>
        <v>470448.00000000012</v>
      </c>
      <c r="U121" s="327">
        <f t="shared" si="64"/>
        <v>392040.00000000012</v>
      </c>
    </row>
    <row r="122" spans="1:21">
      <c r="A122" s="2024">
        <v>16</v>
      </c>
      <c r="B122" s="1022" t="s">
        <v>542</v>
      </c>
      <c r="C122" s="943"/>
      <c r="D122" s="2031">
        <f>'штатка АУП'!D20</f>
        <v>0</v>
      </c>
      <c r="E122" s="942"/>
      <c r="F122" s="1021">
        <v>302500</v>
      </c>
      <c r="G122" s="946">
        <v>12</v>
      </c>
      <c r="H122" s="350">
        <f t="shared" si="55"/>
        <v>0</v>
      </c>
      <c r="I122" s="946"/>
      <c r="J122" s="350">
        <f t="shared" si="56"/>
        <v>0</v>
      </c>
      <c r="K122" s="946"/>
      <c r="L122" s="350">
        <f t="shared" si="57"/>
        <v>0</v>
      </c>
      <c r="M122" s="350">
        <f t="shared" si="58"/>
        <v>0</v>
      </c>
      <c r="N122" s="350">
        <f t="shared" si="59"/>
        <v>0</v>
      </c>
      <c r="O122" s="946">
        <f t="shared" si="67"/>
        <v>0</v>
      </c>
      <c r="P122" s="946">
        <f t="shared" si="68"/>
        <v>0</v>
      </c>
      <c r="Q122" s="350">
        <f t="shared" si="60"/>
        <v>0</v>
      </c>
      <c r="R122" s="350">
        <f t="shared" si="61"/>
        <v>0</v>
      </c>
      <c r="S122" s="350">
        <f t="shared" si="62"/>
        <v>0</v>
      </c>
      <c r="T122" s="327">
        <f t="shared" si="63"/>
        <v>0</v>
      </c>
      <c r="U122" s="327">
        <f t="shared" si="64"/>
        <v>0</v>
      </c>
    </row>
    <row r="123" spans="1:21">
      <c r="A123" s="2024">
        <v>17</v>
      </c>
      <c r="B123" s="1022" t="s">
        <v>543</v>
      </c>
      <c r="C123" s="943"/>
      <c r="D123" s="2031">
        <f>'штатка АУП'!D21</f>
        <v>1</v>
      </c>
      <c r="E123" s="942"/>
      <c r="F123" s="1021">
        <v>302500</v>
      </c>
      <c r="G123" s="946">
        <v>12</v>
      </c>
      <c r="H123" s="350">
        <f t="shared" si="55"/>
        <v>3630000</v>
      </c>
      <c r="I123" s="946"/>
      <c r="J123" s="350">
        <f t="shared" si="56"/>
        <v>0</v>
      </c>
      <c r="K123" s="946"/>
      <c r="L123" s="350">
        <f t="shared" si="57"/>
        <v>0</v>
      </c>
      <c r="M123" s="350">
        <f t="shared" si="58"/>
        <v>0</v>
      </c>
      <c r="N123" s="350">
        <f t="shared" si="59"/>
        <v>3630000</v>
      </c>
      <c r="O123" s="946">
        <f t="shared" si="67"/>
        <v>605000</v>
      </c>
      <c r="P123" s="946">
        <f t="shared" si="68"/>
        <v>1210000</v>
      </c>
      <c r="Q123" s="350">
        <f t="shared" si="60"/>
        <v>5445000</v>
      </c>
      <c r="R123" s="350">
        <f t="shared" si="61"/>
        <v>544500</v>
      </c>
      <c r="S123" s="350">
        <f t="shared" si="62"/>
        <v>490050</v>
      </c>
      <c r="T123" s="327">
        <f t="shared" si="63"/>
        <v>294030</v>
      </c>
      <c r="U123" s="327">
        <f t="shared" si="64"/>
        <v>245025</v>
      </c>
    </row>
    <row r="124" spans="1:21">
      <c r="A124" s="2024">
        <v>18</v>
      </c>
      <c r="B124" s="1022" t="s">
        <v>544</v>
      </c>
      <c r="C124" s="943"/>
      <c r="D124" s="2031" t="e">
        <f>#REF!+'штатка МБ 2.01.'!D127+'штатка ФМН 2.01.'!D127+'штатка школа МШ'!D127+'штатка школа Орынб'!D127</f>
        <v>#REF!</v>
      </c>
      <c r="E124" s="942"/>
      <c r="F124" s="1021">
        <v>240000</v>
      </c>
      <c r="G124" s="946">
        <v>12</v>
      </c>
      <c r="H124" s="350" t="e">
        <f t="shared" si="55"/>
        <v>#REF!</v>
      </c>
      <c r="I124" s="946"/>
      <c r="J124" s="350">
        <f t="shared" si="56"/>
        <v>0</v>
      </c>
      <c r="K124" s="946"/>
      <c r="L124" s="350">
        <f t="shared" si="57"/>
        <v>0</v>
      </c>
      <c r="M124" s="350" t="e">
        <f t="shared" si="58"/>
        <v>#REF!</v>
      </c>
      <c r="N124" s="350" t="e">
        <f t="shared" si="59"/>
        <v>#REF!</v>
      </c>
      <c r="O124" s="946" t="e">
        <f t="shared" si="67"/>
        <v>#REF!</v>
      </c>
      <c r="P124" s="946" t="e">
        <f t="shared" si="68"/>
        <v>#REF!</v>
      </c>
      <c r="Q124" s="350" t="e">
        <f t="shared" si="60"/>
        <v>#REF!</v>
      </c>
      <c r="R124" s="350" t="e">
        <f t="shared" si="61"/>
        <v>#REF!</v>
      </c>
      <c r="S124" s="350" t="e">
        <f t="shared" si="62"/>
        <v>#REF!</v>
      </c>
      <c r="T124" s="327" t="e">
        <f t="shared" si="63"/>
        <v>#REF!</v>
      </c>
      <c r="U124" s="327" t="e">
        <f t="shared" si="64"/>
        <v>#REF!</v>
      </c>
    </row>
    <row r="125" spans="1:21">
      <c r="A125" s="2024">
        <v>19</v>
      </c>
      <c r="B125" s="1022" t="s">
        <v>545</v>
      </c>
      <c r="C125" s="943"/>
      <c r="D125" s="2031" t="e">
        <f>#REF!+'штатка МБ 2.01.'!D128+'штатка ФМН 2.01.'!D128+'штатка школа МШ'!D128+'штатка школа Орынб'!D128</f>
        <v>#REF!</v>
      </c>
      <c r="E125" s="942"/>
      <c r="F125" s="1021">
        <f>78000+22000</f>
        <v>100000</v>
      </c>
      <c r="G125" s="946">
        <v>12</v>
      </c>
      <c r="H125" s="350" t="e">
        <f t="shared" si="55"/>
        <v>#REF!</v>
      </c>
      <c r="I125" s="946"/>
      <c r="J125" s="350">
        <f t="shared" si="56"/>
        <v>0</v>
      </c>
      <c r="K125" s="946"/>
      <c r="L125" s="350">
        <f t="shared" si="57"/>
        <v>0</v>
      </c>
      <c r="M125" s="350" t="e">
        <f t="shared" si="58"/>
        <v>#REF!</v>
      </c>
      <c r="N125" s="350" t="e">
        <f t="shared" si="59"/>
        <v>#REF!</v>
      </c>
      <c r="O125" s="946" t="e">
        <f t="shared" si="67"/>
        <v>#REF!</v>
      </c>
      <c r="P125" s="946" t="e">
        <f t="shared" si="68"/>
        <v>#REF!</v>
      </c>
      <c r="Q125" s="350" t="e">
        <f t="shared" si="60"/>
        <v>#REF!</v>
      </c>
      <c r="R125" s="350" t="e">
        <f t="shared" si="61"/>
        <v>#REF!</v>
      </c>
      <c r="S125" s="350" t="e">
        <f t="shared" si="62"/>
        <v>#REF!</v>
      </c>
      <c r="T125" s="327" t="e">
        <f t="shared" si="63"/>
        <v>#REF!</v>
      </c>
      <c r="U125" s="327" t="e">
        <f t="shared" si="64"/>
        <v>#REF!</v>
      </c>
    </row>
    <row r="126" spans="1:21">
      <c r="A126" s="2024">
        <v>20</v>
      </c>
      <c r="B126" s="1022" t="s">
        <v>546</v>
      </c>
      <c r="C126" s="943"/>
      <c r="D126" s="2031" t="e">
        <f>#REF!+'штатка МБ 2.01.'!D130+'штатка ФМН 2.01.'!D129+'штатка школа МШ'!D130+'штатка школа Орынб'!D130</f>
        <v>#REF!</v>
      </c>
      <c r="E126" s="942"/>
      <c r="F126" s="1021">
        <f>72000+28000</f>
        <v>100000</v>
      </c>
      <c r="G126" s="946">
        <v>12</v>
      </c>
      <c r="H126" s="350" t="e">
        <f t="shared" si="55"/>
        <v>#REF!</v>
      </c>
      <c r="I126" s="946"/>
      <c r="J126" s="350">
        <f t="shared" si="56"/>
        <v>0</v>
      </c>
      <c r="K126" s="946"/>
      <c r="L126" s="350">
        <f t="shared" si="57"/>
        <v>0</v>
      </c>
      <c r="M126" s="350" t="e">
        <f t="shared" si="58"/>
        <v>#REF!</v>
      </c>
      <c r="N126" s="350" t="e">
        <f t="shared" si="59"/>
        <v>#REF!</v>
      </c>
      <c r="O126" s="946" t="e">
        <f t="shared" si="67"/>
        <v>#REF!</v>
      </c>
      <c r="P126" s="946" t="e">
        <f t="shared" si="68"/>
        <v>#REF!</v>
      </c>
      <c r="Q126" s="350" t="e">
        <f t="shared" si="60"/>
        <v>#REF!</v>
      </c>
      <c r="R126" s="350" t="e">
        <f t="shared" si="61"/>
        <v>#REF!</v>
      </c>
      <c r="S126" s="350" t="e">
        <f t="shared" si="62"/>
        <v>#REF!</v>
      </c>
      <c r="T126" s="327" t="e">
        <f t="shared" si="63"/>
        <v>#REF!</v>
      </c>
      <c r="U126" s="327" t="e">
        <f t="shared" si="64"/>
        <v>#REF!</v>
      </c>
    </row>
    <row r="127" spans="1:21">
      <c r="A127" s="351"/>
      <c r="B127" s="352"/>
      <c r="C127" s="352"/>
      <c r="D127" s="352"/>
      <c r="E127" s="353"/>
      <c r="F127" s="354"/>
      <c r="G127" s="354"/>
      <c r="H127" s="354"/>
      <c r="I127" s="354"/>
      <c r="J127" s="354"/>
      <c r="K127" s="354"/>
      <c r="L127" s="354"/>
      <c r="M127" s="354"/>
      <c r="N127" s="354"/>
      <c r="O127" s="354"/>
      <c r="P127" s="354"/>
      <c r="Q127" s="354"/>
      <c r="R127" s="193"/>
      <c r="S127" s="193"/>
      <c r="T127" s="193"/>
      <c r="U127" s="193"/>
    </row>
    <row r="128" spans="1:21" ht="15.75">
      <c r="A128" s="188"/>
      <c r="B128" s="300"/>
      <c r="C128" s="514"/>
      <c r="D128" s="2155"/>
      <c r="E128" s="1075"/>
      <c r="F128" s="419"/>
      <c r="G128" s="406"/>
      <c r="H128" s="406"/>
      <c r="I128" s="406"/>
      <c r="J128" s="1075"/>
      <c r="K128" s="406"/>
      <c r="L128" s="406"/>
      <c r="M128" s="716"/>
      <c r="N128" s="958"/>
      <c r="O128" s="959"/>
      <c r="P128" s="959"/>
      <c r="Q128" s="2026"/>
      <c r="R128" s="949"/>
      <c r="S128" s="949"/>
      <c r="T128" s="949"/>
      <c r="U128" s="949"/>
    </row>
    <row r="129" spans="1:21" ht="15.75">
      <c r="A129" s="188"/>
      <c r="B129" s="426" t="s">
        <v>330</v>
      </c>
      <c r="C129" s="514"/>
      <c r="D129" s="2155"/>
      <c r="E129" s="1075"/>
      <c r="F129" s="419"/>
      <c r="G129" s="406"/>
      <c r="H129" s="406"/>
      <c r="I129" s="406"/>
      <c r="J129" s="1075" t="s">
        <v>369</v>
      </c>
      <c r="K129" s="406"/>
      <c r="L129" s="406"/>
      <c r="M129" s="3804"/>
      <c r="N129" s="3804"/>
      <c r="O129" s="959"/>
      <c r="P129" s="959"/>
      <c r="Q129" s="2026"/>
      <c r="R129" s="949"/>
      <c r="S129" s="949"/>
      <c r="T129" s="949"/>
      <c r="U129" s="949"/>
    </row>
    <row r="130" spans="1:21" ht="15.75">
      <c r="A130" s="188"/>
      <c r="B130" s="426"/>
      <c r="C130" s="514"/>
      <c r="D130" s="2155"/>
      <c r="E130" s="1075"/>
      <c r="F130" s="419"/>
      <c r="G130" s="406"/>
      <c r="H130" s="406"/>
      <c r="I130" s="406"/>
      <c r="J130" s="1075"/>
      <c r="K130" s="406"/>
      <c r="L130" s="406"/>
      <c r="M130" s="960"/>
      <c r="N130" s="960"/>
      <c r="O130" s="959"/>
      <c r="P130" s="959"/>
      <c r="Q130" s="959"/>
      <c r="R130" s="949"/>
      <c r="S130" s="949"/>
      <c r="T130" s="949"/>
      <c r="U130" s="949"/>
    </row>
    <row r="131" spans="1:21" ht="15.75">
      <c r="A131" s="188"/>
      <c r="B131" s="1073" t="s">
        <v>547</v>
      </c>
      <c r="C131" s="1076"/>
      <c r="D131" s="475"/>
      <c r="E131" s="1077"/>
      <c r="F131" s="419"/>
      <c r="G131" s="406"/>
      <c r="H131" s="406"/>
      <c r="I131" s="406"/>
      <c r="K131" s="406"/>
      <c r="L131" s="406"/>
      <c r="M131" s="960"/>
      <c r="N131" s="960"/>
      <c r="O131" s="959"/>
      <c r="P131" s="959"/>
      <c r="Q131" s="959"/>
      <c r="R131" s="949"/>
      <c r="S131" s="949"/>
      <c r="T131" s="949"/>
      <c r="U131" s="949"/>
    </row>
    <row r="132" spans="1:21" ht="15.75">
      <c r="A132" s="188"/>
      <c r="B132" s="1073" t="s">
        <v>548</v>
      </c>
      <c r="C132" s="1076"/>
      <c r="D132" s="475"/>
      <c r="E132" s="1077"/>
      <c r="F132" s="419"/>
      <c r="G132" s="406"/>
      <c r="H132" s="406"/>
      <c r="I132" s="406"/>
      <c r="J132" s="1074" t="s">
        <v>374</v>
      </c>
      <c r="K132" s="406"/>
      <c r="L132" s="406"/>
      <c r="M132" s="960"/>
      <c r="N132" s="960"/>
      <c r="O132" s="949"/>
      <c r="P132" s="949"/>
      <c r="Q132" s="949"/>
      <c r="R132" s="949"/>
      <c r="S132" s="949"/>
      <c r="T132" s="949"/>
      <c r="U132" s="949"/>
    </row>
    <row r="133" spans="1:21" ht="15.75">
      <c r="A133" s="188"/>
      <c r="B133" s="1073"/>
      <c r="C133" s="1076"/>
      <c r="D133" s="475"/>
      <c r="E133" s="1077"/>
      <c r="F133" s="580"/>
      <c r="G133" s="406"/>
      <c r="H133" s="406"/>
      <c r="I133" s="406"/>
      <c r="J133" s="1078"/>
      <c r="K133" s="406"/>
      <c r="L133" s="406"/>
      <c r="M133" s="187"/>
      <c r="N133" s="187"/>
      <c r="O133" s="188"/>
      <c r="P133" s="188"/>
      <c r="Q133" s="188"/>
      <c r="R133" s="188"/>
      <c r="S133" s="188"/>
      <c r="T133" s="188"/>
      <c r="U133" s="188"/>
    </row>
    <row r="134" spans="1:21" ht="15.75">
      <c r="A134" s="188"/>
      <c r="B134" s="1073" t="s">
        <v>375</v>
      </c>
      <c r="C134" s="1078"/>
      <c r="D134" s="1078"/>
      <c r="E134" s="1078"/>
      <c r="F134" s="580"/>
      <c r="G134" s="406"/>
      <c r="H134" s="406"/>
      <c r="I134" s="406"/>
      <c r="J134" s="1074" t="s">
        <v>376</v>
      </c>
      <c r="K134" s="406"/>
      <c r="L134" s="406"/>
      <c r="M134" s="187"/>
      <c r="N134" s="187"/>
      <c r="O134" s="188"/>
      <c r="P134" s="188"/>
      <c r="Q134" s="188"/>
      <c r="R134" s="188"/>
      <c r="S134" s="188"/>
      <c r="T134" s="188"/>
      <c r="U134" s="188"/>
    </row>
    <row r="135" spans="1:21">
      <c r="A135" s="188"/>
      <c r="B135" s="188"/>
      <c r="C135" s="188"/>
      <c r="D135" s="188"/>
      <c r="E135" s="194"/>
      <c r="F135" s="194"/>
      <c r="G135" s="194"/>
      <c r="H135" s="187"/>
      <c r="I135" s="187"/>
      <c r="J135" s="187"/>
      <c r="K135" s="194"/>
      <c r="L135" s="187"/>
      <c r="M135" s="187"/>
      <c r="N135" s="187"/>
      <c r="O135" s="188"/>
      <c r="P135" s="188"/>
      <c r="Q135" s="188"/>
      <c r="R135" s="188"/>
      <c r="S135" s="188"/>
      <c r="T135" s="188"/>
      <c r="U135" s="188"/>
    </row>
  </sheetData>
  <sheetProtection formatColumns="0" insertRows="0" deleteRows="0"/>
  <mergeCells count="19">
    <mergeCell ref="A7:A8"/>
    <mergeCell ref="B7:B8"/>
    <mergeCell ref="C7:C8"/>
    <mergeCell ref="D7:D8"/>
    <mergeCell ref="E7:E8"/>
    <mergeCell ref="F7:F8"/>
    <mergeCell ref="G7:G8"/>
    <mergeCell ref="H7:H8"/>
    <mergeCell ref="I7:J7"/>
    <mergeCell ref="K7:L7"/>
    <mergeCell ref="M7:M8"/>
    <mergeCell ref="N7:N8"/>
    <mergeCell ref="U7:U8"/>
    <mergeCell ref="O7:O8"/>
    <mergeCell ref="P7:P8"/>
    <mergeCell ref="Q7:Q8"/>
    <mergeCell ref="R7:R8"/>
    <mergeCell ref="S7:S8"/>
    <mergeCell ref="T7:T8"/>
  </mergeCells>
  <pageMargins left="0" right="0" top="0" bottom="0" header="0" footer="0"/>
  <pageSetup paperSize="9" scale="4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  <pageSetUpPr fitToPage="1"/>
  </sheetPr>
  <dimension ref="A1:Z111"/>
  <sheetViews>
    <sheetView topLeftCell="A5" zoomScale="115" zoomScaleNormal="115" workbookViewId="0">
      <selection activeCell="Y28" sqref="Y28"/>
    </sheetView>
  </sheetViews>
  <sheetFormatPr defaultColWidth="22" defaultRowHeight="15"/>
  <cols>
    <col min="1" max="1" width="12.140625" customWidth="1"/>
    <col min="2" max="2" width="46.85546875" customWidth="1"/>
    <col min="3" max="3" width="16.7109375" customWidth="1"/>
    <col min="4" max="4" width="15.28515625" customWidth="1"/>
    <col min="5" max="5" width="16.140625" customWidth="1"/>
    <col min="6" max="12" width="22" hidden="1" customWidth="1"/>
    <col min="13" max="13" width="17.140625" hidden="1" customWidth="1"/>
    <col min="14" max="14" width="14.28515625" hidden="1" customWidth="1"/>
    <col min="15" max="15" width="15.7109375" hidden="1" customWidth="1"/>
    <col min="16" max="16" width="16.5703125" hidden="1" customWidth="1"/>
    <col min="17" max="17" width="16.7109375" hidden="1" customWidth="1"/>
    <col min="18" max="18" width="15.85546875" hidden="1" customWidth="1"/>
    <col min="19" max="19" width="18.7109375" hidden="1" customWidth="1"/>
    <col min="20" max="20" width="18.140625" hidden="1" customWidth="1"/>
    <col min="21" max="21" width="18.7109375" hidden="1" customWidth="1"/>
    <col min="22" max="23" width="15" hidden="1" customWidth="1"/>
    <col min="24" max="24" width="15.5703125" hidden="1" customWidth="1"/>
  </cols>
  <sheetData>
    <row r="1" spans="1:26" hidden="1">
      <c r="A1" s="1132"/>
      <c r="B1" s="1132"/>
      <c r="C1" s="1155"/>
      <c r="D1" s="1155"/>
      <c r="E1" s="1914" t="s">
        <v>553</v>
      </c>
    </row>
    <row r="2" spans="1:26" hidden="1">
      <c r="A2" s="1132"/>
      <c r="B2" s="1132"/>
      <c r="C2" s="1155"/>
      <c r="D2" s="1155"/>
      <c r="E2" s="1914" t="s">
        <v>554</v>
      </c>
    </row>
    <row r="3" spans="1:26" hidden="1">
      <c r="A3" s="1132"/>
      <c r="B3" s="1132"/>
      <c r="C3" s="1155"/>
      <c r="D3" s="1155"/>
      <c r="E3" s="1914" t="s">
        <v>30</v>
      </c>
    </row>
    <row r="4" spans="1:26" hidden="1">
      <c r="A4" s="1132"/>
      <c r="B4" s="1132"/>
      <c r="C4" s="1155"/>
      <c r="D4" s="1155"/>
      <c r="E4" s="1914" t="s">
        <v>555</v>
      </c>
    </row>
    <row r="5" spans="1:26">
      <c r="A5" s="1132"/>
      <c r="B5" s="1132"/>
      <c r="C5" s="1132"/>
    </row>
    <row r="6" spans="1:26" ht="33.75" customHeight="1">
      <c r="A6" s="2953" t="s">
        <v>556</v>
      </c>
      <c r="B6" s="2953"/>
      <c r="C6" s="2953"/>
      <c r="D6" s="2953"/>
      <c r="E6" s="2953"/>
      <c r="M6" s="1137"/>
    </row>
    <row r="7" spans="1:26">
      <c r="A7" s="3941"/>
      <c r="B7" s="3941"/>
      <c r="C7" s="3941"/>
      <c r="D7" s="3941"/>
      <c r="E7" s="3941"/>
      <c r="F7">
        <v>32</v>
      </c>
      <c r="M7" s="1137"/>
      <c r="O7" s="916" t="s">
        <v>254</v>
      </c>
      <c r="R7" s="916" t="s">
        <v>254</v>
      </c>
      <c r="S7" s="3941"/>
      <c r="T7" s="3941"/>
      <c r="U7" s="3941"/>
      <c r="V7" s="3941"/>
      <c r="W7" s="3941"/>
      <c r="X7" s="3941"/>
    </row>
    <row r="8" spans="1:26">
      <c r="A8" s="3942" t="s">
        <v>557</v>
      </c>
      <c r="B8" s="3942" t="s">
        <v>558</v>
      </c>
      <c r="C8" s="3944" t="s">
        <v>559</v>
      </c>
      <c r="D8" s="3946" t="s">
        <v>7</v>
      </c>
      <c r="E8" s="3946" t="s">
        <v>8</v>
      </c>
      <c r="M8" s="3947" t="s">
        <v>560</v>
      </c>
      <c r="N8" s="3934" t="s">
        <v>7</v>
      </c>
      <c r="O8" s="3934" t="s">
        <v>8</v>
      </c>
      <c r="P8" s="3935" t="s">
        <v>559</v>
      </c>
      <c r="Q8" s="3937" t="s">
        <v>7</v>
      </c>
      <c r="R8" s="3937" t="s">
        <v>8</v>
      </c>
      <c r="S8" s="3938" t="s">
        <v>559</v>
      </c>
      <c r="T8" s="3940" t="s">
        <v>7</v>
      </c>
      <c r="U8" s="3940" t="s">
        <v>8</v>
      </c>
      <c r="V8" s="3947" t="s">
        <v>561</v>
      </c>
      <c r="W8" s="3934" t="s">
        <v>7</v>
      </c>
      <c r="X8" s="3934" t="s">
        <v>8</v>
      </c>
    </row>
    <row r="9" spans="1:26">
      <c r="A9" s="3943"/>
      <c r="B9" s="3943"/>
      <c r="C9" s="3945"/>
      <c r="D9" s="3946"/>
      <c r="E9" s="3946"/>
      <c r="M9" s="3948"/>
      <c r="N9" s="3934"/>
      <c r="O9" s="3934"/>
      <c r="P9" s="3936"/>
      <c r="Q9" s="3937"/>
      <c r="R9" s="3937"/>
      <c r="S9" s="3939"/>
      <c r="T9" s="3940"/>
      <c r="U9" s="3940"/>
      <c r="V9" s="3948"/>
      <c r="W9" s="3934"/>
      <c r="X9" s="3934"/>
      <c r="Z9" s="2118"/>
    </row>
    <row r="10" spans="1:26" ht="11.25" customHeight="1">
      <c r="A10" s="3499">
        <v>1</v>
      </c>
      <c r="B10" s="3499">
        <v>2</v>
      </c>
      <c r="C10" s="2519">
        <v>5</v>
      </c>
      <c r="D10" s="2520"/>
      <c r="E10" s="2520"/>
      <c r="M10" s="2508">
        <v>5</v>
      </c>
      <c r="N10" s="2509"/>
      <c r="O10" s="2509"/>
      <c r="P10" s="2532">
        <v>5</v>
      </c>
      <c r="Q10" s="2533"/>
      <c r="R10" s="2533"/>
      <c r="S10" s="2965">
        <v>5</v>
      </c>
      <c r="T10" s="2966"/>
      <c r="U10" s="2966"/>
      <c r="V10" s="2508">
        <v>5</v>
      </c>
      <c r="W10" s="2509"/>
      <c r="X10" s="2509"/>
    </row>
    <row r="11" spans="1:26" ht="0.75" hidden="1" customHeight="1">
      <c r="A11" s="3499"/>
      <c r="B11" s="1133" t="s">
        <v>562</v>
      </c>
      <c r="C11" s="2521" t="e">
        <f>C93</f>
        <v>#REF!</v>
      </c>
      <c r="D11" s="2520"/>
      <c r="E11" s="2520"/>
      <c r="M11" s="2510" t="e">
        <f>M93</f>
        <v>#REF!</v>
      </c>
      <c r="N11" s="2509"/>
      <c r="O11" s="2509"/>
      <c r="P11" s="2534" t="e">
        <f>P93</f>
        <v>#REF!</v>
      </c>
      <c r="Q11" s="2533"/>
      <c r="R11" s="2533"/>
      <c r="S11" s="2967">
        <f>S93</f>
        <v>0</v>
      </c>
      <c r="T11" s="2966"/>
      <c r="U11" s="2966"/>
      <c r="V11" s="2510" t="e">
        <f>V93</f>
        <v>#REF!</v>
      </c>
      <c r="W11" s="2509"/>
      <c r="X11" s="2509"/>
    </row>
    <row r="12" spans="1:26" ht="15" customHeight="1">
      <c r="A12" s="3499"/>
      <c r="B12" s="1133" t="s">
        <v>562</v>
      </c>
      <c r="C12" s="2521"/>
      <c r="D12" s="2520"/>
      <c r="E12" s="2520"/>
      <c r="M12" s="2510"/>
      <c r="N12" s="2509"/>
      <c r="O12" s="2509"/>
      <c r="P12" s="2534"/>
      <c r="Q12" s="2533"/>
      <c r="R12" s="2533"/>
      <c r="S12" s="2967"/>
      <c r="T12" s="2966"/>
      <c r="U12" s="2966"/>
      <c r="V12" s="2510"/>
      <c r="W12" s="2509"/>
      <c r="X12" s="2509"/>
    </row>
    <row r="13" spans="1:26" ht="13.5" customHeight="1">
      <c r="A13" s="1133" t="s">
        <v>563</v>
      </c>
      <c r="B13" s="1133" t="s">
        <v>40</v>
      </c>
      <c r="C13" s="2521" t="e">
        <f>E13+D13</f>
        <v>#REF!</v>
      </c>
      <c r="D13" s="2521"/>
      <c r="E13" s="2521" t="e">
        <f>E14+E15</f>
        <v>#REF!</v>
      </c>
      <c r="M13" s="2510" t="e">
        <f>M17</f>
        <v>#REF!</v>
      </c>
      <c r="N13" s="2510"/>
      <c r="O13" s="2510" t="e">
        <f>M13</f>
        <v>#REF!</v>
      </c>
      <c r="P13" s="2534" t="e">
        <f>P17</f>
        <v>#REF!</v>
      </c>
      <c r="Q13" s="2534"/>
      <c r="R13" s="2534" t="e">
        <f>P13</f>
        <v>#REF!</v>
      </c>
      <c r="S13" s="2967" t="e">
        <f>S17</f>
        <v>#REF!</v>
      </c>
      <c r="T13" s="2967"/>
      <c r="U13" s="2967" t="e">
        <f>S13</f>
        <v>#REF!</v>
      </c>
      <c r="V13" s="2510" t="e">
        <f>V17</f>
        <v>#REF!</v>
      </c>
      <c r="W13" s="2510"/>
      <c r="X13" s="2510" t="e">
        <f>V13</f>
        <v>#REF!</v>
      </c>
      <c r="Z13" s="3420">
        <v>291844.962</v>
      </c>
    </row>
    <row r="14" spans="1:26" ht="21" customHeight="1">
      <c r="A14" s="1134" t="s">
        <v>564</v>
      </c>
      <c r="B14" s="1134" t="s">
        <v>565</v>
      </c>
      <c r="C14" s="2522" t="e">
        <f>E14</f>
        <v>#REF!</v>
      </c>
      <c r="D14" s="2520"/>
      <c r="E14" s="3028" t="e">
        <f>#REF!</f>
        <v>#REF!</v>
      </c>
      <c r="M14" s="2511"/>
      <c r="N14" s="2509"/>
      <c r="O14" s="2509"/>
      <c r="P14" s="2535"/>
      <c r="Q14" s="2533"/>
      <c r="R14" s="2533"/>
      <c r="S14" s="2969" t="e">
        <f>U14</f>
        <v>#REF!</v>
      </c>
      <c r="T14" s="2966"/>
      <c r="U14" s="2969" t="e">
        <f>ROUND(#REF!,0)</f>
        <v>#REF!</v>
      </c>
      <c r="V14" s="2511" t="e">
        <f>X14</f>
        <v>#REF!</v>
      </c>
      <c r="W14" s="2509"/>
      <c r="X14" s="3029" t="e">
        <f>#REF!</f>
        <v>#REF!</v>
      </c>
      <c r="Z14" s="2118" t="e">
        <f t="shared" ref="Z14:Z18" si="0">C14-D14-E14</f>
        <v>#REF!</v>
      </c>
    </row>
    <row r="15" spans="1:26" ht="15.75" customHeight="1">
      <c r="A15" s="1134" t="s">
        <v>566</v>
      </c>
      <c r="B15" s="1134" t="s">
        <v>567</v>
      </c>
      <c r="C15" s="2522" t="e">
        <f>E15</f>
        <v>#REF!</v>
      </c>
      <c r="D15" s="2520"/>
      <c r="E15" s="3031" t="e">
        <f>#REF!+'Кальк31 ул (31)'!D36+'Кальк31 ул (31)'!D37</f>
        <v>#REF!</v>
      </c>
      <c r="M15" s="2511"/>
      <c r="N15" s="2509"/>
      <c r="O15" s="2509"/>
      <c r="P15" s="2535"/>
      <c r="Q15" s="2533"/>
      <c r="R15" s="2533"/>
      <c r="S15" s="2968" t="e">
        <f>U15</f>
        <v>#REF!</v>
      </c>
      <c r="T15" s="2966"/>
      <c r="U15" s="3032" t="e">
        <f>S17-U14</f>
        <v>#REF!</v>
      </c>
      <c r="V15" s="2511" t="e">
        <f>X15</f>
        <v>#REF!</v>
      </c>
      <c r="W15" s="2509"/>
      <c r="X15" s="3033" t="e">
        <f>V17-X14</f>
        <v>#REF!</v>
      </c>
      <c r="Z15" s="2118" t="e">
        <f t="shared" si="0"/>
        <v>#REF!</v>
      </c>
    </row>
    <row r="16" spans="1:26" ht="15" hidden="1" customHeight="1">
      <c r="A16" s="1134" t="s">
        <v>568</v>
      </c>
      <c r="B16" s="1134" t="s">
        <v>569</v>
      </c>
      <c r="C16" s="2522"/>
      <c r="D16" s="2520"/>
      <c r="E16" s="2520"/>
      <c r="M16" s="2511"/>
      <c r="N16" s="2509"/>
      <c r="O16" s="2509"/>
      <c r="P16" s="2535"/>
      <c r="Q16" s="2533"/>
      <c r="R16" s="2533"/>
      <c r="S16" s="2968"/>
      <c r="T16" s="2966"/>
      <c r="U16" s="2966"/>
      <c r="V16" s="2511"/>
      <c r="W16" s="2509"/>
      <c r="X16" s="2509"/>
      <c r="Z16" s="2118">
        <f t="shared" si="0"/>
        <v>0</v>
      </c>
    </row>
    <row r="17" spans="1:26">
      <c r="A17" s="1133" t="s">
        <v>570</v>
      </c>
      <c r="B17" s="1133" t="s">
        <v>42</v>
      </c>
      <c r="C17" s="2521" t="e">
        <f>C18+C28+C31+C56+C65+C71+C74+C79+C92+C93</f>
        <v>#REF!</v>
      </c>
      <c r="D17" s="2521" t="e">
        <f t="shared" ref="D17:E17" si="1">D18+D28+D31+D56+D65+D71+D74+D79+D92+D93</f>
        <v>#REF!</v>
      </c>
      <c r="E17" s="2521" t="e">
        <f t="shared" si="1"/>
        <v>#REF!</v>
      </c>
      <c r="F17" s="2118" t="e">
        <f>C17-D17-E17</f>
        <v>#REF!</v>
      </c>
      <c r="M17" s="2510" t="e">
        <f>M18+M28+M31+M56+M65+M71+M74+M79+M81</f>
        <v>#REF!</v>
      </c>
      <c r="N17" s="2510" t="e">
        <f t="shared" ref="N17:R17" si="2">N18+N28+N31+N56+N65+N71+N74+N79+N81</f>
        <v>#REF!</v>
      </c>
      <c r="O17" s="2510" t="e">
        <f t="shared" si="2"/>
        <v>#REF!</v>
      </c>
      <c r="P17" s="2534" t="e">
        <f t="shared" si="2"/>
        <v>#REF!</v>
      </c>
      <c r="Q17" s="2534" t="e">
        <f t="shared" si="2"/>
        <v>#REF!</v>
      </c>
      <c r="R17" s="2534" t="e">
        <f t="shared" si="2"/>
        <v>#REF!</v>
      </c>
      <c r="S17" s="2967" t="e">
        <f>S18+S28+S31+S56+S65+S71+S74+S79</f>
        <v>#REF!</v>
      </c>
      <c r="T17" s="2967" t="e">
        <f>T18+T28+T65+T71+T74+T79</f>
        <v>#REF!</v>
      </c>
      <c r="U17" s="2967" t="e">
        <f>U18+U28+U31+U56+U65+U71+U74+U81</f>
        <v>#REF!</v>
      </c>
      <c r="V17" s="3027" t="e">
        <f>V18+V28+V31+V56+V65+V71+V74+V79</f>
        <v>#REF!</v>
      </c>
      <c r="W17" s="3027" t="e">
        <f>W18+W28+W65+W71+W74+W79</f>
        <v>#REF!</v>
      </c>
      <c r="X17" s="3027" t="e">
        <f>X18+X28+X31+X56+X65+X71+X74+X81</f>
        <v>#REF!</v>
      </c>
      <c r="Z17" s="2118" t="e">
        <f t="shared" si="0"/>
        <v>#REF!</v>
      </c>
    </row>
    <row r="18" spans="1:26">
      <c r="A18" s="1133" t="s">
        <v>571</v>
      </c>
      <c r="B18" s="1133" t="s">
        <v>43</v>
      </c>
      <c r="C18" s="2521" t="e">
        <f>C19+C20+C21+C23+C26+C27</f>
        <v>#REF!</v>
      </c>
      <c r="D18" s="2521" t="e">
        <f>D19+D20+D21+D23+D26+D27</f>
        <v>#REF!</v>
      </c>
      <c r="E18" s="2521" t="e">
        <f>E19+E20+E21+E23+E26+E27</f>
        <v>#REF!</v>
      </c>
      <c r="M18" s="2510" t="e">
        <f t="shared" ref="M18:R18" si="3">M19+M20+M21+M23+M26+M27</f>
        <v>#REF!</v>
      </c>
      <c r="N18" s="2510" t="e">
        <f t="shared" si="3"/>
        <v>#REF!</v>
      </c>
      <c r="O18" s="2510" t="e">
        <f t="shared" si="3"/>
        <v>#REF!</v>
      </c>
      <c r="P18" s="2534" t="e">
        <f t="shared" si="3"/>
        <v>#REF!</v>
      </c>
      <c r="Q18" s="2534" t="e">
        <f t="shared" si="3"/>
        <v>#REF!</v>
      </c>
      <c r="R18" s="2534" t="e">
        <f t="shared" si="3"/>
        <v>#REF!</v>
      </c>
      <c r="S18" s="2967" t="e">
        <f>S19+S20+S21+S23+S26+S27</f>
        <v>#REF!</v>
      </c>
      <c r="T18" s="2967" t="e">
        <f>T19+T20+T21+T23+T26+T27</f>
        <v>#REF!</v>
      </c>
      <c r="U18" s="2967" t="e">
        <f>U19+U20+U21+U23+U26+U27</f>
        <v>#REF!</v>
      </c>
      <c r="V18" s="3027" t="e">
        <f t="shared" ref="V18:X18" si="4">V19+V20+V21+V23+V26+V27</f>
        <v>#REF!</v>
      </c>
      <c r="W18" s="3027" t="e">
        <f t="shared" si="4"/>
        <v>#REF!</v>
      </c>
      <c r="X18" s="3027" t="e">
        <f t="shared" si="4"/>
        <v>#REF!</v>
      </c>
      <c r="Z18" s="2118" t="e">
        <f t="shared" si="0"/>
        <v>#REF!</v>
      </c>
    </row>
    <row r="19" spans="1:26">
      <c r="A19" s="1918" t="s">
        <v>572</v>
      </c>
      <c r="B19" s="1915" t="s">
        <v>100</v>
      </c>
      <c r="C19" s="2523" t="e">
        <f>#REF!*0.81</f>
        <v>#REF!</v>
      </c>
      <c r="D19" s="2523" t="e">
        <f>#REF!*0.81</f>
        <v>#REF!</v>
      </c>
      <c r="E19" s="2523" t="e">
        <f>#REF!*0.81</f>
        <v>#REF!</v>
      </c>
      <c r="M19" s="2512" t="e">
        <f>C19</f>
        <v>#REF!</v>
      </c>
      <c r="N19" s="2512" t="e">
        <f>D19</f>
        <v>#REF!</v>
      </c>
      <c r="O19" s="2512" t="e">
        <f>E19</f>
        <v>#REF!</v>
      </c>
      <c r="P19" s="2536" t="e">
        <f>M19</f>
        <v>#REF!</v>
      </c>
      <c r="Q19" s="2536" t="e">
        <f>N19</f>
        <v>#REF!</v>
      </c>
      <c r="R19" s="2536" t="e">
        <f>O19</f>
        <v>#REF!</v>
      </c>
      <c r="S19" s="2969" t="e">
        <f>T19+U19</f>
        <v>#REF!</v>
      </c>
      <c r="T19" s="2969" t="e">
        <f>D19</f>
        <v>#REF!</v>
      </c>
      <c r="U19" s="2969" t="e">
        <f>E19</f>
        <v>#REF!</v>
      </c>
      <c r="V19" s="2516" t="e">
        <f>W19+X19</f>
        <v>#REF!</v>
      </c>
      <c r="W19" s="2516" t="e">
        <f>T19</f>
        <v>#REF!</v>
      </c>
      <c r="X19" s="2516" t="e">
        <f>U19</f>
        <v>#REF!</v>
      </c>
      <c r="Z19" s="2118" t="e">
        <f>C19-D19-E19</f>
        <v>#REF!</v>
      </c>
    </row>
    <row r="20" spans="1:26">
      <c r="A20" s="1918" t="s">
        <v>573</v>
      </c>
      <c r="B20" s="1915" t="s">
        <v>102</v>
      </c>
      <c r="C20" s="2523" t="e">
        <f>E20</f>
        <v>#REF!</v>
      </c>
      <c r="D20" s="2523"/>
      <c r="E20" s="2523" t="e">
        <f>#REF!*0.81</f>
        <v>#REF!</v>
      </c>
      <c r="M20" s="2512" t="e">
        <f t="shared" ref="M20:O27" si="5">C20</f>
        <v>#REF!</v>
      </c>
      <c r="N20" s="2512">
        <f t="shared" si="5"/>
        <v>0</v>
      </c>
      <c r="O20" s="2512" t="e">
        <f t="shared" si="5"/>
        <v>#REF!</v>
      </c>
      <c r="P20" s="2536" t="e">
        <f t="shared" ref="P20:R27" si="6">M20</f>
        <v>#REF!</v>
      </c>
      <c r="Q20" s="2536">
        <f t="shared" si="6"/>
        <v>0</v>
      </c>
      <c r="R20" s="2536" t="e">
        <f t="shared" si="6"/>
        <v>#REF!</v>
      </c>
      <c r="S20" s="2969" t="e">
        <f t="shared" ref="S20:S27" si="7">T20+U20</f>
        <v>#REF!</v>
      </c>
      <c r="T20" s="2969"/>
      <c r="U20" s="2969" t="e">
        <f>#REF!*0.81</f>
        <v>#REF!</v>
      </c>
      <c r="V20" s="2516" t="e">
        <f t="shared" ref="V20:V27" si="8">W20+X20</f>
        <v>#REF!</v>
      </c>
      <c r="W20" s="2516">
        <f t="shared" ref="W20:X81" si="9">D20-T20</f>
        <v>0</v>
      </c>
      <c r="X20" s="2516" t="e">
        <f>U20</f>
        <v>#REF!</v>
      </c>
      <c r="Z20" s="2118" t="e">
        <f t="shared" ref="Z20:Z83" si="10">C20-D20-E20</f>
        <v>#REF!</v>
      </c>
    </row>
    <row r="21" spans="1:26" ht="14.25" customHeight="1">
      <c r="A21" s="1918" t="s">
        <v>574</v>
      </c>
      <c r="B21" s="1915" t="s">
        <v>575</v>
      </c>
      <c r="C21" s="2523" t="e">
        <f>#REF!*0.81</f>
        <v>#REF!</v>
      </c>
      <c r="D21" s="2523" t="e">
        <f>#REF!*0.81</f>
        <v>#REF!</v>
      </c>
      <c r="E21" s="2523" t="e">
        <f>#REF!*0.81</f>
        <v>#REF!</v>
      </c>
      <c r="M21" s="2512" t="e">
        <f t="shared" si="5"/>
        <v>#REF!</v>
      </c>
      <c r="N21" s="2512" t="e">
        <f t="shared" si="5"/>
        <v>#REF!</v>
      </c>
      <c r="O21" s="2512" t="e">
        <f t="shared" si="5"/>
        <v>#REF!</v>
      </c>
      <c r="P21" s="2536" t="e">
        <f t="shared" si="6"/>
        <v>#REF!</v>
      </c>
      <c r="Q21" s="2536" t="e">
        <f t="shared" si="6"/>
        <v>#REF!</v>
      </c>
      <c r="R21" s="2536" t="e">
        <f t="shared" si="6"/>
        <v>#REF!</v>
      </c>
      <c r="S21" s="2969" t="e">
        <f t="shared" si="7"/>
        <v>#REF!</v>
      </c>
      <c r="T21" s="2969" t="e">
        <f>D21</f>
        <v>#REF!</v>
      </c>
      <c r="U21" s="2969" t="e">
        <f>E21</f>
        <v>#REF!</v>
      </c>
      <c r="V21" s="2516" t="e">
        <f t="shared" si="8"/>
        <v>#REF!</v>
      </c>
      <c r="W21" s="2516" t="e">
        <f>T21</f>
        <v>#REF!</v>
      </c>
      <c r="X21" s="2516" t="e">
        <f>U21</f>
        <v>#REF!</v>
      </c>
      <c r="Z21" s="2118" t="e">
        <f t="shared" si="10"/>
        <v>#REF!</v>
      </c>
    </row>
    <row r="22" spans="1:26" ht="15" hidden="1" customHeight="1">
      <c r="A22" s="1918" t="s">
        <v>105</v>
      </c>
      <c r="B22" s="1915" t="s">
        <v>106</v>
      </c>
      <c r="C22" s="2523"/>
      <c r="D22" s="2523"/>
      <c r="E22" s="2523"/>
      <c r="M22" s="2512">
        <f t="shared" si="5"/>
        <v>0</v>
      </c>
      <c r="N22" s="2512">
        <f t="shared" si="5"/>
        <v>0</v>
      </c>
      <c r="O22" s="2512">
        <f t="shared" si="5"/>
        <v>0</v>
      </c>
      <c r="P22" s="2536">
        <f t="shared" si="6"/>
        <v>0</v>
      </c>
      <c r="Q22" s="2536">
        <f t="shared" si="6"/>
        <v>0</v>
      </c>
      <c r="R22" s="2536">
        <f t="shared" si="6"/>
        <v>0</v>
      </c>
      <c r="S22" s="2969">
        <f t="shared" si="7"/>
        <v>0</v>
      </c>
      <c r="T22" s="2969"/>
      <c r="U22" s="2969"/>
      <c r="V22" s="2516">
        <f t="shared" si="8"/>
        <v>0</v>
      </c>
      <c r="W22" s="2516">
        <f t="shared" si="9"/>
        <v>0</v>
      </c>
      <c r="X22" s="2516">
        <f t="shared" si="9"/>
        <v>0</v>
      </c>
      <c r="Z22" s="2118">
        <f t="shared" si="10"/>
        <v>0</v>
      </c>
    </row>
    <row r="23" spans="1:26">
      <c r="A23" s="1918" t="s">
        <v>576</v>
      </c>
      <c r="B23" s="1915" t="s">
        <v>108</v>
      </c>
      <c r="C23" s="2523" t="e">
        <f>#REF!*0.81</f>
        <v>#REF!</v>
      </c>
      <c r="D23" s="2523" t="e">
        <f>#REF!*0.81</f>
        <v>#REF!</v>
      </c>
      <c r="E23" s="2523" t="e">
        <f>#REF!*0.81</f>
        <v>#REF!</v>
      </c>
      <c r="M23" s="2512" t="e">
        <f t="shared" si="5"/>
        <v>#REF!</v>
      </c>
      <c r="N23" s="2512" t="e">
        <f t="shared" si="5"/>
        <v>#REF!</v>
      </c>
      <c r="O23" s="2512" t="e">
        <f t="shared" si="5"/>
        <v>#REF!</v>
      </c>
      <c r="P23" s="2536" t="e">
        <f t="shared" si="6"/>
        <v>#REF!</v>
      </c>
      <c r="Q23" s="2536" t="e">
        <f t="shared" si="6"/>
        <v>#REF!</v>
      </c>
      <c r="R23" s="2536" t="e">
        <f t="shared" si="6"/>
        <v>#REF!</v>
      </c>
      <c r="S23" s="2969" t="e">
        <f t="shared" si="7"/>
        <v>#REF!</v>
      </c>
      <c r="T23" s="2969" t="e">
        <f>D23</f>
        <v>#REF!</v>
      </c>
      <c r="U23" s="2969" t="e">
        <f>E23</f>
        <v>#REF!</v>
      </c>
      <c r="V23" s="2516" t="e">
        <f t="shared" si="8"/>
        <v>#REF!</v>
      </c>
      <c r="W23" s="2516" t="e">
        <f>T23</f>
        <v>#REF!</v>
      </c>
      <c r="X23" s="2516" t="e">
        <f>U23</f>
        <v>#REF!</v>
      </c>
      <c r="Z23" s="2118" t="e">
        <f t="shared" si="10"/>
        <v>#REF!</v>
      </c>
    </row>
    <row r="24" spans="1:26" ht="15" hidden="1" customHeight="1">
      <c r="A24" s="1918" t="s">
        <v>109</v>
      </c>
      <c r="B24" s="1915" t="s">
        <v>110</v>
      </c>
      <c r="C24" s="2523"/>
      <c r="D24" s="2523"/>
      <c r="E24" s="2523"/>
      <c r="M24" s="2512">
        <f t="shared" si="5"/>
        <v>0</v>
      </c>
      <c r="N24" s="2512">
        <f t="shared" si="5"/>
        <v>0</v>
      </c>
      <c r="O24" s="2512">
        <f t="shared" si="5"/>
        <v>0</v>
      </c>
      <c r="P24" s="2536">
        <f t="shared" si="6"/>
        <v>0</v>
      </c>
      <c r="Q24" s="2536">
        <f t="shared" si="6"/>
        <v>0</v>
      </c>
      <c r="R24" s="2536">
        <f t="shared" si="6"/>
        <v>0</v>
      </c>
      <c r="S24" s="2969">
        <f t="shared" si="7"/>
        <v>0</v>
      </c>
      <c r="T24" s="2969"/>
      <c r="U24" s="2969"/>
      <c r="V24" s="2516">
        <f t="shared" si="8"/>
        <v>0</v>
      </c>
      <c r="W24" s="2516">
        <f t="shared" si="9"/>
        <v>0</v>
      </c>
      <c r="X24" s="2516">
        <f t="shared" si="9"/>
        <v>0</v>
      </c>
      <c r="Z24" s="2118">
        <f t="shared" si="10"/>
        <v>0</v>
      </c>
    </row>
    <row r="25" spans="1:26" ht="15" hidden="1" customHeight="1">
      <c r="A25" s="1918" t="s">
        <v>577</v>
      </c>
      <c r="B25" s="1915" t="s">
        <v>578</v>
      </c>
      <c r="C25" s="2523"/>
      <c r="D25" s="2523"/>
      <c r="E25" s="2523"/>
      <c r="M25" s="2512">
        <f t="shared" si="5"/>
        <v>0</v>
      </c>
      <c r="N25" s="2512">
        <f t="shared" si="5"/>
        <v>0</v>
      </c>
      <c r="O25" s="2512">
        <f t="shared" si="5"/>
        <v>0</v>
      </c>
      <c r="P25" s="2536">
        <f t="shared" si="6"/>
        <v>0</v>
      </c>
      <c r="Q25" s="2536">
        <f t="shared" si="6"/>
        <v>0</v>
      </c>
      <c r="R25" s="2536">
        <f t="shared" si="6"/>
        <v>0</v>
      </c>
      <c r="S25" s="2969">
        <f t="shared" si="7"/>
        <v>0</v>
      </c>
      <c r="T25" s="2969"/>
      <c r="U25" s="2969"/>
      <c r="V25" s="2516">
        <f t="shared" si="8"/>
        <v>0</v>
      </c>
      <c r="W25" s="2516">
        <f t="shared" si="9"/>
        <v>0</v>
      </c>
      <c r="X25" s="2516">
        <f t="shared" si="9"/>
        <v>0</v>
      </c>
      <c r="Z25" s="2118">
        <f t="shared" si="10"/>
        <v>0</v>
      </c>
    </row>
    <row r="26" spans="1:26">
      <c r="A26" s="1918" t="s">
        <v>579</v>
      </c>
      <c r="B26" s="1915" t="s">
        <v>114</v>
      </c>
      <c r="C26" s="2523" t="e">
        <f>#REF!</f>
        <v>#REF!</v>
      </c>
      <c r="D26" s="2523" t="e">
        <f>#REF!</f>
        <v>#REF!</v>
      </c>
      <c r="E26" s="2523" t="e">
        <f>#REF!</f>
        <v>#REF!</v>
      </c>
      <c r="M26" s="2512" t="e">
        <f t="shared" si="5"/>
        <v>#REF!</v>
      </c>
      <c r="N26" s="2512" t="e">
        <f t="shared" si="5"/>
        <v>#REF!</v>
      </c>
      <c r="O26" s="2512" t="e">
        <f t="shared" si="5"/>
        <v>#REF!</v>
      </c>
      <c r="P26" s="2536" t="e">
        <f t="shared" si="6"/>
        <v>#REF!</v>
      </c>
      <c r="Q26" s="2536" t="e">
        <f t="shared" si="6"/>
        <v>#REF!</v>
      </c>
      <c r="R26" s="2536" t="e">
        <f t="shared" si="6"/>
        <v>#REF!</v>
      </c>
      <c r="S26" s="2969" t="e">
        <f t="shared" si="7"/>
        <v>#REF!</v>
      </c>
      <c r="T26" s="2969" t="e">
        <f>D26</f>
        <v>#REF!</v>
      </c>
      <c r="U26" s="2969" t="e">
        <f>E26</f>
        <v>#REF!</v>
      </c>
      <c r="V26" s="2516" t="e">
        <f t="shared" si="8"/>
        <v>#REF!</v>
      </c>
      <c r="W26" s="2516" t="e">
        <f>T26</f>
        <v>#REF!</v>
      </c>
      <c r="X26" s="2516" t="e">
        <f>U26</f>
        <v>#REF!</v>
      </c>
      <c r="Z26" s="2118" t="e">
        <f t="shared" si="10"/>
        <v>#REF!</v>
      </c>
    </row>
    <row r="27" spans="1:26">
      <c r="A27" s="1918" t="s">
        <v>580</v>
      </c>
      <c r="B27" s="1915" t="s">
        <v>112</v>
      </c>
      <c r="C27" s="2523" t="e">
        <f>#REF!</f>
        <v>#REF!</v>
      </c>
      <c r="D27" s="2523" t="e">
        <f>#REF!</f>
        <v>#REF!</v>
      </c>
      <c r="E27" s="2523" t="e">
        <f>#REF!</f>
        <v>#REF!</v>
      </c>
      <c r="M27" s="2512" t="e">
        <f t="shared" si="5"/>
        <v>#REF!</v>
      </c>
      <c r="N27" s="2512" t="e">
        <f t="shared" si="5"/>
        <v>#REF!</v>
      </c>
      <c r="O27" s="2512" t="e">
        <f t="shared" si="5"/>
        <v>#REF!</v>
      </c>
      <c r="P27" s="2536" t="e">
        <f t="shared" si="6"/>
        <v>#REF!</v>
      </c>
      <c r="Q27" s="2536" t="e">
        <f t="shared" si="6"/>
        <v>#REF!</v>
      </c>
      <c r="R27" s="2536" t="e">
        <f t="shared" si="6"/>
        <v>#REF!</v>
      </c>
      <c r="S27" s="2969" t="e">
        <f t="shared" si="7"/>
        <v>#REF!</v>
      </c>
      <c r="T27" s="2969" t="e">
        <f>D27</f>
        <v>#REF!</v>
      </c>
      <c r="U27" s="2969" t="e">
        <f>E27</f>
        <v>#REF!</v>
      </c>
      <c r="V27" s="2516" t="e">
        <f t="shared" si="8"/>
        <v>#REF!</v>
      </c>
      <c r="W27" s="2516" t="e">
        <f>T27</f>
        <v>#REF!</v>
      </c>
      <c r="X27" s="2516" t="e">
        <f>U27</f>
        <v>#REF!</v>
      </c>
      <c r="Z27" s="2118" t="e">
        <f t="shared" si="10"/>
        <v>#REF!</v>
      </c>
    </row>
    <row r="28" spans="1:26">
      <c r="A28" s="1917" t="s">
        <v>581</v>
      </c>
      <c r="B28" s="1916" t="s">
        <v>44</v>
      </c>
      <c r="C28" s="2521" t="e">
        <f>C29+C30</f>
        <v>#REF!</v>
      </c>
      <c r="D28" s="2521" t="e">
        <f>D29+D30</f>
        <v>#REF!</v>
      </c>
      <c r="E28" s="2521" t="e">
        <f>E29+E30</f>
        <v>#REF!</v>
      </c>
      <c r="M28" s="2510" t="e">
        <f t="shared" ref="M28:R28" si="11">M29+M30</f>
        <v>#REF!</v>
      </c>
      <c r="N28" s="2510" t="e">
        <f t="shared" si="11"/>
        <v>#REF!</v>
      </c>
      <c r="O28" s="2510" t="e">
        <f t="shared" si="11"/>
        <v>#REF!</v>
      </c>
      <c r="P28" s="2534" t="e">
        <f t="shared" si="11"/>
        <v>#REF!</v>
      </c>
      <c r="Q28" s="2534" t="e">
        <f t="shared" si="11"/>
        <v>#REF!</v>
      </c>
      <c r="R28" s="2534" t="e">
        <f t="shared" si="11"/>
        <v>#REF!</v>
      </c>
      <c r="S28" s="2967" t="e">
        <f>S29+S30</f>
        <v>#REF!</v>
      </c>
      <c r="T28" s="2967" t="e">
        <f>T29+T30</f>
        <v>#REF!</v>
      </c>
      <c r="U28" s="2967" t="e">
        <f>U29+U30</f>
        <v>#REF!</v>
      </c>
      <c r="V28" s="2510" t="e">
        <f>V29+V30</f>
        <v>#REF!</v>
      </c>
      <c r="W28" s="2510" t="e">
        <f t="shared" ref="W28:X28" si="12">W29+W30</f>
        <v>#REF!</v>
      </c>
      <c r="X28" s="2510" t="e">
        <f t="shared" si="12"/>
        <v>#REF!</v>
      </c>
      <c r="Z28" s="2118" t="e">
        <f t="shared" si="10"/>
        <v>#REF!</v>
      </c>
    </row>
    <row r="29" spans="1:26">
      <c r="A29" s="1918" t="s">
        <v>582</v>
      </c>
      <c r="B29" s="1915" t="s">
        <v>44</v>
      </c>
      <c r="C29" s="2523" t="e">
        <f>#REF!</f>
        <v>#REF!</v>
      </c>
      <c r="D29" s="2523" t="e">
        <f>#REF!</f>
        <v>#REF!</v>
      </c>
      <c r="E29" s="2523" t="e">
        <f>#REF!</f>
        <v>#REF!</v>
      </c>
      <c r="M29" s="2512" t="e">
        <f t="shared" ref="M29:O30" si="13">C29</f>
        <v>#REF!</v>
      </c>
      <c r="N29" s="2512" t="e">
        <f t="shared" si="13"/>
        <v>#REF!</v>
      </c>
      <c r="O29" s="2512" t="e">
        <f t="shared" si="13"/>
        <v>#REF!</v>
      </c>
      <c r="P29" s="2536" t="e">
        <f t="shared" ref="P29:R30" si="14">M29</f>
        <v>#REF!</v>
      </c>
      <c r="Q29" s="2536" t="e">
        <f t="shared" si="14"/>
        <v>#REF!</v>
      </c>
      <c r="R29" s="2536" t="e">
        <f t="shared" si="14"/>
        <v>#REF!</v>
      </c>
      <c r="S29" s="2969" t="e">
        <f>T29+U29</f>
        <v>#REF!</v>
      </c>
      <c r="T29" s="2969" t="e">
        <f>D29</f>
        <v>#REF!</v>
      </c>
      <c r="U29" s="2969" t="e">
        <f>E29</f>
        <v>#REF!</v>
      </c>
      <c r="V29" s="2516" t="e">
        <f>W29+X29</f>
        <v>#REF!</v>
      </c>
      <c r="W29" s="2516" t="e">
        <f>T29</f>
        <v>#REF!</v>
      </c>
      <c r="X29" s="2516" t="e">
        <f>U29</f>
        <v>#REF!</v>
      </c>
      <c r="Z29" s="2118" t="e">
        <f t="shared" si="10"/>
        <v>#REF!</v>
      </c>
    </row>
    <row r="30" spans="1:26">
      <c r="A30" s="1134" t="s">
        <v>583</v>
      </c>
      <c r="B30" s="1134" t="s">
        <v>584</v>
      </c>
      <c r="C30" s="2523" t="e">
        <f>D30+E30</f>
        <v>#REF!</v>
      </c>
      <c r="D30" s="2523" t="e">
        <f>#REF!+#REF!</f>
        <v>#REF!</v>
      </c>
      <c r="E30" s="2523" t="e">
        <f>#REF!+#REF!+#REF!+#REF!+#REF!+#REF!+#REF!+#REF!+#REF!+'штатка МБ 2.01.'!W9+'штатка ФМН 2.01.'!W110+'штатка спальн блок 2.01.'!W10</f>
        <v>#REF!</v>
      </c>
      <c r="M30" s="2512" t="e">
        <f t="shared" si="13"/>
        <v>#REF!</v>
      </c>
      <c r="N30" s="2512" t="e">
        <f t="shared" si="13"/>
        <v>#REF!</v>
      </c>
      <c r="O30" s="2512" t="e">
        <f t="shared" si="13"/>
        <v>#REF!</v>
      </c>
      <c r="P30" s="2536" t="e">
        <f t="shared" si="14"/>
        <v>#REF!</v>
      </c>
      <c r="Q30" s="2536" t="e">
        <f t="shared" si="14"/>
        <v>#REF!</v>
      </c>
      <c r="R30" s="2536" t="e">
        <f t="shared" si="14"/>
        <v>#REF!</v>
      </c>
      <c r="S30" s="2969" t="e">
        <f>T30+U30</f>
        <v>#REF!</v>
      </c>
      <c r="T30" s="2969" t="e">
        <f>D30</f>
        <v>#REF!</v>
      </c>
      <c r="U30" s="2969" t="e">
        <f>E30</f>
        <v>#REF!</v>
      </c>
      <c r="V30" s="2516" t="e">
        <f>W30+X30</f>
        <v>#REF!</v>
      </c>
      <c r="W30" s="2516" t="e">
        <f>T30</f>
        <v>#REF!</v>
      </c>
      <c r="X30" s="2516" t="e">
        <f>U30</f>
        <v>#REF!</v>
      </c>
      <c r="Z30" s="2118" t="e">
        <f t="shared" si="10"/>
        <v>#REF!</v>
      </c>
    </row>
    <row r="31" spans="1:26">
      <c r="A31" s="1133" t="s">
        <v>585</v>
      </c>
      <c r="B31" s="1133" t="s">
        <v>45</v>
      </c>
      <c r="C31" s="2521" t="e">
        <f>C32+SUM(C35:C39)</f>
        <v>#REF!</v>
      </c>
      <c r="D31" s="2521">
        <f t="shared" ref="D31:R31" si="15">D32+SUM(D35:D39)</f>
        <v>0</v>
      </c>
      <c r="E31" s="2521" t="e">
        <f t="shared" si="15"/>
        <v>#REF!</v>
      </c>
      <c r="F31" s="1911">
        <f t="shared" si="15"/>
        <v>28860348.199999999</v>
      </c>
      <c r="G31" s="1911" t="e">
        <f t="shared" si="15"/>
        <v>#REF!</v>
      </c>
      <c r="H31" s="1911">
        <f t="shared" si="15"/>
        <v>42615254.5</v>
      </c>
      <c r="I31" s="1911" t="e">
        <f t="shared" si="15"/>
        <v>#REF!</v>
      </c>
      <c r="J31" s="1911">
        <f t="shared" si="15"/>
        <v>0</v>
      </c>
      <c r="K31" s="1911">
        <f t="shared" si="15"/>
        <v>0</v>
      </c>
      <c r="L31" s="1911">
        <f t="shared" si="15"/>
        <v>0</v>
      </c>
      <c r="M31" s="2510" t="e">
        <f t="shared" si="15"/>
        <v>#REF!</v>
      </c>
      <c r="N31" s="2510">
        <f t="shared" si="15"/>
        <v>0</v>
      </c>
      <c r="O31" s="2510" t="e">
        <f t="shared" si="15"/>
        <v>#REF!</v>
      </c>
      <c r="P31" s="2534" t="e">
        <f t="shared" si="15"/>
        <v>#REF!</v>
      </c>
      <c r="Q31" s="2534">
        <f t="shared" si="15"/>
        <v>0</v>
      </c>
      <c r="R31" s="2534" t="e">
        <f t="shared" si="15"/>
        <v>#REF!</v>
      </c>
      <c r="S31" s="2967" t="e">
        <f>S32+SUM(S35:S39)</f>
        <v>#REF!</v>
      </c>
      <c r="T31" s="2967">
        <f t="shared" ref="T31:U31" si="16">T32+SUM(T35:T39)</f>
        <v>0</v>
      </c>
      <c r="U31" s="2967" t="e">
        <f t="shared" si="16"/>
        <v>#REF!</v>
      </c>
      <c r="V31" s="2510" t="e">
        <f>V35+V38+V39</f>
        <v>#REF!</v>
      </c>
      <c r="W31" s="2510">
        <f t="shared" si="9"/>
        <v>0</v>
      </c>
      <c r="X31" s="2516" t="e">
        <f>X35+X38+X39</f>
        <v>#REF!</v>
      </c>
      <c r="Y31" s="2118" t="e">
        <f>C31*1.07</f>
        <v>#REF!</v>
      </c>
      <c r="Z31" s="2118" t="e">
        <f t="shared" si="10"/>
        <v>#REF!</v>
      </c>
    </row>
    <row r="32" spans="1:26" ht="15" hidden="1" customHeight="1">
      <c r="A32" s="1134" t="s">
        <v>586</v>
      </c>
      <c r="B32" s="1134" t="s">
        <v>587</v>
      </c>
      <c r="C32" s="2523"/>
      <c r="D32" s="2524">
        <f>D36+D39+D40+D42</f>
        <v>0</v>
      </c>
      <c r="E32" s="2524"/>
      <c r="M32" s="2512"/>
      <c r="N32" s="2513">
        <f>N36+N39+N40+N42</f>
        <v>0</v>
      </c>
      <c r="O32" s="2513"/>
      <c r="P32" s="2536"/>
      <c r="Q32" s="2537">
        <f>Q36+Q39+Q40+Q42</f>
        <v>0</v>
      </c>
      <c r="R32" s="2537"/>
      <c r="S32" s="2969"/>
      <c r="T32" s="2970">
        <f>T36+T39+T40+T42</f>
        <v>0</v>
      </c>
      <c r="U32" s="2970"/>
      <c r="V32" s="2510">
        <f t="shared" ref="V32:X82" si="17">C32-S32</f>
        <v>0</v>
      </c>
      <c r="W32" s="2510">
        <f t="shared" si="9"/>
        <v>0</v>
      </c>
      <c r="X32" s="2516">
        <f t="shared" si="9"/>
        <v>0</v>
      </c>
      <c r="Y32">
        <f t="shared" ref="Y32:Y39" si="18">C32*1.07</f>
        <v>0</v>
      </c>
      <c r="Z32" s="2118">
        <f t="shared" si="10"/>
        <v>0</v>
      </c>
    </row>
    <row r="33" spans="1:26" ht="15" hidden="1" customHeight="1">
      <c r="A33" s="1134" t="s">
        <v>588</v>
      </c>
      <c r="B33" s="1134" t="s">
        <v>589</v>
      </c>
      <c r="C33" s="2523"/>
      <c r="D33" s="2524">
        <f>D37+D40+D41+D43</f>
        <v>0</v>
      </c>
      <c r="E33" s="2524"/>
      <c r="M33" s="2512"/>
      <c r="N33" s="2513">
        <f>N37+N40+N41+N43</f>
        <v>0</v>
      </c>
      <c r="O33" s="2513"/>
      <c r="P33" s="2536"/>
      <c r="Q33" s="2537">
        <f>Q37+Q40+Q41+Q43</f>
        <v>0</v>
      </c>
      <c r="R33" s="2537"/>
      <c r="S33" s="2969"/>
      <c r="T33" s="2970">
        <f>T37+T40+T41+T43</f>
        <v>0</v>
      </c>
      <c r="U33" s="2970"/>
      <c r="V33" s="2510">
        <f t="shared" si="17"/>
        <v>0</v>
      </c>
      <c r="W33" s="2510">
        <f t="shared" si="9"/>
        <v>0</v>
      </c>
      <c r="X33" s="2516">
        <f t="shared" si="9"/>
        <v>0</v>
      </c>
      <c r="Y33">
        <f t="shared" si="18"/>
        <v>0</v>
      </c>
      <c r="Z33" s="2118">
        <f t="shared" si="10"/>
        <v>0</v>
      </c>
    </row>
    <row r="34" spans="1:26" ht="15" hidden="1" customHeight="1">
      <c r="A34" s="1134" t="s">
        <v>590</v>
      </c>
      <c r="B34" s="1134" t="s">
        <v>591</v>
      </c>
      <c r="C34" s="2523"/>
      <c r="D34" s="2524">
        <f>D38+D41+D42+D44</f>
        <v>0</v>
      </c>
      <c r="E34" s="2524"/>
      <c r="M34" s="2512"/>
      <c r="N34" s="2513">
        <f>N38+N41+N42+N44</f>
        <v>0</v>
      </c>
      <c r="O34" s="2513"/>
      <c r="P34" s="2536"/>
      <c r="Q34" s="2537">
        <f>Q38+Q41+Q42+Q44</f>
        <v>0</v>
      </c>
      <c r="R34" s="2537"/>
      <c r="S34" s="2969"/>
      <c r="T34" s="2970">
        <f>T38+T41+T42+T44</f>
        <v>0</v>
      </c>
      <c r="U34" s="2970"/>
      <c r="V34" s="2510">
        <f t="shared" si="17"/>
        <v>0</v>
      </c>
      <c r="W34" s="2510">
        <f t="shared" si="9"/>
        <v>0</v>
      </c>
      <c r="X34" s="2516">
        <f t="shared" si="9"/>
        <v>0</v>
      </c>
      <c r="Y34">
        <f t="shared" si="18"/>
        <v>0</v>
      </c>
      <c r="Z34" s="2118">
        <f t="shared" si="10"/>
        <v>0</v>
      </c>
    </row>
    <row r="35" spans="1:26">
      <c r="A35" s="1134" t="s">
        <v>592</v>
      </c>
      <c r="B35" s="1134" t="s">
        <v>126</v>
      </c>
      <c r="C35" s="2523">
        <f>'гсм школа'!I60</f>
        <v>0</v>
      </c>
      <c r="D35" s="2524"/>
      <c r="E35" s="2523">
        <f>C35</f>
        <v>0</v>
      </c>
      <c r="M35" s="2512" t="e">
        <f>'гсм школа'!#REF!</f>
        <v>#REF!</v>
      </c>
      <c r="N35" s="2513"/>
      <c r="O35" s="2512" t="e">
        <f>M35</f>
        <v>#REF!</v>
      </c>
      <c r="P35" s="2536" t="e">
        <f>R35</f>
        <v>#REF!</v>
      </c>
      <c r="Q35" s="2537"/>
      <c r="R35" s="2536" t="e">
        <f>'гсм школа'!#REF!</f>
        <v>#REF!</v>
      </c>
      <c r="S35" s="2969" t="e">
        <f>U35</f>
        <v>#REF!</v>
      </c>
      <c r="T35" s="2970"/>
      <c r="U35" s="2969" t="e">
        <f>'гсм школа'!#REF!</f>
        <v>#REF!</v>
      </c>
      <c r="V35" s="2516" t="e">
        <f>X35</f>
        <v>#REF!</v>
      </c>
      <c r="W35" s="2510">
        <f t="shared" si="9"/>
        <v>0</v>
      </c>
      <c r="X35" s="2516" t="e">
        <f>'гсм школа'!#REF!</f>
        <v>#REF!</v>
      </c>
      <c r="Y35">
        <f t="shared" si="18"/>
        <v>0</v>
      </c>
      <c r="Z35" s="2118">
        <f t="shared" si="10"/>
        <v>0</v>
      </c>
    </row>
    <row r="36" spans="1:26" ht="15" hidden="1" customHeight="1">
      <c r="A36" s="1134" t="s">
        <v>593</v>
      </c>
      <c r="B36" s="1134" t="s">
        <v>594</v>
      </c>
      <c r="C36" s="2523"/>
      <c r="D36" s="2524"/>
      <c r="E36" s="2524"/>
      <c r="M36" s="2512"/>
      <c r="N36" s="2513"/>
      <c r="O36" s="2513"/>
      <c r="P36" s="2536"/>
      <c r="Q36" s="2537"/>
      <c r="R36" s="2537"/>
      <c r="S36" s="2969"/>
      <c r="T36" s="2970"/>
      <c r="U36" s="2970"/>
      <c r="V36" s="2516">
        <f t="shared" si="17"/>
        <v>0</v>
      </c>
      <c r="W36" s="2510">
        <f t="shared" si="9"/>
        <v>0</v>
      </c>
      <c r="X36" s="2516">
        <f t="shared" si="9"/>
        <v>0</v>
      </c>
      <c r="Y36">
        <f t="shared" si="18"/>
        <v>0</v>
      </c>
      <c r="Z36" s="2118">
        <f t="shared" si="10"/>
        <v>0</v>
      </c>
    </row>
    <row r="37" spans="1:26" ht="15" hidden="1" customHeight="1">
      <c r="A37" s="1134" t="s">
        <v>595</v>
      </c>
      <c r="B37" s="1134" t="s">
        <v>130</v>
      </c>
      <c r="C37" s="2523"/>
      <c r="D37" s="2524"/>
      <c r="E37" s="2524"/>
      <c r="M37" s="2512"/>
      <c r="N37" s="2513"/>
      <c r="O37" s="2513"/>
      <c r="P37" s="2536"/>
      <c r="Q37" s="2537"/>
      <c r="R37" s="2537"/>
      <c r="S37" s="2969"/>
      <c r="T37" s="2970"/>
      <c r="U37" s="2970"/>
      <c r="V37" s="2516">
        <f t="shared" si="17"/>
        <v>0</v>
      </c>
      <c r="W37" s="2510">
        <f t="shared" si="9"/>
        <v>0</v>
      </c>
      <c r="X37" s="2516">
        <f t="shared" si="9"/>
        <v>0</v>
      </c>
      <c r="Y37">
        <f t="shared" si="18"/>
        <v>0</v>
      </c>
      <c r="Z37" s="2118">
        <f t="shared" si="10"/>
        <v>0</v>
      </c>
    </row>
    <row r="38" spans="1:26">
      <c r="A38" s="1134" t="s">
        <v>596</v>
      </c>
      <c r="B38" s="1134" t="s">
        <v>597</v>
      </c>
      <c r="C38" s="2523">
        <f>'моющ МБ 2.03.05'!V14+'моющФМН 2.03.05'!V14+'моющИНТ 2.03.05.'!V9</f>
        <v>2169958.21</v>
      </c>
      <c r="D38" s="2524"/>
      <c r="E38" s="2523">
        <f>C38</f>
        <v>2169958.21</v>
      </c>
      <c r="M38" s="2512" t="e">
        <f>'моющ МБ 2.03.05'!#REF!+'моющФМН 2.03.05'!Z14+'моющИНТ 2.03.05.'!Z9+моющМШ!R9</f>
        <v>#REF!</v>
      </c>
      <c r="N38" s="2513"/>
      <c r="O38" s="2512" t="e">
        <f>M38</f>
        <v>#REF!</v>
      </c>
      <c r="P38" s="2536" t="e">
        <f>R38</f>
        <v>#REF!</v>
      </c>
      <c r="Q38" s="2537"/>
      <c r="R38" s="2536" t="e">
        <f>'моющ МБ 2.03.05'!#REF!+'моющФМН 2.03.05'!AD14+'моющИНТ 2.03.05.'!AD9+моющМШ!R9</f>
        <v>#REF!</v>
      </c>
      <c r="S38" s="2969" t="e">
        <f>U38</f>
        <v>#REF!</v>
      </c>
      <c r="T38" s="2970"/>
      <c r="U38" s="2969" t="e">
        <f>'моющ МБ 2.03.05'!#REF!+'моющФМН 2.03.05'!Z14+'моющИНТ 2.03.05.'!Z9</f>
        <v>#REF!</v>
      </c>
      <c r="V38" s="2516" t="e">
        <f>X38</f>
        <v>#REF!</v>
      </c>
      <c r="W38" s="2510">
        <f t="shared" si="9"/>
        <v>0</v>
      </c>
      <c r="X38" s="2516" t="e">
        <f>'моющ МБ 2.03.05'!#REF!+'моющФМН 2.03.05'!AD14+'моющИНТ 2.03.05.'!AD9</f>
        <v>#REF!</v>
      </c>
      <c r="Y38">
        <f t="shared" si="18"/>
        <v>2321855.2847000002</v>
      </c>
      <c r="Z38" s="2118">
        <f t="shared" si="10"/>
        <v>0</v>
      </c>
    </row>
    <row r="39" spans="1:26" ht="15.75" customHeight="1">
      <c r="A39" s="1134" t="s">
        <v>598</v>
      </c>
      <c r="B39" s="1134" t="s">
        <v>134</v>
      </c>
      <c r="C39" s="2523" t="e">
        <f>'хоз 2.03.06.'!AL9+'хоз 2.03.06.'!AN9+'хоз 2.03.06.'!AP9+'хоз 2.03.06.'!AR9+'пр запасы фмн 2.03.09.'!T9+'пр запасы мб 2.03.09.'!T9+#REF!+тмцИНТ!R9</f>
        <v>#REF!</v>
      </c>
      <c r="D39" s="2525"/>
      <c r="E39" s="2523" t="e">
        <f>C39</f>
        <v>#REF!</v>
      </c>
      <c r="F39">
        <v>28860348.199999999</v>
      </c>
      <c r="G39" s="1039" t="e">
        <f>E39-F39</f>
        <v>#REF!</v>
      </c>
      <c r="H39" s="2496">
        <v>42615254.5</v>
      </c>
      <c r="I39" s="2497" t="e">
        <f>E39+E41-H39</f>
        <v>#REF!</v>
      </c>
      <c r="M39" s="2512" t="e">
        <f>#REF!+хозАДМ!X9+хозИНТ!X7+хозМШ!T9+'пр запасы фмн 2.03.09.'!X9+'пр запасы мб 2.03.09.'!X9+ТМЦОрынб!V9+#REF!+тмцИНТ!V9+'хоз кот и ул освещ'!V7+'хоз кот и ул освещ'!V4+#REF!</f>
        <v>#REF!</v>
      </c>
      <c r="N39" s="2514"/>
      <c r="O39" s="2512" t="e">
        <f>M39</f>
        <v>#REF!</v>
      </c>
      <c r="P39" s="2536" t="e">
        <f>R39</f>
        <v>#REF!</v>
      </c>
      <c r="Q39" s="2538"/>
      <c r="R39" s="2536" t="e">
        <f>#REF!+'пр запасы фмн 2.03.09.'!AB9+'пр запасы мб 2.03.09.'!AB9+хозМШ!T9+ТМЦОрынб!Z9+хозАДМ!AB9+#REF!+хозИНТ!AB7+тмцИНТ!Z9+'хоз кот и ул освещ'!V4+#REF!+'хоз кот и ул освещ'!V4</f>
        <v>#REF!</v>
      </c>
      <c r="S39" s="2969" t="e">
        <f>U39</f>
        <v>#REF!</v>
      </c>
      <c r="T39" s="2971"/>
      <c r="U39" s="2969" t="e">
        <f>'хоз 2.03.06.'!AA9+'хозМБ)'!X9+хозАДМ!X9+хозИНТ!X7+'пр запасы фмн 2.03.09.'!X9+'пр запасы мб 2.03.09.'!X9+#REF!+тмцИНТ!V9</f>
        <v>#REF!</v>
      </c>
      <c r="V39" s="2516" t="e">
        <f>X39</f>
        <v>#REF!</v>
      </c>
      <c r="W39" s="2510">
        <f t="shared" si="9"/>
        <v>0</v>
      </c>
      <c r="X39" s="2516" t="e">
        <f>'хоз 2.03.06.'!AE9+'хозМБ)'!AB9+'пр запасы фмн 2.03.09.'!AB9+'пр запасы мб 2.03.09.'!AB9+хозАДМ!AB9+#REF!+хозИНТ!AB7+тмцИНТ!Z9</f>
        <v>#REF!</v>
      </c>
      <c r="Y39" t="e">
        <f t="shared" si="18"/>
        <v>#REF!</v>
      </c>
      <c r="Z39" s="2118" t="e">
        <f t="shared" si="10"/>
        <v>#REF!</v>
      </c>
    </row>
    <row r="40" spans="1:26" ht="15" hidden="1" customHeight="1">
      <c r="A40" s="1134" t="s">
        <v>599</v>
      </c>
      <c r="B40" s="1134" t="s">
        <v>600</v>
      </c>
      <c r="C40" s="2523"/>
      <c r="D40" s="2524"/>
      <c r="E40" s="2524"/>
      <c r="M40" s="2512"/>
      <c r="N40" s="2513"/>
      <c r="O40" s="2513"/>
      <c r="P40" s="2536"/>
      <c r="Q40" s="2537"/>
      <c r="R40" s="2537"/>
      <c r="S40" s="2969"/>
      <c r="T40" s="2970"/>
      <c r="U40" s="2970"/>
      <c r="V40" s="2510">
        <f t="shared" si="17"/>
        <v>0</v>
      </c>
      <c r="W40" s="2510">
        <f t="shared" si="9"/>
        <v>0</v>
      </c>
      <c r="X40" s="2510">
        <f t="shared" si="9"/>
        <v>0</v>
      </c>
      <c r="Z40" s="2118">
        <f t="shared" si="10"/>
        <v>0</v>
      </c>
    </row>
    <row r="41" spans="1:26" ht="20.25" hidden="1" customHeight="1">
      <c r="A41" s="1134" t="s">
        <v>601</v>
      </c>
      <c r="B41" s="1134" t="s">
        <v>142</v>
      </c>
      <c r="C41" s="2523" t="e">
        <f>'пр запасы фмн 2.03.09.'!T9+'пр запасы мб 2.03.09.'!T9+'ТМЦ МШ'!R9+#REF!+тмцИНТ!R9</f>
        <v>#REF!</v>
      </c>
      <c r="D41" s="2524"/>
      <c r="E41" s="2523" t="e">
        <f>C41</f>
        <v>#REF!</v>
      </c>
      <c r="F41" s="1137" t="e">
        <f>C39-E39</f>
        <v>#REF!</v>
      </c>
      <c r="H41" s="2496">
        <v>42632987</v>
      </c>
      <c r="I41" s="1137" t="e">
        <f>E39+E41-H41</f>
        <v>#REF!</v>
      </c>
      <c r="M41" s="2512"/>
      <c r="N41" s="2513"/>
      <c r="O41" s="2512">
        <f>M41</f>
        <v>0</v>
      </c>
      <c r="P41" s="2536"/>
      <c r="Q41" s="2537"/>
      <c r="R41" s="2536">
        <f>P41</f>
        <v>0</v>
      </c>
      <c r="S41" s="2969" t="e">
        <f>'пр запасы фмн 2.03.09.'!AJ9+'пр запасы мб 2.03.09.'!AJ9+'ТМЦ МШ'!AH9+#REF!+тмцИНТ!AH9</f>
        <v>#REF!</v>
      </c>
      <c r="T41" s="2970"/>
      <c r="U41" s="2969" t="e">
        <f>S41</f>
        <v>#REF!</v>
      </c>
      <c r="V41" s="2510" t="e">
        <f t="shared" si="17"/>
        <v>#REF!</v>
      </c>
      <c r="W41" s="2510">
        <f t="shared" si="9"/>
        <v>0</v>
      </c>
      <c r="X41" s="2510" t="e">
        <f t="shared" si="9"/>
        <v>#REF!</v>
      </c>
      <c r="Z41" s="2118" t="e">
        <f t="shared" si="10"/>
        <v>#REF!</v>
      </c>
    </row>
    <row r="42" spans="1:26" ht="15" hidden="1" customHeight="1">
      <c r="A42" s="1134" t="s">
        <v>602</v>
      </c>
      <c r="B42" s="1134" t="s">
        <v>148</v>
      </c>
      <c r="C42" s="2523"/>
      <c r="D42" s="2524"/>
      <c r="E42" s="2524"/>
      <c r="M42" s="2512"/>
      <c r="N42" s="2513"/>
      <c r="O42" s="2513"/>
      <c r="P42" s="2536"/>
      <c r="Q42" s="2537"/>
      <c r="R42" s="2537"/>
      <c r="S42" s="2969"/>
      <c r="T42" s="2970"/>
      <c r="U42" s="2970"/>
      <c r="V42" s="2510">
        <f t="shared" si="17"/>
        <v>0</v>
      </c>
      <c r="W42" s="2510">
        <f t="shared" si="9"/>
        <v>0</v>
      </c>
      <c r="X42" s="2510">
        <f t="shared" si="9"/>
        <v>0</v>
      </c>
      <c r="Z42" s="2118">
        <f t="shared" si="10"/>
        <v>0</v>
      </c>
    </row>
    <row r="43" spans="1:26" ht="15" hidden="1" customHeight="1">
      <c r="A43" s="1133" t="s">
        <v>603</v>
      </c>
      <c r="B43" s="1133" t="s">
        <v>46</v>
      </c>
      <c r="C43" s="2521">
        <f>SUM(C44:C48)</f>
        <v>0</v>
      </c>
      <c r="D43" s="2524"/>
      <c r="E43" s="2524"/>
      <c r="M43" s="2510">
        <f>SUM(M44:M48)</f>
        <v>0</v>
      </c>
      <c r="N43" s="2513"/>
      <c r="O43" s="2513"/>
      <c r="P43" s="2534">
        <f>SUM(P44:P48)</f>
        <v>0</v>
      </c>
      <c r="Q43" s="2537"/>
      <c r="R43" s="2537"/>
      <c r="S43" s="2967">
        <f>SUM(S44:S48)</f>
        <v>0</v>
      </c>
      <c r="T43" s="2970"/>
      <c r="U43" s="2970"/>
      <c r="V43" s="2510">
        <f t="shared" si="17"/>
        <v>0</v>
      </c>
      <c r="W43" s="2510">
        <f t="shared" si="9"/>
        <v>0</v>
      </c>
      <c r="X43" s="2510">
        <f t="shared" si="9"/>
        <v>0</v>
      </c>
      <c r="Z43" s="2118">
        <f t="shared" si="10"/>
        <v>0</v>
      </c>
    </row>
    <row r="44" spans="1:26" ht="15" hidden="1" customHeight="1">
      <c r="A44" s="1134" t="s">
        <v>604</v>
      </c>
      <c r="B44" s="1134" t="s">
        <v>150</v>
      </c>
      <c r="C44" s="2523"/>
      <c r="D44" s="2524"/>
      <c r="E44" s="2524"/>
      <c r="M44" s="2512"/>
      <c r="N44" s="2513"/>
      <c r="O44" s="2513"/>
      <c r="P44" s="2536"/>
      <c r="Q44" s="2537"/>
      <c r="R44" s="2537"/>
      <c r="S44" s="2969"/>
      <c r="T44" s="2970"/>
      <c r="U44" s="2970"/>
      <c r="V44" s="2510">
        <f t="shared" si="17"/>
        <v>0</v>
      </c>
      <c r="W44" s="2510">
        <f t="shared" si="9"/>
        <v>0</v>
      </c>
      <c r="X44" s="2510">
        <f t="shared" si="9"/>
        <v>0</v>
      </c>
      <c r="Z44" s="2118">
        <f t="shared" si="10"/>
        <v>0</v>
      </c>
    </row>
    <row r="45" spans="1:26" ht="15" hidden="1" customHeight="1">
      <c r="A45" s="1134" t="s">
        <v>605</v>
      </c>
      <c r="B45" s="1134" t="s">
        <v>152</v>
      </c>
      <c r="C45" s="2523"/>
      <c r="D45" s="2524"/>
      <c r="E45" s="2524"/>
      <c r="M45" s="2512"/>
      <c r="N45" s="2513"/>
      <c r="O45" s="2513"/>
      <c r="P45" s="2536"/>
      <c r="Q45" s="2537"/>
      <c r="R45" s="2537"/>
      <c r="S45" s="2969"/>
      <c r="T45" s="2970"/>
      <c r="U45" s="2970"/>
      <c r="V45" s="2510">
        <f t="shared" si="17"/>
        <v>0</v>
      </c>
      <c r="W45" s="2510">
        <f t="shared" si="9"/>
        <v>0</v>
      </c>
      <c r="X45" s="2510">
        <f t="shared" si="9"/>
        <v>0</v>
      </c>
      <c r="Z45" s="2118">
        <f t="shared" si="10"/>
        <v>0</v>
      </c>
    </row>
    <row r="46" spans="1:26" ht="15" hidden="1" customHeight="1">
      <c r="A46" s="1134" t="s">
        <v>606</v>
      </c>
      <c r="B46" s="1134" t="s">
        <v>154</v>
      </c>
      <c r="C46" s="2523"/>
      <c r="D46" s="2524"/>
      <c r="E46" s="2524"/>
      <c r="M46" s="2512"/>
      <c r="N46" s="2513"/>
      <c r="O46" s="2513"/>
      <c r="P46" s="2536"/>
      <c r="Q46" s="2537"/>
      <c r="R46" s="2537"/>
      <c r="S46" s="2969"/>
      <c r="T46" s="2970"/>
      <c r="U46" s="2970"/>
      <c r="V46" s="2510">
        <f t="shared" si="17"/>
        <v>0</v>
      </c>
      <c r="W46" s="2510">
        <f t="shared" si="9"/>
        <v>0</v>
      </c>
      <c r="X46" s="2510">
        <f t="shared" si="9"/>
        <v>0</v>
      </c>
      <c r="Z46" s="2118">
        <f t="shared" si="10"/>
        <v>0</v>
      </c>
    </row>
    <row r="47" spans="1:26" ht="15" hidden="1" customHeight="1">
      <c r="A47" s="1134" t="s">
        <v>607</v>
      </c>
      <c r="B47" s="1134" t="s">
        <v>608</v>
      </c>
      <c r="C47" s="2523"/>
      <c r="D47" s="2524"/>
      <c r="E47" s="2524"/>
      <c r="M47" s="2512"/>
      <c r="N47" s="2513"/>
      <c r="O47" s="2513"/>
      <c r="P47" s="2536"/>
      <c r="Q47" s="2537"/>
      <c r="R47" s="2537"/>
      <c r="S47" s="2969"/>
      <c r="T47" s="2970"/>
      <c r="U47" s="2970"/>
      <c r="V47" s="2510">
        <f t="shared" si="17"/>
        <v>0</v>
      </c>
      <c r="W47" s="2510">
        <f t="shared" si="9"/>
        <v>0</v>
      </c>
      <c r="X47" s="2510">
        <f t="shared" si="9"/>
        <v>0</v>
      </c>
      <c r="Z47" s="2118">
        <f t="shared" si="10"/>
        <v>0</v>
      </c>
    </row>
    <row r="48" spans="1:26" ht="15" hidden="1" customHeight="1">
      <c r="A48" s="1134" t="s">
        <v>609</v>
      </c>
      <c r="B48" s="1134" t="s">
        <v>610</v>
      </c>
      <c r="C48" s="2523"/>
      <c r="D48" s="2524"/>
      <c r="E48" s="2524"/>
      <c r="M48" s="2512"/>
      <c r="N48" s="2513"/>
      <c r="O48" s="2513"/>
      <c r="P48" s="2536"/>
      <c r="Q48" s="2537"/>
      <c r="R48" s="2537"/>
      <c r="S48" s="2969"/>
      <c r="T48" s="2970"/>
      <c r="U48" s="2970"/>
      <c r="V48" s="2510">
        <f t="shared" si="17"/>
        <v>0</v>
      </c>
      <c r="W48" s="2510">
        <f t="shared" si="9"/>
        <v>0</v>
      </c>
      <c r="X48" s="2510">
        <f t="shared" si="9"/>
        <v>0</v>
      </c>
      <c r="Z48" s="2118">
        <f t="shared" si="10"/>
        <v>0</v>
      </c>
    </row>
    <row r="49" spans="1:26" ht="15" hidden="1" customHeight="1">
      <c r="A49" s="1133" t="s">
        <v>611</v>
      </c>
      <c r="B49" s="1133" t="s">
        <v>47</v>
      </c>
      <c r="C49" s="2521">
        <f>SUM(C50:C54)</f>
        <v>0</v>
      </c>
      <c r="D49" s="2524"/>
      <c r="E49" s="2524"/>
      <c r="M49" s="2510">
        <f>SUM(M50:M54)</f>
        <v>0</v>
      </c>
      <c r="N49" s="2513"/>
      <c r="O49" s="2513"/>
      <c r="P49" s="2534">
        <f>SUM(P50:P54)</f>
        <v>0</v>
      </c>
      <c r="Q49" s="2537"/>
      <c r="R49" s="2537"/>
      <c r="S49" s="2967">
        <f>SUM(S50:S54)</f>
        <v>0</v>
      </c>
      <c r="T49" s="2970"/>
      <c r="U49" s="2970"/>
      <c r="V49" s="2510">
        <f t="shared" si="17"/>
        <v>0</v>
      </c>
      <c r="W49" s="2510">
        <f t="shared" si="9"/>
        <v>0</v>
      </c>
      <c r="X49" s="2510">
        <f t="shared" si="9"/>
        <v>0</v>
      </c>
      <c r="Z49" s="2118">
        <f t="shared" si="10"/>
        <v>0</v>
      </c>
    </row>
    <row r="50" spans="1:26" ht="15" hidden="1" customHeight="1">
      <c r="A50" s="1134" t="s">
        <v>612</v>
      </c>
      <c r="B50" s="1134" t="s">
        <v>613</v>
      </c>
      <c r="C50" s="2523"/>
      <c r="D50" s="2524"/>
      <c r="E50" s="2524"/>
      <c r="M50" s="2512"/>
      <c r="N50" s="2513"/>
      <c r="O50" s="2513"/>
      <c r="P50" s="2536"/>
      <c r="Q50" s="2537"/>
      <c r="R50" s="2537"/>
      <c r="S50" s="2969"/>
      <c r="T50" s="2970"/>
      <c r="U50" s="2970"/>
      <c r="V50" s="2510">
        <f t="shared" si="17"/>
        <v>0</v>
      </c>
      <c r="W50" s="2510">
        <f t="shared" si="9"/>
        <v>0</v>
      </c>
      <c r="X50" s="2510">
        <f t="shared" si="9"/>
        <v>0</v>
      </c>
      <c r="Z50" s="2118">
        <f t="shared" si="10"/>
        <v>0</v>
      </c>
    </row>
    <row r="51" spans="1:26" ht="15" hidden="1" customHeight="1">
      <c r="A51" s="1134" t="s">
        <v>614</v>
      </c>
      <c r="B51" s="1134" t="s">
        <v>160</v>
      </c>
      <c r="C51" s="2523"/>
      <c r="D51" s="2524"/>
      <c r="E51" s="2524"/>
      <c r="M51" s="2512"/>
      <c r="N51" s="2513"/>
      <c r="O51" s="2513"/>
      <c r="P51" s="2536"/>
      <c r="Q51" s="2537"/>
      <c r="R51" s="2537"/>
      <c r="S51" s="2969"/>
      <c r="T51" s="2970"/>
      <c r="U51" s="2970"/>
      <c r="V51" s="2510">
        <f t="shared" si="17"/>
        <v>0</v>
      </c>
      <c r="W51" s="2510">
        <f t="shared" si="9"/>
        <v>0</v>
      </c>
      <c r="X51" s="2510">
        <f t="shared" si="9"/>
        <v>0</v>
      </c>
      <c r="Z51" s="2118">
        <f t="shared" si="10"/>
        <v>0</v>
      </c>
    </row>
    <row r="52" spans="1:26" ht="15" hidden="1" customHeight="1">
      <c r="A52" s="1134" t="s">
        <v>615</v>
      </c>
      <c r="B52" s="1134" t="s">
        <v>616</v>
      </c>
      <c r="C52" s="2523"/>
      <c r="D52" s="2524"/>
      <c r="E52" s="2524"/>
      <c r="M52" s="2512"/>
      <c r="N52" s="2513"/>
      <c r="O52" s="2513"/>
      <c r="P52" s="2536"/>
      <c r="Q52" s="2537"/>
      <c r="R52" s="2537"/>
      <c r="S52" s="2969"/>
      <c r="T52" s="2970"/>
      <c r="U52" s="2970"/>
      <c r="V52" s="2510">
        <f t="shared" si="17"/>
        <v>0</v>
      </c>
      <c r="W52" s="2510">
        <f t="shared" si="9"/>
        <v>0</v>
      </c>
      <c r="X52" s="2510">
        <f t="shared" si="9"/>
        <v>0</v>
      </c>
      <c r="Z52" s="2118">
        <f t="shared" si="10"/>
        <v>0</v>
      </c>
    </row>
    <row r="53" spans="1:26" ht="15" hidden="1" customHeight="1">
      <c r="A53" s="1134" t="s">
        <v>617</v>
      </c>
      <c r="B53" s="1134" t="s">
        <v>618</v>
      </c>
      <c r="C53" s="2523"/>
      <c r="D53" s="2524"/>
      <c r="E53" s="2524"/>
      <c r="M53" s="2512"/>
      <c r="N53" s="2513"/>
      <c r="O53" s="2513"/>
      <c r="P53" s="2536"/>
      <c r="Q53" s="2537"/>
      <c r="R53" s="2537"/>
      <c r="S53" s="2969"/>
      <c r="T53" s="2970"/>
      <c r="U53" s="2970"/>
      <c r="V53" s="2510">
        <f t="shared" si="17"/>
        <v>0</v>
      </c>
      <c r="W53" s="2510">
        <f t="shared" si="9"/>
        <v>0</v>
      </c>
      <c r="X53" s="2510">
        <f t="shared" si="9"/>
        <v>0</v>
      </c>
      <c r="Z53" s="2118">
        <f t="shared" si="10"/>
        <v>0</v>
      </c>
    </row>
    <row r="54" spans="1:26" ht="15" hidden="1" customHeight="1">
      <c r="A54" s="1134" t="s">
        <v>619</v>
      </c>
      <c r="B54" s="1134" t="s">
        <v>620</v>
      </c>
      <c r="C54" s="2523"/>
      <c r="D54" s="2524"/>
      <c r="E54" s="2524"/>
      <c r="M54" s="2512"/>
      <c r="N54" s="2513"/>
      <c r="O54" s="2513"/>
      <c r="P54" s="2536"/>
      <c r="Q54" s="2537"/>
      <c r="R54" s="2537"/>
      <c r="S54" s="2969"/>
      <c r="T54" s="2970"/>
      <c r="U54" s="2970"/>
      <c r="V54" s="2510">
        <f t="shared" si="17"/>
        <v>0</v>
      </c>
      <c r="W54" s="2510">
        <f t="shared" si="9"/>
        <v>0</v>
      </c>
      <c r="X54" s="2510">
        <f t="shared" si="9"/>
        <v>0</v>
      </c>
      <c r="Z54" s="2118">
        <f t="shared" si="10"/>
        <v>0</v>
      </c>
    </row>
    <row r="55" spans="1:26" ht="15" hidden="1" customHeight="1">
      <c r="A55" s="1133" t="s">
        <v>621</v>
      </c>
      <c r="B55" s="1133" t="s">
        <v>48</v>
      </c>
      <c r="C55" s="2521"/>
      <c r="D55" s="2524"/>
      <c r="E55" s="2524"/>
      <c r="M55" s="2510"/>
      <c r="N55" s="2513"/>
      <c r="O55" s="2513"/>
      <c r="P55" s="2534"/>
      <c r="Q55" s="2537"/>
      <c r="R55" s="2537"/>
      <c r="S55" s="2967"/>
      <c r="T55" s="2970"/>
      <c r="U55" s="2970"/>
      <c r="V55" s="2510">
        <f t="shared" si="17"/>
        <v>0</v>
      </c>
      <c r="W55" s="2510">
        <f t="shared" si="9"/>
        <v>0</v>
      </c>
      <c r="X55" s="2510">
        <f t="shared" si="9"/>
        <v>0</v>
      </c>
      <c r="Z55" s="2118">
        <f t="shared" si="10"/>
        <v>0</v>
      </c>
    </row>
    <row r="56" spans="1:26" ht="29.25" customHeight="1">
      <c r="A56" s="1133" t="s">
        <v>622</v>
      </c>
      <c r="B56" s="1133" t="s">
        <v>623</v>
      </c>
      <c r="C56" s="2521" t="e">
        <f>C64</f>
        <v>#REF!</v>
      </c>
      <c r="D56" s="2524"/>
      <c r="E56" s="2526" t="e">
        <f>E64</f>
        <v>#REF!</v>
      </c>
      <c r="M56" s="2510" t="e">
        <f>M64</f>
        <v>#REF!</v>
      </c>
      <c r="N56" s="2513"/>
      <c r="O56" s="2515" t="e">
        <f>O64</f>
        <v>#REF!</v>
      </c>
      <c r="P56" s="2534" t="e">
        <f>P64</f>
        <v>#REF!</v>
      </c>
      <c r="Q56" s="2537"/>
      <c r="R56" s="2539" t="e">
        <f>R64</f>
        <v>#REF!</v>
      </c>
      <c r="S56" s="2967" t="e">
        <f>S64</f>
        <v>#REF!</v>
      </c>
      <c r="T56" s="2970"/>
      <c r="U56" s="2972" t="e">
        <f>U64</f>
        <v>#REF!</v>
      </c>
      <c r="V56" s="2510" t="e">
        <f>V64</f>
        <v>#REF!</v>
      </c>
      <c r="W56" s="2510">
        <f t="shared" si="9"/>
        <v>0</v>
      </c>
      <c r="X56" s="2510" t="e">
        <f>X64</f>
        <v>#REF!</v>
      </c>
      <c r="Z56" s="2118" t="e">
        <f t="shared" si="10"/>
        <v>#REF!</v>
      </c>
    </row>
    <row r="57" spans="1:26" ht="25.5" hidden="1" customHeight="1">
      <c r="A57" s="1134" t="s">
        <v>624</v>
      </c>
      <c r="B57" s="1134" t="s">
        <v>625</v>
      </c>
      <c r="C57" s="2523"/>
      <c r="D57" s="2524"/>
      <c r="E57" s="2524"/>
      <c r="M57" s="2512"/>
      <c r="N57" s="2513"/>
      <c r="O57" s="2513"/>
      <c r="P57" s="2536"/>
      <c r="Q57" s="2537"/>
      <c r="R57" s="2537"/>
      <c r="S57" s="2969"/>
      <c r="T57" s="2970"/>
      <c r="U57" s="2970"/>
      <c r="V57" s="2510">
        <f t="shared" si="17"/>
        <v>0</v>
      </c>
      <c r="W57" s="2510">
        <f t="shared" si="9"/>
        <v>0</v>
      </c>
      <c r="X57" s="2510">
        <f t="shared" si="9"/>
        <v>0</v>
      </c>
      <c r="Z57" s="2118">
        <f t="shared" si="10"/>
        <v>0</v>
      </c>
    </row>
    <row r="58" spans="1:26" ht="15" hidden="1" customHeight="1">
      <c r="A58" s="1134" t="s">
        <v>626</v>
      </c>
      <c r="B58" s="1134" t="s">
        <v>191</v>
      </c>
      <c r="C58" s="2523"/>
      <c r="D58" s="2524"/>
      <c r="E58" s="2524"/>
      <c r="M58" s="2512"/>
      <c r="N58" s="2513"/>
      <c r="O58" s="2513"/>
      <c r="P58" s="2536"/>
      <c r="Q58" s="2537"/>
      <c r="R58" s="2537"/>
      <c r="S58" s="2969"/>
      <c r="T58" s="2970"/>
      <c r="U58" s="2970"/>
      <c r="V58" s="2510">
        <f t="shared" si="17"/>
        <v>0</v>
      </c>
      <c r="W58" s="2510">
        <f t="shared" si="9"/>
        <v>0</v>
      </c>
      <c r="X58" s="2510">
        <f t="shared" si="9"/>
        <v>0</v>
      </c>
      <c r="Z58" s="2118">
        <f t="shared" si="10"/>
        <v>0</v>
      </c>
    </row>
    <row r="59" spans="1:26" ht="15" hidden="1" customHeight="1">
      <c r="A59" s="1134" t="s">
        <v>627</v>
      </c>
      <c r="B59" s="1134" t="s">
        <v>193</v>
      </c>
      <c r="C59" s="2523"/>
      <c r="D59" s="2524"/>
      <c r="E59" s="2524"/>
      <c r="M59" s="2512"/>
      <c r="N59" s="2513"/>
      <c r="O59" s="2513"/>
      <c r="P59" s="2536"/>
      <c r="Q59" s="2537"/>
      <c r="R59" s="2537"/>
      <c r="S59" s="2969"/>
      <c r="T59" s="2970"/>
      <c r="U59" s="2970"/>
      <c r="V59" s="2510">
        <f t="shared" si="17"/>
        <v>0</v>
      </c>
      <c r="W59" s="2510">
        <f t="shared" si="9"/>
        <v>0</v>
      </c>
      <c r="X59" s="2510">
        <f t="shared" si="9"/>
        <v>0</v>
      </c>
      <c r="Z59" s="2118">
        <f t="shared" si="10"/>
        <v>0</v>
      </c>
    </row>
    <row r="60" spans="1:26" ht="25.5" hidden="1" customHeight="1">
      <c r="A60" s="1134" t="s">
        <v>628</v>
      </c>
      <c r="B60" s="1134" t="s">
        <v>629</v>
      </c>
      <c r="C60" s="2523"/>
      <c r="D60" s="2524"/>
      <c r="E60" s="2524"/>
      <c r="M60" s="2512"/>
      <c r="N60" s="2513"/>
      <c r="O60" s="2513"/>
      <c r="P60" s="2536"/>
      <c r="Q60" s="2537"/>
      <c r="R60" s="2537"/>
      <c r="S60" s="2969"/>
      <c r="T60" s="2970"/>
      <c r="U60" s="2970"/>
      <c r="V60" s="2510">
        <f t="shared" si="17"/>
        <v>0</v>
      </c>
      <c r="W60" s="2510">
        <f t="shared" si="9"/>
        <v>0</v>
      </c>
      <c r="X60" s="2510">
        <f t="shared" si="9"/>
        <v>0</v>
      </c>
      <c r="Z60" s="2118">
        <f t="shared" si="10"/>
        <v>0</v>
      </c>
    </row>
    <row r="61" spans="1:26" ht="15" hidden="1" customHeight="1">
      <c r="A61" s="1134" t="s">
        <v>630</v>
      </c>
      <c r="B61" s="1134" t="s">
        <v>631</v>
      </c>
      <c r="C61" s="2523"/>
      <c r="D61" s="2524"/>
      <c r="E61" s="2524"/>
      <c r="M61" s="2512"/>
      <c r="N61" s="2513"/>
      <c r="O61" s="2513"/>
      <c r="P61" s="2536"/>
      <c r="Q61" s="2537"/>
      <c r="R61" s="2537"/>
      <c r="S61" s="2969"/>
      <c r="T61" s="2970"/>
      <c r="U61" s="2970"/>
      <c r="V61" s="2510">
        <f t="shared" si="17"/>
        <v>0</v>
      </c>
      <c r="W61" s="2510">
        <f t="shared" si="9"/>
        <v>0</v>
      </c>
      <c r="X61" s="2510">
        <f t="shared" si="9"/>
        <v>0</v>
      </c>
      <c r="Z61" s="2118">
        <f t="shared" si="10"/>
        <v>0</v>
      </c>
    </row>
    <row r="62" spans="1:26" ht="15" hidden="1" customHeight="1">
      <c r="A62" s="1134" t="s">
        <v>632</v>
      </c>
      <c r="B62" s="1134" t="s">
        <v>197</v>
      </c>
      <c r="C62" s="2523"/>
      <c r="D62" s="2524"/>
      <c r="E62" s="2524"/>
      <c r="M62" s="2512"/>
      <c r="N62" s="2513"/>
      <c r="O62" s="2513"/>
      <c r="P62" s="2536"/>
      <c r="Q62" s="2537"/>
      <c r="R62" s="2537"/>
      <c r="S62" s="2969"/>
      <c r="T62" s="2970"/>
      <c r="U62" s="2970"/>
      <c r="V62" s="2510">
        <f t="shared" si="17"/>
        <v>0</v>
      </c>
      <c r="W62" s="2510">
        <f t="shared" si="9"/>
        <v>0</v>
      </c>
      <c r="X62" s="2510">
        <f t="shared" si="9"/>
        <v>0</v>
      </c>
      <c r="Z62" s="2118">
        <f t="shared" si="10"/>
        <v>0</v>
      </c>
    </row>
    <row r="63" spans="1:26" ht="15" hidden="1" customHeight="1">
      <c r="A63" s="1134" t="s">
        <v>633</v>
      </c>
      <c r="B63" s="1134" t="s">
        <v>199</v>
      </c>
      <c r="C63" s="2523"/>
      <c r="D63" s="2524"/>
      <c r="E63" s="2524"/>
      <c r="M63" s="2512"/>
      <c r="N63" s="2513"/>
      <c r="O63" s="2513"/>
      <c r="P63" s="2536"/>
      <c r="Q63" s="2537"/>
      <c r="R63" s="2537"/>
      <c r="S63" s="2969"/>
      <c r="T63" s="2970"/>
      <c r="U63" s="2970"/>
      <c r="V63" s="2510">
        <f t="shared" si="17"/>
        <v>0</v>
      </c>
      <c r="W63" s="2510">
        <f t="shared" si="9"/>
        <v>0</v>
      </c>
      <c r="X63" s="2510">
        <f t="shared" si="9"/>
        <v>0</v>
      </c>
      <c r="Z63" s="2118">
        <f t="shared" si="10"/>
        <v>0</v>
      </c>
    </row>
    <row r="64" spans="1:26">
      <c r="A64" s="1134" t="s">
        <v>634</v>
      </c>
      <c r="B64" s="1134" t="s">
        <v>635</v>
      </c>
      <c r="C64" s="2523" t="e">
        <f>#REF!+#REF!+#REF!</f>
        <v>#REF!</v>
      </c>
      <c r="D64" s="2524"/>
      <c r="E64" s="2524" t="e">
        <f>C64</f>
        <v>#REF!</v>
      </c>
      <c r="M64" s="2512" t="e">
        <f>#REF!+#REF!+#REF!+#REF!+#REF!</f>
        <v>#REF!</v>
      </c>
      <c r="N64" s="2513"/>
      <c r="O64" s="2513" t="e">
        <f>M64</f>
        <v>#REF!</v>
      </c>
      <c r="P64" s="2536" t="e">
        <f>#REF!+#REF!+#REF!+#REF!+#REF!</f>
        <v>#REF!</v>
      </c>
      <c r="Q64" s="2537"/>
      <c r="R64" s="2537" t="e">
        <f>P64</f>
        <v>#REF!</v>
      </c>
      <c r="S64" s="2969" t="e">
        <f>U64</f>
        <v>#REF!</v>
      </c>
      <c r="T64" s="2970"/>
      <c r="U64" s="2970" t="e">
        <f>#REF!+#REF!+#REF!+#REF!</f>
        <v>#REF!</v>
      </c>
      <c r="V64" s="2516" t="e">
        <f>X64</f>
        <v>#REF!</v>
      </c>
      <c r="W64" s="2516">
        <f t="shared" si="9"/>
        <v>0</v>
      </c>
      <c r="X64" s="2516" t="e">
        <f>#REF!+#REF!+#REF!+#REF!</f>
        <v>#REF!</v>
      </c>
      <c r="Z64" s="2118" t="e">
        <f t="shared" si="10"/>
        <v>#REF!</v>
      </c>
    </row>
    <row r="65" spans="1:26">
      <c r="A65" s="1133" t="s">
        <v>636</v>
      </c>
      <c r="B65" s="1133" t="s">
        <v>50</v>
      </c>
      <c r="C65" s="2521" t="e">
        <f>D65+E65</f>
        <v>#REF!</v>
      </c>
      <c r="D65" s="2521" t="e">
        <f>D66+D67</f>
        <v>#REF!</v>
      </c>
      <c r="E65" s="2521" t="e">
        <f>E66+E67</f>
        <v>#REF!</v>
      </c>
      <c r="F65" s="2118" t="e">
        <f>C65-D65-E65</f>
        <v>#REF!</v>
      </c>
      <c r="M65" s="2510" t="e">
        <f>M66+M67</f>
        <v>#REF!</v>
      </c>
      <c r="N65" s="2510" t="e">
        <f t="shared" ref="N65:O65" si="19">N66+N67</f>
        <v>#REF!</v>
      </c>
      <c r="O65" s="2510" t="e">
        <f t="shared" si="19"/>
        <v>#REF!</v>
      </c>
      <c r="P65" s="2534" t="e">
        <f>P66+P67</f>
        <v>#REF!</v>
      </c>
      <c r="Q65" s="2534" t="e">
        <f t="shared" ref="Q65:R65" si="20">Q66+Q67</f>
        <v>#REF!</v>
      </c>
      <c r="R65" s="2534" t="e">
        <f t="shared" si="20"/>
        <v>#REF!</v>
      </c>
      <c r="S65" s="2967" t="e">
        <f>T65+U65</f>
        <v>#REF!</v>
      </c>
      <c r="T65" s="2967" t="e">
        <f>T66+T67</f>
        <v>#REF!</v>
      </c>
      <c r="U65" s="2967" t="e">
        <f>U66+U67</f>
        <v>#REF!</v>
      </c>
      <c r="V65" s="2510" t="e">
        <f>V66+V67</f>
        <v>#REF!</v>
      </c>
      <c r="W65" s="2510" t="e">
        <f t="shared" ref="W65:X65" si="21">W66+W67</f>
        <v>#REF!</v>
      </c>
      <c r="X65" s="2510" t="e">
        <f t="shared" si="21"/>
        <v>#REF!</v>
      </c>
      <c r="Z65" s="2118" t="e">
        <f t="shared" si="10"/>
        <v>#REF!</v>
      </c>
    </row>
    <row r="66" spans="1:26" ht="25.5">
      <c r="A66" s="1918" t="s">
        <v>637</v>
      </c>
      <c r="B66" s="1134" t="s">
        <v>638</v>
      </c>
      <c r="C66" s="2523" t="e">
        <f>D66+E66</f>
        <v>#REF!</v>
      </c>
      <c r="D66" s="2523" t="e">
        <f>#REF!</f>
        <v>#REF!</v>
      </c>
      <c r="E66" s="2523" t="e">
        <f>ROUND(#REF!,0)</f>
        <v>#REF!</v>
      </c>
      <c r="M66" s="2512" t="e">
        <f t="shared" ref="M66:O67" si="22">C66</f>
        <v>#REF!</v>
      </c>
      <c r="N66" s="2512" t="e">
        <f t="shared" si="22"/>
        <v>#REF!</v>
      </c>
      <c r="O66" s="2512" t="e">
        <f t="shared" si="22"/>
        <v>#REF!</v>
      </c>
      <c r="P66" s="2536" t="e">
        <f t="shared" ref="P66:R67" si="23">M66</f>
        <v>#REF!</v>
      </c>
      <c r="Q66" s="2536" t="e">
        <f t="shared" si="23"/>
        <v>#REF!</v>
      </c>
      <c r="R66" s="2536" t="e">
        <f t="shared" si="23"/>
        <v>#REF!</v>
      </c>
      <c r="S66" s="2969" t="e">
        <f>T66+U66</f>
        <v>#REF!</v>
      </c>
      <c r="T66" s="2969" t="e">
        <f>#REF!</f>
        <v>#REF!</v>
      </c>
      <c r="U66" s="2969" t="e">
        <f>#REF!</f>
        <v>#REF!</v>
      </c>
      <c r="V66" s="2516" t="e">
        <f>W66+X66</f>
        <v>#REF!</v>
      </c>
      <c r="W66" s="2516" t="e">
        <f>T66</f>
        <v>#REF!</v>
      </c>
      <c r="X66" s="2516" t="e">
        <f>U66</f>
        <v>#REF!</v>
      </c>
      <c r="Z66" s="2118" t="e">
        <f t="shared" si="10"/>
        <v>#REF!</v>
      </c>
    </row>
    <row r="67" spans="1:26">
      <c r="A67" s="1918" t="s">
        <v>639</v>
      </c>
      <c r="B67" s="1134" t="s">
        <v>208</v>
      </c>
      <c r="C67" s="2523" t="e">
        <f>D67+E67</f>
        <v>#REF!</v>
      </c>
      <c r="D67" s="2523" t="e">
        <f>#REF!</f>
        <v>#REF!</v>
      </c>
      <c r="E67" s="2523" t="e">
        <f>#REF!</f>
        <v>#REF!</v>
      </c>
      <c r="M67" s="2512" t="e">
        <f t="shared" si="22"/>
        <v>#REF!</v>
      </c>
      <c r="N67" s="2512" t="e">
        <f t="shared" si="22"/>
        <v>#REF!</v>
      </c>
      <c r="O67" s="2512" t="e">
        <f t="shared" si="22"/>
        <v>#REF!</v>
      </c>
      <c r="P67" s="2536" t="e">
        <f t="shared" si="23"/>
        <v>#REF!</v>
      </c>
      <c r="Q67" s="2536" t="e">
        <f t="shared" si="23"/>
        <v>#REF!</v>
      </c>
      <c r="R67" s="2536" t="e">
        <f t="shared" si="23"/>
        <v>#REF!</v>
      </c>
      <c r="S67" s="2969" t="e">
        <f>T67+U67</f>
        <v>#REF!</v>
      </c>
      <c r="T67" s="2969" t="e">
        <f>#REF!</f>
        <v>#REF!</v>
      </c>
      <c r="U67" s="2969" t="e">
        <f>#REF!</f>
        <v>#REF!</v>
      </c>
      <c r="V67" s="2516" t="e">
        <f>W67+X67</f>
        <v>#REF!</v>
      </c>
      <c r="W67" s="2516" t="e">
        <f>#REF!</f>
        <v>#REF!</v>
      </c>
      <c r="X67" s="2516" t="e">
        <f>#REF!</f>
        <v>#REF!</v>
      </c>
      <c r="Z67" s="2118" t="e">
        <f t="shared" si="10"/>
        <v>#REF!</v>
      </c>
    </row>
    <row r="68" spans="1:26" ht="15" hidden="1" customHeight="1">
      <c r="A68" s="1133" t="s">
        <v>640</v>
      </c>
      <c r="B68" s="1133" t="s">
        <v>641</v>
      </c>
      <c r="C68" s="2521"/>
      <c r="D68" s="2524"/>
      <c r="E68" s="2524"/>
      <c r="M68" s="2510"/>
      <c r="N68" s="2513"/>
      <c r="O68" s="2513"/>
      <c r="P68" s="2534"/>
      <c r="Q68" s="2537"/>
      <c r="R68" s="2537"/>
      <c r="S68" s="2967"/>
      <c r="T68" s="2970"/>
      <c r="U68" s="2970"/>
      <c r="V68" s="2510">
        <f t="shared" si="17"/>
        <v>0</v>
      </c>
      <c r="W68" s="2510">
        <f t="shared" si="9"/>
        <v>0</v>
      </c>
      <c r="X68" s="2510">
        <f t="shared" si="9"/>
        <v>0</v>
      </c>
      <c r="Z68" s="2118">
        <f t="shared" si="10"/>
        <v>0</v>
      </c>
    </row>
    <row r="69" spans="1:26" ht="15" hidden="1" customHeight="1">
      <c r="A69" s="1133" t="s">
        <v>642</v>
      </c>
      <c r="B69" s="1133" t="s">
        <v>58</v>
      </c>
      <c r="C69" s="2521"/>
      <c r="D69" s="2524"/>
      <c r="E69" s="2524"/>
      <c r="M69" s="2510"/>
      <c r="N69" s="2513"/>
      <c r="O69" s="2513"/>
      <c r="P69" s="2534"/>
      <c r="Q69" s="2537"/>
      <c r="R69" s="2537"/>
      <c r="S69" s="2967"/>
      <c r="T69" s="2970"/>
      <c r="U69" s="2970"/>
      <c r="V69" s="2510">
        <f t="shared" si="17"/>
        <v>0</v>
      </c>
      <c r="W69" s="2510">
        <f t="shared" si="9"/>
        <v>0</v>
      </c>
      <c r="X69" s="2510">
        <f t="shared" si="9"/>
        <v>0</v>
      </c>
      <c r="Z69" s="2118">
        <f t="shared" si="10"/>
        <v>0</v>
      </c>
    </row>
    <row r="70" spans="1:26" ht="15" hidden="1" customHeight="1">
      <c r="A70" s="1133" t="s">
        <v>643</v>
      </c>
      <c r="B70" s="1133" t="s">
        <v>644</v>
      </c>
      <c r="C70" s="2521"/>
      <c r="D70" s="2524"/>
      <c r="E70" s="2524"/>
      <c r="M70" s="2510"/>
      <c r="N70" s="2513"/>
      <c r="O70" s="2513"/>
      <c r="P70" s="2534"/>
      <c r="Q70" s="2537"/>
      <c r="R70" s="2537"/>
      <c r="S70" s="2967"/>
      <c r="T70" s="2970"/>
      <c r="U70" s="2970"/>
      <c r="V70" s="2510">
        <f t="shared" si="17"/>
        <v>0</v>
      </c>
      <c r="W70" s="2510">
        <f t="shared" si="9"/>
        <v>0</v>
      </c>
      <c r="X70" s="2510">
        <f t="shared" si="9"/>
        <v>0</v>
      </c>
      <c r="Z70" s="2118">
        <f t="shared" si="10"/>
        <v>0</v>
      </c>
    </row>
    <row r="71" spans="1:26">
      <c r="A71" s="1133" t="s">
        <v>645</v>
      </c>
      <c r="B71" s="1133" t="s">
        <v>60</v>
      </c>
      <c r="C71" s="2521" t="e">
        <f>#REF!</f>
        <v>#REF!</v>
      </c>
      <c r="D71" s="2521" t="e">
        <f>#REF!</f>
        <v>#REF!</v>
      </c>
      <c r="E71" s="2524"/>
      <c r="M71" s="2510" t="e">
        <f>C71</f>
        <v>#REF!</v>
      </c>
      <c r="N71" s="2510" t="e">
        <f>D71</f>
        <v>#REF!</v>
      </c>
      <c r="O71" s="2513"/>
      <c r="P71" s="2534" t="e">
        <f>M71</f>
        <v>#REF!</v>
      </c>
      <c r="Q71" s="2534" t="e">
        <f>N71</f>
        <v>#REF!</v>
      </c>
      <c r="R71" s="2537"/>
      <c r="S71" s="2967" t="e">
        <f>T71</f>
        <v>#REF!</v>
      </c>
      <c r="T71" s="2967" t="e">
        <f>D71</f>
        <v>#REF!</v>
      </c>
      <c r="U71" s="2970"/>
      <c r="V71" s="2510" t="e">
        <f>W71</f>
        <v>#REF!</v>
      </c>
      <c r="W71" s="2510" t="e">
        <f>D71</f>
        <v>#REF!</v>
      </c>
      <c r="X71" s="2510">
        <f t="shared" si="9"/>
        <v>0</v>
      </c>
      <c r="Z71" s="2118" t="e">
        <f t="shared" si="10"/>
        <v>#REF!</v>
      </c>
    </row>
    <row r="72" spans="1:26" ht="15" hidden="1" customHeight="1">
      <c r="A72" s="1133" t="s">
        <v>646</v>
      </c>
      <c r="B72" s="1133" t="s">
        <v>62</v>
      </c>
      <c r="C72" s="2521"/>
      <c r="D72" s="2524"/>
      <c r="E72" s="2524"/>
      <c r="M72" s="2510"/>
      <c r="N72" s="2513"/>
      <c r="O72" s="2513"/>
      <c r="P72" s="2534"/>
      <c r="Q72" s="2537"/>
      <c r="R72" s="2537"/>
      <c r="S72" s="2967"/>
      <c r="T72" s="2970"/>
      <c r="U72" s="2970"/>
      <c r="V72" s="2510">
        <f t="shared" si="17"/>
        <v>0</v>
      </c>
      <c r="W72" s="2510">
        <f t="shared" si="9"/>
        <v>0</v>
      </c>
      <c r="X72" s="2510">
        <f t="shared" si="9"/>
        <v>0</v>
      </c>
      <c r="Z72" s="2118">
        <f t="shared" si="10"/>
        <v>0</v>
      </c>
    </row>
    <row r="73" spans="1:26" ht="15" hidden="1" customHeight="1">
      <c r="A73" s="1133" t="s">
        <v>647</v>
      </c>
      <c r="B73" s="1133" t="s">
        <v>64</v>
      </c>
      <c r="C73" s="2521"/>
      <c r="D73" s="2524"/>
      <c r="E73" s="2524"/>
      <c r="M73" s="2510"/>
      <c r="N73" s="2513"/>
      <c r="O73" s="2513"/>
      <c r="P73" s="2534"/>
      <c r="Q73" s="2537"/>
      <c r="R73" s="2537"/>
      <c r="S73" s="2967"/>
      <c r="T73" s="2970"/>
      <c r="U73" s="2970"/>
      <c r="V73" s="2510">
        <f t="shared" si="17"/>
        <v>0</v>
      </c>
      <c r="W73" s="2510">
        <f t="shared" si="9"/>
        <v>0</v>
      </c>
      <c r="X73" s="2510">
        <f t="shared" si="9"/>
        <v>0</v>
      </c>
      <c r="Z73" s="2118">
        <f t="shared" si="10"/>
        <v>0</v>
      </c>
    </row>
    <row r="74" spans="1:26">
      <c r="A74" s="1135" t="s">
        <v>648</v>
      </c>
      <c r="B74" s="1133" t="s">
        <v>649</v>
      </c>
      <c r="C74" s="2521" t="e">
        <f>C75+C76+C77</f>
        <v>#REF!</v>
      </c>
      <c r="D74" s="2521" t="e">
        <f>C74</f>
        <v>#REF!</v>
      </c>
      <c r="E74" s="2524"/>
      <c r="M74" s="2510" t="e">
        <f>SUM(M75:M77)</f>
        <v>#REF!</v>
      </c>
      <c r="N74" s="2510" t="e">
        <f>M74</f>
        <v>#REF!</v>
      </c>
      <c r="O74" s="2513"/>
      <c r="P74" s="2534" t="e">
        <f>SUM(P75:P77)</f>
        <v>#REF!</v>
      </c>
      <c r="Q74" s="2534" t="e">
        <f>P74</f>
        <v>#REF!</v>
      </c>
      <c r="R74" s="2537"/>
      <c r="S74" s="2973" t="e">
        <f>S75+S76+S77</f>
        <v>#REF!</v>
      </c>
      <c r="T74" s="2973" t="e">
        <f t="shared" ref="T74:U74" si="24">T75+T76+T77</f>
        <v>#REF!</v>
      </c>
      <c r="U74" s="2973">
        <f t="shared" si="24"/>
        <v>0</v>
      </c>
      <c r="V74" s="2510" t="e">
        <f>V75+V76+V77</f>
        <v>#REF!</v>
      </c>
      <c r="W74" s="2510" t="e">
        <f t="shared" ref="W74:X74" si="25">W75+W76+W77</f>
        <v>#REF!</v>
      </c>
      <c r="X74" s="2510">
        <f t="shared" si="25"/>
        <v>0</v>
      </c>
      <c r="Z74" s="2118" t="e">
        <f t="shared" si="10"/>
        <v>#REF!</v>
      </c>
    </row>
    <row r="75" spans="1:26">
      <c r="A75" s="2254" t="s">
        <v>650</v>
      </c>
      <c r="B75" s="2255" t="s">
        <v>435</v>
      </c>
      <c r="C75" s="2527">
        <f>D75</f>
        <v>14430</v>
      </c>
      <c r="D75" s="2527">
        <f>'налог на транс 2.22.03'!J8</f>
        <v>14430</v>
      </c>
      <c r="E75" s="2524"/>
      <c r="M75" s="2516">
        <f t="shared" ref="M75:N77" si="26">C75</f>
        <v>14430</v>
      </c>
      <c r="N75" s="2516">
        <f t="shared" si="26"/>
        <v>14430</v>
      </c>
      <c r="O75" s="2513"/>
      <c r="P75" s="2540">
        <f t="shared" ref="P75:Q77" si="27">M75</f>
        <v>14430</v>
      </c>
      <c r="Q75" s="2540">
        <f t="shared" si="27"/>
        <v>14430</v>
      </c>
      <c r="R75" s="2537"/>
      <c r="S75" s="2974">
        <f>T75</f>
        <v>14430</v>
      </c>
      <c r="T75" s="2974">
        <f>'налог на транс 2.22.03'!N9</f>
        <v>14430</v>
      </c>
      <c r="U75" s="2970"/>
      <c r="V75" s="2516">
        <f>W75</f>
        <v>15150</v>
      </c>
      <c r="W75" s="2516">
        <f>'налог на транс 2.22.03'!Q9</f>
        <v>15150</v>
      </c>
      <c r="X75" s="2510">
        <f t="shared" si="9"/>
        <v>0</v>
      </c>
      <c r="Z75" s="2118">
        <f t="shared" si="10"/>
        <v>0</v>
      </c>
    </row>
    <row r="76" spans="1:26">
      <c r="A76" s="1919" t="s">
        <v>651</v>
      </c>
      <c r="B76" s="1134" t="s">
        <v>214</v>
      </c>
      <c r="C76" s="2523" t="e">
        <f>D76</f>
        <v>#REF!</v>
      </c>
      <c r="D76" s="2523" t="e">
        <f>#REF!+#REF!+#REF!+#REF!</f>
        <v>#REF!</v>
      </c>
      <c r="E76" s="2524"/>
      <c r="M76" s="2512" t="e">
        <f t="shared" si="26"/>
        <v>#REF!</v>
      </c>
      <c r="N76" s="2512" t="e">
        <f t="shared" si="26"/>
        <v>#REF!</v>
      </c>
      <c r="O76" s="2513"/>
      <c r="P76" s="2536" t="e">
        <f t="shared" si="27"/>
        <v>#REF!</v>
      </c>
      <c r="Q76" s="2536" t="e">
        <f t="shared" si="27"/>
        <v>#REF!</v>
      </c>
      <c r="R76" s="2537"/>
      <c r="S76" s="2974" t="e">
        <f>T76</f>
        <v>#REF!</v>
      </c>
      <c r="T76" s="2974" t="e">
        <f>#REF!</f>
        <v>#REF!</v>
      </c>
      <c r="U76" s="2970"/>
      <c r="V76" s="2516" t="e">
        <f>W76</f>
        <v>#REF!</v>
      </c>
      <c r="W76" s="2516" t="e">
        <f>#REF!</f>
        <v>#REF!</v>
      </c>
      <c r="X76" s="2510">
        <f t="shared" si="9"/>
        <v>0</v>
      </c>
      <c r="Z76" s="2118" t="e">
        <f t="shared" si="10"/>
        <v>#REF!</v>
      </c>
    </row>
    <row r="77" spans="1:26">
      <c r="A77" s="1919" t="s">
        <v>652</v>
      </c>
      <c r="B77" s="1134" t="s">
        <v>212</v>
      </c>
      <c r="C77" s="2523">
        <f>D77</f>
        <v>0</v>
      </c>
      <c r="D77" s="2523">
        <f>'налог на транс 2.22.03'!J12</f>
        <v>0</v>
      </c>
      <c r="E77" s="2524"/>
      <c r="M77" s="2512">
        <f t="shared" si="26"/>
        <v>0</v>
      </c>
      <c r="N77" s="2512">
        <f t="shared" si="26"/>
        <v>0</v>
      </c>
      <c r="O77" s="2513"/>
      <c r="P77" s="2536">
        <f t="shared" si="27"/>
        <v>0</v>
      </c>
      <c r="Q77" s="2536">
        <f t="shared" si="27"/>
        <v>0</v>
      </c>
      <c r="R77" s="2537"/>
      <c r="S77" s="2969">
        <f>T77</f>
        <v>6095</v>
      </c>
      <c r="T77" s="2969">
        <f>'налог на транс 2.22.03'!N12</f>
        <v>6095</v>
      </c>
      <c r="U77" s="2970"/>
      <c r="V77" s="2516">
        <f>W77</f>
        <v>6399</v>
      </c>
      <c r="W77" s="2516">
        <f>'налог на транс 2.22.03'!Q12</f>
        <v>6399</v>
      </c>
      <c r="X77" s="2510">
        <f t="shared" si="9"/>
        <v>0</v>
      </c>
      <c r="Z77" s="2118">
        <f t="shared" si="10"/>
        <v>0</v>
      </c>
    </row>
    <row r="78" spans="1:26" ht="25.5" hidden="1" customHeight="1">
      <c r="A78" s="1133" t="s">
        <v>653</v>
      </c>
      <c r="B78" s="1133" t="s">
        <v>654</v>
      </c>
      <c r="C78" s="2521"/>
      <c r="D78" s="2524"/>
      <c r="E78" s="2524"/>
      <c r="M78" s="2510"/>
      <c r="N78" s="2513"/>
      <c r="O78" s="2513"/>
      <c r="P78" s="2534"/>
      <c r="Q78" s="2537"/>
      <c r="R78" s="2537"/>
      <c r="S78" s="2967"/>
      <c r="T78" s="2970"/>
      <c r="U78" s="2970"/>
      <c r="V78" s="2510">
        <f t="shared" si="17"/>
        <v>0</v>
      </c>
      <c r="W78" s="2510">
        <f t="shared" si="9"/>
        <v>0</v>
      </c>
      <c r="X78" s="2510">
        <f t="shared" si="9"/>
        <v>0</v>
      </c>
      <c r="Z78" s="2118">
        <f t="shared" si="10"/>
        <v>0</v>
      </c>
    </row>
    <row r="79" spans="1:26" ht="40.5" customHeight="1">
      <c r="A79" s="1133" t="s">
        <v>655</v>
      </c>
      <c r="B79" s="1133" t="s">
        <v>656</v>
      </c>
      <c r="C79" s="2521" t="e">
        <f>#REF!</f>
        <v>#REF!</v>
      </c>
      <c r="D79" s="2521"/>
      <c r="E79" s="2521" t="e">
        <f>#REF!</f>
        <v>#REF!</v>
      </c>
      <c r="H79" t="s">
        <v>657</v>
      </c>
      <c r="I79" t="s">
        <v>658</v>
      </c>
      <c r="J79" t="s">
        <v>659</v>
      </c>
      <c r="K79" t="s">
        <v>660</v>
      </c>
      <c r="L79" t="s">
        <v>661</v>
      </c>
      <c r="M79" s="2510" t="e">
        <f>N79</f>
        <v>#REF!</v>
      </c>
      <c r="N79" s="2510" t="e">
        <f>#REF!</f>
        <v>#REF!</v>
      </c>
      <c r="O79" s="2517"/>
      <c r="P79" s="2534" t="e">
        <f>Q79</f>
        <v>#REF!</v>
      </c>
      <c r="Q79" s="2534" t="e">
        <f>#REF!</f>
        <v>#REF!</v>
      </c>
      <c r="R79" s="2541"/>
      <c r="S79" s="2967" t="e">
        <f>T79</f>
        <v>#REF!</v>
      </c>
      <c r="T79" s="2967" t="e">
        <f>#REF!</f>
        <v>#REF!</v>
      </c>
      <c r="U79" s="2975"/>
      <c r="V79" s="2510" t="e">
        <f>W79</f>
        <v>#REF!</v>
      </c>
      <c r="W79" s="2510" t="e">
        <f>#REF!</f>
        <v>#REF!</v>
      </c>
      <c r="X79" s="2510" t="e">
        <f t="shared" si="9"/>
        <v>#REF!</v>
      </c>
      <c r="Z79" s="2118" t="e">
        <f t="shared" si="10"/>
        <v>#REF!</v>
      </c>
    </row>
    <row r="80" spans="1:26" ht="15" hidden="1" customHeight="1">
      <c r="A80" s="1133" t="s">
        <v>662</v>
      </c>
      <c r="B80" s="1133" t="s">
        <v>663</v>
      </c>
      <c r="C80" s="2521"/>
      <c r="D80" s="2524"/>
      <c r="E80" s="2524"/>
      <c r="M80" s="2510"/>
      <c r="N80" s="2513"/>
      <c r="O80" s="2513"/>
      <c r="P80" s="2534"/>
      <c r="Q80" s="2537"/>
      <c r="R80" s="2537"/>
      <c r="S80" s="2967"/>
      <c r="T80" s="2970"/>
      <c r="U80" s="2970"/>
      <c r="V80" s="2510">
        <f t="shared" si="17"/>
        <v>0</v>
      </c>
      <c r="W80" s="2510">
        <f t="shared" si="9"/>
        <v>0</v>
      </c>
      <c r="X80" s="2510">
        <f t="shared" si="9"/>
        <v>0</v>
      </c>
      <c r="Z80" s="2118">
        <f t="shared" si="10"/>
        <v>0</v>
      </c>
    </row>
    <row r="81" spans="1:26" ht="15" hidden="1" customHeight="1">
      <c r="A81" s="1133" t="str">
        <f>'[64]сввод интбез ндс'!A71</f>
        <v>2.29</v>
      </c>
      <c r="B81" s="1133" t="str">
        <f>'[64]сввод интбез ндс'!B71</f>
        <v>Расходы на социальную сферу</v>
      </c>
      <c r="C81" s="2521"/>
      <c r="D81" s="2521"/>
      <c r="E81" s="2521"/>
      <c r="M81" s="2510"/>
      <c r="N81" s="2510"/>
      <c r="O81" s="2510"/>
      <c r="P81" s="2534"/>
      <c r="Q81" s="2534"/>
      <c r="R81" s="2534"/>
      <c r="S81" s="2967"/>
      <c r="T81" s="2967"/>
      <c r="U81" s="2967"/>
      <c r="V81" s="2510">
        <f t="shared" si="17"/>
        <v>0</v>
      </c>
      <c r="W81" s="2510">
        <f t="shared" si="9"/>
        <v>0</v>
      </c>
      <c r="X81" s="2510">
        <f t="shared" si="9"/>
        <v>0</v>
      </c>
      <c r="Z81" s="2118">
        <f t="shared" si="10"/>
        <v>0</v>
      </c>
    </row>
    <row r="82" spans="1:26" ht="15" hidden="1" customHeight="1">
      <c r="A82" s="1134" t="s">
        <v>664</v>
      </c>
      <c r="B82" s="1134" t="s">
        <v>232</v>
      </c>
      <c r="C82" s="2523"/>
      <c r="D82" s="2523"/>
      <c r="E82" s="2523"/>
      <c r="M82" s="2512"/>
      <c r="N82" s="2512"/>
      <c r="O82" s="2512"/>
      <c r="P82" s="2536"/>
      <c r="Q82" s="2536"/>
      <c r="R82" s="2536"/>
      <c r="S82" s="2969"/>
      <c r="T82" s="2969"/>
      <c r="U82" s="2969"/>
      <c r="V82" s="2510">
        <f t="shared" si="17"/>
        <v>0</v>
      </c>
      <c r="W82" s="2510">
        <f t="shared" si="17"/>
        <v>0</v>
      </c>
      <c r="X82" s="2510">
        <f t="shared" si="17"/>
        <v>0</v>
      </c>
      <c r="Z82" s="2118">
        <f t="shared" si="10"/>
        <v>0</v>
      </c>
    </row>
    <row r="83" spans="1:26" ht="15" hidden="1" customHeight="1">
      <c r="A83" s="1133" t="s">
        <v>665</v>
      </c>
      <c r="B83" s="1133" t="s">
        <v>74</v>
      </c>
      <c r="C83" s="2521">
        <f>SUM(C84:C89)</f>
        <v>0</v>
      </c>
      <c r="D83" s="2524"/>
      <c r="E83" s="2524"/>
      <c r="M83" s="2510">
        <f>SUM(M84:M89)</f>
        <v>0</v>
      </c>
      <c r="N83" s="2513"/>
      <c r="O83" s="2513"/>
      <c r="P83" s="2534">
        <f>SUM(P84:P89)</f>
        <v>0</v>
      </c>
      <c r="Q83" s="2537"/>
      <c r="R83" s="2537"/>
      <c r="S83" s="2967">
        <f>SUM(S84:S89)</f>
        <v>0</v>
      </c>
      <c r="T83" s="2970"/>
      <c r="U83" s="2970"/>
      <c r="V83" s="2510">
        <f t="shared" ref="V83:X93" si="28">C83-S83</f>
        <v>0</v>
      </c>
      <c r="W83" s="2510">
        <f t="shared" si="28"/>
        <v>0</v>
      </c>
      <c r="X83" s="2510">
        <f t="shared" si="28"/>
        <v>0</v>
      </c>
      <c r="Z83" s="2118">
        <f t="shared" si="10"/>
        <v>0</v>
      </c>
    </row>
    <row r="84" spans="1:26" ht="15" hidden="1" customHeight="1">
      <c r="A84" s="1134" t="s">
        <v>666</v>
      </c>
      <c r="B84" s="1134" t="s">
        <v>234</v>
      </c>
      <c r="C84" s="2523"/>
      <c r="D84" s="2524"/>
      <c r="E84" s="2524"/>
      <c r="M84" s="2512"/>
      <c r="N84" s="2513"/>
      <c r="O84" s="2513"/>
      <c r="P84" s="2536"/>
      <c r="Q84" s="2537"/>
      <c r="R84" s="2537"/>
      <c r="S84" s="2969"/>
      <c r="T84" s="2970"/>
      <c r="U84" s="2970"/>
      <c r="V84" s="2510">
        <f t="shared" si="28"/>
        <v>0</v>
      </c>
      <c r="W84" s="2510">
        <f t="shared" si="28"/>
        <v>0</v>
      </c>
      <c r="X84" s="2510">
        <f t="shared" si="28"/>
        <v>0</v>
      </c>
      <c r="Z84" s="2118">
        <f t="shared" ref="Z84:Z94" si="29">C84-D84-E84</f>
        <v>0</v>
      </c>
    </row>
    <row r="85" spans="1:26" ht="15" hidden="1" customHeight="1">
      <c r="A85" s="1134" t="str">
        <f>'[64]свод ФМН с НДС'!A77</f>
        <v>2.31.05</v>
      </c>
      <c r="B85" s="1134" t="str">
        <f>'[64]свод ФМН с НДС'!B77</f>
        <v>Нотариальные услуги</v>
      </c>
      <c r="C85" s="2523"/>
      <c r="D85" s="2524"/>
      <c r="E85" s="2524"/>
      <c r="M85" s="2512"/>
      <c r="N85" s="2513"/>
      <c r="O85" s="2513"/>
      <c r="P85" s="2536"/>
      <c r="Q85" s="2537"/>
      <c r="R85" s="2537"/>
      <c r="S85" s="2969"/>
      <c r="T85" s="2970"/>
      <c r="U85" s="2970"/>
      <c r="V85" s="2510">
        <f t="shared" si="28"/>
        <v>0</v>
      </c>
      <c r="W85" s="2510">
        <f t="shared" si="28"/>
        <v>0</v>
      </c>
      <c r="X85" s="2510">
        <f t="shared" si="28"/>
        <v>0</v>
      </c>
      <c r="Z85" s="2118">
        <f t="shared" si="29"/>
        <v>0</v>
      </c>
    </row>
    <row r="86" spans="1:26" ht="15" hidden="1" customHeight="1">
      <c r="A86" s="1134" t="str">
        <f>'[64]свод ФМН с НДС'!A78</f>
        <v>2.31.07</v>
      </c>
      <c r="B86" s="1134" t="str">
        <f>'[64]свод ФМН с НДС'!B78</f>
        <v>Типографские услуги</v>
      </c>
      <c r="C86" s="2523"/>
      <c r="D86" s="2524"/>
      <c r="E86" s="2524"/>
      <c r="M86" s="2512"/>
      <c r="N86" s="2513"/>
      <c r="O86" s="2513"/>
      <c r="P86" s="2536"/>
      <c r="Q86" s="2537"/>
      <c r="R86" s="2537"/>
      <c r="S86" s="2969"/>
      <c r="T86" s="2970"/>
      <c r="U86" s="2970"/>
      <c r="V86" s="2510">
        <f t="shared" si="28"/>
        <v>0</v>
      </c>
      <c r="W86" s="2510">
        <f t="shared" si="28"/>
        <v>0</v>
      </c>
      <c r="X86" s="2510">
        <f t="shared" si="28"/>
        <v>0</v>
      </c>
      <c r="Z86" s="2118">
        <f t="shared" si="29"/>
        <v>0</v>
      </c>
    </row>
    <row r="87" spans="1:26" ht="15" hidden="1" customHeight="1">
      <c r="A87" s="1134" t="str">
        <f>'[64]свод ФМН с НДС'!A79</f>
        <v>2.31.10</v>
      </c>
      <c r="B87" s="1134" t="str">
        <f>'[64]свод ФМН с НДС'!B79</f>
        <v>Переплет документов</v>
      </c>
      <c r="C87" s="2523"/>
      <c r="D87" s="2524"/>
      <c r="E87" s="2524"/>
      <c r="M87" s="2512"/>
      <c r="N87" s="2513"/>
      <c r="O87" s="2513"/>
      <c r="P87" s="2536"/>
      <c r="Q87" s="2537"/>
      <c r="R87" s="2537"/>
      <c r="S87" s="2969"/>
      <c r="T87" s="2970"/>
      <c r="U87" s="2970"/>
      <c r="V87" s="2510">
        <f t="shared" si="28"/>
        <v>0</v>
      </c>
      <c r="W87" s="2510">
        <f t="shared" si="28"/>
        <v>0</v>
      </c>
      <c r="X87" s="2510">
        <f t="shared" si="28"/>
        <v>0</v>
      </c>
      <c r="Z87" s="2118">
        <f t="shared" si="29"/>
        <v>0</v>
      </c>
    </row>
    <row r="88" spans="1:26" ht="15" hidden="1" customHeight="1">
      <c r="A88" s="1134" t="s">
        <v>667</v>
      </c>
      <c r="B88" s="1134" t="s">
        <v>668</v>
      </c>
      <c r="C88" s="2523"/>
      <c r="D88" s="2524"/>
      <c r="E88" s="2524"/>
      <c r="M88" s="2512"/>
      <c r="N88" s="2513"/>
      <c r="O88" s="2513"/>
      <c r="P88" s="2536"/>
      <c r="Q88" s="2537"/>
      <c r="R88" s="2537"/>
      <c r="S88" s="2969"/>
      <c r="T88" s="2970"/>
      <c r="U88" s="2970"/>
      <c r="V88" s="2510">
        <f t="shared" si="28"/>
        <v>0</v>
      </c>
      <c r="W88" s="2510">
        <f t="shared" si="28"/>
        <v>0</v>
      </c>
      <c r="X88" s="2510">
        <f t="shared" si="28"/>
        <v>0</v>
      </c>
      <c r="Z88" s="2118">
        <f t="shared" si="29"/>
        <v>0</v>
      </c>
    </row>
    <row r="89" spans="1:26" ht="24.75" hidden="1" customHeight="1">
      <c r="A89" s="1134" t="s">
        <v>669</v>
      </c>
      <c r="B89" s="1134" t="s">
        <v>238</v>
      </c>
      <c r="C89" s="2523"/>
      <c r="D89" s="2524"/>
      <c r="E89" s="2524"/>
      <c r="M89" s="2512"/>
      <c r="N89" s="2513"/>
      <c r="O89" s="2513"/>
      <c r="P89" s="2536"/>
      <c r="Q89" s="2537"/>
      <c r="R89" s="2537"/>
      <c r="S89" s="2969"/>
      <c r="T89" s="2970"/>
      <c r="U89" s="2970"/>
      <c r="V89" s="2510">
        <f t="shared" si="28"/>
        <v>0</v>
      </c>
      <c r="W89" s="2510">
        <f t="shared" si="28"/>
        <v>0</v>
      </c>
      <c r="X89" s="2510">
        <f t="shared" si="28"/>
        <v>0</v>
      </c>
      <c r="Z89" s="2118">
        <f t="shared" si="29"/>
        <v>0</v>
      </c>
    </row>
    <row r="90" spans="1:26" ht="15" hidden="1" customHeight="1">
      <c r="A90" s="1133" t="s">
        <v>670</v>
      </c>
      <c r="B90" s="1133" t="e">
        <f>'[65]школа+интернат+мб'!B184</f>
        <v>#REF!</v>
      </c>
      <c r="C90" s="2521"/>
      <c r="D90" s="2524"/>
      <c r="E90" s="2524"/>
      <c r="M90" s="2510"/>
      <c r="N90" s="2513"/>
      <c r="O90" s="2513"/>
      <c r="P90" s="2534"/>
      <c r="Q90" s="2537"/>
      <c r="R90" s="2537"/>
      <c r="S90" s="2967"/>
      <c r="T90" s="2970"/>
      <c r="U90" s="2970"/>
      <c r="V90" s="2510">
        <f t="shared" si="28"/>
        <v>0</v>
      </c>
      <c r="W90" s="2510">
        <f t="shared" si="28"/>
        <v>0</v>
      </c>
      <c r="X90" s="2510">
        <f t="shared" si="28"/>
        <v>0</v>
      </c>
      <c r="Z90" s="2118">
        <f t="shared" si="29"/>
        <v>0</v>
      </c>
    </row>
    <row r="91" spans="1:26" ht="14.25" hidden="1" customHeight="1">
      <c r="A91" s="1133" t="s">
        <v>671</v>
      </c>
      <c r="B91" s="1133" t="s">
        <v>672</v>
      </c>
      <c r="C91" s="2521"/>
      <c r="D91" s="2524"/>
      <c r="E91" s="2524"/>
      <c r="M91" s="2510"/>
      <c r="N91" s="2513"/>
      <c r="O91" s="2513"/>
      <c r="P91" s="2534"/>
      <c r="Q91" s="2537"/>
      <c r="R91" s="2537"/>
      <c r="S91" s="2967"/>
      <c r="T91" s="2970"/>
      <c r="U91" s="2970"/>
      <c r="V91" s="2510">
        <f t="shared" si="28"/>
        <v>0</v>
      </c>
      <c r="W91" s="2510">
        <f t="shared" si="28"/>
        <v>0</v>
      </c>
      <c r="X91" s="2510">
        <f t="shared" si="28"/>
        <v>0</v>
      </c>
      <c r="Z91" s="2118">
        <f t="shared" si="29"/>
        <v>0</v>
      </c>
    </row>
    <row r="92" spans="1:26" ht="14.25" customHeight="1">
      <c r="A92" s="1133" t="s">
        <v>673</v>
      </c>
      <c r="B92" s="1133" t="s">
        <v>674</v>
      </c>
      <c r="C92" s="2521" t="e">
        <f>#REF!</f>
        <v>#REF!</v>
      </c>
      <c r="D92" s="2521" t="e">
        <f>#REF!</f>
        <v>#REF!</v>
      </c>
      <c r="E92" s="2521" t="e">
        <f>#REF!</f>
        <v>#REF!</v>
      </c>
      <c r="F92" s="2521" t="e">
        <f>#REF!</f>
        <v>#REF!</v>
      </c>
      <c r="G92" s="2521" t="e">
        <f>#REF!</f>
        <v>#REF!</v>
      </c>
      <c r="H92" s="2521" t="e">
        <f>#REF!</f>
        <v>#REF!</v>
      </c>
      <c r="I92" s="2521" t="e">
        <f>#REF!</f>
        <v>#REF!</v>
      </c>
      <c r="J92" s="2521" t="e">
        <f>#REF!</f>
        <v>#REF!</v>
      </c>
      <c r="K92" s="2521" t="e">
        <f>#REF!</f>
        <v>#REF!</v>
      </c>
      <c r="L92" s="2521" t="e">
        <f>#REF!</f>
        <v>#REF!</v>
      </c>
      <c r="M92" s="2521" t="e">
        <f>#REF!</f>
        <v>#REF!</v>
      </c>
      <c r="N92" s="2521" t="e">
        <f>#REF!</f>
        <v>#REF!</v>
      </c>
      <c r="O92" s="2521" t="e">
        <f>#REF!</f>
        <v>#REF!</v>
      </c>
      <c r="P92" s="2521" t="e">
        <f>#REF!</f>
        <v>#REF!</v>
      </c>
      <c r="Q92" s="2521" t="e">
        <f>#REF!</f>
        <v>#REF!</v>
      </c>
      <c r="R92" s="2521" t="e">
        <f>#REF!</f>
        <v>#REF!</v>
      </c>
      <c r="S92" s="2521" t="e">
        <f>#REF!</f>
        <v>#REF!</v>
      </c>
      <c r="T92" s="2521" t="e">
        <f>#REF!</f>
        <v>#REF!</v>
      </c>
      <c r="U92" s="2521" t="e">
        <f>#REF!</f>
        <v>#REF!</v>
      </c>
      <c r="V92" s="2521" t="e">
        <f>#REF!</f>
        <v>#REF!</v>
      </c>
      <c r="W92" s="2521" t="e">
        <f>#REF!</f>
        <v>#REF!</v>
      </c>
      <c r="X92" s="2521" t="e">
        <f>#REF!</f>
        <v>#REF!</v>
      </c>
      <c r="Z92" s="2118" t="e">
        <f t="shared" si="29"/>
        <v>#REF!</v>
      </c>
    </row>
    <row r="93" spans="1:26">
      <c r="A93" s="1133"/>
      <c r="B93" s="1133" t="s">
        <v>675</v>
      </c>
      <c r="C93" s="2521" t="e">
        <f>D93</f>
        <v>#REF!</v>
      </c>
      <c r="D93" s="2528" t="e">
        <f>#REF!</f>
        <v>#REF!</v>
      </c>
      <c r="E93" s="2521"/>
      <c r="H93" s="2465">
        <v>33417946.629999999</v>
      </c>
      <c r="I93" s="2466">
        <v>16976075.079999998</v>
      </c>
      <c r="J93" s="2467">
        <f>H93-I94</f>
        <v>16441871.550000001</v>
      </c>
      <c r="K93">
        <v>4708135</v>
      </c>
      <c r="L93" s="2467">
        <f>J93-K93</f>
        <v>11733736.550000001</v>
      </c>
      <c r="M93" s="2510" t="e">
        <f>C93</f>
        <v>#REF!</v>
      </c>
      <c r="N93" s="2518"/>
      <c r="O93" s="2510" t="e">
        <f>M93</f>
        <v>#REF!</v>
      </c>
      <c r="P93" s="2534" t="e">
        <f>M93</f>
        <v>#REF!</v>
      </c>
      <c r="Q93" s="2542"/>
      <c r="R93" s="2534" t="e">
        <f>O93</f>
        <v>#REF!</v>
      </c>
      <c r="S93" s="2967"/>
      <c r="T93" s="2976"/>
      <c r="U93" s="2967"/>
      <c r="V93" s="2510" t="e">
        <f t="shared" si="28"/>
        <v>#REF!</v>
      </c>
      <c r="W93" s="2510" t="e">
        <f t="shared" si="28"/>
        <v>#REF!</v>
      </c>
      <c r="X93" s="2510">
        <f t="shared" si="28"/>
        <v>0</v>
      </c>
      <c r="Z93" s="2118" t="e">
        <f t="shared" si="29"/>
        <v>#REF!</v>
      </c>
    </row>
    <row r="94" spans="1:26">
      <c r="A94" s="1136"/>
      <c r="B94" s="1133" t="s">
        <v>676</v>
      </c>
      <c r="C94" s="2521" t="e">
        <f>C17</f>
        <v>#REF!</v>
      </c>
      <c r="D94" s="2521" t="e">
        <f>D17</f>
        <v>#REF!</v>
      </c>
      <c r="E94" s="2521" t="e">
        <f>E17+E93</f>
        <v>#REF!</v>
      </c>
      <c r="G94" t="s">
        <v>677</v>
      </c>
      <c r="H94" s="2496">
        <v>30878617.629999999</v>
      </c>
      <c r="I94" s="2466">
        <v>16976075.079999998</v>
      </c>
      <c r="J94" s="2118">
        <f>H94-I94</f>
        <v>13902542.550000001</v>
      </c>
      <c r="K94">
        <v>5000000</v>
      </c>
      <c r="L94" s="2467">
        <f>J93-K94</f>
        <v>11441871.550000001</v>
      </c>
      <c r="M94" s="2510" t="e">
        <f>M17+M93</f>
        <v>#REF!</v>
      </c>
      <c r="N94" s="2510" t="e">
        <f t="shared" ref="N94:R94" si="30">N17+N93</f>
        <v>#REF!</v>
      </c>
      <c r="O94" s="2510" t="e">
        <f t="shared" si="30"/>
        <v>#REF!</v>
      </c>
      <c r="P94" s="2534" t="e">
        <f t="shared" si="30"/>
        <v>#REF!</v>
      </c>
      <c r="Q94" s="2534" t="e">
        <f t="shared" si="30"/>
        <v>#REF!</v>
      </c>
      <c r="R94" s="2534" t="e">
        <f t="shared" si="30"/>
        <v>#REF!</v>
      </c>
      <c r="S94" s="2967" t="e">
        <f>S17+S93</f>
        <v>#REF!</v>
      </c>
      <c r="T94" s="2967" t="e">
        <f>T17</f>
        <v>#REF!</v>
      </c>
      <c r="U94" s="2967" t="e">
        <f>U17+U93</f>
        <v>#REF!</v>
      </c>
      <c r="V94" s="2510" t="e">
        <f>V17+V93</f>
        <v>#REF!</v>
      </c>
      <c r="W94" s="2510" t="e">
        <f t="shared" ref="W94:X94" si="31">W17+W93</f>
        <v>#REF!</v>
      </c>
      <c r="X94" s="2510" t="e">
        <f t="shared" si="31"/>
        <v>#REF!</v>
      </c>
      <c r="Z94" s="2118" t="e">
        <f t="shared" si="29"/>
        <v>#REF!</v>
      </c>
    </row>
    <row r="95" spans="1:26">
      <c r="A95" s="2938"/>
      <c r="B95" s="2939"/>
      <c r="C95" s="2940"/>
      <c r="D95" s="2940"/>
      <c r="E95" s="2940"/>
      <c r="H95" s="2885"/>
      <c r="I95" s="2941"/>
      <c r="J95" s="2118"/>
      <c r="L95" s="2467"/>
      <c r="M95" s="2940"/>
      <c r="N95" s="2940"/>
      <c r="O95" s="2940"/>
      <c r="P95" s="2940"/>
      <c r="Q95" s="2940"/>
      <c r="R95" s="2940"/>
    </row>
    <row r="96" spans="1:26">
      <c r="A96" s="2937"/>
    </row>
    <row r="97" spans="1:19" hidden="1">
      <c r="A97" t="s">
        <v>678</v>
      </c>
      <c r="C97" s="1039"/>
    </row>
    <row r="98" spans="1:19" hidden="1">
      <c r="C98" s="1039" t="e">
        <f>'[64]дератиз МБ)'!H11+[64]цветыМБ!G7+'[64]24 противопожар МБ'!F22+'[64]ээ МБ'!F27+[64]мусорМБ!F7+#REF!+[64]хозМБ!#REF!+[64]водаМБ!H11+'[64]обслуж зд и сооруж07 04МБ'!H19+'[64]утилиз ламп МБ'!F7+'[64]07.08.06прочие кост оперМБ'!E9+'[64]курсы квалифМБ'!F10+[64]моющМБ!F27+'[64]соцсфера МБ'!F6</f>
        <v>#REF!</v>
      </c>
    </row>
    <row r="99" spans="1:19" hidden="1">
      <c r="C99" s="1039">
        <f>[64]дизтопл!$D$44</f>
        <v>64189585.946816824</v>
      </c>
      <c r="D99" s="1139"/>
    </row>
    <row r="100" spans="1:19" hidden="1">
      <c r="C100" s="1039">
        <f>'[66]ФОТ комплекс (2)'!$AC$169+'[66]ФОТ комплекс (2)'!$AC$173+'[66]ФОТ комплекс (2)'!$AC$177+'[66]ФОТ комплекс (2)'!$AC$181+'[66]ФОТ комплекс (2)'!$AC$185</f>
        <v>71777853.683565557</v>
      </c>
      <c r="D100" s="1039"/>
    </row>
    <row r="101" spans="1:19" hidden="1">
      <c r="C101" s="1039">
        <f>'[64]сввод интбез ндс'!$C$159</f>
        <v>24603606.78856862</v>
      </c>
    </row>
    <row r="102" spans="1:19" hidden="1">
      <c r="C102" s="1137" t="e">
        <f>'[64]ГПО МБ'!AV69+'[64]ФОТ МБ'!AM73+'[64]ФОТ МБ'!AP73+'[64]ФОТ МБ'!AQ73+'[64]ФОТ МБ'!AR73+'[64]ФОТ МБ'!AS73+#REF!+#REF!+'[64]дератиз МБ)'!L11+[64]цветыМБ!I7+'[64]24 противопожар МБ'!H22+'[64]ээ МБ'!J27+[64]мусорМБ!K7+#REF!+[64]хозМБ!#REF!+[64]водаМБ!M11+'[64]обслуж зд и сооруж07 04МБ'!J19+'[64]утилиз ламп МБ'!I7+'[64]07.08.06прочие кост оперМБ'!G9+'[64]курсы квалифМБ'!H10+[64]моющМБ!H27+'[64]соцсфера МБ'!H6+[64]дизтопл!D44</f>
        <v>#REF!</v>
      </c>
    </row>
    <row r="103" spans="1:19" hidden="1">
      <c r="C103" s="1137" t="e">
        <f>C94-C102</f>
        <v>#REF!</v>
      </c>
    </row>
    <row r="104" spans="1:19" ht="15.75">
      <c r="A104" s="524"/>
      <c r="B104" s="1145"/>
      <c r="C104" s="2956"/>
      <c r="D104" s="1075"/>
      <c r="E104" s="1898"/>
      <c r="F104" s="406"/>
      <c r="G104" s="406"/>
      <c r="H104" s="406"/>
      <c r="J104" s="406"/>
      <c r="L104" s="2118">
        <f>J94-K94</f>
        <v>8902542.5500000007</v>
      </c>
      <c r="S104" s="2118"/>
    </row>
    <row r="105" spans="1:19" s="2052" customFormat="1" ht="12.75">
      <c r="A105" s="2042" t="s">
        <v>368</v>
      </c>
      <c r="C105" s="2098"/>
      <c r="E105" s="2099"/>
      <c r="F105" s="2048"/>
      <c r="G105" s="2099"/>
      <c r="J105" s="2052">
        <f>I94+K94</f>
        <v>21976075.079999998</v>
      </c>
      <c r="K105" s="2052">
        <f>H94-J105</f>
        <v>8902542.5500000007</v>
      </c>
    </row>
    <row r="106" spans="1:19" s="2052" customFormat="1" ht="12.75">
      <c r="A106" s="2042" t="s">
        <v>370</v>
      </c>
      <c r="C106" s="2098"/>
      <c r="D106" s="2099" t="s">
        <v>371</v>
      </c>
      <c r="E106" s="2099"/>
      <c r="F106" s="2048"/>
      <c r="N106" s="2954" t="s">
        <v>371</v>
      </c>
    </row>
    <row r="107" spans="1:19" s="2052" customFormat="1" ht="12.75">
      <c r="A107" s="2042"/>
      <c r="C107" s="2098"/>
      <c r="E107" s="2098"/>
      <c r="F107" s="2048"/>
      <c r="N107" s="2954"/>
    </row>
    <row r="108" spans="1:19" s="2052" customFormat="1" ht="12.75" hidden="1">
      <c r="A108" s="3189" t="s">
        <v>451</v>
      </c>
      <c r="B108" s="3189"/>
      <c r="C108" s="3190"/>
      <c r="D108" s="3191" t="s">
        <v>452</v>
      </c>
      <c r="E108" s="2098"/>
      <c r="F108" s="2048"/>
      <c r="N108" s="2954" t="s">
        <v>373</v>
      </c>
    </row>
    <row r="109" spans="1:19" s="2052" customFormat="1" ht="12.75" hidden="1">
      <c r="A109" s="580"/>
      <c r="B109" s="580"/>
      <c r="C109" s="3190"/>
      <c r="D109" s="2098"/>
      <c r="E109" s="2098"/>
      <c r="F109" s="2048"/>
      <c r="N109" s="2954"/>
    </row>
    <row r="110" spans="1:19" s="2052" customFormat="1" ht="12.75">
      <c r="A110" s="580"/>
      <c r="B110" s="3192"/>
      <c r="C110" s="3190"/>
      <c r="D110" s="580"/>
      <c r="E110" s="2101"/>
      <c r="F110" s="2048"/>
      <c r="N110" s="2954" t="s">
        <v>377</v>
      </c>
    </row>
    <row r="111" spans="1:19">
      <c r="A111" s="3189" t="s">
        <v>375</v>
      </c>
      <c r="B111" s="3193"/>
      <c r="C111" s="1324"/>
      <c r="D111" s="2099" t="s">
        <v>453</v>
      </c>
    </row>
  </sheetData>
  <mergeCells count="20">
    <mergeCell ref="T8:T9"/>
    <mergeCell ref="A7:E7"/>
    <mergeCell ref="S7:U7"/>
    <mergeCell ref="V7:X7"/>
    <mergeCell ref="A8:A9"/>
    <mergeCell ref="B8:B9"/>
    <mergeCell ref="C8:C9"/>
    <mergeCell ref="D8:D9"/>
    <mergeCell ref="E8:E9"/>
    <mergeCell ref="M8:M9"/>
    <mergeCell ref="N8:N9"/>
    <mergeCell ref="U8:U9"/>
    <mergeCell ref="V8:V9"/>
    <mergeCell ref="W8:W9"/>
    <mergeCell ref="X8:X9"/>
    <mergeCell ref="O8:O9"/>
    <mergeCell ref="P8:P9"/>
    <mergeCell ref="Q8:Q9"/>
    <mergeCell ref="R8:R9"/>
    <mergeCell ref="S8:S9"/>
  </mergeCells>
  <pageMargins left="0.70866141732283472" right="0.70866141732283472" top="0.74803149606299213" bottom="0.74803149606299213" header="0.31496062992125984" footer="0.31496062992125984"/>
  <pageSetup paperSize="9" scale="81" fitToHeight="2" orientation="portrait" r:id="rId1"/>
  <colBreaks count="1" manualBreakCount="1">
    <brk id="5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B050"/>
    <pageSetUpPr fitToPage="1"/>
  </sheetPr>
  <dimension ref="A1:D33"/>
  <sheetViews>
    <sheetView tabSelected="1" view="pageBreakPreview" topLeftCell="A18" zoomScaleSheetLayoutView="100" workbookViewId="0">
      <selection activeCell="B33" sqref="B33"/>
    </sheetView>
  </sheetViews>
  <sheetFormatPr defaultColWidth="9.140625" defaultRowHeight="15"/>
  <cols>
    <col min="1" max="1" width="84.7109375" style="2566" customWidth="1"/>
    <col min="2" max="2" width="24.7109375" style="2566" customWidth="1"/>
    <col min="3" max="3" width="22.42578125" style="2566" customWidth="1"/>
    <col min="4" max="4" width="10" style="2566" hidden="1" customWidth="1"/>
    <col min="5" max="5" width="30.5703125" style="2566" customWidth="1"/>
    <col min="6" max="16384" width="9.140625" style="2566"/>
  </cols>
  <sheetData>
    <row r="1" spans="1:3" ht="81" customHeight="1">
      <c r="A1" s="3853" t="s">
        <v>5212</v>
      </c>
      <c r="B1" s="3853"/>
      <c r="C1" s="3853"/>
    </row>
    <row r="2" spans="1:3" ht="45" customHeight="1">
      <c r="A2" s="3788" t="s">
        <v>679</v>
      </c>
      <c r="B2" s="3775" t="s">
        <v>680</v>
      </c>
      <c r="C2" s="3775" t="s">
        <v>681</v>
      </c>
    </row>
    <row r="3" spans="1:3" ht="36.75" customHeight="1">
      <c r="A3" s="3784" t="s">
        <v>682</v>
      </c>
      <c r="B3" s="3776">
        <f>ROUND(B5*B6*B7*B8*B9*B10*B11*B12*B13,0)</f>
        <v>5213361</v>
      </c>
      <c r="C3" s="3776">
        <f>ROUND(B3/12,2)</f>
        <v>434446.75</v>
      </c>
    </row>
    <row r="4" spans="1:3" ht="23.25" hidden="1">
      <c r="A4" s="3785"/>
      <c r="B4" s="3777"/>
      <c r="C4" s="3777"/>
    </row>
    <row r="5" spans="1:3" s="3734" customFormat="1" ht="35.25" customHeight="1">
      <c r="A5" s="3784" t="s">
        <v>501</v>
      </c>
      <c r="B5" s="3776">
        <v>4325</v>
      </c>
      <c r="C5" s="3777"/>
    </row>
    <row r="6" spans="1:3" s="3734" customFormat="1" ht="45.75" customHeight="1">
      <c r="A6" s="3784" t="s">
        <v>683</v>
      </c>
      <c r="B6" s="3778">
        <v>2.5</v>
      </c>
      <c r="C6" s="3777"/>
    </row>
    <row r="7" spans="1:3" s="3734" customFormat="1" ht="33" customHeight="1">
      <c r="A7" s="3784" t="s">
        <v>684</v>
      </c>
      <c r="B7" s="3778">
        <f>'Площадь помещений'!C31</f>
        <v>992.1</v>
      </c>
      <c r="C7" s="3777"/>
    </row>
    <row r="8" spans="1:3" s="3734" customFormat="1" ht="24.75" customHeight="1">
      <c r="A8" s="3784" t="s">
        <v>5207</v>
      </c>
      <c r="B8" s="3776">
        <v>0.8</v>
      </c>
      <c r="C8" s="3777"/>
    </row>
    <row r="9" spans="1:3" s="3734" customFormat="1" ht="45" customHeight="1">
      <c r="A9" s="3784" t="s">
        <v>5208</v>
      </c>
      <c r="B9" s="3776">
        <v>0.9</v>
      </c>
      <c r="C9" s="3777"/>
    </row>
    <row r="10" spans="1:3" s="3734" customFormat="1" ht="44.25" customHeight="1">
      <c r="A10" s="3784" t="s">
        <v>687</v>
      </c>
      <c r="B10" s="3776">
        <v>1</v>
      </c>
      <c r="C10" s="3777"/>
    </row>
    <row r="11" spans="1:3" s="3734" customFormat="1" ht="51.75" customHeight="1">
      <c r="A11" s="3784" t="s">
        <v>5209</v>
      </c>
      <c r="B11" s="3776">
        <v>3</v>
      </c>
      <c r="C11" s="3777"/>
    </row>
    <row r="12" spans="1:3" s="3734" customFormat="1" ht="49.5" customHeight="1">
      <c r="A12" s="3784" t="s">
        <v>5210</v>
      </c>
      <c r="B12" s="3776">
        <v>0.25</v>
      </c>
      <c r="C12" s="3777"/>
    </row>
    <row r="13" spans="1:3" s="3734" customFormat="1" ht="63.75" customHeight="1">
      <c r="A13" s="3779" t="s">
        <v>5211</v>
      </c>
      <c r="B13" s="3776">
        <v>0.9</v>
      </c>
      <c r="C13" s="3777"/>
    </row>
    <row r="14" spans="1:3" ht="23.25">
      <c r="A14" s="3786"/>
      <c r="B14" s="3780"/>
      <c r="C14" s="3780"/>
    </row>
    <row r="15" spans="1:3" ht="39.75" customHeight="1">
      <c r="A15" s="3782" t="s">
        <v>691</v>
      </c>
      <c r="B15" s="3781" t="s">
        <v>692</v>
      </c>
      <c r="C15" s="3781" t="s">
        <v>681</v>
      </c>
    </row>
    <row r="16" spans="1:3" ht="48" customHeight="1">
      <c r="A16" s="3787" t="s">
        <v>693</v>
      </c>
      <c r="B16" s="3776">
        <f>ROUND(B18*B19,0)</f>
        <v>3703946</v>
      </c>
      <c r="C16" s="3776">
        <f>ROUND(B16/12,2)</f>
        <v>308662.17</v>
      </c>
    </row>
    <row r="17" spans="1:4" ht="24.75" hidden="1" customHeight="1">
      <c r="A17" s="3787"/>
      <c r="B17" s="3777"/>
      <c r="C17" s="3777"/>
    </row>
    <row r="18" spans="1:4" ht="71.25" customHeight="1">
      <c r="A18" s="3779" t="s">
        <v>694</v>
      </c>
      <c r="B18" s="3776">
        <f>'ОС на 14,09,26'!G253</f>
        <v>7407892.0899999859</v>
      </c>
      <c r="C18" s="3777"/>
    </row>
    <row r="19" spans="1:4" ht="102" customHeight="1">
      <c r="A19" s="3779" t="s">
        <v>695</v>
      </c>
      <c r="B19" s="3777">
        <v>0.5</v>
      </c>
      <c r="C19" s="3777"/>
    </row>
    <row r="20" spans="1:4" ht="35.25" customHeight="1">
      <c r="A20" s="3787"/>
      <c r="B20" s="3781" t="s">
        <v>692</v>
      </c>
      <c r="C20" s="3781" t="s">
        <v>681</v>
      </c>
      <c r="D20" s="2566" t="s">
        <v>696</v>
      </c>
    </row>
    <row r="21" spans="1:4" ht="62.25" customHeight="1">
      <c r="A21" s="3782" t="s">
        <v>697</v>
      </c>
      <c r="B21" s="3783">
        <f>B3+B16</f>
        <v>8917307</v>
      </c>
      <c r="C21" s="3783">
        <f>ROUND(C3+C16,0)</f>
        <v>743109</v>
      </c>
      <c r="D21" s="3783">
        <f>C21*36</f>
        <v>26751924</v>
      </c>
    </row>
    <row r="22" spans="1:4">
      <c r="A22" s="2567"/>
      <c r="B22" s="406"/>
    </row>
    <row r="24" spans="1:4" ht="20.25">
      <c r="A24" s="3774"/>
      <c r="B24" s="3774"/>
      <c r="C24" s="2545"/>
    </row>
    <row r="25" spans="1:4" ht="15.75" customHeight="1">
      <c r="A25" s="3774"/>
      <c r="B25" s="3774"/>
      <c r="C25" s="2545"/>
    </row>
    <row r="26" spans="1:4" ht="15.75" customHeight="1">
      <c r="A26" s="3774"/>
      <c r="B26" s="3774"/>
      <c r="C26" s="2545"/>
    </row>
    <row r="27" spans="1:4" ht="20.25">
      <c r="A27" s="3774"/>
      <c r="B27" s="3774"/>
      <c r="C27" s="2545"/>
    </row>
    <row r="28" spans="1:4" ht="15.75" customHeight="1">
      <c r="A28" s="3774"/>
      <c r="B28" s="3774"/>
      <c r="C28" s="2545"/>
    </row>
    <row r="29" spans="1:4" ht="15.75" customHeight="1">
      <c r="A29" s="3774"/>
      <c r="B29" s="3774"/>
      <c r="C29" s="2545"/>
    </row>
    <row r="30" spans="1:4" ht="20.25">
      <c r="A30" s="3774"/>
      <c r="B30" s="3774"/>
      <c r="C30" s="2545"/>
    </row>
    <row r="31" spans="1:4" ht="15.75" customHeight="1">
      <c r="A31" s="2545"/>
      <c r="B31" s="2545"/>
      <c r="C31" s="2545"/>
    </row>
    <row r="32" spans="1:4" ht="15.75" customHeight="1"/>
    <row r="33" spans="1:2" ht="20.25">
      <c r="A33" s="3774"/>
      <c r="B33" s="3774"/>
    </row>
  </sheetData>
  <mergeCells count="1">
    <mergeCell ref="A1:C1"/>
  </mergeCells>
  <pageMargins left="0.59055118110236227" right="0.39370078740157483" top="0.39370078740157483" bottom="0.39370078740157483" header="0.31496062992125984" footer="0.31496062992125984"/>
  <pageSetup paperSize="9" scale="70" fitToHeight="0" orientation="portrait" r:id="rId1"/>
  <rowBreaks count="1" manualBreakCount="1">
    <brk id="33" max="2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65ED9-B609-4CA2-9AAD-28673691361F}">
  <sheetPr filterMode="1"/>
  <dimension ref="A2:J557"/>
  <sheetViews>
    <sheetView workbookViewId="0">
      <selection activeCell="B193" sqref="B193:C193"/>
    </sheetView>
  </sheetViews>
  <sheetFormatPr defaultRowHeight="15"/>
  <cols>
    <col min="1" max="1" width="4.28515625" customWidth="1"/>
    <col min="2" max="2" width="48.85546875" customWidth="1"/>
    <col min="3" max="3" width="15" customWidth="1"/>
    <col min="8" max="8" width="12" customWidth="1"/>
  </cols>
  <sheetData>
    <row r="2" spans="1:10" ht="36">
      <c r="A2" s="1718" t="s">
        <v>2</v>
      </c>
      <c r="B2" s="3744" t="s">
        <v>698</v>
      </c>
      <c r="C2" s="3744" t="s">
        <v>699</v>
      </c>
      <c r="D2" s="3752" t="s">
        <v>700</v>
      </c>
      <c r="E2" s="3752" t="s">
        <v>701</v>
      </c>
      <c r="F2" s="3752" t="s">
        <v>702</v>
      </c>
      <c r="G2" s="3752" t="s">
        <v>703</v>
      </c>
      <c r="H2" s="3752" t="s">
        <v>704</v>
      </c>
      <c r="I2" s="3752" t="s">
        <v>705</v>
      </c>
      <c r="J2" s="3752" t="s">
        <v>706</v>
      </c>
    </row>
    <row r="3" spans="1:10" ht="25.5" hidden="1">
      <c r="A3" s="1718">
        <v>1</v>
      </c>
      <c r="B3" s="3739" t="s">
        <v>707</v>
      </c>
      <c r="C3" s="3740">
        <v>10003131</v>
      </c>
      <c r="D3" s="376"/>
      <c r="E3" s="376"/>
      <c r="F3" s="376"/>
      <c r="G3" s="376"/>
      <c r="H3" s="376"/>
      <c r="I3" s="376"/>
      <c r="J3" s="376"/>
    </row>
    <row r="4" spans="1:10" ht="25.5" hidden="1">
      <c r="A4" s="1718">
        <v>2</v>
      </c>
      <c r="B4" s="3739" t="s">
        <v>708</v>
      </c>
      <c r="C4" s="3740">
        <v>10003142</v>
      </c>
      <c r="D4" s="376"/>
      <c r="E4" s="376"/>
      <c r="F4" s="376"/>
      <c r="G4" s="376"/>
      <c r="H4" s="376"/>
      <c r="I4" s="376"/>
      <c r="J4" s="376"/>
    </row>
    <row r="5" spans="1:10" ht="25.5" hidden="1">
      <c r="A5" s="1718">
        <v>3</v>
      </c>
      <c r="B5" s="3739" t="s">
        <v>709</v>
      </c>
      <c r="C5" s="3740">
        <v>10003153</v>
      </c>
      <c r="D5" s="376"/>
      <c r="E5" s="376"/>
      <c r="F5" s="376"/>
      <c r="G5" s="376"/>
      <c r="H5" s="376"/>
      <c r="I5" s="376"/>
      <c r="J5" s="376"/>
    </row>
    <row r="6" spans="1:10" ht="25.5" hidden="1">
      <c r="A6" s="1718">
        <v>4</v>
      </c>
      <c r="B6" s="3739" t="s">
        <v>709</v>
      </c>
      <c r="C6" s="3740">
        <v>10003154</v>
      </c>
      <c r="D6" s="376"/>
      <c r="E6" s="376"/>
      <c r="F6" s="376"/>
      <c r="G6" s="376"/>
      <c r="H6" s="376"/>
      <c r="I6" s="376"/>
      <c r="J6" s="376"/>
    </row>
    <row r="7" spans="1:10" ht="25.5" hidden="1">
      <c r="A7" s="1718">
        <v>5</v>
      </c>
      <c r="B7" s="3739" t="s">
        <v>710</v>
      </c>
      <c r="C7" s="3740">
        <v>10003209</v>
      </c>
      <c r="D7" s="376"/>
      <c r="E7" s="376"/>
      <c r="F7" s="376"/>
      <c r="G7" s="376"/>
      <c r="H7" s="376"/>
      <c r="I7" s="376"/>
      <c r="J7" s="376"/>
    </row>
    <row r="8" spans="1:10" ht="25.5" hidden="1">
      <c r="A8" s="1718">
        <v>6</v>
      </c>
      <c r="B8" s="3739" t="s">
        <v>711</v>
      </c>
      <c r="C8" s="3740">
        <v>10003211</v>
      </c>
      <c r="D8" s="376"/>
      <c r="E8" s="376"/>
      <c r="F8" s="376"/>
      <c r="G8" s="376"/>
      <c r="H8" s="376"/>
      <c r="I8" s="376"/>
      <c r="J8" s="376"/>
    </row>
    <row r="9" spans="1:10" ht="25.5" hidden="1">
      <c r="A9" s="1718">
        <v>7</v>
      </c>
      <c r="B9" s="3760" t="s">
        <v>711</v>
      </c>
      <c r="C9" s="3761">
        <v>100032022</v>
      </c>
      <c r="D9" s="3762">
        <v>2416</v>
      </c>
      <c r="E9" s="3762" t="s">
        <v>712</v>
      </c>
      <c r="F9" s="3762" t="s">
        <v>713</v>
      </c>
      <c r="G9" s="3762">
        <v>86.9</v>
      </c>
      <c r="H9" s="3763">
        <v>42032</v>
      </c>
      <c r="I9" s="3762">
        <v>84</v>
      </c>
      <c r="J9" s="3762" t="s">
        <v>714</v>
      </c>
    </row>
    <row r="10" spans="1:10" ht="25.5" hidden="1">
      <c r="A10" s="1718">
        <v>8</v>
      </c>
      <c r="B10" s="3760" t="s">
        <v>711</v>
      </c>
      <c r="C10" s="3761">
        <v>10003203</v>
      </c>
      <c r="D10" s="3762">
        <v>2416</v>
      </c>
      <c r="E10" s="3762" t="s">
        <v>712</v>
      </c>
      <c r="F10" s="3762" t="s">
        <v>713</v>
      </c>
      <c r="G10" s="3762">
        <v>86.9</v>
      </c>
      <c r="H10" s="3763">
        <v>42032</v>
      </c>
      <c r="I10" s="3762">
        <v>84</v>
      </c>
      <c r="J10" s="3762" t="s">
        <v>714</v>
      </c>
    </row>
    <row r="11" spans="1:10" ht="25.5" hidden="1">
      <c r="A11" s="1718">
        <v>9</v>
      </c>
      <c r="B11" s="3739" t="s">
        <v>715</v>
      </c>
      <c r="C11" s="3740">
        <v>10003236</v>
      </c>
      <c r="D11" s="376"/>
      <c r="E11" s="376"/>
      <c r="F11" s="376"/>
      <c r="G11" s="376"/>
      <c r="H11" s="376"/>
      <c r="I11" s="376"/>
      <c r="J11" s="376"/>
    </row>
    <row r="12" spans="1:10" ht="25.5" hidden="1">
      <c r="A12" s="1718">
        <v>10</v>
      </c>
      <c r="B12" s="3739" t="s">
        <v>715</v>
      </c>
      <c r="C12" s="3740">
        <v>10003237</v>
      </c>
      <c r="D12" s="376"/>
      <c r="E12" s="376"/>
      <c r="F12" s="376"/>
      <c r="G12" s="376"/>
      <c r="H12" s="376"/>
      <c r="I12" s="376"/>
      <c r="J12" s="376"/>
    </row>
    <row r="13" spans="1:10" ht="25.5" hidden="1">
      <c r="A13" s="1718">
        <v>11</v>
      </c>
      <c r="B13" s="3739" t="s">
        <v>716</v>
      </c>
      <c r="C13" s="3740">
        <v>10008308</v>
      </c>
      <c r="D13" s="376"/>
      <c r="E13" s="376"/>
      <c r="F13" s="376"/>
      <c r="G13" s="376"/>
      <c r="H13" s="376"/>
      <c r="I13" s="376"/>
      <c r="J13" s="376"/>
    </row>
    <row r="14" spans="1:10" ht="25.5" hidden="1">
      <c r="A14" s="1718">
        <v>12</v>
      </c>
      <c r="B14" s="3739" t="s">
        <v>717</v>
      </c>
      <c r="C14" s="3740">
        <v>10003208</v>
      </c>
      <c r="D14" s="376"/>
      <c r="E14" s="376"/>
      <c r="F14" s="376"/>
      <c r="G14" s="376"/>
      <c r="H14" s="376"/>
      <c r="I14" s="376"/>
      <c r="J14" s="376"/>
    </row>
    <row r="15" spans="1:10" ht="25.5" hidden="1">
      <c r="A15" s="1718">
        <v>13</v>
      </c>
      <c r="B15" s="3739" t="s">
        <v>718</v>
      </c>
      <c r="C15" s="3740">
        <v>10003207</v>
      </c>
      <c r="D15" s="376"/>
      <c r="E15" s="376"/>
      <c r="F15" s="376"/>
      <c r="G15" s="376"/>
      <c r="H15" s="376"/>
      <c r="I15" s="376"/>
      <c r="J15" s="376"/>
    </row>
    <row r="16" spans="1:10" ht="25.5" hidden="1">
      <c r="A16" s="1718">
        <v>14</v>
      </c>
      <c r="B16" s="3739" t="s">
        <v>719</v>
      </c>
      <c r="C16" s="3740">
        <v>10003206</v>
      </c>
      <c r="D16" s="376"/>
      <c r="E16" s="376"/>
      <c r="F16" s="376"/>
      <c r="G16" s="376"/>
      <c r="H16" s="376"/>
      <c r="I16" s="376"/>
      <c r="J16" s="376"/>
    </row>
    <row r="17" spans="1:10" hidden="1">
      <c r="A17" s="1718">
        <v>15</v>
      </c>
      <c r="B17" s="3739" t="s">
        <v>720</v>
      </c>
      <c r="C17" s="3740">
        <v>10003138</v>
      </c>
      <c r="D17" s="376"/>
      <c r="E17" s="376"/>
      <c r="F17" s="376"/>
      <c r="G17" s="376"/>
      <c r="H17" s="376"/>
      <c r="I17" s="376"/>
      <c r="J17" s="376"/>
    </row>
    <row r="18" spans="1:10" hidden="1">
      <c r="A18" s="1718">
        <v>16</v>
      </c>
      <c r="B18" s="3739" t="s">
        <v>721</v>
      </c>
      <c r="C18" s="3740">
        <v>10003218</v>
      </c>
      <c r="D18" s="376"/>
      <c r="E18" s="376"/>
      <c r="F18" s="376"/>
      <c r="G18" s="376"/>
      <c r="H18" s="376"/>
      <c r="I18" s="376"/>
      <c r="J18" s="376"/>
    </row>
    <row r="19" spans="1:10" ht="25.5" hidden="1">
      <c r="A19" s="1718">
        <v>17</v>
      </c>
      <c r="B19" s="3739" t="s">
        <v>722</v>
      </c>
      <c r="C19" s="3740">
        <v>10003226</v>
      </c>
      <c r="D19" s="376"/>
      <c r="E19" s="376"/>
      <c r="F19" s="376"/>
      <c r="G19" s="376"/>
      <c r="H19" s="376"/>
      <c r="I19" s="376"/>
      <c r="J19" s="376"/>
    </row>
    <row r="20" spans="1:10" hidden="1">
      <c r="A20" s="1718">
        <v>18</v>
      </c>
      <c r="B20" s="3739" t="s">
        <v>723</v>
      </c>
      <c r="C20" s="3740">
        <v>10008284</v>
      </c>
      <c r="D20" s="376"/>
      <c r="E20" s="376"/>
      <c r="F20" s="376"/>
      <c r="G20" s="376"/>
      <c r="H20" s="376"/>
      <c r="I20" s="376"/>
      <c r="J20" s="376"/>
    </row>
    <row r="21" spans="1:10" ht="25.5" hidden="1">
      <c r="A21" s="1718">
        <v>19</v>
      </c>
      <c r="B21" s="3739" t="s">
        <v>724</v>
      </c>
      <c r="C21" s="3740">
        <v>10003248</v>
      </c>
      <c r="D21" s="376"/>
      <c r="E21" s="376"/>
      <c r="F21" s="376"/>
      <c r="G21" s="376"/>
      <c r="H21" s="376"/>
      <c r="I21" s="376"/>
      <c r="J21" s="376"/>
    </row>
    <row r="22" spans="1:10" ht="25.5" hidden="1">
      <c r="A22" s="1718">
        <v>20</v>
      </c>
      <c r="B22" s="3739" t="s">
        <v>724</v>
      </c>
      <c r="C22" s="3740">
        <v>10003249</v>
      </c>
      <c r="D22" s="376"/>
      <c r="E22" s="376"/>
      <c r="F22" s="376"/>
      <c r="G22" s="376"/>
      <c r="H22" s="376"/>
      <c r="I22" s="376"/>
      <c r="J22" s="376"/>
    </row>
    <row r="23" spans="1:10" ht="25.5" hidden="1">
      <c r="A23" s="1718">
        <v>21</v>
      </c>
      <c r="B23" s="3739" t="s">
        <v>725</v>
      </c>
      <c r="C23" s="3740">
        <v>10003246</v>
      </c>
      <c r="D23" s="376"/>
      <c r="E23" s="376"/>
      <c r="F23" s="376"/>
      <c r="G23" s="376"/>
      <c r="H23" s="376"/>
      <c r="I23" s="376"/>
      <c r="J23" s="376"/>
    </row>
    <row r="24" spans="1:10" ht="25.5" hidden="1">
      <c r="A24" s="1718">
        <v>22</v>
      </c>
      <c r="B24" s="3739" t="s">
        <v>725</v>
      </c>
      <c r="C24" s="3740">
        <v>10003247</v>
      </c>
      <c r="D24" s="376"/>
      <c r="E24" s="376"/>
      <c r="F24" s="376"/>
      <c r="G24" s="376"/>
      <c r="H24" s="376"/>
      <c r="I24" s="376"/>
      <c r="J24" s="376"/>
    </row>
    <row r="25" spans="1:10" hidden="1">
      <c r="A25" s="1718">
        <v>23</v>
      </c>
      <c r="B25" s="3739" t="s">
        <v>726</v>
      </c>
      <c r="C25" s="3740">
        <v>10003150</v>
      </c>
      <c r="D25" s="376"/>
      <c r="E25" s="376"/>
      <c r="F25" s="376"/>
      <c r="G25" s="376"/>
      <c r="H25" s="376"/>
      <c r="I25" s="376"/>
      <c r="J25" s="376"/>
    </row>
    <row r="26" spans="1:10" ht="25.5" hidden="1">
      <c r="A26" s="1718">
        <v>24</v>
      </c>
      <c r="B26" s="3739" t="s">
        <v>727</v>
      </c>
      <c r="C26" s="3740">
        <v>10003241</v>
      </c>
      <c r="D26" s="376"/>
      <c r="E26" s="376"/>
      <c r="F26" s="376"/>
      <c r="G26" s="376"/>
      <c r="H26" s="376"/>
      <c r="I26" s="376"/>
      <c r="J26" s="376"/>
    </row>
    <row r="27" spans="1:10" ht="25.5" hidden="1">
      <c r="A27" s="1718">
        <v>25</v>
      </c>
      <c r="B27" s="3739" t="s">
        <v>728</v>
      </c>
      <c r="C27" s="3740">
        <v>10003145</v>
      </c>
      <c r="D27" s="376"/>
      <c r="E27" s="376"/>
      <c r="F27" s="376"/>
      <c r="G27" s="376"/>
      <c r="H27" s="376"/>
      <c r="I27" s="376"/>
      <c r="J27" s="376"/>
    </row>
    <row r="28" spans="1:10" ht="25.5" hidden="1">
      <c r="A28" s="1718">
        <v>26</v>
      </c>
      <c r="B28" s="3739" t="s">
        <v>729</v>
      </c>
      <c r="C28" s="3740">
        <v>10003216</v>
      </c>
      <c r="D28" s="376"/>
      <c r="E28" s="376"/>
      <c r="F28" s="376"/>
      <c r="G28" s="376"/>
      <c r="H28" s="376"/>
      <c r="I28" s="376"/>
      <c r="J28" s="376"/>
    </row>
    <row r="29" spans="1:10" ht="25.5" hidden="1">
      <c r="A29" s="1718">
        <v>27</v>
      </c>
      <c r="B29" s="3739" t="s">
        <v>730</v>
      </c>
      <c r="C29" s="3740">
        <v>10003137</v>
      </c>
      <c r="D29" s="376"/>
      <c r="E29" s="376"/>
      <c r="F29" s="376"/>
      <c r="G29" s="376"/>
      <c r="H29" s="376"/>
      <c r="I29" s="376"/>
      <c r="J29" s="376"/>
    </row>
    <row r="30" spans="1:10" ht="25.5" hidden="1">
      <c r="A30" s="1718">
        <v>28</v>
      </c>
      <c r="B30" s="3739" t="s">
        <v>731</v>
      </c>
      <c r="C30" s="3740">
        <v>10003188</v>
      </c>
      <c r="D30" s="376"/>
      <c r="E30" s="376"/>
      <c r="F30" s="376"/>
      <c r="G30" s="376"/>
      <c r="H30" s="376"/>
      <c r="I30" s="376"/>
      <c r="J30" s="376"/>
    </row>
    <row r="31" spans="1:10" ht="25.5" hidden="1">
      <c r="A31" s="1718">
        <v>29</v>
      </c>
      <c r="B31" s="3739" t="s">
        <v>732</v>
      </c>
      <c r="C31" s="3740">
        <v>10003189</v>
      </c>
      <c r="D31" s="376"/>
      <c r="E31" s="376"/>
      <c r="F31" s="376"/>
      <c r="G31" s="376"/>
      <c r="H31" s="376"/>
      <c r="I31" s="376"/>
      <c r="J31" s="376"/>
    </row>
    <row r="32" spans="1:10" ht="25.5" hidden="1">
      <c r="A32" s="1718">
        <v>30</v>
      </c>
      <c r="B32" s="3739" t="s">
        <v>733</v>
      </c>
      <c r="C32" s="3740">
        <v>10003190</v>
      </c>
      <c r="D32" s="376"/>
      <c r="E32" s="376"/>
      <c r="F32" s="376"/>
      <c r="G32" s="376"/>
      <c r="H32" s="376"/>
      <c r="I32" s="376"/>
      <c r="J32" s="376"/>
    </row>
    <row r="33" spans="1:10" ht="25.5" hidden="1">
      <c r="A33" s="1718">
        <v>31</v>
      </c>
      <c r="B33" s="3739" t="s">
        <v>734</v>
      </c>
      <c r="C33" s="3740">
        <v>10003191</v>
      </c>
      <c r="D33" s="376"/>
      <c r="E33" s="376"/>
      <c r="F33" s="376"/>
      <c r="G33" s="376"/>
      <c r="H33" s="376"/>
      <c r="I33" s="376"/>
      <c r="J33" s="376"/>
    </row>
    <row r="34" spans="1:10" ht="25.5" hidden="1">
      <c r="A34" s="1718">
        <v>32</v>
      </c>
      <c r="B34" s="3739" t="s">
        <v>735</v>
      </c>
      <c r="C34" s="3740">
        <v>10003374</v>
      </c>
      <c r="D34" s="376"/>
      <c r="E34" s="376"/>
      <c r="F34" s="376"/>
      <c r="G34" s="376"/>
      <c r="H34" s="376"/>
      <c r="I34" s="376"/>
      <c r="J34" s="376"/>
    </row>
    <row r="35" spans="1:10" ht="25.5" hidden="1">
      <c r="A35" s="1718">
        <v>33</v>
      </c>
      <c r="B35" s="3739" t="s">
        <v>735</v>
      </c>
      <c r="C35" s="3740">
        <v>10003375</v>
      </c>
      <c r="D35" s="376"/>
      <c r="E35" s="376"/>
      <c r="F35" s="376"/>
      <c r="G35" s="376"/>
      <c r="H35" s="376"/>
      <c r="I35" s="376"/>
      <c r="J35" s="376"/>
    </row>
    <row r="36" spans="1:10" ht="25.5" hidden="1">
      <c r="A36" s="1718">
        <v>34</v>
      </c>
      <c r="B36" s="3739" t="s">
        <v>735</v>
      </c>
      <c r="C36" s="3740">
        <v>10003376</v>
      </c>
      <c r="D36" s="376"/>
      <c r="E36" s="376"/>
      <c r="F36" s="376"/>
      <c r="G36" s="376"/>
      <c r="H36" s="376"/>
      <c r="I36" s="376"/>
      <c r="J36" s="376"/>
    </row>
    <row r="37" spans="1:10" ht="25.5" hidden="1">
      <c r="A37" s="1718">
        <v>35</v>
      </c>
      <c r="B37" s="3739" t="s">
        <v>735</v>
      </c>
      <c r="C37" s="3740">
        <v>10008307</v>
      </c>
      <c r="D37" s="376"/>
      <c r="E37" s="376"/>
      <c r="F37" s="376"/>
      <c r="G37" s="376"/>
      <c r="H37" s="376"/>
      <c r="I37" s="376"/>
      <c r="J37" s="376"/>
    </row>
    <row r="38" spans="1:10" ht="25.5" hidden="1">
      <c r="A38" s="1718">
        <v>36</v>
      </c>
      <c r="B38" s="3739" t="s">
        <v>736</v>
      </c>
      <c r="C38" s="3740">
        <v>10003197</v>
      </c>
      <c r="D38" s="376"/>
      <c r="E38" s="376"/>
      <c r="F38" s="376"/>
      <c r="G38" s="376"/>
      <c r="H38" s="376"/>
      <c r="I38" s="376"/>
      <c r="J38" s="376"/>
    </row>
    <row r="39" spans="1:10" ht="25.5" hidden="1">
      <c r="A39" s="1718">
        <v>37</v>
      </c>
      <c r="B39" s="3739" t="s">
        <v>737</v>
      </c>
      <c r="C39" s="3740">
        <v>10003147</v>
      </c>
      <c r="D39" s="376"/>
      <c r="E39" s="376"/>
      <c r="F39" s="376"/>
      <c r="G39" s="376"/>
      <c r="H39" s="376"/>
      <c r="I39" s="376"/>
      <c r="J39" s="376"/>
    </row>
    <row r="40" spans="1:10" hidden="1">
      <c r="A40" s="1718">
        <v>38</v>
      </c>
      <c r="B40" s="3739" t="s">
        <v>738</v>
      </c>
      <c r="C40" s="3740">
        <v>10003242</v>
      </c>
      <c r="D40" s="376"/>
      <c r="E40" s="376"/>
      <c r="F40" s="376"/>
      <c r="G40" s="376"/>
      <c r="H40" s="376"/>
      <c r="I40" s="376"/>
      <c r="J40" s="376"/>
    </row>
    <row r="41" spans="1:10" hidden="1">
      <c r="A41" s="1718">
        <v>39</v>
      </c>
      <c r="B41" s="3739" t="s">
        <v>738</v>
      </c>
      <c r="C41" s="3740">
        <v>10003243</v>
      </c>
      <c r="D41" s="376"/>
      <c r="E41" s="376"/>
      <c r="F41" s="376"/>
      <c r="G41" s="376"/>
      <c r="H41" s="376"/>
      <c r="I41" s="376"/>
      <c r="J41" s="376"/>
    </row>
    <row r="42" spans="1:10" ht="25.5" hidden="1">
      <c r="A42" s="1718">
        <v>40</v>
      </c>
      <c r="B42" s="3739" t="s">
        <v>739</v>
      </c>
      <c r="C42" s="3740">
        <v>10003379</v>
      </c>
      <c r="D42" s="376"/>
      <c r="E42" s="376"/>
      <c r="F42" s="376"/>
      <c r="G42" s="376"/>
      <c r="H42" s="376"/>
      <c r="I42" s="376"/>
      <c r="J42" s="376"/>
    </row>
    <row r="43" spans="1:10" ht="25.5" hidden="1">
      <c r="A43" s="1718">
        <v>41</v>
      </c>
      <c r="B43" s="3739" t="s">
        <v>739</v>
      </c>
      <c r="C43" s="3740">
        <v>10003380</v>
      </c>
      <c r="D43" s="376"/>
      <c r="E43" s="376"/>
      <c r="F43" s="376"/>
      <c r="G43" s="376"/>
      <c r="H43" s="376"/>
      <c r="I43" s="376"/>
      <c r="J43" s="376"/>
    </row>
    <row r="44" spans="1:10" ht="25.5" hidden="1">
      <c r="A44" s="1718">
        <v>42</v>
      </c>
      <c r="B44" s="3739" t="s">
        <v>739</v>
      </c>
      <c r="C44" s="3740">
        <v>10003381</v>
      </c>
      <c r="D44" s="376"/>
      <c r="E44" s="376"/>
      <c r="F44" s="376"/>
      <c r="G44" s="376"/>
      <c r="H44" s="376"/>
      <c r="I44" s="376"/>
      <c r="J44" s="376"/>
    </row>
    <row r="45" spans="1:10" ht="25.5" hidden="1">
      <c r="A45" s="1718">
        <v>43</v>
      </c>
      <c r="B45" s="3739" t="s">
        <v>739</v>
      </c>
      <c r="C45" s="3740">
        <v>10003382</v>
      </c>
      <c r="D45" s="376"/>
      <c r="E45" s="376"/>
      <c r="F45" s="376"/>
      <c r="G45" s="376"/>
      <c r="H45" s="376"/>
      <c r="I45" s="376"/>
      <c r="J45" s="376"/>
    </row>
    <row r="46" spans="1:10" ht="25.5" hidden="1">
      <c r="A46" s="1718">
        <v>44</v>
      </c>
      <c r="B46" s="3739" t="s">
        <v>739</v>
      </c>
      <c r="C46" s="3740">
        <v>10003383</v>
      </c>
      <c r="D46" s="376"/>
      <c r="E46" s="376"/>
      <c r="F46" s="376"/>
      <c r="G46" s="376"/>
      <c r="H46" s="376"/>
      <c r="I46" s="376"/>
      <c r="J46" s="376"/>
    </row>
    <row r="47" spans="1:10" ht="25.5" hidden="1">
      <c r="A47" s="1718">
        <v>45</v>
      </c>
      <c r="B47" s="3739" t="s">
        <v>739</v>
      </c>
      <c r="C47" s="3740">
        <v>10003384</v>
      </c>
      <c r="D47" s="376"/>
      <c r="E47" s="376"/>
      <c r="F47" s="376"/>
      <c r="G47" s="376"/>
      <c r="H47" s="376"/>
      <c r="I47" s="376"/>
      <c r="J47" s="376"/>
    </row>
    <row r="48" spans="1:10" ht="25.5" hidden="1">
      <c r="A48" s="1718">
        <v>46</v>
      </c>
      <c r="B48" s="3739" t="s">
        <v>739</v>
      </c>
      <c r="C48" s="3740">
        <v>10003385</v>
      </c>
      <c r="D48" s="376"/>
      <c r="E48" s="376"/>
      <c r="F48" s="376"/>
      <c r="G48" s="376"/>
      <c r="H48" s="376"/>
      <c r="I48" s="376"/>
      <c r="J48" s="376"/>
    </row>
    <row r="49" spans="1:10" ht="25.5" hidden="1">
      <c r="A49" s="1718">
        <v>47</v>
      </c>
      <c r="B49" s="3739" t="s">
        <v>739</v>
      </c>
      <c r="C49" s="3740">
        <v>10003386</v>
      </c>
      <c r="D49" s="376"/>
      <c r="E49" s="376"/>
      <c r="F49" s="376"/>
      <c r="G49" s="376"/>
      <c r="H49" s="376"/>
      <c r="I49" s="376"/>
      <c r="J49" s="376"/>
    </row>
    <row r="50" spans="1:10" hidden="1">
      <c r="A50" s="1718">
        <v>48</v>
      </c>
      <c r="B50" s="3739" t="s">
        <v>740</v>
      </c>
      <c r="C50" s="3740">
        <v>10003139</v>
      </c>
      <c r="D50" s="376"/>
      <c r="E50" s="376"/>
      <c r="F50" s="376"/>
      <c r="G50" s="376"/>
      <c r="H50" s="376"/>
      <c r="I50" s="376"/>
      <c r="J50" s="376"/>
    </row>
    <row r="51" spans="1:10" ht="25.5" hidden="1">
      <c r="A51" s="1718">
        <v>49</v>
      </c>
      <c r="B51" s="3739" t="s">
        <v>741</v>
      </c>
      <c r="C51" s="3740">
        <v>10003148</v>
      </c>
      <c r="D51" s="376"/>
      <c r="E51" s="376"/>
      <c r="F51" s="376"/>
      <c r="G51" s="376"/>
      <c r="H51" s="376"/>
      <c r="I51" s="376"/>
      <c r="J51" s="376"/>
    </row>
    <row r="52" spans="1:10" ht="25.5" hidden="1">
      <c r="A52" s="1718">
        <v>50</v>
      </c>
      <c r="B52" s="3739" t="s">
        <v>742</v>
      </c>
      <c r="C52" s="3740">
        <v>10003200</v>
      </c>
      <c r="D52" s="376"/>
      <c r="E52" s="376"/>
      <c r="F52" s="376"/>
      <c r="G52" s="376"/>
      <c r="H52" s="376"/>
      <c r="I52" s="376"/>
      <c r="J52" s="376"/>
    </row>
    <row r="53" spans="1:10" ht="25.5" hidden="1">
      <c r="A53" s="1718">
        <v>51</v>
      </c>
      <c r="B53" s="3739" t="s">
        <v>743</v>
      </c>
      <c r="C53" s="3740">
        <v>10003198</v>
      </c>
      <c r="D53" s="376"/>
      <c r="E53" s="376"/>
      <c r="F53" s="376"/>
      <c r="G53" s="376"/>
      <c r="H53" s="376"/>
      <c r="I53" s="376"/>
      <c r="J53" s="376"/>
    </row>
    <row r="54" spans="1:10" ht="25.5" hidden="1">
      <c r="A54" s="1718">
        <v>52</v>
      </c>
      <c r="B54" s="3739" t="s">
        <v>743</v>
      </c>
      <c r="C54" s="3740">
        <v>10003199</v>
      </c>
      <c r="D54" s="376"/>
      <c r="E54" s="376"/>
      <c r="F54" s="376"/>
      <c r="G54" s="376"/>
      <c r="H54" s="376"/>
      <c r="I54" s="376"/>
      <c r="J54" s="376"/>
    </row>
    <row r="55" spans="1:10" hidden="1">
      <c r="A55" s="1718">
        <v>53</v>
      </c>
      <c r="B55" s="3739" t="s">
        <v>744</v>
      </c>
      <c r="C55" s="3740">
        <v>10003132</v>
      </c>
      <c r="D55" s="376"/>
      <c r="E55" s="376"/>
      <c r="F55" s="376"/>
      <c r="G55" s="376"/>
      <c r="H55" s="376"/>
      <c r="I55" s="376"/>
      <c r="J55" s="376"/>
    </row>
    <row r="56" spans="1:10" ht="25.5" hidden="1">
      <c r="A56" s="1718">
        <v>54</v>
      </c>
      <c r="B56" s="3739" t="s">
        <v>745</v>
      </c>
      <c r="C56" s="3740">
        <v>10003210</v>
      </c>
      <c r="D56" s="376"/>
      <c r="E56" s="376"/>
      <c r="F56" s="376"/>
      <c r="G56" s="376"/>
      <c r="H56" s="376"/>
      <c r="I56" s="376"/>
      <c r="J56" s="376"/>
    </row>
    <row r="57" spans="1:10" ht="25.5" hidden="1">
      <c r="A57" s="1718">
        <v>55</v>
      </c>
      <c r="B57" s="3739" t="s">
        <v>746</v>
      </c>
      <c r="C57" s="3740">
        <v>10003212</v>
      </c>
      <c r="D57" s="376"/>
      <c r="E57" s="376"/>
      <c r="F57" s="376"/>
      <c r="G57" s="376"/>
      <c r="H57" s="376"/>
      <c r="I57" s="376"/>
      <c r="J57" s="376"/>
    </row>
    <row r="58" spans="1:10" ht="25.5" hidden="1">
      <c r="A58" s="1718">
        <v>56</v>
      </c>
      <c r="B58" s="3739" t="s">
        <v>747</v>
      </c>
      <c r="C58" s="3740">
        <v>10003204</v>
      </c>
      <c r="D58" s="376"/>
      <c r="E58" s="376"/>
      <c r="F58" s="376"/>
      <c r="G58" s="376"/>
      <c r="H58" s="376"/>
      <c r="I58" s="376"/>
      <c r="J58" s="376"/>
    </row>
    <row r="59" spans="1:10" ht="25.5" hidden="1">
      <c r="A59" s="1718">
        <v>57</v>
      </c>
      <c r="B59" s="3739" t="s">
        <v>747</v>
      </c>
      <c r="C59" s="3740">
        <v>10003205</v>
      </c>
      <c r="D59" s="376"/>
      <c r="E59" s="376"/>
      <c r="F59" s="376"/>
      <c r="G59" s="376"/>
      <c r="H59" s="376"/>
      <c r="I59" s="376"/>
      <c r="J59" s="376"/>
    </row>
    <row r="60" spans="1:10" hidden="1">
      <c r="A60" s="1718">
        <v>58</v>
      </c>
      <c r="B60" s="3739" t="s">
        <v>748</v>
      </c>
      <c r="C60" s="3740">
        <v>10003252</v>
      </c>
      <c r="D60" s="376"/>
      <c r="E60" s="376"/>
      <c r="F60" s="376"/>
      <c r="G60" s="376"/>
      <c r="H60" s="376"/>
      <c r="I60" s="376"/>
      <c r="J60" s="376"/>
    </row>
    <row r="61" spans="1:10" ht="25.5" hidden="1">
      <c r="A61" s="1718">
        <v>59</v>
      </c>
      <c r="B61" s="3739" t="s">
        <v>749</v>
      </c>
      <c r="C61" s="3740">
        <v>10003155</v>
      </c>
      <c r="D61" s="376"/>
      <c r="E61" s="376"/>
      <c r="F61" s="376"/>
      <c r="G61" s="376"/>
      <c r="H61" s="376"/>
      <c r="I61" s="376"/>
      <c r="J61" s="376"/>
    </row>
    <row r="62" spans="1:10" hidden="1">
      <c r="A62" s="1718">
        <v>60</v>
      </c>
      <c r="B62" s="3739" t="s">
        <v>750</v>
      </c>
      <c r="C62" s="3740">
        <v>10003141</v>
      </c>
      <c r="D62" s="376"/>
      <c r="E62" s="376"/>
      <c r="F62" s="376"/>
      <c r="G62" s="376"/>
      <c r="H62" s="376"/>
      <c r="I62" s="376"/>
      <c r="J62" s="376"/>
    </row>
    <row r="63" spans="1:10" hidden="1">
      <c r="A63" s="1718">
        <v>61</v>
      </c>
      <c r="B63" s="3739" t="s">
        <v>751</v>
      </c>
      <c r="C63" s="3740">
        <v>10003157</v>
      </c>
      <c r="D63" s="376"/>
      <c r="E63" s="376"/>
      <c r="F63" s="376"/>
      <c r="G63" s="376"/>
      <c r="H63" s="376"/>
      <c r="I63" s="376"/>
      <c r="J63" s="376"/>
    </row>
    <row r="64" spans="1:10" hidden="1">
      <c r="A64" s="1718">
        <v>62</v>
      </c>
      <c r="B64" s="3739" t="s">
        <v>751</v>
      </c>
      <c r="C64" s="3740">
        <v>10003158</v>
      </c>
      <c r="D64" s="376"/>
      <c r="E64" s="376"/>
      <c r="F64" s="376"/>
      <c r="G64" s="376"/>
      <c r="H64" s="376"/>
      <c r="I64" s="376"/>
      <c r="J64" s="376"/>
    </row>
    <row r="65" spans="1:10" hidden="1">
      <c r="A65" s="1718">
        <v>63</v>
      </c>
      <c r="B65" s="3739" t="s">
        <v>751</v>
      </c>
      <c r="C65" s="3740">
        <v>10003159</v>
      </c>
      <c r="D65" s="376"/>
      <c r="E65" s="376"/>
      <c r="F65" s="376"/>
      <c r="G65" s="376"/>
      <c r="H65" s="376"/>
      <c r="I65" s="376"/>
      <c r="J65" s="376"/>
    </row>
    <row r="66" spans="1:10" hidden="1">
      <c r="A66" s="1718">
        <v>64</v>
      </c>
      <c r="B66" s="3739" t="s">
        <v>752</v>
      </c>
      <c r="C66" s="3740">
        <v>10003219</v>
      </c>
      <c r="D66" s="376"/>
      <c r="E66" s="376"/>
      <c r="F66" s="376"/>
      <c r="G66" s="376"/>
      <c r="H66" s="376"/>
      <c r="I66" s="376"/>
      <c r="J66" s="376"/>
    </row>
    <row r="67" spans="1:10" hidden="1">
      <c r="A67" s="1718">
        <v>65</v>
      </c>
      <c r="B67" s="3739" t="s">
        <v>752</v>
      </c>
      <c r="C67" s="3740">
        <v>10003220</v>
      </c>
      <c r="D67" s="376"/>
      <c r="E67" s="376"/>
      <c r="F67" s="376"/>
      <c r="G67" s="376"/>
      <c r="H67" s="376"/>
      <c r="I67" s="376"/>
      <c r="J67" s="376"/>
    </row>
    <row r="68" spans="1:10" hidden="1">
      <c r="A68" s="1718">
        <v>66</v>
      </c>
      <c r="B68" s="3739" t="s">
        <v>752</v>
      </c>
      <c r="C68" s="3740">
        <v>10003221</v>
      </c>
      <c r="D68" s="376"/>
      <c r="E68" s="376"/>
      <c r="F68" s="376"/>
      <c r="G68" s="376"/>
      <c r="H68" s="376"/>
      <c r="I68" s="376"/>
      <c r="J68" s="376"/>
    </row>
    <row r="69" spans="1:10" ht="25.5" hidden="1">
      <c r="A69" s="1718">
        <v>67</v>
      </c>
      <c r="B69" s="3739" t="s">
        <v>753</v>
      </c>
      <c r="C69" s="3740">
        <v>10003217</v>
      </c>
      <c r="D69" s="376"/>
      <c r="E69" s="376"/>
      <c r="F69" s="376"/>
      <c r="G69" s="376"/>
      <c r="H69" s="376"/>
      <c r="I69" s="376"/>
      <c r="J69" s="376"/>
    </row>
    <row r="70" spans="1:10" hidden="1">
      <c r="A70" s="1718">
        <v>68</v>
      </c>
      <c r="B70" s="3739" t="s">
        <v>754</v>
      </c>
      <c r="C70" s="3740">
        <v>10003225</v>
      </c>
      <c r="D70" s="376"/>
      <c r="E70" s="376"/>
      <c r="F70" s="376"/>
      <c r="G70" s="376"/>
      <c r="H70" s="376"/>
      <c r="I70" s="376"/>
      <c r="J70" s="376"/>
    </row>
    <row r="71" spans="1:10" ht="25.5" hidden="1">
      <c r="A71" s="1718">
        <v>69</v>
      </c>
      <c r="B71" s="3739" t="s">
        <v>755</v>
      </c>
      <c r="C71" s="3740">
        <v>10003146</v>
      </c>
      <c r="D71" s="376"/>
      <c r="E71" s="376"/>
      <c r="F71" s="376"/>
      <c r="G71" s="376"/>
      <c r="H71" s="376"/>
      <c r="I71" s="376"/>
      <c r="J71" s="376"/>
    </row>
    <row r="72" spans="1:10" ht="25.5" hidden="1">
      <c r="A72" s="1718">
        <v>70</v>
      </c>
      <c r="B72" s="3739" t="s">
        <v>755</v>
      </c>
      <c r="C72" s="3740">
        <v>10003149</v>
      </c>
      <c r="D72" s="376"/>
      <c r="E72" s="376"/>
      <c r="F72" s="376"/>
      <c r="G72" s="376"/>
      <c r="H72" s="376"/>
      <c r="I72" s="376"/>
      <c r="J72" s="376"/>
    </row>
    <row r="73" spans="1:10" ht="25.5" hidden="1">
      <c r="A73" s="1718">
        <v>71</v>
      </c>
      <c r="B73" s="3739" t="s">
        <v>756</v>
      </c>
      <c r="C73" s="3740">
        <v>10007571</v>
      </c>
      <c r="D73" s="376"/>
      <c r="E73" s="376"/>
      <c r="F73" s="376"/>
      <c r="G73" s="376"/>
      <c r="H73" s="376"/>
      <c r="I73" s="376"/>
      <c r="J73" s="376"/>
    </row>
    <row r="74" spans="1:10" ht="25.5" hidden="1">
      <c r="A74" s="1718">
        <v>72</v>
      </c>
      <c r="B74" s="3739" t="s">
        <v>756</v>
      </c>
      <c r="C74" s="3740">
        <v>10007572</v>
      </c>
      <c r="D74" s="376"/>
      <c r="E74" s="376"/>
      <c r="F74" s="376"/>
      <c r="G74" s="376"/>
      <c r="H74" s="376"/>
      <c r="I74" s="376"/>
      <c r="J74" s="376"/>
    </row>
    <row r="75" spans="1:10" ht="25.5" hidden="1">
      <c r="A75" s="1718">
        <v>73</v>
      </c>
      <c r="B75" s="3739" t="s">
        <v>757</v>
      </c>
      <c r="C75" s="3740">
        <v>10003201</v>
      </c>
      <c r="D75" s="376"/>
      <c r="E75" s="376"/>
      <c r="F75" s="376"/>
      <c r="G75" s="376"/>
      <c r="H75" s="376"/>
      <c r="I75" s="376"/>
      <c r="J75" s="376"/>
    </row>
    <row r="76" spans="1:10" ht="25.5" hidden="1">
      <c r="A76" s="1718">
        <v>74</v>
      </c>
      <c r="B76" s="3739" t="s">
        <v>758</v>
      </c>
      <c r="C76" s="3740">
        <v>10003184</v>
      </c>
      <c r="D76" s="376"/>
      <c r="E76" s="376"/>
      <c r="F76" s="376"/>
      <c r="G76" s="376"/>
      <c r="H76" s="376"/>
      <c r="I76" s="376"/>
      <c r="J76" s="376"/>
    </row>
    <row r="77" spans="1:10" ht="25.5" hidden="1">
      <c r="A77" s="1718">
        <v>75</v>
      </c>
      <c r="B77" s="3739" t="s">
        <v>758</v>
      </c>
      <c r="C77" s="3740">
        <v>10003185</v>
      </c>
      <c r="D77" s="376"/>
      <c r="E77" s="376"/>
      <c r="F77" s="376"/>
      <c r="G77" s="376"/>
      <c r="H77" s="376"/>
      <c r="I77" s="376"/>
      <c r="J77" s="376"/>
    </row>
    <row r="78" spans="1:10" ht="25.5" hidden="1">
      <c r="A78" s="1718">
        <v>76</v>
      </c>
      <c r="B78" s="3739" t="s">
        <v>758</v>
      </c>
      <c r="C78" s="3740">
        <v>10003186</v>
      </c>
      <c r="D78" s="376"/>
      <c r="E78" s="376"/>
      <c r="F78" s="376"/>
      <c r="G78" s="376"/>
      <c r="H78" s="376"/>
      <c r="I78" s="376"/>
      <c r="J78" s="376"/>
    </row>
    <row r="79" spans="1:10" ht="25.5" hidden="1">
      <c r="A79" s="1718">
        <v>77</v>
      </c>
      <c r="B79" s="3739" t="s">
        <v>758</v>
      </c>
      <c r="C79" s="3740">
        <v>10003187</v>
      </c>
      <c r="D79" s="376"/>
      <c r="E79" s="376"/>
      <c r="F79" s="376"/>
      <c r="G79" s="376"/>
      <c r="H79" s="376"/>
      <c r="I79" s="376"/>
      <c r="J79" s="376"/>
    </row>
    <row r="80" spans="1:10" ht="25.5" hidden="1">
      <c r="A80" s="1718">
        <v>78</v>
      </c>
      <c r="B80" s="3739" t="s">
        <v>759</v>
      </c>
      <c r="C80" s="3740">
        <v>10003193</v>
      </c>
      <c r="D80" s="376"/>
      <c r="E80" s="376"/>
      <c r="F80" s="376"/>
      <c r="G80" s="376"/>
      <c r="H80" s="376"/>
      <c r="I80" s="376"/>
      <c r="J80" s="376"/>
    </row>
    <row r="81" spans="1:10" ht="25.5" hidden="1">
      <c r="A81" s="1718">
        <v>79</v>
      </c>
      <c r="B81" s="3739" t="s">
        <v>760</v>
      </c>
      <c r="C81" s="3740">
        <v>10003171</v>
      </c>
      <c r="D81" s="376"/>
      <c r="E81" s="376"/>
      <c r="F81" s="376"/>
      <c r="G81" s="376"/>
      <c r="H81" s="376"/>
      <c r="I81" s="376"/>
      <c r="J81" s="376"/>
    </row>
    <row r="82" spans="1:10" ht="25.5" hidden="1">
      <c r="A82" s="1718">
        <v>80</v>
      </c>
      <c r="B82" s="3739" t="s">
        <v>760</v>
      </c>
      <c r="C82" s="3740">
        <v>10003172</v>
      </c>
      <c r="D82" s="376"/>
      <c r="E82" s="376"/>
      <c r="F82" s="376"/>
      <c r="G82" s="376"/>
      <c r="H82" s="376"/>
      <c r="I82" s="376"/>
      <c r="J82" s="376"/>
    </row>
    <row r="83" spans="1:10" ht="25.5" hidden="1">
      <c r="A83" s="1718">
        <v>81</v>
      </c>
      <c r="B83" s="3739" t="s">
        <v>760</v>
      </c>
      <c r="C83" s="3740">
        <v>10003173</v>
      </c>
      <c r="D83" s="376"/>
      <c r="E83" s="376"/>
      <c r="F83" s="376"/>
      <c r="G83" s="376"/>
      <c r="H83" s="376"/>
      <c r="I83" s="376"/>
      <c r="J83" s="376"/>
    </row>
    <row r="84" spans="1:10" ht="25.5" hidden="1">
      <c r="A84" s="1718">
        <v>82</v>
      </c>
      <c r="B84" s="3739" t="s">
        <v>760</v>
      </c>
      <c r="C84" s="3740">
        <v>10003174</v>
      </c>
      <c r="D84" s="376"/>
      <c r="E84" s="376"/>
      <c r="F84" s="376"/>
      <c r="G84" s="376"/>
      <c r="H84" s="376"/>
      <c r="I84" s="376"/>
      <c r="J84" s="376"/>
    </row>
    <row r="85" spans="1:10" ht="25.5" hidden="1">
      <c r="A85" s="1718">
        <v>83</v>
      </c>
      <c r="B85" s="3739" t="s">
        <v>760</v>
      </c>
      <c r="C85" s="3740">
        <v>10003175</v>
      </c>
      <c r="D85" s="376"/>
      <c r="E85" s="376"/>
      <c r="F85" s="376"/>
      <c r="G85" s="376"/>
      <c r="H85" s="376"/>
      <c r="I85" s="376"/>
      <c r="J85" s="376"/>
    </row>
    <row r="86" spans="1:10" ht="25.5" hidden="1">
      <c r="A86" s="1718">
        <v>84</v>
      </c>
      <c r="B86" s="3739" t="s">
        <v>759</v>
      </c>
      <c r="C86" s="3740">
        <v>10003195</v>
      </c>
      <c r="D86" s="376"/>
      <c r="E86" s="376"/>
      <c r="F86" s="376"/>
      <c r="G86" s="376"/>
      <c r="H86" s="376"/>
      <c r="I86" s="376"/>
      <c r="J86" s="376"/>
    </row>
    <row r="87" spans="1:10" hidden="1">
      <c r="A87" s="1718">
        <v>85</v>
      </c>
      <c r="B87" s="3739" t="s">
        <v>761</v>
      </c>
      <c r="C87" s="3740">
        <v>10003144</v>
      </c>
      <c r="D87" s="376"/>
      <c r="E87" s="376"/>
      <c r="F87" s="376"/>
      <c r="G87" s="376"/>
      <c r="H87" s="376"/>
      <c r="I87" s="376"/>
      <c r="J87" s="376"/>
    </row>
    <row r="88" spans="1:10" ht="25.5" hidden="1">
      <c r="A88" s="1718">
        <v>86</v>
      </c>
      <c r="B88" s="3739" t="s">
        <v>762</v>
      </c>
      <c r="C88" s="3740">
        <v>10003156</v>
      </c>
      <c r="D88" s="376"/>
      <c r="E88" s="376"/>
      <c r="F88" s="376"/>
      <c r="G88" s="376"/>
      <c r="H88" s="376"/>
      <c r="I88" s="376"/>
      <c r="J88" s="376"/>
    </row>
    <row r="89" spans="1:10" ht="25.5" hidden="1">
      <c r="A89" s="1718">
        <v>87</v>
      </c>
      <c r="B89" s="3739" t="s">
        <v>763</v>
      </c>
      <c r="C89" s="3740">
        <v>10003151</v>
      </c>
      <c r="D89" s="376"/>
      <c r="E89" s="376"/>
      <c r="F89" s="376"/>
      <c r="G89" s="376"/>
      <c r="H89" s="376"/>
      <c r="I89" s="376"/>
      <c r="J89" s="376"/>
    </row>
    <row r="90" spans="1:10" ht="25.5" hidden="1">
      <c r="A90" s="1718">
        <v>88</v>
      </c>
      <c r="B90" s="3739" t="s">
        <v>763</v>
      </c>
      <c r="C90" s="3740">
        <v>10003152</v>
      </c>
      <c r="D90" s="376"/>
      <c r="E90" s="376"/>
      <c r="F90" s="376"/>
      <c r="G90" s="376"/>
      <c r="H90" s="376"/>
      <c r="I90" s="376"/>
      <c r="J90" s="376"/>
    </row>
    <row r="91" spans="1:10" ht="25.5" hidden="1">
      <c r="A91" s="1718">
        <v>89</v>
      </c>
      <c r="B91" s="3739" t="s">
        <v>764</v>
      </c>
      <c r="C91" s="3740">
        <v>10003222</v>
      </c>
      <c r="D91" s="376"/>
      <c r="E91" s="376"/>
      <c r="F91" s="376"/>
      <c r="G91" s="376"/>
      <c r="H91" s="376"/>
      <c r="I91" s="376"/>
      <c r="J91" s="376"/>
    </row>
    <row r="92" spans="1:10" ht="25.5" hidden="1">
      <c r="A92" s="1718">
        <v>90</v>
      </c>
      <c r="B92" s="3739" t="s">
        <v>764</v>
      </c>
      <c r="C92" s="3740">
        <v>10003223</v>
      </c>
      <c r="D92" s="376"/>
      <c r="E92" s="376"/>
      <c r="F92" s="376"/>
      <c r="G92" s="376"/>
      <c r="H92" s="376"/>
      <c r="I92" s="376"/>
      <c r="J92" s="376"/>
    </row>
    <row r="93" spans="1:10" ht="25.5" hidden="1">
      <c r="A93" s="1718">
        <v>91</v>
      </c>
      <c r="B93" s="3739" t="s">
        <v>764</v>
      </c>
      <c r="C93" s="3740">
        <v>10003224</v>
      </c>
      <c r="D93" s="376"/>
      <c r="E93" s="376"/>
      <c r="F93" s="376"/>
      <c r="G93" s="376"/>
      <c r="H93" s="376"/>
      <c r="I93" s="376"/>
      <c r="J93" s="376"/>
    </row>
    <row r="94" spans="1:10" ht="25.5" hidden="1">
      <c r="A94" s="1718">
        <v>92</v>
      </c>
      <c r="B94" s="3739" t="s">
        <v>765</v>
      </c>
      <c r="C94" s="3740">
        <v>10003140</v>
      </c>
      <c r="D94" s="376"/>
      <c r="E94" s="376"/>
      <c r="F94" s="376"/>
      <c r="G94" s="376"/>
      <c r="H94" s="376"/>
      <c r="I94" s="376"/>
      <c r="J94" s="376"/>
    </row>
    <row r="95" spans="1:10" ht="25.5" hidden="1">
      <c r="A95" s="1718">
        <v>93</v>
      </c>
      <c r="B95" s="3739" t="s">
        <v>766</v>
      </c>
      <c r="C95" s="3740">
        <v>10003250</v>
      </c>
      <c r="D95" s="376"/>
      <c r="E95" s="376"/>
      <c r="F95" s="376"/>
      <c r="G95" s="376"/>
      <c r="H95" s="376"/>
      <c r="I95" s="376"/>
      <c r="J95" s="376"/>
    </row>
    <row r="96" spans="1:10" ht="25.5" hidden="1">
      <c r="A96" s="1718">
        <v>94</v>
      </c>
      <c r="B96" s="3739" t="s">
        <v>766</v>
      </c>
      <c r="C96" s="3740">
        <v>10003251</v>
      </c>
      <c r="D96" s="376"/>
      <c r="E96" s="376"/>
      <c r="F96" s="376"/>
      <c r="G96" s="376"/>
      <c r="H96" s="376"/>
      <c r="I96" s="376"/>
      <c r="J96" s="376"/>
    </row>
    <row r="97" spans="1:10" ht="25.5" hidden="1">
      <c r="A97" s="1718">
        <v>95</v>
      </c>
      <c r="B97" s="3739" t="s">
        <v>767</v>
      </c>
      <c r="C97" s="3740">
        <v>10003231</v>
      </c>
      <c r="D97" s="376"/>
      <c r="E97" s="376"/>
      <c r="F97" s="376"/>
      <c r="G97" s="376"/>
      <c r="H97" s="376"/>
      <c r="I97" s="376"/>
      <c r="J97" s="376"/>
    </row>
    <row r="98" spans="1:10" ht="25.5" hidden="1">
      <c r="A98" s="1718">
        <v>96</v>
      </c>
      <c r="B98" s="3739" t="s">
        <v>767</v>
      </c>
      <c r="C98" s="3740">
        <v>10003232</v>
      </c>
      <c r="D98" s="376"/>
      <c r="E98" s="376"/>
      <c r="F98" s="376"/>
      <c r="G98" s="376"/>
      <c r="H98" s="376"/>
      <c r="I98" s="376"/>
      <c r="J98" s="376"/>
    </row>
    <row r="99" spans="1:10" ht="25.5" hidden="1">
      <c r="A99" s="1718">
        <v>97</v>
      </c>
      <c r="B99" s="3739" t="s">
        <v>767</v>
      </c>
      <c r="C99" s="3740">
        <v>10003233</v>
      </c>
      <c r="D99" s="376"/>
      <c r="E99" s="376"/>
      <c r="F99" s="376"/>
      <c r="G99" s="376"/>
      <c r="H99" s="376"/>
      <c r="I99" s="376"/>
      <c r="J99" s="376"/>
    </row>
    <row r="100" spans="1:10" ht="25.5" hidden="1">
      <c r="A100" s="1718">
        <v>98</v>
      </c>
      <c r="B100" s="3739" t="s">
        <v>767</v>
      </c>
      <c r="C100" s="3740">
        <v>10003234</v>
      </c>
      <c r="D100" s="376"/>
      <c r="E100" s="376"/>
      <c r="F100" s="376"/>
      <c r="G100" s="376"/>
      <c r="H100" s="376"/>
      <c r="I100" s="376"/>
      <c r="J100" s="376"/>
    </row>
    <row r="101" spans="1:10" ht="25.5" hidden="1">
      <c r="A101" s="1718">
        <v>99</v>
      </c>
      <c r="B101" s="3739" t="s">
        <v>767</v>
      </c>
      <c r="C101" s="3740">
        <v>10003235</v>
      </c>
      <c r="D101" s="376"/>
      <c r="E101" s="376"/>
      <c r="F101" s="376"/>
      <c r="G101" s="376"/>
      <c r="H101" s="376"/>
      <c r="I101" s="376"/>
      <c r="J101" s="376"/>
    </row>
    <row r="102" spans="1:10" ht="25.5" hidden="1">
      <c r="A102" s="1718">
        <v>100</v>
      </c>
      <c r="B102" s="3739" t="s">
        <v>768</v>
      </c>
      <c r="C102" s="3740">
        <v>10003230</v>
      </c>
      <c r="D102" s="376"/>
      <c r="E102" s="376"/>
      <c r="F102" s="376"/>
      <c r="G102" s="376"/>
      <c r="H102" s="376"/>
      <c r="I102" s="376"/>
      <c r="J102" s="376"/>
    </row>
    <row r="103" spans="1:10" ht="25.5" hidden="1">
      <c r="A103" s="1718">
        <v>101</v>
      </c>
      <c r="B103" s="3739" t="s">
        <v>769</v>
      </c>
      <c r="C103" s="3740">
        <v>10003202</v>
      </c>
      <c r="D103" s="376"/>
      <c r="E103" s="376"/>
      <c r="F103" s="376"/>
      <c r="G103" s="376"/>
      <c r="H103" s="376"/>
      <c r="I103" s="376"/>
      <c r="J103" s="376"/>
    </row>
    <row r="104" spans="1:10" ht="25.5" hidden="1">
      <c r="A104" s="1718">
        <v>102</v>
      </c>
      <c r="B104" s="3739" t="s">
        <v>769</v>
      </c>
      <c r="C104" s="3740">
        <v>10003203</v>
      </c>
      <c r="D104" s="376"/>
      <c r="E104" s="376"/>
      <c r="F104" s="376"/>
      <c r="G104" s="376"/>
      <c r="H104" s="376"/>
      <c r="I104" s="376"/>
      <c r="J104" s="376"/>
    </row>
    <row r="105" spans="1:10" ht="38.25" hidden="1">
      <c r="A105" s="1718">
        <v>103</v>
      </c>
      <c r="B105" s="3739" t="s">
        <v>770</v>
      </c>
      <c r="C105" s="3740">
        <v>10008309</v>
      </c>
      <c r="D105" s="376"/>
      <c r="E105" s="376"/>
      <c r="F105" s="376"/>
      <c r="G105" s="376"/>
      <c r="H105" s="376"/>
      <c r="I105" s="376"/>
      <c r="J105" s="376"/>
    </row>
    <row r="106" spans="1:10" ht="38.25" hidden="1">
      <c r="A106" s="1718">
        <v>104</v>
      </c>
      <c r="B106" s="3739" t="s">
        <v>771</v>
      </c>
      <c r="C106" s="3740">
        <v>10007410</v>
      </c>
      <c r="D106" s="376"/>
      <c r="E106" s="376"/>
      <c r="F106" s="376"/>
      <c r="G106" s="376"/>
      <c r="H106" s="376"/>
      <c r="I106" s="376"/>
      <c r="J106" s="376"/>
    </row>
    <row r="107" spans="1:10" ht="25.5" hidden="1">
      <c r="A107" s="1718">
        <v>105</v>
      </c>
      <c r="B107" s="3739" t="s">
        <v>772</v>
      </c>
      <c r="C107" s="3740">
        <v>10003239</v>
      </c>
      <c r="D107" s="376"/>
      <c r="E107" s="376"/>
      <c r="F107" s="376"/>
      <c r="G107" s="376"/>
      <c r="H107" s="376"/>
      <c r="I107" s="376"/>
      <c r="J107" s="376"/>
    </row>
    <row r="108" spans="1:10" ht="25.5" hidden="1">
      <c r="A108" s="1718">
        <v>106</v>
      </c>
      <c r="B108" s="3739" t="s">
        <v>772</v>
      </c>
      <c r="C108" s="3740">
        <v>10003240</v>
      </c>
      <c r="D108" s="376"/>
      <c r="E108" s="376"/>
      <c r="F108" s="376"/>
      <c r="G108" s="376"/>
      <c r="H108" s="376"/>
      <c r="I108" s="376"/>
      <c r="J108" s="376"/>
    </row>
    <row r="109" spans="1:10" ht="25.5" hidden="1">
      <c r="A109" s="1718">
        <v>107</v>
      </c>
      <c r="B109" s="3739" t="s">
        <v>773</v>
      </c>
      <c r="C109" s="3740">
        <v>10003238</v>
      </c>
      <c r="D109" s="376"/>
      <c r="E109" s="376"/>
      <c r="F109" s="376"/>
      <c r="G109" s="376"/>
      <c r="H109" s="376"/>
      <c r="I109" s="376"/>
      <c r="J109" s="376"/>
    </row>
    <row r="110" spans="1:10" ht="26.25" hidden="1">
      <c r="A110" s="1718">
        <v>108</v>
      </c>
      <c r="B110" s="3746" t="s">
        <v>774</v>
      </c>
      <c r="C110" s="3740">
        <v>10003227</v>
      </c>
      <c r="D110" s="376"/>
      <c r="E110" s="376"/>
      <c r="F110" s="376"/>
      <c r="G110" s="376"/>
      <c r="H110" s="376"/>
      <c r="I110" s="376"/>
      <c r="J110" s="376"/>
    </row>
    <row r="111" spans="1:10" ht="26.25" hidden="1">
      <c r="A111" s="1718">
        <v>109</v>
      </c>
      <c r="B111" s="3746" t="s">
        <v>774</v>
      </c>
      <c r="C111" s="3740">
        <v>10003228</v>
      </c>
      <c r="D111" s="376"/>
      <c r="E111" s="376"/>
      <c r="F111" s="376"/>
      <c r="G111" s="376"/>
      <c r="H111" s="376"/>
      <c r="I111" s="376"/>
      <c r="J111" s="376"/>
    </row>
    <row r="112" spans="1:10" ht="26.25" hidden="1">
      <c r="A112" s="1718">
        <v>110</v>
      </c>
      <c r="B112" s="3746" t="s">
        <v>774</v>
      </c>
      <c r="C112" s="3740">
        <v>10003229</v>
      </c>
      <c r="D112" s="376"/>
      <c r="E112" s="376"/>
      <c r="F112" s="376"/>
      <c r="G112" s="376"/>
      <c r="H112" s="376"/>
      <c r="I112" s="376"/>
      <c r="J112" s="376"/>
    </row>
    <row r="113" spans="1:10" ht="25.5" hidden="1">
      <c r="A113" s="1718">
        <v>111</v>
      </c>
      <c r="B113" s="3739" t="s">
        <v>775</v>
      </c>
      <c r="C113" s="3740">
        <v>10003143</v>
      </c>
      <c r="D113" s="376"/>
      <c r="E113" s="376"/>
      <c r="F113" s="376"/>
      <c r="G113" s="376"/>
      <c r="H113" s="376"/>
      <c r="I113" s="376"/>
      <c r="J113" s="376"/>
    </row>
    <row r="114" spans="1:10" ht="25.5" hidden="1">
      <c r="A114" s="1718">
        <v>112</v>
      </c>
      <c r="B114" s="3739" t="s">
        <v>776</v>
      </c>
      <c r="C114" s="3740">
        <v>10003162</v>
      </c>
      <c r="D114" s="376"/>
      <c r="E114" s="376"/>
      <c r="F114" s="376"/>
      <c r="G114" s="376"/>
      <c r="H114" s="376"/>
      <c r="I114" s="376"/>
      <c r="J114" s="376"/>
    </row>
    <row r="115" spans="1:10" ht="25.5" hidden="1">
      <c r="A115" s="1718">
        <v>113</v>
      </c>
      <c r="B115" s="3739" t="s">
        <v>776</v>
      </c>
      <c r="C115" s="3740">
        <v>10003163</v>
      </c>
      <c r="D115" s="376"/>
      <c r="E115" s="376"/>
      <c r="F115" s="376"/>
      <c r="G115" s="376"/>
      <c r="H115" s="376"/>
      <c r="I115" s="376"/>
      <c r="J115" s="376"/>
    </row>
    <row r="116" spans="1:10" ht="25.5" hidden="1">
      <c r="A116" s="1718">
        <v>114</v>
      </c>
      <c r="B116" s="3739" t="s">
        <v>776</v>
      </c>
      <c r="C116" s="3740">
        <v>10003164</v>
      </c>
      <c r="D116" s="376"/>
      <c r="E116" s="376"/>
      <c r="F116" s="376"/>
      <c r="G116" s="376"/>
      <c r="H116" s="376"/>
      <c r="I116" s="376"/>
      <c r="J116" s="376"/>
    </row>
    <row r="117" spans="1:10" ht="25.5" hidden="1">
      <c r="A117" s="1718">
        <v>115</v>
      </c>
      <c r="B117" s="3739" t="s">
        <v>776</v>
      </c>
      <c r="C117" s="3740">
        <v>10003165</v>
      </c>
      <c r="D117" s="376"/>
      <c r="E117" s="376"/>
      <c r="F117" s="376"/>
      <c r="G117" s="376"/>
      <c r="H117" s="376"/>
      <c r="I117" s="376"/>
      <c r="J117" s="376"/>
    </row>
    <row r="118" spans="1:10" ht="25.5" hidden="1">
      <c r="A118" s="1718">
        <v>116</v>
      </c>
      <c r="B118" s="3739" t="s">
        <v>776</v>
      </c>
      <c r="C118" s="3740">
        <v>10003166</v>
      </c>
      <c r="D118" s="376"/>
      <c r="E118" s="376"/>
      <c r="F118" s="376"/>
      <c r="G118" s="376"/>
      <c r="H118" s="376"/>
      <c r="I118" s="376"/>
      <c r="J118" s="376"/>
    </row>
    <row r="119" spans="1:10" ht="25.5" hidden="1">
      <c r="A119" s="1718">
        <v>117</v>
      </c>
      <c r="B119" s="3739" t="s">
        <v>776</v>
      </c>
      <c r="C119" s="3740">
        <v>10003167</v>
      </c>
      <c r="D119" s="376"/>
      <c r="E119" s="376"/>
      <c r="F119" s="376"/>
      <c r="G119" s="376"/>
      <c r="H119" s="376"/>
      <c r="I119" s="376"/>
      <c r="J119" s="376"/>
    </row>
    <row r="120" spans="1:10" ht="25.5" hidden="1">
      <c r="A120" s="1718">
        <v>118</v>
      </c>
      <c r="B120" s="3739" t="s">
        <v>776</v>
      </c>
      <c r="C120" s="3740">
        <v>10003168</v>
      </c>
      <c r="D120" s="376"/>
      <c r="E120" s="376"/>
      <c r="F120" s="376"/>
      <c r="G120" s="376"/>
      <c r="H120" s="376"/>
      <c r="I120" s="376"/>
      <c r="J120" s="376"/>
    </row>
    <row r="121" spans="1:10" ht="25.5" hidden="1">
      <c r="A121" s="1718">
        <v>119</v>
      </c>
      <c r="B121" s="3739" t="s">
        <v>776</v>
      </c>
      <c r="C121" s="3740">
        <v>10003169</v>
      </c>
      <c r="D121" s="376"/>
      <c r="E121" s="376"/>
      <c r="F121" s="376"/>
      <c r="G121" s="376"/>
      <c r="H121" s="376"/>
      <c r="I121" s="376"/>
      <c r="J121" s="376"/>
    </row>
    <row r="122" spans="1:10" ht="25.5" hidden="1">
      <c r="A122" s="1718">
        <v>120</v>
      </c>
      <c r="B122" s="3739" t="s">
        <v>776</v>
      </c>
      <c r="C122" s="3740">
        <v>10003170</v>
      </c>
      <c r="D122" s="376"/>
      <c r="E122" s="376"/>
      <c r="F122" s="376"/>
      <c r="G122" s="376"/>
      <c r="H122" s="376"/>
      <c r="I122" s="376"/>
      <c r="J122" s="376"/>
    </row>
    <row r="123" spans="1:10" hidden="1">
      <c r="A123" s="1718">
        <v>121</v>
      </c>
      <c r="B123" s="3745" t="s">
        <v>777</v>
      </c>
      <c r="C123" s="3740">
        <v>10003213</v>
      </c>
      <c r="D123" s="376"/>
      <c r="E123" s="376"/>
      <c r="F123" s="376"/>
      <c r="G123" s="376"/>
      <c r="H123" s="376"/>
      <c r="I123" s="376"/>
      <c r="J123" s="376"/>
    </row>
    <row r="124" spans="1:10" ht="25.5" hidden="1">
      <c r="A124" s="1718">
        <v>122</v>
      </c>
      <c r="B124" s="3760" t="s">
        <v>778</v>
      </c>
      <c r="C124" s="3761">
        <v>10003244</v>
      </c>
      <c r="D124" s="3762">
        <v>2416</v>
      </c>
      <c r="E124" s="3762" t="s">
        <v>779</v>
      </c>
      <c r="F124" s="3762" t="s">
        <v>780</v>
      </c>
      <c r="G124" s="3762">
        <v>86.91</v>
      </c>
      <c r="H124" s="3763">
        <v>42032</v>
      </c>
      <c r="I124" s="3762">
        <v>84</v>
      </c>
      <c r="J124" s="3762" t="s">
        <v>714</v>
      </c>
    </row>
    <row r="125" spans="1:10" ht="25.5" hidden="1">
      <c r="A125" s="1718">
        <v>123</v>
      </c>
      <c r="B125" s="3760" t="s">
        <v>778</v>
      </c>
      <c r="C125" s="3761">
        <v>10003245</v>
      </c>
      <c r="D125" s="3762">
        <v>2416</v>
      </c>
      <c r="E125" s="3762" t="s">
        <v>781</v>
      </c>
      <c r="F125" s="3762" t="s">
        <v>782</v>
      </c>
      <c r="G125" s="3762">
        <v>86.91</v>
      </c>
      <c r="H125" s="3763">
        <v>42032</v>
      </c>
      <c r="I125" s="3762">
        <v>84</v>
      </c>
      <c r="J125" s="3762" t="s">
        <v>714</v>
      </c>
    </row>
    <row r="126" spans="1:10" ht="25.5" hidden="1">
      <c r="A126" s="1718">
        <v>124</v>
      </c>
      <c r="B126" s="3739" t="s">
        <v>783</v>
      </c>
      <c r="C126" s="3740">
        <v>10003377</v>
      </c>
      <c r="D126" s="376"/>
      <c r="E126" s="376"/>
      <c r="F126" s="376"/>
      <c r="G126" s="376"/>
      <c r="H126" s="376"/>
      <c r="I126" s="376"/>
      <c r="J126" s="376"/>
    </row>
    <row r="127" spans="1:10" hidden="1">
      <c r="A127" s="1718">
        <v>125</v>
      </c>
      <c r="B127" s="3739" t="s">
        <v>784</v>
      </c>
      <c r="C127" s="3740">
        <v>10003543</v>
      </c>
      <c r="D127" s="376"/>
      <c r="E127" s="376"/>
      <c r="F127" s="376"/>
      <c r="G127" s="376"/>
      <c r="H127" s="376"/>
      <c r="I127" s="376"/>
      <c r="J127" s="376"/>
    </row>
    <row r="128" spans="1:10" hidden="1">
      <c r="A128" s="1718">
        <v>126</v>
      </c>
      <c r="B128" s="3739" t="s">
        <v>784</v>
      </c>
      <c r="C128" s="3740">
        <v>10003552</v>
      </c>
      <c r="D128" s="376"/>
      <c r="E128" s="376"/>
      <c r="F128" s="376"/>
      <c r="G128" s="376"/>
      <c r="H128" s="376"/>
      <c r="I128" s="376"/>
      <c r="J128" s="376"/>
    </row>
    <row r="129" spans="1:10" hidden="1">
      <c r="A129" s="1718">
        <v>127</v>
      </c>
      <c r="B129" s="3739" t="s">
        <v>784</v>
      </c>
      <c r="C129" s="3740">
        <v>10003544</v>
      </c>
      <c r="D129" s="376"/>
      <c r="E129" s="376"/>
      <c r="F129" s="376"/>
      <c r="G129" s="376"/>
      <c r="H129" s="376"/>
      <c r="I129" s="376"/>
      <c r="J129" s="376"/>
    </row>
    <row r="130" spans="1:10" hidden="1">
      <c r="A130" s="1718">
        <v>128</v>
      </c>
      <c r="B130" s="3739" t="s">
        <v>785</v>
      </c>
      <c r="C130" s="3740">
        <v>10005203</v>
      </c>
      <c r="D130" s="376"/>
      <c r="E130" s="376"/>
      <c r="F130" s="376"/>
      <c r="G130" s="376"/>
      <c r="H130" s="376"/>
      <c r="I130" s="376"/>
      <c r="J130" s="376"/>
    </row>
    <row r="131" spans="1:10" hidden="1">
      <c r="A131" s="1718">
        <v>129</v>
      </c>
      <c r="B131" s="3739" t="s">
        <v>785</v>
      </c>
      <c r="C131" s="3740">
        <v>10005205</v>
      </c>
      <c r="D131" s="376"/>
      <c r="E131" s="376"/>
      <c r="F131" s="376"/>
      <c r="G131" s="376"/>
      <c r="H131" s="376"/>
      <c r="I131" s="376"/>
      <c r="J131" s="376"/>
    </row>
    <row r="132" spans="1:10" hidden="1">
      <c r="A132" s="1718">
        <v>130</v>
      </c>
      <c r="B132" s="3739" t="s">
        <v>786</v>
      </c>
      <c r="C132" s="3740">
        <v>10005612</v>
      </c>
      <c r="D132" s="376"/>
      <c r="E132" s="376"/>
      <c r="F132" s="376"/>
      <c r="G132" s="376"/>
      <c r="H132" s="376"/>
      <c r="I132" s="376"/>
      <c r="J132" s="376"/>
    </row>
    <row r="133" spans="1:10" hidden="1">
      <c r="A133" s="1718">
        <v>131</v>
      </c>
      <c r="B133" s="3739" t="s">
        <v>787</v>
      </c>
      <c r="C133" s="3740">
        <v>10005613</v>
      </c>
      <c r="D133" s="376"/>
      <c r="E133" s="376"/>
      <c r="F133" s="376"/>
      <c r="G133" s="376"/>
      <c r="H133" s="376"/>
      <c r="I133" s="376"/>
      <c r="J133" s="376"/>
    </row>
    <row r="134" spans="1:10" hidden="1">
      <c r="A134" s="1718">
        <v>132</v>
      </c>
      <c r="B134" s="3739" t="s">
        <v>788</v>
      </c>
      <c r="C134" s="3740">
        <v>10003516</v>
      </c>
      <c r="D134" s="376"/>
      <c r="E134" s="376"/>
      <c r="F134" s="376"/>
      <c r="G134" s="376"/>
      <c r="H134" s="376"/>
      <c r="I134" s="376"/>
      <c r="J134" s="376"/>
    </row>
    <row r="135" spans="1:10" hidden="1">
      <c r="A135" s="1718">
        <v>133</v>
      </c>
      <c r="B135" s="3739" t="s">
        <v>788</v>
      </c>
      <c r="C135" s="3740">
        <v>10003517</v>
      </c>
      <c r="D135" s="376"/>
      <c r="E135" s="376"/>
      <c r="F135" s="376"/>
      <c r="G135" s="376"/>
      <c r="H135" s="376"/>
      <c r="I135" s="376"/>
      <c r="J135" s="376"/>
    </row>
    <row r="136" spans="1:10" hidden="1">
      <c r="A136" s="1718">
        <v>134</v>
      </c>
      <c r="B136" s="3739" t="s">
        <v>788</v>
      </c>
      <c r="C136" s="3740">
        <v>10003525</v>
      </c>
      <c r="D136" s="376"/>
      <c r="E136" s="376"/>
      <c r="F136" s="376"/>
      <c r="G136" s="376"/>
      <c r="H136" s="376"/>
      <c r="I136" s="376"/>
      <c r="J136" s="376"/>
    </row>
    <row r="137" spans="1:10" hidden="1">
      <c r="A137" s="1718">
        <v>135</v>
      </c>
      <c r="B137" s="3739" t="s">
        <v>789</v>
      </c>
      <c r="C137" s="3740">
        <v>10004463</v>
      </c>
      <c r="D137" s="376"/>
      <c r="E137" s="376"/>
      <c r="F137" s="376"/>
      <c r="G137" s="376"/>
      <c r="H137" s="376"/>
      <c r="I137" s="376"/>
      <c r="J137" s="376"/>
    </row>
    <row r="138" spans="1:10" hidden="1">
      <c r="A138" s="1718">
        <v>136</v>
      </c>
      <c r="B138" s="3739" t="s">
        <v>789</v>
      </c>
      <c r="C138" s="3740">
        <v>10004464</v>
      </c>
      <c r="D138" s="376"/>
      <c r="E138" s="376"/>
      <c r="F138" s="376"/>
      <c r="G138" s="376"/>
      <c r="H138" s="376"/>
      <c r="I138" s="376"/>
      <c r="J138" s="376"/>
    </row>
    <row r="139" spans="1:10" hidden="1">
      <c r="A139" s="1718">
        <v>137</v>
      </c>
      <c r="B139" s="3739" t="s">
        <v>789</v>
      </c>
      <c r="C139" s="3740">
        <v>10004465</v>
      </c>
      <c r="D139" s="376"/>
      <c r="E139" s="376"/>
      <c r="F139" s="376"/>
      <c r="G139" s="376"/>
      <c r="H139" s="376"/>
      <c r="I139" s="376"/>
      <c r="J139" s="376"/>
    </row>
    <row r="140" spans="1:10" hidden="1">
      <c r="A140" s="1718">
        <v>138</v>
      </c>
      <c r="B140" s="3739" t="s">
        <v>789</v>
      </c>
      <c r="C140" s="3740">
        <v>10004466</v>
      </c>
      <c r="D140" s="376"/>
      <c r="E140" s="376"/>
      <c r="F140" s="376"/>
      <c r="G140" s="376"/>
      <c r="H140" s="376"/>
      <c r="I140" s="376"/>
      <c r="J140" s="376"/>
    </row>
    <row r="141" spans="1:10" hidden="1">
      <c r="A141" s="1718">
        <v>139</v>
      </c>
      <c r="B141" s="3739" t="s">
        <v>788</v>
      </c>
      <c r="C141" s="3740">
        <v>10004468</v>
      </c>
      <c r="D141" s="376"/>
      <c r="E141" s="376"/>
      <c r="F141" s="376"/>
      <c r="G141" s="376"/>
      <c r="H141" s="376"/>
      <c r="I141" s="376"/>
      <c r="J141" s="376"/>
    </row>
    <row r="142" spans="1:10" hidden="1">
      <c r="A142" s="1718">
        <v>140</v>
      </c>
      <c r="B142" s="3739" t="s">
        <v>789</v>
      </c>
      <c r="C142" s="3740">
        <v>10004472</v>
      </c>
      <c r="D142" s="376"/>
      <c r="E142" s="376"/>
      <c r="F142" s="376"/>
      <c r="G142" s="376"/>
      <c r="H142" s="376"/>
      <c r="I142" s="376"/>
      <c r="J142" s="376"/>
    </row>
    <row r="143" spans="1:10" hidden="1">
      <c r="A143" s="1718">
        <v>141</v>
      </c>
      <c r="B143" s="3742" t="s">
        <v>789</v>
      </c>
      <c r="C143" s="3743">
        <v>10004467</v>
      </c>
      <c r="D143" s="3754">
        <v>2417</v>
      </c>
      <c r="E143" s="3754" t="s">
        <v>790</v>
      </c>
      <c r="F143" s="3754" t="s">
        <v>791</v>
      </c>
      <c r="G143" s="3754">
        <v>86.9</v>
      </c>
      <c r="H143" s="3755">
        <v>42032</v>
      </c>
      <c r="I143" s="3754">
        <v>84</v>
      </c>
      <c r="J143" s="3754" t="s">
        <v>714</v>
      </c>
    </row>
    <row r="144" spans="1:10" hidden="1">
      <c r="A144" s="1718">
        <v>142</v>
      </c>
      <c r="B144" s="3742" t="s">
        <v>789</v>
      </c>
      <c r="C144" s="3743">
        <v>10004470</v>
      </c>
      <c r="D144" s="3754">
        <v>2417</v>
      </c>
      <c r="E144" s="3754" t="s">
        <v>790</v>
      </c>
      <c r="F144" s="3754" t="s">
        <v>791</v>
      </c>
      <c r="G144" s="3754">
        <v>86.9</v>
      </c>
      <c r="H144" s="3755">
        <v>42032</v>
      </c>
      <c r="I144" s="3754">
        <v>84</v>
      </c>
      <c r="J144" s="3754" t="s">
        <v>714</v>
      </c>
    </row>
    <row r="145" spans="1:10" hidden="1">
      <c r="A145" s="1718">
        <v>143</v>
      </c>
      <c r="B145" s="3739" t="s">
        <v>792</v>
      </c>
      <c r="C145" s="3740">
        <v>10004727</v>
      </c>
      <c r="D145" s="376"/>
      <c r="E145" s="376"/>
      <c r="F145" s="376"/>
      <c r="G145" s="376"/>
      <c r="H145" s="376"/>
      <c r="I145" s="376"/>
      <c r="J145" s="376"/>
    </row>
    <row r="146" spans="1:10" hidden="1">
      <c r="A146" s="1718">
        <v>144</v>
      </c>
      <c r="B146" s="3739" t="s">
        <v>792</v>
      </c>
      <c r="C146" s="3740">
        <v>10004728</v>
      </c>
      <c r="D146" s="376"/>
      <c r="E146" s="376"/>
      <c r="F146" s="376"/>
      <c r="G146" s="376"/>
      <c r="H146" s="376"/>
      <c r="I146" s="376"/>
      <c r="J146" s="376"/>
    </row>
    <row r="147" spans="1:10" hidden="1">
      <c r="A147" s="1718">
        <v>145</v>
      </c>
      <c r="B147" s="3739" t="s">
        <v>792</v>
      </c>
      <c r="C147" s="3740">
        <v>10004729</v>
      </c>
      <c r="D147" s="376"/>
      <c r="E147" s="376"/>
      <c r="F147" s="376"/>
      <c r="G147" s="376"/>
      <c r="H147" s="376"/>
      <c r="I147" s="376"/>
      <c r="J147" s="376"/>
    </row>
    <row r="148" spans="1:10" hidden="1">
      <c r="A148" s="1718">
        <v>146</v>
      </c>
      <c r="B148" s="3739" t="s">
        <v>792</v>
      </c>
      <c r="C148" s="3740">
        <v>10004730</v>
      </c>
      <c r="D148" s="376"/>
      <c r="E148" s="376"/>
      <c r="F148" s="376"/>
      <c r="G148" s="376"/>
      <c r="H148" s="376"/>
      <c r="I148" s="376"/>
      <c r="J148" s="376"/>
    </row>
    <row r="149" spans="1:10" hidden="1">
      <c r="A149" s="1718">
        <v>147</v>
      </c>
      <c r="B149" s="3739" t="s">
        <v>792</v>
      </c>
      <c r="C149" s="3740">
        <v>10004731</v>
      </c>
      <c r="D149" s="376"/>
      <c r="E149" s="376"/>
      <c r="F149" s="376"/>
      <c r="G149" s="376"/>
      <c r="H149" s="376"/>
      <c r="I149" s="376"/>
      <c r="J149" s="376"/>
    </row>
    <row r="150" spans="1:10" hidden="1">
      <c r="A150" s="1718">
        <v>148</v>
      </c>
      <c r="B150" s="3739" t="s">
        <v>792</v>
      </c>
      <c r="C150" s="3740">
        <v>10004732</v>
      </c>
      <c r="D150" s="376"/>
      <c r="E150" s="376"/>
      <c r="F150" s="376"/>
      <c r="G150" s="376"/>
      <c r="H150" s="376"/>
      <c r="I150" s="376"/>
      <c r="J150" s="376"/>
    </row>
    <row r="151" spans="1:10" hidden="1">
      <c r="A151" s="1718">
        <v>149</v>
      </c>
      <c r="B151" s="3739" t="s">
        <v>792</v>
      </c>
      <c r="C151" s="3740">
        <v>10004733</v>
      </c>
      <c r="D151" s="376"/>
      <c r="E151" s="376"/>
      <c r="F151" s="376"/>
      <c r="G151" s="376"/>
      <c r="H151" s="376"/>
      <c r="I151" s="376"/>
      <c r="J151" s="376"/>
    </row>
    <row r="152" spans="1:10" hidden="1">
      <c r="A152" s="1718">
        <v>150</v>
      </c>
      <c r="B152" s="3739" t="s">
        <v>792</v>
      </c>
      <c r="C152" s="3740">
        <v>10004734</v>
      </c>
      <c r="D152" s="376"/>
      <c r="E152" s="376"/>
      <c r="F152" s="376"/>
      <c r="G152" s="376"/>
      <c r="H152" s="376"/>
      <c r="I152" s="376"/>
      <c r="J152" s="376"/>
    </row>
    <row r="153" spans="1:10" hidden="1">
      <c r="A153" s="1718">
        <v>151</v>
      </c>
      <c r="B153" s="3739" t="s">
        <v>792</v>
      </c>
      <c r="C153" s="3740">
        <v>10004744</v>
      </c>
      <c r="D153" s="376"/>
      <c r="E153" s="376"/>
      <c r="F153" s="376"/>
      <c r="G153" s="376"/>
      <c r="H153" s="376"/>
      <c r="I153" s="376"/>
      <c r="J153" s="376"/>
    </row>
    <row r="154" spans="1:10" hidden="1">
      <c r="A154" s="1718">
        <v>152</v>
      </c>
      <c r="B154" s="3739" t="s">
        <v>792</v>
      </c>
      <c r="C154" s="3740">
        <v>10004745</v>
      </c>
      <c r="D154" s="376"/>
      <c r="E154" s="376"/>
      <c r="F154" s="376"/>
      <c r="G154" s="376"/>
      <c r="H154" s="376"/>
      <c r="I154" s="376"/>
      <c r="J154" s="376"/>
    </row>
    <row r="155" spans="1:10" hidden="1">
      <c r="A155" s="1718">
        <v>153</v>
      </c>
      <c r="B155" s="3739" t="s">
        <v>792</v>
      </c>
      <c r="C155" s="3740">
        <v>10004746</v>
      </c>
      <c r="D155" s="376"/>
      <c r="E155" s="376"/>
      <c r="F155" s="376"/>
      <c r="G155" s="376"/>
      <c r="H155" s="376"/>
      <c r="I155" s="376"/>
      <c r="J155" s="376"/>
    </row>
    <row r="156" spans="1:10" hidden="1">
      <c r="A156" s="1718">
        <v>154</v>
      </c>
      <c r="B156" s="3739" t="s">
        <v>792</v>
      </c>
      <c r="C156" s="3740">
        <v>10004747</v>
      </c>
      <c r="D156" s="376"/>
      <c r="E156" s="376"/>
      <c r="F156" s="376"/>
      <c r="G156" s="376"/>
      <c r="H156" s="376"/>
      <c r="I156" s="376"/>
      <c r="J156" s="376"/>
    </row>
    <row r="157" spans="1:10" hidden="1">
      <c r="A157" s="1718">
        <v>155</v>
      </c>
      <c r="B157" s="3739" t="s">
        <v>792</v>
      </c>
      <c r="C157" s="3740">
        <v>10004748</v>
      </c>
      <c r="D157" s="376"/>
      <c r="E157" s="376"/>
      <c r="F157" s="376"/>
      <c r="G157" s="376"/>
      <c r="H157" s="376"/>
      <c r="I157" s="376"/>
      <c r="J157" s="376"/>
    </row>
    <row r="158" spans="1:10" hidden="1">
      <c r="A158" s="1718">
        <v>156</v>
      </c>
      <c r="B158" s="3739" t="s">
        <v>792</v>
      </c>
      <c r="C158" s="3740">
        <v>10004749</v>
      </c>
      <c r="D158" s="376"/>
      <c r="E158" s="376"/>
      <c r="F158" s="376"/>
      <c r="G158" s="376"/>
      <c r="H158" s="376"/>
      <c r="I158" s="376"/>
      <c r="J158" s="376"/>
    </row>
    <row r="159" spans="1:10" hidden="1">
      <c r="A159" s="1718">
        <v>157</v>
      </c>
      <c r="B159" s="3739" t="s">
        <v>792</v>
      </c>
      <c r="C159" s="3740">
        <v>10004750</v>
      </c>
      <c r="D159" s="376"/>
      <c r="E159" s="376"/>
      <c r="F159" s="376"/>
      <c r="G159" s="376"/>
      <c r="H159" s="376"/>
      <c r="I159" s="376"/>
      <c r="J159" s="376"/>
    </row>
    <row r="160" spans="1:10" hidden="1">
      <c r="A160" s="1718">
        <v>158</v>
      </c>
      <c r="B160" s="3739" t="s">
        <v>792</v>
      </c>
      <c r="C160" s="3740">
        <v>10004751</v>
      </c>
      <c r="D160" s="376"/>
      <c r="E160" s="376"/>
      <c r="F160" s="376"/>
      <c r="G160" s="376"/>
      <c r="H160" s="376"/>
      <c r="I160" s="376"/>
      <c r="J160" s="376"/>
    </row>
    <row r="161" spans="1:10" hidden="1">
      <c r="A161" s="1718">
        <v>159</v>
      </c>
      <c r="B161" s="3739" t="s">
        <v>792</v>
      </c>
      <c r="C161" s="3740">
        <v>10004752</v>
      </c>
      <c r="D161" s="376"/>
      <c r="E161" s="376"/>
      <c r="F161" s="376"/>
      <c r="G161" s="376"/>
      <c r="H161" s="376"/>
      <c r="I161" s="376"/>
      <c r="J161" s="376"/>
    </row>
    <row r="162" spans="1:10" hidden="1">
      <c r="A162" s="1718">
        <v>160</v>
      </c>
      <c r="B162" s="3739" t="s">
        <v>792</v>
      </c>
      <c r="C162" s="3740">
        <v>10004753</v>
      </c>
      <c r="D162" s="376"/>
      <c r="E162" s="376"/>
      <c r="F162" s="376"/>
      <c r="G162" s="376"/>
      <c r="H162" s="376"/>
      <c r="I162" s="376"/>
      <c r="J162" s="376"/>
    </row>
    <row r="163" spans="1:10" hidden="1">
      <c r="A163" s="1718">
        <v>161</v>
      </c>
      <c r="B163" s="3739" t="s">
        <v>792</v>
      </c>
      <c r="C163" s="3740">
        <v>10004754</v>
      </c>
      <c r="D163" s="376"/>
      <c r="E163" s="376"/>
      <c r="F163" s="376"/>
      <c r="G163" s="376"/>
      <c r="H163" s="376"/>
      <c r="I163" s="376"/>
      <c r="J163" s="376"/>
    </row>
    <row r="164" spans="1:10" hidden="1">
      <c r="A164" s="1718">
        <v>162</v>
      </c>
      <c r="B164" s="3739" t="s">
        <v>792</v>
      </c>
      <c r="C164" s="3740">
        <v>10004755</v>
      </c>
      <c r="D164" s="376"/>
      <c r="E164" s="376"/>
      <c r="F164" s="376"/>
      <c r="G164" s="376"/>
      <c r="H164" s="376"/>
      <c r="I164" s="376"/>
      <c r="J164" s="376"/>
    </row>
    <row r="165" spans="1:10" hidden="1">
      <c r="A165" s="1718">
        <v>163</v>
      </c>
      <c r="B165" s="3739" t="s">
        <v>792</v>
      </c>
      <c r="C165" s="3740">
        <v>10007283</v>
      </c>
      <c r="D165" s="376"/>
      <c r="E165" s="376"/>
      <c r="F165" s="376"/>
      <c r="G165" s="376"/>
      <c r="H165" s="376"/>
      <c r="I165" s="376"/>
      <c r="J165" s="376"/>
    </row>
    <row r="166" spans="1:10" hidden="1">
      <c r="A166" s="1718">
        <v>164</v>
      </c>
      <c r="B166" s="3739" t="s">
        <v>792</v>
      </c>
      <c r="C166" s="3740">
        <v>10007284</v>
      </c>
      <c r="D166" s="376"/>
      <c r="E166" s="376"/>
      <c r="F166" s="376"/>
      <c r="G166" s="376"/>
      <c r="H166" s="376"/>
      <c r="I166" s="376"/>
      <c r="J166" s="376"/>
    </row>
    <row r="167" spans="1:10" hidden="1">
      <c r="A167" s="1718">
        <v>165</v>
      </c>
      <c r="B167" s="3739" t="s">
        <v>792</v>
      </c>
      <c r="C167" s="3740">
        <v>10007299</v>
      </c>
      <c r="D167" s="376"/>
      <c r="E167" s="376"/>
      <c r="F167" s="376"/>
      <c r="G167" s="376"/>
      <c r="H167" s="376"/>
      <c r="I167" s="376"/>
      <c r="J167" s="376"/>
    </row>
    <row r="168" spans="1:10" hidden="1">
      <c r="A168" s="1718">
        <v>166</v>
      </c>
      <c r="B168" s="3739" t="s">
        <v>792</v>
      </c>
      <c r="C168" s="3740">
        <v>10007292</v>
      </c>
      <c r="D168" s="376"/>
      <c r="E168" s="376"/>
      <c r="F168" s="376"/>
      <c r="G168" s="376"/>
      <c r="H168" s="376"/>
      <c r="I168" s="376"/>
      <c r="J168" s="376"/>
    </row>
    <row r="169" spans="1:10" hidden="1">
      <c r="A169" s="1718">
        <v>167</v>
      </c>
      <c r="B169" s="3739" t="s">
        <v>792</v>
      </c>
      <c r="C169" s="3740">
        <v>10007289</v>
      </c>
      <c r="D169" s="376"/>
      <c r="E169" s="376"/>
      <c r="F169" s="376"/>
      <c r="G169" s="376"/>
      <c r="H169" s="376"/>
      <c r="I169" s="376"/>
      <c r="J169" s="376"/>
    </row>
    <row r="170" spans="1:10" hidden="1">
      <c r="A170" s="1718">
        <v>168</v>
      </c>
      <c r="B170" s="3739" t="s">
        <v>792</v>
      </c>
      <c r="C170" s="3740">
        <v>10007304</v>
      </c>
      <c r="D170" s="376"/>
      <c r="E170" s="376"/>
      <c r="F170" s="376"/>
      <c r="G170" s="376"/>
      <c r="H170" s="376"/>
      <c r="I170" s="376"/>
      <c r="J170" s="376"/>
    </row>
    <row r="171" spans="1:10" hidden="1">
      <c r="A171" s="1718">
        <v>169</v>
      </c>
      <c r="B171" s="3739" t="s">
        <v>792</v>
      </c>
      <c r="C171" s="3740">
        <v>10007307</v>
      </c>
      <c r="D171" s="376"/>
      <c r="E171" s="376"/>
      <c r="F171" s="376"/>
      <c r="G171" s="376"/>
      <c r="H171" s="376"/>
      <c r="I171" s="376"/>
      <c r="J171" s="376"/>
    </row>
    <row r="172" spans="1:10" hidden="1">
      <c r="A172" s="1718">
        <v>170</v>
      </c>
      <c r="B172" s="3739" t="s">
        <v>792</v>
      </c>
      <c r="C172" s="3740">
        <v>10007308</v>
      </c>
      <c r="D172" s="376"/>
      <c r="E172" s="376"/>
      <c r="F172" s="376"/>
      <c r="G172" s="376"/>
      <c r="H172" s="376"/>
      <c r="I172" s="376"/>
      <c r="J172" s="376"/>
    </row>
    <row r="173" spans="1:10" hidden="1">
      <c r="A173" s="1718">
        <v>171</v>
      </c>
      <c r="B173" s="3739" t="s">
        <v>792</v>
      </c>
      <c r="C173" s="3740">
        <v>10007309</v>
      </c>
      <c r="D173" s="376"/>
      <c r="E173" s="376"/>
      <c r="F173" s="376"/>
      <c r="G173" s="376"/>
      <c r="H173" s="376"/>
      <c r="I173" s="376"/>
      <c r="J173" s="376"/>
    </row>
    <row r="174" spans="1:10" hidden="1">
      <c r="A174" s="1718">
        <v>172</v>
      </c>
      <c r="B174" s="3739" t="s">
        <v>792</v>
      </c>
      <c r="C174" s="3740">
        <v>10007291</v>
      </c>
      <c r="D174" s="376"/>
      <c r="E174" s="376"/>
      <c r="F174" s="376"/>
      <c r="G174" s="376"/>
      <c r="H174" s="376"/>
      <c r="I174" s="376"/>
      <c r="J174" s="376"/>
    </row>
    <row r="175" spans="1:10" hidden="1">
      <c r="A175" s="1718">
        <v>173</v>
      </c>
      <c r="B175" s="3739" t="s">
        <v>792</v>
      </c>
      <c r="C175" s="3740">
        <v>10007313</v>
      </c>
      <c r="D175" s="376"/>
      <c r="E175" s="376"/>
      <c r="F175" s="376"/>
      <c r="G175" s="376"/>
      <c r="H175" s="376"/>
      <c r="I175" s="376"/>
      <c r="J175" s="376"/>
    </row>
    <row r="176" spans="1:10" hidden="1">
      <c r="A176" s="1718">
        <v>174</v>
      </c>
      <c r="B176" s="3739" t="s">
        <v>792</v>
      </c>
      <c r="C176" s="3740">
        <v>10007314</v>
      </c>
      <c r="D176" s="376"/>
      <c r="E176" s="376"/>
      <c r="F176" s="376"/>
      <c r="G176" s="376"/>
      <c r="H176" s="376"/>
      <c r="I176" s="376"/>
      <c r="J176" s="376"/>
    </row>
    <row r="177" spans="1:10" hidden="1">
      <c r="A177" s="1718">
        <v>175</v>
      </c>
      <c r="B177" s="3739" t="s">
        <v>793</v>
      </c>
      <c r="C177" s="3740">
        <v>10004145</v>
      </c>
      <c r="D177" s="376"/>
      <c r="E177" s="376"/>
      <c r="F177" s="376"/>
      <c r="G177" s="376"/>
      <c r="H177" s="376"/>
      <c r="I177" s="376"/>
      <c r="J177" s="376"/>
    </row>
    <row r="178" spans="1:10" hidden="1">
      <c r="A178" s="1718">
        <v>176</v>
      </c>
      <c r="B178" s="3739" t="s">
        <v>793</v>
      </c>
      <c r="C178" s="3740">
        <v>10007287</v>
      </c>
      <c r="D178" s="376"/>
      <c r="E178" s="376"/>
      <c r="F178" s="376"/>
      <c r="G178" s="376"/>
      <c r="H178" s="376"/>
      <c r="I178" s="376"/>
      <c r="J178" s="376"/>
    </row>
    <row r="179" spans="1:10" hidden="1">
      <c r="A179" s="1718">
        <v>177</v>
      </c>
      <c r="B179" s="3739" t="s">
        <v>792</v>
      </c>
      <c r="C179" s="3740">
        <v>10007288</v>
      </c>
      <c r="D179" s="376"/>
      <c r="E179" s="376"/>
      <c r="F179" s="376"/>
      <c r="G179" s="376"/>
      <c r="H179" s="376"/>
      <c r="I179" s="376"/>
      <c r="J179" s="376"/>
    </row>
    <row r="180" spans="1:10" hidden="1">
      <c r="A180" s="1718">
        <v>178</v>
      </c>
      <c r="B180" s="3739" t="s">
        <v>793</v>
      </c>
      <c r="C180" s="3740">
        <v>10007294</v>
      </c>
      <c r="D180" s="376"/>
      <c r="E180" s="376"/>
      <c r="F180" s="376"/>
      <c r="G180" s="376"/>
      <c r="H180" s="376"/>
      <c r="I180" s="376"/>
      <c r="J180" s="376"/>
    </row>
    <row r="181" spans="1:10" hidden="1">
      <c r="A181" s="1718">
        <v>179</v>
      </c>
      <c r="B181" s="3739" t="s">
        <v>794</v>
      </c>
      <c r="C181" s="3740">
        <v>10003337</v>
      </c>
      <c r="D181" s="376"/>
      <c r="E181" s="376"/>
      <c r="F181" s="376"/>
      <c r="G181" s="376"/>
      <c r="H181" s="376"/>
      <c r="I181" s="376"/>
      <c r="J181" s="376"/>
    </row>
    <row r="182" spans="1:10" hidden="1">
      <c r="A182" s="1718">
        <v>180</v>
      </c>
      <c r="B182" s="3739" t="s">
        <v>795</v>
      </c>
      <c r="C182" s="3740">
        <v>10003323</v>
      </c>
      <c r="D182" s="376"/>
      <c r="E182" s="376"/>
      <c r="F182" s="376"/>
      <c r="G182" s="376"/>
      <c r="H182" s="376"/>
      <c r="I182" s="376"/>
      <c r="J182" s="376"/>
    </row>
    <row r="183" spans="1:10" hidden="1">
      <c r="A183" s="1718">
        <v>181</v>
      </c>
      <c r="B183" s="3739" t="s">
        <v>796</v>
      </c>
      <c r="C183" s="3740">
        <v>10003326</v>
      </c>
      <c r="D183" s="376"/>
      <c r="E183" s="376"/>
      <c r="F183" s="376"/>
      <c r="G183" s="376"/>
      <c r="H183" s="376"/>
      <c r="I183" s="376"/>
      <c r="J183" s="376"/>
    </row>
    <row r="184" spans="1:10" hidden="1">
      <c r="A184" s="1718">
        <v>182</v>
      </c>
      <c r="B184" s="3739" t="s">
        <v>797</v>
      </c>
      <c r="C184" s="3740">
        <v>10003333</v>
      </c>
      <c r="D184" s="376"/>
      <c r="E184" s="376"/>
      <c r="F184" s="376"/>
      <c r="G184" s="376"/>
      <c r="H184" s="376"/>
      <c r="I184" s="376"/>
      <c r="J184" s="376"/>
    </row>
    <row r="185" spans="1:10" ht="25.5" hidden="1">
      <c r="A185" s="1718">
        <v>183</v>
      </c>
      <c r="B185" s="3739" t="s">
        <v>798</v>
      </c>
      <c r="C185" s="3740">
        <v>10003465</v>
      </c>
      <c r="D185" s="376"/>
      <c r="E185" s="376"/>
      <c r="F185" s="376"/>
      <c r="G185" s="376"/>
      <c r="H185" s="376"/>
      <c r="I185" s="376"/>
      <c r="J185" s="376"/>
    </row>
    <row r="186" spans="1:10" ht="25.5" hidden="1">
      <c r="A186" s="1718">
        <v>184</v>
      </c>
      <c r="B186" s="3739" t="s">
        <v>798</v>
      </c>
      <c r="C186" s="3740">
        <v>10003468</v>
      </c>
      <c r="D186" s="376"/>
      <c r="E186" s="376"/>
      <c r="F186" s="376"/>
      <c r="G186" s="376"/>
      <c r="H186" s="376"/>
      <c r="I186" s="376"/>
      <c r="J186" s="376"/>
    </row>
    <row r="187" spans="1:10" ht="25.5" hidden="1">
      <c r="A187" s="1718">
        <v>185</v>
      </c>
      <c r="B187" s="3739" t="s">
        <v>798</v>
      </c>
      <c r="C187" s="3740">
        <v>10003472</v>
      </c>
      <c r="D187" s="376"/>
      <c r="E187" s="376"/>
      <c r="F187" s="376"/>
      <c r="G187" s="376"/>
      <c r="H187" s="376"/>
      <c r="I187" s="376"/>
      <c r="J187" s="376"/>
    </row>
    <row r="188" spans="1:10" ht="25.5" hidden="1">
      <c r="A188" s="1718">
        <v>186</v>
      </c>
      <c r="B188" s="3739" t="s">
        <v>798</v>
      </c>
      <c r="C188" s="3740">
        <v>10003474</v>
      </c>
      <c r="D188" s="376"/>
      <c r="E188" s="376"/>
      <c r="F188" s="376"/>
      <c r="G188" s="376"/>
      <c r="H188" s="376"/>
      <c r="I188" s="376"/>
      <c r="J188" s="376"/>
    </row>
    <row r="189" spans="1:10" ht="25.5" hidden="1">
      <c r="A189" s="1718">
        <v>187</v>
      </c>
      <c r="B189" s="3739" t="s">
        <v>798</v>
      </c>
      <c r="C189" s="3740">
        <v>10003476</v>
      </c>
      <c r="D189" s="376"/>
      <c r="E189" s="376"/>
      <c r="F189" s="376"/>
      <c r="G189" s="376"/>
      <c r="H189" s="376"/>
      <c r="I189" s="376"/>
      <c r="J189" s="376"/>
    </row>
    <row r="190" spans="1:10" hidden="1">
      <c r="A190" s="1718">
        <v>188</v>
      </c>
      <c r="B190" s="3739" t="s">
        <v>792</v>
      </c>
      <c r="C190" s="3740">
        <v>10004756</v>
      </c>
      <c r="D190" s="376"/>
      <c r="E190" s="376"/>
      <c r="F190" s="376"/>
      <c r="G190" s="376"/>
      <c r="H190" s="376"/>
      <c r="I190" s="376"/>
      <c r="J190" s="376"/>
    </row>
    <row r="191" spans="1:10" hidden="1">
      <c r="A191" s="1718">
        <v>189</v>
      </c>
      <c r="B191" s="3739" t="s">
        <v>799</v>
      </c>
      <c r="C191" s="3740">
        <v>10003342</v>
      </c>
      <c r="D191" s="376"/>
      <c r="E191" s="376"/>
      <c r="F191" s="376"/>
      <c r="G191" s="376"/>
      <c r="H191" s="376"/>
      <c r="I191" s="376"/>
      <c r="J191" s="376"/>
    </row>
    <row r="192" spans="1:10" hidden="1">
      <c r="A192" s="1718">
        <v>190</v>
      </c>
      <c r="B192" s="3739" t="s">
        <v>800</v>
      </c>
      <c r="C192" s="3740">
        <v>10003461</v>
      </c>
      <c r="D192" s="376"/>
      <c r="E192" s="376"/>
      <c r="F192" s="376"/>
      <c r="G192" s="376"/>
      <c r="H192" s="376"/>
      <c r="I192" s="376"/>
      <c r="J192" s="376"/>
    </row>
    <row r="193" spans="1:10">
      <c r="A193" s="1718">
        <v>191</v>
      </c>
      <c r="B193" s="3735" t="s">
        <v>800</v>
      </c>
      <c r="C193" s="3736">
        <v>10003297</v>
      </c>
      <c r="D193" s="3756"/>
      <c r="E193" s="3756"/>
      <c r="F193" s="3756"/>
      <c r="G193" s="3756"/>
      <c r="H193" s="3756"/>
      <c r="I193" s="3756"/>
      <c r="J193" s="3756"/>
    </row>
    <row r="194" spans="1:10" hidden="1">
      <c r="A194" s="1718">
        <v>192</v>
      </c>
      <c r="B194" s="3739" t="s">
        <v>800</v>
      </c>
      <c r="C194" s="3740">
        <v>10005614</v>
      </c>
      <c r="D194" s="376"/>
      <c r="E194" s="376"/>
      <c r="F194" s="376"/>
      <c r="G194" s="376"/>
      <c r="H194" s="376"/>
      <c r="I194" s="376"/>
      <c r="J194" s="376"/>
    </row>
    <row r="195" spans="1:10" hidden="1">
      <c r="A195" s="1718">
        <v>193</v>
      </c>
      <c r="B195" s="3739" t="s">
        <v>801</v>
      </c>
      <c r="C195" s="3740">
        <v>10003307</v>
      </c>
      <c r="D195" s="376"/>
      <c r="E195" s="376"/>
      <c r="F195" s="376"/>
      <c r="G195" s="376"/>
      <c r="H195" s="376"/>
      <c r="I195" s="376"/>
      <c r="J195" s="376"/>
    </row>
    <row r="196" spans="1:10" hidden="1">
      <c r="A196" s="1718">
        <v>194</v>
      </c>
      <c r="B196" s="3739" t="s">
        <v>801</v>
      </c>
      <c r="C196" s="3740">
        <v>10003308</v>
      </c>
      <c r="D196" s="376"/>
      <c r="E196" s="376"/>
      <c r="F196" s="376"/>
      <c r="G196" s="376"/>
      <c r="H196" s="376"/>
      <c r="I196" s="376"/>
      <c r="J196" s="376"/>
    </row>
    <row r="197" spans="1:10" hidden="1">
      <c r="A197" s="1718">
        <v>195</v>
      </c>
      <c r="B197" s="3739" t="s">
        <v>802</v>
      </c>
      <c r="C197" s="3740">
        <v>10003529</v>
      </c>
      <c r="D197" s="376"/>
      <c r="E197" s="376"/>
      <c r="F197" s="376"/>
      <c r="G197" s="376"/>
      <c r="H197" s="376"/>
      <c r="I197" s="376"/>
      <c r="J197" s="376"/>
    </row>
    <row r="198" spans="1:10" hidden="1">
      <c r="A198" s="1718">
        <v>196</v>
      </c>
      <c r="B198" s="3739" t="s">
        <v>803</v>
      </c>
      <c r="C198" s="3740">
        <v>10003292</v>
      </c>
      <c r="D198" s="376"/>
      <c r="E198" s="376"/>
      <c r="F198" s="376"/>
      <c r="G198" s="376"/>
      <c r="H198" s="376"/>
      <c r="I198" s="376"/>
      <c r="J198" s="376"/>
    </row>
    <row r="199" spans="1:10" hidden="1">
      <c r="A199" s="1718">
        <v>197</v>
      </c>
      <c r="B199" s="3739" t="s">
        <v>804</v>
      </c>
      <c r="C199" s="3740">
        <v>10003294</v>
      </c>
      <c r="D199" s="376"/>
      <c r="E199" s="376"/>
      <c r="F199" s="376"/>
      <c r="G199" s="376"/>
      <c r="H199" s="376"/>
      <c r="I199" s="376"/>
      <c r="J199" s="376"/>
    </row>
    <row r="200" spans="1:10" hidden="1">
      <c r="A200" s="1718">
        <v>198</v>
      </c>
      <c r="B200" s="3739" t="s">
        <v>804</v>
      </c>
      <c r="C200" s="3740">
        <v>10003295</v>
      </c>
      <c r="D200" s="376"/>
      <c r="E200" s="376"/>
      <c r="F200" s="376"/>
      <c r="G200" s="376"/>
      <c r="H200" s="376"/>
      <c r="I200" s="376"/>
      <c r="J200" s="376"/>
    </row>
    <row r="201" spans="1:10" hidden="1">
      <c r="A201" s="1718">
        <v>199</v>
      </c>
      <c r="B201" s="3739" t="s">
        <v>803</v>
      </c>
      <c r="C201" s="3740">
        <v>10003296</v>
      </c>
      <c r="D201" s="376"/>
      <c r="E201" s="376"/>
      <c r="F201" s="376"/>
      <c r="G201" s="376"/>
      <c r="H201" s="376"/>
      <c r="I201" s="376"/>
      <c r="J201" s="376"/>
    </row>
    <row r="202" spans="1:10" hidden="1">
      <c r="A202" s="1718">
        <v>200</v>
      </c>
      <c r="B202" s="3739" t="s">
        <v>805</v>
      </c>
      <c r="C202" s="3740">
        <v>10003284</v>
      </c>
      <c r="D202" s="376"/>
      <c r="E202" s="376"/>
      <c r="F202" s="376"/>
      <c r="G202" s="376"/>
      <c r="H202" s="376"/>
      <c r="I202" s="376"/>
      <c r="J202" s="376"/>
    </row>
    <row r="203" spans="1:10" hidden="1">
      <c r="A203" s="1718">
        <v>201</v>
      </c>
      <c r="B203" s="3739" t="s">
        <v>805</v>
      </c>
      <c r="C203" s="3740">
        <v>10003285</v>
      </c>
      <c r="D203" s="376"/>
      <c r="E203" s="376"/>
      <c r="F203" s="376"/>
      <c r="G203" s="376"/>
      <c r="H203" s="376"/>
      <c r="I203" s="376"/>
      <c r="J203" s="376"/>
    </row>
    <row r="204" spans="1:10" hidden="1">
      <c r="A204" s="1718">
        <v>202</v>
      </c>
      <c r="B204" s="3739" t="s">
        <v>805</v>
      </c>
      <c r="C204" s="3740">
        <v>10003286</v>
      </c>
      <c r="D204" s="376"/>
      <c r="E204" s="376"/>
      <c r="F204" s="376"/>
      <c r="G204" s="376"/>
      <c r="H204" s="376"/>
      <c r="I204" s="376"/>
      <c r="J204" s="376"/>
    </row>
    <row r="205" spans="1:10" hidden="1">
      <c r="A205" s="1718">
        <v>203</v>
      </c>
      <c r="B205" s="3739" t="s">
        <v>805</v>
      </c>
      <c r="C205" s="3740">
        <v>10003287</v>
      </c>
      <c r="D205" s="376"/>
      <c r="E205" s="376"/>
      <c r="F205" s="376"/>
      <c r="G205" s="376"/>
      <c r="H205" s="376"/>
      <c r="I205" s="376"/>
      <c r="J205" s="376"/>
    </row>
    <row r="206" spans="1:10" hidden="1">
      <c r="A206" s="1718">
        <v>204</v>
      </c>
      <c r="B206" s="3739" t="s">
        <v>805</v>
      </c>
      <c r="C206" s="3740">
        <v>10003288</v>
      </c>
      <c r="D206" s="376"/>
      <c r="E206" s="376"/>
      <c r="F206" s="376"/>
      <c r="G206" s="376"/>
      <c r="H206" s="376"/>
      <c r="I206" s="376"/>
      <c r="J206" s="376"/>
    </row>
    <row r="207" spans="1:10" hidden="1">
      <c r="A207" s="1718">
        <v>205</v>
      </c>
      <c r="B207" s="3739" t="s">
        <v>805</v>
      </c>
      <c r="C207" s="3740">
        <v>10003289</v>
      </c>
      <c r="D207" s="376"/>
      <c r="E207" s="376"/>
      <c r="F207" s="376"/>
      <c r="G207" s="376"/>
      <c r="H207" s="376"/>
      <c r="I207" s="376"/>
      <c r="J207" s="376"/>
    </row>
    <row r="208" spans="1:10" hidden="1">
      <c r="A208" s="1718">
        <v>206</v>
      </c>
      <c r="B208" s="3739" t="s">
        <v>805</v>
      </c>
      <c r="C208" s="3740">
        <v>10005287</v>
      </c>
      <c r="D208" s="376"/>
      <c r="E208" s="376"/>
      <c r="F208" s="376"/>
      <c r="G208" s="376"/>
      <c r="H208" s="376"/>
      <c r="I208" s="376"/>
      <c r="J208" s="376"/>
    </row>
    <row r="209" spans="1:10" hidden="1">
      <c r="A209" s="1718">
        <v>207</v>
      </c>
      <c r="B209" s="3739" t="s">
        <v>806</v>
      </c>
      <c r="C209" s="3740">
        <v>10003279</v>
      </c>
      <c r="D209" s="376"/>
      <c r="E209" s="376"/>
      <c r="F209" s="376"/>
      <c r="G209" s="376"/>
      <c r="H209" s="376"/>
      <c r="I209" s="376"/>
      <c r="J209" s="376"/>
    </row>
    <row r="210" spans="1:10" hidden="1">
      <c r="A210" s="1718">
        <v>208</v>
      </c>
      <c r="B210" s="3739" t="s">
        <v>806</v>
      </c>
      <c r="C210" s="3740">
        <v>10003280</v>
      </c>
      <c r="D210" s="376"/>
      <c r="E210" s="376"/>
      <c r="F210" s="376"/>
      <c r="G210" s="376"/>
      <c r="H210" s="376"/>
      <c r="I210" s="376"/>
      <c r="J210" s="376"/>
    </row>
    <row r="211" spans="1:10" hidden="1">
      <c r="A211" s="1718">
        <v>209</v>
      </c>
      <c r="B211" s="3739" t="s">
        <v>806</v>
      </c>
      <c r="C211" s="3740">
        <v>10003283</v>
      </c>
      <c r="D211" s="376"/>
      <c r="E211" s="376"/>
      <c r="F211" s="376"/>
      <c r="G211" s="376"/>
      <c r="H211" s="376"/>
      <c r="I211" s="376"/>
      <c r="J211" s="376"/>
    </row>
    <row r="212" spans="1:10" hidden="1">
      <c r="A212" s="1718">
        <v>210</v>
      </c>
      <c r="B212" s="3739" t="s">
        <v>807</v>
      </c>
      <c r="C212" s="3740">
        <v>10003302</v>
      </c>
      <c r="D212" s="376"/>
      <c r="E212" s="376"/>
      <c r="F212" s="376"/>
      <c r="G212" s="376"/>
      <c r="H212" s="376"/>
      <c r="I212" s="376"/>
      <c r="J212" s="376"/>
    </row>
    <row r="213" spans="1:10" hidden="1">
      <c r="A213" s="1718">
        <v>211</v>
      </c>
      <c r="B213" s="3739" t="s">
        <v>808</v>
      </c>
      <c r="C213" s="3740">
        <v>10003315</v>
      </c>
      <c r="D213" s="376"/>
      <c r="E213" s="376"/>
      <c r="F213" s="376"/>
      <c r="G213" s="376"/>
      <c r="H213" s="376"/>
      <c r="I213" s="376"/>
      <c r="J213" s="376"/>
    </row>
    <row r="214" spans="1:10" hidden="1">
      <c r="A214" s="1718">
        <v>212</v>
      </c>
      <c r="B214" s="3739" t="s">
        <v>809</v>
      </c>
      <c r="C214" s="3740">
        <v>10003273</v>
      </c>
      <c r="D214" s="376"/>
      <c r="E214" s="376"/>
      <c r="F214" s="376"/>
      <c r="G214" s="376"/>
      <c r="H214" s="376"/>
      <c r="I214" s="376"/>
      <c r="J214" s="376"/>
    </row>
    <row r="215" spans="1:10" ht="26.25" hidden="1">
      <c r="A215" s="1718">
        <v>213</v>
      </c>
      <c r="B215" s="3746" t="s">
        <v>810</v>
      </c>
      <c r="C215" s="3740">
        <v>10003298</v>
      </c>
      <c r="D215" s="376"/>
      <c r="E215" s="376"/>
      <c r="F215" s="376"/>
      <c r="G215" s="376"/>
      <c r="H215" s="376"/>
      <c r="I215" s="376"/>
      <c r="J215" s="376"/>
    </row>
    <row r="216" spans="1:10" ht="26.25" hidden="1">
      <c r="A216" s="1718">
        <v>214</v>
      </c>
      <c r="B216" s="3746" t="s">
        <v>811</v>
      </c>
      <c r="C216" s="3740">
        <v>10003299</v>
      </c>
      <c r="D216" s="376"/>
      <c r="E216" s="376"/>
      <c r="F216" s="376"/>
      <c r="G216" s="376"/>
      <c r="H216" s="376"/>
      <c r="I216" s="376"/>
      <c r="J216" s="376"/>
    </row>
    <row r="217" spans="1:10" ht="26.25" hidden="1">
      <c r="A217" s="1718">
        <v>215</v>
      </c>
      <c r="B217" s="3746" t="s">
        <v>810</v>
      </c>
      <c r="C217" s="3740">
        <v>10003300</v>
      </c>
      <c r="D217" s="376"/>
      <c r="E217" s="376"/>
      <c r="F217" s="376"/>
      <c r="G217" s="376"/>
      <c r="H217" s="376"/>
      <c r="I217" s="376"/>
      <c r="J217" s="376"/>
    </row>
    <row r="218" spans="1:10" ht="26.25" hidden="1">
      <c r="A218" s="1718">
        <v>216</v>
      </c>
      <c r="B218" s="3746" t="s">
        <v>812</v>
      </c>
      <c r="C218" s="3740">
        <v>10003310</v>
      </c>
      <c r="D218" s="376"/>
      <c r="E218" s="376"/>
      <c r="F218" s="376"/>
      <c r="G218" s="376"/>
      <c r="H218" s="376"/>
      <c r="I218" s="376"/>
      <c r="J218" s="376"/>
    </row>
    <row r="219" spans="1:10" hidden="1">
      <c r="A219" s="1718">
        <v>217</v>
      </c>
      <c r="B219" s="3739" t="s">
        <v>813</v>
      </c>
      <c r="C219" s="3740">
        <v>10005621</v>
      </c>
      <c r="D219" s="376"/>
      <c r="E219" s="376"/>
      <c r="F219" s="376"/>
      <c r="G219" s="376"/>
      <c r="H219" s="376"/>
      <c r="I219" s="376"/>
      <c r="J219" s="376"/>
    </row>
    <row r="220" spans="1:10" hidden="1">
      <c r="A220" s="1718">
        <v>218</v>
      </c>
      <c r="B220" s="3739" t="s">
        <v>814</v>
      </c>
      <c r="C220" s="3740">
        <v>10005625</v>
      </c>
      <c r="D220" s="376"/>
      <c r="E220" s="376"/>
      <c r="F220" s="376"/>
      <c r="G220" s="376"/>
      <c r="H220" s="376"/>
      <c r="I220" s="376"/>
      <c r="J220" s="376"/>
    </row>
    <row r="221" spans="1:10" hidden="1">
      <c r="A221" s="1718">
        <v>219</v>
      </c>
      <c r="B221" s="3739" t="s">
        <v>815</v>
      </c>
      <c r="C221" s="3740">
        <v>10005685</v>
      </c>
      <c r="D221" s="376"/>
      <c r="E221" s="376"/>
      <c r="F221" s="376"/>
      <c r="G221" s="376"/>
      <c r="H221" s="376"/>
      <c r="I221" s="376"/>
      <c r="J221" s="376"/>
    </row>
    <row r="222" spans="1:10" hidden="1">
      <c r="A222" s="1718">
        <v>220</v>
      </c>
      <c r="B222" s="3739" t="s">
        <v>816</v>
      </c>
      <c r="C222" s="3740">
        <v>10003311</v>
      </c>
      <c r="D222" s="376"/>
      <c r="E222" s="376"/>
      <c r="F222" s="376"/>
      <c r="G222" s="376"/>
      <c r="H222" s="376"/>
      <c r="I222" s="376"/>
      <c r="J222" s="376"/>
    </row>
    <row r="223" spans="1:10" hidden="1">
      <c r="A223" s="1718">
        <v>221</v>
      </c>
      <c r="B223" s="3739" t="s">
        <v>816</v>
      </c>
      <c r="C223" s="3740">
        <v>10003312</v>
      </c>
      <c r="D223" s="376"/>
      <c r="E223" s="376"/>
      <c r="F223" s="376"/>
      <c r="G223" s="376"/>
      <c r="H223" s="376"/>
      <c r="I223" s="376"/>
      <c r="J223" s="376"/>
    </row>
    <row r="224" spans="1:10" hidden="1">
      <c r="A224" s="1718">
        <v>222</v>
      </c>
      <c r="B224" s="3739" t="s">
        <v>816</v>
      </c>
      <c r="C224" s="3740">
        <v>10003313</v>
      </c>
      <c r="D224" s="376"/>
      <c r="E224" s="376"/>
      <c r="F224" s="376"/>
      <c r="G224" s="376"/>
      <c r="H224" s="376"/>
      <c r="I224" s="376"/>
      <c r="J224" s="376"/>
    </row>
    <row r="225" spans="1:10" hidden="1">
      <c r="A225" s="1718">
        <v>223</v>
      </c>
      <c r="B225" s="3739" t="s">
        <v>816</v>
      </c>
      <c r="C225" s="3740">
        <v>10003314</v>
      </c>
      <c r="D225" s="376"/>
      <c r="E225" s="376"/>
      <c r="F225" s="376"/>
      <c r="G225" s="376"/>
      <c r="H225" s="376"/>
      <c r="I225" s="376"/>
      <c r="J225" s="376"/>
    </row>
    <row r="226" spans="1:10" hidden="1">
      <c r="A226" s="1718">
        <v>224</v>
      </c>
      <c r="B226" s="3739" t="s">
        <v>817</v>
      </c>
      <c r="C226" s="3740">
        <v>10003319</v>
      </c>
      <c r="D226" s="376"/>
      <c r="E226" s="376"/>
      <c r="F226" s="376"/>
      <c r="G226" s="376"/>
      <c r="H226" s="376"/>
      <c r="I226" s="376"/>
      <c r="J226" s="376"/>
    </row>
    <row r="227" spans="1:10" hidden="1">
      <c r="A227" s="1718">
        <v>225</v>
      </c>
      <c r="B227" s="3739" t="s">
        <v>817</v>
      </c>
      <c r="C227" s="3740">
        <v>10003320</v>
      </c>
      <c r="D227" s="376"/>
      <c r="E227" s="376"/>
      <c r="F227" s="376"/>
      <c r="G227" s="376"/>
      <c r="H227" s="376"/>
      <c r="I227" s="376"/>
      <c r="J227" s="376"/>
    </row>
    <row r="228" spans="1:10" hidden="1">
      <c r="A228" s="1718">
        <v>226</v>
      </c>
      <c r="B228" s="3739" t="s">
        <v>817</v>
      </c>
      <c r="C228" s="3740">
        <v>10003321</v>
      </c>
      <c r="D228" s="376"/>
      <c r="E228" s="376"/>
      <c r="F228" s="376"/>
      <c r="G228" s="376"/>
      <c r="H228" s="376"/>
      <c r="I228" s="376"/>
      <c r="J228" s="376"/>
    </row>
    <row r="229" spans="1:10" hidden="1">
      <c r="A229" s="1718">
        <v>227</v>
      </c>
      <c r="B229" s="3739" t="s">
        <v>818</v>
      </c>
      <c r="C229" s="3740">
        <v>10003633</v>
      </c>
      <c r="D229" s="376"/>
      <c r="E229" s="376"/>
      <c r="F229" s="376"/>
      <c r="G229" s="376"/>
      <c r="H229" s="376"/>
      <c r="I229" s="376"/>
      <c r="J229" s="376"/>
    </row>
    <row r="230" spans="1:10" hidden="1">
      <c r="A230" s="1718">
        <v>228</v>
      </c>
      <c r="B230" s="3742" t="s">
        <v>818</v>
      </c>
      <c r="C230" s="3743">
        <v>10004006</v>
      </c>
      <c r="D230" s="3754">
        <v>2417</v>
      </c>
      <c r="E230" s="3754" t="s">
        <v>819</v>
      </c>
      <c r="F230" s="3754">
        <v>732.74</v>
      </c>
      <c r="G230" s="3754">
        <v>86.91</v>
      </c>
      <c r="H230" s="3755">
        <v>42032</v>
      </c>
      <c r="I230" s="3754">
        <v>84</v>
      </c>
      <c r="J230" s="3754" t="s">
        <v>714</v>
      </c>
    </row>
    <row r="231" spans="1:10" hidden="1">
      <c r="A231" s="1718">
        <v>229</v>
      </c>
      <c r="B231" s="3742" t="s">
        <v>818</v>
      </c>
      <c r="C231" s="3743">
        <v>10003780</v>
      </c>
      <c r="D231" s="3754">
        <v>2417</v>
      </c>
      <c r="E231" s="3754" t="s">
        <v>819</v>
      </c>
      <c r="F231" s="3754">
        <v>732.74</v>
      </c>
      <c r="G231" s="3754">
        <v>86.91</v>
      </c>
      <c r="H231" s="3755">
        <v>42032</v>
      </c>
      <c r="I231" s="3754">
        <v>84</v>
      </c>
      <c r="J231" s="3754" t="s">
        <v>714</v>
      </c>
    </row>
    <row r="232" spans="1:10" hidden="1">
      <c r="A232" s="1718">
        <v>230</v>
      </c>
      <c r="B232" s="3739" t="s">
        <v>820</v>
      </c>
      <c r="C232" s="3740">
        <v>10005599</v>
      </c>
      <c r="D232" s="376"/>
      <c r="E232" s="376"/>
      <c r="F232" s="376"/>
      <c r="G232" s="376"/>
      <c r="H232" s="376"/>
      <c r="I232" s="376"/>
      <c r="J232" s="376"/>
    </row>
    <row r="233" spans="1:10" hidden="1">
      <c r="A233" s="1718">
        <v>231</v>
      </c>
      <c r="B233" s="3739" t="s">
        <v>820</v>
      </c>
      <c r="C233" s="3740">
        <v>10005600</v>
      </c>
      <c r="D233" s="376"/>
      <c r="E233" s="376"/>
      <c r="F233" s="376"/>
      <c r="G233" s="376"/>
      <c r="H233" s="376"/>
      <c r="I233" s="376"/>
      <c r="J233" s="376"/>
    </row>
    <row r="234" spans="1:10" hidden="1">
      <c r="A234" s="1718">
        <v>232</v>
      </c>
      <c r="B234" s="3739" t="s">
        <v>820</v>
      </c>
      <c r="C234" s="3740">
        <v>10005601</v>
      </c>
      <c r="D234" s="376"/>
      <c r="E234" s="376"/>
      <c r="F234" s="376"/>
      <c r="G234" s="376"/>
      <c r="H234" s="376"/>
      <c r="I234" s="376"/>
      <c r="J234" s="376"/>
    </row>
    <row r="235" spans="1:10" hidden="1">
      <c r="A235" s="1718">
        <v>233</v>
      </c>
      <c r="B235" s="3739" t="s">
        <v>820</v>
      </c>
      <c r="C235" s="3740">
        <v>10005602</v>
      </c>
      <c r="D235" s="376"/>
      <c r="E235" s="376"/>
      <c r="F235" s="376"/>
      <c r="G235" s="376"/>
      <c r="H235" s="376"/>
      <c r="I235" s="376"/>
      <c r="J235" s="376"/>
    </row>
    <row r="236" spans="1:10" hidden="1">
      <c r="A236" s="1718">
        <v>234</v>
      </c>
      <c r="B236" s="3739" t="s">
        <v>821</v>
      </c>
      <c r="C236" s="3740">
        <v>10004197</v>
      </c>
      <c r="D236" s="376"/>
      <c r="E236" s="376"/>
      <c r="F236" s="376"/>
      <c r="G236" s="376"/>
      <c r="H236" s="376"/>
      <c r="I236" s="376"/>
      <c r="J236" s="376"/>
    </row>
    <row r="237" spans="1:10" hidden="1">
      <c r="A237" s="1718">
        <v>235</v>
      </c>
      <c r="B237" s="3739" t="s">
        <v>822</v>
      </c>
      <c r="C237" s="3740">
        <v>10003378</v>
      </c>
      <c r="D237" s="376"/>
      <c r="E237" s="376"/>
      <c r="F237" s="376"/>
      <c r="G237" s="376"/>
      <c r="H237" s="376"/>
      <c r="I237" s="376"/>
      <c r="J237" s="376"/>
    </row>
    <row r="238" spans="1:10" ht="25.5" hidden="1">
      <c r="A238" s="1718">
        <v>236</v>
      </c>
      <c r="B238" s="3739" t="s">
        <v>823</v>
      </c>
      <c r="C238" s="3740">
        <v>10007318</v>
      </c>
      <c r="D238" s="376"/>
      <c r="E238" s="376"/>
      <c r="F238" s="376"/>
      <c r="G238" s="376"/>
      <c r="H238" s="376"/>
      <c r="I238" s="376"/>
      <c r="J238" s="376"/>
    </row>
    <row r="239" spans="1:10" ht="25.5" hidden="1">
      <c r="A239" s="1718">
        <v>237</v>
      </c>
      <c r="B239" s="3739" t="s">
        <v>823</v>
      </c>
      <c r="C239" s="3740">
        <v>10007319</v>
      </c>
      <c r="D239" s="376"/>
      <c r="E239" s="376"/>
      <c r="F239" s="376"/>
      <c r="G239" s="376"/>
      <c r="H239" s="376"/>
      <c r="I239" s="376"/>
      <c r="J239" s="376"/>
    </row>
    <row r="240" spans="1:10" ht="25.5" hidden="1">
      <c r="A240" s="1718">
        <v>238</v>
      </c>
      <c r="B240" s="3739" t="s">
        <v>823</v>
      </c>
      <c r="C240" s="3740">
        <v>10007390</v>
      </c>
      <c r="D240" s="376"/>
      <c r="E240" s="376"/>
      <c r="F240" s="376"/>
      <c r="G240" s="376"/>
      <c r="H240" s="376"/>
      <c r="I240" s="376"/>
      <c r="J240" s="376"/>
    </row>
    <row r="241" spans="1:10" ht="25.5" hidden="1">
      <c r="A241" s="1718">
        <v>239</v>
      </c>
      <c r="B241" s="3739" t="s">
        <v>823</v>
      </c>
      <c r="C241" s="3740">
        <v>10007391</v>
      </c>
      <c r="D241" s="376"/>
      <c r="E241" s="376"/>
      <c r="F241" s="376"/>
      <c r="G241" s="376"/>
      <c r="H241" s="376"/>
      <c r="I241" s="376"/>
      <c r="J241" s="376"/>
    </row>
    <row r="242" spans="1:10" hidden="1">
      <c r="A242" s="1718">
        <v>240</v>
      </c>
      <c r="B242" s="3739" t="s">
        <v>824</v>
      </c>
      <c r="C242" s="3740">
        <v>10003507</v>
      </c>
      <c r="D242" s="376"/>
      <c r="E242" s="376"/>
      <c r="F242" s="376"/>
      <c r="G242" s="376"/>
      <c r="H242" s="376"/>
      <c r="I242" s="376"/>
      <c r="J242" s="376"/>
    </row>
    <row r="243" spans="1:10" hidden="1">
      <c r="A243" s="1718">
        <v>241</v>
      </c>
      <c r="B243" s="3739" t="s">
        <v>825</v>
      </c>
      <c r="C243" s="3740">
        <v>10003373</v>
      </c>
      <c r="D243" s="376"/>
      <c r="E243" s="376"/>
      <c r="F243" s="376"/>
      <c r="G243" s="376"/>
      <c r="H243" s="376"/>
      <c r="I243" s="376"/>
      <c r="J243" s="376"/>
    </row>
    <row r="244" spans="1:10" ht="25.5" hidden="1">
      <c r="A244" s="1718">
        <v>242</v>
      </c>
      <c r="B244" s="3747" t="s">
        <v>826</v>
      </c>
      <c r="C244" s="3738">
        <v>10005421</v>
      </c>
      <c r="D244" s="376"/>
      <c r="E244" s="376"/>
      <c r="F244" s="376"/>
      <c r="G244" s="376"/>
      <c r="H244" s="376"/>
      <c r="I244" s="376"/>
      <c r="J244" s="376"/>
    </row>
    <row r="245" spans="1:10" ht="25.5" hidden="1">
      <c r="A245" s="1718">
        <v>243</v>
      </c>
      <c r="B245" s="3747" t="s">
        <v>826</v>
      </c>
      <c r="C245" s="3738">
        <v>10005422</v>
      </c>
      <c r="D245" s="376"/>
      <c r="E245" s="376"/>
      <c r="F245" s="376"/>
      <c r="G245" s="376"/>
      <c r="H245" s="376"/>
      <c r="I245" s="376"/>
      <c r="J245" s="376"/>
    </row>
    <row r="246" spans="1:10" ht="25.5" hidden="1">
      <c r="A246" s="1718">
        <v>244</v>
      </c>
      <c r="B246" s="3747" t="s">
        <v>826</v>
      </c>
      <c r="C246" s="3738">
        <v>10005423</v>
      </c>
      <c r="D246" s="376"/>
      <c r="E246" s="376"/>
      <c r="F246" s="376"/>
      <c r="G246" s="376"/>
      <c r="H246" s="376"/>
      <c r="I246" s="376"/>
      <c r="J246" s="376"/>
    </row>
    <row r="247" spans="1:10" ht="25.5" hidden="1">
      <c r="A247" s="1718">
        <v>245</v>
      </c>
      <c r="B247" s="3747" t="s">
        <v>826</v>
      </c>
      <c r="C247" s="3738">
        <v>10005424</v>
      </c>
      <c r="D247" s="376"/>
      <c r="E247" s="376"/>
      <c r="F247" s="376"/>
      <c r="G247" s="376"/>
      <c r="H247" s="376"/>
      <c r="I247" s="376"/>
      <c r="J247" s="376"/>
    </row>
    <row r="248" spans="1:10" ht="25.5" hidden="1">
      <c r="A248" s="1718">
        <v>246</v>
      </c>
      <c r="B248" s="3747" t="s">
        <v>826</v>
      </c>
      <c r="C248" s="3738">
        <v>10005425</v>
      </c>
      <c r="D248" s="376"/>
      <c r="E248" s="376"/>
      <c r="F248" s="376"/>
      <c r="G248" s="376"/>
      <c r="H248" s="376"/>
      <c r="I248" s="376"/>
      <c r="J248" s="376"/>
    </row>
    <row r="249" spans="1:10" ht="25.5" hidden="1">
      <c r="A249" s="1718">
        <v>247</v>
      </c>
      <c r="B249" s="3747" t="s">
        <v>826</v>
      </c>
      <c r="C249" s="3738">
        <v>10005426</v>
      </c>
      <c r="D249" s="376"/>
      <c r="E249" s="376"/>
      <c r="F249" s="376"/>
      <c r="G249" s="376"/>
      <c r="H249" s="376"/>
      <c r="I249" s="376"/>
      <c r="J249" s="376"/>
    </row>
    <row r="250" spans="1:10" ht="25.5" hidden="1">
      <c r="A250" s="1718">
        <v>248</v>
      </c>
      <c r="B250" s="3747" t="s">
        <v>826</v>
      </c>
      <c r="C250" s="3738">
        <v>10005427</v>
      </c>
      <c r="D250" s="376"/>
      <c r="E250" s="376"/>
      <c r="F250" s="376"/>
      <c r="G250" s="376"/>
      <c r="H250" s="376"/>
      <c r="I250" s="376"/>
      <c r="J250" s="376"/>
    </row>
    <row r="251" spans="1:10" ht="25.5" hidden="1">
      <c r="A251" s="1718">
        <v>249</v>
      </c>
      <c r="B251" s="3747" t="s">
        <v>826</v>
      </c>
      <c r="C251" s="3738">
        <v>10005428</v>
      </c>
      <c r="D251" s="376"/>
      <c r="E251" s="376"/>
      <c r="F251" s="376"/>
      <c r="G251" s="376"/>
      <c r="H251" s="376"/>
      <c r="I251" s="376"/>
      <c r="J251" s="376"/>
    </row>
    <row r="252" spans="1:10" ht="25.5" hidden="1">
      <c r="A252" s="1718">
        <v>250</v>
      </c>
      <c r="B252" s="3747" t="s">
        <v>826</v>
      </c>
      <c r="C252" s="3738">
        <v>10005429</v>
      </c>
      <c r="D252" s="376"/>
      <c r="E252" s="376"/>
      <c r="F252" s="376"/>
      <c r="G252" s="376"/>
      <c r="H252" s="376"/>
      <c r="I252" s="376"/>
      <c r="J252" s="376"/>
    </row>
    <row r="253" spans="1:10" ht="25.5" hidden="1">
      <c r="A253" s="1718">
        <v>251</v>
      </c>
      <c r="B253" s="3747" t="s">
        <v>826</v>
      </c>
      <c r="C253" s="3738">
        <v>10005430</v>
      </c>
      <c r="D253" s="376"/>
      <c r="E253" s="376"/>
      <c r="F253" s="376"/>
      <c r="G253" s="376"/>
      <c r="H253" s="376"/>
      <c r="I253" s="376"/>
      <c r="J253" s="376"/>
    </row>
    <row r="254" spans="1:10" ht="25.5" hidden="1">
      <c r="A254" s="1718">
        <v>252</v>
      </c>
      <c r="B254" s="3747" t="s">
        <v>826</v>
      </c>
      <c r="C254" s="3738">
        <v>10005431</v>
      </c>
      <c r="D254" s="376"/>
      <c r="E254" s="376"/>
      <c r="F254" s="376"/>
      <c r="G254" s="376"/>
      <c r="H254" s="376"/>
      <c r="I254" s="376"/>
      <c r="J254" s="376"/>
    </row>
    <row r="255" spans="1:10" ht="25.5" hidden="1">
      <c r="A255" s="1718">
        <v>253</v>
      </c>
      <c r="B255" s="3747" t="s">
        <v>826</v>
      </c>
      <c r="C255" s="3738">
        <v>10005432</v>
      </c>
      <c r="D255" s="376"/>
      <c r="E255" s="376"/>
      <c r="F255" s="376"/>
      <c r="G255" s="376"/>
      <c r="H255" s="376"/>
      <c r="I255" s="376"/>
      <c r="J255" s="376"/>
    </row>
    <row r="256" spans="1:10" ht="25.5" hidden="1">
      <c r="A256" s="1718">
        <v>254</v>
      </c>
      <c r="B256" s="3747" t="s">
        <v>826</v>
      </c>
      <c r="C256" s="3738">
        <v>10005433</v>
      </c>
      <c r="D256" s="376"/>
      <c r="E256" s="376"/>
      <c r="F256" s="376"/>
      <c r="G256" s="376"/>
      <c r="H256" s="376"/>
      <c r="I256" s="376"/>
      <c r="J256" s="376"/>
    </row>
    <row r="257" spans="1:10" ht="25.5" hidden="1">
      <c r="A257" s="1718">
        <v>255</v>
      </c>
      <c r="B257" s="3747" t="s">
        <v>826</v>
      </c>
      <c r="C257" s="3738">
        <v>10005434</v>
      </c>
      <c r="D257" s="376"/>
      <c r="E257" s="376"/>
      <c r="F257" s="376"/>
      <c r="G257" s="376"/>
      <c r="H257" s="376"/>
      <c r="I257" s="376"/>
      <c r="J257" s="376"/>
    </row>
    <row r="258" spans="1:10" ht="25.5" hidden="1">
      <c r="A258" s="1718">
        <v>256</v>
      </c>
      <c r="B258" s="3747" t="s">
        <v>826</v>
      </c>
      <c r="C258" s="3738">
        <v>10005435</v>
      </c>
      <c r="D258" s="376"/>
      <c r="E258" s="376"/>
      <c r="F258" s="376"/>
      <c r="G258" s="376"/>
      <c r="H258" s="376"/>
      <c r="I258" s="376"/>
      <c r="J258" s="376"/>
    </row>
    <row r="259" spans="1:10" ht="25.5" hidden="1">
      <c r="A259" s="1718">
        <v>257</v>
      </c>
      <c r="B259" s="3747" t="s">
        <v>826</v>
      </c>
      <c r="C259" s="3738">
        <v>10005436</v>
      </c>
      <c r="D259" s="376"/>
      <c r="E259" s="376"/>
      <c r="F259" s="376"/>
      <c r="G259" s="376"/>
      <c r="H259" s="376"/>
      <c r="I259" s="376"/>
      <c r="J259" s="376"/>
    </row>
    <row r="260" spans="1:10" ht="25.5" hidden="1">
      <c r="A260" s="1718">
        <v>258</v>
      </c>
      <c r="B260" s="3747" t="s">
        <v>826</v>
      </c>
      <c r="C260" s="3738">
        <v>10005437</v>
      </c>
      <c r="D260" s="376"/>
      <c r="E260" s="376"/>
      <c r="F260" s="376"/>
      <c r="G260" s="376"/>
      <c r="H260" s="376"/>
      <c r="I260" s="376"/>
      <c r="J260" s="376"/>
    </row>
    <row r="261" spans="1:10" ht="25.5" hidden="1">
      <c r="A261" s="1718">
        <v>259</v>
      </c>
      <c r="B261" s="3747" t="s">
        <v>826</v>
      </c>
      <c r="C261" s="3738">
        <v>10005438</v>
      </c>
      <c r="D261" s="376"/>
      <c r="E261" s="376"/>
      <c r="F261" s="376"/>
      <c r="G261" s="376"/>
      <c r="H261" s="376"/>
      <c r="I261" s="376"/>
      <c r="J261" s="376"/>
    </row>
    <row r="262" spans="1:10" ht="25.5" hidden="1">
      <c r="A262" s="1718">
        <v>260</v>
      </c>
      <c r="B262" s="3747" t="s">
        <v>826</v>
      </c>
      <c r="C262" s="3738">
        <v>10005439</v>
      </c>
      <c r="D262" s="376"/>
      <c r="E262" s="376"/>
      <c r="F262" s="376"/>
      <c r="G262" s="376"/>
      <c r="H262" s="376"/>
      <c r="I262" s="376"/>
      <c r="J262" s="376"/>
    </row>
    <row r="263" spans="1:10" ht="25.5" hidden="1">
      <c r="A263" s="1718">
        <v>261</v>
      </c>
      <c r="B263" s="3747" t="s">
        <v>826</v>
      </c>
      <c r="C263" s="3738">
        <v>10005440</v>
      </c>
      <c r="D263" s="376"/>
      <c r="E263" s="376"/>
      <c r="F263" s="376"/>
      <c r="G263" s="376"/>
      <c r="H263" s="376"/>
      <c r="I263" s="376"/>
      <c r="J263" s="376"/>
    </row>
    <row r="264" spans="1:10" ht="25.5" hidden="1">
      <c r="A264" s="1718">
        <v>262</v>
      </c>
      <c r="B264" s="3747" t="s">
        <v>826</v>
      </c>
      <c r="C264" s="3738">
        <v>10005441</v>
      </c>
      <c r="D264" s="376"/>
      <c r="E264" s="376"/>
      <c r="F264" s="376"/>
      <c r="G264" s="376"/>
      <c r="H264" s="376"/>
      <c r="I264" s="376"/>
      <c r="J264" s="376"/>
    </row>
    <row r="265" spans="1:10" ht="25.5" hidden="1">
      <c r="A265" s="1718">
        <v>263</v>
      </c>
      <c r="B265" s="3747" t="s">
        <v>826</v>
      </c>
      <c r="C265" s="3738">
        <v>10005442</v>
      </c>
      <c r="D265" s="376"/>
      <c r="E265" s="376"/>
      <c r="F265" s="376"/>
      <c r="G265" s="376"/>
      <c r="H265" s="376"/>
      <c r="I265" s="376"/>
      <c r="J265" s="376"/>
    </row>
    <row r="266" spans="1:10" ht="25.5" hidden="1">
      <c r="A266" s="1718">
        <v>264</v>
      </c>
      <c r="B266" s="3747" t="s">
        <v>826</v>
      </c>
      <c r="C266" s="3738">
        <v>10005443</v>
      </c>
      <c r="D266" s="376"/>
      <c r="E266" s="376"/>
      <c r="F266" s="376"/>
      <c r="G266" s="376"/>
      <c r="H266" s="376"/>
      <c r="I266" s="376"/>
      <c r="J266" s="376"/>
    </row>
    <row r="267" spans="1:10" ht="25.5" hidden="1">
      <c r="A267" s="1718">
        <v>265</v>
      </c>
      <c r="B267" s="3747" t="s">
        <v>826</v>
      </c>
      <c r="C267" s="3738">
        <v>10005444</v>
      </c>
      <c r="D267" s="376"/>
      <c r="E267" s="376"/>
      <c r="F267" s="376"/>
      <c r="G267" s="376"/>
      <c r="H267" s="376"/>
      <c r="I267" s="376"/>
      <c r="J267" s="376"/>
    </row>
    <row r="268" spans="1:10" ht="25.5" hidden="1">
      <c r="A268" s="1718">
        <v>266</v>
      </c>
      <c r="B268" s="3747" t="s">
        <v>826</v>
      </c>
      <c r="C268" s="3738">
        <v>10005445</v>
      </c>
      <c r="D268" s="376"/>
      <c r="E268" s="376"/>
      <c r="F268" s="376"/>
      <c r="G268" s="376"/>
      <c r="H268" s="376"/>
      <c r="I268" s="376"/>
      <c r="J268" s="376"/>
    </row>
    <row r="269" spans="1:10" ht="25.5" hidden="1">
      <c r="A269" s="1718">
        <v>267</v>
      </c>
      <c r="B269" s="3747" t="s">
        <v>826</v>
      </c>
      <c r="C269" s="3738">
        <v>10005446</v>
      </c>
      <c r="D269" s="376"/>
      <c r="E269" s="376"/>
      <c r="F269" s="376"/>
      <c r="G269" s="376"/>
      <c r="H269" s="376"/>
      <c r="I269" s="376"/>
      <c r="J269" s="376"/>
    </row>
    <row r="270" spans="1:10" ht="25.5" hidden="1">
      <c r="A270" s="1718">
        <v>268</v>
      </c>
      <c r="B270" s="3747" t="s">
        <v>826</v>
      </c>
      <c r="C270" s="3738">
        <v>10005447</v>
      </c>
      <c r="D270" s="376"/>
      <c r="E270" s="376"/>
      <c r="F270" s="376"/>
      <c r="G270" s="376"/>
      <c r="H270" s="376"/>
      <c r="I270" s="376"/>
      <c r="J270" s="376"/>
    </row>
    <row r="271" spans="1:10" ht="25.5" hidden="1">
      <c r="A271" s="1718">
        <v>269</v>
      </c>
      <c r="B271" s="3747" t="s">
        <v>826</v>
      </c>
      <c r="C271" s="3738">
        <v>10005448</v>
      </c>
      <c r="D271" s="376"/>
      <c r="E271" s="376"/>
      <c r="F271" s="376"/>
      <c r="G271" s="376"/>
      <c r="H271" s="376"/>
      <c r="I271" s="376"/>
      <c r="J271" s="376"/>
    </row>
    <row r="272" spans="1:10" ht="25.5" hidden="1">
      <c r="A272" s="1718">
        <v>270</v>
      </c>
      <c r="B272" s="3747" t="s">
        <v>826</v>
      </c>
      <c r="C272" s="3738">
        <v>10005449</v>
      </c>
      <c r="D272" s="376"/>
      <c r="E272" s="376"/>
      <c r="F272" s="376"/>
      <c r="G272" s="376"/>
      <c r="H272" s="376"/>
      <c r="I272" s="376"/>
      <c r="J272" s="376"/>
    </row>
    <row r="273" spans="1:10" ht="25.5" hidden="1">
      <c r="A273" s="1718">
        <v>271</v>
      </c>
      <c r="B273" s="3747" t="s">
        <v>826</v>
      </c>
      <c r="C273" s="3738">
        <v>10005450</v>
      </c>
      <c r="D273" s="376"/>
      <c r="E273" s="376"/>
      <c r="F273" s="376"/>
      <c r="G273" s="376"/>
      <c r="H273" s="376"/>
      <c r="I273" s="376"/>
      <c r="J273" s="376"/>
    </row>
    <row r="274" spans="1:10" ht="25.5" hidden="1">
      <c r="A274" s="1718">
        <v>272</v>
      </c>
      <c r="B274" s="3747" t="s">
        <v>826</v>
      </c>
      <c r="C274" s="3738">
        <v>10005451</v>
      </c>
      <c r="D274" s="376"/>
      <c r="E274" s="376"/>
      <c r="F274" s="376"/>
      <c r="G274" s="376"/>
      <c r="H274" s="376"/>
      <c r="I274" s="376"/>
      <c r="J274" s="376"/>
    </row>
    <row r="275" spans="1:10" ht="25.5" hidden="1">
      <c r="A275" s="1718">
        <v>273</v>
      </c>
      <c r="B275" s="3747" t="s">
        <v>826</v>
      </c>
      <c r="C275" s="3738">
        <v>10005452</v>
      </c>
      <c r="D275" s="376"/>
      <c r="E275" s="376"/>
      <c r="F275" s="376"/>
      <c r="G275" s="376"/>
      <c r="H275" s="376"/>
      <c r="I275" s="376"/>
      <c r="J275" s="376"/>
    </row>
    <row r="276" spans="1:10" ht="25.5" hidden="1">
      <c r="A276" s="1718">
        <v>274</v>
      </c>
      <c r="B276" s="3747" t="s">
        <v>826</v>
      </c>
      <c r="C276" s="3738">
        <v>10005453</v>
      </c>
      <c r="D276" s="376"/>
      <c r="E276" s="376"/>
      <c r="F276" s="376"/>
      <c r="G276" s="376"/>
      <c r="H276" s="376"/>
      <c r="I276" s="376"/>
      <c r="J276" s="376"/>
    </row>
    <row r="277" spans="1:10" ht="25.5" hidden="1">
      <c r="A277" s="1718">
        <v>275</v>
      </c>
      <c r="B277" s="3747" t="s">
        <v>827</v>
      </c>
      <c r="C277" s="3738">
        <v>10005288</v>
      </c>
      <c r="D277" s="376"/>
      <c r="E277" s="376"/>
      <c r="F277" s="376"/>
      <c r="G277" s="376"/>
      <c r="H277" s="376"/>
      <c r="I277" s="376"/>
      <c r="J277" s="376"/>
    </row>
    <row r="278" spans="1:10" ht="25.5" hidden="1">
      <c r="A278" s="1718">
        <v>276</v>
      </c>
      <c r="B278" s="3747" t="s">
        <v>827</v>
      </c>
      <c r="C278" s="3738">
        <v>10005289</v>
      </c>
      <c r="D278" s="376"/>
      <c r="E278" s="376"/>
      <c r="F278" s="376"/>
      <c r="G278" s="376"/>
      <c r="H278" s="376"/>
      <c r="I278" s="376"/>
      <c r="J278" s="376"/>
    </row>
    <row r="279" spans="1:10" ht="25.5" hidden="1">
      <c r="A279" s="1718">
        <v>277</v>
      </c>
      <c r="B279" s="3747" t="s">
        <v>827</v>
      </c>
      <c r="C279" s="3738">
        <v>10005290</v>
      </c>
      <c r="D279" s="376"/>
      <c r="E279" s="376"/>
      <c r="F279" s="376"/>
      <c r="G279" s="376"/>
      <c r="H279" s="376"/>
      <c r="I279" s="376"/>
      <c r="J279" s="376"/>
    </row>
    <row r="280" spans="1:10" ht="25.5" hidden="1">
      <c r="A280" s="1718">
        <v>278</v>
      </c>
      <c r="B280" s="3747" t="s">
        <v>827</v>
      </c>
      <c r="C280" s="3738">
        <v>10005291</v>
      </c>
      <c r="D280" s="376"/>
      <c r="E280" s="376"/>
      <c r="F280" s="376"/>
      <c r="G280" s="376"/>
      <c r="H280" s="376"/>
      <c r="I280" s="376"/>
      <c r="J280" s="376"/>
    </row>
    <row r="281" spans="1:10" ht="25.5" hidden="1">
      <c r="A281" s="1718">
        <v>279</v>
      </c>
      <c r="B281" s="3747" t="s">
        <v>827</v>
      </c>
      <c r="C281" s="3738">
        <v>10005292</v>
      </c>
      <c r="D281" s="376"/>
      <c r="E281" s="376"/>
      <c r="F281" s="376"/>
      <c r="G281" s="376"/>
      <c r="H281" s="376"/>
      <c r="I281" s="376"/>
      <c r="J281" s="376"/>
    </row>
    <row r="282" spans="1:10" ht="25.5" hidden="1">
      <c r="A282" s="1718">
        <v>280</v>
      </c>
      <c r="B282" s="3747" t="s">
        <v>827</v>
      </c>
      <c r="C282" s="3738">
        <v>10005293</v>
      </c>
      <c r="D282" s="376"/>
      <c r="E282" s="376"/>
      <c r="F282" s="376"/>
      <c r="G282" s="376"/>
      <c r="H282" s="376"/>
      <c r="I282" s="376"/>
      <c r="J282" s="376"/>
    </row>
    <row r="283" spans="1:10" ht="25.5" hidden="1">
      <c r="A283" s="1718">
        <v>281</v>
      </c>
      <c r="B283" s="3747" t="s">
        <v>827</v>
      </c>
      <c r="C283" s="3738">
        <v>10005294</v>
      </c>
      <c r="D283" s="376"/>
      <c r="E283" s="376"/>
      <c r="F283" s="376"/>
      <c r="G283" s="376"/>
      <c r="H283" s="376"/>
      <c r="I283" s="376"/>
      <c r="J283" s="376"/>
    </row>
    <row r="284" spans="1:10" ht="25.5" hidden="1">
      <c r="A284" s="1718">
        <v>282</v>
      </c>
      <c r="B284" s="3747" t="s">
        <v>827</v>
      </c>
      <c r="C284" s="3738">
        <v>10005295</v>
      </c>
      <c r="D284" s="376"/>
      <c r="E284" s="376"/>
      <c r="F284" s="376"/>
      <c r="G284" s="376"/>
      <c r="H284" s="376"/>
      <c r="I284" s="376"/>
      <c r="J284" s="376"/>
    </row>
    <row r="285" spans="1:10" ht="25.5" hidden="1">
      <c r="A285" s="1718">
        <v>283</v>
      </c>
      <c r="B285" s="3747" t="s">
        <v>827</v>
      </c>
      <c r="C285" s="3738">
        <v>10005296</v>
      </c>
      <c r="D285" s="376"/>
      <c r="E285" s="376"/>
      <c r="F285" s="376"/>
      <c r="G285" s="376"/>
      <c r="H285" s="376"/>
      <c r="I285" s="376"/>
      <c r="J285" s="376"/>
    </row>
    <row r="286" spans="1:10" ht="25.5" hidden="1">
      <c r="A286" s="1718">
        <v>284</v>
      </c>
      <c r="B286" s="3747" t="s">
        <v>827</v>
      </c>
      <c r="C286" s="3738">
        <v>10005297</v>
      </c>
      <c r="D286" s="376"/>
      <c r="E286" s="376"/>
      <c r="F286" s="376"/>
      <c r="G286" s="376"/>
      <c r="H286" s="376"/>
      <c r="I286" s="376"/>
      <c r="J286" s="376"/>
    </row>
    <row r="287" spans="1:10" ht="25.5" hidden="1">
      <c r="A287" s="1718">
        <v>285</v>
      </c>
      <c r="B287" s="3747" t="s">
        <v>827</v>
      </c>
      <c r="C287" s="3738">
        <v>10005298</v>
      </c>
      <c r="D287" s="376"/>
      <c r="E287" s="376"/>
      <c r="F287" s="376"/>
      <c r="G287" s="376"/>
      <c r="H287" s="376"/>
      <c r="I287" s="376"/>
      <c r="J287" s="376"/>
    </row>
    <row r="288" spans="1:10" ht="25.5" hidden="1">
      <c r="A288" s="1718">
        <v>286</v>
      </c>
      <c r="B288" s="3747" t="s">
        <v>827</v>
      </c>
      <c r="C288" s="3738">
        <v>10005299</v>
      </c>
      <c r="D288" s="376"/>
      <c r="E288" s="376"/>
      <c r="F288" s="376"/>
      <c r="G288" s="376"/>
      <c r="H288" s="376"/>
      <c r="I288" s="376"/>
      <c r="J288" s="376"/>
    </row>
    <row r="289" spans="1:10" ht="25.5" hidden="1">
      <c r="A289" s="1718">
        <v>287</v>
      </c>
      <c r="B289" s="3747" t="s">
        <v>827</v>
      </c>
      <c r="C289" s="3738">
        <v>10005300</v>
      </c>
      <c r="D289" s="376"/>
      <c r="E289" s="376"/>
      <c r="F289" s="376"/>
      <c r="G289" s="376"/>
      <c r="H289" s="376"/>
      <c r="I289" s="376"/>
      <c r="J289" s="376"/>
    </row>
    <row r="290" spans="1:10" ht="25.5" hidden="1">
      <c r="A290" s="1718">
        <v>288</v>
      </c>
      <c r="B290" s="3747" t="s">
        <v>827</v>
      </c>
      <c r="C290" s="3738">
        <v>10005301</v>
      </c>
      <c r="D290" s="376"/>
      <c r="E290" s="376"/>
      <c r="F290" s="376"/>
      <c r="G290" s="376"/>
      <c r="H290" s="376"/>
      <c r="I290" s="376"/>
      <c r="J290" s="376"/>
    </row>
    <row r="291" spans="1:10" ht="25.5" hidden="1">
      <c r="A291" s="1718">
        <v>289</v>
      </c>
      <c r="B291" s="3747" t="s">
        <v>827</v>
      </c>
      <c r="C291" s="3738">
        <v>10005302</v>
      </c>
      <c r="D291" s="376"/>
      <c r="E291" s="376"/>
      <c r="F291" s="376"/>
      <c r="G291" s="376"/>
      <c r="H291" s="376"/>
      <c r="I291" s="376"/>
      <c r="J291" s="376"/>
    </row>
    <row r="292" spans="1:10" ht="25.5" hidden="1">
      <c r="A292" s="1718">
        <v>290</v>
      </c>
      <c r="B292" s="3747" t="s">
        <v>827</v>
      </c>
      <c r="C292" s="3738">
        <v>10005303</v>
      </c>
      <c r="D292" s="376"/>
      <c r="E292" s="376"/>
      <c r="F292" s="376"/>
      <c r="G292" s="376"/>
      <c r="H292" s="376"/>
      <c r="I292" s="376"/>
      <c r="J292" s="376"/>
    </row>
    <row r="293" spans="1:10" ht="25.5" hidden="1">
      <c r="A293" s="1718">
        <v>291</v>
      </c>
      <c r="B293" s="3747" t="s">
        <v>827</v>
      </c>
      <c r="C293" s="3738">
        <v>10005304</v>
      </c>
      <c r="D293" s="376"/>
      <c r="E293" s="376"/>
      <c r="F293" s="376"/>
      <c r="G293" s="376"/>
      <c r="H293" s="376"/>
      <c r="I293" s="376"/>
      <c r="J293" s="376"/>
    </row>
    <row r="294" spans="1:10" ht="25.5" hidden="1">
      <c r="A294" s="1718">
        <v>292</v>
      </c>
      <c r="B294" s="3747" t="s">
        <v>827</v>
      </c>
      <c r="C294" s="3738">
        <v>10005305</v>
      </c>
      <c r="D294" s="376"/>
      <c r="E294" s="376"/>
      <c r="F294" s="376"/>
      <c r="G294" s="376"/>
      <c r="H294" s="376"/>
      <c r="I294" s="376"/>
      <c r="J294" s="376"/>
    </row>
    <row r="295" spans="1:10" ht="25.5" hidden="1">
      <c r="A295" s="1718">
        <v>293</v>
      </c>
      <c r="B295" s="3747" t="s">
        <v>827</v>
      </c>
      <c r="C295" s="3738">
        <v>10005306</v>
      </c>
      <c r="D295" s="376"/>
      <c r="E295" s="376"/>
      <c r="F295" s="376"/>
      <c r="G295" s="376"/>
      <c r="H295" s="376"/>
      <c r="I295" s="376"/>
      <c r="J295" s="376"/>
    </row>
    <row r="296" spans="1:10" ht="25.5" hidden="1">
      <c r="A296" s="1718">
        <v>294</v>
      </c>
      <c r="B296" s="3747" t="s">
        <v>828</v>
      </c>
      <c r="C296" s="3738">
        <v>10004993</v>
      </c>
      <c r="D296" s="376"/>
      <c r="E296" s="376"/>
      <c r="F296" s="376"/>
      <c r="G296" s="376"/>
      <c r="H296" s="376"/>
      <c r="I296" s="376"/>
      <c r="J296" s="376"/>
    </row>
    <row r="297" spans="1:10" ht="25.5" hidden="1">
      <c r="A297" s="1718">
        <v>295</v>
      </c>
      <c r="B297" s="3747" t="s">
        <v>828</v>
      </c>
      <c r="C297" s="3738">
        <v>10004994</v>
      </c>
      <c r="D297" s="376"/>
      <c r="E297" s="376"/>
      <c r="F297" s="376"/>
      <c r="G297" s="376"/>
      <c r="H297" s="376"/>
      <c r="I297" s="376"/>
      <c r="J297" s="376"/>
    </row>
    <row r="298" spans="1:10" ht="25.5" hidden="1">
      <c r="A298" s="1718">
        <v>296</v>
      </c>
      <c r="B298" s="3747" t="s">
        <v>828</v>
      </c>
      <c r="C298" s="3738">
        <v>10004995</v>
      </c>
      <c r="D298" s="376"/>
      <c r="E298" s="376"/>
      <c r="F298" s="376"/>
      <c r="G298" s="376"/>
      <c r="H298" s="376"/>
      <c r="I298" s="376"/>
      <c r="J298" s="376"/>
    </row>
    <row r="299" spans="1:10" ht="25.5" hidden="1">
      <c r="A299" s="1718">
        <v>297</v>
      </c>
      <c r="B299" s="3747" t="s">
        <v>828</v>
      </c>
      <c r="C299" s="3738">
        <v>10004997</v>
      </c>
      <c r="D299" s="376"/>
      <c r="E299" s="376"/>
      <c r="F299" s="376"/>
      <c r="G299" s="376"/>
      <c r="H299" s="376"/>
      <c r="I299" s="376"/>
      <c r="J299" s="376"/>
    </row>
    <row r="300" spans="1:10" ht="25.5" hidden="1">
      <c r="A300" s="1718">
        <v>298</v>
      </c>
      <c r="B300" s="3747" t="s">
        <v>828</v>
      </c>
      <c r="C300" s="3738">
        <v>10004999</v>
      </c>
      <c r="D300" s="376"/>
      <c r="E300" s="376"/>
      <c r="F300" s="376"/>
      <c r="G300" s="376"/>
      <c r="H300" s="376"/>
      <c r="I300" s="376"/>
      <c r="J300" s="376"/>
    </row>
    <row r="301" spans="1:10" ht="25.5" hidden="1">
      <c r="A301" s="1718">
        <v>299</v>
      </c>
      <c r="B301" s="3747" t="s">
        <v>828</v>
      </c>
      <c r="C301" s="3738">
        <v>10005000</v>
      </c>
      <c r="D301" s="376"/>
      <c r="E301" s="376"/>
      <c r="F301" s="376"/>
      <c r="G301" s="376"/>
      <c r="H301" s="376"/>
      <c r="I301" s="376"/>
      <c r="J301" s="376"/>
    </row>
    <row r="302" spans="1:10" ht="25.5" hidden="1">
      <c r="A302" s="1718">
        <v>300</v>
      </c>
      <c r="B302" s="3747" t="s">
        <v>828</v>
      </c>
      <c r="C302" s="3738">
        <v>10005001</v>
      </c>
      <c r="D302" s="376"/>
      <c r="E302" s="376"/>
      <c r="F302" s="376"/>
      <c r="G302" s="376"/>
      <c r="H302" s="376"/>
      <c r="I302" s="376"/>
      <c r="J302" s="376"/>
    </row>
    <row r="303" spans="1:10" ht="25.5" hidden="1">
      <c r="A303" s="1718">
        <v>301</v>
      </c>
      <c r="B303" s="3747" t="s">
        <v>828</v>
      </c>
      <c r="C303" s="3738">
        <v>10005002</v>
      </c>
      <c r="D303" s="376"/>
      <c r="E303" s="376"/>
      <c r="F303" s="376"/>
      <c r="G303" s="376"/>
      <c r="H303" s="376"/>
      <c r="I303" s="376"/>
      <c r="J303" s="376"/>
    </row>
    <row r="304" spans="1:10" ht="25.5" hidden="1">
      <c r="A304" s="1718">
        <v>302</v>
      </c>
      <c r="B304" s="3747" t="s">
        <v>828</v>
      </c>
      <c r="C304" s="3738">
        <v>10005003</v>
      </c>
      <c r="D304" s="376"/>
      <c r="E304" s="376"/>
      <c r="F304" s="376"/>
      <c r="G304" s="376"/>
      <c r="H304" s="376"/>
      <c r="I304" s="376"/>
      <c r="J304" s="376"/>
    </row>
    <row r="305" spans="1:10" ht="25.5" hidden="1">
      <c r="A305" s="1718">
        <v>303</v>
      </c>
      <c r="B305" s="3747" t="s">
        <v>828</v>
      </c>
      <c r="C305" s="3738">
        <v>10005004</v>
      </c>
      <c r="D305" s="376"/>
      <c r="E305" s="376"/>
      <c r="F305" s="376"/>
      <c r="G305" s="376"/>
      <c r="H305" s="376"/>
      <c r="I305" s="376"/>
      <c r="J305" s="376"/>
    </row>
    <row r="306" spans="1:10" ht="25.5" hidden="1">
      <c r="A306" s="1718">
        <v>304</v>
      </c>
      <c r="B306" s="3747" t="s">
        <v>828</v>
      </c>
      <c r="C306" s="3738">
        <v>10005005</v>
      </c>
      <c r="D306" s="376"/>
      <c r="E306" s="376"/>
      <c r="F306" s="376"/>
      <c r="G306" s="376"/>
      <c r="H306" s="376"/>
      <c r="I306" s="376"/>
      <c r="J306" s="376"/>
    </row>
    <row r="307" spans="1:10" ht="25.5" hidden="1">
      <c r="A307" s="1718">
        <v>305</v>
      </c>
      <c r="B307" s="3747" t="s">
        <v>828</v>
      </c>
      <c r="C307" s="3738">
        <v>10005006</v>
      </c>
      <c r="D307" s="376"/>
      <c r="E307" s="376"/>
      <c r="F307" s="376"/>
      <c r="G307" s="376"/>
      <c r="H307" s="376"/>
      <c r="I307" s="376"/>
      <c r="J307" s="376"/>
    </row>
    <row r="308" spans="1:10" ht="25.5" hidden="1">
      <c r="A308" s="1718">
        <v>306</v>
      </c>
      <c r="B308" s="3747" t="s">
        <v>828</v>
      </c>
      <c r="C308" s="3738">
        <v>10005007</v>
      </c>
      <c r="D308" s="376"/>
      <c r="E308" s="376"/>
      <c r="F308" s="376"/>
      <c r="G308" s="376"/>
      <c r="H308" s="376"/>
      <c r="I308" s="376"/>
      <c r="J308" s="376"/>
    </row>
    <row r="309" spans="1:10" ht="25.5" hidden="1">
      <c r="A309" s="1718">
        <v>307</v>
      </c>
      <c r="B309" s="3747" t="s">
        <v>828</v>
      </c>
      <c r="C309" s="3738">
        <v>10005008</v>
      </c>
      <c r="D309" s="376"/>
      <c r="E309" s="376"/>
      <c r="F309" s="376"/>
      <c r="G309" s="376"/>
      <c r="H309" s="376"/>
      <c r="I309" s="376"/>
      <c r="J309" s="376"/>
    </row>
    <row r="310" spans="1:10" ht="25.5" hidden="1">
      <c r="A310" s="1718">
        <v>308</v>
      </c>
      <c r="B310" s="3747" t="s">
        <v>828</v>
      </c>
      <c r="C310" s="3738">
        <v>10005276</v>
      </c>
      <c r="D310" s="376"/>
      <c r="E310" s="376"/>
      <c r="F310" s="376"/>
      <c r="G310" s="376"/>
      <c r="H310" s="376"/>
      <c r="I310" s="376"/>
      <c r="J310" s="376"/>
    </row>
    <row r="311" spans="1:10" hidden="1">
      <c r="A311" s="1718">
        <v>309</v>
      </c>
      <c r="B311" s="3748" t="s">
        <v>829</v>
      </c>
      <c r="C311" s="3738">
        <v>10009956</v>
      </c>
      <c r="D311" s="376"/>
      <c r="E311" s="376"/>
      <c r="F311" s="376"/>
      <c r="G311" s="376"/>
      <c r="H311" s="376"/>
      <c r="I311" s="376"/>
      <c r="J311" s="376"/>
    </row>
    <row r="312" spans="1:10" hidden="1">
      <c r="A312" s="1718">
        <v>310</v>
      </c>
      <c r="B312" s="3749" t="s">
        <v>830</v>
      </c>
      <c r="C312" s="3750">
        <v>10003180</v>
      </c>
      <c r="D312" s="376"/>
      <c r="E312" s="376"/>
      <c r="F312" s="376"/>
      <c r="G312" s="376"/>
      <c r="H312" s="376"/>
      <c r="I312" s="376"/>
      <c r="J312" s="376"/>
    </row>
    <row r="313" spans="1:10" hidden="1">
      <c r="A313" s="1718">
        <v>311</v>
      </c>
      <c r="B313" s="3749" t="s">
        <v>831</v>
      </c>
      <c r="C313" s="3750">
        <v>10005212</v>
      </c>
      <c r="D313" s="376"/>
      <c r="E313" s="376"/>
      <c r="F313" s="376"/>
      <c r="G313" s="376"/>
      <c r="H313" s="376"/>
      <c r="I313" s="376"/>
      <c r="J313" s="376"/>
    </row>
    <row r="314" spans="1:10" hidden="1">
      <c r="A314" s="1718">
        <v>312</v>
      </c>
      <c r="B314" s="3749" t="s">
        <v>831</v>
      </c>
      <c r="C314" s="3750">
        <v>10005211</v>
      </c>
      <c r="D314" s="376"/>
      <c r="E314" s="376"/>
      <c r="F314" s="376"/>
      <c r="G314" s="376"/>
      <c r="H314" s="376"/>
      <c r="I314" s="376"/>
      <c r="J314" s="376"/>
    </row>
    <row r="315" spans="1:10" hidden="1">
      <c r="A315" s="1718">
        <v>313</v>
      </c>
      <c r="B315" s="3749" t="s">
        <v>830</v>
      </c>
      <c r="C315" s="3750">
        <v>10003176</v>
      </c>
      <c r="D315" s="376"/>
      <c r="E315" s="376"/>
      <c r="F315" s="376"/>
      <c r="G315" s="376"/>
      <c r="H315" s="376"/>
      <c r="I315" s="376"/>
      <c r="J315" s="376"/>
    </row>
    <row r="316" spans="1:10" hidden="1">
      <c r="A316" s="1718">
        <v>314</v>
      </c>
      <c r="B316" s="3749" t="s">
        <v>830</v>
      </c>
      <c r="C316" s="3750">
        <v>10003177</v>
      </c>
      <c r="D316" s="376"/>
      <c r="E316" s="376"/>
      <c r="F316" s="376"/>
      <c r="G316" s="376"/>
      <c r="H316" s="376"/>
      <c r="I316" s="376"/>
      <c r="J316" s="376"/>
    </row>
    <row r="317" spans="1:10" hidden="1">
      <c r="A317" s="1718">
        <v>315</v>
      </c>
      <c r="B317" s="3749" t="s">
        <v>831</v>
      </c>
      <c r="C317" s="3750">
        <v>10005206</v>
      </c>
      <c r="D317" s="376"/>
      <c r="E317" s="376"/>
      <c r="F317" s="376"/>
      <c r="G317" s="376"/>
      <c r="H317" s="376"/>
      <c r="I317" s="376"/>
      <c r="J317" s="376"/>
    </row>
    <row r="318" spans="1:10" hidden="1">
      <c r="A318" s="1718">
        <v>316</v>
      </c>
      <c r="B318" s="3749" t="s">
        <v>830</v>
      </c>
      <c r="C318" s="3750">
        <v>10003182</v>
      </c>
      <c r="D318" s="376"/>
      <c r="E318" s="376"/>
      <c r="F318" s="376"/>
      <c r="G318" s="376"/>
      <c r="H318" s="376"/>
      <c r="I318" s="376"/>
      <c r="J318" s="376"/>
    </row>
    <row r="319" spans="1:10" hidden="1">
      <c r="A319" s="1718">
        <v>317</v>
      </c>
      <c r="B319" s="3749" t="s">
        <v>830</v>
      </c>
      <c r="C319" s="3750">
        <v>10005210</v>
      </c>
      <c r="D319" s="376"/>
      <c r="E319" s="376"/>
      <c r="F319" s="376"/>
      <c r="G319" s="376"/>
      <c r="H319" s="376"/>
      <c r="I319" s="376"/>
      <c r="J319" s="376"/>
    </row>
    <row r="320" spans="1:10" hidden="1">
      <c r="A320" s="1718">
        <v>318</v>
      </c>
      <c r="B320" s="3749" t="s">
        <v>830</v>
      </c>
      <c r="C320" s="3750">
        <v>10005209</v>
      </c>
      <c r="D320" s="376"/>
      <c r="E320" s="376"/>
      <c r="F320" s="376"/>
      <c r="G320" s="376"/>
      <c r="H320" s="376"/>
      <c r="I320" s="376"/>
      <c r="J320" s="376"/>
    </row>
    <row r="321" spans="1:10" hidden="1">
      <c r="A321" s="1718">
        <v>319</v>
      </c>
      <c r="B321" s="3749" t="s">
        <v>832</v>
      </c>
      <c r="C321" s="3750">
        <v>10003387</v>
      </c>
      <c r="D321" s="376"/>
      <c r="E321" s="376"/>
      <c r="F321" s="376"/>
      <c r="G321" s="376"/>
      <c r="H321" s="376"/>
      <c r="I321" s="376"/>
      <c r="J321" s="376"/>
    </row>
    <row r="322" spans="1:10" hidden="1">
      <c r="A322" s="1718">
        <v>320</v>
      </c>
      <c r="B322" s="3749" t="s">
        <v>833</v>
      </c>
      <c r="C322" s="3751">
        <v>200191322</v>
      </c>
      <c r="D322" s="376"/>
      <c r="E322" s="376"/>
      <c r="F322" s="376"/>
      <c r="G322" s="376"/>
      <c r="H322" s="376"/>
      <c r="I322" s="376"/>
      <c r="J322" s="376"/>
    </row>
    <row r="323" spans="1:10" ht="25.5" hidden="1">
      <c r="A323" s="1718">
        <v>321</v>
      </c>
      <c r="B323" s="3747" t="s">
        <v>834</v>
      </c>
      <c r="C323" s="3738">
        <v>10005454</v>
      </c>
      <c r="D323" s="376"/>
      <c r="E323" s="376"/>
      <c r="F323" s="376"/>
      <c r="G323" s="376"/>
      <c r="H323" s="376"/>
      <c r="I323" s="376"/>
      <c r="J323" s="376"/>
    </row>
    <row r="324" spans="1:10" ht="25.5" hidden="1">
      <c r="A324" s="1718">
        <v>322</v>
      </c>
      <c r="B324" s="3747" t="s">
        <v>834</v>
      </c>
      <c r="C324" s="3738">
        <v>10005455</v>
      </c>
      <c r="D324" s="376"/>
      <c r="E324" s="376"/>
      <c r="F324" s="376"/>
      <c r="G324" s="376"/>
      <c r="H324" s="376"/>
      <c r="I324" s="376"/>
      <c r="J324" s="376"/>
    </row>
    <row r="325" spans="1:10" ht="25.5" hidden="1">
      <c r="A325" s="1718">
        <v>323</v>
      </c>
      <c r="B325" s="3747" t="s">
        <v>834</v>
      </c>
      <c r="C325" s="3738">
        <v>10005456</v>
      </c>
      <c r="D325" s="376"/>
      <c r="E325" s="376"/>
      <c r="F325" s="376"/>
      <c r="G325" s="376"/>
      <c r="H325" s="376"/>
      <c r="I325" s="376"/>
      <c r="J325" s="376"/>
    </row>
    <row r="326" spans="1:10" ht="25.5" hidden="1">
      <c r="A326" s="1718">
        <v>324</v>
      </c>
      <c r="B326" s="3747" t="s">
        <v>834</v>
      </c>
      <c r="C326" s="3738">
        <v>10005457</v>
      </c>
      <c r="D326" s="376"/>
      <c r="E326" s="376"/>
      <c r="F326" s="376"/>
      <c r="G326" s="376"/>
      <c r="H326" s="376"/>
      <c r="I326" s="376"/>
      <c r="J326" s="376"/>
    </row>
    <row r="327" spans="1:10" ht="25.5" hidden="1">
      <c r="A327" s="1718">
        <v>325</v>
      </c>
      <c r="B327" s="3747" t="s">
        <v>834</v>
      </c>
      <c r="C327" s="3738">
        <v>10005458</v>
      </c>
      <c r="D327" s="376"/>
      <c r="E327" s="376"/>
      <c r="F327" s="376"/>
      <c r="G327" s="376"/>
      <c r="H327" s="376"/>
      <c r="I327" s="376"/>
      <c r="J327" s="376"/>
    </row>
    <row r="328" spans="1:10" ht="25.5" hidden="1">
      <c r="A328" s="1718">
        <v>326</v>
      </c>
      <c r="B328" s="3747" t="s">
        <v>834</v>
      </c>
      <c r="C328" s="3738">
        <v>10005459</v>
      </c>
      <c r="D328" s="376"/>
      <c r="E328" s="376"/>
      <c r="F328" s="376"/>
      <c r="G328" s="376"/>
      <c r="H328" s="376"/>
      <c r="I328" s="376"/>
      <c r="J328" s="376"/>
    </row>
    <row r="329" spans="1:10" ht="25.5" hidden="1">
      <c r="A329" s="1718">
        <v>327</v>
      </c>
      <c r="B329" s="3747" t="s">
        <v>834</v>
      </c>
      <c r="C329" s="3738">
        <v>10005460</v>
      </c>
      <c r="D329" s="376"/>
      <c r="E329" s="376"/>
      <c r="F329" s="376"/>
      <c r="G329" s="376"/>
      <c r="H329" s="376"/>
      <c r="I329" s="376"/>
      <c r="J329" s="376"/>
    </row>
    <row r="330" spans="1:10" ht="25.5" hidden="1">
      <c r="A330" s="1718">
        <v>328</v>
      </c>
      <c r="B330" s="3747" t="s">
        <v>834</v>
      </c>
      <c r="C330" s="3738">
        <v>10005461</v>
      </c>
      <c r="D330" s="376"/>
      <c r="E330" s="376"/>
      <c r="F330" s="376"/>
      <c r="G330" s="376"/>
      <c r="H330" s="376"/>
      <c r="I330" s="376"/>
      <c r="J330" s="376"/>
    </row>
    <row r="331" spans="1:10" ht="25.5" hidden="1">
      <c r="A331" s="1718">
        <v>329</v>
      </c>
      <c r="B331" s="3747" t="s">
        <v>834</v>
      </c>
      <c r="C331" s="3738">
        <v>10005462</v>
      </c>
      <c r="D331" s="376"/>
      <c r="E331" s="376"/>
      <c r="F331" s="376"/>
      <c r="G331" s="376"/>
      <c r="H331" s="376"/>
      <c r="I331" s="376"/>
      <c r="J331" s="376"/>
    </row>
    <row r="332" spans="1:10" ht="25.5" hidden="1">
      <c r="A332" s="1718">
        <v>330</v>
      </c>
      <c r="B332" s="3747" t="s">
        <v>834</v>
      </c>
      <c r="C332" s="3738">
        <v>10005463</v>
      </c>
      <c r="D332" s="376"/>
      <c r="E332" s="376"/>
      <c r="F332" s="376"/>
      <c r="G332" s="376"/>
      <c r="H332" s="376"/>
      <c r="I332" s="376"/>
      <c r="J332" s="376"/>
    </row>
    <row r="333" spans="1:10" ht="25.5" hidden="1">
      <c r="A333" s="1718">
        <v>331</v>
      </c>
      <c r="B333" s="3747" t="s">
        <v>834</v>
      </c>
      <c r="C333" s="3738">
        <v>10005464</v>
      </c>
      <c r="D333" s="376"/>
      <c r="E333" s="376"/>
      <c r="F333" s="376"/>
      <c r="G333" s="376"/>
      <c r="H333" s="376"/>
      <c r="I333" s="376"/>
      <c r="J333" s="376"/>
    </row>
    <row r="334" spans="1:10" ht="25.5" hidden="1">
      <c r="A334" s="1718">
        <v>332</v>
      </c>
      <c r="B334" s="3747" t="s">
        <v>834</v>
      </c>
      <c r="C334" s="3738">
        <v>10005465</v>
      </c>
      <c r="D334" s="376"/>
      <c r="E334" s="376"/>
      <c r="F334" s="376"/>
      <c r="G334" s="376"/>
      <c r="H334" s="376"/>
      <c r="I334" s="376"/>
      <c r="J334" s="376"/>
    </row>
    <row r="335" spans="1:10" ht="25.5" hidden="1">
      <c r="A335" s="1718">
        <v>333</v>
      </c>
      <c r="B335" s="3747" t="s">
        <v>834</v>
      </c>
      <c r="C335" s="3738">
        <v>10005466</v>
      </c>
      <c r="D335" s="376"/>
      <c r="E335" s="376"/>
      <c r="F335" s="376"/>
      <c r="G335" s="376"/>
      <c r="H335" s="376"/>
      <c r="I335" s="376"/>
      <c r="J335" s="376"/>
    </row>
    <row r="336" spans="1:10" ht="25.5" hidden="1">
      <c r="A336" s="1718">
        <v>334</v>
      </c>
      <c r="B336" s="3747" t="s">
        <v>834</v>
      </c>
      <c r="C336" s="3738">
        <v>10005467</v>
      </c>
      <c r="D336" s="376"/>
      <c r="E336" s="376"/>
      <c r="F336" s="376"/>
      <c r="G336" s="376"/>
      <c r="H336" s="376"/>
      <c r="I336" s="376"/>
      <c r="J336" s="376"/>
    </row>
    <row r="337" spans="1:10" ht="25.5" hidden="1">
      <c r="A337" s="1718">
        <v>335</v>
      </c>
      <c r="B337" s="3747" t="s">
        <v>834</v>
      </c>
      <c r="C337" s="3738">
        <v>10005468</v>
      </c>
      <c r="D337" s="376"/>
      <c r="E337" s="376"/>
      <c r="F337" s="376"/>
      <c r="G337" s="376"/>
      <c r="H337" s="376"/>
      <c r="I337" s="376"/>
      <c r="J337" s="376"/>
    </row>
    <row r="338" spans="1:10" ht="25.5" hidden="1">
      <c r="A338" s="1718">
        <v>336</v>
      </c>
      <c r="B338" s="3747" t="s">
        <v>834</v>
      </c>
      <c r="C338" s="3738">
        <v>10005470</v>
      </c>
      <c r="D338" s="376"/>
      <c r="E338" s="376"/>
      <c r="F338" s="376"/>
      <c r="G338" s="376"/>
      <c r="H338" s="376"/>
      <c r="I338" s="376"/>
      <c r="J338" s="376"/>
    </row>
    <row r="339" spans="1:10" ht="25.5" hidden="1">
      <c r="A339" s="1718">
        <v>337</v>
      </c>
      <c r="B339" s="3747" t="s">
        <v>834</v>
      </c>
      <c r="C339" s="3738">
        <v>10005471</v>
      </c>
      <c r="D339" s="376"/>
      <c r="E339" s="376"/>
      <c r="F339" s="376"/>
      <c r="G339" s="376"/>
      <c r="H339" s="376"/>
      <c r="I339" s="376"/>
      <c r="J339" s="376"/>
    </row>
    <row r="340" spans="1:10" ht="25.5" hidden="1">
      <c r="A340" s="1718">
        <v>338</v>
      </c>
      <c r="B340" s="3747" t="s">
        <v>834</v>
      </c>
      <c r="C340" s="3738">
        <v>10005472</v>
      </c>
      <c r="D340" s="376"/>
      <c r="E340" s="376"/>
      <c r="F340" s="376"/>
      <c r="G340" s="376"/>
      <c r="H340" s="376"/>
      <c r="I340" s="376"/>
      <c r="J340" s="376"/>
    </row>
    <row r="341" spans="1:10" ht="25.5" hidden="1">
      <c r="A341" s="1718">
        <v>339</v>
      </c>
      <c r="B341" s="3747" t="s">
        <v>834</v>
      </c>
      <c r="C341" s="3738">
        <v>10005473</v>
      </c>
      <c r="D341" s="376"/>
      <c r="E341" s="376"/>
      <c r="F341" s="376"/>
      <c r="G341" s="376"/>
      <c r="H341" s="376"/>
      <c r="I341" s="376"/>
      <c r="J341" s="376"/>
    </row>
    <row r="342" spans="1:10" ht="25.5" hidden="1">
      <c r="A342" s="1718">
        <v>340</v>
      </c>
      <c r="B342" s="3747" t="s">
        <v>834</v>
      </c>
      <c r="C342" s="3738">
        <v>10005474</v>
      </c>
      <c r="D342" s="376"/>
      <c r="E342" s="376"/>
      <c r="F342" s="376"/>
      <c r="G342" s="376"/>
      <c r="H342" s="376"/>
      <c r="I342" s="376"/>
      <c r="J342" s="376"/>
    </row>
    <row r="343" spans="1:10" ht="25.5" hidden="1">
      <c r="A343" s="1718">
        <v>341</v>
      </c>
      <c r="B343" s="3747" t="s">
        <v>834</v>
      </c>
      <c r="C343" s="3738">
        <v>10005475</v>
      </c>
      <c r="D343" s="376"/>
      <c r="E343" s="376"/>
      <c r="F343" s="376"/>
      <c r="G343" s="376"/>
      <c r="H343" s="376"/>
      <c r="I343" s="376"/>
      <c r="J343" s="376"/>
    </row>
    <row r="344" spans="1:10" ht="25.5" hidden="1">
      <c r="A344" s="1718">
        <v>342</v>
      </c>
      <c r="B344" s="3747" t="s">
        <v>834</v>
      </c>
      <c r="C344" s="3738">
        <v>10005476</v>
      </c>
      <c r="D344" s="376"/>
      <c r="E344" s="376"/>
      <c r="F344" s="376"/>
      <c r="G344" s="376"/>
      <c r="H344" s="376"/>
      <c r="I344" s="376"/>
      <c r="J344" s="376"/>
    </row>
    <row r="345" spans="1:10" ht="25.5" hidden="1">
      <c r="A345" s="1718">
        <v>343</v>
      </c>
      <c r="B345" s="3747" t="s">
        <v>834</v>
      </c>
      <c r="C345" s="3738">
        <v>10005477</v>
      </c>
      <c r="D345" s="376"/>
      <c r="E345" s="376"/>
      <c r="F345" s="376"/>
      <c r="G345" s="376"/>
      <c r="H345" s="376"/>
      <c r="I345" s="376"/>
      <c r="J345" s="376"/>
    </row>
    <row r="346" spans="1:10" ht="25.5" hidden="1">
      <c r="A346" s="1718">
        <v>344</v>
      </c>
      <c r="B346" s="3747" t="s">
        <v>834</v>
      </c>
      <c r="C346" s="3738">
        <v>10005478</v>
      </c>
      <c r="D346" s="376"/>
      <c r="E346" s="376"/>
      <c r="F346" s="376"/>
      <c r="G346" s="376"/>
      <c r="H346" s="376"/>
      <c r="I346" s="376"/>
      <c r="J346" s="376"/>
    </row>
    <row r="347" spans="1:10" ht="25.5" hidden="1">
      <c r="A347" s="1718">
        <v>345</v>
      </c>
      <c r="B347" s="3747" t="s">
        <v>834</v>
      </c>
      <c r="C347" s="3738">
        <v>10005479</v>
      </c>
      <c r="D347" s="376"/>
      <c r="E347" s="376"/>
      <c r="F347" s="376"/>
      <c r="G347" s="376"/>
      <c r="H347" s="376"/>
      <c r="I347" s="376"/>
      <c r="J347" s="376"/>
    </row>
    <row r="348" spans="1:10" ht="25.5" hidden="1">
      <c r="A348" s="1718">
        <v>346</v>
      </c>
      <c r="B348" s="3747" t="s">
        <v>834</v>
      </c>
      <c r="C348" s="3738">
        <v>10005480</v>
      </c>
      <c r="D348" s="376"/>
      <c r="E348" s="376"/>
      <c r="F348" s="376"/>
      <c r="G348" s="376"/>
      <c r="H348" s="376"/>
      <c r="I348" s="376"/>
      <c r="J348" s="376"/>
    </row>
    <row r="349" spans="1:10" ht="25.5" hidden="1">
      <c r="A349" s="1718">
        <v>347</v>
      </c>
      <c r="B349" s="3747" t="s">
        <v>834</v>
      </c>
      <c r="C349" s="3738">
        <v>10005481</v>
      </c>
      <c r="D349" s="376"/>
      <c r="E349" s="376"/>
      <c r="F349" s="376"/>
      <c r="G349" s="376"/>
      <c r="H349" s="376"/>
      <c r="I349" s="376"/>
      <c r="J349" s="376"/>
    </row>
    <row r="350" spans="1:10" ht="25.5" hidden="1">
      <c r="A350" s="1718">
        <v>348</v>
      </c>
      <c r="B350" s="3747" t="s">
        <v>834</v>
      </c>
      <c r="C350" s="3738">
        <v>10005482</v>
      </c>
      <c r="D350" s="376"/>
      <c r="E350" s="376"/>
      <c r="F350" s="376"/>
      <c r="G350" s="376"/>
      <c r="H350" s="376"/>
      <c r="I350" s="376"/>
      <c r="J350" s="376"/>
    </row>
    <row r="351" spans="1:10" ht="25.5" hidden="1">
      <c r="A351" s="1718">
        <v>349</v>
      </c>
      <c r="B351" s="3747" t="s">
        <v>834</v>
      </c>
      <c r="C351" s="3738">
        <v>10005483</v>
      </c>
      <c r="D351" s="376"/>
      <c r="E351" s="376"/>
      <c r="F351" s="376"/>
      <c r="G351" s="376"/>
      <c r="H351" s="376"/>
      <c r="I351" s="376"/>
      <c r="J351" s="376"/>
    </row>
    <row r="352" spans="1:10" ht="25.5" hidden="1">
      <c r="A352" s="1718">
        <v>350</v>
      </c>
      <c r="B352" s="3747" t="s">
        <v>834</v>
      </c>
      <c r="C352" s="3738">
        <v>10005484</v>
      </c>
      <c r="D352" s="376"/>
      <c r="E352" s="376"/>
      <c r="F352" s="376"/>
      <c r="G352" s="376"/>
      <c r="H352" s="376"/>
      <c r="I352" s="376"/>
      <c r="J352" s="376"/>
    </row>
    <row r="353" spans="1:10" ht="25.5" hidden="1">
      <c r="A353" s="1718">
        <v>351</v>
      </c>
      <c r="B353" s="3747" t="s">
        <v>834</v>
      </c>
      <c r="C353" s="3738">
        <v>10005485</v>
      </c>
      <c r="D353" s="376"/>
      <c r="E353" s="376"/>
      <c r="F353" s="376"/>
      <c r="G353" s="376"/>
      <c r="H353" s="376"/>
      <c r="I353" s="376"/>
      <c r="J353" s="376"/>
    </row>
    <row r="354" spans="1:10" hidden="1">
      <c r="A354" s="1718">
        <v>352</v>
      </c>
      <c r="B354" s="3741" t="s">
        <v>835</v>
      </c>
      <c r="C354" s="3757">
        <v>10005486</v>
      </c>
      <c r="D354" s="3741">
        <v>2417</v>
      </c>
      <c r="E354" s="3741" t="s">
        <v>836</v>
      </c>
      <c r="F354" s="3741">
        <v>458.01</v>
      </c>
      <c r="G354" s="3741">
        <v>86.9</v>
      </c>
      <c r="H354" s="3753">
        <v>42032</v>
      </c>
      <c r="I354" s="3741">
        <v>84</v>
      </c>
      <c r="J354" s="3741" t="s">
        <v>714</v>
      </c>
    </row>
    <row r="355" spans="1:10" ht="25.5" hidden="1">
      <c r="A355" s="1718">
        <v>353</v>
      </c>
      <c r="B355" s="3747" t="s">
        <v>834</v>
      </c>
      <c r="C355" s="3738">
        <v>10005487</v>
      </c>
      <c r="D355" s="376"/>
      <c r="E355" s="376"/>
      <c r="F355" s="376"/>
      <c r="G355" s="376"/>
      <c r="H355" s="376"/>
      <c r="I355" s="376"/>
      <c r="J355" s="376"/>
    </row>
    <row r="356" spans="1:10" ht="25.5" hidden="1">
      <c r="A356" s="1718">
        <v>354</v>
      </c>
      <c r="B356" s="3747" t="s">
        <v>834</v>
      </c>
      <c r="C356" s="3738">
        <v>10005488</v>
      </c>
      <c r="D356" s="376"/>
      <c r="E356" s="376"/>
      <c r="F356" s="376"/>
      <c r="G356" s="376"/>
      <c r="H356" s="376"/>
      <c r="I356" s="376"/>
      <c r="J356" s="376"/>
    </row>
    <row r="357" spans="1:10" ht="25.5" hidden="1">
      <c r="A357" s="1718">
        <v>355</v>
      </c>
      <c r="B357" s="3747" t="s">
        <v>834</v>
      </c>
      <c r="C357" s="3738">
        <v>10005489</v>
      </c>
      <c r="D357" s="376"/>
      <c r="E357" s="376"/>
      <c r="F357" s="376"/>
      <c r="G357" s="376"/>
      <c r="H357" s="376"/>
      <c r="I357" s="376"/>
      <c r="J357" s="376"/>
    </row>
    <row r="358" spans="1:10" ht="25.5" hidden="1">
      <c r="A358" s="1718">
        <v>356</v>
      </c>
      <c r="B358" s="3747" t="s">
        <v>834</v>
      </c>
      <c r="C358" s="3738">
        <v>10005490</v>
      </c>
      <c r="D358" s="376"/>
      <c r="E358" s="376"/>
      <c r="F358" s="376"/>
      <c r="G358" s="376"/>
      <c r="H358" s="376"/>
      <c r="I358" s="376"/>
      <c r="J358" s="376"/>
    </row>
    <row r="359" spans="1:10" ht="25.5" hidden="1">
      <c r="A359" s="1718">
        <v>357</v>
      </c>
      <c r="B359" s="3747" t="s">
        <v>834</v>
      </c>
      <c r="C359" s="3738">
        <v>10005491</v>
      </c>
      <c r="D359" s="376"/>
      <c r="E359" s="376"/>
      <c r="F359" s="376"/>
      <c r="G359" s="376"/>
      <c r="H359" s="376"/>
      <c r="I359" s="376"/>
      <c r="J359" s="376"/>
    </row>
    <row r="360" spans="1:10" ht="25.5" hidden="1">
      <c r="A360" s="1718">
        <v>358</v>
      </c>
      <c r="B360" s="3747" t="s">
        <v>834</v>
      </c>
      <c r="C360" s="3738">
        <v>10005492</v>
      </c>
      <c r="D360" s="376"/>
      <c r="E360" s="376"/>
      <c r="F360" s="376"/>
      <c r="G360" s="376"/>
      <c r="H360" s="376"/>
      <c r="I360" s="376"/>
      <c r="J360" s="376"/>
    </row>
    <row r="361" spans="1:10" ht="25.5" hidden="1">
      <c r="A361" s="1718">
        <v>359</v>
      </c>
      <c r="B361" s="3747" t="s">
        <v>834</v>
      </c>
      <c r="C361" s="3738">
        <v>10005493</v>
      </c>
      <c r="D361" s="376"/>
      <c r="E361" s="376"/>
      <c r="F361" s="376"/>
      <c r="G361" s="376"/>
      <c r="H361" s="376"/>
      <c r="I361" s="376"/>
      <c r="J361" s="376"/>
    </row>
    <row r="362" spans="1:10" ht="25.5" hidden="1">
      <c r="A362" s="1718">
        <v>360</v>
      </c>
      <c r="B362" s="3747" t="s">
        <v>834</v>
      </c>
      <c r="C362" s="3738">
        <v>10005494</v>
      </c>
      <c r="D362" s="376"/>
      <c r="E362" s="376"/>
      <c r="F362" s="376"/>
      <c r="G362" s="376"/>
      <c r="H362" s="376"/>
      <c r="I362" s="376"/>
      <c r="J362" s="376"/>
    </row>
    <row r="363" spans="1:10" ht="25.5" hidden="1">
      <c r="A363" s="1718">
        <v>361</v>
      </c>
      <c r="B363" s="3747" t="s">
        <v>834</v>
      </c>
      <c r="C363" s="3738">
        <v>10005495</v>
      </c>
      <c r="D363" s="376"/>
      <c r="E363" s="376"/>
      <c r="F363" s="376"/>
      <c r="G363" s="376"/>
      <c r="H363" s="376"/>
      <c r="I363" s="376"/>
      <c r="J363" s="376"/>
    </row>
    <row r="364" spans="1:10" ht="25.5" hidden="1">
      <c r="A364" s="1718">
        <v>362</v>
      </c>
      <c r="B364" s="3747" t="s">
        <v>834</v>
      </c>
      <c r="C364" s="3738">
        <v>10005496</v>
      </c>
      <c r="D364" s="376"/>
      <c r="E364" s="376"/>
      <c r="F364" s="376"/>
      <c r="G364" s="376"/>
      <c r="H364" s="376"/>
      <c r="I364" s="376"/>
      <c r="J364" s="376"/>
    </row>
    <row r="365" spans="1:10" ht="25.5" hidden="1">
      <c r="A365" s="1718">
        <v>363</v>
      </c>
      <c r="B365" s="3747" t="s">
        <v>834</v>
      </c>
      <c r="C365" s="3738">
        <v>10005497</v>
      </c>
      <c r="D365" s="376"/>
      <c r="E365" s="376"/>
      <c r="F365" s="376"/>
      <c r="G365" s="376"/>
      <c r="H365" s="376"/>
      <c r="I365" s="376"/>
      <c r="J365" s="376"/>
    </row>
    <row r="366" spans="1:10" ht="25.5" hidden="1">
      <c r="A366" s="1718">
        <v>364</v>
      </c>
      <c r="B366" s="3747" t="s">
        <v>834</v>
      </c>
      <c r="C366" s="3738">
        <v>10005498</v>
      </c>
      <c r="D366" s="376"/>
      <c r="E366" s="376"/>
      <c r="F366" s="376"/>
      <c r="G366" s="376"/>
      <c r="H366" s="376"/>
      <c r="I366" s="376"/>
      <c r="J366" s="376"/>
    </row>
    <row r="367" spans="1:10" ht="25.5" hidden="1">
      <c r="A367" s="1718">
        <v>365</v>
      </c>
      <c r="B367" s="3747" t="s">
        <v>834</v>
      </c>
      <c r="C367" s="3738">
        <v>10005499</v>
      </c>
      <c r="D367" s="376"/>
      <c r="E367" s="376"/>
      <c r="F367" s="376"/>
      <c r="G367" s="376"/>
      <c r="H367" s="376"/>
      <c r="I367" s="376"/>
      <c r="J367" s="376"/>
    </row>
    <row r="368" spans="1:10" ht="25.5" hidden="1">
      <c r="A368" s="1718">
        <v>366</v>
      </c>
      <c r="B368" s="3747" t="s">
        <v>834</v>
      </c>
      <c r="C368" s="3738">
        <v>10005500</v>
      </c>
      <c r="D368" s="376"/>
      <c r="E368" s="376"/>
      <c r="F368" s="376"/>
      <c r="G368" s="376"/>
      <c r="H368" s="376"/>
      <c r="I368" s="376"/>
      <c r="J368" s="376"/>
    </row>
    <row r="369" spans="1:10" ht="25.5" hidden="1">
      <c r="A369" s="1718">
        <v>367</v>
      </c>
      <c r="B369" s="3747" t="s">
        <v>834</v>
      </c>
      <c r="C369" s="3738">
        <v>10005501</v>
      </c>
      <c r="D369" s="376"/>
      <c r="E369" s="376"/>
      <c r="F369" s="376"/>
      <c r="G369" s="376"/>
      <c r="H369" s="376"/>
      <c r="I369" s="376"/>
      <c r="J369" s="376"/>
    </row>
    <row r="370" spans="1:10" ht="25.5" hidden="1">
      <c r="A370" s="1718">
        <v>368</v>
      </c>
      <c r="B370" s="3747" t="s">
        <v>834</v>
      </c>
      <c r="C370" s="3738">
        <v>10005502</v>
      </c>
      <c r="D370" s="376"/>
      <c r="E370" s="376"/>
      <c r="F370" s="376"/>
      <c r="G370" s="376"/>
      <c r="H370" s="376"/>
      <c r="I370" s="376"/>
      <c r="J370" s="376"/>
    </row>
    <row r="371" spans="1:10" ht="25.5" hidden="1">
      <c r="A371" s="1718">
        <v>369</v>
      </c>
      <c r="B371" s="3747" t="s">
        <v>834</v>
      </c>
      <c r="C371" s="3738">
        <v>10005503</v>
      </c>
      <c r="D371" s="376"/>
      <c r="E371" s="376"/>
      <c r="F371" s="376"/>
      <c r="G371" s="376"/>
      <c r="H371" s="376"/>
      <c r="I371" s="376"/>
      <c r="J371" s="376"/>
    </row>
    <row r="372" spans="1:10" ht="25.5" hidden="1">
      <c r="A372" s="1718">
        <v>370</v>
      </c>
      <c r="B372" s="3747" t="s">
        <v>834</v>
      </c>
      <c r="C372" s="3738">
        <v>10005504</v>
      </c>
      <c r="D372" s="376"/>
      <c r="E372" s="376"/>
      <c r="F372" s="376"/>
      <c r="G372" s="376"/>
      <c r="H372" s="376"/>
      <c r="I372" s="376"/>
      <c r="J372" s="376"/>
    </row>
    <row r="373" spans="1:10" ht="25.5" hidden="1">
      <c r="A373" s="1718">
        <v>371</v>
      </c>
      <c r="B373" s="3747" t="s">
        <v>834</v>
      </c>
      <c r="C373" s="3738">
        <v>10005505</v>
      </c>
      <c r="D373" s="376"/>
      <c r="E373" s="376"/>
      <c r="F373" s="376"/>
      <c r="G373" s="376"/>
      <c r="H373" s="376"/>
      <c r="I373" s="376"/>
      <c r="J373" s="376"/>
    </row>
    <row r="374" spans="1:10" ht="25.5" hidden="1">
      <c r="A374" s="1718">
        <v>372</v>
      </c>
      <c r="B374" s="3747" t="s">
        <v>834</v>
      </c>
      <c r="C374" s="3738">
        <v>10005506</v>
      </c>
      <c r="D374" s="376"/>
      <c r="E374" s="376"/>
      <c r="F374" s="376"/>
      <c r="G374" s="376"/>
      <c r="H374" s="376"/>
      <c r="I374" s="376"/>
      <c r="J374" s="376"/>
    </row>
    <row r="375" spans="1:10" ht="25.5" hidden="1">
      <c r="A375" s="1718">
        <v>373</v>
      </c>
      <c r="B375" s="3747" t="s">
        <v>834</v>
      </c>
      <c r="C375" s="3738">
        <v>10005507</v>
      </c>
      <c r="D375" s="376"/>
      <c r="E375" s="376"/>
      <c r="F375" s="376"/>
      <c r="G375" s="376"/>
      <c r="H375" s="376"/>
      <c r="I375" s="376"/>
      <c r="J375" s="376"/>
    </row>
    <row r="376" spans="1:10" ht="25.5" hidden="1">
      <c r="A376" s="1718">
        <v>374</v>
      </c>
      <c r="B376" s="3747" t="s">
        <v>834</v>
      </c>
      <c r="C376" s="3738">
        <v>10005508</v>
      </c>
      <c r="D376" s="376"/>
      <c r="E376" s="376"/>
      <c r="F376" s="376"/>
      <c r="G376" s="376"/>
      <c r="H376" s="376"/>
      <c r="I376" s="376"/>
      <c r="J376" s="376"/>
    </row>
    <row r="377" spans="1:10" ht="25.5" hidden="1">
      <c r="A377" s="1718">
        <v>375</v>
      </c>
      <c r="B377" s="3747" t="s">
        <v>834</v>
      </c>
      <c r="C377" s="3738">
        <v>10005509</v>
      </c>
      <c r="D377" s="376"/>
      <c r="E377" s="376"/>
      <c r="F377" s="376"/>
      <c r="G377" s="376"/>
      <c r="H377" s="376"/>
      <c r="I377" s="376"/>
      <c r="J377" s="376"/>
    </row>
    <row r="378" spans="1:10" ht="25.5" hidden="1">
      <c r="A378" s="1718">
        <v>376</v>
      </c>
      <c r="B378" s="3747" t="s">
        <v>834</v>
      </c>
      <c r="C378" s="3738">
        <v>10005510</v>
      </c>
      <c r="D378" s="376"/>
      <c r="E378" s="376"/>
      <c r="F378" s="376"/>
      <c r="G378" s="376"/>
      <c r="H378" s="376"/>
      <c r="I378" s="376"/>
      <c r="J378" s="376"/>
    </row>
    <row r="379" spans="1:10" ht="25.5" hidden="1">
      <c r="A379" s="1718">
        <v>377</v>
      </c>
      <c r="B379" s="3747" t="s">
        <v>834</v>
      </c>
      <c r="C379" s="3738">
        <v>10005511</v>
      </c>
      <c r="D379" s="376"/>
      <c r="E379" s="376"/>
      <c r="F379" s="376"/>
      <c r="G379" s="376"/>
      <c r="H379" s="376"/>
      <c r="I379" s="376"/>
      <c r="J379" s="376"/>
    </row>
    <row r="380" spans="1:10" ht="25.5" hidden="1">
      <c r="A380" s="1718">
        <v>378</v>
      </c>
      <c r="B380" s="3747" t="s">
        <v>834</v>
      </c>
      <c r="C380" s="3738">
        <v>10005512</v>
      </c>
      <c r="D380" s="376"/>
      <c r="E380" s="376"/>
      <c r="F380" s="376"/>
      <c r="G380" s="376"/>
      <c r="H380" s="376"/>
      <c r="I380" s="376"/>
      <c r="J380" s="376"/>
    </row>
    <row r="381" spans="1:10" ht="25.5" hidden="1">
      <c r="A381" s="1718">
        <v>379</v>
      </c>
      <c r="B381" s="3747" t="s">
        <v>834</v>
      </c>
      <c r="C381" s="3738">
        <v>10005513</v>
      </c>
      <c r="D381" s="376"/>
      <c r="E381" s="376"/>
      <c r="F381" s="376"/>
      <c r="G381" s="376"/>
      <c r="H381" s="376"/>
      <c r="I381" s="376"/>
      <c r="J381" s="376"/>
    </row>
    <row r="382" spans="1:10" ht="25.5" hidden="1">
      <c r="A382" s="1718">
        <v>380</v>
      </c>
      <c r="B382" s="3747" t="s">
        <v>834</v>
      </c>
      <c r="C382" s="3738">
        <v>10005514</v>
      </c>
      <c r="D382" s="376"/>
      <c r="E382" s="376"/>
      <c r="F382" s="376"/>
      <c r="G382" s="376"/>
      <c r="H382" s="376"/>
      <c r="I382" s="376"/>
      <c r="J382" s="376"/>
    </row>
    <row r="383" spans="1:10" ht="25.5" hidden="1">
      <c r="A383" s="1718">
        <v>381</v>
      </c>
      <c r="B383" s="3747" t="s">
        <v>834</v>
      </c>
      <c r="C383" s="3738">
        <v>10005515</v>
      </c>
      <c r="D383" s="376"/>
      <c r="E383" s="376"/>
      <c r="F383" s="376"/>
      <c r="G383" s="376"/>
      <c r="H383" s="376"/>
      <c r="I383" s="376"/>
      <c r="J383" s="376"/>
    </row>
    <row r="384" spans="1:10" ht="25.5" hidden="1">
      <c r="A384" s="1718">
        <v>382</v>
      </c>
      <c r="B384" s="3747" t="s">
        <v>834</v>
      </c>
      <c r="C384" s="3738">
        <v>10005516</v>
      </c>
      <c r="D384" s="376"/>
      <c r="E384" s="376"/>
      <c r="F384" s="376"/>
      <c r="G384" s="376"/>
      <c r="H384" s="376"/>
      <c r="I384" s="376"/>
      <c r="J384" s="376"/>
    </row>
    <row r="385" spans="1:10" ht="25.5" hidden="1">
      <c r="A385" s="1718">
        <v>383</v>
      </c>
      <c r="B385" s="3747" t="s">
        <v>834</v>
      </c>
      <c r="C385" s="3738">
        <v>10005517</v>
      </c>
      <c r="D385" s="376"/>
      <c r="E385" s="376"/>
      <c r="F385" s="376"/>
      <c r="G385" s="376"/>
      <c r="H385" s="376"/>
      <c r="I385" s="376"/>
      <c r="J385" s="376"/>
    </row>
    <row r="386" spans="1:10" ht="25.5" hidden="1">
      <c r="A386" s="1718">
        <v>384</v>
      </c>
      <c r="B386" s="3747" t="s">
        <v>834</v>
      </c>
      <c r="C386" s="3738">
        <v>10005518</v>
      </c>
      <c r="D386" s="376"/>
      <c r="E386" s="376"/>
      <c r="F386" s="376"/>
      <c r="G386" s="376"/>
      <c r="H386" s="376"/>
      <c r="I386" s="376"/>
      <c r="J386" s="376"/>
    </row>
    <row r="387" spans="1:10" ht="25.5" hidden="1">
      <c r="A387" s="1718">
        <v>385</v>
      </c>
      <c r="B387" s="3747" t="s">
        <v>834</v>
      </c>
      <c r="C387" s="3738">
        <v>10005519</v>
      </c>
      <c r="D387" s="376"/>
      <c r="E387" s="376"/>
      <c r="F387" s="376"/>
      <c r="G387" s="376"/>
      <c r="H387" s="376"/>
      <c r="I387" s="376"/>
      <c r="J387" s="376"/>
    </row>
    <row r="388" spans="1:10" ht="25.5" hidden="1">
      <c r="A388" s="1718">
        <v>386</v>
      </c>
      <c r="B388" s="3747" t="s">
        <v>834</v>
      </c>
      <c r="C388" s="3738">
        <v>10005520</v>
      </c>
      <c r="D388" s="376"/>
      <c r="E388" s="376"/>
      <c r="F388" s="376"/>
      <c r="G388" s="376"/>
      <c r="H388" s="376"/>
      <c r="I388" s="376"/>
      <c r="J388" s="376"/>
    </row>
    <row r="389" spans="1:10" ht="25.5" hidden="1">
      <c r="A389" s="1718">
        <v>387</v>
      </c>
      <c r="B389" s="3747" t="s">
        <v>834</v>
      </c>
      <c r="C389" s="3738">
        <v>10005522</v>
      </c>
      <c r="D389" s="376"/>
      <c r="E389" s="376"/>
      <c r="F389" s="376"/>
      <c r="G389" s="376"/>
      <c r="H389" s="376"/>
      <c r="I389" s="376"/>
      <c r="J389" s="376"/>
    </row>
    <row r="390" spans="1:10" ht="25.5" hidden="1">
      <c r="A390" s="1718">
        <v>388</v>
      </c>
      <c r="B390" s="3747" t="s">
        <v>834</v>
      </c>
      <c r="C390" s="3738">
        <v>10005523</v>
      </c>
      <c r="D390" s="376"/>
      <c r="E390" s="376"/>
      <c r="F390" s="376"/>
      <c r="G390" s="376"/>
      <c r="H390" s="376"/>
      <c r="I390" s="376"/>
      <c r="J390" s="376"/>
    </row>
    <row r="391" spans="1:10" ht="25.5" hidden="1">
      <c r="A391" s="1718">
        <v>389</v>
      </c>
      <c r="B391" s="3747" t="s">
        <v>834</v>
      </c>
      <c r="C391" s="3738">
        <v>10005524</v>
      </c>
      <c r="D391" s="376"/>
      <c r="E391" s="376"/>
      <c r="F391" s="376"/>
      <c r="G391" s="376"/>
      <c r="H391" s="376"/>
      <c r="I391" s="376"/>
      <c r="J391" s="376"/>
    </row>
    <row r="392" spans="1:10" ht="25.5" hidden="1">
      <c r="A392" s="1718">
        <v>390</v>
      </c>
      <c r="B392" s="3747" t="s">
        <v>834</v>
      </c>
      <c r="C392" s="3738">
        <v>10005525</v>
      </c>
      <c r="D392" s="376"/>
      <c r="E392" s="376"/>
      <c r="F392" s="376"/>
      <c r="G392" s="376"/>
      <c r="H392" s="376"/>
      <c r="I392" s="376"/>
      <c r="J392" s="376"/>
    </row>
    <row r="393" spans="1:10" ht="25.5" hidden="1">
      <c r="A393" s="1718">
        <v>391</v>
      </c>
      <c r="B393" s="3747" t="s">
        <v>834</v>
      </c>
      <c r="C393" s="3738">
        <v>10005526</v>
      </c>
      <c r="D393" s="376"/>
      <c r="E393" s="376"/>
      <c r="F393" s="376"/>
      <c r="G393" s="376"/>
      <c r="H393" s="376"/>
      <c r="I393" s="376"/>
      <c r="J393" s="376"/>
    </row>
    <row r="394" spans="1:10" ht="25.5" hidden="1">
      <c r="A394" s="1718">
        <v>392</v>
      </c>
      <c r="B394" s="3747" t="s">
        <v>834</v>
      </c>
      <c r="C394" s="3738">
        <v>10005527</v>
      </c>
      <c r="D394" s="376"/>
      <c r="E394" s="376"/>
      <c r="F394" s="376"/>
      <c r="G394" s="376"/>
      <c r="H394" s="376"/>
      <c r="I394" s="376"/>
      <c r="J394" s="376"/>
    </row>
    <row r="395" spans="1:10" ht="25.5" hidden="1">
      <c r="A395" s="1718">
        <v>393</v>
      </c>
      <c r="B395" s="3747" t="s">
        <v>834</v>
      </c>
      <c r="C395" s="3738">
        <v>10005528</v>
      </c>
      <c r="D395" s="376"/>
      <c r="E395" s="376"/>
      <c r="F395" s="376"/>
      <c r="G395" s="376"/>
      <c r="H395" s="376"/>
      <c r="I395" s="376"/>
      <c r="J395" s="376"/>
    </row>
    <row r="396" spans="1:10" ht="25.5" hidden="1">
      <c r="A396" s="1718">
        <v>394</v>
      </c>
      <c r="B396" s="3747" t="s">
        <v>834</v>
      </c>
      <c r="C396" s="3738">
        <v>10005529</v>
      </c>
      <c r="D396" s="376"/>
      <c r="E396" s="376"/>
      <c r="F396" s="376"/>
      <c r="G396" s="376"/>
      <c r="H396" s="376"/>
      <c r="I396" s="376"/>
      <c r="J396" s="376"/>
    </row>
    <row r="397" spans="1:10" ht="25.5" hidden="1">
      <c r="A397" s="1718">
        <v>395</v>
      </c>
      <c r="B397" s="3747" t="s">
        <v>834</v>
      </c>
      <c r="C397" s="3738">
        <v>10005530</v>
      </c>
      <c r="D397" s="376"/>
      <c r="E397" s="376"/>
      <c r="F397" s="376"/>
      <c r="G397" s="376"/>
      <c r="H397" s="376"/>
      <c r="I397" s="376"/>
      <c r="J397" s="376"/>
    </row>
    <row r="398" spans="1:10" ht="25.5" hidden="1">
      <c r="A398" s="1718">
        <v>396</v>
      </c>
      <c r="B398" s="3747" t="s">
        <v>834</v>
      </c>
      <c r="C398" s="3738">
        <v>10005531</v>
      </c>
      <c r="D398" s="376"/>
      <c r="E398" s="376"/>
      <c r="F398" s="376"/>
      <c r="G398" s="376"/>
      <c r="H398" s="376"/>
      <c r="I398" s="376"/>
      <c r="J398" s="376"/>
    </row>
    <row r="399" spans="1:10" ht="25.5" hidden="1">
      <c r="A399" s="1718">
        <v>397</v>
      </c>
      <c r="B399" s="3747" t="s">
        <v>834</v>
      </c>
      <c r="C399" s="3738">
        <v>10005532</v>
      </c>
      <c r="D399" s="376"/>
      <c r="E399" s="376"/>
      <c r="F399" s="376"/>
      <c r="G399" s="376"/>
      <c r="H399" s="376"/>
      <c r="I399" s="376"/>
      <c r="J399" s="376"/>
    </row>
    <row r="400" spans="1:10" ht="25.5" hidden="1">
      <c r="A400" s="1718">
        <v>398</v>
      </c>
      <c r="B400" s="3747" t="s">
        <v>834</v>
      </c>
      <c r="C400" s="3738">
        <v>10005533</v>
      </c>
      <c r="D400" s="376"/>
      <c r="E400" s="376"/>
      <c r="F400" s="376"/>
      <c r="G400" s="376"/>
      <c r="H400" s="376"/>
      <c r="I400" s="376"/>
      <c r="J400" s="376"/>
    </row>
    <row r="401" spans="1:10" ht="25.5" hidden="1">
      <c r="A401" s="1718">
        <v>399</v>
      </c>
      <c r="B401" s="3747" t="s">
        <v>834</v>
      </c>
      <c r="C401" s="3738">
        <v>10005534</v>
      </c>
      <c r="D401" s="376"/>
      <c r="E401" s="376"/>
      <c r="F401" s="376"/>
      <c r="G401" s="376"/>
      <c r="H401" s="376"/>
      <c r="I401" s="376"/>
      <c r="J401" s="376"/>
    </row>
    <row r="402" spans="1:10" ht="25.5" hidden="1">
      <c r="A402" s="1718">
        <v>400</v>
      </c>
      <c r="B402" s="3747" t="s">
        <v>834</v>
      </c>
      <c r="C402" s="3738">
        <v>10005535</v>
      </c>
      <c r="D402" s="376"/>
      <c r="E402" s="376"/>
      <c r="F402" s="376"/>
      <c r="G402" s="376"/>
      <c r="H402" s="376"/>
      <c r="I402" s="376"/>
      <c r="J402" s="376"/>
    </row>
    <row r="403" spans="1:10" ht="25.5" hidden="1">
      <c r="A403" s="1718">
        <v>401</v>
      </c>
      <c r="B403" s="3747" t="s">
        <v>834</v>
      </c>
      <c r="C403" s="3738">
        <v>10005536</v>
      </c>
      <c r="D403" s="376"/>
      <c r="E403" s="376"/>
      <c r="F403" s="376"/>
      <c r="G403" s="376"/>
      <c r="H403" s="376"/>
      <c r="I403" s="376"/>
      <c r="J403" s="376"/>
    </row>
    <row r="404" spans="1:10" ht="25.5" hidden="1">
      <c r="A404" s="1718">
        <v>402</v>
      </c>
      <c r="B404" s="3747" t="s">
        <v>834</v>
      </c>
      <c r="C404" s="3738">
        <v>10005537</v>
      </c>
      <c r="D404" s="376"/>
      <c r="E404" s="376"/>
      <c r="F404" s="376"/>
      <c r="G404" s="376"/>
      <c r="H404" s="376"/>
      <c r="I404" s="376"/>
      <c r="J404" s="376"/>
    </row>
    <row r="405" spans="1:10" ht="25.5" hidden="1">
      <c r="A405" s="1718">
        <v>403</v>
      </c>
      <c r="B405" s="3747" t="s">
        <v>834</v>
      </c>
      <c r="C405" s="3738">
        <v>10005538</v>
      </c>
      <c r="D405" s="376"/>
      <c r="E405" s="376"/>
      <c r="F405" s="376"/>
      <c r="G405" s="376"/>
      <c r="H405" s="376"/>
      <c r="I405" s="376"/>
      <c r="J405" s="376"/>
    </row>
    <row r="406" spans="1:10" ht="25.5" hidden="1">
      <c r="A406" s="1718">
        <v>404</v>
      </c>
      <c r="B406" s="3747" t="s">
        <v>834</v>
      </c>
      <c r="C406" s="3738">
        <v>10005539</v>
      </c>
      <c r="D406" s="376"/>
      <c r="E406" s="376"/>
      <c r="F406" s="376"/>
      <c r="G406" s="376"/>
      <c r="H406" s="376"/>
      <c r="I406" s="376"/>
      <c r="J406" s="376"/>
    </row>
    <row r="407" spans="1:10" ht="25.5" hidden="1">
      <c r="A407" s="1718">
        <v>405</v>
      </c>
      <c r="B407" s="3747" t="s">
        <v>834</v>
      </c>
      <c r="C407" s="3738">
        <v>10005540</v>
      </c>
      <c r="D407" s="376"/>
      <c r="E407" s="376"/>
      <c r="F407" s="376"/>
      <c r="G407" s="376"/>
      <c r="H407" s="376"/>
      <c r="I407" s="376"/>
      <c r="J407" s="376"/>
    </row>
    <row r="408" spans="1:10" ht="25.5" hidden="1">
      <c r="A408" s="1718">
        <v>406</v>
      </c>
      <c r="B408" s="3747" t="s">
        <v>834</v>
      </c>
      <c r="C408" s="3738">
        <v>10005542</v>
      </c>
      <c r="D408" s="376"/>
      <c r="E408" s="376"/>
      <c r="F408" s="376"/>
      <c r="G408" s="376"/>
      <c r="H408" s="376"/>
      <c r="I408" s="376"/>
      <c r="J408" s="376"/>
    </row>
    <row r="409" spans="1:10" ht="25.5" hidden="1">
      <c r="A409" s="1718">
        <v>407</v>
      </c>
      <c r="B409" s="3747" t="s">
        <v>834</v>
      </c>
      <c r="C409" s="3738">
        <v>10005543</v>
      </c>
      <c r="D409" s="376"/>
      <c r="E409" s="376"/>
      <c r="F409" s="376"/>
      <c r="G409" s="376"/>
      <c r="H409" s="376"/>
      <c r="I409" s="376"/>
      <c r="J409" s="376"/>
    </row>
    <row r="410" spans="1:10" ht="25.5" hidden="1">
      <c r="A410" s="1718">
        <v>408</v>
      </c>
      <c r="B410" s="3747" t="s">
        <v>834</v>
      </c>
      <c r="C410" s="3738">
        <v>10005544</v>
      </c>
      <c r="D410" s="376"/>
      <c r="E410" s="376"/>
      <c r="F410" s="376"/>
      <c r="G410" s="376"/>
      <c r="H410" s="376"/>
      <c r="I410" s="376"/>
      <c r="J410" s="376"/>
    </row>
    <row r="411" spans="1:10" ht="25.5" hidden="1">
      <c r="A411" s="1718">
        <v>409</v>
      </c>
      <c r="B411" s="3747" t="s">
        <v>834</v>
      </c>
      <c r="C411" s="3738">
        <v>10005545</v>
      </c>
      <c r="D411" s="376"/>
      <c r="E411" s="376"/>
      <c r="F411" s="376"/>
      <c r="G411" s="376"/>
      <c r="H411" s="376"/>
      <c r="I411" s="376"/>
      <c r="J411" s="376"/>
    </row>
    <row r="412" spans="1:10" ht="25.5" hidden="1">
      <c r="A412" s="1718">
        <v>410</v>
      </c>
      <c r="B412" s="3747" t="s">
        <v>834</v>
      </c>
      <c r="C412" s="3738">
        <v>10005546</v>
      </c>
      <c r="D412" s="376"/>
      <c r="E412" s="376"/>
      <c r="F412" s="376"/>
      <c r="G412" s="376"/>
      <c r="H412" s="376"/>
      <c r="I412" s="376"/>
      <c r="J412" s="376"/>
    </row>
    <row r="413" spans="1:10" ht="25.5" hidden="1">
      <c r="A413" s="1718">
        <v>411</v>
      </c>
      <c r="B413" s="3747" t="s">
        <v>834</v>
      </c>
      <c r="C413" s="3738">
        <v>10005547</v>
      </c>
      <c r="D413" s="376"/>
      <c r="E413" s="376"/>
      <c r="F413" s="376"/>
      <c r="G413" s="376"/>
      <c r="H413" s="376"/>
      <c r="I413" s="376"/>
      <c r="J413" s="376"/>
    </row>
    <row r="414" spans="1:10" ht="25.5" hidden="1">
      <c r="A414" s="1718">
        <v>412</v>
      </c>
      <c r="B414" s="3747" t="s">
        <v>834</v>
      </c>
      <c r="C414" s="3738">
        <v>10005548</v>
      </c>
      <c r="D414" s="376"/>
      <c r="E414" s="376"/>
      <c r="F414" s="376"/>
      <c r="G414" s="376"/>
      <c r="H414" s="376"/>
      <c r="I414" s="376"/>
      <c r="J414" s="376"/>
    </row>
    <row r="415" spans="1:10" ht="25.5" hidden="1">
      <c r="A415" s="1718">
        <v>413</v>
      </c>
      <c r="B415" s="3747" t="s">
        <v>834</v>
      </c>
      <c r="C415" s="3738">
        <v>10005549</v>
      </c>
      <c r="D415" s="376"/>
      <c r="E415" s="376"/>
      <c r="F415" s="376"/>
      <c r="G415" s="376"/>
      <c r="H415" s="376"/>
      <c r="I415" s="376"/>
      <c r="J415" s="376"/>
    </row>
    <row r="416" spans="1:10" ht="25.5" hidden="1">
      <c r="A416" s="1718">
        <v>414</v>
      </c>
      <c r="B416" s="3747" t="s">
        <v>834</v>
      </c>
      <c r="C416" s="3738">
        <v>10005550</v>
      </c>
      <c r="D416" s="376"/>
      <c r="E416" s="376"/>
      <c r="F416" s="376"/>
      <c r="G416" s="376"/>
      <c r="H416" s="376"/>
      <c r="I416" s="376"/>
      <c r="J416" s="376"/>
    </row>
    <row r="417" spans="1:10" ht="25.5" hidden="1">
      <c r="A417" s="1718">
        <v>415</v>
      </c>
      <c r="B417" s="3747" t="s">
        <v>834</v>
      </c>
      <c r="C417" s="3738">
        <v>10005551</v>
      </c>
      <c r="D417" s="376"/>
      <c r="E417" s="376"/>
      <c r="F417" s="376"/>
      <c r="G417" s="376"/>
      <c r="H417" s="376"/>
      <c r="I417" s="376"/>
      <c r="J417" s="376"/>
    </row>
    <row r="418" spans="1:10" ht="25.5" hidden="1">
      <c r="A418" s="1718">
        <v>416</v>
      </c>
      <c r="B418" s="3747" t="s">
        <v>834</v>
      </c>
      <c r="C418" s="3738">
        <v>10005552</v>
      </c>
      <c r="D418" s="376"/>
      <c r="E418" s="376"/>
      <c r="F418" s="376"/>
      <c r="G418" s="376"/>
      <c r="H418" s="376"/>
      <c r="I418" s="376"/>
      <c r="J418" s="376"/>
    </row>
    <row r="419" spans="1:10" ht="25.5" hidden="1">
      <c r="A419" s="1718">
        <v>417</v>
      </c>
      <c r="B419" s="3747" t="s">
        <v>834</v>
      </c>
      <c r="C419" s="3738">
        <v>10005553</v>
      </c>
      <c r="D419" s="376"/>
      <c r="E419" s="376"/>
      <c r="F419" s="376"/>
      <c r="G419" s="376"/>
      <c r="H419" s="376"/>
      <c r="I419" s="376"/>
      <c r="J419" s="376"/>
    </row>
    <row r="420" spans="1:10" ht="25.5" hidden="1">
      <c r="A420" s="1718">
        <v>418</v>
      </c>
      <c r="B420" s="3747" t="s">
        <v>834</v>
      </c>
      <c r="C420" s="3738">
        <v>10005554</v>
      </c>
      <c r="D420" s="376"/>
      <c r="E420" s="376"/>
      <c r="F420" s="376"/>
      <c r="G420" s="376"/>
      <c r="H420" s="376"/>
      <c r="I420" s="376"/>
      <c r="J420" s="376"/>
    </row>
    <row r="421" spans="1:10" ht="25.5" hidden="1">
      <c r="A421" s="1718">
        <v>419</v>
      </c>
      <c r="B421" s="3747" t="s">
        <v>834</v>
      </c>
      <c r="C421" s="3738">
        <v>10005555</v>
      </c>
      <c r="D421" s="376"/>
      <c r="E421" s="376"/>
      <c r="F421" s="376"/>
      <c r="G421" s="376"/>
      <c r="H421" s="376"/>
      <c r="I421" s="376"/>
      <c r="J421" s="376"/>
    </row>
    <row r="422" spans="1:10" ht="25.5" hidden="1">
      <c r="A422" s="1718">
        <v>420</v>
      </c>
      <c r="B422" s="3747" t="s">
        <v>834</v>
      </c>
      <c r="C422" s="3738">
        <v>10005556</v>
      </c>
      <c r="D422" s="376"/>
      <c r="E422" s="376"/>
      <c r="F422" s="376"/>
      <c r="G422" s="376"/>
      <c r="H422" s="376"/>
      <c r="I422" s="376"/>
      <c r="J422" s="376"/>
    </row>
    <row r="423" spans="1:10" ht="25.5" hidden="1">
      <c r="A423" s="1718">
        <v>421</v>
      </c>
      <c r="B423" s="3747" t="s">
        <v>834</v>
      </c>
      <c r="C423" s="3738">
        <v>10005557</v>
      </c>
      <c r="D423" s="376"/>
      <c r="E423" s="376"/>
      <c r="F423" s="376"/>
      <c r="G423" s="376"/>
      <c r="H423" s="376"/>
      <c r="I423" s="376"/>
      <c r="J423" s="376"/>
    </row>
    <row r="424" spans="1:10" ht="25.5" hidden="1">
      <c r="A424" s="1718">
        <v>422</v>
      </c>
      <c r="B424" s="3747" t="s">
        <v>834</v>
      </c>
      <c r="C424" s="3738">
        <v>10005558</v>
      </c>
      <c r="D424" s="376"/>
      <c r="E424" s="376"/>
      <c r="F424" s="376"/>
      <c r="G424" s="376"/>
      <c r="H424" s="376"/>
      <c r="I424" s="376"/>
      <c r="J424" s="376"/>
    </row>
    <row r="425" spans="1:10" ht="25.5" hidden="1">
      <c r="A425" s="1718">
        <v>423</v>
      </c>
      <c r="B425" s="3747" t="s">
        <v>834</v>
      </c>
      <c r="C425" s="3738">
        <v>10005559</v>
      </c>
      <c r="D425" s="376"/>
      <c r="E425" s="376"/>
      <c r="F425" s="376"/>
      <c r="G425" s="376"/>
      <c r="H425" s="376"/>
      <c r="I425" s="376"/>
      <c r="J425" s="376"/>
    </row>
    <row r="426" spans="1:10" ht="25.5" hidden="1">
      <c r="A426" s="1718">
        <v>424</v>
      </c>
      <c r="B426" s="3747" t="s">
        <v>834</v>
      </c>
      <c r="C426" s="3738">
        <v>10005560</v>
      </c>
      <c r="D426" s="376"/>
      <c r="E426" s="376"/>
      <c r="F426" s="376"/>
      <c r="G426" s="376"/>
      <c r="H426" s="376"/>
      <c r="I426" s="376"/>
      <c r="J426" s="376"/>
    </row>
    <row r="427" spans="1:10" ht="25.5" hidden="1">
      <c r="A427" s="1718">
        <v>425</v>
      </c>
      <c r="B427" s="3747" t="s">
        <v>834</v>
      </c>
      <c r="C427" s="3738">
        <v>10005561</v>
      </c>
      <c r="D427" s="376"/>
      <c r="E427" s="376"/>
      <c r="F427" s="376"/>
      <c r="G427" s="376"/>
      <c r="H427" s="376"/>
      <c r="I427" s="376"/>
      <c r="J427" s="376"/>
    </row>
    <row r="428" spans="1:10" ht="25.5" hidden="1">
      <c r="A428" s="1718">
        <v>426</v>
      </c>
      <c r="B428" s="3747" t="s">
        <v>834</v>
      </c>
      <c r="C428" s="3738">
        <v>10005562</v>
      </c>
      <c r="D428" s="376"/>
      <c r="E428" s="376"/>
      <c r="F428" s="376"/>
      <c r="G428" s="376"/>
      <c r="H428" s="376"/>
      <c r="I428" s="376"/>
      <c r="J428" s="376"/>
    </row>
    <row r="429" spans="1:10" ht="25.5" hidden="1">
      <c r="A429" s="1718">
        <v>427</v>
      </c>
      <c r="B429" s="3747" t="s">
        <v>834</v>
      </c>
      <c r="C429" s="3738">
        <v>10005563</v>
      </c>
      <c r="D429" s="376"/>
      <c r="E429" s="376"/>
      <c r="F429" s="376"/>
      <c r="G429" s="376"/>
      <c r="H429" s="376"/>
      <c r="I429" s="376"/>
      <c r="J429" s="376"/>
    </row>
    <row r="430" spans="1:10" ht="25.5" hidden="1">
      <c r="A430" s="1718">
        <v>428</v>
      </c>
      <c r="B430" s="3747" t="s">
        <v>834</v>
      </c>
      <c r="C430" s="3738">
        <v>10005564</v>
      </c>
      <c r="D430" s="376"/>
      <c r="E430" s="376"/>
      <c r="F430" s="376"/>
      <c r="G430" s="376"/>
      <c r="H430" s="376"/>
      <c r="I430" s="376"/>
      <c r="J430" s="376"/>
    </row>
    <row r="431" spans="1:10" ht="25.5" hidden="1">
      <c r="A431" s="1718">
        <v>429</v>
      </c>
      <c r="B431" s="3747" t="s">
        <v>834</v>
      </c>
      <c r="C431" s="3738">
        <v>10005565</v>
      </c>
      <c r="D431" s="376"/>
      <c r="E431" s="376"/>
      <c r="F431" s="376"/>
      <c r="G431" s="376"/>
      <c r="H431" s="376"/>
      <c r="I431" s="376"/>
      <c r="J431" s="376"/>
    </row>
    <row r="432" spans="1:10" ht="25.5" hidden="1">
      <c r="A432" s="1718">
        <v>430</v>
      </c>
      <c r="B432" s="3747" t="s">
        <v>834</v>
      </c>
      <c r="C432" s="3738">
        <v>10005566</v>
      </c>
      <c r="D432" s="376"/>
      <c r="E432" s="376"/>
      <c r="F432" s="376"/>
      <c r="G432" s="376"/>
      <c r="H432" s="376"/>
      <c r="I432" s="376"/>
      <c r="J432" s="376"/>
    </row>
    <row r="433" spans="1:10" ht="25.5" hidden="1">
      <c r="A433" s="1718">
        <v>431</v>
      </c>
      <c r="B433" s="3747" t="s">
        <v>834</v>
      </c>
      <c r="C433" s="3738">
        <v>10005567</v>
      </c>
      <c r="D433" s="376"/>
      <c r="E433" s="376"/>
      <c r="F433" s="376"/>
      <c r="G433" s="376"/>
      <c r="H433" s="376"/>
      <c r="I433" s="376"/>
      <c r="J433" s="376"/>
    </row>
    <row r="434" spans="1:10" ht="25.5" hidden="1">
      <c r="A434" s="1718">
        <v>432</v>
      </c>
      <c r="B434" s="3747" t="s">
        <v>834</v>
      </c>
      <c r="C434" s="3738">
        <v>10005568</v>
      </c>
      <c r="D434" s="376"/>
      <c r="E434" s="376"/>
      <c r="F434" s="376"/>
      <c r="G434" s="376"/>
      <c r="H434" s="376"/>
      <c r="I434" s="376"/>
      <c r="J434" s="376"/>
    </row>
    <row r="435" spans="1:10" ht="25.5" hidden="1">
      <c r="A435" s="1718">
        <v>433</v>
      </c>
      <c r="B435" s="3747" t="s">
        <v>834</v>
      </c>
      <c r="C435" s="3738">
        <v>10005569</v>
      </c>
      <c r="D435" s="376"/>
      <c r="E435" s="376"/>
      <c r="F435" s="376"/>
      <c r="G435" s="376"/>
      <c r="H435" s="376"/>
      <c r="I435" s="376"/>
      <c r="J435" s="376"/>
    </row>
    <row r="436" spans="1:10" ht="25.5" hidden="1">
      <c r="A436" s="1718">
        <v>434</v>
      </c>
      <c r="B436" s="3747" t="s">
        <v>834</v>
      </c>
      <c r="C436" s="3738">
        <v>10005570</v>
      </c>
      <c r="D436" s="376"/>
      <c r="E436" s="376"/>
      <c r="F436" s="376"/>
      <c r="G436" s="376"/>
      <c r="H436" s="376"/>
      <c r="I436" s="376"/>
      <c r="J436" s="376"/>
    </row>
    <row r="437" spans="1:10" ht="25.5" hidden="1">
      <c r="A437" s="1718">
        <v>435</v>
      </c>
      <c r="B437" s="3747" t="s">
        <v>834</v>
      </c>
      <c r="C437" s="3738">
        <v>10005571</v>
      </c>
      <c r="D437" s="376"/>
      <c r="E437" s="376"/>
      <c r="F437" s="376"/>
      <c r="G437" s="376"/>
      <c r="H437" s="376"/>
      <c r="I437" s="376"/>
      <c r="J437" s="376"/>
    </row>
    <row r="438" spans="1:10" ht="25.5" hidden="1">
      <c r="A438" s="1718">
        <v>436</v>
      </c>
      <c r="B438" s="3747" t="s">
        <v>834</v>
      </c>
      <c r="C438" s="3738">
        <v>10005572</v>
      </c>
      <c r="D438" s="376"/>
      <c r="E438" s="376"/>
      <c r="F438" s="376"/>
      <c r="G438" s="376"/>
      <c r="H438" s="376"/>
      <c r="I438" s="376"/>
      <c r="J438" s="376"/>
    </row>
    <row r="439" spans="1:10" ht="25.5" hidden="1">
      <c r="A439" s="1718">
        <v>437</v>
      </c>
      <c r="B439" s="3747" t="s">
        <v>834</v>
      </c>
      <c r="C439" s="3738">
        <v>10005573</v>
      </c>
      <c r="D439" s="376"/>
      <c r="E439" s="376"/>
      <c r="F439" s="376"/>
      <c r="G439" s="376"/>
      <c r="H439" s="376"/>
      <c r="I439" s="376"/>
      <c r="J439" s="376"/>
    </row>
    <row r="440" spans="1:10" ht="25.5" hidden="1">
      <c r="A440" s="1718">
        <v>438</v>
      </c>
      <c r="B440" s="3747" t="s">
        <v>834</v>
      </c>
      <c r="C440" s="3738">
        <v>10005574</v>
      </c>
      <c r="D440" s="376"/>
      <c r="E440" s="376"/>
      <c r="F440" s="376"/>
      <c r="G440" s="376"/>
      <c r="H440" s="376"/>
      <c r="I440" s="376"/>
      <c r="J440" s="376"/>
    </row>
    <row r="441" spans="1:10" ht="25.5" hidden="1">
      <c r="A441" s="1718">
        <v>439</v>
      </c>
      <c r="B441" s="3747" t="s">
        <v>834</v>
      </c>
      <c r="C441" s="3738">
        <v>10005575</v>
      </c>
      <c r="D441" s="376"/>
      <c r="E441" s="376"/>
      <c r="F441" s="376"/>
      <c r="G441" s="376"/>
      <c r="H441" s="376"/>
      <c r="I441" s="376"/>
      <c r="J441" s="376"/>
    </row>
    <row r="442" spans="1:10" ht="25.5" hidden="1">
      <c r="A442" s="1718">
        <v>440</v>
      </c>
      <c r="B442" s="3747" t="s">
        <v>834</v>
      </c>
      <c r="C442" s="3738">
        <v>10005576</v>
      </c>
      <c r="D442" s="376"/>
      <c r="E442" s="376"/>
      <c r="F442" s="376"/>
      <c r="G442" s="376"/>
      <c r="H442" s="376"/>
      <c r="I442" s="376"/>
      <c r="J442" s="376"/>
    </row>
    <row r="443" spans="1:10" ht="25.5" hidden="1">
      <c r="A443" s="1718">
        <v>441</v>
      </c>
      <c r="B443" s="3747" t="s">
        <v>834</v>
      </c>
      <c r="C443" s="3738">
        <v>10005577</v>
      </c>
      <c r="D443" s="376"/>
      <c r="E443" s="376"/>
      <c r="F443" s="376"/>
      <c r="G443" s="376"/>
      <c r="H443" s="376"/>
      <c r="I443" s="376"/>
      <c r="J443" s="376"/>
    </row>
    <row r="444" spans="1:10" ht="25.5" hidden="1">
      <c r="A444" s="1718">
        <v>442</v>
      </c>
      <c r="B444" s="3747" t="s">
        <v>834</v>
      </c>
      <c r="C444" s="3738">
        <v>10005578</v>
      </c>
      <c r="D444" s="376"/>
      <c r="E444" s="376"/>
      <c r="F444" s="376"/>
      <c r="G444" s="376"/>
      <c r="H444" s="376"/>
      <c r="I444" s="376"/>
      <c r="J444" s="376"/>
    </row>
    <row r="445" spans="1:10" ht="25.5" hidden="1">
      <c r="A445" s="1718">
        <v>443</v>
      </c>
      <c r="B445" s="3747" t="s">
        <v>834</v>
      </c>
      <c r="C445" s="3738">
        <v>10005579</v>
      </c>
      <c r="D445" s="376"/>
      <c r="E445" s="376"/>
      <c r="F445" s="376"/>
      <c r="G445" s="376"/>
      <c r="H445" s="376"/>
      <c r="I445" s="376"/>
      <c r="J445" s="376"/>
    </row>
    <row r="446" spans="1:10" ht="25.5" hidden="1">
      <c r="A446" s="1718">
        <v>444</v>
      </c>
      <c r="B446" s="3747" t="s">
        <v>834</v>
      </c>
      <c r="C446" s="3738">
        <v>10005580</v>
      </c>
      <c r="D446" s="376"/>
      <c r="E446" s="376"/>
      <c r="F446" s="376"/>
      <c r="G446" s="376"/>
      <c r="H446" s="376"/>
      <c r="I446" s="376"/>
      <c r="J446" s="376"/>
    </row>
    <row r="447" spans="1:10" ht="25.5" hidden="1">
      <c r="A447" s="1718">
        <v>445</v>
      </c>
      <c r="B447" s="3747" t="s">
        <v>834</v>
      </c>
      <c r="C447" s="3738">
        <v>10005581</v>
      </c>
      <c r="D447" s="376"/>
      <c r="E447" s="376"/>
      <c r="F447" s="376"/>
      <c r="G447" s="376"/>
      <c r="H447" s="376"/>
      <c r="I447" s="376"/>
      <c r="J447" s="376"/>
    </row>
    <row r="448" spans="1:10" ht="25.5" hidden="1">
      <c r="A448" s="1718">
        <v>446</v>
      </c>
      <c r="B448" s="3747" t="s">
        <v>834</v>
      </c>
      <c r="C448" s="3738">
        <v>10005582</v>
      </c>
      <c r="D448" s="376"/>
      <c r="E448" s="376"/>
      <c r="F448" s="376"/>
      <c r="G448" s="376"/>
      <c r="H448" s="376"/>
      <c r="I448" s="376"/>
      <c r="J448" s="376"/>
    </row>
    <row r="449" spans="1:10" ht="25.5" hidden="1">
      <c r="A449" s="1718">
        <v>447</v>
      </c>
      <c r="B449" s="3747" t="s">
        <v>834</v>
      </c>
      <c r="C449" s="3738">
        <v>10005583</v>
      </c>
      <c r="D449" s="376"/>
      <c r="E449" s="376"/>
      <c r="F449" s="376"/>
      <c r="G449" s="376"/>
      <c r="H449" s="376"/>
      <c r="I449" s="376"/>
      <c r="J449" s="376"/>
    </row>
    <row r="450" spans="1:10" ht="25.5" hidden="1">
      <c r="A450" s="1718">
        <v>448</v>
      </c>
      <c r="B450" s="3747" t="s">
        <v>834</v>
      </c>
      <c r="C450" s="3738">
        <v>10005584</v>
      </c>
      <c r="D450" s="376"/>
      <c r="E450" s="376"/>
      <c r="F450" s="376"/>
      <c r="G450" s="376"/>
      <c r="H450" s="376"/>
      <c r="I450" s="376"/>
      <c r="J450" s="376"/>
    </row>
    <row r="451" spans="1:10" ht="25.5" hidden="1">
      <c r="A451" s="1718">
        <v>449</v>
      </c>
      <c r="B451" s="3747" t="s">
        <v>834</v>
      </c>
      <c r="C451" s="3738">
        <v>10005585</v>
      </c>
      <c r="D451" s="376"/>
      <c r="E451" s="376"/>
      <c r="F451" s="376"/>
      <c r="G451" s="376"/>
      <c r="H451" s="376"/>
      <c r="I451" s="376"/>
      <c r="J451" s="376"/>
    </row>
    <row r="452" spans="1:10" ht="25.5" hidden="1">
      <c r="A452" s="1718">
        <v>450</v>
      </c>
      <c r="B452" s="3747" t="s">
        <v>837</v>
      </c>
      <c r="C452" s="3738">
        <v>10005307</v>
      </c>
      <c r="D452" s="376"/>
      <c r="E452" s="376"/>
      <c r="F452" s="376"/>
      <c r="G452" s="376"/>
      <c r="H452" s="376"/>
      <c r="I452" s="376"/>
      <c r="J452" s="376"/>
    </row>
    <row r="453" spans="1:10" ht="25.5" hidden="1">
      <c r="A453" s="1718">
        <v>451</v>
      </c>
      <c r="B453" s="3747" t="s">
        <v>837</v>
      </c>
      <c r="C453" s="3738">
        <v>10005308</v>
      </c>
      <c r="D453" s="376"/>
      <c r="E453" s="376"/>
      <c r="F453" s="376"/>
      <c r="G453" s="376"/>
      <c r="H453" s="376"/>
      <c r="I453" s="376"/>
      <c r="J453" s="376"/>
    </row>
    <row r="454" spans="1:10" ht="25.5" hidden="1">
      <c r="A454" s="1718">
        <v>452</v>
      </c>
      <c r="B454" s="3747" t="s">
        <v>837</v>
      </c>
      <c r="C454" s="3738">
        <v>10005309</v>
      </c>
      <c r="D454" s="376"/>
      <c r="E454" s="376"/>
      <c r="F454" s="376"/>
      <c r="G454" s="376"/>
      <c r="H454" s="376"/>
      <c r="I454" s="376"/>
      <c r="J454" s="376"/>
    </row>
    <row r="455" spans="1:10" ht="25.5" hidden="1">
      <c r="A455" s="1718">
        <v>453</v>
      </c>
      <c r="B455" s="3747" t="s">
        <v>837</v>
      </c>
      <c r="C455" s="3738">
        <v>10005310</v>
      </c>
      <c r="D455" s="376"/>
      <c r="E455" s="376"/>
      <c r="F455" s="376"/>
      <c r="G455" s="376"/>
      <c r="H455" s="376"/>
      <c r="I455" s="376"/>
      <c r="J455" s="376"/>
    </row>
    <row r="456" spans="1:10" ht="25.5" hidden="1">
      <c r="A456" s="1718">
        <v>454</v>
      </c>
      <c r="B456" s="3747" t="s">
        <v>837</v>
      </c>
      <c r="C456" s="3738">
        <v>10005311</v>
      </c>
      <c r="D456" s="376"/>
      <c r="E456" s="376"/>
      <c r="F456" s="376"/>
      <c r="G456" s="376"/>
      <c r="H456" s="376"/>
      <c r="I456" s="376"/>
      <c r="J456" s="376"/>
    </row>
    <row r="457" spans="1:10" ht="25.5" hidden="1">
      <c r="A457" s="1718">
        <v>455</v>
      </c>
      <c r="B457" s="3747" t="s">
        <v>837</v>
      </c>
      <c r="C457" s="3738">
        <v>10005312</v>
      </c>
      <c r="D457" s="376"/>
      <c r="E457" s="376"/>
      <c r="F457" s="376"/>
      <c r="G457" s="376"/>
      <c r="H457" s="376"/>
      <c r="I457" s="376"/>
      <c r="J457" s="376"/>
    </row>
    <row r="458" spans="1:10" ht="25.5" hidden="1">
      <c r="A458" s="1718">
        <v>456</v>
      </c>
      <c r="B458" s="3747" t="s">
        <v>837</v>
      </c>
      <c r="C458" s="3738">
        <v>10005313</v>
      </c>
      <c r="D458" s="376"/>
      <c r="E458" s="376"/>
      <c r="F458" s="376"/>
      <c r="G458" s="376"/>
      <c r="H458" s="376"/>
      <c r="I458" s="376"/>
      <c r="J458" s="376"/>
    </row>
    <row r="459" spans="1:10" ht="25.5" hidden="1">
      <c r="A459" s="1718">
        <v>457</v>
      </c>
      <c r="B459" s="3747" t="s">
        <v>837</v>
      </c>
      <c r="C459" s="3738">
        <v>10005314</v>
      </c>
      <c r="D459" s="376"/>
      <c r="E459" s="376"/>
      <c r="F459" s="376"/>
      <c r="G459" s="376"/>
      <c r="H459" s="376"/>
      <c r="I459" s="376"/>
      <c r="J459" s="376"/>
    </row>
    <row r="460" spans="1:10" ht="25.5" hidden="1">
      <c r="A460" s="1718">
        <v>458</v>
      </c>
      <c r="B460" s="3747" t="s">
        <v>837</v>
      </c>
      <c r="C460" s="3738">
        <v>10005315</v>
      </c>
      <c r="D460" s="376"/>
      <c r="E460" s="376"/>
      <c r="F460" s="376"/>
      <c r="G460" s="376"/>
      <c r="H460" s="376"/>
      <c r="I460" s="376"/>
      <c r="J460" s="376"/>
    </row>
    <row r="461" spans="1:10" ht="25.5" hidden="1">
      <c r="A461" s="1718">
        <v>459</v>
      </c>
      <c r="B461" s="3747" t="s">
        <v>837</v>
      </c>
      <c r="C461" s="3738">
        <v>10005317</v>
      </c>
      <c r="D461" s="376"/>
      <c r="E461" s="376"/>
      <c r="F461" s="376"/>
      <c r="G461" s="376"/>
      <c r="H461" s="376"/>
      <c r="I461" s="376"/>
      <c r="J461" s="376"/>
    </row>
    <row r="462" spans="1:10" ht="25.5" hidden="1">
      <c r="A462" s="1718">
        <v>460</v>
      </c>
      <c r="B462" s="3747" t="s">
        <v>837</v>
      </c>
      <c r="C462" s="3738">
        <v>10005318</v>
      </c>
      <c r="D462" s="376"/>
      <c r="E462" s="376"/>
      <c r="F462" s="376"/>
      <c r="G462" s="376"/>
      <c r="H462" s="376"/>
      <c r="I462" s="376"/>
      <c r="J462" s="376"/>
    </row>
    <row r="463" spans="1:10" ht="25.5" hidden="1">
      <c r="A463" s="1718">
        <v>461</v>
      </c>
      <c r="B463" s="3747" t="s">
        <v>837</v>
      </c>
      <c r="C463" s="3738">
        <v>10005319</v>
      </c>
      <c r="D463" s="376"/>
      <c r="E463" s="376"/>
      <c r="F463" s="376"/>
      <c r="G463" s="376"/>
      <c r="H463" s="376"/>
      <c r="I463" s="376"/>
      <c r="J463" s="376"/>
    </row>
    <row r="464" spans="1:10" ht="25.5" hidden="1">
      <c r="A464" s="1718">
        <v>462</v>
      </c>
      <c r="B464" s="3747" t="s">
        <v>837</v>
      </c>
      <c r="C464" s="3738">
        <v>10005320</v>
      </c>
      <c r="D464" s="376"/>
      <c r="E464" s="376"/>
      <c r="F464" s="376"/>
      <c r="G464" s="376"/>
      <c r="H464" s="376"/>
      <c r="I464" s="376"/>
      <c r="J464" s="376"/>
    </row>
    <row r="465" spans="1:10" ht="25.5" hidden="1">
      <c r="A465" s="1718">
        <v>463</v>
      </c>
      <c r="B465" s="3747" t="s">
        <v>837</v>
      </c>
      <c r="C465" s="3738">
        <v>10005321</v>
      </c>
      <c r="D465" s="376"/>
      <c r="E465" s="376"/>
      <c r="F465" s="376"/>
      <c r="G465" s="376"/>
      <c r="H465" s="376"/>
      <c r="I465" s="376"/>
      <c r="J465" s="376"/>
    </row>
    <row r="466" spans="1:10" ht="25.5" hidden="1">
      <c r="A466" s="1718">
        <v>464</v>
      </c>
      <c r="B466" s="3747" t="s">
        <v>837</v>
      </c>
      <c r="C466" s="3738">
        <v>10005322</v>
      </c>
      <c r="D466" s="376"/>
      <c r="E466" s="376"/>
      <c r="F466" s="376"/>
      <c r="G466" s="376"/>
      <c r="H466" s="376"/>
      <c r="I466" s="376"/>
      <c r="J466" s="376"/>
    </row>
    <row r="467" spans="1:10" ht="25.5" hidden="1">
      <c r="A467" s="1718">
        <v>465</v>
      </c>
      <c r="B467" s="3747" t="s">
        <v>837</v>
      </c>
      <c r="C467" s="3738">
        <v>10005323</v>
      </c>
      <c r="D467" s="376"/>
      <c r="E467" s="376"/>
      <c r="F467" s="376"/>
      <c r="G467" s="376"/>
      <c r="H467" s="376"/>
      <c r="I467" s="376"/>
      <c r="J467" s="376"/>
    </row>
    <row r="468" spans="1:10" ht="25.5" hidden="1">
      <c r="A468" s="1718">
        <v>466</v>
      </c>
      <c r="B468" s="3747" t="s">
        <v>837</v>
      </c>
      <c r="C468" s="3738">
        <v>10005326</v>
      </c>
      <c r="D468" s="376"/>
      <c r="E468" s="376"/>
      <c r="F468" s="376"/>
      <c r="G468" s="376"/>
      <c r="H468" s="376"/>
      <c r="I468" s="376"/>
      <c r="J468" s="376"/>
    </row>
    <row r="469" spans="1:10" ht="25.5" hidden="1">
      <c r="A469" s="1718">
        <v>467</v>
      </c>
      <c r="B469" s="3747" t="s">
        <v>837</v>
      </c>
      <c r="C469" s="3738">
        <v>10005327</v>
      </c>
      <c r="D469" s="376"/>
      <c r="E469" s="376"/>
      <c r="F469" s="376"/>
      <c r="G469" s="376"/>
      <c r="H469" s="376"/>
      <c r="I469" s="376"/>
      <c r="J469" s="376"/>
    </row>
    <row r="470" spans="1:10" ht="25.5" hidden="1">
      <c r="A470" s="1718">
        <v>468</v>
      </c>
      <c r="B470" s="3747" t="s">
        <v>837</v>
      </c>
      <c r="C470" s="3738">
        <v>10005329</v>
      </c>
      <c r="D470" s="376"/>
      <c r="E470" s="376"/>
      <c r="F470" s="376"/>
      <c r="G470" s="376"/>
      <c r="H470" s="376"/>
      <c r="I470" s="376"/>
      <c r="J470" s="376"/>
    </row>
    <row r="471" spans="1:10" ht="25.5" hidden="1">
      <c r="A471" s="1718">
        <v>469</v>
      </c>
      <c r="B471" s="3747" t="s">
        <v>837</v>
      </c>
      <c r="C471" s="3738">
        <v>10005330</v>
      </c>
      <c r="D471" s="376"/>
      <c r="E471" s="376"/>
      <c r="F471" s="376"/>
      <c r="G471" s="376"/>
      <c r="H471" s="376"/>
      <c r="I471" s="376"/>
      <c r="J471" s="376"/>
    </row>
    <row r="472" spans="1:10" ht="25.5" hidden="1">
      <c r="A472" s="1718">
        <v>470</v>
      </c>
      <c r="B472" s="3747" t="s">
        <v>837</v>
      </c>
      <c r="C472" s="3738">
        <v>10005333</v>
      </c>
      <c r="D472" s="376"/>
      <c r="E472" s="376"/>
      <c r="F472" s="376"/>
      <c r="G472" s="376"/>
      <c r="H472" s="376"/>
      <c r="I472" s="376"/>
      <c r="J472" s="376"/>
    </row>
    <row r="473" spans="1:10" ht="25.5" hidden="1">
      <c r="A473" s="1718">
        <v>471</v>
      </c>
      <c r="B473" s="3747" t="s">
        <v>837</v>
      </c>
      <c r="C473" s="3738">
        <v>10005334</v>
      </c>
      <c r="D473" s="376"/>
      <c r="E473" s="376"/>
      <c r="F473" s="376"/>
      <c r="G473" s="376"/>
      <c r="H473" s="376"/>
      <c r="I473" s="376"/>
      <c r="J473" s="376"/>
    </row>
    <row r="474" spans="1:10" ht="25.5" hidden="1">
      <c r="A474" s="1718">
        <v>472</v>
      </c>
      <c r="B474" s="3747" t="s">
        <v>837</v>
      </c>
      <c r="C474" s="3738">
        <v>10005335</v>
      </c>
      <c r="D474" s="376"/>
      <c r="E474" s="376"/>
      <c r="F474" s="376"/>
      <c r="G474" s="376"/>
      <c r="H474" s="376"/>
      <c r="I474" s="376"/>
      <c r="J474" s="376"/>
    </row>
    <row r="475" spans="1:10" ht="25.5" hidden="1">
      <c r="A475" s="1718">
        <v>473</v>
      </c>
      <c r="B475" s="3747" t="s">
        <v>837</v>
      </c>
      <c r="C475" s="3738">
        <v>10005336</v>
      </c>
      <c r="D475" s="376"/>
      <c r="E475" s="376"/>
      <c r="F475" s="376"/>
      <c r="G475" s="376"/>
      <c r="H475" s="376"/>
      <c r="I475" s="376"/>
      <c r="J475" s="376"/>
    </row>
    <row r="476" spans="1:10" ht="25.5" hidden="1">
      <c r="A476" s="1718">
        <v>474</v>
      </c>
      <c r="B476" s="3747" t="s">
        <v>837</v>
      </c>
      <c r="C476" s="3738">
        <v>10005337</v>
      </c>
      <c r="D476" s="376"/>
      <c r="E476" s="376"/>
      <c r="F476" s="376"/>
      <c r="G476" s="376"/>
      <c r="H476" s="376"/>
      <c r="I476" s="376"/>
      <c r="J476" s="376"/>
    </row>
    <row r="477" spans="1:10" ht="25.5" hidden="1">
      <c r="A477" s="1718">
        <v>475</v>
      </c>
      <c r="B477" s="3747" t="s">
        <v>837</v>
      </c>
      <c r="C477" s="3738">
        <v>10005338</v>
      </c>
      <c r="D477" s="376"/>
      <c r="E477" s="376"/>
      <c r="F477" s="376"/>
      <c r="G477" s="376"/>
      <c r="H477" s="376"/>
      <c r="I477" s="376"/>
      <c r="J477" s="376"/>
    </row>
    <row r="478" spans="1:10" ht="25.5" hidden="1">
      <c r="A478" s="1718">
        <v>476</v>
      </c>
      <c r="B478" s="3747" t="s">
        <v>837</v>
      </c>
      <c r="C478" s="3738">
        <v>10005340</v>
      </c>
      <c r="D478" s="376"/>
      <c r="E478" s="376"/>
      <c r="F478" s="376"/>
      <c r="G478" s="376"/>
      <c r="H478" s="376"/>
      <c r="I478" s="376"/>
      <c r="J478" s="376"/>
    </row>
    <row r="479" spans="1:10" ht="25.5" hidden="1">
      <c r="A479" s="1718">
        <v>477</v>
      </c>
      <c r="B479" s="3747" t="s">
        <v>837</v>
      </c>
      <c r="C479" s="3738">
        <v>10005341</v>
      </c>
      <c r="D479" s="376"/>
      <c r="E479" s="376"/>
      <c r="F479" s="376"/>
      <c r="G479" s="376"/>
      <c r="H479" s="376"/>
      <c r="I479" s="376"/>
      <c r="J479" s="376"/>
    </row>
    <row r="480" spans="1:10" ht="25.5" hidden="1">
      <c r="A480" s="1718">
        <v>478</v>
      </c>
      <c r="B480" s="3747" t="s">
        <v>837</v>
      </c>
      <c r="C480" s="3738">
        <v>10005342</v>
      </c>
      <c r="D480" s="376"/>
      <c r="E480" s="376"/>
      <c r="F480" s="376"/>
      <c r="G480" s="376"/>
      <c r="H480" s="376"/>
      <c r="I480" s="376"/>
      <c r="J480" s="376"/>
    </row>
    <row r="481" spans="1:10" ht="25.5" hidden="1">
      <c r="A481" s="1718">
        <v>479</v>
      </c>
      <c r="B481" s="3747" t="s">
        <v>837</v>
      </c>
      <c r="C481" s="3738">
        <v>10005343</v>
      </c>
      <c r="D481" s="376"/>
      <c r="E481" s="376"/>
      <c r="F481" s="376"/>
      <c r="G481" s="376"/>
      <c r="H481" s="376"/>
      <c r="I481" s="376"/>
      <c r="J481" s="376"/>
    </row>
    <row r="482" spans="1:10" ht="25.5" hidden="1">
      <c r="A482" s="1718">
        <v>480</v>
      </c>
      <c r="B482" s="3747" t="s">
        <v>837</v>
      </c>
      <c r="C482" s="3738">
        <v>10005344</v>
      </c>
      <c r="D482" s="376"/>
      <c r="E482" s="376"/>
      <c r="F482" s="376"/>
      <c r="G482" s="376"/>
      <c r="H482" s="376"/>
      <c r="I482" s="376"/>
      <c r="J482" s="376"/>
    </row>
    <row r="483" spans="1:10" ht="25.5" hidden="1">
      <c r="A483" s="1718">
        <v>481</v>
      </c>
      <c r="B483" s="3747" t="s">
        <v>837</v>
      </c>
      <c r="C483" s="3738">
        <v>10005345</v>
      </c>
      <c r="D483" s="376"/>
      <c r="E483" s="376"/>
      <c r="F483" s="376"/>
      <c r="G483" s="376"/>
      <c r="H483" s="376"/>
      <c r="I483" s="376"/>
      <c r="J483" s="376"/>
    </row>
    <row r="484" spans="1:10" ht="25.5" hidden="1">
      <c r="A484" s="1718">
        <v>482</v>
      </c>
      <c r="B484" s="3747" t="s">
        <v>837</v>
      </c>
      <c r="C484" s="3738">
        <v>10005346</v>
      </c>
      <c r="D484" s="376"/>
      <c r="E484" s="376"/>
      <c r="F484" s="376"/>
      <c r="G484" s="376"/>
      <c r="H484" s="376"/>
      <c r="I484" s="376"/>
      <c r="J484" s="376"/>
    </row>
    <row r="485" spans="1:10" ht="25.5" hidden="1">
      <c r="A485" s="1718">
        <v>483</v>
      </c>
      <c r="B485" s="3747" t="s">
        <v>837</v>
      </c>
      <c r="C485" s="3738">
        <v>10005347</v>
      </c>
      <c r="D485" s="376"/>
      <c r="E485" s="376"/>
      <c r="F485" s="376"/>
      <c r="G485" s="376"/>
      <c r="H485" s="376"/>
      <c r="I485" s="376"/>
      <c r="J485" s="376"/>
    </row>
    <row r="486" spans="1:10" ht="25.5" hidden="1">
      <c r="A486" s="1718">
        <v>484</v>
      </c>
      <c r="B486" s="3747" t="s">
        <v>837</v>
      </c>
      <c r="C486" s="3738">
        <v>10005348</v>
      </c>
      <c r="D486" s="376"/>
      <c r="E486" s="376"/>
      <c r="F486" s="376"/>
      <c r="G486" s="376"/>
      <c r="H486" s="376"/>
      <c r="I486" s="376"/>
      <c r="J486" s="376"/>
    </row>
    <row r="487" spans="1:10" ht="25.5" hidden="1">
      <c r="A487" s="1718">
        <v>485</v>
      </c>
      <c r="B487" s="3747" t="s">
        <v>837</v>
      </c>
      <c r="C487" s="3738">
        <v>10005349</v>
      </c>
      <c r="D487" s="376"/>
      <c r="E487" s="376"/>
      <c r="F487" s="376"/>
      <c r="G487" s="376"/>
      <c r="H487" s="376"/>
      <c r="I487" s="376"/>
      <c r="J487" s="376"/>
    </row>
    <row r="488" spans="1:10" ht="25.5" hidden="1">
      <c r="A488" s="1718">
        <v>486</v>
      </c>
      <c r="B488" s="3747" t="s">
        <v>837</v>
      </c>
      <c r="C488" s="3738">
        <v>10005350</v>
      </c>
      <c r="D488" s="376"/>
      <c r="E488" s="376"/>
      <c r="F488" s="376"/>
      <c r="G488" s="376"/>
      <c r="H488" s="376"/>
      <c r="I488" s="376"/>
      <c r="J488" s="376"/>
    </row>
    <row r="489" spans="1:10" hidden="1">
      <c r="A489" s="1718">
        <v>487</v>
      </c>
      <c r="B489" s="3737" t="s">
        <v>838</v>
      </c>
      <c r="C489" s="3738">
        <v>10005331</v>
      </c>
      <c r="D489" s="376"/>
      <c r="E489" s="376"/>
      <c r="F489" s="376"/>
      <c r="G489" s="376"/>
      <c r="H489" s="376"/>
      <c r="I489" s="376"/>
      <c r="J489" s="376"/>
    </row>
    <row r="490" spans="1:10" ht="25.5" hidden="1">
      <c r="A490" s="1718">
        <v>488</v>
      </c>
      <c r="B490" s="3747" t="s">
        <v>837</v>
      </c>
      <c r="C490" s="3738">
        <v>10005353</v>
      </c>
      <c r="D490" s="376"/>
      <c r="E490" s="376"/>
      <c r="F490" s="376"/>
      <c r="G490" s="376"/>
      <c r="H490" s="376"/>
      <c r="I490" s="376"/>
      <c r="J490" s="376"/>
    </row>
    <row r="491" spans="1:10" ht="25.5" hidden="1">
      <c r="A491" s="1718">
        <v>489</v>
      </c>
      <c r="B491" s="3747" t="s">
        <v>837</v>
      </c>
      <c r="C491" s="3738">
        <v>10005355</v>
      </c>
      <c r="D491" s="376"/>
      <c r="E491" s="376"/>
      <c r="F491" s="376"/>
      <c r="G491" s="376"/>
      <c r="H491" s="376"/>
      <c r="I491" s="376"/>
      <c r="J491" s="376"/>
    </row>
    <row r="492" spans="1:10" ht="25.5" hidden="1">
      <c r="A492" s="1718">
        <v>490</v>
      </c>
      <c r="B492" s="3747" t="s">
        <v>837</v>
      </c>
      <c r="C492" s="3738">
        <v>10005356</v>
      </c>
      <c r="D492" s="376"/>
      <c r="E492" s="376"/>
      <c r="F492" s="376"/>
      <c r="G492" s="376"/>
      <c r="H492" s="376"/>
      <c r="I492" s="376"/>
      <c r="J492" s="376"/>
    </row>
    <row r="493" spans="1:10" ht="25.5" hidden="1">
      <c r="A493" s="1718">
        <v>491</v>
      </c>
      <c r="B493" s="3747" t="s">
        <v>837</v>
      </c>
      <c r="C493" s="3738">
        <v>10005357</v>
      </c>
      <c r="D493" s="376"/>
      <c r="E493" s="376"/>
      <c r="F493" s="376"/>
      <c r="G493" s="376"/>
      <c r="H493" s="376"/>
      <c r="I493" s="376"/>
      <c r="J493" s="376"/>
    </row>
    <row r="494" spans="1:10" ht="25.5" hidden="1">
      <c r="A494" s="1718">
        <v>492</v>
      </c>
      <c r="B494" s="3747" t="s">
        <v>837</v>
      </c>
      <c r="C494" s="3738">
        <v>10005358</v>
      </c>
      <c r="D494" s="376"/>
      <c r="E494" s="376"/>
      <c r="F494" s="376"/>
      <c r="G494" s="376"/>
      <c r="H494" s="376"/>
      <c r="I494" s="376"/>
      <c r="J494" s="376"/>
    </row>
    <row r="495" spans="1:10" ht="25.5" hidden="1">
      <c r="A495" s="1718">
        <v>493</v>
      </c>
      <c r="B495" s="3747" t="s">
        <v>837</v>
      </c>
      <c r="C495" s="3738">
        <v>10005359</v>
      </c>
      <c r="D495" s="376"/>
      <c r="E495" s="376"/>
      <c r="F495" s="376"/>
      <c r="G495" s="376"/>
      <c r="H495" s="376"/>
      <c r="I495" s="376"/>
      <c r="J495" s="376"/>
    </row>
    <row r="496" spans="1:10" ht="25.5" hidden="1">
      <c r="A496" s="1718">
        <v>494</v>
      </c>
      <c r="B496" s="3747" t="s">
        <v>837</v>
      </c>
      <c r="C496" s="3738">
        <v>10005360</v>
      </c>
      <c r="D496" s="376"/>
      <c r="E496" s="376"/>
      <c r="F496" s="376"/>
      <c r="G496" s="376"/>
      <c r="H496" s="376"/>
      <c r="I496" s="376"/>
      <c r="J496" s="376"/>
    </row>
    <row r="497" spans="1:10" ht="25.5" hidden="1">
      <c r="A497" s="1718">
        <v>495</v>
      </c>
      <c r="B497" s="3747" t="s">
        <v>837</v>
      </c>
      <c r="C497" s="3738">
        <v>10005361</v>
      </c>
      <c r="D497" s="376"/>
      <c r="E497" s="376"/>
      <c r="F497" s="376"/>
      <c r="G497" s="376"/>
      <c r="H497" s="376"/>
      <c r="I497" s="376"/>
      <c r="J497" s="376"/>
    </row>
    <row r="498" spans="1:10" ht="25.5" hidden="1">
      <c r="A498" s="1718">
        <v>496</v>
      </c>
      <c r="B498" s="3747" t="s">
        <v>837</v>
      </c>
      <c r="C498" s="3738">
        <v>10005362</v>
      </c>
      <c r="D498" s="376"/>
      <c r="E498" s="376"/>
      <c r="F498" s="376"/>
      <c r="G498" s="376"/>
      <c r="H498" s="376"/>
      <c r="I498" s="376"/>
      <c r="J498" s="376"/>
    </row>
    <row r="499" spans="1:10" ht="25.5" hidden="1">
      <c r="A499" s="1718">
        <v>497</v>
      </c>
      <c r="B499" s="3747" t="s">
        <v>837</v>
      </c>
      <c r="C499" s="3738">
        <v>10005363</v>
      </c>
      <c r="D499" s="376"/>
      <c r="E499" s="376"/>
      <c r="F499" s="376"/>
      <c r="G499" s="376"/>
      <c r="H499" s="376"/>
      <c r="I499" s="376"/>
      <c r="J499" s="376"/>
    </row>
    <row r="500" spans="1:10" ht="25.5" hidden="1">
      <c r="A500" s="1718">
        <v>498</v>
      </c>
      <c r="B500" s="3747" t="s">
        <v>837</v>
      </c>
      <c r="C500" s="3738">
        <v>10005365</v>
      </c>
      <c r="D500" s="376"/>
      <c r="E500" s="376"/>
      <c r="F500" s="376"/>
      <c r="G500" s="376"/>
      <c r="H500" s="376"/>
      <c r="I500" s="376"/>
      <c r="J500" s="376"/>
    </row>
    <row r="501" spans="1:10" ht="25.5" hidden="1">
      <c r="A501" s="1718">
        <v>499</v>
      </c>
      <c r="B501" s="3747" t="s">
        <v>837</v>
      </c>
      <c r="C501" s="3738">
        <v>10005366</v>
      </c>
      <c r="D501" s="376"/>
      <c r="E501" s="376"/>
      <c r="F501" s="376"/>
      <c r="G501" s="376"/>
      <c r="H501" s="376"/>
      <c r="I501" s="376"/>
      <c r="J501" s="376"/>
    </row>
    <row r="502" spans="1:10" ht="25.5" hidden="1">
      <c r="A502" s="1718">
        <v>500</v>
      </c>
      <c r="B502" s="3747" t="s">
        <v>837</v>
      </c>
      <c r="C502" s="3738">
        <v>10005367</v>
      </c>
      <c r="D502" s="376"/>
      <c r="E502" s="376"/>
      <c r="F502" s="376"/>
      <c r="G502" s="376"/>
      <c r="H502" s="376"/>
      <c r="I502" s="376"/>
      <c r="J502" s="376"/>
    </row>
    <row r="503" spans="1:10" ht="25.5" hidden="1">
      <c r="A503" s="1718">
        <v>501</v>
      </c>
      <c r="B503" s="3747" t="s">
        <v>837</v>
      </c>
      <c r="C503" s="3738">
        <v>10005368</v>
      </c>
      <c r="D503" s="376"/>
      <c r="E503" s="376"/>
      <c r="F503" s="376"/>
      <c r="G503" s="376"/>
      <c r="H503" s="376"/>
      <c r="I503" s="376"/>
      <c r="J503" s="376"/>
    </row>
    <row r="504" spans="1:10" ht="25.5" hidden="1">
      <c r="A504" s="1718">
        <v>502</v>
      </c>
      <c r="B504" s="3747" t="s">
        <v>837</v>
      </c>
      <c r="C504" s="3738">
        <v>10005369</v>
      </c>
      <c r="D504" s="376"/>
      <c r="E504" s="376"/>
      <c r="F504" s="376"/>
      <c r="G504" s="376"/>
      <c r="H504" s="376"/>
      <c r="I504" s="376"/>
      <c r="J504" s="376"/>
    </row>
    <row r="505" spans="1:10" ht="25.5" hidden="1">
      <c r="A505" s="1718">
        <v>503</v>
      </c>
      <c r="B505" s="3747" t="s">
        <v>837</v>
      </c>
      <c r="C505" s="3738">
        <v>10005370</v>
      </c>
      <c r="D505" s="376"/>
      <c r="E505" s="376"/>
      <c r="F505" s="376"/>
      <c r="G505" s="376"/>
      <c r="H505" s="376"/>
      <c r="I505" s="376"/>
      <c r="J505" s="376"/>
    </row>
    <row r="506" spans="1:10" ht="25.5" hidden="1">
      <c r="A506" s="1718">
        <v>504</v>
      </c>
      <c r="B506" s="3747" t="s">
        <v>837</v>
      </c>
      <c r="C506" s="3738">
        <v>10005371</v>
      </c>
      <c r="D506" s="376"/>
      <c r="E506" s="376"/>
      <c r="F506" s="376"/>
      <c r="G506" s="376"/>
      <c r="H506" s="376"/>
      <c r="I506" s="376"/>
      <c r="J506" s="376"/>
    </row>
    <row r="507" spans="1:10" ht="25.5" hidden="1">
      <c r="A507" s="1718">
        <v>505</v>
      </c>
      <c r="B507" s="3747" t="s">
        <v>837</v>
      </c>
      <c r="C507" s="3738">
        <v>10005372</v>
      </c>
      <c r="D507" s="376"/>
      <c r="E507" s="376"/>
      <c r="F507" s="376"/>
      <c r="G507" s="376"/>
      <c r="H507" s="376"/>
      <c r="I507" s="376"/>
      <c r="J507" s="376"/>
    </row>
    <row r="508" spans="1:10" ht="25.5" hidden="1">
      <c r="A508" s="1718">
        <v>506</v>
      </c>
      <c r="B508" s="3747" t="s">
        <v>837</v>
      </c>
      <c r="C508" s="3738">
        <v>10005373</v>
      </c>
      <c r="D508" s="376"/>
      <c r="E508" s="376"/>
      <c r="F508" s="376"/>
      <c r="G508" s="376"/>
      <c r="H508" s="376"/>
      <c r="I508" s="376"/>
      <c r="J508" s="376"/>
    </row>
    <row r="509" spans="1:10" ht="25.5" hidden="1">
      <c r="A509" s="1718">
        <v>507</v>
      </c>
      <c r="B509" s="3747" t="s">
        <v>837</v>
      </c>
      <c r="C509" s="3738">
        <v>10005374</v>
      </c>
      <c r="D509" s="376"/>
      <c r="E509" s="376"/>
      <c r="F509" s="376"/>
      <c r="G509" s="376"/>
      <c r="H509" s="376"/>
      <c r="I509" s="376"/>
      <c r="J509" s="376"/>
    </row>
    <row r="510" spans="1:10" ht="25.5" hidden="1">
      <c r="A510" s="1718">
        <v>508</v>
      </c>
      <c r="B510" s="3747" t="s">
        <v>837</v>
      </c>
      <c r="C510" s="3738">
        <v>10005375</v>
      </c>
      <c r="D510" s="376"/>
      <c r="E510" s="376"/>
      <c r="F510" s="376"/>
      <c r="G510" s="376"/>
      <c r="H510" s="376"/>
      <c r="I510" s="376"/>
      <c r="J510" s="376"/>
    </row>
    <row r="511" spans="1:10" ht="25.5" hidden="1">
      <c r="A511" s="1718">
        <v>509</v>
      </c>
      <c r="B511" s="3747" t="s">
        <v>837</v>
      </c>
      <c r="C511" s="3738">
        <v>10005376</v>
      </c>
      <c r="D511" s="376"/>
      <c r="E511" s="376"/>
      <c r="F511" s="376"/>
      <c r="G511" s="376"/>
      <c r="H511" s="376"/>
      <c r="I511" s="376"/>
      <c r="J511" s="376"/>
    </row>
    <row r="512" spans="1:10" ht="25.5" hidden="1">
      <c r="A512" s="1718">
        <v>510</v>
      </c>
      <c r="B512" s="3747" t="s">
        <v>837</v>
      </c>
      <c r="C512" s="3738">
        <v>10005377</v>
      </c>
      <c r="D512" s="376"/>
      <c r="E512" s="376"/>
      <c r="F512" s="376"/>
      <c r="G512" s="376"/>
      <c r="H512" s="376"/>
      <c r="I512" s="376"/>
      <c r="J512" s="376"/>
    </row>
    <row r="513" spans="1:10" ht="25.5" hidden="1">
      <c r="A513" s="1718">
        <v>511</v>
      </c>
      <c r="B513" s="3747" t="s">
        <v>837</v>
      </c>
      <c r="C513" s="3738">
        <v>10005378</v>
      </c>
      <c r="D513" s="376"/>
      <c r="E513" s="376"/>
      <c r="F513" s="376"/>
      <c r="G513" s="376"/>
      <c r="H513" s="376"/>
      <c r="I513" s="376"/>
      <c r="J513" s="376"/>
    </row>
    <row r="514" spans="1:10" ht="25.5" hidden="1">
      <c r="A514" s="1718">
        <v>512</v>
      </c>
      <c r="B514" s="3747" t="s">
        <v>837</v>
      </c>
      <c r="C514" s="3738">
        <v>10005379</v>
      </c>
      <c r="D514" s="376"/>
      <c r="E514" s="376"/>
      <c r="F514" s="376"/>
      <c r="G514" s="376"/>
      <c r="H514" s="376"/>
      <c r="I514" s="376"/>
      <c r="J514" s="376"/>
    </row>
    <row r="515" spans="1:10" ht="25.5" hidden="1">
      <c r="A515" s="1718">
        <v>513</v>
      </c>
      <c r="B515" s="3747" t="s">
        <v>837</v>
      </c>
      <c r="C515" s="3738">
        <v>10005380</v>
      </c>
      <c r="D515" s="376"/>
      <c r="E515" s="376"/>
      <c r="F515" s="376"/>
      <c r="G515" s="376"/>
      <c r="H515" s="376"/>
      <c r="I515" s="376"/>
      <c r="J515" s="376"/>
    </row>
    <row r="516" spans="1:10" ht="25.5" hidden="1">
      <c r="A516" s="1718">
        <v>514</v>
      </c>
      <c r="B516" s="3747" t="s">
        <v>837</v>
      </c>
      <c r="C516" s="3738">
        <v>10005381</v>
      </c>
      <c r="D516" s="376"/>
      <c r="E516" s="376"/>
      <c r="F516" s="376"/>
      <c r="G516" s="376"/>
      <c r="H516" s="376"/>
      <c r="I516" s="376"/>
      <c r="J516" s="376"/>
    </row>
    <row r="517" spans="1:10" ht="25.5" hidden="1">
      <c r="A517" s="1718">
        <v>515</v>
      </c>
      <c r="B517" s="3747" t="s">
        <v>837</v>
      </c>
      <c r="C517" s="3738">
        <v>10005382</v>
      </c>
      <c r="D517" s="376"/>
      <c r="E517" s="376"/>
      <c r="F517" s="376"/>
      <c r="G517" s="376"/>
      <c r="H517" s="376"/>
      <c r="I517" s="376"/>
      <c r="J517" s="376"/>
    </row>
    <row r="518" spans="1:10" ht="25.5" hidden="1">
      <c r="A518" s="1718">
        <v>516</v>
      </c>
      <c r="B518" s="3747" t="s">
        <v>837</v>
      </c>
      <c r="C518" s="3738">
        <v>10005383</v>
      </c>
      <c r="D518" s="376"/>
      <c r="E518" s="376"/>
      <c r="F518" s="376"/>
      <c r="G518" s="376"/>
      <c r="H518" s="376"/>
      <c r="I518" s="376"/>
      <c r="J518" s="376"/>
    </row>
    <row r="519" spans="1:10" ht="25.5" hidden="1">
      <c r="A519" s="1718">
        <v>517</v>
      </c>
      <c r="B519" s="3747" t="s">
        <v>837</v>
      </c>
      <c r="C519" s="3738">
        <v>10005384</v>
      </c>
      <c r="D519" s="376"/>
      <c r="E519" s="376"/>
      <c r="F519" s="376"/>
      <c r="G519" s="376"/>
      <c r="H519" s="376"/>
      <c r="I519" s="376"/>
      <c r="J519" s="376"/>
    </row>
    <row r="520" spans="1:10" ht="25.5" hidden="1">
      <c r="A520" s="1718">
        <v>518</v>
      </c>
      <c r="B520" s="3747" t="s">
        <v>837</v>
      </c>
      <c r="C520" s="3738">
        <v>10005385</v>
      </c>
      <c r="D520" s="376"/>
      <c r="E520" s="376"/>
      <c r="F520" s="376"/>
      <c r="G520" s="376"/>
      <c r="H520" s="376"/>
      <c r="I520" s="376"/>
      <c r="J520" s="376"/>
    </row>
    <row r="521" spans="1:10" ht="25.5" hidden="1">
      <c r="A521" s="1718">
        <v>519</v>
      </c>
      <c r="B521" s="3747" t="s">
        <v>837</v>
      </c>
      <c r="C521" s="3738">
        <v>10005386</v>
      </c>
      <c r="D521" s="376"/>
      <c r="E521" s="376"/>
      <c r="F521" s="376"/>
      <c r="G521" s="376"/>
      <c r="H521" s="376"/>
      <c r="I521" s="376"/>
      <c r="J521" s="376"/>
    </row>
    <row r="522" spans="1:10" ht="25.5" hidden="1">
      <c r="A522" s="1718">
        <v>520</v>
      </c>
      <c r="B522" s="3747" t="s">
        <v>837</v>
      </c>
      <c r="C522" s="3738">
        <v>10005387</v>
      </c>
      <c r="D522" s="376"/>
      <c r="E522" s="376"/>
      <c r="F522" s="376"/>
      <c r="G522" s="376"/>
      <c r="H522" s="376"/>
      <c r="I522" s="376"/>
      <c r="J522" s="376"/>
    </row>
    <row r="523" spans="1:10" ht="25.5" hidden="1">
      <c r="A523" s="1718">
        <v>521</v>
      </c>
      <c r="B523" s="3747" t="s">
        <v>837</v>
      </c>
      <c r="C523" s="3738">
        <v>10005388</v>
      </c>
      <c r="D523" s="376"/>
      <c r="E523" s="376"/>
      <c r="F523" s="376"/>
      <c r="G523" s="376"/>
      <c r="H523" s="376"/>
      <c r="I523" s="376"/>
      <c r="J523" s="376"/>
    </row>
    <row r="524" spans="1:10" ht="25.5" hidden="1">
      <c r="A524" s="1718">
        <v>522</v>
      </c>
      <c r="B524" s="3747" t="s">
        <v>837</v>
      </c>
      <c r="C524" s="3738">
        <v>10005389</v>
      </c>
      <c r="D524" s="376"/>
      <c r="E524" s="376"/>
      <c r="F524" s="376"/>
      <c r="G524" s="376"/>
      <c r="H524" s="376"/>
      <c r="I524" s="376"/>
      <c r="J524" s="376"/>
    </row>
    <row r="525" spans="1:10" ht="25.5" hidden="1">
      <c r="A525" s="1718">
        <v>523</v>
      </c>
      <c r="B525" s="3747" t="s">
        <v>837</v>
      </c>
      <c r="C525" s="3738">
        <v>10005390</v>
      </c>
      <c r="D525" s="376"/>
      <c r="E525" s="376"/>
      <c r="F525" s="376"/>
      <c r="G525" s="376"/>
      <c r="H525" s="376"/>
      <c r="I525" s="376"/>
      <c r="J525" s="376"/>
    </row>
    <row r="526" spans="1:10" ht="25.5" hidden="1">
      <c r="A526" s="1718">
        <v>524</v>
      </c>
      <c r="B526" s="3747" t="s">
        <v>837</v>
      </c>
      <c r="C526" s="3738">
        <v>10005391</v>
      </c>
      <c r="D526" s="376"/>
      <c r="E526" s="376"/>
      <c r="F526" s="376"/>
      <c r="G526" s="376"/>
      <c r="H526" s="376"/>
      <c r="I526" s="376"/>
      <c r="J526" s="376"/>
    </row>
    <row r="527" spans="1:10" ht="25.5" hidden="1">
      <c r="A527" s="1718">
        <v>525</v>
      </c>
      <c r="B527" s="3747" t="s">
        <v>837</v>
      </c>
      <c r="C527" s="3738">
        <v>10005392</v>
      </c>
      <c r="D527" s="376"/>
      <c r="E527" s="376"/>
      <c r="F527" s="376"/>
      <c r="G527" s="376"/>
      <c r="H527" s="376"/>
      <c r="I527" s="376"/>
      <c r="J527" s="376"/>
    </row>
    <row r="528" spans="1:10" ht="25.5" hidden="1">
      <c r="A528" s="1718">
        <v>526</v>
      </c>
      <c r="B528" s="3747" t="s">
        <v>837</v>
      </c>
      <c r="C528" s="3738">
        <v>10005393</v>
      </c>
      <c r="D528" s="376"/>
      <c r="E528" s="376"/>
      <c r="F528" s="376"/>
      <c r="G528" s="376"/>
      <c r="H528" s="376"/>
      <c r="I528" s="376"/>
      <c r="J528" s="376"/>
    </row>
    <row r="529" spans="1:10" ht="25.5" hidden="1">
      <c r="A529" s="1718">
        <v>527</v>
      </c>
      <c r="B529" s="3747" t="s">
        <v>837</v>
      </c>
      <c r="C529" s="3738">
        <v>10005394</v>
      </c>
      <c r="D529" s="376"/>
      <c r="E529" s="376"/>
      <c r="F529" s="376"/>
      <c r="G529" s="376"/>
      <c r="H529" s="376"/>
      <c r="I529" s="376"/>
      <c r="J529" s="376"/>
    </row>
    <row r="530" spans="1:10" ht="25.5" hidden="1">
      <c r="A530" s="1718">
        <v>528</v>
      </c>
      <c r="B530" s="3747" t="s">
        <v>837</v>
      </c>
      <c r="C530" s="3738">
        <v>10005395</v>
      </c>
      <c r="D530" s="376"/>
      <c r="E530" s="376"/>
      <c r="F530" s="376"/>
      <c r="G530" s="376"/>
      <c r="H530" s="376"/>
      <c r="I530" s="376"/>
      <c r="J530" s="376"/>
    </row>
    <row r="531" spans="1:10" ht="25.5" hidden="1">
      <c r="A531" s="1718">
        <v>529</v>
      </c>
      <c r="B531" s="3747" t="s">
        <v>837</v>
      </c>
      <c r="C531" s="3738">
        <v>10005396</v>
      </c>
      <c r="D531" s="376"/>
      <c r="E531" s="376"/>
      <c r="F531" s="376"/>
      <c r="G531" s="376"/>
      <c r="H531" s="376"/>
      <c r="I531" s="376"/>
      <c r="J531" s="376"/>
    </row>
    <row r="532" spans="1:10" ht="25.5" hidden="1">
      <c r="A532" s="1718">
        <v>530</v>
      </c>
      <c r="B532" s="3747" t="s">
        <v>837</v>
      </c>
      <c r="C532" s="3738">
        <v>10005397</v>
      </c>
      <c r="D532" s="376"/>
      <c r="E532" s="376"/>
      <c r="F532" s="376"/>
      <c r="G532" s="376"/>
      <c r="H532" s="376"/>
      <c r="I532" s="376"/>
      <c r="J532" s="376"/>
    </row>
    <row r="533" spans="1:10" ht="25.5" hidden="1">
      <c r="A533" s="1718">
        <v>531</v>
      </c>
      <c r="B533" s="3747" t="s">
        <v>837</v>
      </c>
      <c r="C533" s="3738">
        <v>10005398</v>
      </c>
      <c r="D533" s="376"/>
      <c r="E533" s="376"/>
      <c r="F533" s="376"/>
      <c r="G533" s="376"/>
      <c r="H533" s="376"/>
      <c r="I533" s="376"/>
      <c r="J533" s="376"/>
    </row>
    <row r="534" spans="1:10" ht="25.5" hidden="1">
      <c r="A534" s="1718">
        <v>532</v>
      </c>
      <c r="B534" s="3747" t="s">
        <v>837</v>
      </c>
      <c r="C534" s="3738">
        <v>10005399</v>
      </c>
      <c r="D534" s="376"/>
      <c r="E534" s="376"/>
      <c r="F534" s="376"/>
      <c r="G534" s="376"/>
      <c r="H534" s="376"/>
      <c r="I534" s="376"/>
      <c r="J534" s="376"/>
    </row>
    <row r="535" spans="1:10" ht="25.5" hidden="1">
      <c r="A535" s="1718">
        <v>533</v>
      </c>
      <c r="B535" s="3747" t="s">
        <v>837</v>
      </c>
      <c r="C535" s="3738">
        <v>10005400</v>
      </c>
      <c r="D535" s="376"/>
      <c r="E535" s="376"/>
      <c r="F535" s="376"/>
      <c r="G535" s="376"/>
      <c r="H535" s="376"/>
      <c r="I535" s="376"/>
      <c r="J535" s="376"/>
    </row>
    <row r="536" spans="1:10" ht="25.5" hidden="1">
      <c r="A536" s="1718">
        <v>534</v>
      </c>
      <c r="B536" s="3747" t="s">
        <v>837</v>
      </c>
      <c r="C536" s="3738">
        <v>10005401</v>
      </c>
      <c r="D536" s="376"/>
      <c r="E536" s="376"/>
      <c r="F536" s="376"/>
      <c r="G536" s="376"/>
      <c r="H536" s="376"/>
      <c r="I536" s="376"/>
      <c r="J536" s="376"/>
    </row>
    <row r="537" spans="1:10" ht="25.5" hidden="1">
      <c r="A537" s="1718">
        <v>535</v>
      </c>
      <c r="B537" s="3747" t="s">
        <v>837</v>
      </c>
      <c r="C537" s="3738">
        <v>10005402</v>
      </c>
      <c r="D537" s="376"/>
      <c r="E537" s="376"/>
      <c r="F537" s="376"/>
      <c r="G537" s="376"/>
      <c r="H537" s="376"/>
      <c r="I537" s="376"/>
      <c r="J537" s="376"/>
    </row>
    <row r="538" spans="1:10" ht="25.5" hidden="1">
      <c r="A538" s="1718">
        <v>536</v>
      </c>
      <c r="B538" s="3747" t="s">
        <v>837</v>
      </c>
      <c r="C538" s="3738">
        <v>10005403</v>
      </c>
      <c r="D538" s="376"/>
      <c r="E538" s="376"/>
      <c r="F538" s="376"/>
      <c r="G538" s="376"/>
      <c r="H538" s="376"/>
      <c r="I538" s="376"/>
      <c r="J538" s="376"/>
    </row>
    <row r="539" spans="1:10" ht="25.5" hidden="1">
      <c r="A539" s="1718">
        <v>537</v>
      </c>
      <c r="B539" s="3747" t="s">
        <v>837</v>
      </c>
      <c r="C539" s="3738">
        <v>10005404</v>
      </c>
      <c r="D539" s="376"/>
      <c r="E539" s="376"/>
      <c r="F539" s="376"/>
      <c r="G539" s="376"/>
      <c r="H539" s="376"/>
      <c r="I539" s="376"/>
      <c r="J539" s="376"/>
    </row>
    <row r="540" spans="1:10" ht="25.5" hidden="1">
      <c r="A540" s="1718">
        <v>538</v>
      </c>
      <c r="B540" s="3747" t="s">
        <v>837</v>
      </c>
      <c r="C540" s="3738">
        <v>10005405</v>
      </c>
      <c r="D540" s="376"/>
      <c r="E540" s="376"/>
      <c r="F540" s="376"/>
      <c r="G540" s="376"/>
      <c r="H540" s="376"/>
      <c r="I540" s="376"/>
      <c r="J540" s="376"/>
    </row>
    <row r="541" spans="1:10" ht="25.5" hidden="1">
      <c r="A541" s="1718">
        <v>539</v>
      </c>
      <c r="B541" s="3747" t="s">
        <v>837</v>
      </c>
      <c r="C541" s="3738">
        <v>10005406</v>
      </c>
      <c r="D541" s="376"/>
      <c r="E541" s="376"/>
      <c r="F541" s="376"/>
      <c r="G541" s="376"/>
      <c r="H541" s="376"/>
      <c r="I541" s="376"/>
      <c r="J541" s="376"/>
    </row>
    <row r="542" spans="1:10" ht="25.5" hidden="1">
      <c r="A542" s="1718">
        <v>540</v>
      </c>
      <c r="B542" s="3747" t="s">
        <v>837</v>
      </c>
      <c r="C542" s="3738">
        <v>10005407</v>
      </c>
      <c r="D542" s="376"/>
      <c r="E542" s="376"/>
      <c r="F542" s="376"/>
      <c r="G542" s="376"/>
      <c r="H542" s="376"/>
      <c r="I542" s="376"/>
      <c r="J542" s="376"/>
    </row>
    <row r="543" spans="1:10" ht="25.5" hidden="1">
      <c r="A543" s="1718">
        <v>541</v>
      </c>
      <c r="B543" s="3747" t="s">
        <v>837</v>
      </c>
      <c r="C543" s="3738">
        <v>10005408</v>
      </c>
      <c r="D543" s="376"/>
      <c r="E543" s="376"/>
      <c r="F543" s="376"/>
      <c r="G543" s="376"/>
      <c r="H543" s="376"/>
      <c r="I543" s="376"/>
      <c r="J543" s="376"/>
    </row>
    <row r="544" spans="1:10" ht="25.5" hidden="1">
      <c r="A544" s="1718">
        <v>542</v>
      </c>
      <c r="B544" s="3747" t="s">
        <v>837</v>
      </c>
      <c r="C544" s="3738">
        <v>10005409</v>
      </c>
      <c r="D544" s="376"/>
      <c r="E544" s="376"/>
      <c r="F544" s="376"/>
      <c r="G544" s="376"/>
      <c r="H544" s="376"/>
      <c r="I544" s="376"/>
      <c r="J544" s="376"/>
    </row>
    <row r="545" spans="1:10" ht="25.5" hidden="1">
      <c r="A545" s="1718">
        <v>543</v>
      </c>
      <c r="B545" s="3747" t="s">
        <v>837</v>
      </c>
      <c r="C545" s="3738">
        <v>10005410</v>
      </c>
      <c r="D545" s="376"/>
      <c r="E545" s="376"/>
      <c r="F545" s="376"/>
      <c r="G545" s="376"/>
      <c r="H545" s="376"/>
      <c r="I545" s="376"/>
      <c r="J545" s="376"/>
    </row>
    <row r="546" spans="1:10" ht="25.5" hidden="1">
      <c r="A546" s="1718">
        <v>544</v>
      </c>
      <c r="B546" s="3747" t="s">
        <v>837</v>
      </c>
      <c r="C546" s="3738">
        <v>10005411</v>
      </c>
      <c r="D546" s="376"/>
      <c r="E546" s="376"/>
      <c r="F546" s="376"/>
      <c r="G546" s="376"/>
      <c r="H546" s="376"/>
      <c r="I546" s="376"/>
      <c r="J546" s="376"/>
    </row>
    <row r="547" spans="1:10" ht="25.5" hidden="1">
      <c r="A547" s="1718">
        <v>545</v>
      </c>
      <c r="B547" s="3747" t="s">
        <v>837</v>
      </c>
      <c r="C547" s="3738">
        <v>10005412</v>
      </c>
      <c r="D547" s="376"/>
      <c r="E547" s="376"/>
      <c r="F547" s="376"/>
      <c r="G547" s="376"/>
      <c r="H547" s="376"/>
      <c r="I547" s="376"/>
      <c r="J547" s="376"/>
    </row>
    <row r="548" spans="1:10" ht="25.5" hidden="1">
      <c r="A548" s="1718">
        <v>546</v>
      </c>
      <c r="B548" s="3747" t="s">
        <v>837</v>
      </c>
      <c r="C548" s="3738">
        <v>10005413</v>
      </c>
      <c r="D548" s="376"/>
      <c r="E548" s="376"/>
      <c r="F548" s="376"/>
      <c r="G548" s="376"/>
      <c r="H548" s="376"/>
      <c r="I548" s="376"/>
      <c r="J548" s="376"/>
    </row>
    <row r="549" spans="1:10" ht="25.5" hidden="1">
      <c r="A549" s="1718">
        <v>547</v>
      </c>
      <c r="B549" s="3747" t="s">
        <v>837</v>
      </c>
      <c r="C549" s="3738">
        <v>10005414</v>
      </c>
      <c r="D549" s="376"/>
      <c r="E549" s="376"/>
      <c r="F549" s="376"/>
      <c r="G549" s="376"/>
      <c r="H549" s="376"/>
      <c r="I549" s="376"/>
      <c r="J549" s="376"/>
    </row>
    <row r="550" spans="1:10" ht="25.5" hidden="1">
      <c r="A550" s="1718">
        <v>548</v>
      </c>
      <c r="B550" s="3747" t="s">
        <v>837</v>
      </c>
      <c r="C550" s="3738">
        <v>10005415</v>
      </c>
      <c r="D550" s="376"/>
      <c r="E550" s="376"/>
      <c r="F550" s="376"/>
      <c r="G550" s="376"/>
      <c r="H550" s="376"/>
      <c r="I550" s="376"/>
      <c r="J550" s="376"/>
    </row>
    <row r="551" spans="1:10" ht="25.5" hidden="1">
      <c r="A551" s="1718">
        <v>549</v>
      </c>
      <c r="B551" s="3747" t="s">
        <v>837</v>
      </c>
      <c r="C551" s="3738">
        <v>10005416</v>
      </c>
      <c r="D551" s="376"/>
      <c r="E551" s="376"/>
      <c r="F551" s="376"/>
      <c r="G551" s="376"/>
      <c r="H551" s="376"/>
      <c r="I551" s="376"/>
      <c r="J551" s="376"/>
    </row>
    <row r="552" spans="1:10" ht="25.5" hidden="1">
      <c r="A552" s="1718">
        <v>550</v>
      </c>
      <c r="B552" s="3747" t="s">
        <v>837</v>
      </c>
      <c r="C552" s="3738">
        <v>10005417</v>
      </c>
      <c r="D552" s="376"/>
      <c r="E552" s="376"/>
      <c r="F552" s="376"/>
      <c r="G552" s="376"/>
      <c r="H552" s="376"/>
      <c r="I552" s="376"/>
      <c r="J552" s="376"/>
    </row>
    <row r="553" spans="1:10" ht="25.5" hidden="1">
      <c r="A553" s="1718">
        <v>551</v>
      </c>
      <c r="B553" s="3747" t="s">
        <v>837</v>
      </c>
      <c r="C553" s="3738">
        <v>10005418</v>
      </c>
      <c r="D553" s="376"/>
      <c r="E553" s="376"/>
      <c r="F553" s="376"/>
      <c r="G553" s="376"/>
      <c r="H553" s="376"/>
      <c r="I553" s="376"/>
      <c r="J553" s="376"/>
    </row>
    <row r="554" spans="1:10" ht="25.5" hidden="1">
      <c r="A554" s="1718">
        <v>552</v>
      </c>
      <c r="B554" s="3747" t="s">
        <v>837</v>
      </c>
      <c r="C554" s="3738">
        <v>10005419</v>
      </c>
      <c r="D554" s="376"/>
      <c r="E554" s="376"/>
      <c r="F554" s="376"/>
      <c r="G554" s="376"/>
      <c r="H554" s="376"/>
      <c r="I554" s="376"/>
      <c r="J554" s="376"/>
    </row>
    <row r="555" spans="1:10" ht="25.5" hidden="1">
      <c r="A555" s="1718">
        <v>553</v>
      </c>
      <c r="B555" s="3747" t="s">
        <v>837</v>
      </c>
      <c r="C555" s="3738">
        <v>10005420</v>
      </c>
      <c r="D555" s="376"/>
      <c r="E555" s="376"/>
      <c r="F555" s="376"/>
      <c r="G555" s="376"/>
      <c r="H555" s="376"/>
      <c r="I555" s="376"/>
      <c r="J555" s="376"/>
    </row>
    <row r="557" spans="1:10">
      <c r="B557" s="3758" t="s">
        <v>839</v>
      </c>
      <c r="C557" s="3758"/>
      <c r="D557" s="3758"/>
      <c r="E557" s="3758"/>
      <c r="F557" s="3758"/>
      <c r="G557" s="3758" t="s">
        <v>840</v>
      </c>
      <c r="H557" s="3759"/>
    </row>
  </sheetData>
  <autoFilter ref="A2:C555" xr:uid="{5DC80ED0-0222-44BE-9F97-DE5FA1743CEB}">
    <filterColumn colId="2">
      <colorFilter dxfId="0"/>
    </filterColumn>
  </autoFilter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709F1-484F-4AD5-8836-D798A5DBBDB5}">
  <sheetPr>
    <tabColor rgb="FF00B050"/>
  </sheetPr>
  <dimension ref="A1:C42"/>
  <sheetViews>
    <sheetView view="pageBreakPreview" topLeftCell="A24" zoomScale="115" zoomScaleNormal="100" zoomScaleSheetLayoutView="115" workbookViewId="0">
      <selection activeCell="A32" sqref="A32:C40"/>
    </sheetView>
  </sheetViews>
  <sheetFormatPr defaultRowHeight="15"/>
  <cols>
    <col min="1" max="1" width="13.28515625" customWidth="1"/>
    <col min="2" max="2" width="54" customWidth="1"/>
    <col min="3" max="3" width="16.140625" customWidth="1"/>
  </cols>
  <sheetData>
    <row r="1" spans="1:3" ht="15.75">
      <c r="A1" s="3949" t="s">
        <v>841</v>
      </c>
      <c r="B1" s="3949"/>
      <c r="C1" s="3949"/>
    </row>
    <row r="2" spans="1:3">
      <c r="A2" s="3950" t="s">
        <v>5213</v>
      </c>
      <c r="B2" s="3950"/>
      <c r="C2" s="3950"/>
    </row>
    <row r="3" spans="1:3" ht="15.75">
      <c r="A3" s="3764"/>
      <c r="B3" s="3765" t="s">
        <v>842</v>
      </c>
      <c r="C3" s="3765"/>
    </row>
    <row r="4" spans="1:3" ht="25.5">
      <c r="A4" s="3766" t="s">
        <v>5206</v>
      </c>
      <c r="B4" s="3767" t="s">
        <v>4876</v>
      </c>
      <c r="C4" s="3768" t="s">
        <v>5205</v>
      </c>
    </row>
    <row r="5" spans="1:3">
      <c r="A5" s="3769">
        <v>35</v>
      </c>
      <c r="B5" s="3770" t="s">
        <v>843</v>
      </c>
      <c r="C5" s="3770">
        <v>19.8</v>
      </c>
    </row>
    <row r="6" spans="1:3">
      <c r="A6" s="3769">
        <v>39</v>
      </c>
      <c r="B6" s="3770" t="s">
        <v>844</v>
      </c>
      <c r="C6" s="3770">
        <v>7.4</v>
      </c>
    </row>
    <row r="7" spans="1:3">
      <c r="A7" s="3769">
        <v>36</v>
      </c>
      <c r="B7" s="3770" t="s">
        <v>845</v>
      </c>
      <c r="C7" s="3770">
        <v>9.8000000000000007</v>
      </c>
    </row>
    <row r="8" spans="1:3">
      <c r="A8" s="3769">
        <v>40</v>
      </c>
      <c r="B8" s="3770" t="s">
        <v>846</v>
      </c>
      <c r="C8" s="3770">
        <v>17.2</v>
      </c>
    </row>
    <row r="9" spans="1:3">
      <c r="A9" s="3769">
        <v>41</v>
      </c>
      <c r="B9" s="3770" t="s">
        <v>847</v>
      </c>
      <c r="C9" s="3770">
        <v>14.5</v>
      </c>
    </row>
    <row r="10" spans="1:3">
      <c r="A10" s="3769">
        <v>42</v>
      </c>
      <c r="B10" s="3770" t="s">
        <v>848</v>
      </c>
      <c r="C10" s="3770">
        <v>23.2</v>
      </c>
    </row>
    <row r="11" spans="1:3">
      <c r="A11" s="3769">
        <v>43</v>
      </c>
      <c r="B11" s="3770" t="s">
        <v>849</v>
      </c>
      <c r="C11" s="3770">
        <v>9.6</v>
      </c>
    </row>
    <row r="12" spans="1:3">
      <c r="A12" s="3769">
        <v>44</v>
      </c>
      <c r="B12" s="3770" t="s">
        <v>850</v>
      </c>
      <c r="C12" s="3770">
        <v>8.1999999999999993</v>
      </c>
    </row>
    <row r="13" spans="1:3">
      <c r="A13" s="3769" t="s">
        <v>851</v>
      </c>
      <c r="B13" s="3770" t="s">
        <v>852</v>
      </c>
      <c r="C13" s="3770">
        <v>4.4000000000000004</v>
      </c>
    </row>
    <row r="14" spans="1:3">
      <c r="A14" s="3769" t="s">
        <v>853</v>
      </c>
      <c r="B14" s="3770" t="s">
        <v>852</v>
      </c>
      <c r="C14" s="3770">
        <v>4.3</v>
      </c>
    </row>
    <row r="15" spans="1:3">
      <c r="A15" s="3769">
        <v>38</v>
      </c>
      <c r="B15" s="3770" t="s">
        <v>850</v>
      </c>
      <c r="C15" s="3770">
        <v>6.2</v>
      </c>
    </row>
    <row r="16" spans="1:3">
      <c r="A16" s="3769">
        <v>54</v>
      </c>
      <c r="B16" s="3770" t="s">
        <v>854</v>
      </c>
      <c r="C16" s="3770">
        <v>123.5</v>
      </c>
    </row>
    <row r="17" spans="1:3">
      <c r="A17" s="3769">
        <v>52</v>
      </c>
      <c r="B17" s="3770" t="s">
        <v>855</v>
      </c>
      <c r="C17" s="3770">
        <v>10.8</v>
      </c>
    </row>
    <row r="18" spans="1:3">
      <c r="A18" s="3769">
        <v>51</v>
      </c>
      <c r="B18" s="3770" t="s">
        <v>856</v>
      </c>
      <c r="C18" s="3770">
        <v>38.6</v>
      </c>
    </row>
    <row r="19" spans="1:3">
      <c r="A19" s="3769">
        <v>50</v>
      </c>
      <c r="B19" s="3770" t="s">
        <v>857</v>
      </c>
      <c r="C19" s="3770">
        <v>13.9</v>
      </c>
    </row>
    <row r="20" spans="1:3">
      <c r="A20" s="3769">
        <v>37</v>
      </c>
      <c r="B20" s="3770" t="s">
        <v>854</v>
      </c>
      <c r="C20" s="3770">
        <v>73</v>
      </c>
    </row>
    <row r="21" spans="1:3">
      <c r="A21" s="3769">
        <v>55</v>
      </c>
      <c r="B21" s="3770" t="s">
        <v>858</v>
      </c>
      <c r="C21" s="3770">
        <v>8.8000000000000007</v>
      </c>
    </row>
    <row r="22" spans="1:3">
      <c r="A22" s="3769">
        <v>53</v>
      </c>
      <c r="B22" s="3770" t="s">
        <v>859</v>
      </c>
      <c r="C22" s="3770">
        <v>0</v>
      </c>
    </row>
    <row r="23" spans="1:3">
      <c r="A23" s="3769">
        <v>58</v>
      </c>
      <c r="B23" s="3770" t="s">
        <v>860</v>
      </c>
      <c r="C23" s="3770">
        <v>7.9</v>
      </c>
    </row>
    <row r="24" spans="1:3">
      <c r="A24" s="3769">
        <v>63</v>
      </c>
      <c r="B24" s="3770" t="s">
        <v>861</v>
      </c>
      <c r="C24" s="3770">
        <v>24.4</v>
      </c>
    </row>
    <row r="25" spans="1:3">
      <c r="A25" s="3769">
        <v>59</v>
      </c>
      <c r="B25" s="3770" t="s">
        <v>862</v>
      </c>
      <c r="C25" s="3770">
        <v>12.6</v>
      </c>
    </row>
    <row r="26" spans="1:3">
      <c r="A26" s="3769">
        <v>57</v>
      </c>
      <c r="B26" s="3770" t="s">
        <v>863</v>
      </c>
      <c r="C26" s="3770">
        <v>23.3</v>
      </c>
    </row>
    <row r="27" spans="1:3">
      <c r="A27" s="3769">
        <v>56</v>
      </c>
      <c r="B27" s="3770" t="s">
        <v>864</v>
      </c>
      <c r="C27" s="3770">
        <v>126</v>
      </c>
    </row>
    <row r="28" spans="1:3">
      <c r="A28" s="3769">
        <v>64</v>
      </c>
      <c r="B28" s="3770" t="s">
        <v>865</v>
      </c>
      <c r="C28" s="3770">
        <v>94.3</v>
      </c>
    </row>
    <row r="29" spans="1:3">
      <c r="A29" s="3769">
        <v>66</v>
      </c>
      <c r="B29" s="3770" t="s">
        <v>866</v>
      </c>
      <c r="C29" s="3770">
        <v>304.10000000000002</v>
      </c>
    </row>
    <row r="30" spans="1:3">
      <c r="A30" s="3769">
        <v>67</v>
      </c>
      <c r="B30" s="3770" t="s">
        <v>850</v>
      </c>
      <c r="C30" s="3770">
        <v>6.3</v>
      </c>
    </row>
    <row r="31" spans="1:3" ht="15.75">
      <c r="A31" s="3769"/>
      <c r="B31" s="3771" t="s">
        <v>867</v>
      </c>
      <c r="C31" s="3840">
        <f>SUM(C5:C30)</f>
        <v>992.1</v>
      </c>
    </row>
    <row r="32" spans="1:3" ht="15.75">
      <c r="A32" s="3773"/>
      <c r="B32" s="3764"/>
      <c r="C32" s="3765"/>
    </row>
    <row r="33" spans="1:3" ht="15.75">
      <c r="A33" s="3772"/>
      <c r="B33" s="3764"/>
      <c r="C33" s="3765"/>
    </row>
    <row r="34" spans="1:3">
      <c r="A34" s="2574"/>
      <c r="C34" s="2574"/>
    </row>
    <row r="35" spans="1:3">
      <c r="A35" s="2574"/>
      <c r="B35" s="2574"/>
      <c r="C35" s="2574"/>
    </row>
    <row r="36" spans="1:3">
      <c r="A36" s="2574"/>
      <c r="C36" s="2574"/>
    </row>
    <row r="37" spans="1:3">
      <c r="A37" s="2574"/>
      <c r="C37" s="2574"/>
    </row>
    <row r="38" spans="1:3">
      <c r="A38" s="2574"/>
      <c r="C38" s="2574"/>
    </row>
    <row r="39" spans="1:3">
      <c r="A39" s="2574"/>
      <c r="C39" s="2574"/>
    </row>
    <row r="40" spans="1:3">
      <c r="A40" s="2574"/>
      <c r="C40" s="2574"/>
    </row>
    <row r="41" spans="1:3">
      <c r="A41" s="2574"/>
      <c r="C41" s="2574"/>
    </row>
    <row r="42" spans="1:3">
      <c r="A42" s="2574"/>
      <c r="C42" s="2574"/>
    </row>
  </sheetData>
  <mergeCells count="2">
    <mergeCell ref="A1:C1"/>
    <mergeCell ref="A2:C2"/>
  </mergeCells>
  <pageMargins left="0.7" right="0.7" top="0.75" bottom="0.75" header="0.3" footer="0.3"/>
  <pageSetup paperSize="9" scale="88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3D508-C6F0-452A-B465-7495E4BE0C6E}">
  <sheetPr>
    <pageSetUpPr fitToPage="1"/>
  </sheetPr>
  <dimension ref="A2:G256"/>
  <sheetViews>
    <sheetView topLeftCell="A239" workbookViewId="0">
      <selection activeCell="B256" sqref="B256:F261"/>
    </sheetView>
  </sheetViews>
  <sheetFormatPr defaultRowHeight="15"/>
  <cols>
    <col min="2" max="2" width="42.28515625" customWidth="1"/>
    <col min="3" max="5" width="23" customWidth="1"/>
    <col min="6" max="6" width="25.5703125" customWidth="1"/>
    <col min="7" max="7" width="21.7109375" customWidth="1"/>
  </cols>
  <sheetData>
    <row r="2" spans="1:7">
      <c r="B2" s="3951" t="s">
        <v>5214</v>
      </c>
      <c r="C2" s="3951"/>
    </row>
    <row r="3" spans="1:7">
      <c r="B3" s="3841"/>
      <c r="C3" s="3841"/>
    </row>
    <row r="4" spans="1:7">
      <c r="B4" s="3841"/>
      <c r="C4" s="3841"/>
    </row>
    <row r="5" spans="1:7" ht="37.5" customHeight="1">
      <c r="A5" s="3846" t="s">
        <v>5192</v>
      </c>
      <c r="B5" s="3842" t="s">
        <v>5193</v>
      </c>
      <c r="C5" s="3843" t="s">
        <v>928</v>
      </c>
      <c r="D5" s="3842" t="s">
        <v>922</v>
      </c>
      <c r="E5" s="3843" t="s">
        <v>5203</v>
      </c>
      <c r="F5" s="3844" t="s">
        <v>4481</v>
      </c>
      <c r="G5" s="3844" t="s">
        <v>5204</v>
      </c>
    </row>
    <row r="6" spans="1:7" ht="28.5">
      <c r="A6" s="3847">
        <v>1</v>
      </c>
      <c r="B6" s="3850" t="s">
        <v>708</v>
      </c>
      <c r="C6" s="3848">
        <v>10003142</v>
      </c>
      <c r="D6" s="3848" t="s">
        <v>5215</v>
      </c>
      <c r="E6" s="3847">
        <v>26034</v>
      </c>
      <c r="F6" s="3847">
        <v>14.29</v>
      </c>
      <c r="G6" s="3839">
        <f>ROUND(E6*F6%,2)</f>
        <v>3720.26</v>
      </c>
    </row>
    <row r="7" spans="1:7" ht="28.5">
      <c r="A7" s="3847">
        <v>2</v>
      </c>
      <c r="B7" s="3850" t="s">
        <v>869</v>
      </c>
      <c r="C7" s="3848">
        <v>10003154</v>
      </c>
      <c r="D7" s="3848" t="s">
        <v>5215</v>
      </c>
      <c r="E7" s="3847">
        <v>26034</v>
      </c>
      <c r="F7" s="3852">
        <v>14.29</v>
      </c>
      <c r="G7" s="3839">
        <f t="shared" ref="G7:G70" si="0">ROUND(E7*F7%,2)</f>
        <v>3720.26</v>
      </c>
    </row>
    <row r="8" spans="1:7" ht="42.75">
      <c r="A8" s="3847">
        <v>3</v>
      </c>
      <c r="B8" s="3850" t="s">
        <v>870</v>
      </c>
      <c r="C8" s="3848">
        <v>10003209</v>
      </c>
      <c r="D8" s="3848" t="s">
        <v>5215</v>
      </c>
      <c r="E8" s="3847">
        <v>76626</v>
      </c>
      <c r="F8" s="3852">
        <v>14.29</v>
      </c>
      <c r="G8" s="3839">
        <f t="shared" si="0"/>
        <v>10949.86</v>
      </c>
    </row>
    <row r="9" spans="1:7" ht="42.75">
      <c r="A9" s="3847">
        <v>4</v>
      </c>
      <c r="B9" s="3850" t="s">
        <v>873</v>
      </c>
      <c r="C9" s="3848">
        <v>10003236</v>
      </c>
      <c r="D9" s="3848" t="s">
        <v>5215</v>
      </c>
      <c r="E9" s="3847">
        <v>251586</v>
      </c>
      <c r="F9" s="3852">
        <v>14.29</v>
      </c>
      <c r="G9" s="3839">
        <f t="shared" si="0"/>
        <v>35951.64</v>
      </c>
    </row>
    <row r="10" spans="1:7" ht="42.75">
      <c r="A10" s="3847">
        <v>5</v>
      </c>
      <c r="B10" s="3850" t="s">
        <v>873</v>
      </c>
      <c r="C10" s="3848">
        <v>10003237</v>
      </c>
      <c r="D10" s="3848" t="s">
        <v>5215</v>
      </c>
      <c r="E10" s="3847">
        <v>251586</v>
      </c>
      <c r="F10" s="3852">
        <v>14.29</v>
      </c>
      <c r="G10" s="3839">
        <f t="shared" si="0"/>
        <v>35951.64</v>
      </c>
    </row>
    <row r="11" spans="1:7" ht="28.5">
      <c r="A11" s="3847">
        <v>6</v>
      </c>
      <c r="B11" s="3850" t="s">
        <v>716</v>
      </c>
      <c r="C11" s="3848">
        <v>10008308</v>
      </c>
      <c r="D11" s="3848" t="s">
        <v>5215</v>
      </c>
      <c r="E11" s="3847">
        <v>399815</v>
      </c>
      <c r="F11" s="3852">
        <v>14.29</v>
      </c>
      <c r="G11" s="3839">
        <f t="shared" si="0"/>
        <v>57133.56</v>
      </c>
    </row>
    <row r="12" spans="1:7" ht="28.5">
      <c r="A12" s="3847">
        <v>7</v>
      </c>
      <c r="B12" s="3850" t="s">
        <v>717</v>
      </c>
      <c r="C12" s="3848">
        <v>10003208</v>
      </c>
      <c r="D12" s="3848" t="s">
        <v>5215</v>
      </c>
      <c r="E12" s="3847">
        <v>640676</v>
      </c>
      <c r="F12" s="3852">
        <v>14.29</v>
      </c>
      <c r="G12" s="3839">
        <f t="shared" si="0"/>
        <v>91552.6</v>
      </c>
    </row>
    <row r="13" spans="1:7" ht="28.5">
      <c r="A13" s="3847">
        <v>8</v>
      </c>
      <c r="B13" s="3850" t="s">
        <v>718</v>
      </c>
      <c r="C13" s="3848">
        <v>10003207</v>
      </c>
      <c r="D13" s="3848" t="s">
        <v>5215</v>
      </c>
      <c r="E13" s="3847">
        <v>640676</v>
      </c>
      <c r="F13" s="3852">
        <v>14.29</v>
      </c>
      <c r="G13" s="3839">
        <f t="shared" si="0"/>
        <v>91552.6</v>
      </c>
    </row>
    <row r="14" spans="1:7" ht="28.5">
      <c r="A14" s="3847">
        <v>9</v>
      </c>
      <c r="B14" s="3850" t="s">
        <v>719</v>
      </c>
      <c r="C14" s="3848">
        <v>10003206</v>
      </c>
      <c r="D14" s="3848" t="s">
        <v>5215</v>
      </c>
      <c r="E14" s="3847">
        <v>757895</v>
      </c>
      <c r="F14" s="3852">
        <v>14.29</v>
      </c>
      <c r="G14" s="3839">
        <f t="shared" si="0"/>
        <v>108303.2</v>
      </c>
    </row>
    <row r="15" spans="1:7" ht="28.5">
      <c r="A15" s="3847">
        <v>10</v>
      </c>
      <c r="B15" s="3850" t="s">
        <v>720</v>
      </c>
      <c r="C15" s="3848">
        <v>10003138</v>
      </c>
      <c r="D15" s="3848" t="s">
        <v>5215</v>
      </c>
      <c r="E15" s="3847">
        <v>415193</v>
      </c>
      <c r="F15" s="3852">
        <v>14.29</v>
      </c>
      <c r="G15" s="3839">
        <f t="shared" si="0"/>
        <v>59331.08</v>
      </c>
    </row>
    <row r="16" spans="1:7" ht="42.75">
      <c r="A16" s="3847">
        <v>11</v>
      </c>
      <c r="B16" s="3850" t="s">
        <v>775</v>
      </c>
      <c r="C16" s="3848">
        <v>10003143</v>
      </c>
      <c r="D16" s="3848" t="s">
        <v>5215</v>
      </c>
      <c r="E16" s="3847">
        <v>37899</v>
      </c>
      <c r="F16" s="3852">
        <v>20</v>
      </c>
      <c r="G16" s="3839">
        <f t="shared" si="0"/>
        <v>7579.8</v>
      </c>
    </row>
    <row r="17" spans="1:7" ht="42.75">
      <c r="A17" s="3847">
        <v>12</v>
      </c>
      <c r="B17" s="3850" t="s">
        <v>783</v>
      </c>
      <c r="C17" s="3848">
        <v>10003377</v>
      </c>
      <c r="D17" s="3848" t="s">
        <v>5216</v>
      </c>
      <c r="E17" s="3847">
        <v>52999</v>
      </c>
      <c r="F17" s="3852">
        <v>33.33</v>
      </c>
      <c r="G17" s="3839">
        <f t="shared" si="0"/>
        <v>17664.57</v>
      </c>
    </row>
    <row r="18" spans="1:7" ht="28.5">
      <c r="A18" s="3847">
        <v>13</v>
      </c>
      <c r="B18" s="3850" t="s">
        <v>788</v>
      </c>
      <c r="C18" s="3848">
        <v>10003517</v>
      </c>
      <c r="D18" s="3848" t="s">
        <v>5216</v>
      </c>
      <c r="E18" s="3847">
        <v>11730</v>
      </c>
      <c r="F18" s="3852">
        <v>33.33</v>
      </c>
      <c r="G18" s="3839">
        <f t="shared" si="0"/>
        <v>3909.61</v>
      </c>
    </row>
    <row r="19" spans="1:7" ht="28.5">
      <c r="A19" s="3847">
        <v>14</v>
      </c>
      <c r="B19" s="3850" t="s">
        <v>788</v>
      </c>
      <c r="C19" s="3848">
        <v>10003525</v>
      </c>
      <c r="D19" s="3848" t="s">
        <v>5216</v>
      </c>
      <c r="E19" s="3847">
        <v>11731</v>
      </c>
      <c r="F19" s="3852">
        <v>33.33</v>
      </c>
      <c r="G19" s="3839">
        <f t="shared" si="0"/>
        <v>3909.94</v>
      </c>
    </row>
    <row r="20" spans="1:7">
      <c r="A20" s="3847">
        <v>15</v>
      </c>
      <c r="B20" s="3850" t="s">
        <v>789</v>
      </c>
      <c r="C20" s="3848">
        <v>10004463</v>
      </c>
      <c r="D20" s="3848" t="s">
        <v>5216</v>
      </c>
      <c r="E20" s="3847">
        <v>11731</v>
      </c>
      <c r="F20" s="3852">
        <v>33.33</v>
      </c>
      <c r="G20" s="3839">
        <f t="shared" si="0"/>
        <v>3909.94</v>
      </c>
    </row>
    <row r="21" spans="1:7">
      <c r="A21" s="3847">
        <v>16</v>
      </c>
      <c r="B21" s="3850" t="s">
        <v>789</v>
      </c>
      <c r="C21" s="3848">
        <v>10004464</v>
      </c>
      <c r="D21" s="3848" t="s">
        <v>5216</v>
      </c>
      <c r="E21" s="3847">
        <v>11731</v>
      </c>
      <c r="F21" s="3852">
        <v>33.33</v>
      </c>
      <c r="G21" s="3839">
        <f t="shared" si="0"/>
        <v>3909.94</v>
      </c>
    </row>
    <row r="22" spans="1:7">
      <c r="A22" s="3847">
        <v>17</v>
      </c>
      <c r="B22" s="3850" t="s">
        <v>789</v>
      </c>
      <c r="C22" s="3848">
        <v>10004466</v>
      </c>
      <c r="D22" s="3848" t="s">
        <v>5216</v>
      </c>
      <c r="E22" s="3847">
        <v>11731</v>
      </c>
      <c r="F22" s="3852">
        <v>33.33</v>
      </c>
      <c r="G22" s="3839">
        <f t="shared" si="0"/>
        <v>3909.94</v>
      </c>
    </row>
    <row r="23" spans="1:7">
      <c r="A23" s="3847">
        <v>18</v>
      </c>
      <c r="B23" s="3850" t="s">
        <v>789</v>
      </c>
      <c r="C23" s="3848">
        <v>10004467</v>
      </c>
      <c r="D23" s="3848" t="s">
        <v>5216</v>
      </c>
      <c r="E23" s="3847">
        <v>11731</v>
      </c>
      <c r="F23" s="3852">
        <v>33.33</v>
      </c>
      <c r="G23" s="3839">
        <f t="shared" si="0"/>
        <v>3909.94</v>
      </c>
    </row>
    <row r="24" spans="1:7">
      <c r="A24" s="3847">
        <v>19</v>
      </c>
      <c r="B24" s="3850" t="s">
        <v>789</v>
      </c>
      <c r="C24" s="3848">
        <v>10004468</v>
      </c>
      <c r="D24" s="3848" t="s">
        <v>5216</v>
      </c>
      <c r="E24" s="3847">
        <v>11731</v>
      </c>
      <c r="F24" s="3852">
        <v>33.33</v>
      </c>
      <c r="G24" s="3839">
        <f t="shared" si="0"/>
        <v>3909.94</v>
      </c>
    </row>
    <row r="25" spans="1:7">
      <c r="A25" s="3847">
        <v>20</v>
      </c>
      <c r="B25" s="3850" t="s">
        <v>892</v>
      </c>
      <c r="C25" s="3848">
        <v>10003373</v>
      </c>
      <c r="D25" s="3848" t="s">
        <v>5217</v>
      </c>
      <c r="E25" s="3847">
        <v>78084</v>
      </c>
      <c r="F25" s="3852">
        <v>33.33</v>
      </c>
      <c r="G25" s="3839">
        <f t="shared" si="0"/>
        <v>26025.4</v>
      </c>
    </row>
    <row r="26" spans="1:7" ht="42.75">
      <c r="A26" s="3847">
        <v>21</v>
      </c>
      <c r="B26" s="3850" t="s">
        <v>871</v>
      </c>
      <c r="C26" s="3848">
        <v>10003211</v>
      </c>
      <c r="D26" s="3848" t="s">
        <v>5215</v>
      </c>
      <c r="E26" s="3847">
        <v>51372</v>
      </c>
      <c r="F26" s="3852">
        <v>14.29</v>
      </c>
      <c r="G26" s="3839">
        <f t="shared" si="0"/>
        <v>7341.06</v>
      </c>
    </row>
    <row r="27" spans="1:7" ht="28.5">
      <c r="A27" s="3847">
        <v>22</v>
      </c>
      <c r="B27" s="3850" t="s">
        <v>874</v>
      </c>
      <c r="C27" s="3848">
        <v>10003218</v>
      </c>
      <c r="D27" s="3848" t="s">
        <v>5215</v>
      </c>
      <c r="E27" s="3847">
        <v>170272</v>
      </c>
      <c r="F27" s="3852">
        <v>14.29</v>
      </c>
      <c r="G27" s="3839">
        <f t="shared" si="0"/>
        <v>24331.87</v>
      </c>
    </row>
    <row r="28" spans="1:7" ht="28.5">
      <c r="A28" s="3847">
        <v>23</v>
      </c>
      <c r="B28" s="3850" t="s">
        <v>722</v>
      </c>
      <c r="C28" s="3848">
        <v>10003226</v>
      </c>
      <c r="D28" s="3848" t="s">
        <v>5215</v>
      </c>
      <c r="E28" s="3847">
        <v>398067</v>
      </c>
      <c r="F28" s="3852">
        <v>14.29</v>
      </c>
      <c r="G28" s="3839">
        <f t="shared" si="0"/>
        <v>56883.77</v>
      </c>
    </row>
    <row r="29" spans="1:7" ht="42.75">
      <c r="A29" s="3847">
        <v>24</v>
      </c>
      <c r="B29" s="3850" t="s">
        <v>875</v>
      </c>
      <c r="C29" s="3848">
        <v>10003248</v>
      </c>
      <c r="D29" s="3848" t="s">
        <v>5215</v>
      </c>
      <c r="E29" s="3847">
        <v>273203</v>
      </c>
      <c r="F29" s="3852">
        <v>14.29</v>
      </c>
      <c r="G29" s="3839">
        <f t="shared" si="0"/>
        <v>39040.71</v>
      </c>
    </row>
    <row r="30" spans="1:7" ht="42.75">
      <c r="A30" s="3847">
        <v>25</v>
      </c>
      <c r="B30" s="3850" t="s">
        <v>875</v>
      </c>
      <c r="C30" s="3848">
        <v>10003249</v>
      </c>
      <c r="D30" s="3848" t="s">
        <v>5215</v>
      </c>
      <c r="E30" s="3847">
        <v>273203</v>
      </c>
      <c r="F30" s="3852">
        <v>14.29</v>
      </c>
      <c r="G30" s="3839">
        <f t="shared" si="0"/>
        <v>39040.71</v>
      </c>
    </row>
    <row r="31" spans="1:7" ht="42.75">
      <c r="A31" s="3847">
        <v>26</v>
      </c>
      <c r="B31" s="3850" t="s">
        <v>876</v>
      </c>
      <c r="C31" s="3848">
        <v>10003246</v>
      </c>
      <c r="D31" s="3848" t="s">
        <v>5215</v>
      </c>
      <c r="E31" s="3847">
        <v>170474</v>
      </c>
      <c r="F31" s="3852">
        <v>14.29</v>
      </c>
      <c r="G31" s="3839">
        <f t="shared" si="0"/>
        <v>24360.73</v>
      </c>
    </row>
    <row r="32" spans="1:7" ht="42.75">
      <c r="A32" s="3847">
        <v>27</v>
      </c>
      <c r="B32" s="3850" t="s">
        <v>876</v>
      </c>
      <c r="C32" s="3848">
        <v>10003247</v>
      </c>
      <c r="D32" s="3848" t="s">
        <v>5215</v>
      </c>
      <c r="E32" s="3847">
        <v>170474</v>
      </c>
      <c r="F32" s="3852">
        <v>14.29</v>
      </c>
      <c r="G32" s="3839">
        <f t="shared" si="0"/>
        <v>24360.73</v>
      </c>
    </row>
    <row r="33" spans="1:7" ht="28.5">
      <c r="A33" s="3847">
        <v>28</v>
      </c>
      <c r="B33" s="3850" t="s">
        <v>726</v>
      </c>
      <c r="C33" s="3848">
        <v>10003150</v>
      </c>
      <c r="D33" s="3848" t="s">
        <v>5215</v>
      </c>
      <c r="E33" s="3847">
        <v>50248</v>
      </c>
      <c r="F33" s="3852">
        <v>14.29</v>
      </c>
      <c r="G33" s="3839">
        <f t="shared" si="0"/>
        <v>7180.44</v>
      </c>
    </row>
    <row r="34" spans="1:7" ht="28.5">
      <c r="A34" s="3847">
        <v>29</v>
      </c>
      <c r="B34" s="3850" t="s">
        <v>5218</v>
      </c>
      <c r="C34" s="3848">
        <v>10003241</v>
      </c>
      <c r="D34" s="3848" t="s">
        <v>5215</v>
      </c>
      <c r="E34" s="3847">
        <v>107544</v>
      </c>
      <c r="F34" s="3852">
        <v>14.29</v>
      </c>
      <c r="G34" s="3839">
        <f t="shared" si="0"/>
        <v>15368.04</v>
      </c>
    </row>
    <row r="35" spans="1:7" ht="42.75">
      <c r="A35" s="3847">
        <v>30</v>
      </c>
      <c r="B35" s="3850" t="s">
        <v>878</v>
      </c>
      <c r="C35" s="3848">
        <v>10003145</v>
      </c>
      <c r="D35" s="3848" t="s">
        <v>5215</v>
      </c>
      <c r="E35" s="3847">
        <v>27568</v>
      </c>
      <c r="F35" s="3852">
        <v>14.29</v>
      </c>
      <c r="G35" s="3839">
        <f t="shared" si="0"/>
        <v>3939.47</v>
      </c>
    </row>
    <row r="36" spans="1:7" ht="42.75">
      <c r="A36" s="3847">
        <v>31</v>
      </c>
      <c r="B36" s="3850" t="s">
        <v>878</v>
      </c>
      <c r="C36" s="3848">
        <v>10003216</v>
      </c>
      <c r="D36" s="3848" t="s">
        <v>5215</v>
      </c>
      <c r="E36" s="3847">
        <v>27568</v>
      </c>
      <c r="F36" s="3852">
        <v>14.29</v>
      </c>
      <c r="G36" s="3839">
        <f t="shared" si="0"/>
        <v>3939.47</v>
      </c>
    </row>
    <row r="37" spans="1:7" ht="42.75">
      <c r="A37" s="3847">
        <v>32</v>
      </c>
      <c r="B37" s="3850" t="s">
        <v>879</v>
      </c>
      <c r="C37" s="3848">
        <v>10003137</v>
      </c>
      <c r="D37" s="3848" t="s">
        <v>5215</v>
      </c>
      <c r="E37" s="3847">
        <v>90465</v>
      </c>
      <c r="F37" s="3852">
        <v>14.29</v>
      </c>
      <c r="G37" s="3839">
        <f t="shared" si="0"/>
        <v>12927.45</v>
      </c>
    </row>
    <row r="38" spans="1:7" ht="42.75">
      <c r="A38" s="3847">
        <v>33</v>
      </c>
      <c r="B38" s="3850" t="s">
        <v>879</v>
      </c>
      <c r="C38" s="3848">
        <v>10003188</v>
      </c>
      <c r="D38" s="3848" t="s">
        <v>5215</v>
      </c>
      <c r="E38" s="3847">
        <v>90465</v>
      </c>
      <c r="F38" s="3852">
        <v>14.29</v>
      </c>
      <c r="G38" s="3839">
        <f t="shared" si="0"/>
        <v>12927.45</v>
      </c>
    </row>
    <row r="39" spans="1:7" ht="42.75">
      <c r="A39" s="3847">
        <v>34</v>
      </c>
      <c r="B39" s="3850" t="s">
        <v>879</v>
      </c>
      <c r="C39" s="3848">
        <v>10003189</v>
      </c>
      <c r="D39" s="3848" t="s">
        <v>5215</v>
      </c>
      <c r="E39" s="3847">
        <v>90465</v>
      </c>
      <c r="F39" s="3852">
        <v>14.29</v>
      </c>
      <c r="G39" s="3839">
        <f t="shared" si="0"/>
        <v>12927.45</v>
      </c>
    </row>
    <row r="40" spans="1:7" ht="42.75">
      <c r="A40" s="3847">
        <v>35</v>
      </c>
      <c r="B40" s="3850" t="s">
        <v>879</v>
      </c>
      <c r="C40" s="3848">
        <v>10003190</v>
      </c>
      <c r="D40" s="3848" t="s">
        <v>5215</v>
      </c>
      <c r="E40" s="3847">
        <v>90465</v>
      </c>
      <c r="F40" s="3852">
        <v>14.29</v>
      </c>
      <c r="G40" s="3839">
        <f t="shared" si="0"/>
        <v>12927.45</v>
      </c>
    </row>
    <row r="41" spans="1:7" ht="42.75">
      <c r="A41" s="3847">
        <v>36</v>
      </c>
      <c r="B41" s="3850" t="s">
        <v>879</v>
      </c>
      <c r="C41" s="3848">
        <v>10003191</v>
      </c>
      <c r="D41" s="3848" t="s">
        <v>5215</v>
      </c>
      <c r="E41" s="3847">
        <v>90988</v>
      </c>
      <c r="F41" s="3852">
        <v>14.29</v>
      </c>
      <c r="G41" s="3839">
        <f t="shared" si="0"/>
        <v>13002.19</v>
      </c>
    </row>
    <row r="42" spans="1:7" ht="42.75">
      <c r="A42" s="3847">
        <v>37</v>
      </c>
      <c r="B42" s="3850" t="s">
        <v>880</v>
      </c>
      <c r="C42" s="3848">
        <v>10003374</v>
      </c>
      <c r="D42" s="3848" t="s">
        <v>5215</v>
      </c>
      <c r="E42" s="3847">
        <v>343043</v>
      </c>
      <c r="F42" s="3852">
        <v>14.29</v>
      </c>
      <c r="G42" s="3839">
        <f t="shared" si="0"/>
        <v>49020.84</v>
      </c>
    </row>
    <row r="43" spans="1:7" ht="42.75">
      <c r="A43" s="3847">
        <v>38</v>
      </c>
      <c r="B43" s="3850" t="s">
        <v>880</v>
      </c>
      <c r="C43" s="3848">
        <v>10003375</v>
      </c>
      <c r="D43" s="3848" t="s">
        <v>5215</v>
      </c>
      <c r="E43" s="3847">
        <v>343044</v>
      </c>
      <c r="F43" s="3852">
        <v>14.29</v>
      </c>
      <c r="G43" s="3839">
        <f t="shared" si="0"/>
        <v>49020.99</v>
      </c>
    </row>
    <row r="44" spans="1:7" ht="42.75">
      <c r="A44" s="3847">
        <v>39</v>
      </c>
      <c r="B44" s="3850" t="s">
        <v>880</v>
      </c>
      <c r="C44" s="3848">
        <v>10003376</v>
      </c>
      <c r="D44" s="3848" t="s">
        <v>5215</v>
      </c>
      <c r="E44" s="3847">
        <v>343044</v>
      </c>
      <c r="F44" s="3852">
        <v>14.29</v>
      </c>
      <c r="G44" s="3839">
        <f t="shared" si="0"/>
        <v>49020.99</v>
      </c>
    </row>
    <row r="45" spans="1:7" ht="42.75">
      <c r="A45" s="3847">
        <v>40</v>
      </c>
      <c r="B45" s="3850" t="s">
        <v>880</v>
      </c>
      <c r="C45" s="3848">
        <v>10008307</v>
      </c>
      <c r="D45" s="3848" t="s">
        <v>5215</v>
      </c>
      <c r="E45" s="3847">
        <v>352627</v>
      </c>
      <c r="F45" s="3852">
        <v>14.29</v>
      </c>
      <c r="G45" s="3839">
        <f t="shared" si="0"/>
        <v>50390.400000000001</v>
      </c>
    </row>
    <row r="46" spans="1:7" ht="42.75">
      <c r="A46" s="3847">
        <v>41</v>
      </c>
      <c r="B46" s="3850" t="s">
        <v>881</v>
      </c>
      <c r="C46" s="3848">
        <v>10003197</v>
      </c>
      <c r="D46" s="3848" t="s">
        <v>5215</v>
      </c>
      <c r="E46" s="3847">
        <v>251541</v>
      </c>
      <c r="F46" s="3852">
        <v>14.29</v>
      </c>
      <c r="G46" s="3839">
        <f t="shared" si="0"/>
        <v>35945.21</v>
      </c>
    </row>
    <row r="47" spans="1:7" ht="28.5">
      <c r="A47" s="3847">
        <v>42</v>
      </c>
      <c r="B47" s="3850" t="s">
        <v>882</v>
      </c>
      <c r="C47" s="3848">
        <v>10003147</v>
      </c>
      <c r="D47" s="3848" t="s">
        <v>5215</v>
      </c>
      <c r="E47" s="3847">
        <v>197070</v>
      </c>
      <c r="F47" s="3852">
        <v>14.29</v>
      </c>
      <c r="G47" s="3839">
        <f t="shared" si="0"/>
        <v>28161.3</v>
      </c>
    </row>
    <row r="48" spans="1:7">
      <c r="A48" s="3847">
        <v>43</v>
      </c>
      <c r="B48" s="3850" t="s">
        <v>738</v>
      </c>
      <c r="C48" s="3848">
        <v>10003242</v>
      </c>
      <c r="D48" s="3848" t="s">
        <v>5215</v>
      </c>
      <c r="E48" s="3847">
        <v>87736</v>
      </c>
      <c r="F48" s="3852">
        <v>14.29</v>
      </c>
      <c r="G48" s="3839">
        <f t="shared" si="0"/>
        <v>12537.47</v>
      </c>
    </row>
    <row r="49" spans="1:7">
      <c r="A49" s="3847">
        <v>44</v>
      </c>
      <c r="B49" s="3850" t="s">
        <v>738</v>
      </c>
      <c r="C49" s="3848">
        <v>10003243</v>
      </c>
      <c r="D49" s="3848" t="s">
        <v>5215</v>
      </c>
      <c r="E49" s="3847">
        <v>87736</v>
      </c>
      <c r="F49" s="3852">
        <v>14.29</v>
      </c>
      <c r="G49" s="3839">
        <f t="shared" si="0"/>
        <v>12537.47</v>
      </c>
    </row>
    <row r="50" spans="1:7" ht="28.5">
      <c r="A50" s="3847">
        <v>45</v>
      </c>
      <c r="B50" s="3850" t="s">
        <v>739</v>
      </c>
      <c r="C50" s="3848">
        <v>10003379</v>
      </c>
      <c r="D50" s="3848" t="s">
        <v>5215</v>
      </c>
      <c r="E50" s="3847">
        <v>133541</v>
      </c>
      <c r="F50" s="3852">
        <v>14.29</v>
      </c>
      <c r="G50" s="3839">
        <f t="shared" si="0"/>
        <v>19083.009999999998</v>
      </c>
    </row>
    <row r="51" spans="1:7" ht="28.5">
      <c r="A51" s="3847">
        <v>46</v>
      </c>
      <c r="B51" s="3850" t="s">
        <v>739</v>
      </c>
      <c r="C51" s="3848">
        <v>10003380</v>
      </c>
      <c r="D51" s="3848" t="s">
        <v>5215</v>
      </c>
      <c r="E51" s="3847">
        <v>133541</v>
      </c>
      <c r="F51" s="3852">
        <v>14.29</v>
      </c>
      <c r="G51" s="3839">
        <f t="shared" si="0"/>
        <v>19083.009999999998</v>
      </c>
    </row>
    <row r="52" spans="1:7" ht="28.5">
      <c r="A52" s="3847">
        <v>47</v>
      </c>
      <c r="B52" s="3850" t="s">
        <v>739</v>
      </c>
      <c r="C52" s="3848">
        <v>10003381</v>
      </c>
      <c r="D52" s="3848" t="s">
        <v>5215</v>
      </c>
      <c r="E52" s="3847">
        <v>133541</v>
      </c>
      <c r="F52" s="3852">
        <v>14.29</v>
      </c>
      <c r="G52" s="3839">
        <f t="shared" si="0"/>
        <v>19083.009999999998</v>
      </c>
    </row>
    <row r="53" spans="1:7" ht="28.5">
      <c r="A53" s="3847">
        <v>48</v>
      </c>
      <c r="B53" s="3850" t="s">
        <v>739</v>
      </c>
      <c r="C53" s="3848" t="s">
        <v>5194</v>
      </c>
      <c r="D53" s="3848" t="s">
        <v>5215</v>
      </c>
      <c r="E53" s="3847">
        <v>133541</v>
      </c>
      <c r="F53" s="3852">
        <v>14.29</v>
      </c>
      <c r="G53" s="3839">
        <f t="shared" si="0"/>
        <v>19083.009999999998</v>
      </c>
    </row>
    <row r="54" spans="1:7" ht="28.5">
      <c r="A54" s="3847">
        <v>49</v>
      </c>
      <c r="B54" s="3850" t="s">
        <v>739</v>
      </c>
      <c r="C54" s="3848" t="s">
        <v>5195</v>
      </c>
      <c r="D54" s="3848" t="s">
        <v>5215</v>
      </c>
      <c r="E54" s="3847">
        <v>133541</v>
      </c>
      <c r="F54" s="3852">
        <v>14.29</v>
      </c>
      <c r="G54" s="3839">
        <f t="shared" si="0"/>
        <v>19083.009999999998</v>
      </c>
    </row>
    <row r="55" spans="1:7" ht="28.5">
      <c r="A55" s="3847">
        <v>50</v>
      </c>
      <c r="B55" s="3850" t="s">
        <v>739</v>
      </c>
      <c r="C55" s="3848" t="s">
        <v>5196</v>
      </c>
      <c r="D55" s="3848" t="s">
        <v>5215</v>
      </c>
      <c r="E55" s="3847">
        <v>133541</v>
      </c>
      <c r="F55" s="3852">
        <v>14.29</v>
      </c>
      <c r="G55" s="3839">
        <f t="shared" si="0"/>
        <v>19083.009999999998</v>
      </c>
    </row>
    <row r="56" spans="1:7" ht="28.5">
      <c r="A56" s="3847">
        <v>51</v>
      </c>
      <c r="B56" s="3850" t="s">
        <v>739</v>
      </c>
      <c r="C56" s="3848" t="s">
        <v>5197</v>
      </c>
      <c r="D56" s="3848" t="s">
        <v>5215</v>
      </c>
      <c r="E56" s="3847">
        <v>133541</v>
      </c>
      <c r="F56" s="3852">
        <v>14.29</v>
      </c>
      <c r="G56" s="3839">
        <f t="shared" si="0"/>
        <v>19083.009999999998</v>
      </c>
    </row>
    <row r="57" spans="1:7" ht="28.5">
      <c r="A57" s="3847">
        <v>52</v>
      </c>
      <c r="B57" s="3850" t="s">
        <v>739</v>
      </c>
      <c r="C57" s="3848" t="s">
        <v>5198</v>
      </c>
      <c r="D57" s="3848" t="s">
        <v>5215</v>
      </c>
      <c r="E57" s="3847">
        <v>133541</v>
      </c>
      <c r="F57" s="3852">
        <v>14.29</v>
      </c>
      <c r="G57" s="3839">
        <f t="shared" si="0"/>
        <v>19083.009999999998</v>
      </c>
    </row>
    <row r="58" spans="1:7" ht="28.5">
      <c r="A58" s="3847">
        <v>53</v>
      </c>
      <c r="B58" s="3850" t="s">
        <v>883</v>
      </c>
      <c r="C58" s="3848">
        <v>10003139</v>
      </c>
      <c r="D58" s="3848" t="s">
        <v>5215</v>
      </c>
      <c r="E58" s="3847">
        <v>398067</v>
      </c>
      <c r="F58" s="3852">
        <v>14.29</v>
      </c>
      <c r="G58" s="3839">
        <f t="shared" si="0"/>
        <v>56883.77</v>
      </c>
    </row>
    <row r="59" spans="1:7" ht="28.5">
      <c r="A59" s="3847">
        <v>54</v>
      </c>
      <c r="B59" s="3850" t="s">
        <v>741</v>
      </c>
      <c r="C59" s="3848">
        <v>10003148</v>
      </c>
      <c r="D59" s="3848" t="s">
        <v>5215</v>
      </c>
      <c r="E59" s="3847">
        <v>308237</v>
      </c>
      <c r="F59" s="3852">
        <v>14.29</v>
      </c>
      <c r="G59" s="3839">
        <f t="shared" si="0"/>
        <v>44047.07</v>
      </c>
    </row>
    <row r="60" spans="1:7" ht="28.5">
      <c r="A60" s="3847">
        <v>55</v>
      </c>
      <c r="B60" s="3850" t="s">
        <v>884</v>
      </c>
      <c r="C60" s="3848">
        <v>10003200</v>
      </c>
      <c r="D60" s="3848" t="s">
        <v>5215</v>
      </c>
      <c r="E60" s="3847">
        <v>481726</v>
      </c>
      <c r="F60" s="3852">
        <v>14.29</v>
      </c>
      <c r="G60" s="3839">
        <f t="shared" si="0"/>
        <v>68838.649999999994</v>
      </c>
    </row>
    <row r="61" spans="1:7" ht="28.5">
      <c r="A61" s="3847">
        <v>56</v>
      </c>
      <c r="B61" s="3850" t="s">
        <v>885</v>
      </c>
      <c r="C61" s="3848">
        <v>10003198</v>
      </c>
      <c r="D61" s="3848" t="s">
        <v>5215</v>
      </c>
      <c r="E61" s="3847">
        <v>240581</v>
      </c>
      <c r="F61" s="3852">
        <v>14.29</v>
      </c>
      <c r="G61" s="3839">
        <f t="shared" si="0"/>
        <v>34379.019999999997</v>
      </c>
    </row>
    <row r="62" spans="1:7" ht="28.5">
      <c r="A62" s="3847">
        <v>57</v>
      </c>
      <c r="B62" s="3850" t="s">
        <v>885</v>
      </c>
      <c r="C62" s="3848" t="s">
        <v>5199</v>
      </c>
      <c r="D62" s="3848" t="s">
        <v>5215</v>
      </c>
      <c r="E62" s="3847">
        <v>240581</v>
      </c>
      <c r="F62" s="3852">
        <v>14.29</v>
      </c>
      <c r="G62" s="3839">
        <f t="shared" si="0"/>
        <v>34379.019999999997</v>
      </c>
    </row>
    <row r="63" spans="1:7">
      <c r="A63" s="3847">
        <v>58</v>
      </c>
      <c r="B63" s="3850" t="s">
        <v>744</v>
      </c>
      <c r="C63" s="3848">
        <v>10003132</v>
      </c>
      <c r="D63" s="3848" t="s">
        <v>5215</v>
      </c>
      <c r="E63" s="3847">
        <v>28489</v>
      </c>
      <c r="F63" s="3852">
        <v>14.29</v>
      </c>
      <c r="G63" s="3839">
        <f t="shared" si="0"/>
        <v>4071.08</v>
      </c>
    </row>
    <row r="64" spans="1:7" ht="42.75">
      <c r="A64" s="3847">
        <v>59</v>
      </c>
      <c r="B64" s="3850" t="s">
        <v>888</v>
      </c>
      <c r="C64" s="3848">
        <v>10003210</v>
      </c>
      <c r="D64" s="3848" t="s">
        <v>5215</v>
      </c>
      <c r="E64" s="3847">
        <v>982256</v>
      </c>
      <c r="F64" s="3852">
        <v>14.29</v>
      </c>
      <c r="G64" s="3839">
        <f t="shared" si="0"/>
        <v>140364.38</v>
      </c>
    </row>
    <row r="65" spans="1:7" ht="42.75">
      <c r="A65" s="3847">
        <v>60</v>
      </c>
      <c r="B65" s="3850" t="s">
        <v>889</v>
      </c>
      <c r="C65" s="3848">
        <v>10003212</v>
      </c>
      <c r="D65" s="3848" t="s">
        <v>5215</v>
      </c>
      <c r="E65" s="3847">
        <v>104248</v>
      </c>
      <c r="F65" s="3852">
        <v>14.29</v>
      </c>
      <c r="G65" s="3839">
        <f t="shared" si="0"/>
        <v>14897.04</v>
      </c>
    </row>
    <row r="66" spans="1:7" ht="42.75">
      <c r="A66" s="3847">
        <v>61</v>
      </c>
      <c r="B66" s="3850" t="s">
        <v>890</v>
      </c>
      <c r="C66" s="3848">
        <v>10003204</v>
      </c>
      <c r="D66" s="3848" t="s">
        <v>5215</v>
      </c>
      <c r="E66" s="3847">
        <v>83284</v>
      </c>
      <c r="F66" s="3852">
        <v>14.29</v>
      </c>
      <c r="G66" s="3839">
        <f t="shared" si="0"/>
        <v>11901.28</v>
      </c>
    </row>
    <row r="67" spans="1:7" ht="42.75">
      <c r="A67" s="3847">
        <v>62</v>
      </c>
      <c r="B67" s="3850" t="s">
        <v>890</v>
      </c>
      <c r="C67" s="3848">
        <v>10003205</v>
      </c>
      <c r="D67" s="3848" t="s">
        <v>5215</v>
      </c>
      <c r="E67" s="3847">
        <v>83284</v>
      </c>
      <c r="F67" s="3852">
        <v>14.29</v>
      </c>
      <c r="G67" s="3839">
        <f t="shared" si="0"/>
        <v>11901.28</v>
      </c>
    </row>
    <row r="68" spans="1:7" ht="28.5">
      <c r="A68" s="3847">
        <v>63</v>
      </c>
      <c r="B68" s="3850" t="s">
        <v>748</v>
      </c>
      <c r="C68" s="3848">
        <v>10003252</v>
      </c>
      <c r="D68" s="3848" t="s">
        <v>5215</v>
      </c>
      <c r="E68" s="3847">
        <v>98842</v>
      </c>
      <c r="F68" s="3852">
        <v>14.29</v>
      </c>
      <c r="G68" s="3839">
        <f t="shared" si="0"/>
        <v>14124.52</v>
      </c>
    </row>
    <row r="69" spans="1:7" ht="28.5">
      <c r="A69" s="3847">
        <v>64</v>
      </c>
      <c r="B69" s="3850" t="s">
        <v>749</v>
      </c>
      <c r="C69" s="3848">
        <v>10003155</v>
      </c>
      <c r="D69" s="3848" t="s">
        <v>5215</v>
      </c>
      <c r="E69" s="3847">
        <v>228792</v>
      </c>
      <c r="F69" s="3852">
        <v>14.29</v>
      </c>
      <c r="G69" s="3839">
        <f t="shared" si="0"/>
        <v>32694.38</v>
      </c>
    </row>
    <row r="70" spans="1:7">
      <c r="A70" s="3847">
        <v>65</v>
      </c>
      <c r="B70" s="3850" t="s">
        <v>750</v>
      </c>
      <c r="C70" s="3848">
        <v>10003141</v>
      </c>
      <c r="D70" s="3848" t="s">
        <v>5215</v>
      </c>
      <c r="E70" s="3847">
        <v>61135</v>
      </c>
      <c r="F70" s="3852">
        <v>14.29</v>
      </c>
      <c r="G70" s="3839">
        <f t="shared" si="0"/>
        <v>8736.19</v>
      </c>
    </row>
    <row r="71" spans="1:7">
      <c r="A71" s="3847">
        <v>66</v>
      </c>
      <c r="B71" s="3850" t="s">
        <v>751</v>
      </c>
      <c r="C71" s="3848">
        <v>10003157</v>
      </c>
      <c r="D71" s="3848" t="s">
        <v>5215</v>
      </c>
      <c r="E71" s="3847">
        <v>61135</v>
      </c>
      <c r="F71" s="3852">
        <v>14.29</v>
      </c>
      <c r="G71" s="3839">
        <f t="shared" ref="G71:G134" si="1">ROUND(E71*F71%,2)</f>
        <v>8736.19</v>
      </c>
    </row>
    <row r="72" spans="1:7">
      <c r="A72" s="3847">
        <v>67</v>
      </c>
      <c r="B72" s="3850" t="s">
        <v>751</v>
      </c>
      <c r="C72" s="3848">
        <v>10003158</v>
      </c>
      <c r="D72" s="3848" t="s">
        <v>5215</v>
      </c>
      <c r="E72" s="3847">
        <v>61135</v>
      </c>
      <c r="F72" s="3852">
        <v>14.29</v>
      </c>
      <c r="G72" s="3839">
        <f t="shared" si="1"/>
        <v>8736.19</v>
      </c>
    </row>
    <row r="73" spans="1:7">
      <c r="A73" s="3847">
        <v>68</v>
      </c>
      <c r="B73" s="3850" t="s">
        <v>751</v>
      </c>
      <c r="C73" s="3848">
        <v>10003159</v>
      </c>
      <c r="D73" s="3848" t="s">
        <v>5215</v>
      </c>
      <c r="E73" s="3847">
        <v>61135</v>
      </c>
      <c r="F73" s="3852">
        <v>14.29</v>
      </c>
      <c r="G73" s="3839">
        <f t="shared" si="1"/>
        <v>8736.19</v>
      </c>
    </row>
    <row r="74" spans="1:7">
      <c r="A74" s="3847">
        <v>69</v>
      </c>
      <c r="B74" s="3850" t="s">
        <v>752</v>
      </c>
      <c r="C74" s="3848">
        <v>10003219</v>
      </c>
      <c r="D74" s="3848" t="s">
        <v>5215</v>
      </c>
      <c r="E74" s="3847">
        <v>61135</v>
      </c>
      <c r="F74" s="3852">
        <v>14.29</v>
      </c>
      <c r="G74" s="3839">
        <f t="shared" si="1"/>
        <v>8736.19</v>
      </c>
    </row>
    <row r="75" spans="1:7">
      <c r="A75" s="3847">
        <v>70</v>
      </c>
      <c r="B75" s="3850" t="s">
        <v>752</v>
      </c>
      <c r="C75" s="3848">
        <v>10003220</v>
      </c>
      <c r="D75" s="3848" t="s">
        <v>5215</v>
      </c>
      <c r="E75" s="3847">
        <v>61135</v>
      </c>
      <c r="F75" s="3852">
        <v>14.29</v>
      </c>
      <c r="G75" s="3839">
        <f t="shared" si="1"/>
        <v>8736.19</v>
      </c>
    </row>
    <row r="76" spans="1:7">
      <c r="A76" s="3847">
        <v>71</v>
      </c>
      <c r="B76" s="3850" t="s">
        <v>752</v>
      </c>
      <c r="C76" s="3848">
        <v>10003221</v>
      </c>
      <c r="D76" s="3848" t="s">
        <v>5215</v>
      </c>
      <c r="E76" s="3847">
        <v>61135</v>
      </c>
      <c r="F76" s="3852">
        <v>14.29</v>
      </c>
      <c r="G76" s="3839">
        <f t="shared" si="1"/>
        <v>8736.19</v>
      </c>
    </row>
    <row r="77" spans="1:7" ht="42.75">
      <c r="A77" s="3847">
        <v>72</v>
      </c>
      <c r="B77" s="3850" t="s">
        <v>893</v>
      </c>
      <c r="C77" s="3848">
        <v>10003217</v>
      </c>
      <c r="D77" s="3848" t="s">
        <v>5215</v>
      </c>
      <c r="E77" s="3847">
        <v>198754</v>
      </c>
      <c r="F77" s="3852">
        <v>14.29</v>
      </c>
      <c r="G77" s="3839">
        <f t="shared" si="1"/>
        <v>28401.95</v>
      </c>
    </row>
    <row r="78" spans="1:7" ht="28.5">
      <c r="A78" s="3847">
        <v>73</v>
      </c>
      <c r="B78" s="3850" t="s">
        <v>894</v>
      </c>
      <c r="C78" s="3848">
        <v>10003225</v>
      </c>
      <c r="D78" s="3848" t="s">
        <v>5215</v>
      </c>
      <c r="E78" s="3847">
        <v>257144</v>
      </c>
      <c r="F78" s="3852">
        <v>14.29</v>
      </c>
      <c r="G78" s="3839">
        <f t="shared" si="1"/>
        <v>36745.879999999997</v>
      </c>
    </row>
    <row r="79" spans="1:7" ht="42.75">
      <c r="A79" s="3847">
        <v>74</v>
      </c>
      <c r="B79" s="3850" t="s">
        <v>755</v>
      </c>
      <c r="C79" s="3848">
        <v>10003146</v>
      </c>
      <c r="D79" s="3848" t="s">
        <v>5215</v>
      </c>
      <c r="E79" s="3847">
        <v>76918</v>
      </c>
      <c r="F79" s="3852">
        <v>14.29</v>
      </c>
      <c r="G79" s="3839">
        <f t="shared" si="1"/>
        <v>10991.58</v>
      </c>
    </row>
    <row r="80" spans="1:7" ht="42.75">
      <c r="A80" s="3847">
        <v>75</v>
      </c>
      <c r="B80" s="3850" t="s">
        <v>755</v>
      </c>
      <c r="C80" s="3848">
        <v>10003149</v>
      </c>
      <c r="D80" s="3848" t="s">
        <v>5215</v>
      </c>
      <c r="E80" s="3847">
        <v>76918</v>
      </c>
      <c r="F80" s="3852">
        <v>14.29</v>
      </c>
      <c r="G80" s="3839">
        <f t="shared" si="1"/>
        <v>10991.58</v>
      </c>
    </row>
    <row r="81" spans="1:7" ht="28.5">
      <c r="A81" s="3847">
        <v>76</v>
      </c>
      <c r="B81" s="3850" t="s">
        <v>5219</v>
      </c>
      <c r="C81" s="3848">
        <v>10007571</v>
      </c>
      <c r="D81" s="3848" t="s">
        <v>5215</v>
      </c>
      <c r="E81" s="3847">
        <v>163547</v>
      </c>
      <c r="F81" s="3852">
        <v>20</v>
      </c>
      <c r="G81" s="3839">
        <f t="shared" si="1"/>
        <v>32709.4</v>
      </c>
    </row>
    <row r="82" spans="1:7" ht="28.5">
      <c r="A82" s="3847">
        <v>77</v>
      </c>
      <c r="B82" s="3850" t="s">
        <v>5219</v>
      </c>
      <c r="C82" s="3848">
        <v>10007572</v>
      </c>
      <c r="D82" s="3848" t="s">
        <v>5215</v>
      </c>
      <c r="E82" s="3847">
        <v>163547</v>
      </c>
      <c r="F82" s="3852">
        <v>20</v>
      </c>
      <c r="G82" s="3839">
        <f t="shared" si="1"/>
        <v>32709.4</v>
      </c>
    </row>
    <row r="83" spans="1:7" ht="42.75">
      <c r="A83" s="3847">
        <v>78</v>
      </c>
      <c r="B83" s="3850" t="s">
        <v>902</v>
      </c>
      <c r="C83" s="3848">
        <v>10003201</v>
      </c>
      <c r="D83" s="3848" t="s">
        <v>5215</v>
      </c>
      <c r="E83" s="3847">
        <v>539553</v>
      </c>
      <c r="F83" s="3852">
        <v>14.29</v>
      </c>
      <c r="G83" s="3839">
        <f t="shared" si="1"/>
        <v>77102.12</v>
      </c>
    </row>
    <row r="84" spans="1:7" ht="42.75">
      <c r="A84" s="3847">
        <v>79</v>
      </c>
      <c r="B84" s="3850" t="s">
        <v>903</v>
      </c>
      <c r="C84" s="3848">
        <v>10003184</v>
      </c>
      <c r="D84" s="3848" t="s">
        <v>5215</v>
      </c>
      <c r="E84" s="3847">
        <v>266677</v>
      </c>
      <c r="F84" s="3852">
        <v>14.29</v>
      </c>
      <c r="G84" s="3839">
        <f t="shared" si="1"/>
        <v>38108.14</v>
      </c>
    </row>
    <row r="85" spans="1:7" ht="42.75">
      <c r="A85" s="3847">
        <v>80</v>
      </c>
      <c r="B85" s="3850" t="s">
        <v>903</v>
      </c>
      <c r="C85" s="3848">
        <v>10003185</v>
      </c>
      <c r="D85" s="3848" t="s">
        <v>5215</v>
      </c>
      <c r="E85" s="3847">
        <v>266677</v>
      </c>
      <c r="F85" s="3852">
        <v>14.29</v>
      </c>
      <c r="G85" s="3839">
        <f t="shared" si="1"/>
        <v>38108.14</v>
      </c>
    </row>
    <row r="86" spans="1:7" ht="42.75">
      <c r="A86" s="3847">
        <v>81</v>
      </c>
      <c r="B86" s="3850" t="s">
        <v>903</v>
      </c>
      <c r="C86" s="3848">
        <v>10003186</v>
      </c>
      <c r="D86" s="3848" t="s">
        <v>5215</v>
      </c>
      <c r="E86" s="3847">
        <v>266676</v>
      </c>
      <c r="F86" s="3852">
        <v>14.29</v>
      </c>
      <c r="G86" s="3839">
        <f t="shared" si="1"/>
        <v>38108</v>
      </c>
    </row>
    <row r="87" spans="1:7" ht="42.75">
      <c r="A87" s="3847">
        <v>82</v>
      </c>
      <c r="B87" s="3850" t="s">
        <v>903</v>
      </c>
      <c r="C87" s="3848">
        <v>10003187</v>
      </c>
      <c r="D87" s="3848" t="s">
        <v>5215</v>
      </c>
      <c r="E87" s="3847">
        <v>266677</v>
      </c>
      <c r="F87" s="3852">
        <v>14.29</v>
      </c>
      <c r="G87" s="3839">
        <f t="shared" si="1"/>
        <v>38108.14</v>
      </c>
    </row>
    <row r="88" spans="1:7" ht="42.75">
      <c r="A88" s="3847">
        <v>83</v>
      </c>
      <c r="B88" s="3850" t="s">
        <v>904</v>
      </c>
      <c r="C88" s="3848">
        <v>10003193</v>
      </c>
      <c r="D88" s="3848" t="s">
        <v>5215</v>
      </c>
      <c r="E88" s="3847">
        <v>208703</v>
      </c>
      <c r="F88" s="3852">
        <v>14.29</v>
      </c>
      <c r="G88" s="3839">
        <f t="shared" si="1"/>
        <v>29823.66</v>
      </c>
    </row>
    <row r="89" spans="1:7" ht="42.75">
      <c r="A89" s="3847">
        <v>84</v>
      </c>
      <c r="B89" s="3850" t="s">
        <v>904</v>
      </c>
      <c r="C89" s="3848">
        <v>10003195</v>
      </c>
      <c r="D89" s="3848" t="s">
        <v>5215</v>
      </c>
      <c r="E89" s="3847">
        <v>208703</v>
      </c>
      <c r="F89" s="3852">
        <v>14.29</v>
      </c>
      <c r="G89" s="3839">
        <f t="shared" si="1"/>
        <v>29823.66</v>
      </c>
    </row>
    <row r="90" spans="1:7" ht="42.75">
      <c r="A90" s="3847">
        <v>85</v>
      </c>
      <c r="B90" s="3850" t="s">
        <v>905</v>
      </c>
      <c r="C90" s="3848">
        <v>10003171</v>
      </c>
      <c r="D90" s="3848" t="s">
        <v>5215</v>
      </c>
      <c r="E90" s="3847">
        <v>147568</v>
      </c>
      <c r="F90" s="3852">
        <v>14.29</v>
      </c>
      <c r="G90" s="3839">
        <f t="shared" si="1"/>
        <v>21087.47</v>
      </c>
    </row>
    <row r="91" spans="1:7" ht="42.75">
      <c r="A91" s="3847">
        <v>86</v>
      </c>
      <c r="B91" s="3850" t="s">
        <v>905</v>
      </c>
      <c r="C91" s="3848">
        <v>10003172</v>
      </c>
      <c r="D91" s="3848" t="s">
        <v>5215</v>
      </c>
      <c r="E91" s="3847">
        <v>147568</v>
      </c>
      <c r="F91" s="3852">
        <v>14.29</v>
      </c>
      <c r="G91" s="3839">
        <f t="shared" si="1"/>
        <v>21087.47</v>
      </c>
    </row>
    <row r="92" spans="1:7" ht="42.75">
      <c r="A92" s="3847">
        <v>87</v>
      </c>
      <c r="B92" s="3850" t="s">
        <v>905</v>
      </c>
      <c r="C92" s="3848">
        <v>10003173</v>
      </c>
      <c r="D92" s="3848" t="s">
        <v>5215</v>
      </c>
      <c r="E92" s="3847">
        <v>144369</v>
      </c>
      <c r="F92" s="3852">
        <v>14.29</v>
      </c>
      <c r="G92" s="3839">
        <f t="shared" si="1"/>
        <v>20630.330000000002</v>
      </c>
    </row>
    <row r="93" spans="1:7" ht="42.75">
      <c r="A93" s="3847">
        <v>88</v>
      </c>
      <c r="B93" s="3850" t="s">
        <v>905</v>
      </c>
      <c r="C93" s="3848">
        <v>10003174</v>
      </c>
      <c r="D93" s="3848" t="s">
        <v>5215</v>
      </c>
      <c r="E93" s="3847">
        <v>147568</v>
      </c>
      <c r="F93" s="3852">
        <v>14.29</v>
      </c>
      <c r="G93" s="3839">
        <f t="shared" si="1"/>
        <v>21087.47</v>
      </c>
    </row>
    <row r="94" spans="1:7" ht="42.75">
      <c r="A94" s="3847">
        <v>89</v>
      </c>
      <c r="B94" s="3850" t="s">
        <v>905</v>
      </c>
      <c r="C94" s="3848">
        <v>10003175</v>
      </c>
      <c r="D94" s="3848" t="s">
        <v>5215</v>
      </c>
      <c r="E94" s="3847">
        <v>147568</v>
      </c>
      <c r="F94" s="3852">
        <v>14.29</v>
      </c>
      <c r="G94" s="3839">
        <f t="shared" si="1"/>
        <v>21087.47</v>
      </c>
    </row>
    <row r="95" spans="1:7" ht="28.5">
      <c r="A95" s="3847">
        <v>90</v>
      </c>
      <c r="B95" s="3850" t="s">
        <v>761</v>
      </c>
      <c r="C95" s="3848">
        <v>10003144</v>
      </c>
      <c r="D95" s="3848" t="s">
        <v>5215</v>
      </c>
      <c r="E95" s="3847">
        <v>147568</v>
      </c>
      <c r="F95" s="3852">
        <v>14.29</v>
      </c>
      <c r="G95" s="3839">
        <f t="shared" si="1"/>
        <v>21087.47</v>
      </c>
    </row>
    <row r="96" spans="1:7" ht="42.75">
      <c r="A96" s="3847">
        <v>91</v>
      </c>
      <c r="B96" s="3850" t="s">
        <v>906</v>
      </c>
      <c r="C96" s="3848">
        <v>10003156</v>
      </c>
      <c r="D96" s="3848" t="s">
        <v>5215</v>
      </c>
      <c r="E96" s="3847">
        <v>198691</v>
      </c>
      <c r="F96" s="3852">
        <v>14.29</v>
      </c>
      <c r="G96" s="3839">
        <f t="shared" si="1"/>
        <v>28392.94</v>
      </c>
    </row>
    <row r="97" spans="1:7" ht="42.75">
      <c r="A97" s="3847">
        <v>92</v>
      </c>
      <c r="B97" s="3850" t="s">
        <v>907</v>
      </c>
      <c r="C97" s="3848">
        <v>10003151</v>
      </c>
      <c r="D97" s="3848" t="s">
        <v>5215</v>
      </c>
      <c r="E97" s="3847">
        <v>269004</v>
      </c>
      <c r="F97" s="3852">
        <v>14.29</v>
      </c>
      <c r="G97" s="3839">
        <f t="shared" si="1"/>
        <v>38440.67</v>
      </c>
    </row>
    <row r="98" spans="1:7" ht="42.75">
      <c r="A98" s="3847">
        <v>93</v>
      </c>
      <c r="B98" s="3850" t="s">
        <v>907</v>
      </c>
      <c r="C98" s="3848">
        <v>10003152</v>
      </c>
      <c r="D98" s="3848" t="s">
        <v>5215</v>
      </c>
      <c r="E98" s="3847">
        <v>269005</v>
      </c>
      <c r="F98" s="3852">
        <v>14.29</v>
      </c>
      <c r="G98" s="3839">
        <f t="shared" si="1"/>
        <v>38440.81</v>
      </c>
    </row>
    <row r="99" spans="1:7" ht="42.75">
      <c r="A99" s="3847">
        <v>94</v>
      </c>
      <c r="B99" s="3850" t="s">
        <v>908</v>
      </c>
      <c r="C99" s="3848">
        <v>10003222</v>
      </c>
      <c r="D99" s="3848" t="s">
        <v>5215</v>
      </c>
      <c r="E99" s="3847">
        <v>269004</v>
      </c>
      <c r="F99" s="3852">
        <v>14.29</v>
      </c>
      <c r="G99" s="3839">
        <f t="shared" si="1"/>
        <v>38440.67</v>
      </c>
    </row>
    <row r="100" spans="1:7" ht="42.75">
      <c r="A100" s="3847">
        <v>95</v>
      </c>
      <c r="B100" s="3850" t="s">
        <v>908</v>
      </c>
      <c r="C100" s="3848">
        <v>10003223</v>
      </c>
      <c r="D100" s="3848" t="s">
        <v>5215</v>
      </c>
      <c r="E100" s="3847">
        <v>269004</v>
      </c>
      <c r="F100" s="3852">
        <v>14.29</v>
      </c>
      <c r="G100" s="3839">
        <f t="shared" si="1"/>
        <v>38440.67</v>
      </c>
    </row>
    <row r="101" spans="1:7" ht="42.75">
      <c r="A101" s="3847">
        <v>96</v>
      </c>
      <c r="B101" s="3850" t="s">
        <v>908</v>
      </c>
      <c r="C101" s="3848">
        <v>10003224</v>
      </c>
      <c r="D101" s="3848" t="s">
        <v>5215</v>
      </c>
      <c r="E101" s="3847">
        <v>269004</v>
      </c>
      <c r="F101" s="3852">
        <v>14.29</v>
      </c>
      <c r="G101" s="3839">
        <f t="shared" si="1"/>
        <v>38440.67</v>
      </c>
    </row>
    <row r="102" spans="1:7" ht="28.5">
      <c r="A102" s="3847">
        <v>97</v>
      </c>
      <c r="B102" s="3850" t="s">
        <v>909</v>
      </c>
      <c r="C102" s="3848">
        <v>10003140</v>
      </c>
      <c r="D102" s="3848" t="s">
        <v>5215</v>
      </c>
      <c r="E102" s="3847">
        <v>269004</v>
      </c>
      <c r="F102" s="3852">
        <v>14.29</v>
      </c>
      <c r="G102" s="3839">
        <f t="shared" si="1"/>
        <v>38440.67</v>
      </c>
    </row>
    <row r="103" spans="1:7" ht="42.75">
      <c r="A103" s="3847">
        <v>98</v>
      </c>
      <c r="B103" s="3850" t="s">
        <v>910</v>
      </c>
      <c r="C103" s="3848">
        <v>10003250</v>
      </c>
      <c r="D103" s="3848" t="s">
        <v>5215</v>
      </c>
      <c r="E103" s="3847">
        <v>299560</v>
      </c>
      <c r="F103" s="3852">
        <v>14.29</v>
      </c>
      <c r="G103" s="3839">
        <f t="shared" si="1"/>
        <v>42807.12</v>
      </c>
    </row>
    <row r="104" spans="1:7" ht="42.75">
      <c r="A104" s="3847">
        <v>99</v>
      </c>
      <c r="B104" s="3850" t="s">
        <v>910</v>
      </c>
      <c r="C104" s="3848">
        <v>10003251</v>
      </c>
      <c r="D104" s="3848" t="s">
        <v>5215</v>
      </c>
      <c r="E104" s="3847">
        <v>299560</v>
      </c>
      <c r="F104" s="3852">
        <v>14.29</v>
      </c>
      <c r="G104" s="3839">
        <f t="shared" si="1"/>
        <v>42807.12</v>
      </c>
    </row>
    <row r="105" spans="1:7" ht="28.5">
      <c r="A105" s="3847">
        <v>100</v>
      </c>
      <c r="B105" s="3850" t="s">
        <v>911</v>
      </c>
      <c r="C105" s="3848">
        <v>10003231</v>
      </c>
      <c r="D105" s="3848" t="s">
        <v>5215</v>
      </c>
      <c r="E105" s="3847">
        <v>886248</v>
      </c>
      <c r="F105" s="3852">
        <v>14.29</v>
      </c>
      <c r="G105" s="3839">
        <f t="shared" si="1"/>
        <v>126644.84</v>
      </c>
    </row>
    <row r="106" spans="1:7" ht="28.5">
      <c r="A106" s="3847">
        <v>101</v>
      </c>
      <c r="B106" s="3850" t="s">
        <v>911</v>
      </c>
      <c r="C106" s="3848">
        <v>10003232</v>
      </c>
      <c r="D106" s="3848" t="s">
        <v>5215</v>
      </c>
      <c r="E106" s="3847">
        <v>886249</v>
      </c>
      <c r="F106" s="3852">
        <v>14.29</v>
      </c>
      <c r="G106" s="3839">
        <f t="shared" si="1"/>
        <v>126644.98</v>
      </c>
    </row>
    <row r="107" spans="1:7" ht="28.5">
      <c r="A107" s="3847">
        <v>102</v>
      </c>
      <c r="B107" s="3850" t="s">
        <v>911</v>
      </c>
      <c r="C107" s="3848">
        <v>10003233</v>
      </c>
      <c r="D107" s="3848" t="s">
        <v>5215</v>
      </c>
      <c r="E107" s="3847">
        <v>886249</v>
      </c>
      <c r="F107" s="3852">
        <v>14.29</v>
      </c>
      <c r="G107" s="3839">
        <f t="shared" si="1"/>
        <v>126644.98</v>
      </c>
    </row>
    <row r="108" spans="1:7" ht="28.5">
      <c r="A108" s="3847">
        <v>103</v>
      </c>
      <c r="B108" s="3850" t="s">
        <v>911</v>
      </c>
      <c r="C108" s="3848">
        <v>10003234</v>
      </c>
      <c r="D108" s="3848" t="s">
        <v>5215</v>
      </c>
      <c r="E108" s="3847">
        <v>886249</v>
      </c>
      <c r="F108" s="3852">
        <v>14.29</v>
      </c>
      <c r="G108" s="3839">
        <f t="shared" si="1"/>
        <v>126644.98</v>
      </c>
    </row>
    <row r="109" spans="1:7" ht="28.5">
      <c r="A109" s="3847">
        <v>104</v>
      </c>
      <c r="B109" s="3850" t="s">
        <v>911</v>
      </c>
      <c r="C109" s="3848">
        <v>10003235</v>
      </c>
      <c r="D109" s="3848" t="s">
        <v>5215</v>
      </c>
      <c r="E109" s="3847">
        <v>886249</v>
      </c>
      <c r="F109" s="3852">
        <v>14.29</v>
      </c>
      <c r="G109" s="3839">
        <f t="shared" si="1"/>
        <v>126644.98</v>
      </c>
    </row>
    <row r="110" spans="1:7" ht="42.75">
      <c r="A110" s="3847">
        <v>105</v>
      </c>
      <c r="B110" s="3850" t="s">
        <v>912</v>
      </c>
      <c r="C110" s="3848">
        <v>10003230</v>
      </c>
      <c r="D110" s="3848" t="s">
        <v>5215</v>
      </c>
      <c r="E110" s="3847">
        <v>1188311</v>
      </c>
      <c r="F110" s="3852">
        <v>14.29</v>
      </c>
      <c r="G110" s="3839">
        <f t="shared" si="1"/>
        <v>169809.64</v>
      </c>
    </row>
    <row r="111" spans="1:7" ht="42.75">
      <c r="A111" s="3847">
        <v>106</v>
      </c>
      <c r="B111" s="3850" t="s">
        <v>913</v>
      </c>
      <c r="C111" s="3848">
        <v>10003202</v>
      </c>
      <c r="D111" s="3848" t="s">
        <v>5215</v>
      </c>
      <c r="E111" s="3847">
        <v>51372</v>
      </c>
      <c r="F111" s="3852">
        <v>14.29</v>
      </c>
      <c r="G111" s="3839">
        <f t="shared" si="1"/>
        <v>7341.06</v>
      </c>
    </row>
    <row r="112" spans="1:7" ht="42.75">
      <c r="A112" s="3847">
        <v>107</v>
      </c>
      <c r="B112" s="3850" t="s">
        <v>913</v>
      </c>
      <c r="C112" s="3848">
        <v>10003203</v>
      </c>
      <c r="D112" s="3848" t="s">
        <v>5215</v>
      </c>
      <c r="E112" s="3847">
        <v>51372</v>
      </c>
      <c r="F112" s="3852">
        <v>14.29</v>
      </c>
      <c r="G112" s="3839">
        <f t="shared" si="1"/>
        <v>7341.06</v>
      </c>
    </row>
    <row r="113" spans="1:7" ht="42.75">
      <c r="A113" s="3847">
        <v>108</v>
      </c>
      <c r="B113" s="3850" t="s">
        <v>914</v>
      </c>
      <c r="C113" s="3848">
        <v>10007410</v>
      </c>
      <c r="D113" s="3848" t="s">
        <v>5215</v>
      </c>
      <c r="E113" s="3847">
        <v>2094986</v>
      </c>
      <c r="F113" s="3852">
        <v>14.29</v>
      </c>
      <c r="G113" s="3839">
        <f t="shared" si="1"/>
        <v>299373.5</v>
      </c>
    </row>
    <row r="114" spans="1:7" ht="42.75">
      <c r="A114" s="3847">
        <v>109</v>
      </c>
      <c r="B114" s="3850" t="s">
        <v>914</v>
      </c>
      <c r="C114" s="3848">
        <v>10008309</v>
      </c>
      <c r="D114" s="3848" t="s">
        <v>5215</v>
      </c>
      <c r="E114" s="3847">
        <v>2094986</v>
      </c>
      <c r="F114" s="3852">
        <v>14.29</v>
      </c>
      <c r="G114" s="3839">
        <f t="shared" si="1"/>
        <v>299373.5</v>
      </c>
    </row>
    <row r="115" spans="1:7" ht="42.75">
      <c r="A115" s="3847">
        <v>110</v>
      </c>
      <c r="B115" s="3850" t="s">
        <v>915</v>
      </c>
      <c r="C115" s="3848">
        <v>10003244</v>
      </c>
      <c r="D115" s="3848" t="s">
        <v>5215</v>
      </c>
      <c r="E115" s="3847">
        <v>43867</v>
      </c>
      <c r="F115" s="3852">
        <v>14.29</v>
      </c>
      <c r="G115" s="3839">
        <f t="shared" si="1"/>
        <v>6268.59</v>
      </c>
    </row>
    <row r="116" spans="1:7" ht="42.75">
      <c r="A116" s="3847">
        <v>111</v>
      </c>
      <c r="B116" s="3850" t="s">
        <v>915</v>
      </c>
      <c r="C116" s="3848">
        <v>10003245</v>
      </c>
      <c r="D116" s="3848" t="s">
        <v>5215</v>
      </c>
      <c r="E116" s="3847">
        <v>43868</v>
      </c>
      <c r="F116" s="3852">
        <v>14.29</v>
      </c>
      <c r="G116" s="3839">
        <f t="shared" si="1"/>
        <v>6268.74</v>
      </c>
    </row>
    <row r="117" spans="1:7" ht="42.75">
      <c r="A117" s="3847">
        <v>112</v>
      </c>
      <c r="B117" s="3850" t="s">
        <v>772</v>
      </c>
      <c r="C117" s="3848">
        <v>10003239</v>
      </c>
      <c r="D117" s="3848" t="s">
        <v>5215</v>
      </c>
      <c r="E117" s="3847">
        <v>453933</v>
      </c>
      <c r="F117" s="3852">
        <v>14.29</v>
      </c>
      <c r="G117" s="3839">
        <f t="shared" si="1"/>
        <v>64867.03</v>
      </c>
    </row>
    <row r="118" spans="1:7" ht="42.75">
      <c r="A118" s="3847">
        <v>113</v>
      </c>
      <c r="B118" s="3850" t="s">
        <v>772</v>
      </c>
      <c r="C118" s="3848">
        <v>10003240</v>
      </c>
      <c r="D118" s="3848" t="s">
        <v>5215</v>
      </c>
      <c r="E118" s="3847">
        <v>453934</v>
      </c>
      <c r="F118" s="3852">
        <v>14.29</v>
      </c>
      <c r="G118" s="3839">
        <f t="shared" si="1"/>
        <v>64867.17</v>
      </c>
    </row>
    <row r="119" spans="1:7" ht="28.5">
      <c r="A119" s="3847">
        <v>114</v>
      </c>
      <c r="B119" s="3850" t="s">
        <v>773</v>
      </c>
      <c r="C119" s="3848">
        <v>10003238</v>
      </c>
      <c r="D119" s="3848" t="s">
        <v>5215</v>
      </c>
      <c r="E119" s="3847">
        <v>527724</v>
      </c>
      <c r="F119" s="3852">
        <v>14.29</v>
      </c>
      <c r="G119" s="3839">
        <f t="shared" si="1"/>
        <v>75411.759999999995</v>
      </c>
    </row>
    <row r="120" spans="1:7" ht="42.75">
      <c r="A120" s="3847">
        <v>115</v>
      </c>
      <c r="B120" s="3850" t="s">
        <v>916</v>
      </c>
      <c r="C120" s="3848">
        <v>10003227</v>
      </c>
      <c r="D120" s="3848" t="s">
        <v>5215</v>
      </c>
      <c r="E120" s="3847">
        <v>1268577</v>
      </c>
      <c r="F120" s="3852">
        <v>14.29</v>
      </c>
      <c r="G120" s="3839">
        <f t="shared" si="1"/>
        <v>181279.65</v>
      </c>
    </row>
    <row r="121" spans="1:7" ht="42.75">
      <c r="A121" s="3847">
        <v>116</v>
      </c>
      <c r="B121" s="3850" t="s">
        <v>916</v>
      </c>
      <c r="C121" s="3848">
        <v>10003228</v>
      </c>
      <c r="D121" s="3848" t="s">
        <v>5215</v>
      </c>
      <c r="E121" s="3847">
        <v>1268578</v>
      </c>
      <c r="F121" s="3852">
        <v>14.29</v>
      </c>
      <c r="G121" s="3839">
        <f t="shared" si="1"/>
        <v>181279.8</v>
      </c>
    </row>
    <row r="122" spans="1:7" ht="42.75">
      <c r="A122" s="3847">
        <v>117</v>
      </c>
      <c r="B122" s="3850" t="s">
        <v>916</v>
      </c>
      <c r="C122" s="3848">
        <v>10003229</v>
      </c>
      <c r="D122" s="3848" t="s">
        <v>5215</v>
      </c>
      <c r="E122" s="3847">
        <v>1268578</v>
      </c>
      <c r="F122" s="3852">
        <v>14.29</v>
      </c>
      <c r="G122" s="3839">
        <f t="shared" si="1"/>
        <v>181279.8</v>
      </c>
    </row>
    <row r="123" spans="1:7" ht="57">
      <c r="A123" s="3847">
        <v>118</v>
      </c>
      <c r="B123" s="3850" t="s">
        <v>917</v>
      </c>
      <c r="C123" s="3848">
        <v>10003162</v>
      </c>
      <c r="D123" s="3848" t="s">
        <v>5215</v>
      </c>
      <c r="E123" s="3847">
        <v>37899</v>
      </c>
      <c r="F123" s="3852">
        <v>20</v>
      </c>
      <c r="G123" s="3839">
        <f t="shared" si="1"/>
        <v>7579.8</v>
      </c>
    </row>
    <row r="124" spans="1:7" ht="57">
      <c r="A124" s="3847">
        <v>119</v>
      </c>
      <c r="B124" s="3850" t="s">
        <v>917</v>
      </c>
      <c r="C124" s="3848">
        <v>10003163</v>
      </c>
      <c r="D124" s="3848" t="s">
        <v>5215</v>
      </c>
      <c r="E124" s="3847">
        <v>37899</v>
      </c>
      <c r="F124" s="3852">
        <v>20</v>
      </c>
      <c r="G124" s="3839">
        <f t="shared" si="1"/>
        <v>7579.8</v>
      </c>
    </row>
    <row r="125" spans="1:7" ht="57">
      <c r="A125" s="3847">
        <v>120</v>
      </c>
      <c r="B125" s="3850" t="s">
        <v>917</v>
      </c>
      <c r="C125" s="3848">
        <v>10003164</v>
      </c>
      <c r="D125" s="3848" t="s">
        <v>5215</v>
      </c>
      <c r="E125" s="3847">
        <v>37899</v>
      </c>
      <c r="F125" s="3852">
        <v>20</v>
      </c>
      <c r="G125" s="3839">
        <f t="shared" si="1"/>
        <v>7579.8</v>
      </c>
    </row>
    <row r="126" spans="1:7" ht="57">
      <c r="A126" s="3847">
        <v>121</v>
      </c>
      <c r="B126" s="3850" t="s">
        <v>917</v>
      </c>
      <c r="C126" s="3848">
        <v>10003165</v>
      </c>
      <c r="D126" s="3848" t="s">
        <v>5215</v>
      </c>
      <c r="E126" s="3847">
        <v>37899</v>
      </c>
      <c r="F126" s="3852">
        <v>20</v>
      </c>
      <c r="G126" s="3839">
        <f t="shared" si="1"/>
        <v>7579.8</v>
      </c>
    </row>
    <row r="127" spans="1:7" ht="57">
      <c r="A127" s="3847">
        <v>122</v>
      </c>
      <c r="B127" s="3850" t="s">
        <v>917</v>
      </c>
      <c r="C127" s="3848">
        <v>10003166</v>
      </c>
      <c r="D127" s="3848" t="s">
        <v>5215</v>
      </c>
      <c r="E127" s="3847">
        <v>37899</v>
      </c>
      <c r="F127" s="3852">
        <v>20</v>
      </c>
      <c r="G127" s="3839">
        <f t="shared" si="1"/>
        <v>7579.8</v>
      </c>
    </row>
    <row r="128" spans="1:7" ht="57">
      <c r="A128" s="3847">
        <v>123</v>
      </c>
      <c r="B128" s="3850" t="s">
        <v>917</v>
      </c>
      <c r="C128" s="3848">
        <v>10003167</v>
      </c>
      <c r="D128" s="3848" t="s">
        <v>5215</v>
      </c>
      <c r="E128" s="3847">
        <v>37899</v>
      </c>
      <c r="F128" s="3852">
        <v>20</v>
      </c>
      <c r="G128" s="3839">
        <f t="shared" si="1"/>
        <v>7579.8</v>
      </c>
    </row>
    <row r="129" spans="1:7" ht="57">
      <c r="A129" s="3847">
        <v>124</v>
      </c>
      <c r="B129" s="3850" t="s">
        <v>917</v>
      </c>
      <c r="C129" s="3848">
        <v>10003168</v>
      </c>
      <c r="D129" s="3848" t="s">
        <v>5215</v>
      </c>
      <c r="E129" s="3847">
        <v>37899</v>
      </c>
      <c r="F129" s="3852">
        <v>20</v>
      </c>
      <c r="G129" s="3839">
        <f t="shared" si="1"/>
        <v>7579.8</v>
      </c>
    </row>
    <row r="130" spans="1:7" ht="57">
      <c r="A130" s="3847">
        <v>125</v>
      </c>
      <c r="B130" s="3850" t="s">
        <v>917</v>
      </c>
      <c r="C130" s="3848">
        <v>10003169</v>
      </c>
      <c r="D130" s="3848" t="s">
        <v>5215</v>
      </c>
      <c r="E130" s="3847">
        <v>37899</v>
      </c>
      <c r="F130" s="3852">
        <v>20</v>
      </c>
      <c r="G130" s="3839">
        <f t="shared" si="1"/>
        <v>7579.8</v>
      </c>
    </row>
    <row r="131" spans="1:7" ht="57">
      <c r="A131" s="3847">
        <v>126</v>
      </c>
      <c r="B131" s="3850" t="s">
        <v>917</v>
      </c>
      <c r="C131" s="3848">
        <v>10003170</v>
      </c>
      <c r="D131" s="3848" t="s">
        <v>5215</v>
      </c>
      <c r="E131" s="3847">
        <v>37899</v>
      </c>
      <c r="F131" s="3852">
        <v>20</v>
      </c>
      <c r="G131" s="3839">
        <f t="shared" si="1"/>
        <v>7579.8</v>
      </c>
    </row>
    <row r="132" spans="1:7" ht="42.75">
      <c r="A132" s="3847">
        <v>127</v>
      </c>
      <c r="B132" s="3850" t="s">
        <v>918</v>
      </c>
      <c r="C132" s="3848">
        <v>10003213</v>
      </c>
      <c r="D132" s="3848" t="s">
        <v>5215</v>
      </c>
      <c r="E132" s="3847">
        <v>90465</v>
      </c>
      <c r="F132" s="3852">
        <v>14.29</v>
      </c>
      <c r="G132" s="3839">
        <f t="shared" si="1"/>
        <v>12927.45</v>
      </c>
    </row>
    <row r="133" spans="1:7">
      <c r="A133" s="3847">
        <v>128</v>
      </c>
      <c r="B133" s="3850" t="s">
        <v>833</v>
      </c>
      <c r="C133" s="3848">
        <v>20019132</v>
      </c>
      <c r="D133" s="3848" t="s">
        <v>5216</v>
      </c>
      <c r="E133" s="3847">
        <v>17313</v>
      </c>
      <c r="F133" s="3852">
        <v>33.33</v>
      </c>
      <c r="G133" s="3839">
        <f t="shared" si="1"/>
        <v>5770.42</v>
      </c>
    </row>
    <row r="134" spans="1:7" ht="28.5">
      <c r="A134" s="3847">
        <v>129</v>
      </c>
      <c r="B134" s="3850" t="s">
        <v>5220</v>
      </c>
      <c r="C134" s="3848">
        <v>10009759</v>
      </c>
      <c r="D134" s="3848" t="s">
        <v>5216</v>
      </c>
      <c r="E134" s="3847">
        <v>30000</v>
      </c>
      <c r="F134" s="3852">
        <v>33.33</v>
      </c>
      <c r="G134" s="3839">
        <f t="shared" si="1"/>
        <v>9999</v>
      </c>
    </row>
    <row r="135" spans="1:7" ht="28.5">
      <c r="A135" s="3847">
        <v>130</v>
      </c>
      <c r="B135" s="3850" t="s">
        <v>5220</v>
      </c>
      <c r="C135" s="3848">
        <v>10009831</v>
      </c>
      <c r="D135" s="3848" t="s">
        <v>5216</v>
      </c>
      <c r="E135" s="3847">
        <v>30000</v>
      </c>
      <c r="F135" s="3852">
        <v>33.33</v>
      </c>
      <c r="G135" s="3839">
        <f t="shared" ref="G135:G198" si="2">ROUND(E135*F135%,2)</f>
        <v>9999</v>
      </c>
    </row>
    <row r="136" spans="1:7" ht="42.75">
      <c r="A136" s="3847">
        <v>131</v>
      </c>
      <c r="B136" s="3850" t="s">
        <v>5200</v>
      </c>
      <c r="C136" s="3848">
        <v>10007180</v>
      </c>
      <c r="D136" s="3848" t="s">
        <v>5216</v>
      </c>
      <c r="E136" s="3847">
        <v>50890</v>
      </c>
      <c r="F136" s="3852">
        <v>33.33</v>
      </c>
      <c r="G136" s="3839">
        <f t="shared" si="2"/>
        <v>16961.64</v>
      </c>
    </row>
    <row r="137" spans="1:7">
      <c r="A137" s="3847">
        <v>132</v>
      </c>
      <c r="B137" s="3850" t="s">
        <v>784</v>
      </c>
      <c r="C137" s="3848">
        <v>10003543</v>
      </c>
      <c r="D137" s="3848" t="s">
        <v>5216</v>
      </c>
      <c r="E137" s="3847">
        <v>13029</v>
      </c>
      <c r="F137" s="3852">
        <v>33.33</v>
      </c>
      <c r="G137" s="3839">
        <f t="shared" si="2"/>
        <v>4342.57</v>
      </c>
    </row>
    <row r="138" spans="1:7">
      <c r="A138" s="3847">
        <v>133</v>
      </c>
      <c r="B138" s="3850" t="s">
        <v>784</v>
      </c>
      <c r="C138" s="3848">
        <v>10003552</v>
      </c>
      <c r="D138" s="3848" t="s">
        <v>5216</v>
      </c>
      <c r="E138" s="3847">
        <v>13029</v>
      </c>
      <c r="F138" s="3852">
        <v>33.33</v>
      </c>
      <c r="G138" s="3839">
        <f t="shared" si="2"/>
        <v>4342.57</v>
      </c>
    </row>
    <row r="139" spans="1:7">
      <c r="A139" s="3847">
        <v>134</v>
      </c>
      <c r="B139" s="3850" t="s">
        <v>784</v>
      </c>
      <c r="C139" s="3848">
        <v>10003555</v>
      </c>
      <c r="D139" s="3848" t="s">
        <v>5216</v>
      </c>
      <c r="E139" s="3847">
        <v>13029</v>
      </c>
      <c r="F139" s="3852">
        <v>33.33</v>
      </c>
      <c r="G139" s="3839">
        <f t="shared" si="2"/>
        <v>4342.57</v>
      </c>
    </row>
    <row r="140" spans="1:7" ht="28.5">
      <c r="A140" s="3847">
        <v>135</v>
      </c>
      <c r="B140" s="3850" t="s">
        <v>877</v>
      </c>
      <c r="C140" s="3848">
        <v>10005203</v>
      </c>
      <c r="D140" s="3848" t="s">
        <v>5216</v>
      </c>
      <c r="E140" s="3847">
        <v>122163</v>
      </c>
      <c r="F140" s="3852">
        <v>33.33</v>
      </c>
      <c r="G140" s="3839">
        <f t="shared" si="2"/>
        <v>40716.93</v>
      </c>
    </row>
    <row r="141" spans="1:7" ht="28.5">
      <c r="A141" s="3847">
        <v>136</v>
      </c>
      <c r="B141" s="3850" t="s">
        <v>877</v>
      </c>
      <c r="C141" s="3848">
        <v>10005205</v>
      </c>
      <c r="D141" s="3848" t="s">
        <v>5216</v>
      </c>
      <c r="E141" s="3847">
        <v>122164</v>
      </c>
      <c r="F141" s="3852">
        <v>33.33</v>
      </c>
      <c r="G141" s="3839">
        <f t="shared" si="2"/>
        <v>40717.26</v>
      </c>
    </row>
    <row r="142" spans="1:7" ht="28.5">
      <c r="A142" s="3847">
        <v>137</v>
      </c>
      <c r="B142" s="3850" t="s">
        <v>887</v>
      </c>
      <c r="C142" s="3848">
        <v>10003387</v>
      </c>
      <c r="D142" s="3848" t="s">
        <v>5216</v>
      </c>
      <c r="E142" s="3847">
        <v>9275</v>
      </c>
      <c r="F142" s="3852">
        <v>33.33</v>
      </c>
      <c r="G142" s="3839">
        <f t="shared" si="2"/>
        <v>3091.36</v>
      </c>
    </row>
    <row r="143" spans="1:7" ht="28.5">
      <c r="A143" s="3847">
        <v>138</v>
      </c>
      <c r="B143" s="3850" t="s">
        <v>786</v>
      </c>
      <c r="C143" s="3848">
        <v>10005612</v>
      </c>
      <c r="D143" s="3848" t="s">
        <v>5216</v>
      </c>
      <c r="E143" s="3847">
        <v>30264</v>
      </c>
      <c r="F143" s="3852">
        <v>33.33</v>
      </c>
      <c r="G143" s="3839">
        <f t="shared" si="2"/>
        <v>10086.99</v>
      </c>
    </row>
    <row r="144" spans="1:7" ht="28.5">
      <c r="A144" s="3847">
        <v>139</v>
      </c>
      <c r="B144" s="3850" t="s">
        <v>787</v>
      </c>
      <c r="C144" s="3848">
        <v>10005613</v>
      </c>
      <c r="D144" s="3848" t="s">
        <v>5216</v>
      </c>
      <c r="E144" s="3847">
        <v>5596</v>
      </c>
      <c r="F144" s="3852">
        <v>33.33</v>
      </c>
      <c r="G144" s="3839">
        <f t="shared" si="2"/>
        <v>1865.15</v>
      </c>
    </row>
    <row r="145" spans="1:7" ht="28.5">
      <c r="A145" s="3847">
        <v>140</v>
      </c>
      <c r="B145" s="3850" t="s">
        <v>788</v>
      </c>
      <c r="C145" s="3848">
        <v>10003516</v>
      </c>
      <c r="D145" s="3848" t="s">
        <v>5216</v>
      </c>
      <c r="E145" s="3847">
        <v>11731</v>
      </c>
      <c r="F145" s="3852">
        <v>33.33</v>
      </c>
      <c r="G145" s="3839">
        <f t="shared" si="2"/>
        <v>3909.94</v>
      </c>
    </row>
    <row r="146" spans="1:7">
      <c r="A146" s="3847">
        <v>141</v>
      </c>
      <c r="B146" s="3850" t="s">
        <v>789</v>
      </c>
      <c r="C146" s="3848">
        <v>10004465</v>
      </c>
      <c r="D146" s="3848" t="s">
        <v>5216</v>
      </c>
      <c r="E146" s="3847">
        <v>11731</v>
      </c>
      <c r="F146" s="3852">
        <v>33.33</v>
      </c>
      <c r="G146" s="3839">
        <f t="shared" si="2"/>
        <v>3909.94</v>
      </c>
    </row>
    <row r="147" spans="1:7">
      <c r="A147" s="3847">
        <v>142</v>
      </c>
      <c r="B147" s="3850" t="s">
        <v>789</v>
      </c>
      <c r="C147" s="3848">
        <v>10004472</v>
      </c>
      <c r="D147" s="3848" t="s">
        <v>5216</v>
      </c>
      <c r="E147" s="3847">
        <v>11731</v>
      </c>
      <c r="F147" s="3852">
        <v>33.33</v>
      </c>
      <c r="G147" s="3839">
        <f t="shared" si="2"/>
        <v>3909.94</v>
      </c>
    </row>
    <row r="148" spans="1:7">
      <c r="A148" s="3847">
        <v>143</v>
      </c>
      <c r="B148" s="3850" t="s">
        <v>792</v>
      </c>
      <c r="C148" s="3848">
        <v>10004727</v>
      </c>
      <c r="D148" s="3848" t="s">
        <v>5216</v>
      </c>
      <c r="E148" s="3847">
        <v>80691</v>
      </c>
      <c r="F148" s="3852">
        <v>33.33</v>
      </c>
      <c r="G148" s="3839">
        <f t="shared" si="2"/>
        <v>26894.31</v>
      </c>
    </row>
    <row r="149" spans="1:7">
      <c r="A149" s="3847">
        <v>144</v>
      </c>
      <c r="B149" s="3850" t="s">
        <v>792</v>
      </c>
      <c r="C149" s="3848">
        <v>10004728</v>
      </c>
      <c r="D149" s="3848" t="s">
        <v>5216</v>
      </c>
      <c r="E149" s="3847">
        <v>80691</v>
      </c>
      <c r="F149" s="3852">
        <v>33.33</v>
      </c>
      <c r="G149" s="3839">
        <f t="shared" si="2"/>
        <v>26894.31</v>
      </c>
    </row>
    <row r="150" spans="1:7">
      <c r="A150" s="3847">
        <v>145</v>
      </c>
      <c r="B150" s="3850" t="s">
        <v>792</v>
      </c>
      <c r="C150" s="3848">
        <v>10004729</v>
      </c>
      <c r="D150" s="3848" t="s">
        <v>5216</v>
      </c>
      <c r="E150" s="3847">
        <v>80691</v>
      </c>
      <c r="F150" s="3852">
        <v>33.33</v>
      </c>
      <c r="G150" s="3839">
        <f t="shared" si="2"/>
        <v>26894.31</v>
      </c>
    </row>
    <row r="151" spans="1:7">
      <c r="A151" s="3847">
        <v>146</v>
      </c>
      <c r="B151" s="3850" t="s">
        <v>792</v>
      </c>
      <c r="C151" s="3848">
        <v>10004730</v>
      </c>
      <c r="D151" s="3848" t="s">
        <v>5216</v>
      </c>
      <c r="E151" s="3847">
        <v>80691</v>
      </c>
      <c r="F151" s="3852">
        <v>33.33</v>
      </c>
      <c r="G151" s="3839">
        <f t="shared" si="2"/>
        <v>26894.31</v>
      </c>
    </row>
    <row r="152" spans="1:7">
      <c r="A152" s="3847">
        <v>147</v>
      </c>
      <c r="B152" s="3850" t="s">
        <v>792</v>
      </c>
      <c r="C152" s="3848">
        <v>10004731</v>
      </c>
      <c r="D152" s="3848" t="s">
        <v>5216</v>
      </c>
      <c r="E152" s="3847">
        <v>80691</v>
      </c>
      <c r="F152" s="3852">
        <v>33.33</v>
      </c>
      <c r="G152" s="3839">
        <f t="shared" si="2"/>
        <v>26894.31</v>
      </c>
    </row>
    <row r="153" spans="1:7">
      <c r="A153" s="3847">
        <v>148</v>
      </c>
      <c r="B153" s="3850" t="s">
        <v>792</v>
      </c>
      <c r="C153" s="3848">
        <v>10004732</v>
      </c>
      <c r="D153" s="3848" t="s">
        <v>5216</v>
      </c>
      <c r="E153" s="3847">
        <v>80691</v>
      </c>
      <c r="F153" s="3852">
        <v>33.33</v>
      </c>
      <c r="G153" s="3839">
        <f t="shared" si="2"/>
        <v>26894.31</v>
      </c>
    </row>
    <row r="154" spans="1:7">
      <c r="A154" s="3847">
        <v>149</v>
      </c>
      <c r="B154" s="3850" t="s">
        <v>792</v>
      </c>
      <c r="C154" s="3848">
        <v>10004733</v>
      </c>
      <c r="D154" s="3848" t="s">
        <v>5216</v>
      </c>
      <c r="E154" s="3847">
        <v>80691</v>
      </c>
      <c r="F154" s="3852">
        <v>33.33</v>
      </c>
      <c r="G154" s="3839">
        <f t="shared" si="2"/>
        <v>26894.31</v>
      </c>
    </row>
    <row r="155" spans="1:7">
      <c r="A155" s="3847">
        <v>150</v>
      </c>
      <c r="B155" s="3850" t="s">
        <v>792</v>
      </c>
      <c r="C155" s="3848">
        <v>10004734</v>
      </c>
      <c r="D155" s="3848" t="s">
        <v>5216</v>
      </c>
      <c r="E155" s="3847">
        <v>80691</v>
      </c>
      <c r="F155" s="3852">
        <v>33.33</v>
      </c>
      <c r="G155" s="3839">
        <f t="shared" si="2"/>
        <v>26894.31</v>
      </c>
    </row>
    <row r="156" spans="1:7">
      <c r="A156" s="3847">
        <v>151</v>
      </c>
      <c r="B156" s="3850" t="s">
        <v>792</v>
      </c>
      <c r="C156" s="3848">
        <v>10004744</v>
      </c>
      <c r="D156" s="3848" t="s">
        <v>5216</v>
      </c>
      <c r="E156" s="3847">
        <v>80691</v>
      </c>
      <c r="F156" s="3852">
        <v>33.33</v>
      </c>
      <c r="G156" s="3839">
        <f t="shared" si="2"/>
        <v>26894.31</v>
      </c>
    </row>
    <row r="157" spans="1:7">
      <c r="A157" s="3847">
        <v>152</v>
      </c>
      <c r="B157" s="3850" t="s">
        <v>792</v>
      </c>
      <c r="C157" s="3848">
        <v>10004745</v>
      </c>
      <c r="D157" s="3848" t="s">
        <v>5216</v>
      </c>
      <c r="E157" s="3847">
        <v>80691</v>
      </c>
      <c r="F157" s="3852">
        <v>33.33</v>
      </c>
      <c r="G157" s="3839">
        <f t="shared" si="2"/>
        <v>26894.31</v>
      </c>
    </row>
    <row r="158" spans="1:7">
      <c r="A158" s="3847">
        <v>153</v>
      </c>
      <c r="B158" s="3850" t="s">
        <v>792</v>
      </c>
      <c r="C158" s="3848">
        <v>10004746</v>
      </c>
      <c r="D158" s="3848" t="s">
        <v>5216</v>
      </c>
      <c r="E158" s="3847">
        <v>80691</v>
      </c>
      <c r="F158" s="3852">
        <v>33.33</v>
      </c>
      <c r="G158" s="3839">
        <f t="shared" si="2"/>
        <v>26894.31</v>
      </c>
    </row>
    <row r="159" spans="1:7">
      <c r="A159" s="3847">
        <v>154</v>
      </c>
      <c r="B159" s="3850" t="s">
        <v>792</v>
      </c>
      <c r="C159" s="3848">
        <v>10004747</v>
      </c>
      <c r="D159" s="3848" t="s">
        <v>5216</v>
      </c>
      <c r="E159" s="3847">
        <v>80691</v>
      </c>
      <c r="F159" s="3852">
        <v>33.33</v>
      </c>
      <c r="G159" s="3839">
        <f t="shared" si="2"/>
        <v>26894.31</v>
      </c>
    </row>
    <row r="160" spans="1:7">
      <c r="A160" s="3847">
        <v>155</v>
      </c>
      <c r="B160" s="3850" t="s">
        <v>792</v>
      </c>
      <c r="C160" s="3848">
        <v>10004748</v>
      </c>
      <c r="D160" s="3848" t="s">
        <v>5216</v>
      </c>
      <c r="E160" s="3847">
        <v>80691</v>
      </c>
      <c r="F160" s="3852">
        <v>33.33</v>
      </c>
      <c r="G160" s="3839">
        <f t="shared" si="2"/>
        <v>26894.31</v>
      </c>
    </row>
    <row r="161" spans="1:7">
      <c r="A161" s="3847">
        <v>156</v>
      </c>
      <c r="B161" s="3850" t="s">
        <v>792</v>
      </c>
      <c r="C161" s="3848">
        <v>10004749</v>
      </c>
      <c r="D161" s="3848" t="s">
        <v>5216</v>
      </c>
      <c r="E161" s="3847">
        <v>80691</v>
      </c>
      <c r="F161" s="3852">
        <v>33.33</v>
      </c>
      <c r="G161" s="3839">
        <f t="shared" si="2"/>
        <v>26894.31</v>
      </c>
    </row>
    <row r="162" spans="1:7">
      <c r="A162" s="3847">
        <v>157</v>
      </c>
      <c r="B162" s="3850" t="s">
        <v>792</v>
      </c>
      <c r="C162" s="3848">
        <v>10004750</v>
      </c>
      <c r="D162" s="3848" t="s">
        <v>5216</v>
      </c>
      <c r="E162" s="3847">
        <v>80691</v>
      </c>
      <c r="F162" s="3852">
        <v>33.33</v>
      </c>
      <c r="G162" s="3839">
        <f t="shared" si="2"/>
        <v>26894.31</v>
      </c>
    </row>
    <row r="163" spans="1:7">
      <c r="A163" s="3847">
        <v>158</v>
      </c>
      <c r="B163" s="3850" t="s">
        <v>792</v>
      </c>
      <c r="C163" s="3848">
        <v>10004751</v>
      </c>
      <c r="D163" s="3848" t="s">
        <v>5216</v>
      </c>
      <c r="E163" s="3847">
        <v>80691</v>
      </c>
      <c r="F163" s="3852">
        <v>33.33</v>
      </c>
      <c r="G163" s="3839">
        <f t="shared" si="2"/>
        <v>26894.31</v>
      </c>
    </row>
    <row r="164" spans="1:7">
      <c r="A164" s="3847">
        <v>159</v>
      </c>
      <c r="B164" s="3850" t="s">
        <v>792</v>
      </c>
      <c r="C164" s="3848">
        <v>10004752</v>
      </c>
      <c r="D164" s="3848" t="s">
        <v>5216</v>
      </c>
      <c r="E164" s="3847">
        <v>80691</v>
      </c>
      <c r="F164" s="3852">
        <v>33.33</v>
      </c>
      <c r="G164" s="3839">
        <f t="shared" si="2"/>
        <v>26894.31</v>
      </c>
    </row>
    <row r="165" spans="1:7">
      <c r="A165" s="3847">
        <v>160</v>
      </c>
      <c r="B165" s="3850" t="s">
        <v>792</v>
      </c>
      <c r="C165" s="3848">
        <v>10004753</v>
      </c>
      <c r="D165" s="3848" t="s">
        <v>5216</v>
      </c>
      <c r="E165" s="3847">
        <v>80691</v>
      </c>
      <c r="F165" s="3852">
        <v>33.33</v>
      </c>
      <c r="G165" s="3839">
        <f t="shared" si="2"/>
        <v>26894.31</v>
      </c>
    </row>
    <row r="166" spans="1:7">
      <c r="A166" s="3847">
        <v>161</v>
      </c>
      <c r="B166" s="3850" t="s">
        <v>792</v>
      </c>
      <c r="C166" s="3848">
        <v>10004754</v>
      </c>
      <c r="D166" s="3848" t="s">
        <v>5216</v>
      </c>
      <c r="E166" s="3847">
        <v>80691</v>
      </c>
      <c r="F166" s="3852">
        <v>33.33</v>
      </c>
      <c r="G166" s="3839">
        <f t="shared" si="2"/>
        <v>26894.31</v>
      </c>
    </row>
    <row r="167" spans="1:7">
      <c r="A167" s="3847">
        <v>162</v>
      </c>
      <c r="B167" s="3850" t="s">
        <v>792</v>
      </c>
      <c r="C167" s="3848">
        <v>10004755</v>
      </c>
      <c r="D167" s="3848" t="s">
        <v>5216</v>
      </c>
      <c r="E167" s="3847">
        <v>80691</v>
      </c>
      <c r="F167" s="3852">
        <v>33.33</v>
      </c>
      <c r="G167" s="3839">
        <f t="shared" si="2"/>
        <v>26894.31</v>
      </c>
    </row>
    <row r="168" spans="1:7">
      <c r="A168" s="3847">
        <v>163</v>
      </c>
      <c r="B168" s="3850" t="s">
        <v>792</v>
      </c>
      <c r="C168" s="3848">
        <v>10004756</v>
      </c>
      <c r="D168" s="3848" t="s">
        <v>5216</v>
      </c>
      <c r="E168" s="3847">
        <v>80691</v>
      </c>
      <c r="F168" s="3852">
        <v>33.33</v>
      </c>
      <c r="G168" s="3839">
        <f t="shared" si="2"/>
        <v>26894.31</v>
      </c>
    </row>
    <row r="169" spans="1:7">
      <c r="A169" s="3847">
        <v>164</v>
      </c>
      <c r="B169" s="3850" t="s">
        <v>792</v>
      </c>
      <c r="C169" s="3848">
        <v>10007283</v>
      </c>
      <c r="D169" s="3848" t="s">
        <v>5216</v>
      </c>
      <c r="E169" s="3847">
        <v>86326</v>
      </c>
      <c r="F169" s="3852">
        <v>33.33</v>
      </c>
      <c r="G169" s="3839">
        <f t="shared" si="2"/>
        <v>28772.46</v>
      </c>
    </row>
    <row r="170" spans="1:7">
      <c r="A170" s="3847">
        <v>165</v>
      </c>
      <c r="B170" s="3850" t="s">
        <v>792</v>
      </c>
      <c r="C170" s="3848">
        <v>10007284</v>
      </c>
      <c r="D170" s="3848" t="s">
        <v>5216</v>
      </c>
      <c r="E170" s="3847">
        <v>86327</v>
      </c>
      <c r="F170" s="3852">
        <v>33.33</v>
      </c>
      <c r="G170" s="3839">
        <f t="shared" si="2"/>
        <v>28772.79</v>
      </c>
    </row>
    <row r="171" spans="1:7">
      <c r="A171" s="3847">
        <v>166</v>
      </c>
      <c r="B171" s="3850" t="s">
        <v>792</v>
      </c>
      <c r="C171" s="3848">
        <v>10007299</v>
      </c>
      <c r="D171" s="3848" t="s">
        <v>5216</v>
      </c>
      <c r="E171" s="3847">
        <v>86326</v>
      </c>
      <c r="F171" s="3852">
        <v>33.33</v>
      </c>
      <c r="G171" s="3839">
        <f t="shared" si="2"/>
        <v>28772.46</v>
      </c>
    </row>
    <row r="172" spans="1:7">
      <c r="A172" s="3847">
        <v>167</v>
      </c>
      <c r="B172" s="3850" t="s">
        <v>792</v>
      </c>
      <c r="C172" s="3848">
        <v>10007304</v>
      </c>
      <c r="D172" s="3848" t="s">
        <v>5216</v>
      </c>
      <c r="E172" s="3847">
        <v>86326</v>
      </c>
      <c r="F172" s="3852">
        <v>33.33</v>
      </c>
      <c r="G172" s="3839">
        <f t="shared" si="2"/>
        <v>28772.46</v>
      </c>
    </row>
    <row r="173" spans="1:7">
      <c r="A173" s="3847">
        <v>168</v>
      </c>
      <c r="B173" s="3850" t="s">
        <v>792</v>
      </c>
      <c r="C173" s="3848">
        <v>10007307</v>
      </c>
      <c r="D173" s="3848" t="s">
        <v>5216</v>
      </c>
      <c r="E173" s="3847">
        <v>86326</v>
      </c>
      <c r="F173" s="3852">
        <v>33.33</v>
      </c>
      <c r="G173" s="3839">
        <f t="shared" si="2"/>
        <v>28772.46</v>
      </c>
    </row>
    <row r="174" spans="1:7">
      <c r="A174" s="3847">
        <v>169</v>
      </c>
      <c r="B174" s="3850" t="s">
        <v>792</v>
      </c>
      <c r="C174" s="3848">
        <v>10007308</v>
      </c>
      <c r="D174" s="3848" t="s">
        <v>5216</v>
      </c>
      <c r="E174" s="3847">
        <v>86326</v>
      </c>
      <c r="F174" s="3852">
        <v>33.33</v>
      </c>
      <c r="G174" s="3839">
        <f t="shared" si="2"/>
        <v>28772.46</v>
      </c>
    </row>
    <row r="175" spans="1:7">
      <c r="A175" s="3847">
        <v>170</v>
      </c>
      <c r="B175" s="3850" t="s">
        <v>792</v>
      </c>
      <c r="C175" s="3848">
        <v>10007309</v>
      </c>
      <c r="D175" s="3848" t="s">
        <v>5216</v>
      </c>
      <c r="E175" s="3847">
        <v>86327</v>
      </c>
      <c r="F175" s="3852">
        <v>33.33</v>
      </c>
      <c r="G175" s="3839">
        <f t="shared" si="2"/>
        <v>28772.79</v>
      </c>
    </row>
    <row r="176" spans="1:7">
      <c r="A176" s="3847">
        <v>171</v>
      </c>
      <c r="B176" s="3850" t="s">
        <v>792</v>
      </c>
      <c r="C176" s="3848">
        <v>10007313</v>
      </c>
      <c r="D176" s="3848" t="s">
        <v>5216</v>
      </c>
      <c r="E176" s="3847">
        <v>86327</v>
      </c>
      <c r="F176" s="3852">
        <v>33.33</v>
      </c>
      <c r="G176" s="3839">
        <f t="shared" si="2"/>
        <v>28772.79</v>
      </c>
    </row>
    <row r="177" spans="1:7">
      <c r="A177" s="3847">
        <v>172</v>
      </c>
      <c r="B177" s="3850" t="s">
        <v>792</v>
      </c>
      <c r="C177" s="3848">
        <v>10007314</v>
      </c>
      <c r="D177" s="3848" t="s">
        <v>5216</v>
      </c>
      <c r="E177" s="3847">
        <v>86327</v>
      </c>
      <c r="F177" s="3852">
        <v>33.33</v>
      </c>
      <c r="G177" s="3839">
        <f t="shared" si="2"/>
        <v>28772.79</v>
      </c>
    </row>
    <row r="178" spans="1:7">
      <c r="A178" s="3847">
        <v>173</v>
      </c>
      <c r="B178" s="3850" t="s">
        <v>793</v>
      </c>
      <c r="C178" s="3848">
        <v>10004145</v>
      </c>
      <c r="D178" s="3848" t="s">
        <v>5216</v>
      </c>
      <c r="E178" s="3847">
        <v>98841</v>
      </c>
      <c r="F178" s="3852">
        <v>33.33</v>
      </c>
      <c r="G178" s="3839">
        <f t="shared" si="2"/>
        <v>32943.71</v>
      </c>
    </row>
    <row r="179" spans="1:7">
      <c r="A179" s="3847">
        <v>174</v>
      </c>
      <c r="B179" s="3850" t="s">
        <v>793</v>
      </c>
      <c r="C179" s="3848">
        <v>10007287</v>
      </c>
      <c r="D179" s="3848" t="s">
        <v>5216</v>
      </c>
      <c r="E179" s="3847">
        <v>105745</v>
      </c>
      <c r="F179" s="3852">
        <v>33.33</v>
      </c>
      <c r="G179" s="3839">
        <f t="shared" si="2"/>
        <v>35244.81</v>
      </c>
    </row>
    <row r="180" spans="1:7">
      <c r="A180" s="3847">
        <v>175</v>
      </c>
      <c r="B180" s="3850" t="s">
        <v>793</v>
      </c>
      <c r="C180" s="3848">
        <v>10007288</v>
      </c>
      <c r="D180" s="3848" t="s">
        <v>5216</v>
      </c>
      <c r="E180" s="3847">
        <v>105745</v>
      </c>
      <c r="F180" s="3852">
        <v>33.33</v>
      </c>
      <c r="G180" s="3839">
        <f t="shared" si="2"/>
        <v>35244.81</v>
      </c>
    </row>
    <row r="181" spans="1:7">
      <c r="A181" s="3847">
        <v>176</v>
      </c>
      <c r="B181" s="3850" t="s">
        <v>793</v>
      </c>
      <c r="C181" s="3848">
        <v>10007289</v>
      </c>
      <c r="D181" s="3848" t="s">
        <v>5216</v>
      </c>
      <c r="E181" s="3847">
        <v>105745</v>
      </c>
      <c r="F181" s="3852">
        <v>33.33</v>
      </c>
      <c r="G181" s="3839">
        <f t="shared" si="2"/>
        <v>35244.81</v>
      </c>
    </row>
    <row r="182" spans="1:7">
      <c r="A182" s="3847">
        <v>177</v>
      </c>
      <c r="B182" s="3850" t="s">
        <v>793</v>
      </c>
      <c r="C182" s="3848">
        <v>10007291</v>
      </c>
      <c r="D182" s="3848" t="s">
        <v>5216</v>
      </c>
      <c r="E182" s="3847">
        <v>105745</v>
      </c>
      <c r="F182" s="3852">
        <v>33.33</v>
      </c>
      <c r="G182" s="3839">
        <f t="shared" si="2"/>
        <v>35244.81</v>
      </c>
    </row>
    <row r="183" spans="1:7">
      <c r="A183" s="3847">
        <v>178</v>
      </c>
      <c r="B183" s="3850" t="s">
        <v>793</v>
      </c>
      <c r="C183" s="3848">
        <v>10007292</v>
      </c>
      <c r="D183" s="3848" t="s">
        <v>5216</v>
      </c>
      <c r="E183" s="3847">
        <v>105745</v>
      </c>
      <c r="F183" s="3852">
        <v>33.33</v>
      </c>
      <c r="G183" s="3839">
        <f t="shared" si="2"/>
        <v>35244.81</v>
      </c>
    </row>
    <row r="184" spans="1:7">
      <c r="A184" s="3847">
        <v>179</v>
      </c>
      <c r="B184" s="3850" t="s">
        <v>793</v>
      </c>
      <c r="C184" s="3848">
        <v>10007294</v>
      </c>
      <c r="D184" s="3848" t="s">
        <v>5216</v>
      </c>
      <c r="E184" s="3847">
        <v>105745</v>
      </c>
      <c r="F184" s="3852">
        <v>33.33</v>
      </c>
      <c r="G184" s="3839">
        <f t="shared" si="2"/>
        <v>35244.81</v>
      </c>
    </row>
    <row r="185" spans="1:7" ht="28.5">
      <c r="A185" s="3847">
        <v>180</v>
      </c>
      <c r="B185" s="3850" t="s">
        <v>794</v>
      </c>
      <c r="C185" s="3848">
        <v>10003337</v>
      </c>
      <c r="D185" s="3848" t="s">
        <v>5216</v>
      </c>
      <c r="E185" s="3847">
        <v>63210</v>
      </c>
      <c r="F185" s="3852">
        <v>33.33</v>
      </c>
      <c r="G185" s="3839">
        <f t="shared" si="2"/>
        <v>21067.89</v>
      </c>
    </row>
    <row r="186" spans="1:7" ht="28.5">
      <c r="A186" s="3847">
        <v>181</v>
      </c>
      <c r="B186" s="3850" t="s">
        <v>799</v>
      </c>
      <c r="C186" s="3848">
        <v>10003342</v>
      </c>
      <c r="D186" s="3848" t="s">
        <v>5216</v>
      </c>
      <c r="E186" s="3847">
        <v>73046</v>
      </c>
      <c r="F186" s="3852">
        <v>33.33</v>
      </c>
      <c r="G186" s="3839">
        <f t="shared" si="2"/>
        <v>24346.23</v>
      </c>
    </row>
    <row r="187" spans="1:7" ht="28.5">
      <c r="A187" s="3847">
        <v>182</v>
      </c>
      <c r="B187" s="3850" t="s">
        <v>795</v>
      </c>
      <c r="C187" s="3848">
        <v>10003323</v>
      </c>
      <c r="D187" s="3848" t="s">
        <v>5216</v>
      </c>
      <c r="E187" s="3847">
        <v>34773</v>
      </c>
      <c r="F187" s="3852">
        <v>33.33</v>
      </c>
      <c r="G187" s="3839">
        <f t="shared" si="2"/>
        <v>11589.84</v>
      </c>
    </row>
    <row r="188" spans="1:7" ht="28.5">
      <c r="A188" s="3847">
        <v>183</v>
      </c>
      <c r="B188" s="3850" t="s">
        <v>796</v>
      </c>
      <c r="C188" s="3848">
        <v>10003326</v>
      </c>
      <c r="D188" s="3848" t="s">
        <v>5216</v>
      </c>
      <c r="E188" s="3847">
        <v>33017</v>
      </c>
      <c r="F188" s="3852">
        <v>33.33</v>
      </c>
      <c r="G188" s="3839">
        <f t="shared" si="2"/>
        <v>11004.57</v>
      </c>
    </row>
    <row r="189" spans="1:7" ht="28.5">
      <c r="A189" s="3847">
        <v>184</v>
      </c>
      <c r="B189" s="3850" t="s">
        <v>797</v>
      </c>
      <c r="C189" s="3848">
        <v>10003333</v>
      </c>
      <c r="D189" s="3848" t="s">
        <v>5216</v>
      </c>
      <c r="E189" s="3847">
        <v>52250</v>
      </c>
      <c r="F189" s="3852">
        <v>33.33</v>
      </c>
      <c r="G189" s="3839">
        <f t="shared" si="2"/>
        <v>17414.93</v>
      </c>
    </row>
    <row r="190" spans="1:7" ht="28.5">
      <c r="A190" s="3847">
        <v>185</v>
      </c>
      <c r="B190" s="3850" t="s">
        <v>798</v>
      </c>
      <c r="C190" s="3848">
        <v>10003465</v>
      </c>
      <c r="D190" s="3848" t="s">
        <v>5216</v>
      </c>
      <c r="E190" s="3847">
        <v>74696</v>
      </c>
      <c r="F190" s="3852">
        <v>33.33</v>
      </c>
      <c r="G190" s="3839">
        <f t="shared" si="2"/>
        <v>24896.18</v>
      </c>
    </row>
    <row r="191" spans="1:7" ht="28.5">
      <c r="A191" s="3847">
        <v>186</v>
      </c>
      <c r="B191" s="3850" t="s">
        <v>798</v>
      </c>
      <c r="C191" s="3848">
        <v>10003468</v>
      </c>
      <c r="D191" s="3848" t="s">
        <v>5216</v>
      </c>
      <c r="E191" s="3847">
        <v>74696</v>
      </c>
      <c r="F191" s="3852">
        <v>33.33</v>
      </c>
      <c r="G191" s="3839">
        <f t="shared" si="2"/>
        <v>24896.18</v>
      </c>
    </row>
    <row r="192" spans="1:7" ht="28.5">
      <c r="A192" s="3847">
        <v>187</v>
      </c>
      <c r="B192" s="3850" t="s">
        <v>798</v>
      </c>
      <c r="C192" s="3848">
        <v>10003472</v>
      </c>
      <c r="D192" s="3848" t="s">
        <v>5216</v>
      </c>
      <c r="E192" s="3847">
        <v>74696</v>
      </c>
      <c r="F192" s="3852">
        <v>33.33</v>
      </c>
      <c r="G192" s="3839">
        <f t="shared" si="2"/>
        <v>24896.18</v>
      </c>
    </row>
    <row r="193" spans="1:7" ht="28.5">
      <c r="A193" s="3847">
        <v>188</v>
      </c>
      <c r="B193" s="3850" t="s">
        <v>798</v>
      </c>
      <c r="C193" s="3848">
        <v>10003474</v>
      </c>
      <c r="D193" s="3848" t="s">
        <v>5216</v>
      </c>
      <c r="E193" s="3847">
        <v>74696</v>
      </c>
      <c r="F193" s="3852">
        <v>33.33</v>
      </c>
      <c r="G193" s="3839">
        <f t="shared" si="2"/>
        <v>24896.18</v>
      </c>
    </row>
    <row r="194" spans="1:7" ht="28.5">
      <c r="A194" s="3847">
        <v>189</v>
      </c>
      <c r="B194" s="3850" t="s">
        <v>798</v>
      </c>
      <c r="C194" s="3848">
        <v>10003476</v>
      </c>
      <c r="D194" s="3848" t="s">
        <v>5216</v>
      </c>
      <c r="E194" s="3847">
        <v>74697</v>
      </c>
      <c r="F194" s="3852">
        <v>33.33</v>
      </c>
      <c r="G194" s="3839">
        <f t="shared" si="2"/>
        <v>24896.51</v>
      </c>
    </row>
    <row r="195" spans="1:7">
      <c r="A195" s="3847">
        <v>190</v>
      </c>
      <c r="B195" s="3850" t="s">
        <v>800</v>
      </c>
      <c r="C195" s="3848">
        <v>10003461</v>
      </c>
      <c r="D195" s="3848" t="s">
        <v>5216</v>
      </c>
      <c r="E195" s="3847">
        <v>28530</v>
      </c>
      <c r="F195" s="3852">
        <v>33.33</v>
      </c>
      <c r="G195" s="3839">
        <f t="shared" si="2"/>
        <v>9509.0499999999993</v>
      </c>
    </row>
    <row r="196" spans="1:7">
      <c r="A196" s="3847">
        <v>191</v>
      </c>
      <c r="B196" s="3850" t="s">
        <v>800</v>
      </c>
      <c r="C196" s="3848">
        <v>10005614</v>
      </c>
      <c r="D196" s="3848" t="s">
        <v>5216</v>
      </c>
      <c r="E196" s="3847">
        <v>30522</v>
      </c>
      <c r="F196" s="3852">
        <v>33.33</v>
      </c>
      <c r="G196" s="3839">
        <f t="shared" si="2"/>
        <v>10172.98</v>
      </c>
    </row>
    <row r="197" spans="1:7">
      <c r="A197" s="3847">
        <v>192</v>
      </c>
      <c r="B197" s="3850" t="s">
        <v>801</v>
      </c>
      <c r="C197" s="3848">
        <v>10003307</v>
      </c>
      <c r="D197" s="3848" t="s">
        <v>5216</v>
      </c>
      <c r="E197" s="3847">
        <v>43543</v>
      </c>
      <c r="F197" s="3852">
        <v>33.33</v>
      </c>
      <c r="G197" s="3839">
        <f t="shared" si="2"/>
        <v>14512.88</v>
      </c>
    </row>
    <row r="198" spans="1:7">
      <c r="A198" s="3847">
        <v>193</v>
      </c>
      <c r="B198" s="3850" t="s">
        <v>801</v>
      </c>
      <c r="C198" s="3848">
        <v>10003308</v>
      </c>
      <c r="D198" s="3848" t="s">
        <v>5216</v>
      </c>
      <c r="E198" s="3847">
        <v>43543</v>
      </c>
      <c r="F198" s="3852">
        <v>33.33</v>
      </c>
      <c r="G198" s="3839">
        <f t="shared" si="2"/>
        <v>14512.88</v>
      </c>
    </row>
    <row r="199" spans="1:7" ht="28.5">
      <c r="A199" s="3847">
        <v>194</v>
      </c>
      <c r="B199" s="3850" t="s">
        <v>802</v>
      </c>
      <c r="C199" s="3848">
        <v>10003529</v>
      </c>
      <c r="D199" s="3848" t="s">
        <v>5216</v>
      </c>
      <c r="E199" s="3847">
        <v>41884</v>
      </c>
      <c r="F199" s="3852">
        <v>33.33</v>
      </c>
      <c r="G199" s="3839">
        <f t="shared" ref="G199:G252" si="3">ROUND(E199*F199%,2)</f>
        <v>13959.94</v>
      </c>
    </row>
    <row r="200" spans="1:7" ht="28.5">
      <c r="A200" s="3847">
        <v>195</v>
      </c>
      <c r="B200" s="3850" t="s">
        <v>829</v>
      </c>
      <c r="C200" s="3848">
        <v>10009956</v>
      </c>
      <c r="D200" s="3848" t="s">
        <v>5216</v>
      </c>
      <c r="E200" s="3847">
        <v>50066</v>
      </c>
      <c r="F200" s="3852">
        <v>33.33</v>
      </c>
      <c r="G200" s="3839">
        <f t="shared" si="3"/>
        <v>16687</v>
      </c>
    </row>
    <row r="201" spans="1:7">
      <c r="A201" s="3847">
        <v>196</v>
      </c>
      <c r="B201" s="3850" t="s">
        <v>803</v>
      </c>
      <c r="C201" s="3848">
        <v>10003292</v>
      </c>
      <c r="D201" s="3848" t="s">
        <v>5216</v>
      </c>
      <c r="E201" s="3847">
        <v>36960</v>
      </c>
      <c r="F201" s="3852">
        <v>33.33</v>
      </c>
      <c r="G201" s="3839">
        <f t="shared" si="3"/>
        <v>12318.77</v>
      </c>
    </row>
    <row r="202" spans="1:7">
      <c r="A202" s="3847">
        <v>197</v>
      </c>
      <c r="B202" s="3850" t="s">
        <v>804</v>
      </c>
      <c r="C202" s="3848">
        <v>10003294</v>
      </c>
      <c r="D202" s="3848" t="s">
        <v>5216</v>
      </c>
      <c r="E202" s="3847">
        <v>36960</v>
      </c>
      <c r="F202" s="3852">
        <v>33.33</v>
      </c>
      <c r="G202" s="3839">
        <f t="shared" si="3"/>
        <v>12318.77</v>
      </c>
    </row>
    <row r="203" spans="1:7">
      <c r="A203" s="3847">
        <v>198</v>
      </c>
      <c r="B203" s="3850" t="s">
        <v>804</v>
      </c>
      <c r="C203" s="3848">
        <v>10003295</v>
      </c>
      <c r="D203" s="3848" t="s">
        <v>5216</v>
      </c>
      <c r="E203" s="3847">
        <v>36960</v>
      </c>
      <c r="F203" s="3852">
        <v>33.33</v>
      </c>
      <c r="G203" s="3839">
        <f t="shared" si="3"/>
        <v>12318.77</v>
      </c>
    </row>
    <row r="204" spans="1:7">
      <c r="A204" s="3847">
        <v>199</v>
      </c>
      <c r="B204" s="3850" t="s">
        <v>805</v>
      </c>
      <c r="C204" s="3848">
        <v>10003284</v>
      </c>
      <c r="D204" s="3848" t="s">
        <v>5216</v>
      </c>
      <c r="E204" s="3847">
        <v>36960</v>
      </c>
      <c r="F204" s="3852">
        <v>33.33</v>
      </c>
      <c r="G204" s="3839">
        <f t="shared" si="3"/>
        <v>12318.77</v>
      </c>
    </row>
    <row r="205" spans="1:7">
      <c r="A205" s="3847">
        <v>200</v>
      </c>
      <c r="B205" s="3850" t="s">
        <v>805</v>
      </c>
      <c r="C205" s="3848">
        <v>10003285</v>
      </c>
      <c r="D205" s="3848" t="s">
        <v>5216</v>
      </c>
      <c r="E205" s="3847">
        <v>36960</v>
      </c>
      <c r="F205" s="3852">
        <v>33.33</v>
      </c>
      <c r="G205" s="3839">
        <f t="shared" si="3"/>
        <v>12318.77</v>
      </c>
    </row>
    <row r="206" spans="1:7">
      <c r="A206" s="3847">
        <v>201</v>
      </c>
      <c r="B206" s="3850" t="s">
        <v>805</v>
      </c>
      <c r="C206" s="3848">
        <v>10003286</v>
      </c>
      <c r="D206" s="3848" t="s">
        <v>5216</v>
      </c>
      <c r="E206" s="3847">
        <v>36959</v>
      </c>
      <c r="F206" s="3852">
        <v>33.33</v>
      </c>
      <c r="G206" s="3839">
        <f t="shared" si="3"/>
        <v>12318.43</v>
      </c>
    </row>
    <row r="207" spans="1:7">
      <c r="A207" s="3847">
        <v>202</v>
      </c>
      <c r="B207" s="3850" t="s">
        <v>805</v>
      </c>
      <c r="C207" s="3848">
        <v>10003287</v>
      </c>
      <c r="D207" s="3848" t="s">
        <v>5216</v>
      </c>
      <c r="E207" s="3847">
        <v>36960</v>
      </c>
      <c r="F207" s="3852">
        <v>33.33</v>
      </c>
      <c r="G207" s="3839">
        <f t="shared" si="3"/>
        <v>12318.77</v>
      </c>
    </row>
    <row r="208" spans="1:7">
      <c r="A208" s="3847">
        <v>203</v>
      </c>
      <c r="B208" s="3850" t="s">
        <v>805</v>
      </c>
      <c r="C208" s="3848">
        <v>10003288</v>
      </c>
      <c r="D208" s="3848" t="s">
        <v>5216</v>
      </c>
      <c r="E208" s="3847">
        <v>36960</v>
      </c>
      <c r="F208" s="3852">
        <v>33.33</v>
      </c>
      <c r="G208" s="3839">
        <f t="shared" si="3"/>
        <v>12318.77</v>
      </c>
    </row>
    <row r="209" spans="1:7">
      <c r="A209" s="3847">
        <v>204</v>
      </c>
      <c r="B209" s="3850" t="s">
        <v>805</v>
      </c>
      <c r="C209" s="3848">
        <v>10003289</v>
      </c>
      <c r="D209" s="3848" t="s">
        <v>5216</v>
      </c>
      <c r="E209" s="3847">
        <v>36960</v>
      </c>
      <c r="F209" s="3852">
        <v>33.33</v>
      </c>
      <c r="G209" s="3839">
        <f t="shared" si="3"/>
        <v>12318.77</v>
      </c>
    </row>
    <row r="210" spans="1:7">
      <c r="A210" s="3847">
        <v>205</v>
      </c>
      <c r="B210" s="3850" t="s">
        <v>805</v>
      </c>
      <c r="C210" s="3848">
        <v>10005287</v>
      </c>
      <c r="D210" s="3848" t="s">
        <v>5216</v>
      </c>
      <c r="E210" s="3847">
        <v>39541</v>
      </c>
      <c r="F210" s="3852">
        <v>33.33</v>
      </c>
      <c r="G210" s="3839">
        <f t="shared" si="3"/>
        <v>13179.02</v>
      </c>
    </row>
    <row r="211" spans="1:7">
      <c r="A211" s="3847">
        <v>206</v>
      </c>
      <c r="B211" s="3850" t="s">
        <v>806</v>
      </c>
      <c r="C211" s="3848">
        <v>10003279</v>
      </c>
      <c r="D211" s="3848" t="s">
        <v>5216</v>
      </c>
      <c r="E211" s="3847">
        <v>43543</v>
      </c>
      <c r="F211" s="3852">
        <v>33.33</v>
      </c>
      <c r="G211" s="3839">
        <f t="shared" si="3"/>
        <v>14512.88</v>
      </c>
    </row>
    <row r="212" spans="1:7">
      <c r="A212" s="3847">
        <v>207</v>
      </c>
      <c r="B212" s="3850" t="s">
        <v>806</v>
      </c>
      <c r="C212" s="3848">
        <v>10003280</v>
      </c>
      <c r="D212" s="3848" t="s">
        <v>5216</v>
      </c>
      <c r="E212" s="3847">
        <v>43543</v>
      </c>
      <c r="F212" s="3852">
        <v>33.33</v>
      </c>
      <c r="G212" s="3839">
        <f t="shared" si="3"/>
        <v>14512.88</v>
      </c>
    </row>
    <row r="213" spans="1:7">
      <c r="A213" s="3847">
        <v>208</v>
      </c>
      <c r="B213" s="3850" t="s">
        <v>806</v>
      </c>
      <c r="C213" s="3848">
        <v>10003283</v>
      </c>
      <c r="D213" s="3848" t="s">
        <v>5216</v>
      </c>
      <c r="E213" s="3847">
        <v>43543</v>
      </c>
      <c r="F213" s="3852">
        <v>33.33</v>
      </c>
      <c r="G213" s="3839">
        <f t="shared" si="3"/>
        <v>14512.88</v>
      </c>
    </row>
    <row r="214" spans="1:7">
      <c r="A214" s="3847">
        <v>209</v>
      </c>
      <c r="B214" s="3850" t="s">
        <v>807</v>
      </c>
      <c r="C214" s="3848">
        <v>10003302</v>
      </c>
      <c r="D214" s="3848" t="s">
        <v>5216</v>
      </c>
      <c r="E214" s="3847">
        <v>43543</v>
      </c>
      <c r="F214" s="3852">
        <v>33.33</v>
      </c>
      <c r="G214" s="3839">
        <f t="shared" si="3"/>
        <v>14512.88</v>
      </c>
    </row>
    <row r="215" spans="1:7">
      <c r="A215" s="3847">
        <v>210</v>
      </c>
      <c r="B215" s="3850" t="s">
        <v>808</v>
      </c>
      <c r="C215" s="3848">
        <v>10003315</v>
      </c>
      <c r="D215" s="3848" t="s">
        <v>5216</v>
      </c>
      <c r="E215" s="3847">
        <v>56132</v>
      </c>
      <c r="F215" s="3852">
        <v>33.33</v>
      </c>
      <c r="G215" s="3839">
        <f t="shared" si="3"/>
        <v>18708.8</v>
      </c>
    </row>
    <row r="216" spans="1:7">
      <c r="A216" s="3847">
        <v>211</v>
      </c>
      <c r="B216" s="3850" t="s">
        <v>809</v>
      </c>
      <c r="C216" s="3848">
        <v>10003273</v>
      </c>
      <c r="D216" s="3848" t="s">
        <v>5216</v>
      </c>
      <c r="E216" s="3847">
        <v>15597</v>
      </c>
      <c r="F216" s="3852">
        <v>33.33</v>
      </c>
      <c r="G216" s="3839">
        <f t="shared" si="3"/>
        <v>5198.4799999999996</v>
      </c>
    </row>
    <row r="217" spans="1:7" ht="42.75">
      <c r="A217" s="3847">
        <v>212</v>
      </c>
      <c r="B217" s="3850" t="s">
        <v>897</v>
      </c>
      <c r="C217" s="3848">
        <v>10003298</v>
      </c>
      <c r="D217" s="3848" t="s">
        <v>5216</v>
      </c>
      <c r="E217" s="3847">
        <v>90465</v>
      </c>
      <c r="F217" s="3852">
        <v>33.33</v>
      </c>
      <c r="G217" s="3839">
        <f t="shared" si="3"/>
        <v>30151.98</v>
      </c>
    </row>
    <row r="218" spans="1:7" ht="42.75">
      <c r="A218" s="3847">
        <v>213</v>
      </c>
      <c r="B218" s="3850" t="s">
        <v>897</v>
      </c>
      <c r="C218" s="3848">
        <v>10003299</v>
      </c>
      <c r="D218" s="3848" t="s">
        <v>5216</v>
      </c>
      <c r="E218" s="3847">
        <v>90465</v>
      </c>
      <c r="F218" s="3852">
        <v>33.33</v>
      </c>
      <c r="G218" s="3839">
        <f t="shared" si="3"/>
        <v>30151.98</v>
      </c>
    </row>
    <row r="219" spans="1:7" ht="42.75">
      <c r="A219" s="3847">
        <v>214</v>
      </c>
      <c r="B219" s="3850" t="s">
        <v>897</v>
      </c>
      <c r="C219" s="3848">
        <v>10003300</v>
      </c>
      <c r="D219" s="3848" t="s">
        <v>5216</v>
      </c>
      <c r="E219" s="3847">
        <v>90465</v>
      </c>
      <c r="F219" s="3852">
        <v>33.33</v>
      </c>
      <c r="G219" s="3839">
        <f t="shared" si="3"/>
        <v>30151.98</v>
      </c>
    </row>
    <row r="220" spans="1:7" ht="42.75">
      <c r="A220" s="3847">
        <v>215</v>
      </c>
      <c r="B220" s="3850" t="s">
        <v>898</v>
      </c>
      <c r="C220" s="3848">
        <v>10003310</v>
      </c>
      <c r="D220" s="3848" t="s">
        <v>5216</v>
      </c>
      <c r="E220" s="3847">
        <v>90465</v>
      </c>
      <c r="F220" s="3852">
        <v>33.33</v>
      </c>
      <c r="G220" s="3839">
        <f t="shared" si="3"/>
        <v>30151.98</v>
      </c>
    </row>
    <row r="221" spans="1:7" ht="28.5">
      <c r="A221" s="3847">
        <v>216</v>
      </c>
      <c r="B221" s="3850" t="s">
        <v>899</v>
      </c>
      <c r="C221" s="3848">
        <v>10005621</v>
      </c>
      <c r="D221" s="3848" t="s">
        <v>5216</v>
      </c>
      <c r="E221" s="3847">
        <v>76240</v>
      </c>
      <c r="F221" s="3852">
        <v>33.33</v>
      </c>
      <c r="G221" s="3839">
        <f t="shared" si="3"/>
        <v>25410.79</v>
      </c>
    </row>
    <row r="222" spans="1:7" ht="28.5">
      <c r="A222" s="3847">
        <v>217</v>
      </c>
      <c r="B222" s="3850" t="s">
        <v>900</v>
      </c>
      <c r="C222" s="3848">
        <v>10005625</v>
      </c>
      <c r="D222" s="3848" t="s">
        <v>5216</v>
      </c>
      <c r="E222" s="3847">
        <v>76241</v>
      </c>
      <c r="F222" s="3847">
        <v>33.33</v>
      </c>
      <c r="G222" s="3839">
        <f t="shared" si="3"/>
        <v>25411.13</v>
      </c>
    </row>
    <row r="223" spans="1:7" ht="28.5">
      <c r="A223" s="3847">
        <v>218</v>
      </c>
      <c r="B223" s="3850" t="s">
        <v>901</v>
      </c>
      <c r="C223" s="3848">
        <v>10003319</v>
      </c>
      <c r="D223" s="3848" t="s">
        <v>5216</v>
      </c>
      <c r="E223" s="3847">
        <v>58906</v>
      </c>
      <c r="F223" s="3847">
        <v>33.33</v>
      </c>
      <c r="G223" s="3839">
        <f t="shared" si="3"/>
        <v>19633.37</v>
      </c>
    </row>
    <row r="224" spans="1:7" ht="28.5">
      <c r="A224" s="3847">
        <v>219</v>
      </c>
      <c r="B224" s="3850" t="s">
        <v>901</v>
      </c>
      <c r="C224" s="3848">
        <v>10003320</v>
      </c>
      <c r="D224" s="3848" t="s">
        <v>5216</v>
      </c>
      <c r="E224" s="3847">
        <v>58906</v>
      </c>
      <c r="F224" s="3847">
        <v>33.33</v>
      </c>
      <c r="G224" s="3839">
        <f t="shared" si="3"/>
        <v>19633.37</v>
      </c>
    </row>
    <row r="225" spans="1:7" ht="28.5">
      <c r="A225" s="3847">
        <v>220</v>
      </c>
      <c r="B225" s="3850" t="s">
        <v>901</v>
      </c>
      <c r="C225" s="3848">
        <v>10003321</v>
      </c>
      <c r="D225" s="3848" t="s">
        <v>5216</v>
      </c>
      <c r="E225" s="3847">
        <v>58907</v>
      </c>
      <c r="F225" s="3847">
        <v>33.33</v>
      </c>
      <c r="G225" s="3839">
        <f t="shared" si="3"/>
        <v>19633.7</v>
      </c>
    </row>
    <row r="226" spans="1:7" ht="28.5">
      <c r="A226" s="3847">
        <v>221</v>
      </c>
      <c r="B226" s="3850" t="s">
        <v>815</v>
      </c>
      <c r="C226" s="3848">
        <v>10005685</v>
      </c>
      <c r="D226" s="3848" t="s">
        <v>5216</v>
      </c>
      <c r="E226" s="3847">
        <v>17867</v>
      </c>
      <c r="F226" s="3847">
        <v>33.33</v>
      </c>
      <c r="G226" s="3839">
        <f t="shared" si="3"/>
        <v>5955.07</v>
      </c>
    </row>
    <row r="227" spans="1:7" ht="28.5">
      <c r="A227" s="3847">
        <v>222</v>
      </c>
      <c r="B227" s="3850" t="s">
        <v>816</v>
      </c>
      <c r="C227" s="3848">
        <v>10003311</v>
      </c>
      <c r="D227" s="3848" t="s">
        <v>5216</v>
      </c>
      <c r="E227" s="3847">
        <v>165197</v>
      </c>
      <c r="F227" s="3847">
        <v>33.33</v>
      </c>
      <c r="G227" s="3839">
        <f t="shared" si="3"/>
        <v>55060.160000000003</v>
      </c>
    </row>
    <row r="228" spans="1:7" ht="28.5">
      <c r="A228" s="3847">
        <v>223</v>
      </c>
      <c r="B228" s="3850" t="s">
        <v>816</v>
      </c>
      <c r="C228" s="3848">
        <v>10003312</v>
      </c>
      <c r="D228" s="3848" t="s">
        <v>5216</v>
      </c>
      <c r="E228" s="3847">
        <v>165198</v>
      </c>
      <c r="F228" s="3847">
        <v>33.33</v>
      </c>
      <c r="G228" s="3839">
        <f t="shared" si="3"/>
        <v>55060.49</v>
      </c>
    </row>
    <row r="229" spans="1:7" ht="28.5">
      <c r="A229" s="3847">
        <v>224</v>
      </c>
      <c r="B229" s="3850" t="s">
        <v>816</v>
      </c>
      <c r="C229" s="3848">
        <v>10003313</v>
      </c>
      <c r="D229" s="3848" t="s">
        <v>5216</v>
      </c>
      <c r="E229" s="3847">
        <v>165198</v>
      </c>
      <c r="F229" s="3847">
        <v>33.33</v>
      </c>
      <c r="G229" s="3839">
        <f t="shared" si="3"/>
        <v>55060.49</v>
      </c>
    </row>
    <row r="230" spans="1:7" ht="28.5">
      <c r="A230" s="3847">
        <v>225</v>
      </c>
      <c r="B230" s="3850" t="s">
        <v>816</v>
      </c>
      <c r="C230" s="3848">
        <v>10003314</v>
      </c>
      <c r="D230" s="3848" t="s">
        <v>5216</v>
      </c>
      <c r="E230" s="3847">
        <v>165198</v>
      </c>
      <c r="F230" s="3847">
        <v>33.33</v>
      </c>
      <c r="G230" s="3839">
        <f t="shared" si="3"/>
        <v>55060.49</v>
      </c>
    </row>
    <row r="231" spans="1:7">
      <c r="A231" s="3847">
        <v>226</v>
      </c>
      <c r="B231" s="3850" t="s">
        <v>818</v>
      </c>
      <c r="C231" s="3848">
        <v>10003633</v>
      </c>
      <c r="D231" s="3848" t="s">
        <v>5216</v>
      </c>
      <c r="E231" s="3847">
        <v>5597</v>
      </c>
      <c r="F231" s="3847">
        <v>33.33</v>
      </c>
      <c r="G231" s="3839">
        <f t="shared" si="3"/>
        <v>1865.48</v>
      </c>
    </row>
    <row r="232" spans="1:7">
      <c r="A232" s="3847">
        <v>227</v>
      </c>
      <c r="B232" s="3850" t="s">
        <v>818</v>
      </c>
      <c r="C232" s="3848">
        <v>10003780</v>
      </c>
      <c r="D232" s="3848" t="s">
        <v>5216</v>
      </c>
      <c r="E232" s="3847">
        <v>5596</v>
      </c>
      <c r="F232" s="3847">
        <v>33.33</v>
      </c>
      <c r="G232" s="3839">
        <f t="shared" si="3"/>
        <v>1865.15</v>
      </c>
    </row>
    <row r="233" spans="1:7" ht="28.5">
      <c r="A233" s="3847">
        <v>228</v>
      </c>
      <c r="B233" s="3850" t="s">
        <v>820</v>
      </c>
      <c r="C233" s="3848">
        <v>10005599</v>
      </c>
      <c r="D233" s="3848" t="s">
        <v>5216</v>
      </c>
      <c r="E233" s="3847">
        <v>39383</v>
      </c>
      <c r="F233" s="3847">
        <v>33.33</v>
      </c>
      <c r="G233" s="3839">
        <f t="shared" si="3"/>
        <v>13126.35</v>
      </c>
    </row>
    <row r="234" spans="1:7" ht="28.5">
      <c r="A234" s="3847">
        <v>229</v>
      </c>
      <c r="B234" s="3850" t="s">
        <v>820</v>
      </c>
      <c r="C234" s="3848">
        <v>10005600</v>
      </c>
      <c r="D234" s="3848" t="s">
        <v>5216</v>
      </c>
      <c r="E234" s="3847">
        <v>39383</v>
      </c>
      <c r="F234" s="3847">
        <v>33.33</v>
      </c>
      <c r="G234" s="3839">
        <f t="shared" si="3"/>
        <v>13126.35</v>
      </c>
    </row>
    <row r="235" spans="1:7" ht="28.5">
      <c r="A235" s="3847">
        <v>230</v>
      </c>
      <c r="B235" s="3850" t="s">
        <v>820</v>
      </c>
      <c r="C235" s="3848">
        <v>10005601</v>
      </c>
      <c r="D235" s="3848" t="s">
        <v>5216</v>
      </c>
      <c r="E235" s="3847">
        <v>39383</v>
      </c>
      <c r="F235" s="3847">
        <v>33.33</v>
      </c>
      <c r="G235" s="3839">
        <f t="shared" si="3"/>
        <v>13126.35</v>
      </c>
    </row>
    <row r="236" spans="1:7" ht="28.5">
      <c r="A236" s="3847">
        <v>231</v>
      </c>
      <c r="B236" s="3850" t="s">
        <v>820</v>
      </c>
      <c r="C236" s="3848">
        <v>10005602</v>
      </c>
      <c r="D236" s="3848" t="s">
        <v>5216</v>
      </c>
      <c r="E236" s="3847">
        <v>39383</v>
      </c>
      <c r="F236" s="3847">
        <v>33.33</v>
      </c>
      <c r="G236" s="3839">
        <f t="shared" si="3"/>
        <v>13126.35</v>
      </c>
    </row>
    <row r="237" spans="1:7" ht="28.5">
      <c r="A237" s="3847">
        <v>232</v>
      </c>
      <c r="B237" s="3850" t="s">
        <v>821</v>
      </c>
      <c r="C237" s="3848">
        <v>10004197</v>
      </c>
      <c r="D237" s="3848" t="s">
        <v>5216</v>
      </c>
      <c r="E237" s="3847">
        <v>108044</v>
      </c>
      <c r="F237" s="3847">
        <v>33.33</v>
      </c>
      <c r="G237" s="3839">
        <f t="shared" si="3"/>
        <v>36011.07</v>
      </c>
    </row>
    <row r="238" spans="1:7" ht="28.5">
      <c r="A238" s="3847">
        <v>233</v>
      </c>
      <c r="B238" s="3850" t="s">
        <v>822</v>
      </c>
      <c r="C238" s="3848">
        <v>10003378</v>
      </c>
      <c r="D238" s="3848" t="s">
        <v>5216</v>
      </c>
      <c r="E238" s="3847">
        <v>92731</v>
      </c>
      <c r="F238" s="3847">
        <v>33.33</v>
      </c>
      <c r="G238" s="3839">
        <f t="shared" si="3"/>
        <v>30907.24</v>
      </c>
    </row>
    <row r="239" spans="1:7" ht="28.5">
      <c r="A239" s="3847">
        <v>234</v>
      </c>
      <c r="B239" s="3850" t="s">
        <v>872</v>
      </c>
      <c r="C239" s="3848">
        <v>10007318</v>
      </c>
      <c r="D239" s="3848" t="s">
        <v>5217</v>
      </c>
      <c r="E239" s="3847">
        <v>30683</v>
      </c>
      <c r="F239" s="3847">
        <v>20</v>
      </c>
      <c r="G239" s="3839">
        <f t="shared" si="3"/>
        <v>6136.6</v>
      </c>
    </row>
    <row r="240" spans="1:7" ht="28.5">
      <c r="A240" s="3847">
        <v>235</v>
      </c>
      <c r="B240" s="3850" t="s">
        <v>872</v>
      </c>
      <c r="C240" s="3848">
        <v>10007319</v>
      </c>
      <c r="D240" s="3848" t="s">
        <v>5217</v>
      </c>
      <c r="E240" s="3847">
        <v>30683</v>
      </c>
      <c r="F240" s="3847">
        <v>20</v>
      </c>
      <c r="G240" s="3839">
        <f t="shared" si="3"/>
        <v>6136.6</v>
      </c>
    </row>
    <row r="241" spans="1:7" ht="28.5">
      <c r="A241" s="3847">
        <v>236</v>
      </c>
      <c r="B241" s="3850" t="s">
        <v>872</v>
      </c>
      <c r="C241" s="3848" t="s">
        <v>5201</v>
      </c>
      <c r="D241" s="3848" t="s">
        <v>5217</v>
      </c>
      <c r="E241" s="3847">
        <v>30683</v>
      </c>
      <c r="F241" s="3847">
        <v>20</v>
      </c>
      <c r="G241" s="3839">
        <f t="shared" si="3"/>
        <v>6136.6</v>
      </c>
    </row>
    <row r="242" spans="1:7" ht="28.5">
      <c r="A242" s="3847">
        <v>237</v>
      </c>
      <c r="B242" s="3850" t="s">
        <v>872</v>
      </c>
      <c r="C242" s="3848" t="s">
        <v>5202</v>
      </c>
      <c r="D242" s="3848" t="s">
        <v>5217</v>
      </c>
      <c r="E242" s="3847">
        <v>30683</v>
      </c>
      <c r="F242" s="3847">
        <v>20</v>
      </c>
      <c r="G242" s="3839">
        <f t="shared" si="3"/>
        <v>6136.6</v>
      </c>
    </row>
    <row r="243" spans="1:7">
      <c r="A243" s="3847">
        <v>238</v>
      </c>
      <c r="B243" s="3850" t="s">
        <v>830</v>
      </c>
      <c r="C243" s="3848">
        <v>10003176</v>
      </c>
      <c r="D243" s="3848" t="s">
        <v>5217</v>
      </c>
      <c r="E243" s="3847">
        <v>12552</v>
      </c>
      <c r="F243" s="3847">
        <v>30</v>
      </c>
      <c r="G243" s="3839">
        <f t="shared" si="3"/>
        <v>3765.6</v>
      </c>
    </row>
    <row r="244" spans="1:7">
      <c r="A244" s="3847">
        <v>239</v>
      </c>
      <c r="B244" s="3850" t="s">
        <v>830</v>
      </c>
      <c r="C244" s="3848">
        <v>10003177</v>
      </c>
      <c r="D244" s="3848" t="s">
        <v>5217</v>
      </c>
      <c r="E244" s="3847">
        <v>12552</v>
      </c>
      <c r="F244" s="3847">
        <v>30</v>
      </c>
      <c r="G244" s="3839">
        <f t="shared" si="3"/>
        <v>3765.6</v>
      </c>
    </row>
    <row r="245" spans="1:7">
      <c r="A245" s="3847">
        <v>240</v>
      </c>
      <c r="B245" s="3850" t="s">
        <v>830</v>
      </c>
      <c r="C245" s="3848">
        <v>10003180</v>
      </c>
      <c r="D245" s="3848" t="s">
        <v>5217</v>
      </c>
      <c r="E245" s="3847">
        <v>32089</v>
      </c>
      <c r="F245" s="3847">
        <v>30</v>
      </c>
      <c r="G245" s="3839">
        <f t="shared" si="3"/>
        <v>9626.7000000000007</v>
      </c>
    </row>
    <row r="246" spans="1:7">
      <c r="A246" s="3847">
        <v>241</v>
      </c>
      <c r="B246" s="3850" t="s">
        <v>830</v>
      </c>
      <c r="C246" s="3848">
        <v>10003182</v>
      </c>
      <c r="D246" s="3848" t="s">
        <v>5217</v>
      </c>
      <c r="E246" s="3847">
        <v>12552</v>
      </c>
      <c r="F246" s="3847">
        <v>30</v>
      </c>
      <c r="G246" s="3839">
        <f t="shared" si="3"/>
        <v>3765.6</v>
      </c>
    </row>
    <row r="247" spans="1:7">
      <c r="A247" s="3847">
        <v>242</v>
      </c>
      <c r="B247" s="3850" t="s">
        <v>831</v>
      </c>
      <c r="C247" s="3848">
        <v>10005206</v>
      </c>
      <c r="D247" s="3848" t="s">
        <v>5217</v>
      </c>
      <c r="E247" s="3847">
        <v>10923</v>
      </c>
      <c r="F247" s="3847">
        <v>30</v>
      </c>
      <c r="G247" s="3839">
        <f t="shared" si="3"/>
        <v>3276.9</v>
      </c>
    </row>
    <row r="248" spans="1:7">
      <c r="A248" s="3847">
        <v>243</v>
      </c>
      <c r="B248" s="3850" t="s">
        <v>831</v>
      </c>
      <c r="C248" s="3848">
        <v>10005209</v>
      </c>
      <c r="D248" s="3848" t="s">
        <v>5217</v>
      </c>
      <c r="E248" s="3847">
        <v>10923</v>
      </c>
      <c r="F248" s="3847">
        <v>30</v>
      </c>
      <c r="G248" s="3839">
        <f t="shared" si="3"/>
        <v>3276.9</v>
      </c>
    </row>
    <row r="249" spans="1:7">
      <c r="A249" s="3847">
        <v>244</v>
      </c>
      <c r="B249" s="3850" t="s">
        <v>831</v>
      </c>
      <c r="C249" s="3848">
        <v>10005210</v>
      </c>
      <c r="D249" s="3848" t="s">
        <v>5217</v>
      </c>
      <c r="E249" s="3847">
        <v>10923</v>
      </c>
      <c r="F249" s="3847">
        <v>30</v>
      </c>
      <c r="G249" s="3839">
        <f t="shared" si="3"/>
        <v>3276.9</v>
      </c>
    </row>
    <row r="250" spans="1:7">
      <c r="A250" s="3847">
        <v>245</v>
      </c>
      <c r="B250" s="3850" t="s">
        <v>831</v>
      </c>
      <c r="C250" s="3848">
        <v>10005211</v>
      </c>
      <c r="D250" s="3848" t="s">
        <v>5217</v>
      </c>
      <c r="E250" s="3847">
        <v>10923</v>
      </c>
      <c r="F250" s="3847">
        <v>30</v>
      </c>
      <c r="G250" s="3839">
        <f t="shared" si="3"/>
        <v>3276.9</v>
      </c>
    </row>
    <row r="251" spans="1:7">
      <c r="A251" s="3847">
        <v>246</v>
      </c>
      <c r="B251" s="3850" t="s">
        <v>831</v>
      </c>
      <c r="C251" s="3848">
        <v>10005212</v>
      </c>
      <c r="D251" s="3848" t="s">
        <v>5217</v>
      </c>
      <c r="E251" s="3847">
        <v>10923</v>
      </c>
      <c r="F251" s="3847">
        <v>30</v>
      </c>
      <c r="G251" s="3839">
        <f t="shared" si="3"/>
        <v>3276.9</v>
      </c>
    </row>
    <row r="252" spans="1:7">
      <c r="A252" s="3847">
        <v>247</v>
      </c>
      <c r="B252" s="3850" t="s">
        <v>891</v>
      </c>
      <c r="C252" s="3848">
        <v>10003507</v>
      </c>
      <c r="D252" s="3848" t="s">
        <v>5217</v>
      </c>
      <c r="E252" s="3847">
        <v>78083</v>
      </c>
      <c r="F252" s="3847">
        <v>14.29</v>
      </c>
      <c r="G252" s="3839">
        <f t="shared" si="3"/>
        <v>11158.06</v>
      </c>
    </row>
    <row r="253" spans="1:7">
      <c r="A253" s="3849"/>
      <c r="B253" s="3849" t="s">
        <v>867</v>
      </c>
      <c r="C253" s="3849"/>
      <c r="D253" s="3849"/>
      <c r="E253" s="3849"/>
      <c r="F253" s="3849"/>
      <c r="G253" s="3851">
        <f>SUM(G6:G252)</f>
        <v>7407892.0899999859</v>
      </c>
    </row>
    <row r="254" spans="1:7">
      <c r="A254" s="3845"/>
      <c r="B254" s="3845"/>
      <c r="C254" s="3845"/>
      <c r="D254" s="3845"/>
      <c r="E254" s="3845"/>
      <c r="F254" s="3845"/>
      <c r="G254" s="3845"/>
    </row>
    <row r="256" spans="1:7">
      <c r="B256" s="2574"/>
      <c r="C256" s="2574"/>
      <c r="D256" s="2574"/>
      <c r="E256" s="2574"/>
    </row>
  </sheetData>
  <mergeCells count="1">
    <mergeCell ref="B2:C2"/>
  </mergeCells>
  <pageMargins left="0.7" right="0.7" top="0.75" bottom="0.75" header="0.3" footer="0.3"/>
  <pageSetup paperSize="9" scale="52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outlinePr summaryBelow="0" summaryRight="0"/>
    <pageSetUpPr autoPageBreaks="0"/>
  </sheetPr>
  <dimension ref="A1:O33"/>
  <sheetViews>
    <sheetView topLeftCell="A4" workbookViewId="0">
      <selection activeCell="H27" sqref="H27"/>
    </sheetView>
  </sheetViews>
  <sheetFormatPr defaultColWidth="9" defaultRowHeight="11.45" customHeight="1" outlineLevelRow="3"/>
  <cols>
    <col min="1" max="1" width="6.140625" style="3505" customWidth="1"/>
    <col min="2" max="2" width="59.28515625" style="3505" customWidth="1"/>
    <col min="3" max="3" width="2" style="3505" customWidth="1"/>
    <col min="4" max="4" width="1.85546875" style="3505" customWidth="1"/>
    <col min="5" max="5" width="12.42578125" style="3505" customWidth="1"/>
    <col min="6" max="6" width="3.7109375" style="3505" customWidth="1"/>
    <col min="7" max="7" width="9.140625" style="3505" customWidth="1"/>
    <col min="8" max="8" width="20" style="3505" customWidth="1"/>
    <col min="9" max="9" width="23" style="3505" customWidth="1"/>
    <col min="10" max="10" width="10.85546875" style="3505" customWidth="1"/>
    <col min="11" max="11" width="15" style="3505" customWidth="1"/>
    <col min="12" max="12" width="12.5703125" style="3505" customWidth="1"/>
    <col min="13" max="13" width="12" style="3505" customWidth="1"/>
    <col min="14" max="14" width="9" style="3506"/>
    <col min="15" max="15" width="12.140625" style="3506" customWidth="1"/>
    <col min="16" max="16384" width="9" style="3506"/>
  </cols>
  <sheetData>
    <row r="1" spans="1:15" s="3505" customFormat="1" ht="4.1500000000000004" customHeight="1"/>
    <row r="2" spans="1:15" ht="37.15" customHeight="1">
      <c r="A2" s="3952" t="s">
        <v>919</v>
      </c>
      <c r="B2" s="3952"/>
      <c r="C2" s="3952"/>
      <c r="D2" s="3952"/>
      <c r="E2" s="3952"/>
      <c r="F2" s="3952"/>
      <c r="G2" s="3953"/>
      <c r="H2" s="3953"/>
      <c r="I2" s="3953"/>
    </row>
    <row r="3" spans="1:15" s="3505" customFormat="1" ht="10.15" customHeight="1"/>
    <row r="4" spans="1:15" ht="22.15" customHeight="1" outlineLevel="1">
      <c r="A4" s="3507"/>
      <c r="B4" s="3954" t="s">
        <v>920</v>
      </c>
      <c r="C4" s="3954"/>
      <c r="D4" s="3954"/>
      <c r="E4" s="3954"/>
      <c r="F4" s="3954"/>
      <c r="G4" s="3954"/>
      <c r="H4" s="3954"/>
      <c r="I4" s="3954"/>
      <c r="J4" s="3954"/>
      <c r="K4" s="3954"/>
      <c r="L4" s="3954"/>
      <c r="M4" s="3954"/>
    </row>
    <row r="5" spans="1:15" s="3505" customFormat="1" ht="10.15" customHeight="1"/>
    <row r="6" spans="1:15" ht="13.15" customHeight="1">
      <c r="A6" s="3955" t="s">
        <v>921</v>
      </c>
      <c r="B6" s="3955"/>
      <c r="C6" s="3955"/>
      <c r="D6" s="3955"/>
      <c r="E6" s="3955"/>
      <c r="F6" s="3955"/>
      <c r="G6" s="3955"/>
      <c r="H6" s="3955"/>
      <c r="I6" s="3955"/>
      <c r="J6" s="3956" t="s">
        <v>922</v>
      </c>
      <c r="K6" s="3956" t="s">
        <v>868</v>
      </c>
      <c r="L6" s="3956" t="s">
        <v>923</v>
      </c>
      <c r="M6" s="3956" t="s">
        <v>702</v>
      </c>
      <c r="N6" s="3966" t="s">
        <v>924</v>
      </c>
    </row>
    <row r="7" spans="1:15" ht="13.15" customHeight="1">
      <c r="A7" s="3955" t="s">
        <v>925</v>
      </c>
      <c r="B7" s="3955"/>
      <c r="C7" s="3955"/>
      <c r="D7" s="3955"/>
      <c r="E7" s="3955"/>
      <c r="F7" s="3955"/>
      <c r="G7" s="3955"/>
      <c r="H7" s="3955"/>
      <c r="I7" s="3955"/>
      <c r="J7" s="3957"/>
      <c r="K7" s="3957"/>
      <c r="L7" s="3957"/>
      <c r="M7" s="3957"/>
      <c r="N7" s="3967"/>
    </row>
    <row r="8" spans="1:15" ht="13.15" customHeight="1">
      <c r="A8" s="3955" t="s">
        <v>926</v>
      </c>
      <c r="B8" s="3955"/>
      <c r="C8" s="3955"/>
      <c r="D8" s="3955"/>
      <c r="E8" s="3955"/>
      <c r="F8" s="3955"/>
      <c r="G8" s="3955"/>
      <c r="H8" s="3955"/>
      <c r="I8" s="3955"/>
      <c r="J8" s="3957"/>
      <c r="K8" s="3957"/>
      <c r="L8" s="3957"/>
      <c r="M8" s="3957"/>
      <c r="N8" s="3967"/>
    </row>
    <row r="9" spans="1:15" ht="76.150000000000006" customHeight="1">
      <c r="A9" s="3955" t="s">
        <v>927</v>
      </c>
      <c r="B9" s="3955"/>
      <c r="C9" s="3955"/>
      <c r="D9" s="3955"/>
      <c r="E9" s="3508" t="s">
        <v>928</v>
      </c>
      <c r="F9" s="3961" t="s">
        <v>929</v>
      </c>
      <c r="G9" s="3961"/>
      <c r="H9" s="3508" t="s">
        <v>930</v>
      </c>
      <c r="I9" s="3508" t="s">
        <v>931</v>
      </c>
      <c r="J9" s="3958"/>
      <c r="K9" s="3958"/>
      <c r="L9" s="3958"/>
      <c r="M9" s="3958"/>
      <c r="N9" s="3967"/>
    </row>
    <row r="10" spans="1:15" ht="76.150000000000006" customHeight="1">
      <c r="A10" s="3962" t="s">
        <v>30</v>
      </c>
      <c r="B10" s="3962"/>
      <c r="C10" s="3962"/>
      <c r="D10" s="3962"/>
      <c r="E10" s="3962"/>
      <c r="F10" s="3962"/>
      <c r="G10" s="3962"/>
      <c r="H10" s="3962"/>
      <c r="I10" s="3962"/>
      <c r="J10" s="3509">
        <v>18</v>
      </c>
      <c r="K10" s="3510">
        <v>977976</v>
      </c>
      <c r="L10" s="3511">
        <v>344085.36</v>
      </c>
      <c r="M10" s="3511">
        <v>633890.64</v>
      </c>
      <c r="N10" s="3511"/>
      <c r="O10" s="3511">
        <f>O12+O15+O31</f>
        <v>139752.77040000004</v>
      </c>
    </row>
    <row r="11" spans="1:15" ht="10.9" customHeight="1" outlineLevel="1">
      <c r="A11" s="3963" t="s">
        <v>932</v>
      </c>
      <c r="B11" s="3963"/>
      <c r="C11" s="3963"/>
      <c r="D11" s="3963"/>
      <c r="E11" s="3963"/>
      <c r="F11" s="3963"/>
      <c r="G11" s="3963"/>
      <c r="H11" s="3963"/>
      <c r="I11" s="3963"/>
      <c r="J11" s="3512">
        <v>18</v>
      </c>
      <c r="K11" s="3513">
        <v>977976</v>
      </c>
      <c r="L11" s="3514">
        <v>344085.36</v>
      </c>
      <c r="M11" s="3514">
        <v>633890.64</v>
      </c>
      <c r="N11" s="3537"/>
      <c r="O11" s="3537"/>
    </row>
    <row r="12" spans="1:15" s="3535" customFormat="1" ht="10.9" customHeight="1" outlineLevel="2">
      <c r="A12" s="3964">
        <v>2416</v>
      </c>
      <c r="B12" s="3964"/>
      <c r="C12" s="3964"/>
      <c r="D12" s="3964"/>
      <c r="E12" s="3964"/>
      <c r="F12" s="3964"/>
      <c r="G12" s="3964"/>
      <c r="H12" s="3964"/>
      <c r="I12" s="3964"/>
      <c r="J12" s="3530">
        <v>2</v>
      </c>
      <c r="K12" s="3531">
        <v>128555</v>
      </c>
      <c r="L12" s="3536">
        <v>30608.400000000001</v>
      </c>
      <c r="M12" s="3533">
        <v>97946.6</v>
      </c>
      <c r="N12" s="3534"/>
      <c r="O12" s="3538">
        <f>SUM(O13:O14)</f>
        <v>18370.5095</v>
      </c>
    </row>
    <row r="13" spans="1:15" ht="10.9" customHeight="1" outlineLevel="3">
      <c r="A13" s="3959" t="s">
        <v>933</v>
      </c>
      <c r="B13" s="3959"/>
      <c r="C13" s="3959"/>
      <c r="D13" s="3959"/>
      <c r="E13" s="3518">
        <v>10009849</v>
      </c>
      <c r="F13" s="3960">
        <v>84</v>
      </c>
      <c r="G13" s="3960"/>
      <c r="H13" s="3519" t="s">
        <v>934</v>
      </c>
      <c r="I13" s="3519" t="s">
        <v>935</v>
      </c>
      <c r="J13" s="3520">
        <v>1</v>
      </c>
      <c r="K13" s="3521">
        <v>118218</v>
      </c>
      <c r="L13" s="3523">
        <v>28147.200000000001</v>
      </c>
      <c r="M13" s="3527">
        <v>90070.8</v>
      </c>
      <c r="N13" s="3529">
        <v>14.29</v>
      </c>
      <c r="O13" s="3539">
        <f>K13*N13%</f>
        <v>16893.352200000001</v>
      </c>
    </row>
    <row r="14" spans="1:15" ht="10.9" customHeight="1" outlineLevel="3">
      <c r="A14" s="3959" t="s">
        <v>936</v>
      </c>
      <c r="B14" s="3959"/>
      <c r="C14" s="3959"/>
      <c r="D14" s="3959"/>
      <c r="E14" s="3518">
        <v>10009850</v>
      </c>
      <c r="F14" s="3960">
        <v>84</v>
      </c>
      <c r="G14" s="3960"/>
      <c r="H14" s="3519" t="s">
        <v>934</v>
      </c>
      <c r="I14" s="3519" t="s">
        <v>935</v>
      </c>
      <c r="J14" s="3520">
        <v>1</v>
      </c>
      <c r="K14" s="3521">
        <v>10337</v>
      </c>
      <c r="L14" s="3523">
        <v>2461.1999999999998</v>
      </c>
      <c r="M14" s="3527">
        <v>7875.8</v>
      </c>
      <c r="N14" s="3529">
        <v>14.29</v>
      </c>
      <c r="O14" s="3539">
        <f t="shared" ref="O14:O32" si="0">K14*N14%</f>
        <v>1477.1573000000001</v>
      </c>
    </row>
    <row r="15" spans="1:15" s="3535" customFormat="1" ht="10.9" customHeight="1" outlineLevel="2">
      <c r="A15" s="3964">
        <v>2417</v>
      </c>
      <c r="B15" s="3964"/>
      <c r="C15" s="3964"/>
      <c r="D15" s="3964"/>
      <c r="E15" s="3964"/>
      <c r="F15" s="3964"/>
      <c r="G15" s="3964"/>
      <c r="H15" s="3964"/>
      <c r="I15" s="3964"/>
      <c r="J15" s="3530">
        <v>15</v>
      </c>
      <c r="K15" s="3531">
        <v>830796</v>
      </c>
      <c r="L15" s="3532">
        <v>306603.33</v>
      </c>
      <c r="M15" s="3533">
        <v>524192.67</v>
      </c>
      <c r="N15" s="3534"/>
      <c r="O15" s="3540">
        <f>SUM(O16:O30)</f>
        <v>118720.74840000001</v>
      </c>
    </row>
    <row r="16" spans="1:15" ht="22.15" customHeight="1" outlineLevel="3">
      <c r="A16" s="3959" t="s">
        <v>937</v>
      </c>
      <c r="B16" s="3959"/>
      <c r="C16" s="3959"/>
      <c r="D16" s="3959"/>
      <c r="E16" s="3518">
        <v>10006310</v>
      </c>
      <c r="F16" s="3960">
        <v>84</v>
      </c>
      <c r="G16" s="3960"/>
      <c r="H16" s="3519" t="s">
        <v>938</v>
      </c>
      <c r="I16" s="3519" t="s">
        <v>935</v>
      </c>
      <c r="J16" s="3520">
        <v>1</v>
      </c>
      <c r="K16" s="3521">
        <v>60858</v>
      </c>
      <c r="L16" s="3523">
        <v>22459.5</v>
      </c>
      <c r="M16" s="3527">
        <v>38398.5</v>
      </c>
      <c r="N16" s="3529">
        <v>14.29</v>
      </c>
      <c r="O16" s="3539">
        <f t="shared" si="0"/>
        <v>8696.6082000000006</v>
      </c>
    </row>
    <row r="17" spans="1:15" ht="22.15" customHeight="1" outlineLevel="3">
      <c r="A17" s="3959" t="s">
        <v>937</v>
      </c>
      <c r="B17" s="3959"/>
      <c r="C17" s="3959"/>
      <c r="D17" s="3959"/>
      <c r="E17" s="3518">
        <v>10006311</v>
      </c>
      <c r="F17" s="3960">
        <v>84</v>
      </c>
      <c r="G17" s="3960"/>
      <c r="H17" s="3519" t="s">
        <v>938</v>
      </c>
      <c r="I17" s="3519" t="s">
        <v>935</v>
      </c>
      <c r="J17" s="3520">
        <v>1</v>
      </c>
      <c r="K17" s="3521">
        <v>60858</v>
      </c>
      <c r="L17" s="3523">
        <v>22459.5</v>
      </c>
      <c r="M17" s="3527">
        <v>38398.5</v>
      </c>
      <c r="N17" s="3529">
        <v>14.29</v>
      </c>
      <c r="O17" s="3539">
        <f t="shared" si="0"/>
        <v>8696.6082000000006</v>
      </c>
    </row>
    <row r="18" spans="1:15" ht="10.9" customHeight="1" outlineLevel="3">
      <c r="A18" s="3959" t="s">
        <v>939</v>
      </c>
      <c r="B18" s="3959"/>
      <c r="C18" s="3959"/>
      <c r="D18" s="3959"/>
      <c r="E18" s="3518">
        <v>10007062</v>
      </c>
      <c r="F18" s="3960">
        <v>84</v>
      </c>
      <c r="G18" s="3960"/>
      <c r="H18" s="3519" t="s">
        <v>938</v>
      </c>
      <c r="I18" s="3519" t="s">
        <v>935</v>
      </c>
      <c r="J18" s="3520">
        <v>1</v>
      </c>
      <c r="K18" s="3521">
        <v>19761</v>
      </c>
      <c r="L18" s="3522">
        <v>7292.75</v>
      </c>
      <c r="M18" s="3527">
        <v>12468.25</v>
      </c>
      <c r="N18" s="3529">
        <v>14.29</v>
      </c>
      <c r="O18" s="3539">
        <f t="shared" si="0"/>
        <v>2823.8469</v>
      </c>
    </row>
    <row r="19" spans="1:15" ht="22.15" customHeight="1" outlineLevel="3">
      <c r="A19" s="3959" t="s">
        <v>940</v>
      </c>
      <c r="B19" s="3959"/>
      <c r="C19" s="3959"/>
      <c r="D19" s="3959"/>
      <c r="E19" s="3518">
        <v>10007122</v>
      </c>
      <c r="F19" s="3960">
        <v>84</v>
      </c>
      <c r="G19" s="3960"/>
      <c r="H19" s="3519" t="s">
        <v>938</v>
      </c>
      <c r="I19" s="3519" t="s">
        <v>935</v>
      </c>
      <c r="J19" s="3520">
        <v>1</v>
      </c>
      <c r="K19" s="3521">
        <v>226587</v>
      </c>
      <c r="L19" s="3522">
        <v>83621.259999999995</v>
      </c>
      <c r="M19" s="3527">
        <v>142965.74</v>
      </c>
      <c r="N19" s="3529">
        <v>14.29</v>
      </c>
      <c r="O19" s="3539">
        <f t="shared" si="0"/>
        <v>32379.282299999999</v>
      </c>
    </row>
    <row r="20" spans="1:15" ht="10.9" customHeight="1" outlineLevel="3">
      <c r="A20" s="3959" t="s">
        <v>941</v>
      </c>
      <c r="B20" s="3959"/>
      <c r="C20" s="3959"/>
      <c r="D20" s="3959"/>
      <c r="E20" s="3518">
        <v>10004424</v>
      </c>
      <c r="F20" s="3960">
        <v>84</v>
      </c>
      <c r="G20" s="3960"/>
      <c r="H20" s="3519" t="s">
        <v>938</v>
      </c>
      <c r="I20" s="3519" t="s">
        <v>935</v>
      </c>
      <c r="J20" s="3520">
        <v>1</v>
      </c>
      <c r="K20" s="3521">
        <v>25139</v>
      </c>
      <c r="L20" s="3522">
        <v>9277.3700000000008</v>
      </c>
      <c r="M20" s="3527">
        <v>15861.63</v>
      </c>
      <c r="N20" s="3529">
        <v>14.29</v>
      </c>
      <c r="O20" s="3539">
        <f t="shared" si="0"/>
        <v>3592.3631</v>
      </c>
    </row>
    <row r="21" spans="1:15" ht="10.9" customHeight="1" outlineLevel="3">
      <c r="A21" s="3959" t="s">
        <v>802</v>
      </c>
      <c r="B21" s="3959"/>
      <c r="C21" s="3959"/>
      <c r="D21" s="3959"/>
      <c r="E21" s="3518">
        <v>10003528</v>
      </c>
      <c r="F21" s="3960">
        <v>84</v>
      </c>
      <c r="G21" s="3960"/>
      <c r="H21" s="3519" t="s">
        <v>938</v>
      </c>
      <c r="I21" s="3519" t="s">
        <v>935</v>
      </c>
      <c r="J21" s="3520">
        <v>1</v>
      </c>
      <c r="K21" s="3521">
        <v>41883</v>
      </c>
      <c r="L21" s="3522">
        <v>15456.91</v>
      </c>
      <c r="M21" s="3527">
        <v>26426.09</v>
      </c>
      <c r="N21" s="3529">
        <v>14.29</v>
      </c>
      <c r="O21" s="3539">
        <f t="shared" si="0"/>
        <v>5985.0806999999995</v>
      </c>
    </row>
    <row r="22" spans="1:15" ht="10.9" customHeight="1" outlineLevel="3">
      <c r="A22" s="3959" t="s">
        <v>802</v>
      </c>
      <c r="B22" s="3959"/>
      <c r="C22" s="3959"/>
      <c r="D22" s="3959"/>
      <c r="E22" s="3518">
        <v>10003530</v>
      </c>
      <c r="F22" s="3960">
        <v>84</v>
      </c>
      <c r="G22" s="3960"/>
      <c r="H22" s="3519" t="s">
        <v>938</v>
      </c>
      <c r="I22" s="3519" t="s">
        <v>935</v>
      </c>
      <c r="J22" s="3520">
        <v>1</v>
      </c>
      <c r="K22" s="3521">
        <v>41884</v>
      </c>
      <c r="L22" s="3522">
        <v>15457.22</v>
      </c>
      <c r="M22" s="3527">
        <v>26426.78</v>
      </c>
      <c r="N22" s="3529">
        <v>14.29</v>
      </c>
      <c r="O22" s="3539">
        <f t="shared" si="0"/>
        <v>5985.2236000000003</v>
      </c>
    </row>
    <row r="23" spans="1:15" ht="10.9" customHeight="1" outlineLevel="3">
      <c r="A23" s="3959" t="s">
        <v>942</v>
      </c>
      <c r="B23" s="3959"/>
      <c r="C23" s="3959"/>
      <c r="D23" s="3959"/>
      <c r="E23" s="3518">
        <v>10004425</v>
      </c>
      <c r="F23" s="3960">
        <v>84</v>
      </c>
      <c r="G23" s="3960"/>
      <c r="H23" s="3519" t="s">
        <v>938</v>
      </c>
      <c r="I23" s="3519" t="s">
        <v>935</v>
      </c>
      <c r="J23" s="3520">
        <v>1</v>
      </c>
      <c r="K23" s="3521">
        <v>6782</v>
      </c>
      <c r="L23" s="3522">
        <v>2502.94</v>
      </c>
      <c r="M23" s="3527">
        <v>4279.0600000000004</v>
      </c>
      <c r="N23" s="3529">
        <v>14.29</v>
      </c>
      <c r="O23" s="3539">
        <f t="shared" si="0"/>
        <v>969.14779999999996</v>
      </c>
    </row>
    <row r="24" spans="1:15" ht="10.9" customHeight="1" outlineLevel="3">
      <c r="A24" s="3959" t="s">
        <v>942</v>
      </c>
      <c r="B24" s="3959"/>
      <c r="C24" s="3959"/>
      <c r="D24" s="3959"/>
      <c r="E24" s="3518">
        <v>10004426</v>
      </c>
      <c r="F24" s="3960">
        <v>84</v>
      </c>
      <c r="G24" s="3960"/>
      <c r="H24" s="3519" t="s">
        <v>938</v>
      </c>
      <c r="I24" s="3519" t="s">
        <v>935</v>
      </c>
      <c r="J24" s="3520">
        <v>1</v>
      </c>
      <c r="K24" s="3521">
        <v>6782</v>
      </c>
      <c r="L24" s="3522">
        <v>2502.94</v>
      </c>
      <c r="M24" s="3527">
        <v>4279.0600000000004</v>
      </c>
      <c r="N24" s="3529">
        <v>14.29</v>
      </c>
      <c r="O24" s="3539">
        <f t="shared" si="0"/>
        <v>969.14779999999996</v>
      </c>
    </row>
    <row r="25" spans="1:15" ht="10.9" customHeight="1" outlineLevel="3">
      <c r="A25" s="3959" t="s">
        <v>942</v>
      </c>
      <c r="B25" s="3959"/>
      <c r="C25" s="3959"/>
      <c r="D25" s="3959"/>
      <c r="E25" s="3518">
        <v>10005641</v>
      </c>
      <c r="F25" s="3960">
        <v>84</v>
      </c>
      <c r="G25" s="3960"/>
      <c r="H25" s="3519" t="s">
        <v>938</v>
      </c>
      <c r="I25" s="3519" t="s">
        <v>935</v>
      </c>
      <c r="J25" s="3520">
        <v>1</v>
      </c>
      <c r="K25" s="3521">
        <v>6782</v>
      </c>
      <c r="L25" s="3522">
        <v>2502.94</v>
      </c>
      <c r="M25" s="3527">
        <v>4279.0600000000004</v>
      </c>
      <c r="N25" s="3529">
        <v>14.29</v>
      </c>
      <c r="O25" s="3539">
        <f t="shared" si="0"/>
        <v>969.14779999999996</v>
      </c>
    </row>
    <row r="26" spans="1:15" ht="10.9" customHeight="1" outlineLevel="3">
      <c r="A26" s="3959" t="s">
        <v>942</v>
      </c>
      <c r="B26" s="3959"/>
      <c r="C26" s="3959"/>
      <c r="D26" s="3959"/>
      <c r="E26" s="3518">
        <v>10005642</v>
      </c>
      <c r="F26" s="3960">
        <v>84</v>
      </c>
      <c r="G26" s="3960"/>
      <c r="H26" s="3519" t="s">
        <v>938</v>
      </c>
      <c r="I26" s="3519" t="s">
        <v>935</v>
      </c>
      <c r="J26" s="3520">
        <v>1</v>
      </c>
      <c r="K26" s="3521">
        <v>6782</v>
      </c>
      <c r="L26" s="3522">
        <v>2502.94</v>
      </c>
      <c r="M26" s="3527">
        <v>4279.0600000000004</v>
      </c>
      <c r="N26" s="3529">
        <v>14.29</v>
      </c>
      <c r="O26" s="3539">
        <f t="shared" si="0"/>
        <v>969.14779999999996</v>
      </c>
    </row>
    <row r="27" spans="1:15" ht="10.9" customHeight="1" outlineLevel="3">
      <c r="A27" s="3959" t="s">
        <v>943</v>
      </c>
      <c r="B27" s="3959"/>
      <c r="C27" s="3959"/>
      <c r="D27" s="3959"/>
      <c r="E27" s="3518">
        <v>10004419</v>
      </c>
      <c r="F27" s="3960">
        <v>84</v>
      </c>
      <c r="G27" s="3960"/>
      <c r="H27" s="3519" t="s">
        <v>938</v>
      </c>
      <c r="I27" s="3519" t="s">
        <v>935</v>
      </c>
      <c r="J27" s="3520">
        <v>1</v>
      </c>
      <c r="K27" s="3521">
        <v>55305</v>
      </c>
      <c r="L27" s="3522">
        <v>20410.09</v>
      </c>
      <c r="M27" s="3527">
        <v>34894.910000000003</v>
      </c>
      <c r="N27" s="3529">
        <v>14.29</v>
      </c>
      <c r="O27" s="3539">
        <f t="shared" si="0"/>
        <v>7903.0844999999999</v>
      </c>
    </row>
    <row r="28" spans="1:15" ht="10.9" customHeight="1" outlineLevel="3">
      <c r="A28" s="3959" t="s">
        <v>944</v>
      </c>
      <c r="B28" s="3959"/>
      <c r="C28" s="3959"/>
      <c r="D28" s="3959"/>
      <c r="E28" s="3518">
        <v>10004420</v>
      </c>
      <c r="F28" s="3960">
        <v>84</v>
      </c>
      <c r="G28" s="3960"/>
      <c r="H28" s="3519" t="s">
        <v>938</v>
      </c>
      <c r="I28" s="3519" t="s">
        <v>935</v>
      </c>
      <c r="J28" s="3520">
        <v>1</v>
      </c>
      <c r="K28" s="3521">
        <v>55305</v>
      </c>
      <c r="L28" s="3522">
        <v>20410.09</v>
      </c>
      <c r="M28" s="3527">
        <v>34894.910000000003</v>
      </c>
      <c r="N28" s="3529">
        <v>14.29</v>
      </c>
      <c r="O28" s="3539">
        <f t="shared" si="0"/>
        <v>7903.0844999999999</v>
      </c>
    </row>
    <row r="29" spans="1:15" ht="10.9" customHeight="1" outlineLevel="3">
      <c r="A29" s="3959" t="s">
        <v>821</v>
      </c>
      <c r="B29" s="3959"/>
      <c r="C29" s="3959"/>
      <c r="D29" s="3959"/>
      <c r="E29" s="3518">
        <v>10004199</v>
      </c>
      <c r="F29" s="3960">
        <v>84</v>
      </c>
      <c r="G29" s="3960"/>
      <c r="H29" s="3519" t="s">
        <v>938</v>
      </c>
      <c r="I29" s="3519" t="s">
        <v>935</v>
      </c>
      <c r="J29" s="3520">
        <v>1</v>
      </c>
      <c r="K29" s="3521">
        <v>108044</v>
      </c>
      <c r="L29" s="3522">
        <v>39873.440000000002</v>
      </c>
      <c r="M29" s="3527">
        <v>68170.559999999998</v>
      </c>
      <c r="N29" s="3529">
        <v>14.29</v>
      </c>
      <c r="O29" s="3539">
        <f t="shared" si="0"/>
        <v>15439.4876</v>
      </c>
    </row>
    <row r="30" spans="1:15" ht="10.9" customHeight="1" outlineLevel="3">
      <c r="A30" s="3959" t="s">
        <v>821</v>
      </c>
      <c r="B30" s="3959"/>
      <c r="C30" s="3959"/>
      <c r="D30" s="3959"/>
      <c r="E30" s="3518">
        <v>10004205</v>
      </c>
      <c r="F30" s="3960">
        <v>84</v>
      </c>
      <c r="G30" s="3960"/>
      <c r="H30" s="3519" t="s">
        <v>938</v>
      </c>
      <c r="I30" s="3519" t="s">
        <v>935</v>
      </c>
      <c r="J30" s="3520">
        <v>1</v>
      </c>
      <c r="K30" s="3521">
        <v>108044</v>
      </c>
      <c r="L30" s="3522">
        <v>39873.440000000002</v>
      </c>
      <c r="M30" s="3527">
        <v>68170.559999999998</v>
      </c>
      <c r="N30" s="3529">
        <v>14.29</v>
      </c>
      <c r="O30" s="3539">
        <f t="shared" si="0"/>
        <v>15439.4876</v>
      </c>
    </row>
    <row r="31" spans="1:15" s="3535" customFormat="1" ht="19.5" customHeight="1" outlineLevel="2">
      <c r="A31" s="3964">
        <v>2418</v>
      </c>
      <c r="B31" s="3964"/>
      <c r="C31" s="3964"/>
      <c r="D31" s="3964"/>
      <c r="E31" s="3964"/>
      <c r="F31" s="3964"/>
      <c r="G31" s="3964"/>
      <c r="H31" s="3964"/>
      <c r="I31" s="3964"/>
      <c r="J31" s="3530">
        <v>1</v>
      </c>
      <c r="K31" s="3531">
        <v>18625</v>
      </c>
      <c r="L31" s="3532">
        <v>6873.63</v>
      </c>
      <c r="M31" s="3533">
        <v>11751.37</v>
      </c>
      <c r="N31" s="3534"/>
      <c r="O31" s="3540">
        <f>O32</f>
        <v>2661.5124999999998</v>
      </c>
    </row>
    <row r="32" spans="1:15" ht="10.9" customHeight="1" outlineLevel="3">
      <c r="A32" s="3959" t="s">
        <v>945</v>
      </c>
      <c r="B32" s="3959"/>
      <c r="C32" s="3959"/>
      <c r="D32" s="3959"/>
      <c r="E32" s="3518">
        <v>10004427</v>
      </c>
      <c r="F32" s="3960">
        <v>84</v>
      </c>
      <c r="G32" s="3960"/>
      <c r="H32" s="3519" t="s">
        <v>938</v>
      </c>
      <c r="I32" s="3519" t="s">
        <v>935</v>
      </c>
      <c r="J32" s="3520">
        <v>1</v>
      </c>
      <c r="K32" s="3521">
        <v>18625</v>
      </c>
      <c r="L32" s="3522">
        <v>6873.63</v>
      </c>
      <c r="M32" s="3527">
        <v>11751.37</v>
      </c>
      <c r="N32" s="3529">
        <v>14.29</v>
      </c>
      <c r="O32" s="3539">
        <f t="shared" si="0"/>
        <v>2661.5124999999998</v>
      </c>
    </row>
    <row r="33" spans="1:15" ht="13.15" customHeight="1">
      <c r="A33" s="3965" t="s">
        <v>20</v>
      </c>
      <c r="B33" s="3965"/>
      <c r="C33" s="3965"/>
      <c r="D33" s="3965"/>
      <c r="E33" s="3965"/>
      <c r="F33" s="3965"/>
      <c r="G33" s="3965"/>
      <c r="H33" s="3965"/>
      <c r="I33" s="3965"/>
      <c r="J33" s="3524">
        <v>18</v>
      </c>
      <c r="K33" s="3525">
        <v>977976</v>
      </c>
      <c r="L33" s="3526">
        <v>344085.36</v>
      </c>
      <c r="M33" s="3528">
        <v>633890.64</v>
      </c>
      <c r="N33" s="3529"/>
      <c r="O33" s="3529"/>
    </row>
  </sheetData>
  <mergeCells count="54">
    <mergeCell ref="N6:N9"/>
    <mergeCell ref="A30:D30"/>
    <mergeCell ref="F30:G30"/>
    <mergeCell ref="A31:I31"/>
    <mergeCell ref="A32:D32"/>
    <mergeCell ref="F32:G32"/>
    <mergeCell ref="A24:D24"/>
    <mergeCell ref="F24:G24"/>
    <mergeCell ref="A25:D25"/>
    <mergeCell ref="F25:G25"/>
    <mergeCell ref="A26:D26"/>
    <mergeCell ref="F26:G26"/>
    <mergeCell ref="A21:D21"/>
    <mergeCell ref="F21:G21"/>
    <mergeCell ref="A22:D22"/>
    <mergeCell ref="F22:G22"/>
    <mergeCell ref="A33:I33"/>
    <mergeCell ref="A27:D27"/>
    <mergeCell ref="F27:G27"/>
    <mergeCell ref="A28:D28"/>
    <mergeCell ref="F28:G28"/>
    <mergeCell ref="A29:D29"/>
    <mergeCell ref="F29:G29"/>
    <mergeCell ref="A23:D23"/>
    <mergeCell ref="F23:G23"/>
    <mergeCell ref="A18:D18"/>
    <mergeCell ref="F18:G18"/>
    <mergeCell ref="A19:D19"/>
    <mergeCell ref="F19:G19"/>
    <mergeCell ref="A20:D20"/>
    <mergeCell ref="F20:G20"/>
    <mergeCell ref="A17:D17"/>
    <mergeCell ref="F17:G17"/>
    <mergeCell ref="F9:G9"/>
    <mergeCell ref="A10:I10"/>
    <mergeCell ref="A11:I11"/>
    <mergeCell ref="A12:I12"/>
    <mergeCell ref="A13:D13"/>
    <mergeCell ref="F13:G13"/>
    <mergeCell ref="A14:D14"/>
    <mergeCell ref="F14:G14"/>
    <mergeCell ref="A15:I15"/>
    <mergeCell ref="A16:D16"/>
    <mergeCell ref="F16:G16"/>
    <mergeCell ref="A2:I2"/>
    <mergeCell ref="B4:M4"/>
    <mergeCell ref="A6:I6"/>
    <mergeCell ref="J6:J9"/>
    <mergeCell ref="K6:K9"/>
    <mergeCell ref="L6:L9"/>
    <mergeCell ref="M6:M9"/>
    <mergeCell ref="A7:I7"/>
    <mergeCell ref="A8:I8"/>
    <mergeCell ref="A9:D9"/>
  </mergeCells>
  <pageMargins left="0.25" right="0.25" top="0.75" bottom="0.75" header="0.3" footer="0.3"/>
  <pageSetup paperSize="9" scale="8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outlinePr summaryBelow="0" summaryRight="0"/>
    <pageSetUpPr autoPageBreaks="0"/>
  </sheetPr>
  <dimension ref="A1:O77"/>
  <sheetViews>
    <sheetView workbookViewId="0">
      <selection activeCell="O76" activeCellId="2" sqref="O15:O31 O33:O74 O76"/>
    </sheetView>
  </sheetViews>
  <sheetFormatPr defaultColWidth="9" defaultRowHeight="11.45" customHeight="1" outlineLevelRow="3"/>
  <cols>
    <col min="1" max="1" width="6.140625" style="3505" customWidth="1"/>
    <col min="2" max="2" width="60" style="3505" customWidth="1"/>
    <col min="3" max="3" width="2" style="3505" customWidth="1"/>
    <col min="4" max="4" width="1.85546875" style="3505" customWidth="1"/>
    <col min="5" max="5" width="12.42578125" style="3505" customWidth="1"/>
    <col min="6" max="6" width="3.7109375" style="3505" customWidth="1"/>
    <col min="7" max="7" width="17.28515625" style="3505" customWidth="1"/>
    <col min="8" max="8" width="20" style="3505" customWidth="1"/>
    <col min="9" max="9" width="17" style="3505" customWidth="1"/>
    <col min="10" max="10" width="10.85546875" style="3505" customWidth="1"/>
    <col min="11" max="11" width="15" style="3505" customWidth="1"/>
    <col min="12" max="13" width="14" style="3505" customWidth="1"/>
    <col min="14" max="14" width="9" style="3506"/>
    <col min="15" max="15" width="11.7109375" style="3506" bestFit="1" customWidth="1"/>
    <col min="16" max="16384" width="9" style="3506"/>
  </cols>
  <sheetData>
    <row r="1" spans="1:15" s="3505" customFormat="1" ht="4.1500000000000004" customHeight="1"/>
    <row r="2" spans="1:15" ht="48" customHeight="1">
      <c r="A2" s="3952" t="s">
        <v>919</v>
      </c>
      <c r="B2" s="3952"/>
      <c r="C2" s="3952"/>
      <c r="D2" s="3952"/>
      <c r="E2" s="3952"/>
      <c r="F2" s="3952"/>
      <c r="G2" s="3953"/>
      <c r="H2" s="3953"/>
    </row>
    <row r="3" spans="1:15" ht="10.15" customHeight="1"/>
    <row r="4" spans="1:15" s="3505" customFormat="1" ht="6.6" hidden="1" customHeight="1"/>
    <row r="5" spans="1:15" s="3505" customFormat="1" ht="10.15" customHeight="1"/>
    <row r="6" spans="1:15" ht="22.15" customHeight="1" outlineLevel="1">
      <c r="A6" s="3507"/>
      <c r="B6" s="3954" t="s">
        <v>946</v>
      </c>
      <c r="C6" s="3969"/>
      <c r="D6" s="3969"/>
      <c r="E6" s="3969"/>
      <c r="F6" s="3969"/>
      <c r="G6" s="3969"/>
      <c r="H6" s="3969"/>
      <c r="I6" s="3969"/>
      <c r="J6" s="3969"/>
      <c r="K6" s="3969"/>
      <c r="L6" s="3969"/>
      <c r="M6" s="3969"/>
    </row>
    <row r="7" spans="1:15" s="3505" customFormat="1" ht="13.15" customHeight="1"/>
    <row r="8" spans="1:15" ht="13.15" customHeight="1">
      <c r="A8" s="3955" t="s">
        <v>921</v>
      </c>
      <c r="B8" s="3955"/>
      <c r="C8" s="3955"/>
      <c r="D8" s="3955"/>
      <c r="E8" s="3955"/>
      <c r="F8" s="3955"/>
      <c r="G8" s="3955"/>
      <c r="H8" s="3955"/>
      <c r="I8" s="3955"/>
      <c r="J8" s="3956" t="s">
        <v>922</v>
      </c>
      <c r="K8" s="3956" t="s">
        <v>868</v>
      </c>
      <c r="L8" s="3956" t="s">
        <v>923</v>
      </c>
      <c r="M8" s="3956" t="s">
        <v>702</v>
      </c>
      <c r="N8" s="3966" t="s">
        <v>924</v>
      </c>
    </row>
    <row r="9" spans="1:15" ht="13.15" customHeight="1">
      <c r="A9" s="3955" t="s">
        <v>925</v>
      </c>
      <c r="B9" s="3955"/>
      <c r="C9" s="3955"/>
      <c r="D9" s="3955"/>
      <c r="E9" s="3955"/>
      <c r="F9" s="3955"/>
      <c r="G9" s="3955"/>
      <c r="H9" s="3955"/>
      <c r="I9" s="3955"/>
      <c r="J9" s="3957"/>
      <c r="K9" s="3957"/>
      <c r="L9" s="3957"/>
      <c r="M9" s="3957"/>
      <c r="N9" s="3967"/>
    </row>
    <row r="10" spans="1:15" ht="13.15" customHeight="1">
      <c r="A10" s="3955" t="s">
        <v>926</v>
      </c>
      <c r="B10" s="3955"/>
      <c r="C10" s="3955"/>
      <c r="D10" s="3955"/>
      <c r="E10" s="3955"/>
      <c r="F10" s="3955"/>
      <c r="G10" s="3955"/>
      <c r="H10" s="3955"/>
      <c r="I10" s="3955"/>
      <c r="J10" s="3957"/>
      <c r="K10" s="3957"/>
      <c r="L10" s="3957"/>
      <c r="M10" s="3957"/>
      <c r="N10" s="3967"/>
    </row>
    <row r="11" spans="1:15" ht="37.9" customHeight="1">
      <c r="A11" s="3955" t="s">
        <v>927</v>
      </c>
      <c r="B11" s="3955"/>
      <c r="C11" s="3955"/>
      <c r="D11" s="3955"/>
      <c r="E11" s="3508" t="s">
        <v>928</v>
      </c>
      <c r="F11" s="3955" t="s">
        <v>929</v>
      </c>
      <c r="G11" s="3955"/>
      <c r="H11" s="3508" t="s">
        <v>930</v>
      </c>
      <c r="I11" s="3508" t="s">
        <v>931</v>
      </c>
      <c r="J11" s="3958"/>
      <c r="K11" s="3958"/>
      <c r="L11" s="3958"/>
      <c r="M11" s="3958"/>
      <c r="N11" s="3967"/>
    </row>
    <row r="12" spans="1:15" ht="13.15" customHeight="1">
      <c r="A12" s="3962" t="s">
        <v>30</v>
      </c>
      <c r="B12" s="3962"/>
      <c r="C12" s="3962"/>
      <c r="D12" s="3962"/>
      <c r="E12" s="3962"/>
      <c r="F12" s="3962"/>
      <c r="G12" s="3962"/>
      <c r="H12" s="3962"/>
      <c r="I12" s="3962"/>
      <c r="J12" s="3509">
        <v>60</v>
      </c>
      <c r="K12" s="3510">
        <v>8441861</v>
      </c>
      <c r="L12" s="3511">
        <v>3142552.15</v>
      </c>
      <c r="M12" s="3511">
        <v>5299308.8499999996</v>
      </c>
      <c r="O12" s="3511">
        <f>O14+O32+O75</f>
        <v>1216825.8394999998</v>
      </c>
    </row>
    <row r="13" spans="1:15" ht="10.9" customHeight="1" outlineLevel="1">
      <c r="A13" s="3963" t="s">
        <v>932</v>
      </c>
      <c r="B13" s="3963"/>
      <c r="C13" s="3963"/>
      <c r="D13" s="3963"/>
      <c r="E13" s="3963"/>
      <c r="F13" s="3963"/>
      <c r="G13" s="3963"/>
      <c r="H13" s="3963"/>
      <c r="I13" s="3963"/>
      <c r="J13" s="3512">
        <v>60</v>
      </c>
      <c r="K13" s="3513">
        <v>8441861</v>
      </c>
      <c r="L13" s="3514">
        <v>3142552.15</v>
      </c>
      <c r="M13" s="3514">
        <v>5299308.8499999996</v>
      </c>
    </row>
    <row r="14" spans="1:15" ht="10.9" customHeight="1" outlineLevel="2">
      <c r="A14" s="3968">
        <v>2416</v>
      </c>
      <c r="B14" s="3968"/>
      <c r="C14" s="3968"/>
      <c r="D14" s="3968"/>
      <c r="E14" s="3968"/>
      <c r="F14" s="3968"/>
      <c r="G14" s="3968"/>
      <c r="H14" s="3968"/>
      <c r="I14" s="3968"/>
      <c r="J14" s="3515">
        <v>17</v>
      </c>
      <c r="K14" s="3516">
        <v>4762244</v>
      </c>
      <c r="L14" s="3517">
        <v>1781636.96</v>
      </c>
      <c r="M14" s="3517">
        <v>2980607.04</v>
      </c>
      <c r="O14" s="3541">
        <f>SUM(O15:O31)</f>
        <v>689863.20129999996</v>
      </c>
    </row>
    <row r="15" spans="1:15" ht="10.9" customHeight="1" outlineLevel="3">
      <c r="A15" s="3959" t="s">
        <v>947</v>
      </c>
      <c r="B15" s="3959"/>
      <c r="C15" s="3959"/>
      <c r="D15" s="3959"/>
      <c r="E15" s="3518">
        <v>10003413</v>
      </c>
      <c r="F15" s="3960">
        <v>84</v>
      </c>
      <c r="G15" s="3960"/>
      <c r="H15" s="3519" t="s">
        <v>938</v>
      </c>
      <c r="I15" s="3519" t="s">
        <v>948</v>
      </c>
      <c r="J15" s="3520">
        <v>1</v>
      </c>
      <c r="K15" s="3521">
        <v>269004</v>
      </c>
      <c r="L15" s="3522">
        <v>99275.33</v>
      </c>
      <c r="M15" s="3522">
        <v>169728.67</v>
      </c>
      <c r="N15" s="3506">
        <v>14.29</v>
      </c>
      <c r="O15" s="3522">
        <f>K15*N15%</f>
        <v>38440.671600000001</v>
      </c>
    </row>
    <row r="16" spans="1:15" ht="22.15" customHeight="1" outlineLevel="3">
      <c r="A16" s="3959" t="s">
        <v>949</v>
      </c>
      <c r="B16" s="3959"/>
      <c r="C16" s="3959"/>
      <c r="D16" s="3959"/>
      <c r="E16" s="3518">
        <v>10003420</v>
      </c>
      <c r="F16" s="3960">
        <v>84</v>
      </c>
      <c r="G16" s="3960"/>
      <c r="H16" s="3519" t="s">
        <v>938</v>
      </c>
      <c r="I16" s="3519" t="s">
        <v>948</v>
      </c>
      <c r="J16" s="3520">
        <v>1</v>
      </c>
      <c r="K16" s="3521">
        <v>146259</v>
      </c>
      <c r="L16" s="3522">
        <v>53976.58</v>
      </c>
      <c r="M16" s="3522">
        <v>92282.42</v>
      </c>
      <c r="N16" s="3506">
        <v>14.29</v>
      </c>
      <c r="O16" s="3522">
        <f t="shared" ref="O16:O31" si="0">K16*N16%</f>
        <v>20900.411100000001</v>
      </c>
    </row>
    <row r="17" spans="1:15" ht="22.15" customHeight="1" outlineLevel="3">
      <c r="A17" s="3959" t="s">
        <v>950</v>
      </c>
      <c r="B17" s="3959"/>
      <c r="C17" s="3959"/>
      <c r="D17" s="3959"/>
      <c r="E17" s="3518">
        <v>10007688</v>
      </c>
      <c r="F17" s="3960">
        <v>84</v>
      </c>
      <c r="G17" s="3960"/>
      <c r="H17" s="3519" t="s">
        <v>938</v>
      </c>
      <c r="I17" s="3519" t="s">
        <v>948</v>
      </c>
      <c r="J17" s="3520">
        <v>1</v>
      </c>
      <c r="K17" s="3521">
        <v>982256</v>
      </c>
      <c r="L17" s="3522">
        <v>362499.12</v>
      </c>
      <c r="M17" s="3522">
        <v>619756.88</v>
      </c>
      <c r="N17" s="3506">
        <v>14.29</v>
      </c>
      <c r="O17" s="3522">
        <f t="shared" si="0"/>
        <v>140364.3824</v>
      </c>
    </row>
    <row r="18" spans="1:15" ht="10.9" customHeight="1" outlineLevel="3">
      <c r="A18" s="3959" t="s">
        <v>951</v>
      </c>
      <c r="B18" s="3959"/>
      <c r="C18" s="3959"/>
      <c r="D18" s="3959"/>
      <c r="E18" s="3518">
        <v>10003421</v>
      </c>
      <c r="F18" s="3960">
        <v>84</v>
      </c>
      <c r="G18" s="3960"/>
      <c r="H18" s="3519" t="s">
        <v>938</v>
      </c>
      <c r="I18" s="3519" t="s">
        <v>948</v>
      </c>
      <c r="J18" s="3520">
        <v>1</v>
      </c>
      <c r="K18" s="3521">
        <v>111166</v>
      </c>
      <c r="L18" s="3523">
        <v>41025.4</v>
      </c>
      <c r="M18" s="3522">
        <v>70140.600000000006</v>
      </c>
      <c r="N18" s="3506">
        <v>14.29</v>
      </c>
      <c r="O18" s="3522">
        <f t="shared" si="0"/>
        <v>15885.6214</v>
      </c>
    </row>
    <row r="19" spans="1:15" ht="10.9" customHeight="1" outlineLevel="3">
      <c r="A19" s="3959" t="s">
        <v>952</v>
      </c>
      <c r="B19" s="3959"/>
      <c r="C19" s="3959"/>
      <c r="D19" s="3959"/>
      <c r="E19" s="3518">
        <v>10003414</v>
      </c>
      <c r="F19" s="3960">
        <v>84</v>
      </c>
      <c r="G19" s="3960"/>
      <c r="H19" s="3519" t="s">
        <v>938</v>
      </c>
      <c r="I19" s="3519" t="s">
        <v>948</v>
      </c>
      <c r="J19" s="3520">
        <v>1</v>
      </c>
      <c r="K19" s="3521">
        <v>764848</v>
      </c>
      <c r="L19" s="3522">
        <v>282265.23</v>
      </c>
      <c r="M19" s="3522">
        <v>482582.77</v>
      </c>
      <c r="N19" s="3506">
        <v>14.29</v>
      </c>
      <c r="O19" s="3522">
        <f t="shared" si="0"/>
        <v>109296.7792</v>
      </c>
    </row>
    <row r="20" spans="1:15" ht="22.15" customHeight="1" outlineLevel="3">
      <c r="A20" s="3959" t="s">
        <v>953</v>
      </c>
      <c r="B20" s="3959"/>
      <c r="C20" s="3959"/>
      <c r="D20" s="3959"/>
      <c r="E20" s="3518">
        <v>10003418</v>
      </c>
      <c r="F20" s="3960">
        <v>84</v>
      </c>
      <c r="G20" s="3960"/>
      <c r="H20" s="3519" t="s">
        <v>938</v>
      </c>
      <c r="I20" s="3519" t="s">
        <v>948</v>
      </c>
      <c r="J20" s="3520">
        <v>1</v>
      </c>
      <c r="K20" s="3521">
        <v>51372</v>
      </c>
      <c r="L20" s="3522">
        <v>18958.669999999998</v>
      </c>
      <c r="M20" s="3522">
        <v>32413.33</v>
      </c>
      <c r="N20" s="3506">
        <v>14.29</v>
      </c>
      <c r="O20" s="3522">
        <f t="shared" si="0"/>
        <v>7341.0587999999998</v>
      </c>
    </row>
    <row r="21" spans="1:15" ht="22.15" customHeight="1" outlineLevel="3">
      <c r="A21" s="3959" t="s">
        <v>954</v>
      </c>
      <c r="B21" s="3959"/>
      <c r="C21" s="3959"/>
      <c r="D21" s="3959"/>
      <c r="E21" s="3518">
        <v>10003416</v>
      </c>
      <c r="F21" s="3960">
        <v>84</v>
      </c>
      <c r="G21" s="3960"/>
      <c r="H21" s="3519" t="s">
        <v>938</v>
      </c>
      <c r="I21" s="3519" t="s">
        <v>948</v>
      </c>
      <c r="J21" s="3520">
        <v>1</v>
      </c>
      <c r="K21" s="3521">
        <v>511836</v>
      </c>
      <c r="L21" s="3522">
        <v>188891.99</v>
      </c>
      <c r="M21" s="3522">
        <v>322944.01</v>
      </c>
      <c r="N21" s="3506">
        <v>14.29</v>
      </c>
      <c r="O21" s="3522">
        <f t="shared" si="0"/>
        <v>73141.364400000006</v>
      </c>
    </row>
    <row r="22" spans="1:15" ht="10.9" customHeight="1" outlineLevel="3">
      <c r="A22" s="3959" t="s">
        <v>955</v>
      </c>
      <c r="B22" s="3959"/>
      <c r="C22" s="3959"/>
      <c r="D22" s="3959"/>
      <c r="E22" s="3518">
        <v>10003419</v>
      </c>
      <c r="F22" s="3960">
        <v>84</v>
      </c>
      <c r="G22" s="3960"/>
      <c r="H22" s="3519" t="s">
        <v>938</v>
      </c>
      <c r="I22" s="3519" t="s">
        <v>948</v>
      </c>
      <c r="J22" s="3520">
        <v>1</v>
      </c>
      <c r="K22" s="3521">
        <v>75516</v>
      </c>
      <c r="L22" s="3521">
        <v>27869</v>
      </c>
      <c r="M22" s="3522">
        <v>47647</v>
      </c>
      <c r="N22" s="3506">
        <v>14.29</v>
      </c>
      <c r="O22" s="3522">
        <f t="shared" si="0"/>
        <v>10791.2364</v>
      </c>
    </row>
    <row r="23" spans="1:15" ht="22.15" customHeight="1" outlineLevel="3">
      <c r="A23" s="3959" t="s">
        <v>956</v>
      </c>
      <c r="B23" s="3959"/>
      <c r="C23" s="3959"/>
      <c r="D23" s="3959"/>
      <c r="E23" s="3518">
        <v>10003417</v>
      </c>
      <c r="F23" s="3960">
        <v>84</v>
      </c>
      <c r="G23" s="3960"/>
      <c r="H23" s="3519" t="s">
        <v>938</v>
      </c>
      <c r="I23" s="3519" t="s">
        <v>948</v>
      </c>
      <c r="J23" s="3520">
        <v>1</v>
      </c>
      <c r="K23" s="3521">
        <v>180226</v>
      </c>
      <c r="L23" s="3522">
        <v>66512.05</v>
      </c>
      <c r="M23" s="3522">
        <v>113713.95</v>
      </c>
      <c r="N23" s="3506">
        <v>14.29</v>
      </c>
      <c r="O23" s="3522">
        <f t="shared" si="0"/>
        <v>25754.295399999999</v>
      </c>
    </row>
    <row r="24" spans="1:15" ht="10.9" customHeight="1" outlineLevel="3">
      <c r="A24" s="3959" t="s">
        <v>957</v>
      </c>
      <c r="B24" s="3959"/>
      <c r="C24" s="3959"/>
      <c r="D24" s="3959"/>
      <c r="E24" s="3518">
        <v>10003422</v>
      </c>
      <c r="F24" s="3960">
        <v>84</v>
      </c>
      <c r="G24" s="3960"/>
      <c r="H24" s="3519" t="s">
        <v>938</v>
      </c>
      <c r="I24" s="3519" t="s">
        <v>948</v>
      </c>
      <c r="J24" s="3520">
        <v>1</v>
      </c>
      <c r="K24" s="3521">
        <v>160577</v>
      </c>
      <c r="L24" s="3522">
        <v>59260.53</v>
      </c>
      <c r="M24" s="3522">
        <v>101316.47</v>
      </c>
      <c r="N24" s="3506">
        <v>14.29</v>
      </c>
      <c r="O24" s="3522">
        <f t="shared" si="0"/>
        <v>22946.453300000001</v>
      </c>
    </row>
    <row r="25" spans="1:15" ht="10.9" customHeight="1" outlineLevel="3">
      <c r="A25" s="3959" t="s">
        <v>958</v>
      </c>
      <c r="B25" s="3959"/>
      <c r="C25" s="3959"/>
      <c r="D25" s="3959"/>
      <c r="E25" s="3518">
        <v>10003415</v>
      </c>
      <c r="F25" s="3960">
        <v>84</v>
      </c>
      <c r="G25" s="3960"/>
      <c r="H25" s="3519" t="s">
        <v>938</v>
      </c>
      <c r="I25" s="3519" t="s">
        <v>948</v>
      </c>
      <c r="J25" s="3520">
        <v>1</v>
      </c>
      <c r="K25" s="3521">
        <v>505364</v>
      </c>
      <c r="L25" s="3522">
        <v>186503.44</v>
      </c>
      <c r="M25" s="3522">
        <v>318860.56</v>
      </c>
      <c r="N25" s="3506">
        <v>14.29</v>
      </c>
      <c r="O25" s="3522">
        <f t="shared" si="0"/>
        <v>72216.515599999999</v>
      </c>
    </row>
    <row r="26" spans="1:15" ht="10.9" customHeight="1" outlineLevel="3">
      <c r="A26" s="3959" t="s">
        <v>959</v>
      </c>
      <c r="B26" s="3959"/>
      <c r="C26" s="3959"/>
      <c r="D26" s="3959"/>
      <c r="E26" s="3518">
        <v>10003423</v>
      </c>
      <c r="F26" s="3960">
        <v>84</v>
      </c>
      <c r="G26" s="3960"/>
      <c r="H26" s="3519" t="s">
        <v>938</v>
      </c>
      <c r="I26" s="3519" t="s">
        <v>948</v>
      </c>
      <c r="J26" s="3520">
        <v>1</v>
      </c>
      <c r="K26" s="3521">
        <v>127729</v>
      </c>
      <c r="L26" s="3522">
        <v>47137.98</v>
      </c>
      <c r="M26" s="3522">
        <v>80591.02</v>
      </c>
      <c r="N26" s="3506">
        <v>14.29</v>
      </c>
      <c r="O26" s="3522">
        <f t="shared" si="0"/>
        <v>18252.474099999999</v>
      </c>
    </row>
    <row r="27" spans="1:15" ht="10.9" customHeight="1" outlineLevel="3">
      <c r="A27" s="3959" t="s">
        <v>756</v>
      </c>
      <c r="B27" s="3959"/>
      <c r="C27" s="3959"/>
      <c r="D27" s="3959"/>
      <c r="E27" s="3518">
        <v>10007566</v>
      </c>
      <c r="F27" s="3960">
        <v>60</v>
      </c>
      <c r="G27" s="3960"/>
      <c r="H27" s="3519" t="s">
        <v>938</v>
      </c>
      <c r="I27" s="3519" t="s">
        <v>948</v>
      </c>
      <c r="J27" s="3520">
        <v>1</v>
      </c>
      <c r="K27" s="3521">
        <v>163547</v>
      </c>
      <c r="L27" s="3522">
        <v>84499.18</v>
      </c>
      <c r="M27" s="3522">
        <v>79047.820000000007</v>
      </c>
      <c r="N27" s="3506">
        <v>20</v>
      </c>
      <c r="O27" s="3522">
        <f t="shared" si="0"/>
        <v>32709.4</v>
      </c>
    </row>
    <row r="28" spans="1:15" ht="10.9" customHeight="1" outlineLevel="3">
      <c r="A28" s="3959" t="s">
        <v>904</v>
      </c>
      <c r="B28" s="3959"/>
      <c r="C28" s="3959"/>
      <c r="D28" s="3959"/>
      <c r="E28" s="3518">
        <v>10003192</v>
      </c>
      <c r="F28" s="3960">
        <v>84</v>
      </c>
      <c r="G28" s="3960"/>
      <c r="H28" s="3519" t="s">
        <v>938</v>
      </c>
      <c r="I28" s="3519" t="s">
        <v>948</v>
      </c>
      <c r="J28" s="3520">
        <v>1</v>
      </c>
      <c r="K28" s="3521">
        <v>147568</v>
      </c>
      <c r="L28" s="3522">
        <v>54459.56</v>
      </c>
      <c r="M28" s="3522">
        <v>93108.44</v>
      </c>
      <c r="N28" s="3506">
        <v>14.29</v>
      </c>
      <c r="O28" s="3522">
        <f t="shared" si="0"/>
        <v>21087.467199999999</v>
      </c>
    </row>
    <row r="29" spans="1:15" ht="10.9" customHeight="1" outlineLevel="3">
      <c r="A29" s="3959" t="s">
        <v>904</v>
      </c>
      <c r="B29" s="3959"/>
      <c r="C29" s="3959"/>
      <c r="D29" s="3959"/>
      <c r="E29" s="3518">
        <v>10003194</v>
      </c>
      <c r="F29" s="3960">
        <v>84</v>
      </c>
      <c r="G29" s="3960"/>
      <c r="H29" s="3519" t="s">
        <v>938</v>
      </c>
      <c r="I29" s="3519" t="s">
        <v>948</v>
      </c>
      <c r="J29" s="3520">
        <v>1</v>
      </c>
      <c r="K29" s="3521">
        <v>208704</v>
      </c>
      <c r="L29" s="3522">
        <v>77021.67</v>
      </c>
      <c r="M29" s="3522">
        <v>131682.32999999999</v>
      </c>
      <c r="N29" s="3506">
        <v>14.29</v>
      </c>
      <c r="O29" s="3522">
        <f t="shared" si="0"/>
        <v>29823.801599999999</v>
      </c>
    </row>
    <row r="30" spans="1:15" ht="10.9" customHeight="1" outlineLevel="3">
      <c r="A30" s="3959" t="s">
        <v>904</v>
      </c>
      <c r="B30" s="3959"/>
      <c r="C30" s="3959"/>
      <c r="D30" s="3959"/>
      <c r="E30" s="3518">
        <v>10003196</v>
      </c>
      <c r="F30" s="3960">
        <v>84</v>
      </c>
      <c r="G30" s="3960"/>
      <c r="H30" s="3519" t="s">
        <v>938</v>
      </c>
      <c r="I30" s="3519" t="s">
        <v>948</v>
      </c>
      <c r="J30" s="3520">
        <v>1</v>
      </c>
      <c r="K30" s="3521">
        <v>208704</v>
      </c>
      <c r="L30" s="3522">
        <v>77021.67</v>
      </c>
      <c r="M30" s="3522">
        <v>131682.32999999999</v>
      </c>
      <c r="N30" s="3506">
        <v>14.29</v>
      </c>
      <c r="O30" s="3522">
        <f t="shared" si="0"/>
        <v>29823.801599999999</v>
      </c>
    </row>
    <row r="31" spans="1:15" ht="10.9" customHeight="1" outlineLevel="3">
      <c r="A31" s="3959" t="s">
        <v>761</v>
      </c>
      <c r="B31" s="3959"/>
      <c r="C31" s="3959"/>
      <c r="D31" s="3959"/>
      <c r="E31" s="3518">
        <v>10003136</v>
      </c>
      <c r="F31" s="3960">
        <v>84</v>
      </c>
      <c r="G31" s="3960"/>
      <c r="H31" s="3519" t="s">
        <v>938</v>
      </c>
      <c r="I31" s="3519" t="s">
        <v>948</v>
      </c>
      <c r="J31" s="3520">
        <v>1</v>
      </c>
      <c r="K31" s="3521">
        <v>147568</v>
      </c>
      <c r="L31" s="3522">
        <v>54459.56</v>
      </c>
      <c r="M31" s="3522">
        <v>93108.44</v>
      </c>
      <c r="N31" s="3506">
        <v>14.29</v>
      </c>
      <c r="O31" s="3522">
        <f t="shared" si="0"/>
        <v>21087.467199999999</v>
      </c>
    </row>
    <row r="32" spans="1:15" ht="10.9" customHeight="1" outlineLevel="2">
      <c r="A32" s="3968">
        <v>2417</v>
      </c>
      <c r="B32" s="3968"/>
      <c r="C32" s="3968"/>
      <c r="D32" s="3968"/>
      <c r="E32" s="3968"/>
      <c r="F32" s="3968"/>
      <c r="G32" s="3968"/>
      <c r="H32" s="3968"/>
      <c r="I32" s="3968"/>
      <c r="J32" s="3515">
        <v>42</v>
      </c>
      <c r="K32" s="3516">
        <v>3659558</v>
      </c>
      <c r="L32" s="3517">
        <v>1350551.27</v>
      </c>
      <c r="M32" s="3517">
        <v>2309006.73</v>
      </c>
      <c r="O32" s="3541">
        <f>SUM(O33:O74)</f>
        <v>522950.83819999982</v>
      </c>
    </row>
    <row r="33" spans="1:15" ht="10.9" customHeight="1" outlineLevel="3">
      <c r="A33" s="3959" t="s">
        <v>834</v>
      </c>
      <c r="B33" s="3959"/>
      <c r="C33" s="3959"/>
      <c r="D33" s="3959"/>
      <c r="E33" s="3518">
        <v>10005469</v>
      </c>
      <c r="F33" s="3960">
        <v>84</v>
      </c>
      <c r="G33" s="3960"/>
      <c r="H33" s="3519" t="s">
        <v>938</v>
      </c>
      <c r="I33" s="3519" t="s">
        <v>948</v>
      </c>
      <c r="J33" s="3520">
        <v>1</v>
      </c>
      <c r="K33" s="3521">
        <v>3497</v>
      </c>
      <c r="L33" s="3522">
        <v>1290.53</v>
      </c>
      <c r="M33" s="3522">
        <v>2206.4699999999998</v>
      </c>
      <c r="N33" s="3506">
        <v>14.29</v>
      </c>
      <c r="O33" s="3522">
        <f>K33*N33%</f>
        <v>499.72129999999999</v>
      </c>
    </row>
    <row r="34" spans="1:15" ht="10.9" customHeight="1" outlineLevel="3">
      <c r="A34" s="3959" t="s">
        <v>834</v>
      </c>
      <c r="B34" s="3959"/>
      <c r="C34" s="3959"/>
      <c r="D34" s="3959"/>
      <c r="E34" s="3518">
        <v>10005486</v>
      </c>
      <c r="F34" s="3960">
        <v>84</v>
      </c>
      <c r="G34" s="3960"/>
      <c r="H34" s="3519" t="s">
        <v>938</v>
      </c>
      <c r="I34" s="3519" t="s">
        <v>948</v>
      </c>
      <c r="J34" s="3520">
        <v>1</v>
      </c>
      <c r="K34" s="3521">
        <v>3497</v>
      </c>
      <c r="L34" s="3522">
        <v>1290.53</v>
      </c>
      <c r="M34" s="3522">
        <v>2206.4699999999998</v>
      </c>
      <c r="N34" s="3506">
        <v>14.29</v>
      </c>
      <c r="O34" s="3522">
        <f t="shared" ref="O34:O76" si="1">K34*N34%</f>
        <v>499.72129999999999</v>
      </c>
    </row>
    <row r="35" spans="1:15" ht="10.9" customHeight="1" outlineLevel="3">
      <c r="A35" s="3959" t="s">
        <v>834</v>
      </c>
      <c r="B35" s="3959"/>
      <c r="C35" s="3959"/>
      <c r="D35" s="3959"/>
      <c r="E35" s="3518">
        <v>10005521</v>
      </c>
      <c r="F35" s="3960">
        <v>84</v>
      </c>
      <c r="G35" s="3960"/>
      <c r="H35" s="3519" t="s">
        <v>938</v>
      </c>
      <c r="I35" s="3519" t="s">
        <v>948</v>
      </c>
      <c r="J35" s="3520">
        <v>1</v>
      </c>
      <c r="K35" s="3521">
        <v>3497</v>
      </c>
      <c r="L35" s="3522">
        <v>1290.53</v>
      </c>
      <c r="M35" s="3522">
        <v>2206.4699999999998</v>
      </c>
      <c r="N35" s="3506">
        <v>14.29</v>
      </c>
      <c r="O35" s="3522">
        <f t="shared" si="1"/>
        <v>499.72129999999999</v>
      </c>
    </row>
    <row r="36" spans="1:15" ht="10.9" customHeight="1" outlineLevel="3">
      <c r="A36" s="3959" t="s">
        <v>834</v>
      </c>
      <c r="B36" s="3959"/>
      <c r="C36" s="3959"/>
      <c r="D36" s="3959"/>
      <c r="E36" s="3518">
        <v>10005541</v>
      </c>
      <c r="F36" s="3960">
        <v>84</v>
      </c>
      <c r="G36" s="3960"/>
      <c r="H36" s="3519" t="s">
        <v>938</v>
      </c>
      <c r="I36" s="3519" t="s">
        <v>948</v>
      </c>
      <c r="J36" s="3520">
        <v>1</v>
      </c>
      <c r="K36" s="3521">
        <v>3498</v>
      </c>
      <c r="L36" s="3522">
        <v>1290.8399999999999</v>
      </c>
      <c r="M36" s="3522">
        <v>2207.16</v>
      </c>
      <c r="N36" s="3506">
        <v>14.29</v>
      </c>
      <c r="O36" s="3522">
        <f t="shared" si="1"/>
        <v>499.86419999999998</v>
      </c>
    </row>
    <row r="37" spans="1:15" ht="10.9" customHeight="1" outlineLevel="3">
      <c r="A37" s="3959" t="s">
        <v>837</v>
      </c>
      <c r="B37" s="3959"/>
      <c r="C37" s="3959"/>
      <c r="D37" s="3959"/>
      <c r="E37" s="3518">
        <v>10005316</v>
      </c>
      <c r="F37" s="3960">
        <v>84</v>
      </c>
      <c r="G37" s="3960"/>
      <c r="H37" s="3519" t="s">
        <v>938</v>
      </c>
      <c r="I37" s="3519" t="s">
        <v>948</v>
      </c>
      <c r="J37" s="3520">
        <v>1</v>
      </c>
      <c r="K37" s="3521">
        <v>3498</v>
      </c>
      <c r="L37" s="3522">
        <v>1290.8399999999999</v>
      </c>
      <c r="M37" s="3522">
        <v>2207.16</v>
      </c>
      <c r="N37" s="3506">
        <v>14.29</v>
      </c>
      <c r="O37" s="3522">
        <f t="shared" si="1"/>
        <v>499.86419999999998</v>
      </c>
    </row>
    <row r="38" spans="1:15" ht="10.9" customHeight="1" outlineLevel="3">
      <c r="A38" s="3959" t="s">
        <v>837</v>
      </c>
      <c r="B38" s="3959"/>
      <c r="C38" s="3959"/>
      <c r="D38" s="3959"/>
      <c r="E38" s="3518">
        <v>10005324</v>
      </c>
      <c r="F38" s="3960">
        <v>84</v>
      </c>
      <c r="G38" s="3960"/>
      <c r="H38" s="3519" t="s">
        <v>938</v>
      </c>
      <c r="I38" s="3519" t="s">
        <v>948</v>
      </c>
      <c r="J38" s="3520">
        <v>1</v>
      </c>
      <c r="K38" s="3521">
        <v>3498</v>
      </c>
      <c r="L38" s="3522">
        <v>1290.8399999999999</v>
      </c>
      <c r="M38" s="3522">
        <v>2207.16</v>
      </c>
      <c r="N38" s="3506">
        <v>14.29</v>
      </c>
      <c r="O38" s="3522">
        <f t="shared" si="1"/>
        <v>499.86419999999998</v>
      </c>
    </row>
    <row r="39" spans="1:15" ht="10.9" customHeight="1" outlineLevel="3">
      <c r="A39" s="3959" t="s">
        <v>837</v>
      </c>
      <c r="B39" s="3959"/>
      <c r="C39" s="3959"/>
      <c r="D39" s="3959"/>
      <c r="E39" s="3518">
        <v>10005328</v>
      </c>
      <c r="F39" s="3960">
        <v>84</v>
      </c>
      <c r="G39" s="3960"/>
      <c r="H39" s="3519" t="s">
        <v>938</v>
      </c>
      <c r="I39" s="3519" t="s">
        <v>948</v>
      </c>
      <c r="J39" s="3520">
        <v>1</v>
      </c>
      <c r="K39" s="3521">
        <v>3498</v>
      </c>
      <c r="L39" s="3522">
        <v>1290.8399999999999</v>
      </c>
      <c r="M39" s="3522">
        <v>2207.16</v>
      </c>
      <c r="N39" s="3506">
        <v>14.29</v>
      </c>
      <c r="O39" s="3522">
        <f t="shared" si="1"/>
        <v>499.86419999999998</v>
      </c>
    </row>
    <row r="40" spans="1:15" ht="10.9" customHeight="1" outlineLevel="3">
      <c r="A40" s="3959" t="s">
        <v>837</v>
      </c>
      <c r="B40" s="3959"/>
      <c r="C40" s="3959"/>
      <c r="D40" s="3959"/>
      <c r="E40" s="3518">
        <v>10005332</v>
      </c>
      <c r="F40" s="3960">
        <v>84</v>
      </c>
      <c r="G40" s="3960"/>
      <c r="H40" s="3519" t="s">
        <v>938</v>
      </c>
      <c r="I40" s="3519" t="s">
        <v>948</v>
      </c>
      <c r="J40" s="3520">
        <v>1</v>
      </c>
      <c r="K40" s="3521">
        <v>3498</v>
      </c>
      <c r="L40" s="3522">
        <v>1290.8399999999999</v>
      </c>
      <c r="M40" s="3522">
        <v>2207.16</v>
      </c>
      <c r="N40" s="3506">
        <v>14.29</v>
      </c>
      <c r="O40" s="3522">
        <f t="shared" si="1"/>
        <v>499.86419999999998</v>
      </c>
    </row>
    <row r="41" spans="1:15" ht="10.9" customHeight="1" outlineLevel="3">
      <c r="A41" s="3959" t="s">
        <v>837</v>
      </c>
      <c r="B41" s="3959"/>
      <c r="C41" s="3959"/>
      <c r="D41" s="3959"/>
      <c r="E41" s="3518">
        <v>10005339</v>
      </c>
      <c r="F41" s="3960">
        <v>84</v>
      </c>
      <c r="G41" s="3960"/>
      <c r="H41" s="3519" t="s">
        <v>938</v>
      </c>
      <c r="I41" s="3519" t="s">
        <v>948</v>
      </c>
      <c r="J41" s="3520">
        <v>1</v>
      </c>
      <c r="K41" s="3521">
        <v>3498</v>
      </c>
      <c r="L41" s="3522">
        <v>1290.8399999999999</v>
      </c>
      <c r="M41" s="3522">
        <v>2207.16</v>
      </c>
      <c r="N41" s="3506">
        <v>14.29</v>
      </c>
      <c r="O41" s="3522">
        <f t="shared" si="1"/>
        <v>499.86419999999998</v>
      </c>
    </row>
    <row r="42" spans="1:15" ht="10.9" customHeight="1" outlineLevel="3">
      <c r="A42" s="3959" t="s">
        <v>837</v>
      </c>
      <c r="B42" s="3959"/>
      <c r="C42" s="3959"/>
      <c r="D42" s="3959"/>
      <c r="E42" s="3518">
        <v>10005352</v>
      </c>
      <c r="F42" s="3960">
        <v>84</v>
      </c>
      <c r="G42" s="3960"/>
      <c r="H42" s="3519" t="s">
        <v>938</v>
      </c>
      <c r="I42" s="3519" t="s">
        <v>948</v>
      </c>
      <c r="J42" s="3520">
        <v>1</v>
      </c>
      <c r="K42" s="3521">
        <v>3498</v>
      </c>
      <c r="L42" s="3522">
        <v>1290.8399999999999</v>
      </c>
      <c r="M42" s="3522">
        <v>2207.16</v>
      </c>
      <c r="N42" s="3506">
        <v>14.29</v>
      </c>
      <c r="O42" s="3522">
        <f t="shared" si="1"/>
        <v>499.86419999999998</v>
      </c>
    </row>
    <row r="43" spans="1:15" ht="10.9" customHeight="1" outlineLevel="3">
      <c r="A43" s="3959" t="s">
        <v>837</v>
      </c>
      <c r="B43" s="3959"/>
      <c r="C43" s="3959"/>
      <c r="D43" s="3959"/>
      <c r="E43" s="3518">
        <v>10005354</v>
      </c>
      <c r="F43" s="3960">
        <v>84</v>
      </c>
      <c r="G43" s="3960"/>
      <c r="H43" s="3519" t="s">
        <v>938</v>
      </c>
      <c r="I43" s="3519" t="s">
        <v>948</v>
      </c>
      <c r="J43" s="3520">
        <v>1</v>
      </c>
      <c r="K43" s="3521">
        <v>3498</v>
      </c>
      <c r="L43" s="3522">
        <v>1290.8399999999999</v>
      </c>
      <c r="M43" s="3522">
        <v>2207.16</v>
      </c>
      <c r="N43" s="3506">
        <v>14.29</v>
      </c>
      <c r="O43" s="3522">
        <f t="shared" si="1"/>
        <v>499.86419999999998</v>
      </c>
    </row>
    <row r="44" spans="1:15" ht="10.9" customHeight="1" outlineLevel="3">
      <c r="A44" s="3959" t="s">
        <v>837</v>
      </c>
      <c r="B44" s="3959"/>
      <c r="C44" s="3959"/>
      <c r="D44" s="3959"/>
      <c r="E44" s="3518">
        <v>10005364</v>
      </c>
      <c r="F44" s="3960">
        <v>84</v>
      </c>
      <c r="G44" s="3960"/>
      <c r="H44" s="3519" t="s">
        <v>938</v>
      </c>
      <c r="I44" s="3519" t="s">
        <v>948</v>
      </c>
      <c r="J44" s="3520">
        <v>1</v>
      </c>
      <c r="K44" s="3521">
        <v>3498</v>
      </c>
      <c r="L44" s="3522">
        <v>1290.8399999999999</v>
      </c>
      <c r="M44" s="3522">
        <v>2207.16</v>
      </c>
      <c r="N44" s="3506">
        <v>14.29</v>
      </c>
      <c r="O44" s="3522">
        <f t="shared" si="1"/>
        <v>499.86419999999998</v>
      </c>
    </row>
    <row r="45" spans="1:15" ht="10.9" customHeight="1" outlineLevel="3">
      <c r="A45" s="3959" t="s">
        <v>960</v>
      </c>
      <c r="B45" s="3959"/>
      <c r="C45" s="3959"/>
      <c r="D45" s="3959"/>
      <c r="E45" s="3518">
        <v>10006497</v>
      </c>
      <c r="F45" s="3960">
        <v>84</v>
      </c>
      <c r="G45" s="3960"/>
      <c r="H45" s="3519" t="s">
        <v>938</v>
      </c>
      <c r="I45" s="3519" t="s">
        <v>948</v>
      </c>
      <c r="J45" s="3520">
        <v>1</v>
      </c>
      <c r="K45" s="3521">
        <v>295983</v>
      </c>
      <c r="L45" s="3522">
        <v>109231.91</v>
      </c>
      <c r="M45" s="3522">
        <v>186751.09</v>
      </c>
      <c r="N45" s="3506">
        <v>14.29</v>
      </c>
      <c r="O45" s="3522">
        <f t="shared" si="1"/>
        <v>42295.970699999998</v>
      </c>
    </row>
    <row r="46" spans="1:15" ht="10.9" customHeight="1" outlineLevel="3">
      <c r="A46" s="3959" t="s">
        <v>960</v>
      </c>
      <c r="B46" s="3959"/>
      <c r="C46" s="3959"/>
      <c r="D46" s="3959"/>
      <c r="E46" s="3518">
        <v>10006520</v>
      </c>
      <c r="F46" s="3960">
        <v>84</v>
      </c>
      <c r="G46" s="3960"/>
      <c r="H46" s="3519" t="s">
        <v>938</v>
      </c>
      <c r="I46" s="3519" t="s">
        <v>948</v>
      </c>
      <c r="J46" s="3520">
        <v>1</v>
      </c>
      <c r="K46" s="3521">
        <v>295983</v>
      </c>
      <c r="L46" s="3522">
        <v>109231.91</v>
      </c>
      <c r="M46" s="3522">
        <v>186751.09</v>
      </c>
      <c r="N46" s="3506">
        <v>14.29</v>
      </c>
      <c r="O46" s="3522">
        <f t="shared" si="1"/>
        <v>42295.970699999998</v>
      </c>
    </row>
    <row r="47" spans="1:15" ht="10.9" customHeight="1" outlineLevel="3">
      <c r="A47" s="3959" t="s">
        <v>960</v>
      </c>
      <c r="B47" s="3959"/>
      <c r="C47" s="3959"/>
      <c r="D47" s="3959"/>
      <c r="E47" s="3518">
        <v>10006522</v>
      </c>
      <c r="F47" s="3960">
        <v>84</v>
      </c>
      <c r="G47" s="3960"/>
      <c r="H47" s="3519" t="s">
        <v>938</v>
      </c>
      <c r="I47" s="3519" t="s">
        <v>948</v>
      </c>
      <c r="J47" s="3520">
        <v>1</v>
      </c>
      <c r="K47" s="3521">
        <v>295983</v>
      </c>
      <c r="L47" s="3522">
        <v>109231.91</v>
      </c>
      <c r="M47" s="3522">
        <v>186751.09</v>
      </c>
      <c r="N47" s="3506">
        <v>14.29</v>
      </c>
      <c r="O47" s="3522">
        <f t="shared" si="1"/>
        <v>42295.970699999998</v>
      </c>
    </row>
    <row r="48" spans="1:15" ht="10.9" customHeight="1" outlineLevel="3">
      <c r="A48" s="3959" t="s">
        <v>960</v>
      </c>
      <c r="B48" s="3959"/>
      <c r="C48" s="3959"/>
      <c r="D48" s="3959"/>
      <c r="E48" s="3518">
        <v>10006523</v>
      </c>
      <c r="F48" s="3960">
        <v>84</v>
      </c>
      <c r="G48" s="3960"/>
      <c r="H48" s="3519" t="s">
        <v>938</v>
      </c>
      <c r="I48" s="3519" t="s">
        <v>948</v>
      </c>
      <c r="J48" s="3520">
        <v>1</v>
      </c>
      <c r="K48" s="3521">
        <v>295983</v>
      </c>
      <c r="L48" s="3522">
        <v>109231.91</v>
      </c>
      <c r="M48" s="3522">
        <v>186751.09</v>
      </c>
      <c r="N48" s="3506">
        <v>14.29</v>
      </c>
      <c r="O48" s="3522">
        <f t="shared" si="1"/>
        <v>42295.970699999998</v>
      </c>
    </row>
    <row r="49" spans="1:15" ht="10.9" customHeight="1" outlineLevel="3">
      <c r="A49" s="3959" t="s">
        <v>960</v>
      </c>
      <c r="B49" s="3959"/>
      <c r="C49" s="3959"/>
      <c r="D49" s="3959"/>
      <c r="E49" s="3518">
        <v>10006524</v>
      </c>
      <c r="F49" s="3960">
        <v>84</v>
      </c>
      <c r="G49" s="3960"/>
      <c r="H49" s="3519" t="s">
        <v>938</v>
      </c>
      <c r="I49" s="3519" t="s">
        <v>948</v>
      </c>
      <c r="J49" s="3520">
        <v>1</v>
      </c>
      <c r="K49" s="3521">
        <v>295983</v>
      </c>
      <c r="L49" s="3522">
        <v>109231.91</v>
      </c>
      <c r="M49" s="3522">
        <v>186751.09</v>
      </c>
      <c r="N49" s="3506">
        <v>14.29</v>
      </c>
      <c r="O49" s="3522">
        <f t="shared" si="1"/>
        <v>42295.970699999998</v>
      </c>
    </row>
    <row r="50" spans="1:15" ht="10.9" customHeight="1" outlineLevel="3">
      <c r="A50" s="3959" t="s">
        <v>960</v>
      </c>
      <c r="B50" s="3959"/>
      <c r="C50" s="3959"/>
      <c r="D50" s="3959"/>
      <c r="E50" s="3518">
        <v>10006525</v>
      </c>
      <c r="F50" s="3960">
        <v>84</v>
      </c>
      <c r="G50" s="3960"/>
      <c r="H50" s="3519" t="s">
        <v>938</v>
      </c>
      <c r="I50" s="3519" t="s">
        <v>948</v>
      </c>
      <c r="J50" s="3520">
        <v>1</v>
      </c>
      <c r="K50" s="3521">
        <v>295983</v>
      </c>
      <c r="L50" s="3522">
        <v>109231.91</v>
      </c>
      <c r="M50" s="3522">
        <v>186751.09</v>
      </c>
      <c r="N50" s="3506">
        <v>14.29</v>
      </c>
      <c r="O50" s="3522">
        <f t="shared" si="1"/>
        <v>42295.970699999998</v>
      </c>
    </row>
    <row r="51" spans="1:15" ht="10.9" customHeight="1" outlineLevel="3">
      <c r="A51" s="3959" t="s">
        <v>960</v>
      </c>
      <c r="B51" s="3959"/>
      <c r="C51" s="3959"/>
      <c r="D51" s="3959"/>
      <c r="E51" s="3518">
        <v>10006526</v>
      </c>
      <c r="F51" s="3960">
        <v>84</v>
      </c>
      <c r="G51" s="3960"/>
      <c r="H51" s="3519" t="s">
        <v>938</v>
      </c>
      <c r="I51" s="3519" t="s">
        <v>948</v>
      </c>
      <c r="J51" s="3520">
        <v>1</v>
      </c>
      <c r="K51" s="3521">
        <v>295983</v>
      </c>
      <c r="L51" s="3522">
        <v>109231.91</v>
      </c>
      <c r="M51" s="3522">
        <v>186751.09</v>
      </c>
      <c r="N51" s="3506">
        <v>14.29</v>
      </c>
      <c r="O51" s="3522">
        <f t="shared" si="1"/>
        <v>42295.970699999998</v>
      </c>
    </row>
    <row r="52" spans="1:15" ht="10.9" customHeight="1" outlineLevel="3">
      <c r="A52" s="3959" t="s">
        <v>960</v>
      </c>
      <c r="B52" s="3959"/>
      <c r="C52" s="3959"/>
      <c r="D52" s="3959"/>
      <c r="E52" s="3518">
        <v>10006527</v>
      </c>
      <c r="F52" s="3960">
        <v>84</v>
      </c>
      <c r="G52" s="3960"/>
      <c r="H52" s="3519" t="s">
        <v>938</v>
      </c>
      <c r="I52" s="3519" t="s">
        <v>948</v>
      </c>
      <c r="J52" s="3520">
        <v>1</v>
      </c>
      <c r="K52" s="3521">
        <v>295983</v>
      </c>
      <c r="L52" s="3522">
        <v>109231.91</v>
      </c>
      <c r="M52" s="3522">
        <v>186751.09</v>
      </c>
      <c r="N52" s="3506">
        <v>14.29</v>
      </c>
      <c r="O52" s="3522">
        <f t="shared" si="1"/>
        <v>42295.970699999998</v>
      </c>
    </row>
    <row r="53" spans="1:15" ht="10.9" customHeight="1" outlineLevel="3">
      <c r="A53" s="3959" t="s">
        <v>960</v>
      </c>
      <c r="B53" s="3959"/>
      <c r="C53" s="3959"/>
      <c r="D53" s="3959"/>
      <c r="E53" s="3518">
        <v>10006528</v>
      </c>
      <c r="F53" s="3960">
        <v>84</v>
      </c>
      <c r="G53" s="3960"/>
      <c r="H53" s="3519" t="s">
        <v>938</v>
      </c>
      <c r="I53" s="3519" t="s">
        <v>948</v>
      </c>
      <c r="J53" s="3520">
        <v>1</v>
      </c>
      <c r="K53" s="3521">
        <v>295982</v>
      </c>
      <c r="L53" s="3523">
        <v>109231.6</v>
      </c>
      <c r="M53" s="3522">
        <v>186750.4</v>
      </c>
      <c r="N53" s="3506">
        <v>14.29</v>
      </c>
      <c r="O53" s="3522">
        <f t="shared" si="1"/>
        <v>42295.827799999999</v>
      </c>
    </row>
    <row r="54" spans="1:15" ht="10.9" customHeight="1" outlineLevel="3">
      <c r="A54" s="3959" t="s">
        <v>961</v>
      </c>
      <c r="B54" s="3959"/>
      <c r="C54" s="3959"/>
      <c r="D54" s="3959"/>
      <c r="E54" s="3518">
        <v>10007096</v>
      </c>
      <c r="F54" s="3960">
        <v>84</v>
      </c>
      <c r="G54" s="3960"/>
      <c r="H54" s="3519" t="s">
        <v>938</v>
      </c>
      <c r="I54" s="3519" t="s">
        <v>948</v>
      </c>
      <c r="J54" s="3520">
        <v>1</v>
      </c>
      <c r="K54" s="3521">
        <v>32396</v>
      </c>
      <c r="L54" s="3522">
        <v>11955.77</v>
      </c>
      <c r="M54" s="3522">
        <v>20440.23</v>
      </c>
      <c r="N54" s="3506">
        <v>14.29</v>
      </c>
      <c r="O54" s="3522">
        <f t="shared" si="1"/>
        <v>4629.3883999999998</v>
      </c>
    </row>
    <row r="55" spans="1:15" ht="22.15" customHeight="1" outlineLevel="3">
      <c r="A55" s="3959" t="s">
        <v>940</v>
      </c>
      <c r="B55" s="3959"/>
      <c r="C55" s="3959"/>
      <c r="D55" s="3959"/>
      <c r="E55" s="3518">
        <v>10007128</v>
      </c>
      <c r="F55" s="3960">
        <v>84</v>
      </c>
      <c r="G55" s="3960"/>
      <c r="H55" s="3519" t="s">
        <v>938</v>
      </c>
      <c r="I55" s="3519" t="s">
        <v>948</v>
      </c>
      <c r="J55" s="3520">
        <v>1</v>
      </c>
      <c r="K55" s="3521">
        <v>226588</v>
      </c>
      <c r="L55" s="3522">
        <v>83621.88</v>
      </c>
      <c r="M55" s="3522">
        <v>142966.12</v>
      </c>
      <c r="N55" s="3506">
        <v>14.29</v>
      </c>
      <c r="O55" s="3522">
        <f t="shared" si="1"/>
        <v>32379.425200000001</v>
      </c>
    </row>
    <row r="56" spans="1:15" ht="22.15" customHeight="1" outlineLevel="3">
      <c r="A56" s="3959" t="s">
        <v>962</v>
      </c>
      <c r="B56" s="3959"/>
      <c r="C56" s="3959"/>
      <c r="D56" s="3959"/>
      <c r="E56" s="3518">
        <v>10007137</v>
      </c>
      <c r="F56" s="3960">
        <v>84</v>
      </c>
      <c r="G56" s="3960"/>
      <c r="H56" s="3519" t="s">
        <v>938</v>
      </c>
      <c r="I56" s="3519" t="s">
        <v>948</v>
      </c>
      <c r="J56" s="3520">
        <v>1</v>
      </c>
      <c r="K56" s="3521">
        <v>19761</v>
      </c>
      <c r="L56" s="3522">
        <v>7292.75</v>
      </c>
      <c r="M56" s="3522">
        <v>12468.25</v>
      </c>
      <c r="N56" s="3506">
        <v>14.29</v>
      </c>
      <c r="O56" s="3522">
        <f t="shared" si="1"/>
        <v>2823.8469</v>
      </c>
    </row>
    <row r="57" spans="1:15" ht="22.15" customHeight="1" outlineLevel="3">
      <c r="A57" s="3959" t="s">
        <v>962</v>
      </c>
      <c r="B57" s="3959"/>
      <c r="C57" s="3959"/>
      <c r="D57" s="3959"/>
      <c r="E57" s="3518">
        <v>10007138</v>
      </c>
      <c r="F57" s="3960">
        <v>84</v>
      </c>
      <c r="G57" s="3960"/>
      <c r="H57" s="3519" t="s">
        <v>938</v>
      </c>
      <c r="I57" s="3519" t="s">
        <v>948</v>
      </c>
      <c r="J57" s="3520">
        <v>1</v>
      </c>
      <c r="K57" s="3521">
        <v>19761</v>
      </c>
      <c r="L57" s="3522">
        <v>7292.75</v>
      </c>
      <c r="M57" s="3522">
        <v>12468.25</v>
      </c>
      <c r="N57" s="3506">
        <v>14.29</v>
      </c>
      <c r="O57" s="3522">
        <f t="shared" si="1"/>
        <v>2823.8469</v>
      </c>
    </row>
    <row r="58" spans="1:15" ht="22.15" customHeight="1" outlineLevel="3">
      <c r="A58" s="3959" t="s">
        <v>962</v>
      </c>
      <c r="B58" s="3959"/>
      <c r="C58" s="3959"/>
      <c r="D58" s="3959"/>
      <c r="E58" s="3518">
        <v>10007139</v>
      </c>
      <c r="F58" s="3960">
        <v>84</v>
      </c>
      <c r="G58" s="3960"/>
      <c r="H58" s="3519" t="s">
        <v>938</v>
      </c>
      <c r="I58" s="3519" t="s">
        <v>948</v>
      </c>
      <c r="J58" s="3520">
        <v>1</v>
      </c>
      <c r="K58" s="3521">
        <v>19761</v>
      </c>
      <c r="L58" s="3522">
        <v>7292.75</v>
      </c>
      <c r="M58" s="3522">
        <v>12468.25</v>
      </c>
      <c r="N58" s="3506">
        <v>14.29</v>
      </c>
      <c r="O58" s="3522">
        <f t="shared" si="1"/>
        <v>2823.8469</v>
      </c>
    </row>
    <row r="59" spans="1:15" ht="22.15" customHeight="1" outlineLevel="3">
      <c r="A59" s="3959" t="s">
        <v>962</v>
      </c>
      <c r="B59" s="3959"/>
      <c r="C59" s="3959"/>
      <c r="D59" s="3959"/>
      <c r="E59" s="3518">
        <v>10007140</v>
      </c>
      <c r="F59" s="3960">
        <v>84</v>
      </c>
      <c r="G59" s="3960"/>
      <c r="H59" s="3519" t="s">
        <v>938</v>
      </c>
      <c r="I59" s="3519" t="s">
        <v>948</v>
      </c>
      <c r="J59" s="3520">
        <v>1</v>
      </c>
      <c r="K59" s="3521">
        <v>19761</v>
      </c>
      <c r="L59" s="3522">
        <v>7292.75</v>
      </c>
      <c r="M59" s="3522">
        <v>12468.25</v>
      </c>
      <c r="N59" s="3506">
        <v>14.29</v>
      </c>
      <c r="O59" s="3522">
        <f t="shared" si="1"/>
        <v>2823.8469</v>
      </c>
    </row>
    <row r="60" spans="1:15" ht="22.15" customHeight="1" outlineLevel="3">
      <c r="A60" s="3959" t="s">
        <v>962</v>
      </c>
      <c r="B60" s="3959"/>
      <c r="C60" s="3959"/>
      <c r="D60" s="3959"/>
      <c r="E60" s="3518">
        <v>10007141</v>
      </c>
      <c r="F60" s="3960">
        <v>84</v>
      </c>
      <c r="G60" s="3960"/>
      <c r="H60" s="3519" t="s">
        <v>938</v>
      </c>
      <c r="I60" s="3519" t="s">
        <v>948</v>
      </c>
      <c r="J60" s="3520">
        <v>1</v>
      </c>
      <c r="K60" s="3521">
        <v>19762</v>
      </c>
      <c r="L60" s="3522">
        <v>7293.06</v>
      </c>
      <c r="M60" s="3522">
        <v>12468.94</v>
      </c>
      <c r="N60" s="3506">
        <v>14.29</v>
      </c>
      <c r="O60" s="3522">
        <f t="shared" si="1"/>
        <v>2823.9897999999998</v>
      </c>
    </row>
    <row r="61" spans="1:15" ht="22.15" customHeight="1" outlineLevel="3">
      <c r="A61" s="3959" t="s">
        <v>962</v>
      </c>
      <c r="B61" s="3959"/>
      <c r="C61" s="3959"/>
      <c r="D61" s="3959"/>
      <c r="E61" s="3518">
        <v>10007142</v>
      </c>
      <c r="F61" s="3960">
        <v>84</v>
      </c>
      <c r="G61" s="3960"/>
      <c r="H61" s="3519" t="s">
        <v>938</v>
      </c>
      <c r="I61" s="3519" t="s">
        <v>948</v>
      </c>
      <c r="J61" s="3520">
        <v>1</v>
      </c>
      <c r="K61" s="3521">
        <v>19762</v>
      </c>
      <c r="L61" s="3522">
        <v>7293.06</v>
      </c>
      <c r="M61" s="3522">
        <v>12468.94</v>
      </c>
      <c r="N61" s="3506">
        <v>14.29</v>
      </c>
      <c r="O61" s="3522">
        <f t="shared" si="1"/>
        <v>2823.9897999999998</v>
      </c>
    </row>
    <row r="62" spans="1:15" ht="22.15" customHeight="1" outlineLevel="3">
      <c r="A62" s="3959" t="s">
        <v>962</v>
      </c>
      <c r="B62" s="3959"/>
      <c r="C62" s="3959"/>
      <c r="D62" s="3959"/>
      <c r="E62" s="3518">
        <v>10007145</v>
      </c>
      <c r="F62" s="3960">
        <v>84</v>
      </c>
      <c r="G62" s="3960"/>
      <c r="H62" s="3519" t="s">
        <v>938</v>
      </c>
      <c r="I62" s="3519" t="s">
        <v>948</v>
      </c>
      <c r="J62" s="3520">
        <v>1</v>
      </c>
      <c r="K62" s="3521">
        <v>19762</v>
      </c>
      <c r="L62" s="3522">
        <v>7293.06</v>
      </c>
      <c r="M62" s="3522">
        <v>12468.94</v>
      </c>
      <c r="N62" s="3506">
        <v>14.29</v>
      </c>
      <c r="O62" s="3522">
        <f t="shared" si="1"/>
        <v>2823.9897999999998</v>
      </c>
    </row>
    <row r="63" spans="1:15" ht="22.15" customHeight="1" outlineLevel="3">
      <c r="A63" s="3959" t="s">
        <v>962</v>
      </c>
      <c r="B63" s="3959"/>
      <c r="C63" s="3959"/>
      <c r="D63" s="3959"/>
      <c r="E63" s="3518">
        <v>10007146</v>
      </c>
      <c r="F63" s="3960">
        <v>84</v>
      </c>
      <c r="G63" s="3960"/>
      <c r="H63" s="3519" t="s">
        <v>938</v>
      </c>
      <c r="I63" s="3519" t="s">
        <v>948</v>
      </c>
      <c r="J63" s="3520">
        <v>1</v>
      </c>
      <c r="K63" s="3521">
        <v>19762</v>
      </c>
      <c r="L63" s="3522">
        <v>7293.06</v>
      </c>
      <c r="M63" s="3522">
        <v>12468.94</v>
      </c>
      <c r="N63" s="3506">
        <v>14.29</v>
      </c>
      <c r="O63" s="3522">
        <f t="shared" si="1"/>
        <v>2823.9897999999998</v>
      </c>
    </row>
    <row r="64" spans="1:15" ht="22.15" customHeight="1" outlineLevel="3">
      <c r="A64" s="3959" t="s">
        <v>962</v>
      </c>
      <c r="B64" s="3959"/>
      <c r="C64" s="3959"/>
      <c r="D64" s="3959"/>
      <c r="E64" s="3518">
        <v>10007147</v>
      </c>
      <c r="F64" s="3960">
        <v>84</v>
      </c>
      <c r="G64" s="3960"/>
      <c r="H64" s="3519" t="s">
        <v>938</v>
      </c>
      <c r="I64" s="3519" t="s">
        <v>948</v>
      </c>
      <c r="J64" s="3520">
        <v>1</v>
      </c>
      <c r="K64" s="3521">
        <v>19762</v>
      </c>
      <c r="L64" s="3522">
        <v>7293.06</v>
      </c>
      <c r="M64" s="3522">
        <v>12468.94</v>
      </c>
      <c r="N64" s="3506">
        <v>14.29</v>
      </c>
      <c r="O64" s="3522">
        <f t="shared" si="1"/>
        <v>2823.9897999999998</v>
      </c>
    </row>
    <row r="65" spans="1:15" ht="10.9" customHeight="1" outlineLevel="3">
      <c r="A65" s="3959" t="s">
        <v>963</v>
      </c>
      <c r="B65" s="3959"/>
      <c r="C65" s="3959"/>
      <c r="D65" s="3959"/>
      <c r="E65" s="3518">
        <v>10007282</v>
      </c>
      <c r="F65" s="3960">
        <v>84</v>
      </c>
      <c r="G65" s="3960"/>
      <c r="H65" s="3519" t="s">
        <v>938</v>
      </c>
      <c r="I65" s="3519" t="s">
        <v>948</v>
      </c>
      <c r="J65" s="3520">
        <v>1</v>
      </c>
      <c r="K65" s="3521">
        <v>68539</v>
      </c>
      <c r="L65" s="3522">
        <v>25294.14</v>
      </c>
      <c r="M65" s="3522">
        <v>43244.86</v>
      </c>
      <c r="N65" s="3506">
        <v>14.29</v>
      </c>
      <c r="O65" s="3522">
        <f t="shared" si="1"/>
        <v>9794.2230999999992</v>
      </c>
    </row>
    <row r="66" spans="1:15" ht="10.9" customHeight="1" outlineLevel="3">
      <c r="A66" s="3959" t="s">
        <v>964</v>
      </c>
      <c r="B66" s="3959"/>
      <c r="C66" s="3959"/>
      <c r="D66" s="3959"/>
      <c r="E66" s="3518">
        <v>10003331</v>
      </c>
      <c r="F66" s="3960">
        <v>84</v>
      </c>
      <c r="G66" s="3960"/>
      <c r="H66" s="3519" t="s">
        <v>938</v>
      </c>
      <c r="I66" s="3519" t="s">
        <v>948</v>
      </c>
      <c r="J66" s="3520">
        <v>1</v>
      </c>
      <c r="K66" s="3521">
        <v>62209</v>
      </c>
      <c r="L66" s="3522">
        <v>22957.98</v>
      </c>
      <c r="M66" s="3522">
        <v>39251.019999999997</v>
      </c>
      <c r="N66" s="3506">
        <v>14.29</v>
      </c>
      <c r="O66" s="3522">
        <f t="shared" si="1"/>
        <v>8889.6661000000004</v>
      </c>
    </row>
    <row r="67" spans="1:15" ht="10.9" customHeight="1" outlineLevel="3">
      <c r="A67" s="3959" t="s">
        <v>964</v>
      </c>
      <c r="B67" s="3959"/>
      <c r="C67" s="3959"/>
      <c r="D67" s="3959"/>
      <c r="E67" s="3518">
        <v>10003332</v>
      </c>
      <c r="F67" s="3960">
        <v>84</v>
      </c>
      <c r="G67" s="3960"/>
      <c r="H67" s="3519" t="s">
        <v>938</v>
      </c>
      <c r="I67" s="3519" t="s">
        <v>948</v>
      </c>
      <c r="J67" s="3520">
        <v>1</v>
      </c>
      <c r="K67" s="3521">
        <v>62210</v>
      </c>
      <c r="L67" s="3523">
        <v>22958.6</v>
      </c>
      <c r="M67" s="3522">
        <v>39251.4</v>
      </c>
      <c r="N67" s="3506">
        <v>14.29</v>
      </c>
      <c r="O67" s="3522">
        <f t="shared" si="1"/>
        <v>8889.8089999999993</v>
      </c>
    </row>
    <row r="68" spans="1:15" ht="10.9" customHeight="1" outlineLevel="3">
      <c r="A68" s="3959" t="s">
        <v>965</v>
      </c>
      <c r="B68" s="3959"/>
      <c r="C68" s="3959"/>
      <c r="D68" s="3959"/>
      <c r="E68" s="3518">
        <v>10003340</v>
      </c>
      <c r="F68" s="3960">
        <v>84</v>
      </c>
      <c r="G68" s="3960"/>
      <c r="H68" s="3519" t="s">
        <v>938</v>
      </c>
      <c r="I68" s="3519" t="s">
        <v>948</v>
      </c>
      <c r="J68" s="3520">
        <v>1</v>
      </c>
      <c r="K68" s="3521">
        <v>62209</v>
      </c>
      <c r="L68" s="3522">
        <v>22957.98</v>
      </c>
      <c r="M68" s="3522">
        <v>39251.019999999997</v>
      </c>
      <c r="N68" s="3506">
        <v>14.29</v>
      </c>
      <c r="O68" s="3522">
        <f t="shared" si="1"/>
        <v>8889.6661000000004</v>
      </c>
    </row>
    <row r="69" spans="1:15" ht="10.9" customHeight="1" outlineLevel="3">
      <c r="A69" s="3959" t="s">
        <v>965</v>
      </c>
      <c r="B69" s="3959"/>
      <c r="C69" s="3959"/>
      <c r="D69" s="3959"/>
      <c r="E69" s="3518">
        <v>10003341</v>
      </c>
      <c r="F69" s="3960">
        <v>84</v>
      </c>
      <c r="G69" s="3960"/>
      <c r="H69" s="3519" t="s">
        <v>938</v>
      </c>
      <c r="I69" s="3519" t="s">
        <v>948</v>
      </c>
      <c r="J69" s="3520">
        <v>1</v>
      </c>
      <c r="K69" s="3521">
        <v>62210</v>
      </c>
      <c r="L69" s="3523">
        <v>22958.6</v>
      </c>
      <c r="M69" s="3522">
        <v>39251.4</v>
      </c>
      <c r="N69" s="3506">
        <v>14.29</v>
      </c>
      <c r="O69" s="3522">
        <f t="shared" si="1"/>
        <v>8889.8089999999993</v>
      </c>
    </row>
    <row r="70" spans="1:15" ht="10.9" customHeight="1" outlineLevel="3">
      <c r="A70" s="3959" t="s">
        <v>895</v>
      </c>
      <c r="B70" s="3959"/>
      <c r="C70" s="3959"/>
      <c r="D70" s="3959"/>
      <c r="E70" s="3518">
        <v>10003338</v>
      </c>
      <c r="F70" s="3960">
        <v>84</v>
      </c>
      <c r="G70" s="3960"/>
      <c r="H70" s="3519" t="s">
        <v>938</v>
      </c>
      <c r="I70" s="3519" t="s">
        <v>948</v>
      </c>
      <c r="J70" s="3520">
        <v>1</v>
      </c>
      <c r="K70" s="3521">
        <v>39531</v>
      </c>
      <c r="L70" s="3522">
        <v>14588.91</v>
      </c>
      <c r="M70" s="3522">
        <v>24942.09</v>
      </c>
      <c r="N70" s="3506">
        <v>14.29</v>
      </c>
      <c r="O70" s="3522">
        <f t="shared" si="1"/>
        <v>5648.9799000000003</v>
      </c>
    </row>
    <row r="71" spans="1:15" ht="10.9" customHeight="1" outlineLevel="3">
      <c r="A71" s="3959" t="s">
        <v>895</v>
      </c>
      <c r="B71" s="3959"/>
      <c r="C71" s="3959"/>
      <c r="D71" s="3959"/>
      <c r="E71" s="3518">
        <v>10003339</v>
      </c>
      <c r="F71" s="3960">
        <v>84</v>
      </c>
      <c r="G71" s="3960"/>
      <c r="H71" s="3519" t="s">
        <v>938</v>
      </c>
      <c r="I71" s="3519" t="s">
        <v>948</v>
      </c>
      <c r="J71" s="3520">
        <v>1</v>
      </c>
      <c r="K71" s="3521">
        <v>39532</v>
      </c>
      <c r="L71" s="3522">
        <v>14589.22</v>
      </c>
      <c r="M71" s="3522">
        <v>24942.78</v>
      </c>
      <c r="N71" s="3506">
        <v>14.29</v>
      </c>
      <c r="O71" s="3522">
        <f t="shared" si="1"/>
        <v>5649.1228000000001</v>
      </c>
    </row>
    <row r="72" spans="1:15" ht="10.9" customHeight="1" outlineLevel="3">
      <c r="A72" s="3959" t="s">
        <v>828</v>
      </c>
      <c r="B72" s="3959"/>
      <c r="C72" s="3959"/>
      <c r="D72" s="3959"/>
      <c r="E72" s="3518">
        <v>10005273</v>
      </c>
      <c r="F72" s="3960">
        <v>84</v>
      </c>
      <c r="G72" s="3960"/>
      <c r="H72" s="3519" t="s">
        <v>938</v>
      </c>
      <c r="I72" s="3519" t="s">
        <v>948</v>
      </c>
      <c r="J72" s="3520">
        <v>1</v>
      </c>
      <c r="K72" s="3521">
        <v>48766</v>
      </c>
      <c r="L72" s="3522">
        <v>17997.05</v>
      </c>
      <c r="M72" s="3522">
        <v>30768.95</v>
      </c>
      <c r="N72" s="3506">
        <v>14.29</v>
      </c>
      <c r="O72" s="3522">
        <f t="shared" si="1"/>
        <v>6968.6614</v>
      </c>
    </row>
    <row r="73" spans="1:15" ht="10.9" customHeight="1" outlineLevel="3">
      <c r="A73" s="3959" t="s">
        <v>828</v>
      </c>
      <c r="B73" s="3959"/>
      <c r="C73" s="3959"/>
      <c r="D73" s="3959"/>
      <c r="E73" s="3518">
        <v>10005275</v>
      </c>
      <c r="F73" s="3960">
        <v>84</v>
      </c>
      <c r="G73" s="3960"/>
      <c r="H73" s="3519" t="s">
        <v>938</v>
      </c>
      <c r="I73" s="3519" t="s">
        <v>948</v>
      </c>
      <c r="J73" s="3520">
        <v>1</v>
      </c>
      <c r="K73" s="3521">
        <v>48767</v>
      </c>
      <c r="L73" s="3522">
        <v>17997.36</v>
      </c>
      <c r="M73" s="3522">
        <v>30769.64</v>
      </c>
      <c r="N73" s="3506">
        <v>14.29</v>
      </c>
      <c r="O73" s="3522">
        <f t="shared" si="1"/>
        <v>6968.8042999999998</v>
      </c>
    </row>
    <row r="74" spans="1:15" ht="10.9" customHeight="1" outlineLevel="3">
      <c r="A74" s="3959" t="s">
        <v>803</v>
      </c>
      <c r="B74" s="3959"/>
      <c r="C74" s="3959"/>
      <c r="D74" s="3959"/>
      <c r="E74" s="3518">
        <v>10003296</v>
      </c>
      <c r="F74" s="3960">
        <v>84</v>
      </c>
      <c r="G74" s="3960"/>
      <c r="H74" s="3519" t="s">
        <v>938</v>
      </c>
      <c r="I74" s="3519" t="s">
        <v>948</v>
      </c>
      <c r="J74" s="3520">
        <v>1</v>
      </c>
      <c r="K74" s="3521">
        <v>22928</v>
      </c>
      <c r="L74" s="3522">
        <v>8461.4500000000007</v>
      </c>
      <c r="M74" s="3522">
        <v>14466.55</v>
      </c>
      <c r="N74" s="3506">
        <v>14.29</v>
      </c>
      <c r="O74" s="3522">
        <f t="shared" si="1"/>
        <v>3276.4112</v>
      </c>
    </row>
    <row r="75" spans="1:15" ht="23.25" customHeight="1" outlineLevel="2">
      <c r="A75" s="3968">
        <v>2418</v>
      </c>
      <c r="B75" s="3968"/>
      <c r="C75" s="3968"/>
      <c r="D75" s="3968"/>
      <c r="E75" s="3968"/>
      <c r="F75" s="3968"/>
      <c r="G75" s="3968"/>
      <c r="H75" s="3968"/>
      <c r="I75" s="3968"/>
      <c r="J75" s="3515">
        <v>1</v>
      </c>
      <c r="K75" s="3516">
        <v>20059</v>
      </c>
      <c r="L75" s="3517">
        <v>10363.92</v>
      </c>
      <c r="M75" s="3517">
        <v>9695.08</v>
      </c>
      <c r="O75" s="3541">
        <f>O76</f>
        <v>4011.8</v>
      </c>
    </row>
    <row r="76" spans="1:15" ht="24" customHeight="1" outlineLevel="3">
      <c r="A76" s="3959" t="s">
        <v>966</v>
      </c>
      <c r="B76" s="3959"/>
      <c r="C76" s="3959"/>
      <c r="D76" s="3959"/>
      <c r="E76" s="3518">
        <v>10007731</v>
      </c>
      <c r="F76" s="3960">
        <v>60</v>
      </c>
      <c r="G76" s="3960"/>
      <c r="H76" s="3519" t="s">
        <v>938</v>
      </c>
      <c r="I76" s="3519" t="s">
        <v>948</v>
      </c>
      <c r="J76" s="3520">
        <v>1</v>
      </c>
      <c r="K76" s="3521">
        <v>20059</v>
      </c>
      <c r="L76" s="3522">
        <v>10363.92</v>
      </c>
      <c r="M76" s="3522">
        <v>9695.08</v>
      </c>
      <c r="N76" s="3506">
        <v>20</v>
      </c>
      <c r="O76" s="3522">
        <f t="shared" si="1"/>
        <v>4011.8</v>
      </c>
    </row>
    <row r="77" spans="1:15" ht="13.15" customHeight="1">
      <c r="A77" s="3965" t="s">
        <v>20</v>
      </c>
      <c r="B77" s="3965"/>
      <c r="C77" s="3965"/>
      <c r="D77" s="3965"/>
      <c r="E77" s="3965"/>
      <c r="F77" s="3965"/>
      <c r="G77" s="3965"/>
      <c r="H77" s="3965"/>
      <c r="I77" s="3965"/>
      <c r="J77" s="3524">
        <v>60</v>
      </c>
      <c r="K77" s="3525">
        <v>8441861</v>
      </c>
      <c r="L77" s="3526">
        <v>3142552.15</v>
      </c>
      <c r="M77" s="3526">
        <v>5299308.8499999996</v>
      </c>
    </row>
  </sheetData>
  <mergeCells count="138">
    <mergeCell ref="N8:N11"/>
    <mergeCell ref="A74:D74"/>
    <mergeCell ref="F74:G74"/>
    <mergeCell ref="A75:I75"/>
    <mergeCell ref="A76:D76"/>
    <mergeCell ref="F76:G76"/>
    <mergeCell ref="A77:I77"/>
    <mergeCell ref="A71:D71"/>
    <mergeCell ref="F71:G71"/>
    <mergeCell ref="A72:D72"/>
    <mergeCell ref="F72:G72"/>
    <mergeCell ref="A73:D73"/>
    <mergeCell ref="F73:G73"/>
    <mergeCell ref="A68:D68"/>
    <mergeCell ref="F68:G68"/>
    <mergeCell ref="A69:D69"/>
    <mergeCell ref="F69:G69"/>
    <mergeCell ref="A70:D70"/>
    <mergeCell ref="F70:G70"/>
    <mergeCell ref="A65:D65"/>
    <mergeCell ref="F65:G65"/>
    <mergeCell ref="A66:D66"/>
    <mergeCell ref="F66:G66"/>
    <mergeCell ref="A67:D67"/>
    <mergeCell ref="F67:G67"/>
    <mergeCell ref="A62:D62"/>
    <mergeCell ref="F62:G62"/>
    <mergeCell ref="A63:D63"/>
    <mergeCell ref="F63:G63"/>
    <mergeCell ref="A64:D64"/>
    <mergeCell ref="F64:G64"/>
    <mergeCell ref="A59:D59"/>
    <mergeCell ref="F59:G59"/>
    <mergeCell ref="A60:D60"/>
    <mergeCell ref="F60:G60"/>
    <mergeCell ref="A61:D61"/>
    <mergeCell ref="F61:G61"/>
    <mergeCell ref="A56:D56"/>
    <mergeCell ref="F56:G56"/>
    <mergeCell ref="A57:D57"/>
    <mergeCell ref="F57:G57"/>
    <mergeCell ref="A58:D58"/>
    <mergeCell ref="F58:G58"/>
    <mergeCell ref="A53:D53"/>
    <mergeCell ref="F53:G53"/>
    <mergeCell ref="A54:D54"/>
    <mergeCell ref="F54:G54"/>
    <mergeCell ref="A55:D55"/>
    <mergeCell ref="F55:G55"/>
    <mergeCell ref="A50:D50"/>
    <mergeCell ref="F50:G50"/>
    <mergeCell ref="A51:D51"/>
    <mergeCell ref="F51:G51"/>
    <mergeCell ref="A52:D52"/>
    <mergeCell ref="F52:G52"/>
    <mergeCell ref="A47:D47"/>
    <mergeCell ref="F47:G47"/>
    <mergeCell ref="A48:D48"/>
    <mergeCell ref="F48:G48"/>
    <mergeCell ref="A49:D49"/>
    <mergeCell ref="F49:G49"/>
    <mergeCell ref="A44:D44"/>
    <mergeCell ref="F44:G44"/>
    <mergeCell ref="A45:D45"/>
    <mergeCell ref="F45:G45"/>
    <mergeCell ref="A46:D46"/>
    <mergeCell ref="F46:G46"/>
    <mergeCell ref="A41:D41"/>
    <mergeCell ref="F41:G41"/>
    <mergeCell ref="A42:D42"/>
    <mergeCell ref="F42:G42"/>
    <mergeCell ref="A43:D43"/>
    <mergeCell ref="F43:G43"/>
    <mergeCell ref="A38:D38"/>
    <mergeCell ref="F38:G38"/>
    <mergeCell ref="A39:D39"/>
    <mergeCell ref="F39:G39"/>
    <mergeCell ref="A40:D40"/>
    <mergeCell ref="F40:G40"/>
    <mergeCell ref="A35:D35"/>
    <mergeCell ref="F35:G35"/>
    <mergeCell ref="A36:D36"/>
    <mergeCell ref="F36:G36"/>
    <mergeCell ref="A37:D37"/>
    <mergeCell ref="F37:G37"/>
    <mergeCell ref="A31:D31"/>
    <mergeCell ref="F31:G31"/>
    <mergeCell ref="A32:I32"/>
    <mergeCell ref="A33:D33"/>
    <mergeCell ref="F33:G33"/>
    <mergeCell ref="A34:D34"/>
    <mergeCell ref="F34:G34"/>
    <mergeCell ref="A28:D28"/>
    <mergeCell ref="F28:G28"/>
    <mergeCell ref="A29:D29"/>
    <mergeCell ref="F29:G29"/>
    <mergeCell ref="A30:D30"/>
    <mergeCell ref="F30:G30"/>
    <mergeCell ref="A25:D25"/>
    <mergeCell ref="F25:G25"/>
    <mergeCell ref="A26:D26"/>
    <mergeCell ref="F26:G26"/>
    <mergeCell ref="A27:D27"/>
    <mergeCell ref="F27:G27"/>
    <mergeCell ref="A22:D22"/>
    <mergeCell ref="F22:G22"/>
    <mergeCell ref="A23:D23"/>
    <mergeCell ref="F23:G23"/>
    <mergeCell ref="A24:D24"/>
    <mergeCell ref="F24:G24"/>
    <mergeCell ref="A19:D19"/>
    <mergeCell ref="F19:G19"/>
    <mergeCell ref="A20:D20"/>
    <mergeCell ref="F20:G20"/>
    <mergeCell ref="A21:D21"/>
    <mergeCell ref="F21:G21"/>
    <mergeCell ref="A16:D16"/>
    <mergeCell ref="F16:G16"/>
    <mergeCell ref="A17:D17"/>
    <mergeCell ref="F17:G17"/>
    <mergeCell ref="A18:D18"/>
    <mergeCell ref="F18:G18"/>
    <mergeCell ref="F11:G11"/>
    <mergeCell ref="A12:I12"/>
    <mergeCell ref="A13:I13"/>
    <mergeCell ref="A14:I14"/>
    <mergeCell ref="A15:D15"/>
    <mergeCell ref="F15:G15"/>
    <mergeCell ref="A2:H2"/>
    <mergeCell ref="B6:M6"/>
    <mergeCell ref="A8:I8"/>
    <mergeCell ref="J8:J11"/>
    <mergeCell ref="K8:K11"/>
    <mergeCell ref="L8:L11"/>
    <mergeCell ref="M8:M11"/>
    <mergeCell ref="A9:I9"/>
    <mergeCell ref="A10:I10"/>
    <mergeCell ref="A11:D11"/>
  </mergeCells>
  <pageMargins left="0.23622047244094491" right="0.23622047244094491" top="0.74803149606299213" bottom="0.74803149606299213" header="0.31496062992125984" footer="0.31496062992125984"/>
  <pageSetup paperSize="9" scale="8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92D050"/>
    <pageSetUpPr fitToPage="1"/>
  </sheetPr>
  <dimension ref="A1:IQ32"/>
  <sheetViews>
    <sheetView workbookViewId="0">
      <pane ySplit="9" topLeftCell="A10" activePane="bottomLeft" state="frozen"/>
      <selection activeCell="U22" sqref="U22"/>
      <selection pane="bottomLeft" activeCell="F13" sqref="F13"/>
    </sheetView>
  </sheetViews>
  <sheetFormatPr defaultColWidth="11.5703125" defaultRowHeight="15"/>
  <cols>
    <col min="1" max="1" width="4.42578125" style="1923" customWidth="1"/>
    <col min="2" max="2" width="29.28515625" style="1923" customWidth="1"/>
    <col min="3" max="3" width="24.28515625" style="1923" hidden="1" customWidth="1"/>
    <col min="4" max="4" width="9.7109375" style="1923" customWidth="1"/>
    <col min="5" max="5" width="10.28515625" style="1923" customWidth="1"/>
    <col min="6" max="6" width="16" style="1923" bestFit="1" customWidth="1"/>
    <col min="7" max="7" width="10.140625" style="1923" customWidth="1"/>
    <col min="8" max="8" width="19.42578125" style="1923" bestFit="1" customWidth="1"/>
    <col min="9" max="9" width="10.140625" style="1923" hidden="1" customWidth="1"/>
    <col min="10" max="10" width="11.7109375" style="1923" hidden="1" customWidth="1"/>
    <col min="11" max="11" width="8.140625" style="1923" hidden="1" customWidth="1"/>
    <col min="12" max="12" width="9" style="1923" hidden="1" customWidth="1"/>
    <col min="13" max="13" width="15.42578125" style="1923" hidden="1" customWidth="1"/>
    <col min="14" max="14" width="17.140625" style="1923" bestFit="1" customWidth="1"/>
    <col min="15" max="15" width="16.140625" style="1923" bestFit="1" customWidth="1"/>
    <col min="16" max="16" width="16.5703125" style="1923" bestFit="1" customWidth="1"/>
    <col min="17" max="17" width="17.140625" style="1923" bestFit="1" customWidth="1"/>
    <col min="18" max="20" width="16" style="1923" bestFit="1" customWidth="1"/>
    <col min="21" max="21" width="15.42578125" style="1923" bestFit="1" customWidth="1"/>
    <col min="22" max="22" width="13.85546875" style="1923" customWidth="1"/>
    <col min="23" max="244" width="9.140625" style="1923" customWidth="1"/>
    <col min="245" max="245" width="3.7109375" style="1923" customWidth="1"/>
    <col min="246" max="246" width="26.7109375" style="1923" customWidth="1"/>
    <col min="247" max="247" width="19.140625" style="1923" customWidth="1"/>
    <col min="248" max="248" width="7.42578125" style="1923" customWidth="1"/>
    <col min="249" max="249" width="11.85546875" style="1923" customWidth="1"/>
    <col min="250" max="250" width="12.5703125" style="1923" customWidth="1"/>
    <col min="251" max="16384" width="11.5703125" style="1923"/>
  </cols>
  <sheetData>
    <row r="1" spans="1:251" s="2712" customFormat="1" ht="15.75">
      <c r="T1" s="2910" t="s">
        <v>267</v>
      </c>
      <c r="U1" s="2911" t="s">
        <v>268</v>
      </c>
    </row>
    <row r="2" spans="1:251" s="2714" customFormat="1" ht="15.75">
      <c r="B2" s="2912" t="s">
        <v>499</v>
      </c>
      <c r="C2" s="2913"/>
      <c r="D2" s="2913"/>
      <c r="E2" s="2913"/>
      <c r="F2" s="2913"/>
      <c r="G2" s="2913"/>
      <c r="K2" s="2914"/>
      <c r="L2" s="2914"/>
      <c r="M2" s="2914"/>
      <c r="N2" s="2913"/>
    </row>
    <row r="3" spans="1:251" s="2712" customFormat="1">
      <c r="K3" s="2909"/>
      <c r="L3" s="2909"/>
      <c r="M3" s="2909"/>
      <c r="T3" s="2712">
        <v>22859</v>
      </c>
    </row>
    <row r="4" spans="1:251" s="2714" customFormat="1" ht="15.75">
      <c r="B4" s="2915" t="s">
        <v>967</v>
      </c>
      <c r="N4" s="2916"/>
      <c r="R4" s="2914" t="s">
        <v>501</v>
      </c>
      <c r="S4" s="2905">
        <v>1852</v>
      </c>
      <c r="T4" s="2714" t="s">
        <v>502</v>
      </c>
    </row>
    <row r="5" spans="1:251" s="2712" customFormat="1" ht="15.75">
      <c r="A5" s="2917"/>
      <c r="B5" s="2918" t="s">
        <v>968</v>
      </c>
      <c r="N5" s="2919"/>
      <c r="R5" s="2909" t="s">
        <v>504</v>
      </c>
      <c r="S5" s="2905">
        <f>17439*1.1</f>
        <v>19182.900000000001</v>
      </c>
      <c r="T5" s="2714" t="s">
        <v>505</v>
      </c>
    </row>
    <row r="6" spans="1:251" s="2712" customFormat="1">
      <c r="A6" s="2906"/>
      <c r="B6" s="2906"/>
      <c r="C6" s="2906"/>
      <c r="D6" s="2906"/>
      <c r="E6" s="2906">
        <f>12*K9</f>
        <v>0</v>
      </c>
      <c r="F6" s="2907">
        <f>T3*10*12*8</f>
        <v>21944640</v>
      </c>
      <c r="G6" s="2906"/>
      <c r="K6" s="2906">
        <f>E6-(E6*19%)</f>
        <v>0</v>
      </c>
      <c r="O6" s="2908">
        <f>O9*19%</f>
        <v>806360</v>
      </c>
      <c r="R6" s="2909" t="s">
        <v>506</v>
      </c>
      <c r="S6" s="2905">
        <v>19966</v>
      </c>
      <c r="T6" s="2714" t="s">
        <v>502</v>
      </c>
    </row>
    <row r="7" spans="1:251" ht="39.75" customHeight="1">
      <c r="A7" s="3970" t="s">
        <v>34</v>
      </c>
      <c r="B7" s="3970" t="s">
        <v>507</v>
      </c>
      <c r="C7" s="3970" t="s">
        <v>277</v>
      </c>
      <c r="D7" s="3971" t="s">
        <v>508</v>
      </c>
      <c r="E7" s="3973" t="s">
        <v>509</v>
      </c>
      <c r="F7" s="3970" t="s">
        <v>510</v>
      </c>
      <c r="G7" s="3970" t="s">
        <v>511</v>
      </c>
      <c r="H7" s="3971" t="s">
        <v>512</v>
      </c>
      <c r="I7" s="3970" t="s">
        <v>513</v>
      </c>
      <c r="J7" s="3970"/>
      <c r="K7" s="3970" t="s">
        <v>514</v>
      </c>
      <c r="L7" s="3970"/>
      <c r="M7" s="3971" t="s">
        <v>515</v>
      </c>
      <c r="N7" s="3970" t="s">
        <v>516</v>
      </c>
      <c r="O7" s="3975" t="s">
        <v>517</v>
      </c>
      <c r="P7" s="3970" t="s">
        <v>518</v>
      </c>
      <c r="Q7" s="3970" t="s">
        <v>519</v>
      </c>
      <c r="R7" s="3974" t="s">
        <v>313</v>
      </c>
      <c r="S7" s="3974" t="s">
        <v>314</v>
      </c>
      <c r="T7" s="3974" t="s">
        <v>116</v>
      </c>
      <c r="U7" s="3974" t="s">
        <v>315</v>
      </c>
    </row>
    <row r="8" spans="1:251" ht="97.9" customHeight="1">
      <c r="A8" s="3970"/>
      <c r="B8" s="3970"/>
      <c r="C8" s="3970"/>
      <c r="D8" s="3972"/>
      <c r="E8" s="3973"/>
      <c r="F8" s="3970"/>
      <c r="G8" s="3970"/>
      <c r="H8" s="3972"/>
      <c r="I8" s="1939" t="s">
        <v>520</v>
      </c>
      <c r="J8" s="1939" t="s">
        <v>345</v>
      </c>
      <c r="K8" s="1939" t="s">
        <v>520</v>
      </c>
      <c r="L8" s="1939" t="s">
        <v>345</v>
      </c>
      <c r="M8" s="3972"/>
      <c r="N8" s="3970"/>
      <c r="O8" s="3972"/>
      <c r="P8" s="3970"/>
      <c r="Q8" s="3970"/>
      <c r="R8" s="3974"/>
      <c r="S8" s="3974"/>
      <c r="T8" s="3974"/>
      <c r="U8" s="3974"/>
    </row>
    <row r="9" spans="1:251">
      <c r="A9" s="1920"/>
      <c r="B9" s="1920" t="s">
        <v>306</v>
      </c>
      <c r="C9" s="1920"/>
      <c r="D9" s="2033">
        <f>D10+D17</f>
        <v>7</v>
      </c>
      <c r="E9" s="1920"/>
      <c r="F9" s="1920"/>
      <c r="G9" s="1941"/>
      <c r="H9" s="1920">
        <f>H10+H17</f>
        <v>25464000</v>
      </c>
      <c r="I9" s="1920">
        <f t="shared" ref="I9:U9" si="0">I10+I17</f>
        <v>0</v>
      </c>
      <c r="J9" s="1920">
        <f t="shared" si="0"/>
        <v>0</v>
      </c>
      <c r="K9" s="1920">
        <f t="shared" si="0"/>
        <v>0</v>
      </c>
      <c r="L9" s="1920">
        <f t="shared" si="0"/>
        <v>0</v>
      </c>
      <c r="M9" s="1920">
        <f t="shared" si="0"/>
        <v>0</v>
      </c>
      <c r="N9" s="1920">
        <f t="shared" si="0"/>
        <v>25464000</v>
      </c>
      <c r="O9" s="1920">
        <f t="shared" si="0"/>
        <v>4244000</v>
      </c>
      <c r="P9" s="1920">
        <f t="shared" si="0"/>
        <v>8488000</v>
      </c>
      <c r="Q9" s="1920">
        <f>Q10+Q17</f>
        <v>38196000</v>
      </c>
      <c r="R9" s="1920">
        <f t="shared" si="0"/>
        <v>3819600</v>
      </c>
      <c r="S9" s="1920">
        <f t="shared" si="0"/>
        <v>3437640</v>
      </c>
      <c r="T9" s="1920">
        <f t="shared" si="0"/>
        <v>2062584</v>
      </c>
      <c r="U9" s="1920">
        <f t="shared" si="0"/>
        <v>1718820</v>
      </c>
    </row>
    <row r="10" spans="1:251" ht="30">
      <c r="A10" s="1942"/>
      <c r="B10" s="1980" t="s">
        <v>521</v>
      </c>
      <c r="C10" s="1942"/>
      <c r="D10" s="2038">
        <f>SUM(D11:D16)</f>
        <v>5</v>
      </c>
      <c r="E10" s="3805"/>
      <c r="F10" s="1977">
        <f>SUM(F11:F16)</f>
        <v>1582000</v>
      </c>
      <c r="G10" s="1945"/>
      <c r="H10" s="1977">
        <f>SUM(H11:H16)</f>
        <v>18984000</v>
      </c>
      <c r="I10" s="1945"/>
      <c r="J10" s="3805">
        <f>SUM(J11:J16)</f>
        <v>0</v>
      </c>
      <c r="K10" s="1945"/>
      <c r="L10" s="3805">
        <f t="shared" ref="L10:M10" si="1">SUM(L11:L16)</f>
        <v>0</v>
      </c>
      <c r="M10" s="3805">
        <f t="shared" si="1"/>
        <v>0</v>
      </c>
      <c r="N10" s="1977">
        <f>SUM(N11:N16)</f>
        <v>18984000</v>
      </c>
      <c r="O10" s="1977">
        <f>SUM(O11:O16)</f>
        <v>3164000</v>
      </c>
      <c r="P10" s="1977">
        <f>SUM(P11:P16)</f>
        <v>6328000</v>
      </c>
      <c r="Q10" s="1977">
        <f>SUM(Q11:Q16)</f>
        <v>28476000</v>
      </c>
      <c r="R10" s="1977">
        <f t="shared" ref="R10:U10" si="2">SUM(R11:R16)</f>
        <v>2847600</v>
      </c>
      <c r="S10" s="1977">
        <f t="shared" si="2"/>
        <v>2562840</v>
      </c>
      <c r="T10" s="1977">
        <f t="shared" si="2"/>
        <v>1537704</v>
      </c>
      <c r="U10" s="1977">
        <f t="shared" si="2"/>
        <v>1281420</v>
      </c>
      <c r="V10" s="1943"/>
      <c r="W10" s="1943"/>
      <c r="X10" s="1943"/>
      <c r="Y10" s="1943"/>
      <c r="Z10" s="1943"/>
      <c r="AA10" s="1943"/>
      <c r="AB10" s="1943"/>
      <c r="AC10" s="1943"/>
      <c r="AD10" s="1943"/>
      <c r="AE10" s="1943"/>
      <c r="AF10" s="1943"/>
      <c r="AG10" s="1943"/>
      <c r="AH10" s="1943"/>
      <c r="AI10" s="1943"/>
      <c r="AJ10" s="1943"/>
      <c r="AK10" s="1943"/>
      <c r="AL10" s="1943"/>
      <c r="AM10" s="1943"/>
      <c r="AN10" s="1943"/>
      <c r="AO10" s="1943"/>
      <c r="AP10" s="1943"/>
      <c r="AQ10" s="1943"/>
      <c r="AR10" s="1943"/>
      <c r="AS10" s="1943"/>
      <c r="AT10" s="1943"/>
      <c r="AU10" s="1943"/>
      <c r="AV10" s="1943"/>
      <c r="AW10" s="1943"/>
      <c r="AX10" s="1943"/>
      <c r="AY10" s="1943"/>
      <c r="AZ10" s="1943"/>
      <c r="BA10" s="1943"/>
      <c r="BB10" s="1943"/>
      <c r="BC10" s="1943"/>
      <c r="BD10" s="1943"/>
      <c r="BE10" s="1943"/>
      <c r="BF10" s="1943"/>
      <c r="BG10" s="1943"/>
      <c r="BH10" s="1943"/>
      <c r="BI10" s="1943"/>
      <c r="BJ10" s="1943"/>
      <c r="BK10" s="1943"/>
      <c r="BL10" s="1943"/>
      <c r="BM10" s="1943"/>
      <c r="BN10" s="1943"/>
      <c r="BO10" s="1943"/>
      <c r="BP10" s="1943"/>
      <c r="BQ10" s="1943"/>
      <c r="BR10" s="1943"/>
      <c r="BS10" s="1943"/>
      <c r="BT10" s="1943"/>
      <c r="BU10" s="1943"/>
      <c r="BV10" s="1943"/>
      <c r="BW10" s="1943"/>
      <c r="BX10" s="1943"/>
      <c r="BY10" s="1943"/>
      <c r="BZ10" s="1943"/>
      <c r="CA10" s="1943"/>
      <c r="CB10" s="1943"/>
      <c r="CC10" s="1943"/>
      <c r="CD10" s="1943"/>
      <c r="CE10" s="1943"/>
      <c r="CF10" s="1943"/>
      <c r="CG10" s="1943"/>
      <c r="CH10" s="1943"/>
      <c r="CI10" s="1943"/>
      <c r="CJ10" s="1943"/>
      <c r="CK10" s="1943"/>
      <c r="CL10" s="1943"/>
      <c r="CM10" s="1943"/>
      <c r="CN10" s="1943"/>
      <c r="CO10" s="1943"/>
      <c r="CP10" s="1943"/>
      <c r="CQ10" s="1943"/>
      <c r="CR10" s="1943"/>
      <c r="CS10" s="1943"/>
      <c r="CT10" s="1943"/>
      <c r="CU10" s="1943"/>
      <c r="CV10" s="1943"/>
      <c r="CW10" s="1943"/>
      <c r="CX10" s="1943"/>
      <c r="CY10" s="1943"/>
      <c r="CZ10" s="1943"/>
      <c r="DA10" s="1943"/>
      <c r="DB10" s="1943"/>
      <c r="DC10" s="1943"/>
      <c r="DD10" s="1943"/>
      <c r="DE10" s="1943"/>
      <c r="DF10" s="1943"/>
      <c r="DG10" s="1943"/>
      <c r="DH10" s="1943"/>
      <c r="DI10" s="1943"/>
      <c r="DJ10" s="1943"/>
      <c r="DK10" s="1943"/>
      <c r="DL10" s="1943"/>
      <c r="DM10" s="1943"/>
      <c r="DN10" s="1943"/>
      <c r="DO10" s="1943"/>
      <c r="DP10" s="1943"/>
      <c r="DQ10" s="1943"/>
      <c r="DR10" s="1943"/>
      <c r="DS10" s="1943"/>
      <c r="DT10" s="1943"/>
      <c r="DU10" s="1943"/>
      <c r="DV10" s="1943"/>
      <c r="DW10" s="1943"/>
      <c r="DX10" s="1943"/>
      <c r="DY10" s="1943"/>
      <c r="DZ10" s="1943"/>
      <c r="EA10" s="1943"/>
      <c r="EB10" s="1943"/>
      <c r="EC10" s="1943"/>
      <c r="ED10" s="1943"/>
      <c r="EE10" s="1943"/>
      <c r="EF10" s="1943"/>
      <c r="EG10" s="1943"/>
      <c r="EH10" s="1943"/>
      <c r="EI10" s="1943"/>
      <c r="EJ10" s="1943"/>
      <c r="EK10" s="1943"/>
      <c r="EL10" s="1943"/>
      <c r="EM10" s="1943"/>
      <c r="EN10" s="1943"/>
      <c r="EO10" s="1943"/>
      <c r="EP10" s="1943"/>
      <c r="EQ10" s="1943"/>
      <c r="ER10" s="1943"/>
      <c r="ES10" s="1943"/>
      <c r="ET10" s="1943"/>
      <c r="EU10" s="1943"/>
      <c r="EV10" s="1943"/>
      <c r="EW10" s="1943"/>
      <c r="EX10" s="1943"/>
      <c r="EY10" s="1943"/>
      <c r="EZ10" s="1943"/>
      <c r="FA10" s="1943"/>
      <c r="FB10" s="1943"/>
      <c r="FC10" s="1943"/>
      <c r="FD10" s="1943"/>
      <c r="FE10" s="1943"/>
      <c r="FF10" s="1943"/>
      <c r="FG10" s="1943"/>
      <c r="FH10" s="1943"/>
      <c r="FI10" s="1943"/>
      <c r="FJ10" s="1943"/>
      <c r="FK10" s="1943"/>
      <c r="FL10" s="1943"/>
      <c r="FM10" s="1943"/>
      <c r="FN10" s="1943"/>
      <c r="FO10" s="1943"/>
      <c r="FP10" s="1943"/>
      <c r="FQ10" s="1943"/>
      <c r="FR10" s="1943"/>
      <c r="FS10" s="1943"/>
      <c r="FT10" s="1943"/>
      <c r="FU10" s="1943"/>
      <c r="FV10" s="1943"/>
      <c r="FW10" s="1943"/>
      <c r="FX10" s="1943"/>
      <c r="FY10" s="1943"/>
      <c r="FZ10" s="1943"/>
      <c r="GA10" s="1943"/>
      <c r="GB10" s="1943"/>
      <c r="GC10" s="1943"/>
      <c r="GD10" s="1943"/>
      <c r="GE10" s="1943"/>
      <c r="GF10" s="1943"/>
      <c r="GG10" s="1943"/>
      <c r="GH10" s="1943"/>
      <c r="GI10" s="1943"/>
      <c r="GJ10" s="1943"/>
      <c r="GK10" s="1943"/>
      <c r="GL10" s="1943"/>
      <c r="GM10" s="1943"/>
      <c r="GN10" s="1943"/>
      <c r="GO10" s="1943"/>
      <c r="GP10" s="1943"/>
      <c r="GQ10" s="1943"/>
      <c r="GR10" s="1943"/>
      <c r="GS10" s="1943"/>
      <c r="GT10" s="1943"/>
      <c r="GU10" s="1943"/>
      <c r="GV10" s="1943"/>
      <c r="GW10" s="1943"/>
      <c r="GX10" s="1943"/>
      <c r="GY10" s="1943"/>
      <c r="GZ10" s="1943"/>
      <c r="HA10" s="1943"/>
      <c r="HB10" s="1943"/>
      <c r="HC10" s="1943"/>
      <c r="HD10" s="1943"/>
      <c r="HE10" s="1943"/>
      <c r="HF10" s="1943"/>
      <c r="HG10" s="1943"/>
      <c r="HH10" s="1943"/>
      <c r="HI10" s="1943"/>
      <c r="HJ10" s="1943"/>
      <c r="HK10" s="1943"/>
      <c r="HL10" s="1943"/>
      <c r="HM10" s="1943"/>
      <c r="HN10" s="1943"/>
      <c r="HO10" s="1943"/>
      <c r="HP10" s="1943"/>
      <c r="HQ10" s="1943"/>
      <c r="HR10" s="1943"/>
      <c r="HS10" s="1943"/>
      <c r="HT10" s="1943"/>
      <c r="HU10" s="1943"/>
      <c r="HV10" s="1943"/>
      <c r="HW10" s="1943"/>
      <c r="HX10" s="1943"/>
      <c r="HY10" s="1943"/>
      <c r="HZ10" s="1943"/>
      <c r="IA10" s="1943"/>
      <c r="IB10" s="1943"/>
      <c r="IC10" s="1943"/>
      <c r="ID10" s="1943"/>
      <c r="IE10" s="1943"/>
      <c r="IF10" s="1943"/>
      <c r="IG10" s="1943"/>
      <c r="IH10" s="1943"/>
      <c r="II10" s="1943"/>
      <c r="IJ10" s="1943"/>
      <c r="IK10" s="1943"/>
      <c r="IL10" s="1943"/>
      <c r="IM10" s="1943"/>
      <c r="IN10" s="1943"/>
      <c r="IO10" s="1943"/>
      <c r="IP10" s="1943"/>
      <c r="IQ10" s="1943"/>
    </row>
    <row r="11" spans="1:251" ht="38.25">
      <c r="A11" s="2021">
        <v>1</v>
      </c>
      <c r="B11" s="1944" t="s">
        <v>969</v>
      </c>
      <c r="C11" s="1945"/>
      <c r="D11" s="2021">
        <v>1</v>
      </c>
      <c r="E11" s="1026"/>
      <c r="F11" s="1946">
        <v>440000</v>
      </c>
      <c r="G11" s="1026">
        <v>12</v>
      </c>
      <c r="H11" s="1942">
        <f>D11*F11*G11</f>
        <v>5280000</v>
      </c>
      <c r="I11" s="1026"/>
      <c r="J11" s="1942">
        <f t="shared" ref="J11:J16" si="3">I11*$S$4</f>
        <v>0</v>
      </c>
      <c r="K11" s="1026"/>
      <c r="L11" s="1942">
        <f t="shared" ref="L11:L16" si="4">K11*F11</f>
        <v>0</v>
      </c>
      <c r="M11" s="1942">
        <f t="shared" ref="M11:M16" si="5">D11*G11*(J11+L11)</f>
        <v>0</v>
      </c>
      <c r="N11" s="1942">
        <f t="shared" ref="N11:N16" si="6">H11+M11</f>
        <v>5280000</v>
      </c>
      <c r="O11" s="1026">
        <f t="shared" ref="O11:O16" si="7">F11*2</f>
        <v>880000</v>
      </c>
      <c r="P11" s="1026">
        <f>F11*4</f>
        <v>1760000</v>
      </c>
      <c r="Q11" s="2904">
        <f t="shared" ref="Q11:Q16" si="8">N11+O11+P11</f>
        <v>7920000</v>
      </c>
      <c r="R11" s="1942">
        <f t="shared" ref="R11:R16" si="9">Q11*10%</f>
        <v>792000</v>
      </c>
      <c r="S11" s="1942">
        <f t="shared" ref="S11:S16" si="10">(Q11-R11)*10%</f>
        <v>712800</v>
      </c>
      <c r="T11" s="1942">
        <f t="shared" ref="T11:T16" si="11">(Q11-R11)*6%</f>
        <v>427680</v>
      </c>
      <c r="U11" s="1942">
        <f t="shared" ref="U11:U16" si="12">(Q11-R11)*5%</f>
        <v>356400</v>
      </c>
      <c r="V11" s="1947"/>
      <c r="W11" s="1947"/>
      <c r="X11" s="1947"/>
      <c r="Y11" s="1947"/>
      <c r="Z11" s="1947"/>
      <c r="AA11" s="1947"/>
      <c r="AB11" s="1947"/>
      <c r="AC11" s="1947"/>
      <c r="AD11" s="1947"/>
      <c r="AE11" s="1947"/>
      <c r="AF11" s="1947"/>
      <c r="AG11" s="1947"/>
      <c r="AH11" s="1947"/>
      <c r="AI11" s="1947"/>
      <c r="AJ11" s="1947"/>
      <c r="AK11" s="1947"/>
      <c r="AL11" s="1947"/>
      <c r="AM11" s="1947"/>
      <c r="AN11" s="1947"/>
      <c r="AO11" s="1947"/>
      <c r="AP11" s="1947"/>
      <c r="AQ11" s="1947"/>
      <c r="AR11" s="1947"/>
      <c r="AS11" s="1947"/>
      <c r="AT11" s="1947"/>
      <c r="AU11" s="1947"/>
      <c r="AV11" s="1947"/>
      <c r="AW11" s="1947"/>
      <c r="AX11" s="1947"/>
      <c r="AY11" s="1947"/>
      <c r="AZ11" s="1947"/>
      <c r="BA11" s="1947"/>
      <c r="BB11" s="1947"/>
      <c r="BC11" s="1947"/>
      <c r="BD11" s="1947"/>
      <c r="BE11" s="1947"/>
      <c r="BF11" s="1947"/>
      <c r="BG11" s="1947"/>
      <c r="BH11" s="1947"/>
      <c r="BI11" s="1947"/>
      <c r="BJ11" s="1947"/>
      <c r="BK11" s="1947"/>
      <c r="BL11" s="1947"/>
      <c r="BM11" s="1947"/>
      <c r="BN11" s="1947"/>
      <c r="BO11" s="1947"/>
      <c r="BP11" s="1947"/>
      <c r="BQ11" s="1947"/>
      <c r="BR11" s="1947"/>
      <c r="BS11" s="1947"/>
      <c r="BT11" s="1947"/>
      <c r="BU11" s="1947"/>
      <c r="BV11" s="1947"/>
      <c r="BW11" s="1947"/>
      <c r="BX11" s="1947"/>
      <c r="BY11" s="1947"/>
      <c r="BZ11" s="1947"/>
      <c r="CA11" s="1947"/>
      <c r="CB11" s="1947"/>
      <c r="CC11" s="1947"/>
      <c r="CD11" s="1947"/>
      <c r="CE11" s="1947"/>
      <c r="CF11" s="1947"/>
      <c r="CG11" s="1947"/>
      <c r="CH11" s="1947"/>
      <c r="CI11" s="1947"/>
      <c r="CJ11" s="1947"/>
      <c r="CK11" s="1947"/>
      <c r="CL11" s="1947"/>
      <c r="CM11" s="1947"/>
      <c r="CN11" s="1947"/>
      <c r="CO11" s="1947"/>
      <c r="CP11" s="1947"/>
      <c r="CQ11" s="1947"/>
      <c r="CR11" s="1947"/>
      <c r="CS11" s="1947"/>
      <c r="CT11" s="1947"/>
      <c r="CU11" s="1947"/>
      <c r="CV11" s="1947"/>
      <c r="CW11" s="1947"/>
      <c r="CX11" s="1947"/>
      <c r="CY11" s="1947"/>
      <c r="CZ11" s="1947"/>
      <c r="DA11" s="1947"/>
      <c r="DB11" s="1947"/>
      <c r="DC11" s="1947"/>
      <c r="DD11" s="1947"/>
      <c r="DE11" s="1947"/>
      <c r="DF11" s="1947"/>
      <c r="DG11" s="1947"/>
      <c r="DH11" s="1947"/>
      <c r="DI11" s="1947"/>
      <c r="DJ11" s="1947"/>
      <c r="DK11" s="1947"/>
      <c r="DL11" s="1947"/>
      <c r="DM11" s="1947"/>
      <c r="DN11" s="1947"/>
      <c r="DO11" s="1947"/>
      <c r="DP11" s="1947"/>
      <c r="DQ11" s="1947"/>
      <c r="DR11" s="1947"/>
      <c r="DS11" s="1947"/>
      <c r="DT11" s="1947"/>
      <c r="DU11" s="1947"/>
      <c r="DV11" s="1947"/>
      <c r="DW11" s="1947"/>
      <c r="DX11" s="1947"/>
      <c r="DY11" s="1947"/>
      <c r="DZ11" s="1947"/>
      <c r="EA11" s="1947"/>
      <c r="EB11" s="1947"/>
      <c r="EC11" s="1947"/>
      <c r="ED11" s="1947"/>
      <c r="EE11" s="1947"/>
      <c r="EF11" s="1947"/>
      <c r="EG11" s="1947"/>
      <c r="EH11" s="1947"/>
      <c r="EI11" s="1947"/>
      <c r="EJ11" s="1947"/>
      <c r="EK11" s="1947"/>
      <c r="EL11" s="1947"/>
      <c r="EM11" s="1947"/>
      <c r="EN11" s="1947"/>
      <c r="EO11" s="1947"/>
      <c r="EP11" s="1947"/>
      <c r="EQ11" s="1947"/>
      <c r="ER11" s="1947"/>
      <c r="ES11" s="1947"/>
      <c r="ET11" s="1947"/>
      <c r="EU11" s="1947"/>
      <c r="EV11" s="1947"/>
      <c r="EW11" s="1947"/>
      <c r="EX11" s="1947"/>
      <c r="EY11" s="1947"/>
      <c r="EZ11" s="1947"/>
      <c r="FA11" s="1947"/>
      <c r="FB11" s="1947"/>
      <c r="FC11" s="1947"/>
      <c r="FD11" s="1947"/>
      <c r="FE11" s="1947"/>
      <c r="FF11" s="1947"/>
      <c r="FG11" s="1947"/>
      <c r="FH11" s="1947"/>
      <c r="FI11" s="1947"/>
      <c r="FJ11" s="1947"/>
      <c r="FK11" s="1947"/>
      <c r="FL11" s="1947"/>
      <c r="FM11" s="1947"/>
      <c r="FN11" s="1947"/>
      <c r="FO11" s="1947"/>
      <c r="FP11" s="1947"/>
      <c r="FQ11" s="1947"/>
      <c r="FR11" s="1947"/>
      <c r="FS11" s="1947"/>
      <c r="FT11" s="1947"/>
      <c r="FU11" s="1947"/>
      <c r="FV11" s="1947"/>
      <c r="FW11" s="1947"/>
      <c r="FX11" s="1947"/>
      <c r="FY11" s="1947"/>
      <c r="FZ11" s="1947"/>
      <c r="GA11" s="1947"/>
      <c r="GB11" s="1947"/>
      <c r="GC11" s="1947"/>
      <c r="GD11" s="1947"/>
      <c r="GE11" s="1947"/>
      <c r="GF11" s="1947"/>
      <c r="GG11" s="1947"/>
      <c r="GH11" s="1947"/>
      <c r="GI11" s="1947"/>
      <c r="GJ11" s="1947"/>
      <c r="GK11" s="1947"/>
      <c r="GL11" s="1947"/>
      <c r="GM11" s="1947"/>
      <c r="GN11" s="1947"/>
      <c r="GO11" s="1947"/>
      <c r="GP11" s="1947"/>
      <c r="GQ11" s="1947"/>
      <c r="GR11" s="1947"/>
      <c r="GS11" s="1947"/>
      <c r="GT11" s="1947"/>
      <c r="GU11" s="1947"/>
      <c r="GV11" s="1947"/>
      <c r="GW11" s="1947"/>
      <c r="GX11" s="1947"/>
      <c r="GY11" s="1947"/>
      <c r="GZ11" s="1947"/>
      <c r="HA11" s="1947"/>
      <c r="HB11" s="1947"/>
      <c r="HC11" s="1947"/>
      <c r="HD11" s="1947"/>
      <c r="HE11" s="1947"/>
      <c r="HF11" s="1947"/>
      <c r="HG11" s="1947"/>
      <c r="HH11" s="1947"/>
      <c r="HI11" s="1947"/>
      <c r="HJ11" s="1947"/>
      <c r="HK11" s="1947"/>
      <c r="HL11" s="1947"/>
      <c r="HM11" s="1947"/>
      <c r="HN11" s="1947"/>
      <c r="HO11" s="1947"/>
      <c r="HP11" s="1947"/>
      <c r="HQ11" s="1947"/>
      <c r="HR11" s="1947"/>
      <c r="HS11" s="1947"/>
      <c r="HT11" s="1947"/>
      <c r="HU11" s="1947"/>
      <c r="HV11" s="1947"/>
      <c r="HW11" s="1947"/>
      <c r="HX11" s="1947"/>
      <c r="HY11" s="1947"/>
      <c r="HZ11" s="1947"/>
      <c r="IA11" s="1947"/>
      <c r="IB11" s="1947"/>
      <c r="IC11" s="1947"/>
      <c r="ID11" s="1947"/>
      <c r="IE11" s="1947"/>
      <c r="IF11" s="1947"/>
      <c r="IG11" s="1947"/>
      <c r="IH11" s="1947"/>
      <c r="II11" s="1947"/>
      <c r="IJ11" s="1947"/>
      <c r="IK11" s="1947"/>
      <c r="IL11" s="1947"/>
      <c r="IM11" s="1947"/>
      <c r="IN11" s="1947"/>
      <c r="IO11" s="1947"/>
      <c r="IP11" s="1947"/>
      <c r="IQ11" s="1947"/>
    </row>
    <row r="12" spans="1:251" s="1954" customFormat="1" hidden="1">
      <c r="A12" s="2022"/>
      <c r="B12" s="1949" t="s">
        <v>970</v>
      </c>
      <c r="C12" s="1950"/>
      <c r="D12" s="2039"/>
      <c r="E12" s="1950"/>
      <c r="F12" s="1951"/>
      <c r="G12" s="1948">
        <v>12</v>
      </c>
      <c r="H12" s="1952">
        <f t="shared" ref="H12:H16" si="13">D12*F12*G12</f>
        <v>0</v>
      </c>
      <c r="I12" s="1948"/>
      <c r="J12" s="1952">
        <f t="shared" si="3"/>
        <v>0</v>
      </c>
      <c r="K12" s="1948"/>
      <c r="L12" s="1952">
        <f t="shared" si="4"/>
        <v>0</v>
      </c>
      <c r="M12" s="1952">
        <f t="shared" si="5"/>
        <v>0</v>
      </c>
      <c r="N12" s="1952">
        <f t="shared" si="6"/>
        <v>0</v>
      </c>
      <c r="O12" s="1948">
        <f t="shared" si="7"/>
        <v>0</v>
      </c>
      <c r="P12" s="1026">
        <f t="shared" ref="P12" si="14">F12*2</f>
        <v>0</v>
      </c>
      <c r="Q12" s="1952">
        <f t="shared" si="8"/>
        <v>0</v>
      </c>
      <c r="R12" s="1952">
        <f t="shared" si="9"/>
        <v>0</v>
      </c>
      <c r="S12" s="1952">
        <f t="shared" si="10"/>
        <v>0</v>
      </c>
      <c r="T12" s="1952">
        <f t="shared" si="11"/>
        <v>0</v>
      </c>
      <c r="U12" s="1952">
        <f t="shared" si="12"/>
        <v>0</v>
      </c>
      <c r="V12" s="1953"/>
      <c r="W12" s="1953"/>
      <c r="X12" s="1953"/>
      <c r="Y12" s="1953"/>
      <c r="Z12" s="1953"/>
      <c r="AA12" s="1953"/>
      <c r="AB12" s="1953"/>
      <c r="AC12" s="1953"/>
      <c r="AD12" s="1953"/>
      <c r="AE12" s="1953"/>
      <c r="AF12" s="1953"/>
      <c r="AG12" s="1953"/>
      <c r="AH12" s="1953"/>
      <c r="AI12" s="1953"/>
      <c r="AJ12" s="1953"/>
      <c r="AK12" s="1953"/>
      <c r="AL12" s="1953"/>
      <c r="AM12" s="1953"/>
      <c r="AN12" s="1953"/>
      <c r="AO12" s="1953"/>
      <c r="AP12" s="1953"/>
      <c r="AQ12" s="1953"/>
      <c r="AR12" s="1953"/>
      <c r="AS12" s="1953"/>
      <c r="AT12" s="1953"/>
      <c r="AU12" s="1953"/>
      <c r="AV12" s="1953"/>
      <c r="AW12" s="1953"/>
      <c r="AX12" s="1953"/>
      <c r="AY12" s="1953"/>
      <c r="AZ12" s="1953"/>
      <c r="BA12" s="1953"/>
      <c r="BB12" s="1953"/>
      <c r="BC12" s="1953"/>
      <c r="BD12" s="1953"/>
      <c r="BE12" s="1953"/>
      <c r="BF12" s="1953"/>
      <c r="BG12" s="1953"/>
      <c r="BH12" s="1953"/>
      <c r="BI12" s="1953"/>
      <c r="BJ12" s="1953"/>
      <c r="BK12" s="1953"/>
      <c r="BL12" s="1953"/>
      <c r="BM12" s="1953"/>
      <c r="BN12" s="1953"/>
      <c r="BO12" s="1953"/>
      <c r="BP12" s="1953"/>
      <c r="BQ12" s="1953"/>
      <c r="BR12" s="1953"/>
      <c r="BS12" s="1953"/>
      <c r="BT12" s="1953"/>
      <c r="BU12" s="1953"/>
      <c r="BV12" s="1953"/>
      <c r="BW12" s="1953"/>
      <c r="BX12" s="1953"/>
      <c r="BY12" s="1953"/>
      <c r="BZ12" s="1953"/>
      <c r="CA12" s="1953"/>
      <c r="CB12" s="1953"/>
      <c r="CC12" s="1953"/>
      <c r="CD12" s="1953"/>
      <c r="CE12" s="1953"/>
      <c r="CF12" s="1953"/>
      <c r="CG12" s="1953"/>
      <c r="CH12" s="1953"/>
      <c r="CI12" s="1953"/>
      <c r="CJ12" s="1953"/>
      <c r="CK12" s="1953"/>
      <c r="CL12" s="1953"/>
      <c r="CM12" s="1953"/>
      <c r="CN12" s="1953"/>
      <c r="CO12" s="1953"/>
      <c r="CP12" s="1953"/>
      <c r="CQ12" s="1953"/>
      <c r="CR12" s="1953"/>
      <c r="CS12" s="1953"/>
      <c r="CT12" s="1953"/>
      <c r="CU12" s="1953"/>
      <c r="CV12" s="1953"/>
      <c r="CW12" s="1953"/>
      <c r="CX12" s="1953"/>
      <c r="CY12" s="1953"/>
      <c r="CZ12" s="1953"/>
      <c r="DA12" s="1953"/>
      <c r="DB12" s="1953"/>
      <c r="DC12" s="1953"/>
      <c r="DD12" s="1953"/>
      <c r="DE12" s="1953"/>
      <c r="DF12" s="1953"/>
      <c r="DG12" s="1953"/>
      <c r="DH12" s="1953"/>
      <c r="DI12" s="1953"/>
      <c r="DJ12" s="1953"/>
      <c r="DK12" s="1953"/>
      <c r="DL12" s="1953"/>
      <c r="DM12" s="1953"/>
      <c r="DN12" s="1953"/>
      <c r="DO12" s="1953"/>
      <c r="DP12" s="1953"/>
      <c r="DQ12" s="1953"/>
      <c r="DR12" s="1953"/>
      <c r="DS12" s="1953"/>
      <c r="DT12" s="1953"/>
      <c r="DU12" s="1953"/>
      <c r="DV12" s="1953"/>
      <c r="DW12" s="1953"/>
      <c r="DX12" s="1953"/>
      <c r="DY12" s="1953"/>
      <c r="DZ12" s="1953"/>
      <c r="EA12" s="1953"/>
      <c r="EB12" s="1953"/>
      <c r="EC12" s="1953"/>
      <c r="ED12" s="1953"/>
      <c r="EE12" s="1953"/>
      <c r="EF12" s="1953"/>
      <c r="EG12" s="1953"/>
      <c r="EH12" s="1953"/>
      <c r="EI12" s="1953"/>
      <c r="EJ12" s="1953"/>
      <c r="EK12" s="1953"/>
      <c r="EL12" s="1953"/>
      <c r="EM12" s="1953"/>
      <c r="EN12" s="1953"/>
      <c r="EO12" s="1953"/>
      <c r="EP12" s="1953"/>
      <c r="EQ12" s="1953"/>
      <c r="ER12" s="1953"/>
      <c r="ES12" s="1953"/>
      <c r="ET12" s="1953"/>
      <c r="EU12" s="1953"/>
      <c r="EV12" s="1953"/>
      <c r="EW12" s="1953"/>
      <c r="EX12" s="1953"/>
      <c r="EY12" s="1953"/>
      <c r="EZ12" s="1953"/>
      <c r="FA12" s="1953"/>
      <c r="FB12" s="1953"/>
      <c r="FC12" s="1953"/>
      <c r="FD12" s="1953"/>
      <c r="FE12" s="1953"/>
      <c r="FF12" s="1953"/>
      <c r="FG12" s="1953"/>
      <c r="FH12" s="1953"/>
      <c r="FI12" s="1953"/>
      <c r="FJ12" s="1953"/>
      <c r="FK12" s="1953"/>
      <c r="FL12" s="1953"/>
      <c r="FM12" s="1953"/>
      <c r="FN12" s="1953"/>
      <c r="FO12" s="1953"/>
      <c r="FP12" s="1953"/>
      <c r="FQ12" s="1953"/>
      <c r="FR12" s="1953"/>
      <c r="FS12" s="1953"/>
      <c r="FT12" s="1953"/>
      <c r="FU12" s="1953"/>
      <c r="FV12" s="1953"/>
      <c r="FW12" s="1953"/>
      <c r="FX12" s="1953"/>
      <c r="FY12" s="1953"/>
      <c r="FZ12" s="1953"/>
      <c r="GA12" s="1953"/>
      <c r="GB12" s="1953"/>
      <c r="GC12" s="1953"/>
      <c r="GD12" s="1953"/>
      <c r="GE12" s="1953"/>
      <c r="GF12" s="1953"/>
      <c r="GG12" s="1953"/>
      <c r="GH12" s="1953"/>
      <c r="GI12" s="1953"/>
      <c r="GJ12" s="1953"/>
      <c r="GK12" s="1953"/>
      <c r="GL12" s="1953"/>
      <c r="GM12" s="1953"/>
      <c r="GN12" s="1953"/>
      <c r="GO12" s="1953"/>
      <c r="GP12" s="1953"/>
      <c r="GQ12" s="1953"/>
      <c r="GR12" s="1953"/>
      <c r="GS12" s="1953"/>
      <c r="GT12" s="1953"/>
      <c r="GU12" s="1953"/>
      <c r="GV12" s="1953"/>
      <c r="GW12" s="1953"/>
      <c r="GX12" s="1953"/>
      <c r="GY12" s="1953"/>
      <c r="GZ12" s="1953"/>
      <c r="HA12" s="1953"/>
      <c r="HB12" s="1953"/>
      <c r="HC12" s="1953"/>
      <c r="HD12" s="1953"/>
      <c r="HE12" s="1953"/>
      <c r="HF12" s="1953"/>
      <c r="HG12" s="1953"/>
      <c r="HH12" s="1953"/>
      <c r="HI12" s="1953"/>
      <c r="HJ12" s="1953"/>
      <c r="HK12" s="1953"/>
      <c r="HL12" s="1953"/>
      <c r="HM12" s="1953"/>
      <c r="HN12" s="1953"/>
      <c r="HO12" s="1953"/>
      <c r="HP12" s="1953"/>
      <c r="HQ12" s="1953"/>
      <c r="HR12" s="1953"/>
      <c r="HS12" s="1953"/>
      <c r="HT12" s="1953"/>
      <c r="HU12" s="1953"/>
      <c r="HV12" s="1953"/>
      <c r="HW12" s="1953"/>
      <c r="HX12" s="1953"/>
      <c r="HY12" s="1953"/>
      <c r="HZ12" s="1953"/>
      <c r="IA12" s="1953"/>
      <c r="IB12" s="1953"/>
      <c r="IC12" s="1953"/>
      <c r="ID12" s="1953"/>
      <c r="IE12" s="1953"/>
      <c r="IF12" s="1953"/>
      <c r="IG12" s="1953"/>
      <c r="IH12" s="1953"/>
      <c r="II12" s="1953"/>
      <c r="IJ12" s="1953"/>
      <c r="IK12" s="1953"/>
      <c r="IL12" s="1953"/>
      <c r="IM12" s="1953"/>
      <c r="IN12" s="1953"/>
      <c r="IO12" s="1953"/>
      <c r="IP12" s="1953"/>
      <c r="IQ12" s="1953"/>
    </row>
    <row r="13" spans="1:251" ht="25.5">
      <c r="A13" s="2021">
        <v>2</v>
      </c>
      <c r="B13" s="1944" t="s">
        <v>523</v>
      </c>
      <c r="C13" s="1955"/>
      <c r="D13" s="2034">
        <v>1</v>
      </c>
      <c r="E13" s="1955"/>
      <c r="F13" s="1946">
        <v>300000</v>
      </c>
      <c r="G13" s="1026">
        <v>12</v>
      </c>
      <c r="H13" s="1942">
        <f t="shared" si="13"/>
        <v>3600000</v>
      </c>
      <c r="I13" s="1026"/>
      <c r="J13" s="1942">
        <f t="shared" si="3"/>
        <v>0</v>
      </c>
      <c r="K13" s="1026"/>
      <c r="L13" s="1942">
        <f t="shared" si="4"/>
        <v>0</v>
      </c>
      <c r="M13" s="1942">
        <f t="shared" si="5"/>
        <v>0</v>
      </c>
      <c r="N13" s="1942">
        <f t="shared" si="6"/>
        <v>3600000</v>
      </c>
      <c r="O13" s="1026">
        <f t="shared" si="7"/>
        <v>600000</v>
      </c>
      <c r="P13" s="1026">
        <f>F13*4</f>
        <v>1200000</v>
      </c>
      <c r="Q13" s="2904">
        <f t="shared" si="8"/>
        <v>5400000</v>
      </c>
      <c r="R13" s="1942">
        <f t="shared" si="9"/>
        <v>540000</v>
      </c>
      <c r="S13" s="1942">
        <f t="shared" si="10"/>
        <v>486000</v>
      </c>
      <c r="T13" s="1942">
        <f t="shared" si="11"/>
        <v>291600</v>
      </c>
      <c r="U13" s="1942">
        <f t="shared" si="12"/>
        <v>243000</v>
      </c>
      <c r="V13" s="1947"/>
      <c r="W13" s="1947"/>
      <c r="X13" s="1947"/>
      <c r="Y13" s="1947"/>
      <c r="Z13" s="1947"/>
      <c r="AA13" s="1947"/>
      <c r="AB13" s="1947"/>
      <c r="AC13" s="1947"/>
      <c r="AD13" s="1947"/>
      <c r="AE13" s="1947"/>
      <c r="AF13" s="1947"/>
      <c r="AG13" s="1947"/>
      <c r="AH13" s="1947"/>
      <c r="AI13" s="1947"/>
      <c r="AJ13" s="1947"/>
      <c r="AK13" s="1947"/>
      <c r="AL13" s="1947"/>
      <c r="AM13" s="1947"/>
      <c r="AN13" s="1947"/>
      <c r="AO13" s="1947"/>
      <c r="AP13" s="1947"/>
      <c r="AQ13" s="1947"/>
      <c r="AR13" s="1947"/>
      <c r="AS13" s="1947"/>
      <c r="AT13" s="1947"/>
      <c r="AU13" s="1947"/>
      <c r="AV13" s="1947"/>
      <c r="AW13" s="1947"/>
      <c r="AX13" s="1947"/>
      <c r="AY13" s="1947"/>
      <c r="AZ13" s="1947"/>
      <c r="BA13" s="1947"/>
      <c r="BB13" s="1947"/>
      <c r="BC13" s="1947"/>
      <c r="BD13" s="1947"/>
      <c r="BE13" s="1947"/>
      <c r="BF13" s="1947"/>
      <c r="BG13" s="1947"/>
      <c r="BH13" s="1947"/>
      <c r="BI13" s="1947"/>
      <c r="BJ13" s="1947"/>
      <c r="BK13" s="1947"/>
      <c r="BL13" s="1947"/>
      <c r="BM13" s="1947"/>
      <c r="BN13" s="1947"/>
      <c r="BO13" s="1947"/>
      <c r="BP13" s="1947"/>
      <c r="BQ13" s="1947"/>
      <c r="BR13" s="1947"/>
      <c r="BS13" s="1947"/>
      <c r="BT13" s="1947"/>
      <c r="BU13" s="1947"/>
      <c r="BV13" s="1947"/>
      <c r="BW13" s="1947"/>
      <c r="BX13" s="1947"/>
      <c r="BY13" s="1947"/>
      <c r="BZ13" s="1947"/>
      <c r="CA13" s="1947"/>
      <c r="CB13" s="1947"/>
      <c r="CC13" s="1947"/>
      <c r="CD13" s="1947"/>
      <c r="CE13" s="1947"/>
      <c r="CF13" s="1947"/>
      <c r="CG13" s="1947"/>
      <c r="CH13" s="1947"/>
      <c r="CI13" s="1947"/>
      <c r="CJ13" s="1947"/>
      <c r="CK13" s="1947"/>
      <c r="CL13" s="1947"/>
      <c r="CM13" s="1947"/>
      <c r="CN13" s="1947"/>
      <c r="CO13" s="1947"/>
      <c r="CP13" s="1947"/>
      <c r="CQ13" s="1947"/>
      <c r="CR13" s="1947"/>
      <c r="CS13" s="1947"/>
      <c r="CT13" s="1947"/>
      <c r="CU13" s="1947"/>
      <c r="CV13" s="1947"/>
      <c r="CW13" s="1947"/>
      <c r="CX13" s="1947"/>
      <c r="CY13" s="1947"/>
      <c r="CZ13" s="1947"/>
      <c r="DA13" s="1947"/>
      <c r="DB13" s="1947"/>
      <c r="DC13" s="1947"/>
      <c r="DD13" s="1947"/>
      <c r="DE13" s="1947"/>
      <c r="DF13" s="1947"/>
      <c r="DG13" s="1947"/>
      <c r="DH13" s="1947"/>
      <c r="DI13" s="1947"/>
      <c r="DJ13" s="1947"/>
      <c r="DK13" s="1947"/>
      <c r="DL13" s="1947"/>
      <c r="DM13" s="1947"/>
      <c r="DN13" s="1947"/>
      <c r="DO13" s="1947"/>
      <c r="DP13" s="1947"/>
      <c r="DQ13" s="1947"/>
      <c r="DR13" s="1947"/>
      <c r="DS13" s="1947"/>
      <c r="DT13" s="1947"/>
      <c r="DU13" s="1947"/>
      <c r="DV13" s="1947"/>
      <c r="DW13" s="1947"/>
      <c r="DX13" s="1947"/>
      <c r="DY13" s="1947"/>
      <c r="DZ13" s="1947"/>
      <c r="EA13" s="1947"/>
      <c r="EB13" s="1947"/>
      <c r="EC13" s="1947"/>
      <c r="ED13" s="1947"/>
      <c r="EE13" s="1947"/>
      <c r="EF13" s="1947"/>
      <c r="EG13" s="1947"/>
      <c r="EH13" s="1947"/>
      <c r="EI13" s="1947"/>
      <c r="EJ13" s="1947"/>
      <c r="EK13" s="1947"/>
      <c r="EL13" s="1947"/>
      <c r="EM13" s="1947"/>
      <c r="EN13" s="1947"/>
      <c r="EO13" s="1947"/>
      <c r="EP13" s="1947"/>
      <c r="EQ13" s="1947"/>
      <c r="ER13" s="1947"/>
      <c r="ES13" s="1947"/>
      <c r="ET13" s="1947"/>
      <c r="EU13" s="1947"/>
      <c r="EV13" s="1947"/>
      <c r="EW13" s="1947"/>
      <c r="EX13" s="1947"/>
      <c r="EY13" s="1947"/>
      <c r="EZ13" s="1947"/>
      <c r="FA13" s="1947"/>
      <c r="FB13" s="1947"/>
      <c r="FC13" s="1947"/>
      <c r="FD13" s="1947"/>
      <c r="FE13" s="1947"/>
      <c r="FF13" s="1947"/>
      <c r="FG13" s="1947"/>
      <c r="FH13" s="1947"/>
      <c r="FI13" s="1947"/>
      <c r="FJ13" s="1947"/>
      <c r="FK13" s="1947"/>
      <c r="FL13" s="1947"/>
      <c r="FM13" s="1947"/>
      <c r="FN13" s="1947"/>
      <c r="FO13" s="1947"/>
      <c r="FP13" s="1947"/>
      <c r="FQ13" s="1947"/>
      <c r="FR13" s="1947"/>
      <c r="FS13" s="1947"/>
      <c r="FT13" s="1947"/>
      <c r="FU13" s="1947"/>
      <c r="FV13" s="1947"/>
      <c r="FW13" s="1947"/>
      <c r="FX13" s="1947"/>
      <c r="FY13" s="1947"/>
      <c r="FZ13" s="1947"/>
      <c r="GA13" s="1947"/>
      <c r="GB13" s="1947"/>
      <c r="GC13" s="1947"/>
      <c r="GD13" s="1947"/>
      <c r="GE13" s="1947"/>
      <c r="GF13" s="1947"/>
      <c r="GG13" s="1947"/>
      <c r="GH13" s="1947"/>
      <c r="GI13" s="1947"/>
      <c r="GJ13" s="1947"/>
      <c r="GK13" s="1947"/>
      <c r="GL13" s="1947"/>
      <c r="GM13" s="1947"/>
      <c r="GN13" s="1947"/>
      <c r="GO13" s="1947"/>
      <c r="GP13" s="1947"/>
      <c r="GQ13" s="1947"/>
      <c r="GR13" s="1947"/>
      <c r="GS13" s="1947"/>
      <c r="GT13" s="1947"/>
      <c r="GU13" s="1947"/>
      <c r="GV13" s="1947"/>
      <c r="GW13" s="1947"/>
      <c r="GX13" s="1947"/>
      <c r="GY13" s="1947"/>
      <c r="GZ13" s="1947"/>
      <c r="HA13" s="1947"/>
      <c r="HB13" s="1947"/>
      <c r="HC13" s="1947"/>
      <c r="HD13" s="1947"/>
      <c r="HE13" s="1947"/>
      <c r="HF13" s="1947"/>
      <c r="HG13" s="1947"/>
      <c r="HH13" s="1947"/>
      <c r="HI13" s="1947"/>
      <c r="HJ13" s="1947"/>
      <c r="HK13" s="1947"/>
      <c r="HL13" s="1947"/>
      <c r="HM13" s="1947"/>
      <c r="HN13" s="1947"/>
      <c r="HO13" s="1947"/>
      <c r="HP13" s="1947"/>
      <c r="HQ13" s="1947"/>
      <c r="HR13" s="1947"/>
      <c r="HS13" s="1947"/>
      <c r="HT13" s="1947"/>
      <c r="HU13" s="1947"/>
      <c r="HV13" s="1947"/>
      <c r="HW13" s="1947"/>
      <c r="HX13" s="1947"/>
      <c r="HY13" s="1947"/>
      <c r="HZ13" s="1947"/>
      <c r="IA13" s="1947"/>
      <c r="IB13" s="1947"/>
      <c r="IC13" s="1947"/>
      <c r="ID13" s="1947"/>
      <c r="IE13" s="1947"/>
      <c r="IF13" s="1947"/>
      <c r="IG13" s="1947"/>
      <c r="IH13" s="1947"/>
      <c r="II13" s="1947"/>
      <c r="IJ13" s="1947"/>
      <c r="IK13" s="1947"/>
      <c r="IL13" s="1947"/>
      <c r="IM13" s="1947"/>
      <c r="IN13" s="1947"/>
      <c r="IO13" s="1947"/>
      <c r="IP13" s="1947"/>
      <c r="IQ13" s="1947"/>
    </row>
    <row r="14" spans="1:251">
      <c r="A14" s="2021">
        <v>3</v>
      </c>
      <c r="B14" s="1956" t="s">
        <v>971</v>
      </c>
      <c r="C14" s="1955"/>
      <c r="D14" s="2034">
        <v>1</v>
      </c>
      <c r="E14" s="1955"/>
      <c r="F14" s="1957">
        <v>300000</v>
      </c>
      <c r="G14" s="1026">
        <v>12</v>
      </c>
      <c r="H14" s="1942">
        <f t="shared" si="13"/>
        <v>3600000</v>
      </c>
      <c r="I14" s="1026"/>
      <c r="J14" s="1942">
        <f t="shared" si="3"/>
        <v>0</v>
      </c>
      <c r="K14" s="1026"/>
      <c r="L14" s="1942">
        <f t="shared" si="4"/>
        <v>0</v>
      </c>
      <c r="M14" s="1942">
        <f t="shared" si="5"/>
        <v>0</v>
      </c>
      <c r="N14" s="1942">
        <f t="shared" si="6"/>
        <v>3600000</v>
      </c>
      <c r="O14" s="1026">
        <f t="shared" si="7"/>
        <v>600000</v>
      </c>
      <c r="P14" s="1026">
        <f>F14*4</f>
        <v>1200000</v>
      </c>
      <c r="Q14" s="2904">
        <f t="shared" si="8"/>
        <v>5400000</v>
      </c>
      <c r="R14" s="1942">
        <f t="shared" si="9"/>
        <v>540000</v>
      </c>
      <c r="S14" s="1942">
        <f t="shared" si="10"/>
        <v>486000</v>
      </c>
      <c r="T14" s="1942">
        <f t="shared" si="11"/>
        <v>291600</v>
      </c>
      <c r="U14" s="1942">
        <f t="shared" si="12"/>
        <v>243000</v>
      </c>
      <c r="V14" s="1947"/>
      <c r="W14" s="1947"/>
      <c r="X14" s="1947"/>
      <c r="Y14" s="1947"/>
      <c r="Z14" s="1947"/>
      <c r="AA14" s="1947"/>
      <c r="AB14" s="1947"/>
      <c r="AC14" s="1947"/>
      <c r="AD14" s="1947"/>
      <c r="AE14" s="1947"/>
      <c r="AF14" s="1947"/>
      <c r="AG14" s="1947"/>
      <c r="AH14" s="1947"/>
      <c r="AI14" s="1947"/>
      <c r="AJ14" s="1947"/>
      <c r="AK14" s="1947"/>
      <c r="AL14" s="1947"/>
      <c r="AM14" s="1947"/>
      <c r="AN14" s="1947"/>
      <c r="AO14" s="1947"/>
      <c r="AP14" s="1947"/>
      <c r="AQ14" s="1947"/>
      <c r="AR14" s="1947"/>
      <c r="AS14" s="1947"/>
      <c r="AT14" s="1947"/>
      <c r="AU14" s="1947"/>
      <c r="AV14" s="1947"/>
      <c r="AW14" s="1947"/>
      <c r="AX14" s="1947"/>
      <c r="AY14" s="1947"/>
      <c r="AZ14" s="1947"/>
      <c r="BA14" s="1947"/>
      <c r="BB14" s="1947"/>
      <c r="BC14" s="1947"/>
      <c r="BD14" s="1947"/>
      <c r="BE14" s="1947"/>
      <c r="BF14" s="1947"/>
      <c r="BG14" s="1947"/>
      <c r="BH14" s="1947"/>
      <c r="BI14" s="1947"/>
      <c r="BJ14" s="1947"/>
      <c r="BK14" s="1947"/>
      <c r="BL14" s="1947"/>
      <c r="BM14" s="1947"/>
      <c r="BN14" s="1947"/>
      <c r="BO14" s="1947"/>
      <c r="BP14" s="1947"/>
      <c r="BQ14" s="1947"/>
      <c r="BR14" s="1947"/>
      <c r="BS14" s="1947"/>
      <c r="BT14" s="1947"/>
      <c r="BU14" s="1947"/>
      <c r="BV14" s="1947"/>
      <c r="BW14" s="1947"/>
      <c r="BX14" s="1947"/>
      <c r="BY14" s="1947"/>
      <c r="BZ14" s="1947"/>
      <c r="CA14" s="1947"/>
      <c r="CB14" s="1947"/>
      <c r="CC14" s="1947"/>
      <c r="CD14" s="1947"/>
      <c r="CE14" s="1947"/>
      <c r="CF14" s="1947"/>
      <c r="CG14" s="1947"/>
      <c r="CH14" s="1947"/>
      <c r="CI14" s="1947"/>
      <c r="CJ14" s="1947"/>
      <c r="CK14" s="1947"/>
      <c r="CL14" s="1947"/>
      <c r="CM14" s="1947"/>
      <c r="CN14" s="1947"/>
      <c r="CO14" s="1947"/>
      <c r="CP14" s="1947"/>
      <c r="CQ14" s="1947"/>
      <c r="CR14" s="1947"/>
      <c r="CS14" s="1947"/>
      <c r="CT14" s="1947"/>
      <c r="CU14" s="1947"/>
      <c r="CV14" s="1947"/>
      <c r="CW14" s="1947"/>
      <c r="CX14" s="1947"/>
      <c r="CY14" s="1947"/>
      <c r="CZ14" s="1947"/>
      <c r="DA14" s="1947"/>
      <c r="DB14" s="1947"/>
      <c r="DC14" s="1947"/>
      <c r="DD14" s="1947"/>
      <c r="DE14" s="1947"/>
      <c r="DF14" s="1947"/>
      <c r="DG14" s="1947"/>
      <c r="DH14" s="1947"/>
      <c r="DI14" s="1947"/>
      <c r="DJ14" s="1947"/>
      <c r="DK14" s="1947"/>
      <c r="DL14" s="1947"/>
      <c r="DM14" s="1947"/>
      <c r="DN14" s="1947"/>
      <c r="DO14" s="1947"/>
      <c r="DP14" s="1947"/>
      <c r="DQ14" s="1947"/>
      <c r="DR14" s="1947"/>
      <c r="DS14" s="1947"/>
      <c r="DT14" s="1947"/>
      <c r="DU14" s="1947"/>
      <c r="DV14" s="1947"/>
      <c r="DW14" s="1947"/>
      <c r="DX14" s="1947"/>
      <c r="DY14" s="1947"/>
      <c r="DZ14" s="1947"/>
      <c r="EA14" s="1947"/>
      <c r="EB14" s="1947"/>
      <c r="EC14" s="1947"/>
      <c r="ED14" s="1947"/>
      <c r="EE14" s="1947"/>
      <c r="EF14" s="1947"/>
      <c r="EG14" s="1947"/>
      <c r="EH14" s="1947"/>
      <c r="EI14" s="1947"/>
      <c r="EJ14" s="1947"/>
      <c r="EK14" s="1947"/>
      <c r="EL14" s="1947"/>
      <c r="EM14" s="1947"/>
      <c r="EN14" s="1947"/>
      <c r="EO14" s="1947"/>
      <c r="EP14" s="1947"/>
      <c r="EQ14" s="1947"/>
      <c r="ER14" s="1947"/>
      <c r="ES14" s="1947"/>
      <c r="ET14" s="1947"/>
      <c r="EU14" s="1947"/>
      <c r="EV14" s="1947"/>
      <c r="EW14" s="1947"/>
      <c r="EX14" s="1947"/>
      <c r="EY14" s="1947"/>
      <c r="EZ14" s="1947"/>
      <c r="FA14" s="1947"/>
      <c r="FB14" s="1947"/>
      <c r="FC14" s="1947"/>
      <c r="FD14" s="1947"/>
      <c r="FE14" s="1947"/>
      <c r="FF14" s="1947"/>
      <c r="FG14" s="1947"/>
      <c r="FH14" s="1947"/>
      <c r="FI14" s="1947"/>
      <c r="FJ14" s="1947"/>
      <c r="FK14" s="1947"/>
      <c r="FL14" s="1947"/>
      <c r="FM14" s="1947"/>
      <c r="FN14" s="1947"/>
      <c r="FO14" s="1947"/>
      <c r="FP14" s="1947"/>
      <c r="FQ14" s="1947"/>
      <c r="FR14" s="1947"/>
      <c r="FS14" s="1947"/>
      <c r="FT14" s="1947"/>
      <c r="FU14" s="1947"/>
      <c r="FV14" s="1947"/>
      <c r="FW14" s="1947"/>
      <c r="FX14" s="1947"/>
      <c r="FY14" s="1947"/>
      <c r="FZ14" s="1947"/>
      <c r="GA14" s="1947"/>
      <c r="GB14" s="1947"/>
      <c r="GC14" s="1947"/>
      <c r="GD14" s="1947"/>
      <c r="GE14" s="1947"/>
      <c r="GF14" s="1947"/>
      <c r="GG14" s="1947"/>
      <c r="GH14" s="1947"/>
      <c r="GI14" s="1947"/>
      <c r="GJ14" s="1947"/>
      <c r="GK14" s="1947"/>
      <c r="GL14" s="1947"/>
      <c r="GM14" s="1947"/>
      <c r="GN14" s="1947"/>
      <c r="GO14" s="1947"/>
      <c r="GP14" s="1947"/>
      <c r="GQ14" s="1947"/>
      <c r="GR14" s="1947"/>
      <c r="GS14" s="1947"/>
      <c r="GT14" s="1947"/>
      <c r="GU14" s="1947"/>
      <c r="GV14" s="1947"/>
      <c r="GW14" s="1947"/>
      <c r="GX14" s="1947"/>
      <c r="GY14" s="1947"/>
      <c r="GZ14" s="1947"/>
      <c r="HA14" s="1947"/>
      <c r="HB14" s="1947"/>
      <c r="HC14" s="1947"/>
      <c r="HD14" s="1947"/>
      <c r="HE14" s="1947"/>
      <c r="HF14" s="1947"/>
      <c r="HG14" s="1947"/>
      <c r="HH14" s="1947"/>
      <c r="HI14" s="1947"/>
      <c r="HJ14" s="1947"/>
      <c r="HK14" s="1947"/>
      <c r="HL14" s="1947"/>
      <c r="HM14" s="1947"/>
      <c r="HN14" s="1947"/>
      <c r="HO14" s="1947"/>
      <c r="HP14" s="1947"/>
      <c r="HQ14" s="1947"/>
      <c r="HR14" s="1947"/>
      <c r="HS14" s="1947"/>
      <c r="HT14" s="1947"/>
      <c r="HU14" s="1947"/>
      <c r="HV14" s="1947"/>
      <c r="HW14" s="1947"/>
      <c r="HX14" s="1947"/>
      <c r="HY14" s="1947"/>
      <c r="HZ14" s="1947"/>
      <c r="IA14" s="1947"/>
      <c r="IB14" s="1947"/>
      <c r="IC14" s="1947"/>
      <c r="ID14" s="1947"/>
      <c r="IE14" s="1947"/>
      <c r="IF14" s="1947"/>
      <c r="IG14" s="1947"/>
      <c r="IH14" s="1947"/>
      <c r="II14" s="1947"/>
      <c r="IJ14" s="1947"/>
      <c r="IK14" s="1947"/>
      <c r="IL14" s="1947"/>
      <c r="IM14" s="1947"/>
      <c r="IN14" s="1947"/>
      <c r="IO14" s="1947"/>
      <c r="IP14" s="1947"/>
      <c r="IQ14" s="1947"/>
    </row>
    <row r="15" spans="1:251">
      <c r="A15" s="2021">
        <v>4</v>
      </c>
      <c r="B15" s="1956" t="s">
        <v>972</v>
      </c>
      <c r="C15" s="1955"/>
      <c r="D15" s="2034">
        <v>1</v>
      </c>
      <c r="E15" s="1955"/>
      <c r="F15" s="1957">
        <v>300000</v>
      </c>
      <c r="G15" s="1026">
        <v>12</v>
      </c>
      <c r="H15" s="1942">
        <f t="shared" si="13"/>
        <v>3600000</v>
      </c>
      <c r="I15" s="1026"/>
      <c r="J15" s="1942">
        <f t="shared" si="3"/>
        <v>0</v>
      </c>
      <c r="K15" s="1026"/>
      <c r="L15" s="1942">
        <f t="shared" si="4"/>
        <v>0</v>
      </c>
      <c r="M15" s="1942">
        <f t="shared" si="5"/>
        <v>0</v>
      </c>
      <c r="N15" s="1942">
        <f t="shared" si="6"/>
        <v>3600000</v>
      </c>
      <c r="O15" s="1026">
        <f t="shared" si="7"/>
        <v>600000</v>
      </c>
      <c r="P15" s="1026">
        <f>F15*4</f>
        <v>1200000</v>
      </c>
      <c r="Q15" s="2904">
        <f t="shared" si="8"/>
        <v>5400000</v>
      </c>
      <c r="R15" s="1942">
        <f t="shared" si="9"/>
        <v>540000</v>
      </c>
      <c r="S15" s="1942">
        <f t="shared" si="10"/>
        <v>486000</v>
      </c>
      <c r="T15" s="1942">
        <f t="shared" si="11"/>
        <v>291600</v>
      </c>
      <c r="U15" s="1942">
        <f t="shared" si="12"/>
        <v>243000</v>
      </c>
      <c r="V15" s="1947"/>
      <c r="W15" s="1947"/>
      <c r="X15" s="1947"/>
      <c r="Y15" s="1947"/>
      <c r="Z15" s="1947"/>
      <c r="AA15" s="1947"/>
      <c r="AB15" s="1947"/>
      <c r="AC15" s="1947"/>
      <c r="AD15" s="1947"/>
      <c r="AE15" s="1947"/>
      <c r="AF15" s="1947"/>
      <c r="AG15" s="1947"/>
      <c r="AH15" s="1947"/>
      <c r="AI15" s="1947"/>
      <c r="AJ15" s="1947"/>
      <c r="AK15" s="1947"/>
      <c r="AL15" s="1947"/>
      <c r="AM15" s="1947"/>
      <c r="AN15" s="1947"/>
      <c r="AO15" s="1947"/>
      <c r="AP15" s="1947"/>
      <c r="AQ15" s="1947"/>
      <c r="AR15" s="1947"/>
      <c r="AS15" s="1947"/>
      <c r="AT15" s="1947"/>
      <c r="AU15" s="1947"/>
      <c r="AV15" s="1947"/>
      <c r="AW15" s="1947"/>
      <c r="AX15" s="1947"/>
      <c r="AY15" s="1947"/>
      <c r="AZ15" s="1947"/>
      <c r="BA15" s="1947"/>
      <c r="BB15" s="1947"/>
      <c r="BC15" s="1947"/>
      <c r="BD15" s="1947"/>
      <c r="BE15" s="1947"/>
      <c r="BF15" s="1947"/>
      <c r="BG15" s="1947"/>
      <c r="BH15" s="1947"/>
      <c r="BI15" s="1947"/>
      <c r="BJ15" s="1947"/>
      <c r="BK15" s="1947"/>
      <c r="BL15" s="1947"/>
      <c r="BM15" s="1947"/>
      <c r="BN15" s="1947"/>
      <c r="BO15" s="1947"/>
      <c r="BP15" s="1947"/>
      <c r="BQ15" s="1947"/>
      <c r="BR15" s="1947"/>
      <c r="BS15" s="1947"/>
      <c r="BT15" s="1947"/>
      <c r="BU15" s="1947"/>
      <c r="BV15" s="1947"/>
      <c r="BW15" s="1947"/>
      <c r="BX15" s="1947"/>
      <c r="BY15" s="1947"/>
      <c r="BZ15" s="1947"/>
      <c r="CA15" s="1947"/>
      <c r="CB15" s="1947"/>
      <c r="CC15" s="1947"/>
      <c r="CD15" s="1947"/>
      <c r="CE15" s="1947"/>
      <c r="CF15" s="1947"/>
      <c r="CG15" s="1947"/>
      <c r="CH15" s="1947"/>
      <c r="CI15" s="1947"/>
      <c r="CJ15" s="1947"/>
      <c r="CK15" s="1947"/>
      <c r="CL15" s="1947"/>
      <c r="CM15" s="1947"/>
      <c r="CN15" s="1947"/>
      <c r="CO15" s="1947"/>
      <c r="CP15" s="1947"/>
      <c r="CQ15" s="1947"/>
      <c r="CR15" s="1947"/>
      <c r="CS15" s="1947"/>
      <c r="CT15" s="1947"/>
      <c r="CU15" s="1947"/>
      <c r="CV15" s="1947"/>
      <c r="CW15" s="1947"/>
      <c r="CX15" s="1947"/>
      <c r="CY15" s="1947"/>
      <c r="CZ15" s="1947"/>
      <c r="DA15" s="1947"/>
      <c r="DB15" s="1947"/>
      <c r="DC15" s="1947"/>
      <c r="DD15" s="1947"/>
      <c r="DE15" s="1947"/>
      <c r="DF15" s="1947"/>
      <c r="DG15" s="1947"/>
      <c r="DH15" s="1947"/>
      <c r="DI15" s="1947"/>
      <c r="DJ15" s="1947"/>
      <c r="DK15" s="1947"/>
      <c r="DL15" s="1947"/>
      <c r="DM15" s="1947"/>
      <c r="DN15" s="1947"/>
      <c r="DO15" s="1947"/>
      <c r="DP15" s="1947"/>
      <c r="DQ15" s="1947"/>
      <c r="DR15" s="1947"/>
      <c r="DS15" s="1947"/>
      <c r="DT15" s="1947"/>
      <c r="DU15" s="1947"/>
      <c r="DV15" s="1947"/>
      <c r="DW15" s="1947"/>
      <c r="DX15" s="1947"/>
      <c r="DY15" s="1947"/>
      <c r="DZ15" s="1947"/>
      <c r="EA15" s="1947"/>
      <c r="EB15" s="1947"/>
      <c r="EC15" s="1947"/>
      <c r="ED15" s="1947"/>
      <c r="EE15" s="1947"/>
      <c r="EF15" s="1947"/>
      <c r="EG15" s="1947"/>
      <c r="EH15" s="1947"/>
      <c r="EI15" s="1947"/>
      <c r="EJ15" s="1947"/>
      <c r="EK15" s="1947"/>
      <c r="EL15" s="1947"/>
      <c r="EM15" s="1947"/>
      <c r="EN15" s="1947"/>
      <c r="EO15" s="1947"/>
      <c r="EP15" s="1947"/>
      <c r="EQ15" s="1947"/>
      <c r="ER15" s="1947"/>
      <c r="ES15" s="1947"/>
      <c r="ET15" s="1947"/>
      <c r="EU15" s="1947"/>
      <c r="EV15" s="1947"/>
      <c r="EW15" s="1947"/>
      <c r="EX15" s="1947"/>
      <c r="EY15" s="1947"/>
      <c r="EZ15" s="1947"/>
      <c r="FA15" s="1947"/>
      <c r="FB15" s="1947"/>
      <c r="FC15" s="1947"/>
      <c r="FD15" s="1947"/>
      <c r="FE15" s="1947"/>
      <c r="FF15" s="1947"/>
      <c r="FG15" s="1947"/>
      <c r="FH15" s="1947"/>
      <c r="FI15" s="1947"/>
      <c r="FJ15" s="1947"/>
      <c r="FK15" s="1947"/>
      <c r="FL15" s="1947"/>
      <c r="FM15" s="1947"/>
      <c r="FN15" s="1947"/>
      <c r="FO15" s="1947"/>
      <c r="FP15" s="1947"/>
      <c r="FQ15" s="1947"/>
      <c r="FR15" s="1947"/>
      <c r="FS15" s="1947"/>
      <c r="FT15" s="1947"/>
      <c r="FU15" s="1947"/>
      <c r="FV15" s="1947"/>
      <c r="FW15" s="1947"/>
      <c r="FX15" s="1947"/>
      <c r="FY15" s="1947"/>
      <c r="FZ15" s="1947"/>
      <c r="GA15" s="1947"/>
      <c r="GB15" s="1947"/>
      <c r="GC15" s="1947"/>
      <c r="GD15" s="1947"/>
      <c r="GE15" s="1947"/>
      <c r="GF15" s="1947"/>
      <c r="GG15" s="1947"/>
      <c r="GH15" s="1947"/>
      <c r="GI15" s="1947"/>
      <c r="GJ15" s="1947"/>
      <c r="GK15" s="1947"/>
      <c r="GL15" s="1947"/>
      <c r="GM15" s="1947"/>
      <c r="GN15" s="1947"/>
      <c r="GO15" s="1947"/>
      <c r="GP15" s="1947"/>
      <c r="GQ15" s="1947"/>
      <c r="GR15" s="1947"/>
      <c r="GS15" s="1947"/>
      <c r="GT15" s="1947"/>
      <c r="GU15" s="1947"/>
      <c r="GV15" s="1947"/>
      <c r="GW15" s="1947"/>
      <c r="GX15" s="1947"/>
      <c r="GY15" s="1947"/>
      <c r="GZ15" s="1947"/>
      <c r="HA15" s="1947"/>
      <c r="HB15" s="1947"/>
      <c r="HC15" s="1947"/>
      <c r="HD15" s="1947"/>
      <c r="HE15" s="1947"/>
      <c r="HF15" s="1947"/>
      <c r="HG15" s="1947"/>
      <c r="HH15" s="1947"/>
      <c r="HI15" s="1947"/>
      <c r="HJ15" s="1947"/>
      <c r="HK15" s="1947"/>
      <c r="HL15" s="1947"/>
      <c r="HM15" s="1947"/>
      <c r="HN15" s="1947"/>
      <c r="HO15" s="1947"/>
      <c r="HP15" s="1947"/>
      <c r="HQ15" s="1947"/>
      <c r="HR15" s="1947"/>
      <c r="HS15" s="1947"/>
      <c r="HT15" s="1947"/>
      <c r="HU15" s="1947"/>
      <c r="HV15" s="1947"/>
      <c r="HW15" s="1947"/>
      <c r="HX15" s="1947"/>
      <c r="HY15" s="1947"/>
      <c r="HZ15" s="1947"/>
      <c r="IA15" s="1947"/>
      <c r="IB15" s="1947"/>
      <c r="IC15" s="1947"/>
      <c r="ID15" s="1947"/>
      <c r="IE15" s="1947"/>
      <c r="IF15" s="1947"/>
      <c r="IG15" s="1947"/>
      <c r="IH15" s="1947"/>
      <c r="II15" s="1947"/>
      <c r="IJ15" s="1947"/>
      <c r="IK15" s="1947"/>
      <c r="IL15" s="1947"/>
      <c r="IM15" s="1947"/>
      <c r="IN15" s="1947"/>
      <c r="IO15" s="1947"/>
      <c r="IP15" s="1947"/>
      <c r="IQ15" s="1947"/>
    </row>
    <row r="16" spans="1:251">
      <c r="A16" s="2021">
        <v>5</v>
      </c>
      <c r="B16" s="1956" t="s">
        <v>524</v>
      </c>
      <c r="C16" s="1955"/>
      <c r="D16" s="2034">
        <v>1</v>
      </c>
      <c r="E16" s="1955"/>
      <c r="F16" s="1957">
        <v>242000</v>
      </c>
      <c r="G16" s="1026">
        <v>12</v>
      </c>
      <c r="H16" s="1942">
        <f t="shared" si="13"/>
        <v>2904000</v>
      </c>
      <c r="I16" s="1026"/>
      <c r="J16" s="1942">
        <f t="shared" si="3"/>
        <v>0</v>
      </c>
      <c r="K16" s="1026"/>
      <c r="L16" s="1942">
        <f t="shared" si="4"/>
        <v>0</v>
      </c>
      <c r="M16" s="1942">
        <f t="shared" si="5"/>
        <v>0</v>
      </c>
      <c r="N16" s="1942">
        <f t="shared" si="6"/>
        <v>2904000</v>
      </c>
      <c r="O16" s="1026">
        <f t="shared" si="7"/>
        <v>484000</v>
      </c>
      <c r="P16" s="1026">
        <f>F16*4</f>
        <v>968000</v>
      </c>
      <c r="Q16" s="2904">
        <f t="shared" si="8"/>
        <v>4356000</v>
      </c>
      <c r="R16" s="1942">
        <f t="shared" si="9"/>
        <v>435600</v>
      </c>
      <c r="S16" s="1942">
        <f t="shared" si="10"/>
        <v>392040</v>
      </c>
      <c r="T16" s="1942">
        <f t="shared" si="11"/>
        <v>235224</v>
      </c>
      <c r="U16" s="1942">
        <f t="shared" si="12"/>
        <v>196020</v>
      </c>
      <c r="V16" s="1947"/>
      <c r="W16" s="1947"/>
      <c r="X16" s="1947"/>
      <c r="Y16" s="1947"/>
      <c r="Z16" s="1947"/>
      <c r="AA16" s="1947"/>
      <c r="AB16" s="1947"/>
      <c r="AC16" s="1947"/>
      <c r="AD16" s="1947"/>
      <c r="AE16" s="1947"/>
      <c r="AF16" s="1947"/>
      <c r="AG16" s="1947"/>
      <c r="AH16" s="1947"/>
      <c r="AI16" s="1947"/>
      <c r="AJ16" s="1947"/>
      <c r="AK16" s="1947"/>
      <c r="AL16" s="1947"/>
      <c r="AM16" s="1947"/>
      <c r="AN16" s="1947"/>
      <c r="AO16" s="1947"/>
      <c r="AP16" s="1947"/>
      <c r="AQ16" s="1947"/>
      <c r="AR16" s="1947"/>
      <c r="AS16" s="1947"/>
      <c r="AT16" s="1947"/>
      <c r="AU16" s="1947"/>
      <c r="AV16" s="1947"/>
      <c r="AW16" s="1947"/>
      <c r="AX16" s="1947"/>
      <c r="AY16" s="1947"/>
      <c r="AZ16" s="1947"/>
      <c r="BA16" s="1947"/>
      <c r="BB16" s="1947"/>
      <c r="BC16" s="1947"/>
      <c r="BD16" s="1947"/>
      <c r="BE16" s="1947"/>
      <c r="BF16" s="1947"/>
      <c r="BG16" s="1947"/>
      <c r="BH16" s="1947"/>
      <c r="BI16" s="1947"/>
      <c r="BJ16" s="1947"/>
      <c r="BK16" s="1947"/>
      <c r="BL16" s="1947"/>
      <c r="BM16" s="1947"/>
      <c r="BN16" s="1947"/>
      <c r="BO16" s="1947"/>
      <c r="BP16" s="1947"/>
      <c r="BQ16" s="1947"/>
      <c r="BR16" s="1947"/>
      <c r="BS16" s="1947"/>
      <c r="BT16" s="1947"/>
      <c r="BU16" s="1947"/>
      <c r="BV16" s="1947"/>
      <c r="BW16" s="1947"/>
      <c r="BX16" s="1947"/>
      <c r="BY16" s="1947"/>
      <c r="BZ16" s="1947"/>
      <c r="CA16" s="1947"/>
      <c r="CB16" s="1947"/>
      <c r="CC16" s="1947"/>
      <c r="CD16" s="1947"/>
      <c r="CE16" s="1947"/>
      <c r="CF16" s="1947"/>
      <c r="CG16" s="1947"/>
      <c r="CH16" s="1947"/>
      <c r="CI16" s="1947"/>
      <c r="CJ16" s="1947"/>
      <c r="CK16" s="1947"/>
      <c r="CL16" s="1947"/>
      <c r="CM16" s="1947"/>
      <c r="CN16" s="1947"/>
      <c r="CO16" s="1947"/>
      <c r="CP16" s="1947"/>
      <c r="CQ16" s="1947"/>
      <c r="CR16" s="1947"/>
      <c r="CS16" s="1947"/>
      <c r="CT16" s="1947"/>
      <c r="CU16" s="1947"/>
      <c r="CV16" s="1947"/>
      <c r="CW16" s="1947"/>
      <c r="CX16" s="1947"/>
      <c r="CY16" s="1947"/>
      <c r="CZ16" s="1947"/>
      <c r="DA16" s="1947"/>
      <c r="DB16" s="1947"/>
      <c r="DC16" s="1947"/>
      <c r="DD16" s="1947"/>
      <c r="DE16" s="1947"/>
      <c r="DF16" s="1947"/>
      <c r="DG16" s="1947"/>
      <c r="DH16" s="1947"/>
      <c r="DI16" s="1947"/>
      <c r="DJ16" s="1947"/>
      <c r="DK16" s="1947"/>
      <c r="DL16" s="1947"/>
      <c r="DM16" s="1947"/>
      <c r="DN16" s="1947"/>
      <c r="DO16" s="1947"/>
      <c r="DP16" s="1947"/>
      <c r="DQ16" s="1947"/>
      <c r="DR16" s="1947"/>
      <c r="DS16" s="1947"/>
      <c r="DT16" s="1947"/>
      <c r="DU16" s="1947"/>
      <c r="DV16" s="1947"/>
      <c r="DW16" s="1947"/>
      <c r="DX16" s="1947"/>
      <c r="DY16" s="1947"/>
      <c r="DZ16" s="1947"/>
      <c r="EA16" s="1947"/>
      <c r="EB16" s="1947"/>
      <c r="EC16" s="1947"/>
      <c r="ED16" s="1947"/>
      <c r="EE16" s="1947"/>
      <c r="EF16" s="1947"/>
      <c r="EG16" s="1947"/>
      <c r="EH16" s="1947"/>
      <c r="EI16" s="1947"/>
      <c r="EJ16" s="1947"/>
      <c r="EK16" s="1947"/>
      <c r="EL16" s="1947"/>
      <c r="EM16" s="1947"/>
      <c r="EN16" s="1947"/>
      <c r="EO16" s="1947"/>
      <c r="EP16" s="1947"/>
      <c r="EQ16" s="1947"/>
      <c r="ER16" s="1947"/>
      <c r="ES16" s="1947"/>
      <c r="ET16" s="1947"/>
      <c r="EU16" s="1947"/>
      <c r="EV16" s="1947"/>
      <c r="EW16" s="1947"/>
      <c r="EX16" s="1947"/>
      <c r="EY16" s="1947"/>
      <c r="EZ16" s="1947"/>
      <c r="FA16" s="1947"/>
      <c r="FB16" s="1947"/>
      <c r="FC16" s="1947"/>
      <c r="FD16" s="1947"/>
      <c r="FE16" s="1947"/>
      <c r="FF16" s="1947"/>
      <c r="FG16" s="1947"/>
      <c r="FH16" s="1947"/>
      <c r="FI16" s="1947"/>
      <c r="FJ16" s="1947"/>
      <c r="FK16" s="1947"/>
      <c r="FL16" s="1947"/>
      <c r="FM16" s="1947"/>
      <c r="FN16" s="1947"/>
      <c r="FO16" s="1947"/>
      <c r="FP16" s="1947"/>
      <c r="FQ16" s="1947"/>
      <c r="FR16" s="1947"/>
      <c r="FS16" s="1947"/>
      <c r="FT16" s="1947"/>
      <c r="FU16" s="1947"/>
      <c r="FV16" s="1947"/>
      <c r="FW16" s="1947"/>
      <c r="FX16" s="1947"/>
      <c r="FY16" s="1947"/>
      <c r="FZ16" s="1947"/>
      <c r="GA16" s="1947"/>
      <c r="GB16" s="1947"/>
      <c r="GC16" s="1947"/>
      <c r="GD16" s="1947"/>
      <c r="GE16" s="1947"/>
      <c r="GF16" s="1947"/>
      <c r="GG16" s="1947"/>
      <c r="GH16" s="1947"/>
      <c r="GI16" s="1947"/>
      <c r="GJ16" s="1947"/>
      <c r="GK16" s="1947"/>
      <c r="GL16" s="1947"/>
      <c r="GM16" s="1947"/>
      <c r="GN16" s="1947"/>
      <c r="GO16" s="1947"/>
      <c r="GP16" s="1947"/>
      <c r="GQ16" s="1947"/>
      <c r="GR16" s="1947"/>
      <c r="GS16" s="1947"/>
      <c r="GT16" s="1947"/>
      <c r="GU16" s="1947"/>
      <c r="GV16" s="1947"/>
      <c r="GW16" s="1947"/>
      <c r="GX16" s="1947"/>
      <c r="GY16" s="1947"/>
      <c r="GZ16" s="1947"/>
      <c r="HA16" s="1947"/>
      <c r="HB16" s="1947"/>
      <c r="HC16" s="1947"/>
      <c r="HD16" s="1947"/>
      <c r="HE16" s="1947"/>
      <c r="HF16" s="1947"/>
      <c r="HG16" s="1947"/>
      <c r="HH16" s="1947"/>
      <c r="HI16" s="1947"/>
      <c r="HJ16" s="1947"/>
      <c r="HK16" s="1947"/>
      <c r="HL16" s="1947"/>
      <c r="HM16" s="1947"/>
      <c r="HN16" s="1947"/>
      <c r="HO16" s="1947"/>
      <c r="HP16" s="1947"/>
      <c r="HQ16" s="1947"/>
      <c r="HR16" s="1947"/>
      <c r="HS16" s="1947"/>
      <c r="HT16" s="1947"/>
      <c r="HU16" s="1947"/>
      <c r="HV16" s="1947"/>
      <c r="HW16" s="1947"/>
      <c r="HX16" s="1947"/>
      <c r="HY16" s="1947"/>
      <c r="HZ16" s="1947"/>
      <c r="IA16" s="1947"/>
      <c r="IB16" s="1947"/>
      <c r="IC16" s="1947"/>
      <c r="ID16" s="1947"/>
      <c r="IE16" s="1947"/>
      <c r="IF16" s="1947"/>
      <c r="IG16" s="1947"/>
      <c r="IH16" s="1947"/>
      <c r="II16" s="1947"/>
      <c r="IJ16" s="1947"/>
      <c r="IK16" s="1947"/>
      <c r="IL16" s="1947"/>
      <c r="IM16" s="1947"/>
      <c r="IN16" s="1947"/>
      <c r="IO16" s="1947"/>
      <c r="IP16" s="1947"/>
      <c r="IQ16" s="1947"/>
    </row>
    <row r="17" spans="1:251" s="1982" customFormat="1">
      <c r="A17" s="2023"/>
      <c r="B17" s="1979" t="s">
        <v>528</v>
      </c>
      <c r="C17" s="1978"/>
      <c r="D17" s="2023">
        <f>SUM(D18:D21)</f>
        <v>2</v>
      </c>
      <c r="E17" s="1978"/>
      <c r="F17" s="1980">
        <f>SUM(F19:F21)</f>
        <v>540000</v>
      </c>
      <c r="G17" s="1978"/>
      <c r="H17" s="1980">
        <f>SUM(H18:H21)</f>
        <v>6480000</v>
      </c>
      <c r="I17" s="1978"/>
      <c r="J17" s="1980">
        <f>SUM(J18:J21)</f>
        <v>0</v>
      </c>
      <c r="K17" s="1978"/>
      <c r="L17" s="1980">
        <f t="shared" ref="L17:U17" si="15">SUM(L18:L21)</f>
        <v>0</v>
      </c>
      <c r="M17" s="1980">
        <f t="shared" si="15"/>
        <v>0</v>
      </c>
      <c r="N17" s="1980">
        <f t="shared" si="15"/>
        <v>6480000</v>
      </c>
      <c r="O17" s="1980">
        <f t="shared" si="15"/>
        <v>1080000</v>
      </c>
      <c r="P17" s="1980">
        <f t="shared" si="15"/>
        <v>2160000</v>
      </c>
      <c r="Q17" s="1980">
        <f>SUM(Q18:Q21)</f>
        <v>9720000</v>
      </c>
      <c r="R17" s="1980">
        <f t="shared" si="15"/>
        <v>972000</v>
      </c>
      <c r="S17" s="1980">
        <f t="shared" si="15"/>
        <v>874800</v>
      </c>
      <c r="T17" s="1980">
        <f t="shared" si="15"/>
        <v>524880</v>
      </c>
      <c r="U17" s="1980">
        <f t="shared" si="15"/>
        <v>437400</v>
      </c>
      <c r="V17" s="1981"/>
      <c r="W17" s="1981"/>
      <c r="X17" s="1981"/>
      <c r="Y17" s="1981"/>
      <c r="Z17" s="1981"/>
      <c r="AA17" s="1981"/>
      <c r="AB17" s="1981"/>
      <c r="AC17" s="1981"/>
      <c r="AD17" s="1981"/>
      <c r="AE17" s="1981"/>
      <c r="AF17" s="1981"/>
      <c r="AG17" s="1981"/>
      <c r="AH17" s="1981"/>
      <c r="AI17" s="1981"/>
      <c r="AJ17" s="1981"/>
      <c r="AK17" s="1981"/>
      <c r="AL17" s="1981"/>
      <c r="AM17" s="1981"/>
      <c r="AN17" s="1981"/>
      <c r="AO17" s="1981"/>
      <c r="AP17" s="1981"/>
      <c r="AQ17" s="1981"/>
      <c r="AR17" s="1981"/>
      <c r="AS17" s="1981"/>
      <c r="AT17" s="1981"/>
      <c r="AU17" s="1981"/>
      <c r="AV17" s="1981"/>
      <c r="AW17" s="1981"/>
      <c r="AX17" s="1981"/>
      <c r="AY17" s="1981"/>
      <c r="AZ17" s="1981"/>
      <c r="BA17" s="1981"/>
      <c r="BB17" s="1981"/>
      <c r="BC17" s="1981"/>
      <c r="BD17" s="1981"/>
      <c r="BE17" s="1981"/>
      <c r="BF17" s="1981"/>
      <c r="BG17" s="1981"/>
      <c r="BH17" s="1981"/>
      <c r="BI17" s="1981"/>
      <c r="BJ17" s="1981"/>
      <c r="BK17" s="1981"/>
      <c r="BL17" s="1981"/>
      <c r="BM17" s="1981"/>
      <c r="BN17" s="1981"/>
      <c r="BO17" s="1981"/>
      <c r="BP17" s="1981"/>
      <c r="BQ17" s="1981"/>
      <c r="BR17" s="1981"/>
      <c r="BS17" s="1981"/>
      <c r="BT17" s="1981"/>
      <c r="BU17" s="1981"/>
      <c r="BV17" s="1981"/>
      <c r="BW17" s="1981"/>
      <c r="BX17" s="1981"/>
      <c r="BY17" s="1981"/>
      <c r="BZ17" s="1981"/>
      <c r="CA17" s="1981"/>
      <c r="CB17" s="1981"/>
      <c r="CC17" s="1981"/>
      <c r="CD17" s="1981"/>
      <c r="CE17" s="1981"/>
      <c r="CF17" s="1981"/>
      <c r="CG17" s="1981"/>
      <c r="CH17" s="1981"/>
      <c r="CI17" s="1981"/>
      <c r="CJ17" s="1981"/>
      <c r="CK17" s="1981"/>
      <c r="CL17" s="1981"/>
      <c r="CM17" s="1981"/>
      <c r="CN17" s="1981"/>
      <c r="CO17" s="1981"/>
      <c r="CP17" s="1981"/>
      <c r="CQ17" s="1981"/>
      <c r="CR17" s="1981"/>
      <c r="CS17" s="1981"/>
      <c r="CT17" s="1981"/>
      <c r="CU17" s="1981"/>
      <c r="CV17" s="1981"/>
      <c r="CW17" s="1981"/>
      <c r="CX17" s="1981"/>
      <c r="CY17" s="1981"/>
      <c r="CZ17" s="1981"/>
      <c r="DA17" s="1981"/>
      <c r="DB17" s="1981"/>
      <c r="DC17" s="1981"/>
      <c r="DD17" s="1981"/>
      <c r="DE17" s="1981"/>
      <c r="DF17" s="1981"/>
      <c r="DG17" s="1981"/>
      <c r="DH17" s="1981"/>
      <c r="DI17" s="1981"/>
      <c r="DJ17" s="1981"/>
      <c r="DK17" s="1981"/>
      <c r="DL17" s="1981"/>
      <c r="DM17" s="1981"/>
      <c r="DN17" s="1981"/>
      <c r="DO17" s="1981"/>
      <c r="DP17" s="1981"/>
      <c r="DQ17" s="1981"/>
      <c r="DR17" s="1981"/>
      <c r="DS17" s="1981"/>
      <c r="DT17" s="1981"/>
      <c r="DU17" s="1981"/>
      <c r="DV17" s="1981"/>
      <c r="DW17" s="1981"/>
      <c r="DX17" s="1981"/>
      <c r="DY17" s="1981"/>
      <c r="DZ17" s="1981"/>
      <c r="EA17" s="1981"/>
      <c r="EB17" s="1981"/>
      <c r="EC17" s="1981"/>
      <c r="ED17" s="1981"/>
      <c r="EE17" s="1981"/>
      <c r="EF17" s="1981"/>
      <c r="EG17" s="1981"/>
      <c r="EH17" s="1981"/>
      <c r="EI17" s="1981"/>
      <c r="EJ17" s="1981"/>
      <c r="EK17" s="1981"/>
      <c r="EL17" s="1981"/>
      <c r="EM17" s="1981"/>
      <c r="EN17" s="1981"/>
      <c r="EO17" s="1981"/>
      <c r="EP17" s="1981"/>
      <c r="EQ17" s="1981"/>
      <c r="ER17" s="1981"/>
      <c r="ES17" s="1981"/>
      <c r="ET17" s="1981"/>
      <c r="EU17" s="1981"/>
      <c r="EV17" s="1981"/>
      <c r="EW17" s="1981"/>
      <c r="EX17" s="1981"/>
      <c r="EY17" s="1981"/>
      <c r="EZ17" s="1981"/>
      <c r="FA17" s="1981"/>
      <c r="FB17" s="1981"/>
      <c r="FC17" s="1981"/>
      <c r="FD17" s="1981"/>
      <c r="FE17" s="1981"/>
      <c r="FF17" s="1981"/>
      <c r="FG17" s="1981"/>
      <c r="FH17" s="1981"/>
      <c r="FI17" s="1981"/>
      <c r="FJ17" s="1981"/>
      <c r="FK17" s="1981"/>
      <c r="FL17" s="1981"/>
      <c r="FM17" s="1981"/>
      <c r="FN17" s="1981"/>
      <c r="FO17" s="1981"/>
      <c r="FP17" s="1981"/>
      <c r="FQ17" s="1981"/>
      <c r="FR17" s="1981"/>
      <c r="FS17" s="1981"/>
      <c r="FT17" s="1981"/>
      <c r="FU17" s="1981"/>
      <c r="FV17" s="1981"/>
      <c r="FW17" s="1981"/>
      <c r="FX17" s="1981"/>
      <c r="FY17" s="1981"/>
      <c r="FZ17" s="1981"/>
      <c r="GA17" s="1981"/>
      <c r="GB17" s="1981"/>
      <c r="GC17" s="1981"/>
      <c r="GD17" s="1981"/>
      <c r="GE17" s="1981"/>
      <c r="GF17" s="1981"/>
      <c r="GG17" s="1981"/>
      <c r="GH17" s="1981"/>
      <c r="GI17" s="1981"/>
      <c r="GJ17" s="1981"/>
      <c r="GK17" s="1981"/>
      <c r="GL17" s="1981"/>
      <c r="GM17" s="1981"/>
      <c r="GN17" s="1981"/>
      <c r="GO17" s="1981"/>
      <c r="GP17" s="1981"/>
      <c r="GQ17" s="1981"/>
      <c r="GR17" s="1981"/>
      <c r="GS17" s="1981"/>
      <c r="GT17" s="1981"/>
      <c r="GU17" s="1981"/>
      <c r="GV17" s="1981"/>
      <c r="GW17" s="1981"/>
      <c r="GX17" s="1981"/>
      <c r="GY17" s="1981"/>
      <c r="GZ17" s="1981"/>
      <c r="HA17" s="1981"/>
      <c r="HB17" s="1981"/>
      <c r="HC17" s="1981"/>
      <c r="HD17" s="1981"/>
      <c r="HE17" s="1981"/>
      <c r="HF17" s="1981"/>
      <c r="HG17" s="1981"/>
      <c r="HH17" s="1981"/>
      <c r="HI17" s="1981"/>
      <c r="HJ17" s="1981"/>
      <c r="HK17" s="1981"/>
      <c r="HL17" s="1981"/>
      <c r="HM17" s="1981"/>
      <c r="HN17" s="1981"/>
      <c r="HO17" s="1981"/>
      <c r="HP17" s="1981"/>
      <c r="HQ17" s="1981"/>
      <c r="HR17" s="1981"/>
      <c r="HS17" s="1981"/>
      <c r="HT17" s="1981"/>
      <c r="HU17" s="1981"/>
      <c r="HV17" s="1981"/>
      <c r="HW17" s="1981"/>
      <c r="HX17" s="1981"/>
      <c r="HY17" s="1981"/>
      <c r="HZ17" s="1981"/>
      <c r="IA17" s="1981"/>
      <c r="IB17" s="1981"/>
      <c r="IC17" s="1981"/>
      <c r="ID17" s="1981"/>
      <c r="IE17" s="1981"/>
      <c r="IF17" s="1981"/>
      <c r="IG17" s="1981"/>
      <c r="IH17" s="1981"/>
      <c r="II17" s="1981"/>
      <c r="IJ17" s="1981"/>
      <c r="IK17" s="1981"/>
      <c r="IL17" s="1981"/>
      <c r="IM17" s="1981"/>
      <c r="IN17" s="1981"/>
      <c r="IO17" s="1981"/>
      <c r="IP17" s="1981"/>
      <c r="IQ17" s="1981"/>
    </row>
    <row r="18" spans="1:251" ht="27">
      <c r="A18" s="2021"/>
      <c r="B18" s="2015" t="s">
        <v>540</v>
      </c>
      <c r="C18" s="1945"/>
      <c r="D18" s="2037"/>
      <c r="E18" s="1026"/>
      <c r="F18" s="1942">
        <f>ROUNDUP((E18*$S$5),-3)</f>
        <v>0</v>
      </c>
      <c r="G18" s="1026"/>
      <c r="H18" s="1942">
        <f>D18*F18*G18</f>
        <v>0</v>
      </c>
      <c r="I18" s="1026"/>
      <c r="J18" s="1942">
        <f>I18*$S$4</f>
        <v>0</v>
      </c>
      <c r="K18" s="1026"/>
      <c r="L18" s="1942">
        <f>K18*F18</f>
        <v>0</v>
      </c>
      <c r="M18" s="1942">
        <f>D18*G18*(J18+L18)</f>
        <v>0</v>
      </c>
      <c r="N18" s="1942">
        <f>H18+M18</f>
        <v>0</v>
      </c>
      <c r="O18" s="1026"/>
      <c r="P18" s="1026"/>
      <c r="Q18" s="1942">
        <f>N18+O18+P18</f>
        <v>0</v>
      </c>
      <c r="R18" s="1942">
        <f>Q18*10%</f>
        <v>0</v>
      </c>
      <c r="S18" s="1942">
        <f>(Q18-R18)*10%</f>
        <v>0</v>
      </c>
      <c r="T18" s="1942">
        <f>(Q18-R18)*6%</f>
        <v>0</v>
      </c>
      <c r="U18" s="1942">
        <f>(Q18-R18)*5%</f>
        <v>0</v>
      </c>
      <c r="V18" s="1947"/>
      <c r="W18" s="1947"/>
      <c r="X18" s="1947"/>
      <c r="Y18" s="1947"/>
      <c r="Z18" s="1947"/>
      <c r="AA18" s="1947"/>
      <c r="AB18" s="1947"/>
      <c r="AC18" s="1947"/>
      <c r="AD18" s="1947"/>
      <c r="AE18" s="1947"/>
      <c r="AF18" s="1947"/>
      <c r="AG18" s="1947"/>
      <c r="AH18" s="1947"/>
      <c r="AI18" s="1947"/>
      <c r="AJ18" s="1947"/>
      <c r="AK18" s="1947"/>
      <c r="AL18" s="1947"/>
      <c r="AM18" s="1947"/>
      <c r="AN18" s="1947"/>
      <c r="AO18" s="1947"/>
      <c r="AP18" s="1947"/>
      <c r="AQ18" s="1947"/>
      <c r="AR18" s="1947"/>
      <c r="AS18" s="1947"/>
      <c r="AT18" s="1947"/>
      <c r="AU18" s="1947"/>
      <c r="AV18" s="1947"/>
      <c r="AW18" s="1947"/>
      <c r="AX18" s="1947"/>
      <c r="AY18" s="1947"/>
      <c r="AZ18" s="1947"/>
      <c r="BA18" s="1947"/>
      <c r="BB18" s="1947"/>
      <c r="BC18" s="1947"/>
      <c r="BD18" s="1947"/>
      <c r="BE18" s="1947"/>
      <c r="BF18" s="1947"/>
      <c r="BG18" s="1947"/>
      <c r="BH18" s="1947"/>
      <c r="BI18" s="1947"/>
      <c r="BJ18" s="1947"/>
      <c r="BK18" s="1947"/>
      <c r="BL18" s="1947"/>
      <c r="BM18" s="1947"/>
      <c r="BN18" s="1947"/>
      <c r="BO18" s="1947"/>
      <c r="BP18" s="1947"/>
      <c r="BQ18" s="1947"/>
      <c r="BR18" s="1947"/>
      <c r="BS18" s="1947"/>
      <c r="BT18" s="1947"/>
      <c r="BU18" s="1947"/>
      <c r="BV18" s="1947"/>
      <c r="BW18" s="1947"/>
      <c r="BX18" s="1947"/>
      <c r="BY18" s="1947"/>
      <c r="BZ18" s="1947"/>
      <c r="CA18" s="1947"/>
      <c r="CB18" s="1947"/>
      <c r="CC18" s="1947"/>
      <c r="CD18" s="1947"/>
      <c r="CE18" s="1947"/>
      <c r="CF18" s="1947"/>
      <c r="CG18" s="1947"/>
      <c r="CH18" s="1947"/>
      <c r="CI18" s="1947"/>
      <c r="CJ18" s="1947"/>
      <c r="CK18" s="1947"/>
      <c r="CL18" s="1947"/>
      <c r="CM18" s="1947"/>
      <c r="CN18" s="1947"/>
      <c r="CO18" s="1947"/>
      <c r="CP18" s="1947"/>
      <c r="CQ18" s="1947"/>
      <c r="CR18" s="1947"/>
      <c r="CS18" s="1947"/>
      <c r="CT18" s="1947"/>
      <c r="CU18" s="1947"/>
      <c r="CV18" s="1947"/>
      <c r="CW18" s="1947"/>
      <c r="CX18" s="1947"/>
      <c r="CY18" s="1947"/>
      <c r="CZ18" s="1947"/>
      <c r="DA18" s="1947"/>
      <c r="DB18" s="1947"/>
      <c r="DC18" s="1947"/>
      <c r="DD18" s="1947"/>
      <c r="DE18" s="1947"/>
      <c r="DF18" s="1947"/>
      <c r="DG18" s="1947"/>
      <c r="DH18" s="1947"/>
      <c r="DI18" s="1947"/>
      <c r="DJ18" s="1947"/>
      <c r="DK18" s="1947"/>
      <c r="DL18" s="1947"/>
      <c r="DM18" s="1947"/>
      <c r="DN18" s="1947"/>
      <c r="DO18" s="1947"/>
      <c r="DP18" s="1947"/>
      <c r="DQ18" s="1947"/>
      <c r="DR18" s="1947"/>
      <c r="DS18" s="1947"/>
      <c r="DT18" s="1947"/>
      <c r="DU18" s="1947"/>
      <c r="DV18" s="1947"/>
      <c r="DW18" s="1947"/>
      <c r="DX18" s="1947"/>
      <c r="DY18" s="1947"/>
      <c r="DZ18" s="1947"/>
      <c r="EA18" s="1947"/>
      <c r="EB18" s="1947"/>
      <c r="EC18" s="1947"/>
      <c r="ED18" s="1947"/>
      <c r="EE18" s="1947"/>
      <c r="EF18" s="1947"/>
      <c r="EG18" s="1947"/>
      <c r="EH18" s="1947"/>
      <c r="EI18" s="1947"/>
      <c r="EJ18" s="1947"/>
      <c r="EK18" s="1947"/>
      <c r="EL18" s="1947"/>
      <c r="EM18" s="1947"/>
      <c r="EN18" s="1947"/>
      <c r="EO18" s="1947"/>
      <c r="EP18" s="1947"/>
      <c r="EQ18" s="1947"/>
      <c r="ER18" s="1947"/>
      <c r="ES18" s="1947"/>
      <c r="ET18" s="1947"/>
      <c r="EU18" s="1947"/>
      <c r="EV18" s="1947"/>
      <c r="EW18" s="1947"/>
      <c r="EX18" s="1947"/>
      <c r="EY18" s="1947"/>
      <c r="EZ18" s="1947"/>
      <c r="FA18" s="1947"/>
      <c r="FB18" s="1947"/>
      <c r="FC18" s="1947"/>
      <c r="FD18" s="1947"/>
      <c r="FE18" s="1947"/>
      <c r="FF18" s="1947"/>
      <c r="FG18" s="1947"/>
      <c r="FH18" s="1947"/>
      <c r="FI18" s="1947"/>
      <c r="FJ18" s="1947"/>
      <c r="FK18" s="1947"/>
      <c r="FL18" s="1947"/>
      <c r="FM18" s="1947"/>
      <c r="FN18" s="1947"/>
      <c r="FO18" s="1947"/>
      <c r="FP18" s="1947"/>
      <c r="FQ18" s="1947"/>
      <c r="FR18" s="1947"/>
      <c r="FS18" s="1947"/>
      <c r="FT18" s="1947"/>
      <c r="FU18" s="1947"/>
      <c r="FV18" s="1947"/>
      <c r="FW18" s="1947"/>
      <c r="FX18" s="1947"/>
      <c r="FY18" s="1947"/>
      <c r="FZ18" s="1947"/>
      <c r="GA18" s="1947"/>
      <c r="GB18" s="1947"/>
      <c r="GC18" s="1947"/>
      <c r="GD18" s="1947"/>
      <c r="GE18" s="1947"/>
      <c r="GF18" s="1947"/>
      <c r="GG18" s="1947"/>
      <c r="GH18" s="1947"/>
      <c r="GI18" s="1947"/>
      <c r="GJ18" s="1947"/>
      <c r="GK18" s="1947"/>
      <c r="GL18" s="1947"/>
      <c r="GM18" s="1947"/>
      <c r="GN18" s="1947"/>
      <c r="GO18" s="1947"/>
      <c r="GP18" s="1947"/>
      <c r="GQ18" s="1947"/>
      <c r="GR18" s="1947"/>
      <c r="GS18" s="1947"/>
      <c r="GT18" s="1947"/>
      <c r="GU18" s="1947"/>
      <c r="GV18" s="1947"/>
      <c r="GW18" s="1947"/>
      <c r="GX18" s="1947"/>
      <c r="GY18" s="1947"/>
      <c r="GZ18" s="1947"/>
      <c r="HA18" s="1947"/>
      <c r="HB18" s="1947"/>
      <c r="HC18" s="1947"/>
      <c r="HD18" s="1947"/>
      <c r="HE18" s="1947"/>
      <c r="HF18" s="1947"/>
      <c r="HG18" s="1947"/>
      <c r="HH18" s="1947"/>
      <c r="HI18" s="1947"/>
      <c r="HJ18" s="1947"/>
      <c r="HK18" s="1947"/>
      <c r="HL18" s="1947"/>
      <c r="HM18" s="1947"/>
      <c r="HN18" s="1947"/>
      <c r="HO18" s="1947"/>
      <c r="HP18" s="1947"/>
      <c r="HQ18" s="1947"/>
      <c r="HR18" s="1947"/>
      <c r="HS18" s="1947"/>
      <c r="HT18" s="1947"/>
      <c r="HU18" s="1947"/>
      <c r="HV18" s="1947"/>
      <c r="HW18" s="1947"/>
      <c r="HX18" s="1947"/>
      <c r="HY18" s="1947"/>
      <c r="HZ18" s="1947"/>
      <c r="IA18" s="1947"/>
      <c r="IB18" s="1947"/>
      <c r="IC18" s="1947"/>
      <c r="ID18" s="1947"/>
      <c r="IE18" s="1947"/>
      <c r="IF18" s="1947"/>
      <c r="IG18" s="1947"/>
      <c r="IH18" s="1947"/>
      <c r="II18" s="1947"/>
      <c r="IJ18" s="1947"/>
      <c r="IK18" s="1947"/>
      <c r="IL18" s="1947"/>
      <c r="IM18" s="1947"/>
      <c r="IN18" s="1947"/>
      <c r="IO18" s="1947"/>
      <c r="IP18" s="1947"/>
      <c r="IQ18" s="1947"/>
    </row>
    <row r="19" spans="1:251">
      <c r="A19" s="2021">
        <v>4</v>
      </c>
      <c r="B19" s="1958" t="s">
        <v>541</v>
      </c>
      <c r="C19" s="1945"/>
      <c r="D19" s="2037">
        <v>1</v>
      </c>
      <c r="E19" s="1026"/>
      <c r="F19" s="1946">
        <v>320000</v>
      </c>
      <c r="G19" s="1026">
        <v>12</v>
      </c>
      <c r="H19" s="1942">
        <f>D19*F19*G19</f>
        <v>3840000</v>
      </c>
      <c r="I19" s="1026"/>
      <c r="J19" s="1942">
        <f>I19*$S$4</f>
        <v>0</v>
      </c>
      <c r="K19" s="1026"/>
      <c r="L19" s="1942">
        <f>K19*F19</f>
        <v>0</v>
      </c>
      <c r="M19" s="1942">
        <f>D19*G19*(J19+L19)</f>
        <v>0</v>
      </c>
      <c r="N19" s="1942">
        <f>H19+M19</f>
        <v>3840000</v>
      </c>
      <c r="O19" s="1026">
        <f>F19*D19*2</f>
        <v>640000</v>
      </c>
      <c r="P19" s="1026">
        <f>F19*D19*4</f>
        <v>1280000</v>
      </c>
      <c r="Q19" s="2904">
        <f>N19+O19+P19</f>
        <v>5760000</v>
      </c>
      <c r="R19" s="1942">
        <f>Q19*10%</f>
        <v>576000</v>
      </c>
      <c r="S19" s="1942">
        <f>(Q19-R19)*10%</f>
        <v>518400</v>
      </c>
      <c r="T19" s="1942">
        <f>(Q19-R19)*6%</f>
        <v>311040</v>
      </c>
      <c r="U19" s="1942">
        <f>(Q19-R19)*5%</f>
        <v>259200</v>
      </c>
      <c r="V19" s="1947">
        <v>320000</v>
      </c>
      <c r="W19" s="1947"/>
      <c r="X19" s="1947"/>
      <c r="Y19" s="1947"/>
      <c r="Z19" s="1947"/>
      <c r="AA19" s="1947"/>
      <c r="AB19" s="1947"/>
      <c r="AC19" s="1947"/>
      <c r="AD19" s="1947"/>
      <c r="AE19" s="1947"/>
      <c r="AF19" s="1947"/>
      <c r="AG19" s="1947"/>
      <c r="AH19" s="1947"/>
      <c r="AI19" s="1947"/>
      <c r="AJ19" s="1947"/>
      <c r="AK19" s="1947"/>
      <c r="AL19" s="1947"/>
      <c r="AM19" s="1947"/>
      <c r="AN19" s="1947"/>
      <c r="AO19" s="1947"/>
      <c r="AP19" s="1947"/>
      <c r="AQ19" s="1947"/>
      <c r="AR19" s="1947"/>
      <c r="AS19" s="1947"/>
      <c r="AT19" s="1947"/>
      <c r="AU19" s="1947"/>
      <c r="AV19" s="1947"/>
      <c r="AW19" s="1947"/>
      <c r="AX19" s="1947"/>
      <c r="AY19" s="1947"/>
      <c r="AZ19" s="1947"/>
      <c r="BA19" s="1947"/>
      <c r="BB19" s="1947"/>
      <c r="BC19" s="1947"/>
      <c r="BD19" s="1947"/>
      <c r="BE19" s="1947"/>
      <c r="BF19" s="1947"/>
      <c r="BG19" s="1947"/>
      <c r="BH19" s="1947"/>
      <c r="BI19" s="1947"/>
      <c r="BJ19" s="1947"/>
      <c r="BK19" s="1947"/>
      <c r="BL19" s="1947"/>
      <c r="BM19" s="1947"/>
      <c r="BN19" s="1947"/>
      <c r="BO19" s="1947"/>
      <c r="BP19" s="1947"/>
      <c r="BQ19" s="1947"/>
      <c r="BR19" s="1947"/>
      <c r="BS19" s="1947"/>
      <c r="BT19" s="1947"/>
      <c r="BU19" s="1947"/>
      <c r="BV19" s="1947"/>
      <c r="BW19" s="1947"/>
      <c r="BX19" s="1947"/>
      <c r="BY19" s="1947"/>
      <c r="BZ19" s="1947"/>
      <c r="CA19" s="1947"/>
      <c r="CB19" s="1947"/>
      <c r="CC19" s="1947"/>
      <c r="CD19" s="1947"/>
      <c r="CE19" s="1947"/>
      <c r="CF19" s="1947"/>
      <c r="CG19" s="1947"/>
      <c r="CH19" s="1947"/>
      <c r="CI19" s="1947"/>
      <c r="CJ19" s="1947"/>
      <c r="CK19" s="1947"/>
      <c r="CL19" s="1947"/>
      <c r="CM19" s="1947"/>
      <c r="CN19" s="1947"/>
      <c r="CO19" s="1947"/>
      <c r="CP19" s="1947"/>
      <c r="CQ19" s="1947"/>
      <c r="CR19" s="1947"/>
      <c r="CS19" s="1947"/>
      <c r="CT19" s="1947"/>
      <c r="CU19" s="1947"/>
      <c r="CV19" s="1947"/>
      <c r="CW19" s="1947"/>
      <c r="CX19" s="1947"/>
      <c r="CY19" s="1947"/>
      <c r="CZ19" s="1947"/>
      <c r="DA19" s="1947"/>
      <c r="DB19" s="1947"/>
      <c r="DC19" s="1947"/>
      <c r="DD19" s="1947"/>
      <c r="DE19" s="1947"/>
      <c r="DF19" s="1947"/>
      <c r="DG19" s="1947"/>
      <c r="DH19" s="1947"/>
      <c r="DI19" s="1947"/>
      <c r="DJ19" s="1947"/>
      <c r="DK19" s="1947"/>
      <c r="DL19" s="1947"/>
      <c r="DM19" s="1947"/>
      <c r="DN19" s="1947"/>
      <c r="DO19" s="1947"/>
      <c r="DP19" s="1947"/>
      <c r="DQ19" s="1947"/>
      <c r="DR19" s="1947"/>
      <c r="DS19" s="1947"/>
      <c r="DT19" s="1947"/>
      <c r="DU19" s="1947"/>
      <c r="DV19" s="1947"/>
      <c r="DW19" s="1947"/>
      <c r="DX19" s="1947"/>
      <c r="DY19" s="1947"/>
      <c r="DZ19" s="1947"/>
      <c r="EA19" s="1947"/>
      <c r="EB19" s="1947"/>
      <c r="EC19" s="1947"/>
      <c r="ED19" s="1947"/>
      <c r="EE19" s="1947"/>
      <c r="EF19" s="1947"/>
      <c r="EG19" s="1947"/>
      <c r="EH19" s="1947"/>
      <c r="EI19" s="1947"/>
      <c r="EJ19" s="1947"/>
      <c r="EK19" s="1947"/>
      <c r="EL19" s="1947"/>
      <c r="EM19" s="1947"/>
      <c r="EN19" s="1947"/>
      <c r="EO19" s="1947"/>
      <c r="EP19" s="1947"/>
      <c r="EQ19" s="1947"/>
      <c r="ER19" s="1947"/>
      <c r="ES19" s="1947"/>
      <c r="ET19" s="1947"/>
      <c r="EU19" s="1947"/>
      <c r="EV19" s="1947"/>
      <c r="EW19" s="1947"/>
      <c r="EX19" s="1947"/>
      <c r="EY19" s="1947"/>
      <c r="EZ19" s="1947"/>
      <c r="FA19" s="1947"/>
      <c r="FB19" s="1947"/>
      <c r="FC19" s="1947"/>
      <c r="FD19" s="1947"/>
      <c r="FE19" s="1947"/>
      <c r="FF19" s="1947"/>
      <c r="FG19" s="1947"/>
      <c r="FH19" s="1947"/>
      <c r="FI19" s="1947"/>
      <c r="FJ19" s="1947"/>
      <c r="FK19" s="1947"/>
      <c r="FL19" s="1947"/>
      <c r="FM19" s="1947"/>
      <c r="FN19" s="1947"/>
      <c r="FO19" s="1947"/>
      <c r="FP19" s="1947"/>
      <c r="FQ19" s="1947"/>
      <c r="FR19" s="1947"/>
      <c r="FS19" s="1947"/>
      <c r="FT19" s="1947"/>
      <c r="FU19" s="1947"/>
      <c r="FV19" s="1947"/>
      <c r="FW19" s="1947"/>
      <c r="FX19" s="1947"/>
      <c r="FY19" s="1947"/>
      <c r="FZ19" s="1947"/>
      <c r="GA19" s="1947"/>
      <c r="GB19" s="1947"/>
      <c r="GC19" s="1947"/>
      <c r="GD19" s="1947"/>
      <c r="GE19" s="1947"/>
      <c r="GF19" s="1947"/>
      <c r="GG19" s="1947"/>
      <c r="GH19" s="1947"/>
      <c r="GI19" s="1947"/>
      <c r="GJ19" s="1947"/>
      <c r="GK19" s="1947"/>
      <c r="GL19" s="1947"/>
      <c r="GM19" s="1947"/>
      <c r="GN19" s="1947"/>
      <c r="GO19" s="1947"/>
      <c r="GP19" s="1947"/>
      <c r="GQ19" s="1947"/>
      <c r="GR19" s="1947"/>
      <c r="GS19" s="1947"/>
      <c r="GT19" s="1947"/>
      <c r="GU19" s="1947"/>
      <c r="GV19" s="1947"/>
      <c r="GW19" s="1947"/>
      <c r="GX19" s="1947"/>
      <c r="GY19" s="1947"/>
      <c r="GZ19" s="1947"/>
      <c r="HA19" s="1947"/>
      <c r="HB19" s="1947"/>
      <c r="HC19" s="1947"/>
      <c r="HD19" s="1947"/>
      <c r="HE19" s="1947"/>
      <c r="HF19" s="1947"/>
      <c r="HG19" s="1947"/>
      <c r="HH19" s="1947"/>
      <c r="HI19" s="1947"/>
      <c r="HJ19" s="1947"/>
      <c r="HK19" s="1947"/>
      <c r="HL19" s="1947"/>
      <c r="HM19" s="1947"/>
      <c r="HN19" s="1947"/>
      <c r="HO19" s="1947"/>
      <c r="HP19" s="1947"/>
      <c r="HQ19" s="1947"/>
      <c r="HR19" s="1947"/>
      <c r="HS19" s="1947"/>
      <c r="HT19" s="1947"/>
      <c r="HU19" s="1947"/>
      <c r="HV19" s="1947"/>
      <c r="HW19" s="1947"/>
      <c r="HX19" s="1947"/>
      <c r="HY19" s="1947"/>
      <c r="HZ19" s="1947"/>
      <c r="IA19" s="1947"/>
      <c r="IB19" s="1947"/>
      <c r="IC19" s="1947"/>
      <c r="ID19" s="1947"/>
      <c r="IE19" s="1947"/>
      <c r="IF19" s="1947"/>
      <c r="IG19" s="1947"/>
      <c r="IH19" s="1947"/>
      <c r="II19" s="1947"/>
      <c r="IJ19" s="1947"/>
      <c r="IK19" s="1947"/>
      <c r="IL19" s="1947"/>
      <c r="IM19" s="1947"/>
      <c r="IN19" s="1947"/>
      <c r="IO19" s="1947"/>
      <c r="IP19" s="1947"/>
      <c r="IQ19" s="1947"/>
    </row>
    <row r="20" spans="1:251">
      <c r="A20" s="2021">
        <v>5</v>
      </c>
      <c r="B20" s="1958" t="s">
        <v>542</v>
      </c>
      <c r="C20" s="1945"/>
      <c r="D20" s="2037">
        <v>0</v>
      </c>
      <c r="E20" s="1026"/>
      <c r="F20" s="1946">
        <v>0</v>
      </c>
      <c r="G20" s="1026">
        <v>12</v>
      </c>
      <c r="H20" s="1942">
        <f>D20*F20*G20</f>
        <v>0</v>
      </c>
      <c r="I20" s="1026"/>
      <c r="J20" s="1942">
        <f>I20*$S$4</f>
        <v>0</v>
      </c>
      <c r="K20" s="1026"/>
      <c r="L20" s="1942">
        <f>K20*F20</f>
        <v>0</v>
      </c>
      <c r="M20" s="1942">
        <f>D20*G20*(J20+L20)</f>
        <v>0</v>
      </c>
      <c r="N20" s="1942">
        <f>H20+M20</f>
        <v>0</v>
      </c>
      <c r="O20" s="1026">
        <f>F20*D20*2</f>
        <v>0</v>
      </c>
      <c r="P20" s="1026">
        <f t="shared" ref="P20" si="16">F20*D20*2</f>
        <v>0</v>
      </c>
      <c r="Q20" s="2904">
        <f>N20+O20+P20</f>
        <v>0</v>
      </c>
      <c r="R20" s="1942">
        <f>Q20*10%</f>
        <v>0</v>
      </c>
      <c r="S20" s="1942">
        <f>(Q20-R20)*10%</f>
        <v>0</v>
      </c>
      <c r="T20" s="1942">
        <f>(Q20-R20)*6%</f>
        <v>0</v>
      </c>
      <c r="U20" s="1942">
        <f>(Q20-R20)*5%</f>
        <v>0</v>
      </c>
      <c r="V20" s="1947"/>
      <c r="W20" s="1947"/>
      <c r="X20" s="1947"/>
      <c r="Y20" s="1947"/>
      <c r="Z20" s="1947"/>
      <c r="AA20" s="1947"/>
      <c r="AB20" s="1947"/>
      <c r="AC20" s="1947"/>
      <c r="AD20" s="1947"/>
      <c r="AE20" s="1947"/>
      <c r="AF20" s="1947"/>
      <c r="AG20" s="1947"/>
      <c r="AH20" s="1947"/>
      <c r="AI20" s="1947"/>
      <c r="AJ20" s="1947"/>
      <c r="AK20" s="1947"/>
      <c r="AL20" s="1947"/>
      <c r="AM20" s="1947"/>
      <c r="AN20" s="1947"/>
      <c r="AO20" s="1947"/>
      <c r="AP20" s="1947"/>
      <c r="AQ20" s="1947"/>
      <c r="AR20" s="1947"/>
      <c r="AS20" s="1947"/>
      <c r="AT20" s="1947"/>
      <c r="AU20" s="1947"/>
      <c r="AV20" s="1947"/>
      <c r="AW20" s="1947"/>
      <c r="AX20" s="1947"/>
      <c r="AY20" s="1947"/>
      <c r="AZ20" s="1947"/>
      <c r="BA20" s="1947"/>
      <c r="BB20" s="1947"/>
      <c r="BC20" s="1947"/>
      <c r="BD20" s="1947"/>
      <c r="BE20" s="1947"/>
      <c r="BF20" s="1947"/>
      <c r="BG20" s="1947"/>
      <c r="BH20" s="1947"/>
      <c r="BI20" s="1947"/>
      <c r="BJ20" s="1947"/>
      <c r="BK20" s="1947"/>
      <c r="BL20" s="1947"/>
      <c r="BM20" s="1947"/>
      <c r="BN20" s="1947"/>
      <c r="BO20" s="1947"/>
      <c r="BP20" s="1947"/>
      <c r="BQ20" s="1947"/>
      <c r="BR20" s="1947"/>
      <c r="BS20" s="1947"/>
      <c r="BT20" s="1947"/>
      <c r="BU20" s="1947"/>
      <c r="BV20" s="1947"/>
      <c r="BW20" s="1947"/>
      <c r="BX20" s="1947"/>
      <c r="BY20" s="1947"/>
      <c r="BZ20" s="1947"/>
      <c r="CA20" s="1947"/>
      <c r="CB20" s="1947"/>
      <c r="CC20" s="1947"/>
      <c r="CD20" s="1947"/>
      <c r="CE20" s="1947"/>
      <c r="CF20" s="1947"/>
      <c r="CG20" s="1947"/>
      <c r="CH20" s="1947"/>
      <c r="CI20" s="1947"/>
      <c r="CJ20" s="1947"/>
      <c r="CK20" s="1947"/>
      <c r="CL20" s="1947"/>
      <c r="CM20" s="1947"/>
      <c r="CN20" s="1947"/>
      <c r="CO20" s="1947"/>
      <c r="CP20" s="1947"/>
      <c r="CQ20" s="1947"/>
      <c r="CR20" s="1947"/>
      <c r="CS20" s="1947"/>
      <c r="CT20" s="1947"/>
      <c r="CU20" s="1947"/>
      <c r="CV20" s="1947"/>
      <c r="CW20" s="1947"/>
      <c r="CX20" s="1947"/>
      <c r="CY20" s="1947"/>
      <c r="CZ20" s="1947"/>
      <c r="DA20" s="1947"/>
      <c r="DB20" s="1947"/>
      <c r="DC20" s="1947"/>
      <c r="DD20" s="1947"/>
      <c r="DE20" s="1947"/>
      <c r="DF20" s="1947"/>
      <c r="DG20" s="1947"/>
      <c r="DH20" s="1947"/>
      <c r="DI20" s="1947"/>
      <c r="DJ20" s="1947"/>
      <c r="DK20" s="1947"/>
      <c r="DL20" s="1947"/>
      <c r="DM20" s="1947"/>
      <c r="DN20" s="1947"/>
      <c r="DO20" s="1947"/>
      <c r="DP20" s="1947"/>
      <c r="DQ20" s="1947"/>
      <c r="DR20" s="1947"/>
      <c r="DS20" s="1947"/>
      <c r="DT20" s="1947"/>
      <c r="DU20" s="1947"/>
      <c r="DV20" s="1947"/>
      <c r="DW20" s="1947"/>
      <c r="DX20" s="1947"/>
      <c r="DY20" s="1947"/>
      <c r="DZ20" s="1947"/>
      <c r="EA20" s="1947"/>
      <c r="EB20" s="1947"/>
      <c r="EC20" s="1947"/>
      <c r="ED20" s="1947"/>
      <c r="EE20" s="1947"/>
      <c r="EF20" s="1947"/>
      <c r="EG20" s="1947"/>
      <c r="EH20" s="1947"/>
      <c r="EI20" s="1947"/>
      <c r="EJ20" s="1947"/>
      <c r="EK20" s="1947"/>
      <c r="EL20" s="1947"/>
      <c r="EM20" s="1947"/>
      <c r="EN20" s="1947"/>
      <c r="EO20" s="1947"/>
      <c r="EP20" s="1947"/>
      <c r="EQ20" s="1947"/>
      <c r="ER20" s="1947"/>
      <c r="ES20" s="1947"/>
      <c r="ET20" s="1947"/>
      <c r="EU20" s="1947"/>
      <c r="EV20" s="1947"/>
      <c r="EW20" s="1947"/>
      <c r="EX20" s="1947"/>
      <c r="EY20" s="1947"/>
      <c r="EZ20" s="1947"/>
      <c r="FA20" s="1947"/>
      <c r="FB20" s="1947"/>
      <c r="FC20" s="1947"/>
      <c r="FD20" s="1947"/>
      <c r="FE20" s="1947"/>
      <c r="FF20" s="1947"/>
      <c r="FG20" s="1947"/>
      <c r="FH20" s="1947"/>
      <c r="FI20" s="1947"/>
      <c r="FJ20" s="1947"/>
      <c r="FK20" s="1947"/>
      <c r="FL20" s="1947"/>
      <c r="FM20" s="1947"/>
      <c r="FN20" s="1947"/>
      <c r="FO20" s="1947"/>
      <c r="FP20" s="1947"/>
      <c r="FQ20" s="1947"/>
      <c r="FR20" s="1947"/>
      <c r="FS20" s="1947"/>
      <c r="FT20" s="1947"/>
      <c r="FU20" s="1947"/>
      <c r="FV20" s="1947"/>
      <c r="FW20" s="1947"/>
      <c r="FX20" s="1947"/>
      <c r="FY20" s="1947"/>
      <c r="FZ20" s="1947"/>
      <c r="GA20" s="1947"/>
      <c r="GB20" s="1947"/>
      <c r="GC20" s="1947"/>
      <c r="GD20" s="1947"/>
      <c r="GE20" s="1947"/>
      <c r="GF20" s="1947"/>
      <c r="GG20" s="1947"/>
      <c r="GH20" s="1947"/>
      <c r="GI20" s="1947"/>
      <c r="GJ20" s="1947"/>
      <c r="GK20" s="1947"/>
      <c r="GL20" s="1947"/>
      <c r="GM20" s="1947"/>
      <c r="GN20" s="1947"/>
      <c r="GO20" s="1947"/>
      <c r="GP20" s="1947"/>
      <c r="GQ20" s="1947"/>
      <c r="GR20" s="1947"/>
      <c r="GS20" s="1947"/>
      <c r="GT20" s="1947"/>
      <c r="GU20" s="1947"/>
      <c r="GV20" s="1947"/>
      <c r="GW20" s="1947"/>
      <c r="GX20" s="1947"/>
      <c r="GY20" s="1947"/>
      <c r="GZ20" s="1947"/>
      <c r="HA20" s="1947"/>
      <c r="HB20" s="1947"/>
      <c r="HC20" s="1947"/>
      <c r="HD20" s="1947"/>
      <c r="HE20" s="1947"/>
      <c r="HF20" s="1947"/>
      <c r="HG20" s="1947"/>
      <c r="HH20" s="1947"/>
      <c r="HI20" s="1947"/>
      <c r="HJ20" s="1947"/>
      <c r="HK20" s="1947"/>
      <c r="HL20" s="1947"/>
      <c r="HM20" s="1947"/>
      <c r="HN20" s="1947"/>
      <c r="HO20" s="1947"/>
      <c r="HP20" s="1947"/>
      <c r="HQ20" s="1947"/>
      <c r="HR20" s="1947"/>
      <c r="HS20" s="1947"/>
      <c r="HT20" s="1947"/>
      <c r="HU20" s="1947"/>
      <c r="HV20" s="1947"/>
      <c r="HW20" s="1947"/>
      <c r="HX20" s="1947"/>
      <c r="HY20" s="1947"/>
      <c r="HZ20" s="1947"/>
      <c r="IA20" s="1947"/>
      <c r="IB20" s="1947"/>
      <c r="IC20" s="1947"/>
      <c r="ID20" s="1947"/>
      <c r="IE20" s="1947"/>
      <c r="IF20" s="1947"/>
      <c r="IG20" s="1947"/>
      <c r="IH20" s="1947"/>
      <c r="II20" s="1947"/>
      <c r="IJ20" s="1947"/>
      <c r="IK20" s="1947"/>
      <c r="IL20" s="1947"/>
      <c r="IM20" s="1947"/>
      <c r="IN20" s="1947"/>
      <c r="IO20" s="1947"/>
      <c r="IP20" s="1947"/>
      <c r="IQ20" s="1947"/>
    </row>
    <row r="21" spans="1:251" ht="15" customHeight="1">
      <c r="A21" s="2021">
        <v>6</v>
      </c>
      <c r="B21" s="1958" t="s">
        <v>543</v>
      </c>
      <c r="C21" s="1945"/>
      <c r="D21" s="2037">
        <v>1</v>
      </c>
      <c r="E21" s="1026"/>
      <c r="F21" s="1946">
        <v>220000</v>
      </c>
      <c r="G21" s="1026">
        <v>12</v>
      </c>
      <c r="H21" s="1942">
        <f>D21*F21*G21</f>
        <v>2640000</v>
      </c>
      <c r="I21" s="1026"/>
      <c r="J21" s="1942">
        <f>I21*$S$4</f>
        <v>0</v>
      </c>
      <c r="K21" s="1026"/>
      <c r="L21" s="1942">
        <f>K21*F21</f>
        <v>0</v>
      </c>
      <c r="M21" s="1942">
        <f>D21*G21*(J21+L21)</f>
        <v>0</v>
      </c>
      <c r="N21" s="1942">
        <f>H21+M21</f>
        <v>2640000</v>
      </c>
      <c r="O21" s="1026">
        <f>F21*D21*2</f>
        <v>440000</v>
      </c>
      <c r="P21" s="1026">
        <f>F21*D21*4</f>
        <v>880000</v>
      </c>
      <c r="Q21" s="1942">
        <f>N21+O21+P21</f>
        <v>3960000</v>
      </c>
      <c r="R21" s="1942">
        <f>Q21*10%</f>
        <v>396000</v>
      </c>
      <c r="S21" s="1942">
        <f>(Q21-R21)*10%</f>
        <v>356400</v>
      </c>
      <c r="T21" s="1942">
        <f>(Q21-R21)*6%</f>
        <v>213840</v>
      </c>
      <c r="U21" s="1942">
        <f>(Q21-R21)*5%</f>
        <v>178200</v>
      </c>
      <c r="V21" s="1947">
        <v>220000</v>
      </c>
      <c r="W21" s="1947"/>
      <c r="X21" s="1947"/>
      <c r="Y21" s="1947"/>
      <c r="Z21" s="1947"/>
      <c r="AA21" s="1947"/>
      <c r="AB21" s="1947"/>
      <c r="AC21" s="1947"/>
      <c r="AD21" s="1947"/>
      <c r="AE21" s="1947"/>
      <c r="AF21" s="1947"/>
      <c r="AG21" s="1947"/>
      <c r="AH21" s="1947"/>
      <c r="AI21" s="1947"/>
      <c r="AJ21" s="1947"/>
      <c r="AK21" s="1947"/>
      <c r="AL21" s="1947"/>
      <c r="AM21" s="1947"/>
      <c r="AN21" s="1947"/>
      <c r="AO21" s="1947"/>
      <c r="AP21" s="1947"/>
      <c r="AQ21" s="1947"/>
      <c r="AR21" s="1947"/>
      <c r="AS21" s="1947"/>
      <c r="AT21" s="1947"/>
      <c r="AU21" s="1947"/>
      <c r="AV21" s="1947"/>
      <c r="AW21" s="1947"/>
      <c r="AX21" s="1947"/>
      <c r="AY21" s="1947"/>
      <c r="AZ21" s="1947"/>
      <c r="BA21" s="1947"/>
      <c r="BB21" s="1947"/>
      <c r="BC21" s="1947"/>
      <c r="BD21" s="1947"/>
      <c r="BE21" s="1947"/>
      <c r="BF21" s="1947"/>
      <c r="BG21" s="1947"/>
      <c r="BH21" s="1947"/>
      <c r="BI21" s="1947"/>
      <c r="BJ21" s="1947"/>
      <c r="BK21" s="1947"/>
      <c r="BL21" s="1947"/>
      <c r="BM21" s="1947"/>
      <c r="BN21" s="1947"/>
      <c r="BO21" s="1947"/>
      <c r="BP21" s="1947"/>
      <c r="BQ21" s="1947"/>
      <c r="BR21" s="1947"/>
      <c r="BS21" s="1947"/>
      <c r="BT21" s="1947"/>
      <c r="BU21" s="1947"/>
      <c r="BV21" s="1947"/>
      <c r="BW21" s="1947"/>
      <c r="BX21" s="1947"/>
      <c r="BY21" s="1947"/>
      <c r="BZ21" s="1947"/>
      <c r="CA21" s="1947"/>
      <c r="CB21" s="1947"/>
      <c r="CC21" s="1947"/>
      <c r="CD21" s="1947"/>
      <c r="CE21" s="1947"/>
      <c r="CF21" s="1947"/>
      <c r="CG21" s="1947"/>
      <c r="CH21" s="1947"/>
      <c r="CI21" s="1947"/>
      <c r="CJ21" s="1947"/>
      <c r="CK21" s="1947"/>
      <c r="CL21" s="1947"/>
      <c r="CM21" s="1947"/>
      <c r="CN21" s="1947"/>
      <c r="CO21" s="1947"/>
      <c r="CP21" s="1947"/>
      <c r="CQ21" s="1947"/>
      <c r="CR21" s="1947"/>
      <c r="CS21" s="1947"/>
      <c r="CT21" s="1947"/>
      <c r="CU21" s="1947"/>
      <c r="CV21" s="1947"/>
      <c r="CW21" s="1947"/>
      <c r="CX21" s="1947"/>
      <c r="CY21" s="1947"/>
      <c r="CZ21" s="1947"/>
      <c r="DA21" s="1947"/>
      <c r="DB21" s="1947"/>
      <c r="DC21" s="1947"/>
      <c r="DD21" s="1947"/>
      <c r="DE21" s="1947"/>
      <c r="DF21" s="1947"/>
      <c r="DG21" s="1947"/>
      <c r="DH21" s="1947"/>
      <c r="DI21" s="1947"/>
      <c r="DJ21" s="1947"/>
      <c r="DK21" s="1947"/>
      <c r="DL21" s="1947"/>
      <c r="DM21" s="1947"/>
      <c r="DN21" s="1947"/>
      <c r="DO21" s="1947"/>
      <c r="DP21" s="1947"/>
      <c r="DQ21" s="1947"/>
      <c r="DR21" s="1947"/>
      <c r="DS21" s="1947"/>
      <c r="DT21" s="1947"/>
      <c r="DU21" s="1947"/>
      <c r="DV21" s="1947"/>
      <c r="DW21" s="1947"/>
      <c r="DX21" s="1947"/>
      <c r="DY21" s="1947"/>
      <c r="DZ21" s="1947"/>
      <c r="EA21" s="1947"/>
      <c r="EB21" s="1947"/>
      <c r="EC21" s="1947"/>
      <c r="ED21" s="1947"/>
      <c r="EE21" s="1947"/>
      <c r="EF21" s="1947"/>
      <c r="EG21" s="1947"/>
      <c r="EH21" s="1947"/>
      <c r="EI21" s="1947"/>
      <c r="EJ21" s="1947"/>
      <c r="EK21" s="1947"/>
      <c r="EL21" s="1947"/>
      <c r="EM21" s="1947"/>
      <c r="EN21" s="1947"/>
      <c r="EO21" s="1947"/>
      <c r="EP21" s="1947"/>
      <c r="EQ21" s="1947"/>
      <c r="ER21" s="1947"/>
      <c r="ES21" s="1947"/>
      <c r="ET21" s="1947"/>
      <c r="EU21" s="1947"/>
      <c r="EV21" s="1947"/>
      <c r="EW21" s="1947"/>
      <c r="EX21" s="1947"/>
      <c r="EY21" s="1947"/>
      <c r="EZ21" s="1947"/>
      <c r="FA21" s="1947"/>
      <c r="FB21" s="1947"/>
      <c r="FC21" s="1947"/>
      <c r="FD21" s="1947"/>
      <c r="FE21" s="1947"/>
      <c r="FF21" s="1947"/>
      <c r="FG21" s="1947"/>
      <c r="FH21" s="1947"/>
      <c r="FI21" s="1947"/>
      <c r="FJ21" s="1947"/>
      <c r="FK21" s="1947"/>
      <c r="FL21" s="1947"/>
      <c r="FM21" s="1947"/>
      <c r="FN21" s="1947"/>
      <c r="FO21" s="1947"/>
      <c r="FP21" s="1947"/>
      <c r="FQ21" s="1947"/>
      <c r="FR21" s="1947"/>
      <c r="FS21" s="1947"/>
      <c r="FT21" s="1947"/>
      <c r="FU21" s="1947"/>
      <c r="FV21" s="1947"/>
      <c r="FW21" s="1947"/>
      <c r="FX21" s="1947"/>
      <c r="FY21" s="1947"/>
      <c r="FZ21" s="1947"/>
      <c r="GA21" s="1947"/>
      <c r="GB21" s="1947"/>
      <c r="GC21" s="1947"/>
      <c r="GD21" s="1947"/>
      <c r="GE21" s="1947"/>
      <c r="GF21" s="1947"/>
      <c r="GG21" s="1947"/>
      <c r="GH21" s="1947"/>
      <c r="GI21" s="1947"/>
      <c r="GJ21" s="1947"/>
      <c r="GK21" s="1947"/>
      <c r="GL21" s="1947"/>
      <c r="GM21" s="1947"/>
      <c r="GN21" s="1947"/>
      <c r="GO21" s="1947"/>
      <c r="GP21" s="1947"/>
      <c r="GQ21" s="1947"/>
      <c r="GR21" s="1947"/>
      <c r="GS21" s="1947"/>
      <c r="GT21" s="1947"/>
      <c r="GU21" s="1947"/>
      <c r="GV21" s="1947"/>
      <c r="GW21" s="1947"/>
      <c r="GX21" s="1947"/>
      <c r="GY21" s="1947"/>
      <c r="GZ21" s="1947"/>
      <c r="HA21" s="1947"/>
      <c r="HB21" s="1947"/>
      <c r="HC21" s="1947"/>
      <c r="HD21" s="1947"/>
      <c r="HE21" s="1947"/>
      <c r="HF21" s="1947"/>
      <c r="HG21" s="1947"/>
      <c r="HH21" s="1947"/>
      <c r="HI21" s="1947"/>
      <c r="HJ21" s="1947"/>
      <c r="HK21" s="1947"/>
      <c r="HL21" s="1947"/>
      <c r="HM21" s="1947"/>
      <c r="HN21" s="1947"/>
      <c r="HO21" s="1947"/>
      <c r="HP21" s="1947"/>
      <c r="HQ21" s="1947"/>
      <c r="HR21" s="1947"/>
      <c r="HS21" s="1947"/>
      <c r="HT21" s="1947"/>
      <c r="HU21" s="1947"/>
      <c r="HV21" s="1947"/>
      <c r="HW21" s="1947"/>
      <c r="HX21" s="1947"/>
      <c r="HY21" s="1947"/>
      <c r="HZ21" s="1947"/>
      <c r="IA21" s="1947"/>
      <c r="IB21" s="1947"/>
      <c r="IC21" s="1947"/>
      <c r="ID21" s="1947"/>
      <c r="IE21" s="1947"/>
      <c r="IF21" s="1947"/>
      <c r="IG21" s="1947"/>
      <c r="IH21" s="1947"/>
      <c r="II21" s="1947"/>
      <c r="IJ21" s="1947"/>
      <c r="IK21" s="1947"/>
      <c r="IL21" s="1947"/>
      <c r="IM21" s="1947"/>
      <c r="IN21" s="1947"/>
      <c r="IO21" s="1947"/>
      <c r="IP21" s="1947"/>
      <c r="IQ21" s="1947"/>
    </row>
    <row r="22" spans="1:251">
      <c r="A22" s="1960"/>
      <c r="B22" s="1961"/>
      <c r="C22" s="1961"/>
      <c r="D22" s="1961"/>
      <c r="E22" s="1962"/>
      <c r="F22" s="1962"/>
      <c r="G22" s="1962"/>
      <c r="H22" s="1962"/>
      <c r="I22" s="1962"/>
      <c r="J22" s="1962"/>
      <c r="K22" s="1962"/>
      <c r="L22" s="1962"/>
      <c r="M22" s="1962"/>
      <c r="N22" s="1962"/>
      <c r="O22" s="1962"/>
      <c r="P22" s="1962"/>
      <c r="Q22" s="1962"/>
      <c r="R22" s="1947"/>
      <c r="S22" s="1947"/>
      <c r="T22" s="1947"/>
      <c r="U22" s="1947"/>
      <c r="V22" s="1947"/>
      <c r="W22" s="1947"/>
      <c r="X22" s="1947"/>
      <c r="Y22" s="1947"/>
      <c r="Z22" s="1947"/>
      <c r="AA22" s="1947"/>
      <c r="AB22" s="1947"/>
      <c r="AC22" s="1947"/>
      <c r="AD22" s="1947"/>
      <c r="AE22" s="1947"/>
      <c r="AF22" s="1947"/>
      <c r="AG22" s="1947"/>
      <c r="AH22" s="1947"/>
      <c r="AI22" s="1947"/>
      <c r="AJ22" s="1947"/>
      <c r="AK22" s="1947"/>
      <c r="AL22" s="1947"/>
      <c r="AM22" s="1947"/>
      <c r="AN22" s="1947"/>
      <c r="AO22" s="1947"/>
      <c r="AP22" s="1947"/>
      <c r="AQ22" s="1947"/>
      <c r="AR22" s="1947"/>
      <c r="AS22" s="1947"/>
      <c r="AT22" s="1947"/>
      <c r="AU22" s="1947"/>
      <c r="AV22" s="1947"/>
      <c r="AW22" s="1947"/>
      <c r="AX22" s="1947"/>
      <c r="AY22" s="1947"/>
      <c r="AZ22" s="1947"/>
      <c r="BA22" s="1947"/>
      <c r="BB22" s="1947"/>
      <c r="BC22" s="1947"/>
      <c r="BD22" s="1947"/>
      <c r="BE22" s="1947"/>
      <c r="BF22" s="1947"/>
      <c r="BG22" s="1947"/>
      <c r="BH22" s="1947"/>
      <c r="BI22" s="1947"/>
      <c r="BJ22" s="1947"/>
      <c r="BK22" s="1947"/>
      <c r="BL22" s="1947"/>
      <c r="BM22" s="1947"/>
      <c r="BN22" s="1947"/>
      <c r="BO22" s="1947"/>
      <c r="BP22" s="1947"/>
      <c r="BQ22" s="1947"/>
      <c r="BR22" s="1947"/>
      <c r="BS22" s="1947"/>
      <c r="BT22" s="1947"/>
      <c r="BU22" s="1947"/>
      <c r="BV22" s="1947"/>
      <c r="BW22" s="1947"/>
      <c r="BX22" s="1947"/>
      <c r="BY22" s="1947"/>
      <c r="BZ22" s="1947"/>
      <c r="CA22" s="1947"/>
      <c r="CB22" s="1947"/>
      <c r="CC22" s="1947"/>
      <c r="CD22" s="1947"/>
      <c r="CE22" s="1947"/>
      <c r="CF22" s="1947"/>
      <c r="CG22" s="1947"/>
      <c r="CH22" s="1947"/>
      <c r="CI22" s="1947"/>
      <c r="CJ22" s="1947"/>
      <c r="CK22" s="1947"/>
      <c r="CL22" s="1947"/>
      <c r="CM22" s="1947"/>
      <c r="CN22" s="1947"/>
      <c r="CO22" s="1947"/>
      <c r="CP22" s="1947"/>
      <c r="CQ22" s="1947"/>
      <c r="CR22" s="1947"/>
      <c r="CS22" s="1947"/>
      <c r="CT22" s="1947"/>
      <c r="CU22" s="1947"/>
      <c r="CV22" s="1947"/>
      <c r="CW22" s="1947"/>
      <c r="CX22" s="1947"/>
      <c r="CY22" s="1947"/>
      <c r="CZ22" s="1947"/>
      <c r="DA22" s="1947"/>
      <c r="DB22" s="1947"/>
      <c r="DC22" s="1947"/>
      <c r="DD22" s="1947"/>
      <c r="DE22" s="1947"/>
      <c r="DF22" s="1947"/>
      <c r="DG22" s="1947"/>
      <c r="DH22" s="1947"/>
      <c r="DI22" s="1947"/>
      <c r="DJ22" s="1947"/>
      <c r="DK22" s="1947"/>
      <c r="DL22" s="1947"/>
      <c r="DM22" s="1947"/>
      <c r="DN22" s="1947"/>
      <c r="DO22" s="1947"/>
      <c r="DP22" s="1947"/>
      <c r="DQ22" s="1947"/>
      <c r="DR22" s="1947"/>
      <c r="DS22" s="1947"/>
      <c r="DT22" s="1947"/>
      <c r="DU22" s="1947"/>
      <c r="DV22" s="1947"/>
      <c r="DW22" s="1947"/>
      <c r="DX22" s="1947"/>
      <c r="DY22" s="1947"/>
      <c r="DZ22" s="1947"/>
      <c r="EA22" s="1947"/>
      <c r="EB22" s="1947"/>
      <c r="EC22" s="1947"/>
      <c r="ED22" s="1947"/>
      <c r="EE22" s="1947"/>
      <c r="EF22" s="1947"/>
      <c r="EG22" s="1947"/>
      <c r="EH22" s="1947"/>
      <c r="EI22" s="1947"/>
      <c r="EJ22" s="1947"/>
      <c r="EK22" s="1947"/>
      <c r="EL22" s="1947"/>
      <c r="EM22" s="1947"/>
      <c r="EN22" s="1947"/>
      <c r="EO22" s="1947"/>
      <c r="EP22" s="1947"/>
      <c r="EQ22" s="1947"/>
      <c r="ER22" s="1947"/>
      <c r="ES22" s="1947"/>
      <c r="ET22" s="1947"/>
      <c r="EU22" s="1947"/>
      <c r="EV22" s="1947"/>
      <c r="EW22" s="1947"/>
      <c r="EX22" s="1947"/>
      <c r="EY22" s="1947"/>
      <c r="EZ22" s="1947"/>
      <c r="FA22" s="1947"/>
      <c r="FB22" s="1947"/>
      <c r="FC22" s="1947"/>
      <c r="FD22" s="1947"/>
      <c r="FE22" s="1947"/>
      <c r="FF22" s="1947"/>
      <c r="FG22" s="1947"/>
      <c r="FH22" s="1947"/>
      <c r="FI22" s="1947"/>
      <c r="FJ22" s="1947"/>
      <c r="FK22" s="1947"/>
      <c r="FL22" s="1947"/>
      <c r="FM22" s="1947"/>
      <c r="FN22" s="1947"/>
      <c r="FO22" s="1947"/>
      <c r="FP22" s="1947"/>
      <c r="FQ22" s="1947"/>
      <c r="FR22" s="1947"/>
      <c r="FS22" s="1947"/>
      <c r="FT22" s="1947"/>
      <c r="FU22" s="1947"/>
      <c r="FV22" s="1947"/>
      <c r="FW22" s="1947"/>
      <c r="FX22" s="1947"/>
      <c r="FY22" s="1947"/>
      <c r="FZ22" s="1947"/>
      <c r="GA22" s="1947"/>
      <c r="GB22" s="1947"/>
      <c r="GC22" s="1947"/>
      <c r="GD22" s="1947"/>
      <c r="GE22" s="1947"/>
      <c r="GF22" s="1947"/>
      <c r="GG22" s="1947"/>
      <c r="GH22" s="1947"/>
      <c r="GI22" s="1947"/>
      <c r="GJ22" s="1947"/>
      <c r="GK22" s="1947"/>
      <c r="GL22" s="1947"/>
      <c r="GM22" s="1947"/>
      <c r="GN22" s="1947"/>
      <c r="GO22" s="1947"/>
      <c r="GP22" s="1947"/>
      <c r="GQ22" s="1947"/>
      <c r="GR22" s="1947"/>
      <c r="GS22" s="1947"/>
      <c r="GT22" s="1947"/>
      <c r="GU22" s="1947"/>
      <c r="GV22" s="1947"/>
      <c r="GW22" s="1947"/>
      <c r="GX22" s="1947"/>
      <c r="GY22" s="1947"/>
      <c r="GZ22" s="1947"/>
      <c r="HA22" s="1947"/>
      <c r="HB22" s="1947"/>
      <c r="HC22" s="1947"/>
      <c r="HD22" s="1947"/>
      <c r="HE22" s="1947"/>
      <c r="HF22" s="1947"/>
      <c r="HG22" s="1947"/>
      <c r="HH22" s="1947"/>
      <c r="HI22" s="1947"/>
      <c r="HJ22" s="1947"/>
      <c r="HK22" s="1947"/>
      <c r="HL22" s="1947"/>
      <c r="HM22" s="1947"/>
      <c r="HN22" s="1947"/>
      <c r="HO22" s="1947"/>
      <c r="HP22" s="1947"/>
      <c r="HQ22" s="1947"/>
      <c r="HR22" s="1947"/>
      <c r="HS22" s="1947"/>
      <c r="HT22" s="1947"/>
      <c r="HU22" s="1947"/>
      <c r="HV22" s="1947"/>
      <c r="HW22" s="1947"/>
      <c r="HX22" s="1947"/>
      <c r="HY22" s="1947"/>
      <c r="HZ22" s="1947"/>
      <c r="IA22" s="1947"/>
      <c r="IB22" s="1947"/>
      <c r="IC22" s="1947"/>
      <c r="ID22" s="1947"/>
      <c r="IE22" s="1947"/>
      <c r="IF22" s="1947"/>
      <c r="IG22" s="1947"/>
      <c r="IH22" s="1947"/>
      <c r="II22" s="1947"/>
      <c r="IJ22" s="1947"/>
      <c r="IK22" s="1947"/>
      <c r="IL22" s="1947"/>
      <c r="IM22" s="1947"/>
      <c r="IN22" s="1947"/>
      <c r="IO22" s="1947"/>
      <c r="IP22" s="1947"/>
      <c r="IQ22" s="1947"/>
    </row>
    <row r="23" spans="1:251" ht="15.75">
      <c r="B23" s="1963"/>
      <c r="C23" s="1964"/>
      <c r="D23" s="1964"/>
      <c r="E23" s="1965"/>
      <c r="F23" s="1966"/>
      <c r="G23" s="1967"/>
      <c r="H23" s="1967"/>
      <c r="I23" s="1967"/>
      <c r="J23" s="1965"/>
      <c r="K23" s="1967"/>
      <c r="L23" s="1967"/>
      <c r="M23" s="1968"/>
      <c r="N23" s="1926"/>
      <c r="O23" s="1969"/>
      <c r="P23" s="1969"/>
      <c r="Q23" s="1920">
        <v>37832000</v>
      </c>
      <c r="R23" s="1926">
        <v>3783200</v>
      </c>
      <c r="S23" s="1926">
        <v>3404880</v>
      </c>
      <c r="T23" s="1926">
        <v>2042928</v>
      </c>
      <c r="U23" s="1926">
        <v>1702440</v>
      </c>
    </row>
    <row r="24" spans="1:251" ht="15.75">
      <c r="B24" s="2042" t="s">
        <v>368</v>
      </c>
      <c r="C24" s="1964"/>
      <c r="D24" s="1964"/>
      <c r="E24" s="1965"/>
      <c r="F24" s="1680"/>
      <c r="G24" s="1967"/>
      <c r="H24" s="1967"/>
      <c r="I24" s="1967"/>
      <c r="J24" s="1965" t="s">
        <v>369</v>
      </c>
      <c r="K24" s="1967"/>
      <c r="L24" s="1967"/>
      <c r="M24" s="3806"/>
      <c r="N24" s="3806"/>
      <c r="O24" s="1969"/>
      <c r="P24" s="1969"/>
      <c r="Q24" s="1969"/>
      <c r="R24" s="1926"/>
      <c r="S24" s="1926"/>
      <c r="T24" s="1926"/>
      <c r="U24" s="1926"/>
    </row>
    <row r="25" spans="1:251" ht="15.75">
      <c r="B25" s="2042" t="s">
        <v>370</v>
      </c>
      <c r="C25" s="1964"/>
      <c r="D25" s="1964"/>
      <c r="E25" s="1965"/>
      <c r="F25" s="1680"/>
      <c r="G25" s="1967"/>
      <c r="H25" s="2042" t="s">
        <v>371</v>
      </c>
      <c r="I25" s="1967"/>
      <c r="J25" s="1965"/>
      <c r="K25" s="1967"/>
      <c r="L25" s="1967"/>
      <c r="M25" s="1928"/>
      <c r="N25" s="1928"/>
      <c r="O25" s="1969"/>
      <c r="P25" s="1969"/>
      <c r="Q25" s="1969"/>
      <c r="R25" s="1926"/>
      <c r="S25" s="1926"/>
      <c r="T25" s="1926"/>
      <c r="U25" s="1926"/>
    </row>
    <row r="26" spans="1:251" ht="15.75">
      <c r="B26" s="2042"/>
      <c r="C26" s="1972"/>
      <c r="D26" s="1973"/>
      <c r="E26" s="1974"/>
      <c r="F26" s="1680"/>
      <c r="G26" s="1967"/>
      <c r="H26" s="2042"/>
      <c r="I26" s="1967"/>
      <c r="K26" s="1967"/>
      <c r="L26" s="1967"/>
      <c r="M26" s="1928"/>
      <c r="N26" s="1928"/>
      <c r="O26" s="1969"/>
      <c r="P26" s="1969"/>
      <c r="Q26" s="1969"/>
      <c r="R26" s="1922"/>
      <c r="S26" s="1926"/>
      <c r="T26" s="1926"/>
      <c r="U26" s="1926"/>
    </row>
    <row r="27" spans="1:251" ht="15.75">
      <c r="B27" s="2042" t="s">
        <v>372</v>
      </c>
      <c r="C27" s="1972"/>
      <c r="D27" s="1973"/>
      <c r="E27" s="1974"/>
      <c r="F27" s="1680"/>
      <c r="G27" s="1967"/>
      <c r="H27" s="2042" t="s">
        <v>373</v>
      </c>
      <c r="I27" s="1967"/>
      <c r="J27" s="1971" t="s">
        <v>374</v>
      </c>
      <c r="K27" s="1967"/>
      <c r="L27" s="1967"/>
      <c r="M27" s="1928"/>
      <c r="N27" s="1928"/>
      <c r="O27" s="1926"/>
      <c r="P27" s="1926"/>
      <c r="Q27" s="1926"/>
      <c r="R27" s="1926"/>
      <c r="S27" s="1926"/>
      <c r="T27" s="1926"/>
      <c r="U27" s="1926"/>
    </row>
    <row r="28" spans="1:251" ht="15.75">
      <c r="B28" s="2042"/>
      <c r="C28" s="1972"/>
      <c r="D28" s="1973"/>
      <c r="E28" s="1974"/>
      <c r="F28" s="1975"/>
      <c r="G28" s="1967"/>
      <c r="H28" s="2042"/>
      <c r="I28" s="1967"/>
      <c r="J28" s="1976"/>
      <c r="K28" s="1967"/>
      <c r="L28" s="1967"/>
    </row>
    <row r="29" spans="1:251" ht="15.75">
      <c r="B29" s="2042" t="s">
        <v>375</v>
      </c>
      <c r="C29" s="1976"/>
      <c r="D29" s="1976"/>
      <c r="E29" s="1976"/>
      <c r="F29" s="1975"/>
      <c r="G29" s="1967"/>
      <c r="H29" s="2042" t="s">
        <v>377</v>
      </c>
      <c r="I29" s="1967"/>
      <c r="J29" s="1971" t="s">
        <v>376</v>
      </c>
      <c r="K29" s="1967"/>
      <c r="L29" s="1967"/>
    </row>
    <row r="32" spans="1:251">
      <c r="B32" s="1983"/>
    </row>
  </sheetData>
  <sheetProtection formatColumns="0" insertRows="0" deleteRows="0"/>
  <mergeCells count="19">
    <mergeCell ref="U7:U8"/>
    <mergeCell ref="O7:O8"/>
    <mergeCell ref="P7:P8"/>
    <mergeCell ref="Q7:Q8"/>
    <mergeCell ref="R7:R8"/>
    <mergeCell ref="S7:S8"/>
    <mergeCell ref="T7:T8"/>
    <mergeCell ref="N7:N8"/>
    <mergeCell ref="A7:A8"/>
    <mergeCell ref="B7:B8"/>
    <mergeCell ref="C7:C8"/>
    <mergeCell ref="D7:D8"/>
    <mergeCell ref="E7:E8"/>
    <mergeCell ref="F7:F8"/>
    <mergeCell ref="G7:G8"/>
    <mergeCell ref="H7:H8"/>
    <mergeCell ref="I7:J7"/>
    <mergeCell ref="K7:L7"/>
    <mergeCell ref="M7:M8"/>
  </mergeCells>
  <pageMargins left="0" right="0" top="0" bottom="0" header="0" footer="0"/>
  <pageSetup paperSize="9" scale="63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FFFF00"/>
    <pageSetUpPr fitToPage="1"/>
  </sheetPr>
  <dimension ref="A1:IQ142"/>
  <sheetViews>
    <sheetView zoomScale="84" zoomScaleNormal="84" workbookViewId="0">
      <selection activeCell="F131" sqref="F131"/>
    </sheetView>
  </sheetViews>
  <sheetFormatPr defaultColWidth="11.5703125" defaultRowHeight="15"/>
  <cols>
    <col min="1" max="1" width="4.42578125" style="1923" customWidth="1"/>
    <col min="2" max="2" width="29.28515625" style="1923" customWidth="1"/>
    <col min="3" max="3" width="24.28515625" style="1923" hidden="1" customWidth="1"/>
    <col min="4" max="4" width="9.7109375" style="1923" customWidth="1"/>
    <col min="5" max="5" width="12.42578125" style="1923" bestFit="1" customWidth="1"/>
    <col min="6" max="6" width="15.42578125" style="1923" bestFit="1" customWidth="1"/>
    <col min="7" max="7" width="10.140625" style="1923" customWidth="1"/>
    <col min="8" max="8" width="16.28515625" style="1923" customWidth="1"/>
    <col min="9" max="9" width="10.140625" style="1923" hidden="1" customWidth="1"/>
    <col min="10" max="10" width="19.140625" style="1923" hidden="1" customWidth="1"/>
    <col min="11" max="11" width="8.140625" style="1923" customWidth="1"/>
    <col min="12" max="12" width="10.85546875" style="1923" customWidth="1"/>
    <col min="13" max="13" width="15.7109375" style="1923" customWidth="1"/>
    <col min="14" max="14" width="16.5703125" style="1923" bestFit="1" customWidth="1"/>
    <col min="15" max="15" width="16.140625" style="1923" bestFit="1" customWidth="1"/>
    <col min="16" max="17" width="16.5703125" style="1923" bestFit="1" customWidth="1"/>
    <col min="18" max="19" width="15.42578125" style="1923" bestFit="1" customWidth="1"/>
    <col min="20" max="21" width="15.42578125" style="1923" customWidth="1"/>
    <col min="22" max="22" width="15.140625" style="1923" bestFit="1" customWidth="1"/>
    <col min="23" max="23" width="15.5703125" style="1923" customWidth="1"/>
    <col min="24" max="24" width="9.140625" style="1923" hidden="1" customWidth="1"/>
    <col min="25" max="25" width="9.140625" style="1923" customWidth="1"/>
    <col min="26" max="26" width="18.28515625" style="1923" customWidth="1"/>
    <col min="27" max="244" width="9.140625" style="1923" customWidth="1"/>
    <col min="245" max="245" width="3.7109375" style="1923" customWidth="1"/>
    <col min="246" max="246" width="26.7109375" style="1923" customWidth="1"/>
    <col min="247" max="247" width="19.140625" style="1923" customWidth="1"/>
    <col min="248" max="248" width="7.42578125" style="1923" customWidth="1"/>
    <col min="249" max="249" width="11.85546875" style="1923" customWidth="1"/>
    <col min="250" max="250" width="12.5703125" style="1923" customWidth="1"/>
    <col min="251" max="16384" width="11.5703125" style="1923"/>
  </cols>
  <sheetData>
    <row r="1" spans="1:251" ht="15.75">
      <c r="R1" s="1924" t="s">
        <v>267</v>
      </c>
      <c r="S1" s="1925" t="s">
        <v>268</v>
      </c>
    </row>
    <row r="2" spans="1:251" s="1926" customFormat="1" ht="15.75">
      <c r="B2" s="1927" t="s">
        <v>973</v>
      </c>
      <c r="C2" s="1928"/>
      <c r="D2" s="1928"/>
      <c r="E2" s="1928"/>
      <c r="F2" s="1928"/>
      <c r="G2" s="1928"/>
      <c r="K2" s="1929"/>
      <c r="L2" s="1929"/>
      <c r="M2" s="1929"/>
      <c r="N2" s="1928"/>
    </row>
    <row r="3" spans="1:251">
      <c r="K3" s="1930"/>
      <c r="L3" s="1930"/>
      <c r="M3" s="1930"/>
    </row>
    <row r="4" spans="1:251" s="1926" customFormat="1" ht="15.75">
      <c r="B4" s="1931" t="s">
        <v>974</v>
      </c>
      <c r="N4" s="1932"/>
      <c r="P4" s="2473" t="s">
        <v>501</v>
      </c>
      <c r="Q4" s="2474">
        <v>1852</v>
      </c>
      <c r="R4" s="2475" t="s">
        <v>502</v>
      </c>
    </row>
    <row r="5" spans="1:251" ht="15.75">
      <c r="A5" s="3807"/>
      <c r="B5" s="3808" t="s">
        <v>975</v>
      </c>
      <c r="N5" s="1934"/>
      <c r="P5" s="2476" t="s">
        <v>504</v>
      </c>
      <c r="Q5" s="2474">
        <f>17439*1.1</f>
        <v>19182.900000000001</v>
      </c>
      <c r="R5" s="2475" t="s">
        <v>505</v>
      </c>
    </row>
    <row r="6" spans="1:251">
      <c r="A6" s="1935"/>
      <c r="B6" s="1935"/>
      <c r="C6" s="1935"/>
      <c r="D6" s="1935"/>
      <c r="E6" s="1936">
        <f>12*K9</f>
        <v>0</v>
      </c>
      <c r="F6" s="1935"/>
      <c r="G6" s="1935"/>
      <c r="I6" s="1937"/>
      <c r="J6" s="1937"/>
      <c r="K6" s="1936">
        <f>E6-(E6*19%)</f>
        <v>0</v>
      </c>
      <c r="L6" s="1937"/>
      <c r="M6" s="1937"/>
      <c r="N6" s="1937"/>
      <c r="O6" s="1938">
        <f>O9*19%</f>
        <v>1688492</v>
      </c>
      <c r="P6" s="2476" t="s">
        <v>506</v>
      </c>
      <c r="Q6" s="2905"/>
      <c r="R6" s="2475" t="s">
        <v>502</v>
      </c>
    </row>
    <row r="7" spans="1:251" ht="39.75" customHeight="1">
      <c r="A7" s="3970" t="s">
        <v>34</v>
      </c>
      <c r="B7" s="3970" t="s">
        <v>507</v>
      </c>
      <c r="C7" s="3970" t="s">
        <v>277</v>
      </c>
      <c r="D7" s="3971" t="s">
        <v>508</v>
      </c>
      <c r="E7" s="3973" t="s">
        <v>509</v>
      </c>
      <c r="F7" s="3970" t="s">
        <v>510</v>
      </c>
      <c r="G7" s="3970" t="s">
        <v>511</v>
      </c>
      <c r="H7" s="3971" t="s">
        <v>512</v>
      </c>
      <c r="I7" s="3970" t="s">
        <v>513</v>
      </c>
      <c r="J7" s="3970"/>
      <c r="K7" s="3970" t="s">
        <v>514</v>
      </c>
      <c r="L7" s="3970"/>
      <c r="M7" s="3971" t="s">
        <v>515</v>
      </c>
      <c r="N7" s="3970" t="s">
        <v>516</v>
      </c>
      <c r="O7" s="3975" t="s">
        <v>517</v>
      </c>
      <c r="P7" s="3970" t="s">
        <v>518</v>
      </c>
      <c r="Q7" s="3970" t="s">
        <v>519</v>
      </c>
      <c r="R7" s="3974" t="s">
        <v>313</v>
      </c>
      <c r="S7" s="3974" t="s">
        <v>314</v>
      </c>
      <c r="T7" s="3974" t="s">
        <v>116</v>
      </c>
      <c r="U7" s="3974" t="s">
        <v>315</v>
      </c>
      <c r="V7" s="3974" t="s">
        <v>44</v>
      </c>
      <c r="W7" s="3976" t="s">
        <v>976</v>
      </c>
    </row>
    <row r="8" spans="1:251" ht="97.9" customHeight="1">
      <c r="A8" s="3970"/>
      <c r="B8" s="3970"/>
      <c r="C8" s="3970"/>
      <c r="D8" s="3972"/>
      <c r="E8" s="3973"/>
      <c r="F8" s="3970"/>
      <c r="G8" s="3970"/>
      <c r="H8" s="3972"/>
      <c r="I8" s="1939" t="s">
        <v>520</v>
      </c>
      <c r="J8" s="1939" t="s">
        <v>345</v>
      </c>
      <c r="K8" s="1939" t="s">
        <v>520</v>
      </c>
      <c r="L8" s="1939" t="s">
        <v>345</v>
      </c>
      <c r="M8" s="3972"/>
      <c r="N8" s="3970"/>
      <c r="O8" s="3972"/>
      <c r="P8" s="3970"/>
      <c r="Q8" s="3970"/>
      <c r="R8" s="3974"/>
      <c r="S8" s="3974"/>
      <c r="T8" s="3974"/>
      <c r="U8" s="3974"/>
      <c r="V8" s="3974"/>
      <c r="W8" s="3976"/>
    </row>
    <row r="9" spans="1:251">
      <c r="A9" s="1920"/>
      <c r="B9" s="1920" t="s">
        <v>306</v>
      </c>
      <c r="C9" s="1920"/>
      <c r="D9" s="2033">
        <f>D10+D64+D101+D110</f>
        <v>41</v>
      </c>
      <c r="E9" s="1920"/>
      <c r="F9" s="1920">
        <f>F110</f>
        <v>0</v>
      </c>
      <c r="G9" s="1941"/>
      <c r="H9" s="1920">
        <f>H10+H64+H101+H110</f>
        <v>53320800</v>
      </c>
      <c r="I9" s="1920">
        <f t="shared" ref="I9:V9" si="0">I10+I64+I101+I110</f>
        <v>0</v>
      </c>
      <c r="J9" s="1920">
        <f t="shared" si="0"/>
        <v>0</v>
      </c>
      <c r="K9" s="1920"/>
      <c r="L9" s="1920">
        <f t="shared" si="0"/>
        <v>9880</v>
      </c>
      <c r="M9" s="1920">
        <f t="shared" si="0"/>
        <v>3438240</v>
      </c>
      <c r="N9" s="1920">
        <f t="shared" si="0"/>
        <v>56759040</v>
      </c>
      <c r="O9" s="1920">
        <f t="shared" si="0"/>
        <v>8886800</v>
      </c>
      <c r="P9" s="1920">
        <f t="shared" si="0"/>
        <v>17773600</v>
      </c>
      <c r="Q9" s="1920">
        <f t="shared" si="0"/>
        <v>83419440</v>
      </c>
      <c r="R9" s="1920">
        <f t="shared" si="0"/>
        <v>8341944</v>
      </c>
      <c r="S9" s="1920">
        <f t="shared" si="0"/>
        <v>7507749.6000000006</v>
      </c>
      <c r="T9" s="1920">
        <f t="shared" si="0"/>
        <v>4504649.76</v>
      </c>
      <c r="U9" s="1920">
        <f t="shared" si="0"/>
        <v>3753874.8000000003</v>
      </c>
      <c r="V9" s="1920">
        <f t="shared" si="0"/>
        <v>8258524.5600000005</v>
      </c>
      <c r="W9" s="3471">
        <f>SUM(W112:W130)</f>
        <v>834194.4</v>
      </c>
      <c r="X9" s="1923">
        <v>0.01</v>
      </c>
    </row>
    <row r="10" spans="1:251" ht="28.5" hidden="1">
      <c r="A10" s="1942"/>
      <c r="B10" s="1920" t="s">
        <v>521</v>
      </c>
      <c r="C10" s="1942"/>
      <c r="D10" s="3809">
        <f>SUM(D11:D63)</f>
        <v>0</v>
      </c>
      <c r="E10" s="3805"/>
      <c r="F10" s="3805">
        <f>SUM(F11:F63)</f>
        <v>0</v>
      </c>
      <c r="G10" s="1945"/>
      <c r="H10" s="3805">
        <f>SUM(H11:H63)</f>
        <v>0</v>
      </c>
      <c r="I10" s="1945"/>
      <c r="J10" s="3805">
        <f>SUM(J11:J63)</f>
        <v>0</v>
      </c>
      <c r="K10" s="1945"/>
      <c r="L10" s="3805">
        <f t="shared" ref="L10:U10" si="1">SUM(L11:L63)</f>
        <v>0</v>
      </c>
      <c r="M10" s="3805">
        <f t="shared" si="1"/>
        <v>0</v>
      </c>
      <c r="N10" s="3805">
        <f t="shared" si="1"/>
        <v>0</v>
      </c>
      <c r="O10" s="3805">
        <f t="shared" si="1"/>
        <v>0</v>
      </c>
      <c r="P10" s="3805">
        <f t="shared" si="1"/>
        <v>0</v>
      </c>
      <c r="Q10" s="3805">
        <f t="shared" si="1"/>
        <v>0</v>
      </c>
      <c r="R10" s="3805">
        <f t="shared" si="1"/>
        <v>0</v>
      </c>
      <c r="S10" s="3805">
        <f t="shared" si="1"/>
        <v>0</v>
      </c>
      <c r="T10" s="3805">
        <f t="shared" si="1"/>
        <v>0</v>
      </c>
      <c r="U10" s="3805">
        <f t="shared" si="1"/>
        <v>0</v>
      </c>
      <c r="V10" s="3034">
        <f t="shared" ref="V10:V73" si="2">T10+U10</f>
        <v>0</v>
      </c>
      <c r="W10" s="3472"/>
      <c r="X10" s="1923">
        <v>0.01</v>
      </c>
      <c r="Y10" s="1943"/>
      <c r="Z10" s="1943"/>
      <c r="AA10" s="1943"/>
      <c r="AB10" s="1943"/>
      <c r="AC10" s="1943"/>
      <c r="AD10" s="1943"/>
      <c r="AE10" s="1943"/>
      <c r="AF10" s="1943"/>
      <c r="AG10" s="1943"/>
      <c r="AH10" s="1943"/>
      <c r="AI10" s="1943"/>
      <c r="AJ10" s="1943"/>
      <c r="AK10" s="1943"/>
      <c r="AL10" s="1943"/>
      <c r="AM10" s="1943"/>
      <c r="AN10" s="1943"/>
      <c r="AO10" s="1943"/>
      <c r="AP10" s="1943"/>
      <c r="AQ10" s="1943"/>
      <c r="AR10" s="1943"/>
      <c r="AS10" s="1943"/>
      <c r="AT10" s="1943"/>
      <c r="AU10" s="1943"/>
      <c r="AV10" s="1943"/>
      <c r="AW10" s="1943"/>
      <c r="AX10" s="1943"/>
      <c r="AY10" s="1943"/>
      <c r="AZ10" s="1943"/>
      <c r="BA10" s="1943"/>
      <c r="BB10" s="1943"/>
      <c r="BC10" s="1943"/>
      <c r="BD10" s="1943"/>
      <c r="BE10" s="1943"/>
      <c r="BF10" s="1943"/>
      <c r="BG10" s="1943"/>
      <c r="BH10" s="1943"/>
      <c r="BI10" s="1943"/>
      <c r="BJ10" s="1943"/>
      <c r="BK10" s="1943"/>
      <c r="BL10" s="1943"/>
      <c r="BM10" s="1943"/>
      <c r="BN10" s="1943"/>
      <c r="BO10" s="1943"/>
      <c r="BP10" s="1943"/>
      <c r="BQ10" s="1943"/>
      <c r="BR10" s="1943"/>
      <c r="BS10" s="1943"/>
      <c r="BT10" s="1943"/>
      <c r="BU10" s="1943"/>
      <c r="BV10" s="1943"/>
      <c r="BW10" s="1943"/>
      <c r="BX10" s="1943"/>
      <c r="BY10" s="1943"/>
      <c r="BZ10" s="1943"/>
      <c r="CA10" s="1943"/>
      <c r="CB10" s="1943"/>
      <c r="CC10" s="1943"/>
      <c r="CD10" s="1943"/>
      <c r="CE10" s="1943"/>
      <c r="CF10" s="1943"/>
      <c r="CG10" s="1943"/>
      <c r="CH10" s="1943"/>
      <c r="CI10" s="1943"/>
      <c r="CJ10" s="1943"/>
      <c r="CK10" s="1943"/>
      <c r="CL10" s="1943"/>
      <c r="CM10" s="1943"/>
      <c r="CN10" s="1943"/>
      <c r="CO10" s="1943"/>
      <c r="CP10" s="1943"/>
      <c r="CQ10" s="1943"/>
      <c r="CR10" s="1943"/>
      <c r="CS10" s="1943"/>
      <c r="CT10" s="1943"/>
      <c r="CU10" s="1943"/>
      <c r="CV10" s="1943"/>
      <c r="CW10" s="1943"/>
      <c r="CX10" s="1943"/>
      <c r="CY10" s="1943"/>
      <c r="CZ10" s="1943"/>
      <c r="DA10" s="1943"/>
      <c r="DB10" s="1943"/>
      <c r="DC10" s="1943"/>
      <c r="DD10" s="1943"/>
      <c r="DE10" s="1943"/>
      <c r="DF10" s="1943"/>
      <c r="DG10" s="1943"/>
      <c r="DH10" s="1943"/>
      <c r="DI10" s="1943"/>
      <c r="DJ10" s="1943"/>
      <c r="DK10" s="1943"/>
      <c r="DL10" s="1943"/>
      <c r="DM10" s="1943"/>
      <c r="DN10" s="1943"/>
      <c r="DO10" s="1943"/>
      <c r="DP10" s="1943"/>
      <c r="DQ10" s="1943"/>
      <c r="DR10" s="1943"/>
      <c r="DS10" s="1943"/>
      <c r="DT10" s="1943"/>
      <c r="DU10" s="1943"/>
      <c r="DV10" s="1943"/>
      <c r="DW10" s="1943"/>
      <c r="DX10" s="1943"/>
      <c r="DY10" s="1943"/>
      <c r="DZ10" s="1943"/>
      <c r="EA10" s="1943"/>
      <c r="EB10" s="1943"/>
      <c r="EC10" s="1943"/>
      <c r="ED10" s="1943"/>
      <c r="EE10" s="1943"/>
      <c r="EF10" s="1943"/>
      <c r="EG10" s="1943"/>
      <c r="EH10" s="1943"/>
      <c r="EI10" s="1943"/>
      <c r="EJ10" s="1943"/>
      <c r="EK10" s="1943"/>
      <c r="EL10" s="1943"/>
      <c r="EM10" s="1943"/>
      <c r="EN10" s="1943"/>
      <c r="EO10" s="1943"/>
      <c r="EP10" s="1943"/>
      <c r="EQ10" s="1943"/>
      <c r="ER10" s="1943"/>
      <c r="ES10" s="1943"/>
      <c r="ET10" s="1943"/>
      <c r="EU10" s="1943"/>
      <c r="EV10" s="1943"/>
      <c r="EW10" s="1943"/>
      <c r="EX10" s="1943"/>
      <c r="EY10" s="1943"/>
      <c r="EZ10" s="1943"/>
      <c r="FA10" s="1943"/>
      <c r="FB10" s="1943"/>
      <c r="FC10" s="1943"/>
      <c r="FD10" s="1943"/>
      <c r="FE10" s="1943"/>
      <c r="FF10" s="1943"/>
      <c r="FG10" s="1943"/>
      <c r="FH10" s="1943"/>
      <c r="FI10" s="1943"/>
      <c r="FJ10" s="1943"/>
      <c r="FK10" s="1943"/>
      <c r="FL10" s="1943"/>
      <c r="FM10" s="1943"/>
      <c r="FN10" s="1943"/>
      <c r="FO10" s="1943"/>
      <c r="FP10" s="1943"/>
      <c r="FQ10" s="1943"/>
      <c r="FR10" s="1943"/>
      <c r="FS10" s="1943"/>
      <c r="FT10" s="1943"/>
      <c r="FU10" s="1943"/>
      <c r="FV10" s="1943"/>
      <c r="FW10" s="1943"/>
      <c r="FX10" s="1943"/>
      <c r="FY10" s="1943"/>
      <c r="FZ10" s="1943"/>
      <c r="GA10" s="1943"/>
      <c r="GB10" s="1943"/>
      <c r="GC10" s="1943"/>
      <c r="GD10" s="1943"/>
      <c r="GE10" s="1943"/>
      <c r="GF10" s="1943"/>
      <c r="GG10" s="1943"/>
      <c r="GH10" s="1943"/>
      <c r="GI10" s="1943"/>
      <c r="GJ10" s="1943"/>
      <c r="GK10" s="1943"/>
      <c r="GL10" s="1943"/>
      <c r="GM10" s="1943"/>
      <c r="GN10" s="1943"/>
      <c r="GO10" s="1943"/>
      <c r="GP10" s="1943"/>
      <c r="GQ10" s="1943"/>
      <c r="GR10" s="1943"/>
      <c r="GS10" s="1943"/>
      <c r="GT10" s="1943"/>
      <c r="GU10" s="1943"/>
      <c r="GV10" s="1943"/>
      <c r="GW10" s="1943"/>
      <c r="GX10" s="1943"/>
      <c r="GY10" s="1943"/>
      <c r="GZ10" s="1943"/>
      <c r="HA10" s="1943"/>
      <c r="HB10" s="1943"/>
      <c r="HC10" s="1943"/>
      <c r="HD10" s="1943"/>
      <c r="HE10" s="1943"/>
      <c r="HF10" s="1943"/>
      <c r="HG10" s="1943"/>
      <c r="HH10" s="1943"/>
      <c r="HI10" s="1943"/>
      <c r="HJ10" s="1943"/>
      <c r="HK10" s="1943"/>
      <c r="HL10" s="1943"/>
      <c r="HM10" s="1943"/>
      <c r="HN10" s="1943"/>
      <c r="HO10" s="1943"/>
      <c r="HP10" s="1943"/>
      <c r="HQ10" s="1943"/>
      <c r="HR10" s="1943"/>
      <c r="HS10" s="1943"/>
      <c r="HT10" s="1943"/>
      <c r="HU10" s="1943"/>
      <c r="HV10" s="1943"/>
      <c r="HW10" s="1943"/>
      <c r="HX10" s="1943"/>
      <c r="HY10" s="1943"/>
      <c r="HZ10" s="1943"/>
      <c r="IA10" s="1943"/>
      <c r="IB10" s="1943"/>
      <c r="IC10" s="1943"/>
      <c r="ID10" s="1943"/>
      <c r="IE10" s="1943"/>
      <c r="IF10" s="1943"/>
      <c r="IG10" s="1943"/>
      <c r="IH10" s="1943"/>
      <c r="II10" s="1943"/>
      <c r="IJ10" s="1943"/>
      <c r="IK10" s="1943"/>
      <c r="IL10" s="1943"/>
      <c r="IM10" s="1943"/>
      <c r="IN10" s="1943"/>
      <c r="IO10" s="1943"/>
      <c r="IP10" s="1943"/>
      <c r="IQ10" s="1943"/>
    </row>
    <row r="11" spans="1:251" s="2951" customFormat="1" hidden="1">
      <c r="A11" s="2943">
        <v>1</v>
      </c>
      <c r="B11" s="2944" t="s">
        <v>971</v>
      </c>
      <c r="C11" s="2945"/>
      <c r="D11" s="2946"/>
      <c r="E11" s="2945"/>
      <c r="F11" s="2947"/>
      <c r="G11" s="2948">
        <v>12</v>
      </c>
      <c r="H11" s="2904">
        <f>D11*F11*G11</f>
        <v>0</v>
      </c>
      <c r="I11" s="2948"/>
      <c r="J11" s="2904">
        <f>I11*$Q$4</f>
        <v>0</v>
      </c>
      <c r="K11" s="2948"/>
      <c r="L11" s="2904">
        <f>K11*F11</f>
        <v>0</v>
      </c>
      <c r="M11" s="2904">
        <f>D11*G11*(J11+L11)</f>
        <v>0</v>
      </c>
      <c r="N11" s="2904">
        <f>H11+M11</f>
        <v>0</v>
      </c>
      <c r="O11" s="2948">
        <f t="shared" ref="O11:O16" si="3">F11*2</f>
        <v>0</v>
      </c>
      <c r="P11" s="2948">
        <f>F11*2</f>
        <v>0</v>
      </c>
      <c r="Q11" s="2904">
        <f>N11+O11+P11</f>
        <v>0</v>
      </c>
      <c r="R11" s="2904">
        <f>Q11*10%</f>
        <v>0</v>
      </c>
      <c r="S11" s="2904">
        <f>(Q11-R11)*10%</f>
        <v>0</v>
      </c>
      <c r="T11" s="2904">
        <f>(Q11-R11)*6%</f>
        <v>0</v>
      </c>
      <c r="U11" s="2904">
        <f>(Q11-R11)*5%</f>
        <v>0</v>
      </c>
      <c r="V11" s="3034">
        <f t="shared" si="2"/>
        <v>0</v>
      </c>
      <c r="W11" s="2904"/>
      <c r="X11" s="1923">
        <v>0.01</v>
      </c>
      <c r="Y11" s="2950"/>
      <c r="Z11" s="2950"/>
      <c r="AA11" s="2950"/>
      <c r="AB11" s="2950"/>
      <c r="AC11" s="2950"/>
      <c r="AD11" s="2950"/>
      <c r="AE11" s="2950"/>
      <c r="AF11" s="2950"/>
      <c r="AG11" s="2950"/>
      <c r="AH11" s="2950"/>
      <c r="AI11" s="2950"/>
      <c r="AJ11" s="2950"/>
      <c r="AK11" s="2950"/>
      <c r="AL11" s="2950"/>
      <c r="AM11" s="2950"/>
      <c r="AN11" s="2950"/>
      <c r="AO11" s="2950"/>
      <c r="AP11" s="2950"/>
      <c r="AQ11" s="2950"/>
      <c r="AR11" s="2950"/>
      <c r="AS11" s="2950"/>
      <c r="AT11" s="2950"/>
      <c r="AU11" s="2950"/>
      <c r="AV11" s="2950"/>
      <c r="AW11" s="2950"/>
      <c r="AX11" s="2950"/>
      <c r="AY11" s="2950"/>
      <c r="AZ11" s="2950"/>
      <c r="BA11" s="2950"/>
      <c r="BB11" s="2950"/>
      <c r="BC11" s="2950"/>
      <c r="BD11" s="2950"/>
      <c r="BE11" s="2950"/>
      <c r="BF11" s="2950"/>
      <c r="BG11" s="2950"/>
      <c r="BH11" s="2950"/>
      <c r="BI11" s="2950"/>
      <c r="BJ11" s="2950"/>
      <c r="BK11" s="2950"/>
      <c r="BL11" s="2950"/>
      <c r="BM11" s="2950"/>
      <c r="BN11" s="2950"/>
      <c r="BO11" s="2950"/>
      <c r="BP11" s="2950"/>
      <c r="BQ11" s="2950"/>
      <c r="BR11" s="2950"/>
      <c r="BS11" s="2950"/>
      <c r="BT11" s="2950"/>
      <c r="BU11" s="2950"/>
      <c r="BV11" s="2950"/>
      <c r="BW11" s="2950"/>
      <c r="BX11" s="2950"/>
      <c r="BY11" s="2950"/>
      <c r="BZ11" s="2950"/>
      <c r="CA11" s="2950"/>
      <c r="CB11" s="2950"/>
      <c r="CC11" s="2950"/>
      <c r="CD11" s="2950"/>
      <c r="CE11" s="2950"/>
      <c r="CF11" s="2950"/>
      <c r="CG11" s="2950"/>
      <c r="CH11" s="2950"/>
      <c r="CI11" s="2950"/>
      <c r="CJ11" s="2950"/>
      <c r="CK11" s="2950"/>
      <c r="CL11" s="2950"/>
      <c r="CM11" s="2950"/>
      <c r="CN11" s="2950"/>
      <c r="CO11" s="2950"/>
      <c r="CP11" s="2950"/>
      <c r="CQ11" s="2950"/>
      <c r="CR11" s="2950"/>
      <c r="CS11" s="2950"/>
      <c r="CT11" s="2950"/>
      <c r="CU11" s="2950"/>
      <c r="CV11" s="2950"/>
      <c r="CW11" s="2950"/>
      <c r="CX11" s="2950"/>
      <c r="CY11" s="2950"/>
      <c r="CZ11" s="2950"/>
      <c r="DA11" s="2950"/>
      <c r="DB11" s="2950"/>
      <c r="DC11" s="2950"/>
      <c r="DD11" s="2950"/>
      <c r="DE11" s="2950"/>
      <c r="DF11" s="2950"/>
      <c r="DG11" s="2950"/>
      <c r="DH11" s="2950"/>
      <c r="DI11" s="2950"/>
      <c r="DJ11" s="2950"/>
      <c r="DK11" s="2950"/>
      <c r="DL11" s="2950"/>
      <c r="DM11" s="2950"/>
      <c r="DN11" s="2950"/>
      <c r="DO11" s="2950"/>
      <c r="DP11" s="2950"/>
      <c r="DQ11" s="2950"/>
      <c r="DR11" s="2950"/>
      <c r="DS11" s="2950"/>
      <c r="DT11" s="2950"/>
      <c r="DU11" s="2950"/>
      <c r="DV11" s="2950"/>
      <c r="DW11" s="2950"/>
      <c r="DX11" s="2950"/>
      <c r="DY11" s="2950"/>
      <c r="DZ11" s="2950"/>
      <c r="EA11" s="2950"/>
      <c r="EB11" s="2950"/>
      <c r="EC11" s="2950"/>
      <c r="ED11" s="2950"/>
      <c r="EE11" s="2950"/>
      <c r="EF11" s="2950"/>
      <c r="EG11" s="2950"/>
      <c r="EH11" s="2950"/>
      <c r="EI11" s="2950"/>
      <c r="EJ11" s="2950"/>
      <c r="EK11" s="2950"/>
      <c r="EL11" s="2950"/>
      <c r="EM11" s="2950"/>
      <c r="EN11" s="2950"/>
      <c r="EO11" s="2950"/>
      <c r="EP11" s="2950"/>
      <c r="EQ11" s="2950"/>
      <c r="ER11" s="2950"/>
      <c r="ES11" s="2950"/>
      <c r="ET11" s="2950"/>
      <c r="EU11" s="2950"/>
      <c r="EV11" s="2950"/>
      <c r="EW11" s="2950"/>
      <c r="EX11" s="2950"/>
      <c r="EY11" s="2950"/>
      <c r="EZ11" s="2950"/>
      <c r="FA11" s="2950"/>
      <c r="FB11" s="2950"/>
      <c r="FC11" s="2950"/>
      <c r="FD11" s="2950"/>
      <c r="FE11" s="2950"/>
      <c r="FF11" s="2950"/>
      <c r="FG11" s="2950"/>
      <c r="FH11" s="2950"/>
      <c r="FI11" s="2950"/>
      <c r="FJ11" s="2950"/>
      <c r="FK11" s="2950"/>
      <c r="FL11" s="2950"/>
      <c r="FM11" s="2950"/>
      <c r="FN11" s="2950"/>
      <c r="FO11" s="2950"/>
      <c r="FP11" s="2950"/>
      <c r="FQ11" s="2950"/>
      <c r="FR11" s="2950"/>
      <c r="FS11" s="2950"/>
      <c r="FT11" s="2950"/>
      <c r="FU11" s="2950"/>
      <c r="FV11" s="2950"/>
      <c r="FW11" s="2950"/>
      <c r="FX11" s="2950"/>
      <c r="FY11" s="2950"/>
      <c r="FZ11" s="2950"/>
      <c r="GA11" s="2950"/>
      <c r="GB11" s="2950"/>
      <c r="GC11" s="2950"/>
      <c r="GD11" s="2950"/>
      <c r="GE11" s="2950"/>
      <c r="GF11" s="2950"/>
      <c r="GG11" s="2950"/>
      <c r="GH11" s="2950"/>
      <c r="GI11" s="2950"/>
      <c r="GJ11" s="2950"/>
      <c r="GK11" s="2950"/>
      <c r="GL11" s="2950"/>
      <c r="GM11" s="2950"/>
      <c r="GN11" s="2950"/>
      <c r="GO11" s="2950"/>
      <c r="GP11" s="2950"/>
      <c r="GQ11" s="2950"/>
      <c r="GR11" s="2950"/>
      <c r="GS11" s="2950"/>
      <c r="GT11" s="2950"/>
      <c r="GU11" s="2950"/>
      <c r="GV11" s="2950"/>
      <c r="GW11" s="2950"/>
      <c r="GX11" s="2950"/>
      <c r="GY11" s="2950"/>
      <c r="GZ11" s="2950"/>
      <c r="HA11" s="2950"/>
      <c r="HB11" s="2950"/>
      <c r="HC11" s="2950"/>
      <c r="HD11" s="2950"/>
      <c r="HE11" s="2950"/>
      <c r="HF11" s="2950"/>
      <c r="HG11" s="2950"/>
      <c r="HH11" s="2950"/>
      <c r="HI11" s="2950"/>
      <c r="HJ11" s="2950"/>
      <c r="HK11" s="2950"/>
      <c r="HL11" s="2950"/>
      <c r="HM11" s="2950"/>
      <c r="HN11" s="2950"/>
      <c r="HO11" s="2950"/>
      <c r="HP11" s="2950"/>
      <c r="HQ11" s="2950"/>
      <c r="HR11" s="2950"/>
      <c r="HS11" s="2950"/>
      <c r="HT11" s="2950"/>
      <c r="HU11" s="2950"/>
      <c r="HV11" s="2950"/>
      <c r="HW11" s="2950"/>
      <c r="HX11" s="2950"/>
      <c r="HY11" s="2950"/>
      <c r="HZ11" s="2950"/>
      <c r="IA11" s="2950"/>
      <c r="IB11" s="2950"/>
      <c r="IC11" s="2950"/>
      <c r="ID11" s="2950"/>
      <c r="IE11" s="2950"/>
      <c r="IF11" s="2950"/>
      <c r="IG11" s="2950"/>
      <c r="IH11" s="2950"/>
      <c r="II11" s="2950"/>
      <c r="IJ11" s="2950"/>
      <c r="IK11" s="2950"/>
      <c r="IL11" s="2950"/>
      <c r="IM11" s="2950"/>
      <c r="IN11" s="2950"/>
      <c r="IO11" s="2950"/>
      <c r="IP11" s="2950"/>
      <c r="IQ11" s="2950"/>
    </row>
    <row r="12" spans="1:251" hidden="1">
      <c r="A12" s="1026"/>
      <c r="B12" s="1944" t="s">
        <v>970</v>
      </c>
      <c r="C12" s="1955"/>
      <c r="D12" s="2034"/>
      <c r="E12" s="1955"/>
      <c r="F12" s="1946"/>
      <c r="G12" s="1026">
        <v>12</v>
      </c>
      <c r="H12" s="1942">
        <f>D12*F12*G12</f>
        <v>0</v>
      </c>
      <c r="I12" s="1026"/>
      <c r="J12" s="1942">
        <f>I12*$Q$4</f>
        <v>0</v>
      </c>
      <c r="K12" s="1026"/>
      <c r="L12" s="1942">
        <f>K12*F12</f>
        <v>0</v>
      </c>
      <c r="M12" s="1942">
        <f>D12*G12*(J12+L12)</f>
        <v>0</v>
      </c>
      <c r="N12" s="1942">
        <f>H12+M12</f>
        <v>0</v>
      </c>
      <c r="O12" s="1026">
        <f t="shared" si="3"/>
        <v>0</v>
      </c>
      <c r="P12" s="1026">
        <f t="shared" ref="P12:P16" si="4">F12*4</f>
        <v>0</v>
      </c>
      <c r="Q12" s="1942">
        <f>N12+O12+P12</f>
        <v>0</v>
      </c>
      <c r="R12" s="1942">
        <f>Q12*10%</f>
        <v>0</v>
      </c>
      <c r="S12" s="1942">
        <f>(Q12-R12)*10%</f>
        <v>0</v>
      </c>
      <c r="T12" s="1942">
        <f>(Q12-R12)*6%</f>
        <v>0</v>
      </c>
      <c r="U12" s="1942">
        <f>(Q12-R12)*5%</f>
        <v>0</v>
      </c>
      <c r="V12" s="3034">
        <f t="shared" si="2"/>
        <v>0</v>
      </c>
      <c r="W12" s="1942"/>
      <c r="X12" s="1923">
        <v>0.01</v>
      </c>
      <c r="Y12" s="1947"/>
      <c r="Z12" s="1947"/>
      <c r="AA12" s="1947"/>
      <c r="AB12" s="1947"/>
      <c r="AC12" s="1947"/>
      <c r="AD12" s="1947"/>
      <c r="AE12" s="1947"/>
      <c r="AF12" s="1947"/>
      <c r="AG12" s="1947"/>
      <c r="AH12" s="1947"/>
      <c r="AI12" s="1947"/>
      <c r="AJ12" s="1947"/>
      <c r="AK12" s="1947"/>
      <c r="AL12" s="1947"/>
      <c r="AM12" s="1947"/>
      <c r="AN12" s="1947"/>
      <c r="AO12" s="1947"/>
      <c r="AP12" s="1947"/>
      <c r="AQ12" s="1947"/>
      <c r="AR12" s="1947"/>
      <c r="AS12" s="1947"/>
      <c r="AT12" s="1947"/>
      <c r="AU12" s="1947"/>
      <c r="AV12" s="1947"/>
      <c r="AW12" s="1947"/>
      <c r="AX12" s="1947"/>
      <c r="AY12" s="1947"/>
      <c r="AZ12" s="1947"/>
      <c r="BA12" s="1947"/>
      <c r="BB12" s="1947"/>
      <c r="BC12" s="1947"/>
      <c r="BD12" s="1947"/>
      <c r="BE12" s="1947"/>
      <c r="BF12" s="1947"/>
      <c r="BG12" s="1947"/>
      <c r="BH12" s="1947"/>
      <c r="BI12" s="1947"/>
      <c r="BJ12" s="1947"/>
      <c r="BK12" s="1947"/>
      <c r="BL12" s="1947"/>
      <c r="BM12" s="1947"/>
      <c r="BN12" s="1947"/>
      <c r="BO12" s="1947"/>
      <c r="BP12" s="1947"/>
      <c r="BQ12" s="1947"/>
      <c r="BR12" s="1947"/>
      <c r="BS12" s="1947"/>
      <c r="BT12" s="1947"/>
      <c r="BU12" s="1947"/>
      <c r="BV12" s="1947"/>
      <c r="BW12" s="1947"/>
      <c r="BX12" s="1947"/>
      <c r="BY12" s="1947"/>
      <c r="BZ12" s="1947"/>
      <c r="CA12" s="1947"/>
      <c r="CB12" s="1947"/>
      <c r="CC12" s="1947"/>
      <c r="CD12" s="1947"/>
      <c r="CE12" s="1947"/>
      <c r="CF12" s="1947"/>
      <c r="CG12" s="1947"/>
      <c r="CH12" s="1947"/>
      <c r="CI12" s="1947"/>
      <c r="CJ12" s="1947"/>
      <c r="CK12" s="1947"/>
      <c r="CL12" s="1947"/>
      <c r="CM12" s="1947"/>
      <c r="CN12" s="1947"/>
      <c r="CO12" s="1947"/>
      <c r="CP12" s="1947"/>
      <c r="CQ12" s="1947"/>
      <c r="CR12" s="1947"/>
      <c r="CS12" s="1947"/>
      <c r="CT12" s="1947"/>
      <c r="CU12" s="1947"/>
      <c r="CV12" s="1947"/>
      <c r="CW12" s="1947"/>
      <c r="CX12" s="1947"/>
      <c r="CY12" s="1947"/>
      <c r="CZ12" s="1947"/>
      <c r="DA12" s="1947"/>
      <c r="DB12" s="1947"/>
      <c r="DC12" s="1947"/>
      <c r="DD12" s="1947"/>
      <c r="DE12" s="1947"/>
      <c r="DF12" s="1947"/>
      <c r="DG12" s="1947"/>
      <c r="DH12" s="1947"/>
      <c r="DI12" s="1947"/>
      <c r="DJ12" s="1947"/>
      <c r="DK12" s="1947"/>
      <c r="DL12" s="1947"/>
      <c r="DM12" s="1947"/>
      <c r="DN12" s="1947"/>
      <c r="DO12" s="1947"/>
      <c r="DP12" s="1947"/>
      <c r="DQ12" s="1947"/>
      <c r="DR12" s="1947"/>
      <c r="DS12" s="1947"/>
      <c r="DT12" s="1947"/>
      <c r="DU12" s="1947"/>
      <c r="DV12" s="1947"/>
      <c r="DW12" s="1947"/>
      <c r="DX12" s="1947"/>
      <c r="DY12" s="1947"/>
      <c r="DZ12" s="1947"/>
      <c r="EA12" s="1947"/>
      <c r="EB12" s="1947"/>
      <c r="EC12" s="1947"/>
      <c r="ED12" s="1947"/>
      <c r="EE12" s="1947"/>
      <c r="EF12" s="1947"/>
      <c r="EG12" s="1947"/>
      <c r="EH12" s="1947"/>
      <c r="EI12" s="1947"/>
      <c r="EJ12" s="1947"/>
      <c r="EK12" s="1947"/>
      <c r="EL12" s="1947"/>
      <c r="EM12" s="1947"/>
      <c r="EN12" s="1947"/>
      <c r="EO12" s="1947"/>
      <c r="EP12" s="1947"/>
      <c r="EQ12" s="1947"/>
      <c r="ER12" s="1947"/>
      <c r="ES12" s="1947"/>
      <c r="ET12" s="1947"/>
      <c r="EU12" s="1947"/>
      <c r="EV12" s="1947"/>
      <c r="EW12" s="1947"/>
      <c r="EX12" s="1947"/>
      <c r="EY12" s="1947"/>
      <c r="EZ12" s="1947"/>
      <c r="FA12" s="1947"/>
      <c r="FB12" s="1947"/>
      <c r="FC12" s="1947"/>
      <c r="FD12" s="1947"/>
      <c r="FE12" s="1947"/>
      <c r="FF12" s="1947"/>
      <c r="FG12" s="1947"/>
      <c r="FH12" s="1947"/>
      <c r="FI12" s="1947"/>
      <c r="FJ12" s="1947"/>
      <c r="FK12" s="1947"/>
      <c r="FL12" s="1947"/>
      <c r="FM12" s="1947"/>
      <c r="FN12" s="1947"/>
      <c r="FO12" s="1947"/>
      <c r="FP12" s="1947"/>
      <c r="FQ12" s="1947"/>
      <c r="FR12" s="1947"/>
      <c r="FS12" s="1947"/>
      <c r="FT12" s="1947"/>
      <c r="FU12" s="1947"/>
      <c r="FV12" s="1947"/>
      <c r="FW12" s="1947"/>
      <c r="FX12" s="1947"/>
      <c r="FY12" s="1947"/>
      <c r="FZ12" s="1947"/>
      <c r="GA12" s="1947"/>
      <c r="GB12" s="1947"/>
      <c r="GC12" s="1947"/>
      <c r="GD12" s="1947"/>
      <c r="GE12" s="1947"/>
      <c r="GF12" s="1947"/>
      <c r="GG12" s="1947"/>
      <c r="GH12" s="1947"/>
      <c r="GI12" s="1947"/>
      <c r="GJ12" s="1947"/>
      <c r="GK12" s="1947"/>
      <c r="GL12" s="1947"/>
      <c r="GM12" s="1947"/>
      <c r="GN12" s="1947"/>
      <c r="GO12" s="1947"/>
      <c r="GP12" s="1947"/>
      <c r="GQ12" s="1947"/>
      <c r="GR12" s="1947"/>
      <c r="GS12" s="1947"/>
      <c r="GT12" s="1947"/>
      <c r="GU12" s="1947"/>
      <c r="GV12" s="1947"/>
      <c r="GW12" s="1947"/>
      <c r="GX12" s="1947"/>
      <c r="GY12" s="1947"/>
      <c r="GZ12" s="1947"/>
      <c r="HA12" s="1947"/>
      <c r="HB12" s="1947"/>
      <c r="HC12" s="1947"/>
      <c r="HD12" s="1947"/>
      <c r="HE12" s="1947"/>
      <c r="HF12" s="1947"/>
      <c r="HG12" s="1947"/>
      <c r="HH12" s="1947"/>
      <c r="HI12" s="1947"/>
      <c r="HJ12" s="1947"/>
      <c r="HK12" s="1947"/>
      <c r="HL12" s="1947"/>
      <c r="HM12" s="1947"/>
      <c r="HN12" s="1947"/>
      <c r="HO12" s="1947"/>
      <c r="HP12" s="1947"/>
      <c r="HQ12" s="1947"/>
      <c r="HR12" s="1947"/>
      <c r="HS12" s="1947"/>
      <c r="HT12" s="1947"/>
      <c r="HU12" s="1947"/>
      <c r="HV12" s="1947"/>
      <c r="HW12" s="1947"/>
      <c r="HX12" s="1947"/>
      <c r="HY12" s="1947"/>
      <c r="HZ12" s="1947"/>
      <c r="IA12" s="1947"/>
      <c r="IB12" s="1947"/>
      <c r="IC12" s="1947"/>
      <c r="ID12" s="1947"/>
      <c r="IE12" s="1947"/>
      <c r="IF12" s="1947"/>
      <c r="IG12" s="1947"/>
      <c r="IH12" s="1947"/>
      <c r="II12" s="1947"/>
      <c r="IJ12" s="1947"/>
      <c r="IK12" s="1947"/>
      <c r="IL12" s="1947"/>
      <c r="IM12" s="1947"/>
      <c r="IN12" s="1947"/>
      <c r="IO12" s="1947"/>
      <c r="IP12" s="1947"/>
      <c r="IQ12" s="1947"/>
    </row>
    <row r="13" spans="1:251" ht="25.5" hidden="1">
      <c r="A13" s="1026"/>
      <c r="B13" s="1944" t="s">
        <v>523</v>
      </c>
      <c r="C13" s="1955"/>
      <c r="D13" s="2034"/>
      <c r="E13" s="1955"/>
      <c r="F13" s="1946"/>
      <c r="G13" s="1026">
        <v>12</v>
      </c>
      <c r="H13" s="1942">
        <f>D13*F13*G13</f>
        <v>0</v>
      </c>
      <c r="I13" s="1026"/>
      <c r="J13" s="1942">
        <f>I13*$Q$4</f>
        <v>0</v>
      </c>
      <c r="K13" s="1026"/>
      <c r="L13" s="1942">
        <f>K13*F13</f>
        <v>0</v>
      </c>
      <c r="M13" s="1942">
        <f>D13*G13*(J13+L13)</f>
        <v>0</v>
      </c>
      <c r="N13" s="1942">
        <f>H13+M13</f>
        <v>0</v>
      </c>
      <c r="O13" s="1026">
        <f t="shared" si="3"/>
        <v>0</v>
      </c>
      <c r="P13" s="1026">
        <f t="shared" si="4"/>
        <v>0</v>
      </c>
      <c r="Q13" s="1942">
        <f>N13+O13+P13</f>
        <v>0</v>
      </c>
      <c r="R13" s="1942">
        <f>Q13*10%</f>
        <v>0</v>
      </c>
      <c r="S13" s="1942">
        <f>(Q13-R13)*10%</f>
        <v>0</v>
      </c>
      <c r="T13" s="1942">
        <f>(Q13-R13)*6%</f>
        <v>0</v>
      </c>
      <c r="U13" s="1942">
        <f>(Q13-R13)*5%</f>
        <v>0</v>
      </c>
      <c r="V13" s="3034">
        <f t="shared" si="2"/>
        <v>0</v>
      </c>
      <c r="W13" s="1942"/>
      <c r="X13" s="1923">
        <v>0.01</v>
      </c>
      <c r="Y13" s="1947"/>
      <c r="Z13" s="1947"/>
      <c r="AA13" s="1947"/>
      <c r="AB13" s="1947"/>
      <c r="AC13" s="1947"/>
      <c r="AD13" s="1947"/>
      <c r="AE13" s="1947"/>
      <c r="AF13" s="1947"/>
      <c r="AG13" s="1947"/>
      <c r="AH13" s="1947"/>
      <c r="AI13" s="1947"/>
      <c r="AJ13" s="1947"/>
      <c r="AK13" s="1947"/>
      <c r="AL13" s="1947"/>
      <c r="AM13" s="1947"/>
      <c r="AN13" s="1947"/>
      <c r="AO13" s="1947"/>
      <c r="AP13" s="1947"/>
      <c r="AQ13" s="1947"/>
      <c r="AR13" s="1947"/>
      <c r="AS13" s="1947"/>
      <c r="AT13" s="1947"/>
      <c r="AU13" s="1947"/>
      <c r="AV13" s="1947"/>
      <c r="AW13" s="1947"/>
      <c r="AX13" s="1947"/>
      <c r="AY13" s="1947"/>
      <c r="AZ13" s="1947"/>
      <c r="BA13" s="1947"/>
      <c r="BB13" s="1947"/>
      <c r="BC13" s="1947"/>
      <c r="BD13" s="1947"/>
      <c r="BE13" s="1947"/>
      <c r="BF13" s="1947"/>
      <c r="BG13" s="1947"/>
      <c r="BH13" s="1947"/>
      <c r="BI13" s="1947"/>
      <c r="BJ13" s="1947"/>
      <c r="BK13" s="1947"/>
      <c r="BL13" s="1947"/>
      <c r="BM13" s="1947"/>
      <c r="BN13" s="1947"/>
      <c r="BO13" s="1947"/>
      <c r="BP13" s="1947"/>
      <c r="BQ13" s="1947"/>
      <c r="BR13" s="1947"/>
      <c r="BS13" s="1947"/>
      <c r="BT13" s="1947"/>
      <c r="BU13" s="1947"/>
      <c r="BV13" s="1947"/>
      <c r="BW13" s="1947"/>
      <c r="BX13" s="1947"/>
      <c r="BY13" s="1947"/>
      <c r="BZ13" s="1947"/>
      <c r="CA13" s="1947"/>
      <c r="CB13" s="1947"/>
      <c r="CC13" s="1947"/>
      <c r="CD13" s="1947"/>
      <c r="CE13" s="1947"/>
      <c r="CF13" s="1947"/>
      <c r="CG13" s="1947"/>
      <c r="CH13" s="1947"/>
      <c r="CI13" s="1947"/>
      <c r="CJ13" s="1947"/>
      <c r="CK13" s="1947"/>
      <c r="CL13" s="1947"/>
      <c r="CM13" s="1947"/>
      <c r="CN13" s="1947"/>
      <c r="CO13" s="1947"/>
      <c r="CP13" s="1947"/>
      <c r="CQ13" s="1947"/>
      <c r="CR13" s="1947"/>
      <c r="CS13" s="1947"/>
      <c r="CT13" s="1947"/>
      <c r="CU13" s="1947"/>
      <c r="CV13" s="1947"/>
      <c r="CW13" s="1947"/>
      <c r="CX13" s="1947"/>
      <c r="CY13" s="1947"/>
      <c r="CZ13" s="1947"/>
      <c r="DA13" s="1947"/>
      <c r="DB13" s="1947"/>
      <c r="DC13" s="1947"/>
      <c r="DD13" s="1947"/>
      <c r="DE13" s="1947"/>
      <c r="DF13" s="1947"/>
      <c r="DG13" s="1947"/>
      <c r="DH13" s="1947"/>
      <c r="DI13" s="1947"/>
      <c r="DJ13" s="1947"/>
      <c r="DK13" s="1947"/>
      <c r="DL13" s="1947"/>
      <c r="DM13" s="1947"/>
      <c r="DN13" s="1947"/>
      <c r="DO13" s="1947"/>
      <c r="DP13" s="1947"/>
      <c r="DQ13" s="1947"/>
      <c r="DR13" s="1947"/>
      <c r="DS13" s="1947"/>
      <c r="DT13" s="1947"/>
      <c r="DU13" s="1947"/>
      <c r="DV13" s="1947"/>
      <c r="DW13" s="1947"/>
      <c r="DX13" s="1947"/>
      <c r="DY13" s="1947"/>
      <c r="DZ13" s="1947"/>
      <c r="EA13" s="1947"/>
      <c r="EB13" s="1947"/>
      <c r="EC13" s="1947"/>
      <c r="ED13" s="1947"/>
      <c r="EE13" s="1947"/>
      <c r="EF13" s="1947"/>
      <c r="EG13" s="1947"/>
      <c r="EH13" s="1947"/>
      <c r="EI13" s="1947"/>
      <c r="EJ13" s="1947"/>
      <c r="EK13" s="1947"/>
      <c r="EL13" s="1947"/>
      <c r="EM13" s="1947"/>
      <c r="EN13" s="1947"/>
      <c r="EO13" s="1947"/>
      <c r="EP13" s="1947"/>
      <c r="EQ13" s="1947"/>
      <c r="ER13" s="1947"/>
      <c r="ES13" s="1947"/>
      <c r="ET13" s="1947"/>
      <c r="EU13" s="1947"/>
      <c r="EV13" s="1947"/>
      <c r="EW13" s="1947"/>
      <c r="EX13" s="1947"/>
      <c r="EY13" s="1947"/>
      <c r="EZ13" s="1947"/>
      <c r="FA13" s="1947"/>
      <c r="FB13" s="1947"/>
      <c r="FC13" s="1947"/>
      <c r="FD13" s="1947"/>
      <c r="FE13" s="1947"/>
      <c r="FF13" s="1947"/>
      <c r="FG13" s="1947"/>
      <c r="FH13" s="1947"/>
      <c r="FI13" s="1947"/>
      <c r="FJ13" s="1947"/>
      <c r="FK13" s="1947"/>
      <c r="FL13" s="1947"/>
      <c r="FM13" s="1947"/>
      <c r="FN13" s="1947"/>
      <c r="FO13" s="1947"/>
      <c r="FP13" s="1947"/>
      <c r="FQ13" s="1947"/>
      <c r="FR13" s="1947"/>
      <c r="FS13" s="1947"/>
      <c r="FT13" s="1947"/>
      <c r="FU13" s="1947"/>
      <c r="FV13" s="1947"/>
      <c r="FW13" s="1947"/>
      <c r="FX13" s="1947"/>
      <c r="FY13" s="1947"/>
      <c r="FZ13" s="1947"/>
      <c r="GA13" s="1947"/>
      <c r="GB13" s="1947"/>
      <c r="GC13" s="1947"/>
      <c r="GD13" s="1947"/>
      <c r="GE13" s="1947"/>
      <c r="GF13" s="1947"/>
      <c r="GG13" s="1947"/>
      <c r="GH13" s="1947"/>
      <c r="GI13" s="1947"/>
      <c r="GJ13" s="1947"/>
      <c r="GK13" s="1947"/>
      <c r="GL13" s="1947"/>
      <c r="GM13" s="1947"/>
      <c r="GN13" s="1947"/>
      <c r="GO13" s="1947"/>
      <c r="GP13" s="1947"/>
      <c r="GQ13" s="1947"/>
      <c r="GR13" s="1947"/>
      <c r="GS13" s="1947"/>
      <c r="GT13" s="1947"/>
      <c r="GU13" s="1947"/>
      <c r="GV13" s="1947"/>
      <c r="GW13" s="1947"/>
      <c r="GX13" s="1947"/>
      <c r="GY13" s="1947"/>
      <c r="GZ13" s="1947"/>
      <c r="HA13" s="1947"/>
      <c r="HB13" s="1947"/>
      <c r="HC13" s="1947"/>
      <c r="HD13" s="1947"/>
      <c r="HE13" s="1947"/>
      <c r="HF13" s="1947"/>
      <c r="HG13" s="1947"/>
      <c r="HH13" s="1947"/>
      <c r="HI13" s="1947"/>
      <c r="HJ13" s="1947"/>
      <c r="HK13" s="1947"/>
      <c r="HL13" s="1947"/>
      <c r="HM13" s="1947"/>
      <c r="HN13" s="1947"/>
      <c r="HO13" s="1947"/>
      <c r="HP13" s="1947"/>
      <c r="HQ13" s="1947"/>
      <c r="HR13" s="1947"/>
      <c r="HS13" s="1947"/>
      <c r="HT13" s="1947"/>
      <c r="HU13" s="1947"/>
      <c r="HV13" s="1947"/>
      <c r="HW13" s="1947"/>
      <c r="HX13" s="1947"/>
      <c r="HY13" s="1947"/>
      <c r="HZ13" s="1947"/>
      <c r="IA13" s="1947"/>
      <c r="IB13" s="1947"/>
      <c r="IC13" s="1947"/>
      <c r="ID13" s="1947"/>
      <c r="IE13" s="1947"/>
      <c r="IF13" s="1947"/>
      <c r="IG13" s="1947"/>
      <c r="IH13" s="1947"/>
      <c r="II13" s="1947"/>
      <c r="IJ13" s="1947"/>
      <c r="IK13" s="1947"/>
      <c r="IL13" s="1947"/>
      <c r="IM13" s="1947"/>
      <c r="IN13" s="1947"/>
      <c r="IO13" s="1947"/>
      <c r="IP13" s="1947"/>
      <c r="IQ13" s="1947"/>
    </row>
    <row r="14" spans="1:251" hidden="1">
      <c r="A14" s="1026"/>
      <c r="B14" s="1944" t="s">
        <v>977</v>
      </c>
      <c r="C14" s="1955"/>
      <c r="D14" s="2034"/>
      <c r="E14" s="1955"/>
      <c r="F14" s="1946"/>
      <c r="G14" s="1026">
        <v>12</v>
      </c>
      <c r="H14" s="1942">
        <f>D14*F14*G14</f>
        <v>0</v>
      </c>
      <c r="I14" s="1026"/>
      <c r="J14" s="1942">
        <f>I14*$Q$4</f>
        <v>0</v>
      </c>
      <c r="K14" s="1026"/>
      <c r="L14" s="1942">
        <f>K14*F14</f>
        <v>0</v>
      </c>
      <c r="M14" s="1942">
        <f>D14*G14*(J14+L14)</f>
        <v>0</v>
      </c>
      <c r="N14" s="1942">
        <f>H14+M14</f>
        <v>0</v>
      </c>
      <c r="O14" s="1026">
        <f t="shared" si="3"/>
        <v>0</v>
      </c>
      <c r="P14" s="1026">
        <f t="shared" si="4"/>
        <v>0</v>
      </c>
      <c r="Q14" s="1942">
        <f>N14+O14+P14</f>
        <v>0</v>
      </c>
      <c r="R14" s="1942">
        <f>Q14*10%</f>
        <v>0</v>
      </c>
      <c r="S14" s="1942">
        <f>(Q14-R14)*10%</f>
        <v>0</v>
      </c>
      <c r="T14" s="1942">
        <f>(Q14-R14)*6%</f>
        <v>0</v>
      </c>
      <c r="U14" s="1942">
        <f>(Q14-R14)*5%</f>
        <v>0</v>
      </c>
      <c r="V14" s="3034">
        <f t="shared" si="2"/>
        <v>0</v>
      </c>
      <c r="W14" s="1942"/>
      <c r="X14" s="1923">
        <v>0.01</v>
      </c>
      <c r="Y14" s="1947"/>
      <c r="Z14" s="1947"/>
      <c r="AA14" s="1947"/>
      <c r="AB14" s="1947"/>
      <c r="AC14" s="1947"/>
      <c r="AD14" s="1947"/>
      <c r="AE14" s="1947"/>
      <c r="AF14" s="1947"/>
      <c r="AG14" s="1947"/>
      <c r="AH14" s="1947"/>
      <c r="AI14" s="1947"/>
      <c r="AJ14" s="1947"/>
      <c r="AK14" s="1947"/>
      <c r="AL14" s="1947"/>
      <c r="AM14" s="1947"/>
      <c r="AN14" s="1947"/>
      <c r="AO14" s="1947"/>
      <c r="AP14" s="1947"/>
      <c r="AQ14" s="1947"/>
      <c r="AR14" s="1947"/>
      <c r="AS14" s="1947"/>
      <c r="AT14" s="1947"/>
      <c r="AU14" s="1947"/>
      <c r="AV14" s="1947"/>
      <c r="AW14" s="1947"/>
      <c r="AX14" s="1947"/>
      <c r="AY14" s="1947"/>
      <c r="AZ14" s="1947"/>
      <c r="BA14" s="1947"/>
      <c r="BB14" s="1947"/>
      <c r="BC14" s="1947"/>
      <c r="BD14" s="1947"/>
      <c r="BE14" s="1947"/>
      <c r="BF14" s="1947"/>
      <c r="BG14" s="1947"/>
      <c r="BH14" s="1947"/>
      <c r="BI14" s="1947"/>
      <c r="BJ14" s="1947"/>
      <c r="BK14" s="1947"/>
      <c r="BL14" s="1947"/>
      <c r="BM14" s="1947"/>
      <c r="BN14" s="1947"/>
      <c r="BO14" s="1947"/>
      <c r="BP14" s="1947"/>
      <c r="BQ14" s="1947"/>
      <c r="BR14" s="1947"/>
      <c r="BS14" s="1947"/>
      <c r="BT14" s="1947"/>
      <c r="BU14" s="1947"/>
      <c r="BV14" s="1947"/>
      <c r="BW14" s="1947"/>
      <c r="BX14" s="1947"/>
      <c r="BY14" s="1947"/>
      <c r="BZ14" s="1947"/>
      <c r="CA14" s="1947"/>
      <c r="CB14" s="1947"/>
      <c r="CC14" s="1947"/>
      <c r="CD14" s="1947"/>
      <c r="CE14" s="1947"/>
      <c r="CF14" s="1947"/>
      <c r="CG14" s="1947"/>
      <c r="CH14" s="1947"/>
      <c r="CI14" s="1947"/>
      <c r="CJ14" s="1947"/>
      <c r="CK14" s="1947"/>
      <c r="CL14" s="1947"/>
      <c r="CM14" s="1947"/>
      <c r="CN14" s="1947"/>
      <c r="CO14" s="1947"/>
      <c r="CP14" s="1947"/>
      <c r="CQ14" s="1947"/>
      <c r="CR14" s="1947"/>
      <c r="CS14" s="1947"/>
      <c r="CT14" s="1947"/>
      <c r="CU14" s="1947"/>
      <c r="CV14" s="1947"/>
      <c r="CW14" s="1947"/>
      <c r="CX14" s="1947"/>
      <c r="CY14" s="1947"/>
      <c r="CZ14" s="1947"/>
      <c r="DA14" s="1947"/>
      <c r="DB14" s="1947"/>
      <c r="DC14" s="1947"/>
      <c r="DD14" s="1947"/>
      <c r="DE14" s="1947"/>
      <c r="DF14" s="1947"/>
      <c r="DG14" s="1947"/>
      <c r="DH14" s="1947"/>
      <c r="DI14" s="1947"/>
      <c r="DJ14" s="1947"/>
      <c r="DK14" s="1947"/>
      <c r="DL14" s="1947"/>
      <c r="DM14" s="1947"/>
      <c r="DN14" s="1947"/>
      <c r="DO14" s="1947"/>
      <c r="DP14" s="1947"/>
      <c r="DQ14" s="1947"/>
      <c r="DR14" s="1947"/>
      <c r="DS14" s="1947"/>
      <c r="DT14" s="1947"/>
      <c r="DU14" s="1947"/>
      <c r="DV14" s="1947"/>
      <c r="DW14" s="1947"/>
      <c r="DX14" s="1947"/>
      <c r="DY14" s="1947"/>
      <c r="DZ14" s="1947"/>
      <c r="EA14" s="1947"/>
      <c r="EB14" s="1947"/>
      <c r="EC14" s="1947"/>
      <c r="ED14" s="1947"/>
      <c r="EE14" s="1947"/>
      <c r="EF14" s="1947"/>
      <c r="EG14" s="1947"/>
      <c r="EH14" s="1947"/>
      <c r="EI14" s="1947"/>
      <c r="EJ14" s="1947"/>
      <c r="EK14" s="1947"/>
      <c r="EL14" s="1947"/>
      <c r="EM14" s="1947"/>
      <c r="EN14" s="1947"/>
      <c r="EO14" s="1947"/>
      <c r="EP14" s="1947"/>
      <c r="EQ14" s="1947"/>
      <c r="ER14" s="1947"/>
      <c r="ES14" s="1947"/>
      <c r="ET14" s="1947"/>
      <c r="EU14" s="1947"/>
      <c r="EV14" s="1947"/>
      <c r="EW14" s="1947"/>
      <c r="EX14" s="1947"/>
      <c r="EY14" s="1947"/>
      <c r="EZ14" s="1947"/>
      <c r="FA14" s="1947"/>
      <c r="FB14" s="1947"/>
      <c r="FC14" s="1947"/>
      <c r="FD14" s="1947"/>
      <c r="FE14" s="1947"/>
      <c r="FF14" s="1947"/>
      <c r="FG14" s="1947"/>
      <c r="FH14" s="1947"/>
      <c r="FI14" s="1947"/>
      <c r="FJ14" s="1947"/>
      <c r="FK14" s="1947"/>
      <c r="FL14" s="1947"/>
      <c r="FM14" s="1947"/>
      <c r="FN14" s="1947"/>
      <c r="FO14" s="1947"/>
      <c r="FP14" s="1947"/>
      <c r="FQ14" s="1947"/>
      <c r="FR14" s="1947"/>
      <c r="FS14" s="1947"/>
      <c r="FT14" s="1947"/>
      <c r="FU14" s="1947"/>
      <c r="FV14" s="1947"/>
      <c r="FW14" s="1947"/>
      <c r="FX14" s="1947"/>
      <c r="FY14" s="1947"/>
      <c r="FZ14" s="1947"/>
      <c r="GA14" s="1947"/>
      <c r="GB14" s="1947"/>
      <c r="GC14" s="1947"/>
      <c r="GD14" s="1947"/>
      <c r="GE14" s="1947"/>
      <c r="GF14" s="1947"/>
      <c r="GG14" s="1947"/>
      <c r="GH14" s="1947"/>
      <c r="GI14" s="1947"/>
      <c r="GJ14" s="1947"/>
      <c r="GK14" s="1947"/>
      <c r="GL14" s="1947"/>
      <c r="GM14" s="1947"/>
      <c r="GN14" s="1947"/>
      <c r="GO14" s="1947"/>
      <c r="GP14" s="1947"/>
      <c r="GQ14" s="1947"/>
      <c r="GR14" s="1947"/>
      <c r="GS14" s="1947"/>
      <c r="GT14" s="1947"/>
      <c r="GU14" s="1947"/>
      <c r="GV14" s="1947"/>
      <c r="GW14" s="1947"/>
      <c r="GX14" s="1947"/>
      <c r="GY14" s="1947"/>
      <c r="GZ14" s="1947"/>
      <c r="HA14" s="1947"/>
      <c r="HB14" s="1947"/>
      <c r="HC14" s="1947"/>
      <c r="HD14" s="1947"/>
      <c r="HE14" s="1947"/>
      <c r="HF14" s="1947"/>
      <c r="HG14" s="1947"/>
      <c r="HH14" s="1947"/>
      <c r="HI14" s="1947"/>
      <c r="HJ14" s="1947"/>
      <c r="HK14" s="1947"/>
      <c r="HL14" s="1947"/>
      <c r="HM14" s="1947"/>
      <c r="HN14" s="1947"/>
      <c r="HO14" s="1947"/>
      <c r="HP14" s="1947"/>
      <c r="HQ14" s="1947"/>
      <c r="HR14" s="1947"/>
      <c r="HS14" s="1947"/>
      <c r="HT14" s="1947"/>
      <c r="HU14" s="1947"/>
      <c r="HV14" s="1947"/>
      <c r="HW14" s="1947"/>
      <c r="HX14" s="1947"/>
      <c r="HY14" s="1947"/>
      <c r="HZ14" s="1947"/>
      <c r="IA14" s="1947"/>
      <c r="IB14" s="1947"/>
      <c r="IC14" s="1947"/>
      <c r="ID14" s="1947"/>
      <c r="IE14" s="1947"/>
      <c r="IF14" s="1947"/>
      <c r="IG14" s="1947"/>
      <c r="IH14" s="1947"/>
      <c r="II14" s="1947"/>
      <c r="IJ14" s="1947"/>
      <c r="IK14" s="1947"/>
      <c r="IL14" s="1947"/>
      <c r="IM14" s="1947"/>
      <c r="IN14" s="1947"/>
      <c r="IO14" s="1947"/>
      <c r="IP14" s="1947"/>
      <c r="IQ14" s="1947"/>
    </row>
    <row r="15" spans="1:251" hidden="1">
      <c r="A15" s="1026"/>
      <c r="B15" s="1944" t="s">
        <v>978</v>
      </c>
      <c r="C15" s="1955"/>
      <c r="D15" s="2034"/>
      <c r="E15" s="1955"/>
      <c r="F15" s="1946"/>
      <c r="G15" s="1026">
        <v>12</v>
      </c>
      <c r="H15" s="1942">
        <f t="shared" ref="H15:H32" si="5">D15*F15*G15</f>
        <v>0</v>
      </c>
      <c r="I15" s="1026"/>
      <c r="J15" s="1942">
        <f t="shared" ref="J15:J63" si="6">I15*$Q$4</f>
        <v>0</v>
      </c>
      <c r="K15" s="1026"/>
      <c r="L15" s="1942">
        <f t="shared" ref="L15:L32" si="7">K15*F15</f>
        <v>0</v>
      </c>
      <c r="M15" s="1942">
        <f>D15*G15*(J15+L15)</f>
        <v>0</v>
      </c>
      <c r="N15" s="1942">
        <f t="shared" ref="N15:N32" si="8">H15+M15</f>
        <v>0</v>
      </c>
      <c r="O15" s="1026">
        <f t="shared" si="3"/>
        <v>0</v>
      </c>
      <c r="P15" s="1026">
        <f t="shared" si="4"/>
        <v>0</v>
      </c>
      <c r="Q15" s="1942">
        <f t="shared" ref="Q15:Q32" si="9">N15+O15+P15</f>
        <v>0</v>
      </c>
      <c r="R15" s="1942">
        <f t="shared" ref="R15:R63" si="10">Q15*10%</f>
        <v>0</v>
      </c>
      <c r="S15" s="1942">
        <f t="shared" ref="S15:S32" si="11">(Q15-R15)*10%</f>
        <v>0</v>
      </c>
      <c r="T15" s="1942">
        <f t="shared" ref="T15:T32" si="12">(Q15-R15)*6%</f>
        <v>0</v>
      </c>
      <c r="U15" s="1942">
        <f t="shared" ref="U15:U32" si="13">(Q15-R15)*5%</f>
        <v>0</v>
      </c>
      <c r="V15" s="3034">
        <f t="shared" si="2"/>
        <v>0</v>
      </c>
      <c r="W15" s="1942"/>
      <c r="X15" s="1923">
        <v>0.01</v>
      </c>
      <c r="Y15" s="1947"/>
      <c r="Z15" s="1947"/>
      <c r="AA15" s="1947"/>
      <c r="AB15" s="1947"/>
      <c r="AC15" s="1947"/>
      <c r="AD15" s="1947"/>
      <c r="AE15" s="1947"/>
      <c r="AF15" s="1947"/>
      <c r="AG15" s="1947"/>
      <c r="AH15" s="1947"/>
      <c r="AI15" s="1947"/>
      <c r="AJ15" s="1947"/>
      <c r="AK15" s="1947"/>
      <c r="AL15" s="1947"/>
      <c r="AM15" s="1947"/>
      <c r="AN15" s="1947"/>
      <c r="AO15" s="1947"/>
      <c r="AP15" s="1947"/>
      <c r="AQ15" s="1947"/>
      <c r="AR15" s="1947"/>
      <c r="AS15" s="1947"/>
      <c r="AT15" s="1947"/>
      <c r="AU15" s="1947"/>
      <c r="AV15" s="1947"/>
      <c r="AW15" s="1947"/>
      <c r="AX15" s="1947"/>
      <c r="AY15" s="1947"/>
      <c r="AZ15" s="1947"/>
      <c r="BA15" s="1947"/>
      <c r="BB15" s="1947"/>
      <c r="BC15" s="1947"/>
      <c r="BD15" s="1947"/>
      <c r="BE15" s="1947"/>
      <c r="BF15" s="1947"/>
      <c r="BG15" s="1947"/>
      <c r="BH15" s="1947"/>
      <c r="BI15" s="1947"/>
      <c r="BJ15" s="1947"/>
      <c r="BK15" s="1947"/>
      <c r="BL15" s="1947"/>
      <c r="BM15" s="1947"/>
      <c r="BN15" s="1947"/>
      <c r="BO15" s="1947"/>
      <c r="BP15" s="1947"/>
      <c r="BQ15" s="1947"/>
      <c r="BR15" s="1947"/>
      <c r="BS15" s="1947"/>
      <c r="BT15" s="1947"/>
      <c r="BU15" s="1947"/>
      <c r="BV15" s="1947"/>
      <c r="BW15" s="1947"/>
      <c r="BX15" s="1947"/>
      <c r="BY15" s="1947"/>
      <c r="BZ15" s="1947"/>
      <c r="CA15" s="1947"/>
      <c r="CB15" s="1947"/>
      <c r="CC15" s="1947"/>
      <c r="CD15" s="1947"/>
      <c r="CE15" s="1947"/>
      <c r="CF15" s="1947"/>
      <c r="CG15" s="1947"/>
      <c r="CH15" s="1947"/>
      <c r="CI15" s="1947"/>
      <c r="CJ15" s="1947"/>
      <c r="CK15" s="1947"/>
      <c r="CL15" s="1947"/>
      <c r="CM15" s="1947"/>
      <c r="CN15" s="1947"/>
      <c r="CO15" s="1947"/>
      <c r="CP15" s="1947"/>
      <c r="CQ15" s="1947"/>
      <c r="CR15" s="1947"/>
      <c r="CS15" s="1947"/>
      <c r="CT15" s="1947"/>
      <c r="CU15" s="1947"/>
      <c r="CV15" s="1947"/>
      <c r="CW15" s="1947"/>
      <c r="CX15" s="1947"/>
      <c r="CY15" s="1947"/>
      <c r="CZ15" s="1947"/>
      <c r="DA15" s="1947"/>
      <c r="DB15" s="1947"/>
      <c r="DC15" s="1947"/>
      <c r="DD15" s="1947"/>
      <c r="DE15" s="1947"/>
      <c r="DF15" s="1947"/>
      <c r="DG15" s="1947"/>
      <c r="DH15" s="1947"/>
      <c r="DI15" s="1947"/>
      <c r="DJ15" s="1947"/>
      <c r="DK15" s="1947"/>
      <c r="DL15" s="1947"/>
      <c r="DM15" s="1947"/>
      <c r="DN15" s="1947"/>
      <c r="DO15" s="1947"/>
      <c r="DP15" s="1947"/>
      <c r="DQ15" s="1947"/>
      <c r="DR15" s="1947"/>
      <c r="DS15" s="1947"/>
      <c r="DT15" s="1947"/>
      <c r="DU15" s="1947"/>
      <c r="DV15" s="1947"/>
      <c r="DW15" s="1947"/>
      <c r="DX15" s="1947"/>
      <c r="DY15" s="1947"/>
      <c r="DZ15" s="1947"/>
      <c r="EA15" s="1947"/>
      <c r="EB15" s="1947"/>
      <c r="EC15" s="1947"/>
      <c r="ED15" s="1947"/>
      <c r="EE15" s="1947"/>
      <c r="EF15" s="1947"/>
      <c r="EG15" s="1947"/>
      <c r="EH15" s="1947"/>
      <c r="EI15" s="1947"/>
      <c r="EJ15" s="1947"/>
      <c r="EK15" s="1947"/>
      <c r="EL15" s="1947"/>
      <c r="EM15" s="1947"/>
      <c r="EN15" s="1947"/>
      <c r="EO15" s="1947"/>
      <c r="EP15" s="1947"/>
      <c r="EQ15" s="1947"/>
      <c r="ER15" s="1947"/>
      <c r="ES15" s="1947"/>
      <c r="ET15" s="1947"/>
      <c r="EU15" s="1947"/>
      <c r="EV15" s="1947"/>
      <c r="EW15" s="1947"/>
      <c r="EX15" s="1947"/>
      <c r="EY15" s="1947"/>
      <c r="EZ15" s="1947"/>
      <c r="FA15" s="1947"/>
      <c r="FB15" s="1947"/>
      <c r="FC15" s="1947"/>
      <c r="FD15" s="1947"/>
      <c r="FE15" s="1947"/>
      <c r="FF15" s="1947"/>
      <c r="FG15" s="1947"/>
      <c r="FH15" s="1947"/>
      <c r="FI15" s="1947"/>
      <c r="FJ15" s="1947"/>
      <c r="FK15" s="1947"/>
      <c r="FL15" s="1947"/>
      <c r="FM15" s="1947"/>
      <c r="FN15" s="1947"/>
      <c r="FO15" s="1947"/>
      <c r="FP15" s="1947"/>
      <c r="FQ15" s="1947"/>
      <c r="FR15" s="1947"/>
      <c r="FS15" s="1947"/>
      <c r="FT15" s="1947"/>
      <c r="FU15" s="1947"/>
      <c r="FV15" s="1947"/>
      <c r="FW15" s="1947"/>
      <c r="FX15" s="1947"/>
      <c r="FY15" s="1947"/>
      <c r="FZ15" s="1947"/>
      <c r="GA15" s="1947"/>
      <c r="GB15" s="1947"/>
      <c r="GC15" s="1947"/>
      <c r="GD15" s="1947"/>
      <c r="GE15" s="1947"/>
      <c r="GF15" s="1947"/>
      <c r="GG15" s="1947"/>
      <c r="GH15" s="1947"/>
      <c r="GI15" s="1947"/>
      <c r="GJ15" s="1947"/>
      <c r="GK15" s="1947"/>
      <c r="GL15" s="1947"/>
      <c r="GM15" s="1947"/>
      <c r="GN15" s="1947"/>
      <c r="GO15" s="1947"/>
      <c r="GP15" s="1947"/>
      <c r="GQ15" s="1947"/>
      <c r="GR15" s="1947"/>
      <c r="GS15" s="1947"/>
      <c r="GT15" s="1947"/>
      <c r="GU15" s="1947"/>
      <c r="GV15" s="1947"/>
      <c r="GW15" s="1947"/>
      <c r="GX15" s="1947"/>
      <c r="GY15" s="1947"/>
      <c r="GZ15" s="1947"/>
      <c r="HA15" s="1947"/>
      <c r="HB15" s="1947"/>
      <c r="HC15" s="1947"/>
      <c r="HD15" s="1947"/>
      <c r="HE15" s="1947"/>
      <c r="HF15" s="1947"/>
      <c r="HG15" s="1947"/>
      <c r="HH15" s="1947"/>
      <c r="HI15" s="1947"/>
      <c r="HJ15" s="1947"/>
      <c r="HK15" s="1947"/>
      <c r="HL15" s="1947"/>
      <c r="HM15" s="1947"/>
      <c r="HN15" s="1947"/>
      <c r="HO15" s="1947"/>
      <c r="HP15" s="1947"/>
      <c r="HQ15" s="1947"/>
      <c r="HR15" s="1947"/>
      <c r="HS15" s="1947"/>
      <c r="HT15" s="1947"/>
      <c r="HU15" s="1947"/>
      <c r="HV15" s="1947"/>
      <c r="HW15" s="1947"/>
      <c r="HX15" s="1947"/>
      <c r="HY15" s="1947"/>
      <c r="HZ15" s="1947"/>
      <c r="IA15" s="1947"/>
      <c r="IB15" s="1947"/>
      <c r="IC15" s="1947"/>
      <c r="ID15" s="1947"/>
      <c r="IE15" s="1947"/>
      <c r="IF15" s="1947"/>
      <c r="IG15" s="1947"/>
      <c r="IH15" s="1947"/>
      <c r="II15" s="1947"/>
      <c r="IJ15" s="1947"/>
      <c r="IK15" s="1947"/>
      <c r="IL15" s="1947"/>
      <c r="IM15" s="1947"/>
      <c r="IN15" s="1947"/>
      <c r="IO15" s="1947"/>
      <c r="IP15" s="1947"/>
      <c r="IQ15" s="1947"/>
    </row>
    <row r="16" spans="1:251" hidden="1">
      <c r="A16" s="1026"/>
      <c r="B16" s="1944" t="s">
        <v>524</v>
      </c>
      <c r="C16" s="1955"/>
      <c r="D16" s="2034"/>
      <c r="E16" s="1955"/>
      <c r="F16" s="1946"/>
      <c r="G16" s="1026">
        <v>12</v>
      </c>
      <c r="H16" s="1942">
        <f>D16*F16*G16</f>
        <v>0</v>
      </c>
      <c r="I16" s="1026"/>
      <c r="J16" s="1942">
        <f t="shared" si="6"/>
        <v>0</v>
      </c>
      <c r="K16" s="1026"/>
      <c r="L16" s="1942">
        <f t="shared" si="7"/>
        <v>0</v>
      </c>
      <c r="M16" s="1942">
        <f t="shared" ref="M16:M32" si="14">D16*G16*(J16+L16)</f>
        <v>0</v>
      </c>
      <c r="N16" s="1942">
        <f>H16+M16</f>
        <v>0</v>
      </c>
      <c r="O16" s="1026">
        <f t="shared" si="3"/>
        <v>0</v>
      </c>
      <c r="P16" s="1026">
        <f t="shared" si="4"/>
        <v>0</v>
      </c>
      <c r="Q16" s="1942">
        <f t="shared" si="9"/>
        <v>0</v>
      </c>
      <c r="R16" s="1942">
        <f t="shared" si="10"/>
        <v>0</v>
      </c>
      <c r="S16" s="1942">
        <f t="shared" si="11"/>
        <v>0</v>
      </c>
      <c r="T16" s="1942">
        <f t="shared" si="12"/>
        <v>0</v>
      </c>
      <c r="U16" s="1942">
        <f t="shared" si="13"/>
        <v>0</v>
      </c>
      <c r="V16" s="3034">
        <f t="shared" si="2"/>
        <v>0</v>
      </c>
      <c r="W16" s="1942"/>
      <c r="X16" s="1923">
        <v>0.01</v>
      </c>
      <c r="Y16" s="1947"/>
      <c r="Z16" s="1947"/>
      <c r="AA16" s="1947"/>
      <c r="AB16" s="1947"/>
      <c r="AC16" s="1947"/>
      <c r="AD16" s="1947"/>
      <c r="AE16" s="1947"/>
      <c r="AF16" s="1947"/>
      <c r="AG16" s="1947"/>
      <c r="AH16" s="1947"/>
      <c r="AI16" s="1947"/>
      <c r="AJ16" s="1947"/>
      <c r="AK16" s="1947"/>
      <c r="AL16" s="1947"/>
      <c r="AM16" s="1947"/>
      <c r="AN16" s="1947"/>
      <c r="AO16" s="1947"/>
      <c r="AP16" s="1947"/>
      <c r="AQ16" s="1947"/>
      <c r="AR16" s="1947"/>
      <c r="AS16" s="1947"/>
      <c r="AT16" s="1947"/>
      <c r="AU16" s="1947"/>
      <c r="AV16" s="1947"/>
      <c r="AW16" s="1947"/>
      <c r="AX16" s="1947"/>
      <c r="AY16" s="1947"/>
      <c r="AZ16" s="1947"/>
      <c r="BA16" s="1947"/>
      <c r="BB16" s="1947"/>
      <c r="BC16" s="1947"/>
      <c r="BD16" s="1947"/>
      <c r="BE16" s="1947"/>
      <c r="BF16" s="1947"/>
      <c r="BG16" s="1947"/>
      <c r="BH16" s="1947"/>
      <c r="BI16" s="1947"/>
      <c r="BJ16" s="1947"/>
      <c r="BK16" s="1947"/>
      <c r="BL16" s="1947"/>
      <c r="BM16" s="1947"/>
      <c r="BN16" s="1947"/>
      <c r="BO16" s="1947"/>
      <c r="BP16" s="1947"/>
      <c r="BQ16" s="1947"/>
      <c r="BR16" s="1947"/>
      <c r="BS16" s="1947"/>
      <c r="BT16" s="1947"/>
      <c r="BU16" s="1947"/>
      <c r="BV16" s="1947"/>
      <c r="BW16" s="1947"/>
      <c r="BX16" s="1947"/>
      <c r="BY16" s="1947"/>
      <c r="BZ16" s="1947"/>
      <c r="CA16" s="1947"/>
      <c r="CB16" s="1947"/>
      <c r="CC16" s="1947"/>
      <c r="CD16" s="1947"/>
      <c r="CE16" s="1947"/>
      <c r="CF16" s="1947"/>
      <c r="CG16" s="1947"/>
      <c r="CH16" s="1947"/>
      <c r="CI16" s="1947"/>
      <c r="CJ16" s="1947"/>
      <c r="CK16" s="1947"/>
      <c r="CL16" s="1947"/>
      <c r="CM16" s="1947"/>
      <c r="CN16" s="1947"/>
      <c r="CO16" s="1947"/>
      <c r="CP16" s="1947"/>
      <c r="CQ16" s="1947"/>
      <c r="CR16" s="1947"/>
      <c r="CS16" s="1947"/>
      <c r="CT16" s="1947"/>
      <c r="CU16" s="1947"/>
      <c r="CV16" s="1947"/>
      <c r="CW16" s="1947"/>
      <c r="CX16" s="1947"/>
      <c r="CY16" s="1947"/>
      <c r="CZ16" s="1947"/>
      <c r="DA16" s="1947"/>
      <c r="DB16" s="1947"/>
      <c r="DC16" s="1947"/>
      <c r="DD16" s="1947"/>
      <c r="DE16" s="1947"/>
      <c r="DF16" s="1947"/>
      <c r="DG16" s="1947"/>
      <c r="DH16" s="1947"/>
      <c r="DI16" s="1947"/>
      <c r="DJ16" s="1947"/>
      <c r="DK16" s="1947"/>
      <c r="DL16" s="1947"/>
      <c r="DM16" s="1947"/>
      <c r="DN16" s="1947"/>
      <c r="DO16" s="1947"/>
      <c r="DP16" s="1947"/>
      <c r="DQ16" s="1947"/>
      <c r="DR16" s="1947"/>
      <c r="DS16" s="1947"/>
      <c r="DT16" s="1947"/>
      <c r="DU16" s="1947"/>
      <c r="DV16" s="1947"/>
      <c r="DW16" s="1947"/>
      <c r="DX16" s="1947"/>
      <c r="DY16" s="1947"/>
      <c r="DZ16" s="1947"/>
      <c r="EA16" s="1947"/>
      <c r="EB16" s="1947"/>
      <c r="EC16" s="1947"/>
      <c r="ED16" s="1947"/>
      <c r="EE16" s="1947"/>
      <c r="EF16" s="1947"/>
      <c r="EG16" s="1947"/>
      <c r="EH16" s="1947"/>
      <c r="EI16" s="1947"/>
      <c r="EJ16" s="1947"/>
      <c r="EK16" s="1947"/>
      <c r="EL16" s="1947"/>
      <c r="EM16" s="1947"/>
      <c r="EN16" s="1947"/>
      <c r="EO16" s="1947"/>
      <c r="EP16" s="1947"/>
      <c r="EQ16" s="1947"/>
      <c r="ER16" s="1947"/>
      <c r="ES16" s="1947"/>
      <c r="ET16" s="1947"/>
      <c r="EU16" s="1947"/>
      <c r="EV16" s="1947"/>
      <c r="EW16" s="1947"/>
      <c r="EX16" s="1947"/>
      <c r="EY16" s="1947"/>
      <c r="EZ16" s="1947"/>
      <c r="FA16" s="1947"/>
      <c r="FB16" s="1947"/>
      <c r="FC16" s="1947"/>
      <c r="FD16" s="1947"/>
      <c r="FE16" s="1947"/>
      <c r="FF16" s="1947"/>
      <c r="FG16" s="1947"/>
      <c r="FH16" s="1947"/>
      <c r="FI16" s="1947"/>
      <c r="FJ16" s="1947"/>
      <c r="FK16" s="1947"/>
      <c r="FL16" s="1947"/>
      <c r="FM16" s="1947"/>
      <c r="FN16" s="1947"/>
      <c r="FO16" s="1947"/>
      <c r="FP16" s="1947"/>
      <c r="FQ16" s="1947"/>
      <c r="FR16" s="1947"/>
      <c r="FS16" s="1947"/>
      <c r="FT16" s="1947"/>
      <c r="FU16" s="1947"/>
      <c r="FV16" s="1947"/>
      <c r="FW16" s="1947"/>
      <c r="FX16" s="1947"/>
      <c r="FY16" s="1947"/>
      <c r="FZ16" s="1947"/>
      <c r="GA16" s="1947"/>
      <c r="GB16" s="1947"/>
      <c r="GC16" s="1947"/>
      <c r="GD16" s="1947"/>
      <c r="GE16" s="1947"/>
      <c r="GF16" s="1947"/>
      <c r="GG16" s="1947"/>
      <c r="GH16" s="1947"/>
      <c r="GI16" s="1947"/>
      <c r="GJ16" s="1947"/>
      <c r="GK16" s="1947"/>
      <c r="GL16" s="1947"/>
      <c r="GM16" s="1947"/>
      <c r="GN16" s="1947"/>
      <c r="GO16" s="1947"/>
      <c r="GP16" s="1947"/>
      <c r="GQ16" s="1947"/>
      <c r="GR16" s="1947"/>
      <c r="GS16" s="1947"/>
      <c r="GT16" s="1947"/>
      <c r="GU16" s="1947"/>
      <c r="GV16" s="1947"/>
      <c r="GW16" s="1947"/>
      <c r="GX16" s="1947"/>
      <c r="GY16" s="1947"/>
      <c r="GZ16" s="1947"/>
      <c r="HA16" s="1947"/>
      <c r="HB16" s="1947"/>
      <c r="HC16" s="1947"/>
      <c r="HD16" s="1947"/>
      <c r="HE16" s="1947"/>
      <c r="HF16" s="1947"/>
      <c r="HG16" s="1947"/>
      <c r="HH16" s="1947"/>
      <c r="HI16" s="1947"/>
      <c r="HJ16" s="1947"/>
      <c r="HK16" s="1947"/>
      <c r="HL16" s="1947"/>
      <c r="HM16" s="1947"/>
      <c r="HN16" s="1947"/>
      <c r="HO16" s="1947"/>
      <c r="HP16" s="1947"/>
      <c r="HQ16" s="1947"/>
      <c r="HR16" s="1947"/>
      <c r="HS16" s="1947"/>
      <c r="HT16" s="1947"/>
      <c r="HU16" s="1947"/>
      <c r="HV16" s="1947"/>
      <c r="HW16" s="1947"/>
      <c r="HX16" s="1947"/>
      <c r="HY16" s="1947"/>
      <c r="HZ16" s="1947"/>
      <c r="IA16" s="1947"/>
      <c r="IB16" s="1947"/>
      <c r="IC16" s="1947"/>
      <c r="ID16" s="1947"/>
      <c r="IE16" s="1947"/>
      <c r="IF16" s="1947"/>
      <c r="IG16" s="1947"/>
      <c r="IH16" s="1947"/>
      <c r="II16" s="1947"/>
      <c r="IJ16" s="1947"/>
      <c r="IK16" s="1947"/>
      <c r="IL16" s="1947"/>
      <c r="IM16" s="1947"/>
      <c r="IN16" s="1947"/>
      <c r="IO16" s="1947"/>
      <c r="IP16" s="1947"/>
      <c r="IQ16" s="1947"/>
    </row>
    <row r="17" spans="1:251" hidden="1">
      <c r="A17" s="1026"/>
      <c r="B17" s="1955"/>
      <c r="C17" s="1955"/>
      <c r="D17" s="2034"/>
      <c r="E17" s="1955"/>
      <c r="F17" s="1942">
        <f t="shared" ref="F17:F63" si="15">ROUNDUP((E17*$Q$5),-3)</f>
        <v>0</v>
      </c>
      <c r="G17" s="1026"/>
      <c r="H17" s="1942">
        <f t="shared" si="5"/>
        <v>0</v>
      </c>
      <c r="I17" s="1026"/>
      <c r="J17" s="1942">
        <f t="shared" si="6"/>
        <v>0</v>
      </c>
      <c r="K17" s="1026"/>
      <c r="L17" s="1942">
        <f t="shared" si="7"/>
        <v>0</v>
      </c>
      <c r="M17" s="1942">
        <f t="shared" si="14"/>
        <v>0</v>
      </c>
      <c r="N17" s="1942">
        <f t="shared" si="8"/>
        <v>0</v>
      </c>
      <c r="O17" s="1026"/>
      <c r="P17" s="1026"/>
      <c r="Q17" s="1942">
        <f t="shared" si="9"/>
        <v>0</v>
      </c>
      <c r="R17" s="1942">
        <f t="shared" si="10"/>
        <v>0</v>
      </c>
      <c r="S17" s="1942">
        <f t="shared" si="11"/>
        <v>0</v>
      </c>
      <c r="T17" s="1942">
        <f t="shared" si="12"/>
        <v>0</v>
      </c>
      <c r="U17" s="1942">
        <f t="shared" si="13"/>
        <v>0</v>
      </c>
      <c r="V17" s="3034">
        <f t="shared" si="2"/>
        <v>0</v>
      </c>
      <c r="W17" s="1942"/>
      <c r="X17" s="1923">
        <v>0.01</v>
      </c>
      <c r="Y17" s="1947"/>
      <c r="Z17" s="1947"/>
      <c r="AA17" s="1947"/>
      <c r="AB17" s="1947"/>
      <c r="AC17" s="1947"/>
      <c r="AD17" s="1947"/>
      <c r="AE17" s="1947"/>
      <c r="AF17" s="1947"/>
      <c r="AG17" s="1947"/>
      <c r="AH17" s="1947"/>
      <c r="AI17" s="1947"/>
      <c r="AJ17" s="1947"/>
      <c r="AK17" s="1947"/>
      <c r="AL17" s="1947"/>
      <c r="AM17" s="1947"/>
      <c r="AN17" s="1947"/>
      <c r="AO17" s="1947"/>
      <c r="AP17" s="1947"/>
      <c r="AQ17" s="1947"/>
      <c r="AR17" s="1947"/>
      <c r="AS17" s="1947"/>
      <c r="AT17" s="1947"/>
      <c r="AU17" s="1947"/>
      <c r="AV17" s="1947"/>
      <c r="AW17" s="1947"/>
      <c r="AX17" s="1947"/>
      <c r="AY17" s="1947"/>
      <c r="AZ17" s="1947"/>
      <c r="BA17" s="1947"/>
      <c r="BB17" s="1947"/>
      <c r="BC17" s="1947"/>
      <c r="BD17" s="1947"/>
      <c r="BE17" s="1947"/>
      <c r="BF17" s="1947"/>
      <c r="BG17" s="1947"/>
      <c r="BH17" s="1947"/>
      <c r="BI17" s="1947"/>
      <c r="BJ17" s="1947"/>
      <c r="BK17" s="1947"/>
      <c r="BL17" s="1947"/>
      <c r="BM17" s="1947"/>
      <c r="BN17" s="1947"/>
      <c r="BO17" s="1947"/>
      <c r="BP17" s="1947"/>
      <c r="BQ17" s="1947"/>
      <c r="BR17" s="1947"/>
      <c r="BS17" s="1947"/>
      <c r="BT17" s="1947"/>
      <c r="BU17" s="1947"/>
      <c r="BV17" s="1947"/>
      <c r="BW17" s="1947"/>
      <c r="BX17" s="1947"/>
      <c r="BY17" s="1947"/>
      <c r="BZ17" s="1947"/>
      <c r="CA17" s="1947"/>
      <c r="CB17" s="1947"/>
      <c r="CC17" s="1947"/>
      <c r="CD17" s="1947"/>
      <c r="CE17" s="1947"/>
      <c r="CF17" s="1947"/>
      <c r="CG17" s="1947"/>
      <c r="CH17" s="1947"/>
      <c r="CI17" s="1947"/>
      <c r="CJ17" s="1947"/>
      <c r="CK17" s="1947"/>
      <c r="CL17" s="1947"/>
      <c r="CM17" s="1947"/>
      <c r="CN17" s="1947"/>
      <c r="CO17" s="1947"/>
      <c r="CP17" s="1947"/>
      <c r="CQ17" s="1947"/>
      <c r="CR17" s="1947"/>
      <c r="CS17" s="1947"/>
      <c r="CT17" s="1947"/>
      <c r="CU17" s="1947"/>
      <c r="CV17" s="1947"/>
      <c r="CW17" s="1947"/>
      <c r="CX17" s="1947"/>
      <c r="CY17" s="1947"/>
      <c r="CZ17" s="1947"/>
      <c r="DA17" s="1947"/>
      <c r="DB17" s="1947"/>
      <c r="DC17" s="1947"/>
      <c r="DD17" s="1947"/>
      <c r="DE17" s="1947"/>
      <c r="DF17" s="1947"/>
      <c r="DG17" s="1947"/>
      <c r="DH17" s="1947"/>
      <c r="DI17" s="1947"/>
      <c r="DJ17" s="1947"/>
      <c r="DK17" s="1947"/>
      <c r="DL17" s="1947"/>
      <c r="DM17" s="1947"/>
      <c r="DN17" s="1947"/>
      <c r="DO17" s="1947"/>
      <c r="DP17" s="1947"/>
      <c r="DQ17" s="1947"/>
      <c r="DR17" s="1947"/>
      <c r="DS17" s="1947"/>
      <c r="DT17" s="1947"/>
      <c r="DU17" s="1947"/>
      <c r="DV17" s="1947"/>
      <c r="DW17" s="1947"/>
      <c r="DX17" s="1947"/>
      <c r="DY17" s="1947"/>
      <c r="DZ17" s="1947"/>
      <c r="EA17" s="1947"/>
      <c r="EB17" s="1947"/>
      <c r="EC17" s="1947"/>
      <c r="ED17" s="1947"/>
      <c r="EE17" s="1947"/>
      <c r="EF17" s="1947"/>
      <c r="EG17" s="1947"/>
      <c r="EH17" s="1947"/>
      <c r="EI17" s="1947"/>
      <c r="EJ17" s="1947"/>
      <c r="EK17" s="1947"/>
      <c r="EL17" s="1947"/>
      <c r="EM17" s="1947"/>
      <c r="EN17" s="1947"/>
      <c r="EO17" s="1947"/>
      <c r="EP17" s="1947"/>
      <c r="EQ17" s="1947"/>
      <c r="ER17" s="1947"/>
      <c r="ES17" s="1947"/>
      <c r="ET17" s="1947"/>
      <c r="EU17" s="1947"/>
      <c r="EV17" s="1947"/>
      <c r="EW17" s="1947"/>
      <c r="EX17" s="1947"/>
      <c r="EY17" s="1947"/>
      <c r="EZ17" s="1947"/>
      <c r="FA17" s="1947"/>
      <c r="FB17" s="1947"/>
      <c r="FC17" s="1947"/>
      <c r="FD17" s="1947"/>
      <c r="FE17" s="1947"/>
      <c r="FF17" s="1947"/>
      <c r="FG17" s="1947"/>
      <c r="FH17" s="1947"/>
      <c r="FI17" s="1947"/>
      <c r="FJ17" s="1947"/>
      <c r="FK17" s="1947"/>
      <c r="FL17" s="1947"/>
      <c r="FM17" s="1947"/>
      <c r="FN17" s="1947"/>
      <c r="FO17" s="1947"/>
      <c r="FP17" s="1947"/>
      <c r="FQ17" s="1947"/>
      <c r="FR17" s="1947"/>
      <c r="FS17" s="1947"/>
      <c r="FT17" s="1947"/>
      <c r="FU17" s="1947"/>
      <c r="FV17" s="1947"/>
      <c r="FW17" s="1947"/>
      <c r="FX17" s="1947"/>
      <c r="FY17" s="1947"/>
      <c r="FZ17" s="1947"/>
      <c r="GA17" s="1947"/>
      <c r="GB17" s="1947"/>
      <c r="GC17" s="1947"/>
      <c r="GD17" s="1947"/>
      <c r="GE17" s="1947"/>
      <c r="GF17" s="1947"/>
      <c r="GG17" s="1947"/>
      <c r="GH17" s="1947"/>
      <c r="GI17" s="1947"/>
      <c r="GJ17" s="1947"/>
      <c r="GK17" s="1947"/>
      <c r="GL17" s="1947"/>
      <c r="GM17" s="1947"/>
      <c r="GN17" s="1947"/>
      <c r="GO17" s="1947"/>
      <c r="GP17" s="1947"/>
      <c r="GQ17" s="1947"/>
      <c r="GR17" s="1947"/>
      <c r="GS17" s="1947"/>
      <c r="GT17" s="1947"/>
      <c r="GU17" s="1947"/>
      <c r="GV17" s="1947"/>
      <c r="GW17" s="1947"/>
      <c r="GX17" s="1947"/>
      <c r="GY17" s="1947"/>
      <c r="GZ17" s="1947"/>
      <c r="HA17" s="1947"/>
      <c r="HB17" s="1947"/>
      <c r="HC17" s="1947"/>
      <c r="HD17" s="1947"/>
      <c r="HE17" s="1947"/>
      <c r="HF17" s="1947"/>
      <c r="HG17" s="1947"/>
      <c r="HH17" s="1947"/>
      <c r="HI17" s="1947"/>
      <c r="HJ17" s="1947"/>
      <c r="HK17" s="1947"/>
      <c r="HL17" s="1947"/>
      <c r="HM17" s="1947"/>
      <c r="HN17" s="1947"/>
      <c r="HO17" s="1947"/>
      <c r="HP17" s="1947"/>
      <c r="HQ17" s="1947"/>
      <c r="HR17" s="1947"/>
      <c r="HS17" s="1947"/>
      <c r="HT17" s="1947"/>
      <c r="HU17" s="1947"/>
      <c r="HV17" s="1947"/>
      <c r="HW17" s="1947"/>
      <c r="HX17" s="1947"/>
      <c r="HY17" s="1947"/>
      <c r="HZ17" s="1947"/>
      <c r="IA17" s="1947"/>
      <c r="IB17" s="1947"/>
      <c r="IC17" s="1947"/>
      <c r="ID17" s="1947"/>
      <c r="IE17" s="1947"/>
      <c r="IF17" s="1947"/>
      <c r="IG17" s="1947"/>
      <c r="IH17" s="1947"/>
      <c r="II17" s="1947"/>
      <c r="IJ17" s="1947"/>
      <c r="IK17" s="1947"/>
      <c r="IL17" s="1947"/>
      <c r="IM17" s="1947"/>
      <c r="IN17" s="1947"/>
      <c r="IO17" s="1947"/>
      <c r="IP17" s="1947"/>
      <c r="IQ17" s="1947"/>
    </row>
    <row r="18" spans="1:251" hidden="1">
      <c r="A18" s="1026"/>
      <c r="B18" s="1955"/>
      <c r="C18" s="1955"/>
      <c r="D18" s="2034"/>
      <c r="E18" s="1955"/>
      <c r="F18" s="1942">
        <f t="shared" si="15"/>
        <v>0</v>
      </c>
      <c r="G18" s="1026"/>
      <c r="H18" s="1942">
        <f t="shared" si="5"/>
        <v>0</v>
      </c>
      <c r="I18" s="1026"/>
      <c r="J18" s="1942">
        <f t="shared" si="6"/>
        <v>0</v>
      </c>
      <c r="K18" s="1026"/>
      <c r="L18" s="1942">
        <f t="shared" si="7"/>
        <v>0</v>
      </c>
      <c r="M18" s="1942">
        <f t="shared" si="14"/>
        <v>0</v>
      </c>
      <c r="N18" s="1942">
        <f t="shared" si="8"/>
        <v>0</v>
      </c>
      <c r="O18" s="1026"/>
      <c r="P18" s="1026"/>
      <c r="Q18" s="1942">
        <f t="shared" si="9"/>
        <v>0</v>
      </c>
      <c r="R18" s="1942">
        <f t="shared" si="10"/>
        <v>0</v>
      </c>
      <c r="S18" s="1942">
        <f t="shared" si="11"/>
        <v>0</v>
      </c>
      <c r="T18" s="1942">
        <f t="shared" si="12"/>
        <v>0</v>
      </c>
      <c r="U18" s="1942">
        <f t="shared" si="13"/>
        <v>0</v>
      </c>
      <c r="V18" s="3034">
        <f t="shared" si="2"/>
        <v>0</v>
      </c>
      <c r="W18" s="1942"/>
      <c r="X18" s="1923">
        <v>0.01</v>
      </c>
      <c r="Y18" s="1947"/>
      <c r="Z18" s="1947"/>
      <c r="AA18" s="1947"/>
      <c r="AB18" s="1947"/>
      <c r="AC18" s="1947"/>
      <c r="AD18" s="1947"/>
      <c r="AE18" s="1947"/>
      <c r="AF18" s="1947"/>
      <c r="AG18" s="1947"/>
      <c r="AH18" s="1947"/>
      <c r="AI18" s="1947"/>
      <c r="AJ18" s="1947"/>
      <c r="AK18" s="1947"/>
      <c r="AL18" s="1947"/>
      <c r="AM18" s="1947"/>
      <c r="AN18" s="1947"/>
      <c r="AO18" s="1947"/>
      <c r="AP18" s="1947"/>
      <c r="AQ18" s="1947"/>
      <c r="AR18" s="1947"/>
      <c r="AS18" s="1947"/>
      <c r="AT18" s="1947"/>
      <c r="AU18" s="1947"/>
      <c r="AV18" s="1947"/>
      <c r="AW18" s="1947"/>
      <c r="AX18" s="1947"/>
      <c r="AY18" s="1947"/>
      <c r="AZ18" s="1947"/>
      <c r="BA18" s="1947"/>
      <c r="BB18" s="1947"/>
      <c r="BC18" s="1947"/>
      <c r="BD18" s="1947"/>
      <c r="BE18" s="1947"/>
      <c r="BF18" s="1947"/>
      <c r="BG18" s="1947"/>
      <c r="BH18" s="1947"/>
      <c r="BI18" s="1947"/>
      <c r="BJ18" s="1947"/>
      <c r="BK18" s="1947"/>
      <c r="BL18" s="1947"/>
      <c r="BM18" s="1947"/>
      <c r="BN18" s="1947"/>
      <c r="BO18" s="1947"/>
      <c r="BP18" s="1947"/>
      <c r="BQ18" s="1947"/>
      <c r="BR18" s="1947"/>
      <c r="BS18" s="1947"/>
      <c r="BT18" s="1947"/>
      <c r="BU18" s="1947"/>
      <c r="BV18" s="1947"/>
      <c r="BW18" s="1947"/>
      <c r="BX18" s="1947"/>
      <c r="BY18" s="1947"/>
      <c r="BZ18" s="1947"/>
      <c r="CA18" s="1947"/>
      <c r="CB18" s="1947"/>
      <c r="CC18" s="1947"/>
      <c r="CD18" s="1947"/>
      <c r="CE18" s="1947"/>
      <c r="CF18" s="1947"/>
      <c r="CG18" s="1947"/>
      <c r="CH18" s="1947"/>
      <c r="CI18" s="1947"/>
      <c r="CJ18" s="1947"/>
      <c r="CK18" s="1947"/>
      <c r="CL18" s="1947"/>
      <c r="CM18" s="1947"/>
      <c r="CN18" s="1947"/>
      <c r="CO18" s="1947"/>
      <c r="CP18" s="1947"/>
      <c r="CQ18" s="1947"/>
      <c r="CR18" s="1947"/>
      <c r="CS18" s="1947"/>
      <c r="CT18" s="1947"/>
      <c r="CU18" s="1947"/>
      <c r="CV18" s="1947"/>
      <c r="CW18" s="1947"/>
      <c r="CX18" s="1947"/>
      <c r="CY18" s="1947"/>
      <c r="CZ18" s="1947"/>
      <c r="DA18" s="1947"/>
      <c r="DB18" s="1947"/>
      <c r="DC18" s="1947"/>
      <c r="DD18" s="1947"/>
      <c r="DE18" s="1947"/>
      <c r="DF18" s="1947"/>
      <c r="DG18" s="1947"/>
      <c r="DH18" s="1947"/>
      <c r="DI18" s="1947"/>
      <c r="DJ18" s="1947"/>
      <c r="DK18" s="1947"/>
      <c r="DL18" s="1947"/>
      <c r="DM18" s="1947"/>
      <c r="DN18" s="1947"/>
      <c r="DO18" s="1947"/>
      <c r="DP18" s="1947"/>
      <c r="DQ18" s="1947"/>
      <c r="DR18" s="1947"/>
      <c r="DS18" s="1947"/>
      <c r="DT18" s="1947"/>
      <c r="DU18" s="1947"/>
      <c r="DV18" s="1947"/>
      <c r="DW18" s="1947"/>
      <c r="DX18" s="1947"/>
      <c r="DY18" s="1947"/>
      <c r="DZ18" s="1947"/>
      <c r="EA18" s="1947"/>
      <c r="EB18" s="1947"/>
      <c r="EC18" s="1947"/>
      <c r="ED18" s="1947"/>
      <c r="EE18" s="1947"/>
      <c r="EF18" s="1947"/>
      <c r="EG18" s="1947"/>
      <c r="EH18" s="1947"/>
      <c r="EI18" s="1947"/>
      <c r="EJ18" s="1947"/>
      <c r="EK18" s="1947"/>
      <c r="EL18" s="1947"/>
      <c r="EM18" s="1947"/>
      <c r="EN18" s="1947"/>
      <c r="EO18" s="1947"/>
      <c r="EP18" s="1947"/>
      <c r="EQ18" s="1947"/>
      <c r="ER18" s="1947"/>
      <c r="ES18" s="1947"/>
      <c r="ET18" s="1947"/>
      <c r="EU18" s="1947"/>
      <c r="EV18" s="1947"/>
      <c r="EW18" s="1947"/>
      <c r="EX18" s="1947"/>
      <c r="EY18" s="1947"/>
      <c r="EZ18" s="1947"/>
      <c r="FA18" s="1947"/>
      <c r="FB18" s="1947"/>
      <c r="FC18" s="1947"/>
      <c r="FD18" s="1947"/>
      <c r="FE18" s="1947"/>
      <c r="FF18" s="1947"/>
      <c r="FG18" s="1947"/>
      <c r="FH18" s="1947"/>
      <c r="FI18" s="1947"/>
      <c r="FJ18" s="1947"/>
      <c r="FK18" s="1947"/>
      <c r="FL18" s="1947"/>
      <c r="FM18" s="1947"/>
      <c r="FN18" s="1947"/>
      <c r="FO18" s="1947"/>
      <c r="FP18" s="1947"/>
      <c r="FQ18" s="1947"/>
      <c r="FR18" s="1947"/>
      <c r="FS18" s="1947"/>
      <c r="FT18" s="1947"/>
      <c r="FU18" s="1947"/>
      <c r="FV18" s="1947"/>
      <c r="FW18" s="1947"/>
      <c r="FX18" s="1947"/>
      <c r="FY18" s="1947"/>
      <c r="FZ18" s="1947"/>
      <c r="GA18" s="1947"/>
      <c r="GB18" s="1947"/>
      <c r="GC18" s="1947"/>
      <c r="GD18" s="1947"/>
      <c r="GE18" s="1947"/>
      <c r="GF18" s="1947"/>
      <c r="GG18" s="1947"/>
      <c r="GH18" s="1947"/>
      <c r="GI18" s="1947"/>
      <c r="GJ18" s="1947"/>
      <c r="GK18" s="1947"/>
      <c r="GL18" s="1947"/>
      <c r="GM18" s="1947"/>
      <c r="GN18" s="1947"/>
      <c r="GO18" s="1947"/>
      <c r="GP18" s="1947"/>
      <c r="GQ18" s="1947"/>
      <c r="GR18" s="1947"/>
      <c r="GS18" s="1947"/>
      <c r="GT18" s="1947"/>
      <c r="GU18" s="1947"/>
      <c r="GV18" s="1947"/>
      <c r="GW18" s="1947"/>
      <c r="GX18" s="1947"/>
      <c r="GY18" s="1947"/>
      <c r="GZ18" s="1947"/>
      <c r="HA18" s="1947"/>
      <c r="HB18" s="1947"/>
      <c r="HC18" s="1947"/>
      <c r="HD18" s="1947"/>
      <c r="HE18" s="1947"/>
      <c r="HF18" s="1947"/>
      <c r="HG18" s="1947"/>
      <c r="HH18" s="1947"/>
      <c r="HI18" s="1947"/>
      <c r="HJ18" s="1947"/>
      <c r="HK18" s="1947"/>
      <c r="HL18" s="1947"/>
      <c r="HM18" s="1947"/>
      <c r="HN18" s="1947"/>
      <c r="HO18" s="1947"/>
      <c r="HP18" s="1947"/>
      <c r="HQ18" s="1947"/>
      <c r="HR18" s="1947"/>
      <c r="HS18" s="1947"/>
      <c r="HT18" s="1947"/>
      <c r="HU18" s="1947"/>
      <c r="HV18" s="1947"/>
      <c r="HW18" s="1947"/>
      <c r="HX18" s="1947"/>
      <c r="HY18" s="1947"/>
      <c r="HZ18" s="1947"/>
      <c r="IA18" s="1947"/>
      <c r="IB18" s="1947"/>
      <c r="IC18" s="1947"/>
      <c r="ID18" s="1947"/>
      <c r="IE18" s="1947"/>
      <c r="IF18" s="1947"/>
      <c r="IG18" s="1947"/>
      <c r="IH18" s="1947"/>
      <c r="II18" s="1947"/>
      <c r="IJ18" s="1947"/>
      <c r="IK18" s="1947"/>
      <c r="IL18" s="1947"/>
      <c r="IM18" s="1947"/>
      <c r="IN18" s="1947"/>
      <c r="IO18" s="1947"/>
      <c r="IP18" s="1947"/>
      <c r="IQ18" s="1947"/>
    </row>
    <row r="19" spans="1:251" hidden="1">
      <c r="A19" s="1026"/>
      <c r="B19" s="1955"/>
      <c r="C19" s="1955"/>
      <c r="D19" s="2034"/>
      <c r="E19" s="1955"/>
      <c r="F19" s="1942">
        <f t="shared" si="15"/>
        <v>0</v>
      </c>
      <c r="G19" s="1026"/>
      <c r="H19" s="1942">
        <f t="shared" si="5"/>
        <v>0</v>
      </c>
      <c r="I19" s="1026"/>
      <c r="J19" s="1942">
        <f t="shared" si="6"/>
        <v>0</v>
      </c>
      <c r="K19" s="1026"/>
      <c r="L19" s="1942">
        <f t="shared" si="7"/>
        <v>0</v>
      </c>
      <c r="M19" s="1942">
        <f t="shared" si="14"/>
        <v>0</v>
      </c>
      <c r="N19" s="1942">
        <f t="shared" si="8"/>
        <v>0</v>
      </c>
      <c r="O19" s="1026"/>
      <c r="P19" s="1026"/>
      <c r="Q19" s="1942">
        <f t="shared" si="9"/>
        <v>0</v>
      </c>
      <c r="R19" s="1942">
        <f t="shared" si="10"/>
        <v>0</v>
      </c>
      <c r="S19" s="1942">
        <f t="shared" si="11"/>
        <v>0</v>
      </c>
      <c r="T19" s="1942">
        <f t="shared" si="12"/>
        <v>0</v>
      </c>
      <c r="U19" s="1942">
        <f t="shared" si="13"/>
        <v>0</v>
      </c>
      <c r="V19" s="3034">
        <f t="shared" si="2"/>
        <v>0</v>
      </c>
      <c r="W19" s="1942"/>
      <c r="X19" s="1923">
        <v>0.01</v>
      </c>
      <c r="Y19" s="1947"/>
      <c r="Z19" s="1947"/>
      <c r="AA19" s="1947"/>
      <c r="AB19" s="1947"/>
      <c r="AC19" s="1947"/>
      <c r="AD19" s="1947"/>
      <c r="AE19" s="1947"/>
      <c r="AF19" s="1947"/>
      <c r="AG19" s="1947"/>
      <c r="AH19" s="1947"/>
      <c r="AI19" s="1947"/>
      <c r="AJ19" s="1947"/>
      <c r="AK19" s="1947"/>
      <c r="AL19" s="1947"/>
      <c r="AM19" s="1947"/>
      <c r="AN19" s="1947"/>
      <c r="AO19" s="1947"/>
      <c r="AP19" s="1947"/>
      <c r="AQ19" s="1947"/>
      <c r="AR19" s="1947"/>
      <c r="AS19" s="1947"/>
      <c r="AT19" s="1947"/>
      <c r="AU19" s="1947"/>
      <c r="AV19" s="1947"/>
      <c r="AW19" s="1947"/>
      <c r="AX19" s="1947"/>
      <c r="AY19" s="1947"/>
      <c r="AZ19" s="1947"/>
      <c r="BA19" s="1947"/>
      <c r="BB19" s="1947"/>
      <c r="BC19" s="1947"/>
      <c r="BD19" s="1947"/>
      <c r="BE19" s="1947"/>
      <c r="BF19" s="1947"/>
      <c r="BG19" s="1947"/>
      <c r="BH19" s="1947"/>
      <c r="BI19" s="1947"/>
      <c r="BJ19" s="1947"/>
      <c r="BK19" s="1947"/>
      <c r="BL19" s="1947"/>
      <c r="BM19" s="1947"/>
      <c r="BN19" s="1947"/>
      <c r="BO19" s="1947"/>
      <c r="BP19" s="1947"/>
      <c r="BQ19" s="1947"/>
      <c r="BR19" s="1947"/>
      <c r="BS19" s="1947"/>
      <c r="BT19" s="1947"/>
      <c r="BU19" s="1947"/>
      <c r="BV19" s="1947"/>
      <c r="BW19" s="1947"/>
      <c r="BX19" s="1947"/>
      <c r="BY19" s="1947"/>
      <c r="BZ19" s="1947"/>
      <c r="CA19" s="1947"/>
      <c r="CB19" s="1947"/>
      <c r="CC19" s="1947"/>
      <c r="CD19" s="1947"/>
      <c r="CE19" s="1947"/>
      <c r="CF19" s="1947"/>
      <c r="CG19" s="1947"/>
      <c r="CH19" s="1947"/>
      <c r="CI19" s="1947"/>
      <c r="CJ19" s="1947"/>
      <c r="CK19" s="1947"/>
      <c r="CL19" s="1947"/>
      <c r="CM19" s="1947"/>
      <c r="CN19" s="1947"/>
      <c r="CO19" s="1947"/>
      <c r="CP19" s="1947"/>
      <c r="CQ19" s="1947"/>
      <c r="CR19" s="1947"/>
      <c r="CS19" s="1947"/>
      <c r="CT19" s="1947"/>
      <c r="CU19" s="1947"/>
      <c r="CV19" s="1947"/>
      <c r="CW19" s="1947"/>
      <c r="CX19" s="1947"/>
      <c r="CY19" s="1947"/>
      <c r="CZ19" s="1947"/>
      <c r="DA19" s="1947"/>
      <c r="DB19" s="1947"/>
      <c r="DC19" s="1947"/>
      <c r="DD19" s="1947"/>
      <c r="DE19" s="1947"/>
      <c r="DF19" s="1947"/>
      <c r="DG19" s="1947"/>
      <c r="DH19" s="1947"/>
      <c r="DI19" s="1947"/>
      <c r="DJ19" s="1947"/>
      <c r="DK19" s="1947"/>
      <c r="DL19" s="1947"/>
      <c r="DM19" s="1947"/>
      <c r="DN19" s="1947"/>
      <c r="DO19" s="1947"/>
      <c r="DP19" s="1947"/>
      <c r="DQ19" s="1947"/>
      <c r="DR19" s="1947"/>
      <c r="DS19" s="1947"/>
      <c r="DT19" s="1947"/>
      <c r="DU19" s="1947"/>
      <c r="DV19" s="1947"/>
      <c r="DW19" s="1947"/>
      <c r="DX19" s="1947"/>
      <c r="DY19" s="1947"/>
      <c r="DZ19" s="1947"/>
      <c r="EA19" s="1947"/>
      <c r="EB19" s="1947"/>
      <c r="EC19" s="1947"/>
      <c r="ED19" s="1947"/>
      <c r="EE19" s="1947"/>
      <c r="EF19" s="1947"/>
      <c r="EG19" s="1947"/>
      <c r="EH19" s="1947"/>
      <c r="EI19" s="1947"/>
      <c r="EJ19" s="1947"/>
      <c r="EK19" s="1947"/>
      <c r="EL19" s="1947"/>
      <c r="EM19" s="1947"/>
      <c r="EN19" s="1947"/>
      <c r="EO19" s="1947"/>
      <c r="EP19" s="1947"/>
      <c r="EQ19" s="1947"/>
      <c r="ER19" s="1947"/>
      <c r="ES19" s="1947"/>
      <c r="ET19" s="1947"/>
      <c r="EU19" s="1947"/>
      <c r="EV19" s="1947"/>
      <c r="EW19" s="1947"/>
      <c r="EX19" s="1947"/>
      <c r="EY19" s="1947"/>
      <c r="EZ19" s="1947"/>
      <c r="FA19" s="1947"/>
      <c r="FB19" s="1947"/>
      <c r="FC19" s="1947"/>
      <c r="FD19" s="1947"/>
      <c r="FE19" s="1947"/>
      <c r="FF19" s="1947"/>
      <c r="FG19" s="1947"/>
      <c r="FH19" s="1947"/>
      <c r="FI19" s="1947"/>
      <c r="FJ19" s="1947"/>
      <c r="FK19" s="1947"/>
      <c r="FL19" s="1947"/>
      <c r="FM19" s="1947"/>
      <c r="FN19" s="1947"/>
      <c r="FO19" s="1947"/>
      <c r="FP19" s="1947"/>
      <c r="FQ19" s="1947"/>
      <c r="FR19" s="1947"/>
      <c r="FS19" s="1947"/>
      <c r="FT19" s="1947"/>
      <c r="FU19" s="1947"/>
      <c r="FV19" s="1947"/>
      <c r="FW19" s="1947"/>
      <c r="FX19" s="1947"/>
      <c r="FY19" s="1947"/>
      <c r="FZ19" s="1947"/>
      <c r="GA19" s="1947"/>
      <c r="GB19" s="1947"/>
      <c r="GC19" s="1947"/>
      <c r="GD19" s="1947"/>
      <c r="GE19" s="1947"/>
      <c r="GF19" s="1947"/>
      <c r="GG19" s="1947"/>
      <c r="GH19" s="1947"/>
      <c r="GI19" s="1947"/>
      <c r="GJ19" s="1947"/>
      <c r="GK19" s="1947"/>
      <c r="GL19" s="1947"/>
      <c r="GM19" s="1947"/>
      <c r="GN19" s="1947"/>
      <c r="GO19" s="1947"/>
      <c r="GP19" s="1947"/>
      <c r="GQ19" s="1947"/>
      <c r="GR19" s="1947"/>
      <c r="GS19" s="1947"/>
      <c r="GT19" s="1947"/>
      <c r="GU19" s="1947"/>
      <c r="GV19" s="1947"/>
      <c r="GW19" s="1947"/>
      <c r="GX19" s="1947"/>
      <c r="GY19" s="1947"/>
      <c r="GZ19" s="1947"/>
      <c r="HA19" s="1947"/>
      <c r="HB19" s="1947"/>
      <c r="HC19" s="1947"/>
      <c r="HD19" s="1947"/>
      <c r="HE19" s="1947"/>
      <c r="HF19" s="1947"/>
      <c r="HG19" s="1947"/>
      <c r="HH19" s="1947"/>
      <c r="HI19" s="1947"/>
      <c r="HJ19" s="1947"/>
      <c r="HK19" s="1947"/>
      <c r="HL19" s="1947"/>
      <c r="HM19" s="1947"/>
      <c r="HN19" s="1947"/>
      <c r="HO19" s="1947"/>
      <c r="HP19" s="1947"/>
      <c r="HQ19" s="1947"/>
      <c r="HR19" s="1947"/>
      <c r="HS19" s="1947"/>
      <c r="HT19" s="1947"/>
      <c r="HU19" s="1947"/>
      <c r="HV19" s="1947"/>
      <c r="HW19" s="1947"/>
      <c r="HX19" s="1947"/>
      <c r="HY19" s="1947"/>
      <c r="HZ19" s="1947"/>
      <c r="IA19" s="1947"/>
      <c r="IB19" s="1947"/>
      <c r="IC19" s="1947"/>
      <c r="ID19" s="1947"/>
      <c r="IE19" s="1947"/>
      <c r="IF19" s="1947"/>
      <c r="IG19" s="1947"/>
      <c r="IH19" s="1947"/>
      <c r="II19" s="1947"/>
      <c r="IJ19" s="1947"/>
      <c r="IK19" s="1947"/>
      <c r="IL19" s="1947"/>
      <c r="IM19" s="1947"/>
      <c r="IN19" s="1947"/>
      <c r="IO19" s="1947"/>
      <c r="IP19" s="1947"/>
      <c r="IQ19" s="1947"/>
    </row>
    <row r="20" spans="1:251" hidden="1">
      <c r="A20" s="1026"/>
      <c r="B20" s="1955"/>
      <c r="C20" s="1955"/>
      <c r="D20" s="2034"/>
      <c r="E20" s="1955"/>
      <c r="F20" s="1942">
        <f t="shared" si="15"/>
        <v>0</v>
      </c>
      <c r="G20" s="1026"/>
      <c r="H20" s="1942">
        <f t="shared" si="5"/>
        <v>0</v>
      </c>
      <c r="I20" s="1026"/>
      <c r="J20" s="1942">
        <f t="shared" si="6"/>
        <v>0</v>
      </c>
      <c r="K20" s="1026"/>
      <c r="L20" s="1942">
        <f t="shared" si="7"/>
        <v>0</v>
      </c>
      <c r="M20" s="1942">
        <f t="shared" si="14"/>
        <v>0</v>
      </c>
      <c r="N20" s="1942">
        <f t="shared" si="8"/>
        <v>0</v>
      </c>
      <c r="O20" s="1026"/>
      <c r="P20" s="1026"/>
      <c r="Q20" s="1942">
        <f t="shared" si="9"/>
        <v>0</v>
      </c>
      <c r="R20" s="1942">
        <f t="shared" si="10"/>
        <v>0</v>
      </c>
      <c r="S20" s="1942">
        <f t="shared" si="11"/>
        <v>0</v>
      </c>
      <c r="T20" s="1942">
        <f t="shared" si="12"/>
        <v>0</v>
      </c>
      <c r="U20" s="1942">
        <f t="shared" si="13"/>
        <v>0</v>
      </c>
      <c r="V20" s="3034">
        <f t="shared" si="2"/>
        <v>0</v>
      </c>
      <c r="W20" s="1942"/>
      <c r="X20" s="1923">
        <v>0.01</v>
      </c>
      <c r="Y20" s="1947"/>
      <c r="Z20" s="1947"/>
      <c r="AA20" s="1947"/>
      <c r="AB20" s="1947"/>
      <c r="AC20" s="1947"/>
      <c r="AD20" s="1947"/>
      <c r="AE20" s="1947"/>
      <c r="AF20" s="1947"/>
      <c r="AG20" s="1947"/>
      <c r="AH20" s="1947"/>
      <c r="AI20" s="1947"/>
      <c r="AJ20" s="1947"/>
      <c r="AK20" s="1947"/>
      <c r="AL20" s="1947"/>
      <c r="AM20" s="1947"/>
      <c r="AN20" s="1947"/>
      <c r="AO20" s="1947"/>
      <c r="AP20" s="1947"/>
      <c r="AQ20" s="1947"/>
      <c r="AR20" s="1947"/>
      <c r="AS20" s="1947"/>
      <c r="AT20" s="1947"/>
      <c r="AU20" s="1947"/>
      <c r="AV20" s="1947"/>
      <c r="AW20" s="1947"/>
      <c r="AX20" s="1947"/>
      <c r="AY20" s="1947"/>
      <c r="AZ20" s="1947"/>
      <c r="BA20" s="1947"/>
      <c r="BB20" s="1947"/>
      <c r="BC20" s="1947"/>
      <c r="BD20" s="1947"/>
      <c r="BE20" s="1947"/>
      <c r="BF20" s="1947"/>
      <c r="BG20" s="1947"/>
      <c r="BH20" s="1947"/>
      <c r="BI20" s="1947"/>
      <c r="BJ20" s="1947"/>
      <c r="BK20" s="1947"/>
      <c r="BL20" s="1947"/>
      <c r="BM20" s="1947"/>
      <c r="BN20" s="1947"/>
      <c r="BO20" s="1947"/>
      <c r="BP20" s="1947"/>
      <c r="BQ20" s="1947"/>
      <c r="BR20" s="1947"/>
      <c r="BS20" s="1947"/>
      <c r="BT20" s="1947"/>
      <c r="BU20" s="1947"/>
      <c r="BV20" s="1947"/>
      <c r="BW20" s="1947"/>
      <c r="BX20" s="1947"/>
      <c r="BY20" s="1947"/>
      <c r="BZ20" s="1947"/>
      <c r="CA20" s="1947"/>
      <c r="CB20" s="1947"/>
      <c r="CC20" s="1947"/>
      <c r="CD20" s="1947"/>
      <c r="CE20" s="1947"/>
      <c r="CF20" s="1947"/>
      <c r="CG20" s="1947"/>
      <c r="CH20" s="1947"/>
      <c r="CI20" s="1947"/>
      <c r="CJ20" s="1947"/>
      <c r="CK20" s="1947"/>
      <c r="CL20" s="1947"/>
      <c r="CM20" s="1947"/>
      <c r="CN20" s="1947"/>
      <c r="CO20" s="1947"/>
      <c r="CP20" s="1947"/>
      <c r="CQ20" s="1947"/>
      <c r="CR20" s="1947"/>
      <c r="CS20" s="1947"/>
      <c r="CT20" s="1947"/>
      <c r="CU20" s="1947"/>
      <c r="CV20" s="1947"/>
      <c r="CW20" s="1947"/>
      <c r="CX20" s="1947"/>
      <c r="CY20" s="1947"/>
      <c r="CZ20" s="1947"/>
      <c r="DA20" s="1947"/>
      <c r="DB20" s="1947"/>
      <c r="DC20" s="1947"/>
      <c r="DD20" s="1947"/>
      <c r="DE20" s="1947"/>
      <c r="DF20" s="1947"/>
      <c r="DG20" s="1947"/>
      <c r="DH20" s="1947"/>
      <c r="DI20" s="1947"/>
      <c r="DJ20" s="1947"/>
      <c r="DK20" s="1947"/>
      <c r="DL20" s="1947"/>
      <c r="DM20" s="1947"/>
      <c r="DN20" s="1947"/>
      <c r="DO20" s="1947"/>
      <c r="DP20" s="1947"/>
      <c r="DQ20" s="1947"/>
      <c r="DR20" s="1947"/>
      <c r="DS20" s="1947"/>
      <c r="DT20" s="1947"/>
      <c r="DU20" s="1947"/>
      <c r="DV20" s="1947"/>
      <c r="DW20" s="1947"/>
      <c r="DX20" s="1947"/>
      <c r="DY20" s="1947"/>
      <c r="DZ20" s="1947"/>
      <c r="EA20" s="1947"/>
      <c r="EB20" s="1947"/>
      <c r="EC20" s="1947"/>
      <c r="ED20" s="1947"/>
      <c r="EE20" s="1947"/>
      <c r="EF20" s="1947"/>
      <c r="EG20" s="1947"/>
      <c r="EH20" s="1947"/>
      <c r="EI20" s="1947"/>
      <c r="EJ20" s="1947"/>
      <c r="EK20" s="1947"/>
      <c r="EL20" s="1947"/>
      <c r="EM20" s="1947"/>
      <c r="EN20" s="1947"/>
      <c r="EO20" s="1947"/>
      <c r="EP20" s="1947"/>
      <c r="EQ20" s="1947"/>
      <c r="ER20" s="1947"/>
      <c r="ES20" s="1947"/>
      <c r="ET20" s="1947"/>
      <c r="EU20" s="1947"/>
      <c r="EV20" s="1947"/>
      <c r="EW20" s="1947"/>
      <c r="EX20" s="1947"/>
      <c r="EY20" s="1947"/>
      <c r="EZ20" s="1947"/>
      <c r="FA20" s="1947"/>
      <c r="FB20" s="1947"/>
      <c r="FC20" s="1947"/>
      <c r="FD20" s="1947"/>
      <c r="FE20" s="1947"/>
      <c r="FF20" s="1947"/>
      <c r="FG20" s="1947"/>
      <c r="FH20" s="1947"/>
      <c r="FI20" s="1947"/>
      <c r="FJ20" s="1947"/>
      <c r="FK20" s="1947"/>
      <c r="FL20" s="1947"/>
      <c r="FM20" s="1947"/>
      <c r="FN20" s="1947"/>
      <c r="FO20" s="1947"/>
      <c r="FP20" s="1947"/>
      <c r="FQ20" s="1947"/>
      <c r="FR20" s="1947"/>
      <c r="FS20" s="1947"/>
      <c r="FT20" s="1947"/>
      <c r="FU20" s="1947"/>
      <c r="FV20" s="1947"/>
      <c r="FW20" s="1947"/>
      <c r="FX20" s="1947"/>
      <c r="FY20" s="1947"/>
      <c r="FZ20" s="1947"/>
      <c r="GA20" s="1947"/>
      <c r="GB20" s="1947"/>
      <c r="GC20" s="1947"/>
      <c r="GD20" s="1947"/>
      <c r="GE20" s="1947"/>
      <c r="GF20" s="1947"/>
      <c r="GG20" s="1947"/>
      <c r="GH20" s="1947"/>
      <c r="GI20" s="1947"/>
      <c r="GJ20" s="1947"/>
      <c r="GK20" s="1947"/>
      <c r="GL20" s="1947"/>
      <c r="GM20" s="1947"/>
      <c r="GN20" s="1947"/>
      <c r="GO20" s="1947"/>
      <c r="GP20" s="1947"/>
      <c r="GQ20" s="1947"/>
      <c r="GR20" s="1947"/>
      <c r="GS20" s="1947"/>
      <c r="GT20" s="1947"/>
      <c r="GU20" s="1947"/>
      <c r="GV20" s="1947"/>
      <c r="GW20" s="1947"/>
      <c r="GX20" s="1947"/>
      <c r="GY20" s="1947"/>
      <c r="GZ20" s="1947"/>
      <c r="HA20" s="1947"/>
      <c r="HB20" s="1947"/>
      <c r="HC20" s="1947"/>
      <c r="HD20" s="1947"/>
      <c r="HE20" s="1947"/>
      <c r="HF20" s="1947"/>
      <c r="HG20" s="1947"/>
      <c r="HH20" s="1947"/>
      <c r="HI20" s="1947"/>
      <c r="HJ20" s="1947"/>
      <c r="HK20" s="1947"/>
      <c r="HL20" s="1947"/>
      <c r="HM20" s="1947"/>
      <c r="HN20" s="1947"/>
      <c r="HO20" s="1947"/>
      <c r="HP20" s="1947"/>
      <c r="HQ20" s="1947"/>
      <c r="HR20" s="1947"/>
      <c r="HS20" s="1947"/>
      <c r="HT20" s="1947"/>
      <c r="HU20" s="1947"/>
      <c r="HV20" s="1947"/>
      <c r="HW20" s="1947"/>
      <c r="HX20" s="1947"/>
      <c r="HY20" s="1947"/>
      <c r="HZ20" s="1947"/>
      <c r="IA20" s="1947"/>
      <c r="IB20" s="1947"/>
      <c r="IC20" s="1947"/>
      <c r="ID20" s="1947"/>
      <c r="IE20" s="1947"/>
      <c r="IF20" s="1947"/>
      <c r="IG20" s="1947"/>
      <c r="IH20" s="1947"/>
      <c r="II20" s="1947"/>
      <c r="IJ20" s="1947"/>
      <c r="IK20" s="1947"/>
      <c r="IL20" s="1947"/>
      <c r="IM20" s="1947"/>
      <c r="IN20" s="1947"/>
      <c r="IO20" s="1947"/>
      <c r="IP20" s="1947"/>
      <c r="IQ20" s="1947"/>
    </row>
    <row r="21" spans="1:251" hidden="1">
      <c r="A21" s="1026"/>
      <c r="B21" s="1955"/>
      <c r="C21" s="1955"/>
      <c r="D21" s="2034"/>
      <c r="E21" s="1955"/>
      <c r="F21" s="1942">
        <f t="shared" si="15"/>
        <v>0</v>
      </c>
      <c r="G21" s="1026"/>
      <c r="H21" s="1942">
        <f t="shared" si="5"/>
        <v>0</v>
      </c>
      <c r="I21" s="1026"/>
      <c r="J21" s="1942">
        <f t="shared" si="6"/>
        <v>0</v>
      </c>
      <c r="K21" s="1026"/>
      <c r="L21" s="1942">
        <f t="shared" si="7"/>
        <v>0</v>
      </c>
      <c r="M21" s="1942">
        <f t="shared" si="14"/>
        <v>0</v>
      </c>
      <c r="N21" s="1942">
        <f t="shared" si="8"/>
        <v>0</v>
      </c>
      <c r="O21" s="1026"/>
      <c r="P21" s="1026"/>
      <c r="Q21" s="1942">
        <f t="shared" si="9"/>
        <v>0</v>
      </c>
      <c r="R21" s="1942">
        <f t="shared" si="10"/>
        <v>0</v>
      </c>
      <c r="S21" s="1942">
        <f t="shared" si="11"/>
        <v>0</v>
      </c>
      <c r="T21" s="1942">
        <f t="shared" si="12"/>
        <v>0</v>
      </c>
      <c r="U21" s="1942">
        <f t="shared" si="13"/>
        <v>0</v>
      </c>
      <c r="V21" s="3034">
        <f t="shared" si="2"/>
        <v>0</v>
      </c>
      <c r="W21" s="1942"/>
      <c r="X21" s="1923">
        <v>0.01</v>
      </c>
      <c r="Y21" s="1947"/>
      <c r="Z21" s="1947"/>
      <c r="AA21" s="1947"/>
      <c r="AB21" s="1947"/>
      <c r="AC21" s="1947"/>
      <c r="AD21" s="1947"/>
      <c r="AE21" s="1947"/>
      <c r="AF21" s="1947"/>
      <c r="AG21" s="1947"/>
      <c r="AH21" s="1947"/>
      <c r="AI21" s="1947"/>
      <c r="AJ21" s="1947"/>
      <c r="AK21" s="1947"/>
      <c r="AL21" s="1947"/>
      <c r="AM21" s="1947"/>
      <c r="AN21" s="1947"/>
      <c r="AO21" s="1947"/>
      <c r="AP21" s="1947"/>
      <c r="AQ21" s="1947"/>
      <c r="AR21" s="1947"/>
      <c r="AS21" s="1947"/>
      <c r="AT21" s="1947"/>
      <c r="AU21" s="1947"/>
      <c r="AV21" s="1947"/>
      <c r="AW21" s="1947"/>
      <c r="AX21" s="1947"/>
      <c r="AY21" s="1947"/>
      <c r="AZ21" s="1947"/>
      <c r="BA21" s="1947"/>
      <c r="BB21" s="1947"/>
      <c r="BC21" s="1947"/>
      <c r="BD21" s="1947"/>
      <c r="BE21" s="1947"/>
      <c r="BF21" s="1947"/>
      <c r="BG21" s="1947"/>
      <c r="BH21" s="1947"/>
      <c r="BI21" s="1947"/>
      <c r="BJ21" s="1947"/>
      <c r="BK21" s="1947"/>
      <c r="BL21" s="1947"/>
      <c r="BM21" s="1947"/>
      <c r="BN21" s="1947"/>
      <c r="BO21" s="1947"/>
      <c r="BP21" s="1947"/>
      <c r="BQ21" s="1947"/>
      <c r="BR21" s="1947"/>
      <c r="BS21" s="1947"/>
      <c r="BT21" s="1947"/>
      <c r="BU21" s="1947"/>
      <c r="BV21" s="1947"/>
      <c r="BW21" s="1947"/>
      <c r="BX21" s="1947"/>
      <c r="BY21" s="1947"/>
      <c r="BZ21" s="1947"/>
      <c r="CA21" s="1947"/>
      <c r="CB21" s="1947"/>
      <c r="CC21" s="1947"/>
      <c r="CD21" s="1947"/>
      <c r="CE21" s="1947"/>
      <c r="CF21" s="1947"/>
      <c r="CG21" s="1947"/>
      <c r="CH21" s="1947"/>
      <c r="CI21" s="1947"/>
      <c r="CJ21" s="1947"/>
      <c r="CK21" s="1947"/>
      <c r="CL21" s="1947"/>
      <c r="CM21" s="1947"/>
      <c r="CN21" s="1947"/>
      <c r="CO21" s="1947"/>
      <c r="CP21" s="1947"/>
      <c r="CQ21" s="1947"/>
      <c r="CR21" s="1947"/>
      <c r="CS21" s="1947"/>
      <c r="CT21" s="1947"/>
      <c r="CU21" s="1947"/>
      <c r="CV21" s="1947"/>
      <c r="CW21" s="1947"/>
      <c r="CX21" s="1947"/>
      <c r="CY21" s="1947"/>
      <c r="CZ21" s="1947"/>
      <c r="DA21" s="1947"/>
      <c r="DB21" s="1947"/>
      <c r="DC21" s="1947"/>
      <c r="DD21" s="1947"/>
      <c r="DE21" s="1947"/>
      <c r="DF21" s="1947"/>
      <c r="DG21" s="1947"/>
      <c r="DH21" s="1947"/>
      <c r="DI21" s="1947"/>
      <c r="DJ21" s="1947"/>
      <c r="DK21" s="1947"/>
      <c r="DL21" s="1947"/>
      <c r="DM21" s="1947"/>
      <c r="DN21" s="1947"/>
      <c r="DO21" s="1947"/>
      <c r="DP21" s="1947"/>
      <c r="DQ21" s="1947"/>
      <c r="DR21" s="1947"/>
      <c r="DS21" s="1947"/>
      <c r="DT21" s="1947"/>
      <c r="DU21" s="1947"/>
      <c r="DV21" s="1947"/>
      <c r="DW21" s="1947"/>
      <c r="DX21" s="1947"/>
      <c r="DY21" s="1947"/>
      <c r="DZ21" s="1947"/>
      <c r="EA21" s="1947"/>
      <c r="EB21" s="1947"/>
      <c r="EC21" s="1947"/>
      <c r="ED21" s="1947"/>
      <c r="EE21" s="1947"/>
      <c r="EF21" s="1947"/>
      <c r="EG21" s="1947"/>
      <c r="EH21" s="1947"/>
      <c r="EI21" s="1947"/>
      <c r="EJ21" s="1947"/>
      <c r="EK21" s="1947"/>
      <c r="EL21" s="1947"/>
      <c r="EM21" s="1947"/>
      <c r="EN21" s="1947"/>
      <c r="EO21" s="1947"/>
      <c r="EP21" s="1947"/>
      <c r="EQ21" s="1947"/>
      <c r="ER21" s="1947"/>
      <c r="ES21" s="1947"/>
      <c r="ET21" s="1947"/>
      <c r="EU21" s="1947"/>
      <c r="EV21" s="1947"/>
      <c r="EW21" s="1947"/>
      <c r="EX21" s="1947"/>
      <c r="EY21" s="1947"/>
      <c r="EZ21" s="1947"/>
      <c r="FA21" s="1947"/>
      <c r="FB21" s="1947"/>
      <c r="FC21" s="1947"/>
      <c r="FD21" s="1947"/>
      <c r="FE21" s="1947"/>
      <c r="FF21" s="1947"/>
      <c r="FG21" s="1947"/>
      <c r="FH21" s="1947"/>
      <c r="FI21" s="1947"/>
      <c r="FJ21" s="1947"/>
      <c r="FK21" s="1947"/>
      <c r="FL21" s="1947"/>
      <c r="FM21" s="1947"/>
      <c r="FN21" s="1947"/>
      <c r="FO21" s="1947"/>
      <c r="FP21" s="1947"/>
      <c r="FQ21" s="1947"/>
      <c r="FR21" s="1947"/>
      <c r="FS21" s="1947"/>
      <c r="FT21" s="1947"/>
      <c r="FU21" s="1947"/>
      <c r="FV21" s="1947"/>
      <c r="FW21" s="1947"/>
      <c r="FX21" s="1947"/>
      <c r="FY21" s="1947"/>
      <c r="FZ21" s="1947"/>
      <c r="GA21" s="1947"/>
      <c r="GB21" s="1947"/>
      <c r="GC21" s="1947"/>
      <c r="GD21" s="1947"/>
      <c r="GE21" s="1947"/>
      <c r="GF21" s="1947"/>
      <c r="GG21" s="1947"/>
      <c r="GH21" s="1947"/>
      <c r="GI21" s="1947"/>
      <c r="GJ21" s="1947"/>
      <c r="GK21" s="1947"/>
      <c r="GL21" s="1947"/>
      <c r="GM21" s="1947"/>
      <c r="GN21" s="1947"/>
      <c r="GO21" s="1947"/>
      <c r="GP21" s="1947"/>
      <c r="GQ21" s="1947"/>
      <c r="GR21" s="1947"/>
      <c r="GS21" s="1947"/>
      <c r="GT21" s="1947"/>
      <c r="GU21" s="1947"/>
      <c r="GV21" s="1947"/>
      <c r="GW21" s="1947"/>
      <c r="GX21" s="1947"/>
      <c r="GY21" s="1947"/>
      <c r="GZ21" s="1947"/>
      <c r="HA21" s="1947"/>
      <c r="HB21" s="1947"/>
      <c r="HC21" s="1947"/>
      <c r="HD21" s="1947"/>
      <c r="HE21" s="1947"/>
      <c r="HF21" s="1947"/>
      <c r="HG21" s="1947"/>
      <c r="HH21" s="1947"/>
      <c r="HI21" s="1947"/>
      <c r="HJ21" s="1947"/>
      <c r="HK21" s="1947"/>
      <c r="HL21" s="1947"/>
      <c r="HM21" s="1947"/>
      <c r="HN21" s="1947"/>
      <c r="HO21" s="1947"/>
      <c r="HP21" s="1947"/>
      <c r="HQ21" s="1947"/>
      <c r="HR21" s="1947"/>
      <c r="HS21" s="1947"/>
      <c r="HT21" s="1947"/>
      <c r="HU21" s="1947"/>
      <c r="HV21" s="1947"/>
      <c r="HW21" s="1947"/>
      <c r="HX21" s="1947"/>
      <c r="HY21" s="1947"/>
      <c r="HZ21" s="1947"/>
      <c r="IA21" s="1947"/>
      <c r="IB21" s="1947"/>
      <c r="IC21" s="1947"/>
      <c r="ID21" s="1947"/>
      <c r="IE21" s="1947"/>
      <c r="IF21" s="1947"/>
      <c r="IG21" s="1947"/>
      <c r="IH21" s="1947"/>
      <c r="II21" s="1947"/>
      <c r="IJ21" s="1947"/>
      <c r="IK21" s="1947"/>
      <c r="IL21" s="1947"/>
      <c r="IM21" s="1947"/>
      <c r="IN21" s="1947"/>
      <c r="IO21" s="1947"/>
      <c r="IP21" s="1947"/>
      <c r="IQ21" s="1947"/>
    </row>
    <row r="22" spans="1:251" hidden="1">
      <c r="A22" s="1026"/>
      <c r="B22" s="1955"/>
      <c r="C22" s="1955"/>
      <c r="D22" s="2034"/>
      <c r="E22" s="1955"/>
      <c r="F22" s="1942">
        <f t="shared" si="15"/>
        <v>0</v>
      </c>
      <c r="G22" s="1026"/>
      <c r="H22" s="1942">
        <f t="shared" si="5"/>
        <v>0</v>
      </c>
      <c r="I22" s="1026"/>
      <c r="J22" s="1942">
        <f t="shared" si="6"/>
        <v>0</v>
      </c>
      <c r="K22" s="1026"/>
      <c r="L22" s="1942">
        <f t="shared" si="7"/>
        <v>0</v>
      </c>
      <c r="M22" s="1942">
        <f t="shared" si="14"/>
        <v>0</v>
      </c>
      <c r="N22" s="1942">
        <f t="shared" si="8"/>
        <v>0</v>
      </c>
      <c r="O22" s="1026"/>
      <c r="P22" s="1026"/>
      <c r="Q22" s="1942">
        <f t="shared" si="9"/>
        <v>0</v>
      </c>
      <c r="R22" s="1942">
        <f t="shared" si="10"/>
        <v>0</v>
      </c>
      <c r="S22" s="1942">
        <f t="shared" si="11"/>
        <v>0</v>
      </c>
      <c r="T22" s="1942">
        <f t="shared" si="12"/>
        <v>0</v>
      </c>
      <c r="U22" s="1942">
        <f t="shared" si="13"/>
        <v>0</v>
      </c>
      <c r="V22" s="3034">
        <f t="shared" si="2"/>
        <v>0</v>
      </c>
      <c r="W22" s="1942"/>
      <c r="X22" s="1923">
        <v>0.01</v>
      </c>
      <c r="Y22" s="1947"/>
      <c r="Z22" s="1947"/>
      <c r="AA22" s="1947"/>
      <c r="AB22" s="1947"/>
      <c r="AC22" s="1947"/>
      <c r="AD22" s="1947"/>
      <c r="AE22" s="1947"/>
      <c r="AF22" s="1947"/>
      <c r="AG22" s="1947"/>
      <c r="AH22" s="1947"/>
      <c r="AI22" s="1947"/>
      <c r="AJ22" s="1947"/>
      <c r="AK22" s="1947"/>
      <c r="AL22" s="1947"/>
      <c r="AM22" s="1947"/>
      <c r="AN22" s="1947"/>
      <c r="AO22" s="1947"/>
      <c r="AP22" s="1947"/>
      <c r="AQ22" s="1947"/>
      <c r="AR22" s="1947"/>
      <c r="AS22" s="1947"/>
      <c r="AT22" s="1947"/>
      <c r="AU22" s="1947"/>
      <c r="AV22" s="1947"/>
      <c r="AW22" s="1947"/>
      <c r="AX22" s="1947"/>
      <c r="AY22" s="1947"/>
      <c r="AZ22" s="1947"/>
      <c r="BA22" s="1947"/>
      <c r="BB22" s="1947"/>
      <c r="BC22" s="1947"/>
      <c r="BD22" s="1947"/>
      <c r="BE22" s="1947"/>
      <c r="BF22" s="1947"/>
      <c r="BG22" s="1947"/>
      <c r="BH22" s="1947"/>
      <c r="BI22" s="1947"/>
      <c r="BJ22" s="1947"/>
      <c r="BK22" s="1947"/>
      <c r="BL22" s="1947"/>
      <c r="BM22" s="1947"/>
      <c r="BN22" s="1947"/>
      <c r="BO22" s="1947"/>
      <c r="BP22" s="1947"/>
      <c r="BQ22" s="1947"/>
      <c r="BR22" s="1947"/>
      <c r="BS22" s="1947"/>
      <c r="BT22" s="1947"/>
      <c r="BU22" s="1947"/>
      <c r="BV22" s="1947"/>
      <c r="BW22" s="1947"/>
      <c r="BX22" s="1947"/>
      <c r="BY22" s="1947"/>
      <c r="BZ22" s="1947"/>
      <c r="CA22" s="1947"/>
      <c r="CB22" s="1947"/>
      <c r="CC22" s="1947"/>
      <c r="CD22" s="1947"/>
      <c r="CE22" s="1947"/>
      <c r="CF22" s="1947"/>
      <c r="CG22" s="1947"/>
      <c r="CH22" s="1947"/>
      <c r="CI22" s="1947"/>
      <c r="CJ22" s="1947"/>
      <c r="CK22" s="1947"/>
      <c r="CL22" s="1947"/>
      <c r="CM22" s="1947"/>
      <c r="CN22" s="1947"/>
      <c r="CO22" s="1947"/>
      <c r="CP22" s="1947"/>
      <c r="CQ22" s="1947"/>
      <c r="CR22" s="1947"/>
      <c r="CS22" s="1947"/>
      <c r="CT22" s="1947"/>
      <c r="CU22" s="1947"/>
      <c r="CV22" s="1947"/>
      <c r="CW22" s="1947"/>
      <c r="CX22" s="1947"/>
      <c r="CY22" s="1947"/>
      <c r="CZ22" s="1947"/>
      <c r="DA22" s="1947"/>
      <c r="DB22" s="1947"/>
      <c r="DC22" s="1947"/>
      <c r="DD22" s="1947"/>
      <c r="DE22" s="1947"/>
      <c r="DF22" s="1947"/>
      <c r="DG22" s="1947"/>
      <c r="DH22" s="1947"/>
      <c r="DI22" s="1947"/>
      <c r="DJ22" s="1947"/>
      <c r="DK22" s="1947"/>
      <c r="DL22" s="1947"/>
      <c r="DM22" s="1947"/>
      <c r="DN22" s="1947"/>
      <c r="DO22" s="1947"/>
      <c r="DP22" s="1947"/>
      <c r="DQ22" s="1947"/>
      <c r="DR22" s="1947"/>
      <c r="DS22" s="1947"/>
      <c r="DT22" s="1947"/>
      <c r="DU22" s="1947"/>
      <c r="DV22" s="1947"/>
      <c r="DW22" s="1947"/>
      <c r="DX22" s="1947"/>
      <c r="DY22" s="1947"/>
      <c r="DZ22" s="1947"/>
      <c r="EA22" s="1947"/>
      <c r="EB22" s="1947"/>
      <c r="EC22" s="1947"/>
      <c r="ED22" s="1947"/>
      <c r="EE22" s="1947"/>
      <c r="EF22" s="1947"/>
      <c r="EG22" s="1947"/>
      <c r="EH22" s="1947"/>
      <c r="EI22" s="1947"/>
      <c r="EJ22" s="1947"/>
      <c r="EK22" s="1947"/>
      <c r="EL22" s="1947"/>
      <c r="EM22" s="1947"/>
      <c r="EN22" s="1947"/>
      <c r="EO22" s="1947"/>
      <c r="EP22" s="1947"/>
      <c r="EQ22" s="1947"/>
      <c r="ER22" s="1947"/>
      <c r="ES22" s="1947"/>
      <c r="ET22" s="1947"/>
      <c r="EU22" s="1947"/>
      <c r="EV22" s="1947"/>
      <c r="EW22" s="1947"/>
      <c r="EX22" s="1947"/>
      <c r="EY22" s="1947"/>
      <c r="EZ22" s="1947"/>
      <c r="FA22" s="1947"/>
      <c r="FB22" s="1947"/>
      <c r="FC22" s="1947"/>
      <c r="FD22" s="1947"/>
      <c r="FE22" s="1947"/>
      <c r="FF22" s="1947"/>
      <c r="FG22" s="1947"/>
      <c r="FH22" s="1947"/>
      <c r="FI22" s="1947"/>
      <c r="FJ22" s="1947"/>
      <c r="FK22" s="1947"/>
      <c r="FL22" s="1947"/>
      <c r="FM22" s="1947"/>
      <c r="FN22" s="1947"/>
      <c r="FO22" s="1947"/>
      <c r="FP22" s="1947"/>
      <c r="FQ22" s="1947"/>
      <c r="FR22" s="1947"/>
      <c r="FS22" s="1947"/>
      <c r="FT22" s="1947"/>
      <c r="FU22" s="1947"/>
      <c r="FV22" s="1947"/>
      <c r="FW22" s="1947"/>
      <c r="FX22" s="1947"/>
      <c r="FY22" s="1947"/>
      <c r="FZ22" s="1947"/>
      <c r="GA22" s="1947"/>
      <c r="GB22" s="1947"/>
      <c r="GC22" s="1947"/>
      <c r="GD22" s="1947"/>
      <c r="GE22" s="1947"/>
      <c r="GF22" s="1947"/>
      <c r="GG22" s="1947"/>
      <c r="GH22" s="1947"/>
      <c r="GI22" s="1947"/>
      <c r="GJ22" s="1947"/>
      <c r="GK22" s="1947"/>
      <c r="GL22" s="1947"/>
      <c r="GM22" s="1947"/>
      <c r="GN22" s="1947"/>
      <c r="GO22" s="1947"/>
      <c r="GP22" s="1947"/>
      <c r="GQ22" s="1947"/>
      <c r="GR22" s="1947"/>
      <c r="GS22" s="1947"/>
      <c r="GT22" s="1947"/>
      <c r="GU22" s="1947"/>
      <c r="GV22" s="1947"/>
      <c r="GW22" s="1947"/>
      <c r="GX22" s="1947"/>
      <c r="GY22" s="1947"/>
      <c r="GZ22" s="1947"/>
      <c r="HA22" s="1947"/>
      <c r="HB22" s="1947"/>
      <c r="HC22" s="1947"/>
      <c r="HD22" s="1947"/>
      <c r="HE22" s="1947"/>
      <c r="HF22" s="1947"/>
      <c r="HG22" s="1947"/>
      <c r="HH22" s="1947"/>
      <c r="HI22" s="1947"/>
      <c r="HJ22" s="1947"/>
      <c r="HK22" s="1947"/>
      <c r="HL22" s="1947"/>
      <c r="HM22" s="1947"/>
      <c r="HN22" s="1947"/>
      <c r="HO22" s="1947"/>
      <c r="HP22" s="1947"/>
      <c r="HQ22" s="1947"/>
      <c r="HR22" s="1947"/>
      <c r="HS22" s="1947"/>
      <c r="HT22" s="1947"/>
      <c r="HU22" s="1947"/>
      <c r="HV22" s="1947"/>
      <c r="HW22" s="1947"/>
      <c r="HX22" s="1947"/>
      <c r="HY22" s="1947"/>
      <c r="HZ22" s="1947"/>
      <c r="IA22" s="1947"/>
      <c r="IB22" s="1947"/>
      <c r="IC22" s="1947"/>
      <c r="ID22" s="1947"/>
      <c r="IE22" s="1947"/>
      <c r="IF22" s="1947"/>
      <c r="IG22" s="1947"/>
      <c r="IH22" s="1947"/>
      <c r="II22" s="1947"/>
      <c r="IJ22" s="1947"/>
      <c r="IK22" s="1947"/>
      <c r="IL22" s="1947"/>
      <c r="IM22" s="1947"/>
      <c r="IN22" s="1947"/>
      <c r="IO22" s="1947"/>
      <c r="IP22" s="1947"/>
      <c r="IQ22" s="1947"/>
    </row>
    <row r="23" spans="1:251" hidden="1">
      <c r="A23" s="1026"/>
      <c r="B23" s="1955"/>
      <c r="C23" s="1955"/>
      <c r="D23" s="2034"/>
      <c r="E23" s="1955"/>
      <c r="F23" s="1942">
        <f t="shared" si="15"/>
        <v>0</v>
      </c>
      <c r="G23" s="1026"/>
      <c r="H23" s="1942">
        <f t="shared" si="5"/>
        <v>0</v>
      </c>
      <c r="I23" s="1026"/>
      <c r="J23" s="1942">
        <f t="shared" si="6"/>
        <v>0</v>
      </c>
      <c r="K23" s="1026"/>
      <c r="L23" s="1942">
        <f t="shared" si="7"/>
        <v>0</v>
      </c>
      <c r="M23" s="1942">
        <f t="shared" si="14"/>
        <v>0</v>
      </c>
      <c r="N23" s="1942">
        <f t="shared" si="8"/>
        <v>0</v>
      </c>
      <c r="O23" s="1026"/>
      <c r="P23" s="1026"/>
      <c r="Q23" s="1942">
        <f t="shared" si="9"/>
        <v>0</v>
      </c>
      <c r="R23" s="1942">
        <f t="shared" si="10"/>
        <v>0</v>
      </c>
      <c r="S23" s="1942">
        <f t="shared" si="11"/>
        <v>0</v>
      </c>
      <c r="T23" s="1942">
        <f t="shared" si="12"/>
        <v>0</v>
      </c>
      <c r="U23" s="1942">
        <f t="shared" si="13"/>
        <v>0</v>
      </c>
      <c r="V23" s="3034">
        <f t="shared" si="2"/>
        <v>0</v>
      </c>
      <c r="W23" s="1942"/>
      <c r="X23" s="1923">
        <v>0.01</v>
      </c>
      <c r="Y23" s="1947"/>
      <c r="Z23" s="1947"/>
      <c r="AA23" s="1947"/>
      <c r="AB23" s="1947"/>
      <c r="AC23" s="1947"/>
      <c r="AD23" s="1947"/>
      <c r="AE23" s="1947"/>
      <c r="AF23" s="1947"/>
      <c r="AG23" s="1947"/>
      <c r="AH23" s="1947"/>
      <c r="AI23" s="1947"/>
      <c r="AJ23" s="1947"/>
      <c r="AK23" s="1947"/>
      <c r="AL23" s="1947"/>
      <c r="AM23" s="1947"/>
      <c r="AN23" s="1947"/>
      <c r="AO23" s="1947"/>
      <c r="AP23" s="1947"/>
      <c r="AQ23" s="1947"/>
      <c r="AR23" s="1947"/>
      <c r="AS23" s="1947"/>
      <c r="AT23" s="1947"/>
      <c r="AU23" s="1947"/>
      <c r="AV23" s="1947"/>
      <c r="AW23" s="1947"/>
      <c r="AX23" s="1947"/>
      <c r="AY23" s="1947"/>
      <c r="AZ23" s="1947"/>
      <c r="BA23" s="1947"/>
      <c r="BB23" s="1947"/>
      <c r="BC23" s="1947"/>
      <c r="BD23" s="1947"/>
      <c r="BE23" s="1947"/>
      <c r="BF23" s="1947"/>
      <c r="BG23" s="1947"/>
      <c r="BH23" s="1947"/>
      <c r="BI23" s="1947"/>
      <c r="BJ23" s="1947"/>
      <c r="BK23" s="1947"/>
      <c r="BL23" s="1947"/>
      <c r="BM23" s="1947"/>
      <c r="BN23" s="1947"/>
      <c r="BO23" s="1947"/>
      <c r="BP23" s="1947"/>
      <c r="BQ23" s="1947"/>
      <c r="BR23" s="1947"/>
      <c r="BS23" s="1947"/>
      <c r="BT23" s="1947"/>
      <c r="BU23" s="1947"/>
      <c r="BV23" s="1947"/>
      <c r="BW23" s="1947"/>
      <c r="BX23" s="1947"/>
      <c r="BY23" s="1947"/>
      <c r="BZ23" s="1947"/>
      <c r="CA23" s="1947"/>
      <c r="CB23" s="1947"/>
      <c r="CC23" s="1947"/>
      <c r="CD23" s="1947"/>
      <c r="CE23" s="1947"/>
      <c r="CF23" s="1947"/>
      <c r="CG23" s="1947"/>
      <c r="CH23" s="1947"/>
      <c r="CI23" s="1947"/>
      <c r="CJ23" s="1947"/>
      <c r="CK23" s="1947"/>
      <c r="CL23" s="1947"/>
      <c r="CM23" s="1947"/>
      <c r="CN23" s="1947"/>
      <c r="CO23" s="1947"/>
      <c r="CP23" s="1947"/>
      <c r="CQ23" s="1947"/>
      <c r="CR23" s="1947"/>
      <c r="CS23" s="1947"/>
      <c r="CT23" s="1947"/>
      <c r="CU23" s="1947"/>
      <c r="CV23" s="1947"/>
      <c r="CW23" s="1947"/>
      <c r="CX23" s="1947"/>
      <c r="CY23" s="1947"/>
      <c r="CZ23" s="1947"/>
      <c r="DA23" s="1947"/>
      <c r="DB23" s="1947"/>
      <c r="DC23" s="1947"/>
      <c r="DD23" s="1947"/>
      <c r="DE23" s="1947"/>
      <c r="DF23" s="1947"/>
      <c r="DG23" s="1947"/>
      <c r="DH23" s="1947"/>
      <c r="DI23" s="1947"/>
      <c r="DJ23" s="1947"/>
      <c r="DK23" s="1947"/>
      <c r="DL23" s="1947"/>
      <c r="DM23" s="1947"/>
      <c r="DN23" s="1947"/>
      <c r="DO23" s="1947"/>
      <c r="DP23" s="1947"/>
      <c r="DQ23" s="1947"/>
      <c r="DR23" s="1947"/>
      <c r="DS23" s="1947"/>
      <c r="DT23" s="1947"/>
      <c r="DU23" s="1947"/>
      <c r="DV23" s="1947"/>
      <c r="DW23" s="1947"/>
      <c r="DX23" s="1947"/>
      <c r="DY23" s="1947"/>
      <c r="DZ23" s="1947"/>
      <c r="EA23" s="1947"/>
      <c r="EB23" s="1947"/>
      <c r="EC23" s="1947"/>
      <c r="ED23" s="1947"/>
      <c r="EE23" s="1947"/>
      <c r="EF23" s="1947"/>
      <c r="EG23" s="1947"/>
      <c r="EH23" s="1947"/>
      <c r="EI23" s="1947"/>
      <c r="EJ23" s="1947"/>
      <c r="EK23" s="1947"/>
      <c r="EL23" s="1947"/>
      <c r="EM23" s="1947"/>
      <c r="EN23" s="1947"/>
      <c r="EO23" s="1947"/>
      <c r="EP23" s="1947"/>
      <c r="EQ23" s="1947"/>
      <c r="ER23" s="1947"/>
      <c r="ES23" s="1947"/>
      <c r="ET23" s="1947"/>
      <c r="EU23" s="1947"/>
      <c r="EV23" s="1947"/>
      <c r="EW23" s="1947"/>
      <c r="EX23" s="1947"/>
      <c r="EY23" s="1947"/>
      <c r="EZ23" s="1947"/>
      <c r="FA23" s="1947"/>
      <c r="FB23" s="1947"/>
      <c r="FC23" s="1947"/>
      <c r="FD23" s="1947"/>
      <c r="FE23" s="1947"/>
      <c r="FF23" s="1947"/>
      <c r="FG23" s="1947"/>
      <c r="FH23" s="1947"/>
      <c r="FI23" s="1947"/>
      <c r="FJ23" s="1947"/>
      <c r="FK23" s="1947"/>
      <c r="FL23" s="1947"/>
      <c r="FM23" s="1947"/>
      <c r="FN23" s="1947"/>
      <c r="FO23" s="1947"/>
      <c r="FP23" s="1947"/>
      <c r="FQ23" s="1947"/>
      <c r="FR23" s="1947"/>
      <c r="FS23" s="1947"/>
      <c r="FT23" s="1947"/>
      <c r="FU23" s="1947"/>
      <c r="FV23" s="1947"/>
      <c r="FW23" s="1947"/>
      <c r="FX23" s="1947"/>
      <c r="FY23" s="1947"/>
      <c r="FZ23" s="1947"/>
      <c r="GA23" s="1947"/>
      <c r="GB23" s="1947"/>
      <c r="GC23" s="1947"/>
      <c r="GD23" s="1947"/>
      <c r="GE23" s="1947"/>
      <c r="GF23" s="1947"/>
      <c r="GG23" s="1947"/>
      <c r="GH23" s="1947"/>
      <c r="GI23" s="1947"/>
      <c r="GJ23" s="1947"/>
      <c r="GK23" s="1947"/>
      <c r="GL23" s="1947"/>
      <c r="GM23" s="1947"/>
      <c r="GN23" s="1947"/>
      <c r="GO23" s="1947"/>
      <c r="GP23" s="1947"/>
      <c r="GQ23" s="1947"/>
      <c r="GR23" s="1947"/>
      <c r="GS23" s="1947"/>
      <c r="GT23" s="1947"/>
      <c r="GU23" s="1947"/>
      <c r="GV23" s="1947"/>
      <c r="GW23" s="1947"/>
      <c r="GX23" s="1947"/>
      <c r="GY23" s="1947"/>
      <c r="GZ23" s="1947"/>
      <c r="HA23" s="1947"/>
      <c r="HB23" s="1947"/>
      <c r="HC23" s="1947"/>
      <c r="HD23" s="1947"/>
      <c r="HE23" s="1947"/>
      <c r="HF23" s="1947"/>
      <c r="HG23" s="1947"/>
      <c r="HH23" s="1947"/>
      <c r="HI23" s="1947"/>
      <c r="HJ23" s="1947"/>
      <c r="HK23" s="1947"/>
      <c r="HL23" s="1947"/>
      <c r="HM23" s="1947"/>
      <c r="HN23" s="1947"/>
      <c r="HO23" s="1947"/>
      <c r="HP23" s="1947"/>
      <c r="HQ23" s="1947"/>
      <c r="HR23" s="1947"/>
      <c r="HS23" s="1947"/>
      <c r="HT23" s="1947"/>
      <c r="HU23" s="1947"/>
      <c r="HV23" s="1947"/>
      <c r="HW23" s="1947"/>
      <c r="HX23" s="1947"/>
      <c r="HY23" s="1947"/>
      <c r="HZ23" s="1947"/>
      <c r="IA23" s="1947"/>
      <c r="IB23" s="1947"/>
      <c r="IC23" s="1947"/>
      <c r="ID23" s="1947"/>
      <c r="IE23" s="1947"/>
      <c r="IF23" s="1947"/>
      <c r="IG23" s="1947"/>
      <c r="IH23" s="1947"/>
      <c r="II23" s="1947"/>
      <c r="IJ23" s="1947"/>
      <c r="IK23" s="1947"/>
      <c r="IL23" s="1947"/>
      <c r="IM23" s="1947"/>
      <c r="IN23" s="1947"/>
      <c r="IO23" s="1947"/>
      <c r="IP23" s="1947"/>
      <c r="IQ23" s="1947"/>
    </row>
    <row r="24" spans="1:251" hidden="1">
      <c r="A24" s="1026"/>
      <c r="B24" s="1955"/>
      <c r="C24" s="1955"/>
      <c r="D24" s="2034"/>
      <c r="E24" s="1955"/>
      <c r="F24" s="1942">
        <f t="shared" si="15"/>
        <v>0</v>
      </c>
      <c r="G24" s="1026"/>
      <c r="H24" s="1942">
        <f t="shared" si="5"/>
        <v>0</v>
      </c>
      <c r="I24" s="1026"/>
      <c r="J24" s="1942">
        <f t="shared" si="6"/>
        <v>0</v>
      </c>
      <c r="K24" s="1026"/>
      <c r="L24" s="1942">
        <f t="shared" si="7"/>
        <v>0</v>
      </c>
      <c r="M24" s="1942">
        <f t="shared" si="14"/>
        <v>0</v>
      </c>
      <c r="N24" s="1942">
        <f t="shared" si="8"/>
        <v>0</v>
      </c>
      <c r="O24" s="1026"/>
      <c r="P24" s="1026"/>
      <c r="Q24" s="1942">
        <f t="shared" si="9"/>
        <v>0</v>
      </c>
      <c r="R24" s="1942">
        <f t="shared" si="10"/>
        <v>0</v>
      </c>
      <c r="S24" s="1942">
        <f t="shared" si="11"/>
        <v>0</v>
      </c>
      <c r="T24" s="1942">
        <f t="shared" si="12"/>
        <v>0</v>
      </c>
      <c r="U24" s="1942">
        <f t="shared" si="13"/>
        <v>0</v>
      </c>
      <c r="V24" s="3034">
        <f t="shared" si="2"/>
        <v>0</v>
      </c>
      <c r="W24" s="1942"/>
      <c r="X24" s="1923">
        <v>0.01</v>
      </c>
      <c r="Y24" s="1947"/>
      <c r="Z24" s="1947"/>
      <c r="AA24" s="1947"/>
      <c r="AB24" s="1947"/>
      <c r="AC24" s="1947"/>
      <c r="AD24" s="1947"/>
      <c r="AE24" s="1947"/>
      <c r="AF24" s="1947"/>
      <c r="AG24" s="1947"/>
      <c r="AH24" s="1947"/>
      <c r="AI24" s="1947"/>
      <c r="AJ24" s="1947"/>
      <c r="AK24" s="1947"/>
      <c r="AL24" s="1947"/>
      <c r="AM24" s="1947"/>
      <c r="AN24" s="1947"/>
      <c r="AO24" s="1947"/>
      <c r="AP24" s="1947"/>
      <c r="AQ24" s="1947"/>
      <c r="AR24" s="1947"/>
      <c r="AS24" s="1947"/>
      <c r="AT24" s="1947"/>
      <c r="AU24" s="1947"/>
      <c r="AV24" s="1947"/>
      <c r="AW24" s="1947"/>
      <c r="AX24" s="1947"/>
      <c r="AY24" s="1947"/>
      <c r="AZ24" s="1947"/>
      <c r="BA24" s="1947"/>
      <c r="BB24" s="1947"/>
      <c r="BC24" s="1947"/>
      <c r="BD24" s="1947"/>
      <c r="BE24" s="1947"/>
      <c r="BF24" s="1947"/>
      <c r="BG24" s="1947"/>
      <c r="BH24" s="1947"/>
      <c r="BI24" s="1947"/>
      <c r="BJ24" s="1947"/>
      <c r="BK24" s="1947"/>
      <c r="BL24" s="1947"/>
      <c r="BM24" s="1947"/>
      <c r="BN24" s="1947"/>
      <c r="BO24" s="1947"/>
      <c r="BP24" s="1947"/>
      <c r="BQ24" s="1947"/>
      <c r="BR24" s="1947"/>
      <c r="BS24" s="1947"/>
      <c r="BT24" s="1947"/>
      <c r="BU24" s="1947"/>
      <c r="BV24" s="1947"/>
      <c r="BW24" s="1947"/>
      <c r="BX24" s="1947"/>
      <c r="BY24" s="1947"/>
      <c r="BZ24" s="1947"/>
      <c r="CA24" s="1947"/>
      <c r="CB24" s="1947"/>
      <c r="CC24" s="1947"/>
      <c r="CD24" s="1947"/>
      <c r="CE24" s="1947"/>
      <c r="CF24" s="1947"/>
      <c r="CG24" s="1947"/>
      <c r="CH24" s="1947"/>
      <c r="CI24" s="1947"/>
      <c r="CJ24" s="1947"/>
      <c r="CK24" s="1947"/>
      <c r="CL24" s="1947"/>
      <c r="CM24" s="1947"/>
      <c r="CN24" s="1947"/>
      <c r="CO24" s="1947"/>
      <c r="CP24" s="1947"/>
      <c r="CQ24" s="1947"/>
      <c r="CR24" s="1947"/>
      <c r="CS24" s="1947"/>
      <c r="CT24" s="1947"/>
      <c r="CU24" s="1947"/>
      <c r="CV24" s="1947"/>
      <c r="CW24" s="1947"/>
      <c r="CX24" s="1947"/>
      <c r="CY24" s="1947"/>
      <c r="CZ24" s="1947"/>
      <c r="DA24" s="1947"/>
      <c r="DB24" s="1947"/>
      <c r="DC24" s="1947"/>
      <c r="DD24" s="1947"/>
      <c r="DE24" s="1947"/>
      <c r="DF24" s="1947"/>
      <c r="DG24" s="1947"/>
      <c r="DH24" s="1947"/>
      <c r="DI24" s="1947"/>
      <c r="DJ24" s="1947"/>
      <c r="DK24" s="1947"/>
      <c r="DL24" s="1947"/>
      <c r="DM24" s="1947"/>
      <c r="DN24" s="1947"/>
      <c r="DO24" s="1947"/>
      <c r="DP24" s="1947"/>
      <c r="DQ24" s="1947"/>
      <c r="DR24" s="1947"/>
      <c r="DS24" s="1947"/>
      <c r="DT24" s="1947"/>
      <c r="DU24" s="1947"/>
      <c r="DV24" s="1947"/>
      <c r="DW24" s="1947"/>
      <c r="DX24" s="1947"/>
      <c r="DY24" s="1947"/>
      <c r="DZ24" s="1947"/>
      <c r="EA24" s="1947"/>
      <c r="EB24" s="1947"/>
      <c r="EC24" s="1947"/>
      <c r="ED24" s="1947"/>
      <c r="EE24" s="1947"/>
      <c r="EF24" s="1947"/>
      <c r="EG24" s="1947"/>
      <c r="EH24" s="1947"/>
      <c r="EI24" s="1947"/>
      <c r="EJ24" s="1947"/>
      <c r="EK24" s="1947"/>
      <c r="EL24" s="1947"/>
      <c r="EM24" s="1947"/>
      <c r="EN24" s="1947"/>
      <c r="EO24" s="1947"/>
      <c r="EP24" s="1947"/>
      <c r="EQ24" s="1947"/>
      <c r="ER24" s="1947"/>
      <c r="ES24" s="1947"/>
      <c r="ET24" s="1947"/>
      <c r="EU24" s="1947"/>
      <c r="EV24" s="1947"/>
      <c r="EW24" s="1947"/>
      <c r="EX24" s="1947"/>
      <c r="EY24" s="1947"/>
      <c r="EZ24" s="1947"/>
      <c r="FA24" s="1947"/>
      <c r="FB24" s="1947"/>
      <c r="FC24" s="1947"/>
      <c r="FD24" s="1947"/>
      <c r="FE24" s="1947"/>
      <c r="FF24" s="1947"/>
      <c r="FG24" s="1947"/>
      <c r="FH24" s="1947"/>
      <c r="FI24" s="1947"/>
      <c r="FJ24" s="1947"/>
      <c r="FK24" s="1947"/>
      <c r="FL24" s="1947"/>
      <c r="FM24" s="1947"/>
      <c r="FN24" s="1947"/>
      <c r="FO24" s="1947"/>
      <c r="FP24" s="1947"/>
      <c r="FQ24" s="1947"/>
      <c r="FR24" s="1947"/>
      <c r="FS24" s="1947"/>
      <c r="FT24" s="1947"/>
      <c r="FU24" s="1947"/>
      <c r="FV24" s="1947"/>
      <c r="FW24" s="1947"/>
      <c r="FX24" s="1947"/>
      <c r="FY24" s="1947"/>
      <c r="FZ24" s="1947"/>
      <c r="GA24" s="1947"/>
      <c r="GB24" s="1947"/>
      <c r="GC24" s="1947"/>
      <c r="GD24" s="1947"/>
      <c r="GE24" s="1947"/>
      <c r="GF24" s="1947"/>
      <c r="GG24" s="1947"/>
      <c r="GH24" s="1947"/>
      <c r="GI24" s="1947"/>
      <c r="GJ24" s="1947"/>
      <c r="GK24" s="1947"/>
      <c r="GL24" s="1947"/>
      <c r="GM24" s="1947"/>
      <c r="GN24" s="1947"/>
      <c r="GO24" s="1947"/>
      <c r="GP24" s="1947"/>
      <c r="GQ24" s="1947"/>
      <c r="GR24" s="1947"/>
      <c r="GS24" s="1947"/>
      <c r="GT24" s="1947"/>
      <c r="GU24" s="1947"/>
      <c r="GV24" s="1947"/>
      <c r="GW24" s="1947"/>
      <c r="GX24" s="1947"/>
      <c r="GY24" s="1947"/>
      <c r="GZ24" s="1947"/>
      <c r="HA24" s="1947"/>
      <c r="HB24" s="1947"/>
      <c r="HC24" s="1947"/>
      <c r="HD24" s="1947"/>
      <c r="HE24" s="1947"/>
      <c r="HF24" s="1947"/>
      <c r="HG24" s="1947"/>
      <c r="HH24" s="1947"/>
      <c r="HI24" s="1947"/>
      <c r="HJ24" s="1947"/>
      <c r="HK24" s="1947"/>
      <c r="HL24" s="1947"/>
      <c r="HM24" s="1947"/>
      <c r="HN24" s="1947"/>
      <c r="HO24" s="1947"/>
      <c r="HP24" s="1947"/>
      <c r="HQ24" s="1947"/>
      <c r="HR24" s="1947"/>
      <c r="HS24" s="1947"/>
      <c r="HT24" s="1947"/>
      <c r="HU24" s="1947"/>
      <c r="HV24" s="1947"/>
      <c r="HW24" s="1947"/>
      <c r="HX24" s="1947"/>
      <c r="HY24" s="1947"/>
      <c r="HZ24" s="1947"/>
      <c r="IA24" s="1947"/>
      <c r="IB24" s="1947"/>
      <c r="IC24" s="1947"/>
      <c r="ID24" s="1947"/>
      <c r="IE24" s="1947"/>
      <c r="IF24" s="1947"/>
      <c r="IG24" s="1947"/>
      <c r="IH24" s="1947"/>
      <c r="II24" s="1947"/>
      <c r="IJ24" s="1947"/>
      <c r="IK24" s="1947"/>
      <c r="IL24" s="1947"/>
      <c r="IM24" s="1947"/>
      <c r="IN24" s="1947"/>
      <c r="IO24" s="1947"/>
      <c r="IP24" s="1947"/>
      <c r="IQ24" s="1947"/>
    </row>
    <row r="25" spans="1:251" hidden="1">
      <c r="A25" s="1026"/>
      <c r="B25" s="1955"/>
      <c r="C25" s="1955"/>
      <c r="D25" s="2034"/>
      <c r="E25" s="1955"/>
      <c r="F25" s="1942">
        <f t="shared" si="15"/>
        <v>0</v>
      </c>
      <c r="G25" s="1026"/>
      <c r="H25" s="1942">
        <f>D25*F25*G25</f>
        <v>0</v>
      </c>
      <c r="I25" s="1026"/>
      <c r="J25" s="1942">
        <f t="shared" si="6"/>
        <v>0</v>
      </c>
      <c r="K25" s="1026"/>
      <c r="L25" s="1942">
        <f t="shared" si="7"/>
        <v>0</v>
      </c>
      <c r="M25" s="1942">
        <f t="shared" si="14"/>
        <v>0</v>
      </c>
      <c r="N25" s="1942">
        <f t="shared" si="8"/>
        <v>0</v>
      </c>
      <c r="O25" s="1026"/>
      <c r="P25" s="1026"/>
      <c r="Q25" s="1942">
        <f t="shared" si="9"/>
        <v>0</v>
      </c>
      <c r="R25" s="1942">
        <f t="shared" si="10"/>
        <v>0</v>
      </c>
      <c r="S25" s="1942">
        <f t="shared" si="11"/>
        <v>0</v>
      </c>
      <c r="T25" s="1942">
        <f t="shared" si="12"/>
        <v>0</v>
      </c>
      <c r="U25" s="1942">
        <f t="shared" si="13"/>
        <v>0</v>
      </c>
      <c r="V25" s="3034">
        <f t="shared" si="2"/>
        <v>0</v>
      </c>
      <c r="W25" s="1942"/>
      <c r="X25" s="1923">
        <v>0.01</v>
      </c>
      <c r="Y25" s="1947"/>
      <c r="Z25" s="1947"/>
      <c r="AA25" s="1947"/>
      <c r="AB25" s="1947"/>
      <c r="AC25" s="1947"/>
      <c r="AD25" s="1947"/>
      <c r="AE25" s="1947"/>
      <c r="AF25" s="1947"/>
      <c r="AG25" s="1947"/>
      <c r="AH25" s="1947"/>
      <c r="AI25" s="1947"/>
      <c r="AJ25" s="1947"/>
      <c r="AK25" s="1947"/>
      <c r="AL25" s="1947"/>
      <c r="AM25" s="1947"/>
      <c r="AN25" s="1947"/>
      <c r="AO25" s="1947"/>
      <c r="AP25" s="1947"/>
      <c r="AQ25" s="1947"/>
      <c r="AR25" s="1947"/>
      <c r="AS25" s="1947"/>
      <c r="AT25" s="1947"/>
      <c r="AU25" s="1947"/>
      <c r="AV25" s="1947"/>
      <c r="AW25" s="1947"/>
      <c r="AX25" s="1947"/>
      <c r="AY25" s="1947"/>
      <c r="AZ25" s="1947"/>
      <c r="BA25" s="1947"/>
      <c r="BB25" s="1947"/>
      <c r="BC25" s="1947"/>
      <c r="BD25" s="1947"/>
      <c r="BE25" s="1947"/>
      <c r="BF25" s="1947"/>
      <c r="BG25" s="1947"/>
      <c r="BH25" s="1947"/>
      <c r="BI25" s="1947"/>
      <c r="BJ25" s="1947"/>
      <c r="BK25" s="1947"/>
      <c r="BL25" s="1947"/>
      <c r="BM25" s="1947"/>
      <c r="BN25" s="1947"/>
      <c r="BO25" s="1947"/>
      <c r="BP25" s="1947"/>
      <c r="BQ25" s="1947"/>
      <c r="BR25" s="1947"/>
      <c r="BS25" s="1947"/>
      <c r="BT25" s="1947"/>
      <c r="BU25" s="1947"/>
      <c r="BV25" s="1947"/>
      <c r="BW25" s="1947"/>
      <c r="BX25" s="1947"/>
      <c r="BY25" s="1947"/>
      <c r="BZ25" s="1947"/>
      <c r="CA25" s="1947"/>
      <c r="CB25" s="1947"/>
      <c r="CC25" s="1947"/>
      <c r="CD25" s="1947"/>
      <c r="CE25" s="1947"/>
      <c r="CF25" s="1947"/>
      <c r="CG25" s="1947"/>
      <c r="CH25" s="1947"/>
      <c r="CI25" s="1947"/>
      <c r="CJ25" s="1947"/>
      <c r="CK25" s="1947"/>
      <c r="CL25" s="1947"/>
      <c r="CM25" s="1947"/>
      <c r="CN25" s="1947"/>
      <c r="CO25" s="1947"/>
      <c r="CP25" s="1947"/>
      <c r="CQ25" s="1947"/>
      <c r="CR25" s="1947"/>
      <c r="CS25" s="1947"/>
      <c r="CT25" s="1947"/>
      <c r="CU25" s="1947"/>
      <c r="CV25" s="1947"/>
      <c r="CW25" s="1947"/>
      <c r="CX25" s="1947"/>
      <c r="CY25" s="1947"/>
      <c r="CZ25" s="1947"/>
      <c r="DA25" s="1947"/>
      <c r="DB25" s="1947"/>
      <c r="DC25" s="1947"/>
      <c r="DD25" s="1947"/>
      <c r="DE25" s="1947"/>
      <c r="DF25" s="1947"/>
      <c r="DG25" s="1947"/>
      <c r="DH25" s="1947"/>
      <c r="DI25" s="1947"/>
      <c r="DJ25" s="1947"/>
      <c r="DK25" s="1947"/>
      <c r="DL25" s="1947"/>
      <c r="DM25" s="1947"/>
      <c r="DN25" s="1947"/>
      <c r="DO25" s="1947"/>
      <c r="DP25" s="1947"/>
      <c r="DQ25" s="1947"/>
      <c r="DR25" s="1947"/>
      <c r="DS25" s="1947"/>
      <c r="DT25" s="1947"/>
      <c r="DU25" s="1947"/>
      <c r="DV25" s="1947"/>
      <c r="DW25" s="1947"/>
      <c r="DX25" s="1947"/>
      <c r="DY25" s="1947"/>
      <c r="DZ25" s="1947"/>
      <c r="EA25" s="1947"/>
      <c r="EB25" s="1947"/>
      <c r="EC25" s="1947"/>
      <c r="ED25" s="1947"/>
      <c r="EE25" s="1947"/>
      <c r="EF25" s="1947"/>
      <c r="EG25" s="1947"/>
      <c r="EH25" s="1947"/>
      <c r="EI25" s="1947"/>
      <c r="EJ25" s="1947"/>
      <c r="EK25" s="1947"/>
      <c r="EL25" s="1947"/>
      <c r="EM25" s="1947"/>
      <c r="EN25" s="1947"/>
      <c r="EO25" s="1947"/>
      <c r="EP25" s="1947"/>
      <c r="EQ25" s="1947"/>
      <c r="ER25" s="1947"/>
      <c r="ES25" s="1947"/>
      <c r="ET25" s="1947"/>
      <c r="EU25" s="1947"/>
      <c r="EV25" s="1947"/>
      <c r="EW25" s="1947"/>
      <c r="EX25" s="1947"/>
      <c r="EY25" s="1947"/>
      <c r="EZ25" s="1947"/>
      <c r="FA25" s="1947"/>
      <c r="FB25" s="1947"/>
      <c r="FC25" s="1947"/>
      <c r="FD25" s="1947"/>
      <c r="FE25" s="1947"/>
      <c r="FF25" s="1947"/>
      <c r="FG25" s="1947"/>
      <c r="FH25" s="1947"/>
      <c r="FI25" s="1947"/>
      <c r="FJ25" s="1947"/>
      <c r="FK25" s="1947"/>
      <c r="FL25" s="1947"/>
      <c r="FM25" s="1947"/>
      <c r="FN25" s="1947"/>
      <c r="FO25" s="1947"/>
      <c r="FP25" s="1947"/>
      <c r="FQ25" s="1947"/>
      <c r="FR25" s="1947"/>
      <c r="FS25" s="1947"/>
      <c r="FT25" s="1947"/>
      <c r="FU25" s="1947"/>
      <c r="FV25" s="1947"/>
      <c r="FW25" s="1947"/>
      <c r="FX25" s="1947"/>
      <c r="FY25" s="1947"/>
      <c r="FZ25" s="1947"/>
      <c r="GA25" s="1947"/>
      <c r="GB25" s="1947"/>
      <c r="GC25" s="1947"/>
      <c r="GD25" s="1947"/>
      <c r="GE25" s="1947"/>
      <c r="GF25" s="1947"/>
      <c r="GG25" s="1947"/>
      <c r="GH25" s="1947"/>
      <c r="GI25" s="1947"/>
      <c r="GJ25" s="1947"/>
      <c r="GK25" s="1947"/>
      <c r="GL25" s="1947"/>
      <c r="GM25" s="1947"/>
      <c r="GN25" s="1947"/>
      <c r="GO25" s="1947"/>
      <c r="GP25" s="1947"/>
      <c r="GQ25" s="1947"/>
      <c r="GR25" s="1947"/>
      <c r="GS25" s="1947"/>
      <c r="GT25" s="1947"/>
      <c r="GU25" s="1947"/>
      <c r="GV25" s="1947"/>
      <c r="GW25" s="1947"/>
      <c r="GX25" s="1947"/>
      <c r="GY25" s="1947"/>
      <c r="GZ25" s="1947"/>
      <c r="HA25" s="1947"/>
      <c r="HB25" s="1947"/>
      <c r="HC25" s="1947"/>
      <c r="HD25" s="1947"/>
      <c r="HE25" s="1947"/>
      <c r="HF25" s="1947"/>
      <c r="HG25" s="1947"/>
      <c r="HH25" s="1947"/>
      <c r="HI25" s="1947"/>
      <c r="HJ25" s="1947"/>
      <c r="HK25" s="1947"/>
      <c r="HL25" s="1947"/>
      <c r="HM25" s="1947"/>
      <c r="HN25" s="1947"/>
      <c r="HO25" s="1947"/>
      <c r="HP25" s="1947"/>
      <c r="HQ25" s="1947"/>
      <c r="HR25" s="1947"/>
      <c r="HS25" s="1947"/>
      <c r="HT25" s="1947"/>
      <c r="HU25" s="1947"/>
      <c r="HV25" s="1947"/>
      <c r="HW25" s="1947"/>
      <c r="HX25" s="1947"/>
      <c r="HY25" s="1947"/>
      <c r="HZ25" s="1947"/>
      <c r="IA25" s="1947"/>
      <c r="IB25" s="1947"/>
      <c r="IC25" s="1947"/>
      <c r="ID25" s="1947"/>
      <c r="IE25" s="1947"/>
      <c r="IF25" s="1947"/>
      <c r="IG25" s="1947"/>
      <c r="IH25" s="1947"/>
      <c r="II25" s="1947"/>
      <c r="IJ25" s="1947"/>
      <c r="IK25" s="1947"/>
      <c r="IL25" s="1947"/>
      <c r="IM25" s="1947"/>
      <c r="IN25" s="1947"/>
      <c r="IO25" s="1947"/>
      <c r="IP25" s="1947"/>
      <c r="IQ25" s="1947"/>
    </row>
    <row r="26" spans="1:251" ht="12" hidden="1" customHeight="1">
      <c r="A26" s="1026"/>
      <c r="B26" s="1955"/>
      <c r="C26" s="1955"/>
      <c r="D26" s="2034"/>
      <c r="E26" s="1955"/>
      <c r="F26" s="1942">
        <f t="shared" si="15"/>
        <v>0</v>
      </c>
      <c r="G26" s="1026"/>
      <c r="H26" s="1942">
        <f t="shared" si="5"/>
        <v>0</v>
      </c>
      <c r="I26" s="1026"/>
      <c r="J26" s="1942">
        <f t="shared" si="6"/>
        <v>0</v>
      </c>
      <c r="K26" s="1026"/>
      <c r="L26" s="1942">
        <f t="shared" si="7"/>
        <v>0</v>
      </c>
      <c r="M26" s="1942">
        <f t="shared" si="14"/>
        <v>0</v>
      </c>
      <c r="N26" s="1942">
        <f t="shared" si="8"/>
        <v>0</v>
      </c>
      <c r="O26" s="1026"/>
      <c r="P26" s="1026"/>
      <c r="Q26" s="1942">
        <f t="shared" si="9"/>
        <v>0</v>
      </c>
      <c r="R26" s="1942">
        <f t="shared" si="10"/>
        <v>0</v>
      </c>
      <c r="S26" s="1942">
        <f t="shared" si="11"/>
        <v>0</v>
      </c>
      <c r="T26" s="1942">
        <f t="shared" si="12"/>
        <v>0</v>
      </c>
      <c r="U26" s="1942">
        <f t="shared" si="13"/>
        <v>0</v>
      </c>
      <c r="V26" s="3034">
        <f t="shared" si="2"/>
        <v>0</v>
      </c>
      <c r="W26" s="1942"/>
      <c r="X26" s="1923">
        <v>0.01</v>
      </c>
      <c r="Y26" s="1947"/>
      <c r="Z26" s="1947"/>
      <c r="AA26" s="1947"/>
      <c r="AB26" s="1947"/>
      <c r="AC26" s="1947"/>
      <c r="AD26" s="1947"/>
      <c r="AE26" s="1947"/>
      <c r="AF26" s="1947"/>
      <c r="AG26" s="1947"/>
      <c r="AH26" s="1947"/>
      <c r="AI26" s="1947"/>
      <c r="AJ26" s="1947"/>
      <c r="AK26" s="1947"/>
      <c r="AL26" s="1947"/>
      <c r="AM26" s="1947"/>
      <c r="AN26" s="1947"/>
      <c r="AO26" s="1947"/>
      <c r="AP26" s="1947"/>
      <c r="AQ26" s="1947"/>
      <c r="AR26" s="1947"/>
      <c r="AS26" s="1947"/>
      <c r="AT26" s="1947"/>
      <c r="AU26" s="1947"/>
      <c r="AV26" s="1947"/>
      <c r="AW26" s="1947"/>
      <c r="AX26" s="1947"/>
      <c r="AY26" s="1947"/>
      <c r="AZ26" s="1947"/>
      <c r="BA26" s="1947"/>
      <c r="BB26" s="1947"/>
      <c r="BC26" s="1947"/>
      <c r="BD26" s="1947"/>
      <c r="BE26" s="1947"/>
      <c r="BF26" s="1947"/>
      <c r="BG26" s="1947"/>
      <c r="BH26" s="1947"/>
      <c r="BI26" s="1947"/>
      <c r="BJ26" s="1947"/>
      <c r="BK26" s="1947"/>
      <c r="BL26" s="1947"/>
      <c r="BM26" s="1947"/>
      <c r="BN26" s="1947"/>
      <c r="BO26" s="1947"/>
      <c r="BP26" s="1947"/>
      <c r="BQ26" s="1947"/>
      <c r="BR26" s="1947"/>
      <c r="BS26" s="1947"/>
      <c r="BT26" s="1947"/>
      <c r="BU26" s="1947"/>
      <c r="BV26" s="1947"/>
      <c r="BW26" s="1947"/>
      <c r="BX26" s="1947"/>
      <c r="BY26" s="1947"/>
      <c r="BZ26" s="1947"/>
      <c r="CA26" s="1947"/>
      <c r="CB26" s="1947"/>
      <c r="CC26" s="1947"/>
      <c r="CD26" s="1947"/>
      <c r="CE26" s="1947"/>
      <c r="CF26" s="1947"/>
      <c r="CG26" s="1947"/>
      <c r="CH26" s="1947"/>
      <c r="CI26" s="1947"/>
      <c r="CJ26" s="1947"/>
      <c r="CK26" s="1947"/>
      <c r="CL26" s="1947"/>
      <c r="CM26" s="1947"/>
      <c r="CN26" s="1947"/>
      <c r="CO26" s="1947"/>
      <c r="CP26" s="1947"/>
      <c r="CQ26" s="1947"/>
      <c r="CR26" s="1947"/>
      <c r="CS26" s="1947"/>
      <c r="CT26" s="1947"/>
      <c r="CU26" s="1947"/>
      <c r="CV26" s="1947"/>
      <c r="CW26" s="1947"/>
      <c r="CX26" s="1947"/>
      <c r="CY26" s="1947"/>
      <c r="CZ26" s="1947"/>
      <c r="DA26" s="1947"/>
      <c r="DB26" s="1947"/>
      <c r="DC26" s="1947"/>
      <c r="DD26" s="1947"/>
      <c r="DE26" s="1947"/>
      <c r="DF26" s="1947"/>
      <c r="DG26" s="1947"/>
      <c r="DH26" s="1947"/>
      <c r="DI26" s="1947"/>
      <c r="DJ26" s="1947"/>
      <c r="DK26" s="1947"/>
      <c r="DL26" s="1947"/>
      <c r="DM26" s="1947"/>
      <c r="DN26" s="1947"/>
      <c r="DO26" s="1947"/>
      <c r="DP26" s="1947"/>
      <c r="DQ26" s="1947"/>
      <c r="DR26" s="1947"/>
      <c r="DS26" s="1947"/>
      <c r="DT26" s="1947"/>
      <c r="DU26" s="1947"/>
      <c r="DV26" s="1947"/>
      <c r="DW26" s="1947"/>
      <c r="DX26" s="1947"/>
      <c r="DY26" s="1947"/>
      <c r="DZ26" s="1947"/>
      <c r="EA26" s="1947"/>
      <c r="EB26" s="1947"/>
      <c r="EC26" s="1947"/>
      <c r="ED26" s="1947"/>
      <c r="EE26" s="1947"/>
      <c r="EF26" s="1947"/>
      <c r="EG26" s="1947"/>
      <c r="EH26" s="1947"/>
      <c r="EI26" s="1947"/>
      <c r="EJ26" s="1947"/>
      <c r="EK26" s="1947"/>
      <c r="EL26" s="1947"/>
      <c r="EM26" s="1947"/>
      <c r="EN26" s="1947"/>
      <c r="EO26" s="1947"/>
      <c r="EP26" s="1947"/>
      <c r="EQ26" s="1947"/>
      <c r="ER26" s="1947"/>
      <c r="ES26" s="1947"/>
      <c r="ET26" s="1947"/>
      <c r="EU26" s="1947"/>
      <c r="EV26" s="1947"/>
      <c r="EW26" s="1947"/>
      <c r="EX26" s="1947"/>
      <c r="EY26" s="1947"/>
      <c r="EZ26" s="1947"/>
      <c r="FA26" s="1947"/>
      <c r="FB26" s="1947"/>
      <c r="FC26" s="1947"/>
      <c r="FD26" s="1947"/>
      <c r="FE26" s="1947"/>
      <c r="FF26" s="1947"/>
      <c r="FG26" s="1947"/>
      <c r="FH26" s="1947"/>
      <c r="FI26" s="1947"/>
      <c r="FJ26" s="1947"/>
      <c r="FK26" s="1947"/>
      <c r="FL26" s="1947"/>
      <c r="FM26" s="1947"/>
      <c r="FN26" s="1947"/>
      <c r="FO26" s="1947"/>
      <c r="FP26" s="1947"/>
      <c r="FQ26" s="1947"/>
      <c r="FR26" s="1947"/>
      <c r="FS26" s="1947"/>
      <c r="FT26" s="1947"/>
      <c r="FU26" s="1947"/>
      <c r="FV26" s="1947"/>
      <c r="FW26" s="1947"/>
      <c r="FX26" s="1947"/>
      <c r="FY26" s="1947"/>
      <c r="FZ26" s="1947"/>
      <c r="GA26" s="1947"/>
      <c r="GB26" s="1947"/>
      <c r="GC26" s="1947"/>
      <c r="GD26" s="1947"/>
      <c r="GE26" s="1947"/>
      <c r="GF26" s="1947"/>
      <c r="GG26" s="1947"/>
      <c r="GH26" s="1947"/>
      <c r="GI26" s="1947"/>
      <c r="GJ26" s="1947"/>
      <c r="GK26" s="1947"/>
      <c r="GL26" s="1947"/>
      <c r="GM26" s="1947"/>
      <c r="GN26" s="1947"/>
      <c r="GO26" s="1947"/>
      <c r="GP26" s="1947"/>
      <c r="GQ26" s="1947"/>
      <c r="GR26" s="1947"/>
      <c r="GS26" s="1947"/>
      <c r="GT26" s="1947"/>
      <c r="GU26" s="1947"/>
      <c r="GV26" s="1947"/>
      <c r="GW26" s="1947"/>
      <c r="GX26" s="1947"/>
      <c r="GY26" s="1947"/>
      <c r="GZ26" s="1947"/>
      <c r="HA26" s="1947"/>
      <c r="HB26" s="1947"/>
      <c r="HC26" s="1947"/>
      <c r="HD26" s="1947"/>
      <c r="HE26" s="1947"/>
      <c r="HF26" s="1947"/>
      <c r="HG26" s="1947"/>
      <c r="HH26" s="1947"/>
      <c r="HI26" s="1947"/>
      <c r="HJ26" s="1947"/>
      <c r="HK26" s="1947"/>
      <c r="HL26" s="1947"/>
      <c r="HM26" s="1947"/>
      <c r="HN26" s="1947"/>
      <c r="HO26" s="1947"/>
      <c r="HP26" s="1947"/>
      <c r="HQ26" s="1947"/>
      <c r="HR26" s="1947"/>
      <c r="HS26" s="1947"/>
      <c r="HT26" s="1947"/>
      <c r="HU26" s="1947"/>
      <c r="HV26" s="1947"/>
      <c r="HW26" s="1947"/>
      <c r="HX26" s="1947"/>
      <c r="HY26" s="1947"/>
      <c r="HZ26" s="1947"/>
      <c r="IA26" s="1947"/>
      <c r="IB26" s="1947"/>
      <c r="IC26" s="1947"/>
      <c r="ID26" s="1947"/>
      <c r="IE26" s="1947"/>
      <c r="IF26" s="1947"/>
      <c r="IG26" s="1947"/>
      <c r="IH26" s="1947"/>
      <c r="II26" s="1947"/>
      <c r="IJ26" s="1947"/>
      <c r="IK26" s="1947"/>
      <c r="IL26" s="1947"/>
      <c r="IM26" s="1947"/>
      <c r="IN26" s="1947"/>
      <c r="IO26" s="1947"/>
      <c r="IP26" s="1947"/>
      <c r="IQ26" s="1947"/>
    </row>
    <row r="27" spans="1:251" hidden="1">
      <c r="A27" s="1026"/>
      <c r="B27" s="1955"/>
      <c r="C27" s="1955"/>
      <c r="D27" s="2034"/>
      <c r="E27" s="1955"/>
      <c r="F27" s="1942">
        <f t="shared" si="15"/>
        <v>0</v>
      </c>
      <c r="G27" s="1026"/>
      <c r="H27" s="1942">
        <f t="shared" si="5"/>
        <v>0</v>
      </c>
      <c r="I27" s="1026"/>
      <c r="J27" s="1942">
        <f t="shared" si="6"/>
        <v>0</v>
      </c>
      <c r="K27" s="1026"/>
      <c r="L27" s="1942">
        <f t="shared" si="7"/>
        <v>0</v>
      </c>
      <c r="M27" s="1942">
        <f t="shared" si="14"/>
        <v>0</v>
      </c>
      <c r="N27" s="1942">
        <f t="shared" si="8"/>
        <v>0</v>
      </c>
      <c r="O27" s="1026"/>
      <c r="P27" s="1026"/>
      <c r="Q27" s="1942">
        <f t="shared" si="9"/>
        <v>0</v>
      </c>
      <c r="R27" s="1942">
        <f t="shared" si="10"/>
        <v>0</v>
      </c>
      <c r="S27" s="1942">
        <f t="shared" si="11"/>
        <v>0</v>
      </c>
      <c r="T27" s="1942">
        <f t="shared" si="12"/>
        <v>0</v>
      </c>
      <c r="U27" s="1942">
        <f t="shared" si="13"/>
        <v>0</v>
      </c>
      <c r="V27" s="3034">
        <f t="shared" si="2"/>
        <v>0</v>
      </c>
      <c r="W27" s="1942"/>
      <c r="X27" s="1923">
        <v>0.01</v>
      </c>
      <c r="Y27" s="1947"/>
      <c r="Z27" s="1947"/>
      <c r="AA27" s="1947"/>
      <c r="AB27" s="1947"/>
      <c r="AC27" s="1947"/>
      <c r="AD27" s="1947"/>
      <c r="AE27" s="1947"/>
      <c r="AF27" s="1947"/>
      <c r="AG27" s="1947"/>
      <c r="AH27" s="1947"/>
      <c r="AI27" s="1947"/>
      <c r="AJ27" s="1947"/>
      <c r="AK27" s="1947"/>
      <c r="AL27" s="1947"/>
      <c r="AM27" s="1947"/>
      <c r="AN27" s="1947"/>
      <c r="AO27" s="1947"/>
      <c r="AP27" s="1947"/>
      <c r="AQ27" s="1947"/>
      <c r="AR27" s="1947"/>
      <c r="AS27" s="1947"/>
      <c r="AT27" s="1947"/>
      <c r="AU27" s="1947"/>
      <c r="AV27" s="1947"/>
      <c r="AW27" s="1947"/>
      <c r="AX27" s="1947"/>
      <c r="AY27" s="1947"/>
      <c r="AZ27" s="1947"/>
      <c r="BA27" s="1947"/>
      <c r="BB27" s="1947"/>
      <c r="BC27" s="1947"/>
      <c r="BD27" s="1947"/>
      <c r="BE27" s="1947"/>
      <c r="BF27" s="1947"/>
      <c r="BG27" s="1947"/>
      <c r="BH27" s="1947"/>
      <c r="BI27" s="1947"/>
      <c r="BJ27" s="1947"/>
      <c r="BK27" s="1947"/>
      <c r="BL27" s="1947"/>
      <c r="BM27" s="1947"/>
      <c r="BN27" s="1947"/>
      <c r="BO27" s="1947"/>
      <c r="BP27" s="1947"/>
      <c r="BQ27" s="1947"/>
      <c r="BR27" s="1947"/>
      <c r="BS27" s="1947"/>
      <c r="BT27" s="1947"/>
      <c r="BU27" s="1947"/>
      <c r="BV27" s="1947"/>
      <c r="BW27" s="1947"/>
      <c r="BX27" s="1947"/>
      <c r="BY27" s="1947"/>
      <c r="BZ27" s="1947"/>
      <c r="CA27" s="1947"/>
      <c r="CB27" s="1947"/>
      <c r="CC27" s="1947"/>
      <c r="CD27" s="1947"/>
      <c r="CE27" s="1947"/>
      <c r="CF27" s="1947"/>
      <c r="CG27" s="1947"/>
      <c r="CH27" s="1947"/>
      <c r="CI27" s="1947"/>
      <c r="CJ27" s="1947"/>
      <c r="CK27" s="1947"/>
      <c r="CL27" s="1947"/>
      <c r="CM27" s="1947"/>
      <c r="CN27" s="1947"/>
      <c r="CO27" s="1947"/>
      <c r="CP27" s="1947"/>
      <c r="CQ27" s="1947"/>
      <c r="CR27" s="1947"/>
      <c r="CS27" s="1947"/>
      <c r="CT27" s="1947"/>
      <c r="CU27" s="1947"/>
      <c r="CV27" s="1947"/>
      <c r="CW27" s="1947"/>
      <c r="CX27" s="1947"/>
      <c r="CY27" s="1947"/>
      <c r="CZ27" s="1947"/>
      <c r="DA27" s="1947"/>
      <c r="DB27" s="1947"/>
      <c r="DC27" s="1947"/>
      <c r="DD27" s="1947"/>
      <c r="DE27" s="1947"/>
      <c r="DF27" s="1947"/>
      <c r="DG27" s="1947"/>
      <c r="DH27" s="1947"/>
      <c r="DI27" s="1947"/>
      <c r="DJ27" s="1947"/>
      <c r="DK27" s="1947"/>
      <c r="DL27" s="1947"/>
      <c r="DM27" s="1947"/>
      <c r="DN27" s="1947"/>
      <c r="DO27" s="1947"/>
      <c r="DP27" s="1947"/>
      <c r="DQ27" s="1947"/>
      <c r="DR27" s="1947"/>
      <c r="DS27" s="1947"/>
      <c r="DT27" s="1947"/>
      <c r="DU27" s="1947"/>
      <c r="DV27" s="1947"/>
      <c r="DW27" s="1947"/>
      <c r="DX27" s="1947"/>
      <c r="DY27" s="1947"/>
      <c r="DZ27" s="1947"/>
      <c r="EA27" s="1947"/>
      <c r="EB27" s="1947"/>
      <c r="EC27" s="1947"/>
      <c r="ED27" s="1947"/>
      <c r="EE27" s="1947"/>
      <c r="EF27" s="1947"/>
      <c r="EG27" s="1947"/>
      <c r="EH27" s="1947"/>
      <c r="EI27" s="1947"/>
      <c r="EJ27" s="1947"/>
      <c r="EK27" s="1947"/>
      <c r="EL27" s="1947"/>
      <c r="EM27" s="1947"/>
      <c r="EN27" s="1947"/>
      <c r="EO27" s="1947"/>
      <c r="EP27" s="1947"/>
      <c r="EQ27" s="1947"/>
      <c r="ER27" s="1947"/>
      <c r="ES27" s="1947"/>
      <c r="ET27" s="1947"/>
      <c r="EU27" s="1947"/>
      <c r="EV27" s="1947"/>
      <c r="EW27" s="1947"/>
      <c r="EX27" s="1947"/>
      <c r="EY27" s="1947"/>
      <c r="EZ27" s="1947"/>
      <c r="FA27" s="1947"/>
      <c r="FB27" s="1947"/>
      <c r="FC27" s="1947"/>
      <c r="FD27" s="1947"/>
      <c r="FE27" s="1947"/>
      <c r="FF27" s="1947"/>
      <c r="FG27" s="1947"/>
      <c r="FH27" s="1947"/>
      <c r="FI27" s="1947"/>
      <c r="FJ27" s="1947"/>
      <c r="FK27" s="1947"/>
      <c r="FL27" s="1947"/>
      <c r="FM27" s="1947"/>
      <c r="FN27" s="1947"/>
      <c r="FO27" s="1947"/>
      <c r="FP27" s="1947"/>
      <c r="FQ27" s="1947"/>
      <c r="FR27" s="1947"/>
      <c r="FS27" s="1947"/>
      <c r="FT27" s="1947"/>
      <c r="FU27" s="1947"/>
      <c r="FV27" s="1947"/>
      <c r="FW27" s="1947"/>
      <c r="FX27" s="1947"/>
      <c r="FY27" s="1947"/>
      <c r="FZ27" s="1947"/>
      <c r="GA27" s="1947"/>
      <c r="GB27" s="1947"/>
      <c r="GC27" s="1947"/>
      <c r="GD27" s="1947"/>
      <c r="GE27" s="1947"/>
      <c r="GF27" s="1947"/>
      <c r="GG27" s="1947"/>
      <c r="GH27" s="1947"/>
      <c r="GI27" s="1947"/>
      <c r="GJ27" s="1947"/>
      <c r="GK27" s="1947"/>
      <c r="GL27" s="1947"/>
      <c r="GM27" s="1947"/>
      <c r="GN27" s="1947"/>
      <c r="GO27" s="1947"/>
      <c r="GP27" s="1947"/>
      <c r="GQ27" s="1947"/>
      <c r="GR27" s="1947"/>
      <c r="GS27" s="1947"/>
      <c r="GT27" s="1947"/>
      <c r="GU27" s="1947"/>
      <c r="GV27" s="1947"/>
      <c r="GW27" s="1947"/>
      <c r="GX27" s="1947"/>
      <c r="GY27" s="1947"/>
      <c r="GZ27" s="1947"/>
      <c r="HA27" s="1947"/>
      <c r="HB27" s="1947"/>
      <c r="HC27" s="1947"/>
      <c r="HD27" s="1947"/>
      <c r="HE27" s="1947"/>
      <c r="HF27" s="1947"/>
      <c r="HG27" s="1947"/>
      <c r="HH27" s="1947"/>
      <c r="HI27" s="1947"/>
      <c r="HJ27" s="1947"/>
      <c r="HK27" s="1947"/>
      <c r="HL27" s="1947"/>
      <c r="HM27" s="1947"/>
      <c r="HN27" s="1947"/>
      <c r="HO27" s="1947"/>
      <c r="HP27" s="1947"/>
      <c r="HQ27" s="1947"/>
      <c r="HR27" s="1947"/>
      <c r="HS27" s="1947"/>
      <c r="HT27" s="1947"/>
      <c r="HU27" s="1947"/>
      <c r="HV27" s="1947"/>
      <c r="HW27" s="1947"/>
      <c r="HX27" s="1947"/>
      <c r="HY27" s="1947"/>
      <c r="HZ27" s="1947"/>
      <c r="IA27" s="1947"/>
      <c r="IB27" s="1947"/>
      <c r="IC27" s="1947"/>
      <c r="ID27" s="1947"/>
      <c r="IE27" s="1947"/>
      <c r="IF27" s="1947"/>
      <c r="IG27" s="1947"/>
      <c r="IH27" s="1947"/>
      <c r="II27" s="1947"/>
      <c r="IJ27" s="1947"/>
      <c r="IK27" s="1947"/>
      <c r="IL27" s="1947"/>
      <c r="IM27" s="1947"/>
      <c r="IN27" s="1947"/>
      <c r="IO27" s="1947"/>
      <c r="IP27" s="1947"/>
      <c r="IQ27" s="1947"/>
    </row>
    <row r="28" spans="1:251" hidden="1">
      <c r="A28" s="1026"/>
      <c r="B28" s="1955"/>
      <c r="C28" s="1955"/>
      <c r="D28" s="2034"/>
      <c r="E28" s="1955"/>
      <c r="F28" s="1942">
        <f t="shared" si="15"/>
        <v>0</v>
      </c>
      <c r="G28" s="1026"/>
      <c r="H28" s="1942">
        <f t="shared" si="5"/>
        <v>0</v>
      </c>
      <c r="I28" s="1026"/>
      <c r="J28" s="1942">
        <f t="shared" si="6"/>
        <v>0</v>
      </c>
      <c r="K28" s="1026"/>
      <c r="L28" s="1942">
        <f t="shared" si="7"/>
        <v>0</v>
      </c>
      <c r="M28" s="1942">
        <f t="shared" si="14"/>
        <v>0</v>
      </c>
      <c r="N28" s="1942">
        <f t="shared" si="8"/>
        <v>0</v>
      </c>
      <c r="O28" s="1026"/>
      <c r="P28" s="1026"/>
      <c r="Q28" s="1942">
        <f t="shared" si="9"/>
        <v>0</v>
      </c>
      <c r="R28" s="1942">
        <f t="shared" si="10"/>
        <v>0</v>
      </c>
      <c r="S28" s="1942">
        <f t="shared" si="11"/>
        <v>0</v>
      </c>
      <c r="T28" s="1942">
        <f t="shared" si="12"/>
        <v>0</v>
      </c>
      <c r="U28" s="1942">
        <f t="shared" si="13"/>
        <v>0</v>
      </c>
      <c r="V28" s="3034">
        <f t="shared" si="2"/>
        <v>0</v>
      </c>
      <c r="W28" s="1942"/>
      <c r="X28" s="1923">
        <v>0.01</v>
      </c>
      <c r="Y28" s="1947"/>
      <c r="Z28" s="1947"/>
      <c r="AA28" s="1947"/>
      <c r="AB28" s="1947"/>
      <c r="AC28" s="1947"/>
      <c r="AD28" s="1947"/>
      <c r="AE28" s="1947"/>
      <c r="AF28" s="1947"/>
      <c r="AG28" s="1947"/>
      <c r="AH28" s="1947"/>
      <c r="AI28" s="1947"/>
      <c r="AJ28" s="1947"/>
      <c r="AK28" s="1947"/>
      <c r="AL28" s="1947"/>
      <c r="AM28" s="1947"/>
      <c r="AN28" s="1947"/>
      <c r="AO28" s="1947"/>
      <c r="AP28" s="1947"/>
      <c r="AQ28" s="1947"/>
      <c r="AR28" s="1947"/>
      <c r="AS28" s="1947"/>
      <c r="AT28" s="1947"/>
      <c r="AU28" s="1947"/>
      <c r="AV28" s="1947"/>
      <c r="AW28" s="1947"/>
      <c r="AX28" s="1947"/>
      <c r="AY28" s="1947"/>
      <c r="AZ28" s="1947"/>
      <c r="BA28" s="1947"/>
      <c r="BB28" s="1947"/>
      <c r="BC28" s="1947"/>
      <c r="BD28" s="1947"/>
      <c r="BE28" s="1947"/>
      <c r="BF28" s="1947"/>
      <c r="BG28" s="1947"/>
      <c r="BH28" s="1947"/>
      <c r="BI28" s="1947"/>
      <c r="BJ28" s="1947"/>
      <c r="BK28" s="1947"/>
      <c r="BL28" s="1947"/>
      <c r="BM28" s="1947"/>
      <c r="BN28" s="1947"/>
      <c r="BO28" s="1947"/>
      <c r="BP28" s="1947"/>
      <c r="BQ28" s="1947"/>
      <c r="BR28" s="1947"/>
      <c r="BS28" s="1947"/>
      <c r="BT28" s="1947"/>
      <c r="BU28" s="1947"/>
      <c r="BV28" s="1947"/>
      <c r="BW28" s="1947"/>
      <c r="BX28" s="1947"/>
      <c r="BY28" s="1947"/>
      <c r="BZ28" s="1947"/>
      <c r="CA28" s="1947"/>
      <c r="CB28" s="1947"/>
      <c r="CC28" s="1947"/>
      <c r="CD28" s="1947"/>
      <c r="CE28" s="1947"/>
      <c r="CF28" s="1947"/>
      <c r="CG28" s="1947"/>
      <c r="CH28" s="1947"/>
      <c r="CI28" s="1947"/>
      <c r="CJ28" s="1947"/>
      <c r="CK28" s="1947"/>
      <c r="CL28" s="1947"/>
      <c r="CM28" s="1947"/>
      <c r="CN28" s="1947"/>
      <c r="CO28" s="1947"/>
      <c r="CP28" s="1947"/>
      <c r="CQ28" s="1947"/>
      <c r="CR28" s="1947"/>
      <c r="CS28" s="1947"/>
      <c r="CT28" s="1947"/>
      <c r="CU28" s="1947"/>
      <c r="CV28" s="1947"/>
      <c r="CW28" s="1947"/>
      <c r="CX28" s="1947"/>
      <c r="CY28" s="1947"/>
      <c r="CZ28" s="1947"/>
      <c r="DA28" s="1947"/>
      <c r="DB28" s="1947"/>
      <c r="DC28" s="1947"/>
      <c r="DD28" s="1947"/>
      <c r="DE28" s="1947"/>
      <c r="DF28" s="1947"/>
      <c r="DG28" s="1947"/>
      <c r="DH28" s="1947"/>
      <c r="DI28" s="1947"/>
      <c r="DJ28" s="1947"/>
      <c r="DK28" s="1947"/>
      <c r="DL28" s="1947"/>
      <c r="DM28" s="1947"/>
      <c r="DN28" s="1947"/>
      <c r="DO28" s="1947"/>
      <c r="DP28" s="1947"/>
      <c r="DQ28" s="1947"/>
      <c r="DR28" s="1947"/>
      <c r="DS28" s="1947"/>
      <c r="DT28" s="1947"/>
      <c r="DU28" s="1947"/>
      <c r="DV28" s="1947"/>
      <c r="DW28" s="1947"/>
      <c r="DX28" s="1947"/>
      <c r="DY28" s="1947"/>
      <c r="DZ28" s="1947"/>
      <c r="EA28" s="1947"/>
      <c r="EB28" s="1947"/>
      <c r="EC28" s="1947"/>
      <c r="ED28" s="1947"/>
      <c r="EE28" s="1947"/>
      <c r="EF28" s="1947"/>
      <c r="EG28" s="1947"/>
      <c r="EH28" s="1947"/>
      <c r="EI28" s="1947"/>
      <c r="EJ28" s="1947"/>
      <c r="EK28" s="1947"/>
      <c r="EL28" s="1947"/>
      <c r="EM28" s="1947"/>
      <c r="EN28" s="1947"/>
      <c r="EO28" s="1947"/>
      <c r="EP28" s="1947"/>
      <c r="EQ28" s="1947"/>
      <c r="ER28" s="1947"/>
      <c r="ES28" s="1947"/>
      <c r="ET28" s="1947"/>
      <c r="EU28" s="1947"/>
      <c r="EV28" s="1947"/>
      <c r="EW28" s="1947"/>
      <c r="EX28" s="1947"/>
      <c r="EY28" s="1947"/>
      <c r="EZ28" s="1947"/>
      <c r="FA28" s="1947"/>
      <c r="FB28" s="1947"/>
      <c r="FC28" s="1947"/>
      <c r="FD28" s="1947"/>
      <c r="FE28" s="1947"/>
      <c r="FF28" s="1947"/>
      <c r="FG28" s="1947"/>
      <c r="FH28" s="1947"/>
      <c r="FI28" s="1947"/>
      <c r="FJ28" s="1947"/>
      <c r="FK28" s="1947"/>
      <c r="FL28" s="1947"/>
      <c r="FM28" s="1947"/>
      <c r="FN28" s="1947"/>
      <c r="FO28" s="1947"/>
      <c r="FP28" s="1947"/>
      <c r="FQ28" s="1947"/>
      <c r="FR28" s="1947"/>
      <c r="FS28" s="1947"/>
      <c r="FT28" s="1947"/>
      <c r="FU28" s="1947"/>
      <c r="FV28" s="1947"/>
      <c r="FW28" s="1947"/>
      <c r="FX28" s="1947"/>
      <c r="FY28" s="1947"/>
      <c r="FZ28" s="1947"/>
      <c r="GA28" s="1947"/>
      <c r="GB28" s="1947"/>
      <c r="GC28" s="1947"/>
      <c r="GD28" s="1947"/>
      <c r="GE28" s="1947"/>
      <c r="GF28" s="1947"/>
      <c r="GG28" s="1947"/>
      <c r="GH28" s="1947"/>
      <c r="GI28" s="1947"/>
      <c r="GJ28" s="1947"/>
      <c r="GK28" s="1947"/>
      <c r="GL28" s="1947"/>
      <c r="GM28" s="1947"/>
      <c r="GN28" s="1947"/>
      <c r="GO28" s="1947"/>
      <c r="GP28" s="1947"/>
      <c r="GQ28" s="1947"/>
      <c r="GR28" s="1947"/>
      <c r="GS28" s="1947"/>
      <c r="GT28" s="1947"/>
      <c r="GU28" s="1947"/>
      <c r="GV28" s="1947"/>
      <c r="GW28" s="1947"/>
      <c r="GX28" s="1947"/>
      <c r="GY28" s="1947"/>
      <c r="GZ28" s="1947"/>
      <c r="HA28" s="1947"/>
      <c r="HB28" s="1947"/>
      <c r="HC28" s="1947"/>
      <c r="HD28" s="1947"/>
      <c r="HE28" s="1947"/>
      <c r="HF28" s="1947"/>
      <c r="HG28" s="1947"/>
      <c r="HH28" s="1947"/>
      <c r="HI28" s="1947"/>
      <c r="HJ28" s="1947"/>
      <c r="HK28" s="1947"/>
      <c r="HL28" s="1947"/>
      <c r="HM28" s="1947"/>
      <c r="HN28" s="1947"/>
      <c r="HO28" s="1947"/>
      <c r="HP28" s="1947"/>
      <c r="HQ28" s="1947"/>
      <c r="HR28" s="1947"/>
      <c r="HS28" s="1947"/>
      <c r="HT28" s="1947"/>
      <c r="HU28" s="1947"/>
      <c r="HV28" s="1947"/>
      <c r="HW28" s="1947"/>
      <c r="HX28" s="1947"/>
      <c r="HY28" s="1947"/>
      <c r="HZ28" s="1947"/>
      <c r="IA28" s="1947"/>
      <c r="IB28" s="1947"/>
      <c r="IC28" s="1947"/>
      <c r="ID28" s="1947"/>
      <c r="IE28" s="1947"/>
      <c r="IF28" s="1947"/>
      <c r="IG28" s="1947"/>
      <c r="IH28" s="1947"/>
      <c r="II28" s="1947"/>
      <c r="IJ28" s="1947"/>
      <c r="IK28" s="1947"/>
      <c r="IL28" s="1947"/>
      <c r="IM28" s="1947"/>
      <c r="IN28" s="1947"/>
      <c r="IO28" s="1947"/>
      <c r="IP28" s="1947"/>
      <c r="IQ28" s="1947"/>
    </row>
    <row r="29" spans="1:251" hidden="1">
      <c r="A29" s="1026"/>
      <c r="B29" s="1955"/>
      <c r="C29" s="1955"/>
      <c r="D29" s="2034"/>
      <c r="E29" s="1955"/>
      <c r="F29" s="1942">
        <f t="shared" si="15"/>
        <v>0</v>
      </c>
      <c r="G29" s="1026"/>
      <c r="H29" s="1942">
        <f t="shared" si="5"/>
        <v>0</v>
      </c>
      <c r="I29" s="1026"/>
      <c r="J29" s="1942">
        <f t="shared" si="6"/>
        <v>0</v>
      </c>
      <c r="K29" s="1026"/>
      <c r="L29" s="1942">
        <f t="shared" si="7"/>
        <v>0</v>
      </c>
      <c r="M29" s="1942">
        <f t="shared" si="14"/>
        <v>0</v>
      </c>
      <c r="N29" s="1942">
        <f t="shared" si="8"/>
        <v>0</v>
      </c>
      <c r="O29" s="1026"/>
      <c r="P29" s="1026"/>
      <c r="Q29" s="1942">
        <f t="shared" si="9"/>
        <v>0</v>
      </c>
      <c r="R29" s="1942">
        <f t="shared" si="10"/>
        <v>0</v>
      </c>
      <c r="S29" s="1942">
        <f t="shared" si="11"/>
        <v>0</v>
      </c>
      <c r="T29" s="1942">
        <f t="shared" si="12"/>
        <v>0</v>
      </c>
      <c r="U29" s="1942">
        <f t="shared" si="13"/>
        <v>0</v>
      </c>
      <c r="V29" s="3034">
        <f t="shared" si="2"/>
        <v>0</v>
      </c>
      <c r="W29" s="1942"/>
      <c r="X29" s="1923">
        <v>0.01</v>
      </c>
      <c r="Y29" s="1947"/>
      <c r="Z29" s="1947"/>
      <c r="AA29" s="1947"/>
      <c r="AB29" s="1947"/>
      <c r="AC29" s="1947"/>
      <c r="AD29" s="1947"/>
      <c r="AE29" s="1947"/>
      <c r="AF29" s="1947"/>
      <c r="AG29" s="1947"/>
      <c r="AH29" s="1947"/>
      <c r="AI29" s="1947"/>
      <c r="AJ29" s="1947"/>
      <c r="AK29" s="1947"/>
      <c r="AL29" s="1947"/>
      <c r="AM29" s="1947"/>
      <c r="AN29" s="1947"/>
      <c r="AO29" s="1947"/>
      <c r="AP29" s="1947"/>
      <c r="AQ29" s="1947"/>
      <c r="AR29" s="1947"/>
      <c r="AS29" s="1947"/>
      <c r="AT29" s="1947"/>
      <c r="AU29" s="1947"/>
      <c r="AV29" s="1947"/>
      <c r="AW29" s="1947"/>
      <c r="AX29" s="1947"/>
      <c r="AY29" s="1947"/>
      <c r="AZ29" s="1947"/>
      <c r="BA29" s="1947"/>
      <c r="BB29" s="1947"/>
      <c r="BC29" s="1947"/>
      <c r="BD29" s="1947"/>
      <c r="BE29" s="1947"/>
      <c r="BF29" s="1947"/>
      <c r="BG29" s="1947"/>
      <c r="BH29" s="1947"/>
      <c r="BI29" s="1947"/>
      <c r="BJ29" s="1947"/>
      <c r="BK29" s="1947"/>
      <c r="BL29" s="1947"/>
      <c r="BM29" s="1947"/>
      <c r="BN29" s="1947"/>
      <c r="BO29" s="1947"/>
      <c r="BP29" s="1947"/>
      <c r="BQ29" s="1947"/>
      <c r="BR29" s="1947"/>
      <c r="BS29" s="1947"/>
      <c r="BT29" s="1947"/>
      <c r="BU29" s="1947"/>
      <c r="BV29" s="1947"/>
      <c r="BW29" s="1947"/>
      <c r="BX29" s="1947"/>
      <c r="BY29" s="1947"/>
      <c r="BZ29" s="1947"/>
      <c r="CA29" s="1947"/>
      <c r="CB29" s="1947"/>
      <c r="CC29" s="1947"/>
      <c r="CD29" s="1947"/>
      <c r="CE29" s="1947"/>
      <c r="CF29" s="1947"/>
      <c r="CG29" s="1947"/>
      <c r="CH29" s="1947"/>
      <c r="CI29" s="1947"/>
      <c r="CJ29" s="1947"/>
      <c r="CK29" s="1947"/>
      <c r="CL29" s="1947"/>
      <c r="CM29" s="1947"/>
      <c r="CN29" s="1947"/>
      <c r="CO29" s="1947"/>
      <c r="CP29" s="1947"/>
      <c r="CQ29" s="1947"/>
      <c r="CR29" s="1947"/>
      <c r="CS29" s="1947"/>
      <c r="CT29" s="1947"/>
      <c r="CU29" s="1947"/>
      <c r="CV29" s="1947"/>
      <c r="CW29" s="1947"/>
      <c r="CX29" s="1947"/>
      <c r="CY29" s="1947"/>
      <c r="CZ29" s="1947"/>
      <c r="DA29" s="1947"/>
      <c r="DB29" s="1947"/>
      <c r="DC29" s="1947"/>
      <c r="DD29" s="1947"/>
      <c r="DE29" s="1947"/>
      <c r="DF29" s="1947"/>
      <c r="DG29" s="1947"/>
      <c r="DH29" s="1947"/>
      <c r="DI29" s="1947"/>
      <c r="DJ29" s="1947"/>
      <c r="DK29" s="1947"/>
      <c r="DL29" s="1947"/>
      <c r="DM29" s="1947"/>
      <c r="DN29" s="1947"/>
      <c r="DO29" s="1947"/>
      <c r="DP29" s="1947"/>
      <c r="DQ29" s="1947"/>
      <c r="DR29" s="1947"/>
      <c r="DS29" s="1947"/>
      <c r="DT29" s="1947"/>
      <c r="DU29" s="1947"/>
      <c r="DV29" s="1947"/>
      <c r="DW29" s="1947"/>
      <c r="DX29" s="1947"/>
      <c r="DY29" s="1947"/>
      <c r="DZ29" s="1947"/>
      <c r="EA29" s="1947"/>
      <c r="EB29" s="1947"/>
      <c r="EC29" s="1947"/>
      <c r="ED29" s="1947"/>
      <c r="EE29" s="1947"/>
      <c r="EF29" s="1947"/>
      <c r="EG29" s="1947"/>
      <c r="EH29" s="1947"/>
      <c r="EI29" s="1947"/>
      <c r="EJ29" s="1947"/>
      <c r="EK29" s="1947"/>
      <c r="EL29" s="1947"/>
      <c r="EM29" s="1947"/>
      <c r="EN29" s="1947"/>
      <c r="EO29" s="1947"/>
      <c r="EP29" s="1947"/>
      <c r="EQ29" s="1947"/>
      <c r="ER29" s="1947"/>
      <c r="ES29" s="1947"/>
      <c r="ET29" s="1947"/>
      <c r="EU29" s="1947"/>
      <c r="EV29" s="1947"/>
      <c r="EW29" s="1947"/>
      <c r="EX29" s="1947"/>
      <c r="EY29" s="1947"/>
      <c r="EZ29" s="1947"/>
      <c r="FA29" s="1947"/>
      <c r="FB29" s="1947"/>
      <c r="FC29" s="1947"/>
      <c r="FD29" s="1947"/>
      <c r="FE29" s="1947"/>
      <c r="FF29" s="1947"/>
      <c r="FG29" s="1947"/>
      <c r="FH29" s="1947"/>
      <c r="FI29" s="1947"/>
      <c r="FJ29" s="1947"/>
      <c r="FK29" s="1947"/>
      <c r="FL29" s="1947"/>
      <c r="FM29" s="1947"/>
      <c r="FN29" s="1947"/>
      <c r="FO29" s="1947"/>
      <c r="FP29" s="1947"/>
      <c r="FQ29" s="1947"/>
      <c r="FR29" s="1947"/>
      <c r="FS29" s="1947"/>
      <c r="FT29" s="1947"/>
      <c r="FU29" s="1947"/>
      <c r="FV29" s="1947"/>
      <c r="FW29" s="1947"/>
      <c r="FX29" s="1947"/>
      <c r="FY29" s="1947"/>
      <c r="FZ29" s="1947"/>
      <c r="GA29" s="1947"/>
      <c r="GB29" s="1947"/>
      <c r="GC29" s="1947"/>
      <c r="GD29" s="1947"/>
      <c r="GE29" s="1947"/>
      <c r="GF29" s="1947"/>
      <c r="GG29" s="1947"/>
      <c r="GH29" s="1947"/>
      <c r="GI29" s="1947"/>
      <c r="GJ29" s="1947"/>
      <c r="GK29" s="1947"/>
      <c r="GL29" s="1947"/>
      <c r="GM29" s="1947"/>
      <c r="GN29" s="1947"/>
      <c r="GO29" s="1947"/>
      <c r="GP29" s="1947"/>
      <c r="GQ29" s="1947"/>
      <c r="GR29" s="1947"/>
      <c r="GS29" s="1947"/>
      <c r="GT29" s="1947"/>
      <c r="GU29" s="1947"/>
      <c r="GV29" s="1947"/>
      <c r="GW29" s="1947"/>
      <c r="GX29" s="1947"/>
      <c r="GY29" s="1947"/>
      <c r="GZ29" s="1947"/>
      <c r="HA29" s="1947"/>
      <c r="HB29" s="1947"/>
      <c r="HC29" s="1947"/>
      <c r="HD29" s="1947"/>
      <c r="HE29" s="1947"/>
      <c r="HF29" s="1947"/>
      <c r="HG29" s="1947"/>
      <c r="HH29" s="1947"/>
      <c r="HI29" s="1947"/>
      <c r="HJ29" s="1947"/>
      <c r="HK29" s="1947"/>
      <c r="HL29" s="1947"/>
      <c r="HM29" s="1947"/>
      <c r="HN29" s="1947"/>
      <c r="HO29" s="1947"/>
      <c r="HP29" s="1947"/>
      <c r="HQ29" s="1947"/>
      <c r="HR29" s="1947"/>
      <c r="HS29" s="1947"/>
      <c r="HT29" s="1947"/>
      <c r="HU29" s="1947"/>
      <c r="HV29" s="1947"/>
      <c r="HW29" s="1947"/>
      <c r="HX29" s="1947"/>
      <c r="HY29" s="1947"/>
      <c r="HZ29" s="1947"/>
      <c r="IA29" s="1947"/>
      <c r="IB29" s="1947"/>
      <c r="IC29" s="1947"/>
      <c r="ID29" s="1947"/>
      <c r="IE29" s="1947"/>
      <c r="IF29" s="1947"/>
      <c r="IG29" s="1947"/>
      <c r="IH29" s="1947"/>
      <c r="II29" s="1947"/>
      <c r="IJ29" s="1947"/>
      <c r="IK29" s="1947"/>
      <c r="IL29" s="1947"/>
      <c r="IM29" s="1947"/>
      <c r="IN29" s="1947"/>
      <c r="IO29" s="1947"/>
      <c r="IP29" s="1947"/>
      <c r="IQ29" s="1947"/>
    </row>
    <row r="30" spans="1:251" hidden="1">
      <c r="A30" s="1026"/>
      <c r="B30" s="1955"/>
      <c r="C30" s="1955"/>
      <c r="D30" s="2034"/>
      <c r="E30" s="1955"/>
      <c r="F30" s="1942">
        <f t="shared" si="15"/>
        <v>0</v>
      </c>
      <c r="G30" s="1026"/>
      <c r="H30" s="1942">
        <f t="shared" si="5"/>
        <v>0</v>
      </c>
      <c r="I30" s="1026"/>
      <c r="J30" s="1942">
        <f t="shared" si="6"/>
        <v>0</v>
      </c>
      <c r="K30" s="1026"/>
      <c r="L30" s="1942">
        <f t="shared" si="7"/>
        <v>0</v>
      </c>
      <c r="M30" s="1942">
        <f t="shared" si="14"/>
        <v>0</v>
      </c>
      <c r="N30" s="1942">
        <f t="shared" si="8"/>
        <v>0</v>
      </c>
      <c r="O30" s="1026"/>
      <c r="P30" s="1026"/>
      <c r="Q30" s="1942">
        <f t="shared" si="9"/>
        <v>0</v>
      </c>
      <c r="R30" s="1942">
        <f t="shared" si="10"/>
        <v>0</v>
      </c>
      <c r="S30" s="1942">
        <f t="shared" si="11"/>
        <v>0</v>
      </c>
      <c r="T30" s="1942">
        <f t="shared" si="12"/>
        <v>0</v>
      </c>
      <c r="U30" s="1942">
        <f t="shared" si="13"/>
        <v>0</v>
      </c>
      <c r="V30" s="3034">
        <f t="shared" si="2"/>
        <v>0</v>
      </c>
      <c r="W30" s="1942"/>
      <c r="X30" s="1923">
        <v>0.01</v>
      </c>
      <c r="Y30" s="1947"/>
      <c r="Z30" s="1947"/>
      <c r="AA30" s="1947"/>
      <c r="AB30" s="1947"/>
      <c r="AC30" s="1947"/>
      <c r="AD30" s="1947"/>
      <c r="AE30" s="1947"/>
      <c r="AF30" s="1947"/>
      <c r="AG30" s="1947"/>
      <c r="AH30" s="1947"/>
      <c r="AI30" s="1947"/>
      <c r="AJ30" s="1947"/>
      <c r="AK30" s="1947"/>
      <c r="AL30" s="1947"/>
      <c r="AM30" s="1947"/>
      <c r="AN30" s="1947"/>
      <c r="AO30" s="1947"/>
      <c r="AP30" s="1947"/>
      <c r="AQ30" s="1947"/>
      <c r="AR30" s="1947"/>
      <c r="AS30" s="1947"/>
      <c r="AT30" s="1947"/>
      <c r="AU30" s="1947"/>
      <c r="AV30" s="1947"/>
      <c r="AW30" s="1947"/>
      <c r="AX30" s="1947"/>
      <c r="AY30" s="1947"/>
      <c r="AZ30" s="1947"/>
      <c r="BA30" s="1947"/>
      <c r="BB30" s="1947"/>
      <c r="BC30" s="1947"/>
      <c r="BD30" s="1947"/>
      <c r="BE30" s="1947"/>
      <c r="BF30" s="1947"/>
      <c r="BG30" s="1947"/>
      <c r="BH30" s="1947"/>
      <c r="BI30" s="1947"/>
      <c r="BJ30" s="1947"/>
      <c r="BK30" s="1947"/>
      <c r="BL30" s="1947"/>
      <c r="BM30" s="1947"/>
      <c r="BN30" s="1947"/>
      <c r="BO30" s="1947"/>
      <c r="BP30" s="1947"/>
      <c r="BQ30" s="1947"/>
      <c r="BR30" s="1947"/>
      <c r="BS30" s="1947"/>
      <c r="BT30" s="1947"/>
      <c r="BU30" s="1947"/>
      <c r="BV30" s="1947"/>
      <c r="BW30" s="1947"/>
      <c r="BX30" s="1947"/>
      <c r="BY30" s="1947"/>
      <c r="BZ30" s="1947"/>
      <c r="CA30" s="1947"/>
      <c r="CB30" s="1947"/>
      <c r="CC30" s="1947"/>
      <c r="CD30" s="1947"/>
      <c r="CE30" s="1947"/>
      <c r="CF30" s="1947"/>
      <c r="CG30" s="1947"/>
      <c r="CH30" s="1947"/>
      <c r="CI30" s="1947"/>
      <c r="CJ30" s="1947"/>
      <c r="CK30" s="1947"/>
      <c r="CL30" s="1947"/>
      <c r="CM30" s="1947"/>
      <c r="CN30" s="1947"/>
      <c r="CO30" s="1947"/>
      <c r="CP30" s="1947"/>
      <c r="CQ30" s="1947"/>
      <c r="CR30" s="1947"/>
      <c r="CS30" s="1947"/>
      <c r="CT30" s="1947"/>
      <c r="CU30" s="1947"/>
      <c r="CV30" s="1947"/>
      <c r="CW30" s="1947"/>
      <c r="CX30" s="1947"/>
      <c r="CY30" s="1947"/>
      <c r="CZ30" s="1947"/>
      <c r="DA30" s="1947"/>
      <c r="DB30" s="1947"/>
      <c r="DC30" s="1947"/>
      <c r="DD30" s="1947"/>
      <c r="DE30" s="1947"/>
      <c r="DF30" s="1947"/>
      <c r="DG30" s="1947"/>
      <c r="DH30" s="1947"/>
      <c r="DI30" s="1947"/>
      <c r="DJ30" s="1947"/>
      <c r="DK30" s="1947"/>
      <c r="DL30" s="1947"/>
      <c r="DM30" s="1947"/>
      <c r="DN30" s="1947"/>
      <c r="DO30" s="1947"/>
      <c r="DP30" s="1947"/>
      <c r="DQ30" s="1947"/>
      <c r="DR30" s="1947"/>
      <c r="DS30" s="1947"/>
      <c r="DT30" s="1947"/>
      <c r="DU30" s="1947"/>
      <c r="DV30" s="1947"/>
      <c r="DW30" s="1947"/>
      <c r="DX30" s="1947"/>
      <c r="DY30" s="1947"/>
      <c r="DZ30" s="1947"/>
      <c r="EA30" s="1947"/>
      <c r="EB30" s="1947"/>
      <c r="EC30" s="1947"/>
      <c r="ED30" s="1947"/>
      <c r="EE30" s="1947"/>
      <c r="EF30" s="1947"/>
      <c r="EG30" s="1947"/>
      <c r="EH30" s="1947"/>
      <c r="EI30" s="1947"/>
      <c r="EJ30" s="1947"/>
      <c r="EK30" s="1947"/>
      <c r="EL30" s="1947"/>
      <c r="EM30" s="1947"/>
      <c r="EN30" s="1947"/>
      <c r="EO30" s="1947"/>
      <c r="EP30" s="1947"/>
      <c r="EQ30" s="1947"/>
      <c r="ER30" s="1947"/>
      <c r="ES30" s="1947"/>
      <c r="ET30" s="1947"/>
      <c r="EU30" s="1947"/>
      <c r="EV30" s="1947"/>
      <c r="EW30" s="1947"/>
      <c r="EX30" s="1947"/>
      <c r="EY30" s="1947"/>
      <c r="EZ30" s="1947"/>
      <c r="FA30" s="1947"/>
      <c r="FB30" s="1947"/>
      <c r="FC30" s="1947"/>
      <c r="FD30" s="1947"/>
      <c r="FE30" s="1947"/>
      <c r="FF30" s="1947"/>
      <c r="FG30" s="1947"/>
      <c r="FH30" s="1947"/>
      <c r="FI30" s="1947"/>
      <c r="FJ30" s="1947"/>
      <c r="FK30" s="1947"/>
      <c r="FL30" s="1947"/>
      <c r="FM30" s="1947"/>
      <c r="FN30" s="1947"/>
      <c r="FO30" s="1947"/>
      <c r="FP30" s="1947"/>
      <c r="FQ30" s="1947"/>
      <c r="FR30" s="1947"/>
      <c r="FS30" s="1947"/>
      <c r="FT30" s="1947"/>
      <c r="FU30" s="1947"/>
      <c r="FV30" s="1947"/>
      <c r="FW30" s="1947"/>
      <c r="FX30" s="1947"/>
      <c r="FY30" s="1947"/>
      <c r="FZ30" s="1947"/>
      <c r="GA30" s="1947"/>
      <c r="GB30" s="1947"/>
      <c r="GC30" s="1947"/>
      <c r="GD30" s="1947"/>
      <c r="GE30" s="1947"/>
      <c r="GF30" s="1947"/>
      <c r="GG30" s="1947"/>
      <c r="GH30" s="1947"/>
      <c r="GI30" s="1947"/>
      <c r="GJ30" s="1947"/>
      <c r="GK30" s="1947"/>
      <c r="GL30" s="1947"/>
      <c r="GM30" s="1947"/>
      <c r="GN30" s="1947"/>
      <c r="GO30" s="1947"/>
      <c r="GP30" s="1947"/>
      <c r="GQ30" s="1947"/>
      <c r="GR30" s="1947"/>
      <c r="GS30" s="1947"/>
      <c r="GT30" s="1947"/>
      <c r="GU30" s="1947"/>
      <c r="GV30" s="1947"/>
      <c r="GW30" s="1947"/>
      <c r="GX30" s="1947"/>
      <c r="GY30" s="1947"/>
      <c r="GZ30" s="1947"/>
      <c r="HA30" s="1947"/>
      <c r="HB30" s="1947"/>
      <c r="HC30" s="1947"/>
      <c r="HD30" s="1947"/>
      <c r="HE30" s="1947"/>
      <c r="HF30" s="1947"/>
      <c r="HG30" s="1947"/>
      <c r="HH30" s="1947"/>
      <c r="HI30" s="1947"/>
      <c r="HJ30" s="1947"/>
      <c r="HK30" s="1947"/>
      <c r="HL30" s="1947"/>
      <c r="HM30" s="1947"/>
      <c r="HN30" s="1947"/>
      <c r="HO30" s="1947"/>
      <c r="HP30" s="1947"/>
      <c r="HQ30" s="1947"/>
      <c r="HR30" s="1947"/>
      <c r="HS30" s="1947"/>
      <c r="HT30" s="1947"/>
      <c r="HU30" s="1947"/>
      <c r="HV30" s="1947"/>
      <c r="HW30" s="1947"/>
      <c r="HX30" s="1947"/>
      <c r="HY30" s="1947"/>
      <c r="HZ30" s="1947"/>
      <c r="IA30" s="1947"/>
      <c r="IB30" s="1947"/>
      <c r="IC30" s="1947"/>
      <c r="ID30" s="1947"/>
      <c r="IE30" s="1947"/>
      <c r="IF30" s="1947"/>
      <c r="IG30" s="1947"/>
      <c r="IH30" s="1947"/>
      <c r="II30" s="1947"/>
      <c r="IJ30" s="1947"/>
      <c r="IK30" s="1947"/>
      <c r="IL30" s="1947"/>
      <c r="IM30" s="1947"/>
      <c r="IN30" s="1947"/>
      <c r="IO30" s="1947"/>
      <c r="IP30" s="1947"/>
      <c r="IQ30" s="1947"/>
    </row>
    <row r="31" spans="1:251" hidden="1">
      <c r="A31" s="1026"/>
      <c r="B31" s="1955"/>
      <c r="C31" s="1955"/>
      <c r="D31" s="2034"/>
      <c r="E31" s="1955"/>
      <c r="F31" s="1942">
        <f t="shared" si="15"/>
        <v>0</v>
      </c>
      <c r="G31" s="1026"/>
      <c r="H31" s="1942">
        <f t="shared" si="5"/>
        <v>0</v>
      </c>
      <c r="I31" s="1026"/>
      <c r="J31" s="1942">
        <f t="shared" si="6"/>
        <v>0</v>
      </c>
      <c r="K31" s="1026"/>
      <c r="L31" s="1942">
        <f t="shared" si="7"/>
        <v>0</v>
      </c>
      <c r="M31" s="1942">
        <f t="shared" si="14"/>
        <v>0</v>
      </c>
      <c r="N31" s="1942">
        <f t="shared" si="8"/>
        <v>0</v>
      </c>
      <c r="O31" s="1026"/>
      <c r="P31" s="1026"/>
      <c r="Q31" s="1942">
        <f t="shared" si="9"/>
        <v>0</v>
      </c>
      <c r="R31" s="1942">
        <f t="shared" si="10"/>
        <v>0</v>
      </c>
      <c r="S31" s="1942">
        <f t="shared" si="11"/>
        <v>0</v>
      </c>
      <c r="T31" s="1942">
        <f t="shared" si="12"/>
        <v>0</v>
      </c>
      <c r="U31" s="1942">
        <f t="shared" si="13"/>
        <v>0</v>
      </c>
      <c r="V31" s="3034">
        <f t="shared" si="2"/>
        <v>0</v>
      </c>
      <c r="W31" s="1942"/>
      <c r="X31" s="1923">
        <v>0.01</v>
      </c>
      <c r="Y31" s="1947"/>
      <c r="Z31" s="1947"/>
      <c r="AA31" s="1947"/>
      <c r="AB31" s="1947"/>
      <c r="AC31" s="1947"/>
      <c r="AD31" s="1947"/>
      <c r="AE31" s="1947"/>
      <c r="AF31" s="1947"/>
      <c r="AG31" s="1947"/>
      <c r="AH31" s="1947"/>
      <c r="AI31" s="1947"/>
      <c r="AJ31" s="1947"/>
      <c r="AK31" s="1947"/>
      <c r="AL31" s="1947"/>
      <c r="AM31" s="1947"/>
      <c r="AN31" s="1947"/>
      <c r="AO31" s="1947"/>
      <c r="AP31" s="1947"/>
      <c r="AQ31" s="1947"/>
      <c r="AR31" s="1947"/>
      <c r="AS31" s="1947"/>
      <c r="AT31" s="1947"/>
      <c r="AU31" s="1947"/>
      <c r="AV31" s="1947"/>
      <c r="AW31" s="1947"/>
      <c r="AX31" s="1947"/>
      <c r="AY31" s="1947"/>
      <c r="AZ31" s="1947"/>
      <c r="BA31" s="1947"/>
      <c r="BB31" s="1947"/>
      <c r="BC31" s="1947"/>
      <c r="BD31" s="1947"/>
      <c r="BE31" s="1947"/>
      <c r="BF31" s="1947"/>
      <c r="BG31" s="1947"/>
      <c r="BH31" s="1947"/>
      <c r="BI31" s="1947"/>
      <c r="BJ31" s="1947"/>
      <c r="BK31" s="1947"/>
      <c r="BL31" s="1947"/>
      <c r="BM31" s="1947"/>
      <c r="BN31" s="1947"/>
      <c r="BO31" s="1947"/>
      <c r="BP31" s="1947"/>
      <c r="BQ31" s="1947"/>
      <c r="BR31" s="1947"/>
      <c r="BS31" s="1947"/>
      <c r="BT31" s="1947"/>
      <c r="BU31" s="1947"/>
      <c r="BV31" s="1947"/>
      <c r="BW31" s="1947"/>
      <c r="BX31" s="1947"/>
      <c r="BY31" s="1947"/>
      <c r="BZ31" s="1947"/>
      <c r="CA31" s="1947"/>
      <c r="CB31" s="1947"/>
      <c r="CC31" s="1947"/>
      <c r="CD31" s="1947"/>
      <c r="CE31" s="1947"/>
      <c r="CF31" s="1947"/>
      <c r="CG31" s="1947"/>
      <c r="CH31" s="1947"/>
      <c r="CI31" s="1947"/>
      <c r="CJ31" s="1947"/>
      <c r="CK31" s="1947"/>
      <c r="CL31" s="1947"/>
      <c r="CM31" s="1947"/>
      <c r="CN31" s="1947"/>
      <c r="CO31" s="1947"/>
      <c r="CP31" s="1947"/>
      <c r="CQ31" s="1947"/>
      <c r="CR31" s="1947"/>
      <c r="CS31" s="1947"/>
      <c r="CT31" s="1947"/>
      <c r="CU31" s="1947"/>
      <c r="CV31" s="1947"/>
      <c r="CW31" s="1947"/>
      <c r="CX31" s="1947"/>
      <c r="CY31" s="1947"/>
      <c r="CZ31" s="1947"/>
      <c r="DA31" s="1947"/>
      <c r="DB31" s="1947"/>
      <c r="DC31" s="1947"/>
      <c r="DD31" s="1947"/>
      <c r="DE31" s="1947"/>
      <c r="DF31" s="1947"/>
      <c r="DG31" s="1947"/>
      <c r="DH31" s="1947"/>
      <c r="DI31" s="1947"/>
      <c r="DJ31" s="1947"/>
      <c r="DK31" s="1947"/>
      <c r="DL31" s="1947"/>
      <c r="DM31" s="1947"/>
      <c r="DN31" s="1947"/>
      <c r="DO31" s="1947"/>
      <c r="DP31" s="1947"/>
      <c r="DQ31" s="1947"/>
      <c r="DR31" s="1947"/>
      <c r="DS31" s="1947"/>
      <c r="DT31" s="1947"/>
      <c r="DU31" s="1947"/>
      <c r="DV31" s="1947"/>
      <c r="DW31" s="1947"/>
      <c r="DX31" s="1947"/>
      <c r="DY31" s="1947"/>
      <c r="DZ31" s="1947"/>
      <c r="EA31" s="1947"/>
      <c r="EB31" s="1947"/>
      <c r="EC31" s="1947"/>
      <c r="ED31" s="1947"/>
      <c r="EE31" s="1947"/>
      <c r="EF31" s="1947"/>
      <c r="EG31" s="1947"/>
      <c r="EH31" s="1947"/>
      <c r="EI31" s="1947"/>
      <c r="EJ31" s="1947"/>
      <c r="EK31" s="1947"/>
      <c r="EL31" s="1947"/>
      <c r="EM31" s="1947"/>
      <c r="EN31" s="1947"/>
      <c r="EO31" s="1947"/>
      <c r="EP31" s="1947"/>
      <c r="EQ31" s="1947"/>
      <c r="ER31" s="1947"/>
      <c r="ES31" s="1947"/>
      <c r="ET31" s="1947"/>
      <c r="EU31" s="1947"/>
      <c r="EV31" s="1947"/>
      <c r="EW31" s="1947"/>
      <c r="EX31" s="1947"/>
      <c r="EY31" s="1947"/>
      <c r="EZ31" s="1947"/>
      <c r="FA31" s="1947"/>
      <c r="FB31" s="1947"/>
      <c r="FC31" s="1947"/>
      <c r="FD31" s="1947"/>
      <c r="FE31" s="1947"/>
      <c r="FF31" s="1947"/>
      <c r="FG31" s="1947"/>
      <c r="FH31" s="1947"/>
      <c r="FI31" s="1947"/>
      <c r="FJ31" s="1947"/>
      <c r="FK31" s="1947"/>
      <c r="FL31" s="1947"/>
      <c r="FM31" s="1947"/>
      <c r="FN31" s="1947"/>
      <c r="FO31" s="1947"/>
      <c r="FP31" s="1947"/>
      <c r="FQ31" s="1947"/>
      <c r="FR31" s="1947"/>
      <c r="FS31" s="1947"/>
      <c r="FT31" s="1947"/>
      <c r="FU31" s="1947"/>
      <c r="FV31" s="1947"/>
      <c r="FW31" s="1947"/>
      <c r="FX31" s="1947"/>
      <c r="FY31" s="1947"/>
      <c r="FZ31" s="1947"/>
      <c r="GA31" s="1947"/>
      <c r="GB31" s="1947"/>
      <c r="GC31" s="1947"/>
      <c r="GD31" s="1947"/>
      <c r="GE31" s="1947"/>
      <c r="GF31" s="1947"/>
      <c r="GG31" s="1947"/>
      <c r="GH31" s="1947"/>
      <c r="GI31" s="1947"/>
      <c r="GJ31" s="1947"/>
      <c r="GK31" s="1947"/>
      <c r="GL31" s="1947"/>
      <c r="GM31" s="1947"/>
      <c r="GN31" s="1947"/>
      <c r="GO31" s="1947"/>
      <c r="GP31" s="1947"/>
      <c r="GQ31" s="1947"/>
      <c r="GR31" s="1947"/>
      <c r="GS31" s="1947"/>
      <c r="GT31" s="1947"/>
      <c r="GU31" s="1947"/>
      <c r="GV31" s="1947"/>
      <c r="GW31" s="1947"/>
      <c r="GX31" s="1947"/>
      <c r="GY31" s="1947"/>
      <c r="GZ31" s="1947"/>
      <c r="HA31" s="1947"/>
      <c r="HB31" s="1947"/>
      <c r="HC31" s="1947"/>
      <c r="HD31" s="1947"/>
      <c r="HE31" s="1947"/>
      <c r="HF31" s="1947"/>
      <c r="HG31" s="1947"/>
      <c r="HH31" s="1947"/>
      <c r="HI31" s="1947"/>
      <c r="HJ31" s="1947"/>
      <c r="HK31" s="1947"/>
      <c r="HL31" s="1947"/>
      <c r="HM31" s="1947"/>
      <c r="HN31" s="1947"/>
      <c r="HO31" s="1947"/>
      <c r="HP31" s="1947"/>
      <c r="HQ31" s="1947"/>
      <c r="HR31" s="1947"/>
      <c r="HS31" s="1947"/>
      <c r="HT31" s="1947"/>
      <c r="HU31" s="1947"/>
      <c r="HV31" s="1947"/>
      <c r="HW31" s="1947"/>
      <c r="HX31" s="1947"/>
      <c r="HY31" s="1947"/>
      <c r="HZ31" s="1947"/>
      <c r="IA31" s="1947"/>
      <c r="IB31" s="1947"/>
      <c r="IC31" s="1947"/>
      <c r="ID31" s="1947"/>
      <c r="IE31" s="1947"/>
      <c r="IF31" s="1947"/>
      <c r="IG31" s="1947"/>
      <c r="IH31" s="1947"/>
      <c r="II31" s="1947"/>
      <c r="IJ31" s="1947"/>
      <c r="IK31" s="1947"/>
      <c r="IL31" s="1947"/>
      <c r="IM31" s="1947"/>
      <c r="IN31" s="1947"/>
      <c r="IO31" s="1947"/>
      <c r="IP31" s="1947"/>
      <c r="IQ31" s="1947"/>
    </row>
    <row r="32" spans="1:251" hidden="1">
      <c r="A32" s="1026"/>
      <c r="B32" s="1955"/>
      <c r="C32" s="1955"/>
      <c r="D32" s="2034"/>
      <c r="E32" s="1955"/>
      <c r="F32" s="1942">
        <f t="shared" si="15"/>
        <v>0</v>
      </c>
      <c r="G32" s="1026"/>
      <c r="H32" s="1942">
        <f t="shared" si="5"/>
        <v>0</v>
      </c>
      <c r="I32" s="1026"/>
      <c r="J32" s="1942">
        <f t="shared" si="6"/>
        <v>0</v>
      </c>
      <c r="K32" s="1026"/>
      <c r="L32" s="1942">
        <f t="shared" si="7"/>
        <v>0</v>
      </c>
      <c r="M32" s="1942">
        <f t="shared" si="14"/>
        <v>0</v>
      </c>
      <c r="N32" s="1942">
        <f t="shared" si="8"/>
        <v>0</v>
      </c>
      <c r="O32" s="1026"/>
      <c r="P32" s="1026"/>
      <c r="Q32" s="1942">
        <f t="shared" si="9"/>
        <v>0</v>
      </c>
      <c r="R32" s="1942">
        <f t="shared" si="10"/>
        <v>0</v>
      </c>
      <c r="S32" s="1942">
        <f t="shared" si="11"/>
        <v>0</v>
      </c>
      <c r="T32" s="1942">
        <f t="shared" si="12"/>
        <v>0</v>
      </c>
      <c r="U32" s="1942">
        <f t="shared" si="13"/>
        <v>0</v>
      </c>
      <c r="V32" s="3034">
        <f t="shared" si="2"/>
        <v>0</v>
      </c>
      <c r="W32" s="1942"/>
      <c r="X32" s="1923">
        <v>0.01</v>
      </c>
      <c r="Y32" s="1947"/>
      <c r="Z32" s="1947"/>
      <c r="AA32" s="1947"/>
      <c r="AB32" s="1947"/>
      <c r="AC32" s="1947"/>
      <c r="AD32" s="1947"/>
      <c r="AE32" s="1947"/>
      <c r="AF32" s="1947"/>
      <c r="AG32" s="1947"/>
      <c r="AH32" s="1947"/>
      <c r="AI32" s="1947"/>
      <c r="AJ32" s="1947"/>
      <c r="AK32" s="1947"/>
      <c r="AL32" s="1947"/>
      <c r="AM32" s="1947"/>
      <c r="AN32" s="1947"/>
      <c r="AO32" s="1947"/>
      <c r="AP32" s="1947"/>
      <c r="AQ32" s="1947"/>
      <c r="AR32" s="1947"/>
      <c r="AS32" s="1947"/>
      <c r="AT32" s="1947"/>
      <c r="AU32" s="1947"/>
      <c r="AV32" s="1947"/>
      <c r="AW32" s="1947"/>
      <c r="AX32" s="1947"/>
      <c r="AY32" s="1947"/>
      <c r="AZ32" s="1947"/>
      <c r="BA32" s="1947"/>
      <c r="BB32" s="1947"/>
      <c r="BC32" s="1947"/>
      <c r="BD32" s="1947"/>
      <c r="BE32" s="1947"/>
      <c r="BF32" s="1947"/>
      <c r="BG32" s="1947"/>
      <c r="BH32" s="1947"/>
      <c r="BI32" s="1947"/>
      <c r="BJ32" s="1947"/>
      <c r="BK32" s="1947"/>
      <c r="BL32" s="1947"/>
      <c r="BM32" s="1947"/>
      <c r="BN32" s="1947"/>
      <c r="BO32" s="1947"/>
      <c r="BP32" s="1947"/>
      <c r="BQ32" s="1947"/>
      <c r="BR32" s="1947"/>
      <c r="BS32" s="1947"/>
      <c r="BT32" s="1947"/>
      <c r="BU32" s="1947"/>
      <c r="BV32" s="1947"/>
      <c r="BW32" s="1947"/>
      <c r="BX32" s="1947"/>
      <c r="BY32" s="1947"/>
      <c r="BZ32" s="1947"/>
      <c r="CA32" s="1947"/>
      <c r="CB32" s="1947"/>
      <c r="CC32" s="1947"/>
      <c r="CD32" s="1947"/>
      <c r="CE32" s="1947"/>
      <c r="CF32" s="1947"/>
      <c r="CG32" s="1947"/>
      <c r="CH32" s="1947"/>
      <c r="CI32" s="1947"/>
      <c r="CJ32" s="1947"/>
      <c r="CK32" s="1947"/>
      <c r="CL32" s="1947"/>
      <c r="CM32" s="1947"/>
      <c r="CN32" s="1947"/>
      <c r="CO32" s="1947"/>
      <c r="CP32" s="1947"/>
      <c r="CQ32" s="1947"/>
      <c r="CR32" s="1947"/>
      <c r="CS32" s="1947"/>
      <c r="CT32" s="1947"/>
      <c r="CU32" s="1947"/>
      <c r="CV32" s="1947"/>
      <c r="CW32" s="1947"/>
      <c r="CX32" s="1947"/>
      <c r="CY32" s="1947"/>
      <c r="CZ32" s="1947"/>
      <c r="DA32" s="1947"/>
      <c r="DB32" s="1947"/>
      <c r="DC32" s="1947"/>
      <c r="DD32" s="1947"/>
      <c r="DE32" s="1947"/>
      <c r="DF32" s="1947"/>
      <c r="DG32" s="1947"/>
      <c r="DH32" s="1947"/>
      <c r="DI32" s="1947"/>
      <c r="DJ32" s="1947"/>
      <c r="DK32" s="1947"/>
      <c r="DL32" s="1947"/>
      <c r="DM32" s="1947"/>
      <c r="DN32" s="1947"/>
      <c r="DO32" s="1947"/>
      <c r="DP32" s="1947"/>
      <c r="DQ32" s="1947"/>
      <c r="DR32" s="1947"/>
      <c r="DS32" s="1947"/>
      <c r="DT32" s="1947"/>
      <c r="DU32" s="1947"/>
      <c r="DV32" s="1947"/>
      <c r="DW32" s="1947"/>
      <c r="DX32" s="1947"/>
      <c r="DY32" s="1947"/>
      <c r="DZ32" s="1947"/>
      <c r="EA32" s="1947"/>
      <c r="EB32" s="1947"/>
      <c r="EC32" s="1947"/>
      <c r="ED32" s="1947"/>
      <c r="EE32" s="1947"/>
      <c r="EF32" s="1947"/>
      <c r="EG32" s="1947"/>
      <c r="EH32" s="1947"/>
      <c r="EI32" s="1947"/>
      <c r="EJ32" s="1947"/>
      <c r="EK32" s="1947"/>
      <c r="EL32" s="1947"/>
      <c r="EM32" s="1947"/>
      <c r="EN32" s="1947"/>
      <c r="EO32" s="1947"/>
      <c r="EP32" s="1947"/>
      <c r="EQ32" s="1947"/>
      <c r="ER32" s="1947"/>
      <c r="ES32" s="1947"/>
      <c r="ET32" s="1947"/>
      <c r="EU32" s="1947"/>
      <c r="EV32" s="1947"/>
      <c r="EW32" s="1947"/>
      <c r="EX32" s="1947"/>
      <c r="EY32" s="1947"/>
      <c r="EZ32" s="1947"/>
      <c r="FA32" s="1947"/>
      <c r="FB32" s="1947"/>
      <c r="FC32" s="1947"/>
      <c r="FD32" s="1947"/>
      <c r="FE32" s="1947"/>
      <c r="FF32" s="1947"/>
      <c r="FG32" s="1947"/>
      <c r="FH32" s="1947"/>
      <c r="FI32" s="1947"/>
      <c r="FJ32" s="1947"/>
      <c r="FK32" s="1947"/>
      <c r="FL32" s="1947"/>
      <c r="FM32" s="1947"/>
      <c r="FN32" s="1947"/>
      <c r="FO32" s="1947"/>
      <c r="FP32" s="1947"/>
      <c r="FQ32" s="1947"/>
      <c r="FR32" s="1947"/>
      <c r="FS32" s="1947"/>
      <c r="FT32" s="1947"/>
      <c r="FU32" s="1947"/>
      <c r="FV32" s="1947"/>
      <c r="FW32" s="1947"/>
      <c r="FX32" s="1947"/>
      <c r="FY32" s="1947"/>
      <c r="FZ32" s="1947"/>
      <c r="GA32" s="1947"/>
      <c r="GB32" s="1947"/>
      <c r="GC32" s="1947"/>
      <c r="GD32" s="1947"/>
      <c r="GE32" s="1947"/>
      <c r="GF32" s="1947"/>
      <c r="GG32" s="1947"/>
      <c r="GH32" s="1947"/>
      <c r="GI32" s="1947"/>
      <c r="GJ32" s="1947"/>
      <c r="GK32" s="1947"/>
      <c r="GL32" s="1947"/>
      <c r="GM32" s="1947"/>
      <c r="GN32" s="1947"/>
      <c r="GO32" s="1947"/>
      <c r="GP32" s="1947"/>
      <c r="GQ32" s="1947"/>
      <c r="GR32" s="1947"/>
      <c r="GS32" s="1947"/>
      <c r="GT32" s="1947"/>
      <c r="GU32" s="1947"/>
      <c r="GV32" s="1947"/>
      <c r="GW32" s="1947"/>
      <c r="GX32" s="1947"/>
      <c r="GY32" s="1947"/>
      <c r="GZ32" s="1947"/>
      <c r="HA32" s="1947"/>
      <c r="HB32" s="1947"/>
      <c r="HC32" s="1947"/>
      <c r="HD32" s="1947"/>
      <c r="HE32" s="1947"/>
      <c r="HF32" s="1947"/>
      <c r="HG32" s="1947"/>
      <c r="HH32" s="1947"/>
      <c r="HI32" s="1947"/>
      <c r="HJ32" s="1947"/>
      <c r="HK32" s="1947"/>
      <c r="HL32" s="1947"/>
      <c r="HM32" s="1947"/>
      <c r="HN32" s="1947"/>
      <c r="HO32" s="1947"/>
      <c r="HP32" s="1947"/>
      <c r="HQ32" s="1947"/>
      <c r="HR32" s="1947"/>
      <c r="HS32" s="1947"/>
      <c r="HT32" s="1947"/>
      <c r="HU32" s="1947"/>
      <c r="HV32" s="1947"/>
      <c r="HW32" s="1947"/>
      <c r="HX32" s="1947"/>
      <c r="HY32" s="1947"/>
      <c r="HZ32" s="1947"/>
      <c r="IA32" s="1947"/>
      <c r="IB32" s="1947"/>
      <c r="IC32" s="1947"/>
      <c r="ID32" s="1947"/>
      <c r="IE32" s="1947"/>
      <c r="IF32" s="1947"/>
      <c r="IG32" s="1947"/>
      <c r="IH32" s="1947"/>
      <c r="II32" s="1947"/>
      <c r="IJ32" s="1947"/>
      <c r="IK32" s="1947"/>
      <c r="IL32" s="1947"/>
      <c r="IM32" s="1947"/>
      <c r="IN32" s="1947"/>
      <c r="IO32" s="1947"/>
      <c r="IP32" s="1947"/>
      <c r="IQ32" s="1947"/>
    </row>
    <row r="33" spans="1:251" hidden="1">
      <c r="A33" s="1026"/>
      <c r="B33" s="1955"/>
      <c r="C33" s="1955"/>
      <c r="D33" s="2034"/>
      <c r="E33" s="1955"/>
      <c r="F33" s="1942">
        <f>ROUNDUP((E33*$Q$5),-3)</f>
        <v>0</v>
      </c>
      <c r="G33" s="1026"/>
      <c r="H33" s="1942">
        <f>D33*F33*G33</f>
        <v>0</v>
      </c>
      <c r="I33" s="1026"/>
      <c r="J33" s="1942">
        <f>I33*$Q$4</f>
        <v>0</v>
      </c>
      <c r="K33" s="1026"/>
      <c r="L33" s="1942">
        <f>K33*F33</f>
        <v>0</v>
      </c>
      <c r="M33" s="1942">
        <f>D33*G33*(J33+L33)</f>
        <v>0</v>
      </c>
      <c r="N33" s="1942">
        <f>H33+M33</f>
        <v>0</v>
      </c>
      <c r="O33" s="1026"/>
      <c r="P33" s="1026"/>
      <c r="Q33" s="1942">
        <f>N33+O33+P33</f>
        <v>0</v>
      </c>
      <c r="R33" s="1942">
        <f>Q33*10%</f>
        <v>0</v>
      </c>
      <c r="S33" s="1942">
        <f>(Q33-R33)*10%</f>
        <v>0</v>
      </c>
      <c r="T33" s="1942">
        <f>(Q33-R33)*6%</f>
        <v>0</v>
      </c>
      <c r="U33" s="1942">
        <f>(Q33-R33)*5%</f>
        <v>0</v>
      </c>
      <c r="V33" s="3034">
        <f t="shared" si="2"/>
        <v>0</v>
      </c>
      <c r="W33" s="1942"/>
      <c r="X33" s="1923">
        <v>0.01</v>
      </c>
      <c r="Y33" s="1947"/>
      <c r="Z33" s="1947"/>
      <c r="AA33" s="1947"/>
      <c r="AB33" s="1947"/>
      <c r="AC33" s="1947"/>
      <c r="AD33" s="1947"/>
      <c r="AE33" s="1947"/>
      <c r="AF33" s="1947"/>
      <c r="AG33" s="1947"/>
      <c r="AH33" s="1947"/>
      <c r="AI33" s="1947"/>
      <c r="AJ33" s="1947"/>
      <c r="AK33" s="1947"/>
      <c r="AL33" s="1947"/>
      <c r="AM33" s="1947"/>
      <c r="AN33" s="1947"/>
      <c r="AO33" s="1947"/>
      <c r="AP33" s="1947"/>
      <c r="AQ33" s="1947"/>
      <c r="AR33" s="1947"/>
      <c r="AS33" s="1947"/>
      <c r="AT33" s="1947"/>
      <c r="AU33" s="1947"/>
      <c r="AV33" s="1947"/>
      <c r="AW33" s="1947"/>
      <c r="AX33" s="1947"/>
      <c r="AY33" s="1947"/>
      <c r="AZ33" s="1947"/>
      <c r="BA33" s="1947"/>
      <c r="BB33" s="1947"/>
      <c r="BC33" s="1947"/>
      <c r="BD33" s="1947"/>
      <c r="BE33" s="1947"/>
      <c r="BF33" s="1947"/>
      <c r="BG33" s="1947"/>
      <c r="BH33" s="1947"/>
      <c r="BI33" s="1947"/>
      <c r="BJ33" s="1947"/>
      <c r="BK33" s="1947"/>
      <c r="BL33" s="1947"/>
      <c r="BM33" s="1947"/>
      <c r="BN33" s="1947"/>
      <c r="BO33" s="1947"/>
      <c r="BP33" s="1947"/>
      <c r="BQ33" s="1947"/>
      <c r="BR33" s="1947"/>
      <c r="BS33" s="1947"/>
      <c r="BT33" s="1947"/>
      <c r="BU33" s="1947"/>
      <c r="BV33" s="1947"/>
      <c r="BW33" s="1947"/>
      <c r="BX33" s="1947"/>
      <c r="BY33" s="1947"/>
      <c r="BZ33" s="1947"/>
      <c r="CA33" s="1947"/>
      <c r="CB33" s="1947"/>
      <c r="CC33" s="1947"/>
      <c r="CD33" s="1947"/>
      <c r="CE33" s="1947"/>
      <c r="CF33" s="1947"/>
      <c r="CG33" s="1947"/>
      <c r="CH33" s="1947"/>
      <c r="CI33" s="1947"/>
      <c r="CJ33" s="1947"/>
      <c r="CK33" s="1947"/>
      <c r="CL33" s="1947"/>
      <c r="CM33" s="1947"/>
      <c r="CN33" s="1947"/>
      <c r="CO33" s="1947"/>
      <c r="CP33" s="1947"/>
      <c r="CQ33" s="1947"/>
      <c r="CR33" s="1947"/>
      <c r="CS33" s="1947"/>
      <c r="CT33" s="1947"/>
      <c r="CU33" s="1947"/>
      <c r="CV33" s="1947"/>
      <c r="CW33" s="1947"/>
      <c r="CX33" s="1947"/>
      <c r="CY33" s="1947"/>
      <c r="CZ33" s="1947"/>
      <c r="DA33" s="1947"/>
      <c r="DB33" s="1947"/>
      <c r="DC33" s="1947"/>
      <c r="DD33" s="1947"/>
      <c r="DE33" s="1947"/>
      <c r="DF33" s="1947"/>
      <c r="DG33" s="1947"/>
      <c r="DH33" s="1947"/>
      <c r="DI33" s="1947"/>
      <c r="DJ33" s="1947"/>
      <c r="DK33" s="1947"/>
      <c r="DL33" s="1947"/>
      <c r="DM33" s="1947"/>
      <c r="DN33" s="1947"/>
      <c r="DO33" s="1947"/>
      <c r="DP33" s="1947"/>
      <c r="DQ33" s="1947"/>
      <c r="DR33" s="1947"/>
      <c r="DS33" s="1947"/>
      <c r="DT33" s="1947"/>
      <c r="DU33" s="1947"/>
      <c r="DV33" s="1947"/>
      <c r="DW33" s="1947"/>
      <c r="DX33" s="1947"/>
      <c r="DY33" s="1947"/>
      <c r="DZ33" s="1947"/>
      <c r="EA33" s="1947"/>
      <c r="EB33" s="1947"/>
      <c r="EC33" s="1947"/>
      <c r="ED33" s="1947"/>
      <c r="EE33" s="1947"/>
      <c r="EF33" s="1947"/>
      <c r="EG33" s="1947"/>
      <c r="EH33" s="1947"/>
      <c r="EI33" s="1947"/>
      <c r="EJ33" s="1947"/>
      <c r="EK33" s="1947"/>
      <c r="EL33" s="1947"/>
      <c r="EM33" s="1947"/>
      <c r="EN33" s="1947"/>
      <c r="EO33" s="1947"/>
      <c r="EP33" s="1947"/>
      <c r="EQ33" s="1947"/>
      <c r="ER33" s="1947"/>
      <c r="ES33" s="1947"/>
      <c r="ET33" s="1947"/>
      <c r="EU33" s="1947"/>
      <c r="EV33" s="1947"/>
      <c r="EW33" s="1947"/>
      <c r="EX33" s="1947"/>
      <c r="EY33" s="1947"/>
      <c r="EZ33" s="1947"/>
      <c r="FA33" s="1947"/>
      <c r="FB33" s="1947"/>
      <c r="FC33" s="1947"/>
      <c r="FD33" s="1947"/>
      <c r="FE33" s="1947"/>
      <c r="FF33" s="1947"/>
      <c r="FG33" s="1947"/>
      <c r="FH33" s="1947"/>
      <c r="FI33" s="1947"/>
      <c r="FJ33" s="1947"/>
      <c r="FK33" s="1947"/>
      <c r="FL33" s="1947"/>
      <c r="FM33" s="1947"/>
      <c r="FN33" s="1947"/>
      <c r="FO33" s="1947"/>
      <c r="FP33" s="1947"/>
      <c r="FQ33" s="1947"/>
      <c r="FR33" s="1947"/>
      <c r="FS33" s="1947"/>
      <c r="FT33" s="1947"/>
      <c r="FU33" s="1947"/>
      <c r="FV33" s="1947"/>
      <c r="FW33" s="1947"/>
      <c r="FX33" s="1947"/>
      <c r="FY33" s="1947"/>
      <c r="FZ33" s="1947"/>
      <c r="GA33" s="1947"/>
      <c r="GB33" s="1947"/>
      <c r="GC33" s="1947"/>
      <c r="GD33" s="1947"/>
      <c r="GE33" s="1947"/>
      <c r="GF33" s="1947"/>
      <c r="GG33" s="1947"/>
      <c r="GH33" s="1947"/>
      <c r="GI33" s="1947"/>
      <c r="GJ33" s="1947"/>
      <c r="GK33" s="1947"/>
      <c r="GL33" s="1947"/>
      <c r="GM33" s="1947"/>
      <c r="GN33" s="1947"/>
      <c r="GO33" s="1947"/>
      <c r="GP33" s="1947"/>
      <c r="GQ33" s="1947"/>
      <c r="GR33" s="1947"/>
      <c r="GS33" s="1947"/>
      <c r="GT33" s="1947"/>
      <c r="GU33" s="1947"/>
      <c r="GV33" s="1947"/>
      <c r="GW33" s="1947"/>
      <c r="GX33" s="1947"/>
      <c r="GY33" s="1947"/>
      <c r="GZ33" s="1947"/>
      <c r="HA33" s="1947"/>
      <c r="HB33" s="1947"/>
      <c r="HC33" s="1947"/>
      <c r="HD33" s="1947"/>
      <c r="HE33" s="1947"/>
      <c r="HF33" s="1947"/>
      <c r="HG33" s="1947"/>
      <c r="HH33" s="1947"/>
      <c r="HI33" s="1947"/>
      <c r="HJ33" s="1947"/>
      <c r="HK33" s="1947"/>
      <c r="HL33" s="1947"/>
      <c r="HM33" s="1947"/>
      <c r="HN33" s="1947"/>
      <c r="HO33" s="1947"/>
      <c r="HP33" s="1947"/>
      <c r="HQ33" s="1947"/>
      <c r="HR33" s="1947"/>
      <c r="HS33" s="1947"/>
      <c r="HT33" s="1947"/>
      <c r="HU33" s="1947"/>
      <c r="HV33" s="1947"/>
      <c r="HW33" s="1947"/>
      <c r="HX33" s="1947"/>
      <c r="HY33" s="1947"/>
      <c r="HZ33" s="1947"/>
      <c r="IA33" s="1947"/>
      <c r="IB33" s="1947"/>
      <c r="IC33" s="1947"/>
      <c r="ID33" s="1947"/>
      <c r="IE33" s="1947"/>
      <c r="IF33" s="1947"/>
      <c r="IG33" s="1947"/>
      <c r="IH33" s="1947"/>
      <c r="II33" s="1947"/>
      <c r="IJ33" s="1947"/>
      <c r="IK33" s="1947"/>
      <c r="IL33" s="1947"/>
      <c r="IM33" s="1947"/>
      <c r="IN33" s="1947"/>
      <c r="IO33" s="1947"/>
      <c r="IP33" s="1947"/>
      <c r="IQ33" s="1947"/>
    </row>
    <row r="34" spans="1:251" hidden="1">
      <c r="A34" s="1026"/>
      <c r="B34" s="1955"/>
      <c r="C34" s="1955"/>
      <c r="D34" s="2034"/>
      <c r="E34" s="1955"/>
      <c r="F34" s="1942">
        <f t="shared" si="15"/>
        <v>0</v>
      </c>
      <c r="G34" s="1026"/>
      <c r="H34" s="1942">
        <f t="shared" ref="H34:H46" si="16">D34*F34*G34</f>
        <v>0</v>
      </c>
      <c r="I34" s="1026"/>
      <c r="J34" s="1942">
        <f t="shared" si="6"/>
        <v>0</v>
      </c>
      <c r="K34" s="1026"/>
      <c r="L34" s="1942">
        <f t="shared" ref="L34:L46" si="17">K34*F34</f>
        <v>0</v>
      </c>
      <c r="M34" s="1942">
        <f t="shared" ref="M34:M46" si="18">D34*G34*(J34+L34)</f>
        <v>0</v>
      </c>
      <c r="N34" s="1942">
        <f t="shared" ref="N34:N46" si="19">H34+M34</f>
        <v>0</v>
      </c>
      <c r="O34" s="1026"/>
      <c r="P34" s="1026"/>
      <c r="Q34" s="1942">
        <f t="shared" ref="Q34:Q46" si="20">N34+O34+P34</f>
        <v>0</v>
      </c>
      <c r="R34" s="1942">
        <f t="shared" si="10"/>
        <v>0</v>
      </c>
      <c r="S34" s="1942">
        <f t="shared" ref="S34:S46" si="21">(Q34-R34)*10%</f>
        <v>0</v>
      </c>
      <c r="T34" s="1942">
        <f t="shared" ref="T34:T46" si="22">(Q34-R34)*6%</f>
        <v>0</v>
      </c>
      <c r="U34" s="1942">
        <f t="shared" ref="U34:U46" si="23">(Q34-R34)*5%</f>
        <v>0</v>
      </c>
      <c r="V34" s="3034">
        <f t="shared" si="2"/>
        <v>0</v>
      </c>
      <c r="W34" s="1942"/>
      <c r="X34" s="1923">
        <v>0.01</v>
      </c>
      <c r="Y34" s="1947"/>
      <c r="Z34" s="1947"/>
      <c r="AA34" s="1947"/>
      <c r="AB34" s="1947"/>
      <c r="AC34" s="1947"/>
      <c r="AD34" s="1947"/>
      <c r="AE34" s="1947"/>
      <c r="AF34" s="1947"/>
      <c r="AG34" s="1947"/>
      <c r="AH34" s="1947"/>
      <c r="AI34" s="1947"/>
      <c r="AJ34" s="1947"/>
      <c r="AK34" s="1947"/>
      <c r="AL34" s="1947"/>
      <c r="AM34" s="1947"/>
      <c r="AN34" s="1947"/>
      <c r="AO34" s="1947"/>
      <c r="AP34" s="1947"/>
      <c r="AQ34" s="1947"/>
      <c r="AR34" s="1947"/>
      <c r="AS34" s="1947"/>
      <c r="AT34" s="1947"/>
      <c r="AU34" s="1947"/>
      <c r="AV34" s="1947"/>
      <c r="AW34" s="1947"/>
      <c r="AX34" s="1947"/>
      <c r="AY34" s="1947"/>
      <c r="AZ34" s="1947"/>
      <c r="BA34" s="1947"/>
      <c r="BB34" s="1947"/>
      <c r="BC34" s="1947"/>
      <c r="BD34" s="1947"/>
      <c r="BE34" s="1947"/>
      <c r="BF34" s="1947"/>
      <c r="BG34" s="1947"/>
      <c r="BH34" s="1947"/>
      <c r="BI34" s="1947"/>
      <c r="BJ34" s="1947"/>
      <c r="BK34" s="1947"/>
      <c r="BL34" s="1947"/>
      <c r="BM34" s="1947"/>
      <c r="BN34" s="1947"/>
      <c r="BO34" s="1947"/>
      <c r="BP34" s="1947"/>
      <c r="BQ34" s="1947"/>
      <c r="BR34" s="1947"/>
      <c r="BS34" s="1947"/>
      <c r="BT34" s="1947"/>
      <c r="BU34" s="1947"/>
      <c r="BV34" s="1947"/>
      <c r="BW34" s="1947"/>
      <c r="BX34" s="1947"/>
      <c r="BY34" s="1947"/>
      <c r="BZ34" s="1947"/>
      <c r="CA34" s="1947"/>
      <c r="CB34" s="1947"/>
      <c r="CC34" s="1947"/>
      <c r="CD34" s="1947"/>
      <c r="CE34" s="1947"/>
      <c r="CF34" s="1947"/>
      <c r="CG34" s="1947"/>
      <c r="CH34" s="1947"/>
      <c r="CI34" s="1947"/>
      <c r="CJ34" s="1947"/>
      <c r="CK34" s="1947"/>
      <c r="CL34" s="1947"/>
      <c r="CM34" s="1947"/>
      <c r="CN34" s="1947"/>
      <c r="CO34" s="1947"/>
      <c r="CP34" s="1947"/>
      <c r="CQ34" s="1947"/>
      <c r="CR34" s="1947"/>
      <c r="CS34" s="1947"/>
      <c r="CT34" s="1947"/>
      <c r="CU34" s="1947"/>
      <c r="CV34" s="1947"/>
      <c r="CW34" s="1947"/>
      <c r="CX34" s="1947"/>
      <c r="CY34" s="1947"/>
      <c r="CZ34" s="1947"/>
      <c r="DA34" s="1947"/>
      <c r="DB34" s="1947"/>
      <c r="DC34" s="1947"/>
      <c r="DD34" s="1947"/>
      <c r="DE34" s="1947"/>
      <c r="DF34" s="1947"/>
      <c r="DG34" s="1947"/>
      <c r="DH34" s="1947"/>
      <c r="DI34" s="1947"/>
      <c r="DJ34" s="1947"/>
      <c r="DK34" s="1947"/>
      <c r="DL34" s="1947"/>
      <c r="DM34" s="1947"/>
      <c r="DN34" s="1947"/>
      <c r="DO34" s="1947"/>
      <c r="DP34" s="1947"/>
      <c r="DQ34" s="1947"/>
      <c r="DR34" s="1947"/>
      <c r="DS34" s="1947"/>
      <c r="DT34" s="1947"/>
      <c r="DU34" s="1947"/>
      <c r="DV34" s="1947"/>
      <c r="DW34" s="1947"/>
      <c r="DX34" s="1947"/>
      <c r="DY34" s="1947"/>
      <c r="DZ34" s="1947"/>
      <c r="EA34" s="1947"/>
      <c r="EB34" s="1947"/>
      <c r="EC34" s="1947"/>
      <c r="ED34" s="1947"/>
      <c r="EE34" s="1947"/>
      <c r="EF34" s="1947"/>
      <c r="EG34" s="1947"/>
      <c r="EH34" s="1947"/>
      <c r="EI34" s="1947"/>
      <c r="EJ34" s="1947"/>
      <c r="EK34" s="1947"/>
      <c r="EL34" s="1947"/>
      <c r="EM34" s="1947"/>
      <c r="EN34" s="1947"/>
      <c r="EO34" s="1947"/>
      <c r="EP34" s="1947"/>
      <c r="EQ34" s="1947"/>
      <c r="ER34" s="1947"/>
      <c r="ES34" s="1947"/>
      <c r="ET34" s="1947"/>
      <c r="EU34" s="1947"/>
      <c r="EV34" s="1947"/>
      <c r="EW34" s="1947"/>
      <c r="EX34" s="1947"/>
      <c r="EY34" s="1947"/>
      <c r="EZ34" s="1947"/>
      <c r="FA34" s="1947"/>
      <c r="FB34" s="1947"/>
      <c r="FC34" s="1947"/>
      <c r="FD34" s="1947"/>
      <c r="FE34" s="1947"/>
      <c r="FF34" s="1947"/>
      <c r="FG34" s="1947"/>
      <c r="FH34" s="1947"/>
      <c r="FI34" s="1947"/>
      <c r="FJ34" s="1947"/>
      <c r="FK34" s="1947"/>
      <c r="FL34" s="1947"/>
      <c r="FM34" s="1947"/>
      <c r="FN34" s="1947"/>
      <c r="FO34" s="1947"/>
      <c r="FP34" s="1947"/>
      <c r="FQ34" s="1947"/>
      <c r="FR34" s="1947"/>
      <c r="FS34" s="1947"/>
      <c r="FT34" s="1947"/>
      <c r="FU34" s="1947"/>
      <c r="FV34" s="1947"/>
      <c r="FW34" s="1947"/>
      <c r="FX34" s="1947"/>
      <c r="FY34" s="1947"/>
      <c r="FZ34" s="1947"/>
      <c r="GA34" s="1947"/>
      <c r="GB34" s="1947"/>
      <c r="GC34" s="1947"/>
      <c r="GD34" s="1947"/>
      <c r="GE34" s="1947"/>
      <c r="GF34" s="1947"/>
      <c r="GG34" s="1947"/>
      <c r="GH34" s="1947"/>
      <c r="GI34" s="1947"/>
      <c r="GJ34" s="1947"/>
      <c r="GK34" s="1947"/>
      <c r="GL34" s="1947"/>
      <c r="GM34" s="1947"/>
      <c r="GN34" s="1947"/>
      <c r="GO34" s="1947"/>
      <c r="GP34" s="1947"/>
      <c r="GQ34" s="1947"/>
      <c r="GR34" s="1947"/>
      <c r="GS34" s="1947"/>
      <c r="GT34" s="1947"/>
      <c r="GU34" s="1947"/>
      <c r="GV34" s="1947"/>
      <c r="GW34" s="1947"/>
      <c r="GX34" s="1947"/>
      <c r="GY34" s="1947"/>
      <c r="GZ34" s="1947"/>
      <c r="HA34" s="1947"/>
      <c r="HB34" s="1947"/>
      <c r="HC34" s="1947"/>
      <c r="HD34" s="1947"/>
      <c r="HE34" s="1947"/>
      <c r="HF34" s="1947"/>
      <c r="HG34" s="1947"/>
      <c r="HH34" s="1947"/>
      <c r="HI34" s="1947"/>
      <c r="HJ34" s="1947"/>
      <c r="HK34" s="1947"/>
      <c r="HL34" s="1947"/>
      <c r="HM34" s="1947"/>
      <c r="HN34" s="1947"/>
      <c r="HO34" s="1947"/>
      <c r="HP34" s="1947"/>
      <c r="HQ34" s="1947"/>
      <c r="HR34" s="1947"/>
      <c r="HS34" s="1947"/>
      <c r="HT34" s="1947"/>
      <c r="HU34" s="1947"/>
      <c r="HV34" s="1947"/>
      <c r="HW34" s="1947"/>
      <c r="HX34" s="1947"/>
      <c r="HY34" s="1947"/>
      <c r="HZ34" s="1947"/>
      <c r="IA34" s="1947"/>
      <c r="IB34" s="1947"/>
      <c r="IC34" s="1947"/>
      <c r="ID34" s="1947"/>
      <c r="IE34" s="1947"/>
      <c r="IF34" s="1947"/>
      <c r="IG34" s="1947"/>
      <c r="IH34" s="1947"/>
      <c r="II34" s="1947"/>
      <c r="IJ34" s="1947"/>
      <c r="IK34" s="1947"/>
      <c r="IL34" s="1947"/>
      <c r="IM34" s="1947"/>
      <c r="IN34" s="1947"/>
      <c r="IO34" s="1947"/>
      <c r="IP34" s="1947"/>
      <c r="IQ34" s="1947"/>
    </row>
    <row r="35" spans="1:251" hidden="1">
      <c r="A35" s="1026"/>
      <c r="B35" s="1955"/>
      <c r="C35" s="1955"/>
      <c r="D35" s="2034"/>
      <c r="E35" s="1955"/>
      <c r="F35" s="1942">
        <f t="shared" si="15"/>
        <v>0</v>
      </c>
      <c r="G35" s="1026"/>
      <c r="H35" s="1942">
        <f t="shared" si="16"/>
        <v>0</v>
      </c>
      <c r="I35" s="1026"/>
      <c r="J35" s="1942">
        <f t="shared" si="6"/>
        <v>0</v>
      </c>
      <c r="K35" s="1026"/>
      <c r="L35" s="1942">
        <f t="shared" si="17"/>
        <v>0</v>
      </c>
      <c r="M35" s="1942">
        <f t="shared" si="18"/>
        <v>0</v>
      </c>
      <c r="N35" s="1942">
        <f t="shared" si="19"/>
        <v>0</v>
      </c>
      <c r="O35" s="1026"/>
      <c r="P35" s="1026"/>
      <c r="Q35" s="1942">
        <f t="shared" si="20"/>
        <v>0</v>
      </c>
      <c r="R35" s="1942">
        <f t="shared" si="10"/>
        <v>0</v>
      </c>
      <c r="S35" s="1942">
        <f t="shared" si="21"/>
        <v>0</v>
      </c>
      <c r="T35" s="1942">
        <f t="shared" si="22"/>
        <v>0</v>
      </c>
      <c r="U35" s="1942">
        <f t="shared" si="23"/>
        <v>0</v>
      </c>
      <c r="V35" s="3034">
        <f t="shared" si="2"/>
        <v>0</v>
      </c>
      <c r="W35" s="1942"/>
      <c r="X35" s="1923">
        <v>0.01</v>
      </c>
      <c r="Y35" s="1947"/>
      <c r="Z35" s="1947"/>
      <c r="AA35" s="1947"/>
      <c r="AB35" s="1947"/>
      <c r="AC35" s="1947"/>
      <c r="AD35" s="1947"/>
      <c r="AE35" s="1947"/>
      <c r="AF35" s="1947"/>
      <c r="AG35" s="1947"/>
      <c r="AH35" s="1947"/>
      <c r="AI35" s="1947"/>
      <c r="AJ35" s="1947"/>
      <c r="AK35" s="1947"/>
      <c r="AL35" s="1947"/>
      <c r="AM35" s="1947"/>
      <c r="AN35" s="1947"/>
      <c r="AO35" s="1947"/>
      <c r="AP35" s="1947"/>
      <c r="AQ35" s="1947"/>
      <c r="AR35" s="1947"/>
      <c r="AS35" s="1947"/>
      <c r="AT35" s="1947"/>
      <c r="AU35" s="1947"/>
      <c r="AV35" s="1947"/>
      <c r="AW35" s="1947"/>
      <c r="AX35" s="1947"/>
      <c r="AY35" s="1947"/>
      <c r="AZ35" s="1947"/>
      <c r="BA35" s="1947"/>
      <c r="BB35" s="1947"/>
      <c r="BC35" s="1947"/>
      <c r="BD35" s="1947"/>
      <c r="BE35" s="1947"/>
      <c r="BF35" s="1947"/>
      <c r="BG35" s="1947"/>
      <c r="BH35" s="1947"/>
      <c r="BI35" s="1947"/>
      <c r="BJ35" s="1947"/>
      <c r="BK35" s="1947"/>
      <c r="BL35" s="1947"/>
      <c r="BM35" s="1947"/>
      <c r="BN35" s="1947"/>
      <c r="BO35" s="1947"/>
      <c r="BP35" s="1947"/>
      <c r="BQ35" s="1947"/>
      <c r="BR35" s="1947"/>
      <c r="BS35" s="1947"/>
      <c r="BT35" s="1947"/>
      <c r="BU35" s="1947"/>
      <c r="BV35" s="1947"/>
      <c r="BW35" s="1947"/>
      <c r="BX35" s="1947"/>
      <c r="BY35" s="1947"/>
      <c r="BZ35" s="1947"/>
      <c r="CA35" s="1947"/>
      <c r="CB35" s="1947"/>
      <c r="CC35" s="1947"/>
      <c r="CD35" s="1947"/>
      <c r="CE35" s="1947"/>
      <c r="CF35" s="1947"/>
      <c r="CG35" s="1947"/>
      <c r="CH35" s="1947"/>
      <c r="CI35" s="1947"/>
      <c r="CJ35" s="1947"/>
      <c r="CK35" s="1947"/>
      <c r="CL35" s="1947"/>
      <c r="CM35" s="1947"/>
      <c r="CN35" s="1947"/>
      <c r="CO35" s="1947"/>
      <c r="CP35" s="1947"/>
      <c r="CQ35" s="1947"/>
      <c r="CR35" s="1947"/>
      <c r="CS35" s="1947"/>
      <c r="CT35" s="1947"/>
      <c r="CU35" s="1947"/>
      <c r="CV35" s="1947"/>
      <c r="CW35" s="1947"/>
      <c r="CX35" s="1947"/>
      <c r="CY35" s="1947"/>
      <c r="CZ35" s="1947"/>
      <c r="DA35" s="1947"/>
      <c r="DB35" s="1947"/>
      <c r="DC35" s="1947"/>
      <c r="DD35" s="1947"/>
      <c r="DE35" s="1947"/>
      <c r="DF35" s="1947"/>
      <c r="DG35" s="1947"/>
      <c r="DH35" s="1947"/>
      <c r="DI35" s="1947"/>
      <c r="DJ35" s="1947"/>
      <c r="DK35" s="1947"/>
      <c r="DL35" s="1947"/>
      <c r="DM35" s="1947"/>
      <c r="DN35" s="1947"/>
      <c r="DO35" s="1947"/>
      <c r="DP35" s="1947"/>
      <c r="DQ35" s="1947"/>
      <c r="DR35" s="1947"/>
      <c r="DS35" s="1947"/>
      <c r="DT35" s="1947"/>
      <c r="DU35" s="1947"/>
      <c r="DV35" s="1947"/>
      <c r="DW35" s="1947"/>
      <c r="DX35" s="1947"/>
      <c r="DY35" s="1947"/>
      <c r="DZ35" s="1947"/>
      <c r="EA35" s="1947"/>
      <c r="EB35" s="1947"/>
      <c r="EC35" s="1947"/>
      <c r="ED35" s="1947"/>
      <c r="EE35" s="1947"/>
      <c r="EF35" s="1947"/>
      <c r="EG35" s="1947"/>
      <c r="EH35" s="1947"/>
      <c r="EI35" s="1947"/>
      <c r="EJ35" s="1947"/>
      <c r="EK35" s="1947"/>
      <c r="EL35" s="1947"/>
      <c r="EM35" s="1947"/>
      <c r="EN35" s="1947"/>
      <c r="EO35" s="1947"/>
      <c r="EP35" s="1947"/>
      <c r="EQ35" s="1947"/>
      <c r="ER35" s="1947"/>
      <c r="ES35" s="1947"/>
      <c r="ET35" s="1947"/>
      <c r="EU35" s="1947"/>
      <c r="EV35" s="1947"/>
      <c r="EW35" s="1947"/>
      <c r="EX35" s="1947"/>
      <c r="EY35" s="1947"/>
      <c r="EZ35" s="1947"/>
      <c r="FA35" s="1947"/>
      <c r="FB35" s="1947"/>
      <c r="FC35" s="1947"/>
      <c r="FD35" s="1947"/>
      <c r="FE35" s="1947"/>
      <c r="FF35" s="1947"/>
      <c r="FG35" s="1947"/>
      <c r="FH35" s="1947"/>
      <c r="FI35" s="1947"/>
      <c r="FJ35" s="1947"/>
      <c r="FK35" s="1947"/>
      <c r="FL35" s="1947"/>
      <c r="FM35" s="1947"/>
      <c r="FN35" s="1947"/>
      <c r="FO35" s="1947"/>
      <c r="FP35" s="1947"/>
      <c r="FQ35" s="1947"/>
      <c r="FR35" s="1947"/>
      <c r="FS35" s="1947"/>
      <c r="FT35" s="1947"/>
      <c r="FU35" s="1947"/>
      <c r="FV35" s="1947"/>
      <c r="FW35" s="1947"/>
      <c r="FX35" s="1947"/>
      <c r="FY35" s="1947"/>
      <c r="FZ35" s="1947"/>
      <c r="GA35" s="1947"/>
      <c r="GB35" s="1947"/>
      <c r="GC35" s="1947"/>
      <c r="GD35" s="1947"/>
      <c r="GE35" s="1947"/>
      <c r="GF35" s="1947"/>
      <c r="GG35" s="1947"/>
      <c r="GH35" s="1947"/>
      <c r="GI35" s="1947"/>
      <c r="GJ35" s="1947"/>
      <c r="GK35" s="1947"/>
      <c r="GL35" s="1947"/>
      <c r="GM35" s="1947"/>
      <c r="GN35" s="1947"/>
      <c r="GO35" s="1947"/>
      <c r="GP35" s="1947"/>
      <c r="GQ35" s="1947"/>
      <c r="GR35" s="1947"/>
      <c r="GS35" s="1947"/>
      <c r="GT35" s="1947"/>
      <c r="GU35" s="1947"/>
      <c r="GV35" s="1947"/>
      <c r="GW35" s="1947"/>
      <c r="GX35" s="1947"/>
      <c r="GY35" s="1947"/>
      <c r="GZ35" s="1947"/>
      <c r="HA35" s="1947"/>
      <c r="HB35" s="1947"/>
      <c r="HC35" s="1947"/>
      <c r="HD35" s="1947"/>
      <c r="HE35" s="1947"/>
      <c r="HF35" s="1947"/>
      <c r="HG35" s="1947"/>
      <c r="HH35" s="1947"/>
      <c r="HI35" s="1947"/>
      <c r="HJ35" s="1947"/>
      <c r="HK35" s="1947"/>
      <c r="HL35" s="1947"/>
      <c r="HM35" s="1947"/>
      <c r="HN35" s="1947"/>
      <c r="HO35" s="1947"/>
      <c r="HP35" s="1947"/>
      <c r="HQ35" s="1947"/>
      <c r="HR35" s="1947"/>
      <c r="HS35" s="1947"/>
      <c r="HT35" s="1947"/>
      <c r="HU35" s="1947"/>
      <c r="HV35" s="1947"/>
      <c r="HW35" s="1947"/>
      <c r="HX35" s="1947"/>
      <c r="HY35" s="1947"/>
      <c r="HZ35" s="1947"/>
      <c r="IA35" s="1947"/>
      <c r="IB35" s="1947"/>
      <c r="IC35" s="1947"/>
      <c r="ID35" s="1947"/>
      <c r="IE35" s="1947"/>
      <c r="IF35" s="1947"/>
      <c r="IG35" s="1947"/>
      <c r="IH35" s="1947"/>
      <c r="II35" s="1947"/>
      <c r="IJ35" s="1947"/>
      <c r="IK35" s="1947"/>
      <c r="IL35" s="1947"/>
      <c r="IM35" s="1947"/>
      <c r="IN35" s="1947"/>
      <c r="IO35" s="1947"/>
      <c r="IP35" s="1947"/>
      <c r="IQ35" s="1947"/>
    </row>
    <row r="36" spans="1:251" hidden="1">
      <c r="A36" s="1026"/>
      <c r="B36" s="1955"/>
      <c r="C36" s="1955"/>
      <c r="D36" s="2034"/>
      <c r="E36" s="1955"/>
      <c r="F36" s="1942">
        <f t="shared" si="15"/>
        <v>0</v>
      </c>
      <c r="G36" s="1026"/>
      <c r="H36" s="1942">
        <f t="shared" si="16"/>
        <v>0</v>
      </c>
      <c r="I36" s="1026"/>
      <c r="J36" s="1942">
        <f t="shared" si="6"/>
        <v>0</v>
      </c>
      <c r="K36" s="1026"/>
      <c r="L36" s="1942">
        <f t="shared" si="17"/>
        <v>0</v>
      </c>
      <c r="M36" s="1942">
        <f t="shared" si="18"/>
        <v>0</v>
      </c>
      <c r="N36" s="1942">
        <f t="shared" si="19"/>
        <v>0</v>
      </c>
      <c r="O36" s="1026"/>
      <c r="P36" s="1026"/>
      <c r="Q36" s="1942">
        <f t="shared" si="20"/>
        <v>0</v>
      </c>
      <c r="R36" s="1942">
        <f t="shared" si="10"/>
        <v>0</v>
      </c>
      <c r="S36" s="1942">
        <f t="shared" si="21"/>
        <v>0</v>
      </c>
      <c r="T36" s="1942">
        <f t="shared" si="22"/>
        <v>0</v>
      </c>
      <c r="U36" s="1942">
        <f t="shared" si="23"/>
        <v>0</v>
      </c>
      <c r="V36" s="3034">
        <f t="shared" si="2"/>
        <v>0</v>
      </c>
      <c r="W36" s="1942"/>
      <c r="X36" s="1923">
        <v>0.01</v>
      </c>
      <c r="Y36" s="1947"/>
      <c r="Z36" s="1947"/>
      <c r="AA36" s="1947"/>
      <c r="AB36" s="1947"/>
      <c r="AC36" s="1947"/>
      <c r="AD36" s="1947"/>
      <c r="AE36" s="1947"/>
      <c r="AF36" s="1947"/>
      <c r="AG36" s="1947"/>
      <c r="AH36" s="1947"/>
      <c r="AI36" s="1947"/>
      <c r="AJ36" s="1947"/>
      <c r="AK36" s="1947"/>
      <c r="AL36" s="1947"/>
      <c r="AM36" s="1947"/>
      <c r="AN36" s="1947"/>
      <c r="AO36" s="1947"/>
      <c r="AP36" s="1947"/>
      <c r="AQ36" s="1947"/>
      <c r="AR36" s="1947"/>
      <c r="AS36" s="1947"/>
      <c r="AT36" s="1947"/>
      <c r="AU36" s="1947"/>
      <c r="AV36" s="1947"/>
      <c r="AW36" s="1947"/>
      <c r="AX36" s="1947"/>
      <c r="AY36" s="1947"/>
      <c r="AZ36" s="1947"/>
      <c r="BA36" s="1947"/>
      <c r="BB36" s="1947"/>
      <c r="BC36" s="1947"/>
      <c r="BD36" s="1947"/>
      <c r="BE36" s="1947"/>
      <c r="BF36" s="1947"/>
      <c r="BG36" s="1947"/>
      <c r="BH36" s="1947"/>
      <c r="BI36" s="1947"/>
      <c r="BJ36" s="1947"/>
      <c r="BK36" s="1947"/>
      <c r="BL36" s="1947"/>
      <c r="BM36" s="1947"/>
      <c r="BN36" s="1947"/>
      <c r="BO36" s="1947"/>
      <c r="BP36" s="1947"/>
      <c r="BQ36" s="1947"/>
      <c r="BR36" s="1947"/>
      <c r="BS36" s="1947"/>
      <c r="BT36" s="1947"/>
      <c r="BU36" s="1947"/>
      <c r="BV36" s="1947"/>
      <c r="BW36" s="1947"/>
      <c r="BX36" s="1947"/>
      <c r="BY36" s="1947"/>
      <c r="BZ36" s="1947"/>
      <c r="CA36" s="1947"/>
      <c r="CB36" s="1947"/>
      <c r="CC36" s="1947"/>
      <c r="CD36" s="1947"/>
      <c r="CE36" s="1947"/>
      <c r="CF36" s="1947"/>
      <c r="CG36" s="1947"/>
      <c r="CH36" s="1947"/>
      <c r="CI36" s="1947"/>
      <c r="CJ36" s="1947"/>
      <c r="CK36" s="1947"/>
      <c r="CL36" s="1947"/>
      <c r="CM36" s="1947"/>
      <c r="CN36" s="1947"/>
      <c r="CO36" s="1947"/>
      <c r="CP36" s="1947"/>
      <c r="CQ36" s="1947"/>
      <c r="CR36" s="1947"/>
      <c r="CS36" s="1947"/>
      <c r="CT36" s="1947"/>
      <c r="CU36" s="1947"/>
      <c r="CV36" s="1947"/>
      <c r="CW36" s="1947"/>
      <c r="CX36" s="1947"/>
      <c r="CY36" s="1947"/>
      <c r="CZ36" s="1947"/>
      <c r="DA36" s="1947"/>
      <c r="DB36" s="1947"/>
      <c r="DC36" s="1947"/>
      <c r="DD36" s="1947"/>
      <c r="DE36" s="1947"/>
      <c r="DF36" s="1947"/>
      <c r="DG36" s="1947"/>
      <c r="DH36" s="1947"/>
      <c r="DI36" s="1947"/>
      <c r="DJ36" s="1947"/>
      <c r="DK36" s="1947"/>
      <c r="DL36" s="1947"/>
      <c r="DM36" s="1947"/>
      <c r="DN36" s="1947"/>
      <c r="DO36" s="1947"/>
      <c r="DP36" s="1947"/>
      <c r="DQ36" s="1947"/>
      <c r="DR36" s="1947"/>
      <c r="DS36" s="1947"/>
      <c r="DT36" s="1947"/>
      <c r="DU36" s="1947"/>
      <c r="DV36" s="1947"/>
      <c r="DW36" s="1947"/>
      <c r="DX36" s="1947"/>
      <c r="DY36" s="1947"/>
      <c r="DZ36" s="1947"/>
      <c r="EA36" s="1947"/>
      <c r="EB36" s="1947"/>
      <c r="EC36" s="1947"/>
      <c r="ED36" s="1947"/>
      <c r="EE36" s="1947"/>
      <c r="EF36" s="1947"/>
      <c r="EG36" s="1947"/>
      <c r="EH36" s="1947"/>
      <c r="EI36" s="1947"/>
      <c r="EJ36" s="1947"/>
      <c r="EK36" s="1947"/>
      <c r="EL36" s="1947"/>
      <c r="EM36" s="1947"/>
      <c r="EN36" s="1947"/>
      <c r="EO36" s="1947"/>
      <c r="EP36" s="1947"/>
      <c r="EQ36" s="1947"/>
      <c r="ER36" s="1947"/>
      <c r="ES36" s="1947"/>
      <c r="ET36" s="1947"/>
      <c r="EU36" s="1947"/>
      <c r="EV36" s="1947"/>
      <c r="EW36" s="1947"/>
      <c r="EX36" s="1947"/>
      <c r="EY36" s="1947"/>
      <c r="EZ36" s="1947"/>
      <c r="FA36" s="1947"/>
      <c r="FB36" s="1947"/>
      <c r="FC36" s="1947"/>
      <c r="FD36" s="1947"/>
      <c r="FE36" s="1947"/>
      <c r="FF36" s="1947"/>
      <c r="FG36" s="1947"/>
      <c r="FH36" s="1947"/>
      <c r="FI36" s="1947"/>
      <c r="FJ36" s="1947"/>
      <c r="FK36" s="1947"/>
      <c r="FL36" s="1947"/>
      <c r="FM36" s="1947"/>
      <c r="FN36" s="1947"/>
      <c r="FO36" s="1947"/>
      <c r="FP36" s="1947"/>
      <c r="FQ36" s="1947"/>
      <c r="FR36" s="1947"/>
      <c r="FS36" s="1947"/>
      <c r="FT36" s="1947"/>
      <c r="FU36" s="1947"/>
      <c r="FV36" s="1947"/>
      <c r="FW36" s="1947"/>
      <c r="FX36" s="1947"/>
      <c r="FY36" s="1947"/>
      <c r="FZ36" s="1947"/>
      <c r="GA36" s="1947"/>
      <c r="GB36" s="1947"/>
      <c r="GC36" s="1947"/>
      <c r="GD36" s="1947"/>
      <c r="GE36" s="1947"/>
      <c r="GF36" s="1947"/>
      <c r="GG36" s="1947"/>
      <c r="GH36" s="1947"/>
      <c r="GI36" s="1947"/>
      <c r="GJ36" s="1947"/>
      <c r="GK36" s="1947"/>
      <c r="GL36" s="1947"/>
      <c r="GM36" s="1947"/>
      <c r="GN36" s="1947"/>
      <c r="GO36" s="1947"/>
      <c r="GP36" s="1947"/>
      <c r="GQ36" s="1947"/>
      <c r="GR36" s="1947"/>
      <c r="GS36" s="1947"/>
      <c r="GT36" s="1947"/>
      <c r="GU36" s="1947"/>
      <c r="GV36" s="1947"/>
      <c r="GW36" s="1947"/>
      <c r="GX36" s="1947"/>
      <c r="GY36" s="1947"/>
      <c r="GZ36" s="1947"/>
      <c r="HA36" s="1947"/>
      <c r="HB36" s="1947"/>
      <c r="HC36" s="1947"/>
      <c r="HD36" s="1947"/>
      <c r="HE36" s="1947"/>
      <c r="HF36" s="1947"/>
      <c r="HG36" s="1947"/>
      <c r="HH36" s="1947"/>
      <c r="HI36" s="1947"/>
      <c r="HJ36" s="1947"/>
      <c r="HK36" s="1947"/>
      <c r="HL36" s="1947"/>
      <c r="HM36" s="1947"/>
      <c r="HN36" s="1947"/>
      <c r="HO36" s="1947"/>
      <c r="HP36" s="1947"/>
      <c r="HQ36" s="1947"/>
      <c r="HR36" s="1947"/>
      <c r="HS36" s="1947"/>
      <c r="HT36" s="1947"/>
      <c r="HU36" s="1947"/>
      <c r="HV36" s="1947"/>
      <c r="HW36" s="1947"/>
      <c r="HX36" s="1947"/>
      <c r="HY36" s="1947"/>
      <c r="HZ36" s="1947"/>
      <c r="IA36" s="1947"/>
      <c r="IB36" s="1947"/>
      <c r="IC36" s="1947"/>
      <c r="ID36" s="1947"/>
      <c r="IE36" s="1947"/>
      <c r="IF36" s="1947"/>
      <c r="IG36" s="1947"/>
      <c r="IH36" s="1947"/>
      <c r="II36" s="1947"/>
      <c r="IJ36" s="1947"/>
      <c r="IK36" s="1947"/>
      <c r="IL36" s="1947"/>
      <c r="IM36" s="1947"/>
      <c r="IN36" s="1947"/>
      <c r="IO36" s="1947"/>
      <c r="IP36" s="1947"/>
      <c r="IQ36" s="1947"/>
    </row>
    <row r="37" spans="1:251" hidden="1">
      <c r="A37" s="1026"/>
      <c r="B37" s="1955"/>
      <c r="C37" s="1955"/>
      <c r="D37" s="2034"/>
      <c r="E37" s="1955"/>
      <c r="F37" s="1942">
        <f t="shared" si="15"/>
        <v>0</v>
      </c>
      <c r="G37" s="1026"/>
      <c r="H37" s="1942">
        <f t="shared" si="16"/>
        <v>0</v>
      </c>
      <c r="I37" s="1026"/>
      <c r="J37" s="1942">
        <f t="shared" si="6"/>
        <v>0</v>
      </c>
      <c r="K37" s="1026"/>
      <c r="L37" s="1942">
        <f t="shared" si="17"/>
        <v>0</v>
      </c>
      <c r="M37" s="1942">
        <f t="shared" si="18"/>
        <v>0</v>
      </c>
      <c r="N37" s="1942">
        <f t="shared" si="19"/>
        <v>0</v>
      </c>
      <c r="O37" s="1026"/>
      <c r="P37" s="1026"/>
      <c r="Q37" s="1942">
        <f t="shared" si="20"/>
        <v>0</v>
      </c>
      <c r="R37" s="1942">
        <f t="shared" si="10"/>
        <v>0</v>
      </c>
      <c r="S37" s="1942">
        <f t="shared" si="21"/>
        <v>0</v>
      </c>
      <c r="T37" s="1942">
        <f t="shared" si="22"/>
        <v>0</v>
      </c>
      <c r="U37" s="1942">
        <f t="shared" si="23"/>
        <v>0</v>
      </c>
      <c r="V37" s="3034">
        <f t="shared" si="2"/>
        <v>0</v>
      </c>
      <c r="W37" s="1942"/>
      <c r="X37" s="1923">
        <v>0.01</v>
      </c>
      <c r="Y37" s="1947"/>
      <c r="Z37" s="1947"/>
      <c r="AA37" s="1947"/>
      <c r="AB37" s="1947"/>
      <c r="AC37" s="1947"/>
      <c r="AD37" s="1947"/>
      <c r="AE37" s="1947"/>
      <c r="AF37" s="1947"/>
      <c r="AG37" s="1947"/>
      <c r="AH37" s="1947"/>
      <c r="AI37" s="1947"/>
      <c r="AJ37" s="1947"/>
      <c r="AK37" s="1947"/>
      <c r="AL37" s="1947"/>
      <c r="AM37" s="1947"/>
      <c r="AN37" s="1947"/>
      <c r="AO37" s="1947"/>
      <c r="AP37" s="1947"/>
      <c r="AQ37" s="1947"/>
      <c r="AR37" s="1947"/>
      <c r="AS37" s="1947"/>
      <c r="AT37" s="1947"/>
      <c r="AU37" s="1947"/>
      <c r="AV37" s="1947"/>
      <c r="AW37" s="1947"/>
      <c r="AX37" s="1947"/>
      <c r="AY37" s="1947"/>
      <c r="AZ37" s="1947"/>
      <c r="BA37" s="1947"/>
      <c r="BB37" s="1947"/>
      <c r="BC37" s="1947"/>
      <c r="BD37" s="1947"/>
      <c r="BE37" s="1947"/>
      <c r="BF37" s="1947"/>
      <c r="BG37" s="1947"/>
      <c r="BH37" s="1947"/>
      <c r="BI37" s="1947"/>
      <c r="BJ37" s="1947"/>
      <c r="BK37" s="1947"/>
      <c r="BL37" s="1947"/>
      <c r="BM37" s="1947"/>
      <c r="BN37" s="1947"/>
      <c r="BO37" s="1947"/>
      <c r="BP37" s="1947"/>
      <c r="BQ37" s="1947"/>
      <c r="BR37" s="1947"/>
      <c r="BS37" s="1947"/>
      <c r="BT37" s="1947"/>
      <c r="BU37" s="1947"/>
      <c r="BV37" s="1947"/>
      <c r="BW37" s="1947"/>
      <c r="BX37" s="1947"/>
      <c r="BY37" s="1947"/>
      <c r="BZ37" s="1947"/>
      <c r="CA37" s="1947"/>
      <c r="CB37" s="1947"/>
      <c r="CC37" s="1947"/>
      <c r="CD37" s="1947"/>
      <c r="CE37" s="1947"/>
      <c r="CF37" s="1947"/>
      <c r="CG37" s="1947"/>
      <c r="CH37" s="1947"/>
      <c r="CI37" s="1947"/>
      <c r="CJ37" s="1947"/>
      <c r="CK37" s="1947"/>
      <c r="CL37" s="1947"/>
      <c r="CM37" s="1947"/>
      <c r="CN37" s="1947"/>
      <c r="CO37" s="1947"/>
      <c r="CP37" s="1947"/>
      <c r="CQ37" s="1947"/>
      <c r="CR37" s="1947"/>
      <c r="CS37" s="1947"/>
      <c r="CT37" s="1947"/>
      <c r="CU37" s="1947"/>
      <c r="CV37" s="1947"/>
      <c r="CW37" s="1947"/>
      <c r="CX37" s="1947"/>
      <c r="CY37" s="1947"/>
      <c r="CZ37" s="1947"/>
      <c r="DA37" s="1947"/>
      <c r="DB37" s="1947"/>
      <c r="DC37" s="1947"/>
      <c r="DD37" s="1947"/>
      <c r="DE37" s="1947"/>
      <c r="DF37" s="1947"/>
      <c r="DG37" s="1947"/>
      <c r="DH37" s="1947"/>
      <c r="DI37" s="1947"/>
      <c r="DJ37" s="1947"/>
      <c r="DK37" s="1947"/>
      <c r="DL37" s="1947"/>
      <c r="DM37" s="1947"/>
      <c r="DN37" s="1947"/>
      <c r="DO37" s="1947"/>
      <c r="DP37" s="1947"/>
      <c r="DQ37" s="1947"/>
      <c r="DR37" s="1947"/>
      <c r="DS37" s="1947"/>
      <c r="DT37" s="1947"/>
      <c r="DU37" s="1947"/>
      <c r="DV37" s="1947"/>
      <c r="DW37" s="1947"/>
      <c r="DX37" s="1947"/>
      <c r="DY37" s="1947"/>
      <c r="DZ37" s="1947"/>
      <c r="EA37" s="1947"/>
      <c r="EB37" s="1947"/>
      <c r="EC37" s="1947"/>
      <c r="ED37" s="1947"/>
      <c r="EE37" s="1947"/>
      <c r="EF37" s="1947"/>
      <c r="EG37" s="1947"/>
      <c r="EH37" s="1947"/>
      <c r="EI37" s="1947"/>
      <c r="EJ37" s="1947"/>
      <c r="EK37" s="1947"/>
      <c r="EL37" s="1947"/>
      <c r="EM37" s="1947"/>
      <c r="EN37" s="1947"/>
      <c r="EO37" s="1947"/>
      <c r="EP37" s="1947"/>
      <c r="EQ37" s="1947"/>
      <c r="ER37" s="1947"/>
      <c r="ES37" s="1947"/>
      <c r="ET37" s="1947"/>
      <c r="EU37" s="1947"/>
      <c r="EV37" s="1947"/>
      <c r="EW37" s="1947"/>
      <c r="EX37" s="1947"/>
      <c r="EY37" s="1947"/>
      <c r="EZ37" s="1947"/>
      <c r="FA37" s="1947"/>
      <c r="FB37" s="1947"/>
      <c r="FC37" s="1947"/>
      <c r="FD37" s="1947"/>
      <c r="FE37" s="1947"/>
      <c r="FF37" s="1947"/>
      <c r="FG37" s="1947"/>
      <c r="FH37" s="1947"/>
      <c r="FI37" s="1947"/>
      <c r="FJ37" s="1947"/>
      <c r="FK37" s="1947"/>
      <c r="FL37" s="1947"/>
      <c r="FM37" s="1947"/>
      <c r="FN37" s="1947"/>
      <c r="FO37" s="1947"/>
      <c r="FP37" s="1947"/>
      <c r="FQ37" s="1947"/>
      <c r="FR37" s="1947"/>
      <c r="FS37" s="1947"/>
      <c r="FT37" s="1947"/>
      <c r="FU37" s="1947"/>
      <c r="FV37" s="1947"/>
      <c r="FW37" s="1947"/>
      <c r="FX37" s="1947"/>
      <c r="FY37" s="1947"/>
      <c r="FZ37" s="1947"/>
      <c r="GA37" s="1947"/>
      <c r="GB37" s="1947"/>
      <c r="GC37" s="1947"/>
      <c r="GD37" s="1947"/>
      <c r="GE37" s="1947"/>
      <c r="GF37" s="1947"/>
      <c r="GG37" s="1947"/>
      <c r="GH37" s="1947"/>
      <c r="GI37" s="1947"/>
      <c r="GJ37" s="1947"/>
      <c r="GK37" s="1947"/>
      <c r="GL37" s="1947"/>
      <c r="GM37" s="1947"/>
      <c r="GN37" s="1947"/>
      <c r="GO37" s="1947"/>
      <c r="GP37" s="1947"/>
      <c r="GQ37" s="1947"/>
      <c r="GR37" s="1947"/>
      <c r="GS37" s="1947"/>
      <c r="GT37" s="1947"/>
      <c r="GU37" s="1947"/>
      <c r="GV37" s="1947"/>
      <c r="GW37" s="1947"/>
      <c r="GX37" s="1947"/>
      <c r="GY37" s="1947"/>
      <c r="GZ37" s="1947"/>
      <c r="HA37" s="1947"/>
      <c r="HB37" s="1947"/>
      <c r="HC37" s="1947"/>
      <c r="HD37" s="1947"/>
      <c r="HE37" s="1947"/>
      <c r="HF37" s="1947"/>
      <c r="HG37" s="1947"/>
      <c r="HH37" s="1947"/>
      <c r="HI37" s="1947"/>
      <c r="HJ37" s="1947"/>
      <c r="HK37" s="1947"/>
      <c r="HL37" s="1947"/>
      <c r="HM37" s="1947"/>
      <c r="HN37" s="1947"/>
      <c r="HO37" s="1947"/>
      <c r="HP37" s="1947"/>
      <c r="HQ37" s="1947"/>
      <c r="HR37" s="1947"/>
      <c r="HS37" s="1947"/>
      <c r="HT37" s="1947"/>
      <c r="HU37" s="1947"/>
      <c r="HV37" s="1947"/>
      <c r="HW37" s="1947"/>
      <c r="HX37" s="1947"/>
      <c r="HY37" s="1947"/>
      <c r="HZ37" s="1947"/>
      <c r="IA37" s="1947"/>
      <c r="IB37" s="1947"/>
      <c r="IC37" s="1947"/>
      <c r="ID37" s="1947"/>
      <c r="IE37" s="1947"/>
      <c r="IF37" s="1947"/>
      <c r="IG37" s="1947"/>
      <c r="IH37" s="1947"/>
      <c r="II37" s="1947"/>
      <c r="IJ37" s="1947"/>
      <c r="IK37" s="1947"/>
      <c r="IL37" s="1947"/>
      <c r="IM37" s="1947"/>
      <c r="IN37" s="1947"/>
      <c r="IO37" s="1947"/>
      <c r="IP37" s="1947"/>
      <c r="IQ37" s="1947"/>
    </row>
    <row r="38" spans="1:251" hidden="1">
      <c r="A38" s="1026"/>
      <c r="B38" s="1955"/>
      <c r="C38" s="1955"/>
      <c r="D38" s="2034"/>
      <c r="E38" s="1955"/>
      <c r="F38" s="1942">
        <f t="shared" si="15"/>
        <v>0</v>
      </c>
      <c r="G38" s="1026"/>
      <c r="H38" s="1942">
        <f t="shared" si="16"/>
        <v>0</v>
      </c>
      <c r="I38" s="1026"/>
      <c r="J38" s="1942">
        <f t="shared" si="6"/>
        <v>0</v>
      </c>
      <c r="K38" s="1026"/>
      <c r="L38" s="1942">
        <f t="shared" si="17"/>
        <v>0</v>
      </c>
      <c r="M38" s="1942">
        <f t="shared" si="18"/>
        <v>0</v>
      </c>
      <c r="N38" s="1942">
        <f t="shared" si="19"/>
        <v>0</v>
      </c>
      <c r="O38" s="1026"/>
      <c r="P38" s="1026"/>
      <c r="Q38" s="1942">
        <f t="shared" si="20"/>
        <v>0</v>
      </c>
      <c r="R38" s="1942">
        <f t="shared" si="10"/>
        <v>0</v>
      </c>
      <c r="S38" s="1942">
        <f t="shared" si="21"/>
        <v>0</v>
      </c>
      <c r="T38" s="1942">
        <f t="shared" si="22"/>
        <v>0</v>
      </c>
      <c r="U38" s="1942">
        <f t="shared" si="23"/>
        <v>0</v>
      </c>
      <c r="V38" s="3034">
        <f t="shared" si="2"/>
        <v>0</v>
      </c>
      <c r="W38" s="1942"/>
      <c r="X38" s="1923">
        <v>0.01</v>
      </c>
      <c r="Y38" s="1947"/>
      <c r="Z38" s="1947"/>
      <c r="AA38" s="1947"/>
      <c r="AB38" s="1947"/>
      <c r="AC38" s="1947"/>
      <c r="AD38" s="1947"/>
      <c r="AE38" s="1947"/>
      <c r="AF38" s="1947"/>
      <c r="AG38" s="1947"/>
      <c r="AH38" s="1947"/>
      <c r="AI38" s="1947"/>
      <c r="AJ38" s="1947"/>
      <c r="AK38" s="1947"/>
      <c r="AL38" s="1947"/>
      <c r="AM38" s="1947"/>
      <c r="AN38" s="1947"/>
      <c r="AO38" s="1947"/>
      <c r="AP38" s="1947"/>
      <c r="AQ38" s="1947"/>
      <c r="AR38" s="1947"/>
      <c r="AS38" s="1947"/>
      <c r="AT38" s="1947"/>
      <c r="AU38" s="1947"/>
      <c r="AV38" s="1947"/>
      <c r="AW38" s="1947"/>
      <c r="AX38" s="1947"/>
      <c r="AY38" s="1947"/>
      <c r="AZ38" s="1947"/>
      <c r="BA38" s="1947"/>
      <c r="BB38" s="1947"/>
      <c r="BC38" s="1947"/>
      <c r="BD38" s="1947"/>
      <c r="BE38" s="1947"/>
      <c r="BF38" s="1947"/>
      <c r="BG38" s="1947"/>
      <c r="BH38" s="1947"/>
      <c r="BI38" s="1947"/>
      <c r="BJ38" s="1947"/>
      <c r="BK38" s="1947"/>
      <c r="BL38" s="1947"/>
      <c r="BM38" s="1947"/>
      <c r="BN38" s="1947"/>
      <c r="BO38" s="1947"/>
      <c r="BP38" s="1947"/>
      <c r="BQ38" s="1947"/>
      <c r="BR38" s="1947"/>
      <c r="BS38" s="1947"/>
      <c r="BT38" s="1947"/>
      <c r="BU38" s="1947"/>
      <c r="BV38" s="1947"/>
      <c r="BW38" s="1947"/>
      <c r="BX38" s="1947"/>
      <c r="BY38" s="1947"/>
      <c r="BZ38" s="1947"/>
      <c r="CA38" s="1947"/>
      <c r="CB38" s="1947"/>
      <c r="CC38" s="1947"/>
      <c r="CD38" s="1947"/>
      <c r="CE38" s="1947"/>
      <c r="CF38" s="1947"/>
      <c r="CG38" s="1947"/>
      <c r="CH38" s="1947"/>
      <c r="CI38" s="1947"/>
      <c r="CJ38" s="1947"/>
      <c r="CK38" s="1947"/>
      <c r="CL38" s="1947"/>
      <c r="CM38" s="1947"/>
      <c r="CN38" s="1947"/>
      <c r="CO38" s="1947"/>
      <c r="CP38" s="1947"/>
      <c r="CQ38" s="1947"/>
      <c r="CR38" s="1947"/>
      <c r="CS38" s="1947"/>
      <c r="CT38" s="1947"/>
      <c r="CU38" s="1947"/>
      <c r="CV38" s="1947"/>
      <c r="CW38" s="1947"/>
      <c r="CX38" s="1947"/>
      <c r="CY38" s="1947"/>
      <c r="CZ38" s="1947"/>
      <c r="DA38" s="1947"/>
      <c r="DB38" s="1947"/>
      <c r="DC38" s="1947"/>
      <c r="DD38" s="1947"/>
      <c r="DE38" s="1947"/>
      <c r="DF38" s="1947"/>
      <c r="DG38" s="1947"/>
      <c r="DH38" s="1947"/>
      <c r="DI38" s="1947"/>
      <c r="DJ38" s="1947"/>
      <c r="DK38" s="1947"/>
      <c r="DL38" s="1947"/>
      <c r="DM38" s="1947"/>
      <c r="DN38" s="1947"/>
      <c r="DO38" s="1947"/>
      <c r="DP38" s="1947"/>
      <c r="DQ38" s="1947"/>
      <c r="DR38" s="1947"/>
      <c r="DS38" s="1947"/>
      <c r="DT38" s="1947"/>
      <c r="DU38" s="1947"/>
      <c r="DV38" s="1947"/>
      <c r="DW38" s="1947"/>
      <c r="DX38" s="1947"/>
      <c r="DY38" s="1947"/>
      <c r="DZ38" s="1947"/>
      <c r="EA38" s="1947"/>
      <c r="EB38" s="1947"/>
      <c r="EC38" s="1947"/>
      <c r="ED38" s="1947"/>
      <c r="EE38" s="1947"/>
      <c r="EF38" s="1947"/>
      <c r="EG38" s="1947"/>
      <c r="EH38" s="1947"/>
      <c r="EI38" s="1947"/>
      <c r="EJ38" s="1947"/>
      <c r="EK38" s="1947"/>
      <c r="EL38" s="1947"/>
      <c r="EM38" s="1947"/>
      <c r="EN38" s="1947"/>
      <c r="EO38" s="1947"/>
      <c r="EP38" s="1947"/>
      <c r="EQ38" s="1947"/>
      <c r="ER38" s="1947"/>
      <c r="ES38" s="1947"/>
      <c r="ET38" s="1947"/>
      <c r="EU38" s="1947"/>
      <c r="EV38" s="1947"/>
      <c r="EW38" s="1947"/>
      <c r="EX38" s="1947"/>
      <c r="EY38" s="1947"/>
      <c r="EZ38" s="1947"/>
      <c r="FA38" s="1947"/>
      <c r="FB38" s="1947"/>
      <c r="FC38" s="1947"/>
      <c r="FD38" s="1947"/>
      <c r="FE38" s="1947"/>
      <c r="FF38" s="1947"/>
      <c r="FG38" s="1947"/>
      <c r="FH38" s="1947"/>
      <c r="FI38" s="1947"/>
      <c r="FJ38" s="1947"/>
      <c r="FK38" s="1947"/>
      <c r="FL38" s="1947"/>
      <c r="FM38" s="1947"/>
      <c r="FN38" s="1947"/>
      <c r="FO38" s="1947"/>
      <c r="FP38" s="1947"/>
      <c r="FQ38" s="1947"/>
      <c r="FR38" s="1947"/>
      <c r="FS38" s="1947"/>
      <c r="FT38" s="1947"/>
      <c r="FU38" s="1947"/>
      <c r="FV38" s="1947"/>
      <c r="FW38" s="1947"/>
      <c r="FX38" s="1947"/>
      <c r="FY38" s="1947"/>
      <c r="FZ38" s="1947"/>
      <c r="GA38" s="1947"/>
      <c r="GB38" s="1947"/>
      <c r="GC38" s="1947"/>
      <c r="GD38" s="1947"/>
      <c r="GE38" s="1947"/>
      <c r="GF38" s="1947"/>
      <c r="GG38" s="1947"/>
      <c r="GH38" s="1947"/>
      <c r="GI38" s="1947"/>
      <c r="GJ38" s="1947"/>
      <c r="GK38" s="1947"/>
      <c r="GL38" s="1947"/>
      <c r="GM38" s="1947"/>
      <c r="GN38" s="1947"/>
      <c r="GO38" s="1947"/>
      <c r="GP38" s="1947"/>
      <c r="GQ38" s="1947"/>
      <c r="GR38" s="1947"/>
      <c r="GS38" s="1947"/>
      <c r="GT38" s="1947"/>
      <c r="GU38" s="1947"/>
      <c r="GV38" s="1947"/>
      <c r="GW38" s="1947"/>
      <c r="GX38" s="1947"/>
      <c r="GY38" s="1947"/>
      <c r="GZ38" s="1947"/>
      <c r="HA38" s="1947"/>
      <c r="HB38" s="1947"/>
      <c r="HC38" s="1947"/>
      <c r="HD38" s="1947"/>
      <c r="HE38" s="1947"/>
      <c r="HF38" s="1947"/>
      <c r="HG38" s="1947"/>
      <c r="HH38" s="1947"/>
      <c r="HI38" s="1947"/>
      <c r="HJ38" s="1947"/>
      <c r="HK38" s="1947"/>
      <c r="HL38" s="1947"/>
      <c r="HM38" s="1947"/>
      <c r="HN38" s="1947"/>
      <c r="HO38" s="1947"/>
      <c r="HP38" s="1947"/>
      <c r="HQ38" s="1947"/>
      <c r="HR38" s="1947"/>
      <c r="HS38" s="1947"/>
      <c r="HT38" s="1947"/>
      <c r="HU38" s="1947"/>
      <c r="HV38" s="1947"/>
      <c r="HW38" s="1947"/>
      <c r="HX38" s="1947"/>
      <c r="HY38" s="1947"/>
      <c r="HZ38" s="1947"/>
      <c r="IA38" s="1947"/>
      <c r="IB38" s="1947"/>
      <c r="IC38" s="1947"/>
      <c r="ID38" s="1947"/>
      <c r="IE38" s="1947"/>
      <c r="IF38" s="1947"/>
      <c r="IG38" s="1947"/>
      <c r="IH38" s="1947"/>
      <c r="II38" s="1947"/>
      <c r="IJ38" s="1947"/>
      <c r="IK38" s="1947"/>
      <c r="IL38" s="1947"/>
      <c r="IM38" s="1947"/>
      <c r="IN38" s="1947"/>
      <c r="IO38" s="1947"/>
      <c r="IP38" s="1947"/>
      <c r="IQ38" s="1947"/>
    </row>
    <row r="39" spans="1:251" hidden="1">
      <c r="A39" s="1026"/>
      <c r="B39" s="1955"/>
      <c r="C39" s="1955"/>
      <c r="D39" s="2034"/>
      <c r="E39" s="1955"/>
      <c r="F39" s="1942">
        <f t="shared" si="15"/>
        <v>0</v>
      </c>
      <c r="G39" s="1026"/>
      <c r="H39" s="1942">
        <f t="shared" si="16"/>
        <v>0</v>
      </c>
      <c r="I39" s="1026"/>
      <c r="J39" s="1942">
        <f t="shared" si="6"/>
        <v>0</v>
      </c>
      <c r="K39" s="1026"/>
      <c r="L39" s="1942">
        <f t="shared" si="17"/>
        <v>0</v>
      </c>
      <c r="M39" s="1942">
        <f t="shared" si="18"/>
        <v>0</v>
      </c>
      <c r="N39" s="1942">
        <f t="shared" si="19"/>
        <v>0</v>
      </c>
      <c r="O39" s="1026"/>
      <c r="P39" s="1026"/>
      <c r="Q39" s="1942">
        <f t="shared" si="20"/>
        <v>0</v>
      </c>
      <c r="R39" s="1942">
        <f t="shared" si="10"/>
        <v>0</v>
      </c>
      <c r="S39" s="1942">
        <f t="shared" si="21"/>
        <v>0</v>
      </c>
      <c r="T39" s="1942">
        <f t="shared" si="22"/>
        <v>0</v>
      </c>
      <c r="U39" s="1942">
        <f t="shared" si="23"/>
        <v>0</v>
      </c>
      <c r="V39" s="3034">
        <f t="shared" si="2"/>
        <v>0</v>
      </c>
      <c r="W39" s="1942"/>
      <c r="X39" s="1923">
        <v>0.01</v>
      </c>
      <c r="Y39" s="1947"/>
      <c r="Z39" s="1947"/>
      <c r="AA39" s="1947"/>
      <c r="AB39" s="1947"/>
      <c r="AC39" s="1947"/>
      <c r="AD39" s="1947"/>
      <c r="AE39" s="1947"/>
      <c r="AF39" s="1947"/>
      <c r="AG39" s="1947"/>
      <c r="AH39" s="1947"/>
      <c r="AI39" s="1947"/>
      <c r="AJ39" s="1947"/>
      <c r="AK39" s="1947"/>
      <c r="AL39" s="1947"/>
      <c r="AM39" s="1947"/>
      <c r="AN39" s="1947"/>
      <c r="AO39" s="1947"/>
      <c r="AP39" s="1947"/>
      <c r="AQ39" s="1947"/>
      <c r="AR39" s="1947"/>
      <c r="AS39" s="1947"/>
      <c r="AT39" s="1947"/>
      <c r="AU39" s="1947"/>
      <c r="AV39" s="1947"/>
      <c r="AW39" s="1947"/>
      <c r="AX39" s="1947"/>
      <c r="AY39" s="1947"/>
      <c r="AZ39" s="1947"/>
      <c r="BA39" s="1947"/>
      <c r="BB39" s="1947"/>
      <c r="BC39" s="1947"/>
      <c r="BD39" s="1947"/>
      <c r="BE39" s="1947"/>
      <c r="BF39" s="1947"/>
      <c r="BG39" s="1947"/>
      <c r="BH39" s="1947"/>
      <c r="BI39" s="1947"/>
      <c r="BJ39" s="1947"/>
      <c r="BK39" s="1947"/>
      <c r="BL39" s="1947"/>
      <c r="BM39" s="1947"/>
      <c r="BN39" s="1947"/>
      <c r="BO39" s="1947"/>
      <c r="BP39" s="1947"/>
      <c r="BQ39" s="1947"/>
      <c r="BR39" s="1947"/>
      <c r="BS39" s="1947"/>
      <c r="BT39" s="1947"/>
      <c r="BU39" s="1947"/>
      <c r="BV39" s="1947"/>
      <c r="BW39" s="1947"/>
      <c r="BX39" s="1947"/>
      <c r="BY39" s="1947"/>
      <c r="BZ39" s="1947"/>
      <c r="CA39" s="1947"/>
      <c r="CB39" s="1947"/>
      <c r="CC39" s="1947"/>
      <c r="CD39" s="1947"/>
      <c r="CE39" s="1947"/>
      <c r="CF39" s="1947"/>
      <c r="CG39" s="1947"/>
      <c r="CH39" s="1947"/>
      <c r="CI39" s="1947"/>
      <c r="CJ39" s="1947"/>
      <c r="CK39" s="1947"/>
      <c r="CL39" s="1947"/>
      <c r="CM39" s="1947"/>
      <c r="CN39" s="1947"/>
      <c r="CO39" s="1947"/>
      <c r="CP39" s="1947"/>
      <c r="CQ39" s="1947"/>
      <c r="CR39" s="1947"/>
      <c r="CS39" s="1947"/>
      <c r="CT39" s="1947"/>
      <c r="CU39" s="1947"/>
      <c r="CV39" s="1947"/>
      <c r="CW39" s="1947"/>
      <c r="CX39" s="1947"/>
      <c r="CY39" s="1947"/>
      <c r="CZ39" s="1947"/>
      <c r="DA39" s="1947"/>
      <c r="DB39" s="1947"/>
      <c r="DC39" s="1947"/>
      <c r="DD39" s="1947"/>
      <c r="DE39" s="1947"/>
      <c r="DF39" s="1947"/>
      <c r="DG39" s="1947"/>
      <c r="DH39" s="1947"/>
      <c r="DI39" s="1947"/>
      <c r="DJ39" s="1947"/>
      <c r="DK39" s="1947"/>
      <c r="DL39" s="1947"/>
      <c r="DM39" s="1947"/>
      <c r="DN39" s="1947"/>
      <c r="DO39" s="1947"/>
      <c r="DP39" s="1947"/>
      <c r="DQ39" s="1947"/>
      <c r="DR39" s="1947"/>
      <c r="DS39" s="1947"/>
      <c r="DT39" s="1947"/>
      <c r="DU39" s="1947"/>
      <c r="DV39" s="1947"/>
      <c r="DW39" s="1947"/>
      <c r="DX39" s="1947"/>
      <c r="DY39" s="1947"/>
      <c r="DZ39" s="1947"/>
      <c r="EA39" s="1947"/>
      <c r="EB39" s="1947"/>
      <c r="EC39" s="1947"/>
      <c r="ED39" s="1947"/>
      <c r="EE39" s="1947"/>
      <c r="EF39" s="1947"/>
      <c r="EG39" s="1947"/>
      <c r="EH39" s="1947"/>
      <c r="EI39" s="1947"/>
      <c r="EJ39" s="1947"/>
      <c r="EK39" s="1947"/>
      <c r="EL39" s="1947"/>
      <c r="EM39" s="1947"/>
      <c r="EN39" s="1947"/>
      <c r="EO39" s="1947"/>
      <c r="EP39" s="1947"/>
      <c r="EQ39" s="1947"/>
      <c r="ER39" s="1947"/>
      <c r="ES39" s="1947"/>
      <c r="ET39" s="1947"/>
      <c r="EU39" s="1947"/>
      <c r="EV39" s="1947"/>
      <c r="EW39" s="1947"/>
      <c r="EX39" s="1947"/>
      <c r="EY39" s="1947"/>
      <c r="EZ39" s="1947"/>
      <c r="FA39" s="1947"/>
      <c r="FB39" s="1947"/>
      <c r="FC39" s="1947"/>
      <c r="FD39" s="1947"/>
      <c r="FE39" s="1947"/>
      <c r="FF39" s="1947"/>
      <c r="FG39" s="1947"/>
      <c r="FH39" s="1947"/>
      <c r="FI39" s="1947"/>
      <c r="FJ39" s="1947"/>
      <c r="FK39" s="1947"/>
      <c r="FL39" s="1947"/>
      <c r="FM39" s="1947"/>
      <c r="FN39" s="1947"/>
      <c r="FO39" s="1947"/>
      <c r="FP39" s="1947"/>
      <c r="FQ39" s="1947"/>
      <c r="FR39" s="1947"/>
      <c r="FS39" s="1947"/>
      <c r="FT39" s="1947"/>
      <c r="FU39" s="1947"/>
      <c r="FV39" s="1947"/>
      <c r="FW39" s="1947"/>
      <c r="FX39" s="1947"/>
      <c r="FY39" s="1947"/>
      <c r="FZ39" s="1947"/>
      <c r="GA39" s="1947"/>
      <c r="GB39" s="1947"/>
      <c r="GC39" s="1947"/>
      <c r="GD39" s="1947"/>
      <c r="GE39" s="1947"/>
      <c r="GF39" s="1947"/>
      <c r="GG39" s="1947"/>
      <c r="GH39" s="1947"/>
      <c r="GI39" s="1947"/>
      <c r="GJ39" s="1947"/>
      <c r="GK39" s="1947"/>
      <c r="GL39" s="1947"/>
      <c r="GM39" s="1947"/>
      <c r="GN39" s="1947"/>
      <c r="GO39" s="1947"/>
      <c r="GP39" s="1947"/>
      <c r="GQ39" s="1947"/>
      <c r="GR39" s="1947"/>
      <c r="GS39" s="1947"/>
      <c r="GT39" s="1947"/>
      <c r="GU39" s="1947"/>
      <c r="GV39" s="1947"/>
      <c r="GW39" s="1947"/>
      <c r="GX39" s="1947"/>
      <c r="GY39" s="1947"/>
      <c r="GZ39" s="1947"/>
      <c r="HA39" s="1947"/>
      <c r="HB39" s="1947"/>
      <c r="HC39" s="1947"/>
      <c r="HD39" s="1947"/>
      <c r="HE39" s="1947"/>
      <c r="HF39" s="1947"/>
      <c r="HG39" s="1947"/>
      <c r="HH39" s="1947"/>
      <c r="HI39" s="1947"/>
      <c r="HJ39" s="1947"/>
      <c r="HK39" s="1947"/>
      <c r="HL39" s="1947"/>
      <c r="HM39" s="1947"/>
      <c r="HN39" s="1947"/>
      <c r="HO39" s="1947"/>
      <c r="HP39" s="1947"/>
      <c r="HQ39" s="1947"/>
      <c r="HR39" s="1947"/>
      <c r="HS39" s="1947"/>
      <c r="HT39" s="1947"/>
      <c r="HU39" s="1947"/>
      <c r="HV39" s="1947"/>
      <c r="HW39" s="1947"/>
      <c r="HX39" s="1947"/>
      <c r="HY39" s="1947"/>
      <c r="HZ39" s="1947"/>
      <c r="IA39" s="1947"/>
      <c r="IB39" s="1947"/>
      <c r="IC39" s="1947"/>
      <c r="ID39" s="1947"/>
      <c r="IE39" s="1947"/>
      <c r="IF39" s="1947"/>
      <c r="IG39" s="1947"/>
      <c r="IH39" s="1947"/>
      <c r="II39" s="1947"/>
      <c r="IJ39" s="1947"/>
      <c r="IK39" s="1947"/>
      <c r="IL39" s="1947"/>
      <c r="IM39" s="1947"/>
      <c r="IN39" s="1947"/>
      <c r="IO39" s="1947"/>
      <c r="IP39" s="1947"/>
      <c r="IQ39" s="1947"/>
    </row>
    <row r="40" spans="1:251" hidden="1">
      <c r="A40" s="1026"/>
      <c r="B40" s="1955"/>
      <c r="C40" s="1955"/>
      <c r="D40" s="2034"/>
      <c r="E40" s="1955"/>
      <c r="F40" s="1942">
        <f t="shared" si="15"/>
        <v>0</v>
      </c>
      <c r="G40" s="1026"/>
      <c r="H40" s="1942">
        <f t="shared" si="16"/>
        <v>0</v>
      </c>
      <c r="I40" s="1026"/>
      <c r="J40" s="1942">
        <f t="shared" si="6"/>
        <v>0</v>
      </c>
      <c r="K40" s="1026"/>
      <c r="L40" s="1942">
        <f t="shared" si="17"/>
        <v>0</v>
      </c>
      <c r="M40" s="1942">
        <f t="shared" si="18"/>
        <v>0</v>
      </c>
      <c r="N40" s="1942">
        <f t="shared" si="19"/>
        <v>0</v>
      </c>
      <c r="O40" s="1026"/>
      <c r="P40" s="1026"/>
      <c r="Q40" s="1942">
        <f t="shared" si="20"/>
        <v>0</v>
      </c>
      <c r="R40" s="1942">
        <f t="shared" si="10"/>
        <v>0</v>
      </c>
      <c r="S40" s="1942">
        <f t="shared" si="21"/>
        <v>0</v>
      </c>
      <c r="T40" s="1942">
        <f t="shared" si="22"/>
        <v>0</v>
      </c>
      <c r="U40" s="1942">
        <f t="shared" si="23"/>
        <v>0</v>
      </c>
      <c r="V40" s="3034">
        <f t="shared" si="2"/>
        <v>0</v>
      </c>
      <c r="W40" s="1942"/>
      <c r="X40" s="1923">
        <v>0.01</v>
      </c>
      <c r="Y40" s="1947"/>
      <c r="Z40" s="1947"/>
      <c r="AA40" s="1947"/>
      <c r="AB40" s="1947"/>
      <c r="AC40" s="1947"/>
      <c r="AD40" s="1947"/>
      <c r="AE40" s="1947"/>
      <c r="AF40" s="1947"/>
      <c r="AG40" s="1947"/>
      <c r="AH40" s="1947"/>
      <c r="AI40" s="1947"/>
      <c r="AJ40" s="1947"/>
      <c r="AK40" s="1947"/>
      <c r="AL40" s="1947"/>
      <c r="AM40" s="1947"/>
      <c r="AN40" s="1947"/>
      <c r="AO40" s="1947"/>
      <c r="AP40" s="1947"/>
      <c r="AQ40" s="1947"/>
      <c r="AR40" s="1947"/>
      <c r="AS40" s="1947"/>
      <c r="AT40" s="1947"/>
      <c r="AU40" s="1947"/>
      <c r="AV40" s="1947"/>
      <c r="AW40" s="1947"/>
      <c r="AX40" s="1947"/>
      <c r="AY40" s="1947"/>
      <c r="AZ40" s="1947"/>
      <c r="BA40" s="1947"/>
      <c r="BB40" s="1947"/>
      <c r="BC40" s="1947"/>
      <c r="BD40" s="1947"/>
      <c r="BE40" s="1947"/>
      <c r="BF40" s="1947"/>
      <c r="BG40" s="1947"/>
      <c r="BH40" s="1947"/>
      <c r="BI40" s="1947"/>
      <c r="BJ40" s="1947"/>
      <c r="BK40" s="1947"/>
      <c r="BL40" s="1947"/>
      <c r="BM40" s="1947"/>
      <c r="BN40" s="1947"/>
      <c r="BO40" s="1947"/>
      <c r="BP40" s="1947"/>
      <c r="BQ40" s="1947"/>
      <c r="BR40" s="1947"/>
      <c r="BS40" s="1947"/>
      <c r="BT40" s="1947"/>
      <c r="BU40" s="1947"/>
      <c r="BV40" s="1947"/>
      <c r="BW40" s="1947"/>
      <c r="BX40" s="1947"/>
      <c r="BY40" s="1947"/>
      <c r="BZ40" s="1947"/>
      <c r="CA40" s="1947"/>
      <c r="CB40" s="1947"/>
      <c r="CC40" s="1947"/>
      <c r="CD40" s="1947"/>
      <c r="CE40" s="1947"/>
      <c r="CF40" s="1947"/>
      <c r="CG40" s="1947"/>
      <c r="CH40" s="1947"/>
      <c r="CI40" s="1947"/>
      <c r="CJ40" s="1947"/>
      <c r="CK40" s="1947"/>
      <c r="CL40" s="1947"/>
      <c r="CM40" s="1947"/>
      <c r="CN40" s="1947"/>
      <c r="CO40" s="1947"/>
      <c r="CP40" s="1947"/>
      <c r="CQ40" s="1947"/>
      <c r="CR40" s="1947"/>
      <c r="CS40" s="1947"/>
      <c r="CT40" s="1947"/>
      <c r="CU40" s="1947"/>
      <c r="CV40" s="1947"/>
      <c r="CW40" s="1947"/>
      <c r="CX40" s="1947"/>
      <c r="CY40" s="1947"/>
      <c r="CZ40" s="1947"/>
      <c r="DA40" s="1947"/>
      <c r="DB40" s="1947"/>
      <c r="DC40" s="1947"/>
      <c r="DD40" s="1947"/>
      <c r="DE40" s="1947"/>
      <c r="DF40" s="1947"/>
      <c r="DG40" s="1947"/>
      <c r="DH40" s="1947"/>
      <c r="DI40" s="1947"/>
      <c r="DJ40" s="1947"/>
      <c r="DK40" s="1947"/>
      <c r="DL40" s="1947"/>
      <c r="DM40" s="1947"/>
      <c r="DN40" s="1947"/>
      <c r="DO40" s="1947"/>
      <c r="DP40" s="1947"/>
      <c r="DQ40" s="1947"/>
      <c r="DR40" s="1947"/>
      <c r="DS40" s="1947"/>
      <c r="DT40" s="1947"/>
      <c r="DU40" s="1947"/>
      <c r="DV40" s="1947"/>
      <c r="DW40" s="1947"/>
      <c r="DX40" s="1947"/>
      <c r="DY40" s="1947"/>
      <c r="DZ40" s="1947"/>
      <c r="EA40" s="1947"/>
      <c r="EB40" s="1947"/>
      <c r="EC40" s="1947"/>
      <c r="ED40" s="1947"/>
      <c r="EE40" s="1947"/>
      <c r="EF40" s="1947"/>
      <c r="EG40" s="1947"/>
      <c r="EH40" s="1947"/>
      <c r="EI40" s="1947"/>
      <c r="EJ40" s="1947"/>
      <c r="EK40" s="1947"/>
      <c r="EL40" s="1947"/>
      <c r="EM40" s="1947"/>
      <c r="EN40" s="1947"/>
      <c r="EO40" s="1947"/>
      <c r="EP40" s="1947"/>
      <c r="EQ40" s="1947"/>
      <c r="ER40" s="1947"/>
      <c r="ES40" s="1947"/>
      <c r="ET40" s="1947"/>
      <c r="EU40" s="1947"/>
      <c r="EV40" s="1947"/>
      <c r="EW40" s="1947"/>
      <c r="EX40" s="1947"/>
      <c r="EY40" s="1947"/>
      <c r="EZ40" s="1947"/>
      <c r="FA40" s="1947"/>
      <c r="FB40" s="1947"/>
      <c r="FC40" s="1947"/>
      <c r="FD40" s="1947"/>
      <c r="FE40" s="1947"/>
      <c r="FF40" s="1947"/>
      <c r="FG40" s="1947"/>
      <c r="FH40" s="1947"/>
      <c r="FI40" s="1947"/>
      <c r="FJ40" s="1947"/>
      <c r="FK40" s="1947"/>
      <c r="FL40" s="1947"/>
      <c r="FM40" s="1947"/>
      <c r="FN40" s="1947"/>
      <c r="FO40" s="1947"/>
      <c r="FP40" s="1947"/>
      <c r="FQ40" s="1947"/>
      <c r="FR40" s="1947"/>
      <c r="FS40" s="1947"/>
      <c r="FT40" s="1947"/>
      <c r="FU40" s="1947"/>
      <c r="FV40" s="1947"/>
      <c r="FW40" s="1947"/>
      <c r="FX40" s="1947"/>
      <c r="FY40" s="1947"/>
      <c r="FZ40" s="1947"/>
      <c r="GA40" s="1947"/>
      <c r="GB40" s="1947"/>
      <c r="GC40" s="1947"/>
      <c r="GD40" s="1947"/>
      <c r="GE40" s="1947"/>
      <c r="GF40" s="1947"/>
      <c r="GG40" s="1947"/>
      <c r="GH40" s="1947"/>
      <c r="GI40" s="1947"/>
      <c r="GJ40" s="1947"/>
      <c r="GK40" s="1947"/>
      <c r="GL40" s="1947"/>
      <c r="GM40" s="1947"/>
      <c r="GN40" s="1947"/>
      <c r="GO40" s="1947"/>
      <c r="GP40" s="1947"/>
      <c r="GQ40" s="1947"/>
      <c r="GR40" s="1947"/>
      <c r="GS40" s="1947"/>
      <c r="GT40" s="1947"/>
      <c r="GU40" s="1947"/>
      <c r="GV40" s="1947"/>
      <c r="GW40" s="1947"/>
      <c r="GX40" s="1947"/>
      <c r="GY40" s="1947"/>
      <c r="GZ40" s="1947"/>
      <c r="HA40" s="1947"/>
      <c r="HB40" s="1947"/>
      <c r="HC40" s="1947"/>
      <c r="HD40" s="1947"/>
      <c r="HE40" s="1947"/>
      <c r="HF40" s="1947"/>
      <c r="HG40" s="1947"/>
      <c r="HH40" s="1947"/>
      <c r="HI40" s="1947"/>
      <c r="HJ40" s="1947"/>
      <c r="HK40" s="1947"/>
      <c r="HL40" s="1947"/>
      <c r="HM40" s="1947"/>
      <c r="HN40" s="1947"/>
      <c r="HO40" s="1947"/>
      <c r="HP40" s="1947"/>
      <c r="HQ40" s="1947"/>
      <c r="HR40" s="1947"/>
      <c r="HS40" s="1947"/>
      <c r="HT40" s="1947"/>
      <c r="HU40" s="1947"/>
      <c r="HV40" s="1947"/>
      <c r="HW40" s="1947"/>
      <c r="HX40" s="1947"/>
      <c r="HY40" s="1947"/>
      <c r="HZ40" s="1947"/>
      <c r="IA40" s="1947"/>
      <c r="IB40" s="1947"/>
      <c r="IC40" s="1947"/>
      <c r="ID40" s="1947"/>
      <c r="IE40" s="1947"/>
      <c r="IF40" s="1947"/>
      <c r="IG40" s="1947"/>
      <c r="IH40" s="1947"/>
      <c r="II40" s="1947"/>
      <c r="IJ40" s="1947"/>
      <c r="IK40" s="1947"/>
      <c r="IL40" s="1947"/>
      <c r="IM40" s="1947"/>
      <c r="IN40" s="1947"/>
      <c r="IO40" s="1947"/>
      <c r="IP40" s="1947"/>
      <c r="IQ40" s="1947"/>
    </row>
    <row r="41" spans="1:251" hidden="1">
      <c r="A41" s="1026"/>
      <c r="B41" s="1955"/>
      <c r="C41" s="1955"/>
      <c r="D41" s="2034"/>
      <c r="E41" s="1955"/>
      <c r="F41" s="1942">
        <f t="shared" si="15"/>
        <v>0</v>
      </c>
      <c r="G41" s="1026"/>
      <c r="H41" s="1942">
        <f t="shared" si="16"/>
        <v>0</v>
      </c>
      <c r="I41" s="1026"/>
      <c r="J41" s="1942">
        <f t="shared" si="6"/>
        <v>0</v>
      </c>
      <c r="K41" s="1026"/>
      <c r="L41" s="1942">
        <f t="shared" si="17"/>
        <v>0</v>
      </c>
      <c r="M41" s="1942">
        <f t="shared" si="18"/>
        <v>0</v>
      </c>
      <c r="N41" s="1942">
        <f t="shared" si="19"/>
        <v>0</v>
      </c>
      <c r="O41" s="1026"/>
      <c r="P41" s="1026"/>
      <c r="Q41" s="1942">
        <f t="shared" si="20"/>
        <v>0</v>
      </c>
      <c r="R41" s="1942">
        <f t="shared" si="10"/>
        <v>0</v>
      </c>
      <c r="S41" s="1942">
        <f t="shared" si="21"/>
        <v>0</v>
      </c>
      <c r="T41" s="1942">
        <f t="shared" si="22"/>
        <v>0</v>
      </c>
      <c r="U41" s="1942">
        <f t="shared" si="23"/>
        <v>0</v>
      </c>
      <c r="V41" s="3034">
        <f t="shared" si="2"/>
        <v>0</v>
      </c>
      <c r="W41" s="1942"/>
      <c r="X41" s="1923">
        <v>0.01</v>
      </c>
      <c r="Y41" s="1947"/>
      <c r="Z41" s="1947"/>
      <c r="AA41" s="1947"/>
      <c r="AB41" s="1947"/>
      <c r="AC41" s="1947"/>
      <c r="AD41" s="1947"/>
      <c r="AE41" s="1947"/>
      <c r="AF41" s="1947"/>
      <c r="AG41" s="1947"/>
      <c r="AH41" s="1947"/>
      <c r="AI41" s="1947"/>
      <c r="AJ41" s="1947"/>
      <c r="AK41" s="1947"/>
      <c r="AL41" s="1947"/>
      <c r="AM41" s="1947"/>
      <c r="AN41" s="1947"/>
      <c r="AO41" s="1947"/>
      <c r="AP41" s="1947"/>
      <c r="AQ41" s="1947"/>
      <c r="AR41" s="1947"/>
      <c r="AS41" s="1947"/>
      <c r="AT41" s="1947"/>
      <c r="AU41" s="1947"/>
      <c r="AV41" s="1947"/>
      <c r="AW41" s="1947"/>
      <c r="AX41" s="1947"/>
      <c r="AY41" s="1947"/>
      <c r="AZ41" s="1947"/>
      <c r="BA41" s="1947"/>
      <c r="BB41" s="1947"/>
      <c r="BC41" s="1947"/>
      <c r="BD41" s="1947"/>
      <c r="BE41" s="1947"/>
      <c r="BF41" s="1947"/>
      <c r="BG41" s="1947"/>
      <c r="BH41" s="1947"/>
      <c r="BI41" s="1947"/>
      <c r="BJ41" s="1947"/>
      <c r="BK41" s="1947"/>
      <c r="BL41" s="1947"/>
      <c r="BM41" s="1947"/>
      <c r="BN41" s="1947"/>
      <c r="BO41" s="1947"/>
      <c r="BP41" s="1947"/>
      <c r="BQ41" s="1947"/>
      <c r="BR41" s="1947"/>
      <c r="BS41" s="1947"/>
      <c r="BT41" s="1947"/>
      <c r="BU41" s="1947"/>
      <c r="BV41" s="1947"/>
      <c r="BW41" s="1947"/>
      <c r="BX41" s="1947"/>
      <c r="BY41" s="1947"/>
      <c r="BZ41" s="1947"/>
      <c r="CA41" s="1947"/>
      <c r="CB41" s="1947"/>
      <c r="CC41" s="1947"/>
      <c r="CD41" s="1947"/>
      <c r="CE41" s="1947"/>
      <c r="CF41" s="1947"/>
      <c r="CG41" s="1947"/>
      <c r="CH41" s="1947"/>
      <c r="CI41" s="1947"/>
      <c r="CJ41" s="1947"/>
      <c r="CK41" s="1947"/>
      <c r="CL41" s="1947"/>
      <c r="CM41" s="1947"/>
      <c r="CN41" s="1947"/>
      <c r="CO41" s="1947"/>
      <c r="CP41" s="1947"/>
      <c r="CQ41" s="1947"/>
      <c r="CR41" s="1947"/>
      <c r="CS41" s="1947"/>
      <c r="CT41" s="1947"/>
      <c r="CU41" s="1947"/>
      <c r="CV41" s="1947"/>
      <c r="CW41" s="1947"/>
      <c r="CX41" s="1947"/>
      <c r="CY41" s="1947"/>
      <c r="CZ41" s="1947"/>
      <c r="DA41" s="1947"/>
      <c r="DB41" s="1947"/>
      <c r="DC41" s="1947"/>
      <c r="DD41" s="1947"/>
      <c r="DE41" s="1947"/>
      <c r="DF41" s="1947"/>
      <c r="DG41" s="1947"/>
      <c r="DH41" s="1947"/>
      <c r="DI41" s="1947"/>
      <c r="DJ41" s="1947"/>
      <c r="DK41" s="1947"/>
      <c r="DL41" s="1947"/>
      <c r="DM41" s="1947"/>
      <c r="DN41" s="1947"/>
      <c r="DO41" s="1947"/>
      <c r="DP41" s="1947"/>
      <c r="DQ41" s="1947"/>
      <c r="DR41" s="1947"/>
      <c r="DS41" s="1947"/>
      <c r="DT41" s="1947"/>
      <c r="DU41" s="1947"/>
      <c r="DV41" s="1947"/>
      <c r="DW41" s="1947"/>
      <c r="DX41" s="1947"/>
      <c r="DY41" s="1947"/>
      <c r="DZ41" s="1947"/>
      <c r="EA41" s="1947"/>
      <c r="EB41" s="1947"/>
      <c r="EC41" s="1947"/>
      <c r="ED41" s="1947"/>
      <c r="EE41" s="1947"/>
      <c r="EF41" s="1947"/>
      <c r="EG41" s="1947"/>
      <c r="EH41" s="1947"/>
      <c r="EI41" s="1947"/>
      <c r="EJ41" s="1947"/>
      <c r="EK41" s="1947"/>
      <c r="EL41" s="1947"/>
      <c r="EM41" s="1947"/>
      <c r="EN41" s="1947"/>
      <c r="EO41" s="1947"/>
      <c r="EP41" s="1947"/>
      <c r="EQ41" s="1947"/>
      <c r="ER41" s="1947"/>
      <c r="ES41" s="1947"/>
      <c r="ET41" s="1947"/>
      <c r="EU41" s="1947"/>
      <c r="EV41" s="1947"/>
      <c r="EW41" s="1947"/>
      <c r="EX41" s="1947"/>
      <c r="EY41" s="1947"/>
      <c r="EZ41" s="1947"/>
      <c r="FA41" s="1947"/>
      <c r="FB41" s="1947"/>
      <c r="FC41" s="1947"/>
      <c r="FD41" s="1947"/>
      <c r="FE41" s="1947"/>
      <c r="FF41" s="1947"/>
      <c r="FG41" s="1947"/>
      <c r="FH41" s="1947"/>
      <c r="FI41" s="1947"/>
      <c r="FJ41" s="1947"/>
      <c r="FK41" s="1947"/>
      <c r="FL41" s="1947"/>
      <c r="FM41" s="1947"/>
      <c r="FN41" s="1947"/>
      <c r="FO41" s="1947"/>
      <c r="FP41" s="1947"/>
      <c r="FQ41" s="1947"/>
      <c r="FR41" s="1947"/>
      <c r="FS41" s="1947"/>
      <c r="FT41" s="1947"/>
      <c r="FU41" s="1947"/>
      <c r="FV41" s="1947"/>
      <c r="FW41" s="1947"/>
      <c r="FX41" s="1947"/>
      <c r="FY41" s="1947"/>
      <c r="FZ41" s="1947"/>
      <c r="GA41" s="1947"/>
      <c r="GB41" s="1947"/>
      <c r="GC41" s="1947"/>
      <c r="GD41" s="1947"/>
      <c r="GE41" s="1947"/>
      <c r="GF41" s="1947"/>
      <c r="GG41" s="1947"/>
      <c r="GH41" s="1947"/>
      <c r="GI41" s="1947"/>
      <c r="GJ41" s="1947"/>
      <c r="GK41" s="1947"/>
      <c r="GL41" s="1947"/>
      <c r="GM41" s="1947"/>
      <c r="GN41" s="1947"/>
      <c r="GO41" s="1947"/>
      <c r="GP41" s="1947"/>
      <c r="GQ41" s="1947"/>
      <c r="GR41" s="1947"/>
      <c r="GS41" s="1947"/>
      <c r="GT41" s="1947"/>
      <c r="GU41" s="1947"/>
      <c r="GV41" s="1947"/>
      <c r="GW41" s="1947"/>
      <c r="GX41" s="1947"/>
      <c r="GY41" s="1947"/>
      <c r="GZ41" s="1947"/>
      <c r="HA41" s="1947"/>
      <c r="HB41" s="1947"/>
      <c r="HC41" s="1947"/>
      <c r="HD41" s="1947"/>
      <c r="HE41" s="1947"/>
      <c r="HF41" s="1947"/>
      <c r="HG41" s="1947"/>
      <c r="HH41" s="1947"/>
      <c r="HI41" s="1947"/>
      <c r="HJ41" s="1947"/>
      <c r="HK41" s="1947"/>
      <c r="HL41" s="1947"/>
      <c r="HM41" s="1947"/>
      <c r="HN41" s="1947"/>
      <c r="HO41" s="1947"/>
      <c r="HP41" s="1947"/>
      <c r="HQ41" s="1947"/>
      <c r="HR41" s="1947"/>
      <c r="HS41" s="1947"/>
      <c r="HT41" s="1947"/>
      <c r="HU41" s="1947"/>
      <c r="HV41" s="1947"/>
      <c r="HW41" s="1947"/>
      <c r="HX41" s="1947"/>
      <c r="HY41" s="1947"/>
      <c r="HZ41" s="1947"/>
      <c r="IA41" s="1947"/>
      <c r="IB41" s="1947"/>
      <c r="IC41" s="1947"/>
      <c r="ID41" s="1947"/>
      <c r="IE41" s="1947"/>
      <c r="IF41" s="1947"/>
      <c r="IG41" s="1947"/>
      <c r="IH41" s="1947"/>
      <c r="II41" s="1947"/>
      <c r="IJ41" s="1947"/>
      <c r="IK41" s="1947"/>
      <c r="IL41" s="1947"/>
      <c r="IM41" s="1947"/>
      <c r="IN41" s="1947"/>
      <c r="IO41" s="1947"/>
      <c r="IP41" s="1947"/>
      <c r="IQ41" s="1947"/>
    </row>
    <row r="42" spans="1:251" hidden="1">
      <c r="A42" s="1026"/>
      <c r="B42" s="1955"/>
      <c r="C42" s="1955"/>
      <c r="D42" s="2034"/>
      <c r="E42" s="1955"/>
      <c r="F42" s="1942">
        <f t="shared" si="15"/>
        <v>0</v>
      </c>
      <c r="G42" s="1026"/>
      <c r="H42" s="1942">
        <f t="shared" si="16"/>
        <v>0</v>
      </c>
      <c r="I42" s="1026"/>
      <c r="J42" s="1942">
        <f t="shared" si="6"/>
        <v>0</v>
      </c>
      <c r="K42" s="1026"/>
      <c r="L42" s="1942">
        <f t="shared" si="17"/>
        <v>0</v>
      </c>
      <c r="M42" s="1942">
        <f t="shared" si="18"/>
        <v>0</v>
      </c>
      <c r="N42" s="1942">
        <f t="shared" si="19"/>
        <v>0</v>
      </c>
      <c r="O42" s="1026"/>
      <c r="P42" s="1026"/>
      <c r="Q42" s="1942">
        <f t="shared" si="20"/>
        <v>0</v>
      </c>
      <c r="R42" s="1942">
        <f t="shared" si="10"/>
        <v>0</v>
      </c>
      <c r="S42" s="1942">
        <f t="shared" si="21"/>
        <v>0</v>
      </c>
      <c r="T42" s="1942">
        <f t="shared" si="22"/>
        <v>0</v>
      </c>
      <c r="U42" s="1942">
        <f t="shared" si="23"/>
        <v>0</v>
      </c>
      <c r="V42" s="3034">
        <f t="shared" si="2"/>
        <v>0</v>
      </c>
      <c r="W42" s="1942"/>
      <c r="X42" s="1923">
        <v>0.01</v>
      </c>
      <c r="Y42" s="1947"/>
      <c r="Z42" s="1947"/>
      <c r="AA42" s="1947"/>
      <c r="AB42" s="1947"/>
      <c r="AC42" s="1947"/>
      <c r="AD42" s="1947"/>
      <c r="AE42" s="1947"/>
      <c r="AF42" s="1947"/>
      <c r="AG42" s="1947"/>
      <c r="AH42" s="1947"/>
      <c r="AI42" s="1947"/>
      <c r="AJ42" s="1947"/>
      <c r="AK42" s="1947"/>
      <c r="AL42" s="1947"/>
      <c r="AM42" s="1947"/>
      <c r="AN42" s="1947"/>
      <c r="AO42" s="1947"/>
      <c r="AP42" s="1947"/>
      <c r="AQ42" s="1947"/>
      <c r="AR42" s="1947"/>
      <c r="AS42" s="1947"/>
      <c r="AT42" s="1947"/>
      <c r="AU42" s="1947"/>
      <c r="AV42" s="1947"/>
      <c r="AW42" s="1947"/>
      <c r="AX42" s="1947"/>
      <c r="AY42" s="1947"/>
      <c r="AZ42" s="1947"/>
      <c r="BA42" s="1947"/>
      <c r="BB42" s="1947"/>
      <c r="BC42" s="1947"/>
      <c r="BD42" s="1947"/>
      <c r="BE42" s="1947"/>
      <c r="BF42" s="1947"/>
      <c r="BG42" s="1947"/>
      <c r="BH42" s="1947"/>
      <c r="BI42" s="1947"/>
      <c r="BJ42" s="1947"/>
      <c r="BK42" s="1947"/>
      <c r="BL42" s="1947"/>
      <c r="BM42" s="1947"/>
      <c r="BN42" s="1947"/>
      <c r="BO42" s="1947"/>
      <c r="BP42" s="1947"/>
      <c r="BQ42" s="1947"/>
      <c r="BR42" s="1947"/>
      <c r="BS42" s="1947"/>
      <c r="BT42" s="1947"/>
      <c r="BU42" s="1947"/>
      <c r="BV42" s="1947"/>
      <c r="BW42" s="1947"/>
      <c r="BX42" s="1947"/>
      <c r="BY42" s="1947"/>
      <c r="BZ42" s="1947"/>
      <c r="CA42" s="1947"/>
      <c r="CB42" s="1947"/>
      <c r="CC42" s="1947"/>
      <c r="CD42" s="1947"/>
      <c r="CE42" s="1947"/>
      <c r="CF42" s="1947"/>
      <c r="CG42" s="1947"/>
      <c r="CH42" s="1947"/>
      <c r="CI42" s="1947"/>
      <c r="CJ42" s="1947"/>
      <c r="CK42" s="1947"/>
      <c r="CL42" s="1947"/>
      <c r="CM42" s="1947"/>
      <c r="CN42" s="1947"/>
      <c r="CO42" s="1947"/>
      <c r="CP42" s="1947"/>
      <c r="CQ42" s="1947"/>
      <c r="CR42" s="1947"/>
      <c r="CS42" s="1947"/>
      <c r="CT42" s="1947"/>
      <c r="CU42" s="1947"/>
      <c r="CV42" s="1947"/>
      <c r="CW42" s="1947"/>
      <c r="CX42" s="1947"/>
      <c r="CY42" s="1947"/>
      <c r="CZ42" s="1947"/>
      <c r="DA42" s="1947"/>
      <c r="DB42" s="1947"/>
      <c r="DC42" s="1947"/>
      <c r="DD42" s="1947"/>
      <c r="DE42" s="1947"/>
      <c r="DF42" s="1947"/>
      <c r="DG42" s="1947"/>
      <c r="DH42" s="1947"/>
      <c r="DI42" s="1947"/>
      <c r="DJ42" s="1947"/>
      <c r="DK42" s="1947"/>
      <c r="DL42" s="1947"/>
      <c r="DM42" s="1947"/>
      <c r="DN42" s="1947"/>
      <c r="DO42" s="1947"/>
      <c r="DP42" s="1947"/>
      <c r="DQ42" s="1947"/>
      <c r="DR42" s="1947"/>
      <c r="DS42" s="1947"/>
      <c r="DT42" s="1947"/>
      <c r="DU42" s="1947"/>
      <c r="DV42" s="1947"/>
      <c r="DW42" s="1947"/>
      <c r="DX42" s="1947"/>
      <c r="DY42" s="1947"/>
      <c r="DZ42" s="1947"/>
      <c r="EA42" s="1947"/>
      <c r="EB42" s="1947"/>
      <c r="EC42" s="1947"/>
      <c r="ED42" s="1947"/>
      <c r="EE42" s="1947"/>
      <c r="EF42" s="1947"/>
      <c r="EG42" s="1947"/>
      <c r="EH42" s="1947"/>
      <c r="EI42" s="1947"/>
      <c r="EJ42" s="1947"/>
      <c r="EK42" s="1947"/>
      <c r="EL42" s="1947"/>
      <c r="EM42" s="1947"/>
      <c r="EN42" s="1947"/>
      <c r="EO42" s="1947"/>
      <c r="EP42" s="1947"/>
      <c r="EQ42" s="1947"/>
      <c r="ER42" s="1947"/>
      <c r="ES42" s="1947"/>
      <c r="ET42" s="1947"/>
      <c r="EU42" s="1947"/>
      <c r="EV42" s="1947"/>
      <c r="EW42" s="1947"/>
      <c r="EX42" s="1947"/>
      <c r="EY42" s="1947"/>
      <c r="EZ42" s="1947"/>
      <c r="FA42" s="1947"/>
      <c r="FB42" s="1947"/>
      <c r="FC42" s="1947"/>
      <c r="FD42" s="1947"/>
      <c r="FE42" s="1947"/>
      <c r="FF42" s="1947"/>
      <c r="FG42" s="1947"/>
      <c r="FH42" s="1947"/>
      <c r="FI42" s="1947"/>
      <c r="FJ42" s="1947"/>
      <c r="FK42" s="1947"/>
      <c r="FL42" s="1947"/>
      <c r="FM42" s="1947"/>
      <c r="FN42" s="1947"/>
      <c r="FO42" s="1947"/>
      <c r="FP42" s="1947"/>
      <c r="FQ42" s="1947"/>
      <c r="FR42" s="1947"/>
      <c r="FS42" s="1947"/>
      <c r="FT42" s="1947"/>
      <c r="FU42" s="1947"/>
      <c r="FV42" s="1947"/>
      <c r="FW42" s="1947"/>
      <c r="FX42" s="1947"/>
      <c r="FY42" s="1947"/>
      <c r="FZ42" s="1947"/>
      <c r="GA42" s="1947"/>
      <c r="GB42" s="1947"/>
      <c r="GC42" s="1947"/>
      <c r="GD42" s="1947"/>
      <c r="GE42" s="1947"/>
      <c r="GF42" s="1947"/>
      <c r="GG42" s="1947"/>
      <c r="GH42" s="1947"/>
      <c r="GI42" s="1947"/>
      <c r="GJ42" s="1947"/>
      <c r="GK42" s="1947"/>
      <c r="GL42" s="1947"/>
      <c r="GM42" s="1947"/>
      <c r="GN42" s="1947"/>
      <c r="GO42" s="1947"/>
      <c r="GP42" s="1947"/>
      <c r="GQ42" s="1947"/>
      <c r="GR42" s="1947"/>
      <c r="GS42" s="1947"/>
      <c r="GT42" s="1947"/>
      <c r="GU42" s="1947"/>
      <c r="GV42" s="1947"/>
      <c r="GW42" s="1947"/>
      <c r="GX42" s="1947"/>
      <c r="GY42" s="1947"/>
      <c r="GZ42" s="1947"/>
      <c r="HA42" s="1947"/>
      <c r="HB42" s="1947"/>
      <c r="HC42" s="1947"/>
      <c r="HD42" s="1947"/>
      <c r="HE42" s="1947"/>
      <c r="HF42" s="1947"/>
      <c r="HG42" s="1947"/>
      <c r="HH42" s="1947"/>
      <c r="HI42" s="1947"/>
      <c r="HJ42" s="1947"/>
      <c r="HK42" s="1947"/>
      <c r="HL42" s="1947"/>
      <c r="HM42" s="1947"/>
      <c r="HN42" s="1947"/>
      <c r="HO42" s="1947"/>
      <c r="HP42" s="1947"/>
      <c r="HQ42" s="1947"/>
      <c r="HR42" s="1947"/>
      <c r="HS42" s="1947"/>
      <c r="HT42" s="1947"/>
      <c r="HU42" s="1947"/>
      <c r="HV42" s="1947"/>
      <c r="HW42" s="1947"/>
      <c r="HX42" s="1947"/>
      <c r="HY42" s="1947"/>
      <c r="HZ42" s="1947"/>
      <c r="IA42" s="1947"/>
      <c r="IB42" s="1947"/>
      <c r="IC42" s="1947"/>
      <c r="ID42" s="1947"/>
      <c r="IE42" s="1947"/>
      <c r="IF42" s="1947"/>
      <c r="IG42" s="1947"/>
      <c r="IH42" s="1947"/>
      <c r="II42" s="1947"/>
      <c r="IJ42" s="1947"/>
      <c r="IK42" s="1947"/>
      <c r="IL42" s="1947"/>
      <c r="IM42" s="1947"/>
      <c r="IN42" s="1947"/>
      <c r="IO42" s="1947"/>
      <c r="IP42" s="1947"/>
      <c r="IQ42" s="1947"/>
    </row>
    <row r="43" spans="1:251" hidden="1">
      <c r="A43" s="1026"/>
      <c r="B43" s="1955"/>
      <c r="C43" s="1955"/>
      <c r="D43" s="2034"/>
      <c r="E43" s="1955"/>
      <c r="F43" s="1942">
        <f t="shared" si="15"/>
        <v>0</v>
      </c>
      <c r="G43" s="1026"/>
      <c r="H43" s="1942">
        <f t="shared" si="16"/>
        <v>0</v>
      </c>
      <c r="I43" s="1026"/>
      <c r="J43" s="1942">
        <f t="shared" si="6"/>
        <v>0</v>
      </c>
      <c r="K43" s="1026"/>
      <c r="L43" s="1942">
        <f t="shared" si="17"/>
        <v>0</v>
      </c>
      <c r="M43" s="1942">
        <f t="shared" si="18"/>
        <v>0</v>
      </c>
      <c r="N43" s="1942">
        <f t="shared" si="19"/>
        <v>0</v>
      </c>
      <c r="O43" s="1026"/>
      <c r="P43" s="1026"/>
      <c r="Q43" s="1942">
        <f t="shared" si="20"/>
        <v>0</v>
      </c>
      <c r="R43" s="1942">
        <f t="shared" si="10"/>
        <v>0</v>
      </c>
      <c r="S43" s="1942">
        <f t="shared" si="21"/>
        <v>0</v>
      </c>
      <c r="T43" s="1942">
        <f t="shared" si="22"/>
        <v>0</v>
      </c>
      <c r="U43" s="1942">
        <f t="shared" si="23"/>
        <v>0</v>
      </c>
      <c r="V43" s="3034">
        <f t="shared" si="2"/>
        <v>0</v>
      </c>
      <c r="W43" s="1942"/>
      <c r="X43" s="1923">
        <v>0.01</v>
      </c>
      <c r="Y43" s="1947"/>
      <c r="Z43" s="1947"/>
      <c r="AA43" s="1947"/>
      <c r="AB43" s="1947"/>
      <c r="AC43" s="1947"/>
      <c r="AD43" s="1947"/>
      <c r="AE43" s="1947"/>
      <c r="AF43" s="1947"/>
      <c r="AG43" s="1947"/>
      <c r="AH43" s="1947"/>
      <c r="AI43" s="1947"/>
      <c r="AJ43" s="1947"/>
      <c r="AK43" s="1947"/>
      <c r="AL43" s="1947"/>
      <c r="AM43" s="1947"/>
      <c r="AN43" s="1947"/>
      <c r="AO43" s="1947"/>
      <c r="AP43" s="1947"/>
      <c r="AQ43" s="1947"/>
      <c r="AR43" s="1947"/>
      <c r="AS43" s="1947"/>
      <c r="AT43" s="1947"/>
      <c r="AU43" s="1947"/>
      <c r="AV43" s="1947"/>
      <c r="AW43" s="1947"/>
      <c r="AX43" s="1947"/>
      <c r="AY43" s="1947"/>
      <c r="AZ43" s="1947"/>
      <c r="BA43" s="1947"/>
      <c r="BB43" s="1947"/>
      <c r="BC43" s="1947"/>
      <c r="BD43" s="1947"/>
      <c r="BE43" s="1947"/>
      <c r="BF43" s="1947"/>
      <c r="BG43" s="1947"/>
      <c r="BH43" s="1947"/>
      <c r="BI43" s="1947"/>
      <c r="BJ43" s="1947"/>
      <c r="BK43" s="1947"/>
      <c r="BL43" s="1947"/>
      <c r="BM43" s="1947"/>
      <c r="BN43" s="1947"/>
      <c r="BO43" s="1947"/>
      <c r="BP43" s="1947"/>
      <c r="BQ43" s="1947"/>
      <c r="BR43" s="1947"/>
      <c r="BS43" s="1947"/>
      <c r="BT43" s="1947"/>
      <c r="BU43" s="1947"/>
      <c r="BV43" s="1947"/>
      <c r="BW43" s="1947"/>
      <c r="BX43" s="1947"/>
      <c r="BY43" s="1947"/>
      <c r="BZ43" s="1947"/>
      <c r="CA43" s="1947"/>
      <c r="CB43" s="1947"/>
      <c r="CC43" s="1947"/>
      <c r="CD43" s="1947"/>
      <c r="CE43" s="1947"/>
      <c r="CF43" s="1947"/>
      <c r="CG43" s="1947"/>
      <c r="CH43" s="1947"/>
      <c r="CI43" s="1947"/>
      <c r="CJ43" s="1947"/>
      <c r="CK43" s="1947"/>
      <c r="CL43" s="1947"/>
      <c r="CM43" s="1947"/>
      <c r="CN43" s="1947"/>
      <c r="CO43" s="1947"/>
      <c r="CP43" s="1947"/>
      <c r="CQ43" s="1947"/>
      <c r="CR43" s="1947"/>
      <c r="CS43" s="1947"/>
      <c r="CT43" s="1947"/>
      <c r="CU43" s="1947"/>
      <c r="CV43" s="1947"/>
      <c r="CW43" s="1947"/>
      <c r="CX43" s="1947"/>
      <c r="CY43" s="1947"/>
      <c r="CZ43" s="1947"/>
      <c r="DA43" s="1947"/>
      <c r="DB43" s="1947"/>
      <c r="DC43" s="1947"/>
      <c r="DD43" s="1947"/>
      <c r="DE43" s="1947"/>
      <c r="DF43" s="1947"/>
      <c r="DG43" s="1947"/>
      <c r="DH43" s="1947"/>
      <c r="DI43" s="1947"/>
      <c r="DJ43" s="1947"/>
      <c r="DK43" s="1947"/>
      <c r="DL43" s="1947"/>
      <c r="DM43" s="1947"/>
      <c r="DN43" s="1947"/>
      <c r="DO43" s="1947"/>
      <c r="DP43" s="1947"/>
      <c r="DQ43" s="1947"/>
      <c r="DR43" s="1947"/>
      <c r="DS43" s="1947"/>
      <c r="DT43" s="1947"/>
      <c r="DU43" s="1947"/>
      <c r="DV43" s="1947"/>
      <c r="DW43" s="1947"/>
      <c r="DX43" s="1947"/>
      <c r="DY43" s="1947"/>
      <c r="DZ43" s="1947"/>
      <c r="EA43" s="1947"/>
      <c r="EB43" s="1947"/>
      <c r="EC43" s="1947"/>
      <c r="ED43" s="1947"/>
      <c r="EE43" s="1947"/>
      <c r="EF43" s="1947"/>
      <c r="EG43" s="1947"/>
      <c r="EH43" s="1947"/>
      <c r="EI43" s="1947"/>
      <c r="EJ43" s="1947"/>
      <c r="EK43" s="1947"/>
      <c r="EL43" s="1947"/>
      <c r="EM43" s="1947"/>
      <c r="EN43" s="1947"/>
      <c r="EO43" s="1947"/>
      <c r="EP43" s="1947"/>
      <c r="EQ43" s="1947"/>
      <c r="ER43" s="1947"/>
      <c r="ES43" s="1947"/>
      <c r="ET43" s="1947"/>
      <c r="EU43" s="1947"/>
      <c r="EV43" s="1947"/>
      <c r="EW43" s="1947"/>
      <c r="EX43" s="1947"/>
      <c r="EY43" s="1947"/>
      <c r="EZ43" s="1947"/>
      <c r="FA43" s="1947"/>
      <c r="FB43" s="1947"/>
      <c r="FC43" s="1947"/>
      <c r="FD43" s="1947"/>
      <c r="FE43" s="1947"/>
      <c r="FF43" s="1947"/>
      <c r="FG43" s="1947"/>
      <c r="FH43" s="1947"/>
      <c r="FI43" s="1947"/>
      <c r="FJ43" s="1947"/>
      <c r="FK43" s="1947"/>
      <c r="FL43" s="1947"/>
      <c r="FM43" s="1947"/>
      <c r="FN43" s="1947"/>
      <c r="FO43" s="1947"/>
      <c r="FP43" s="1947"/>
      <c r="FQ43" s="1947"/>
      <c r="FR43" s="1947"/>
      <c r="FS43" s="1947"/>
      <c r="FT43" s="1947"/>
      <c r="FU43" s="1947"/>
      <c r="FV43" s="1947"/>
      <c r="FW43" s="1947"/>
      <c r="FX43" s="1947"/>
      <c r="FY43" s="1947"/>
      <c r="FZ43" s="1947"/>
      <c r="GA43" s="1947"/>
      <c r="GB43" s="1947"/>
      <c r="GC43" s="1947"/>
      <c r="GD43" s="1947"/>
      <c r="GE43" s="1947"/>
      <c r="GF43" s="1947"/>
      <c r="GG43" s="1947"/>
      <c r="GH43" s="1947"/>
      <c r="GI43" s="1947"/>
      <c r="GJ43" s="1947"/>
      <c r="GK43" s="1947"/>
      <c r="GL43" s="1947"/>
      <c r="GM43" s="1947"/>
      <c r="GN43" s="1947"/>
      <c r="GO43" s="1947"/>
      <c r="GP43" s="1947"/>
      <c r="GQ43" s="1947"/>
      <c r="GR43" s="1947"/>
      <c r="GS43" s="1947"/>
      <c r="GT43" s="1947"/>
      <c r="GU43" s="1947"/>
      <c r="GV43" s="1947"/>
      <c r="GW43" s="1947"/>
      <c r="GX43" s="1947"/>
      <c r="GY43" s="1947"/>
      <c r="GZ43" s="1947"/>
      <c r="HA43" s="1947"/>
      <c r="HB43" s="1947"/>
      <c r="HC43" s="1947"/>
      <c r="HD43" s="1947"/>
      <c r="HE43" s="1947"/>
      <c r="HF43" s="1947"/>
      <c r="HG43" s="1947"/>
      <c r="HH43" s="1947"/>
      <c r="HI43" s="1947"/>
      <c r="HJ43" s="1947"/>
      <c r="HK43" s="1947"/>
      <c r="HL43" s="1947"/>
      <c r="HM43" s="1947"/>
      <c r="HN43" s="1947"/>
      <c r="HO43" s="1947"/>
      <c r="HP43" s="1947"/>
      <c r="HQ43" s="1947"/>
      <c r="HR43" s="1947"/>
      <c r="HS43" s="1947"/>
      <c r="HT43" s="1947"/>
      <c r="HU43" s="1947"/>
      <c r="HV43" s="1947"/>
      <c r="HW43" s="1947"/>
      <c r="HX43" s="1947"/>
      <c r="HY43" s="1947"/>
      <c r="HZ43" s="1947"/>
      <c r="IA43" s="1947"/>
      <c r="IB43" s="1947"/>
      <c r="IC43" s="1947"/>
      <c r="ID43" s="1947"/>
      <c r="IE43" s="1947"/>
      <c r="IF43" s="1947"/>
      <c r="IG43" s="1947"/>
      <c r="IH43" s="1947"/>
      <c r="II43" s="1947"/>
      <c r="IJ43" s="1947"/>
      <c r="IK43" s="1947"/>
      <c r="IL43" s="1947"/>
      <c r="IM43" s="1947"/>
      <c r="IN43" s="1947"/>
      <c r="IO43" s="1947"/>
      <c r="IP43" s="1947"/>
      <c r="IQ43" s="1947"/>
    </row>
    <row r="44" spans="1:251" hidden="1">
      <c r="A44" s="1026"/>
      <c r="B44" s="1955"/>
      <c r="C44" s="1955"/>
      <c r="D44" s="2034"/>
      <c r="E44" s="1955"/>
      <c r="F44" s="1942">
        <f t="shared" si="15"/>
        <v>0</v>
      </c>
      <c r="G44" s="1026"/>
      <c r="H44" s="1942">
        <f t="shared" si="16"/>
        <v>0</v>
      </c>
      <c r="I44" s="1026"/>
      <c r="J44" s="1942">
        <f t="shared" si="6"/>
        <v>0</v>
      </c>
      <c r="K44" s="1026"/>
      <c r="L44" s="1942">
        <f t="shared" si="17"/>
        <v>0</v>
      </c>
      <c r="M44" s="1942">
        <f t="shared" si="18"/>
        <v>0</v>
      </c>
      <c r="N44" s="1942">
        <f t="shared" si="19"/>
        <v>0</v>
      </c>
      <c r="O44" s="1026"/>
      <c r="P44" s="1026"/>
      <c r="Q44" s="1942">
        <f t="shared" si="20"/>
        <v>0</v>
      </c>
      <c r="R44" s="1942">
        <f t="shared" si="10"/>
        <v>0</v>
      </c>
      <c r="S44" s="1942">
        <f t="shared" si="21"/>
        <v>0</v>
      </c>
      <c r="T44" s="1942">
        <f t="shared" si="22"/>
        <v>0</v>
      </c>
      <c r="U44" s="1942">
        <f t="shared" si="23"/>
        <v>0</v>
      </c>
      <c r="V44" s="3034">
        <f t="shared" si="2"/>
        <v>0</v>
      </c>
      <c r="W44" s="1942"/>
      <c r="X44" s="1923">
        <v>0.01</v>
      </c>
      <c r="Y44" s="1947"/>
      <c r="Z44" s="1947"/>
      <c r="AA44" s="1947"/>
      <c r="AB44" s="1947"/>
      <c r="AC44" s="1947"/>
      <c r="AD44" s="1947"/>
      <c r="AE44" s="1947"/>
      <c r="AF44" s="1947"/>
      <c r="AG44" s="1947"/>
      <c r="AH44" s="1947"/>
      <c r="AI44" s="1947"/>
      <c r="AJ44" s="1947"/>
      <c r="AK44" s="1947"/>
      <c r="AL44" s="1947"/>
      <c r="AM44" s="1947"/>
      <c r="AN44" s="1947"/>
      <c r="AO44" s="1947"/>
      <c r="AP44" s="1947"/>
      <c r="AQ44" s="1947"/>
      <c r="AR44" s="1947"/>
      <c r="AS44" s="1947"/>
      <c r="AT44" s="1947"/>
      <c r="AU44" s="1947"/>
      <c r="AV44" s="1947"/>
      <c r="AW44" s="1947"/>
      <c r="AX44" s="1947"/>
      <c r="AY44" s="1947"/>
      <c r="AZ44" s="1947"/>
      <c r="BA44" s="1947"/>
      <c r="BB44" s="1947"/>
      <c r="BC44" s="1947"/>
      <c r="BD44" s="1947"/>
      <c r="BE44" s="1947"/>
      <c r="BF44" s="1947"/>
      <c r="BG44" s="1947"/>
      <c r="BH44" s="1947"/>
      <c r="BI44" s="1947"/>
      <c r="BJ44" s="1947"/>
      <c r="BK44" s="1947"/>
      <c r="BL44" s="1947"/>
      <c r="BM44" s="1947"/>
      <c r="BN44" s="1947"/>
      <c r="BO44" s="1947"/>
      <c r="BP44" s="1947"/>
      <c r="BQ44" s="1947"/>
      <c r="BR44" s="1947"/>
      <c r="BS44" s="1947"/>
      <c r="BT44" s="1947"/>
      <c r="BU44" s="1947"/>
      <c r="BV44" s="1947"/>
      <c r="BW44" s="1947"/>
      <c r="BX44" s="1947"/>
      <c r="BY44" s="1947"/>
      <c r="BZ44" s="1947"/>
      <c r="CA44" s="1947"/>
      <c r="CB44" s="1947"/>
      <c r="CC44" s="1947"/>
      <c r="CD44" s="1947"/>
      <c r="CE44" s="1947"/>
      <c r="CF44" s="1947"/>
      <c r="CG44" s="1947"/>
      <c r="CH44" s="1947"/>
      <c r="CI44" s="1947"/>
      <c r="CJ44" s="1947"/>
      <c r="CK44" s="1947"/>
      <c r="CL44" s="1947"/>
      <c r="CM44" s="1947"/>
      <c r="CN44" s="1947"/>
      <c r="CO44" s="1947"/>
      <c r="CP44" s="1947"/>
      <c r="CQ44" s="1947"/>
      <c r="CR44" s="1947"/>
      <c r="CS44" s="1947"/>
      <c r="CT44" s="1947"/>
      <c r="CU44" s="1947"/>
      <c r="CV44" s="1947"/>
      <c r="CW44" s="1947"/>
      <c r="CX44" s="1947"/>
      <c r="CY44" s="1947"/>
      <c r="CZ44" s="1947"/>
      <c r="DA44" s="1947"/>
      <c r="DB44" s="1947"/>
      <c r="DC44" s="1947"/>
      <c r="DD44" s="1947"/>
      <c r="DE44" s="1947"/>
      <c r="DF44" s="1947"/>
      <c r="DG44" s="1947"/>
      <c r="DH44" s="1947"/>
      <c r="DI44" s="1947"/>
      <c r="DJ44" s="1947"/>
      <c r="DK44" s="1947"/>
      <c r="DL44" s="1947"/>
      <c r="DM44" s="1947"/>
      <c r="DN44" s="1947"/>
      <c r="DO44" s="1947"/>
      <c r="DP44" s="1947"/>
      <c r="DQ44" s="1947"/>
      <c r="DR44" s="1947"/>
      <c r="DS44" s="1947"/>
      <c r="DT44" s="1947"/>
      <c r="DU44" s="1947"/>
      <c r="DV44" s="1947"/>
      <c r="DW44" s="1947"/>
      <c r="DX44" s="1947"/>
      <c r="DY44" s="1947"/>
      <c r="DZ44" s="1947"/>
      <c r="EA44" s="1947"/>
      <c r="EB44" s="1947"/>
      <c r="EC44" s="1947"/>
      <c r="ED44" s="1947"/>
      <c r="EE44" s="1947"/>
      <c r="EF44" s="1947"/>
      <c r="EG44" s="1947"/>
      <c r="EH44" s="1947"/>
      <c r="EI44" s="1947"/>
      <c r="EJ44" s="1947"/>
      <c r="EK44" s="1947"/>
      <c r="EL44" s="1947"/>
      <c r="EM44" s="1947"/>
      <c r="EN44" s="1947"/>
      <c r="EO44" s="1947"/>
      <c r="EP44" s="1947"/>
      <c r="EQ44" s="1947"/>
      <c r="ER44" s="1947"/>
      <c r="ES44" s="1947"/>
      <c r="ET44" s="1947"/>
      <c r="EU44" s="1947"/>
      <c r="EV44" s="1947"/>
      <c r="EW44" s="1947"/>
      <c r="EX44" s="1947"/>
      <c r="EY44" s="1947"/>
      <c r="EZ44" s="1947"/>
      <c r="FA44" s="1947"/>
      <c r="FB44" s="1947"/>
      <c r="FC44" s="1947"/>
      <c r="FD44" s="1947"/>
      <c r="FE44" s="1947"/>
      <c r="FF44" s="1947"/>
      <c r="FG44" s="1947"/>
      <c r="FH44" s="1947"/>
      <c r="FI44" s="1947"/>
      <c r="FJ44" s="1947"/>
      <c r="FK44" s="1947"/>
      <c r="FL44" s="1947"/>
      <c r="FM44" s="1947"/>
      <c r="FN44" s="1947"/>
      <c r="FO44" s="1947"/>
      <c r="FP44" s="1947"/>
      <c r="FQ44" s="1947"/>
      <c r="FR44" s="1947"/>
      <c r="FS44" s="1947"/>
      <c r="FT44" s="1947"/>
      <c r="FU44" s="1947"/>
      <c r="FV44" s="1947"/>
      <c r="FW44" s="1947"/>
      <c r="FX44" s="1947"/>
      <c r="FY44" s="1947"/>
      <c r="FZ44" s="1947"/>
      <c r="GA44" s="1947"/>
      <c r="GB44" s="1947"/>
      <c r="GC44" s="1947"/>
      <c r="GD44" s="1947"/>
      <c r="GE44" s="1947"/>
      <c r="GF44" s="1947"/>
      <c r="GG44" s="1947"/>
      <c r="GH44" s="1947"/>
      <c r="GI44" s="1947"/>
      <c r="GJ44" s="1947"/>
      <c r="GK44" s="1947"/>
      <c r="GL44" s="1947"/>
      <c r="GM44" s="1947"/>
      <c r="GN44" s="1947"/>
      <c r="GO44" s="1947"/>
      <c r="GP44" s="1947"/>
      <c r="GQ44" s="1947"/>
      <c r="GR44" s="1947"/>
      <c r="GS44" s="1947"/>
      <c r="GT44" s="1947"/>
      <c r="GU44" s="1947"/>
      <c r="GV44" s="1947"/>
      <c r="GW44" s="1947"/>
      <c r="GX44" s="1947"/>
      <c r="GY44" s="1947"/>
      <c r="GZ44" s="1947"/>
      <c r="HA44" s="1947"/>
      <c r="HB44" s="1947"/>
      <c r="HC44" s="1947"/>
      <c r="HD44" s="1947"/>
      <c r="HE44" s="1947"/>
      <c r="HF44" s="1947"/>
      <c r="HG44" s="1947"/>
      <c r="HH44" s="1947"/>
      <c r="HI44" s="1947"/>
      <c r="HJ44" s="1947"/>
      <c r="HK44" s="1947"/>
      <c r="HL44" s="1947"/>
      <c r="HM44" s="1947"/>
      <c r="HN44" s="1947"/>
      <c r="HO44" s="1947"/>
      <c r="HP44" s="1947"/>
      <c r="HQ44" s="1947"/>
      <c r="HR44" s="1947"/>
      <c r="HS44" s="1947"/>
      <c r="HT44" s="1947"/>
      <c r="HU44" s="1947"/>
      <c r="HV44" s="1947"/>
      <c r="HW44" s="1947"/>
      <c r="HX44" s="1947"/>
      <c r="HY44" s="1947"/>
      <c r="HZ44" s="1947"/>
      <c r="IA44" s="1947"/>
      <c r="IB44" s="1947"/>
      <c r="IC44" s="1947"/>
      <c r="ID44" s="1947"/>
      <c r="IE44" s="1947"/>
      <c r="IF44" s="1947"/>
      <c r="IG44" s="1947"/>
      <c r="IH44" s="1947"/>
      <c r="II44" s="1947"/>
      <c r="IJ44" s="1947"/>
      <c r="IK44" s="1947"/>
      <c r="IL44" s="1947"/>
      <c r="IM44" s="1947"/>
      <c r="IN44" s="1947"/>
      <c r="IO44" s="1947"/>
      <c r="IP44" s="1947"/>
      <c r="IQ44" s="1947"/>
    </row>
    <row r="45" spans="1:251" hidden="1">
      <c r="A45" s="1026"/>
      <c r="B45" s="1955"/>
      <c r="C45" s="1955"/>
      <c r="D45" s="2034"/>
      <c r="E45" s="1955"/>
      <c r="F45" s="1942">
        <f t="shared" si="15"/>
        <v>0</v>
      </c>
      <c r="G45" s="1026"/>
      <c r="H45" s="1942">
        <f t="shared" si="16"/>
        <v>0</v>
      </c>
      <c r="I45" s="1026"/>
      <c r="J45" s="1942">
        <f t="shared" si="6"/>
        <v>0</v>
      </c>
      <c r="K45" s="1026"/>
      <c r="L45" s="1942">
        <f t="shared" si="17"/>
        <v>0</v>
      </c>
      <c r="M45" s="1942">
        <f t="shared" si="18"/>
        <v>0</v>
      </c>
      <c r="N45" s="1942">
        <f t="shared" si="19"/>
        <v>0</v>
      </c>
      <c r="O45" s="1026"/>
      <c r="P45" s="1026"/>
      <c r="Q45" s="1942">
        <f t="shared" si="20"/>
        <v>0</v>
      </c>
      <c r="R45" s="1942">
        <f t="shared" si="10"/>
        <v>0</v>
      </c>
      <c r="S45" s="1942">
        <f t="shared" si="21"/>
        <v>0</v>
      </c>
      <c r="T45" s="1942">
        <f t="shared" si="22"/>
        <v>0</v>
      </c>
      <c r="U45" s="1942">
        <f t="shared" si="23"/>
        <v>0</v>
      </c>
      <c r="V45" s="3034">
        <f t="shared" si="2"/>
        <v>0</v>
      </c>
      <c r="W45" s="1942"/>
      <c r="X45" s="1923">
        <v>0.01</v>
      </c>
      <c r="Y45" s="1947"/>
      <c r="Z45" s="1947"/>
      <c r="AA45" s="1947"/>
      <c r="AB45" s="1947"/>
      <c r="AC45" s="1947"/>
      <c r="AD45" s="1947"/>
      <c r="AE45" s="1947"/>
      <c r="AF45" s="1947"/>
      <c r="AG45" s="1947"/>
      <c r="AH45" s="1947"/>
      <c r="AI45" s="1947"/>
      <c r="AJ45" s="1947"/>
      <c r="AK45" s="1947"/>
      <c r="AL45" s="1947"/>
      <c r="AM45" s="1947"/>
      <c r="AN45" s="1947"/>
      <c r="AO45" s="1947"/>
      <c r="AP45" s="1947"/>
      <c r="AQ45" s="1947"/>
      <c r="AR45" s="1947"/>
      <c r="AS45" s="1947"/>
      <c r="AT45" s="1947"/>
      <c r="AU45" s="1947"/>
      <c r="AV45" s="1947"/>
      <c r="AW45" s="1947"/>
      <c r="AX45" s="1947"/>
      <c r="AY45" s="1947"/>
      <c r="AZ45" s="1947"/>
      <c r="BA45" s="1947"/>
      <c r="BB45" s="1947"/>
      <c r="BC45" s="1947"/>
      <c r="BD45" s="1947"/>
      <c r="BE45" s="1947"/>
      <c r="BF45" s="1947"/>
      <c r="BG45" s="1947"/>
      <c r="BH45" s="1947"/>
      <c r="BI45" s="1947"/>
      <c r="BJ45" s="1947"/>
      <c r="BK45" s="1947"/>
      <c r="BL45" s="1947"/>
      <c r="BM45" s="1947"/>
      <c r="BN45" s="1947"/>
      <c r="BO45" s="1947"/>
      <c r="BP45" s="1947"/>
      <c r="BQ45" s="1947"/>
      <c r="BR45" s="1947"/>
      <c r="BS45" s="1947"/>
      <c r="BT45" s="1947"/>
      <c r="BU45" s="1947"/>
      <c r="BV45" s="1947"/>
      <c r="BW45" s="1947"/>
      <c r="BX45" s="1947"/>
      <c r="BY45" s="1947"/>
      <c r="BZ45" s="1947"/>
      <c r="CA45" s="1947"/>
      <c r="CB45" s="1947"/>
      <c r="CC45" s="1947"/>
      <c r="CD45" s="1947"/>
      <c r="CE45" s="1947"/>
      <c r="CF45" s="1947"/>
      <c r="CG45" s="1947"/>
      <c r="CH45" s="1947"/>
      <c r="CI45" s="1947"/>
      <c r="CJ45" s="1947"/>
      <c r="CK45" s="1947"/>
      <c r="CL45" s="1947"/>
      <c r="CM45" s="1947"/>
      <c r="CN45" s="1947"/>
      <c r="CO45" s="1947"/>
      <c r="CP45" s="1947"/>
      <c r="CQ45" s="1947"/>
      <c r="CR45" s="1947"/>
      <c r="CS45" s="1947"/>
      <c r="CT45" s="1947"/>
      <c r="CU45" s="1947"/>
      <c r="CV45" s="1947"/>
      <c r="CW45" s="1947"/>
      <c r="CX45" s="1947"/>
      <c r="CY45" s="1947"/>
      <c r="CZ45" s="1947"/>
      <c r="DA45" s="1947"/>
      <c r="DB45" s="1947"/>
      <c r="DC45" s="1947"/>
      <c r="DD45" s="1947"/>
      <c r="DE45" s="1947"/>
      <c r="DF45" s="1947"/>
      <c r="DG45" s="1947"/>
      <c r="DH45" s="1947"/>
      <c r="DI45" s="1947"/>
      <c r="DJ45" s="1947"/>
      <c r="DK45" s="1947"/>
      <c r="DL45" s="1947"/>
      <c r="DM45" s="1947"/>
      <c r="DN45" s="1947"/>
      <c r="DO45" s="1947"/>
      <c r="DP45" s="1947"/>
      <c r="DQ45" s="1947"/>
      <c r="DR45" s="1947"/>
      <c r="DS45" s="1947"/>
      <c r="DT45" s="1947"/>
      <c r="DU45" s="1947"/>
      <c r="DV45" s="1947"/>
      <c r="DW45" s="1947"/>
      <c r="DX45" s="1947"/>
      <c r="DY45" s="1947"/>
      <c r="DZ45" s="1947"/>
      <c r="EA45" s="1947"/>
      <c r="EB45" s="1947"/>
      <c r="EC45" s="1947"/>
      <c r="ED45" s="1947"/>
      <c r="EE45" s="1947"/>
      <c r="EF45" s="1947"/>
      <c r="EG45" s="1947"/>
      <c r="EH45" s="1947"/>
      <c r="EI45" s="1947"/>
      <c r="EJ45" s="1947"/>
      <c r="EK45" s="1947"/>
      <c r="EL45" s="1947"/>
      <c r="EM45" s="1947"/>
      <c r="EN45" s="1947"/>
      <c r="EO45" s="1947"/>
      <c r="EP45" s="1947"/>
      <c r="EQ45" s="1947"/>
      <c r="ER45" s="1947"/>
      <c r="ES45" s="1947"/>
      <c r="ET45" s="1947"/>
      <c r="EU45" s="1947"/>
      <c r="EV45" s="1947"/>
      <c r="EW45" s="1947"/>
      <c r="EX45" s="1947"/>
      <c r="EY45" s="1947"/>
      <c r="EZ45" s="1947"/>
      <c r="FA45" s="1947"/>
      <c r="FB45" s="1947"/>
      <c r="FC45" s="1947"/>
      <c r="FD45" s="1947"/>
      <c r="FE45" s="1947"/>
      <c r="FF45" s="1947"/>
      <c r="FG45" s="1947"/>
      <c r="FH45" s="1947"/>
      <c r="FI45" s="1947"/>
      <c r="FJ45" s="1947"/>
      <c r="FK45" s="1947"/>
      <c r="FL45" s="1947"/>
      <c r="FM45" s="1947"/>
      <c r="FN45" s="1947"/>
      <c r="FO45" s="1947"/>
      <c r="FP45" s="1947"/>
      <c r="FQ45" s="1947"/>
      <c r="FR45" s="1947"/>
      <c r="FS45" s="1947"/>
      <c r="FT45" s="1947"/>
      <c r="FU45" s="1947"/>
      <c r="FV45" s="1947"/>
      <c r="FW45" s="1947"/>
      <c r="FX45" s="1947"/>
      <c r="FY45" s="1947"/>
      <c r="FZ45" s="1947"/>
      <c r="GA45" s="1947"/>
      <c r="GB45" s="1947"/>
      <c r="GC45" s="1947"/>
      <c r="GD45" s="1947"/>
      <c r="GE45" s="1947"/>
      <c r="GF45" s="1947"/>
      <c r="GG45" s="1947"/>
      <c r="GH45" s="1947"/>
      <c r="GI45" s="1947"/>
      <c r="GJ45" s="1947"/>
      <c r="GK45" s="1947"/>
      <c r="GL45" s="1947"/>
      <c r="GM45" s="1947"/>
      <c r="GN45" s="1947"/>
      <c r="GO45" s="1947"/>
      <c r="GP45" s="1947"/>
      <c r="GQ45" s="1947"/>
      <c r="GR45" s="1947"/>
      <c r="GS45" s="1947"/>
      <c r="GT45" s="1947"/>
      <c r="GU45" s="1947"/>
      <c r="GV45" s="1947"/>
      <c r="GW45" s="1947"/>
      <c r="GX45" s="1947"/>
      <c r="GY45" s="1947"/>
      <c r="GZ45" s="1947"/>
      <c r="HA45" s="1947"/>
      <c r="HB45" s="1947"/>
      <c r="HC45" s="1947"/>
      <c r="HD45" s="1947"/>
      <c r="HE45" s="1947"/>
      <c r="HF45" s="1947"/>
      <c r="HG45" s="1947"/>
      <c r="HH45" s="1947"/>
      <c r="HI45" s="1947"/>
      <c r="HJ45" s="1947"/>
      <c r="HK45" s="1947"/>
      <c r="HL45" s="1947"/>
      <c r="HM45" s="1947"/>
      <c r="HN45" s="1947"/>
      <c r="HO45" s="1947"/>
      <c r="HP45" s="1947"/>
      <c r="HQ45" s="1947"/>
      <c r="HR45" s="1947"/>
      <c r="HS45" s="1947"/>
      <c r="HT45" s="1947"/>
      <c r="HU45" s="1947"/>
      <c r="HV45" s="1947"/>
      <c r="HW45" s="1947"/>
      <c r="HX45" s="1947"/>
      <c r="HY45" s="1947"/>
      <c r="HZ45" s="1947"/>
      <c r="IA45" s="1947"/>
      <c r="IB45" s="1947"/>
      <c r="IC45" s="1947"/>
      <c r="ID45" s="1947"/>
      <c r="IE45" s="1947"/>
      <c r="IF45" s="1947"/>
      <c r="IG45" s="1947"/>
      <c r="IH45" s="1947"/>
      <c r="II45" s="1947"/>
      <c r="IJ45" s="1947"/>
      <c r="IK45" s="1947"/>
      <c r="IL45" s="1947"/>
      <c r="IM45" s="1947"/>
      <c r="IN45" s="1947"/>
      <c r="IO45" s="1947"/>
      <c r="IP45" s="1947"/>
      <c r="IQ45" s="1947"/>
    </row>
    <row r="46" spans="1:251" hidden="1">
      <c r="A46" s="1026"/>
      <c r="B46" s="1955"/>
      <c r="C46" s="1955"/>
      <c r="D46" s="2034"/>
      <c r="E46" s="1955"/>
      <c r="F46" s="1942">
        <f t="shared" si="15"/>
        <v>0</v>
      </c>
      <c r="G46" s="1026"/>
      <c r="H46" s="1942">
        <f t="shared" si="16"/>
        <v>0</v>
      </c>
      <c r="I46" s="1026"/>
      <c r="J46" s="1942">
        <f t="shared" si="6"/>
        <v>0</v>
      </c>
      <c r="K46" s="1026"/>
      <c r="L46" s="1942">
        <f t="shared" si="17"/>
        <v>0</v>
      </c>
      <c r="M46" s="1942">
        <f t="shared" si="18"/>
        <v>0</v>
      </c>
      <c r="N46" s="1942">
        <f t="shared" si="19"/>
        <v>0</v>
      </c>
      <c r="O46" s="1026"/>
      <c r="P46" s="1026"/>
      <c r="Q46" s="1942">
        <f t="shared" si="20"/>
        <v>0</v>
      </c>
      <c r="R46" s="1942">
        <f t="shared" si="10"/>
        <v>0</v>
      </c>
      <c r="S46" s="1942">
        <f t="shared" si="21"/>
        <v>0</v>
      </c>
      <c r="T46" s="1942">
        <f t="shared" si="22"/>
        <v>0</v>
      </c>
      <c r="U46" s="1942">
        <f t="shared" si="23"/>
        <v>0</v>
      </c>
      <c r="V46" s="3034">
        <f t="shared" si="2"/>
        <v>0</v>
      </c>
      <c r="W46" s="1942"/>
      <c r="X46" s="1923">
        <v>0.01</v>
      </c>
      <c r="Y46" s="1947"/>
      <c r="Z46" s="1947"/>
      <c r="AA46" s="1947"/>
      <c r="AB46" s="1947"/>
      <c r="AC46" s="1947"/>
      <c r="AD46" s="1947"/>
      <c r="AE46" s="1947"/>
      <c r="AF46" s="1947"/>
      <c r="AG46" s="1947"/>
      <c r="AH46" s="1947"/>
      <c r="AI46" s="1947"/>
      <c r="AJ46" s="1947"/>
      <c r="AK46" s="1947"/>
      <c r="AL46" s="1947"/>
      <c r="AM46" s="1947"/>
      <c r="AN46" s="1947"/>
      <c r="AO46" s="1947"/>
      <c r="AP46" s="1947"/>
      <c r="AQ46" s="1947"/>
      <c r="AR46" s="1947"/>
      <c r="AS46" s="1947"/>
      <c r="AT46" s="1947"/>
      <c r="AU46" s="1947"/>
      <c r="AV46" s="1947"/>
      <c r="AW46" s="1947"/>
      <c r="AX46" s="1947"/>
      <c r="AY46" s="1947"/>
      <c r="AZ46" s="1947"/>
      <c r="BA46" s="1947"/>
      <c r="BB46" s="1947"/>
      <c r="BC46" s="1947"/>
      <c r="BD46" s="1947"/>
      <c r="BE46" s="1947"/>
      <c r="BF46" s="1947"/>
      <c r="BG46" s="1947"/>
      <c r="BH46" s="1947"/>
      <c r="BI46" s="1947"/>
      <c r="BJ46" s="1947"/>
      <c r="BK46" s="1947"/>
      <c r="BL46" s="1947"/>
      <c r="BM46" s="1947"/>
      <c r="BN46" s="1947"/>
      <c r="BO46" s="1947"/>
      <c r="BP46" s="1947"/>
      <c r="BQ46" s="1947"/>
      <c r="BR46" s="1947"/>
      <c r="BS46" s="1947"/>
      <c r="BT46" s="1947"/>
      <c r="BU46" s="1947"/>
      <c r="BV46" s="1947"/>
      <c r="BW46" s="1947"/>
      <c r="BX46" s="1947"/>
      <c r="BY46" s="1947"/>
      <c r="BZ46" s="1947"/>
      <c r="CA46" s="1947"/>
      <c r="CB46" s="1947"/>
      <c r="CC46" s="1947"/>
      <c r="CD46" s="1947"/>
      <c r="CE46" s="1947"/>
      <c r="CF46" s="1947"/>
      <c r="CG46" s="1947"/>
      <c r="CH46" s="1947"/>
      <c r="CI46" s="1947"/>
      <c r="CJ46" s="1947"/>
      <c r="CK46" s="1947"/>
      <c r="CL46" s="1947"/>
      <c r="CM46" s="1947"/>
      <c r="CN46" s="1947"/>
      <c r="CO46" s="1947"/>
      <c r="CP46" s="1947"/>
      <c r="CQ46" s="1947"/>
      <c r="CR46" s="1947"/>
      <c r="CS46" s="1947"/>
      <c r="CT46" s="1947"/>
      <c r="CU46" s="1947"/>
      <c r="CV46" s="1947"/>
      <c r="CW46" s="1947"/>
      <c r="CX46" s="1947"/>
      <c r="CY46" s="1947"/>
      <c r="CZ46" s="1947"/>
      <c r="DA46" s="1947"/>
      <c r="DB46" s="1947"/>
      <c r="DC46" s="1947"/>
      <c r="DD46" s="1947"/>
      <c r="DE46" s="1947"/>
      <c r="DF46" s="1947"/>
      <c r="DG46" s="1947"/>
      <c r="DH46" s="1947"/>
      <c r="DI46" s="1947"/>
      <c r="DJ46" s="1947"/>
      <c r="DK46" s="1947"/>
      <c r="DL46" s="1947"/>
      <c r="DM46" s="1947"/>
      <c r="DN46" s="1947"/>
      <c r="DO46" s="1947"/>
      <c r="DP46" s="1947"/>
      <c r="DQ46" s="1947"/>
      <c r="DR46" s="1947"/>
      <c r="DS46" s="1947"/>
      <c r="DT46" s="1947"/>
      <c r="DU46" s="1947"/>
      <c r="DV46" s="1947"/>
      <c r="DW46" s="1947"/>
      <c r="DX46" s="1947"/>
      <c r="DY46" s="1947"/>
      <c r="DZ46" s="1947"/>
      <c r="EA46" s="1947"/>
      <c r="EB46" s="1947"/>
      <c r="EC46" s="1947"/>
      <c r="ED46" s="1947"/>
      <c r="EE46" s="1947"/>
      <c r="EF46" s="1947"/>
      <c r="EG46" s="1947"/>
      <c r="EH46" s="1947"/>
      <c r="EI46" s="1947"/>
      <c r="EJ46" s="1947"/>
      <c r="EK46" s="1947"/>
      <c r="EL46" s="1947"/>
      <c r="EM46" s="1947"/>
      <c r="EN46" s="1947"/>
      <c r="EO46" s="1947"/>
      <c r="EP46" s="1947"/>
      <c r="EQ46" s="1947"/>
      <c r="ER46" s="1947"/>
      <c r="ES46" s="1947"/>
      <c r="ET46" s="1947"/>
      <c r="EU46" s="1947"/>
      <c r="EV46" s="1947"/>
      <c r="EW46" s="1947"/>
      <c r="EX46" s="1947"/>
      <c r="EY46" s="1947"/>
      <c r="EZ46" s="1947"/>
      <c r="FA46" s="1947"/>
      <c r="FB46" s="1947"/>
      <c r="FC46" s="1947"/>
      <c r="FD46" s="1947"/>
      <c r="FE46" s="1947"/>
      <c r="FF46" s="1947"/>
      <c r="FG46" s="1947"/>
      <c r="FH46" s="1947"/>
      <c r="FI46" s="1947"/>
      <c r="FJ46" s="1947"/>
      <c r="FK46" s="1947"/>
      <c r="FL46" s="1947"/>
      <c r="FM46" s="1947"/>
      <c r="FN46" s="1947"/>
      <c r="FO46" s="1947"/>
      <c r="FP46" s="1947"/>
      <c r="FQ46" s="1947"/>
      <c r="FR46" s="1947"/>
      <c r="FS46" s="1947"/>
      <c r="FT46" s="1947"/>
      <c r="FU46" s="1947"/>
      <c r="FV46" s="1947"/>
      <c r="FW46" s="1947"/>
      <c r="FX46" s="1947"/>
      <c r="FY46" s="1947"/>
      <c r="FZ46" s="1947"/>
      <c r="GA46" s="1947"/>
      <c r="GB46" s="1947"/>
      <c r="GC46" s="1947"/>
      <c r="GD46" s="1947"/>
      <c r="GE46" s="1947"/>
      <c r="GF46" s="1947"/>
      <c r="GG46" s="1947"/>
      <c r="GH46" s="1947"/>
      <c r="GI46" s="1947"/>
      <c r="GJ46" s="1947"/>
      <c r="GK46" s="1947"/>
      <c r="GL46" s="1947"/>
      <c r="GM46" s="1947"/>
      <c r="GN46" s="1947"/>
      <c r="GO46" s="1947"/>
      <c r="GP46" s="1947"/>
      <c r="GQ46" s="1947"/>
      <c r="GR46" s="1947"/>
      <c r="GS46" s="1947"/>
      <c r="GT46" s="1947"/>
      <c r="GU46" s="1947"/>
      <c r="GV46" s="1947"/>
      <c r="GW46" s="1947"/>
      <c r="GX46" s="1947"/>
      <c r="GY46" s="1947"/>
      <c r="GZ46" s="1947"/>
      <c r="HA46" s="1947"/>
      <c r="HB46" s="1947"/>
      <c r="HC46" s="1947"/>
      <c r="HD46" s="1947"/>
      <c r="HE46" s="1947"/>
      <c r="HF46" s="1947"/>
      <c r="HG46" s="1947"/>
      <c r="HH46" s="1947"/>
      <c r="HI46" s="1947"/>
      <c r="HJ46" s="1947"/>
      <c r="HK46" s="1947"/>
      <c r="HL46" s="1947"/>
      <c r="HM46" s="1947"/>
      <c r="HN46" s="1947"/>
      <c r="HO46" s="1947"/>
      <c r="HP46" s="1947"/>
      <c r="HQ46" s="1947"/>
      <c r="HR46" s="1947"/>
      <c r="HS46" s="1947"/>
      <c r="HT46" s="1947"/>
      <c r="HU46" s="1947"/>
      <c r="HV46" s="1947"/>
      <c r="HW46" s="1947"/>
      <c r="HX46" s="1947"/>
      <c r="HY46" s="1947"/>
      <c r="HZ46" s="1947"/>
      <c r="IA46" s="1947"/>
      <c r="IB46" s="1947"/>
      <c r="IC46" s="1947"/>
      <c r="ID46" s="1947"/>
      <c r="IE46" s="1947"/>
      <c r="IF46" s="1947"/>
      <c r="IG46" s="1947"/>
      <c r="IH46" s="1947"/>
      <c r="II46" s="1947"/>
      <c r="IJ46" s="1947"/>
      <c r="IK46" s="1947"/>
      <c r="IL46" s="1947"/>
      <c r="IM46" s="1947"/>
      <c r="IN46" s="1947"/>
      <c r="IO46" s="1947"/>
      <c r="IP46" s="1947"/>
      <c r="IQ46" s="1947"/>
    </row>
    <row r="47" spans="1:251" hidden="1">
      <c r="A47" s="1026"/>
      <c r="B47" s="1955"/>
      <c r="C47" s="1955"/>
      <c r="D47" s="2034"/>
      <c r="E47" s="1955"/>
      <c r="F47" s="1942">
        <f>ROUNDUP((E47*$Q$5),-3)</f>
        <v>0</v>
      </c>
      <c r="G47" s="1026"/>
      <c r="H47" s="1942">
        <f>D47*F47*G47</f>
        <v>0</v>
      </c>
      <c r="I47" s="1026"/>
      <c r="J47" s="1942">
        <f>I47*$Q$4</f>
        <v>0</v>
      </c>
      <c r="K47" s="1026"/>
      <c r="L47" s="1942">
        <f>K47*F47</f>
        <v>0</v>
      </c>
      <c r="M47" s="1942">
        <f>D47*G47*(J47+L47)</f>
        <v>0</v>
      </c>
      <c r="N47" s="1942">
        <f>H47+M47</f>
        <v>0</v>
      </c>
      <c r="O47" s="1026"/>
      <c r="P47" s="1026"/>
      <c r="Q47" s="1942">
        <f>N47+O47+P47</f>
        <v>0</v>
      </c>
      <c r="R47" s="1942">
        <f>Q47*10%</f>
        <v>0</v>
      </c>
      <c r="S47" s="1942">
        <f>(Q47-R47)*10%</f>
        <v>0</v>
      </c>
      <c r="T47" s="1942">
        <f>(Q47-R47)*6%</f>
        <v>0</v>
      </c>
      <c r="U47" s="1942">
        <f>(Q47-R47)*5%</f>
        <v>0</v>
      </c>
      <c r="V47" s="3034">
        <f t="shared" si="2"/>
        <v>0</v>
      </c>
      <c r="W47" s="1942"/>
      <c r="X47" s="1923">
        <v>0.01</v>
      </c>
      <c r="Y47" s="1947"/>
      <c r="Z47" s="1947"/>
      <c r="AA47" s="1947"/>
      <c r="AB47" s="1947"/>
      <c r="AC47" s="1947"/>
      <c r="AD47" s="1947"/>
      <c r="AE47" s="1947"/>
      <c r="AF47" s="1947"/>
      <c r="AG47" s="1947"/>
      <c r="AH47" s="1947"/>
      <c r="AI47" s="1947"/>
      <c r="AJ47" s="1947"/>
      <c r="AK47" s="1947"/>
      <c r="AL47" s="1947"/>
      <c r="AM47" s="1947"/>
      <c r="AN47" s="1947"/>
      <c r="AO47" s="1947"/>
      <c r="AP47" s="1947"/>
      <c r="AQ47" s="1947"/>
      <c r="AR47" s="1947"/>
      <c r="AS47" s="1947"/>
      <c r="AT47" s="1947"/>
      <c r="AU47" s="1947"/>
      <c r="AV47" s="1947"/>
      <c r="AW47" s="1947"/>
      <c r="AX47" s="1947"/>
      <c r="AY47" s="1947"/>
      <c r="AZ47" s="1947"/>
      <c r="BA47" s="1947"/>
      <c r="BB47" s="1947"/>
      <c r="BC47" s="1947"/>
      <c r="BD47" s="1947"/>
      <c r="BE47" s="1947"/>
      <c r="BF47" s="1947"/>
      <c r="BG47" s="1947"/>
      <c r="BH47" s="1947"/>
      <c r="BI47" s="1947"/>
      <c r="BJ47" s="1947"/>
      <c r="BK47" s="1947"/>
      <c r="BL47" s="1947"/>
      <c r="BM47" s="1947"/>
      <c r="BN47" s="1947"/>
      <c r="BO47" s="1947"/>
      <c r="BP47" s="1947"/>
      <c r="BQ47" s="1947"/>
      <c r="BR47" s="1947"/>
      <c r="BS47" s="1947"/>
      <c r="BT47" s="1947"/>
      <c r="BU47" s="1947"/>
      <c r="BV47" s="1947"/>
      <c r="BW47" s="1947"/>
      <c r="BX47" s="1947"/>
      <c r="BY47" s="1947"/>
      <c r="BZ47" s="1947"/>
      <c r="CA47" s="1947"/>
      <c r="CB47" s="1947"/>
      <c r="CC47" s="1947"/>
      <c r="CD47" s="1947"/>
      <c r="CE47" s="1947"/>
      <c r="CF47" s="1947"/>
      <c r="CG47" s="1947"/>
      <c r="CH47" s="1947"/>
      <c r="CI47" s="1947"/>
      <c r="CJ47" s="1947"/>
      <c r="CK47" s="1947"/>
      <c r="CL47" s="1947"/>
      <c r="CM47" s="1947"/>
      <c r="CN47" s="1947"/>
      <c r="CO47" s="1947"/>
      <c r="CP47" s="1947"/>
      <c r="CQ47" s="1947"/>
      <c r="CR47" s="1947"/>
      <c r="CS47" s="1947"/>
      <c r="CT47" s="1947"/>
      <c r="CU47" s="1947"/>
      <c r="CV47" s="1947"/>
      <c r="CW47" s="1947"/>
      <c r="CX47" s="1947"/>
      <c r="CY47" s="1947"/>
      <c r="CZ47" s="1947"/>
      <c r="DA47" s="1947"/>
      <c r="DB47" s="1947"/>
      <c r="DC47" s="1947"/>
      <c r="DD47" s="1947"/>
      <c r="DE47" s="1947"/>
      <c r="DF47" s="1947"/>
      <c r="DG47" s="1947"/>
      <c r="DH47" s="1947"/>
      <c r="DI47" s="1947"/>
      <c r="DJ47" s="1947"/>
      <c r="DK47" s="1947"/>
      <c r="DL47" s="1947"/>
      <c r="DM47" s="1947"/>
      <c r="DN47" s="1947"/>
      <c r="DO47" s="1947"/>
      <c r="DP47" s="1947"/>
      <c r="DQ47" s="1947"/>
      <c r="DR47" s="1947"/>
      <c r="DS47" s="1947"/>
      <c r="DT47" s="1947"/>
      <c r="DU47" s="1947"/>
      <c r="DV47" s="1947"/>
      <c r="DW47" s="1947"/>
      <c r="DX47" s="1947"/>
      <c r="DY47" s="1947"/>
      <c r="DZ47" s="1947"/>
      <c r="EA47" s="1947"/>
      <c r="EB47" s="1947"/>
      <c r="EC47" s="1947"/>
      <c r="ED47" s="1947"/>
      <c r="EE47" s="1947"/>
      <c r="EF47" s="1947"/>
      <c r="EG47" s="1947"/>
      <c r="EH47" s="1947"/>
      <c r="EI47" s="1947"/>
      <c r="EJ47" s="1947"/>
      <c r="EK47" s="1947"/>
      <c r="EL47" s="1947"/>
      <c r="EM47" s="1947"/>
      <c r="EN47" s="1947"/>
      <c r="EO47" s="1947"/>
      <c r="EP47" s="1947"/>
      <c r="EQ47" s="1947"/>
      <c r="ER47" s="1947"/>
      <c r="ES47" s="1947"/>
      <c r="ET47" s="1947"/>
      <c r="EU47" s="1947"/>
      <c r="EV47" s="1947"/>
      <c r="EW47" s="1947"/>
      <c r="EX47" s="1947"/>
      <c r="EY47" s="1947"/>
      <c r="EZ47" s="1947"/>
      <c r="FA47" s="1947"/>
      <c r="FB47" s="1947"/>
      <c r="FC47" s="1947"/>
      <c r="FD47" s="1947"/>
      <c r="FE47" s="1947"/>
      <c r="FF47" s="1947"/>
      <c r="FG47" s="1947"/>
      <c r="FH47" s="1947"/>
      <c r="FI47" s="1947"/>
      <c r="FJ47" s="1947"/>
      <c r="FK47" s="1947"/>
      <c r="FL47" s="1947"/>
      <c r="FM47" s="1947"/>
      <c r="FN47" s="1947"/>
      <c r="FO47" s="1947"/>
      <c r="FP47" s="1947"/>
      <c r="FQ47" s="1947"/>
      <c r="FR47" s="1947"/>
      <c r="FS47" s="1947"/>
      <c r="FT47" s="1947"/>
      <c r="FU47" s="1947"/>
      <c r="FV47" s="1947"/>
      <c r="FW47" s="1947"/>
      <c r="FX47" s="1947"/>
      <c r="FY47" s="1947"/>
      <c r="FZ47" s="1947"/>
      <c r="GA47" s="1947"/>
      <c r="GB47" s="1947"/>
      <c r="GC47" s="1947"/>
      <c r="GD47" s="1947"/>
      <c r="GE47" s="1947"/>
      <c r="GF47" s="1947"/>
      <c r="GG47" s="1947"/>
      <c r="GH47" s="1947"/>
      <c r="GI47" s="1947"/>
      <c r="GJ47" s="1947"/>
      <c r="GK47" s="1947"/>
      <c r="GL47" s="1947"/>
      <c r="GM47" s="1947"/>
      <c r="GN47" s="1947"/>
      <c r="GO47" s="1947"/>
      <c r="GP47" s="1947"/>
      <c r="GQ47" s="1947"/>
      <c r="GR47" s="1947"/>
      <c r="GS47" s="1947"/>
      <c r="GT47" s="1947"/>
      <c r="GU47" s="1947"/>
      <c r="GV47" s="1947"/>
      <c r="GW47" s="1947"/>
      <c r="GX47" s="1947"/>
      <c r="GY47" s="1947"/>
      <c r="GZ47" s="1947"/>
      <c r="HA47" s="1947"/>
      <c r="HB47" s="1947"/>
      <c r="HC47" s="1947"/>
      <c r="HD47" s="1947"/>
      <c r="HE47" s="1947"/>
      <c r="HF47" s="1947"/>
      <c r="HG47" s="1947"/>
      <c r="HH47" s="1947"/>
      <c r="HI47" s="1947"/>
      <c r="HJ47" s="1947"/>
      <c r="HK47" s="1947"/>
      <c r="HL47" s="1947"/>
      <c r="HM47" s="1947"/>
      <c r="HN47" s="1947"/>
      <c r="HO47" s="1947"/>
      <c r="HP47" s="1947"/>
      <c r="HQ47" s="1947"/>
      <c r="HR47" s="1947"/>
      <c r="HS47" s="1947"/>
      <c r="HT47" s="1947"/>
      <c r="HU47" s="1947"/>
      <c r="HV47" s="1947"/>
      <c r="HW47" s="1947"/>
      <c r="HX47" s="1947"/>
      <c r="HY47" s="1947"/>
      <c r="HZ47" s="1947"/>
      <c r="IA47" s="1947"/>
      <c r="IB47" s="1947"/>
      <c r="IC47" s="1947"/>
      <c r="ID47" s="1947"/>
      <c r="IE47" s="1947"/>
      <c r="IF47" s="1947"/>
      <c r="IG47" s="1947"/>
      <c r="IH47" s="1947"/>
      <c r="II47" s="1947"/>
      <c r="IJ47" s="1947"/>
      <c r="IK47" s="1947"/>
      <c r="IL47" s="1947"/>
      <c r="IM47" s="1947"/>
      <c r="IN47" s="1947"/>
      <c r="IO47" s="1947"/>
      <c r="IP47" s="1947"/>
      <c r="IQ47" s="1947"/>
    </row>
    <row r="48" spans="1:251" hidden="1">
      <c r="A48" s="1026"/>
      <c r="B48" s="1955"/>
      <c r="C48" s="1955"/>
      <c r="D48" s="2034"/>
      <c r="E48" s="1955"/>
      <c r="F48" s="1942">
        <f t="shared" si="15"/>
        <v>0</v>
      </c>
      <c r="G48" s="1026"/>
      <c r="H48" s="1942">
        <f t="shared" ref="H48:H63" si="24">D48*F48*G48</f>
        <v>0</v>
      </c>
      <c r="I48" s="1026"/>
      <c r="J48" s="1942">
        <f t="shared" si="6"/>
        <v>0</v>
      </c>
      <c r="K48" s="1026"/>
      <c r="L48" s="1942">
        <f t="shared" ref="L48:L63" si="25">K48*F48</f>
        <v>0</v>
      </c>
      <c r="M48" s="1942">
        <f t="shared" ref="M48:M63" si="26">D48*G48*(J48+L48)</f>
        <v>0</v>
      </c>
      <c r="N48" s="1942">
        <f t="shared" ref="N48:N63" si="27">H48+M48</f>
        <v>0</v>
      </c>
      <c r="O48" s="1026"/>
      <c r="P48" s="1026"/>
      <c r="Q48" s="1942">
        <f t="shared" ref="Q48:Q63" si="28">N48+O48+P48</f>
        <v>0</v>
      </c>
      <c r="R48" s="1942">
        <f t="shared" si="10"/>
        <v>0</v>
      </c>
      <c r="S48" s="1942">
        <f t="shared" ref="S48:S63" si="29">(Q48-R48)*10%</f>
        <v>0</v>
      </c>
      <c r="T48" s="1942">
        <f t="shared" ref="T48:T63" si="30">(Q48-R48)*6%</f>
        <v>0</v>
      </c>
      <c r="U48" s="1942">
        <f t="shared" ref="U48:U63" si="31">(Q48-R48)*5%</f>
        <v>0</v>
      </c>
      <c r="V48" s="3034">
        <f t="shared" si="2"/>
        <v>0</v>
      </c>
      <c r="W48" s="1942"/>
      <c r="X48" s="1923">
        <v>0.01</v>
      </c>
      <c r="Y48" s="1947"/>
      <c r="Z48" s="1947"/>
      <c r="AA48" s="1947"/>
      <c r="AB48" s="1947"/>
      <c r="AC48" s="1947"/>
      <c r="AD48" s="1947"/>
      <c r="AE48" s="1947"/>
      <c r="AF48" s="1947"/>
      <c r="AG48" s="1947"/>
      <c r="AH48" s="1947"/>
      <c r="AI48" s="1947"/>
      <c r="AJ48" s="1947"/>
      <c r="AK48" s="1947"/>
      <c r="AL48" s="1947"/>
      <c r="AM48" s="1947"/>
      <c r="AN48" s="1947"/>
      <c r="AO48" s="1947"/>
      <c r="AP48" s="1947"/>
      <c r="AQ48" s="1947"/>
      <c r="AR48" s="1947"/>
      <c r="AS48" s="1947"/>
      <c r="AT48" s="1947"/>
      <c r="AU48" s="1947"/>
      <c r="AV48" s="1947"/>
      <c r="AW48" s="1947"/>
      <c r="AX48" s="1947"/>
      <c r="AY48" s="1947"/>
      <c r="AZ48" s="1947"/>
      <c r="BA48" s="1947"/>
      <c r="BB48" s="1947"/>
      <c r="BC48" s="1947"/>
      <c r="BD48" s="1947"/>
      <c r="BE48" s="1947"/>
      <c r="BF48" s="1947"/>
      <c r="BG48" s="1947"/>
      <c r="BH48" s="1947"/>
      <c r="BI48" s="1947"/>
      <c r="BJ48" s="1947"/>
      <c r="BK48" s="1947"/>
      <c r="BL48" s="1947"/>
      <c r="BM48" s="1947"/>
      <c r="BN48" s="1947"/>
      <c r="BO48" s="1947"/>
      <c r="BP48" s="1947"/>
      <c r="BQ48" s="1947"/>
      <c r="BR48" s="1947"/>
      <c r="BS48" s="1947"/>
      <c r="BT48" s="1947"/>
      <c r="BU48" s="1947"/>
      <c r="BV48" s="1947"/>
      <c r="BW48" s="1947"/>
      <c r="BX48" s="1947"/>
      <c r="BY48" s="1947"/>
      <c r="BZ48" s="1947"/>
      <c r="CA48" s="1947"/>
      <c r="CB48" s="1947"/>
      <c r="CC48" s="1947"/>
      <c r="CD48" s="1947"/>
      <c r="CE48" s="1947"/>
      <c r="CF48" s="1947"/>
      <c r="CG48" s="1947"/>
      <c r="CH48" s="1947"/>
      <c r="CI48" s="1947"/>
      <c r="CJ48" s="1947"/>
      <c r="CK48" s="1947"/>
      <c r="CL48" s="1947"/>
      <c r="CM48" s="1947"/>
      <c r="CN48" s="1947"/>
      <c r="CO48" s="1947"/>
      <c r="CP48" s="1947"/>
      <c r="CQ48" s="1947"/>
      <c r="CR48" s="1947"/>
      <c r="CS48" s="1947"/>
      <c r="CT48" s="1947"/>
      <c r="CU48" s="1947"/>
      <c r="CV48" s="1947"/>
      <c r="CW48" s="1947"/>
      <c r="CX48" s="1947"/>
      <c r="CY48" s="1947"/>
      <c r="CZ48" s="1947"/>
      <c r="DA48" s="1947"/>
      <c r="DB48" s="1947"/>
      <c r="DC48" s="1947"/>
      <c r="DD48" s="1947"/>
      <c r="DE48" s="1947"/>
      <c r="DF48" s="1947"/>
      <c r="DG48" s="1947"/>
      <c r="DH48" s="1947"/>
      <c r="DI48" s="1947"/>
      <c r="DJ48" s="1947"/>
      <c r="DK48" s="1947"/>
      <c r="DL48" s="1947"/>
      <c r="DM48" s="1947"/>
      <c r="DN48" s="1947"/>
      <c r="DO48" s="1947"/>
      <c r="DP48" s="1947"/>
      <c r="DQ48" s="1947"/>
      <c r="DR48" s="1947"/>
      <c r="DS48" s="1947"/>
      <c r="DT48" s="1947"/>
      <c r="DU48" s="1947"/>
      <c r="DV48" s="1947"/>
      <c r="DW48" s="1947"/>
      <c r="DX48" s="1947"/>
      <c r="DY48" s="1947"/>
      <c r="DZ48" s="1947"/>
      <c r="EA48" s="1947"/>
      <c r="EB48" s="1947"/>
      <c r="EC48" s="1947"/>
      <c r="ED48" s="1947"/>
      <c r="EE48" s="1947"/>
      <c r="EF48" s="1947"/>
      <c r="EG48" s="1947"/>
      <c r="EH48" s="1947"/>
      <c r="EI48" s="1947"/>
      <c r="EJ48" s="1947"/>
      <c r="EK48" s="1947"/>
      <c r="EL48" s="1947"/>
      <c r="EM48" s="1947"/>
      <c r="EN48" s="1947"/>
      <c r="EO48" s="1947"/>
      <c r="EP48" s="1947"/>
      <c r="EQ48" s="1947"/>
      <c r="ER48" s="1947"/>
      <c r="ES48" s="1947"/>
      <c r="ET48" s="1947"/>
      <c r="EU48" s="1947"/>
      <c r="EV48" s="1947"/>
      <c r="EW48" s="1947"/>
      <c r="EX48" s="1947"/>
      <c r="EY48" s="1947"/>
      <c r="EZ48" s="1947"/>
      <c r="FA48" s="1947"/>
      <c r="FB48" s="1947"/>
      <c r="FC48" s="1947"/>
      <c r="FD48" s="1947"/>
      <c r="FE48" s="1947"/>
      <c r="FF48" s="1947"/>
      <c r="FG48" s="1947"/>
      <c r="FH48" s="1947"/>
      <c r="FI48" s="1947"/>
      <c r="FJ48" s="1947"/>
      <c r="FK48" s="1947"/>
      <c r="FL48" s="1947"/>
      <c r="FM48" s="1947"/>
      <c r="FN48" s="1947"/>
      <c r="FO48" s="1947"/>
      <c r="FP48" s="1947"/>
      <c r="FQ48" s="1947"/>
      <c r="FR48" s="1947"/>
      <c r="FS48" s="1947"/>
      <c r="FT48" s="1947"/>
      <c r="FU48" s="1947"/>
      <c r="FV48" s="1947"/>
      <c r="FW48" s="1947"/>
      <c r="FX48" s="1947"/>
      <c r="FY48" s="1947"/>
      <c r="FZ48" s="1947"/>
      <c r="GA48" s="1947"/>
      <c r="GB48" s="1947"/>
      <c r="GC48" s="1947"/>
      <c r="GD48" s="1947"/>
      <c r="GE48" s="1947"/>
      <c r="GF48" s="1947"/>
      <c r="GG48" s="1947"/>
      <c r="GH48" s="1947"/>
      <c r="GI48" s="1947"/>
      <c r="GJ48" s="1947"/>
      <c r="GK48" s="1947"/>
      <c r="GL48" s="1947"/>
      <c r="GM48" s="1947"/>
      <c r="GN48" s="1947"/>
      <c r="GO48" s="1947"/>
      <c r="GP48" s="1947"/>
      <c r="GQ48" s="1947"/>
      <c r="GR48" s="1947"/>
      <c r="GS48" s="1947"/>
      <c r="GT48" s="1947"/>
      <c r="GU48" s="1947"/>
      <c r="GV48" s="1947"/>
      <c r="GW48" s="1947"/>
      <c r="GX48" s="1947"/>
      <c r="GY48" s="1947"/>
      <c r="GZ48" s="1947"/>
      <c r="HA48" s="1947"/>
      <c r="HB48" s="1947"/>
      <c r="HC48" s="1947"/>
      <c r="HD48" s="1947"/>
      <c r="HE48" s="1947"/>
      <c r="HF48" s="1947"/>
      <c r="HG48" s="1947"/>
      <c r="HH48" s="1947"/>
      <c r="HI48" s="1947"/>
      <c r="HJ48" s="1947"/>
      <c r="HK48" s="1947"/>
      <c r="HL48" s="1947"/>
      <c r="HM48" s="1947"/>
      <c r="HN48" s="1947"/>
      <c r="HO48" s="1947"/>
      <c r="HP48" s="1947"/>
      <c r="HQ48" s="1947"/>
      <c r="HR48" s="1947"/>
      <c r="HS48" s="1947"/>
      <c r="HT48" s="1947"/>
      <c r="HU48" s="1947"/>
      <c r="HV48" s="1947"/>
      <c r="HW48" s="1947"/>
      <c r="HX48" s="1947"/>
      <c r="HY48" s="1947"/>
      <c r="HZ48" s="1947"/>
      <c r="IA48" s="1947"/>
      <c r="IB48" s="1947"/>
      <c r="IC48" s="1947"/>
      <c r="ID48" s="1947"/>
      <c r="IE48" s="1947"/>
      <c r="IF48" s="1947"/>
      <c r="IG48" s="1947"/>
      <c r="IH48" s="1947"/>
      <c r="II48" s="1947"/>
      <c r="IJ48" s="1947"/>
      <c r="IK48" s="1947"/>
      <c r="IL48" s="1947"/>
      <c r="IM48" s="1947"/>
      <c r="IN48" s="1947"/>
      <c r="IO48" s="1947"/>
      <c r="IP48" s="1947"/>
      <c r="IQ48" s="1947"/>
    </row>
    <row r="49" spans="1:251" hidden="1">
      <c r="A49" s="1026"/>
      <c r="B49" s="1955"/>
      <c r="C49" s="1955"/>
      <c r="D49" s="2034"/>
      <c r="E49" s="1955"/>
      <c r="F49" s="1942">
        <f t="shared" si="15"/>
        <v>0</v>
      </c>
      <c r="G49" s="1026"/>
      <c r="H49" s="1942">
        <f t="shared" si="24"/>
        <v>0</v>
      </c>
      <c r="I49" s="1026"/>
      <c r="J49" s="1942">
        <f t="shared" si="6"/>
        <v>0</v>
      </c>
      <c r="K49" s="1026"/>
      <c r="L49" s="1942">
        <f t="shared" si="25"/>
        <v>0</v>
      </c>
      <c r="M49" s="1942">
        <f t="shared" si="26"/>
        <v>0</v>
      </c>
      <c r="N49" s="1942">
        <f t="shared" si="27"/>
        <v>0</v>
      </c>
      <c r="O49" s="1026"/>
      <c r="P49" s="1026"/>
      <c r="Q49" s="1942">
        <f t="shared" si="28"/>
        <v>0</v>
      </c>
      <c r="R49" s="1942">
        <f t="shared" si="10"/>
        <v>0</v>
      </c>
      <c r="S49" s="1942">
        <f t="shared" si="29"/>
        <v>0</v>
      </c>
      <c r="T49" s="1942">
        <f t="shared" si="30"/>
        <v>0</v>
      </c>
      <c r="U49" s="1942">
        <f t="shared" si="31"/>
        <v>0</v>
      </c>
      <c r="V49" s="3034">
        <f t="shared" si="2"/>
        <v>0</v>
      </c>
      <c r="W49" s="1942"/>
      <c r="X49" s="1923">
        <v>0.01</v>
      </c>
      <c r="Y49" s="1947"/>
      <c r="Z49" s="1947"/>
      <c r="AA49" s="1947"/>
      <c r="AB49" s="1947"/>
      <c r="AC49" s="1947"/>
      <c r="AD49" s="1947"/>
      <c r="AE49" s="1947"/>
      <c r="AF49" s="1947"/>
      <c r="AG49" s="1947"/>
      <c r="AH49" s="1947"/>
      <c r="AI49" s="1947"/>
      <c r="AJ49" s="1947"/>
      <c r="AK49" s="1947"/>
      <c r="AL49" s="1947"/>
      <c r="AM49" s="1947"/>
      <c r="AN49" s="1947"/>
      <c r="AO49" s="1947"/>
      <c r="AP49" s="1947"/>
      <c r="AQ49" s="1947"/>
      <c r="AR49" s="1947"/>
      <c r="AS49" s="1947"/>
      <c r="AT49" s="1947"/>
      <c r="AU49" s="1947"/>
      <c r="AV49" s="1947"/>
      <c r="AW49" s="1947"/>
      <c r="AX49" s="1947"/>
      <c r="AY49" s="1947"/>
      <c r="AZ49" s="1947"/>
      <c r="BA49" s="1947"/>
      <c r="BB49" s="1947"/>
      <c r="BC49" s="1947"/>
      <c r="BD49" s="1947"/>
      <c r="BE49" s="1947"/>
      <c r="BF49" s="1947"/>
      <c r="BG49" s="1947"/>
      <c r="BH49" s="1947"/>
      <c r="BI49" s="1947"/>
      <c r="BJ49" s="1947"/>
      <c r="BK49" s="1947"/>
      <c r="BL49" s="1947"/>
      <c r="BM49" s="1947"/>
      <c r="BN49" s="1947"/>
      <c r="BO49" s="1947"/>
      <c r="BP49" s="1947"/>
      <c r="BQ49" s="1947"/>
      <c r="BR49" s="1947"/>
      <c r="BS49" s="1947"/>
      <c r="BT49" s="1947"/>
      <c r="BU49" s="1947"/>
      <c r="BV49" s="1947"/>
      <c r="BW49" s="1947"/>
      <c r="BX49" s="1947"/>
      <c r="BY49" s="1947"/>
      <c r="BZ49" s="1947"/>
      <c r="CA49" s="1947"/>
      <c r="CB49" s="1947"/>
      <c r="CC49" s="1947"/>
      <c r="CD49" s="1947"/>
      <c r="CE49" s="1947"/>
      <c r="CF49" s="1947"/>
      <c r="CG49" s="1947"/>
      <c r="CH49" s="1947"/>
      <c r="CI49" s="1947"/>
      <c r="CJ49" s="1947"/>
      <c r="CK49" s="1947"/>
      <c r="CL49" s="1947"/>
      <c r="CM49" s="1947"/>
      <c r="CN49" s="1947"/>
      <c r="CO49" s="1947"/>
      <c r="CP49" s="1947"/>
      <c r="CQ49" s="1947"/>
      <c r="CR49" s="1947"/>
      <c r="CS49" s="1947"/>
      <c r="CT49" s="1947"/>
      <c r="CU49" s="1947"/>
      <c r="CV49" s="1947"/>
      <c r="CW49" s="1947"/>
      <c r="CX49" s="1947"/>
      <c r="CY49" s="1947"/>
      <c r="CZ49" s="1947"/>
      <c r="DA49" s="1947"/>
      <c r="DB49" s="1947"/>
      <c r="DC49" s="1947"/>
      <c r="DD49" s="1947"/>
      <c r="DE49" s="1947"/>
      <c r="DF49" s="1947"/>
      <c r="DG49" s="1947"/>
      <c r="DH49" s="1947"/>
      <c r="DI49" s="1947"/>
      <c r="DJ49" s="1947"/>
      <c r="DK49" s="1947"/>
      <c r="DL49" s="1947"/>
      <c r="DM49" s="1947"/>
      <c r="DN49" s="1947"/>
      <c r="DO49" s="1947"/>
      <c r="DP49" s="1947"/>
      <c r="DQ49" s="1947"/>
      <c r="DR49" s="1947"/>
      <c r="DS49" s="1947"/>
      <c r="DT49" s="1947"/>
      <c r="DU49" s="1947"/>
      <c r="DV49" s="1947"/>
      <c r="DW49" s="1947"/>
      <c r="DX49" s="1947"/>
      <c r="DY49" s="1947"/>
      <c r="DZ49" s="1947"/>
      <c r="EA49" s="1947"/>
      <c r="EB49" s="1947"/>
      <c r="EC49" s="1947"/>
      <c r="ED49" s="1947"/>
      <c r="EE49" s="1947"/>
      <c r="EF49" s="1947"/>
      <c r="EG49" s="1947"/>
      <c r="EH49" s="1947"/>
      <c r="EI49" s="1947"/>
      <c r="EJ49" s="1947"/>
      <c r="EK49" s="1947"/>
      <c r="EL49" s="1947"/>
      <c r="EM49" s="1947"/>
      <c r="EN49" s="1947"/>
      <c r="EO49" s="1947"/>
      <c r="EP49" s="1947"/>
      <c r="EQ49" s="1947"/>
      <c r="ER49" s="1947"/>
      <c r="ES49" s="1947"/>
      <c r="ET49" s="1947"/>
      <c r="EU49" s="1947"/>
      <c r="EV49" s="1947"/>
      <c r="EW49" s="1947"/>
      <c r="EX49" s="1947"/>
      <c r="EY49" s="1947"/>
      <c r="EZ49" s="1947"/>
      <c r="FA49" s="1947"/>
      <c r="FB49" s="1947"/>
      <c r="FC49" s="1947"/>
      <c r="FD49" s="1947"/>
      <c r="FE49" s="1947"/>
      <c r="FF49" s="1947"/>
      <c r="FG49" s="1947"/>
      <c r="FH49" s="1947"/>
      <c r="FI49" s="1947"/>
      <c r="FJ49" s="1947"/>
      <c r="FK49" s="1947"/>
      <c r="FL49" s="1947"/>
      <c r="FM49" s="1947"/>
      <c r="FN49" s="1947"/>
      <c r="FO49" s="1947"/>
      <c r="FP49" s="1947"/>
      <c r="FQ49" s="1947"/>
      <c r="FR49" s="1947"/>
      <c r="FS49" s="1947"/>
      <c r="FT49" s="1947"/>
      <c r="FU49" s="1947"/>
      <c r="FV49" s="1947"/>
      <c r="FW49" s="1947"/>
      <c r="FX49" s="1947"/>
      <c r="FY49" s="1947"/>
      <c r="FZ49" s="1947"/>
      <c r="GA49" s="1947"/>
      <c r="GB49" s="1947"/>
      <c r="GC49" s="1947"/>
      <c r="GD49" s="1947"/>
      <c r="GE49" s="1947"/>
      <c r="GF49" s="1947"/>
      <c r="GG49" s="1947"/>
      <c r="GH49" s="1947"/>
      <c r="GI49" s="1947"/>
      <c r="GJ49" s="1947"/>
      <c r="GK49" s="1947"/>
      <c r="GL49" s="1947"/>
      <c r="GM49" s="1947"/>
      <c r="GN49" s="1947"/>
      <c r="GO49" s="1947"/>
      <c r="GP49" s="1947"/>
      <c r="GQ49" s="1947"/>
      <c r="GR49" s="1947"/>
      <c r="GS49" s="1947"/>
      <c r="GT49" s="1947"/>
      <c r="GU49" s="1947"/>
      <c r="GV49" s="1947"/>
      <c r="GW49" s="1947"/>
      <c r="GX49" s="1947"/>
      <c r="GY49" s="1947"/>
      <c r="GZ49" s="1947"/>
      <c r="HA49" s="1947"/>
      <c r="HB49" s="1947"/>
      <c r="HC49" s="1947"/>
      <c r="HD49" s="1947"/>
      <c r="HE49" s="1947"/>
      <c r="HF49" s="1947"/>
      <c r="HG49" s="1947"/>
      <c r="HH49" s="1947"/>
      <c r="HI49" s="1947"/>
      <c r="HJ49" s="1947"/>
      <c r="HK49" s="1947"/>
      <c r="HL49" s="1947"/>
      <c r="HM49" s="1947"/>
      <c r="HN49" s="1947"/>
      <c r="HO49" s="1947"/>
      <c r="HP49" s="1947"/>
      <c r="HQ49" s="1947"/>
      <c r="HR49" s="1947"/>
      <c r="HS49" s="1947"/>
      <c r="HT49" s="1947"/>
      <c r="HU49" s="1947"/>
      <c r="HV49" s="1947"/>
      <c r="HW49" s="1947"/>
      <c r="HX49" s="1947"/>
      <c r="HY49" s="1947"/>
      <c r="HZ49" s="1947"/>
      <c r="IA49" s="1947"/>
      <c r="IB49" s="1947"/>
      <c r="IC49" s="1947"/>
      <c r="ID49" s="1947"/>
      <c r="IE49" s="1947"/>
      <c r="IF49" s="1947"/>
      <c r="IG49" s="1947"/>
      <c r="IH49" s="1947"/>
      <c r="II49" s="1947"/>
      <c r="IJ49" s="1947"/>
      <c r="IK49" s="1947"/>
      <c r="IL49" s="1947"/>
      <c r="IM49" s="1947"/>
      <c r="IN49" s="1947"/>
      <c r="IO49" s="1947"/>
      <c r="IP49" s="1947"/>
      <c r="IQ49" s="1947"/>
    </row>
    <row r="50" spans="1:251" hidden="1">
      <c r="A50" s="1026"/>
      <c r="B50" s="1955"/>
      <c r="C50" s="1955"/>
      <c r="D50" s="2034"/>
      <c r="E50" s="1955"/>
      <c r="F50" s="1942">
        <f t="shared" si="15"/>
        <v>0</v>
      </c>
      <c r="G50" s="1026"/>
      <c r="H50" s="1942">
        <f t="shared" si="24"/>
        <v>0</v>
      </c>
      <c r="I50" s="1026"/>
      <c r="J50" s="1942">
        <f t="shared" si="6"/>
        <v>0</v>
      </c>
      <c r="K50" s="1026"/>
      <c r="L50" s="1942">
        <f t="shared" si="25"/>
        <v>0</v>
      </c>
      <c r="M50" s="1942">
        <f t="shared" si="26"/>
        <v>0</v>
      </c>
      <c r="N50" s="1942">
        <f t="shared" si="27"/>
        <v>0</v>
      </c>
      <c r="O50" s="1026"/>
      <c r="P50" s="1026"/>
      <c r="Q50" s="1942">
        <f t="shared" si="28"/>
        <v>0</v>
      </c>
      <c r="R50" s="1942">
        <f t="shared" si="10"/>
        <v>0</v>
      </c>
      <c r="S50" s="1942">
        <f t="shared" si="29"/>
        <v>0</v>
      </c>
      <c r="T50" s="1942">
        <f t="shared" si="30"/>
        <v>0</v>
      </c>
      <c r="U50" s="1942">
        <f t="shared" si="31"/>
        <v>0</v>
      </c>
      <c r="V50" s="3034">
        <f t="shared" si="2"/>
        <v>0</v>
      </c>
      <c r="W50" s="1942"/>
      <c r="X50" s="1923">
        <v>0.01</v>
      </c>
      <c r="Y50" s="1947"/>
      <c r="Z50" s="1947"/>
      <c r="AA50" s="1947"/>
      <c r="AB50" s="1947"/>
      <c r="AC50" s="1947"/>
      <c r="AD50" s="1947"/>
      <c r="AE50" s="1947"/>
      <c r="AF50" s="1947"/>
      <c r="AG50" s="1947"/>
      <c r="AH50" s="1947"/>
      <c r="AI50" s="1947"/>
      <c r="AJ50" s="1947"/>
      <c r="AK50" s="1947"/>
      <c r="AL50" s="1947"/>
      <c r="AM50" s="1947"/>
      <c r="AN50" s="1947"/>
      <c r="AO50" s="1947"/>
      <c r="AP50" s="1947"/>
      <c r="AQ50" s="1947"/>
      <c r="AR50" s="1947"/>
      <c r="AS50" s="1947"/>
      <c r="AT50" s="1947"/>
      <c r="AU50" s="1947"/>
      <c r="AV50" s="1947"/>
      <c r="AW50" s="1947"/>
      <c r="AX50" s="1947"/>
      <c r="AY50" s="1947"/>
      <c r="AZ50" s="1947"/>
      <c r="BA50" s="1947"/>
      <c r="BB50" s="1947"/>
      <c r="BC50" s="1947"/>
      <c r="BD50" s="1947"/>
      <c r="BE50" s="1947"/>
      <c r="BF50" s="1947"/>
      <c r="BG50" s="1947"/>
      <c r="BH50" s="1947"/>
      <c r="BI50" s="1947"/>
      <c r="BJ50" s="1947"/>
      <c r="BK50" s="1947"/>
      <c r="BL50" s="1947"/>
      <c r="BM50" s="1947"/>
      <c r="BN50" s="1947"/>
      <c r="BO50" s="1947"/>
      <c r="BP50" s="1947"/>
      <c r="BQ50" s="1947"/>
      <c r="BR50" s="1947"/>
      <c r="BS50" s="1947"/>
      <c r="BT50" s="1947"/>
      <c r="BU50" s="1947"/>
      <c r="BV50" s="1947"/>
      <c r="BW50" s="1947"/>
      <c r="BX50" s="1947"/>
      <c r="BY50" s="1947"/>
      <c r="BZ50" s="1947"/>
      <c r="CA50" s="1947"/>
      <c r="CB50" s="1947"/>
      <c r="CC50" s="1947"/>
      <c r="CD50" s="1947"/>
      <c r="CE50" s="1947"/>
      <c r="CF50" s="1947"/>
      <c r="CG50" s="1947"/>
      <c r="CH50" s="1947"/>
      <c r="CI50" s="1947"/>
      <c r="CJ50" s="1947"/>
      <c r="CK50" s="1947"/>
      <c r="CL50" s="1947"/>
      <c r="CM50" s="1947"/>
      <c r="CN50" s="1947"/>
      <c r="CO50" s="1947"/>
      <c r="CP50" s="1947"/>
      <c r="CQ50" s="1947"/>
      <c r="CR50" s="1947"/>
      <c r="CS50" s="1947"/>
      <c r="CT50" s="1947"/>
      <c r="CU50" s="1947"/>
      <c r="CV50" s="1947"/>
      <c r="CW50" s="1947"/>
      <c r="CX50" s="1947"/>
      <c r="CY50" s="1947"/>
      <c r="CZ50" s="1947"/>
      <c r="DA50" s="1947"/>
      <c r="DB50" s="1947"/>
      <c r="DC50" s="1947"/>
      <c r="DD50" s="1947"/>
      <c r="DE50" s="1947"/>
      <c r="DF50" s="1947"/>
      <c r="DG50" s="1947"/>
      <c r="DH50" s="1947"/>
      <c r="DI50" s="1947"/>
      <c r="DJ50" s="1947"/>
      <c r="DK50" s="1947"/>
      <c r="DL50" s="1947"/>
      <c r="DM50" s="1947"/>
      <c r="DN50" s="1947"/>
      <c r="DO50" s="1947"/>
      <c r="DP50" s="1947"/>
      <c r="DQ50" s="1947"/>
      <c r="DR50" s="1947"/>
      <c r="DS50" s="1947"/>
      <c r="DT50" s="1947"/>
      <c r="DU50" s="1947"/>
      <c r="DV50" s="1947"/>
      <c r="DW50" s="1947"/>
      <c r="DX50" s="1947"/>
      <c r="DY50" s="1947"/>
      <c r="DZ50" s="1947"/>
      <c r="EA50" s="1947"/>
      <c r="EB50" s="1947"/>
      <c r="EC50" s="1947"/>
      <c r="ED50" s="1947"/>
      <c r="EE50" s="1947"/>
      <c r="EF50" s="1947"/>
      <c r="EG50" s="1947"/>
      <c r="EH50" s="1947"/>
      <c r="EI50" s="1947"/>
      <c r="EJ50" s="1947"/>
      <c r="EK50" s="1947"/>
      <c r="EL50" s="1947"/>
      <c r="EM50" s="1947"/>
      <c r="EN50" s="1947"/>
      <c r="EO50" s="1947"/>
      <c r="EP50" s="1947"/>
      <c r="EQ50" s="1947"/>
      <c r="ER50" s="1947"/>
      <c r="ES50" s="1947"/>
      <c r="ET50" s="1947"/>
      <c r="EU50" s="1947"/>
      <c r="EV50" s="1947"/>
      <c r="EW50" s="1947"/>
      <c r="EX50" s="1947"/>
      <c r="EY50" s="1947"/>
      <c r="EZ50" s="1947"/>
      <c r="FA50" s="1947"/>
      <c r="FB50" s="1947"/>
      <c r="FC50" s="1947"/>
      <c r="FD50" s="1947"/>
      <c r="FE50" s="1947"/>
      <c r="FF50" s="1947"/>
      <c r="FG50" s="1947"/>
      <c r="FH50" s="1947"/>
      <c r="FI50" s="1947"/>
      <c r="FJ50" s="1947"/>
      <c r="FK50" s="1947"/>
      <c r="FL50" s="1947"/>
      <c r="FM50" s="1947"/>
      <c r="FN50" s="1947"/>
      <c r="FO50" s="1947"/>
      <c r="FP50" s="1947"/>
      <c r="FQ50" s="1947"/>
      <c r="FR50" s="1947"/>
      <c r="FS50" s="1947"/>
      <c r="FT50" s="1947"/>
      <c r="FU50" s="1947"/>
      <c r="FV50" s="1947"/>
      <c r="FW50" s="1947"/>
      <c r="FX50" s="1947"/>
      <c r="FY50" s="1947"/>
      <c r="FZ50" s="1947"/>
      <c r="GA50" s="1947"/>
      <c r="GB50" s="1947"/>
      <c r="GC50" s="1947"/>
      <c r="GD50" s="1947"/>
      <c r="GE50" s="1947"/>
      <c r="GF50" s="1947"/>
      <c r="GG50" s="1947"/>
      <c r="GH50" s="1947"/>
      <c r="GI50" s="1947"/>
      <c r="GJ50" s="1947"/>
      <c r="GK50" s="1947"/>
      <c r="GL50" s="1947"/>
      <c r="GM50" s="1947"/>
      <c r="GN50" s="1947"/>
      <c r="GO50" s="1947"/>
      <c r="GP50" s="1947"/>
      <c r="GQ50" s="1947"/>
      <c r="GR50" s="1947"/>
      <c r="GS50" s="1947"/>
      <c r="GT50" s="1947"/>
      <c r="GU50" s="1947"/>
      <c r="GV50" s="1947"/>
      <c r="GW50" s="1947"/>
      <c r="GX50" s="1947"/>
      <c r="GY50" s="1947"/>
      <c r="GZ50" s="1947"/>
      <c r="HA50" s="1947"/>
      <c r="HB50" s="1947"/>
      <c r="HC50" s="1947"/>
      <c r="HD50" s="1947"/>
      <c r="HE50" s="1947"/>
      <c r="HF50" s="1947"/>
      <c r="HG50" s="1947"/>
      <c r="HH50" s="1947"/>
      <c r="HI50" s="1947"/>
      <c r="HJ50" s="1947"/>
      <c r="HK50" s="1947"/>
      <c r="HL50" s="1947"/>
      <c r="HM50" s="1947"/>
      <c r="HN50" s="1947"/>
      <c r="HO50" s="1947"/>
      <c r="HP50" s="1947"/>
      <c r="HQ50" s="1947"/>
      <c r="HR50" s="1947"/>
      <c r="HS50" s="1947"/>
      <c r="HT50" s="1947"/>
      <c r="HU50" s="1947"/>
      <c r="HV50" s="1947"/>
      <c r="HW50" s="1947"/>
      <c r="HX50" s="1947"/>
      <c r="HY50" s="1947"/>
      <c r="HZ50" s="1947"/>
      <c r="IA50" s="1947"/>
      <c r="IB50" s="1947"/>
      <c r="IC50" s="1947"/>
      <c r="ID50" s="1947"/>
      <c r="IE50" s="1947"/>
      <c r="IF50" s="1947"/>
      <c r="IG50" s="1947"/>
      <c r="IH50" s="1947"/>
      <c r="II50" s="1947"/>
      <c r="IJ50" s="1947"/>
      <c r="IK50" s="1947"/>
      <c r="IL50" s="1947"/>
      <c r="IM50" s="1947"/>
      <c r="IN50" s="1947"/>
      <c r="IO50" s="1947"/>
      <c r="IP50" s="1947"/>
      <c r="IQ50" s="1947"/>
    </row>
    <row r="51" spans="1:251" hidden="1">
      <c r="A51" s="1026"/>
      <c r="B51" s="1955"/>
      <c r="C51" s="1955"/>
      <c r="D51" s="2034"/>
      <c r="E51" s="1955"/>
      <c r="F51" s="1942">
        <f t="shared" si="15"/>
        <v>0</v>
      </c>
      <c r="G51" s="1026"/>
      <c r="H51" s="1942">
        <f t="shared" si="24"/>
        <v>0</v>
      </c>
      <c r="I51" s="1026"/>
      <c r="J51" s="1942">
        <f t="shared" si="6"/>
        <v>0</v>
      </c>
      <c r="K51" s="1026"/>
      <c r="L51" s="1942">
        <f t="shared" si="25"/>
        <v>0</v>
      </c>
      <c r="M51" s="1942">
        <f t="shared" si="26"/>
        <v>0</v>
      </c>
      <c r="N51" s="1942">
        <f t="shared" si="27"/>
        <v>0</v>
      </c>
      <c r="O51" s="1026"/>
      <c r="P51" s="1026"/>
      <c r="Q51" s="1942">
        <f t="shared" si="28"/>
        <v>0</v>
      </c>
      <c r="R51" s="1942">
        <f t="shared" si="10"/>
        <v>0</v>
      </c>
      <c r="S51" s="1942">
        <f t="shared" si="29"/>
        <v>0</v>
      </c>
      <c r="T51" s="1942">
        <f t="shared" si="30"/>
        <v>0</v>
      </c>
      <c r="U51" s="1942">
        <f t="shared" si="31"/>
        <v>0</v>
      </c>
      <c r="V51" s="3034">
        <f t="shared" si="2"/>
        <v>0</v>
      </c>
      <c r="W51" s="1942"/>
      <c r="X51" s="1923">
        <v>0.01</v>
      </c>
      <c r="Y51" s="1947"/>
      <c r="Z51" s="1947"/>
      <c r="AA51" s="1947"/>
      <c r="AB51" s="1947"/>
      <c r="AC51" s="1947"/>
      <c r="AD51" s="1947"/>
      <c r="AE51" s="1947"/>
      <c r="AF51" s="1947"/>
      <c r="AG51" s="1947"/>
      <c r="AH51" s="1947"/>
      <c r="AI51" s="1947"/>
      <c r="AJ51" s="1947"/>
      <c r="AK51" s="1947"/>
      <c r="AL51" s="1947"/>
      <c r="AM51" s="1947"/>
      <c r="AN51" s="1947"/>
      <c r="AO51" s="1947"/>
      <c r="AP51" s="1947"/>
      <c r="AQ51" s="1947"/>
      <c r="AR51" s="1947"/>
      <c r="AS51" s="1947"/>
      <c r="AT51" s="1947"/>
      <c r="AU51" s="1947"/>
      <c r="AV51" s="1947"/>
      <c r="AW51" s="1947"/>
      <c r="AX51" s="1947"/>
      <c r="AY51" s="1947"/>
      <c r="AZ51" s="1947"/>
      <c r="BA51" s="1947"/>
      <c r="BB51" s="1947"/>
      <c r="BC51" s="1947"/>
      <c r="BD51" s="1947"/>
      <c r="BE51" s="1947"/>
      <c r="BF51" s="1947"/>
      <c r="BG51" s="1947"/>
      <c r="BH51" s="1947"/>
      <c r="BI51" s="1947"/>
      <c r="BJ51" s="1947"/>
      <c r="BK51" s="1947"/>
      <c r="BL51" s="1947"/>
      <c r="BM51" s="1947"/>
      <c r="BN51" s="1947"/>
      <c r="BO51" s="1947"/>
      <c r="BP51" s="1947"/>
      <c r="BQ51" s="1947"/>
      <c r="BR51" s="1947"/>
      <c r="BS51" s="1947"/>
      <c r="BT51" s="1947"/>
      <c r="BU51" s="1947"/>
      <c r="BV51" s="1947"/>
      <c r="BW51" s="1947"/>
      <c r="BX51" s="1947"/>
      <c r="BY51" s="1947"/>
      <c r="BZ51" s="1947"/>
      <c r="CA51" s="1947"/>
      <c r="CB51" s="1947"/>
      <c r="CC51" s="1947"/>
      <c r="CD51" s="1947"/>
      <c r="CE51" s="1947"/>
      <c r="CF51" s="1947"/>
      <c r="CG51" s="1947"/>
      <c r="CH51" s="1947"/>
      <c r="CI51" s="1947"/>
      <c r="CJ51" s="1947"/>
      <c r="CK51" s="1947"/>
      <c r="CL51" s="1947"/>
      <c r="CM51" s="1947"/>
      <c r="CN51" s="1947"/>
      <c r="CO51" s="1947"/>
      <c r="CP51" s="1947"/>
      <c r="CQ51" s="1947"/>
      <c r="CR51" s="1947"/>
      <c r="CS51" s="1947"/>
      <c r="CT51" s="1947"/>
      <c r="CU51" s="1947"/>
      <c r="CV51" s="1947"/>
      <c r="CW51" s="1947"/>
      <c r="CX51" s="1947"/>
      <c r="CY51" s="1947"/>
      <c r="CZ51" s="1947"/>
      <c r="DA51" s="1947"/>
      <c r="DB51" s="1947"/>
      <c r="DC51" s="1947"/>
      <c r="DD51" s="1947"/>
      <c r="DE51" s="1947"/>
      <c r="DF51" s="1947"/>
      <c r="DG51" s="1947"/>
      <c r="DH51" s="1947"/>
      <c r="DI51" s="1947"/>
      <c r="DJ51" s="1947"/>
      <c r="DK51" s="1947"/>
      <c r="DL51" s="1947"/>
      <c r="DM51" s="1947"/>
      <c r="DN51" s="1947"/>
      <c r="DO51" s="1947"/>
      <c r="DP51" s="1947"/>
      <c r="DQ51" s="1947"/>
      <c r="DR51" s="1947"/>
      <c r="DS51" s="1947"/>
      <c r="DT51" s="1947"/>
      <c r="DU51" s="1947"/>
      <c r="DV51" s="1947"/>
      <c r="DW51" s="1947"/>
      <c r="DX51" s="1947"/>
      <c r="DY51" s="1947"/>
      <c r="DZ51" s="1947"/>
      <c r="EA51" s="1947"/>
      <c r="EB51" s="1947"/>
      <c r="EC51" s="1947"/>
      <c r="ED51" s="1947"/>
      <c r="EE51" s="1947"/>
      <c r="EF51" s="1947"/>
      <c r="EG51" s="1947"/>
      <c r="EH51" s="1947"/>
      <c r="EI51" s="1947"/>
      <c r="EJ51" s="1947"/>
      <c r="EK51" s="1947"/>
      <c r="EL51" s="1947"/>
      <c r="EM51" s="1947"/>
      <c r="EN51" s="1947"/>
      <c r="EO51" s="1947"/>
      <c r="EP51" s="1947"/>
      <c r="EQ51" s="1947"/>
      <c r="ER51" s="1947"/>
      <c r="ES51" s="1947"/>
      <c r="ET51" s="1947"/>
      <c r="EU51" s="1947"/>
      <c r="EV51" s="1947"/>
      <c r="EW51" s="1947"/>
      <c r="EX51" s="1947"/>
      <c r="EY51" s="1947"/>
      <c r="EZ51" s="1947"/>
      <c r="FA51" s="1947"/>
      <c r="FB51" s="1947"/>
      <c r="FC51" s="1947"/>
      <c r="FD51" s="1947"/>
      <c r="FE51" s="1947"/>
      <c r="FF51" s="1947"/>
      <c r="FG51" s="1947"/>
      <c r="FH51" s="1947"/>
      <c r="FI51" s="1947"/>
      <c r="FJ51" s="1947"/>
      <c r="FK51" s="1947"/>
      <c r="FL51" s="1947"/>
      <c r="FM51" s="1947"/>
      <c r="FN51" s="1947"/>
      <c r="FO51" s="1947"/>
      <c r="FP51" s="1947"/>
      <c r="FQ51" s="1947"/>
      <c r="FR51" s="1947"/>
      <c r="FS51" s="1947"/>
      <c r="FT51" s="1947"/>
      <c r="FU51" s="1947"/>
      <c r="FV51" s="1947"/>
      <c r="FW51" s="1947"/>
      <c r="FX51" s="1947"/>
      <c r="FY51" s="1947"/>
      <c r="FZ51" s="1947"/>
      <c r="GA51" s="1947"/>
      <c r="GB51" s="1947"/>
      <c r="GC51" s="1947"/>
      <c r="GD51" s="1947"/>
      <c r="GE51" s="1947"/>
      <c r="GF51" s="1947"/>
      <c r="GG51" s="1947"/>
      <c r="GH51" s="1947"/>
      <c r="GI51" s="1947"/>
      <c r="GJ51" s="1947"/>
      <c r="GK51" s="1947"/>
      <c r="GL51" s="1947"/>
      <c r="GM51" s="1947"/>
      <c r="GN51" s="1947"/>
      <c r="GO51" s="1947"/>
      <c r="GP51" s="1947"/>
      <c r="GQ51" s="1947"/>
      <c r="GR51" s="1947"/>
      <c r="GS51" s="1947"/>
      <c r="GT51" s="1947"/>
      <c r="GU51" s="1947"/>
      <c r="GV51" s="1947"/>
      <c r="GW51" s="1947"/>
      <c r="GX51" s="1947"/>
      <c r="GY51" s="1947"/>
      <c r="GZ51" s="1947"/>
      <c r="HA51" s="1947"/>
      <c r="HB51" s="1947"/>
      <c r="HC51" s="1947"/>
      <c r="HD51" s="1947"/>
      <c r="HE51" s="1947"/>
      <c r="HF51" s="1947"/>
      <c r="HG51" s="1947"/>
      <c r="HH51" s="1947"/>
      <c r="HI51" s="1947"/>
      <c r="HJ51" s="1947"/>
      <c r="HK51" s="1947"/>
      <c r="HL51" s="1947"/>
      <c r="HM51" s="1947"/>
      <c r="HN51" s="1947"/>
      <c r="HO51" s="1947"/>
      <c r="HP51" s="1947"/>
      <c r="HQ51" s="1947"/>
      <c r="HR51" s="1947"/>
      <c r="HS51" s="1947"/>
      <c r="HT51" s="1947"/>
      <c r="HU51" s="1947"/>
      <c r="HV51" s="1947"/>
      <c r="HW51" s="1947"/>
      <c r="HX51" s="1947"/>
      <c r="HY51" s="1947"/>
      <c r="HZ51" s="1947"/>
      <c r="IA51" s="1947"/>
      <c r="IB51" s="1947"/>
      <c r="IC51" s="1947"/>
      <c r="ID51" s="1947"/>
      <c r="IE51" s="1947"/>
      <c r="IF51" s="1947"/>
      <c r="IG51" s="1947"/>
      <c r="IH51" s="1947"/>
      <c r="II51" s="1947"/>
      <c r="IJ51" s="1947"/>
      <c r="IK51" s="1947"/>
      <c r="IL51" s="1947"/>
      <c r="IM51" s="1947"/>
      <c r="IN51" s="1947"/>
      <c r="IO51" s="1947"/>
      <c r="IP51" s="1947"/>
      <c r="IQ51" s="1947"/>
    </row>
    <row r="52" spans="1:251" hidden="1">
      <c r="A52" s="1026"/>
      <c r="B52" s="1955"/>
      <c r="C52" s="1955"/>
      <c r="D52" s="2034"/>
      <c r="E52" s="1955"/>
      <c r="F52" s="1942">
        <f t="shared" si="15"/>
        <v>0</v>
      </c>
      <c r="G52" s="1026"/>
      <c r="H52" s="1942">
        <f t="shared" si="24"/>
        <v>0</v>
      </c>
      <c r="I52" s="1026"/>
      <c r="J52" s="1942">
        <f t="shared" si="6"/>
        <v>0</v>
      </c>
      <c r="K52" s="1026"/>
      <c r="L52" s="1942">
        <f t="shared" si="25"/>
        <v>0</v>
      </c>
      <c r="M52" s="1942">
        <f t="shared" si="26"/>
        <v>0</v>
      </c>
      <c r="N52" s="1942">
        <f t="shared" si="27"/>
        <v>0</v>
      </c>
      <c r="O52" s="1026"/>
      <c r="P52" s="1026"/>
      <c r="Q52" s="1942">
        <f t="shared" si="28"/>
        <v>0</v>
      </c>
      <c r="R52" s="1942">
        <f t="shared" si="10"/>
        <v>0</v>
      </c>
      <c r="S52" s="1942">
        <f t="shared" si="29"/>
        <v>0</v>
      </c>
      <c r="T52" s="1942">
        <f t="shared" si="30"/>
        <v>0</v>
      </c>
      <c r="U52" s="1942">
        <f t="shared" si="31"/>
        <v>0</v>
      </c>
      <c r="V52" s="3034">
        <f t="shared" si="2"/>
        <v>0</v>
      </c>
      <c r="W52" s="1942"/>
      <c r="X52" s="1923">
        <v>0.01</v>
      </c>
      <c r="Y52" s="1947"/>
      <c r="Z52" s="1947"/>
      <c r="AA52" s="1947"/>
      <c r="AB52" s="1947"/>
      <c r="AC52" s="1947"/>
      <c r="AD52" s="1947"/>
      <c r="AE52" s="1947"/>
      <c r="AF52" s="1947"/>
      <c r="AG52" s="1947"/>
      <c r="AH52" s="1947"/>
      <c r="AI52" s="1947"/>
      <c r="AJ52" s="1947"/>
      <c r="AK52" s="1947"/>
      <c r="AL52" s="1947"/>
      <c r="AM52" s="1947"/>
      <c r="AN52" s="1947"/>
      <c r="AO52" s="1947"/>
      <c r="AP52" s="1947"/>
      <c r="AQ52" s="1947"/>
      <c r="AR52" s="1947"/>
      <c r="AS52" s="1947"/>
      <c r="AT52" s="1947"/>
      <c r="AU52" s="1947"/>
      <c r="AV52" s="1947"/>
      <c r="AW52" s="1947"/>
      <c r="AX52" s="1947"/>
      <c r="AY52" s="1947"/>
      <c r="AZ52" s="1947"/>
      <c r="BA52" s="1947"/>
      <c r="BB52" s="1947"/>
      <c r="BC52" s="1947"/>
      <c r="BD52" s="1947"/>
      <c r="BE52" s="1947"/>
      <c r="BF52" s="1947"/>
      <c r="BG52" s="1947"/>
      <c r="BH52" s="1947"/>
      <c r="BI52" s="1947"/>
      <c r="BJ52" s="1947"/>
      <c r="BK52" s="1947"/>
      <c r="BL52" s="1947"/>
      <c r="BM52" s="1947"/>
      <c r="BN52" s="1947"/>
      <c r="BO52" s="1947"/>
      <c r="BP52" s="1947"/>
      <c r="BQ52" s="1947"/>
      <c r="BR52" s="1947"/>
      <c r="BS52" s="1947"/>
      <c r="BT52" s="1947"/>
      <c r="BU52" s="1947"/>
      <c r="BV52" s="1947"/>
      <c r="BW52" s="1947"/>
      <c r="BX52" s="1947"/>
      <c r="BY52" s="1947"/>
      <c r="BZ52" s="1947"/>
      <c r="CA52" s="1947"/>
      <c r="CB52" s="1947"/>
      <c r="CC52" s="1947"/>
      <c r="CD52" s="1947"/>
      <c r="CE52" s="1947"/>
      <c r="CF52" s="1947"/>
      <c r="CG52" s="1947"/>
      <c r="CH52" s="1947"/>
      <c r="CI52" s="1947"/>
      <c r="CJ52" s="1947"/>
      <c r="CK52" s="1947"/>
      <c r="CL52" s="1947"/>
      <c r="CM52" s="1947"/>
      <c r="CN52" s="1947"/>
      <c r="CO52" s="1947"/>
      <c r="CP52" s="1947"/>
      <c r="CQ52" s="1947"/>
      <c r="CR52" s="1947"/>
      <c r="CS52" s="1947"/>
      <c r="CT52" s="1947"/>
      <c r="CU52" s="1947"/>
      <c r="CV52" s="1947"/>
      <c r="CW52" s="1947"/>
      <c r="CX52" s="1947"/>
      <c r="CY52" s="1947"/>
      <c r="CZ52" s="1947"/>
      <c r="DA52" s="1947"/>
      <c r="DB52" s="1947"/>
      <c r="DC52" s="1947"/>
      <c r="DD52" s="1947"/>
      <c r="DE52" s="1947"/>
      <c r="DF52" s="1947"/>
      <c r="DG52" s="1947"/>
      <c r="DH52" s="1947"/>
      <c r="DI52" s="1947"/>
      <c r="DJ52" s="1947"/>
      <c r="DK52" s="1947"/>
      <c r="DL52" s="1947"/>
      <c r="DM52" s="1947"/>
      <c r="DN52" s="1947"/>
      <c r="DO52" s="1947"/>
      <c r="DP52" s="1947"/>
      <c r="DQ52" s="1947"/>
      <c r="DR52" s="1947"/>
      <c r="DS52" s="1947"/>
      <c r="DT52" s="1947"/>
      <c r="DU52" s="1947"/>
      <c r="DV52" s="1947"/>
      <c r="DW52" s="1947"/>
      <c r="DX52" s="1947"/>
      <c r="DY52" s="1947"/>
      <c r="DZ52" s="1947"/>
      <c r="EA52" s="1947"/>
      <c r="EB52" s="1947"/>
      <c r="EC52" s="1947"/>
      <c r="ED52" s="1947"/>
      <c r="EE52" s="1947"/>
      <c r="EF52" s="1947"/>
      <c r="EG52" s="1947"/>
      <c r="EH52" s="1947"/>
      <c r="EI52" s="1947"/>
      <c r="EJ52" s="1947"/>
      <c r="EK52" s="1947"/>
      <c r="EL52" s="1947"/>
      <c r="EM52" s="1947"/>
      <c r="EN52" s="1947"/>
      <c r="EO52" s="1947"/>
      <c r="EP52" s="1947"/>
      <c r="EQ52" s="1947"/>
      <c r="ER52" s="1947"/>
      <c r="ES52" s="1947"/>
      <c r="ET52" s="1947"/>
      <c r="EU52" s="1947"/>
      <c r="EV52" s="1947"/>
      <c r="EW52" s="1947"/>
      <c r="EX52" s="1947"/>
      <c r="EY52" s="1947"/>
      <c r="EZ52" s="1947"/>
      <c r="FA52" s="1947"/>
      <c r="FB52" s="1947"/>
      <c r="FC52" s="1947"/>
      <c r="FD52" s="1947"/>
      <c r="FE52" s="1947"/>
      <c r="FF52" s="1947"/>
      <c r="FG52" s="1947"/>
      <c r="FH52" s="1947"/>
      <c r="FI52" s="1947"/>
      <c r="FJ52" s="1947"/>
      <c r="FK52" s="1947"/>
      <c r="FL52" s="1947"/>
      <c r="FM52" s="1947"/>
      <c r="FN52" s="1947"/>
      <c r="FO52" s="1947"/>
      <c r="FP52" s="1947"/>
      <c r="FQ52" s="1947"/>
      <c r="FR52" s="1947"/>
      <c r="FS52" s="1947"/>
      <c r="FT52" s="1947"/>
      <c r="FU52" s="1947"/>
      <c r="FV52" s="1947"/>
      <c r="FW52" s="1947"/>
      <c r="FX52" s="1947"/>
      <c r="FY52" s="1947"/>
      <c r="FZ52" s="1947"/>
      <c r="GA52" s="1947"/>
      <c r="GB52" s="1947"/>
      <c r="GC52" s="1947"/>
      <c r="GD52" s="1947"/>
      <c r="GE52" s="1947"/>
      <c r="GF52" s="1947"/>
      <c r="GG52" s="1947"/>
      <c r="GH52" s="1947"/>
      <c r="GI52" s="1947"/>
      <c r="GJ52" s="1947"/>
      <c r="GK52" s="1947"/>
      <c r="GL52" s="1947"/>
      <c r="GM52" s="1947"/>
      <c r="GN52" s="1947"/>
      <c r="GO52" s="1947"/>
      <c r="GP52" s="1947"/>
      <c r="GQ52" s="1947"/>
      <c r="GR52" s="1947"/>
      <c r="GS52" s="1947"/>
      <c r="GT52" s="1947"/>
      <c r="GU52" s="1947"/>
      <c r="GV52" s="1947"/>
      <c r="GW52" s="1947"/>
      <c r="GX52" s="1947"/>
      <c r="GY52" s="1947"/>
      <c r="GZ52" s="1947"/>
      <c r="HA52" s="1947"/>
      <c r="HB52" s="1947"/>
      <c r="HC52" s="1947"/>
      <c r="HD52" s="1947"/>
      <c r="HE52" s="1947"/>
      <c r="HF52" s="1947"/>
      <c r="HG52" s="1947"/>
      <c r="HH52" s="1947"/>
      <c r="HI52" s="1947"/>
      <c r="HJ52" s="1947"/>
      <c r="HK52" s="1947"/>
      <c r="HL52" s="1947"/>
      <c r="HM52" s="1947"/>
      <c r="HN52" s="1947"/>
      <c r="HO52" s="1947"/>
      <c r="HP52" s="1947"/>
      <c r="HQ52" s="1947"/>
      <c r="HR52" s="1947"/>
      <c r="HS52" s="1947"/>
      <c r="HT52" s="1947"/>
      <c r="HU52" s="1947"/>
      <c r="HV52" s="1947"/>
      <c r="HW52" s="1947"/>
      <c r="HX52" s="1947"/>
      <c r="HY52" s="1947"/>
      <c r="HZ52" s="1947"/>
      <c r="IA52" s="1947"/>
      <c r="IB52" s="1947"/>
      <c r="IC52" s="1947"/>
      <c r="ID52" s="1947"/>
      <c r="IE52" s="1947"/>
      <c r="IF52" s="1947"/>
      <c r="IG52" s="1947"/>
      <c r="IH52" s="1947"/>
      <c r="II52" s="1947"/>
      <c r="IJ52" s="1947"/>
      <c r="IK52" s="1947"/>
      <c r="IL52" s="1947"/>
      <c r="IM52" s="1947"/>
      <c r="IN52" s="1947"/>
      <c r="IO52" s="1947"/>
      <c r="IP52" s="1947"/>
      <c r="IQ52" s="1947"/>
    </row>
    <row r="53" spans="1:251" hidden="1">
      <c r="A53" s="1026"/>
      <c r="B53" s="1955"/>
      <c r="C53" s="1955"/>
      <c r="D53" s="2034"/>
      <c r="E53" s="1955"/>
      <c r="F53" s="1942">
        <f t="shared" si="15"/>
        <v>0</v>
      </c>
      <c r="G53" s="1026"/>
      <c r="H53" s="1942">
        <f t="shared" si="24"/>
        <v>0</v>
      </c>
      <c r="I53" s="1026"/>
      <c r="J53" s="1942">
        <f t="shared" si="6"/>
        <v>0</v>
      </c>
      <c r="K53" s="1026"/>
      <c r="L53" s="1942">
        <f t="shared" si="25"/>
        <v>0</v>
      </c>
      <c r="M53" s="1942">
        <f t="shared" si="26"/>
        <v>0</v>
      </c>
      <c r="N53" s="1942">
        <f t="shared" si="27"/>
        <v>0</v>
      </c>
      <c r="O53" s="1026"/>
      <c r="P53" s="1026"/>
      <c r="Q53" s="1942">
        <f t="shared" si="28"/>
        <v>0</v>
      </c>
      <c r="R53" s="1942">
        <f t="shared" si="10"/>
        <v>0</v>
      </c>
      <c r="S53" s="1942">
        <f t="shared" si="29"/>
        <v>0</v>
      </c>
      <c r="T53" s="1942">
        <f t="shared" si="30"/>
        <v>0</v>
      </c>
      <c r="U53" s="1942">
        <f t="shared" si="31"/>
        <v>0</v>
      </c>
      <c r="V53" s="3034">
        <f t="shared" si="2"/>
        <v>0</v>
      </c>
      <c r="W53" s="1942"/>
      <c r="X53" s="1923">
        <v>0.01</v>
      </c>
      <c r="Y53" s="1947"/>
      <c r="Z53" s="1947"/>
      <c r="AA53" s="1947"/>
      <c r="AB53" s="1947"/>
      <c r="AC53" s="1947"/>
      <c r="AD53" s="1947"/>
      <c r="AE53" s="1947"/>
      <c r="AF53" s="1947"/>
      <c r="AG53" s="1947"/>
      <c r="AH53" s="1947"/>
      <c r="AI53" s="1947"/>
      <c r="AJ53" s="1947"/>
      <c r="AK53" s="1947"/>
      <c r="AL53" s="1947"/>
      <c r="AM53" s="1947"/>
      <c r="AN53" s="1947"/>
      <c r="AO53" s="1947"/>
      <c r="AP53" s="1947"/>
      <c r="AQ53" s="1947"/>
      <c r="AR53" s="1947"/>
      <c r="AS53" s="1947"/>
      <c r="AT53" s="1947"/>
      <c r="AU53" s="1947"/>
      <c r="AV53" s="1947"/>
      <c r="AW53" s="1947"/>
      <c r="AX53" s="1947"/>
      <c r="AY53" s="1947"/>
      <c r="AZ53" s="1947"/>
      <c r="BA53" s="1947"/>
      <c r="BB53" s="1947"/>
      <c r="BC53" s="1947"/>
      <c r="BD53" s="1947"/>
      <c r="BE53" s="1947"/>
      <c r="BF53" s="1947"/>
      <c r="BG53" s="1947"/>
      <c r="BH53" s="1947"/>
      <c r="BI53" s="1947"/>
      <c r="BJ53" s="1947"/>
      <c r="BK53" s="1947"/>
      <c r="BL53" s="1947"/>
      <c r="BM53" s="1947"/>
      <c r="BN53" s="1947"/>
      <c r="BO53" s="1947"/>
      <c r="BP53" s="1947"/>
      <c r="BQ53" s="1947"/>
      <c r="BR53" s="1947"/>
      <c r="BS53" s="1947"/>
      <c r="BT53" s="1947"/>
      <c r="BU53" s="1947"/>
      <c r="BV53" s="1947"/>
      <c r="BW53" s="1947"/>
      <c r="BX53" s="1947"/>
      <c r="BY53" s="1947"/>
      <c r="BZ53" s="1947"/>
      <c r="CA53" s="1947"/>
      <c r="CB53" s="1947"/>
      <c r="CC53" s="1947"/>
      <c r="CD53" s="1947"/>
      <c r="CE53" s="1947"/>
      <c r="CF53" s="1947"/>
      <c r="CG53" s="1947"/>
      <c r="CH53" s="1947"/>
      <c r="CI53" s="1947"/>
      <c r="CJ53" s="1947"/>
      <c r="CK53" s="1947"/>
      <c r="CL53" s="1947"/>
      <c r="CM53" s="1947"/>
      <c r="CN53" s="1947"/>
      <c r="CO53" s="1947"/>
      <c r="CP53" s="1947"/>
      <c r="CQ53" s="1947"/>
      <c r="CR53" s="1947"/>
      <c r="CS53" s="1947"/>
      <c r="CT53" s="1947"/>
      <c r="CU53" s="1947"/>
      <c r="CV53" s="1947"/>
      <c r="CW53" s="1947"/>
      <c r="CX53" s="1947"/>
      <c r="CY53" s="1947"/>
      <c r="CZ53" s="1947"/>
      <c r="DA53" s="1947"/>
      <c r="DB53" s="1947"/>
      <c r="DC53" s="1947"/>
      <c r="DD53" s="1947"/>
      <c r="DE53" s="1947"/>
      <c r="DF53" s="1947"/>
      <c r="DG53" s="1947"/>
      <c r="DH53" s="1947"/>
      <c r="DI53" s="1947"/>
      <c r="DJ53" s="1947"/>
      <c r="DK53" s="1947"/>
      <c r="DL53" s="1947"/>
      <c r="DM53" s="1947"/>
      <c r="DN53" s="1947"/>
      <c r="DO53" s="1947"/>
      <c r="DP53" s="1947"/>
      <c r="DQ53" s="1947"/>
      <c r="DR53" s="1947"/>
      <c r="DS53" s="1947"/>
      <c r="DT53" s="1947"/>
      <c r="DU53" s="1947"/>
      <c r="DV53" s="1947"/>
      <c r="DW53" s="1947"/>
      <c r="DX53" s="1947"/>
      <c r="DY53" s="1947"/>
      <c r="DZ53" s="1947"/>
      <c r="EA53" s="1947"/>
      <c r="EB53" s="1947"/>
      <c r="EC53" s="1947"/>
      <c r="ED53" s="1947"/>
      <c r="EE53" s="1947"/>
      <c r="EF53" s="1947"/>
      <c r="EG53" s="1947"/>
      <c r="EH53" s="1947"/>
      <c r="EI53" s="1947"/>
      <c r="EJ53" s="1947"/>
      <c r="EK53" s="1947"/>
      <c r="EL53" s="1947"/>
      <c r="EM53" s="1947"/>
      <c r="EN53" s="1947"/>
      <c r="EO53" s="1947"/>
      <c r="EP53" s="1947"/>
      <c r="EQ53" s="1947"/>
      <c r="ER53" s="1947"/>
      <c r="ES53" s="1947"/>
      <c r="ET53" s="1947"/>
      <c r="EU53" s="1947"/>
      <c r="EV53" s="1947"/>
      <c r="EW53" s="1947"/>
      <c r="EX53" s="1947"/>
      <c r="EY53" s="1947"/>
      <c r="EZ53" s="1947"/>
      <c r="FA53" s="1947"/>
      <c r="FB53" s="1947"/>
      <c r="FC53" s="1947"/>
      <c r="FD53" s="1947"/>
      <c r="FE53" s="1947"/>
      <c r="FF53" s="1947"/>
      <c r="FG53" s="1947"/>
      <c r="FH53" s="1947"/>
      <c r="FI53" s="1947"/>
      <c r="FJ53" s="1947"/>
      <c r="FK53" s="1947"/>
      <c r="FL53" s="1947"/>
      <c r="FM53" s="1947"/>
      <c r="FN53" s="1947"/>
      <c r="FO53" s="1947"/>
      <c r="FP53" s="1947"/>
      <c r="FQ53" s="1947"/>
      <c r="FR53" s="1947"/>
      <c r="FS53" s="1947"/>
      <c r="FT53" s="1947"/>
      <c r="FU53" s="1947"/>
      <c r="FV53" s="1947"/>
      <c r="FW53" s="1947"/>
      <c r="FX53" s="1947"/>
      <c r="FY53" s="1947"/>
      <c r="FZ53" s="1947"/>
      <c r="GA53" s="1947"/>
      <c r="GB53" s="1947"/>
      <c r="GC53" s="1947"/>
      <c r="GD53" s="1947"/>
      <c r="GE53" s="1947"/>
      <c r="GF53" s="1947"/>
      <c r="GG53" s="1947"/>
      <c r="GH53" s="1947"/>
      <c r="GI53" s="1947"/>
      <c r="GJ53" s="1947"/>
      <c r="GK53" s="1947"/>
      <c r="GL53" s="1947"/>
      <c r="GM53" s="1947"/>
      <c r="GN53" s="1947"/>
      <c r="GO53" s="1947"/>
      <c r="GP53" s="1947"/>
      <c r="GQ53" s="1947"/>
      <c r="GR53" s="1947"/>
      <c r="GS53" s="1947"/>
      <c r="GT53" s="1947"/>
      <c r="GU53" s="1947"/>
      <c r="GV53" s="1947"/>
      <c r="GW53" s="1947"/>
      <c r="GX53" s="1947"/>
      <c r="GY53" s="1947"/>
      <c r="GZ53" s="1947"/>
      <c r="HA53" s="1947"/>
      <c r="HB53" s="1947"/>
      <c r="HC53" s="1947"/>
      <c r="HD53" s="1947"/>
      <c r="HE53" s="1947"/>
      <c r="HF53" s="1947"/>
      <c r="HG53" s="1947"/>
      <c r="HH53" s="1947"/>
      <c r="HI53" s="1947"/>
      <c r="HJ53" s="1947"/>
      <c r="HK53" s="1947"/>
      <c r="HL53" s="1947"/>
      <c r="HM53" s="1947"/>
      <c r="HN53" s="1947"/>
      <c r="HO53" s="1947"/>
      <c r="HP53" s="1947"/>
      <c r="HQ53" s="1947"/>
      <c r="HR53" s="1947"/>
      <c r="HS53" s="1947"/>
      <c r="HT53" s="1947"/>
      <c r="HU53" s="1947"/>
      <c r="HV53" s="1947"/>
      <c r="HW53" s="1947"/>
      <c r="HX53" s="1947"/>
      <c r="HY53" s="1947"/>
      <c r="HZ53" s="1947"/>
      <c r="IA53" s="1947"/>
      <c r="IB53" s="1947"/>
      <c r="IC53" s="1947"/>
      <c r="ID53" s="1947"/>
      <c r="IE53" s="1947"/>
      <c r="IF53" s="1947"/>
      <c r="IG53" s="1947"/>
      <c r="IH53" s="1947"/>
      <c r="II53" s="1947"/>
      <c r="IJ53" s="1947"/>
      <c r="IK53" s="1947"/>
      <c r="IL53" s="1947"/>
      <c r="IM53" s="1947"/>
      <c r="IN53" s="1947"/>
      <c r="IO53" s="1947"/>
      <c r="IP53" s="1947"/>
      <c r="IQ53" s="1947"/>
    </row>
    <row r="54" spans="1:251" hidden="1">
      <c r="A54" s="1026"/>
      <c r="B54" s="1955"/>
      <c r="C54" s="1955"/>
      <c r="D54" s="2034"/>
      <c r="E54" s="1955"/>
      <c r="F54" s="1942">
        <f t="shared" si="15"/>
        <v>0</v>
      </c>
      <c r="G54" s="1026"/>
      <c r="H54" s="1942">
        <f t="shared" si="24"/>
        <v>0</v>
      </c>
      <c r="I54" s="1026"/>
      <c r="J54" s="1942">
        <f t="shared" si="6"/>
        <v>0</v>
      </c>
      <c r="K54" s="1026"/>
      <c r="L54" s="1942">
        <f t="shared" si="25"/>
        <v>0</v>
      </c>
      <c r="M54" s="1942">
        <f t="shared" si="26"/>
        <v>0</v>
      </c>
      <c r="N54" s="1942">
        <f t="shared" si="27"/>
        <v>0</v>
      </c>
      <c r="O54" s="1026"/>
      <c r="P54" s="1026"/>
      <c r="Q54" s="1942">
        <f t="shared" si="28"/>
        <v>0</v>
      </c>
      <c r="R54" s="1942">
        <f t="shared" si="10"/>
        <v>0</v>
      </c>
      <c r="S54" s="1942">
        <f t="shared" si="29"/>
        <v>0</v>
      </c>
      <c r="T54" s="1942">
        <f t="shared" si="30"/>
        <v>0</v>
      </c>
      <c r="U54" s="1942">
        <f t="shared" si="31"/>
        <v>0</v>
      </c>
      <c r="V54" s="3034">
        <f t="shared" si="2"/>
        <v>0</v>
      </c>
      <c r="W54" s="1942"/>
      <c r="X54" s="1923">
        <v>0.01</v>
      </c>
      <c r="Y54" s="1947"/>
      <c r="Z54" s="1947"/>
      <c r="AA54" s="1947"/>
      <c r="AB54" s="1947"/>
      <c r="AC54" s="1947"/>
      <c r="AD54" s="1947"/>
      <c r="AE54" s="1947"/>
      <c r="AF54" s="1947"/>
      <c r="AG54" s="1947"/>
      <c r="AH54" s="1947"/>
      <c r="AI54" s="1947"/>
      <c r="AJ54" s="1947"/>
      <c r="AK54" s="1947"/>
      <c r="AL54" s="1947"/>
      <c r="AM54" s="1947"/>
      <c r="AN54" s="1947"/>
      <c r="AO54" s="1947"/>
      <c r="AP54" s="1947"/>
      <c r="AQ54" s="1947"/>
      <c r="AR54" s="1947"/>
      <c r="AS54" s="1947"/>
      <c r="AT54" s="1947"/>
      <c r="AU54" s="1947"/>
      <c r="AV54" s="1947"/>
      <c r="AW54" s="1947"/>
      <c r="AX54" s="1947"/>
      <c r="AY54" s="1947"/>
      <c r="AZ54" s="1947"/>
      <c r="BA54" s="1947"/>
      <c r="BB54" s="1947"/>
      <c r="BC54" s="1947"/>
      <c r="BD54" s="1947"/>
      <c r="BE54" s="1947"/>
      <c r="BF54" s="1947"/>
      <c r="BG54" s="1947"/>
      <c r="BH54" s="1947"/>
      <c r="BI54" s="1947"/>
      <c r="BJ54" s="1947"/>
      <c r="BK54" s="1947"/>
      <c r="BL54" s="1947"/>
      <c r="BM54" s="1947"/>
      <c r="BN54" s="1947"/>
      <c r="BO54" s="1947"/>
      <c r="BP54" s="1947"/>
      <c r="BQ54" s="1947"/>
      <c r="BR54" s="1947"/>
      <c r="BS54" s="1947"/>
      <c r="BT54" s="1947"/>
      <c r="BU54" s="1947"/>
      <c r="BV54" s="1947"/>
      <c r="BW54" s="1947"/>
      <c r="BX54" s="1947"/>
      <c r="BY54" s="1947"/>
      <c r="BZ54" s="1947"/>
      <c r="CA54" s="1947"/>
      <c r="CB54" s="1947"/>
      <c r="CC54" s="1947"/>
      <c r="CD54" s="1947"/>
      <c r="CE54" s="1947"/>
      <c r="CF54" s="1947"/>
      <c r="CG54" s="1947"/>
      <c r="CH54" s="1947"/>
      <c r="CI54" s="1947"/>
      <c r="CJ54" s="1947"/>
      <c r="CK54" s="1947"/>
      <c r="CL54" s="1947"/>
      <c r="CM54" s="1947"/>
      <c r="CN54" s="1947"/>
      <c r="CO54" s="1947"/>
      <c r="CP54" s="1947"/>
      <c r="CQ54" s="1947"/>
      <c r="CR54" s="1947"/>
      <c r="CS54" s="1947"/>
      <c r="CT54" s="1947"/>
      <c r="CU54" s="1947"/>
      <c r="CV54" s="1947"/>
      <c r="CW54" s="1947"/>
      <c r="CX54" s="1947"/>
      <c r="CY54" s="1947"/>
      <c r="CZ54" s="1947"/>
      <c r="DA54" s="1947"/>
      <c r="DB54" s="1947"/>
      <c r="DC54" s="1947"/>
      <c r="DD54" s="1947"/>
      <c r="DE54" s="1947"/>
      <c r="DF54" s="1947"/>
      <c r="DG54" s="1947"/>
      <c r="DH54" s="1947"/>
      <c r="DI54" s="1947"/>
      <c r="DJ54" s="1947"/>
      <c r="DK54" s="1947"/>
      <c r="DL54" s="1947"/>
      <c r="DM54" s="1947"/>
      <c r="DN54" s="1947"/>
      <c r="DO54" s="1947"/>
      <c r="DP54" s="1947"/>
      <c r="DQ54" s="1947"/>
      <c r="DR54" s="1947"/>
      <c r="DS54" s="1947"/>
      <c r="DT54" s="1947"/>
      <c r="DU54" s="1947"/>
      <c r="DV54" s="1947"/>
      <c r="DW54" s="1947"/>
      <c r="DX54" s="1947"/>
      <c r="DY54" s="1947"/>
      <c r="DZ54" s="1947"/>
      <c r="EA54" s="1947"/>
      <c r="EB54" s="1947"/>
      <c r="EC54" s="1947"/>
      <c r="ED54" s="1947"/>
      <c r="EE54" s="1947"/>
      <c r="EF54" s="1947"/>
      <c r="EG54" s="1947"/>
      <c r="EH54" s="1947"/>
      <c r="EI54" s="1947"/>
      <c r="EJ54" s="1947"/>
      <c r="EK54" s="1947"/>
      <c r="EL54" s="1947"/>
      <c r="EM54" s="1947"/>
      <c r="EN54" s="1947"/>
      <c r="EO54" s="1947"/>
      <c r="EP54" s="1947"/>
      <c r="EQ54" s="1947"/>
      <c r="ER54" s="1947"/>
      <c r="ES54" s="1947"/>
      <c r="ET54" s="1947"/>
      <c r="EU54" s="1947"/>
      <c r="EV54" s="1947"/>
      <c r="EW54" s="1947"/>
      <c r="EX54" s="1947"/>
      <c r="EY54" s="1947"/>
      <c r="EZ54" s="1947"/>
      <c r="FA54" s="1947"/>
      <c r="FB54" s="1947"/>
      <c r="FC54" s="1947"/>
      <c r="FD54" s="1947"/>
      <c r="FE54" s="1947"/>
      <c r="FF54" s="1947"/>
      <c r="FG54" s="1947"/>
      <c r="FH54" s="1947"/>
      <c r="FI54" s="1947"/>
      <c r="FJ54" s="1947"/>
      <c r="FK54" s="1947"/>
      <c r="FL54" s="1947"/>
      <c r="FM54" s="1947"/>
      <c r="FN54" s="1947"/>
      <c r="FO54" s="1947"/>
      <c r="FP54" s="1947"/>
      <c r="FQ54" s="1947"/>
      <c r="FR54" s="1947"/>
      <c r="FS54" s="1947"/>
      <c r="FT54" s="1947"/>
      <c r="FU54" s="1947"/>
      <c r="FV54" s="1947"/>
      <c r="FW54" s="1947"/>
      <c r="FX54" s="1947"/>
      <c r="FY54" s="1947"/>
      <c r="FZ54" s="1947"/>
      <c r="GA54" s="1947"/>
      <c r="GB54" s="1947"/>
      <c r="GC54" s="1947"/>
      <c r="GD54" s="1947"/>
      <c r="GE54" s="1947"/>
      <c r="GF54" s="1947"/>
      <c r="GG54" s="1947"/>
      <c r="GH54" s="1947"/>
      <c r="GI54" s="1947"/>
      <c r="GJ54" s="1947"/>
      <c r="GK54" s="1947"/>
      <c r="GL54" s="1947"/>
      <c r="GM54" s="1947"/>
      <c r="GN54" s="1947"/>
      <c r="GO54" s="1947"/>
      <c r="GP54" s="1947"/>
      <c r="GQ54" s="1947"/>
      <c r="GR54" s="1947"/>
      <c r="GS54" s="1947"/>
      <c r="GT54" s="1947"/>
      <c r="GU54" s="1947"/>
      <c r="GV54" s="1947"/>
      <c r="GW54" s="1947"/>
      <c r="GX54" s="1947"/>
      <c r="GY54" s="1947"/>
      <c r="GZ54" s="1947"/>
      <c r="HA54" s="1947"/>
      <c r="HB54" s="1947"/>
      <c r="HC54" s="1947"/>
      <c r="HD54" s="1947"/>
      <c r="HE54" s="1947"/>
      <c r="HF54" s="1947"/>
      <c r="HG54" s="1947"/>
      <c r="HH54" s="1947"/>
      <c r="HI54" s="1947"/>
      <c r="HJ54" s="1947"/>
      <c r="HK54" s="1947"/>
      <c r="HL54" s="1947"/>
      <c r="HM54" s="1947"/>
      <c r="HN54" s="1947"/>
      <c r="HO54" s="1947"/>
      <c r="HP54" s="1947"/>
      <c r="HQ54" s="1947"/>
      <c r="HR54" s="1947"/>
      <c r="HS54" s="1947"/>
      <c r="HT54" s="1947"/>
      <c r="HU54" s="1947"/>
      <c r="HV54" s="1947"/>
      <c r="HW54" s="1947"/>
      <c r="HX54" s="1947"/>
      <c r="HY54" s="1947"/>
      <c r="HZ54" s="1947"/>
      <c r="IA54" s="1947"/>
      <c r="IB54" s="1947"/>
      <c r="IC54" s="1947"/>
      <c r="ID54" s="1947"/>
      <c r="IE54" s="1947"/>
      <c r="IF54" s="1947"/>
      <c r="IG54" s="1947"/>
      <c r="IH54" s="1947"/>
      <c r="II54" s="1947"/>
      <c r="IJ54" s="1947"/>
      <c r="IK54" s="1947"/>
      <c r="IL54" s="1947"/>
      <c r="IM54" s="1947"/>
      <c r="IN54" s="1947"/>
      <c r="IO54" s="1947"/>
      <c r="IP54" s="1947"/>
      <c r="IQ54" s="1947"/>
    </row>
    <row r="55" spans="1:251" hidden="1">
      <c r="A55" s="1026"/>
      <c r="B55" s="1955"/>
      <c r="C55" s="1955"/>
      <c r="D55" s="2034"/>
      <c r="E55" s="1955"/>
      <c r="F55" s="1942">
        <f t="shared" si="15"/>
        <v>0</v>
      </c>
      <c r="G55" s="1026"/>
      <c r="H55" s="1942">
        <f t="shared" si="24"/>
        <v>0</v>
      </c>
      <c r="I55" s="1026"/>
      <c r="J55" s="1942">
        <f t="shared" si="6"/>
        <v>0</v>
      </c>
      <c r="K55" s="1026"/>
      <c r="L55" s="1942">
        <f t="shared" si="25"/>
        <v>0</v>
      </c>
      <c r="M55" s="1942">
        <f t="shared" si="26"/>
        <v>0</v>
      </c>
      <c r="N55" s="1942">
        <f t="shared" si="27"/>
        <v>0</v>
      </c>
      <c r="O55" s="1026"/>
      <c r="P55" s="1026"/>
      <c r="Q55" s="1942">
        <f t="shared" si="28"/>
        <v>0</v>
      </c>
      <c r="R55" s="1942">
        <f t="shared" si="10"/>
        <v>0</v>
      </c>
      <c r="S55" s="1942">
        <f t="shared" si="29"/>
        <v>0</v>
      </c>
      <c r="T55" s="1942">
        <f t="shared" si="30"/>
        <v>0</v>
      </c>
      <c r="U55" s="1942">
        <f t="shared" si="31"/>
        <v>0</v>
      </c>
      <c r="V55" s="3034">
        <f t="shared" si="2"/>
        <v>0</v>
      </c>
      <c r="W55" s="1942"/>
      <c r="X55" s="1923">
        <v>0.01</v>
      </c>
      <c r="Y55" s="1947"/>
      <c r="Z55" s="1947"/>
      <c r="AA55" s="1947"/>
      <c r="AB55" s="1947"/>
      <c r="AC55" s="1947"/>
      <c r="AD55" s="1947"/>
      <c r="AE55" s="1947"/>
      <c r="AF55" s="1947"/>
      <c r="AG55" s="1947"/>
      <c r="AH55" s="1947"/>
      <c r="AI55" s="1947"/>
      <c r="AJ55" s="1947"/>
      <c r="AK55" s="1947"/>
      <c r="AL55" s="1947"/>
      <c r="AM55" s="1947"/>
      <c r="AN55" s="1947"/>
      <c r="AO55" s="1947"/>
      <c r="AP55" s="1947"/>
      <c r="AQ55" s="1947"/>
      <c r="AR55" s="1947"/>
      <c r="AS55" s="1947"/>
      <c r="AT55" s="1947"/>
      <c r="AU55" s="1947"/>
      <c r="AV55" s="1947"/>
      <c r="AW55" s="1947"/>
      <c r="AX55" s="1947"/>
      <c r="AY55" s="1947"/>
      <c r="AZ55" s="1947"/>
      <c r="BA55" s="1947"/>
      <c r="BB55" s="1947"/>
      <c r="BC55" s="1947"/>
      <c r="BD55" s="1947"/>
      <c r="BE55" s="1947"/>
      <c r="BF55" s="1947"/>
      <c r="BG55" s="1947"/>
      <c r="BH55" s="1947"/>
      <c r="BI55" s="1947"/>
      <c r="BJ55" s="1947"/>
      <c r="BK55" s="1947"/>
      <c r="BL55" s="1947"/>
      <c r="BM55" s="1947"/>
      <c r="BN55" s="1947"/>
      <c r="BO55" s="1947"/>
      <c r="BP55" s="1947"/>
      <c r="BQ55" s="1947"/>
      <c r="BR55" s="1947"/>
      <c r="BS55" s="1947"/>
      <c r="BT55" s="1947"/>
      <c r="BU55" s="1947"/>
      <c r="BV55" s="1947"/>
      <c r="BW55" s="1947"/>
      <c r="BX55" s="1947"/>
      <c r="BY55" s="1947"/>
      <c r="BZ55" s="1947"/>
      <c r="CA55" s="1947"/>
      <c r="CB55" s="1947"/>
      <c r="CC55" s="1947"/>
      <c r="CD55" s="1947"/>
      <c r="CE55" s="1947"/>
      <c r="CF55" s="1947"/>
      <c r="CG55" s="1947"/>
      <c r="CH55" s="1947"/>
      <c r="CI55" s="1947"/>
      <c r="CJ55" s="1947"/>
      <c r="CK55" s="1947"/>
      <c r="CL55" s="1947"/>
      <c r="CM55" s="1947"/>
      <c r="CN55" s="1947"/>
      <c r="CO55" s="1947"/>
      <c r="CP55" s="1947"/>
      <c r="CQ55" s="1947"/>
      <c r="CR55" s="1947"/>
      <c r="CS55" s="1947"/>
      <c r="CT55" s="1947"/>
      <c r="CU55" s="1947"/>
      <c r="CV55" s="1947"/>
      <c r="CW55" s="1947"/>
      <c r="CX55" s="1947"/>
      <c r="CY55" s="1947"/>
      <c r="CZ55" s="1947"/>
      <c r="DA55" s="1947"/>
      <c r="DB55" s="1947"/>
      <c r="DC55" s="1947"/>
      <c r="DD55" s="1947"/>
      <c r="DE55" s="1947"/>
      <c r="DF55" s="1947"/>
      <c r="DG55" s="1947"/>
      <c r="DH55" s="1947"/>
      <c r="DI55" s="1947"/>
      <c r="DJ55" s="1947"/>
      <c r="DK55" s="1947"/>
      <c r="DL55" s="1947"/>
      <c r="DM55" s="1947"/>
      <c r="DN55" s="1947"/>
      <c r="DO55" s="1947"/>
      <c r="DP55" s="1947"/>
      <c r="DQ55" s="1947"/>
      <c r="DR55" s="1947"/>
      <c r="DS55" s="1947"/>
      <c r="DT55" s="1947"/>
      <c r="DU55" s="1947"/>
      <c r="DV55" s="1947"/>
      <c r="DW55" s="1947"/>
      <c r="DX55" s="1947"/>
      <c r="DY55" s="1947"/>
      <c r="DZ55" s="1947"/>
      <c r="EA55" s="1947"/>
      <c r="EB55" s="1947"/>
      <c r="EC55" s="1947"/>
      <c r="ED55" s="1947"/>
      <c r="EE55" s="1947"/>
      <c r="EF55" s="1947"/>
      <c r="EG55" s="1947"/>
      <c r="EH55" s="1947"/>
      <c r="EI55" s="1947"/>
      <c r="EJ55" s="1947"/>
      <c r="EK55" s="1947"/>
      <c r="EL55" s="1947"/>
      <c r="EM55" s="1947"/>
      <c r="EN55" s="1947"/>
      <c r="EO55" s="1947"/>
      <c r="EP55" s="1947"/>
      <c r="EQ55" s="1947"/>
      <c r="ER55" s="1947"/>
      <c r="ES55" s="1947"/>
      <c r="ET55" s="1947"/>
      <c r="EU55" s="1947"/>
      <c r="EV55" s="1947"/>
      <c r="EW55" s="1947"/>
      <c r="EX55" s="1947"/>
      <c r="EY55" s="1947"/>
      <c r="EZ55" s="1947"/>
      <c r="FA55" s="1947"/>
      <c r="FB55" s="1947"/>
      <c r="FC55" s="1947"/>
      <c r="FD55" s="1947"/>
      <c r="FE55" s="1947"/>
      <c r="FF55" s="1947"/>
      <c r="FG55" s="1947"/>
      <c r="FH55" s="1947"/>
      <c r="FI55" s="1947"/>
      <c r="FJ55" s="1947"/>
      <c r="FK55" s="1947"/>
      <c r="FL55" s="1947"/>
      <c r="FM55" s="1947"/>
      <c r="FN55" s="1947"/>
      <c r="FO55" s="1947"/>
      <c r="FP55" s="1947"/>
      <c r="FQ55" s="1947"/>
      <c r="FR55" s="1947"/>
      <c r="FS55" s="1947"/>
      <c r="FT55" s="1947"/>
      <c r="FU55" s="1947"/>
      <c r="FV55" s="1947"/>
      <c r="FW55" s="1947"/>
      <c r="FX55" s="1947"/>
      <c r="FY55" s="1947"/>
      <c r="FZ55" s="1947"/>
      <c r="GA55" s="1947"/>
      <c r="GB55" s="1947"/>
      <c r="GC55" s="1947"/>
      <c r="GD55" s="1947"/>
      <c r="GE55" s="1947"/>
      <c r="GF55" s="1947"/>
      <c r="GG55" s="1947"/>
      <c r="GH55" s="1947"/>
      <c r="GI55" s="1947"/>
      <c r="GJ55" s="1947"/>
      <c r="GK55" s="1947"/>
      <c r="GL55" s="1947"/>
      <c r="GM55" s="1947"/>
      <c r="GN55" s="1947"/>
      <c r="GO55" s="1947"/>
      <c r="GP55" s="1947"/>
      <c r="GQ55" s="1947"/>
      <c r="GR55" s="1947"/>
      <c r="GS55" s="1947"/>
      <c r="GT55" s="1947"/>
      <c r="GU55" s="1947"/>
      <c r="GV55" s="1947"/>
      <c r="GW55" s="1947"/>
      <c r="GX55" s="1947"/>
      <c r="GY55" s="1947"/>
      <c r="GZ55" s="1947"/>
      <c r="HA55" s="1947"/>
      <c r="HB55" s="1947"/>
      <c r="HC55" s="1947"/>
      <c r="HD55" s="1947"/>
      <c r="HE55" s="1947"/>
      <c r="HF55" s="1947"/>
      <c r="HG55" s="1947"/>
      <c r="HH55" s="1947"/>
      <c r="HI55" s="1947"/>
      <c r="HJ55" s="1947"/>
      <c r="HK55" s="1947"/>
      <c r="HL55" s="1947"/>
      <c r="HM55" s="1947"/>
      <c r="HN55" s="1947"/>
      <c r="HO55" s="1947"/>
      <c r="HP55" s="1947"/>
      <c r="HQ55" s="1947"/>
      <c r="HR55" s="1947"/>
      <c r="HS55" s="1947"/>
      <c r="HT55" s="1947"/>
      <c r="HU55" s="1947"/>
      <c r="HV55" s="1947"/>
      <c r="HW55" s="1947"/>
      <c r="HX55" s="1947"/>
      <c r="HY55" s="1947"/>
      <c r="HZ55" s="1947"/>
      <c r="IA55" s="1947"/>
      <c r="IB55" s="1947"/>
      <c r="IC55" s="1947"/>
      <c r="ID55" s="1947"/>
      <c r="IE55" s="1947"/>
      <c r="IF55" s="1947"/>
      <c r="IG55" s="1947"/>
      <c r="IH55" s="1947"/>
      <c r="II55" s="1947"/>
      <c r="IJ55" s="1947"/>
      <c r="IK55" s="1947"/>
      <c r="IL55" s="1947"/>
      <c r="IM55" s="1947"/>
      <c r="IN55" s="1947"/>
      <c r="IO55" s="1947"/>
      <c r="IP55" s="1947"/>
      <c r="IQ55" s="1947"/>
    </row>
    <row r="56" spans="1:251" hidden="1">
      <c r="A56" s="1026"/>
      <c r="B56" s="1955"/>
      <c r="C56" s="1955"/>
      <c r="D56" s="2034"/>
      <c r="E56" s="1955"/>
      <c r="F56" s="1942">
        <f t="shared" si="15"/>
        <v>0</v>
      </c>
      <c r="G56" s="1026"/>
      <c r="H56" s="1942">
        <f t="shared" si="24"/>
        <v>0</v>
      </c>
      <c r="I56" s="1026"/>
      <c r="J56" s="1942">
        <f t="shared" si="6"/>
        <v>0</v>
      </c>
      <c r="K56" s="1026"/>
      <c r="L56" s="1942">
        <f t="shared" si="25"/>
        <v>0</v>
      </c>
      <c r="M56" s="1942">
        <f t="shared" si="26"/>
        <v>0</v>
      </c>
      <c r="N56" s="1942">
        <f t="shared" si="27"/>
        <v>0</v>
      </c>
      <c r="O56" s="1026"/>
      <c r="P56" s="1026"/>
      <c r="Q56" s="1942">
        <f t="shared" si="28"/>
        <v>0</v>
      </c>
      <c r="R56" s="1942">
        <f t="shared" si="10"/>
        <v>0</v>
      </c>
      <c r="S56" s="1942">
        <f t="shared" si="29"/>
        <v>0</v>
      </c>
      <c r="T56" s="1942">
        <f t="shared" si="30"/>
        <v>0</v>
      </c>
      <c r="U56" s="1942">
        <f t="shared" si="31"/>
        <v>0</v>
      </c>
      <c r="V56" s="3034">
        <f t="shared" si="2"/>
        <v>0</v>
      </c>
      <c r="W56" s="1942"/>
      <c r="X56" s="1923">
        <v>0.01</v>
      </c>
      <c r="Y56" s="1947"/>
      <c r="Z56" s="1947"/>
      <c r="AA56" s="1947"/>
      <c r="AB56" s="1947"/>
      <c r="AC56" s="1947"/>
      <c r="AD56" s="1947"/>
      <c r="AE56" s="1947"/>
      <c r="AF56" s="1947"/>
      <c r="AG56" s="1947"/>
      <c r="AH56" s="1947"/>
      <c r="AI56" s="1947"/>
      <c r="AJ56" s="1947"/>
      <c r="AK56" s="1947"/>
      <c r="AL56" s="1947"/>
      <c r="AM56" s="1947"/>
      <c r="AN56" s="1947"/>
      <c r="AO56" s="1947"/>
      <c r="AP56" s="1947"/>
      <c r="AQ56" s="1947"/>
      <c r="AR56" s="1947"/>
      <c r="AS56" s="1947"/>
      <c r="AT56" s="1947"/>
      <c r="AU56" s="1947"/>
      <c r="AV56" s="1947"/>
      <c r="AW56" s="1947"/>
      <c r="AX56" s="1947"/>
      <c r="AY56" s="1947"/>
      <c r="AZ56" s="1947"/>
      <c r="BA56" s="1947"/>
      <c r="BB56" s="1947"/>
      <c r="BC56" s="1947"/>
      <c r="BD56" s="1947"/>
      <c r="BE56" s="1947"/>
      <c r="BF56" s="1947"/>
      <c r="BG56" s="1947"/>
      <c r="BH56" s="1947"/>
      <c r="BI56" s="1947"/>
      <c r="BJ56" s="1947"/>
      <c r="BK56" s="1947"/>
      <c r="BL56" s="1947"/>
      <c r="BM56" s="1947"/>
      <c r="BN56" s="1947"/>
      <c r="BO56" s="1947"/>
      <c r="BP56" s="1947"/>
      <c r="BQ56" s="1947"/>
      <c r="BR56" s="1947"/>
      <c r="BS56" s="1947"/>
      <c r="BT56" s="1947"/>
      <c r="BU56" s="1947"/>
      <c r="BV56" s="1947"/>
      <c r="BW56" s="1947"/>
      <c r="BX56" s="1947"/>
      <c r="BY56" s="1947"/>
      <c r="BZ56" s="1947"/>
      <c r="CA56" s="1947"/>
      <c r="CB56" s="1947"/>
      <c r="CC56" s="1947"/>
      <c r="CD56" s="1947"/>
      <c r="CE56" s="1947"/>
      <c r="CF56" s="1947"/>
      <c r="CG56" s="1947"/>
      <c r="CH56" s="1947"/>
      <c r="CI56" s="1947"/>
      <c r="CJ56" s="1947"/>
      <c r="CK56" s="1947"/>
      <c r="CL56" s="1947"/>
      <c r="CM56" s="1947"/>
      <c r="CN56" s="1947"/>
      <c r="CO56" s="1947"/>
      <c r="CP56" s="1947"/>
      <c r="CQ56" s="1947"/>
      <c r="CR56" s="1947"/>
      <c r="CS56" s="1947"/>
      <c r="CT56" s="1947"/>
      <c r="CU56" s="1947"/>
      <c r="CV56" s="1947"/>
      <c r="CW56" s="1947"/>
      <c r="CX56" s="1947"/>
      <c r="CY56" s="1947"/>
      <c r="CZ56" s="1947"/>
      <c r="DA56" s="1947"/>
      <c r="DB56" s="1947"/>
      <c r="DC56" s="1947"/>
      <c r="DD56" s="1947"/>
      <c r="DE56" s="1947"/>
      <c r="DF56" s="1947"/>
      <c r="DG56" s="1947"/>
      <c r="DH56" s="1947"/>
      <c r="DI56" s="1947"/>
      <c r="DJ56" s="1947"/>
      <c r="DK56" s="1947"/>
      <c r="DL56" s="1947"/>
      <c r="DM56" s="1947"/>
      <c r="DN56" s="1947"/>
      <c r="DO56" s="1947"/>
      <c r="DP56" s="1947"/>
      <c r="DQ56" s="1947"/>
      <c r="DR56" s="1947"/>
      <c r="DS56" s="1947"/>
      <c r="DT56" s="1947"/>
      <c r="DU56" s="1947"/>
      <c r="DV56" s="1947"/>
      <c r="DW56" s="1947"/>
      <c r="DX56" s="1947"/>
      <c r="DY56" s="1947"/>
      <c r="DZ56" s="1947"/>
      <c r="EA56" s="1947"/>
      <c r="EB56" s="1947"/>
      <c r="EC56" s="1947"/>
      <c r="ED56" s="1947"/>
      <c r="EE56" s="1947"/>
      <c r="EF56" s="1947"/>
      <c r="EG56" s="1947"/>
      <c r="EH56" s="1947"/>
      <c r="EI56" s="1947"/>
      <c r="EJ56" s="1947"/>
      <c r="EK56" s="1947"/>
      <c r="EL56" s="1947"/>
      <c r="EM56" s="1947"/>
      <c r="EN56" s="1947"/>
      <c r="EO56" s="1947"/>
      <c r="EP56" s="1947"/>
      <c r="EQ56" s="1947"/>
      <c r="ER56" s="1947"/>
      <c r="ES56" s="1947"/>
      <c r="ET56" s="1947"/>
      <c r="EU56" s="1947"/>
      <c r="EV56" s="1947"/>
      <c r="EW56" s="1947"/>
      <c r="EX56" s="1947"/>
      <c r="EY56" s="1947"/>
      <c r="EZ56" s="1947"/>
      <c r="FA56" s="1947"/>
      <c r="FB56" s="1947"/>
      <c r="FC56" s="1947"/>
      <c r="FD56" s="1947"/>
      <c r="FE56" s="1947"/>
      <c r="FF56" s="1947"/>
      <c r="FG56" s="1947"/>
      <c r="FH56" s="1947"/>
      <c r="FI56" s="1947"/>
      <c r="FJ56" s="1947"/>
      <c r="FK56" s="1947"/>
      <c r="FL56" s="1947"/>
      <c r="FM56" s="1947"/>
      <c r="FN56" s="1947"/>
      <c r="FO56" s="1947"/>
      <c r="FP56" s="1947"/>
      <c r="FQ56" s="1947"/>
      <c r="FR56" s="1947"/>
      <c r="FS56" s="1947"/>
      <c r="FT56" s="1947"/>
      <c r="FU56" s="1947"/>
      <c r="FV56" s="1947"/>
      <c r="FW56" s="1947"/>
      <c r="FX56" s="1947"/>
      <c r="FY56" s="1947"/>
      <c r="FZ56" s="1947"/>
      <c r="GA56" s="1947"/>
      <c r="GB56" s="1947"/>
      <c r="GC56" s="1947"/>
      <c r="GD56" s="1947"/>
      <c r="GE56" s="1947"/>
      <c r="GF56" s="1947"/>
      <c r="GG56" s="1947"/>
      <c r="GH56" s="1947"/>
      <c r="GI56" s="1947"/>
      <c r="GJ56" s="1947"/>
      <c r="GK56" s="1947"/>
      <c r="GL56" s="1947"/>
      <c r="GM56" s="1947"/>
      <c r="GN56" s="1947"/>
      <c r="GO56" s="1947"/>
      <c r="GP56" s="1947"/>
      <c r="GQ56" s="1947"/>
      <c r="GR56" s="1947"/>
      <c r="GS56" s="1947"/>
      <c r="GT56" s="1947"/>
      <c r="GU56" s="1947"/>
      <c r="GV56" s="1947"/>
      <c r="GW56" s="1947"/>
      <c r="GX56" s="1947"/>
      <c r="GY56" s="1947"/>
      <c r="GZ56" s="1947"/>
      <c r="HA56" s="1947"/>
      <c r="HB56" s="1947"/>
      <c r="HC56" s="1947"/>
      <c r="HD56" s="1947"/>
      <c r="HE56" s="1947"/>
      <c r="HF56" s="1947"/>
      <c r="HG56" s="1947"/>
      <c r="HH56" s="1947"/>
      <c r="HI56" s="1947"/>
      <c r="HJ56" s="1947"/>
      <c r="HK56" s="1947"/>
      <c r="HL56" s="1947"/>
      <c r="HM56" s="1947"/>
      <c r="HN56" s="1947"/>
      <c r="HO56" s="1947"/>
      <c r="HP56" s="1947"/>
      <c r="HQ56" s="1947"/>
      <c r="HR56" s="1947"/>
      <c r="HS56" s="1947"/>
      <c r="HT56" s="1947"/>
      <c r="HU56" s="1947"/>
      <c r="HV56" s="1947"/>
      <c r="HW56" s="1947"/>
      <c r="HX56" s="1947"/>
      <c r="HY56" s="1947"/>
      <c r="HZ56" s="1947"/>
      <c r="IA56" s="1947"/>
      <c r="IB56" s="1947"/>
      <c r="IC56" s="1947"/>
      <c r="ID56" s="1947"/>
      <c r="IE56" s="1947"/>
      <c r="IF56" s="1947"/>
      <c r="IG56" s="1947"/>
      <c r="IH56" s="1947"/>
      <c r="II56" s="1947"/>
      <c r="IJ56" s="1947"/>
      <c r="IK56" s="1947"/>
      <c r="IL56" s="1947"/>
      <c r="IM56" s="1947"/>
      <c r="IN56" s="1947"/>
      <c r="IO56" s="1947"/>
      <c r="IP56" s="1947"/>
      <c r="IQ56" s="1947"/>
    </row>
    <row r="57" spans="1:251" hidden="1">
      <c r="A57" s="1026"/>
      <c r="B57" s="1955"/>
      <c r="C57" s="1955"/>
      <c r="D57" s="2034"/>
      <c r="E57" s="1955"/>
      <c r="F57" s="1942">
        <f t="shared" si="15"/>
        <v>0</v>
      </c>
      <c r="G57" s="1026"/>
      <c r="H57" s="1942">
        <f t="shared" si="24"/>
        <v>0</v>
      </c>
      <c r="I57" s="1026"/>
      <c r="J57" s="1942">
        <f t="shared" si="6"/>
        <v>0</v>
      </c>
      <c r="K57" s="1026"/>
      <c r="L57" s="1942">
        <f t="shared" si="25"/>
        <v>0</v>
      </c>
      <c r="M57" s="1942">
        <f t="shared" si="26"/>
        <v>0</v>
      </c>
      <c r="N57" s="1942">
        <f t="shared" si="27"/>
        <v>0</v>
      </c>
      <c r="O57" s="1026"/>
      <c r="P57" s="1026"/>
      <c r="Q57" s="1942">
        <f t="shared" si="28"/>
        <v>0</v>
      </c>
      <c r="R57" s="1942">
        <f t="shared" si="10"/>
        <v>0</v>
      </c>
      <c r="S57" s="1942">
        <f t="shared" si="29"/>
        <v>0</v>
      </c>
      <c r="T57" s="1942">
        <f t="shared" si="30"/>
        <v>0</v>
      </c>
      <c r="U57" s="1942">
        <f t="shared" si="31"/>
        <v>0</v>
      </c>
      <c r="V57" s="3034">
        <f t="shared" si="2"/>
        <v>0</v>
      </c>
      <c r="W57" s="1942"/>
      <c r="X57" s="1923">
        <v>0.01</v>
      </c>
      <c r="Y57" s="1947"/>
      <c r="Z57" s="1947"/>
      <c r="AA57" s="1947"/>
      <c r="AB57" s="1947"/>
      <c r="AC57" s="1947"/>
      <c r="AD57" s="1947"/>
      <c r="AE57" s="1947"/>
      <c r="AF57" s="1947"/>
      <c r="AG57" s="1947"/>
      <c r="AH57" s="1947"/>
      <c r="AI57" s="1947"/>
      <c r="AJ57" s="1947"/>
      <c r="AK57" s="1947"/>
      <c r="AL57" s="1947"/>
      <c r="AM57" s="1947"/>
      <c r="AN57" s="1947"/>
      <c r="AO57" s="1947"/>
      <c r="AP57" s="1947"/>
      <c r="AQ57" s="1947"/>
      <c r="AR57" s="1947"/>
      <c r="AS57" s="1947"/>
      <c r="AT57" s="1947"/>
      <c r="AU57" s="1947"/>
      <c r="AV57" s="1947"/>
      <c r="AW57" s="1947"/>
      <c r="AX57" s="1947"/>
      <c r="AY57" s="1947"/>
      <c r="AZ57" s="1947"/>
      <c r="BA57" s="1947"/>
      <c r="BB57" s="1947"/>
      <c r="BC57" s="1947"/>
      <c r="BD57" s="1947"/>
      <c r="BE57" s="1947"/>
      <c r="BF57" s="1947"/>
      <c r="BG57" s="1947"/>
      <c r="BH57" s="1947"/>
      <c r="BI57" s="1947"/>
      <c r="BJ57" s="1947"/>
      <c r="BK57" s="1947"/>
      <c r="BL57" s="1947"/>
      <c r="BM57" s="1947"/>
      <c r="BN57" s="1947"/>
      <c r="BO57" s="1947"/>
      <c r="BP57" s="1947"/>
      <c r="BQ57" s="1947"/>
      <c r="BR57" s="1947"/>
      <c r="BS57" s="1947"/>
      <c r="BT57" s="1947"/>
      <c r="BU57" s="1947"/>
      <c r="BV57" s="1947"/>
      <c r="BW57" s="1947"/>
      <c r="BX57" s="1947"/>
      <c r="BY57" s="1947"/>
      <c r="BZ57" s="1947"/>
      <c r="CA57" s="1947"/>
      <c r="CB57" s="1947"/>
      <c r="CC57" s="1947"/>
      <c r="CD57" s="1947"/>
      <c r="CE57" s="1947"/>
      <c r="CF57" s="1947"/>
      <c r="CG57" s="1947"/>
      <c r="CH57" s="1947"/>
      <c r="CI57" s="1947"/>
      <c r="CJ57" s="1947"/>
      <c r="CK57" s="1947"/>
      <c r="CL57" s="1947"/>
      <c r="CM57" s="1947"/>
      <c r="CN57" s="1947"/>
      <c r="CO57" s="1947"/>
      <c r="CP57" s="1947"/>
      <c r="CQ57" s="1947"/>
      <c r="CR57" s="1947"/>
      <c r="CS57" s="1947"/>
      <c r="CT57" s="1947"/>
      <c r="CU57" s="1947"/>
      <c r="CV57" s="1947"/>
      <c r="CW57" s="1947"/>
      <c r="CX57" s="1947"/>
      <c r="CY57" s="1947"/>
      <c r="CZ57" s="1947"/>
      <c r="DA57" s="1947"/>
      <c r="DB57" s="1947"/>
      <c r="DC57" s="1947"/>
      <c r="DD57" s="1947"/>
      <c r="DE57" s="1947"/>
      <c r="DF57" s="1947"/>
      <c r="DG57" s="1947"/>
      <c r="DH57" s="1947"/>
      <c r="DI57" s="1947"/>
      <c r="DJ57" s="1947"/>
      <c r="DK57" s="1947"/>
      <c r="DL57" s="1947"/>
      <c r="DM57" s="1947"/>
      <c r="DN57" s="1947"/>
      <c r="DO57" s="1947"/>
      <c r="DP57" s="1947"/>
      <c r="DQ57" s="1947"/>
      <c r="DR57" s="1947"/>
      <c r="DS57" s="1947"/>
      <c r="DT57" s="1947"/>
      <c r="DU57" s="1947"/>
      <c r="DV57" s="1947"/>
      <c r="DW57" s="1947"/>
      <c r="DX57" s="1947"/>
      <c r="DY57" s="1947"/>
      <c r="DZ57" s="1947"/>
      <c r="EA57" s="1947"/>
      <c r="EB57" s="1947"/>
      <c r="EC57" s="1947"/>
      <c r="ED57" s="1947"/>
      <c r="EE57" s="1947"/>
      <c r="EF57" s="1947"/>
      <c r="EG57" s="1947"/>
      <c r="EH57" s="1947"/>
      <c r="EI57" s="1947"/>
      <c r="EJ57" s="1947"/>
      <c r="EK57" s="1947"/>
      <c r="EL57" s="1947"/>
      <c r="EM57" s="1947"/>
      <c r="EN57" s="1947"/>
      <c r="EO57" s="1947"/>
      <c r="EP57" s="1947"/>
      <c r="EQ57" s="1947"/>
      <c r="ER57" s="1947"/>
      <c r="ES57" s="1947"/>
      <c r="ET57" s="1947"/>
      <c r="EU57" s="1947"/>
      <c r="EV57" s="1947"/>
      <c r="EW57" s="1947"/>
      <c r="EX57" s="1947"/>
      <c r="EY57" s="1947"/>
      <c r="EZ57" s="1947"/>
      <c r="FA57" s="1947"/>
      <c r="FB57" s="1947"/>
      <c r="FC57" s="1947"/>
      <c r="FD57" s="1947"/>
      <c r="FE57" s="1947"/>
      <c r="FF57" s="1947"/>
      <c r="FG57" s="1947"/>
      <c r="FH57" s="1947"/>
      <c r="FI57" s="1947"/>
      <c r="FJ57" s="1947"/>
      <c r="FK57" s="1947"/>
      <c r="FL57" s="1947"/>
      <c r="FM57" s="1947"/>
      <c r="FN57" s="1947"/>
      <c r="FO57" s="1947"/>
      <c r="FP57" s="1947"/>
      <c r="FQ57" s="1947"/>
      <c r="FR57" s="1947"/>
      <c r="FS57" s="1947"/>
      <c r="FT57" s="1947"/>
      <c r="FU57" s="1947"/>
      <c r="FV57" s="1947"/>
      <c r="FW57" s="1947"/>
      <c r="FX57" s="1947"/>
      <c r="FY57" s="1947"/>
      <c r="FZ57" s="1947"/>
      <c r="GA57" s="1947"/>
      <c r="GB57" s="1947"/>
      <c r="GC57" s="1947"/>
      <c r="GD57" s="1947"/>
      <c r="GE57" s="1947"/>
      <c r="GF57" s="1947"/>
      <c r="GG57" s="1947"/>
      <c r="GH57" s="1947"/>
      <c r="GI57" s="1947"/>
      <c r="GJ57" s="1947"/>
      <c r="GK57" s="1947"/>
      <c r="GL57" s="1947"/>
      <c r="GM57" s="1947"/>
      <c r="GN57" s="1947"/>
      <c r="GO57" s="1947"/>
      <c r="GP57" s="1947"/>
      <c r="GQ57" s="1947"/>
      <c r="GR57" s="1947"/>
      <c r="GS57" s="1947"/>
      <c r="GT57" s="1947"/>
      <c r="GU57" s="1947"/>
      <c r="GV57" s="1947"/>
      <c r="GW57" s="1947"/>
      <c r="GX57" s="1947"/>
      <c r="GY57" s="1947"/>
      <c r="GZ57" s="1947"/>
      <c r="HA57" s="1947"/>
      <c r="HB57" s="1947"/>
      <c r="HC57" s="1947"/>
      <c r="HD57" s="1947"/>
      <c r="HE57" s="1947"/>
      <c r="HF57" s="1947"/>
      <c r="HG57" s="1947"/>
      <c r="HH57" s="1947"/>
      <c r="HI57" s="1947"/>
      <c r="HJ57" s="1947"/>
      <c r="HK57" s="1947"/>
      <c r="HL57" s="1947"/>
      <c r="HM57" s="1947"/>
      <c r="HN57" s="1947"/>
      <c r="HO57" s="1947"/>
      <c r="HP57" s="1947"/>
      <c r="HQ57" s="1947"/>
      <c r="HR57" s="1947"/>
      <c r="HS57" s="1947"/>
      <c r="HT57" s="1947"/>
      <c r="HU57" s="1947"/>
      <c r="HV57" s="1947"/>
      <c r="HW57" s="1947"/>
      <c r="HX57" s="1947"/>
      <c r="HY57" s="1947"/>
      <c r="HZ57" s="1947"/>
      <c r="IA57" s="1947"/>
      <c r="IB57" s="1947"/>
      <c r="IC57" s="1947"/>
      <c r="ID57" s="1947"/>
      <c r="IE57" s="1947"/>
      <c r="IF57" s="1947"/>
      <c r="IG57" s="1947"/>
      <c r="IH57" s="1947"/>
      <c r="II57" s="1947"/>
      <c r="IJ57" s="1947"/>
      <c r="IK57" s="1947"/>
      <c r="IL57" s="1947"/>
      <c r="IM57" s="1947"/>
      <c r="IN57" s="1947"/>
      <c r="IO57" s="1947"/>
      <c r="IP57" s="1947"/>
      <c r="IQ57" s="1947"/>
    </row>
    <row r="58" spans="1:251" hidden="1">
      <c r="A58" s="1026"/>
      <c r="B58" s="1955"/>
      <c r="C58" s="1955"/>
      <c r="D58" s="2034"/>
      <c r="E58" s="1955"/>
      <c r="F58" s="1942">
        <f t="shared" si="15"/>
        <v>0</v>
      </c>
      <c r="G58" s="1026"/>
      <c r="H58" s="1942">
        <f t="shared" si="24"/>
        <v>0</v>
      </c>
      <c r="I58" s="1026"/>
      <c r="J58" s="1942">
        <f t="shared" si="6"/>
        <v>0</v>
      </c>
      <c r="K58" s="1026"/>
      <c r="L58" s="1942">
        <f t="shared" si="25"/>
        <v>0</v>
      </c>
      <c r="M58" s="1942">
        <f t="shared" si="26"/>
        <v>0</v>
      </c>
      <c r="N58" s="1942">
        <f t="shared" si="27"/>
        <v>0</v>
      </c>
      <c r="O58" s="1026"/>
      <c r="P58" s="1026"/>
      <c r="Q58" s="1942">
        <f t="shared" si="28"/>
        <v>0</v>
      </c>
      <c r="R58" s="1942">
        <f t="shared" si="10"/>
        <v>0</v>
      </c>
      <c r="S58" s="1942">
        <f t="shared" si="29"/>
        <v>0</v>
      </c>
      <c r="T58" s="1942">
        <f t="shared" si="30"/>
        <v>0</v>
      </c>
      <c r="U58" s="1942">
        <f t="shared" si="31"/>
        <v>0</v>
      </c>
      <c r="V58" s="3034">
        <f t="shared" si="2"/>
        <v>0</v>
      </c>
      <c r="W58" s="1942"/>
      <c r="X58" s="1923">
        <v>0.01</v>
      </c>
      <c r="Y58" s="1947"/>
      <c r="Z58" s="1947"/>
      <c r="AA58" s="1947"/>
      <c r="AB58" s="1947"/>
      <c r="AC58" s="1947"/>
      <c r="AD58" s="1947"/>
      <c r="AE58" s="1947"/>
      <c r="AF58" s="1947"/>
      <c r="AG58" s="1947"/>
      <c r="AH58" s="1947"/>
      <c r="AI58" s="1947"/>
      <c r="AJ58" s="1947"/>
      <c r="AK58" s="1947"/>
      <c r="AL58" s="1947"/>
      <c r="AM58" s="1947"/>
      <c r="AN58" s="1947"/>
      <c r="AO58" s="1947"/>
      <c r="AP58" s="1947"/>
      <c r="AQ58" s="1947"/>
      <c r="AR58" s="1947"/>
      <c r="AS58" s="1947"/>
      <c r="AT58" s="1947"/>
      <c r="AU58" s="1947"/>
      <c r="AV58" s="1947"/>
      <c r="AW58" s="1947"/>
      <c r="AX58" s="1947"/>
      <c r="AY58" s="1947"/>
      <c r="AZ58" s="1947"/>
      <c r="BA58" s="1947"/>
      <c r="BB58" s="1947"/>
      <c r="BC58" s="1947"/>
      <c r="BD58" s="1947"/>
      <c r="BE58" s="1947"/>
      <c r="BF58" s="1947"/>
      <c r="BG58" s="1947"/>
      <c r="BH58" s="1947"/>
      <c r="BI58" s="1947"/>
      <c r="BJ58" s="1947"/>
      <c r="BK58" s="1947"/>
      <c r="BL58" s="1947"/>
      <c r="BM58" s="1947"/>
      <c r="BN58" s="1947"/>
      <c r="BO58" s="1947"/>
      <c r="BP58" s="1947"/>
      <c r="BQ58" s="1947"/>
      <c r="BR58" s="1947"/>
      <c r="BS58" s="1947"/>
      <c r="BT58" s="1947"/>
      <c r="BU58" s="1947"/>
      <c r="BV58" s="1947"/>
      <c r="BW58" s="1947"/>
      <c r="BX58" s="1947"/>
      <c r="BY58" s="1947"/>
      <c r="BZ58" s="1947"/>
      <c r="CA58" s="1947"/>
      <c r="CB58" s="1947"/>
      <c r="CC58" s="1947"/>
      <c r="CD58" s="1947"/>
      <c r="CE58" s="1947"/>
      <c r="CF58" s="1947"/>
      <c r="CG58" s="1947"/>
      <c r="CH58" s="1947"/>
      <c r="CI58" s="1947"/>
      <c r="CJ58" s="1947"/>
      <c r="CK58" s="1947"/>
      <c r="CL58" s="1947"/>
      <c r="CM58" s="1947"/>
      <c r="CN58" s="1947"/>
      <c r="CO58" s="1947"/>
      <c r="CP58" s="1947"/>
      <c r="CQ58" s="1947"/>
      <c r="CR58" s="1947"/>
      <c r="CS58" s="1947"/>
      <c r="CT58" s="1947"/>
      <c r="CU58" s="1947"/>
      <c r="CV58" s="1947"/>
      <c r="CW58" s="1947"/>
      <c r="CX58" s="1947"/>
      <c r="CY58" s="1947"/>
      <c r="CZ58" s="1947"/>
      <c r="DA58" s="1947"/>
      <c r="DB58" s="1947"/>
      <c r="DC58" s="1947"/>
      <c r="DD58" s="1947"/>
      <c r="DE58" s="1947"/>
      <c r="DF58" s="1947"/>
      <c r="DG58" s="1947"/>
      <c r="DH58" s="1947"/>
      <c r="DI58" s="1947"/>
      <c r="DJ58" s="1947"/>
      <c r="DK58" s="1947"/>
      <c r="DL58" s="1947"/>
      <c r="DM58" s="1947"/>
      <c r="DN58" s="1947"/>
      <c r="DO58" s="1947"/>
      <c r="DP58" s="1947"/>
      <c r="DQ58" s="1947"/>
      <c r="DR58" s="1947"/>
      <c r="DS58" s="1947"/>
      <c r="DT58" s="1947"/>
      <c r="DU58" s="1947"/>
      <c r="DV58" s="1947"/>
      <c r="DW58" s="1947"/>
      <c r="DX58" s="1947"/>
      <c r="DY58" s="1947"/>
      <c r="DZ58" s="1947"/>
      <c r="EA58" s="1947"/>
      <c r="EB58" s="1947"/>
      <c r="EC58" s="1947"/>
      <c r="ED58" s="1947"/>
      <c r="EE58" s="1947"/>
      <c r="EF58" s="1947"/>
      <c r="EG58" s="1947"/>
      <c r="EH58" s="1947"/>
      <c r="EI58" s="1947"/>
      <c r="EJ58" s="1947"/>
      <c r="EK58" s="1947"/>
      <c r="EL58" s="1947"/>
      <c r="EM58" s="1947"/>
      <c r="EN58" s="1947"/>
      <c r="EO58" s="1947"/>
      <c r="EP58" s="1947"/>
      <c r="EQ58" s="1947"/>
      <c r="ER58" s="1947"/>
      <c r="ES58" s="1947"/>
      <c r="ET58" s="1947"/>
      <c r="EU58" s="1947"/>
      <c r="EV58" s="1947"/>
      <c r="EW58" s="1947"/>
      <c r="EX58" s="1947"/>
      <c r="EY58" s="1947"/>
      <c r="EZ58" s="1947"/>
      <c r="FA58" s="1947"/>
      <c r="FB58" s="1947"/>
      <c r="FC58" s="1947"/>
      <c r="FD58" s="1947"/>
      <c r="FE58" s="1947"/>
      <c r="FF58" s="1947"/>
      <c r="FG58" s="1947"/>
      <c r="FH58" s="1947"/>
      <c r="FI58" s="1947"/>
      <c r="FJ58" s="1947"/>
      <c r="FK58" s="1947"/>
      <c r="FL58" s="1947"/>
      <c r="FM58" s="1947"/>
      <c r="FN58" s="1947"/>
      <c r="FO58" s="1947"/>
      <c r="FP58" s="1947"/>
      <c r="FQ58" s="1947"/>
      <c r="FR58" s="1947"/>
      <c r="FS58" s="1947"/>
      <c r="FT58" s="1947"/>
      <c r="FU58" s="1947"/>
      <c r="FV58" s="1947"/>
      <c r="FW58" s="1947"/>
      <c r="FX58" s="1947"/>
      <c r="FY58" s="1947"/>
      <c r="FZ58" s="1947"/>
      <c r="GA58" s="1947"/>
      <c r="GB58" s="1947"/>
      <c r="GC58" s="1947"/>
      <c r="GD58" s="1947"/>
      <c r="GE58" s="1947"/>
      <c r="GF58" s="1947"/>
      <c r="GG58" s="1947"/>
      <c r="GH58" s="1947"/>
      <c r="GI58" s="1947"/>
      <c r="GJ58" s="1947"/>
      <c r="GK58" s="1947"/>
      <c r="GL58" s="1947"/>
      <c r="GM58" s="1947"/>
      <c r="GN58" s="1947"/>
      <c r="GO58" s="1947"/>
      <c r="GP58" s="1947"/>
      <c r="GQ58" s="1947"/>
      <c r="GR58" s="1947"/>
      <c r="GS58" s="1947"/>
      <c r="GT58" s="1947"/>
      <c r="GU58" s="1947"/>
      <c r="GV58" s="1947"/>
      <c r="GW58" s="1947"/>
      <c r="GX58" s="1947"/>
      <c r="GY58" s="1947"/>
      <c r="GZ58" s="1947"/>
      <c r="HA58" s="1947"/>
      <c r="HB58" s="1947"/>
      <c r="HC58" s="1947"/>
      <c r="HD58" s="1947"/>
      <c r="HE58" s="1947"/>
      <c r="HF58" s="1947"/>
      <c r="HG58" s="1947"/>
      <c r="HH58" s="1947"/>
      <c r="HI58" s="1947"/>
      <c r="HJ58" s="1947"/>
      <c r="HK58" s="1947"/>
      <c r="HL58" s="1947"/>
      <c r="HM58" s="1947"/>
      <c r="HN58" s="1947"/>
      <c r="HO58" s="1947"/>
      <c r="HP58" s="1947"/>
      <c r="HQ58" s="1947"/>
      <c r="HR58" s="1947"/>
      <c r="HS58" s="1947"/>
      <c r="HT58" s="1947"/>
      <c r="HU58" s="1947"/>
      <c r="HV58" s="1947"/>
      <c r="HW58" s="1947"/>
      <c r="HX58" s="1947"/>
      <c r="HY58" s="1947"/>
      <c r="HZ58" s="1947"/>
      <c r="IA58" s="1947"/>
      <c r="IB58" s="1947"/>
      <c r="IC58" s="1947"/>
      <c r="ID58" s="1947"/>
      <c r="IE58" s="1947"/>
      <c r="IF58" s="1947"/>
      <c r="IG58" s="1947"/>
      <c r="IH58" s="1947"/>
      <c r="II58" s="1947"/>
      <c r="IJ58" s="1947"/>
      <c r="IK58" s="1947"/>
      <c r="IL58" s="1947"/>
      <c r="IM58" s="1947"/>
      <c r="IN58" s="1947"/>
      <c r="IO58" s="1947"/>
      <c r="IP58" s="1947"/>
      <c r="IQ58" s="1947"/>
    </row>
    <row r="59" spans="1:251" hidden="1">
      <c r="A59" s="1026"/>
      <c r="B59" s="1955"/>
      <c r="C59" s="1955"/>
      <c r="D59" s="2034"/>
      <c r="E59" s="1955"/>
      <c r="F59" s="1942">
        <f t="shared" si="15"/>
        <v>0</v>
      </c>
      <c r="G59" s="1026"/>
      <c r="H59" s="1942">
        <f t="shared" si="24"/>
        <v>0</v>
      </c>
      <c r="I59" s="1026"/>
      <c r="J59" s="1942">
        <f t="shared" si="6"/>
        <v>0</v>
      </c>
      <c r="K59" s="1026"/>
      <c r="L59" s="1942">
        <f t="shared" si="25"/>
        <v>0</v>
      </c>
      <c r="M59" s="1942">
        <f t="shared" si="26"/>
        <v>0</v>
      </c>
      <c r="N59" s="1942">
        <f t="shared" si="27"/>
        <v>0</v>
      </c>
      <c r="O59" s="1026"/>
      <c r="P59" s="1026"/>
      <c r="Q59" s="1942">
        <f t="shared" si="28"/>
        <v>0</v>
      </c>
      <c r="R59" s="1942">
        <f t="shared" si="10"/>
        <v>0</v>
      </c>
      <c r="S59" s="1942">
        <f t="shared" si="29"/>
        <v>0</v>
      </c>
      <c r="T59" s="1942">
        <f t="shared" si="30"/>
        <v>0</v>
      </c>
      <c r="U59" s="1942">
        <f t="shared" si="31"/>
        <v>0</v>
      </c>
      <c r="V59" s="3034">
        <f t="shared" si="2"/>
        <v>0</v>
      </c>
      <c r="W59" s="1942"/>
      <c r="X59" s="1923">
        <v>0.01</v>
      </c>
      <c r="Y59" s="1947"/>
      <c r="Z59" s="1947"/>
      <c r="AA59" s="1947"/>
      <c r="AB59" s="1947"/>
      <c r="AC59" s="1947"/>
      <c r="AD59" s="1947"/>
      <c r="AE59" s="1947"/>
      <c r="AF59" s="1947"/>
      <c r="AG59" s="1947"/>
      <c r="AH59" s="1947"/>
      <c r="AI59" s="1947"/>
      <c r="AJ59" s="1947"/>
      <c r="AK59" s="1947"/>
      <c r="AL59" s="1947"/>
      <c r="AM59" s="1947"/>
      <c r="AN59" s="1947"/>
      <c r="AO59" s="1947"/>
      <c r="AP59" s="1947"/>
      <c r="AQ59" s="1947"/>
      <c r="AR59" s="1947"/>
      <c r="AS59" s="1947"/>
      <c r="AT59" s="1947"/>
      <c r="AU59" s="1947"/>
      <c r="AV59" s="1947"/>
      <c r="AW59" s="1947"/>
      <c r="AX59" s="1947"/>
      <c r="AY59" s="1947"/>
      <c r="AZ59" s="1947"/>
      <c r="BA59" s="1947"/>
      <c r="BB59" s="1947"/>
      <c r="BC59" s="1947"/>
      <c r="BD59" s="1947"/>
      <c r="BE59" s="1947"/>
      <c r="BF59" s="1947"/>
      <c r="BG59" s="1947"/>
      <c r="BH59" s="1947"/>
      <c r="BI59" s="1947"/>
      <c r="BJ59" s="1947"/>
      <c r="BK59" s="1947"/>
      <c r="BL59" s="1947"/>
      <c r="BM59" s="1947"/>
      <c r="BN59" s="1947"/>
      <c r="BO59" s="1947"/>
      <c r="BP59" s="1947"/>
      <c r="BQ59" s="1947"/>
      <c r="BR59" s="1947"/>
      <c r="BS59" s="1947"/>
      <c r="BT59" s="1947"/>
      <c r="BU59" s="1947"/>
      <c r="BV59" s="1947"/>
      <c r="BW59" s="1947"/>
      <c r="BX59" s="1947"/>
      <c r="BY59" s="1947"/>
      <c r="BZ59" s="1947"/>
      <c r="CA59" s="1947"/>
      <c r="CB59" s="1947"/>
      <c r="CC59" s="1947"/>
      <c r="CD59" s="1947"/>
      <c r="CE59" s="1947"/>
      <c r="CF59" s="1947"/>
      <c r="CG59" s="1947"/>
      <c r="CH59" s="1947"/>
      <c r="CI59" s="1947"/>
      <c r="CJ59" s="1947"/>
      <c r="CK59" s="1947"/>
      <c r="CL59" s="1947"/>
      <c r="CM59" s="1947"/>
      <c r="CN59" s="1947"/>
      <c r="CO59" s="1947"/>
      <c r="CP59" s="1947"/>
      <c r="CQ59" s="1947"/>
      <c r="CR59" s="1947"/>
      <c r="CS59" s="1947"/>
      <c r="CT59" s="1947"/>
      <c r="CU59" s="1947"/>
      <c r="CV59" s="1947"/>
      <c r="CW59" s="1947"/>
      <c r="CX59" s="1947"/>
      <c r="CY59" s="1947"/>
      <c r="CZ59" s="1947"/>
      <c r="DA59" s="1947"/>
      <c r="DB59" s="1947"/>
      <c r="DC59" s="1947"/>
      <c r="DD59" s="1947"/>
      <c r="DE59" s="1947"/>
      <c r="DF59" s="1947"/>
      <c r="DG59" s="1947"/>
      <c r="DH59" s="1947"/>
      <c r="DI59" s="1947"/>
      <c r="DJ59" s="1947"/>
      <c r="DK59" s="1947"/>
      <c r="DL59" s="1947"/>
      <c r="DM59" s="1947"/>
      <c r="DN59" s="1947"/>
      <c r="DO59" s="1947"/>
      <c r="DP59" s="1947"/>
      <c r="DQ59" s="1947"/>
      <c r="DR59" s="1947"/>
      <c r="DS59" s="1947"/>
      <c r="DT59" s="1947"/>
      <c r="DU59" s="1947"/>
      <c r="DV59" s="1947"/>
      <c r="DW59" s="1947"/>
      <c r="DX59" s="1947"/>
      <c r="DY59" s="1947"/>
      <c r="DZ59" s="1947"/>
      <c r="EA59" s="1947"/>
      <c r="EB59" s="1947"/>
      <c r="EC59" s="1947"/>
      <c r="ED59" s="1947"/>
      <c r="EE59" s="1947"/>
      <c r="EF59" s="1947"/>
      <c r="EG59" s="1947"/>
      <c r="EH59" s="1947"/>
      <c r="EI59" s="1947"/>
      <c r="EJ59" s="1947"/>
      <c r="EK59" s="1947"/>
      <c r="EL59" s="1947"/>
      <c r="EM59" s="1947"/>
      <c r="EN59" s="1947"/>
      <c r="EO59" s="1947"/>
      <c r="EP59" s="1947"/>
      <c r="EQ59" s="1947"/>
      <c r="ER59" s="1947"/>
      <c r="ES59" s="1947"/>
      <c r="ET59" s="1947"/>
      <c r="EU59" s="1947"/>
      <c r="EV59" s="1947"/>
      <c r="EW59" s="1947"/>
      <c r="EX59" s="1947"/>
      <c r="EY59" s="1947"/>
      <c r="EZ59" s="1947"/>
      <c r="FA59" s="1947"/>
      <c r="FB59" s="1947"/>
      <c r="FC59" s="1947"/>
      <c r="FD59" s="1947"/>
      <c r="FE59" s="1947"/>
      <c r="FF59" s="1947"/>
      <c r="FG59" s="1947"/>
      <c r="FH59" s="1947"/>
      <c r="FI59" s="1947"/>
      <c r="FJ59" s="1947"/>
      <c r="FK59" s="1947"/>
      <c r="FL59" s="1947"/>
      <c r="FM59" s="1947"/>
      <c r="FN59" s="1947"/>
      <c r="FO59" s="1947"/>
      <c r="FP59" s="1947"/>
      <c r="FQ59" s="1947"/>
      <c r="FR59" s="1947"/>
      <c r="FS59" s="1947"/>
      <c r="FT59" s="1947"/>
      <c r="FU59" s="1947"/>
      <c r="FV59" s="1947"/>
      <c r="FW59" s="1947"/>
      <c r="FX59" s="1947"/>
      <c r="FY59" s="1947"/>
      <c r="FZ59" s="1947"/>
      <c r="GA59" s="1947"/>
      <c r="GB59" s="1947"/>
      <c r="GC59" s="1947"/>
      <c r="GD59" s="1947"/>
      <c r="GE59" s="1947"/>
      <c r="GF59" s="1947"/>
      <c r="GG59" s="1947"/>
      <c r="GH59" s="1947"/>
      <c r="GI59" s="1947"/>
      <c r="GJ59" s="1947"/>
      <c r="GK59" s="1947"/>
      <c r="GL59" s="1947"/>
      <c r="GM59" s="1947"/>
      <c r="GN59" s="1947"/>
      <c r="GO59" s="1947"/>
      <c r="GP59" s="1947"/>
      <c r="GQ59" s="1947"/>
      <c r="GR59" s="1947"/>
      <c r="GS59" s="1947"/>
      <c r="GT59" s="1947"/>
      <c r="GU59" s="1947"/>
      <c r="GV59" s="1947"/>
      <c r="GW59" s="1947"/>
      <c r="GX59" s="1947"/>
      <c r="GY59" s="1947"/>
      <c r="GZ59" s="1947"/>
      <c r="HA59" s="1947"/>
      <c r="HB59" s="1947"/>
      <c r="HC59" s="1947"/>
      <c r="HD59" s="1947"/>
      <c r="HE59" s="1947"/>
      <c r="HF59" s="1947"/>
      <c r="HG59" s="1947"/>
      <c r="HH59" s="1947"/>
      <c r="HI59" s="1947"/>
      <c r="HJ59" s="1947"/>
      <c r="HK59" s="1947"/>
      <c r="HL59" s="1947"/>
      <c r="HM59" s="1947"/>
      <c r="HN59" s="1947"/>
      <c r="HO59" s="1947"/>
      <c r="HP59" s="1947"/>
      <c r="HQ59" s="1947"/>
      <c r="HR59" s="1947"/>
      <c r="HS59" s="1947"/>
      <c r="HT59" s="1947"/>
      <c r="HU59" s="1947"/>
      <c r="HV59" s="1947"/>
      <c r="HW59" s="1947"/>
      <c r="HX59" s="1947"/>
      <c r="HY59" s="1947"/>
      <c r="HZ59" s="1947"/>
      <c r="IA59" s="1947"/>
      <c r="IB59" s="1947"/>
      <c r="IC59" s="1947"/>
      <c r="ID59" s="1947"/>
      <c r="IE59" s="1947"/>
      <c r="IF59" s="1947"/>
      <c r="IG59" s="1947"/>
      <c r="IH59" s="1947"/>
      <c r="II59" s="1947"/>
      <c r="IJ59" s="1947"/>
      <c r="IK59" s="1947"/>
      <c r="IL59" s="1947"/>
      <c r="IM59" s="1947"/>
      <c r="IN59" s="1947"/>
      <c r="IO59" s="1947"/>
      <c r="IP59" s="1947"/>
      <c r="IQ59" s="1947"/>
    </row>
    <row r="60" spans="1:251" hidden="1">
      <c r="A60" s="1026"/>
      <c r="B60" s="1955"/>
      <c r="C60" s="1955"/>
      <c r="D60" s="2034"/>
      <c r="E60" s="1955"/>
      <c r="F60" s="1942">
        <f t="shared" si="15"/>
        <v>0</v>
      </c>
      <c r="G60" s="1026"/>
      <c r="H60" s="1942">
        <f t="shared" si="24"/>
        <v>0</v>
      </c>
      <c r="I60" s="1026"/>
      <c r="J60" s="1942">
        <f t="shared" si="6"/>
        <v>0</v>
      </c>
      <c r="K60" s="1026"/>
      <c r="L60" s="1942">
        <f t="shared" si="25"/>
        <v>0</v>
      </c>
      <c r="M60" s="1942">
        <f t="shared" si="26"/>
        <v>0</v>
      </c>
      <c r="N60" s="1942">
        <f t="shared" si="27"/>
        <v>0</v>
      </c>
      <c r="O60" s="1026"/>
      <c r="P60" s="1026"/>
      <c r="Q60" s="1942">
        <f t="shared" si="28"/>
        <v>0</v>
      </c>
      <c r="R60" s="1942">
        <f t="shared" si="10"/>
        <v>0</v>
      </c>
      <c r="S60" s="1942">
        <f t="shared" si="29"/>
        <v>0</v>
      </c>
      <c r="T60" s="1942">
        <f t="shared" si="30"/>
        <v>0</v>
      </c>
      <c r="U60" s="1942">
        <f t="shared" si="31"/>
        <v>0</v>
      </c>
      <c r="V60" s="3034">
        <f t="shared" si="2"/>
        <v>0</v>
      </c>
      <c r="W60" s="1942"/>
      <c r="X60" s="1923">
        <v>0.01</v>
      </c>
      <c r="Y60" s="1947"/>
      <c r="Z60" s="1947"/>
      <c r="AA60" s="1947"/>
      <c r="AB60" s="1947"/>
      <c r="AC60" s="1947"/>
      <c r="AD60" s="1947"/>
      <c r="AE60" s="1947"/>
      <c r="AF60" s="1947"/>
      <c r="AG60" s="1947"/>
      <c r="AH60" s="1947"/>
      <c r="AI60" s="1947"/>
      <c r="AJ60" s="1947"/>
      <c r="AK60" s="1947"/>
      <c r="AL60" s="1947"/>
      <c r="AM60" s="1947"/>
      <c r="AN60" s="1947"/>
      <c r="AO60" s="1947"/>
      <c r="AP60" s="1947"/>
      <c r="AQ60" s="1947"/>
      <c r="AR60" s="1947"/>
      <c r="AS60" s="1947"/>
      <c r="AT60" s="1947"/>
      <c r="AU60" s="1947"/>
      <c r="AV60" s="1947"/>
      <c r="AW60" s="1947"/>
      <c r="AX60" s="1947"/>
      <c r="AY60" s="1947"/>
      <c r="AZ60" s="1947"/>
      <c r="BA60" s="1947"/>
      <c r="BB60" s="1947"/>
      <c r="BC60" s="1947"/>
      <c r="BD60" s="1947"/>
      <c r="BE60" s="1947"/>
      <c r="BF60" s="1947"/>
      <c r="BG60" s="1947"/>
      <c r="BH60" s="1947"/>
      <c r="BI60" s="1947"/>
      <c r="BJ60" s="1947"/>
      <c r="BK60" s="1947"/>
      <c r="BL60" s="1947"/>
      <c r="BM60" s="1947"/>
      <c r="BN60" s="1947"/>
      <c r="BO60" s="1947"/>
      <c r="BP60" s="1947"/>
      <c r="BQ60" s="1947"/>
      <c r="BR60" s="1947"/>
      <c r="BS60" s="1947"/>
      <c r="BT60" s="1947"/>
      <c r="BU60" s="1947"/>
      <c r="BV60" s="1947"/>
      <c r="BW60" s="1947"/>
      <c r="BX60" s="1947"/>
      <c r="BY60" s="1947"/>
      <c r="BZ60" s="1947"/>
      <c r="CA60" s="1947"/>
      <c r="CB60" s="1947"/>
      <c r="CC60" s="1947"/>
      <c r="CD60" s="1947"/>
      <c r="CE60" s="1947"/>
      <c r="CF60" s="1947"/>
      <c r="CG60" s="1947"/>
      <c r="CH60" s="1947"/>
      <c r="CI60" s="1947"/>
      <c r="CJ60" s="1947"/>
      <c r="CK60" s="1947"/>
      <c r="CL60" s="1947"/>
      <c r="CM60" s="1947"/>
      <c r="CN60" s="1947"/>
      <c r="CO60" s="1947"/>
      <c r="CP60" s="1947"/>
      <c r="CQ60" s="1947"/>
      <c r="CR60" s="1947"/>
      <c r="CS60" s="1947"/>
      <c r="CT60" s="1947"/>
      <c r="CU60" s="1947"/>
      <c r="CV60" s="1947"/>
      <c r="CW60" s="1947"/>
      <c r="CX60" s="1947"/>
      <c r="CY60" s="1947"/>
      <c r="CZ60" s="1947"/>
      <c r="DA60" s="1947"/>
      <c r="DB60" s="1947"/>
      <c r="DC60" s="1947"/>
      <c r="DD60" s="1947"/>
      <c r="DE60" s="1947"/>
      <c r="DF60" s="1947"/>
      <c r="DG60" s="1947"/>
      <c r="DH60" s="1947"/>
      <c r="DI60" s="1947"/>
      <c r="DJ60" s="1947"/>
      <c r="DK60" s="1947"/>
      <c r="DL60" s="1947"/>
      <c r="DM60" s="1947"/>
      <c r="DN60" s="1947"/>
      <c r="DO60" s="1947"/>
      <c r="DP60" s="1947"/>
      <c r="DQ60" s="1947"/>
      <c r="DR60" s="1947"/>
      <c r="DS60" s="1947"/>
      <c r="DT60" s="1947"/>
      <c r="DU60" s="1947"/>
      <c r="DV60" s="1947"/>
      <c r="DW60" s="1947"/>
      <c r="DX60" s="1947"/>
      <c r="DY60" s="1947"/>
      <c r="DZ60" s="1947"/>
      <c r="EA60" s="1947"/>
      <c r="EB60" s="1947"/>
      <c r="EC60" s="1947"/>
      <c r="ED60" s="1947"/>
      <c r="EE60" s="1947"/>
      <c r="EF60" s="1947"/>
      <c r="EG60" s="1947"/>
      <c r="EH60" s="1947"/>
      <c r="EI60" s="1947"/>
      <c r="EJ60" s="1947"/>
      <c r="EK60" s="1947"/>
      <c r="EL60" s="1947"/>
      <c r="EM60" s="1947"/>
      <c r="EN60" s="1947"/>
      <c r="EO60" s="1947"/>
      <c r="EP60" s="1947"/>
      <c r="EQ60" s="1947"/>
      <c r="ER60" s="1947"/>
      <c r="ES60" s="1947"/>
      <c r="ET60" s="1947"/>
      <c r="EU60" s="1947"/>
      <c r="EV60" s="1947"/>
      <c r="EW60" s="1947"/>
      <c r="EX60" s="1947"/>
      <c r="EY60" s="1947"/>
      <c r="EZ60" s="1947"/>
      <c r="FA60" s="1947"/>
      <c r="FB60" s="1947"/>
      <c r="FC60" s="1947"/>
      <c r="FD60" s="1947"/>
      <c r="FE60" s="1947"/>
      <c r="FF60" s="1947"/>
      <c r="FG60" s="1947"/>
      <c r="FH60" s="1947"/>
      <c r="FI60" s="1947"/>
      <c r="FJ60" s="1947"/>
      <c r="FK60" s="1947"/>
      <c r="FL60" s="1947"/>
      <c r="FM60" s="1947"/>
      <c r="FN60" s="1947"/>
      <c r="FO60" s="1947"/>
      <c r="FP60" s="1947"/>
      <c r="FQ60" s="1947"/>
      <c r="FR60" s="1947"/>
      <c r="FS60" s="1947"/>
      <c r="FT60" s="1947"/>
      <c r="FU60" s="1947"/>
      <c r="FV60" s="1947"/>
      <c r="FW60" s="1947"/>
      <c r="FX60" s="1947"/>
      <c r="FY60" s="1947"/>
      <c r="FZ60" s="1947"/>
      <c r="GA60" s="1947"/>
      <c r="GB60" s="1947"/>
      <c r="GC60" s="1947"/>
      <c r="GD60" s="1947"/>
      <c r="GE60" s="1947"/>
      <c r="GF60" s="1947"/>
      <c r="GG60" s="1947"/>
      <c r="GH60" s="1947"/>
      <c r="GI60" s="1947"/>
      <c r="GJ60" s="1947"/>
      <c r="GK60" s="1947"/>
      <c r="GL60" s="1947"/>
      <c r="GM60" s="1947"/>
      <c r="GN60" s="1947"/>
      <c r="GO60" s="1947"/>
      <c r="GP60" s="1947"/>
      <c r="GQ60" s="1947"/>
      <c r="GR60" s="1947"/>
      <c r="GS60" s="1947"/>
      <c r="GT60" s="1947"/>
      <c r="GU60" s="1947"/>
      <c r="GV60" s="1947"/>
      <c r="GW60" s="1947"/>
      <c r="GX60" s="1947"/>
      <c r="GY60" s="1947"/>
      <c r="GZ60" s="1947"/>
      <c r="HA60" s="1947"/>
      <c r="HB60" s="1947"/>
      <c r="HC60" s="1947"/>
      <c r="HD60" s="1947"/>
      <c r="HE60" s="1947"/>
      <c r="HF60" s="1947"/>
      <c r="HG60" s="1947"/>
      <c r="HH60" s="1947"/>
      <c r="HI60" s="1947"/>
      <c r="HJ60" s="1947"/>
      <c r="HK60" s="1947"/>
      <c r="HL60" s="1947"/>
      <c r="HM60" s="1947"/>
      <c r="HN60" s="1947"/>
      <c r="HO60" s="1947"/>
      <c r="HP60" s="1947"/>
      <c r="HQ60" s="1947"/>
      <c r="HR60" s="1947"/>
      <c r="HS60" s="1947"/>
      <c r="HT60" s="1947"/>
      <c r="HU60" s="1947"/>
      <c r="HV60" s="1947"/>
      <c r="HW60" s="1947"/>
      <c r="HX60" s="1947"/>
      <c r="HY60" s="1947"/>
      <c r="HZ60" s="1947"/>
      <c r="IA60" s="1947"/>
      <c r="IB60" s="1947"/>
      <c r="IC60" s="1947"/>
      <c r="ID60" s="1947"/>
      <c r="IE60" s="1947"/>
      <c r="IF60" s="1947"/>
      <c r="IG60" s="1947"/>
      <c r="IH60" s="1947"/>
      <c r="II60" s="1947"/>
      <c r="IJ60" s="1947"/>
      <c r="IK60" s="1947"/>
      <c r="IL60" s="1947"/>
      <c r="IM60" s="1947"/>
      <c r="IN60" s="1947"/>
      <c r="IO60" s="1947"/>
      <c r="IP60" s="1947"/>
      <c r="IQ60" s="1947"/>
    </row>
    <row r="61" spans="1:251" hidden="1">
      <c r="A61" s="1026"/>
      <c r="B61" s="1955"/>
      <c r="C61" s="1955"/>
      <c r="D61" s="2034"/>
      <c r="E61" s="1955"/>
      <c r="F61" s="1942">
        <f t="shared" si="15"/>
        <v>0</v>
      </c>
      <c r="G61" s="1026"/>
      <c r="H61" s="1942">
        <f t="shared" si="24"/>
        <v>0</v>
      </c>
      <c r="I61" s="1026"/>
      <c r="J61" s="1942">
        <f t="shared" si="6"/>
        <v>0</v>
      </c>
      <c r="K61" s="1026"/>
      <c r="L61" s="1942">
        <f t="shared" si="25"/>
        <v>0</v>
      </c>
      <c r="M61" s="1942">
        <f t="shared" si="26"/>
        <v>0</v>
      </c>
      <c r="N61" s="1942">
        <f t="shared" si="27"/>
        <v>0</v>
      </c>
      <c r="O61" s="1026"/>
      <c r="P61" s="1026"/>
      <c r="Q61" s="1942">
        <f t="shared" si="28"/>
        <v>0</v>
      </c>
      <c r="R61" s="1942">
        <f t="shared" si="10"/>
        <v>0</v>
      </c>
      <c r="S61" s="1942">
        <f t="shared" si="29"/>
        <v>0</v>
      </c>
      <c r="T61" s="1942">
        <f t="shared" si="30"/>
        <v>0</v>
      </c>
      <c r="U61" s="1942">
        <f t="shared" si="31"/>
        <v>0</v>
      </c>
      <c r="V61" s="3034">
        <f t="shared" si="2"/>
        <v>0</v>
      </c>
      <c r="W61" s="1942"/>
      <c r="X61" s="1923">
        <v>0.01</v>
      </c>
      <c r="Y61" s="1947"/>
      <c r="Z61" s="1947"/>
      <c r="AA61" s="1947"/>
      <c r="AB61" s="1947"/>
      <c r="AC61" s="1947"/>
      <c r="AD61" s="1947"/>
      <c r="AE61" s="1947"/>
      <c r="AF61" s="1947"/>
      <c r="AG61" s="1947"/>
      <c r="AH61" s="1947"/>
      <c r="AI61" s="1947"/>
      <c r="AJ61" s="1947"/>
      <c r="AK61" s="1947"/>
      <c r="AL61" s="1947"/>
      <c r="AM61" s="1947"/>
      <c r="AN61" s="1947"/>
      <c r="AO61" s="1947"/>
      <c r="AP61" s="1947"/>
      <c r="AQ61" s="1947"/>
      <c r="AR61" s="1947"/>
      <c r="AS61" s="1947"/>
      <c r="AT61" s="1947"/>
      <c r="AU61" s="1947"/>
      <c r="AV61" s="1947"/>
      <c r="AW61" s="1947"/>
      <c r="AX61" s="1947"/>
      <c r="AY61" s="1947"/>
      <c r="AZ61" s="1947"/>
      <c r="BA61" s="1947"/>
      <c r="BB61" s="1947"/>
      <c r="BC61" s="1947"/>
      <c r="BD61" s="1947"/>
      <c r="BE61" s="1947"/>
      <c r="BF61" s="1947"/>
      <c r="BG61" s="1947"/>
      <c r="BH61" s="1947"/>
      <c r="BI61" s="1947"/>
      <c r="BJ61" s="1947"/>
      <c r="BK61" s="1947"/>
      <c r="BL61" s="1947"/>
      <c r="BM61" s="1947"/>
      <c r="BN61" s="1947"/>
      <c r="BO61" s="1947"/>
      <c r="BP61" s="1947"/>
      <c r="BQ61" s="1947"/>
      <c r="BR61" s="1947"/>
      <c r="BS61" s="1947"/>
      <c r="BT61" s="1947"/>
      <c r="BU61" s="1947"/>
      <c r="BV61" s="1947"/>
      <c r="BW61" s="1947"/>
      <c r="BX61" s="1947"/>
      <c r="BY61" s="1947"/>
      <c r="BZ61" s="1947"/>
      <c r="CA61" s="1947"/>
      <c r="CB61" s="1947"/>
      <c r="CC61" s="1947"/>
      <c r="CD61" s="1947"/>
      <c r="CE61" s="1947"/>
      <c r="CF61" s="1947"/>
      <c r="CG61" s="1947"/>
      <c r="CH61" s="1947"/>
      <c r="CI61" s="1947"/>
      <c r="CJ61" s="1947"/>
      <c r="CK61" s="1947"/>
      <c r="CL61" s="1947"/>
      <c r="CM61" s="1947"/>
      <c r="CN61" s="1947"/>
      <c r="CO61" s="1947"/>
      <c r="CP61" s="1947"/>
      <c r="CQ61" s="1947"/>
      <c r="CR61" s="1947"/>
      <c r="CS61" s="1947"/>
      <c r="CT61" s="1947"/>
      <c r="CU61" s="1947"/>
      <c r="CV61" s="1947"/>
      <c r="CW61" s="1947"/>
      <c r="CX61" s="1947"/>
      <c r="CY61" s="1947"/>
      <c r="CZ61" s="1947"/>
      <c r="DA61" s="1947"/>
      <c r="DB61" s="1947"/>
      <c r="DC61" s="1947"/>
      <c r="DD61" s="1947"/>
      <c r="DE61" s="1947"/>
      <c r="DF61" s="1947"/>
      <c r="DG61" s="1947"/>
      <c r="DH61" s="1947"/>
      <c r="DI61" s="1947"/>
      <c r="DJ61" s="1947"/>
      <c r="DK61" s="1947"/>
      <c r="DL61" s="1947"/>
      <c r="DM61" s="1947"/>
      <c r="DN61" s="1947"/>
      <c r="DO61" s="1947"/>
      <c r="DP61" s="1947"/>
      <c r="DQ61" s="1947"/>
      <c r="DR61" s="1947"/>
      <c r="DS61" s="1947"/>
      <c r="DT61" s="1947"/>
      <c r="DU61" s="1947"/>
      <c r="DV61" s="1947"/>
      <c r="DW61" s="1947"/>
      <c r="DX61" s="1947"/>
      <c r="DY61" s="1947"/>
      <c r="DZ61" s="1947"/>
      <c r="EA61" s="1947"/>
      <c r="EB61" s="1947"/>
      <c r="EC61" s="1947"/>
      <c r="ED61" s="1947"/>
      <c r="EE61" s="1947"/>
      <c r="EF61" s="1947"/>
      <c r="EG61" s="1947"/>
      <c r="EH61" s="1947"/>
      <c r="EI61" s="1947"/>
      <c r="EJ61" s="1947"/>
      <c r="EK61" s="1947"/>
      <c r="EL61" s="1947"/>
      <c r="EM61" s="1947"/>
      <c r="EN61" s="1947"/>
      <c r="EO61" s="1947"/>
      <c r="EP61" s="1947"/>
      <c r="EQ61" s="1947"/>
      <c r="ER61" s="1947"/>
      <c r="ES61" s="1947"/>
      <c r="ET61" s="1947"/>
      <c r="EU61" s="1947"/>
      <c r="EV61" s="1947"/>
      <c r="EW61" s="1947"/>
      <c r="EX61" s="1947"/>
      <c r="EY61" s="1947"/>
      <c r="EZ61" s="1947"/>
      <c r="FA61" s="1947"/>
      <c r="FB61" s="1947"/>
      <c r="FC61" s="1947"/>
      <c r="FD61" s="1947"/>
      <c r="FE61" s="1947"/>
      <c r="FF61" s="1947"/>
      <c r="FG61" s="1947"/>
      <c r="FH61" s="1947"/>
      <c r="FI61" s="1947"/>
      <c r="FJ61" s="1947"/>
      <c r="FK61" s="1947"/>
      <c r="FL61" s="1947"/>
      <c r="FM61" s="1947"/>
      <c r="FN61" s="1947"/>
      <c r="FO61" s="1947"/>
      <c r="FP61" s="1947"/>
      <c r="FQ61" s="1947"/>
      <c r="FR61" s="1947"/>
      <c r="FS61" s="1947"/>
      <c r="FT61" s="1947"/>
      <c r="FU61" s="1947"/>
      <c r="FV61" s="1947"/>
      <c r="FW61" s="1947"/>
      <c r="FX61" s="1947"/>
      <c r="FY61" s="1947"/>
      <c r="FZ61" s="1947"/>
      <c r="GA61" s="1947"/>
      <c r="GB61" s="1947"/>
      <c r="GC61" s="1947"/>
      <c r="GD61" s="1947"/>
      <c r="GE61" s="1947"/>
      <c r="GF61" s="1947"/>
      <c r="GG61" s="1947"/>
      <c r="GH61" s="1947"/>
      <c r="GI61" s="1947"/>
      <c r="GJ61" s="1947"/>
      <c r="GK61" s="1947"/>
      <c r="GL61" s="1947"/>
      <c r="GM61" s="1947"/>
      <c r="GN61" s="1947"/>
      <c r="GO61" s="1947"/>
      <c r="GP61" s="1947"/>
      <c r="GQ61" s="1947"/>
      <c r="GR61" s="1947"/>
      <c r="GS61" s="1947"/>
      <c r="GT61" s="1947"/>
      <c r="GU61" s="1947"/>
      <c r="GV61" s="1947"/>
      <c r="GW61" s="1947"/>
      <c r="GX61" s="1947"/>
      <c r="GY61" s="1947"/>
      <c r="GZ61" s="1947"/>
      <c r="HA61" s="1947"/>
      <c r="HB61" s="1947"/>
      <c r="HC61" s="1947"/>
      <c r="HD61" s="1947"/>
      <c r="HE61" s="1947"/>
      <c r="HF61" s="1947"/>
      <c r="HG61" s="1947"/>
      <c r="HH61" s="1947"/>
      <c r="HI61" s="1947"/>
      <c r="HJ61" s="1947"/>
      <c r="HK61" s="1947"/>
      <c r="HL61" s="1947"/>
      <c r="HM61" s="1947"/>
      <c r="HN61" s="1947"/>
      <c r="HO61" s="1947"/>
      <c r="HP61" s="1947"/>
      <c r="HQ61" s="1947"/>
      <c r="HR61" s="1947"/>
      <c r="HS61" s="1947"/>
      <c r="HT61" s="1947"/>
      <c r="HU61" s="1947"/>
      <c r="HV61" s="1947"/>
      <c r="HW61" s="1947"/>
      <c r="HX61" s="1947"/>
      <c r="HY61" s="1947"/>
      <c r="HZ61" s="1947"/>
      <c r="IA61" s="1947"/>
      <c r="IB61" s="1947"/>
      <c r="IC61" s="1947"/>
      <c r="ID61" s="1947"/>
      <c r="IE61" s="1947"/>
      <c r="IF61" s="1947"/>
      <c r="IG61" s="1947"/>
      <c r="IH61" s="1947"/>
      <c r="II61" s="1947"/>
      <c r="IJ61" s="1947"/>
      <c r="IK61" s="1947"/>
      <c r="IL61" s="1947"/>
      <c r="IM61" s="1947"/>
      <c r="IN61" s="1947"/>
      <c r="IO61" s="1947"/>
      <c r="IP61" s="1947"/>
      <c r="IQ61" s="1947"/>
    </row>
    <row r="62" spans="1:251" hidden="1">
      <c r="A62" s="1026"/>
      <c r="B62" s="1955"/>
      <c r="C62" s="1955"/>
      <c r="D62" s="2034"/>
      <c r="E62" s="1955"/>
      <c r="F62" s="1942">
        <f t="shared" si="15"/>
        <v>0</v>
      </c>
      <c r="G62" s="1026"/>
      <c r="H62" s="1942">
        <f t="shared" si="24"/>
        <v>0</v>
      </c>
      <c r="I62" s="1026"/>
      <c r="J62" s="1942">
        <f t="shared" si="6"/>
        <v>0</v>
      </c>
      <c r="K62" s="1026"/>
      <c r="L62" s="1942">
        <f t="shared" si="25"/>
        <v>0</v>
      </c>
      <c r="M62" s="1942">
        <f t="shared" si="26"/>
        <v>0</v>
      </c>
      <c r="N62" s="1942">
        <f t="shared" si="27"/>
        <v>0</v>
      </c>
      <c r="O62" s="1026"/>
      <c r="P62" s="1026"/>
      <c r="Q62" s="1942">
        <f t="shared" si="28"/>
        <v>0</v>
      </c>
      <c r="R62" s="1942">
        <f t="shared" si="10"/>
        <v>0</v>
      </c>
      <c r="S62" s="1942">
        <f t="shared" si="29"/>
        <v>0</v>
      </c>
      <c r="T62" s="1942">
        <f t="shared" si="30"/>
        <v>0</v>
      </c>
      <c r="U62" s="1942">
        <f t="shared" si="31"/>
        <v>0</v>
      </c>
      <c r="V62" s="3034">
        <f t="shared" si="2"/>
        <v>0</v>
      </c>
      <c r="W62" s="1942"/>
      <c r="X62" s="1923">
        <v>0.01</v>
      </c>
      <c r="Y62" s="1947"/>
      <c r="Z62" s="1947"/>
      <c r="AA62" s="1947"/>
      <c r="AB62" s="1947"/>
      <c r="AC62" s="1947"/>
      <c r="AD62" s="1947"/>
      <c r="AE62" s="1947"/>
      <c r="AF62" s="1947"/>
      <c r="AG62" s="1947"/>
      <c r="AH62" s="1947"/>
      <c r="AI62" s="1947"/>
      <c r="AJ62" s="1947"/>
      <c r="AK62" s="1947"/>
      <c r="AL62" s="1947"/>
      <c r="AM62" s="1947"/>
      <c r="AN62" s="1947"/>
      <c r="AO62" s="1947"/>
      <c r="AP62" s="1947"/>
      <c r="AQ62" s="1947"/>
      <c r="AR62" s="1947"/>
      <c r="AS62" s="1947"/>
      <c r="AT62" s="1947"/>
      <c r="AU62" s="1947"/>
      <c r="AV62" s="1947"/>
      <c r="AW62" s="1947"/>
      <c r="AX62" s="1947"/>
      <c r="AY62" s="1947"/>
      <c r="AZ62" s="1947"/>
      <c r="BA62" s="1947"/>
      <c r="BB62" s="1947"/>
      <c r="BC62" s="1947"/>
      <c r="BD62" s="1947"/>
      <c r="BE62" s="1947"/>
      <c r="BF62" s="1947"/>
      <c r="BG62" s="1947"/>
      <c r="BH62" s="1947"/>
      <c r="BI62" s="1947"/>
      <c r="BJ62" s="1947"/>
      <c r="BK62" s="1947"/>
      <c r="BL62" s="1947"/>
      <c r="BM62" s="1947"/>
      <c r="BN62" s="1947"/>
      <c r="BO62" s="1947"/>
      <c r="BP62" s="1947"/>
      <c r="BQ62" s="1947"/>
      <c r="BR62" s="1947"/>
      <c r="BS62" s="1947"/>
      <c r="BT62" s="1947"/>
      <c r="BU62" s="1947"/>
      <c r="BV62" s="1947"/>
      <c r="BW62" s="1947"/>
      <c r="BX62" s="1947"/>
      <c r="BY62" s="1947"/>
      <c r="BZ62" s="1947"/>
      <c r="CA62" s="1947"/>
      <c r="CB62" s="1947"/>
      <c r="CC62" s="1947"/>
      <c r="CD62" s="1947"/>
      <c r="CE62" s="1947"/>
      <c r="CF62" s="1947"/>
      <c r="CG62" s="1947"/>
      <c r="CH62" s="1947"/>
      <c r="CI62" s="1947"/>
      <c r="CJ62" s="1947"/>
      <c r="CK62" s="1947"/>
      <c r="CL62" s="1947"/>
      <c r="CM62" s="1947"/>
      <c r="CN62" s="1947"/>
      <c r="CO62" s="1947"/>
      <c r="CP62" s="1947"/>
      <c r="CQ62" s="1947"/>
      <c r="CR62" s="1947"/>
      <c r="CS62" s="1947"/>
      <c r="CT62" s="1947"/>
      <c r="CU62" s="1947"/>
      <c r="CV62" s="1947"/>
      <c r="CW62" s="1947"/>
      <c r="CX62" s="1947"/>
      <c r="CY62" s="1947"/>
      <c r="CZ62" s="1947"/>
      <c r="DA62" s="1947"/>
      <c r="DB62" s="1947"/>
      <c r="DC62" s="1947"/>
      <c r="DD62" s="1947"/>
      <c r="DE62" s="1947"/>
      <c r="DF62" s="1947"/>
      <c r="DG62" s="1947"/>
      <c r="DH62" s="1947"/>
      <c r="DI62" s="1947"/>
      <c r="DJ62" s="1947"/>
      <c r="DK62" s="1947"/>
      <c r="DL62" s="1947"/>
      <c r="DM62" s="1947"/>
      <c r="DN62" s="1947"/>
      <c r="DO62" s="1947"/>
      <c r="DP62" s="1947"/>
      <c r="DQ62" s="1947"/>
      <c r="DR62" s="1947"/>
      <c r="DS62" s="1947"/>
      <c r="DT62" s="1947"/>
      <c r="DU62" s="1947"/>
      <c r="DV62" s="1947"/>
      <c r="DW62" s="1947"/>
      <c r="DX62" s="1947"/>
      <c r="DY62" s="1947"/>
      <c r="DZ62" s="1947"/>
      <c r="EA62" s="1947"/>
      <c r="EB62" s="1947"/>
      <c r="EC62" s="1947"/>
      <c r="ED62" s="1947"/>
      <c r="EE62" s="1947"/>
      <c r="EF62" s="1947"/>
      <c r="EG62" s="1947"/>
      <c r="EH62" s="1947"/>
      <c r="EI62" s="1947"/>
      <c r="EJ62" s="1947"/>
      <c r="EK62" s="1947"/>
      <c r="EL62" s="1947"/>
      <c r="EM62" s="1947"/>
      <c r="EN62" s="1947"/>
      <c r="EO62" s="1947"/>
      <c r="EP62" s="1947"/>
      <c r="EQ62" s="1947"/>
      <c r="ER62" s="1947"/>
      <c r="ES62" s="1947"/>
      <c r="ET62" s="1947"/>
      <c r="EU62" s="1947"/>
      <c r="EV62" s="1947"/>
      <c r="EW62" s="1947"/>
      <c r="EX62" s="1947"/>
      <c r="EY62" s="1947"/>
      <c r="EZ62" s="1947"/>
      <c r="FA62" s="1947"/>
      <c r="FB62" s="1947"/>
      <c r="FC62" s="1947"/>
      <c r="FD62" s="1947"/>
      <c r="FE62" s="1947"/>
      <c r="FF62" s="1947"/>
      <c r="FG62" s="1947"/>
      <c r="FH62" s="1947"/>
      <c r="FI62" s="1947"/>
      <c r="FJ62" s="1947"/>
      <c r="FK62" s="1947"/>
      <c r="FL62" s="1947"/>
      <c r="FM62" s="1947"/>
      <c r="FN62" s="1947"/>
      <c r="FO62" s="1947"/>
      <c r="FP62" s="1947"/>
      <c r="FQ62" s="1947"/>
      <c r="FR62" s="1947"/>
      <c r="FS62" s="1947"/>
      <c r="FT62" s="1947"/>
      <c r="FU62" s="1947"/>
      <c r="FV62" s="1947"/>
      <c r="FW62" s="1947"/>
      <c r="FX62" s="1947"/>
      <c r="FY62" s="1947"/>
      <c r="FZ62" s="1947"/>
      <c r="GA62" s="1947"/>
      <c r="GB62" s="1947"/>
      <c r="GC62" s="1947"/>
      <c r="GD62" s="1947"/>
      <c r="GE62" s="1947"/>
      <c r="GF62" s="1947"/>
      <c r="GG62" s="1947"/>
      <c r="GH62" s="1947"/>
      <c r="GI62" s="1947"/>
      <c r="GJ62" s="1947"/>
      <c r="GK62" s="1947"/>
      <c r="GL62" s="1947"/>
      <c r="GM62" s="1947"/>
      <c r="GN62" s="1947"/>
      <c r="GO62" s="1947"/>
      <c r="GP62" s="1947"/>
      <c r="GQ62" s="1947"/>
      <c r="GR62" s="1947"/>
      <c r="GS62" s="1947"/>
      <c r="GT62" s="1947"/>
      <c r="GU62" s="1947"/>
      <c r="GV62" s="1947"/>
      <c r="GW62" s="1947"/>
      <c r="GX62" s="1947"/>
      <c r="GY62" s="1947"/>
      <c r="GZ62" s="1947"/>
      <c r="HA62" s="1947"/>
      <c r="HB62" s="1947"/>
      <c r="HC62" s="1947"/>
      <c r="HD62" s="1947"/>
      <c r="HE62" s="1947"/>
      <c r="HF62" s="1947"/>
      <c r="HG62" s="1947"/>
      <c r="HH62" s="1947"/>
      <c r="HI62" s="1947"/>
      <c r="HJ62" s="1947"/>
      <c r="HK62" s="1947"/>
      <c r="HL62" s="1947"/>
      <c r="HM62" s="1947"/>
      <c r="HN62" s="1947"/>
      <c r="HO62" s="1947"/>
      <c r="HP62" s="1947"/>
      <c r="HQ62" s="1947"/>
      <c r="HR62" s="1947"/>
      <c r="HS62" s="1947"/>
      <c r="HT62" s="1947"/>
      <c r="HU62" s="1947"/>
      <c r="HV62" s="1947"/>
      <c r="HW62" s="1947"/>
      <c r="HX62" s="1947"/>
      <c r="HY62" s="1947"/>
      <c r="HZ62" s="1947"/>
      <c r="IA62" s="1947"/>
      <c r="IB62" s="1947"/>
      <c r="IC62" s="1947"/>
      <c r="ID62" s="1947"/>
      <c r="IE62" s="1947"/>
      <c r="IF62" s="1947"/>
      <c r="IG62" s="1947"/>
      <c r="IH62" s="1947"/>
      <c r="II62" s="1947"/>
      <c r="IJ62" s="1947"/>
      <c r="IK62" s="1947"/>
      <c r="IL62" s="1947"/>
      <c r="IM62" s="1947"/>
      <c r="IN62" s="1947"/>
      <c r="IO62" s="1947"/>
      <c r="IP62" s="1947"/>
      <c r="IQ62" s="1947"/>
    </row>
    <row r="63" spans="1:251" hidden="1">
      <c r="A63" s="1026"/>
      <c r="B63" s="1955"/>
      <c r="C63" s="1955"/>
      <c r="D63" s="2034"/>
      <c r="E63" s="1955"/>
      <c r="F63" s="1942">
        <f t="shared" si="15"/>
        <v>0</v>
      </c>
      <c r="G63" s="1026"/>
      <c r="H63" s="1942">
        <f t="shared" si="24"/>
        <v>0</v>
      </c>
      <c r="I63" s="1026"/>
      <c r="J63" s="1942">
        <f t="shared" si="6"/>
        <v>0</v>
      </c>
      <c r="K63" s="1026"/>
      <c r="L63" s="1942">
        <f t="shared" si="25"/>
        <v>0</v>
      </c>
      <c r="M63" s="1942">
        <f t="shared" si="26"/>
        <v>0</v>
      </c>
      <c r="N63" s="1942">
        <f t="shared" si="27"/>
        <v>0</v>
      </c>
      <c r="O63" s="1026"/>
      <c r="P63" s="1026"/>
      <c r="Q63" s="1942">
        <f t="shared" si="28"/>
        <v>0</v>
      </c>
      <c r="R63" s="1942">
        <f t="shared" si="10"/>
        <v>0</v>
      </c>
      <c r="S63" s="1942">
        <f t="shared" si="29"/>
        <v>0</v>
      </c>
      <c r="T63" s="1942">
        <f t="shared" si="30"/>
        <v>0</v>
      </c>
      <c r="U63" s="1942">
        <f t="shared" si="31"/>
        <v>0</v>
      </c>
      <c r="V63" s="3034">
        <f t="shared" si="2"/>
        <v>0</v>
      </c>
      <c r="W63" s="1942"/>
      <c r="X63" s="1923">
        <v>0.01</v>
      </c>
      <c r="Y63" s="1947"/>
      <c r="Z63" s="1947"/>
      <c r="AA63" s="1947"/>
      <c r="AB63" s="1947"/>
      <c r="AC63" s="1947"/>
      <c r="AD63" s="1947"/>
      <c r="AE63" s="1947"/>
      <c r="AF63" s="1947"/>
      <c r="AG63" s="1947"/>
      <c r="AH63" s="1947"/>
      <c r="AI63" s="1947"/>
      <c r="AJ63" s="1947"/>
      <c r="AK63" s="1947"/>
      <c r="AL63" s="1947"/>
      <c r="AM63" s="1947"/>
      <c r="AN63" s="1947"/>
      <c r="AO63" s="1947"/>
      <c r="AP63" s="1947"/>
      <c r="AQ63" s="1947"/>
      <c r="AR63" s="1947"/>
      <c r="AS63" s="1947"/>
      <c r="AT63" s="1947"/>
      <c r="AU63" s="1947"/>
      <c r="AV63" s="1947"/>
      <c r="AW63" s="1947"/>
      <c r="AX63" s="1947"/>
      <c r="AY63" s="1947"/>
      <c r="AZ63" s="1947"/>
      <c r="BA63" s="1947"/>
      <c r="BB63" s="1947"/>
      <c r="BC63" s="1947"/>
      <c r="BD63" s="1947"/>
      <c r="BE63" s="1947"/>
      <c r="BF63" s="1947"/>
      <c r="BG63" s="1947"/>
      <c r="BH63" s="1947"/>
      <c r="BI63" s="1947"/>
      <c r="BJ63" s="1947"/>
      <c r="BK63" s="1947"/>
      <c r="BL63" s="1947"/>
      <c r="BM63" s="1947"/>
      <c r="BN63" s="1947"/>
      <c r="BO63" s="1947"/>
      <c r="BP63" s="1947"/>
      <c r="BQ63" s="1947"/>
      <c r="BR63" s="1947"/>
      <c r="BS63" s="1947"/>
      <c r="BT63" s="1947"/>
      <c r="BU63" s="1947"/>
      <c r="BV63" s="1947"/>
      <c r="BW63" s="1947"/>
      <c r="BX63" s="1947"/>
      <c r="BY63" s="1947"/>
      <c r="BZ63" s="1947"/>
      <c r="CA63" s="1947"/>
      <c r="CB63" s="1947"/>
      <c r="CC63" s="1947"/>
      <c r="CD63" s="1947"/>
      <c r="CE63" s="1947"/>
      <c r="CF63" s="1947"/>
      <c r="CG63" s="1947"/>
      <c r="CH63" s="1947"/>
      <c r="CI63" s="1947"/>
      <c r="CJ63" s="1947"/>
      <c r="CK63" s="1947"/>
      <c r="CL63" s="1947"/>
      <c r="CM63" s="1947"/>
      <c r="CN63" s="1947"/>
      <c r="CO63" s="1947"/>
      <c r="CP63" s="1947"/>
      <c r="CQ63" s="1947"/>
      <c r="CR63" s="1947"/>
      <c r="CS63" s="1947"/>
      <c r="CT63" s="1947"/>
      <c r="CU63" s="1947"/>
      <c r="CV63" s="1947"/>
      <c r="CW63" s="1947"/>
      <c r="CX63" s="1947"/>
      <c r="CY63" s="1947"/>
      <c r="CZ63" s="1947"/>
      <c r="DA63" s="1947"/>
      <c r="DB63" s="1947"/>
      <c r="DC63" s="1947"/>
      <c r="DD63" s="1947"/>
      <c r="DE63" s="1947"/>
      <c r="DF63" s="1947"/>
      <c r="DG63" s="1947"/>
      <c r="DH63" s="1947"/>
      <c r="DI63" s="1947"/>
      <c r="DJ63" s="1947"/>
      <c r="DK63" s="1947"/>
      <c r="DL63" s="1947"/>
      <c r="DM63" s="1947"/>
      <c r="DN63" s="1947"/>
      <c r="DO63" s="1947"/>
      <c r="DP63" s="1947"/>
      <c r="DQ63" s="1947"/>
      <c r="DR63" s="1947"/>
      <c r="DS63" s="1947"/>
      <c r="DT63" s="1947"/>
      <c r="DU63" s="1947"/>
      <c r="DV63" s="1947"/>
      <c r="DW63" s="1947"/>
      <c r="DX63" s="1947"/>
      <c r="DY63" s="1947"/>
      <c r="DZ63" s="1947"/>
      <c r="EA63" s="1947"/>
      <c r="EB63" s="1947"/>
      <c r="EC63" s="1947"/>
      <c r="ED63" s="1947"/>
      <c r="EE63" s="1947"/>
      <c r="EF63" s="1947"/>
      <c r="EG63" s="1947"/>
      <c r="EH63" s="1947"/>
      <c r="EI63" s="1947"/>
      <c r="EJ63" s="1947"/>
      <c r="EK63" s="1947"/>
      <c r="EL63" s="1947"/>
      <c r="EM63" s="1947"/>
      <c r="EN63" s="1947"/>
      <c r="EO63" s="1947"/>
      <c r="EP63" s="1947"/>
      <c r="EQ63" s="1947"/>
      <c r="ER63" s="1947"/>
      <c r="ES63" s="1947"/>
      <c r="ET63" s="1947"/>
      <c r="EU63" s="1947"/>
      <c r="EV63" s="1947"/>
      <c r="EW63" s="1947"/>
      <c r="EX63" s="1947"/>
      <c r="EY63" s="1947"/>
      <c r="EZ63" s="1947"/>
      <c r="FA63" s="1947"/>
      <c r="FB63" s="1947"/>
      <c r="FC63" s="1947"/>
      <c r="FD63" s="1947"/>
      <c r="FE63" s="1947"/>
      <c r="FF63" s="1947"/>
      <c r="FG63" s="1947"/>
      <c r="FH63" s="1947"/>
      <c r="FI63" s="1947"/>
      <c r="FJ63" s="1947"/>
      <c r="FK63" s="1947"/>
      <c r="FL63" s="1947"/>
      <c r="FM63" s="1947"/>
      <c r="FN63" s="1947"/>
      <c r="FO63" s="1947"/>
      <c r="FP63" s="1947"/>
      <c r="FQ63" s="1947"/>
      <c r="FR63" s="1947"/>
      <c r="FS63" s="1947"/>
      <c r="FT63" s="1947"/>
      <c r="FU63" s="1947"/>
      <c r="FV63" s="1947"/>
      <c r="FW63" s="1947"/>
      <c r="FX63" s="1947"/>
      <c r="FY63" s="1947"/>
      <c r="FZ63" s="1947"/>
      <c r="GA63" s="1947"/>
      <c r="GB63" s="1947"/>
      <c r="GC63" s="1947"/>
      <c r="GD63" s="1947"/>
      <c r="GE63" s="1947"/>
      <c r="GF63" s="1947"/>
      <c r="GG63" s="1947"/>
      <c r="GH63" s="1947"/>
      <c r="GI63" s="1947"/>
      <c r="GJ63" s="1947"/>
      <c r="GK63" s="1947"/>
      <c r="GL63" s="1947"/>
      <c r="GM63" s="1947"/>
      <c r="GN63" s="1947"/>
      <c r="GO63" s="1947"/>
      <c r="GP63" s="1947"/>
      <c r="GQ63" s="1947"/>
      <c r="GR63" s="1947"/>
      <c r="GS63" s="1947"/>
      <c r="GT63" s="1947"/>
      <c r="GU63" s="1947"/>
      <c r="GV63" s="1947"/>
      <c r="GW63" s="1947"/>
      <c r="GX63" s="1947"/>
      <c r="GY63" s="1947"/>
      <c r="GZ63" s="1947"/>
      <c r="HA63" s="1947"/>
      <c r="HB63" s="1947"/>
      <c r="HC63" s="1947"/>
      <c r="HD63" s="1947"/>
      <c r="HE63" s="1947"/>
      <c r="HF63" s="1947"/>
      <c r="HG63" s="1947"/>
      <c r="HH63" s="1947"/>
      <c r="HI63" s="1947"/>
      <c r="HJ63" s="1947"/>
      <c r="HK63" s="1947"/>
      <c r="HL63" s="1947"/>
      <c r="HM63" s="1947"/>
      <c r="HN63" s="1947"/>
      <c r="HO63" s="1947"/>
      <c r="HP63" s="1947"/>
      <c r="HQ63" s="1947"/>
      <c r="HR63" s="1947"/>
      <c r="HS63" s="1947"/>
      <c r="HT63" s="1947"/>
      <c r="HU63" s="1947"/>
      <c r="HV63" s="1947"/>
      <c r="HW63" s="1947"/>
      <c r="HX63" s="1947"/>
      <c r="HY63" s="1947"/>
      <c r="HZ63" s="1947"/>
      <c r="IA63" s="1947"/>
      <c r="IB63" s="1947"/>
      <c r="IC63" s="1947"/>
      <c r="ID63" s="1947"/>
      <c r="IE63" s="1947"/>
      <c r="IF63" s="1947"/>
      <c r="IG63" s="1947"/>
      <c r="IH63" s="1947"/>
      <c r="II63" s="1947"/>
      <c r="IJ63" s="1947"/>
      <c r="IK63" s="1947"/>
      <c r="IL63" s="1947"/>
      <c r="IM63" s="1947"/>
      <c r="IN63" s="1947"/>
      <c r="IO63" s="1947"/>
      <c r="IP63" s="1947"/>
      <c r="IQ63" s="1947"/>
    </row>
    <row r="64" spans="1:251" ht="30" hidden="1">
      <c r="A64" s="1026"/>
      <c r="B64" s="1026" t="s">
        <v>525</v>
      </c>
      <c r="C64" s="1026"/>
      <c r="D64" s="2021">
        <f>SUM(D65:D100)</f>
        <v>0</v>
      </c>
      <c r="E64" s="1026"/>
      <c r="F64" s="1942">
        <f>SUM(F65:F100)</f>
        <v>0</v>
      </c>
      <c r="G64" s="1026"/>
      <c r="H64" s="1942">
        <f>SUM(H65:H100)</f>
        <v>0</v>
      </c>
      <c r="I64" s="1026"/>
      <c r="J64" s="1942">
        <f>SUM(J65:J100)</f>
        <v>0</v>
      </c>
      <c r="K64" s="1026"/>
      <c r="L64" s="1942">
        <f t="shared" ref="L64:U64" si="32">SUM(L65:L100)</f>
        <v>0</v>
      </c>
      <c r="M64" s="1942">
        <f t="shared" si="32"/>
        <v>0</v>
      </c>
      <c r="N64" s="1942">
        <f t="shared" si="32"/>
        <v>0</v>
      </c>
      <c r="O64" s="1942">
        <f t="shared" si="32"/>
        <v>0</v>
      </c>
      <c r="P64" s="1942">
        <f t="shared" si="32"/>
        <v>0</v>
      </c>
      <c r="Q64" s="1942">
        <f t="shared" si="32"/>
        <v>0</v>
      </c>
      <c r="R64" s="1942">
        <f t="shared" si="32"/>
        <v>0</v>
      </c>
      <c r="S64" s="1942">
        <f t="shared" si="32"/>
        <v>0</v>
      </c>
      <c r="T64" s="1942">
        <f t="shared" si="32"/>
        <v>0</v>
      </c>
      <c r="U64" s="1942">
        <f t="shared" si="32"/>
        <v>0</v>
      </c>
      <c r="V64" s="3034">
        <f t="shared" si="2"/>
        <v>0</v>
      </c>
      <c r="W64" s="3472"/>
      <c r="X64" s="1923">
        <v>0.01</v>
      </c>
      <c r="Y64" s="1943"/>
      <c r="Z64" s="1943"/>
      <c r="AA64" s="1943"/>
      <c r="AB64" s="1943"/>
      <c r="AC64" s="1943"/>
      <c r="AD64" s="1943"/>
      <c r="AE64" s="1943"/>
      <c r="AF64" s="1943"/>
      <c r="AG64" s="1943"/>
      <c r="AH64" s="1943"/>
      <c r="AI64" s="1943"/>
      <c r="AJ64" s="1943"/>
      <c r="AK64" s="1943"/>
      <c r="AL64" s="1943"/>
      <c r="AM64" s="1943"/>
      <c r="AN64" s="1943"/>
      <c r="AO64" s="1943"/>
      <c r="AP64" s="1943"/>
      <c r="AQ64" s="1943"/>
      <c r="AR64" s="1943"/>
      <c r="AS64" s="1943"/>
      <c r="AT64" s="1943"/>
      <c r="AU64" s="1943"/>
      <c r="AV64" s="1943"/>
      <c r="AW64" s="1943"/>
      <c r="AX64" s="1943"/>
      <c r="AY64" s="1943"/>
      <c r="AZ64" s="1943"/>
      <c r="BA64" s="1943"/>
      <c r="BB64" s="1943"/>
      <c r="BC64" s="1943"/>
      <c r="BD64" s="1943"/>
      <c r="BE64" s="1943"/>
      <c r="BF64" s="1943"/>
      <c r="BG64" s="1943"/>
      <c r="BH64" s="1943"/>
      <c r="BI64" s="1943"/>
      <c r="BJ64" s="1943"/>
      <c r="BK64" s="1943"/>
      <c r="BL64" s="1943"/>
      <c r="BM64" s="1943"/>
      <c r="BN64" s="1943"/>
      <c r="BO64" s="1943"/>
      <c r="BP64" s="1943"/>
      <c r="BQ64" s="1943"/>
      <c r="BR64" s="1943"/>
      <c r="BS64" s="1943"/>
      <c r="BT64" s="1943"/>
      <c r="BU64" s="1943"/>
      <c r="BV64" s="1943"/>
      <c r="BW64" s="1943"/>
      <c r="BX64" s="1943"/>
      <c r="BY64" s="1943"/>
      <c r="BZ64" s="1943"/>
      <c r="CA64" s="1943"/>
      <c r="CB64" s="1943"/>
      <c r="CC64" s="1943"/>
      <c r="CD64" s="1943"/>
      <c r="CE64" s="1943"/>
      <c r="CF64" s="1943"/>
      <c r="CG64" s="1943"/>
      <c r="CH64" s="1943"/>
      <c r="CI64" s="1943"/>
      <c r="CJ64" s="1943"/>
      <c r="CK64" s="1943"/>
      <c r="CL64" s="1943"/>
      <c r="CM64" s="1943"/>
      <c r="CN64" s="1943"/>
      <c r="CO64" s="1943"/>
      <c r="CP64" s="1943"/>
      <c r="CQ64" s="1943"/>
      <c r="CR64" s="1943"/>
      <c r="CS64" s="1943"/>
      <c r="CT64" s="1943"/>
      <c r="CU64" s="1943"/>
      <c r="CV64" s="1943"/>
      <c r="CW64" s="1943"/>
      <c r="CX64" s="1943"/>
      <c r="CY64" s="1943"/>
      <c r="CZ64" s="1943"/>
      <c r="DA64" s="1943"/>
      <c r="DB64" s="1943"/>
      <c r="DC64" s="1943"/>
      <c r="DD64" s="1943"/>
      <c r="DE64" s="1943"/>
      <c r="DF64" s="1943"/>
      <c r="DG64" s="1943"/>
      <c r="DH64" s="1943"/>
      <c r="DI64" s="1943"/>
      <c r="DJ64" s="1943"/>
      <c r="DK64" s="1943"/>
      <c r="DL64" s="1943"/>
      <c r="DM64" s="1943"/>
      <c r="DN64" s="1943"/>
      <c r="DO64" s="1943"/>
      <c r="DP64" s="1943"/>
      <c r="DQ64" s="1943"/>
      <c r="DR64" s="1943"/>
      <c r="DS64" s="1943"/>
      <c r="DT64" s="1943"/>
      <c r="DU64" s="1943"/>
      <c r="DV64" s="1943"/>
      <c r="DW64" s="1943"/>
      <c r="DX64" s="1943"/>
      <c r="DY64" s="1943"/>
      <c r="DZ64" s="1943"/>
      <c r="EA64" s="1943"/>
      <c r="EB64" s="1943"/>
      <c r="EC64" s="1943"/>
      <c r="ED64" s="1943"/>
      <c r="EE64" s="1943"/>
      <c r="EF64" s="1943"/>
      <c r="EG64" s="1943"/>
      <c r="EH64" s="1943"/>
      <c r="EI64" s="1943"/>
      <c r="EJ64" s="1943"/>
      <c r="EK64" s="1943"/>
      <c r="EL64" s="1943"/>
      <c r="EM64" s="1943"/>
      <c r="EN64" s="1943"/>
      <c r="EO64" s="1943"/>
      <c r="EP64" s="1943"/>
      <c r="EQ64" s="1943"/>
      <c r="ER64" s="1943"/>
      <c r="ES64" s="1943"/>
      <c r="ET64" s="1943"/>
      <c r="EU64" s="1943"/>
      <c r="EV64" s="1943"/>
      <c r="EW64" s="1943"/>
      <c r="EX64" s="1943"/>
      <c r="EY64" s="1943"/>
      <c r="EZ64" s="1943"/>
      <c r="FA64" s="1943"/>
      <c r="FB64" s="1943"/>
      <c r="FC64" s="1943"/>
      <c r="FD64" s="1943"/>
      <c r="FE64" s="1943"/>
      <c r="FF64" s="1943"/>
      <c r="FG64" s="1943"/>
      <c r="FH64" s="1943"/>
      <c r="FI64" s="1943"/>
      <c r="FJ64" s="1943"/>
      <c r="FK64" s="1943"/>
      <c r="FL64" s="1943"/>
      <c r="FM64" s="1943"/>
      <c r="FN64" s="1943"/>
      <c r="FO64" s="1943"/>
      <c r="FP64" s="1943"/>
      <c r="FQ64" s="1943"/>
      <c r="FR64" s="1943"/>
      <c r="FS64" s="1943"/>
      <c r="FT64" s="1943"/>
      <c r="FU64" s="1943"/>
      <c r="FV64" s="1943"/>
      <c r="FW64" s="1943"/>
      <c r="FX64" s="1943"/>
      <c r="FY64" s="1943"/>
      <c r="FZ64" s="1943"/>
      <c r="GA64" s="1943"/>
      <c r="GB64" s="1943"/>
      <c r="GC64" s="1943"/>
      <c r="GD64" s="1943"/>
      <c r="GE64" s="1943"/>
      <c r="GF64" s="1943"/>
      <c r="GG64" s="1943"/>
      <c r="GH64" s="1943"/>
      <c r="GI64" s="1943"/>
      <c r="GJ64" s="1943"/>
      <c r="GK64" s="1943"/>
      <c r="GL64" s="1943"/>
      <c r="GM64" s="1943"/>
      <c r="GN64" s="1943"/>
      <c r="GO64" s="1943"/>
      <c r="GP64" s="1943"/>
      <c r="GQ64" s="1943"/>
      <c r="GR64" s="1943"/>
      <c r="GS64" s="1943"/>
      <c r="GT64" s="1943"/>
      <c r="GU64" s="1943"/>
      <c r="GV64" s="1943"/>
      <c r="GW64" s="1943"/>
      <c r="GX64" s="1943"/>
      <c r="GY64" s="1943"/>
      <c r="GZ64" s="1943"/>
      <c r="HA64" s="1943"/>
      <c r="HB64" s="1943"/>
      <c r="HC64" s="1943"/>
      <c r="HD64" s="1943"/>
      <c r="HE64" s="1943"/>
      <c r="HF64" s="1943"/>
      <c r="HG64" s="1943"/>
      <c r="HH64" s="1943"/>
      <c r="HI64" s="1943"/>
      <c r="HJ64" s="1943"/>
      <c r="HK64" s="1943"/>
      <c r="HL64" s="1943"/>
      <c r="HM64" s="1943"/>
      <c r="HN64" s="1943"/>
      <c r="HO64" s="1943"/>
      <c r="HP64" s="1943"/>
      <c r="HQ64" s="1943"/>
      <c r="HR64" s="1943"/>
      <c r="HS64" s="1943"/>
      <c r="HT64" s="1943"/>
      <c r="HU64" s="1943"/>
      <c r="HV64" s="1943"/>
      <c r="HW64" s="1943"/>
      <c r="HX64" s="1943"/>
      <c r="HY64" s="1943"/>
      <c r="HZ64" s="1943"/>
      <c r="IA64" s="1943"/>
      <c r="IB64" s="1943"/>
      <c r="IC64" s="1943"/>
      <c r="ID64" s="1943"/>
      <c r="IE64" s="1943"/>
      <c r="IF64" s="1943"/>
      <c r="IG64" s="1943"/>
      <c r="IH64" s="1943"/>
      <c r="II64" s="1943"/>
      <c r="IJ64" s="1943"/>
      <c r="IK64" s="1943"/>
      <c r="IL64" s="1943"/>
      <c r="IM64" s="1943"/>
      <c r="IN64" s="1943"/>
      <c r="IO64" s="1943"/>
      <c r="IP64" s="1943"/>
      <c r="IQ64" s="1943"/>
    </row>
    <row r="65" spans="1:251" hidden="1">
      <c r="A65" s="1026"/>
      <c r="B65" s="1955" t="s">
        <v>526</v>
      </c>
      <c r="C65" s="1955"/>
      <c r="D65" s="2034"/>
      <c r="E65" s="1955"/>
      <c r="F65" s="1942">
        <f>ROUNDUP((E65*$Q$5),-3)</f>
        <v>0</v>
      </c>
      <c r="G65" s="1026"/>
      <c r="H65" s="1942">
        <f>D65*F65*G65</f>
        <v>0</v>
      </c>
      <c r="I65" s="1026"/>
      <c r="J65" s="1942">
        <f>I65*$Q$4</f>
        <v>0</v>
      </c>
      <c r="K65" s="1026"/>
      <c r="L65" s="1942">
        <f>K65*F65</f>
        <v>0</v>
      </c>
      <c r="M65" s="1942">
        <f>D65*G65*(J65+L65)</f>
        <v>0</v>
      </c>
      <c r="N65" s="1942">
        <f>H65+M65</f>
        <v>0</v>
      </c>
      <c r="O65" s="1026"/>
      <c r="P65" s="1026"/>
      <c r="Q65" s="1942">
        <f>N65+O65+P65</f>
        <v>0</v>
      </c>
      <c r="R65" s="1942">
        <f>Q65*10%</f>
        <v>0</v>
      </c>
      <c r="S65" s="1942">
        <f>(Q65-R65)*10%</f>
        <v>0</v>
      </c>
      <c r="T65" s="1942">
        <f>(Q65-R65)*6%</f>
        <v>0</v>
      </c>
      <c r="U65" s="1942">
        <f>(Q65-R65)*5%</f>
        <v>0</v>
      </c>
      <c r="V65" s="3034">
        <f t="shared" si="2"/>
        <v>0</v>
      </c>
      <c r="W65" s="1942"/>
      <c r="X65" s="1923">
        <v>0.01</v>
      </c>
      <c r="Y65" s="1947"/>
      <c r="Z65" s="1947"/>
      <c r="AA65" s="1947"/>
      <c r="AB65" s="1947"/>
      <c r="AC65" s="1947"/>
      <c r="AD65" s="1947"/>
      <c r="AE65" s="1947"/>
      <c r="AF65" s="1947"/>
      <c r="AG65" s="1947"/>
      <c r="AH65" s="1947"/>
      <c r="AI65" s="1947"/>
      <c r="AJ65" s="1947"/>
      <c r="AK65" s="1947"/>
      <c r="AL65" s="1947"/>
      <c r="AM65" s="1947"/>
      <c r="AN65" s="1947"/>
      <c r="AO65" s="1947"/>
      <c r="AP65" s="1947"/>
      <c r="AQ65" s="1947"/>
      <c r="AR65" s="1947"/>
      <c r="AS65" s="1947"/>
      <c r="AT65" s="1947"/>
      <c r="AU65" s="1947"/>
      <c r="AV65" s="1947"/>
      <c r="AW65" s="1947"/>
      <c r="AX65" s="1947"/>
      <c r="AY65" s="1947"/>
      <c r="AZ65" s="1947"/>
      <c r="BA65" s="1947"/>
      <c r="BB65" s="1947"/>
      <c r="BC65" s="1947"/>
      <c r="BD65" s="1947"/>
      <c r="BE65" s="1947"/>
      <c r="BF65" s="1947"/>
      <c r="BG65" s="1947"/>
      <c r="BH65" s="1947"/>
      <c r="BI65" s="1947"/>
      <c r="BJ65" s="1947"/>
      <c r="BK65" s="1947"/>
      <c r="BL65" s="1947"/>
      <c r="BM65" s="1947"/>
      <c r="BN65" s="1947"/>
      <c r="BO65" s="1947"/>
      <c r="BP65" s="1947"/>
      <c r="BQ65" s="1947"/>
      <c r="BR65" s="1947"/>
      <c r="BS65" s="1947"/>
      <c r="BT65" s="1947"/>
      <c r="BU65" s="1947"/>
      <c r="BV65" s="1947"/>
      <c r="BW65" s="1947"/>
      <c r="BX65" s="1947"/>
      <c r="BY65" s="1947"/>
      <c r="BZ65" s="1947"/>
      <c r="CA65" s="1947"/>
      <c r="CB65" s="1947"/>
      <c r="CC65" s="1947"/>
      <c r="CD65" s="1947"/>
      <c r="CE65" s="1947"/>
      <c r="CF65" s="1947"/>
      <c r="CG65" s="1947"/>
      <c r="CH65" s="1947"/>
      <c r="CI65" s="1947"/>
      <c r="CJ65" s="1947"/>
      <c r="CK65" s="1947"/>
      <c r="CL65" s="1947"/>
      <c r="CM65" s="1947"/>
      <c r="CN65" s="1947"/>
      <c r="CO65" s="1947"/>
      <c r="CP65" s="1947"/>
      <c r="CQ65" s="1947"/>
      <c r="CR65" s="1947"/>
      <c r="CS65" s="1947"/>
      <c r="CT65" s="1947"/>
      <c r="CU65" s="1947"/>
      <c r="CV65" s="1947"/>
      <c r="CW65" s="1947"/>
      <c r="CX65" s="1947"/>
      <c r="CY65" s="1947"/>
      <c r="CZ65" s="1947"/>
      <c r="DA65" s="1947"/>
      <c r="DB65" s="1947"/>
      <c r="DC65" s="1947"/>
      <c r="DD65" s="1947"/>
      <c r="DE65" s="1947"/>
      <c r="DF65" s="1947"/>
      <c r="DG65" s="1947"/>
      <c r="DH65" s="1947"/>
      <c r="DI65" s="1947"/>
      <c r="DJ65" s="1947"/>
      <c r="DK65" s="1947"/>
      <c r="DL65" s="1947"/>
      <c r="DM65" s="1947"/>
      <c r="DN65" s="1947"/>
      <c r="DO65" s="1947"/>
      <c r="DP65" s="1947"/>
      <c r="DQ65" s="1947"/>
      <c r="DR65" s="1947"/>
      <c r="DS65" s="1947"/>
      <c r="DT65" s="1947"/>
      <c r="DU65" s="1947"/>
      <c r="DV65" s="1947"/>
      <c r="DW65" s="1947"/>
      <c r="DX65" s="1947"/>
      <c r="DY65" s="1947"/>
      <c r="DZ65" s="1947"/>
      <c r="EA65" s="1947"/>
      <c r="EB65" s="1947"/>
      <c r="EC65" s="1947"/>
      <c r="ED65" s="1947"/>
      <c r="EE65" s="1947"/>
      <c r="EF65" s="1947"/>
      <c r="EG65" s="1947"/>
      <c r="EH65" s="1947"/>
      <c r="EI65" s="1947"/>
      <c r="EJ65" s="1947"/>
      <c r="EK65" s="1947"/>
      <c r="EL65" s="1947"/>
      <c r="EM65" s="1947"/>
      <c r="EN65" s="1947"/>
      <c r="EO65" s="1947"/>
      <c r="EP65" s="1947"/>
      <c r="EQ65" s="1947"/>
      <c r="ER65" s="1947"/>
      <c r="ES65" s="1947"/>
      <c r="ET65" s="1947"/>
      <c r="EU65" s="1947"/>
      <c r="EV65" s="1947"/>
      <c r="EW65" s="1947"/>
      <c r="EX65" s="1947"/>
      <c r="EY65" s="1947"/>
      <c r="EZ65" s="1947"/>
      <c r="FA65" s="1947"/>
      <c r="FB65" s="1947"/>
      <c r="FC65" s="1947"/>
      <c r="FD65" s="1947"/>
      <c r="FE65" s="1947"/>
      <c r="FF65" s="1947"/>
      <c r="FG65" s="1947"/>
      <c r="FH65" s="1947"/>
      <c r="FI65" s="1947"/>
      <c r="FJ65" s="1947"/>
      <c r="FK65" s="1947"/>
      <c r="FL65" s="1947"/>
      <c r="FM65" s="1947"/>
      <c r="FN65" s="1947"/>
      <c r="FO65" s="1947"/>
      <c r="FP65" s="1947"/>
      <c r="FQ65" s="1947"/>
      <c r="FR65" s="1947"/>
      <c r="FS65" s="1947"/>
      <c r="FT65" s="1947"/>
      <c r="FU65" s="1947"/>
      <c r="FV65" s="1947"/>
      <c r="FW65" s="1947"/>
      <c r="FX65" s="1947"/>
      <c r="FY65" s="1947"/>
      <c r="FZ65" s="1947"/>
      <c r="GA65" s="1947"/>
      <c r="GB65" s="1947"/>
      <c r="GC65" s="1947"/>
      <c r="GD65" s="1947"/>
      <c r="GE65" s="1947"/>
      <c r="GF65" s="1947"/>
      <c r="GG65" s="1947"/>
      <c r="GH65" s="1947"/>
      <c r="GI65" s="1947"/>
      <c r="GJ65" s="1947"/>
      <c r="GK65" s="1947"/>
      <c r="GL65" s="1947"/>
      <c r="GM65" s="1947"/>
      <c r="GN65" s="1947"/>
      <c r="GO65" s="1947"/>
      <c r="GP65" s="1947"/>
      <c r="GQ65" s="1947"/>
      <c r="GR65" s="1947"/>
      <c r="GS65" s="1947"/>
      <c r="GT65" s="1947"/>
      <c r="GU65" s="1947"/>
      <c r="GV65" s="1947"/>
      <c r="GW65" s="1947"/>
      <c r="GX65" s="1947"/>
      <c r="GY65" s="1947"/>
      <c r="GZ65" s="1947"/>
      <c r="HA65" s="1947"/>
      <c r="HB65" s="1947"/>
      <c r="HC65" s="1947"/>
      <c r="HD65" s="1947"/>
      <c r="HE65" s="1947"/>
      <c r="HF65" s="1947"/>
      <c r="HG65" s="1947"/>
      <c r="HH65" s="1947"/>
      <c r="HI65" s="1947"/>
      <c r="HJ65" s="1947"/>
      <c r="HK65" s="1947"/>
      <c r="HL65" s="1947"/>
      <c r="HM65" s="1947"/>
      <c r="HN65" s="1947"/>
      <c r="HO65" s="1947"/>
      <c r="HP65" s="1947"/>
      <c r="HQ65" s="1947"/>
      <c r="HR65" s="1947"/>
      <c r="HS65" s="1947"/>
      <c r="HT65" s="1947"/>
      <c r="HU65" s="1947"/>
      <c r="HV65" s="1947"/>
      <c r="HW65" s="1947"/>
      <c r="HX65" s="1947"/>
      <c r="HY65" s="1947"/>
      <c r="HZ65" s="1947"/>
      <c r="IA65" s="1947"/>
      <c r="IB65" s="1947"/>
      <c r="IC65" s="1947"/>
      <c r="ID65" s="1947"/>
      <c r="IE65" s="1947"/>
      <c r="IF65" s="1947"/>
      <c r="IG65" s="1947"/>
      <c r="IH65" s="1947"/>
      <c r="II65" s="1947"/>
      <c r="IJ65" s="1947"/>
      <c r="IK65" s="1947"/>
      <c r="IL65" s="1947"/>
      <c r="IM65" s="1947"/>
      <c r="IN65" s="1947"/>
      <c r="IO65" s="1947"/>
      <c r="IP65" s="1947"/>
      <c r="IQ65" s="1947"/>
    </row>
    <row r="66" spans="1:251" hidden="1">
      <c r="A66" s="1026"/>
      <c r="B66" s="1026"/>
      <c r="C66" s="1955"/>
      <c r="D66" s="2034"/>
      <c r="E66" s="1955"/>
      <c r="F66" s="1942">
        <f>ROUNDUP((E66*$Q$5),-3)</f>
        <v>0</v>
      </c>
      <c r="G66" s="1026"/>
      <c r="H66" s="1942">
        <f>D66*F66*G66</f>
        <v>0</v>
      </c>
      <c r="I66" s="1026"/>
      <c r="J66" s="1942">
        <f>I66*$Q$4</f>
        <v>0</v>
      </c>
      <c r="K66" s="1026"/>
      <c r="L66" s="1942">
        <f>K66*F66</f>
        <v>0</v>
      </c>
      <c r="M66" s="1942">
        <f>D66*G66*(J66+L66)</f>
        <v>0</v>
      </c>
      <c r="N66" s="1942">
        <f>H66+M66</f>
        <v>0</v>
      </c>
      <c r="O66" s="1026"/>
      <c r="P66" s="1026"/>
      <c r="Q66" s="1942">
        <f>N66+O66+P66</f>
        <v>0</v>
      </c>
      <c r="R66" s="1942">
        <f>Q66*10%</f>
        <v>0</v>
      </c>
      <c r="S66" s="1942">
        <f>(Q66-R66)*10%</f>
        <v>0</v>
      </c>
      <c r="T66" s="1942">
        <f>(Q66-R66)*6%</f>
        <v>0</v>
      </c>
      <c r="U66" s="1942">
        <f>(Q66-R66)*5%</f>
        <v>0</v>
      </c>
      <c r="V66" s="3034">
        <f t="shared" si="2"/>
        <v>0</v>
      </c>
      <c r="W66" s="1942"/>
      <c r="X66" s="1923">
        <v>0.01</v>
      </c>
      <c r="Y66" s="1947"/>
      <c r="Z66" s="1947"/>
      <c r="AA66" s="1947"/>
      <c r="AB66" s="1947"/>
      <c r="AC66" s="1947"/>
      <c r="AD66" s="1947"/>
      <c r="AE66" s="1947"/>
      <c r="AF66" s="1947"/>
      <c r="AG66" s="1947"/>
      <c r="AH66" s="1947"/>
      <c r="AI66" s="1947"/>
      <c r="AJ66" s="1947"/>
      <c r="AK66" s="1947"/>
      <c r="AL66" s="1947"/>
      <c r="AM66" s="1947"/>
      <c r="AN66" s="1947"/>
      <c r="AO66" s="1947"/>
      <c r="AP66" s="1947"/>
      <c r="AQ66" s="1947"/>
      <c r="AR66" s="1947"/>
      <c r="AS66" s="1947"/>
      <c r="AT66" s="1947"/>
      <c r="AU66" s="1947"/>
      <c r="AV66" s="1947"/>
      <c r="AW66" s="1947"/>
      <c r="AX66" s="1947"/>
      <c r="AY66" s="1947"/>
      <c r="AZ66" s="1947"/>
      <c r="BA66" s="1947"/>
      <c r="BB66" s="1947"/>
      <c r="BC66" s="1947"/>
      <c r="BD66" s="1947"/>
      <c r="BE66" s="1947"/>
      <c r="BF66" s="1947"/>
      <c r="BG66" s="1947"/>
      <c r="BH66" s="1947"/>
      <c r="BI66" s="1947"/>
      <c r="BJ66" s="1947"/>
      <c r="BK66" s="1947"/>
      <c r="BL66" s="1947"/>
      <c r="BM66" s="1947"/>
      <c r="BN66" s="1947"/>
      <c r="BO66" s="1947"/>
      <c r="BP66" s="1947"/>
      <c r="BQ66" s="1947"/>
      <c r="BR66" s="1947"/>
      <c r="BS66" s="1947"/>
      <c r="BT66" s="1947"/>
      <c r="BU66" s="1947"/>
      <c r="BV66" s="1947"/>
      <c r="BW66" s="1947"/>
      <c r="BX66" s="1947"/>
      <c r="BY66" s="1947"/>
      <c r="BZ66" s="1947"/>
      <c r="CA66" s="1947"/>
      <c r="CB66" s="1947"/>
      <c r="CC66" s="1947"/>
      <c r="CD66" s="1947"/>
      <c r="CE66" s="1947"/>
      <c r="CF66" s="1947"/>
      <c r="CG66" s="1947"/>
      <c r="CH66" s="1947"/>
      <c r="CI66" s="1947"/>
      <c r="CJ66" s="1947"/>
      <c r="CK66" s="1947"/>
      <c r="CL66" s="1947"/>
      <c r="CM66" s="1947"/>
      <c r="CN66" s="1947"/>
      <c r="CO66" s="1947"/>
      <c r="CP66" s="1947"/>
      <c r="CQ66" s="1947"/>
      <c r="CR66" s="1947"/>
      <c r="CS66" s="1947"/>
      <c r="CT66" s="1947"/>
      <c r="CU66" s="1947"/>
      <c r="CV66" s="1947"/>
      <c r="CW66" s="1947"/>
      <c r="CX66" s="1947"/>
      <c r="CY66" s="1947"/>
      <c r="CZ66" s="1947"/>
      <c r="DA66" s="1947"/>
      <c r="DB66" s="1947"/>
      <c r="DC66" s="1947"/>
      <c r="DD66" s="1947"/>
      <c r="DE66" s="1947"/>
      <c r="DF66" s="1947"/>
      <c r="DG66" s="1947"/>
      <c r="DH66" s="1947"/>
      <c r="DI66" s="1947"/>
      <c r="DJ66" s="1947"/>
      <c r="DK66" s="1947"/>
      <c r="DL66" s="1947"/>
      <c r="DM66" s="1947"/>
      <c r="DN66" s="1947"/>
      <c r="DO66" s="1947"/>
      <c r="DP66" s="1947"/>
      <c r="DQ66" s="1947"/>
      <c r="DR66" s="1947"/>
      <c r="DS66" s="1947"/>
      <c r="DT66" s="1947"/>
      <c r="DU66" s="1947"/>
      <c r="DV66" s="1947"/>
      <c r="DW66" s="1947"/>
      <c r="DX66" s="1947"/>
      <c r="DY66" s="1947"/>
      <c r="DZ66" s="1947"/>
      <c r="EA66" s="1947"/>
      <c r="EB66" s="1947"/>
      <c r="EC66" s="1947"/>
      <c r="ED66" s="1947"/>
      <c r="EE66" s="1947"/>
      <c r="EF66" s="1947"/>
      <c r="EG66" s="1947"/>
      <c r="EH66" s="1947"/>
      <c r="EI66" s="1947"/>
      <c r="EJ66" s="1947"/>
      <c r="EK66" s="1947"/>
      <c r="EL66" s="1947"/>
      <c r="EM66" s="1947"/>
      <c r="EN66" s="1947"/>
      <c r="EO66" s="1947"/>
      <c r="EP66" s="1947"/>
      <c r="EQ66" s="1947"/>
      <c r="ER66" s="1947"/>
      <c r="ES66" s="1947"/>
      <c r="ET66" s="1947"/>
      <c r="EU66" s="1947"/>
      <c r="EV66" s="1947"/>
      <c r="EW66" s="1947"/>
      <c r="EX66" s="1947"/>
      <c r="EY66" s="1947"/>
      <c r="EZ66" s="1947"/>
      <c r="FA66" s="1947"/>
      <c r="FB66" s="1947"/>
      <c r="FC66" s="1947"/>
      <c r="FD66" s="1947"/>
      <c r="FE66" s="1947"/>
      <c r="FF66" s="1947"/>
      <c r="FG66" s="1947"/>
      <c r="FH66" s="1947"/>
      <c r="FI66" s="1947"/>
      <c r="FJ66" s="1947"/>
      <c r="FK66" s="1947"/>
      <c r="FL66" s="1947"/>
      <c r="FM66" s="1947"/>
      <c r="FN66" s="1947"/>
      <c r="FO66" s="1947"/>
      <c r="FP66" s="1947"/>
      <c r="FQ66" s="1947"/>
      <c r="FR66" s="1947"/>
      <c r="FS66" s="1947"/>
      <c r="FT66" s="1947"/>
      <c r="FU66" s="1947"/>
      <c r="FV66" s="1947"/>
      <c r="FW66" s="1947"/>
      <c r="FX66" s="1947"/>
      <c r="FY66" s="1947"/>
      <c r="FZ66" s="1947"/>
      <c r="GA66" s="1947"/>
      <c r="GB66" s="1947"/>
      <c r="GC66" s="1947"/>
      <c r="GD66" s="1947"/>
      <c r="GE66" s="1947"/>
      <c r="GF66" s="1947"/>
      <c r="GG66" s="1947"/>
      <c r="GH66" s="1947"/>
      <c r="GI66" s="1947"/>
      <c r="GJ66" s="1947"/>
      <c r="GK66" s="1947"/>
      <c r="GL66" s="1947"/>
      <c r="GM66" s="1947"/>
      <c r="GN66" s="1947"/>
      <c r="GO66" s="1947"/>
      <c r="GP66" s="1947"/>
      <c r="GQ66" s="1947"/>
      <c r="GR66" s="1947"/>
      <c r="GS66" s="1947"/>
      <c r="GT66" s="1947"/>
      <c r="GU66" s="1947"/>
      <c r="GV66" s="1947"/>
      <c r="GW66" s="1947"/>
      <c r="GX66" s="1947"/>
      <c r="GY66" s="1947"/>
      <c r="GZ66" s="1947"/>
      <c r="HA66" s="1947"/>
      <c r="HB66" s="1947"/>
      <c r="HC66" s="1947"/>
      <c r="HD66" s="1947"/>
      <c r="HE66" s="1947"/>
      <c r="HF66" s="1947"/>
      <c r="HG66" s="1947"/>
      <c r="HH66" s="1947"/>
      <c r="HI66" s="1947"/>
      <c r="HJ66" s="1947"/>
      <c r="HK66" s="1947"/>
      <c r="HL66" s="1947"/>
      <c r="HM66" s="1947"/>
      <c r="HN66" s="1947"/>
      <c r="HO66" s="1947"/>
      <c r="HP66" s="1947"/>
      <c r="HQ66" s="1947"/>
      <c r="HR66" s="1947"/>
      <c r="HS66" s="1947"/>
      <c r="HT66" s="1947"/>
      <c r="HU66" s="1947"/>
      <c r="HV66" s="1947"/>
      <c r="HW66" s="1947"/>
      <c r="HX66" s="1947"/>
      <c r="HY66" s="1947"/>
      <c r="HZ66" s="1947"/>
      <c r="IA66" s="1947"/>
      <c r="IB66" s="1947"/>
      <c r="IC66" s="1947"/>
      <c r="ID66" s="1947"/>
      <c r="IE66" s="1947"/>
      <c r="IF66" s="1947"/>
      <c r="IG66" s="1947"/>
      <c r="IH66" s="1947"/>
      <c r="II66" s="1947"/>
      <c r="IJ66" s="1947"/>
      <c r="IK66" s="1947"/>
      <c r="IL66" s="1947"/>
      <c r="IM66" s="1947"/>
      <c r="IN66" s="1947"/>
      <c r="IO66" s="1947"/>
      <c r="IP66" s="1947"/>
      <c r="IQ66" s="1947"/>
    </row>
    <row r="67" spans="1:251" hidden="1">
      <c r="A67" s="1026"/>
      <c r="B67" s="1955"/>
      <c r="C67" s="1955"/>
      <c r="D67" s="2034"/>
      <c r="E67" s="1955"/>
      <c r="F67" s="1942">
        <f>ROUNDUP((E67*$Q$5),-3)</f>
        <v>0</v>
      </c>
      <c r="G67" s="1026"/>
      <c r="H67" s="1942">
        <f>D67*F67*G67</f>
        <v>0</v>
      </c>
      <c r="I67" s="1026"/>
      <c r="J67" s="1942">
        <f>I67*$Q$4</f>
        <v>0</v>
      </c>
      <c r="K67" s="1026"/>
      <c r="L67" s="1942">
        <f>K67*F67</f>
        <v>0</v>
      </c>
      <c r="M67" s="1942">
        <f>D67*G67*(J67+L67)</f>
        <v>0</v>
      </c>
      <c r="N67" s="1942">
        <f>H67+M67</f>
        <v>0</v>
      </c>
      <c r="O67" s="1026"/>
      <c r="P67" s="1026"/>
      <c r="Q67" s="1942">
        <f>N67+O67+P67</f>
        <v>0</v>
      </c>
      <c r="R67" s="1942">
        <f>Q67*10%</f>
        <v>0</v>
      </c>
      <c r="S67" s="1942">
        <f>(Q67-R67)*10%</f>
        <v>0</v>
      </c>
      <c r="T67" s="1942">
        <f>(Q67-R67)*6%</f>
        <v>0</v>
      </c>
      <c r="U67" s="1942">
        <f>(Q67-R67)*5%</f>
        <v>0</v>
      </c>
      <c r="V67" s="3034">
        <f t="shared" si="2"/>
        <v>0</v>
      </c>
      <c r="W67" s="1942"/>
      <c r="X67" s="1923">
        <v>0.01</v>
      </c>
      <c r="Y67" s="1947"/>
      <c r="Z67" s="1947"/>
      <c r="AA67" s="1947"/>
      <c r="AB67" s="1947"/>
      <c r="AC67" s="1947"/>
      <c r="AD67" s="1947"/>
      <c r="AE67" s="1947"/>
      <c r="AF67" s="1947"/>
      <c r="AG67" s="1947"/>
      <c r="AH67" s="1947"/>
      <c r="AI67" s="1947"/>
      <c r="AJ67" s="1947"/>
      <c r="AK67" s="1947"/>
      <c r="AL67" s="1947"/>
      <c r="AM67" s="1947"/>
      <c r="AN67" s="1947"/>
      <c r="AO67" s="1947"/>
      <c r="AP67" s="1947"/>
      <c r="AQ67" s="1947"/>
      <c r="AR67" s="1947"/>
      <c r="AS67" s="1947"/>
      <c r="AT67" s="1947"/>
      <c r="AU67" s="1947"/>
      <c r="AV67" s="1947"/>
      <c r="AW67" s="1947"/>
      <c r="AX67" s="1947"/>
      <c r="AY67" s="1947"/>
      <c r="AZ67" s="1947"/>
      <c r="BA67" s="1947"/>
      <c r="BB67" s="1947"/>
      <c r="BC67" s="1947"/>
      <c r="BD67" s="1947"/>
      <c r="BE67" s="1947"/>
      <c r="BF67" s="1947"/>
      <c r="BG67" s="1947"/>
      <c r="BH67" s="1947"/>
      <c r="BI67" s="1947"/>
      <c r="BJ67" s="1947"/>
      <c r="BK67" s="1947"/>
      <c r="BL67" s="1947"/>
      <c r="BM67" s="1947"/>
      <c r="BN67" s="1947"/>
      <c r="BO67" s="1947"/>
      <c r="BP67" s="1947"/>
      <c r="BQ67" s="1947"/>
      <c r="BR67" s="1947"/>
      <c r="BS67" s="1947"/>
      <c r="BT67" s="1947"/>
      <c r="BU67" s="1947"/>
      <c r="BV67" s="1947"/>
      <c r="BW67" s="1947"/>
      <c r="BX67" s="1947"/>
      <c r="BY67" s="1947"/>
      <c r="BZ67" s="1947"/>
      <c r="CA67" s="1947"/>
      <c r="CB67" s="1947"/>
      <c r="CC67" s="1947"/>
      <c r="CD67" s="1947"/>
      <c r="CE67" s="1947"/>
      <c r="CF67" s="1947"/>
      <c r="CG67" s="1947"/>
      <c r="CH67" s="1947"/>
      <c r="CI67" s="1947"/>
      <c r="CJ67" s="1947"/>
      <c r="CK67" s="1947"/>
      <c r="CL67" s="1947"/>
      <c r="CM67" s="1947"/>
      <c r="CN67" s="1947"/>
      <c r="CO67" s="1947"/>
      <c r="CP67" s="1947"/>
      <c r="CQ67" s="1947"/>
      <c r="CR67" s="1947"/>
      <c r="CS67" s="1947"/>
      <c r="CT67" s="1947"/>
      <c r="CU67" s="1947"/>
      <c r="CV67" s="1947"/>
      <c r="CW67" s="1947"/>
      <c r="CX67" s="1947"/>
      <c r="CY67" s="1947"/>
      <c r="CZ67" s="1947"/>
      <c r="DA67" s="1947"/>
      <c r="DB67" s="1947"/>
      <c r="DC67" s="1947"/>
      <c r="DD67" s="1947"/>
      <c r="DE67" s="1947"/>
      <c r="DF67" s="1947"/>
      <c r="DG67" s="1947"/>
      <c r="DH67" s="1947"/>
      <c r="DI67" s="1947"/>
      <c r="DJ67" s="1947"/>
      <c r="DK67" s="1947"/>
      <c r="DL67" s="1947"/>
      <c r="DM67" s="1947"/>
      <c r="DN67" s="1947"/>
      <c r="DO67" s="1947"/>
      <c r="DP67" s="1947"/>
      <c r="DQ67" s="1947"/>
      <c r="DR67" s="1947"/>
      <c r="DS67" s="1947"/>
      <c r="DT67" s="1947"/>
      <c r="DU67" s="1947"/>
      <c r="DV67" s="1947"/>
      <c r="DW67" s="1947"/>
      <c r="DX67" s="1947"/>
      <c r="DY67" s="1947"/>
      <c r="DZ67" s="1947"/>
      <c r="EA67" s="1947"/>
      <c r="EB67" s="1947"/>
      <c r="EC67" s="1947"/>
      <c r="ED67" s="1947"/>
      <c r="EE67" s="1947"/>
      <c r="EF67" s="1947"/>
      <c r="EG67" s="1947"/>
      <c r="EH67" s="1947"/>
      <c r="EI67" s="1947"/>
      <c r="EJ67" s="1947"/>
      <c r="EK67" s="1947"/>
      <c r="EL67" s="1947"/>
      <c r="EM67" s="1947"/>
      <c r="EN67" s="1947"/>
      <c r="EO67" s="1947"/>
      <c r="EP67" s="1947"/>
      <c r="EQ67" s="1947"/>
      <c r="ER67" s="1947"/>
      <c r="ES67" s="1947"/>
      <c r="ET67" s="1947"/>
      <c r="EU67" s="1947"/>
      <c r="EV67" s="1947"/>
      <c r="EW67" s="1947"/>
      <c r="EX67" s="1947"/>
      <c r="EY67" s="1947"/>
      <c r="EZ67" s="1947"/>
      <c r="FA67" s="1947"/>
      <c r="FB67" s="1947"/>
      <c r="FC67" s="1947"/>
      <c r="FD67" s="1947"/>
      <c r="FE67" s="1947"/>
      <c r="FF67" s="1947"/>
      <c r="FG67" s="1947"/>
      <c r="FH67" s="1947"/>
      <c r="FI67" s="1947"/>
      <c r="FJ67" s="1947"/>
      <c r="FK67" s="1947"/>
      <c r="FL67" s="1947"/>
      <c r="FM67" s="1947"/>
      <c r="FN67" s="1947"/>
      <c r="FO67" s="1947"/>
      <c r="FP67" s="1947"/>
      <c r="FQ67" s="1947"/>
      <c r="FR67" s="1947"/>
      <c r="FS67" s="1947"/>
      <c r="FT67" s="1947"/>
      <c r="FU67" s="1947"/>
      <c r="FV67" s="1947"/>
      <c r="FW67" s="1947"/>
      <c r="FX67" s="1947"/>
      <c r="FY67" s="1947"/>
      <c r="FZ67" s="1947"/>
      <c r="GA67" s="1947"/>
      <c r="GB67" s="1947"/>
      <c r="GC67" s="1947"/>
      <c r="GD67" s="1947"/>
      <c r="GE67" s="1947"/>
      <c r="GF67" s="1947"/>
      <c r="GG67" s="1947"/>
      <c r="GH67" s="1947"/>
      <c r="GI67" s="1947"/>
      <c r="GJ67" s="1947"/>
      <c r="GK67" s="1947"/>
      <c r="GL67" s="1947"/>
      <c r="GM67" s="1947"/>
      <c r="GN67" s="1947"/>
      <c r="GO67" s="1947"/>
      <c r="GP67" s="1947"/>
      <c r="GQ67" s="1947"/>
      <c r="GR67" s="1947"/>
      <c r="GS67" s="1947"/>
      <c r="GT67" s="1947"/>
      <c r="GU67" s="1947"/>
      <c r="GV67" s="1947"/>
      <c r="GW67" s="1947"/>
      <c r="GX67" s="1947"/>
      <c r="GY67" s="1947"/>
      <c r="GZ67" s="1947"/>
      <c r="HA67" s="1947"/>
      <c r="HB67" s="1947"/>
      <c r="HC67" s="1947"/>
      <c r="HD67" s="1947"/>
      <c r="HE67" s="1947"/>
      <c r="HF67" s="1947"/>
      <c r="HG67" s="1947"/>
      <c r="HH67" s="1947"/>
      <c r="HI67" s="1947"/>
      <c r="HJ67" s="1947"/>
      <c r="HK67" s="1947"/>
      <c r="HL67" s="1947"/>
      <c r="HM67" s="1947"/>
      <c r="HN67" s="1947"/>
      <c r="HO67" s="1947"/>
      <c r="HP67" s="1947"/>
      <c r="HQ67" s="1947"/>
      <c r="HR67" s="1947"/>
      <c r="HS67" s="1947"/>
      <c r="HT67" s="1947"/>
      <c r="HU67" s="1947"/>
      <c r="HV67" s="1947"/>
      <c r="HW67" s="1947"/>
      <c r="HX67" s="1947"/>
      <c r="HY67" s="1947"/>
      <c r="HZ67" s="1947"/>
      <c r="IA67" s="1947"/>
      <c r="IB67" s="1947"/>
      <c r="IC67" s="1947"/>
      <c r="ID67" s="1947"/>
      <c r="IE67" s="1947"/>
      <c r="IF67" s="1947"/>
      <c r="IG67" s="1947"/>
      <c r="IH67" s="1947"/>
      <c r="II67" s="1947"/>
      <c r="IJ67" s="1947"/>
      <c r="IK67" s="1947"/>
      <c r="IL67" s="1947"/>
      <c r="IM67" s="1947"/>
      <c r="IN67" s="1947"/>
      <c r="IO67" s="1947"/>
      <c r="IP67" s="1947"/>
      <c r="IQ67" s="1947"/>
    </row>
    <row r="68" spans="1:251" hidden="1">
      <c r="A68" s="1026"/>
      <c r="B68" s="1955"/>
      <c r="C68" s="1955"/>
      <c r="D68" s="2034"/>
      <c r="E68" s="1955"/>
      <c r="F68" s="1942">
        <f>ROUNDUP((E68*$Q$5),-3)</f>
        <v>0</v>
      </c>
      <c r="G68" s="1026"/>
      <c r="H68" s="1942">
        <f>D68*F68*G68</f>
        <v>0</v>
      </c>
      <c r="I68" s="1026"/>
      <c r="J68" s="1942">
        <f>I68*$Q$4</f>
        <v>0</v>
      </c>
      <c r="K68" s="1026"/>
      <c r="L68" s="1942">
        <f>K68*F68</f>
        <v>0</v>
      </c>
      <c r="M68" s="1942">
        <f>D68*G68*(J68+L68)</f>
        <v>0</v>
      </c>
      <c r="N68" s="1942">
        <f>H68+M68</f>
        <v>0</v>
      </c>
      <c r="O68" s="1026"/>
      <c r="P68" s="1026"/>
      <c r="Q68" s="1942">
        <f>N68+O68+P68</f>
        <v>0</v>
      </c>
      <c r="R68" s="1942">
        <f>Q68*10%</f>
        <v>0</v>
      </c>
      <c r="S68" s="1942">
        <f>(Q68-R68)*10%</f>
        <v>0</v>
      </c>
      <c r="T68" s="1942">
        <f>(Q68-R68)*6%</f>
        <v>0</v>
      </c>
      <c r="U68" s="1942">
        <f>(Q68-R68)*5%</f>
        <v>0</v>
      </c>
      <c r="V68" s="3034">
        <f t="shared" si="2"/>
        <v>0</v>
      </c>
      <c r="W68" s="1942"/>
      <c r="X68" s="1923">
        <v>0.01</v>
      </c>
      <c r="Y68" s="1947"/>
      <c r="Z68" s="1947"/>
      <c r="AA68" s="1947"/>
      <c r="AB68" s="1947"/>
      <c r="AC68" s="1947"/>
      <c r="AD68" s="1947"/>
      <c r="AE68" s="1947"/>
      <c r="AF68" s="1947"/>
      <c r="AG68" s="1947"/>
      <c r="AH68" s="1947"/>
      <c r="AI68" s="1947"/>
      <c r="AJ68" s="1947"/>
      <c r="AK68" s="1947"/>
      <c r="AL68" s="1947"/>
      <c r="AM68" s="1947"/>
      <c r="AN68" s="1947"/>
      <c r="AO68" s="1947"/>
      <c r="AP68" s="1947"/>
      <c r="AQ68" s="1947"/>
      <c r="AR68" s="1947"/>
      <c r="AS68" s="1947"/>
      <c r="AT68" s="1947"/>
      <c r="AU68" s="1947"/>
      <c r="AV68" s="1947"/>
      <c r="AW68" s="1947"/>
      <c r="AX68" s="1947"/>
      <c r="AY68" s="1947"/>
      <c r="AZ68" s="1947"/>
      <c r="BA68" s="1947"/>
      <c r="BB68" s="1947"/>
      <c r="BC68" s="1947"/>
      <c r="BD68" s="1947"/>
      <c r="BE68" s="1947"/>
      <c r="BF68" s="1947"/>
      <c r="BG68" s="1947"/>
      <c r="BH68" s="1947"/>
      <c r="BI68" s="1947"/>
      <c r="BJ68" s="1947"/>
      <c r="BK68" s="1947"/>
      <c r="BL68" s="1947"/>
      <c r="BM68" s="1947"/>
      <c r="BN68" s="1947"/>
      <c r="BO68" s="1947"/>
      <c r="BP68" s="1947"/>
      <c r="BQ68" s="1947"/>
      <c r="BR68" s="1947"/>
      <c r="BS68" s="1947"/>
      <c r="BT68" s="1947"/>
      <c r="BU68" s="1947"/>
      <c r="BV68" s="1947"/>
      <c r="BW68" s="1947"/>
      <c r="BX68" s="1947"/>
      <c r="BY68" s="1947"/>
      <c r="BZ68" s="1947"/>
      <c r="CA68" s="1947"/>
      <c r="CB68" s="1947"/>
      <c r="CC68" s="1947"/>
      <c r="CD68" s="1947"/>
      <c r="CE68" s="1947"/>
      <c r="CF68" s="1947"/>
      <c r="CG68" s="1947"/>
      <c r="CH68" s="1947"/>
      <c r="CI68" s="1947"/>
      <c r="CJ68" s="1947"/>
      <c r="CK68" s="1947"/>
      <c r="CL68" s="1947"/>
      <c r="CM68" s="1947"/>
      <c r="CN68" s="1947"/>
      <c r="CO68" s="1947"/>
      <c r="CP68" s="1947"/>
      <c r="CQ68" s="1947"/>
      <c r="CR68" s="1947"/>
      <c r="CS68" s="1947"/>
      <c r="CT68" s="1947"/>
      <c r="CU68" s="1947"/>
      <c r="CV68" s="1947"/>
      <c r="CW68" s="1947"/>
      <c r="CX68" s="1947"/>
      <c r="CY68" s="1947"/>
      <c r="CZ68" s="1947"/>
      <c r="DA68" s="1947"/>
      <c r="DB68" s="1947"/>
      <c r="DC68" s="1947"/>
      <c r="DD68" s="1947"/>
      <c r="DE68" s="1947"/>
      <c r="DF68" s="1947"/>
      <c r="DG68" s="1947"/>
      <c r="DH68" s="1947"/>
      <c r="DI68" s="1947"/>
      <c r="DJ68" s="1947"/>
      <c r="DK68" s="1947"/>
      <c r="DL68" s="1947"/>
      <c r="DM68" s="1947"/>
      <c r="DN68" s="1947"/>
      <c r="DO68" s="1947"/>
      <c r="DP68" s="1947"/>
      <c r="DQ68" s="1947"/>
      <c r="DR68" s="1947"/>
      <c r="DS68" s="1947"/>
      <c r="DT68" s="1947"/>
      <c r="DU68" s="1947"/>
      <c r="DV68" s="1947"/>
      <c r="DW68" s="1947"/>
      <c r="DX68" s="1947"/>
      <c r="DY68" s="1947"/>
      <c r="DZ68" s="1947"/>
      <c r="EA68" s="1947"/>
      <c r="EB68" s="1947"/>
      <c r="EC68" s="1947"/>
      <c r="ED68" s="1947"/>
      <c r="EE68" s="1947"/>
      <c r="EF68" s="1947"/>
      <c r="EG68" s="1947"/>
      <c r="EH68" s="1947"/>
      <c r="EI68" s="1947"/>
      <c r="EJ68" s="1947"/>
      <c r="EK68" s="1947"/>
      <c r="EL68" s="1947"/>
      <c r="EM68" s="1947"/>
      <c r="EN68" s="1947"/>
      <c r="EO68" s="1947"/>
      <c r="EP68" s="1947"/>
      <c r="EQ68" s="1947"/>
      <c r="ER68" s="1947"/>
      <c r="ES68" s="1947"/>
      <c r="ET68" s="1947"/>
      <c r="EU68" s="1947"/>
      <c r="EV68" s="1947"/>
      <c r="EW68" s="1947"/>
      <c r="EX68" s="1947"/>
      <c r="EY68" s="1947"/>
      <c r="EZ68" s="1947"/>
      <c r="FA68" s="1947"/>
      <c r="FB68" s="1947"/>
      <c r="FC68" s="1947"/>
      <c r="FD68" s="1947"/>
      <c r="FE68" s="1947"/>
      <c r="FF68" s="1947"/>
      <c r="FG68" s="1947"/>
      <c r="FH68" s="1947"/>
      <c r="FI68" s="1947"/>
      <c r="FJ68" s="1947"/>
      <c r="FK68" s="1947"/>
      <c r="FL68" s="1947"/>
      <c r="FM68" s="1947"/>
      <c r="FN68" s="1947"/>
      <c r="FO68" s="1947"/>
      <c r="FP68" s="1947"/>
      <c r="FQ68" s="1947"/>
      <c r="FR68" s="1947"/>
      <c r="FS68" s="1947"/>
      <c r="FT68" s="1947"/>
      <c r="FU68" s="1947"/>
      <c r="FV68" s="1947"/>
      <c r="FW68" s="1947"/>
      <c r="FX68" s="1947"/>
      <c r="FY68" s="1947"/>
      <c r="FZ68" s="1947"/>
      <c r="GA68" s="1947"/>
      <c r="GB68" s="1947"/>
      <c r="GC68" s="1947"/>
      <c r="GD68" s="1947"/>
      <c r="GE68" s="1947"/>
      <c r="GF68" s="1947"/>
      <c r="GG68" s="1947"/>
      <c r="GH68" s="1947"/>
      <c r="GI68" s="1947"/>
      <c r="GJ68" s="1947"/>
      <c r="GK68" s="1947"/>
      <c r="GL68" s="1947"/>
      <c r="GM68" s="1947"/>
      <c r="GN68" s="1947"/>
      <c r="GO68" s="1947"/>
      <c r="GP68" s="1947"/>
      <c r="GQ68" s="1947"/>
      <c r="GR68" s="1947"/>
      <c r="GS68" s="1947"/>
      <c r="GT68" s="1947"/>
      <c r="GU68" s="1947"/>
      <c r="GV68" s="1947"/>
      <c r="GW68" s="1947"/>
      <c r="GX68" s="1947"/>
      <c r="GY68" s="1947"/>
      <c r="GZ68" s="1947"/>
      <c r="HA68" s="1947"/>
      <c r="HB68" s="1947"/>
      <c r="HC68" s="1947"/>
      <c r="HD68" s="1947"/>
      <c r="HE68" s="1947"/>
      <c r="HF68" s="1947"/>
      <c r="HG68" s="1947"/>
      <c r="HH68" s="1947"/>
      <c r="HI68" s="1947"/>
      <c r="HJ68" s="1947"/>
      <c r="HK68" s="1947"/>
      <c r="HL68" s="1947"/>
      <c r="HM68" s="1947"/>
      <c r="HN68" s="1947"/>
      <c r="HO68" s="1947"/>
      <c r="HP68" s="1947"/>
      <c r="HQ68" s="1947"/>
      <c r="HR68" s="1947"/>
      <c r="HS68" s="1947"/>
      <c r="HT68" s="1947"/>
      <c r="HU68" s="1947"/>
      <c r="HV68" s="1947"/>
      <c r="HW68" s="1947"/>
      <c r="HX68" s="1947"/>
      <c r="HY68" s="1947"/>
      <c r="HZ68" s="1947"/>
      <c r="IA68" s="1947"/>
      <c r="IB68" s="1947"/>
      <c r="IC68" s="1947"/>
      <c r="ID68" s="1947"/>
      <c r="IE68" s="1947"/>
      <c r="IF68" s="1947"/>
      <c r="IG68" s="1947"/>
      <c r="IH68" s="1947"/>
      <c r="II68" s="1947"/>
      <c r="IJ68" s="1947"/>
      <c r="IK68" s="1947"/>
      <c r="IL68" s="1947"/>
      <c r="IM68" s="1947"/>
      <c r="IN68" s="1947"/>
      <c r="IO68" s="1947"/>
      <c r="IP68" s="1947"/>
      <c r="IQ68" s="1947"/>
    </row>
    <row r="69" spans="1:251" hidden="1">
      <c r="A69" s="1026"/>
      <c r="B69" s="1955"/>
      <c r="C69" s="1955"/>
      <c r="D69" s="2034"/>
      <c r="E69" s="1955"/>
      <c r="F69" s="1942">
        <f>ROUNDUP((E69*$Q$5),-3)</f>
        <v>0</v>
      </c>
      <c r="G69" s="1026"/>
      <c r="H69" s="1942">
        <f>D69*F69*G69</f>
        <v>0</v>
      </c>
      <c r="I69" s="1026"/>
      <c r="J69" s="1942">
        <f>I69*$Q$4</f>
        <v>0</v>
      </c>
      <c r="K69" s="1026"/>
      <c r="L69" s="1942">
        <f>K69*F69</f>
        <v>0</v>
      </c>
      <c r="M69" s="1942">
        <f>D69*G69*(J69+L69)</f>
        <v>0</v>
      </c>
      <c r="N69" s="1942">
        <f>H69+M69</f>
        <v>0</v>
      </c>
      <c r="O69" s="1026"/>
      <c r="P69" s="1026"/>
      <c r="Q69" s="1942">
        <f>N69+O69+P69</f>
        <v>0</v>
      </c>
      <c r="R69" s="1942">
        <f>Q69*10%</f>
        <v>0</v>
      </c>
      <c r="S69" s="1942">
        <f>(Q69-R69)*10%</f>
        <v>0</v>
      </c>
      <c r="T69" s="1942">
        <f>(Q69-R69)*6%</f>
        <v>0</v>
      </c>
      <c r="U69" s="1942">
        <f>(Q69-R69)*5%</f>
        <v>0</v>
      </c>
      <c r="V69" s="3034">
        <f t="shared" si="2"/>
        <v>0</v>
      </c>
      <c r="W69" s="1942"/>
      <c r="X69" s="1923">
        <v>0.01</v>
      </c>
      <c r="Y69" s="1947"/>
      <c r="Z69" s="1947"/>
      <c r="AA69" s="1947"/>
      <c r="AB69" s="1947"/>
      <c r="AC69" s="1947"/>
      <c r="AD69" s="1947"/>
      <c r="AE69" s="1947"/>
      <c r="AF69" s="1947"/>
      <c r="AG69" s="1947"/>
      <c r="AH69" s="1947"/>
      <c r="AI69" s="1947"/>
      <c r="AJ69" s="1947"/>
      <c r="AK69" s="1947"/>
      <c r="AL69" s="1947"/>
      <c r="AM69" s="1947"/>
      <c r="AN69" s="1947"/>
      <c r="AO69" s="1947"/>
      <c r="AP69" s="1947"/>
      <c r="AQ69" s="1947"/>
      <c r="AR69" s="1947"/>
      <c r="AS69" s="1947"/>
      <c r="AT69" s="1947"/>
      <c r="AU69" s="1947"/>
      <c r="AV69" s="1947"/>
      <c r="AW69" s="1947"/>
      <c r="AX69" s="1947"/>
      <c r="AY69" s="1947"/>
      <c r="AZ69" s="1947"/>
      <c r="BA69" s="1947"/>
      <c r="BB69" s="1947"/>
      <c r="BC69" s="1947"/>
      <c r="BD69" s="1947"/>
      <c r="BE69" s="1947"/>
      <c r="BF69" s="1947"/>
      <c r="BG69" s="1947"/>
      <c r="BH69" s="1947"/>
      <c r="BI69" s="1947"/>
      <c r="BJ69" s="1947"/>
      <c r="BK69" s="1947"/>
      <c r="BL69" s="1947"/>
      <c r="BM69" s="1947"/>
      <c r="BN69" s="1947"/>
      <c r="BO69" s="1947"/>
      <c r="BP69" s="1947"/>
      <c r="BQ69" s="1947"/>
      <c r="BR69" s="1947"/>
      <c r="BS69" s="1947"/>
      <c r="BT69" s="1947"/>
      <c r="BU69" s="1947"/>
      <c r="BV69" s="1947"/>
      <c r="BW69" s="1947"/>
      <c r="BX69" s="1947"/>
      <c r="BY69" s="1947"/>
      <c r="BZ69" s="1947"/>
      <c r="CA69" s="1947"/>
      <c r="CB69" s="1947"/>
      <c r="CC69" s="1947"/>
      <c r="CD69" s="1947"/>
      <c r="CE69" s="1947"/>
      <c r="CF69" s="1947"/>
      <c r="CG69" s="1947"/>
      <c r="CH69" s="1947"/>
      <c r="CI69" s="1947"/>
      <c r="CJ69" s="1947"/>
      <c r="CK69" s="1947"/>
      <c r="CL69" s="1947"/>
      <c r="CM69" s="1947"/>
      <c r="CN69" s="1947"/>
      <c r="CO69" s="1947"/>
      <c r="CP69" s="1947"/>
      <c r="CQ69" s="1947"/>
      <c r="CR69" s="1947"/>
      <c r="CS69" s="1947"/>
      <c r="CT69" s="1947"/>
      <c r="CU69" s="1947"/>
      <c r="CV69" s="1947"/>
      <c r="CW69" s="1947"/>
      <c r="CX69" s="1947"/>
      <c r="CY69" s="1947"/>
      <c r="CZ69" s="1947"/>
      <c r="DA69" s="1947"/>
      <c r="DB69" s="1947"/>
      <c r="DC69" s="1947"/>
      <c r="DD69" s="1947"/>
      <c r="DE69" s="1947"/>
      <c r="DF69" s="1947"/>
      <c r="DG69" s="1947"/>
      <c r="DH69" s="1947"/>
      <c r="DI69" s="1947"/>
      <c r="DJ69" s="1947"/>
      <c r="DK69" s="1947"/>
      <c r="DL69" s="1947"/>
      <c r="DM69" s="1947"/>
      <c r="DN69" s="1947"/>
      <c r="DO69" s="1947"/>
      <c r="DP69" s="1947"/>
      <c r="DQ69" s="1947"/>
      <c r="DR69" s="1947"/>
      <c r="DS69" s="1947"/>
      <c r="DT69" s="1947"/>
      <c r="DU69" s="1947"/>
      <c r="DV69" s="1947"/>
      <c r="DW69" s="1947"/>
      <c r="DX69" s="1947"/>
      <c r="DY69" s="1947"/>
      <c r="DZ69" s="1947"/>
      <c r="EA69" s="1947"/>
      <c r="EB69" s="1947"/>
      <c r="EC69" s="1947"/>
      <c r="ED69" s="1947"/>
      <c r="EE69" s="1947"/>
      <c r="EF69" s="1947"/>
      <c r="EG69" s="1947"/>
      <c r="EH69" s="1947"/>
      <c r="EI69" s="1947"/>
      <c r="EJ69" s="1947"/>
      <c r="EK69" s="1947"/>
      <c r="EL69" s="1947"/>
      <c r="EM69" s="1947"/>
      <c r="EN69" s="1947"/>
      <c r="EO69" s="1947"/>
      <c r="EP69" s="1947"/>
      <c r="EQ69" s="1947"/>
      <c r="ER69" s="1947"/>
      <c r="ES69" s="1947"/>
      <c r="ET69" s="1947"/>
      <c r="EU69" s="1947"/>
      <c r="EV69" s="1947"/>
      <c r="EW69" s="1947"/>
      <c r="EX69" s="1947"/>
      <c r="EY69" s="1947"/>
      <c r="EZ69" s="1947"/>
      <c r="FA69" s="1947"/>
      <c r="FB69" s="1947"/>
      <c r="FC69" s="1947"/>
      <c r="FD69" s="1947"/>
      <c r="FE69" s="1947"/>
      <c r="FF69" s="1947"/>
      <c r="FG69" s="1947"/>
      <c r="FH69" s="1947"/>
      <c r="FI69" s="1947"/>
      <c r="FJ69" s="1947"/>
      <c r="FK69" s="1947"/>
      <c r="FL69" s="1947"/>
      <c r="FM69" s="1947"/>
      <c r="FN69" s="1947"/>
      <c r="FO69" s="1947"/>
      <c r="FP69" s="1947"/>
      <c r="FQ69" s="1947"/>
      <c r="FR69" s="1947"/>
      <c r="FS69" s="1947"/>
      <c r="FT69" s="1947"/>
      <c r="FU69" s="1947"/>
      <c r="FV69" s="1947"/>
      <c r="FW69" s="1947"/>
      <c r="FX69" s="1947"/>
      <c r="FY69" s="1947"/>
      <c r="FZ69" s="1947"/>
      <c r="GA69" s="1947"/>
      <c r="GB69" s="1947"/>
      <c r="GC69" s="1947"/>
      <c r="GD69" s="1947"/>
      <c r="GE69" s="1947"/>
      <c r="GF69" s="1947"/>
      <c r="GG69" s="1947"/>
      <c r="GH69" s="1947"/>
      <c r="GI69" s="1947"/>
      <c r="GJ69" s="1947"/>
      <c r="GK69" s="1947"/>
      <c r="GL69" s="1947"/>
      <c r="GM69" s="1947"/>
      <c r="GN69" s="1947"/>
      <c r="GO69" s="1947"/>
      <c r="GP69" s="1947"/>
      <c r="GQ69" s="1947"/>
      <c r="GR69" s="1947"/>
      <c r="GS69" s="1947"/>
      <c r="GT69" s="1947"/>
      <c r="GU69" s="1947"/>
      <c r="GV69" s="1947"/>
      <c r="GW69" s="1947"/>
      <c r="GX69" s="1947"/>
      <c r="GY69" s="1947"/>
      <c r="GZ69" s="1947"/>
      <c r="HA69" s="1947"/>
      <c r="HB69" s="1947"/>
      <c r="HC69" s="1947"/>
      <c r="HD69" s="1947"/>
      <c r="HE69" s="1947"/>
      <c r="HF69" s="1947"/>
      <c r="HG69" s="1947"/>
      <c r="HH69" s="1947"/>
      <c r="HI69" s="1947"/>
      <c r="HJ69" s="1947"/>
      <c r="HK69" s="1947"/>
      <c r="HL69" s="1947"/>
      <c r="HM69" s="1947"/>
      <c r="HN69" s="1947"/>
      <c r="HO69" s="1947"/>
      <c r="HP69" s="1947"/>
      <c r="HQ69" s="1947"/>
      <c r="HR69" s="1947"/>
      <c r="HS69" s="1947"/>
      <c r="HT69" s="1947"/>
      <c r="HU69" s="1947"/>
      <c r="HV69" s="1947"/>
      <c r="HW69" s="1947"/>
      <c r="HX69" s="1947"/>
      <c r="HY69" s="1947"/>
      <c r="HZ69" s="1947"/>
      <c r="IA69" s="1947"/>
      <c r="IB69" s="1947"/>
      <c r="IC69" s="1947"/>
      <c r="ID69" s="1947"/>
      <c r="IE69" s="1947"/>
      <c r="IF69" s="1947"/>
      <c r="IG69" s="1947"/>
      <c r="IH69" s="1947"/>
      <c r="II69" s="1947"/>
      <c r="IJ69" s="1947"/>
      <c r="IK69" s="1947"/>
      <c r="IL69" s="1947"/>
      <c r="IM69" s="1947"/>
      <c r="IN69" s="1947"/>
      <c r="IO69" s="1947"/>
      <c r="IP69" s="1947"/>
      <c r="IQ69" s="1947"/>
    </row>
    <row r="70" spans="1:251" hidden="1">
      <c r="A70" s="1026"/>
      <c r="B70" s="1955"/>
      <c r="C70" s="1955"/>
      <c r="D70" s="2034"/>
      <c r="E70" s="1955"/>
      <c r="F70" s="1942">
        <f t="shared" ref="F70:F100" si="33">ROUNDUP((E70*$Q$5),-3)</f>
        <v>0</v>
      </c>
      <c r="G70" s="1026"/>
      <c r="H70" s="1942">
        <f t="shared" ref="H70:H100" si="34">D70*F70*G70</f>
        <v>0</v>
      </c>
      <c r="I70" s="1026"/>
      <c r="J70" s="1942">
        <f t="shared" ref="J70:J100" si="35">I70*$Q$4</f>
        <v>0</v>
      </c>
      <c r="K70" s="1026"/>
      <c r="L70" s="1942">
        <f t="shared" ref="L70:L100" si="36">K70*F70</f>
        <v>0</v>
      </c>
      <c r="M70" s="1942">
        <f t="shared" ref="M70:M100" si="37">D70*G70*(J70+L70)</f>
        <v>0</v>
      </c>
      <c r="N70" s="1942">
        <f t="shared" ref="N70:N100" si="38">H70+M70</f>
        <v>0</v>
      </c>
      <c r="O70" s="1026"/>
      <c r="P70" s="1026"/>
      <c r="Q70" s="1942">
        <f t="shared" ref="Q70:Q100" si="39">N70+O70+P70</f>
        <v>0</v>
      </c>
      <c r="R70" s="1942">
        <f t="shared" ref="R70:R100" si="40">Q70*10%</f>
        <v>0</v>
      </c>
      <c r="S70" s="1942">
        <f t="shared" ref="S70:S100" si="41">(Q70-R70)*10%</f>
        <v>0</v>
      </c>
      <c r="T70" s="1942">
        <f t="shared" ref="T70:T100" si="42">(Q70-R70)*6%</f>
        <v>0</v>
      </c>
      <c r="U70" s="1942">
        <f t="shared" ref="U70:U100" si="43">(Q70-R70)*5%</f>
        <v>0</v>
      </c>
      <c r="V70" s="3034">
        <f t="shared" si="2"/>
        <v>0</v>
      </c>
      <c r="W70" s="1942"/>
      <c r="X70" s="1923">
        <v>0.01</v>
      </c>
      <c r="Y70" s="1947"/>
      <c r="Z70" s="1947"/>
      <c r="AA70" s="1947"/>
      <c r="AB70" s="1947"/>
      <c r="AC70" s="1947"/>
      <c r="AD70" s="1947"/>
      <c r="AE70" s="1947"/>
      <c r="AF70" s="1947"/>
      <c r="AG70" s="1947"/>
      <c r="AH70" s="1947"/>
      <c r="AI70" s="1947"/>
      <c r="AJ70" s="1947"/>
      <c r="AK70" s="1947"/>
      <c r="AL70" s="1947"/>
      <c r="AM70" s="1947"/>
      <c r="AN70" s="1947"/>
      <c r="AO70" s="1947"/>
      <c r="AP70" s="1947"/>
      <c r="AQ70" s="1947"/>
      <c r="AR70" s="1947"/>
      <c r="AS70" s="1947"/>
      <c r="AT70" s="1947"/>
      <c r="AU70" s="1947"/>
      <c r="AV70" s="1947"/>
      <c r="AW70" s="1947"/>
      <c r="AX70" s="1947"/>
      <c r="AY70" s="1947"/>
      <c r="AZ70" s="1947"/>
      <c r="BA70" s="1947"/>
      <c r="BB70" s="1947"/>
      <c r="BC70" s="1947"/>
      <c r="BD70" s="1947"/>
      <c r="BE70" s="1947"/>
      <c r="BF70" s="1947"/>
      <c r="BG70" s="1947"/>
      <c r="BH70" s="1947"/>
      <c r="BI70" s="1947"/>
      <c r="BJ70" s="1947"/>
      <c r="BK70" s="1947"/>
      <c r="BL70" s="1947"/>
      <c r="BM70" s="1947"/>
      <c r="BN70" s="1947"/>
      <c r="BO70" s="1947"/>
      <c r="BP70" s="1947"/>
      <c r="BQ70" s="1947"/>
      <c r="BR70" s="1947"/>
      <c r="BS70" s="1947"/>
      <c r="BT70" s="1947"/>
      <c r="BU70" s="1947"/>
      <c r="BV70" s="1947"/>
      <c r="BW70" s="1947"/>
      <c r="BX70" s="1947"/>
      <c r="BY70" s="1947"/>
      <c r="BZ70" s="1947"/>
      <c r="CA70" s="1947"/>
      <c r="CB70" s="1947"/>
      <c r="CC70" s="1947"/>
      <c r="CD70" s="1947"/>
      <c r="CE70" s="1947"/>
      <c r="CF70" s="1947"/>
      <c r="CG70" s="1947"/>
      <c r="CH70" s="1947"/>
      <c r="CI70" s="1947"/>
      <c r="CJ70" s="1947"/>
      <c r="CK70" s="1947"/>
      <c r="CL70" s="1947"/>
      <c r="CM70" s="1947"/>
      <c r="CN70" s="1947"/>
      <c r="CO70" s="1947"/>
      <c r="CP70" s="1947"/>
      <c r="CQ70" s="1947"/>
      <c r="CR70" s="1947"/>
      <c r="CS70" s="1947"/>
      <c r="CT70" s="1947"/>
      <c r="CU70" s="1947"/>
      <c r="CV70" s="1947"/>
      <c r="CW70" s="1947"/>
      <c r="CX70" s="1947"/>
      <c r="CY70" s="1947"/>
      <c r="CZ70" s="1947"/>
      <c r="DA70" s="1947"/>
      <c r="DB70" s="1947"/>
      <c r="DC70" s="1947"/>
      <c r="DD70" s="1947"/>
      <c r="DE70" s="1947"/>
      <c r="DF70" s="1947"/>
      <c r="DG70" s="1947"/>
      <c r="DH70" s="1947"/>
      <c r="DI70" s="1947"/>
      <c r="DJ70" s="1947"/>
      <c r="DK70" s="1947"/>
      <c r="DL70" s="1947"/>
      <c r="DM70" s="1947"/>
      <c r="DN70" s="1947"/>
      <c r="DO70" s="1947"/>
      <c r="DP70" s="1947"/>
      <c r="DQ70" s="1947"/>
      <c r="DR70" s="1947"/>
      <c r="DS70" s="1947"/>
      <c r="DT70" s="1947"/>
      <c r="DU70" s="1947"/>
      <c r="DV70" s="1947"/>
      <c r="DW70" s="1947"/>
      <c r="DX70" s="1947"/>
      <c r="DY70" s="1947"/>
      <c r="DZ70" s="1947"/>
      <c r="EA70" s="1947"/>
      <c r="EB70" s="1947"/>
      <c r="EC70" s="1947"/>
      <c r="ED70" s="1947"/>
      <c r="EE70" s="1947"/>
      <c r="EF70" s="1947"/>
      <c r="EG70" s="1947"/>
      <c r="EH70" s="1947"/>
      <c r="EI70" s="1947"/>
      <c r="EJ70" s="1947"/>
      <c r="EK70" s="1947"/>
      <c r="EL70" s="1947"/>
      <c r="EM70" s="1947"/>
      <c r="EN70" s="1947"/>
      <c r="EO70" s="1947"/>
      <c r="EP70" s="1947"/>
      <c r="EQ70" s="1947"/>
      <c r="ER70" s="1947"/>
      <c r="ES70" s="1947"/>
      <c r="ET70" s="1947"/>
      <c r="EU70" s="1947"/>
      <c r="EV70" s="1947"/>
      <c r="EW70" s="1947"/>
      <c r="EX70" s="1947"/>
      <c r="EY70" s="1947"/>
      <c r="EZ70" s="1947"/>
      <c r="FA70" s="1947"/>
      <c r="FB70" s="1947"/>
      <c r="FC70" s="1947"/>
      <c r="FD70" s="1947"/>
      <c r="FE70" s="1947"/>
      <c r="FF70" s="1947"/>
      <c r="FG70" s="1947"/>
      <c r="FH70" s="1947"/>
      <c r="FI70" s="1947"/>
      <c r="FJ70" s="1947"/>
      <c r="FK70" s="1947"/>
      <c r="FL70" s="1947"/>
      <c r="FM70" s="1947"/>
      <c r="FN70" s="1947"/>
      <c r="FO70" s="1947"/>
      <c r="FP70" s="1947"/>
      <c r="FQ70" s="1947"/>
      <c r="FR70" s="1947"/>
      <c r="FS70" s="1947"/>
      <c r="FT70" s="1947"/>
      <c r="FU70" s="1947"/>
      <c r="FV70" s="1947"/>
      <c r="FW70" s="1947"/>
      <c r="FX70" s="1947"/>
      <c r="FY70" s="1947"/>
      <c r="FZ70" s="1947"/>
      <c r="GA70" s="1947"/>
      <c r="GB70" s="1947"/>
      <c r="GC70" s="1947"/>
      <c r="GD70" s="1947"/>
      <c r="GE70" s="1947"/>
      <c r="GF70" s="1947"/>
      <c r="GG70" s="1947"/>
      <c r="GH70" s="1947"/>
      <c r="GI70" s="1947"/>
      <c r="GJ70" s="1947"/>
      <c r="GK70" s="1947"/>
      <c r="GL70" s="1947"/>
      <c r="GM70" s="1947"/>
      <c r="GN70" s="1947"/>
      <c r="GO70" s="1947"/>
      <c r="GP70" s="1947"/>
      <c r="GQ70" s="1947"/>
      <c r="GR70" s="1947"/>
      <c r="GS70" s="1947"/>
      <c r="GT70" s="1947"/>
      <c r="GU70" s="1947"/>
      <c r="GV70" s="1947"/>
      <c r="GW70" s="1947"/>
      <c r="GX70" s="1947"/>
      <c r="GY70" s="1947"/>
      <c r="GZ70" s="1947"/>
      <c r="HA70" s="1947"/>
      <c r="HB70" s="1947"/>
      <c r="HC70" s="1947"/>
      <c r="HD70" s="1947"/>
      <c r="HE70" s="1947"/>
      <c r="HF70" s="1947"/>
      <c r="HG70" s="1947"/>
      <c r="HH70" s="1947"/>
      <c r="HI70" s="1947"/>
      <c r="HJ70" s="1947"/>
      <c r="HK70" s="1947"/>
      <c r="HL70" s="1947"/>
      <c r="HM70" s="1947"/>
      <c r="HN70" s="1947"/>
      <c r="HO70" s="1947"/>
      <c r="HP70" s="1947"/>
      <c r="HQ70" s="1947"/>
      <c r="HR70" s="1947"/>
      <c r="HS70" s="1947"/>
      <c r="HT70" s="1947"/>
      <c r="HU70" s="1947"/>
      <c r="HV70" s="1947"/>
      <c r="HW70" s="1947"/>
      <c r="HX70" s="1947"/>
      <c r="HY70" s="1947"/>
      <c r="HZ70" s="1947"/>
      <c r="IA70" s="1947"/>
      <c r="IB70" s="1947"/>
      <c r="IC70" s="1947"/>
      <c r="ID70" s="1947"/>
      <c r="IE70" s="1947"/>
      <c r="IF70" s="1947"/>
      <c r="IG70" s="1947"/>
      <c r="IH70" s="1947"/>
      <c r="II70" s="1947"/>
      <c r="IJ70" s="1947"/>
      <c r="IK70" s="1947"/>
      <c r="IL70" s="1947"/>
      <c r="IM70" s="1947"/>
      <c r="IN70" s="1947"/>
      <c r="IO70" s="1947"/>
      <c r="IP70" s="1947"/>
      <c r="IQ70" s="1947"/>
    </row>
    <row r="71" spans="1:251" hidden="1">
      <c r="A71" s="1026"/>
      <c r="B71" s="1955"/>
      <c r="C71" s="1955"/>
      <c r="D71" s="2034"/>
      <c r="E71" s="1955"/>
      <c r="F71" s="1942">
        <f t="shared" si="33"/>
        <v>0</v>
      </c>
      <c r="G71" s="1026"/>
      <c r="H71" s="1942">
        <f t="shared" si="34"/>
        <v>0</v>
      </c>
      <c r="I71" s="1026"/>
      <c r="J71" s="1942">
        <f t="shared" si="35"/>
        <v>0</v>
      </c>
      <c r="K71" s="1026"/>
      <c r="L71" s="1942">
        <f t="shared" si="36"/>
        <v>0</v>
      </c>
      <c r="M71" s="1942">
        <f t="shared" si="37"/>
        <v>0</v>
      </c>
      <c r="N71" s="1942">
        <f t="shared" si="38"/>
        <v>0</v>
      </c>
      <c r="O71" s="1026"/>
      <c r="P71" s="1026"/>
      <c r="Q71" s="1942">
        <f t="shared" si="39"/>
        <v>0</v>
      </c>
      <c r="R71" s="1942">
        <f t="shared" si="40"/>
        <v>0</v>
      </c>
      <c r="S71" s="1942">
        <f t="shared" si="41"/>
        <v>0</v>
      </c>
      <c r="T71" s="1942">
        <f t="shared" si="42"/>
        <v>0</v>
      </c>
      <c r="U71" s="1942">
        <f t="shared" si="43"/>
        <v>0</v>
      </c>
      <c r="V71" s="3034">
        <f t="shared" si="2"/>
        <v>0</v>
      </c>
      <c r="W71" s="1942"/>
      <c r="X71" s="1923">
        <v>0.01</v>
      </c>
      <c r="Y71" s="1947"/>
      <c r="Z71" s="1947"/>
      <c r="AA71" s="1947"/>
      <c r="AB71" s="1947"/>
      <c r="AC71" s="1947"/>
      <c r="AD71" s="1947"/>
      <c r="AE71" s="1947"/>
      <c r="AF71" s="1947"/>
      <c r="AG71" s="1947"/>
      <c r="AH71" s="1947"/>
      <c r="AI71" s="1947"/>
      <c r="AJ71" s="1947"/>
      <c r="AK71" s="1947"/>
      <c r="AL71" s="1947"/>
      <c r="AM71" s="1947"/>
      <c r="AN71" s="1947"/>
      <c r="AO71" s="1947"/>
      <c r="AP71" s="1947"/>
      <c r="AQ71" s="1947"/>
      <c r="AR71" s="1947"/>
      <c r="AS71" s="1947"/>
      <c r="AT71" s="1947"/>
      <c r="AU71" s="1947"/>
      <c r="AV71" s="1947"/>
      <c r="AW71" s="1947"/>
      <c r="AX71" s="1947"/>
      <c r="AY71" s="1947"/>
      <c r="AZ71" s="1947"/>
      <c r="BA71" s="1947"/>
      <c r="BB71" s="1947"/>
      <c r="BC71" s="1947"/>
      <c r="BD71" s="1947"/>
      <c r="BE71" s="1947"/>
      <c r="BF71" s="1947"/>
      <c r="BG71" s="1947"/>
      <c r="BH71" s="1947"/>
      <c r="BI71" s="1947"/>
      <c r="BJ71" s="1947"/>
      <c r="BK71" s="1947"/>
      <c r="BL71" s="1947"/>
      <c r="BM71" s="1947"/>
      <c r="BN71" s="1947"/>
      <c r="BO71" s="1947"/>
      <c r="BP71" s="1947"/>
      <c r="BQ71" s="1947"/>
      <c r="BR71" s="1947"/>
      <c r="BS71" s="1947"/>
      <c r="BT71" s="1947"/>
      <c r="BU71" s="1947"/>
      <c r="BV71" s="1947"/>
      <c r="BW71" s="1947"/>
      <c r="BX71" s="1947"/>
      <c r="BY71" s="1947"/>
      <c r="BZ71" s="1947"/>
      <c r="CA71" s="1947"/>
      <c r="CB71" s="1947"/>
      <c r="CC71" s="1947"/>
      <c r="CD71" s="1947"/>
      <c r="CE71" s="1947"/>
      <c r="CF71" s="1947"/>
      <c r="CG71" s="1947"/>
      <c r="CH71" s="1947"/>
      <c r="CI71" s="1947"/>
      <c r="CJ71" s="1947"/>
      <c r="CK71" s="1947"/>
      <c r="CL71" s="1947"/>
      <c r="CM71" s="1947"/>
      <c r="CN71" s="1947"/>
      <c r="CO71" s="1947"/>
      <c r="CP71" s="1947"/>
      <c r="CQ71" s="1947"/>
      <c r="CR71" s="1947"/>
      <c r="CS71" s="1947"/>
      <c r="CT71" s="1947"/>
      <c r="CU71" s="1947"/>
      <c r="CV71" s="1947"/>
      <c r="CW71" s="1947"/>
      <c r="CX71" s="1947"/>
      <c r="CY71" s="1947"/>
      <c r="CZ71" s="1947"/>
      <c r="DA71" s="1947"/>
      <c r="DB71" s="1947"/>
      <c r="DC71" s="1947"/>
      <c r="DD71" s="1947"/>
      <c r="DE71" s="1947"/>
      <c r="DF71" s="1947"/>
      <c r="DG71" s="1947"/>
      <c r="DH71" s="1947"/>
      <c r="DI71" s="1947"/>
      <c r="DJ71" s="1947"/>
      <c r="DK71" s="1947"/>
      <c r="DL71" s="1947"/>
      <c r="DM71" s="1947"/>
      <c r="DN71" s="1947"/>
      <c r="DO71" s="1947"/>
      <c r="DP71" s="1947"/>
      <c r="DQ71" s="1947"/>
      <c r="DR71" s="1947"/>
      <c r="DS71" s="1947"/>
      <c r="DT71" s="1947"/>
      <c r="DU71" s="1947"/>
      <c r="DV71" s="1947"/>
      <c r="DW71" s="1947"/>
      <c r="DX71" s="1947"/>
      <c r="DY71" s="1947"/>
      <c r="DZ71" s="1947"/>
      <c r="EA71" s="1947"/>
      <c r="EB71" s="1947"/>
      <c r="EC71" s="1947"/>
      <c r="ED71" s="1947"/>
      <c r="EE71" s="1947"/>
      <c r="EF71" s="1947"/>
      <c r="EG71" s="1947"/>
      <c r="EH71" s="1947"/>
      <c r="EI71" s="1947"/>
      <c r="EJ71" s="1947"/>
      <c r="EK71" s="1947"/>
      <c r="EL71" s="1947"/>
      <c r="EM71" s="1947"/>
      <c r="EN71" s="1947"/>
      <c r="EO71" s="1947"/>
      <c r="EP71" s="1947"/>
      <c r="EQ71" s="1947"/>
      <c r="ER71" s="1947"/>
      <c r="ES71" s="1947"/>
      <c r="ET71" s="1947"/>
      <c r="EU71" s="1947"/>
      <c r="EV71" s="1947"/>
      <c r="EW71" s="1947"/>
      <c r="EX71" s="1947"/>
      <c r="EY71" s="1947"/>
      <c r="EZ71" s="1947"/>
      <c r="FA71" s="1947"/>
      <c r="FB71" s="1947"/>
      <c r="FC71" s="1947"/>
      <c r="FD71" s="1947"/>
      <c r="FE71" s="1947"/>
      <c r="FF71" s="1947"/>
      <c r="FG71" s="1947"/>
      <c r="FH71" s="1947"/>
      <c r="FI71" s="1947"/>
      <c r="FJ71" s="1947"/>
      <c r="FK71" s="1947"/>
      <c r="FL71" s="1947"/>
      <c r="FM71" s="1947"/>
      <c r="FN71" s="1947"/>
      <c r="FO71" s="1947"/>
      <c r="FP71" s="1947"/>
      <c r="FQ71" s="1947"/>
      <c r="FR71" s="1947"/>
      <c r="FS71" s="1947"/>
      <c r="FT71" s="1947"/>
      <c r="FU71" s="1947"/>
      <c r="FV71" s="1947"/>
      <c r="FW71" s="1947"/>
      <c r="FX71" s="1947"/>
      <c r="FY71" s="1947"/>
      <c r="FZ71" s="1947"/>
      <c r="GA71" s="1947"/>
      <c r="GB71" s="1947"/>
      <c r="GC71" s="1947"/>
      <c r="GD71" s="1947"/>
      <c r="GE71" s="1947"/>
      <c r="GF71" s="1947"/>
      <c r="GG71" s="1947"/>
      <c r="GH71" s="1947"/>
      <c r="GI71" s="1947"/>
      <c r="GJ71" s="1947"/>
      <c r="GK71" s="1947"/>
      <c r="GL71" s="1947"/>
      <c r="GM71" s="1947"/>
      <c r="GN71" s="1947"/>
      <c r="GO71" s="1947"/>
      <c r="GP71" s="1947"/>
      <c r="GQ71" s="1947"/>
      <c r="GR71" s="1947"/>
      <c r="GS71" s="1947"/>
      <c r="GT71" s="1947"/>
      <c r="GU71" s="1947"/>
      <c r="GV71" s="1947"/>
      <c r="GW71" s="1947"/>
      <c r="GX71" s="1947"/>
      <c r="GY71" s="1947"/>
      <c r="GZ71" s="1947"/>
      <c r="HA71" s="1947"/>
      <c r="HB71" s="1947"/>
      <c r="HC71" s="1947"/>
      <c r="HD71" s="1947"/>
      <c r="HE71" s="1947"/>
      <c r="HF71" s="1947"/>
      <c r="HG71" s="1947"/>
      <c r="HH71" s="1947"/>
      <c r="HI71" s="1947"/>
      <c r="HJ71" s="1947"/>
      <c r="HK71" s="1947"/>
      <c r="HL71" s="1947"/>
      <c r="HM71" s="1947"/>
      <c r="HN71" s="1947"/>
      <c r="HO71" s="1947"/>
      <c r="HP71" s="1947"/>
      <c r="HQ71" s="1947"/>
      <c r="HR71" s="1947"/>
      <c r="HS71" s="1947"/>
      <c r="HT71" s="1947"/>
      <c r="HU71" s="1947"/>
      <c r="HV71" s="1947"/>
      <c r="HW71" s="1947"/>
      <c r="HX71" s="1947"/>
      <c r="HY71" s="1947"/>
      <c r="HZ71" s="1947"/>
      <c r="IA71" s="1947"/>
      <c r="IB71" s="1947"/>
      <c r="IC71" s="1947"/>
      <c r="ID71" s="1947"/>
      <c r="IE71" s="1947"/>
      <c r="IF71" s="1947"/>
      <c r="IG71" s="1947"/>
      <c r="IH71" s="1947"/>
      <c r="II71" s="1947"/>
      <c r="IJ71" s="1947"/>
      <c r="IK71" s="1947"/>
      <c r="IL71" s="1947"/>
      <c r="IM71" s="1947"/>
      <c r="IN71" s="1947"/>
      <c r="IO71" s="1947"/>
      <c r="IP71" s="1947"/>
      <c r="IQ71" s="1947"/>
    </row>
    <row r="72" spans="1:251" hidden="1">
      <c r="A72" s="1026"/>
      <c r="B72" s="1955"/>
      <c r="C72" s="1955"/>
      <c r="D72" s="2034"/>
      <c r="E72" s="1955"/>
      <c r="F72" s="1942">
        <f t="shared" si="33"/>
        <v>0</v>
      </c>
      <c r="G72" s="1026"/>
      <c r="H72" s="1942">
        <f t="shared" si="34"/>
        <v>0</v>
      </c>
      <c r="I72" s="1026"/>
      <c r="J72" s="1942">
        <f t="shared" si="35"/>
        <v>0</v>
      </c>
      <c r="K72" s="1026"/>
      <c r="L72" s="1942">
        <f t="shared" si="36"/>
        <v>0</v>
      </c>
      <c r="M72" s="1942">
        <f t="shared" si="37"/>
        <v>0</v>
      </c>
      <c r="N72" s="1942">
        <f t="shared" si="38"/>
        <v>0</v>
      </c>
      <c r="O72" s="1026"/>
      <c r="P72" s="1026"/>
      <c r="Q72" s="1942">
        <f t="shared" si="39"/>
        <v>0</v>
      </c>
      <c r="R72" s="1942">
        <f t="shared" si="40"/>
        <v>0</v>
      </c>
      <c r="S72" s="1942">
        <f t="shared" si="41"/>
        <v>0</v>
      </c>
      <c r="T72" s="1942">
        <f t="shared" si="42"/>
        <v>0</v>
      </c>
      <c r="U72" s="1942">
        <f t="shared" si="43"/>
        <v>0</v>
      </c>
      <c r="V72" s="3034">
        <f t="shared" si="2"/>
        <v>0</v>
      </c>
      <c r="W72" s="1942"/>
      <c r="X72" s="1923">
        <v>0.01</v>
      </c>
      <c r="Y72" s="1947"/>
      <c r="Z72" s="1947"/>
      <c r="AA72" s="1947"/>
      <c r="AB72" s="1947"/>
      <c r="AC72" s="1947"/>
      <c r="AD72" s="1947"/>
      <c r="AE72" s="1947"/>
      <c r="AF72" s="1947"/>
      <c r="AG72" s="1947"/>
      <c r="AH72" s="1947"/>
      <c r="AI72" s="1947"/>
      <c r="AJ72" s="1947"/>
      <c r="AK72" s="1947"/>
      <c r="AL72" s="1947"/>
      <c r="AM72" s="1947"/>
      <c r="AN72" s="1947"/>
      <c r="AO72" s="1947"/>
      <c r="AP72" s="1947"/>
      <c r="AQ72" s="1947"/>
      <c r="AR72" s="1947"/>
      <c r="AS72" s="1947"/>
      <c r="AT72" s="1947"/>
      <c r="AU72" s="1947"/>
      <c r="AV72" s="1947"/>
      <c r="AW72" s="1947"/>
      <c r="AX72" s="1947"/>
      <c r="AY72" s="1947"/>
      <c r="AZ72" s="1947"/>
      <c r="BA72" s="1947"/>
      <c r="BB72" s="1947"/>
      <c r="BC72" s="1947"/>
      <c r="BD72" s="1947"/>
      <c r="BE72" s="1947"/>
      <c r="BF72" s="1947"/>
      <c r="BG72" s="1947"/>
      <c r="BH72" s="1947"/>
      <c r="BI72" s="1947"/>
      <c r="BJ72" s="1947"/>
      <c r="BK72" s="1947"/>
      <c r="BL72" s="1947"/>
      <c r="BM72" s="1947"/>
      <c r="BN72" s="1947"/>
      <c r="BO72" s="1947"/>
      <c r="BP72" s="1947"/>
      <c r="BQ72" s="1947"/>
      <c r="BR72" s="1947"/>
      <c r="BS72" s="1947"/>
      <c r="BT72" s="1947"/>
      <c r="BU72" s="1947"/>
      <c r="BV72" s="1947"/>
      <c r="BW72" s="1947"/>
      <c r="BX72" s="1947"/>
      <c r="BY72" s="1947"/>
      <c r="BZ72" s="1947"/>
      <c r="CA72" s="1947"/>
      <c r="CB72" s="1947"/>
      <c r="CC72" s="1947"/>
      <c r="CD72" s="1947"/>
      <c r="CE72" s="1947"/>
      <c r="CF72" s="1947"/>
      <c r="CG72" s="1947"/>
      <c r="CH72" s="1947"/>
      <c r="CI72" s="1947"/>
      <c r="CJ72" s="1947"/>
      <c r="CK72" s="1947"/>
      <c r="CL72" s="1947"/>
      <c r="CM72" s="1947"/>
      <c r="CN72" s="1947"/>
      <c r="CO72" s="1947"/>
      <c r="CP72" s="1947"/>
      <c r="CQ72" s="1947"/>
      <c r="CR72" s="1947"/>
      <c r="CS72" s="1947"/>
      <c r="CT72" s="1947"/>
      <c r="CU72" s="1947"/>
      <c r="CV72" s="1947"/>
      <c r="CW72" s="1947"/>
      <c r="CX72" s="1947"/>
      <c r="CY72" s="1947"/>
      <c r="CZ72" s="1947"/>
      <c r="DA72" s="1947"/>
      <c r="DB72" s="1947"/>
      <c r="DC72" s="1947"/>
      <c r="DD72" s="1947"/>
      <c r="DE72" s="1947"/>
      <c r="DF72" s="1947"/>
      <c r="DG72" s="1947"/>
      <c r="DH72" s="1947"/>
      <c r="DI72" s="1947"/>
      <c r="DJ72" s="1947"/>
      <c r="DK72" s="1947"/>
      <c r="DL72" s="1947"/>
      <c r="DM72" s="1947"/>
      <c r="DN72" s="1947"/>
      <c r="DO72" s="1947"/>
      <c r="DP72" s="1947"/>
      <c r="DQ72" s="1947"/>
      <c r="DR72" s="1947"/>
      <c r="DS72" s="1947"/>
      <c r="DT72" s="1947"/>
      <c r="DU72" s="1947"/>
      <c r="DV72" s="1947"/>
      <c r="DW72" s="1947"/>
      <c r="DX72" s="1947"/>
      <c r="DY72" s="1947"/>
      <c r="DZ72" s="1947"/>
      <c r="EA72" s="1947"/>
      <c r="EB72" s="1947"/>
      <c r="EC72" s="1947"/>
      <c r="ED72" s="1947"/>
      <c r="EE72" s="1947"/>
      <c r="EF72" s="1947"/>
      <c r="EG72" s="1947"/>
      <c r="EH72" s="1947"/>
      <c r="EI72" s="1947"/>
      <c r="EJ72" s="1947"/>
      <c r="EK72" s="1947"/>
      <c r="EL72" s="1947"/>
      <c r="EM72" s="1947"/>
      <c r="EN72" s="1947"/>
      <c r="EO72" s="1947"/>
      <c r="EP72" s="1947"/>
      <c r="EQ72" s="1947"/>
      <c r="ER72" s="1947"/>
      <c r="ES72" s="1947"/>
      <c r="ET72" s="1947"/>
      <c r="EU72" s="1947"/>
      <c r="EV72" s="1947"/>
      <c r="EW72" s="1947"/>
      <c r="EX72" s="1947"/>
      <c r="EY72" s="1947"/>
      <c r="EZ72" s="1947"/>
      <c r="FA72" s="1947"/>
      <c r="FB72" s="1947"/>
      <c r="FC72" s="1947"/>
      <c r="FD72" s="1947"/>
      <c r="FE72" s="1947"/>
      <c r="FF72" s="1947"/>
      <c r="FG72" s="1947"/>
      <c r="FH72" s="1947"/>
      <c r="FI72" s="1947"/>
      <c r="FJ72" s="1947"/>
      <c r="FK72" s="1947"/>
      <c r="FL72" s="1947"/>
      <c r="FM72" s="1947"/>
      <c r="FN72" s="1947"/>
      <c r="FO72" s="1947"/>
      <c r="FP72" s="1947"/>
      <c r="FQ72" s="1947"/>
      <c r="FR72" s="1947"/>
      <c r="FS72" s="1947"/>
      <c r="FT72" s="1947"/>
      <c r="FU72" s="1947"/>
      <c r="FV72" s="1947"/>
      <c r="FW72" s="1947"/>
      <c r="FX72" s="1947"/>
      <c r="FY72" s="1947"/>
      <c r="FZ72" s="1947"/>
      <c r="GA72" s="1947"/>
      <c r="GB72" s="1947"/>
      <c r="GC72" s="1947"/>
      <c r="GD72" s="1947"/>
      <c r="GE72" s="1947"/>
      <c r="GF72" s="1947"/>
      <c r="GG72" s="1947"/>
      <c r="GH72" s="1947"/>
      <c r="GI72" s="1947"/>
      <c r="GJ72" s="1947"/>
      <c r="GK72" s="1947"/>
      <c r="GL72" s="1947"/>
      <c r="GM72" s="1947"/>
      <c r="GN72" s="1947"/>
      <c r="GO72" s="1947"/>
      <c r="GP72" s="1947"/>
      <c r="GQ72" s="1947"/>
      <c r="GR72" s="1947"/>
      <c r="GS72" s="1947"/>
      <c r="GT72" s="1947"/>
      <c r="GU72" s="1947"/>
      <c r="GV72" s="1947"/>
      <c r="GW72" s="1947"/>
      <c r="GX72" s="1947"/>
      <c r="GY72" s="1947"/>
      <c r="GZ72" s="1947"/>
      <c r="HA72" s="1947"/>
      <c r="HB72" s="1947"/>
      <c r="HC72" s="1947"/>
      <c r="HD72" s="1947"/>
      <c r="HE72" s="1947"/>
      <c r="HF72" s="1947"/>
      <c r="HG72" s="1947"/>
      <c r="HH72" s="1947"/>
      <c r="HI72" s="1947"/>
      <c r="HJ72" s="1947"/>
      <c r="HK72" s="1947"/>
      <c r="HL72" s="1947"/>
      <c r="HM72" s="1947"/>
      <c r="HN72" s="1947"/>
      <c r="HO72" s="1947"/>
      <c r="HP72" s="1947"/>
      <c r="HQ72" s="1947"/>
      <c r="HR72" s="1947"/>
      <c r="HS72" s="1947"/>
      <c r="HT72" s="1947"/>
      <c r="HU72" s="1947"/>
      <c r="HV72" s="1947"/>
      <c r="HW72" s="1947"/>
      <c r="HX72" s="1947"/>
      <c r="HY72" s="1947"/>
      <c r="HZ72" s="1947"/>
      <c r="IA72" s="1947"/>
      <c r="IB72" s="1947"/>
      <c r="IC72" s="1947"/>
      <c r="ID72" s="1947"/>
      <c r="IE72" s="1947"/>
      <c r="IF72" s="1947"/>
      <c r="IG72" s="1947"/>
      <c r="IH72" s="1947"/>
      <c r="II72" s="1947"/>
      <c r="IJ72" s="1947"/>
      <c r="IK72" s="1947"/>
      <c r="IL72" s="1947"/>
      <c r="IM72" s="1947"/>
      <c r="IN72" s="1947"/>
      <c r="IO72" s="1947"/>
      <c r="IP72" s="1947"/>
      <c r="IQ72" s="1947"/>
    </row>
    <row r="73" spans="1:251" hidden="1">
      <c r="A73" s="1026"/>
      <c r="B73" s="1955"/>
      <c r="C73" s="1955"/>
      <c r="D73" s="2034"/>
      <c r="E73" s="1955"/>
      <c r="F73" s="1942">
        <f t="shared" si="33"/>
        <v>0</v>
      </c>
      <c r="G73" s="1026"/>
      <c r="H73" s="1942">
        <f t="shared" si="34"/>
        <v>0</v>
      </c>
      <c r="I73" s="1026"/>
      <c r="J73" s="1942">
        <f t="shared" si="35"/>
        <v>0</v>
      </c>
      <c r="K73" s="1026"/>
      <c r="L73" s="1942">
        <f t="shared" si="36"/>
        <v>0</v>
      </c>
      <c r="M73" s="1942">
        <f t="shared" si="37"/>
        <v>0</v>
      </c>
      <c r="N73" s="1942">
        <f t="shared" si="38"/>
        <v>0</v>
      </c>
      <c r="O73" s="1026"/>
      <c r="P73" s="1026"/>
      <c r="Q73" s="1942">
        <f t="shared" si="39"/>
        <v>0</v>
      </c>
      <c r="R73" s="1942">
        <f t="shared" si="40"/>
        <v>0</v>
      </c>
      <c r="S73" s="1942">
        <f t="shared" si="41"/>
        <v>0</v>
      </c>
      <c r="T73" s="1942">
        <f t="shared" si="42"/>
        <v>0</v>
      </c>
      <c r="U73" s="1942">
        <f t="shared" si="43"/>
        <v>0</v>
      </c>
      <c r="V73" s="3034">
        <f t="shared" si="2"/>
        <v>0</v>
      </c>
      <c r="W73" s="1942"/>
      <c r="X73" s="1923">
        <v>0.01</v>
      </c>
      <c r="Y73" s="1947"/>
      <c r="Z73" s="1947"/>
      <c r="AA73" s="1947"/>
      <c r="AB73" s="1947"/>
      <c r="AC73" s="1947"/>
      <c r="AD73" s="1947"/>
      <c r="AE73" s="1947"/>
      <c r="AF73" s="1947"/>
      <c r="AG73" s="1947"/>
      <c r="AH73" s="1947"/>
      <c r="AI73" s="1947"/>
      <c r="AJ73" s="1947"/>
      <c r="AK73" s="1947"/>
      <c r="AL73" s="1947"/>
      <c r="AM73" s="1947"/>
      <c r="AN73" s="1947"/>
      <c r="AO73" s="1947"/>
      <c r="AP73" s="1947"/>
      <c r="AQ73" s="1947"/>
      <c r="AR73" s="1947"/>
      <c r="AS73" s="1947"/>
      <c r="AT73" s="1947"/>
      <c r="AU73" s="1947"/>
      <c r="AV73" s="1947"/>
      <c r="AW73" s="1947"/>
      <c r="AX73" s="1947"/>
      <c r="AY73" s="1947"/>
      <c r="AZ73" s="1947"/>
      <c r="BA73" s="1947"/>
      <c r="BB73" s="1947"/>
      <c r="BC73" s="1947"/>
      <c r="BD73" s="1947"/>
      <c r="BE73" s="1947"/>
      <c r="BF73" s="1947"/>
      <c r="BG73" s="1947"/>
      <c r="BH73" s="1947"/>
      <c r="BI73" s="1947"/>
      <c r="BJ73" s="1947"/>
      <c r="BK73" s="1947"/>
      <c r="BL73" s="1947"/>
      <c r="BM73" s="1947"/>
      <c r="BN73" s="1947"/>
      <c r="BO73" s="1947"/>
      <c r="BP73" s="1947"/>
      <c r="BQ73" s="1947"/>
      <c r="BR73" s="1947"/>
      <c r="BS73" s="1947"/>
      <c r="BT73" s="1947"/>
      <c r="BU73" s="1947"/>
      <c r="BV73" s="1947"/>
      <c r="BW73" s="1947"/>
      <c r="BX73" s="1947"/>
      <c r="BY73" s="1947"/>
      <c r="BZ73" s="1947"/>
      <c r="CA73" s="1947"/>
      <c r="CB73" s="1947"/>
      <c r="CC73" s="1947"/>
      <c r="CD73" s="1947"/>
      <c r="CE73" s="1947"/>
      <c r="CF73" s="1947"/>
      <c r="CG73" s="1947"/>
      <c r="CH73" s="1947"/>
      <c r="CI73" s="1947"/>
      <c r="CJ73" s="1947"/>
      <c r="CK73" s="1947"/>
      <c r="CL73" s="1947"/>
      <c r="CM73" s="1947"/>
      <c r="CN73" s="1947"/>
      <c r="CO73" s="1947"/>
      <c r="CP73" s="1947"/>
      <c r="CQ73" s="1947"/>
      <c r="CR73" s="1947"/>
      <c r="CS73" s="1947"/>
      <c r="CT73" s="1947"/>
      <c r="CU73" s="1947"/>
      <c r="CV73" s="1947"/>
      <c r="CW73" s="1947"/>
      <c r="CX73" s="1947"/>
      <c r="CY73" s="1947"/>
      <c r="CZ73" s="1947"/>
      <c r="DA73" s="1947"/>
      <c r="DB73" s="1947"/>
      <c r="DC73" s="1947"/>
      <c r="DD73" s="1947"/>
      <c r="DE73" s="1947"/>
      <c r="DF73" s="1947"/>
      <c r="DG73" s="1947"/>
      <c r="DH73" s="1947"/>
      <c r="DI73" s="1947"/>
      <c r="DJ73" s="1947"/>
      <c r="DK73" s="1947"/>
      <c r="DL73" s="1947"/>
      <c r="DM73" s="1947"/>
      <c r="DN73" s="1947"/>
      <c r="DO73" s="1947"/>
      <c r="DP73" s="1947"/>
      <c r="DQ73" s="1947"/>
      <c r="DR73" s="1947"/>
      <c r="DS73" s="1947"/>
      <c r="DT73" s="1947"/>
      <c r="DU73" s="1947"/>
      <c r="DV73" s="1947"/>
      <c r="DW73" s="1947"/>
      <c r="DX73" s="1947"/>
      <c r="DY73" s="1947"/>
      <c r="DZ73" s="1947"/>
      <c r="EA73" s="1947"/>
      <c r="EB73" s="1947"/>
      <c r="EC73" s="1947"/>
      <c r="ED73" s="1947"/>
      <c r="EE73" s="1947"/>
      <c r="EF73" s="1947"/>
      <c r="EG73" s="1947"/>
      <c r="EH73" s="1947"/>
      <c r="EI73" s="1947"/>
      <c r="EJ73" s="1947"/>
      <c r="EK73" s="1947"/>
      <c r="EL73" s="1947"/>
      <c r="EM73" s="1947"/>
      <c r="EN73" s="1947"/>
      <c r="EO73" s="1947"/>
      <c r="EP73" s="1947"/>
      <c r="EQ73" s="1947"/>
      <c r="ER73" s="1947"/>
      <c r="ES73" s="1947"/>
      <c r="ET73" s="1947"/>
      <c r="EU73" s="1947"/>
      <c r="EV73" s="1947"/>
      <c r="EW73" s="1947"/>
      <c r="EX73" s="1947"/>
      <c r="EY73" s="1947"/>
      <c r="EZ73" s="1947"/>
      <c r="FA73" s="1947"/>
      <c r="FB73" s="1947"/>
      <c r="FC73" s="1947"/>
      <c r="FD73" s="1947"/>
      <c r="FE73" s="1947"/>
      <c r="FF73" s="1947"/>
      <c r="FG73" s="1947"/>
      <c r="FH73" s="1947"/>
      <c r="FI73" s="1947"/>
      <c r="FJ73" s="1947"/>
      <c r="FK73" s="1947"/>
      <c r="FL73" s="1947"/>
      <c r="FM73" s="1947"/>
      <c r="FN73" s="1947"/>
      <c r="FO73" s="1947"/>
      <c r="FP73" s="1947"/>
      <c r="FQ73" s="1947"/>
      <c r="FR73" s="1947"/>
      <c r="FS73" s="1947"/>
      <c r="FT73" s="1947"/>
      <c r="FU73" s="1947"/>
      <c r="FV73" s="1947"/>
      <c r="FW73" s="1947"/>
      <c r="FX73" s="1947"/>
      <c r="FY73" s="1947"/>
      <c r="FZ73" s="1947"/>
      <c r="GA73" s="1947"/>
      <c r="GB73" s="1947"/>
      <c r="GC73" s="1947"/>
      <c r="GD73" s="1947"/>
      <c r="GE73" s="1947"/>
      <c r="GF73" s="1947"/>
      <c r="GG73" s="1947"/>
      <c r="GH73" s="1947"/>
      <c r="GI73" s="1947"/>
      <c r="GJ73" s="1947"/>
      <c r="GK73" s="1947"/>
      <c r="GL73" s="1947"/>
      <c r="GM73" s="1947"/>
      <c r="GN73" s="1947"/>
      <c r="GO73" s="1947"/>
      <c r="GP73" s="1947"/>
      <c r="GQ73" s="1947"/>
      <c r="GR73" s="1947"/>
      <c r="GS73" s="1947"/>
      <c r="GT73" s="1947"/>
      <c r="GU73" s="1947"/>
      <c r="GV73" s="1947"/>
      <c r="GW73" s="1947"/>
      <c r="GX73" s="1947"/>
      <c r="GY73" s="1947"/>
      <c r="GZ73" s="1947"/>
      <c r="HA73" s="1947"/>
      <c r="HB73" s="1947"/>
      <c r="HC73" s="1947"/>
      <c r="HD73" s="1947"/>
      <c r="HE73" s="1947"/>
      <c r="HF73" s="1947"/>
      <c r="HG73" s="1947"/>
      <c r="HH73" s="1947"/>
      <c r="HI73" s="1947"/>
      <c r="HJ73" s="1947"/>
      <c r="HK73" s="1947"/>
      <c r="HL73" s="1947"/>
      <c r="HM73" s="1947"/>
      <c r="HN73" s="1947"/>
      <c r="HO73" s="1947"/>
      <c r="HP73" s="1947"/>
      <c r="HQ73" s="1947"/>
      <c r="HR73" s="1947"/>
      <c r="HS73" s="1947"/>
      <c r="HT73" s="1947"/>
      <c r="HU73" s="1947"/>
      <c r="HV73" s="1947"/>
      <c r="HW73" s="1947"/>
      <c r="HX73" s="1947"/>
      <c r="HY73" s="1947"/>
      <c r="HZ73" s="1947"/>
      <c r="IA73" s="1947"/>
      <c r="IB73" s="1947"/>
      <c r="IC73" s="1947"/>
      <c r="ID73" s="1947"/>
      <c r="IE73" s="1947"/>
      <c r="IF73" s="1947"/>
      <c r="IG73" s="1947"/>
      <c r="IH73" s="1947"/>
      <c r="II73" s="1947"/>
      <c r="IJ73" s="1947"/>
      <c r="IK73" s="1947"/>
      <c r="IL73" s="1947"/>
      <c r="IM73" s="1947"/>
      <c r="IN73" s="1947"/>
      <c r="IO73" s="1947"/>
      <c r="IP73" s="1947"/>
      <c r="IQ73" s="1947"/>
    </row>
    <row r="74" spans="1:251" hidden="1">
      <c r="A74" s="1026"/>
      <c r="B74" s="1955"/>
      <c r="C74" s="1955"/>
      <c r="D74" s="2034"/>
      <c r="E74" s="1955"/>
      <c r="F74" s="1942">
        <f t="shared" si="33"/>
        <v>0</v>
      </c>
      <c r="G74" s="1026"/>
      <c r="H74" s="1942">
        <f t="shared" si="34"/>
        <v>0</v>
      </c>
      <c r="I74" s="1026"/>
      <c r="J74" s="1942">
        <f t="shared" si="35"/>
        <v>0</v>
      </c>
      <c r="K74" s="1026"/>
      <c r="L74" s="1942">
        <f t="shared" si="36"/>
        <v>0</v>
      </c>
      <c r="M74" s="1942">
        <f t="shared" si="37"/>
        <v>0</v>
      </c>
      <c r="N74" s="1942">
        <f t="shared" si="38"/>
        <v>0</v>
      </c>
      <c r="O74" s="1026"/>
      <c r="P74" s="1026"/>
      <c r="Q74" s="1942">
        <f t="shared" si="39"/>
        <v>0</v>
      </c>
      <c r="R74" s="1942">
        <f t="shared" si="40"/>
        <v>0</v>
      </c>
      <c r="S74" s="1942">
        <f t="shared" si="41"/>
        <v>0</v>
      </c>
      <c r="T74" s="1942">
        <f t="shared" si="42"/>
        <v>0</v>
      </c>
      <c r="U74" s="1942">
        <f t="shared" si="43"/>
        <v>0</v>
      </c>
      <c r="V74" s="3034">
        <f t="shared" ref="V74:V130" si="44">T74+U74</f>
        <v>0</v>
      </c>
      <c r="W74" s="1942"/>
      <c r="X74" s="1923">
        <v>0.01</v>
      </c>
      <c r="Y74" s="1947"/>
      <c r="Z74" s="1947"/>
      <c r="AA74" s="1947"/>
      <c r="AB74" s="1947"/>
      <c r="AC74" s="1947"/>
      <c r="AD74" s="1947"/>
      <c r="AE74" s="1947"/>
      <c r="AF74" s="1947"/>
      <c r="AG74" s="1947"/>
      <c r="AH74" s="1947"/>
      <c r="AI74" s="1947"/>
      <c r="AJ74" s="1947"/>
      <c r="AK74" s="1947"/>
      <c r="AL74" s="1947"/>
      <c r="AM74" s="1947"/>
      <c r="AN74" s="1947"/>
      <c r="AO74" s="1947"/>
      <c r="AP74" s="1947"/>
      <c r="AQ74" s="1947"/>
      <c r="AR74" s="1947"/>
      <c r="AS74" s="1947"/>
      <c r="AT74" s="1947"/>
      <c r="AU74" s="1947"/>
      <c r="AV74" s="1947"/>
      <c r="AW74" s="1947"/>
      <c r="AX74" s="1947"/>
      <c r="AY74" s="1947"/>
      <c r="AZ74" s="1947"/>
      <c r="BA74" s="1947"/>
      <c r="BB74" s="1947"/>
      <c r="BC74" s="1947"/>
      <c r="BD74" s="1947"/>
      <c r="BE74" s="1947"/>
      <c r="BF74" s="1947"/>
      <c r="BG74" s="1947"/>
      <c r="BH74" s="1947"/>
      <c r="BI74" s="1947"/>
      <c r="BJ74" s="1947"/>
      <c r="BK74" s="1947"/>
      <c r="BL74" s="1947"/>
      <c r="BM74" s="1947"/>
      <c r="BN74" s="1947"/>
      <c r="BO74" s="1947"/>
      <c r="BP74" s="1947"/>
      <c r="BQ74" s="1947"/>
      <c r="BR74" s="1947"/>
      <c r="BS74" s="1947"/>
      <c r="BT74" s="1947"/>
      <c r="BU74" s="1947"/>
      <c r="BV74" s="1947"/>
      <c r="BW74" s="1947"/>
      <c r="BX74" s="1947"/>
      <c r="BY74" s="1947"/>
      <c r="BZ74" s="1947"/>
      <c r="CA74" s="1947"/>
      <c r="CB74" s="1947"/>
      <c r="CC74" s="1947"/>
      <c r="CD74" s="1947"/>
      <c r="CE74" s="1947"/>
      <c r="CF74" s="1947"/>
      <c r="CG74" s="1947"/>
      <c r="CH74" s="1947"/>
      <c r="CI74" s="1947"/>
      <c r="CJ74" s="1947"/>
      <c r="CK74" s="1947"/>
      <c r="CL74" s="1947"/>
      <c r="CM74" s="1947"/>
      <c r="CN74" s="1947"/>
      <c r="CO74" s="1947"/>
      <c r="CP74" s="1947"/>
      <c r="CQ74" s="1947"/>
      <c r="CR74" s="1947"/>
      <c r="CS74" s="1947"/>
      <c r="CT74" s="1947"/>
      <c r="CU74" s="1947"/>
      <c r="CV74" s="1947"/>
      <c r="CW74" s="1947"/>
      <c r="CX74" s="1947"/>
      <c r="CY74" s="1947"/>
      <c r="CZ74" s="1947"/>
      <c r="DA74" s="1947"/>
      <c r="DB74" s="1947"/>
      <c r="DC74" s="1947"/>
      <c r="DD74" s="1947"/>
      <c r="DE74" s="1947"/>
      <c r="DF74" s="1947"/>
      <c r="DG74" s="1947"/>
      <c r="DH74" s="1947"/>
      <c r="DI74" s="1947"/>
      <c r="DJ74" s="1947"/>
      <c r="DK74" s="1947"/>
      <c r="DL74" s="1947"/>
      <c r="DM74" s="1947"/>
      <c r="DN74" s="1947"/>
      <c r="DO74" s="1947"/>
      <c r="DP74" s="1947"/>
      <c r="DQ74" s="1947"/>
      <c r="DR74" s="1947"/>
      <c r="DS74" s="1947"/>
      <c r="DT74" s="1947"/>
      <c r="DU74" s="1947"/>
      <c r="DV74" s="1947"/>
      <c r="DW74" s="1947"/>
      <c r="DX74" s="1947"/>
      <c r="DY74" s="1947"/>
      <c r="DZ74" s="1947"/>
      <c r="EA74" s="1947"/>
      <c r="EB74" s="1947"/>
      <c r="EC74" s="1947"/>
      <c r="ED74" s="1947"/>
      <c r="EE74" s="1947"/>
      <c r="EF74" s="1947"/>
      <c r="EG74" s="1947"/>
      <c r="EH74" s="1947"/>
      <c r="EI74" s="1947"/>
      <c r="EJ74" s="1947"/>
      <c r="EK74" s="1947"/>
      <c r="EL74" s="1947"/>
      <c r="EM74" s="1947"/>
      <c r="EN74" s="1947"/>
      <c r="EO74" s="1947"/>
      <c r="EP74" s="1947"/>
      <c r="EQ74" s="1947"/>
      <c r="ER74" s="1947"/>
      <c r="ES74" s="1947"/>
      <c r="ET74" s="1947"/>
      <c r="EU74" s="1947"/>
      <c r="EV74" s="1947"/>
      <c r="EW74" s="1947"/>
      <c r="EX74" s="1947"/>
      <c r="EY74" s="1947"/>
      <c r="EZ74" s="1947"/>
      <c r="FA74" s="1947"/>
      <c r="FB74" s="1947"/>
      <c r="FC74" s="1947"/>
      <c r="FD74" s="1947"/>
      <c r="FE74" s="1947"/>
      <c r="FF74" s="1947"/>
      <c r="FG74" s="1947"/>
      <c r="FH74" s="1947"/>
      <c r="FI74" s="1947"/>
      <c r="FJ74" s="1947"/>
      <c r="FK74" s="1947"/>
      <c r="FL74" s="1947"/>
      <c r="FM74" s="1947"/>
      <c r="FN74" s="1947"/>
      <c r="FO74" s="1947"/>
      <c r="FP74" s="1947"/>
      <c r="FQ74" s="1947"/>
      <c r="FR74" s="1947"/>
      <c r="FS74" s="1947"/>
      <c r="FT74" s="1947"/>
      <c r="FU74" s="1947"/>
      <c r="FV74" s="1947"/>
      <c r="FW74" s="1947"/>
      <c r="FX74" s="1947"/>
      <c r="FY74" s="1947"/>
      <c r="FZ74" s="1947"/>
      <c r="GA74" s="1947"/>
      <c r="GB74" s="1947"/>
      <c r="GC74" s="1947"/>
      <c r="GD74" s="1947"/>
      <c r="GE74" s="1947"/>
      <c r="GF74" s="1947"/>
      <c r="GG74" s="1947"/>
      <c r="GH74" s="1947"/>
      <c r="GI74" s="1947"/>
      <c r="GJ74" s="1947"/>
      <c r="GK74" s="1947"/>
      <c r="GL74" s="1947"/>
      <c r="GM74" s="1947"/>
      <c r="GN74" s="1947"/>
      <c r="GO74" s="1947"/>
      <c r="GP74" s="1947"/>
      <c r="GQ74" s="1947"/>
      <c r="GR74" s="1947"/>
      <c r="GS74" s="1947"/>
      <c r="GT74" s="1947"/>
      <c r="GU74" s="1947"/>
      <c r="GV74" s="1947"/>
      <c r="GW74" s="1947"/>
      <c r="GX74" s="1947"/>
      <c r="GY74" s="1947"/>
      <c r="GZ74" s="1947"/>
      <c r="HA74" s="1947"/>
      <c r="HB74" s="1947"/>
      <c r="HC74" s="1947"/>
      <c r="HD74" s="1947"/>
      <c r="HE74" s="1947"/>
      <c r="HF74" s="1947"/>
      <c r="HG74" s="1947"/>
      <c r="HH74" s="1947"/>
      <c r="HI74" s="1947"/>
      <c r="HJ74" s="1947"/>
      <c r="HK74" s="1947"/>
      <c r="HL74" s="1947"/>
      <c r="HM74" s="1947"/>
      <c r="HN74" s="1947"/>
      <c r="HO74" s="1947"/>
      <c r="HP74" s="1947"/>
      <c r="HQ74" s="1947"/>
      <c r="HR74" s="1947"/>
      <c r="HS74" s="1947"/>
      <c r="HT74" s="1947"/>
      <c r="HU74" s="1947"/>
      <c r="HV74" s="1947"/>
      <c r="HW74" s="1947"/>
      <c r="HX74" s="1947"/>
      <c r="HY74" s="1947"/>
      <c r="HZ74" s="1947"/>
      <c r="IA74" s="1947"/>
      <c r="IB74" s="1947"/>
      <c r="IC74" s="1947"/>
      <c r="ID74" s="1947"/>
      <c r="IE74" s="1947"/>
      <c r="IF74" s="1947"/>
      <c r="IG74" s="1947"/>
      <c r="IH74" s="1947"/>
      <c r="II74" s="1947"/>
      <c r="IJ74" s="1947"/>
      <c r="IK74" s="1947"/>
      <c r="IL74" s="1947"/>
      <c r="IM74" s="1947"/>
      <c r="IN74" s="1947"/>
      <c r="IO74" s="1947"/>
      <c r="IP74" s="1947"/>
      <c r="IQ74" s="1947"/>
    </row>
    <row r="75" spans="1:251" hidden="1">
      <c r="A75" s="1026"/>
      <c r="B75" s="1955"/>
      <c r="C75" s="1955"/>
      <c r="D75" s="2034"/>
      <c r="E75" s="1955"/>
      <c r="F75" s="1942">
        <f t="shared" si="33"/>
        <v>0</v>
      </c>
      <c r="G75" s="1026"/>
      <c r="H75" s="1942">
        <f t="shared" si="34"/>
        <v>0</v>
      </c>
      <c r="I75" s="1026"/>
      <c r="J75" s="1942">
        <f t="shared" si="35"/>
        <v>0</v>
      </c>
      <c r="K75" s="1026"/>
      <c r="L75" s="1942">
        <f t="shared" si="36"/>
        <v>0</v>
      </c>
      <c r="M75" s="1942">
        <f t="shared" si="37"/>
        <v>0</v>
      </c>
      <c r="N75" s="1942">
        <f t="shared" si="38"/>
        <v>0</v>
      </c>
      <c r="O75" s="1026"/>
      <c r="P75" s="1026"/>
      <c r="Q75" s="1942">
        <f t="shared" si="39"/>
        <v>0</v>
      </c>
      <c r="R75" s="1942">
        <f t="shared" si="40"/>
        <v>0</v>
      </c>
      <c r="S75" s="1942">
        <f t="shared" si="41"/>
        <v>0</v>
      </c>
      <c r="T75" s="1942">
        <f t="shared" si="42"/>
        <v>0</v>
      </c>
      <c r="U75" s="1942">
        <f t="shared" si="43"/>
        <v>0</v>
      </c>
      <c r="V75" s="3034">
        <f t="shared" si="44"/>
        <v>0</v>
      </c>
      <c r="W75" s="1942"/>
      <c r="X75" s="1923">
        <v>0.01</v>
      </c>
      <c r="Y75" s="1947"/>
      <c r="Z75" s="1947"/>
      <c r="AA75" s="1947"/>
      <c r="AB75" s="1947"/>
      <c r="AC75" s="1947"/>
      <c r="AD75" s="1947"/>
      <c r="AE75" s="1947"/>
      <c r="AF75" s="1947"/>
      <c r="AG75" s="1947"/>
      <c r="AH75" s="1947"/>
      <c r="AI75" s="1947"/>
      <c r="AJ75" s="1947"/>
      <c r="AK75" s="1947"/>
      <c r="AL75" s="1947"/>
      <c r="AM75" s="1947"/>
      <c r="AN75" s="1947"/>
      <c r="AO75" s="1947"/>
      <c r="AP75" s="1947"/>
      <c r="AQ75" s="1947"/>
      <c r="AR75" s="1947"/>
      <c r="AS75" s="1947"/>
      <c r="AT75" s="1947"/>
      <c r="AU75" s="1947"/>
      <c r="AV75" s="1947"/>
      <c r="AW75" s="1947"/>
      <c r="AX75" s="1947"/>
      <c r="AY75" s="1947"/>
      <c r="AZ75" s="1947"/>
      <c r="BA75" s="1947"/>
      <c r="BB75" s="1947"/>
      <c r="BC75" s="1947"/>
      <c r="BD75" s="1947"/>
      <c r="BE75" s="1947"/>
      <c r="BF75" s="1947"/>
      <c r="BG75" s="1947"/>
      <c r="BH75" s="1947"/>
      <c r="BI75" s="1947"/>
      <c r="BJ75" s="1947"/>
      <c r="BK75" s="1947"/>
      <c r="BL75" s="1947"/>
      <c r="BM75" s="1947"/>
      <c r="BN75" s="1947"/>
      <c r="BO75" s="1947"/>
      <c r="BP75" s="1947"/>
      <c r="BQ75" s="1947"/>
      <c r="BR75" s="1947"/>
      <c r="BS75" s="1947"/>
      <c r="BT75" s="1947"/>
      <c r="BU75" s="1947"/>
      <c r="BV75" s="1947"/>
      <c r="BW75" s="1947"/>
      <c r="BX75" s="1947"/>
      <c r="BY75" s="1947"/>
      <c r="BZ75" s="1947"/>
      <c r="CA75" s="1947"/>
      <c r="CB75" s="1947"/>
      <c r="CC75" s="1947"/>
      <c r="CD75" s="1947"/>
      <c r="CE75" s="1947"/>
      <c r="CF75" s="1947"/>
      <c r="CG75" s="1947"/>
      <c r="CH75" s="1947"/>
      <c r="CI75" s="1947"/>
      <c r="CJ75" s="1947"/>
      <c r="CK75" s="1947"/>
      <c r="CL75" s="1947"/>
      <c r="CM75" s="1947"/>
      <c r="CN75" s="1947"/>
      <c r="CO75" s="1947"/>
      <c r="CP75" s="1947"/>
      <c r="CQ75" s="1947"/>
      <c r="CR75" s="1947"/>
      <c r="CS75" s="1947"/>
      <c r="CT75" s="1947"/>
      <c r="CU75" s="1947"/>
      <c r="CV75" s="1947"/>
      <c r="CW75" s="1947"/>
      <c r="CX75" s="1947"/>
      <c r="CY75" s="1947"/>
      <c r="CZ75" s="1947"/>
      <c r="DA75" s="1947"/>
      <c r="DB75" s="1947"/>
      <c r="DC75" s="1947"/>
      <c r="DD75" s="1947"/>
      <c r="DE75" s="1947"/>
      <c r="DF75" s="1947"/>
      <c r="DG75" s="1947"/>
      <c r="DH75" s="1947"/>
      <c r="DI75" s="1947"/>
      <c r="DJ75" s="1947"/>
      <c r="DK75" s="1947"/>
      <c r="DL75" s="1947"/>
      <c r="DM75" s="1947"/>
      <c r="DN75" s="1947"/>
      <c r="DO75" s="1947"/>
      <c r="DP75" s="1947"/>
      <c r="DQ75" s="1947"/>
      <c r="DR75" s="1947"/>
      <c r="DS75" s="1947"/>
      <c r="DT75" s="1947"/>
      <c r="DU75" s="1947"/>
      <c r="DV75" s="1947"/>
      <c r="DW75" s="1947"/>
      <c r="DX75" s="1947"/>
      <c r="DY75" s="1947"/>
      <c r="DZ75" s="1947"/>
      <c r="EA75" s="1947"/>
      <c r="EB75" s="1947"/>
      <c r="EC75" s="1947"/>
      <c r="ED75" s="1947"/>
      <c r="EE75" s="1947"/>
      <c r="EF75" s="1947"/>
      <c r="EG75" s="1947"/>
      <c r="EH75" s="1947"/>
      <c r="EI75" s="1947"/>
      <c r="EJ75" s="1947"/>
      <c r="EK75" s="1947"/>
      <c r="EL75" s="1947"/>
      <c r="EM75" s="1947"/>
      <c r="EN75" s="1947"/>
      <c r="EO75" s="1947"/>
      <c r="EP75" s="1947"/>
      <c r="EQ75" s="1947"/>
      <c r="ER75" s="1947"/>
      <c r="ES75" s="1947"/>
      <c r="ET75" s="1947"/>
      <c r="EU75" s="1947"/>
      <c r="EV75" s="1947"/>
      <c r="EW75" s="1947"/>
      <c r="EX75" s="1947"/>
      <c r="EY75" s="1947"/>
      <c r="EZ75" s="1947"/>
      <c r="FA75" s="1947"/>
      <c r="FB75" s="1947"/>
      <c r="FC75" s="1947"/>
      <c r="FD75" s="1947"/>
      <c r="FE75" s="1947"/>
      <c r="FF75" s="1947"/>
      <c r="FG75" s="1947"/>
      <c r="FH75" s="1947"/>
      <c r="FI75" s="1947"/>
      <c r="FJ75" s="1947"/>
      <c r="FK75" s="1947"/>
      <c r="FL75" s="1947"/>
      <c r="FM75" s="1947"/>
      <c r="FN75" s="1947"/>
      <c r="FO75" s="1947"/>
      <c r="FP75" s="1947"/>
      <c r="FQ75" s="1947"/>
      <c r="FR75" s="1947"/>
      <c r="FS75" s="1947"/>
      <c r="FT75" s="1947"/>
      <c r="FU75" s="1947"/>
      <c r="FV75" s="1947"/>
      <c r="FW75" s="1947"/>
      <c r="FX75" s="1947"/>
      <c r="FY75" s="1947"/>
      <c r="FZ75" s="1947"/>
      <c r="GA75" s="1947"/>
      <c r="GB75" s="1947"/>
      <c r="GC75" s="1947"/>
      <c r="GD75" s="1947"/>
      <c r="GE75" s="1947"/>
      <c r="GF75" s="1947"/>
      <c r="GG75" s="1947"/>
      <c r="GH75" s="1947"/>
      <c r="GI75" s="1947"/>
      <c r="GJ75" s="1947"/>
      <c r="GK75" s="1947"/>
      <c r="GL75" s="1947"/>
      <c r="GM75" s="1947"/>
      <c r="GN75" s="1947"/>
      <c r="GO75" s="1947"/>
      <c r="GP75" s="1947"/>
      <c r="GQ75" s="1947"/>
      <c r="GR75" s="1947"/>
      <c r="GS75" s="1947"/>
      <c r="GT75" s="1947"/>
      <c r="GU75" s="1947"/>
      <c r="GV75" s="1947"/>
      <c r="GW75" s="1947"/>
      <c r="GX75" s="1947"/>
      <c r="GY75" s="1947"/>
      <c r="GZ75" s="1947"/>
      <c r="HA75" s="1947"/>
      <c r="HB75" s="1947"/>
      <c r="HC75" s="1947"/>
      <c r="HD75" s="1947"/>
      <c r="HE75" s="1947"/>
      <c r="HF75" s="1947"/>
      <c r="HG75" s="1947"/>
      <c r="HH75" s="1947"/>
      <c r="HI75" s="1947"/>
      <c r="HJ75" s="1947"/>
      <c r="HK75" s="1947"/>
      <c r="HL75" s="1947"/>
      <c r="HM75" s="1947"/>
      <c r="HN75" s="1947"/>
      <c r="HO75" s="1947"/>
      <c r="HP75" s="1947"/>
      <c r="HQ75" s="1947"/>
      <c r="HR75" s="1947"/>
      <c r="HS75" s="1947"/>
      <c r="HT75" s="1947"/>
      <c r="HU75" s="1947"/>
      <c r="HV75" s="1947"/>
      <c r="HW75" s="1947"/>
      <c r="HX75" s="1947"/>
      <c r="HY75" s="1947"/>
      <c r="HZ75" s="1947"/>
      <c r="IA75" s="1947"/>
      <c r="IB75" s="1947"/>
      <c r="IC75" s="1947"/>
      <c r="ID75" s="1947"/>
      <c r="IE75" s="1947"/>
      <c r="IF75" s="1947"/>
      <c r="IG75" s="1947"/>
      <c r="IH75" s="1947"/>
      <c r="II75" s="1947"/>
      <c r="IJ75" s="1947"/>
      <c r="IK75" s="1947"/>
      <c r="IL75" s="1947"/>
      <c r="IM75" s="1947"/>
      <c r="IN75" s="1947"/>
      <c r="IO75" s="1947"/>
      <c r="IP75" s="1947"/>
      <c r="IQ75" s="1947"/>
    </row>
    <row r="76" spans="1:251" hidden="1">
      <c r="A76" s="1026"/>
      <c r="B76" s="1955"/>
      <c r="C76" s="1955"/>
      <c r="D76" s="2034"/>
      <c r="E76" s="1955"/>
      <c r="F76" s="1942">
        <f t="shared" si="33"/>
        <v>0</v>
      </c>
      <c r="G76" s="1026"/>
      <c r="H76" s="1942">
        <f t="shared" si="34"/>
        <v>0</v>
      </c>
      <c r="I76" s="1026"/>
      <c r="J76" s="1942">
        <f t="shared" si="35"/>
        <v>0</v>
      </c>
      <c r="K76" s="1026"/>
      <c r="L76" s="1942">
        <f t="shared" si="36"/>
        <v>0</v>
      </c>
      <c r="M76" s="1942">
        <f t="shared" si="37"/>
        <v>0</v>
      </c>
      <c r="N76" s="1942">
        <f t="shared" si="38"/>
        <v>0</v>
      </c>
      <c r="O76" s="1026"/>
      <c r="P76" s="1026"/>
      <c r="Q76" s="1942">
        <f t="shared" si="39"/>
        <v>0</v>
      </c>
      <c r="R76" s="1942">
        <f t="shared" si="40"/>
        <v>0</v>
      </c>
      <c r="S76" s="1942">
        <f t="shared" si="41"/>
        <v>0</v>
      </c>
      <c r="T76" s="1942">
        <f t="shared" si="42"/>
        <v>0</v>
      </c>
      <c r="U76" s="1942">
        <f t="shared" si="43"/>
        <v>0</v>
      </c>
      <c r="V76" s="3034">
        <f t="shared" si="44"/>
        <v>0</v>
      </c>
      <c r="W76" s="1942"/>
      <c r="X76" s="1923">
        <v>0.01</v>
      </c>
      <c r="Y76" s="1947"/>
      <c r="Z76" s="1947"/>
      <c r="AA76" s="1947"/>
      <c r="AB76" s="1947"/>
      <c r="AC76" s="1947"/>
      <c r="AD76" s="1947"/>
      <c r="AE76" s="1947"/>
      <c r="AF76" s="1947"/>
      <c r="AG76" s="1947"/>
      <c r="AH76" s="1947"/>
      <c r="AI76" s="1947"/>
      <c r="AJ76" s="1947"/>
      <c r="AK76" s="1947"/>
      <c r="AL76" s="1947"/>
      <c r="AM76" s="1947"/>
      <c r="AN76" s="1947"/>
      <c r="AO76" s="1947"/>
      <c r="AP76" s="1947"/>
      <c r="AQ76" s="1947"/>
      <c r="AR76" s="1947"/>
      <c r="AS76" s="1947"/>
      <c r="AT76" s="1947"/>
      <c r="AU76" s="1947"/>
      <c r="AV76" s="1947"/>
      <c r="AW76" s="1947"/>
      <c r="AX76" s="1947"/>
      <c r="AY76" s="1947"/>
      <c r="AZ76" s="1947"/>
      <c r="BA76" s="1947"/>
      <c r="BB76" s="1947"/>
      <c r="BC76" s="1947"/>
      <c r="BD76" s="1947"/>
      <c r="BE76" s="1947"/>
      <c r="BF76" s="1947"/>
      <c r="BG76" s="1947"/>
      <c r="BH76" s="1947"/>
      <c r="BI76" s="1947"/>
      <c r="BJ76" s="1947"/>
      <c r="BK76" s="1947"/>
      <c r="BL76" s="1947"/>
      <c r="BM76" s="1947"/>
      <c r="BN76" s="1947"/>
      <c r="BO76" s="1947"/>
      <c r="BP76" s="1947"/>
      <c r="BQ76" s="1947"/>
      <c r="BR76" s="1947"/>
      <c r="BS76" s="1947"/>
      <c r="BT76" s="1947"/>
      <c r="BU76" s="1947"/>
      <c r="BV76" s="1947"/>
      <c r="BW76" s="1947"/>
      <c r="BX76" s="1947"/>
      <c r="BY76" s="1947"/>
      <c r="BZ76" s="1947"/>
      <c r="CA76" s="1947"/>
      <c r="CB76" s="1947"/>
      <c r="CC76" s="1947"/>
      <c r="CD76" s="1947"/>
      <c r="CE76" s="1947"/>
      <c r="CF76" s="1947"/>
      <c r="CG76" s="1947"/>
      <c r="CH76" s="1947"/>
      <c r="CI76" s="1947"/>
      <c r="CJ76" s="1947"/>
      <c r="CK76" s="1947"/>
      <c r="CL76" s="1947"/>
      <c r="CM76" s="1947"/>
      <c r="CN76" s="1947"/>
      <c r="CO76" s="1947"/>
      <c r="CP76" s="1947"/>
      <c r="CQ76" s="1947"/>
      <c r="CR76" s="1947"/>
      <c r="CS76" s="1947"/>
      <c r="CT76" s="1947"/>
      <c r="CU76" s="1947"/>
      <c r="CV76" s="1947"/>
      <c r="CW76" s="1947"/>
      <c r="CX76" s="1947"/>
      <c r="CY76" s="1947"/>
      <c r="CZ76" s="1947"/>
      <c r="DA76" s="1947"/>
      <c r="DB76" s="1947"/>
      <c r="DC76" s="1947"/>
      <c r="DD76" s="1947"/>
      <c r="DE76" s="1947"/>
      <c r="DF76" s="1947"/>
      <c r="DG76" s="1947"/>
      <c r="DH76" s="1947"/>
      <c r="DI76" s="1947"/>
      <c r="DJ76" s="1947"/>
      <c r="DK76" s="1947"/>
      <c r="DL76" s="1947"/>
      <c r="DM76" s="1947"/>
      <c r="DN76" s="1947"/>
      <c r="DO76" s="1947"/>
      <c r="DP76" s="1947"/>
      <c r="DQ76" s="1947"/>
      <c r="DR76" s="1947"/>
      <c r="DS76" s="1947"/>
      <c r="DT76" s="1947"/>
      <c r="DU76" s="1947"/>
      <c r="DV76" s="1947"/>
      <c r="DW76" s="1947"/>
      <c r="DX76" s="1947"/>
      <c r="DY76" s="1947"/>
      <c r="DZ76" s="1947"/>
      <c r="EA76" s="1947"/>
      <c r="EB76" s="1947"/>
      <c r="EC76" s="1947"/>
      <c r="ED76" s="1947"/>
      <c r="EE76" s="1947"/>
      <c r="EF76" s="1947"/>
      <c r="EG76" s="1947"/>
      <c r="EH76" s="1947"/>
      <c r="EI76" s="1947"/>
      <c r="EJ76" s="1947"/>
      <c r="EK76" s="1947"/>
      <c r="EL76" s="1947"/>
      <c r="EM76" s="1947"/>
      <c r="EN76" s="1947"/>
      <c r="EO76" s="1947"/>
      <c r="EP76" s="1947"/>
      <c r="EQ76" s="1947"/>
      <c r="ER76" s="1947"/>
      <c r="ES76" s="1947"/>
      <c r="ET76" s="1947"/>
      <c r="EU76" s="1947"/>
      <c r="EV76" s="1947"/>
      <c r="EW76" s="1947"/>
      <c r="EX76" s="1947"/>
      <c r="EY76" s="1947"/>
      <c r="EZ76" s="1947"/>
      <c r="FA76" s="1947"/>
      <c r="FB76" s="1947"/>
      <c r="FC76" s="1947"/>
      <c r="FD76" s="1947"/>
      <c r="FE76" s="1947"/>
      <c r="FF76" s="1947"/>
      <c r="FG76" s="1947"/>
      <c r="FH76" s="1947"/>
      <c r="FI76" s="1947"/>
      <c r="FJ76" s="1947"/>
      <c r="FK76" s="1947"/>
      <c r="FL76" s="1947"/>
      <c r="FM76" s="1947"/>
      <c r="FN76" s="1947"/>
      <c r="FO76" s="1947"/>
      <c r="FP76" s="1947"/>
      <c r="FQ76" s="1947"/>
      <c r="FR76" s="1947"/>
      <c r="FS76" s="1947"/>
      <c r="FT76" s="1947"/>
      <c r="FU76" s="1947"/>
      <c r="FV76" s="1947"/>
      <c r="FW76" s="1947"/>
      <c r="FX76" s="1947"/>
      <c r="FY76" s="1947"/>
      <c r="FZ76" s="1947"/>
      <c r="GA76" s="1947"/>
      <c r="GB76" s="1947"/>
      <c r="GC76" s="1947"/>
      <c r="GD76" s="1947"/>
      <c r="GE76" s="1947"/>
      <c r="GF76" s="1947"/>
      <c r="GG76" s="1947"/>
      <c r="GH76" s="1947"/>
      <c r="GI76" s="1947"/>
      <c r="GJ76" s="1947"/>
      <c r="GK76" s="1947"/>
      <c r="GL76" s="1947"/>
      <c r="GM76" s="1947"/>
      <c r="GN76" s="1947"/>
      <c r="GO76" s="1947"/>
      <c r="GP76" s="1947"/>
      <c r="GQ76" s="1947"/>
      <c r="GR76" s="1947"/>
      <c r="GS76" s="1947"/>
      <c r="GT76" s="1947"/>
      <c r="GU76" s="1947"/>
      <c r="GV76" s="1947"/>
      <c r="GW76" s="1947"/>
      <c r="GX76" s="1947"/>
      <c r="GY76" s="1947"/>
      <c r="GZ76" s="1947"/>
      <c r="HA76" s="1947"/>
      <c r="HB76" s="1947"/>
      <c r="HC76" s="1947"/>
      <c r="HD76" s="1947"/>
      <c r="HE76" s="1947"/>
      <c r="HF76" s="1947"/>
      <c r="HG76" s="1947"/>
      <c r="HH76" s="1947"/>
      <c r="HI76" s="1947"/>
      <c r="HJ76" s="1947"/>
      <c r="HK76" s="1947"/>
      <c r="HL76" s="1947"/>
      <c r="HM76" s="1947"/>
      <c r="HN76" s="1947"/>
      <c r="HO76" s="1947"/>
      <c r="HP76" s="1947"/>
      <c r="HQ76" s="1947"/>
      <c r="HR76" s="1947"/>
      <c r="HS76" s="1947"/>
      <c r="HT76" s="1947"/>
      <c r="HU76" s="1947"/>
      <c r="HV76" s="1947"/>
      <c r="HW76" s="1947"/>
      <c r="HX76" s="1947"/>
      <c r="HY76" s="1947"/>
      <c r="HZ76" s="1947"/>
      <c r="IA76" s="1947"/>
      <c r="IB76" s="1947"/>
      <c r="IC76" s="1947"/>
      <c r="ID76" s="1947"/>
      <c r="IE76" s="1947"/>
      <c r="IF76" s="1947"/>
      <c r="IG76" s="1947"/>
      <c r="IH76" s="1947"/>
      <c r="II76" s="1947"/>
      <c r="IJ76" s="1947"/>
      <c r="IK76" s="1947"/>
      <c r="IL76" s="1947"/>
      <c r="IM76" s="1947"/>
      <c r="IN76" s="1947"/>
      <c r="IO76" s="1947"/>
      <c r="IP76" s="1947"/>
      <c r="IQ76" s="1947"/>
    </row>
    <row r="77" spans="1:251" hidden="1">
      <c r="A77" s="1026"/>
      <c r="B77" s="1955"/>
      <c r="C77" s="1955"/>
      <c r="D77" s="2034"/>
      <c r="E77" s="1955"/>
      <c r="F77" s="1942">
        <f t="shared" si="33"/>
        <v>0</v>
      </c>
      <c r="G77" s="1026"/>
      <c r="H77" s="1942">
        <f t="shared" si="34"/>
        <v>0</v>
      </c>
      <c r="I77" s="1026"/>
      <c r="J77" s="1942">
        <f t="shared" si="35"/>
        <v>0</v>
      </c>
      <c r="K77" s="1026"/>
      <c r="L77" s="1942">
        <f t="shared" si="36"/>
        <v>0</v>
      </c>
      <c r="M77" s="1942">
        <f t="shared" si="37"/>
        <v>0</v>
      </c>
      <c r="N77" s="1942">
        <f t="shared" si="38"/>
        <v>0</v>
      </c>
      <c r="O77" s="1026"/>
      <c r="P77" s="1026"/>
      <c r="Q77" s="1942">
        <f t="shared" si="39"/>
        <v>0</v>
      </c>
      <c r="R77" s="1942">
        <f t="shared" si="40"/>
        <v>0</v>
      </c>
      <c r="S77" s="1942">
        <f t="shared" si="41"/>
        <v>0</v>
      </c>
      <c r="T77" s="1942">
        <f t="shared" si="42"/>
        <v>0</v>
      </c>
      <c r="U77" s="1942">
        <f t="shared" si="43"/>
        <v>0</v>
      </c>
      <c r="V77" s="3034">
        <f t="shared" si="44"/>
        <v>0</v>
      </c>
      <c r="W77" s="1942"/>
      <c r="X77" s="1923">
        <v>0.01</v>
      </c>
      <c r="Y77" s="1947"/>
      <c r="Z77" s="1947"/>
      <c r="AA77" s="1947"/>
      <c r="AB77" s="1947"/>
      <c r="AC77" s="1947"/>
      <c r="AD77" s="1947"/>
      <c r="AE77" s="1947"/>
      <c r="AF77" s="1947"/>
      <c r="AG77" s="1947"/>
      <c r="AH77" s="1947"/>
      <c r="AI77" s="1947"/>
      <c r="AJ77" s="1947"/>
      <c r="AK77" s="1947"/>
      <c r="AL77" s="1947"/>
      <c r="AM77" s="1947"/>
      <c r="AN77" s="1947"/>
      <c r="AO77" s="1947"/>
      <c r="AP77" s="1947"/>
      <c r="AQ77" s="1947"/>
      <c r="AR77" s="1947"/>
      <c r="AS77" s="1947"/>
      <c r="AT77" s="1947"/>
      <c r="AU77" s="1947"/>
      <c r="AV77" s="1947"/>
      <c r="AW77" s="1947"/>
      <c r="AX77" s="1947"/>
      <c r="AY77" s="1947"/>
      <c r="AZ77" s="1947"/>
      <c r="BA77" s="1947"/>
      <c r="BB77" s="1947"/>
      <c r="BC77" s="1947"/>
      <c r="BD77" s="1947"/>
      <c r="BE77" s="1947"/>
      <c r="BF77" s="1947"/>
      <c r="BG77" s="1947"/>
      <c r="BH77" s="1947"/>
      <c r="BI77" s="1947"/>
      <c r="BJ77" s="1947"/>
      <c r="BK77" s="1947"/>
      <c r="BL77" s="1947"/>
      <c r="BM77" s="1947"/>
      <c r="BN77" s="1947"/>
      <c r="BO77" s="1947"/>
      <c r="BP77" s="1947"/>
      <c r="BQ77" s="1947"/>
      <c r="BR77" s="1947"/>
      <c r="BS77" s="1947"/>
      <c r="BT77" s="1947"/>
      <c r="BU77" s="1947"/>
      <c r="BV77" s="1947"/>
      <c r="BW77" s="1947"/>
      <c r="BX77" s="1947"/>
      <c r="BY77" s="1947"/>
      <c r="BZ77" s="1947"/>
      <c r="CA77" s="1947"/>
      <c r="CB77" s="1947"/>
      <c r="CC77" s="1947"/>
      <c r="CD77" s="1947"/>
      <c r="CE77" s="1947"/>
      <c r="CF77" s="1947"/>
      <c r="CG77" s="1947"/>
      <c r="CH77" s="1947"/>
      <c r="CI77" s="1947"/>
      <c r="CJ77" s="1947"/>
      <c r="CK77" s="1947"/>
      <c r="CL77" s="1947"/>
      <c r="CM77" s="1947"/>
      <c r="CN77" s="1947"/>
      <c r="CO77" s="1947"/>
      <c r="CP77" s="1947"/>
      <c r="CQ77" s="1947"/>
      <c r="CR77" s="1947"/>
      <c r="CS77" s="1947"/>
      <c r="CT77" s="1947"/>
      <c r="CU77" s="1947"/>
      <c r="CV77" s="1947"/>
      <c r="CW77" s="1947"/>
      <c r="CX77" s="1947"/>
      <c r="CY77" s="1947"/>
      <c r="CZ77" s="1947"/>
      <c r="DA77" s="1947"/>
      <c r="DB77" s="1947"/>
      <c r="DC77" s="1947"/>
      <c r="DD77" s="1947"/>
      <c r="DE77" s="1947"/>
      <c r="DF77" s="1947"/>
      <c r="DG77" s="1947"/>
      <c r="DH77" s="1947"/>
      <c r="DI77" s="1947"/>
      <c r="DJ77" s="1947"/>
      <c r="DK77" s="1947"/>
      <c r="DL77" s="1947"/>
      <c r="DM77" s="1947"/>
      <c r="DN77" s="1947"/>
      <c r="DO77" s="1947"/>
      <c r="DP77" s="1947"/>
      <c r="DQ77" s="1947"/>
      <c r="DR77" s="1947"/>
      <c r="DS77" s="1947"/>
      <c r="DT77" s="1947"/>
      <c r="DU77" s="1947"/>
      <c r="DV77" s="1947"/>
      <c r="DW77" s="1947"/>
      <c r="DX77" s="1947"/>
      <c r="DY77" s="1947"/>
      <c r="DZ77" s="1947"/>
      <c r="EA77" s="1947"/>
      <c r="EB77" s="1947"/>
      <c r="EC77" s="1947"/>
      <c r="ED77" s="1947"/>
      <c r="EE77" s="1947"/>
      <c r="EF77" s="1947"/>
      <c r="EG77" s="1947"/>
      <c r="EH77" s="1947"/>
      <c r="EI77" s="1947"/>
      <c r="EJ77" s="1947"/>
      <c r="EK77" s="1947"/>
      <c r="EL77" s="1947"/>
      <c r="EM77" s="1947"/>
      <c r="EN77" s="1947"/>
      <c r="EO77" s="1947"/>
      <c r="EP77" s="1947"/>
      <c r="EQ77" s="1947"/>
      <c r="ER77" s="1947"/>
      <c r="ES77" s="1947"/>
      <c r="ET77" s="1947"/>
      <c r="EU77" s="1947"/>
      <c r="EV77" s="1947"/>
      <c r="EW77" s="1947"/>
      <c r="EX77" s="1947"/>
      <c r="EY77" s="1947"/>
      <c r="EZ77" s="1947"/>
      <c r="FA77" s="1947"/>
      <c r="FB77" s="1947"/>
      <c r="FC77" s="1947"/>
      <c r="FD77" s="1947"/>
      <c r="FE77" s="1947"/>
      <c r="FF77" s="1947"/>
      <c r="FG77" s="1947"/>
      <c r="FH77" s="1947"/>
      <c r="FI77" s="1947"/>
      <c r="FJ77" s="1947"/>
      <c r="FK77" s="1947"/>
      <c r="FL77" s="1947"/>
      <c r="FM77" s="1947"/>
      <c r="FN77" s="1947"/>
      <c r="FO77" s="1947"/>
      <c r="FP77" s="1947"/>
      <c r="FQ77" s="1947"/>
      <c r="FR77" s="1947"/>
      <c r="FS77" s="1947"/>
      <c r="FT77" s="1947"/>
      <c r="FU77" s="1947"/>
      <c r="FV77" s="1947"/>
      <c r="FW77" s="1947"/>
      <c r="FX77" s="1947"/>
      <c r="FY77" s="1947"/>
      <c r="FZ77" s="1947"/>
      <c r="GA77" s="1947"/>
      <c r="GB77" s="1947"/>
      <c r="GC77" s="1947"/>
      <c r="GD77" s="1947"/>
      <c r="GE77" s="1947"/>
      <c r="GF77" s="1947"/>
      <c r="GG77" s="1947"/>
      <c r="GH77" s="1947"/>
      <c r="GI77" s="1947"/>
      <c r="GJ77" s="1947"/>
      <c r="GK77" s="1947"/>
      <c r="GL77" s="1947"/>
      <c r="GM77" s="1947"/>
      <c r="GN77" s="1947"/>
      <c r="GO77" s="1947"/>
      <c r="GP77" s="1947"/>
      <c r="GQ77" s="1947"/>
      <c r="GR77" s="1947"/>
      <c r="GS77" s="1947"/>
      <c r="GT77" s="1947"/>
      <c r="GU77" s="1947"/>
      <c r="GV77" s="1947"/>
      <c r="GW77" s="1947"/>
      <c r="GX77" s="1947"/>
      <c r="GY77" s="1947"/>
      <c r="GZ77" s="1947"/>
      <c r="HA77" s="1947"/>
      <c r="HB77" s="1947"/>
      <c r="HC77" s="1947"/>
      <c r="HD77" s="1947"/>
      <c r="HE77" s="1947"/>
      <c r="HF77" s="1947"/>
      <c r="HG77" s="1947"/>
      <c r="HH77" s="1947"/>
      <c r="HI77" s="1947"/>
      <c r="HJ77" s="1947"/>
      <c r="HK77" s="1947"/>
      <c r="HL77" s="1947"/>
      <c r="HM77" s="1947"/>
      <c r="HN77" s="1947"/>
      <c r="HO77" s="1947"/>
      <c r="HP77" s="1947"/>
      <c r="HQ77" s="1947"/>
      <c r="HR77" s="1947"/>
      <c r="HS77" s="1947"/>
      <c r="HT77" s="1947"/>
      <c r="HU77" s="1947"/>
      <c r="HV77" s="1947"/>
      <c r="HW77" s="1947"/>
      <c r="HX77" s="1947"/>
      <c r="HY77" s="1947"/>
      <c r="HZ77" s="1947"/>
      <c r="IA77" s="1947"/>
      <c r="IB77" s="1947"/>
      <c r="IC77" s="1947"/>
      <c r="ID77" s="1947"/>
      <c r="IE77" s="1947"/>
      <c r="IF77" s="1947"/>
      <c r="IG77" s="1947"/>
      <c r="IH77" s="1947"/>
      <c r="II77" s="1947"/>
      <c r="IJ77" s="1947"/>
      <c r="IK77" s="1947"/>
      <c r="IL77" s="1947"/>
      <c r="IM77" s="1947"/>
      <c r="IN77" s="1947"/>
      <c r="IO77" s="1947"/>
      <c r="IP77" s="1947"/>
      <c r="IQ77" s="1947"/>
    </row>
    <row r="78" spans="1:251" hidden="1">
      <c r="A78" s="1026"/>
      <c r="B78" s="1955"/>
      <c r="C78" s="1955"/>
      <c r="D78" s="2034"/>
      <c r="E78" s="1955"/>
      <c r="F78" s="1942">
        <f t="shared" si="33"/>
        <v>0</v>
      </c>
      <c r="G78" s="1026"/>
      <c r="H78" s="1942">
        <f t="shared" si="34"/>
        <v>0</v>
      </c>
      <c r="I78" s="1026"/>
      <c r="J78" s="1942">
        <f t="shared" si="35"/>
        <v>0</v>
      </c>
      <c r="K78" s="1026"/>
      <c r="L78" s="1942">
        <f t="shared" si="36"/>
        <v>0</v>
      </c>
      <c r="M78" s="1942">
        <f t="shared" si="37"/>
        <v>0</v>
      </c>
      <c r="N78" s="1942">
        <f t="shared" si="38"/>
        <v>0</v>
      </c>
      <c r="O78" s="1026"/>
      <c r="P78" s="1026"/>
      <c r="Q78" s="1942">
        <f t="shared" si="39"/>
        <v>0</v>
      </c>
      <c r="R78" s="1942">
        <f t="shared" si="40"/>
        <v>0</v>
      </c>
      <c r="S78" s="1942">
        <f t="shared" si="41"/>
        <v>0</v>
      </c>
      <c r="T78" s="1942">
        <f t="shared" si="42"/>
        <v>0</v>
      </c>
      <c r="U78" s="1942">
        <f t="shared" si="43"/>
        <v>0</v>
      </c>
      <c r="V78" s="3034">
        <f t="shared" si="44"/>
        <v>0</v>
      </c>
      <c r="W78" s="1942"/>
      <c r="X78" s="1923">
        <v>0.01</v>
      </c>
      <c r="Y78" s="1947"/>
      <c r="Z78" s="1947"/>
      <c r="AA78" s="1947"/>
      <c r="AB78" s="1947"/>
      <c r="AC78" s="1947"/>
      <c r="AD78" s="1947"/>
      <c r="AE78" s="1947"/>
      <c r="AF78" s="1947"/>
      <c r="AG78" s="1947"/>
      <c r="AH78" s="1947"/>
      <c r="AI78" s="1947"/>
      <c r="AJ78" s="1947"/>
      <c r="AK78" s="1947"/>
      <c r="AL78" s="1947"/>
      <c r="AM78" s="1947"/>
      <c r="AN78" s="1947"/>
      <c r="AO78" s="1947"/>
      <c r="AP78" s="1947"/>
      <c r="AQ78" s="1947"/>
      <c r="AR78" s="1947"/>
      <c r="AS78" s="1947"/>
      <c r="AT78" s="1947"/>
      <c r="AU78" s="1947"/>
      <c r="AV78" s="1947"/>
      <c r="AW78" s="1947"/>
      <c r="AX78" s="1947"/>
      <c r="AY78" s="1947"/>
      <c r="AZ78" s="1947"/>
      <c r="BA78" s="1947"/>
      <c r="BB78" s="1947"/>
      <c r="BC78" s="1947"/>
      <c r="BD78" s="1947"/>
      <c r="BE78" s="1947"/>
      <c r="BF78" s="1947"/>
      <c r="BG78" s="1947"/>
      <c r="BH78" s="1947"/>
      <c r="BI78" s="1947"/>
      <c r="BJ78" s="1947"/>
      <c r="BK78" s="1947"/>
      <c r="BL78" s="1947"/>
      <c r="BM78" s="1947"/>
      <c r="BN78" s="1947"/>
      <c r="BO78" s="1947"/>
      <c r="BP78" s="1947"/>
      <c r="BQ78" s="1947"/>
      <c r="BR78" s="1947"/>
      <c r="BS78" s="1947"/>
      <c r="BT78" s="1947"/>
      <c r="BU78" s="1947"/>
      <c r="BV78" s="1947"/>
      <c r="BW78" s="1947"/>
      <c r="BX78" s="1947"/>
      <c r="BY78" s="1947"/>
      <c r="BZ78" s="1947"/>
      <c r="CA78" s="1947"/>
      <c r="CB78" s="1947"/>
      <c r="CC78" s="1947"/>
      <c r="CD78" s="1947"/>
      <c r="CE78" s="1947"/>
      <c r="CF78" s="1947"/>
      <c r="CG78" s="1947"/>
      <c r="CH78" s="1947"/>
      <c r="CI78" s="1947"/>
      <c r="CJ78" s="1947"/>
      <c r="CK78" s="1947"/>
      <c r="CL78" s="1947"/>
      <c r="CM78" s="1947"/>
      <c r="CN78" s="1947"/>
      <c r="CO78" s="1947"/>
      <c r="CP78" s="1947"/>
      <c r="CQ78" s="1947"/>
      <c r="CR78" s="1947"/>
      <c r="CS78" s="1947"/>
      <c r="CT78" s="1947"/>
      <c r="CU78" s="1947"/>
      <c r="CV78" s="1947"/>
      <c r="CW78" s="1947"/>
      <c r="CX78" s="1947"/>
      <c r="CY78" s="1947"/>
      <c r="CZ78" s="1947"/>
      <c r="DA78" s="1947"/>
      <c r="DB78" s="1947"/>
      <c r="DC78" s="1947"/>
      <c r="DD78" s="1947"/>
      <c r="DE78" s="1947"/>
      <c r="DF78" s="1947"/>
      <c r="DG78" s="1947"/>
      <c r="DH78" s="1947"/>
      <c r="DI78" s="1947"/>
      <c r="DJ78" s="1947"/>
      <c r="DK78" s="1947"/>
      <c r="DL78" s="1947"/>
      <c r="DM78" s="1947"/>
      <c r="DN78" s="1947"/>
      <c r="DO78" s="1947"/>
      <c r="DP78" s="1947"/>
      <c r="DQ78" s="1947"/>
      <c r="DR78" s="1947"/>
      <c r="DS78" s="1947"/>
      <c r="DT78" s="1947"/>
      <c r="DU78" s="1947"/>
      <c r="DV78" s="1947"/>
      <c r="DW78" s="1947"/>
      <c r="DX78" s="1947"/>
      <c r="DY78" s="1947"/>
      <c r="DZ78" s="1947"/>
      <c r="EA78" s="1947"/>
      <c r="EB78" s="1947"/>
      <c r="EC78" s="1947"/>
      <c r="ED78" s="1947"/>
      <c r="EE78" s="1947"/>
      <c r="EF78" s="1947"/>
      <c r="EG78" s="1947"/>
      <c r="EH78" s="1947"/>
      <c r="EI78" s="1947"/>
      <c r="EJ78" s="1947"/>
      <c r="EK78" s="1947"/>
      <c r="EL78" s="1947"/>
      <c r="EM78" s="1947"/>
      <c r="EN78" s="1947"/>
      <c r="EO78" s="1947"/>
      <c r="EP78" s="1947"/>
      <c r="EQ78" s="1947"/>
      <c r="ER78" s="1947"/>
      <c r="ES78" s="1947"/>
      <c r="ET78" s="1947"/>
      <c r="EU78" s="1947"/>
      <c r="EV78" s="1947"/>
      <c r="EW78" s="1947"/>
      <c r="EX78" s="1947"/>
      <c r="EY78" s="1947"/>
      <c r="EZ78" s="1947"/>
      <c r="FA78" s="1947"/>
      <c r="FB78" s="1947"/>
      <c r="FC78" s="1947"/>
      <c r="FD78" s="1947"/>
      <c r="FE78" s="1947"/>
      <c r="FF78" s="1947"/>
      <c r="FG78" s="1947"/>
      <c r="FH78" s="1947"/>
      <c r="FI78" s="1947"/>
      <c r="FJ78" s="1947"/>
      <c r="FK78" s="1947"/>
      <c r="FL78" s="1947"/>
      <c r="FM78" s="1947"/>
      <c r="FN78" s="1947"/>
      <c r="FO78" s="1947"/>
      <c r="FP78" s="1947"/>
      <c r="FQ78" s="1947"/>
      <c r="FR78" s="1947"/>
      <c r="FS78" s="1947"/>
      <c r="FT78" s="1947"/>
      <c r="FU78" s="1947"/>
      <c r="FV78" s="1947"/>
      <c r="FW78" s="1947"/>
      <c r="FX78" s="1947"/>
      <c r="FY78" s="1947"/>
      <c r="FZ78" s="1947"/>
      <c r="GA78" s="1947"/>
      <c r="GB78" s="1947"/>
      <c r="GC78" s="1947"/>
      <c r="GD78" s="1947"/>
      <c r="GE78" s="1947"/>
      <c r="GF78" s="1947"/>
      <c r="GG78" s="1947"/>
      <c r="GH78" s="1947"/>
      <c r="GI78" s="1947"/>
      <c r="GJ78" s="1947"/>
      <c r="GK78" s="1947"/>
      <c r="GL78" s="1947"/>
      <c r="GM78" s="1947"/>
      <c r="GN78" s="1947"/>
      <c r="GO78" s="1947"/>
      <c r="GP78" s="1947"/>
      <c r="GQ78" s="1947"/>
      <c r="GR78" s="1947"/>
      <c r="GS78" s="1947"/>
      <c r="GT78" s="1947"/>
      <c r="GU78" s="1947"/>
      <c r="GV78" s="1947"/>
      <c r="GW78" s="1947"/>
      <c r="GX78" s="1947"/>
      <c r="GY78" s="1947"/>
      <c r="GZ78" s="1947"/>
      <c r="HA78" s="1947"/>
      <c r="HB78" s="1947"/>
      <c r="HC78" s="1947"/>
      <c r="HD78" s="1947"/>
      <c r="HE78" s="1947"/>
      <c r="HF78" s="1947"/>
      <c r="HG78" s="1947"/>
      <c r="HH78" s="1947"/>
      <c r="HI78" s="1947"/>
      <c r="HJ78" s="1947"/>
      <c r="HK78" s="1947"/>
      <c r="HL78" s="1947"/>
      <c r="HM78" s="1947"/>
      <c r="HN78" s="1947"/>
      <c r="HO78" s="1947"/>
      <c r="HP78" s="1947"/>
      <c r="HQ78" s="1947"/>
      <c r="HR78" s="1947"/>
      <c r="HS78" s="1947"/>
      <c r="HT78" s="1947"/>
      <c r="HU78" s="1947"/>
      <c r="HV78" s="1947"/>
      <c r="HW78" s="1947"/>
      <c r="HX78" s="1947"/>
      <c r="HY78" s="1947"/>
      <c r="HZ78" s="1947"/>
      <c r="IA78" s="1947"/>
      <c r="IB78" s="1947"/>
      <c r="IC78" s="1947"/>
      <c r="ID78" s="1947"/>
      <c r="IE78" s="1947"/>
      <c r="IF78" s="1947"/>
      <c r="IG78" s="1947"/>
      <c r="IH78" s="1947"/>
      <c r="II78" s="1947"/>
      <c r="IJ78" s="1947"/>
      <c r="IK78" s="1947"/>
      <c r="IL78" s="1947"/>
      <c r="IM78" s="1947"/>
      <c r="IN78" s="1947"/>
      <c r="IO78" s="1947"/>
      <c r="IP78" s="1947"/>
      <c r="IQ78" s="1947"/>
    </row>
    <row r="79" spans="1:251" hidden="1">
      <c r="A79" s="1026"/>
      <c r="B79" s="1955"/>
      <c r="C79" s="1955"/>
      <c r="D79" s="2034"/>
      <c r="E79" s="1955"/>
      <c r="F79" s="1942">
        <f t="shared" si="33"/>
        <v>0</v>
      </c>
      <c r="G79" s="1026"/>
      <c r="H79" s="1942">
        <f t="shared" si="34"/>
        <v>0</v>
      </c>
      <c r="I79" s="1026"/>
      <c r="J79" s="1942">
        <f t="shared" si="35"/>
        <v>0</v>
      </c>
      <c r="K79" s="1026"/>
      <c r="L79" s="1942">
        <f t="shared" si="36"/>
        <v>0</v>
      </c>
      <c r="M79" s="1942">
        <f t="shared" si="37"/>
        <v>0</v>
      </c>
      <c r="N79" s="1942">
        <f t="shared" si="38"/>
        <v>0</v>
      </c>
      <c r="O79" s="1026"/>
      <c r="P79" s="1026"/>
      <c r="Q79" s="1942">
        <f t="shared" si="39"/>
        <v>0</v>
      </c>
      <c r="R79" s="1942">
        <f t="shared" si="40"/>
        <v>0</v>
      </c>
      <c r="S79" s="1942">
        <f t="shared" si="41"/>
        <v>0</v>
      </c>
      <c r="T79" s="1942">
        <f t="shared" si="42"/>
        <v>0</v>
      </c>
      <c r="U79" s="1942">
        <f t="shared" si="43"/>
        <v>0</v>
      </c>
      <c r="V79" s="3034">
        <f t="shared" si="44"/>
        <v>0</v>
      </c>
      <c r="W79" s="1942"/>
      <c r="X79" s="1923">
        <v>0.01</v>
      </c>
      <c r="Y79" s="1947"/>
      <c r="Z79" s="1947"/>
      <c r="AA79" s="1947"/>
      <c r="AB79" s="1947"/>
      <c r="AC79" s="1947"/>
      <c r="AD79" s="1947"/>
      <c r="AE79" s="1947"/>
      <c r="AF79" s="1947"/>
      <c r="AG79" s="1947"/>
      <c r="AH79" s="1947"/>
      <c r="AI79" s="1947"/>
      <c r="AJ79" s="1947"/>
      <c r="AK79" s="1947"/>
      <c r="AL79" s="1947"/>
      <c r="AM79" s="1947"/>
      <c r="AN79" s="1947"/>
      <c r="AO79" s="1947"/>
      <c r="AP79" s="1947"/>
      <c r="AQ79" s="1947"/>
      <c r="AR79" s="1947"/>
      <c r="AS79" s="1947"/>
      <c r="AT79" s="1947"/>
      <c r="AU79" s="1947"/>
      <c r="AV79" s="1947"/>
      <c r="AW79" s="1947"/>
      <c r="AX79" s="1947"/>
      <c r="AY79" s="1947"/>
      <c r="AZ79" s="1947"/>
      <c r="BA79" s="1947"/>
      <c r="BB79" s="1947"/>
      <c r="BC79" s="1947"/>
      <c r="BD79" s="1947"/>
      <c r="BE79" s="1947"/>
      <c r="BF79" s="1947"/>
      <c r="BG79" s="1947"/>
      <c r="BH79" s="1947"/>
      <c r="BI79" s="1947"/>
      <c r="BJ79" s="1947"/>
      <c r="BK79" s="1947"/>
      <c r="BL79" s="1947"/>
      <c r="BM79" s="1947"/>
      <c r="BN79" s="1947"/>
      <c r="BO79" s="1947"/>
      <c r="BP79" s="1947"/>
      <c r="BQ79" s="1947"/>
      <c r="BR79" s="1947"/>
      <c r="BS79" s="1947"/>
      <c r="BT79" s="1947"/>
      <c r="BU79" s="1947"/>
      <c r="BV79" s="1947"/>
      <c r="BW79" s="1947"/>
      <c r="BX79" s="1947"/>
      <c r="BY79" s="1947"/>
      <c r="BZ79" s="1947"/>
      <c r="CA79" s="1947"/>
      <c r="CB79" s="1947"/>
      <c r="CC79" s="1947"/>
      <c r="CD79" s="1947"/>
      <c r="CE79" s="1947"/>
      <c r="CF79" s="1947"/>
      <c r="CG79" s="1947"/>
      <c r="CH79" s="1947"/>
      <c r="CI79" s="1947"/>
      <c r="CJ79" s="1947"/>
      <c r="CK79" s="1947"/>
      <c r="CL79" s="1947"/>
      <c r="CM79" s="1947"/>
      <c r="CN79" s="1947"/>
      <c r="CO79" s="1947"/>
      <c r="CP79" s="1947"/>
      <c r="CQ79" s="1947"/>
      <c r="CR79" s="1947"/>
      <c r="CS79" s="1947"/>
      <c r="CT79" s="1947"/>
      <c r="CU79" s="1947"/>
      <c r="CV79" s="1947"/>
      <c r="CW79" s="1947"/>
      <c r="CX79" s="1947"/>
      <c r="CY79" s="1947"/>
      <c r="CZ79" s="1947"/>
      <c r="DA79" s="1947"/>
      <c r="DB79" s="1947"/>
      <c r="DC79" s="1947"/>
      <c r="DD79" s="1947"/>
      <c r="DE79" s="1947"/>
      <c r="DF79" s="1947"/>
      <c r="DG79" s="1947"/>
      <c r="DH79" s="1947"/>
      <c r="DI79" s="1947"/>
      <c r="DJ79" s="1947"/>
      <c r="DK79" s="1947"/>
      <c r="DL79" s="1947"/>
      <c r="DM79" s="1947"/>
      <c r="DN79" s="1947"/>
      <c r="DO79" s="1947"/>
      <c r="DP79" s="1947"/>
      <c r="DQ79" s="1947"/>
      <c r="DR79" s="1947"/>
      <c r="DS79" s="1947"/>
      <c r="DT79" s="1947"/>
      <c r="DU79" s="1947"/>
      <c r="DV79" s="1947"/>
      <c r="DW79" s="1947"/>
      <c r="DX79" s="1947"/>
      <c r="DY79" s="1947"/>
      <c r="DZ79" s="1947"/>
      <c r="EA79" s="1947"/>
      <c r="EB79" s="1947"/>
      <c r="EC79" s="1947"/>
      <c r="ED79" s="1947"/>
      <c r="EE79" s="1947"/>
      <c r="EF79" s="1947"/>
      <c r="EG79" s="1947"/>
      <c r="EH79" s="1947"/>
      <c r="EI79" s="1947"/>
      <c r="EJ79" s="1947"/>
      <c r="EK79" s="1947"/>
      <c r="EL79" s="1947"/>
      <c r="EM79" s="1947"/>
      <c r="EN79" s="1947"/>
      <c r="EO79" s="1947"/>
      <c r="EP79" s="1947"/>
      <c r="EQ79" s="1947"/>
      <c r="ER79" s="1947"/>
      <c r="ES79" s="1947"/>
      <c r="ET79" s="1947"/>
      <c r="EU79" s="1947"/>
      <c r="EV79" s="1947"/>
      <c r="EW79" s="1947"/>
      <c r="EX79" s="1947"/>
      <c r="EY79" s="1947"/>
      <c r="EZ79" s="1947"/>
      <c r="FA79" s="1947"/>
      <c r="FB79" s="1947"/>
      <c r="FC79" s="1947"/>
      <c r="FD79" s="1947"/>
      <c r="FE79" s="1947"/>
      <c r="FF79" s="1947"/>
      <c r="FG79" s="1947"/>
      <c r="FH79" s="1947"/>
      <c r="FI79" s="1947"/>
      <c r="FJ79" s="1947"/>
      <c r="FK79" s="1947"/>
      <c r="FL79" s="1947"/>
      <c r="FM79" s="1947"/>
      <c r="FN79" s="1947"/>
      <c r="FO79" s="1947"/>
      <c r="FP79" s="1947"/>
      <c r="FQ79" s="1947"/>
      <c r="FR79" s="1947"/>
      <c r="FS79" s="1947"/>
      <c r="FT79" s="1947"/>
      <c r="FU79" s="1947"/>
      <c r="FV79" s="1947"/>
      <c r="FW79" s="1947"/>
      <c r="FX79" s="1947"/>
      <c r="FY79" s="1947"/>
      <c r="FZ79" s="1947"/>
      <c r="GA79" s="1947"/>
      <c r="GB79" s="1947"/>
      <c r="GC79" s="1947"/>
      <c r="GD79" s="1947"/>
      <c r="GE79" s="1947"/>
      <c r="GF79" s="1947"/>
      <c r="GG79" s="1947"/>
      <c r="GH79" s="1947"/>
      <c r="GI79" s="1947"/>
      <c r="GJ79" s="1947"/>
      <c r="GK79" s="1947"/>
      <c r="GL79" s="1947"/>
      <c r="GM79" s="1947"/>
      <c r="GN79" s="1947"/>
      <c r="GO79" s="1947"/>
      <c r="GP79" s="1947"/>
      <c r="GQ79" s="1947"/>
      <c r="GR79" s="1947"/>
      <c r="GS79" s="1947"/>
      <c r="GT79" s="1947"/>
      <c r="GU79" s="1947"/>
      <c r="GV79" s="1947"/>
      <c r="GW79" s="1947"/>
      <c r="GX79" s="1947"/>
      <c r="GY79" s="1947"/>
      <c r="GZ79" s="1947"/>
      <c r="HA79" s="1947"/>
      <c r="HB79" s="1947"/>
      <c r="HC79" s="1947"/>
      <c r="HD79" s="1947"/>
      <c r="HE79" s="1947"/>
      <c r="HF79" s="1947"/>
      <c r="HG79" s="1947"/>
      <c r="HH79" s="1947"/>
      <c r="HI79" s="1947"/>
      <c r="HJ79" s="1947"/>
      <c r="HK79" s="1947"/>
      <c r="HL79" s="1947"/>
      <c r="HM79" s="1947"/>
      <c r="HN79" s="1947"/>
      <c r="HO79" s="1947"/>
      <c r="HP79" s="1947"/>
      <c r="HQ79" s="1947"/>
      <c r="HR79" s="1947"/>
      <c r="HS79" s="1947"/>
      <c r="HT79" s="1947"/>
      <c r="HU79" s="1947"/>
      <c r="HV79" s="1947"/>
      <c r="HW79" s="1947"/>
      <c r="HX79" s="1947"/>
      <c r="HY79" s="1947"/>
      <c r="HZ79" s="1947"/>
      <c r="IA79" s="1947"/>
      <c r="IB79" s="1947"/>
      <c r="IC79" s="1947"/>
      <c r="ID79" s="1947"/>
      <c r="IE79" s="1947"/>
      <c r="IF79" s="1947"/>
      <c r="IG79" s="1947"/>
      <c r="IH79" s="1947"/>
      <c r="II79" s="1947"/>
      <c r="IJ79" s="1947"/>
      <c r="IK79" s="1947"/>
      <c r="IL79" s="1947"/>
      <c r="IM79" s="1947"/>
      <c r="IN79" s="1947"/>
      <c r="IO79" s="1947"/>
      <c r="IP79" s="1947"/>
      <c r="IQ79" s="1947"/>
    </row>
    <row r="80" spans="1:251" hidden="1">
      <c r="A80" s="1026"/>
      <c r="B80" s="1955"/>
      <c r="C80" s="1955"/>
      <c r="D80" s="2034"/>
      <c r="E80" s="1955"/>
      <c r="F80" s="1942">
        <f t="shared" si="33"/>
        <v>0</v>
      </c>
      <c r="G80" s="1026"/>
      <c r="H80" s="1942">
        <f t="shared" si="34"/>
        <v>0</v>
      </c>
      <c r="I80" s="1026"/>
      <c r="J80" s="1942">
        <f t="shared" si="35"/>
        <v>0</v>
      </c>
      <c r="K80" s="1026"/>
      <c r="L80" s="1942">
        <f t="shared" si="36"/>
        <v>0</v>
      </c>
      <c r="M80" s="1942">
        <f t="shared" si="37"/>
        <v>0</v>
      </c>
      <c r="N80" s="1942">
        <f t="shared" si="38"/>
        <v>0</v>
      </c>
      <c r="O80" s="1026"/>
      <c r="P80" s="1026"/>
      <c r="Q80" s="1942">
        <f t="shared" si="39"/>
        <v>0</v>
      </c>
      <c r="R80" s="1942">
        <f t="shared" si="40"/>
        <v>0</v>
      </c>
      <c r="S80" s="1942">
        <f t="shared" si="41"/>
        <v>0</v>
      </c>
      <c r="T80" s="1942">
        <f t="shared" si="42"/>
        <v>0</v>
      </c>
      <c r="U80" s="1942">
        <f t="shared" si="43"/>
        <v>0</v>
      </c>
      <c r="V80" s="3034">
        <f t="shared" si="44"/>
        <v>0</v>
      </c>
      <c r="W80" s="1942"/>
      <c r="X80" s="1923">
        <v>0.01</v>
      </c>
      <c r="Y80" s="1947"/>
      <c r="Z80" s="1947"/>
      <c r="AA80" s="1947"/>
      <c r="AB80" s="1947"/>
      <c r="AC80" s="1947"/>
      <c r="AD80" s="1947"/>
      <c r="AE80" s="1947"/>
      <c r="AF80" s="1947"/>
      <c r="AG80" s="1947"/>
      <c r="AH80" s="1947"/>
      <c r="AI80" s="1947"/>
      <c r="AJ80" s="1947"/>
      <c r="AK80" s="1947"/>
      <c r="AL80" s="1947"/>
      <c r="AM80" s="1947"/>
      <c r="AN80" s="1947"/>
      <c r="AO80" s="1947"/>
      <c r="AP80" s="1947"/>
      <c r="AQ80" s="1947"/>
      <c r="AR80" s="1947"/>
      <c r="AS80" s="1947"/>
      <c r="AT80" s="1947"/>
      <c r="AU80" s="1947"/>
      <c r="AV80" s="1947"/>
      <c r="AW80" s="1947"/>
      <c r="AX80" s="1947"/>
      <c r="AY80" s="1947"/>
      <c r="AZ80" s="1947"/>
      <c r="BA80" s="1947"/>
      <c r="BB80" s="1947"/>
      <c r="BC80" s="1947"/>
      <c r="BD80" s="1947"/>
      <c r="BE80" s="1947"/>
      <c r="BF80" s="1947"/>
      <c r="BG80" s="1947"/>
      <c r="BH80" s="1947"/>
      <c r="BI80" s="1947"/>
      <c r="BJ80" s="1947"/>
      <c r="BK80" s="1947"/>
      <c r="BL80" s="1947"/>
      <c r="BM80" s="1947"/>
      <c r="BN80" s="1947"/>
      <c r="BO80" s="1947"/>
      <c r="BP80" s="1947"/>
      <c r="BQ80" s="1947"/>
      <c r="BR80" s="1947"/>
      <c r="BS80" s="1947"/>
      <c r="BT80" s="1947"/>
      <c r="BU80" s="1947"/>
      <c r="BV80" s="1947"/>
      <c r="BW80" s="1947"/>
      <c r="BX80" s="1947"/>
      <c r="BY80" s="1947"/>
      <c r="BZ80" s="1947"/>
      <c r="CA80" s="1947"/>
      <c r="CB80" s="1947"/>
      <c r="CC80" s="1947"/>
      <c r="CD80" s="1947"/>
      <c r="CE80" s="1947"/>
      <c r="CF80" s="1947"/>
      <c r="CG80" s="1947"/>
      <c r="CH80" s="1947"/>
      <c r="CI80" s="1947"/>
      <c r="CJ80" s="1947"/>
      <c r="CK80" s="1947"/>
      <c r="CL80" s="1947"/>
      <c r="CM80" s="1947"/>
      <c r="CN80" s="1947"/>
      <c r="CO80" s="1947"/>
      <c r="CP80" s="1947"/>
      <c r="CQ80" s="1947"/>
      <c r="CR80" s="1947"/>
      <c r="CS80" s="1947"/>
      <c r="CT80" s="1947"/>
      <c r="CU80" s="1947"/>
      <c r="CV80" s="1947"/>
      <c r="CW80" s="1947"/>
      <c r="CX80" s="1947"/>
      <c r="CY80" s="1947"/>
      <c r="CZ80" s="1947"/>
      <c r="DA80" s="1947"/>
      <c r="DB80" s="1947"/>
      <c r="DC80" s="1947"/>
      <c r="DD80" s="1947"/>
      <c r="DE80" s="1947"/>
      <c r="DF80" s="1947"/>
      <c r="DG80" s="1947"/>
      <c r="DH80" s="1947"/>
      <c r="DI80" s="1947"/>
      <c r="DJ80" s="1947"/>
      <c r="DK80" s="1947"/>
      <c r="DL80" s="1947"/>
      <c r="DM80" s="1947"/>
      <c r="DN80" s="1947"/>
      <c r="DO80" s="1947"/>
      <c r="DP80" s="1947"/>
      <c r="DQ80" s="1947"/>
      <c r="DR80" s="1947"/>
      <c r="DS80" s="1947"/>
      <c r="DT80" s="1947"/>
      <c r="DU80" s="1947"/>
      <c r="DV80" s="1947"/>
      <c r="DW80" s="1947"/>
      <c r="DX80" s="1947"/>
      <c r="DY80" s="1947"/>
      <c r="DZ80" s="1947"/>
      <c r="EA80" s="1947"/>
      <c r="EB80" s="1947"/>
      <c r="EC80" s="1947"/>
      <c r="ED80" s="1947"/>
      <c r="EE80" s="1947"/>
      <c r="EF80" s="1947"/>
      <c r="EG80" s="1947"/>
      <c r="EH80" s="1947"/>
      <c r="EI80" s="1947"/>
      <c r="EJ80" s="1947"/>
      <c r="EK80" s="1947"/>
      <c r="EL80" s="1947"/>
      <c r="EM80" s="1947"/>
      <c r="EN80" s="1947"/>
      <c r="EO80" s="1947"/>
      <c r="EP80" s="1947"/>
      <c r="EQ80" s="1947"/>
      <c r="ER80" s="1947"/>
      <c r="ES80" s="1947"/>
      <c r="ET80" s="1947"/>
      <c r="EU80" s="1947"/>
      <c r="EV80" s="1947"/>
      <c r="EW80" s="1947"/>
      <c r="EX80" s="1947"/>
      <c r="EY80" s="1947"/>
      <c r="EZ80" s="1947"/>
      <c r="FA80" s="1947"/>
      <c r="FB80" s="1947"/>
      <c r="FC80" s="1947"/>
      <c r="FD80" s="1947"/>
      <c r="FE80" s="1947"/>
      <c r="FF80" s="1947"/>
      <c r="FG80" s="1947"/>
      <c r="FH80" s="1947"/>
      <c r="FI80" s="1947"/>
      <c r="FJ80" s="1947"/>
      <c r="FK80" s="1947"/>
      <c r="FL80" s="1947"/>
      <c r="FM80" s="1947"/>
      <c r="FN80" s="1947"/>
      <c r="FO80" s="1947"/>
      <c r="FP80" s="1947"/>
      <c r="FQ80" s="1947"/>
      <c r="FR80" s="1947"/>
      <c r="FS80" s="1947"/>
      <c r="FT80" s="1947"/>
      <c r="FU80" s="1947"/>
      <c r="FV80" s="1947"/>
      <c r="FW80" s="1947"/>
      <c r="FX80" s="1947"/>
      <c r="FY80" s="1947"/>
      <c r="FZ80" s="1947"/>
      <c r="GA80" s="1947"/>
      <c r="GB80" s="1947"/>
      <c r="GC80" s="1947"/>
      <c r="GD80" s="1947"/>
      <c r="GE80" s="1947"/>
      <c r="GF80" s="1947"/>
      <c r="GG80" s="1947"/>
      <c r="GH80" s="1947"/>
      <c r="GI80" s="1947"/>
      <c r="GJ80" s="1947"/>
      <c r="GK80" s="1947"/>
      <c r="GL80" s="1947"/>
      <c r="GM80" s="1947"/>
      <c r="GN80" s="1947"/>
      <c r="GO80" s="1947"/>
      <c r="GP80" s="1947"/>
      <c r="GQ80" s="1947"/>
      <c r="GR80" s="1947"/>
      <c r="GS80" s="1947"/>
      <c r="GT80" s="1947"/>
      <c r="GU80" s="1947"/>
      <c r="GV80" s="1947"/>
      <c r="GW80" s="1947"/>
      <c r="GX80" s="1947"/>
      <c r="GY80" s="1947"/>
      <c r="GZ80" s="1947"/>
      <c r="HA80" s="1947"/>
      <c r="HB80" s="1947"/>
      <c r="HC80" s="1947"/>
      <c r="HD80" s="1947"/>
      <c r="HE80" s="1947"/>
      <c r="HF80" s="1947"/>
      <c r="HG80" s="1947"/>
      <c r="HH80" s="1947"/>
      <c r="HI80" s="1947"/>
      <c r="HJ80" s="1947"/>
      <c r="HK80" s="1947"/>
      <c r="HL80" s="1947"/>
      <c r="HM80" s="1947"/>
      <c r="HN80" s="1947"/>
      <c r="HO80" s="1947"/>
      <c r="HP80" s="1947"/>
      <c r="HQ80" s="1947"/>
      <c r="HR80" s="1947"/>
      <c r="HS80" s="1947"/>
      <c r="HT80" s="1947"/>
      <c r="HU80" s="1947"/>
      <c r="HV80" s="1947"/>
      <c r="HW80" s="1947"/>
      <c r="HX80" s="1947"/>
      <c r="HY80" s="1947"/>
      <c r="HZ80" s="1947"/>
      <c r="IA80" s="1947"/>
      <c r="IB80" s="1947"/>
      <c r="IC80" s="1947"/>
      <c r="ID80" s="1947"/>
      <c r="IE80" s="1947"/>
      <c r="IF80" s="1947"/>
      <c r="IG80" s="1947"/>
      <c r="IH80" s="1947"/>
      <c r="II80" s="1947"/>
      <c r="IJ80" s="1947"/>
      <c r="IK80" s="1947"/>
      <c r="IL80" s="1947"/>
      <c r="IM80" s="1947"/>
      <c r="IN80" s="1947"/>
      <c r="IO80" s="1947"/>
      <c r="IP80" s="1947"/>
      <c r="IQ80" s="1947"/>
    </row>
    <row r="81" spans="1:251" hidden="1">
      <c r="A81" s="1026"/>
      <c r="B81" s="1955"/>
      <c r="C81" s="1955"/>
      <c r="D81" s="2034"/>
      <c r="E81" s="1955"/>
      <c r="F81" s="1942">
        <f t="shared" si="33"/>
        <v>0</v>
      </c>
      <c r="G81" s="1026"/>
      <c r="H81" s="1942">
        <f t="shared" si="34"/>
        <v>0</v>
      </c>
      <c r="I81" s="1026"/>
      <c r="J81" s="1942">
        <f t="shared" si="35"/>
        <v>0</v>
      </c>
      <c r="K81" s="1026"/>
      <c r="L81" s="1942">
        <f t="shared" si="36"/>
        <v>0</v>
      </c>
      <c r="M81" s="1942">
        <f t="shared" si="37"/>
        <v>0</v>
      </c>
      <c r="N81" s="1942">
        <f t="shared" si="38"/>
        <v>0</v>
      </c>
      <c r="O81" s="1026"/>
      <c r="P81" s="1026"/>
      <c r="Q81" s="1942">
        <f t="shared" si="39"/>
        <v>0</v>
      </c>
      <c r="R81" s="1942">
        <f t="shared" si="40"/>
        <v>0</v>
      </c>
      <c r="S81" s="1942">
        <f t="shared" si="41"/>
        <v>0</v>
      </c>
      <c r="T81" s="1942">
        <f t="shared" si="42"/>
        <v>0</v>
      </c>
      <c r="U81" s="1942">
        <f t="shared" si="43"/>
        <v>0</v>
      </c>
      <c r="V81" s="3034">
        <f t="shared" si="44"/>
        <v>0</v>
      </c>
      <c r="W81" s="1942"/>
      <c r="X81" s="1923">
        <v>0.01</v>
      </c>
      <c r="Y81" s="1947"/>
      <c r="Z81" s="1947"/>
      <c r="AA81" s="1947"/>
      <c r="AB81" s="1947"/>
      <c r="AC81" s="1947"/>
      <c r="AD81" s="1947"/>
      <c r="AE81" s="1947"/>
      <c r="AF81" s="1947"/>
      <c r="AG81" s="1947"/>
      <c r="AH81" s="1947"/>
      <c r="AI81" s="1947"/>
      <c r="AJ81" s="1947"/>
      <c r="AK81" s="1947"/>
      <c r="AL81" s="1947"/>
      <c r="AM81" s="1947"/>
      <c r="AN81" s="1947"/>
      <c r="AO81" s="1947"/>
      <c r="AP81" s="1947"/>
      <c r="AQ81" s="1947"/>
      <c r="AR81" s="1947"/>
      <c r="AS81" s="1947"/>
      <c r="AT81" s="1947"/>
      <c r="AU81" s="1947"/>
      <c r="AV81" s="1947"/>
      <c r="AW81" s="1947"/>
      <c r="AX81" s="1947"/>
      <c r="AY81" s="1947"/>
      <c r="AZ81" s="1947"/>
      <c r="BA81" s="1947"/>
      <c r="BB81" s="1947"/>
      <c r="BC81" s="1947"/>
      <c r="BD81" s="1947"/>
      <c r="BE81" s="1947"/>
      <c r="BF81" s="1947"/>
      <c r="BG81" s="1947"/>
      <c r="BH81" s="1947"/>
      <c r="BI81" s="1947"/>
      <c r="BJ81" s="1947"/>
      <c r="BK81" s="1947"/>
      <c r="BL81" s="1947"/>
      <c r="BM81" s="1947"/>
      <c r="BN81" s="1947"/>
      <c r="BO81" s="1947"/>
      <c r="BP81" s="1947"/>
      <c r="BQ81" s="1947"/>
      <c r="BR81" s="1947"/>
      <c r="BS81" s="1947"/>
      <c r="BT81" s="1947"/>
      <c r="BU81" s="1947"/>
      <c r="BV81" s="1947"/>
      <c r="BW81" s="1947"/>
      <c r="BX81" s="1947"/>
      <c r="BY81" s="1947"/>
      <c r="BZ81" s="1947"/>
      <c r="CA81" s="1947"/>
      <c r="CB81" s="1947"/>
      <c r="CC81" s="1947"/>
      <c r="CD81" s="1947"/>
      <c r="CE81" s="1947"/>
      <c r="CF81" s="1947"/>
      <c r="CG81" s="1947"/>
      <c r="CH81" s="1947"/>
      <c r="CI81" s="1947"/>
      <c r="CJ81" s="1947"/>
      <c r="CK81" s="1947"/>
      <c r="CL81" s="1947"/>
      <c r="CM81" s="1947"/>
      <c r="CN81" s="1947"/>
      <c r="CO81" s="1947"/>
      <c r="CP81" s="1947"/>
      <c r="CQ81" s="1947"/>
      <c r="CR81" s="1947"/>
      <c r="CS81" s="1947"/>
      <c r="CT81" s="1947"/>
      <c r="CU81" s="1947"/>
      <c r="CV81" s="1947"/>
      <c r="CW81" s="1947"/>
      <c r="CX81" s="1947"/>
      <c r="CY81" s="1947"/>
      <c r="CZ81" s="1947"/>
      <c r="DA81" s="1947"/>
      <c r="DB81" s="1947"/>
      <c r="DC81" s="1947"/>
      <c r="DD81" s="1947"/>
      <c r="DE81" s="1947"/>
      <c r="DF81" s="1947"/>
      <c r="DG81" s="1947"/>
      <c r="DH81" s="1947"/>
      <c r="DI81" s="1947"/>
      <c r="DJ81" s="1947"/>
      <c r="DK81" s="1947"/>
      <c r="DL81" s="1947"/>
      <c r="DM81" s="1947"/>
      <c r="DN81" s="1947"/>
      <c r="DO81" s="1947"/>
      <c r="DP81" s="1947"/>
      <c r="DQ81" s="1947"/>
      <c r="DR81" s="1947"/>
      <c r="DS81" s="1947"/>
      <c r="DT81" s="1947"/>
      <c r="DU81" s="1947"/>
      <c r="DV81" s="1947"/>
      <c r="DW81" s="1947"/>
      <c r="DX81" s="1947"/>
      <c r="DY81" s="1947"/>
      <c r="DZ81" s="1947"/>
      <c r="EA81" s="1947"/>
      <c r="EB81" s="1947"/>
      <c r="EC81" s="1947"/>
      <c r="ED81" s="1947"/>
      <c r="EE81" s="1947"/>
      <c r="EF81" s="1947"/>
      <c r="EG81" s="1947"/>
      <c r="EH81" s="1947"/>
      <c r="EI81" s="1947"/>
      <c r="EJ81" s="1947"/>
      <c r="EK81" s="1947"/>
      <c r="EL81" s="1947"/>
      <c r="EM81" s="1947"/>
      <c r="EN81" s="1947"/>
      <c r="EO81" s="1947"/>
      <c r="EP81" s="1947"/>
      <c r="EQ81" s="1947"/>
      <c r="ER81" s="1947"/>
      <c r="ES81" s="1947"/>
      <c r="ET81" s="1947"/>
      <c r="EU81" s="1947"/>
      <c r="EV81" s="1947"/>
      <c r="EW81" s="1947"/>
      <c r="EX81" s="1947"/>
      <c r="EY81" s="1947"/>
      <c r="EZ81" s="1947"/>
      <c r="FA81" s="1947"/>
      <c r="FB81" s="1947"/>
      <c r="FC81" s="1947"/>
      <c r="FD81" s="1947"/>
      <c r="FE81" s="1947"/>
      <c r="FF81" s="1947"/>
      <c r="FG81" s="1947"/>
      <c r="FH81" s="1947"/>
      <c r="FI81" s="1947"/>
      <c r="FJ81" s="1947"/>
      <c r="FK81" s="1947"/>
      <c r="FL81" s="1947"/>
      <c r="FM81" s="1947"/>
      <c r="FN81" s="1947"/>
      <c r="FO81" s="1947"/>
      <c r="FP81" s="1947"/>
      <c r="FQ81" s="1947"/>
      <c r="FR81" s="1947"/>
      <c r="FS81" s="1947"/>
      <c r="FT81" s="1947"/>
      <c r="FU81" s="1947"/>
      <c r="FV81" s="1947"/>
      <c r="FW81" s="1947"/>
      <c r="FX81" s="1947"/>
      <c r="FY81" s="1947"/>
      <c r="FZ81" s="1947"/>
      <c r="GA81" s="1947"/>
      <c r="GB81" s="1947"/>
      <c r="GC81" s="1947"/>
      <c r="GD81" s="1947"/>
      <c r="GE81" s="1947"/>
      <c r="GF81" s="1947"/>
      <c r="GG81" s="1947"/>
      <c r="GH81" s="1947"/>
      <c r="GI81" s="1947"/>
      <c r="GJ81" s="1947"/>
      <c r="GK81" s="1947"/>
      <c r="GL81" s="1947"/>
      <c r="GM81" s="1947"/>
      <c r="GN81" s="1947"/>
      <c r="GO81" s="1947"/>
      <c r="GP81" s="1947"/>
      <c r="GQ81" s="1947"/>
      <c r="GR81" s="1947"/>
      <c r="GS81" s="1947"/>
      <c r="GT81" s="1947"/>
      <c r="GU81" s="1947"/>
      <c r="GV81" s="1947"/>
      <c r="GW81" s="1947"/>
      <c r="GX81" s="1947"/>
      <c r="GY81" s="1947"/>
      <c r="GZ81" s="1947"/>
      <c r="HA81" s="1947"/>
      <c r="HB81" s="1947"/>
      <c r="HC81" s="1947"/>
      <c r="HD81" s="1947"/>
      <c r="HE81" s="1947"/>
      <c r="HF81" s="1947"/>
      <c r="HG81" s="1947"/>
      <c r="HH81" s="1947"/>
      <c r="HI81" s="1947"/>
      <c r="HJ81" s="1947"/>
      <c r="HK81" s="1947"/>
      <c r="HL81" s="1947"/>
      <c r="HM81" s="1947"/>
      <c r="HN81" s="1947"/>
      <c r="HO81" s="1947"/>
      <c r="HP81" s="1947"/>
      <c r="HQ81" s="1947"/>
      <c r="HR81" s="1947"/>
      <c r="HS81" s="1947"/>
      <c r="HT81" s="1947"/>
      <c r="HU81" s="1947"/>
      <c r="HV81" s="1947"/>
      <c r="HW81" s="1947"/>
      <c r="HX81" s="1947"/>
      <c r="HY81" s="1947"/>
      <c r="HZ81" s="1947"/>
      <c r="IA81" s="1947"/>
      <c r="IB81" s="1947"/>
      <c r="IC81" s="1947"/>
      <c r="ID81" s="1947"/>
      <c r="IE81" s="1947"/>
      <c r="IF81" s="1947"/>
      <c r="IG81" s="1947"/>
      <c r="IH81" s="1947"/>
      <c r="II81" s="1947"/>
      <c r="IJ81" s="1947"/>
      <c r="IK81" s="1947"/>
      <c r="IL81" s="1947"/>
      <c r="IM81" s="1947"/>
      <c r="IN81" s="1947"/>
      <c r="IO81" s="1947"/>
      <c r="IP81" s="1947"/>
      <c r="IQ81" s="1947"/>
    </row>
    <row r="82" spans="1:251" hidden="1">
      <c r="A82" s="1026"/>
      <c r="B82" s="1955"/>
      <c r="C82" s="1955"/>
      <c r="D82" s="2034"/>
      <c r="E82" s="1955"/>
      <c r="F82" s="1942">
        <f t="shared" si="33"/>
        <v>0</v>
      </c>
      <c r="G82" s="1026"/>
      <c r="H82" s="1942">
        <f t="shared" si="34"/>
        <v>0</v>
      </c>
      <c r="I82" s="1026"/>
      <c r="J82" s="1942">
        <f t="shared" si="35"/>
        <v>0</v>
      </c>
      <c r="K82" s="1026"/>
      <c r="L82" s="1942">
        <f t="shared" si="36"/>
        <v>0</v>
      </c>
      <c r="M82" s="1942">
        <f t="shared" si="37"/>
        <v>0</v>
      </c>
      <c r="N82" s="1942">
        <f t="shared" si="38"/>
        <v>0</v>
      </c>
      <c r="O82" s="1026"/>
      <c r="P82" s="1026"/>
      <c r="Q82" s="1942">
        <f t="shared" si="39"/>
        <v>0</v>
      </c>
      <c r="R82" s="1942">
        <f t="shared" si="40"/>
        <v>0</v>
      </c>
      <c r="S82" s="1942">
        <f t="shared" si="41"/>
        <v>0</v>
      </c>
      <c r="T82" s="1942">
        <f t="shared" si="42"/>
        <v>0</v>
      </c>
      <c r="U82" s="1942">
        <f t="shared" si="43"/>
        <v>0</v>
      </c>
      <c r="V82" s="3034">
        <f t="shared" si="44"/>
        <v>0</v>
      </c>
      <c r="W82" s="1942"/>
      <c r="X82" s="1923">
        <v>0.01</v>
      </c>
      <c r="Y82" s="1947"/>
      <c r="Z82" s="1947"/>
      <c r="AA82" s="1947"/>
      <c r="AB82" s="1947"/>
      <c r="AC82" s="1947"/>
      <c r="AD82" s="1947"/>
      <c r="AE82" s="1947"/>
      <c r="AF82" s="1947"/>
      <c r="AG82" s="1947"/>
      <c r="AH82" s="1947"/>
      <c r="AI82" s="1947"/>
      <c r="AJ82" s="1947"/>
      <c r="AK82" s="1947"/>
      <c r="AL82" s="1947"/>
      <c r="AM82" s="1947"/>
      <c r="AN82" s="1947"/>
      <c r="AO82" s="1947"/>
      <c r="AP82" s="1947"/>
      <c r="AQ82" s="1947"/>
      <c r="AR82" s="1947"/>
      <c r="AS82" s="1947"/>
      <c r="AT82" s="1947"/>
      <c r="AU82" s="1947"/>
      <c r="AV82" s="1947"/>
      <c r="AW82" s="1947"/>
      <c r="AX82" s="1947"/>
      <c r="AY82" s="1947"/>
      <c r="AZ82" s="1947"/>
      <c r="BA82" s="1947"/>
      <c r="BB82" s="1947"/>
      <c r="BC82" s="1947"/>
      <c r="BD82" s="1947"/>
      <c r="BE82" s="1947"/>
      <c r="BF82" s="1947"/>
      <c r="BG82" s="1947"/>
      <c r="BH82" s="1947"/>
      <c r="BI82" s="1947"/>
      <c r="BJ82" s="1947"/>
      <c r="BK82" s="1947"/>
      <c r="BL82" s="1947"/>
      <c r="BM82" s="1947"/>
      <c r="BN82" s="1947"/>
      <c r="BO82" s="1947"/>
      <c r="BP82" s="1947"/>
      <c r="BQ82" s="1947"/>
      <c r="BR82" s="1947"/>
      <c r="BS82" s="1947"/>
      <c r="BT82" s="1947"/>
      <c r="BU82" s="1947"/>
      <c r="BV82" s="1947"/>
      <c r="BW82" s="1947"/>
      <c r="BX82" s="1947"/>
      <c r="BY82" s="1947"/>
      <c r="BZ82" s="1947"/>
      <c r="CA82" s="1947"/>
      <c r="CB82" s="1947"/>
      <c r="CC82" s="1947"/>
      <c r="CD82" s="1947"/>
      <c r="CE82" s="1947"/>
      <c r="CF82" s="1947"/>
      <c r="CG82" s="1947"/>
      <c r="CH82" s="1947"/>
      <c r="CI82" s="1947"/>
      <c r="CJ82" s="1947"/>
      <c r="CK82" s="1947"/>
      <c r="CL82" s="1947"/>
      <c r="CM82" s="1947"/>
      <c r="CN82" s="1947"/>
      <c r="CO82" s="1947"/>
      <c r="CP82" s="1947"/>
      <c r="CQ82" s="1947"/>
      <c r="CR82" s="1947"/>
      <c r="CS82" s="1947"/>
      <c r="CT82" s="1947"/>
      <c r="CU82" s="1947"/>
      <c r="CV82" s="1947"/>
      <c r="CW82" s="1947"/>
      <c r="CX82" s="1947"/>
      <c r="CY82" s="1947"/>
      <c r="CZ82" s="1947"/>
      <c r="DA82" s="1947"/>
      <c r="DB82" s="1947"/>
      <c r="DC82" s="1947"/>
      <c r="DD82" s="1947"/>
      <c r="DE82" s="1947"/>
      <c r="DF82" s="1947"/>
      <c r="DG82" s="1947"/>
      <c r="DH82" s="1947"/>
      <c r="DI82" s="1947"/>
      <c r="DJ82" s="1947"/>
      <c r="DK82" s="1947"/>
      <c r="DL82" s="1947"/>
      <c r="DM82" s="1947"/>
      <c r="DN82" s="1947"/>
      <c r="DO82" s="1947"/>
      <c r="DP82" s="1947"/>
      <c r="DQ82" s="1947"/>
      <c r="DR82" s="1947"/>
      <c r="DS82" s="1947"/>
      <c r="DT82" s="1947"/>
      <c r="DU82" s="1947"/>
      <c r="DV82" s="1947"/>
      <c r="DW82" s="1947"/>
      <c r="DX82" s="1947"/>
      <c r="DY82" s="1947"/>
      <c r="DZ82" s="1947"/>
      <c r="EA82" s="1947"/>
      <c r="EB82" s="1947"/>
      <c r="EC82" s="1947"/>
      <c r="ED82" s="1947"/>
      <c r="EE82" s="1947"/>
      <c r="EF82" s="1947"/>
      <c r="EG82" s="1947"/>
      <c r="EH82" s="1947"/>
      <c r="EI82" s="1947"/>
      <c r="EJ82" s="1947"/>
      <c r="EK82" s="1947"/>
      <c r="EL82" s="1947"/>
      <c r="EM82" s="1947"/>
      <c r="EN82" s="1947"/>
      <c r="EO82" s="1947"/>
      <c r="EP82" s="1947"/>
      <c r="EQ82" s="1947"/>
      <c r="ER82" s="1947"/>
      <c r="ES82" s="1947"/>
      <c r="ET82" s="1947"/>
      <c r="EU82" s="1947"/>
      <c r="EV82" s="1947"/>
      <c r="EW82" s="1947"/>
      <c r="EX82" s="1947"/>
      <c r="EY82" s="1947"/>
      <c r="EZ82" s="1947"/>
      <c r="FA82" s="1947"/>
      <c r="FB82" s="1947"/>
      <c r="FC82" s="1947"/>
      <c r="FD82" s="1947"/>
      <c r="FE82" s="1947"/>
      <c r="FF82" s="1947"/>
      <c r="FG82" s="1947"/>
      <c r="FH82" s="1947"/>
      <c r="FI82" s="1947"/>
      <c r="FJ82" s="1947"/>
      <c r="FK82" s="1947"/>
      <c r="FL82" s="1947"/>
      <c r="FM82" s="1947"/>
      <c r="FN82" s="1947"/>
      <c r="FO82" s="1947"/>
      <c r="FP82" s="1947"/>
      <c r="FQ82" s="1947"/>
      <c r="FR82" s="1947"/>
      <c r="FS82" s="1947"/>
      <c r="FT82" s="1947"/>
      <c r="FU82" s="1947"/>
      <c r="FV82" s="1947"/>
      <c r="FW82" s="1947"/>
      <c r="FX82" s="1947"/>
      <c r="FY82" s="1947"/>
      <c r="FZ82" s="1947"/>
      <c r="GA82" s="1947"/>
      <c r="GB82" s="1947"/>
      <c r="GC82" s="1947"/>
      <c r="GD82" s="1947"/>
      <c r="GE82" s="1947"/>
      <c r="GF82" s="1947"/>
      <c r="GG82" s="1947"/>
      <c r="GH82" s="1947"/>
      <c r="GI82" s="1947"/>
      <c r="GJ82" s="1947"/>
      <c r="GK82" s="1947"/>
      <c r="GL82" s="1947"/>
      <c r="GM82" s="1947"/>
      <c r="GN82" s="1947"/>
      <c r="GO82" s="1947"/>
      <c r="GP82" s="1947"/>
      <c r="GQ82" s="1947"/>
      <c r="GR82" s="1947"/>
      <c r="GS82" s="1947"/>
      <c r="GT82" s="1947"/>
      <c r="GU82" s="1947"/>
      <c r="GV82" s="1947"/>
      <c r="GW82" s="1947"/>
      <c r="GX82" s="1947"/>
      <c r="GY82" s="1947"/>
      <c r="GZ82" s="1947"/>
      <c r="HA82" s="1947"/>
      <c r="HB82" s="1947"/>
      <c r="HC82" s="1947"/>
      <c r="HD82" s="1947"/>
      <c r="HE82" s="1947"/>
      <c r="HF82" s="1947"/>
      <c r="HG82" s="1947"/>
      <c r="HH82" s="1947"/>
      <c r="HI82" s="1947"/>
      <c r="HJ82" s="1947"/>
      <c r="HK82" s="1947"/>
      <c r="HL82" s="1947"/>
      <c r="HM82" s="1947"/>
      <c r="HN82" s="1947"/>
      <c r="HO82" s="1947"/>
      <c r="HP82" s="1947"/>
      <c r="HQ82" s="1947"/>
      <c r="HR82" s="1947"/>
      <c r="HS82" s="1947"/>
      <c r="HT82" s="1947"/>
      <c r="HU82" s="1947"/>
      <c r="HV82" s="1947"/>
      <c r="HW82" s="1947"/>
      <c r="HX82" s="1947"/>
      <c r="HY82" s="1947"/>
      <c r="HZ82" s="1947"/>
      <c r="IA82" s="1947"/>
      <c r="IB82" s="1947"/>
      <c r="IC82" s="1947"/>
      <c r="ID82" s="1947"/>
      <c r="IE82" s="1947"/>
      <c r="IF82" s="1947"/>
      <c r="IG82" s="1947"/>
      <c r="IH82" s="1947"/>
      <c r="II82" s="1947"/>
      <c r="IJ82" s="1947"/>
      <c r="IK82" s="1947"/>
      <c r="IL82" s="1947"/>
      <c r="IM82" s="1947"/>
      <c r="IN82" s="1947"/>
      <c r="IO82" s="1947"/>
      <c r="IP82" s="1947"/>
      <c r="IQ82" s="1947"/>
    </row>
    <row r="83" spans="1:251" hidden="1">
      <c r="A83" s="1026"/>
      <c r="B83" s="1955"/>
      <c r="C83" s="1955"/>
      <c r="D83" s="2034"/>
      <c r="E83" s="1955"/>
      <c r="F83" s="1942">
        <f t="shared" si="33"/>
        <v>0</v>
      </c>
      <c r="G83" s="1026"/>
      <c r="H83" s="1942">
        <f t="shared" si="34"/>
        <v>0</v>
      </c>
      <c r="I83" s="1026"/>
      <c r="J83" s="1942">
        <f t="shared" si="35"/>
        <v>0</v>
      </c>
      <c r="K83" s="1026"/>
      <c r="L83" s="1942">
        <f t="shared" si="36"/>
        <v>0</v>
      </c>
      <c r="M83" s="1942">
        <f t="shared" si="37"/>
        <v>0</v>
      </c>
      <c r="N83" s="1942">
        <f t="shared" si="38"/>
        <v>0</v>
      </c>
      <c r="O83" s="1026"/>
      <c r="P83" s="1026"/>
      <c r="Q83" s="1942">
        <f t="shared" si="39"/>
        <v>0</v>
      </c>
      <c r="R83" s="1942">
        <f t="shared" si="40"/>
        <v>0</v>
      </c>
      <c r="S83" s="1942">
        <f t="shared" si="41"/>
        <v>0</v>
      </c>
      <c r="T83" s="1942">
        <f t="shared" si="42"/>
        <v>0</v>
      </c>
      <c r="U83" s="1942">
        <f t="shared" si="43"/>
        <v>0</v>
      </c>
      <c r="V83" s="3034">
        <f t="shared" si="44"/>
        <v>0</v>
      </c>
      <c r="W83" s="1942"/>
      <c r="X83" s="1923">
        <v>0.01</v>
      </c>
      <c r="Y83" s="1947"/>
      <c r="Z83" s="1947"/>
      <c r="AA83" s="1947"/>
      <c r="AB83" s="1947"/>
      <c r="AC83" s="1947"/>
      <c r="AD83" s="1947"/>
      <c r="AE83" s="1947"/>
      <c r="AF83" s="1947"/>
      <c r="AG83" s="1947"/>
      <c r="AH83" s="1947"/>
      <c r="AI83" s="1947"/>
      <c r="AJ83" s="1947"/>
      <c r="AK83" s="1947"/>
      <c r="AL83" s="1947"/>
      <c r="AM83" s="1947"/>
      <c r="AN83" s="1947"/>
      <c r="AO83" s="1947"/>
      <c r="AP83" s="1947"/>
      <c r="AQ83" s="1947"/>
      <c r="AR83" s="1947"/>
      <c r="AS83" s="1947"/>
      <c r="AT83" s="1947"/>
      <c r="AU83" s="1947"/>
      <c r="AV83" s="1947"/>
      <c r="AW83" s="1947"/>
      <c r="AX83" s="1947"/>
      <c r="AY83" s="1947"/>
      <c r="AZ83" s="1947"/>
      <c r="BA83" s="1947"/>
      <c r="BB83" s="1947"/>
      <c r="BC83" s="1947"/>
      <c r="BD83" s="1947"/>
      <c r="BE83" s="1947"/>
      <c r="BF83" s="1947"/>
      <c r="BG83" s="1947"/>
      <c r="BH83" s="1947"/>
      <c r="BI83" s="1947"/>
      <c r="BJ83" s="1947"/>
      <c r="BK83" s="1947"/>
      <c r="BL83" s="1947"/>
      <c r="BM83" s="1947"/>
      <c r="BN83" s="1947"/>
      <c r="BO83" s="1947"/>
      <c r="BP83" s="1947"/>
      <c r="BQ83" s="1947"/>
      <c r="BR83" s="1947"/>
      <c r="BS83" s="1947"/>
      <c r="BT83" s="1947"/>
      <c r="BU83" s="1947"/>
      <c r="BV83" s="1947"/>
      <c r="BW83" s="1947"/>
      <c r="BX83" s="1947"/>
      <c r="BY83" s="1947"/>
      <c r="BZ83" s="1947"/>
      <c r="CA83" s="1947"/>
      <c r="CB83" s="1947"/>
      <c r="CC83" s="1947"/>
      <c r="CD83" s="1947"/>
      <c r="CE83" s="1947"/>
      <c r="CF83" s="1947"/>
      <c r="CG83" s="1947"/>
      <c r="CH83" s="1947"/>
      <c r="CI83" s="1947"/>
      <c r="CJ83" s="1947"/>
      <c r="CK83" s="1947"/>
      <c r="CL83" s="1947"/>
      <c r="CM83" s="1947"/>
      <c r="CN83" s="1947"/>
      <c r="CO83" s="1947"/>
      <c r="CP83" s="1947"/>
      <c r="CQ83" s="1947"/>
      <c r="CR83" s="1947"/>
      <c r="CS83" s="1947"/>
      <c r="CT83" s="1947"/>
      <c r="CU83" s="1947"/>
      <c r="CV83" s="1947"/>
      <c r="CW83" s="1947"/>
      <c r="CX83" s="1947"/>
      <c r="CY83" s="1947"/>
      <c r="CZ83" s="1947"/>
      <c r="DA83" s="1947"/>
      <c r="DB83" s="1947"/>
      <c r="DC83" s="1947"/>
      <c r="DD83" s="1947"/>
      <c r="DE83" s="1947"/>
      <c r="DF83" s="1947"/>
      <c r="DG83" s="1947"/>
      <c r="DH83" s="1947"/>
      <c r="DI83" s="1947"/>
      <c r="DJ83" s="1947"/>
      <c r="DK83" s="1947"/>
      <c r="DL83" s="1947"/>
      <c r="DM83" s="1947"/>
      <c r="DN83" s="1947"/>
      <c r="DO83" s="1947"/>
      <c r="DP83" s="1947"/>
      <c r="DQ83" s="1947"/>
      <c r="DR83" s="1947"/>
      <c r="DS83" s="1947"/>
      <c r="DT83" s="1947"/>
      <c r="DU83" s="1947"/>
      <c r="DV83" s="1947"/>
      <c r="DW83" s="1947"/>
      <c r="DX83" s="1947"/>
      <c r="DY83" s="1947"/>
      <c r="DZ83" s="1947"/>
      <c r="EA83" s="1947"/>
      <c r="EB83" s="1947"/>
      <c r="EC83" s="1947"/>
      <c r="ED83" s="1947"/>
      <c r="EE83" s="1947"/>
      <c r="EF83" s="1947"/>
      <c r="EG83" s="1947"/>
      <c r="EH83" s="1947"/>
      <c r="EI83" s="1947"/>
      <c r="EJ83" s="1947"/>
      <c r="EK83" s="1947"/>
      <c r="EL83" s="1947"/>
      <c r="EM83" s="1947"/>
      <c r="EN83" s="1947"/>
      <c r="EO83" s="1947"/>
      <c r="EP83" s="1947"/>
      <c r="EQ83" s="1947"/>
      <c r="ER83" s="1947"/>
      <c r="ES83" s="1947"/>
      <c r="ET83" s="1947"/>
      <c r="EU83" s="1947"/>
      <c r="EV83" s="1947"/>
      <c r="EW83" s="1947"/>
      <c r="EX83" s="1947"/>
      <c r="EY83" s="1947"/>
      <c r="EZ83" s="1947"/>
      <c r="FA83" s="1947"/>
      <c r="FB83" s="1947"/>
      <c r="FC83" s="1947"/>
      <c r="FD83" s="1947"/>
      <c r="FE83" s="1947"/>
      <c r="FF83" s="1947"/>
      <c r="FG83" s="1947"/>
      <c r="FH83" s="1947"/>
      <c r="FI83" s="1947"/>
      <c r="FJ83" s="1947"/>
      <c r="FK83" s="1947"/>
      <c r="FL83" s="1947"/>
      <c r="FM83" s="1947"/>
      <c r="FN83" s="1947"/>
      <c r="FO83" s="1947"/>
      <c r="FP83" s="1947"/>
      <c r="FQ83" s="1947"/>
      <c r="FR83" s="1947"/>
      <c r="FS83" s="1947"/>
      <c r="FT83" s="1947"/>
      <c r="FU83" s="1947"/>
      <c r="FV83" s="1947"/>
      <c r="FW83" s="1947"/>
      <c r="FX83" s="1947"/>
      <c r="FY83" s="1947"/>
      <c r="FZ83" s="1947"/>
      <c r="GA83" s="1947"/>
      <c r="GB83" s="1947"/>
      <c r="GC83" s="1947"/>
      <c r="GD83" s="1947"/>
      <c r="GE83" s="1947"/>
      <c r="GF83" s="1947"/>
      <c r="GG83" s="1947"/>
      <c r="GH83" s="1947"/>
      <c r="GI83" s="1947"/>
      <c r="GJ83" s="1947"/>
      <c r="GK83" s="1947"/>
      <c r="GL83" s="1947"/>
      <c r="GM83" s="1947"/>
      <c r="GN83" s="1947"/>
      <c r="GO83" s="1947"/>
      <c r="GP83" s="1947"/>
      <c r="GQ83" s="1947"/>
      <c r="GR83" s="1947"/>
      <c r="GS83" s="1947"/>
      <c r="GT83" s="1947"/>
      <c r="GU83" s="1947"/>
      <c r="GV83" s="1947"/>
      <c r="GW83" s="1947"/>
      <c r="GX83" s="1947"/>
      <c r="GY83" s="1947"/>
      <c r="GZ83" s="1947"/>
      <c r="HA83" s="1947"/>
      <c r="HB83" s="1947"/>
      <c r="HC83" s="1947"/>
      <c r="HD83" s="1947"/>
      <c r="HE83" s="1947"/>
      <c r="HF83" s="1947"/>
      <c r="HG83" s="1947"/>
      <c r="HH83" s="1947"/>
      <c r="HI83" s="1947"/>
      <c r="HJ83" s="1947"/>
      <c r="HK83" s="1947"/>
      <c r="HL83" s="1947"/>
      <c r="HM83" s="1947"/>
      <c r="HN83" s="1947"/>
      <c r="HO83" s="1947"/>
      <c r="HP83" s="1947"/>
      <c r="HQ83" s="1947"/>
      <c r="HR83" s="1947"/>
      <c r="HS83" s="1947"/>
      <c r="HT83" s="1947"/>
      <c r="HU83" s="1947"/>
      <c r="HV83" s="1947"/>
      <c r="HW83" s="1947"/>
      <c r="HX83" s="1947"/>
      <c r="HY83" s="1947"/>
      <c r="HZ83" s="1947"/>
      <c r="IA83" s="1947"/>
      <c r="IB83" s="1947"/>
      <c r="IC83" s="1947"/>
      <c r="ID83" s="1947"/>
      <c r="IE83" s="1947"/>
      <c r="IF83" s="1947"/>
      <c r="IG83" s="1947"/>
      <c r="IH83" s="1947"/>
      <c r="II83" s="1947"/>
      <c r="IJ83" s="1947"/>
      <c r="IK83" s="1947"/>
      <c r="IL83" s="1947"/>
      <c r="IM83" s="1947"/>
      <c r="IN83" s="1947"/>
      <c r="IO83" s="1947"/>
      <c r="IP83" s="1947"/>
      <c r="IQ83" s="1947"/>
    </row>
    <row r="84" spans="1:251" hidden="1">
      <c r="A84" s="1026"/>
      <c r="B84" s="1955"/>
      <c r="C84" s="1955"/>
      <c r="D84" s="2034"/>
      <c r="E84" s="1955"/>
      <c r="F84" s="1942">
        <f t="shared" si="33"/>
        <v>0</v>
      </c>
      <c r="G84" s="1026"/>
      <c r="H84" s="1942">
        <f t="shared" si="34"/>
        <v>0</v>
      </c>
      <c r="I84" s="1026"/>
      <c r="J84" s="1942">
        <f t="shared" si="35"/>
        <v>0</v>
      </c>
      <c r="K84" s="1026"/>
      <c r="L84" s="1942">
        <f t="shared" si="36"/>
        <v>0</v>
      </c>
      <c r="M84" s="1942">
        <f t="shared" si="37"/>
        <v>0</v>
      </c>
      <c r="N84" s="1942">
        <f t="shared" si="38"/>
        <v>0</v>
      </c>
      <c r="O84" s="1026"/>
      <c r="P84" s="1026"/>
      <c r="Q84" s="1942">
        <f t="shared" si="39"/>
        <v>0</v>
      </c>
      <c r="R84" s="1942">
        <f t="shared" si="40"/>
        <v>0</v>
      </c>
      <c r="S84" s="1942">
        <f t="shared" si="41"/>
        <v>0</v>
      </c>
      <c r="T84" s="1942">
        <f t="shared" si="42"/>
        <v>0</v>
      </c>
      <c r="U84" s="1942">
        <f t="shared" si="43"/>
        <v>0</v>
      </c>
      <c r="V84" s="3034">
        <f t="shared" si="44"/>
        <v>0</v>
      </c>
      <c r="W84" s="1942"/>
      <c r="X84" s="1923">
        <v>0.01</v>
      </c>
      <c r="Y84" s="1947"/>
      <c r="Z84" s="1947"/>
      <c r="AA84" s="1947"/>
      <c r="AB84" s="1947"/>
      <c r="AC84" s="1947"/>
      <c r="AD84" s="1947"/>
      <c r="AE84" s="1947"/>
      <c r="AF84" s="1947"/>
      <c r="AG84" s="1947"/>
      <c r="AH84" s="1947"/>
      <c r="AI84" s="1947"/>
      <c r="AJ84" s="1947"/>
      <c r="AK84" s="1947"/>
      <c r="AL84" s="1947"/>
      <c r="AM84" s="1947"/>
      <c r="AN84" s="1947"/>
      <c r="AO84" s="1947"/>
      <c r="AP84" s="1947"/>
      <c r="AQ84" s="1947"/>
      <c r="AR84" s="1947"/>
      <c r="AS84" s="1947"/>
      <c r="AT84" s="1947"/>
      <c r="AU84" s="1947"/>
      <c r="AV84" s="1947"/>
      <c r="AW84" s="1947"/>
      <c r="AX84" s="1947"/>
      <c r="AY84" s="1947"/>
      <c r="AZ84" s="1947"/>
      <c r="BA84" s="1947"/>
      <c r="BB84" s="1947"/>
      <c r="BC84" s="1947"/>
      <c r="BD84" s="1947"/>
      <c r="BE84" s="1947"/>
      <c r="BF84" s="1947"/>
      <c r="BG84" s="1947"/>
      <c r="BH84" s="1947"/>
      <c r="BI84" s="1947"/>
      <c r="BJ84" s="1947"/>
      <c r="BK84" s="1947"/>
      <c r="BL84" s="1947"/>
      <c r="BM84" s="1947"/>
      <c r="BN84" s="1947"/>
      <c r="BO84" s="1947"/>
      <c r="BP84" s="1947"/>
      <c r="BQ84" s="1947"/>
      <c r="BR84" s="1947"/>
      <c r="BS84" s="1947"/>
      <c r="BT84" s="1947"/>
      <c r="BU84" s="1947"/>
      <c r="BV84" s="1947"/>
      <c r="BW84" s="1947"/>
      <c r="BX84" s="1947"/>
      <c r="BY84" s="1947"/>
      <c r="BZ84" s="1947"/>
      <c r="CA84" s="1947"/>
      <c r="CB84" s="1947"/>
      <c r="CC84" s="1947"/>
      <c r="CD84" s="1947"/>
      <c r="CE84" s="1947"/>
      <c r="CF84" s="1947"/>
      <c r="CG84" s="1947"/>
      <c r="CH84" s="1947"/>
      <c r="CI84" s="1947"/>
      <c r="CJ84" s="1947"/>
      <c r="CK84" s="1947"/>
      <c r="CL84" s="1947"/>
      <c r="CM84" s="1947"/>
      <c r="CN84" s="1947"/>
      <c r="CO84" s="1947"/>
      <c r="CP84" s="1947"/>
      <c r="CQ84" s="1947"/>
      <c r="CR84" s="1947"/>
      <c r="CS84" s="1947"/>
      <c r="CT84" s="1947"/>
      <c r="CU84" s="1947"/>
      <c r="CV84" s="1947"/>
      <c r="CW84" s="1947"/>
      <c r="CX84" s="1947"/>
      <c r="CY84" s="1947"/>
      <c r="CZ84" s="1947"/>
      <c r="DA84" s="1947"/>
      <c r="DB84" s="1947"/>
      <c r="DC84" s="1947"/>
      <c r="DD84" s="1947"/>
      <c r="DE84" s="1947"/>
      <c r="DF84" s="1947"/>
      <c r="DG84" s="1947"/>
      <c r="DH84" s="1947"/>
      <c r="DI84" s="1947"/>
      <c r="DJ84" s="1947"/>
      <c r="DK84" s="1947"/>
      <c r="DL84" s="1947"/>
      <c r="DM84" s="1947"/>
      <c r="DN84" s="1947"/>
      <c r="DO84" s="1947"/>
      <c r="DP84" s="1947"/>
      <c r="DQ84" s="1947"/>
      <c r="DR84" s="1947"/>
      <c r="DS84" s="1947"/>
      <c r="DT84" s="1947"/>
      <c r="DU84" s="1947"/>
      <c r="DV84" s="1947"/>
      <c r="DW84" s="1947"/>
      <c r="DX84" s="1947"/>
      <c r="DY84" s="1947"/>
      <c r="DZ84" s="1947"/>
      <c r="EA84" s="1947"/>
      <c r="EB84" s="1947"/>
      <c r="EC84" s="1947"/>
      <c r="ED84" s="1947"/>
      <c r="EE84" s="1947"/>
      <c r="EF84" s="1947"/>
      <c r="EG84" s="1947"/>
      <c r="EH84" s="1947"/>
      <c r="EI84" s="1947"/>
      <c r="EJ84" s="1947"/>
      <c r="EK84" s="1947"/>
      <c r="EL84" s="1947"/>
      <c r="EM84" s="1947"/>
      <c r="EN84" s="1947"/>
      <c r="EO84" s="1947"/>
      <c r="EP84" s="1947"/>
      <c r="EQ84" s="1947"/>
      <c r="ER84" s="1947"/>
      <c r="ES84" s="1947"/>
      <c r="ET84" s="1947"/>
      <c r="EU84" s="1947"/>
      <c r="EV84" s="1947"/>
      <c r="EW84" s="1947"/>
      <c r="EX84" s="1947"/>
      <c r="EY84" s="1947"/>
      <c r="EZ84" s="1947"/>
      <c r="FA84" s="1947"/>
      <c r="FB84" s="1947"/>
      <c r="FC84" s="1947"/>
      <c r="FD84" s="1947"/>
      <c r="FE84" s="1947"/>
      <c r="FF84" s="1947"/>
      <c r="FG84" s="1947"/>
      <c r="FH84" s="1947"/>
      <c r="FI84" s="1947"/>
      <c r="FJ84" s="1947"/>
      <c r="FK84" s="1947"/>
      <c r="FL84" s="1947"/>
      <c r="FM84" s="1947"/>
      <c r="FN84" s="1947"/>
      <c r="FO84" s="1947"/>
      <c r="FP84" s="1947"/>
      <c r="FQ84" s="1947"/>
      <c r="FR84" s="1947"/>
      <c r="FS84" s="1947"/>
      <c r="FT84" s="1947"/>
      <c r="FU84" s="1947"/>
      <c r="FV84" s="1947"/>
      <c r="FW84" s="1947"/>
      <c r="FX84" s="1947"/>
      <c r="FY84" s="1947"/>
      <c r="FZ84" s="1947"/>
      <c r="GA84" s="1947"/>
      <c r="GB84" s="1947"/>
      <c r="GC84" s="1947"/>
      <c r="GD84" s="1947"/>
      <c r="GE84" s="1947"/>
      <c r="GF84" s="1947"/>
      <c r="GG84" s="1947"/>
      <c r="GH84" s="1947"/>
      <c r="GI84" s="1947"/>
      <c r="GJ84" s="1947"/>
      <c r="GK84" s="1947"/>
      <c r="GL84" s="1947"/>
      <c r="GM84" s="1947"/>
      <c r="GN84" s="1947"/>
      <c r="GO84" s="1947"/>
      <c r="GP84" s="1947"/>
      <c r="GQ84" s="1947"/>
      <c r="GR84" s="1947"/>
      <c r="GS84" s="1947"/>
      <c r="GT84" s="1947"/>
      <c r="GU84" s="1947"/>
      <c r="GV84" s="1947"/>
      <c r="GW84" s="1947"/>
      <c r="GX84" s="1947"/>
      <c r="GY84" s="1947"/>
      <c r="GZ84" s="1947"/>
      <c r="HA84" s="1947"/>
      <c r="HB84" s="1947"/>
      <c r="HC84" s="1947"/>
      <c r="HD84" s="1947"/>
      <c r="HE84" s="1947"/>
      <c r="HF84" s="1947"/>
      <c r="HG84" s="1947"/>
      <c r="HH84" s="1947"/>
      <c r="HI84" s="1947"/>
      <c r="HJ84" s="1947"/>
      <c r="HK84" s="1947"/>
      <c r="HL84" s="1947"/>
      <c r="HM84" s="1947"/>
      <c r="HN84" s="1947"/>
      <c r="HO84" s="1947"/>
      <c r="HP84" s="1947"/>
      <c r="HQ84" s="1947"/>
      <c r="HR84" s="1947"/>
      <c r="HS84" s="1947"/>
      <c r="HT84" s="1947"/>
      <c r="HU84" s="1947"/>
      <c r="HV84" s="1947"/>
      <c r="HW84" s="1947"/>
      <c r="HX84" s="1947"/>
      <c r="HY84" s="1947"/>
      <c r="HZ84" s="1947"/>
      <c r="IA84" s="1947"/>
      <c r="IB84" s="1947"/>
      <c r="IC84" s="1947"/>
      <c r="ID84" s="1947"/>
      <c r="IE84" s="1947"/>
      <c r="IF84" s="1947"/>
      <c r="IG84" s="1947"/>
      <c r="IH84" s="1947"/>
      <c r="II84" s="1947"/>
      <c r="IJ84" s="1947"/>
      <c r="IK84" s="1947"/>
      <c r="IL84" s="1947"/>
      <c r="IM84" s="1947"/>
      <c r="IN84" s="1947"/>
      <c r="IO84" s="1947"/>
      <c r="IP84" s="1947"/>
      <c r="IQ84" s="1947"/>
    </row>
    <row r="85" spans="1:251" hidden="1">
      <c r="A85" s="1026"/>
      <c r="B85" s="1955"/>
      <c r="C85" s="1955"/>
      <c r="D85" s="2034"/>
      <c r="E85" s="1955"/>
      <c r="F85" s="1942">
        <f t="shared" si="33"/>
        <v>0</v>
      </c>
      <c r="G85" s="1026"/>
      <c r="H85" s="1942">
        <f t="shared" si="34"/>
        <v>0</v>
      </c>
      <c r="I85" s="1026"/>
      <c r="J85" s="1942">
        <f t="shared" si="35"/>
        <v>0</v>
      </c>
      <c r="K85" s="1026"/>
      <c r="L85" s="1942">
        <f t="shared" si="36"/>
        <v>0</v>
      </c>
      <c r="M85" s="1942">
        <f t="shared" si="37"/>
        <v>0</v>
      </c>
      <c r="N85" s="1942">
        <f t="shared" si="38"/>
        <v>0</v>
      </c>
      <c r="O85" s="1026"/>
      <c r="P85" s="1026"/>
      <c r="Q85" s="1942">
        <f t="shared" si="39"/>
        <v>0</v>
      </c>
      <c r="R85" s="1942">
        <f t="shared" si="40"/>
        <v>0</v>
      </c>
      <c r="S85" s="1942">
        <f t="shared" si="41"/>
        <v>0</v>
      </c>
      <c r="T85" s="1942">
        <f t="shared" si="42"/>
        <v>0</v>
      </c>
      <c r="U85" s="1942">
        <f t="shared" si="43"/>
        <v>0</v>
      </c>
      <c r="V85" s="3034">
        <f t="shared" si="44"/>
        <v>0</v>
      </c>
      <c r="W85" s="1942"/>
      <c r="X85" s="1923">
        <v>0.01</v>
      </c>
      <c r="Y85" s="1947"/>
      <c r="Z85" s="1947"/>
      <c r="AA85" s="1947"/>
      <c r="AB85" s="1947"/>
      <c r="AC85" s="1947"/>
      <c r="AD85" s="1947"/>
      <c r="AE85" s="1947"/>
      <c r="AF85" s="1947"/>
      <c r="AG85" s="1947"/>
      <c r="AH85" s="1947"/>
      <c r="AI85" s="1947"/>
      <c r="AJ85" s="1947"/>
      <c r="AK85" s="1947"/>
      <c r="AL85" s="1947"/>
      <c r="AM85" s="1947"/>
      <c r="AN85" s="1947"/>
      <c r="AO85" s="1947"/>
      <c r="AP85" s="1947"/>
      <c r="AQ85" s="1947"/>
      <c r="AR85" s="1947"/>
      <c r="AS85" s="1947"/>
      <c r="AT85" s="1947"/>
      <c r="AU85" s="1947"/>
      <c r="AV85" s="1947"/>
      <c r="AW85" s="1947"/>
      <c r="AX85" s="1947"/>
      <c r="AY85" s="1947"/>
      <c r="AZ85" s="1947"/>
      <c r="BA85" s="1947"/>
      <c r="BB85" s="1947"/>
      <c r="BC85" s="1947"/>
      <c r="BD85" s="1947"/>
      <c r="BE85" s="1947"/>
      <c r="BF85" s="1947"/>
      <c r="BG85" s="1947"/>
      <c r="BH85" s="1947"/>
      <c r="BI85" s="1947"/>
      <c r="BJ85" s="1947"/>
      <c r="BK85" s="1947"/>
      <c r="BL85" s="1947"/>
      <c r="BM85" s="1947"/>
      <c r="BN85" s="1947"/>
      <c r="BO85" s="1947"/>
      <c r="BP85" s="1947"/>
      <c r="BQ85" s="1947"/>
      <c r="BR85" s="1947"/>
      <c r="BS85" s="1947"/>
      <c r="BT85" s="1947"/>
      <c r="BU85" s="1947"/>
      <c r="BV85" s="1947"/>
      <c r="BW85" s="1947"/>
      <c r="BX85" s="1947"/>
      <c r="BY85" s="1947"/>
      <c r="BZ85" s="1947"/>
      <c r="CA85" s="1947"/>
      <c r="CB85" s="1947"/>
      <c r="CC85" s="1947"/>
      <c r="CD85" s="1947"/>
      <c r="CE85" s="1947"/>
      <c r="CF85" s="1947"/>
      <c r="CG85" s="1947"/>
      <c r="CH85" s="1947"/>
      <c r="CI85" s="1947"/>
      <c r="CJ85" s="1947"/>
      <c r="CK85" s="1947"/>
      <c r="CL85" s="1947"/>
      <c r="CM85" s="1947"/>
      <c r="CN85" s="1947"/>
      <c r="CO85" s="1947"/>
      <c r="CP85" s="1947"/>
      <c r="CQ85" s="1947"/>
      <c r="CR85" s="1947"/>
      <c r="CS85" s="1947"/>
      <c r="CT85" s="1947"/>
      <c r="CU85" s="1947"/>
      <c r="CV85" s="1947"/>
      <c r="CW85" s="1947"/>
      <c r="CX85" s="1947"/>
      <c r="CY85" s="1947"/>
      <c r="CZ85" s="1947"/>
      <c r="DA85" s="1947"/>
      <c r="DB85" s="1947"/>
      <c r="DC85" s="1947"/>
      <c r="DD85" s="1947"/>
      <c r="DE85" s="1947"/>
      <c r="DF85" s="1947"/>
      <c r="DG85" s="1947"/>
      <c r="DH85" s="1947"/>
      <c r="DI85" s="1947"/>
      <c r="DJ85" s="1947"/>
      <c r="DK85" s="1947"/>
      <c r="DL85" s="1947"/>
      <c r="DM85" s="1947"/>
      <c r="DN85" s="1947"/>
      <c r="DO85" s="1947"/>
      <c r="DP85" s="1947"/>
      <c r="DQ85" s="1947"/>
      <c r="DR85" s="1947"/>
      <c r="DS85" s="1947"/>
      <c r="DT85" s="1947"/>
      <c r="DU85" s="1947"/>
      <c r="DV85" s="1947"/>
      <c r="DW85" s="1947"/>
      <c r="DX85" s="1947"/>
      <c r="DY85" s="1947"/>
      <c r="DZ85" s="1947"/>
      <c r="EA85" s="1947"/>
      <c r="EB85" s="1947"/>
      <c r="EC85" s="1947"/>
      <c r="ED85" s="1947"/>
      <c r="EE85" s="1947"/>
      <c r="EF85" s="1947"/>
      <c r="EG85" s="1947"/>
      <c r="EH85" s="1947"/>
      <c r="EI85" s="1947"/>
      <c r="EJ85" s="1947"/>
      <c r="EK85" s="1947"/>
      <c r="EL85" s="1947"/>
      <c r="EM85" s="1947"/>
      <c r="EN85" s="1947"/>
      <c r="EO85" s="1947"/>
      <c r="EP85" s="1947"/>
      <c r="EQ85" s="1947"/>
      <c r="ER85" s="1947"/>
      <c r="ES85" s="1947"/>
      <c r="ET85" s="1947"/>
      <c r="EU85" s="1947"/>
      <c r="EV85" s="1947"/>
      <c r="EW85" s="1947"/>
      <c r="EX85" s="1947"/>
      <c r="EY85" s="1947"/>
      <c r="EZ85" s="1947"/>
      <c r="FA85" s="1947"/>
      <c r="FB85" s="1947"/>
      <c r="FC85" s="1947"/>
      <c r="FD85" s="1947"/>
      <c r="FE85" s="1947"/>
      <c r="FF85" s="1947"/>
      <c r="FG85" s="1947"/>
      <c r="FH85" s="1947"/>
      <c r="FI85" s="1947"/>
      <c r="FJ85" s="1947"/>
      <c r="FK85" s="1947"/>
      <c r="FL85" s="1947"/>
      <c r="FM85" s="1947"/>
      <c r="FN85" s="1947"/>
      <c r="FO85" s="1947"/>
      <c r="FP85" s="1947"/>
      <c r="FQ85" s="1947"/>
      <c r="FR85" s="1947"/>
      <c r="FS85" s="1947"/>
      <c r="FT85" s="1947"/>
      <c r="FU85" s="1947"/>
      <c r="FV85" s="1947"/>
      <c r="FW85" s="1947"/>
      <c r="FX85" s="1947"/>
      <c r="FY85" s="1947"/>
      <c r="FZ85" s="1947"/>
      <c r="GA85" s="1947"/>
      <c r="GB85" s="1947"/>
      <c r="GC85" s="1947"/>
      <c r="GD85" s="1947"/>
      <c r="GE85" s="1947"/>
      <c r="GF85" s="1947"/>
      <c r="GG85" s="1947"/>
      <c r="GH85" s="1947"/>
      <c r="GI85" s="1947"/>
      <c r="GJ85" s="1947"/>
      <c r="GK85" s="1947"/>
      <c r="GL85" s="1947"/>
      <c r="GM85" s="1947"/>
      <c r="GN85" s="1947"/>
      <c r="GO85" s="1947"/>
      <c r="GP85" s="1947"/>
      <c r="GQ85" s="1947"/>
      <c r="GR85" s="1947"/>
      <c r="GS85" s="1947"/>
      <c r="GT85" s="1947"/>
      <c r="GU85" s="1947"/>
      <c r="GV85" s="1947"/>
      <c r="GW85" s="1947"/>
      <c r="GX85" s="1947"/>
      <c r="GY85" s="1947"/>
      <c r="GZ85" s="1947"/>
      <c r="HA85" s="1947"/>
      <c r="HB85" s="1947"/>
      <c r="HC85" s="1947"/>
      <c r="HD85" s="1947"/>
      <c r="HE85" s="1947"/>
      <c r="HF85" s="1947"/>
      <c r="HG85" s="1947"/>
      <c r="HH85" s="1947"/>
      <c r="HI85" s="1947"/>
      <c r="HJ85" s="1947"/>
      <c r="HK85" s="1947"/>
      <c r="HL85" s="1947"/>
      <c r="HM85" s="1947"/>
      <c r="HN85" s="1947"/>
      <c r="HO85" s="1947"/>
      <c r="HP85" s="1947"/>
      <c r="HQ85" s="1947"/>
      <c r="HR85" s="1947"/>
      <c r="HS85" s="1947"/>
      <c r="HT85" s="1947"/>
      <c r="HU85" s="1947"/>
      <c r="HV85" s="1947"/>
      <c r="HW85" s="1947"/>
      <c r="HX85" s="1947"/>
      <c r="HY85" s="1947"/>
      <c r="HZ85" s="1947"/>
      <c r="IA85" s="1947"/>
      <c r="IB85" s="1947"/>
      <c r="IC85" s="1947"/>
      <c r="ID85" s="1947"/>
      <c r="IE85" s="1947"/>
      <c r="IF85" s="1947"/>
      <c r="IG85" s="1947"/>
      <c r="IH85" s="1947"/>
      <c r="II85" s="1947"/>
      <c r="IJ85" s="1947"/>
      <c r="IK85" s="1947"/>
      <c r="IL85" s="1947"/>
      <c r="IM85" s="1947"/>
      <c r="IN85" s="1947"/>
      <c r="IO85" s="1947"/>
      <c r="IP85" s="1947"/>
      <c r="IQ85" s="1947"/>
    </row>
    <row r="86" spans="1:251" hidden="1">
      <c r="A86" s="1026"/>
      <c r="B86" s="1955"/>
      <c r="C86" s="1955"/>
      <c r="D86" s="2034"/>
      <c r="E86" s="1955"/>
      <c r="F86" s="1942">
        <f t="shared" si="33"/>
        <v>0</v>
      </c>
      <c r="G86" s="1026"/>
      <c r="H86" s="1942">
        <f t="shared" si="34"/>
        <v>0</v>
      </c>
      <c r="I86" s="1026"/>
      <c r="J86" s="1942">
        <f t="shared" si="35"/>
        <v>0</v>
      </c>
      <c r="K86" s="1026"/>
      <c r="L86" s="1942">
        <f t="shared" si="36"/>
        <v>0</v>
      </c>
      <c r="M86" s="1942">
        <f t="shared" si="37"/>
        <v>0</v>
      </c>
      <c r="N86" s="1942">
        <f t="shared" si="38"/>
        <v>0</v>
      </c>
      <c r="O86" s="1026"/>
      <c r="P86" s="1026"/>
      <c r="Q86" s="1942">
        <f t="shared" si="39"/>
        <v>0</v>
      </c>
      <c r="R86" s="1942">
        <f t="shared" si="40"/>
        <v>0</v>
      </c>
      <c r="S86" s="1942">
        <f t="shared" si="41"/>
        <v>0</v>
      </c>
      <c r="T86" s="1942">
        <f t="shared" si="42"/>
        <v>0</v>
      </c>
      <c r="U86" s="1942">
        <f t="shared" si="43"/>
        <v>0</v>
      </c>
      <c r="V86" s="3034">
        <f t="shared" si="44"/>
        <v>0</v>
      </c>
      <c r="W86" s="1942"/>
      <c r="X86" s="1923">
        <v>0.01</v>
      </c>
      <c r="Y86" s="1947"/>
      <c r="Z86" s="1947"/>
      <c r="AA86" s="1947"/>
      <c r="AB86" s="1947"/>
      <c r="AC86" s="1947"/>
      <c r="AD86" s="1947"/>
      <c r="AE86" s="1947"/>
      <c r="AF86" s="1947"/>
      <c r="AG86" s="1947"/>
      <c r="AH86" s="1947"/>
      <c r="AI86" s="1947"/>
      <c r="AJ86" s="1947"/>
      <c r="AK86" s="1947"/>
      <c r="AL86" s="1947"/>
      <c r="AM86" s="1947"/>
      <c r="AN86" s="1947"/>
      <c r="AO86" s="1947"/>
      <c r="AP86" s="1947"/>
      <c r="AQ86" s="1947"/>
      <c r="AR86" s="1947"/>
      <c r="AS86" s="1947"/>
      <c r="AT86" s="1947"/>
      <c r="AU86" s="1947"/>
      <c r="AV86" s="1947"/>
      <c r="AW86" s="1947"/>
      <c r="AX86" s="1947"/>
      <c r="AY86" s="1947"/>
      <c r="AZ86" s="1947"/>
      <c r="BA86" s="1947"/>
      <c r="BB86" s="1947"/>
      <c r="BC86" s="1947"/>
      <c r="BD86" s="1947"/>
      <c r="BE86" s="1947"/>
      <c r="BF86" s="1947"/>
      <c r="BG86" s="1947"/>
      <c r="BH86" s="1947"/>
      <c r="BI86" s="1947"/>
      <c r="BJ86" s="1947"/>
      <c r="BK86" s="1947"/>
      <c r="BL86" s="1947"/>
      <c r="BM86" s="1947"/>
      <c r="BN86" s="1947"/>
      <c r="BO86" s="1947"/>
      <c r="BP86" s="1947"/>
      <c r="BQ86" s="1947"/>
      <c r="BR86" s="1947"/>
      <c r="BS86" s="1947"/>
      <c r="BT86" s="1947"/>
      <c r="BU86" s="1947"/>
      <c r="BV86" s="1947"/>
      <c r="BW86" s="1947"/>
      <c r="BX86" s="1947"/>
      <c r="BY86" s="1947"/>
      <c r="BZ86" s="1947"/>
      <c r="CA86" s="1947"/>
      <c r="CB86" s="1947"/>
      <c r="CC86" s="1947"/>
      <c r="CD86" s="1947"/>
      <c r="CE86" s="1947"/>
      <c r="CF86" s="1947"/>
      <c r="CG86" s="1947"/>
      <c r="CH86" s="1947"/>
      <c r="CI86" s="1947"/>
      <c r="CJ86" s="1947"/>
      <c r="CK86" s="1947"/>
      <c r="CL86" s="1947"/>
      <c r="CM86" s="1947"/>
      <c r="CN86" s="1947"/>
      <c r="CO86" s="1947"/>
      <c r="CP86" s="1947"/>
      <c r="CQ86" s="1947"/>
      <c r="CR86" s="1947"/>
      <c r="CS86" s="1947"/>
      <c r="CT86" s="1947"/>
      <c r="CU86" s="1947"/>
      <c r="CV86" s="1947"/>
      <c r="CW86" s="1947"/>
      <c r="CX86" s="1947"/>
      <c r="CY86" s="1947"/>
      <c r="CZ86" s="1947"/>
      <c r="DA86" s="1947"/>
      <c r="DB86" s="1947"/>
      <c r="DC86" s="1947"/>
      <c r="DD86" s="1947"/>
      <c r="DE86" s="1947"/>
      <c r="DF86" s="1947"/>
      <c r="DG86" s="1947"/>
      <c r="DH86" s="1947"/>
      <c r="DI86" s="1947"/>
      <c r="DJ86" s="1947"/>
      <c r="DK86" s="1947"/>
      <c r="DL86" s="1947"/>
      <c r="DM86" s="1947"/>
      <c r="DN86" s="1947"/>
      <c r="DO86" s="1947"/>
      <c r="DP86" s="1947"/>
      <c r="DQ86" s="1947"/>
      <c r="DR86" s="1947"/>
      <c r="DS86" s="1947"/>
      <c r="DT86" s="1947"/>
      <c r="DU86" s="1947"/>
      <c r="DV86" s="1947"/>
      <c r="DW86" s="1947"/>
      <c r="DX86" s="1947"/>
      <c r="DY86" s="1947"/>
      <c r="DZ86" s="1947"/>
      <c r="EA86" s="1947"/>
      <c r="EB86" s="1947"/>
      <c r="EC86" s="1947"/>
      <c r="ED86" s="1947"/>
      <c r="EE86" s="1947"/>
      <c r="EF86" s="1947"/>
      <c r="EG86" s="1947"/>
      <c r="EH86" s="1947"/>
      <c r="EI86" s="1947"/>
      <c r="EJ86" s="1947"/>
      <c r="EK86" s="1947"/>
      <c r="EL86" s="1947"/>
      <c r="EM86" s="1947"/>
      <c r="EN86" s="1947"/>
      <c r="EO86" s="1947"/>
      <c r="EP86" s="1947"/>
      <c r="EQ86" s="1947"/>
      <c r="ER86" s="1947"/>
      <c r="ES86" s="1947"/>
      <c r="ET86" s="1947"/>
      <c r="EU86" s="1947"/>
      <c r="EV86" s="1947"/>
      <c r="EW86" s="1947"/>
      <c r="EX86" s="1947"/>
      <c r="EY86" s="1947"/>
      <c r="EZ86" s="1947"/>
      <c r="FA86" s="1947"/>
      <c r="FB86" s="1947"/>
      <c r="FC86" s="1947"/>
      <c r="FD86" s="1947"/>
      <c r="FE86" s="1947"/>
      <c r="FF86" s="1947"/>
      <c r="FG86" s="1947"/>
      <c r="FH86" s="1947"/>
      <c r="FI86" s="1947"/>
      <c r="FJ86" s="1947"/>
      <c r="FK86" s="1947"/>
      <c r="FL86" s="1947"/>
      <c r="FM86" s="1947"/>
      <c r="FN86" s="1947"/>
      <c r="FO86" s="1947"/>
      <c r="FP86" s="1947"/>
      <c r="FQ86" s="1947"/>
      <c r="FR86" s="1947"/>
      <c r="FS86" s="1947"/>
      <c r="FT86" s="1947"/>
      <c r="FU86" s="1947"/>
      <c r="FV86" s="1947"/>
      <c r="FW86" s="1947"/>
      <c r="FX86" s="1947"/>
      <c r="FY86" s="1947"/>
      <c r="FZ86" s="1947"/>
      <c r="GA86" s="1947"/>
      <c r="GB86" s="1947"/>
      <c r="GC86" s="1947"/>
      <c r="GD86" s="1947"/>
      <c r="GE86" s="1947"/>
      <c r="GF86" s="1947"/>
      <c r="GG86" s="1947"/>
      <c r="GH86" s="1947"/>
      <c r="GI86" s="1947"/>
      <c r="GJ86" s="1947"/>
      <c r="GK86" s="1947"/>
      <c r="GL86" s="1947"/>
      <c r="GM86" s="1947"/>
      <c r="GN86" s="1947"/>
      <c r="GO86" s="1947"/>
      <c r="GP86" s="1947"/>
      <c r="GQ86" s="1947"/>
      <c r="GR86" s="1947"/>
      <c r="GS86" s="1947"/>
      <c r="GT86" s="1947"/>
      <c r="GU86" s="1947"/>
      <c r="GV86" s="1947"/>
      <c r="GW86" s="1947"/>
      <c r="GX86" s="1947"/>
      <c r="GY86" s="1947"/>
      <c r="GZ86" s="1947"/>
      <c r="HA86" s="1947"/>
      <c r="HB86" s="1947"/>
      <c r="HC86" s="1947"/>
      <c r="HD86" s="1947"/>
      <c r="HE86" s="1947"/>
      <c r="HF86" s="1947"/>
      <c r="HG86" s="1947"/>
      <c r="HH86" s="1947"/>
      <c r="HI86" s="1947"/>
      <c r="HJ86" s="1947"/>
      <c r="HK86" s="1947"/>
      <c r="HL86" s="1947"/>
      <c r="HM86" s="1947"/>
      <c r="HN86" s="1947"/>
      <c r="HO86" s="1947"/>
      <c r="HP86" s="1947"/>
      <c r="HQ86" s="1947"/>
      <c r="HR86" s="1947"/>
      <c r="HS86" s="1947"/>
      <c r="HT86" s="1947"/>
      <c r="HU86" s="1947"/>
      <c r="HV86" s="1947"/>
      <c r="HW86" s="1947"/>
      <c r="HX86" s="1947"/>
      <c r="HY86" s="1947"/>
      <c r="HZ86" s="1947"/>
      <c r="IA86" s="1947"/>
      <c r="IB86" s="1947"/>
      <c r="IC86" s="1947"/>
      <c r="ID86" s="1947"/>
      <c r="IE86" s="1947"/>
      <c r="IF86" s="1947"/>
      <c r="IG86" s="1947"/>
      <c r="IH86" s="1947"/>
      <c r="II86" s="1947"/>
      <c r="IJ86" s="1947"/>
      <c r="IK86" s="1947"/>
      <c r="IL86" s="1947"/>
      <c r="IM86" s="1947"/>
      <c r="IN86" s="1947"/>
      <c r="IO86" s="1947"/>
      <c r="IP86" s="1947"/>
      <c r="IQ86" s="1947"/>
    </row>
    <row r="87" spans="1:251" hidden="1">
      <c r="A87" s="1026"/>
      <c r="B87" s="1955"/>
      <c r="C87" s="1955"/>
      <c r="D87" s="2034"/>
      <c r="E87" s="1955"/>
      <c r="F87" s="1942">
        <f t="shared" si="33"/>
        <v>0</v>
      </c>
      <c r="G87" s="1026"/>
      <c r="H87" s="1942">
        <f t="shared" si="34"/>
        <v>0</v>
      </c>
      <c r="I87" s="1026"/>
      <c r="J87" s="1942">
        <f t="shared" si="35"/>
        <v>0</v>
      </c>
      <c r="K87" s="1026"/>
      <c r="L87" s="1942">
        <f t="shared" si="36"/>
        <v>0</v>
      </c>
      <c r="M87" s="1942">
        <f t="shared" si="37"/>
        <v>0</v>
      </c>
      <c r="N87" s="1942">
        <f t="shared" si="38"/>
        <v>0</v>
      </c>
      <c r="O87" s="1026"/>
      <c r="P87" s="1026"/>
      <c r="Q87" s="1942">
        <f t="shared" si="39"/>
        <v>0</v>
      </c>
      <c r="R87" s="1942">
        <f t="shared" si="40"/>
        <v>0</v>
      </c>
      <c r="S87" s="1942">
        <f t="shared" si="41"/>
        <v>0</v>
      </c>
      <c r="T87" s="1942">
        <f t="shared" si="42"/>
        <v>0</v>
      </c>
      <c r="U87" s="1942">
        <f t="shared" si="43"/>
        <v>0</v>
      </c>
      <c r="V87" s="3034">
        <f t="shared" si="44"/>
        <v>0</v>
      </c>
      <c r="W87" s="1942"/>
      <c r="X87" s="1923">
        <v>0.01</v>
      </c>
      <c r="Y87" s="1947"/>
      <c r="Z87" s="1947"/>
      <c r="AA87" s="1947"/>
      <c r="AB87" s="1947"/>
      <c r="AC87" s="1947"/>
      <c r="AD87" s="1947"/>
      <c r="AE87" s="1947"/>
      <c r="AF87" s="1947"/>
      <c r="AG87" s="1947"/>
      <c r="AH87" s="1947"/>
      <c r="AI87" s="1947"/>
      <c r="AJ87" s="1947"/>
      <c r="AK87" s="1947"/>
      <c r="AL87" s="1947"/>
      <c r="AM87" s="1947"/>
      <c r="AN87" s="1947"/>
      <c r="AO87" s="1947"/>
      <c r="AP87" s="1947"/>
      <c r="AQ87" s="1947"/>
      <c r="AR87" s="1947"/>
      <c r="AS87" s="1947"/>
      <c r="AT87" s="1947"/>
      <c r="AU87" s="1947"/>
      <c r="AV87" s="1947"/>
      <c r="AW87" s="1947"/>
      <c r="AX87" s="1947"/>
      <c r="AY87" s="1947"/>
      <c r="AZ87" s="1947"/>
      <c r="BA87" s="1947"/>
      <c r="BB87" s="1947"/>
      <c r="BC87" s="1947"/>
      <c r="BD87" s="1947"/>
      <c r="BE87" s="1947"/>
      <c r="BF87" s="1947"/>
      <c r="BG87" s="1947"/>
      <c r="BH87" s="1947"/>
      <c r="BI87" s="1947"/>
      <c r="BJ87" s="1947"/>
      <c r="BK87" s="1947"/>
      <c r="BL87" s="1947"/>
      <c r="BM87" s="1947"/>
      <c r="BN87" s="1947"/>
      <c r="BO87" s="1947"/>
      <c r="BP87" s="1947"/>
      <c r="BQ87" s="1947"/>
      <c r="BR87" s="1947"/>
      <c r="BS87" s="1947"/>
      <c r="BT87" s="1947"/>
      <c r="BU87" s="1947"/>
      <c r="BV87" s="1947"/>
      <c r="BW87" s="1947"/>
      <c r="BX87" s="1947"/>
      <c r="BY87" s="1947"/>
      <c r="BZ87" s="1947"/>
      <c r="CA87" s="1947"/>
      <c r="CB87" s="1947"/>
      <c r="CC87" s="1947"/>
      <c r="CD87" s="1947"/>
      <c r="CE87" s="1947"/>
      <c r="CF87" s="1947"/>
      <c r="CG87" s="1947"/>
      <c r="CH87" s="1947"/>
      <c r="CI87" s="1947"/>
      <c r="CJ87" s="1947"/>
      <c r="CK87" s="1947"/>
      <c r="CL87" s="1947"/>
      <c r="CM87" s="1947"/>
      <c r="CN87" s="1947"/>
      <c r="CO87" s="1947"/>
      <c r="CP87" s="1947"/>
      <c r="CQ87" s="1947"/>
      <c r="CR87" s="1947"/>
      <c r="CS87" s="1947"/>
      <c r="CT87" s="1947"/>
      <c r="CU87" s="1947"/>
      <c r="CV87" s="1947"/>
      <c r="CW87" s="1947"/>
      <c r="CX87" s="1947"/>
      <c r="CY87" s="1947"/>
      <c r="CZ87" s="1947"/>
      <c r="DA87" s="1947"/>
      <c r="DB87" s="1947"/>
      <c r="DC87" s="1947"/>
      <c r="DD87" s="1947"/>
      <c r="DE87" s="1947"/>
      <c r="DF87" s="1947"/>
      <c r="DG87" s="1947"/>
      <c r="DH87" s="1947"/>
      <c r="DI87" s="1947"/>
      <c r="DJ87" s="1947"/>
      <c r="DK87" s="1947"/>
      <c r="DL87" s="1947"/>
      <c r="DM87" s="1947"/>
      <c r="DN87" s="1947"/>
      <c r="DO87" s="1947"/>
      <c r="DP87" s="1947"/>
      <c r="DQ87" s="1947"/>
      <c r="DR87" s="1947"/>
      <c r="DS87" s="1947"/>
      <c r="DT87" s="1947"/>
      <c r="DU87" s="1947"/>
      <c r="DV87" s="1947"/>
      <c r="DW87" s="1947"/>
      <c r="DX87" s="1947"/>
      <c r="DY87" s="1947"/>
      <c r="DZ87" s="1947"/>
      <c r="EA87" s="1947"/>
      <c r="EB87" s="1947"/>
      <c r="EC87" s="1947"/>
      <c r="ED87" s="1947"/>
      <c r="EE87" s="1947"/>
      <c r="EF87" s="1947"/>
      <c r="EG87" s="1947"/>
      <c r="EH87" s="1947"/>
      <c r="EI87" s="1947"/>
      <c r="EJ87" s="1947"/>
      <c r="EK87" s="1947"/>
      <c r="EL87" s="1947"/>
      <c r="EM87" s="1947"/>
      <c r="EN87" s="1947"/>
      <c r="EO87" s="1947"/>
      <c r="EP87" s="1947"/>
      <c r="EQ87" s="1947"/>
      <c r="ER87" s="1947"/>
      <c r="ES87" s="1947"/>
      <c r="ET87" s="1947"/>
      <c r="EU87" s="1947"/>
      <c r="EV87" s="1947"/>
      <c r="EW87" s="1947"/>
      <c r="EX87" s="1947"/>
      <c r="EY87" s="1947"/>
      <c r="EZ87" s="1947"/>
      <c r="FA87" s="1947"/>
      <c r="FB87" s="1947"/>
      <c r="FC87" s="1947"/>
      <c r="FD87" s="1947"/>
      <c r="FE87" s="1947"/>
      <c r="FF87" s="1947"/>
      <c r="FG87" s="1947"/>
      <c r="FH87" s="1947"/>
      <c r="FI87" s="1947"/>
      <c r="FJ87" s="1947"/>
      <c r="FK87" s="1947"/>
      <c r="FL87" s="1947"/>
      <c r="FM87" s="1947"/>
      <c r="FN87" s="1947"/>
      <c r="FO87" s="1947"/>
      <c r="FP87" s="1947"/>
      <c r="FQ87" s="1947"/>
      <c r="FR87" s="1947"/>
      <c r="FS87" s="1947"/>
      <c r="FT87" s="1947"/>
      <c r="FU87" s="1947"/>
      <c r="FV87" s="1947"/>
      <c r="FW87" s="1947"/>
      <c r="FX87" s="1947"/>
      <c r="FY87" s="1947"/>
      <c r="FZ87" s="1947"/>
      <c r="GA87" s="1947"/>
      <c r="GB87" s="1947"/>
      <c r="GC87" s="1947"/>
      <c r="GD87" s="1947"/>
      <c r="GE87" s="1947"/>
      <c r="GF87" s="1947"/>
      <c r="GG87" s="1947"/>
      <c r="GH87" s="1947"/>
      <c r="GI87" s="1947"/>
      <c r="GJ87" s="1947"/>
      <c r="GK87" s="1947"/>
      <c r="GL87" s="1947"/>
      <c r="GM87" s="1947"/>
      <c r="GN87" s="1947"/>
      <c r="GO87" s="1947"/>
      <c r="GP87" s="1947"/>
      <c r="GQ87" s="1947"/>
      <c r="GR87" s="1947"/>
      <c r="GS87" s="1947"/>
      <c r="GT87" s="1947"/>
      <c r="GU87" s="1947"/>
      <c r="GV87" s="1947"/>
      <c r="GW87" s="1947"/>
      <c r="GX87" s="1947"/>
      <c r="GY87" s="1947"/>
      <c r="GZ87" s="1947"/>
      <c r="HA87" s="1947"/>
      <c r="HB87" s="1947"/>
      <c r="HC87" s="1947"/>
      <c r="HD87" s="1947"/>
      <c r="HE87" s="1947"/>
      <c r="HF87" s="1947"/>
      <c r="HG87" s="1947"/>
      <c r="HH87" s="1947"/>
      <c r="HI87" s="1947"/>
      <c r="HJ87" s="1947"/>
      <c r="HK87" s="1947"/>
      <c r="HL87" s="1947"/>
      <c r="HM87" s="1947"/>
      <c r="HN87" s="1947"/>
      <c r="HO87" s="1947"/>
      <c r="HP87" s="1947"/>
      <c r="HQ87" s="1947"/>
      <c r="HR87" s="1947"/>
      <c r="HS87" s="1947"/>
      <c r="HT87" s="1947"/>
      <c r="HU87" s="1947"/>
      <c r="HV87" s="1947"/>
      <c r="HW87" s="1947"/>
      <c r="HX87" s="1947"/>
      <c r="HY87" s="1947"/>
      <c r="HZ87" s="1947"/>
      <c r="IA87" s="1947"/>
      <c r="IB87" s="1947"/>
      <c r="IC87" s="1947"/>
      <c r="ID87" s="1947"/>
      <c r="IE87" s="1947"/>
      <c r="IF87" s="1947"/>
      <c r="IG87" s="1947"/>
      <c r="IH87" s="1947"/>
      <c r="II87" s="1947"/>
      <c r="IJ87" s="1947"/>
      <c r="IK87" s="1947"/>
      <c r="IL87" s="1947"/>
      <c r="IM87" s="1947"/>
      <c r="IN87" s="1947"/>
      <c r="IO87" s="1947"/>
      <c r="IP87" s="1947"/>
      <c r="IQ87" s="1947"/>
    </row>
    <row r="88" spans="1:251" hidden="1">
      <c r="A88" s="1026"/>
      <c r="B88" s="1955"/>
      <c r="C88" s="1955"/>
      <c r="D88" s="2034"/>
      <c r="E88" s="1955"/>
      <c r="F88" s="1942">
        <f t="shared" si="33"/>
        <v>0</v>
      </c>
      <c r="G88" s="1026"/>
      <c r="H88" s="1942">
        <f t="shared" si="34"/>
        <v>0</v>
      </c>
      <c r="I88" s="1026"/>
      <c r="J88" s="1942">
        <f t="shared" si="35"/>
        <v>0</v>
      </c>
      <c r="K88" s="1026"/>
      <c r="L88" s="1942">
        <f t="shared" si="36"/>
        <v>0</v>
      </c>
      <c r="M88" s="1942">
        <f t="shared" si="37"/>
        <v>0</v>
      </c>
      <c r="N88" s="1942">
        <f t="shared" si="38"/>
        <v>0</v>
      </c>
      <c r="O88" s="1026"/>
      <c r="P88" s="1026"/>
      <c r="Q88" s="1942">
        <f t="shared" si="39"/>
        <v>0</v>
      </c>
      <c r="R88" s="1942">
        <f t="shared" si="40"/>
        <v>0</v>
      </c>
      <c r="S88" s="1942">
        <f t="shared" si="41"/>
        <v>0</v>
      </c>
      <c r="T88" s="1942">
        <f t="shared" si="42"/>
        <v>0</v>
      </c>
      <c r="U88" s="1942">
        <f t="shared" si="43"/>
        <v>0</v>
      </c>
      <c r="V88" s="3034">
        <f t="shared" si="44"/>
        <v>0</v>
      </c>
      <c r="W88" s="1942"/>
      <c r="X88" s="1923">
        <v>0.01</v>
      </c>
      <c r="Y88" s="1947"/>
      <c r="Z88" s="1947"/>
      <c r="AA88" s="1947"/>
      <c r="AB88" s="1947"/>
      <c r="AC88" s="1947"/>
      <c r="AD88" s="1947"/>
      <c r="AE88" s="1947"/>
      <c r="AF88" s="1947"/>
      <c r="AG88" s="1947"/>
      <c r="AH88" s="1947"/>
      <c r="AI88" s="1947"/>
      <c r="AJ88" s="1947"/>
      <c r="AK88" s="1947"/>
      <c r="AL88" s="1947"/>
      <c r="AM88" s="1947"/>
      <c r="AN88" s="1947"/>
      <c r="AO88" s="1947"/>
      <c r="AP88" s="1947"/>
      <c r="AQ88" s="1947"/>
      <c r="AR88" s="1947"/>
      <c r="AS88" s="1947"/>
      <c r="AT88" s="1947"/>
      <c r="AU88" s="1947"/>
      <c r="AV88" s="1947"/>
      <c r="AW88" s="1947"/>
      <c r="AX88" s="1947"/>
      <c r="AY88" s="1947"/>
      <c r="AZ88" s="1947"/>
      <c r="BA88" s="1947"/>
      <c r="BB88" s="1947"/>
      <c r="BC88" s="1947"/>
      <c r="BD88" s="1947"/>
      <c r="BE88" s="1947"/>
      <c r="BF88" s="1947"/>
      <c r="BG88" s="1947"/>
      <c r="BH88" s="1947"/>
      <c r="BI88" s="1947"/>
      <c r="BJ88" s="1947"/>
      <c r="BK88" s="1947"/>
      <c r="BL88" s="1947"/>
      <c r="BM88" s="1947"/>
      <c r="BN88" s="1947"/>
      <c r="BO88" s="1947"/>
      <c r="BP88" s="1947"/>
      <c r="BQ88" s="1947"/>
      <c r="BR88" s="1947"/>
      <c r="BS88" s="1947"/>
      <c r="BT88" s="1947"/>
      <c r="BU88" s="1947"/>
      <c r="BV88" s="1947"/>
      <c r="BW88" s="1947"/>
      <c r="BX88" s="1947"/>
      <c r="BY88" s="1947"/>
      <c r="BZ88" s="1947"/>
      <c r="CA88" s="1947"/>
      <c r="CB88" s="1947"/>
      <c r="CC88" s="1947"/>
      <c r="CD88" s="1947"/>
      <c r="CE88" s="1947"/>
      <c r="CF88" s="1947"/>
      <c r="CG88" s="1947"/>
      <c r="CH88" s="1947"/>
      <c r="CI88" s="1947"/>
      <c r="CJ88" s="1947"/>
      <c r="CK88" s="1947"/>
      <c r="CL88" s="1947"/>
      <c r="CM88" s="1947"/>
      <c r="CN88" s="1947"/>
      <c r="CO88" s="1947"/>
      <c r="CP88" s="1947"/>
      <c r="CQ88" s="1947"/>
      <c r="CR88" s="1947"/>
      <c r="CS88" s="1947"/>
      <c r="CT88" s="1947"/>
      <c r="CU88" s="1947"/>
      <c r="CV88" s="1947"/>
      <c r="CW88" s="1947"/>
      <c r="CX88" s="1947"/>
      <c r="CY88" s="1947"/>
      <c r="CZ88" s="1947"/>
      <c r="DA88" s="1947"/>
      <c r="DB88" s="1947"/>
      <c r="DC88" s="1947"/>
      <c r="DD88" s="1947"/>
      <c r="DE88" s="1947"/>
      <c r="DF88" s="1947"/>
      <c r="DG88" s="1947"/>
      <c r="DH88" s="1947"/>
      <c r="DI88" s="1947"/>
      <c r="DJ88" s="1947"/>
      <c r="DK88" s="1947"/>
      <c r="DL88" s="1947"/>
      <c r="DM88" s="1947"/>
      <c r="DN88" s="1947"/>
      <c r="DO88" s="1947"/>
      <c r="DP88" s="1947"/>
      <c r="DQ88" s="1947"/>
      <c r="DR88" s="1947"/>
      <c r="DS88" s="1947"/>
      <c r="DT88" s="1947"/>
      <c r="DU88" s="1947"/>
      <c r="DV88" s="1947"/>
      <c r="DW88" s="1947"/>
      <c r="DX88" s="1947"/>
      <c r="DY88" s="1947"/>
      <c r="DZ88" s="1947"/>
      <c r="EA88" s="1947"/>
      <c r="EB88" s="1947"/>
      <c r="EC88" s="1947"/>
      <c r="ED88" s="1947"/>
      <c r="EE88" s="1947"/>
      <c r="EF88" s="1947"/>
      <c r="EG88" s="1947"/>
      <c r="EH88" s="1947"/>
      <c r="EI88" s="1947"/>
      <c r="EJ88" s="1947"/>
      <c r="EK88" s="1947"/>
      <c r="EL88" s="1947"/>
      <c r="EM88" s="1947"/>
      <c r="EN88" s="1947"/>
      <c r="EO88" s="1947"/>
      <c r="EP88" s="1947"/>
      <c r="EQ88" s="1947"/>
      <c r="ER88" s="1947"/>
      <c r="ES88" s="1947"/>
      <c r="ET88" s="1947"/>
      <c r="EU88" s="1947"/>
      <c r="EV88" s="1947"/>
      <c r="EW88" s="1947"/>
      <c r="EX88" s="1947"/>
      <c r="EY88" s="1947"/>
      <c r="EZ88" s="1947"/>
      <c r="FA88" s="1947"/>
      <c r="FB88" s="1947"/>
      <c r="FC88" s="1947"/>
      <c r="FD88" s="1947"/>
      <c r="FE88" s="1947"/>
      <c r="FF88" s="1947"/>
      <c r="FG88" s="1947"/>
      <c r="FH88" s="1947"/>
      <c r="FI88" s="1947"/>
      <c r="FJ88" s="1947"/>
      <c r="FK88" s="1947"/>
      <c r="FL88" s="1947"/>
      <c r="FM88" s="1947"/>
      <c r="FN88" s="1947"/>
      <c r="FO88" s="1947"/>
      <c r="FP88" s="1947"/>
      <c r="FQ88" s="1947"/>
      <c r="FR88" s="1947"/>
      <c r="FS88" s="1947"/>
      <c r="FT88" s="1947"/>
      <c r="FU88" s="1947"/>
      <c r="FV88" s="1947"/>
      <c r="FW88" s="1947"/>
      <c r="FX88" s="1947"/>
      <c r="FY88" s="1947"/>
      <c r="FZ88" s="1947"/>
      <c r="GA88" s="1947"/>
      <c r="GB88" s="1947"/>
      <c r="GC88" s="1947"/>
      <c r="GD88" s="1947"/>
      <c r="GE88" s="1947"/>
      <c r="GF88" s="1947"/>
      <c r="GG88" s="1947"/>
      <c r="GH88" s="1947"/>
      <c r="GI88" s="1947"/>
      <c r="GJ88" s="1947"/>
      <c r="GK88" s="1947"/>
      <c r="GL88" s="1947"/>
      <c r="GM88" s="1947"/>
      <c r="GN88" s="1947"/>
      <c r="GO88" s="1947"/>
      <c r="GP88" s="1947"/>
      <c r="GQ88" s="1947"/>
      <c r="GR88" s="1947"/>
      <c r="GS88" s="1947"/>
      <c r="GT88" s="1947"/>
      <c r="GU88" s="1947"/>
      <c r="GV88" s="1947"/>
      <c r="GW88" s="1947"/>
      <c r="GX88" s="1947"/>
      <c r="GY88" s="1947"/>
      <c r="GZ88" s="1947"/>
      <c r="HA88" s="1947"/>
      <c r="HB88" s="1947"/>
      <c r="HC88" s="1947"/>
      <c r="HD88" s="1947"/>
      <c r="HE88" s="1947"/>
      <c r="HF88" s="1947"/>
      <c r="HG88" s="1947"/>
      <c r="HH88" s="1947"/>
      <c r="HI88" s="1947"/>
      <c r="HJ88" s="1947"/>
      <c r="HK88" s="1947"/>
      <c r="HL88" s="1947"/>
      <c r="HM88" s="1947"/>
      <c r="HN88" s="1947"/>
      <c r="HO88" s="1947"/>
      <c r="HP88" s="1947"/>
      <c r="HQ88" s="1947"/>
      <c r="HR88" s="1947"/>
      <c r="HS88" s="1947"/>
      <c r="HT88" s="1947"/>
      <c r="HU88" s="1947"/>
      <c r="HV88" s="1947"/>
      <c r="HW88" s="1947"/>
      <c r="HX88" s="1947"/>
      <c r="HY88" s="1947"/>
      <c r="HZ88" s="1947"/>
      <c r="IA88" s="1947"/>
      <c r="IB88" s="1947"/>
      <c r="IC88" s="1947"/>
      <c r="ID88" s="1947"/>
      <c r="IE88" s="1947"/>
      <c r="IF88" s="1947"/>
      <c r="IG88" s="1947"/>
      <c r="IH88" s="1947"/>
      <c r="II88" s="1947"/>
      <c r="IJ88" s="1947"/>
      <c r="IK88" s="1947"/>
      <c r="IL88" s="1947"/>
      <c r="IM88" s="1947"/>
      <c r="IN88" s="1947"/>
      <c r="IO88" s="1947"/>
      <c r="IP88" s="1947"/>
      <c r="IQ88" s="1947"/>
    </row>
    <row r="89" spans="1:251" hidden="1">
      <c r="A89" s="1026"/>
      <c r="B89" s="1955"/>
      <c r="C89" s="1955"/>
      <c r="D89" s="2034"/>
      <c r="E89" s="1955"/>
      <c r="F89" s="1942">
        <f t="shared" si="33"/>
        <v>0</v>
      </c>
      <c r="G89" s="1026"/>
      <c r="H89" s="1942">
        <f t="shared" si="34"/>
        <v>0</v>
      </c>
      <c r="I89" s="1026"/>
      <c r="J89" s="1942">
        <f t="shared" si="35"/>
        <v>0</v>
      </c>
      <c r="K89" s="1026"/>
      <c r="L89" s="1942">
        <f t="shared" si="36"/>
        <v>0</v>
      </c>
      <c r="M89" s="1942">
        <f t="shared" si="37"/>
        <v>0</v>
      </c>
      <c r="N89" s="1942">
        <f t="shared" si="38"/>
        <v>0</v>
      </c>
      <c r="O89" s="1026"/>
      <c r="P89" s="1026"/>
      <c r="Q89" s="1942">
        <f t="shared" si="39"/>
        <v>0</v>
      </c>
      <c r="R89" s="1942">
        <f t="shared" si="40"/>
        <v>0</v>
      </c>
      <c r="S89" s="1942">
        <f t="shared" si="41"/>
        <v>0</v>
      </c>
      <c r="T89" s="1942">
        <f t="shared" si="42"/>
        <v>0</v>
      </c>
      <c r="U89" s="1942">
        <f t="shared" si="43"/>
        <v>0</v>
      </c>
      <c r="V89" s="3034">
        <f t="shared" si="44"/>
        <v>0</v>
      </c>
      <c r="W89" s="1942"/>
      <c r="X89" s="1923">
        <v>0.01</v>
      </c>
      <c r="Y89" s="1947"/>
      <c r="Z89" s="1947"/>
      <c r="AA89" s="1947"/>
      <c r="AB89" s="1947"/>
      <c r="AC89" s="1947"/>
      <c r="AD89" s="1947"/>
      <c r="AE89" s="1947"/>
      <c r="AF89" s="1947"/>
      <c r="AG89" s="1947"/>
      <c r="AH89" s="1947"/>
      <c r="AI89" s="1947"/>
      <c r="AJ89" s="1947"/>
      <c r="AK89" s="1947"/>
      <c r="AL89" s="1947"/>
      <c r="AM89" s="1947"/>
      <c r="AN89" s="1947"/>
      <c r="AO89" s="1947"/>
      <c r="AP89" s="1947"/>
      <c r="AQ89" s="1947"/>
      <c r="AR89" s="1947"/>
      <c r="AS89" s="1947"/>
      <c r="AT89" s="1947"/>
      <c r="AU89" s="1947"/>
      <c r="AV89" s="1947"/>
      <c r="AW89" s="1947"/>
      <c r="AX89" s="1947"/>
      <c r="AY89" s="1947"/>
      <c r="AZ89" s="1947"/>
      <c r="BA89" s="1947"/>
      <c r="BB89" s="1947"/>
      <c r="BC89" s="1947"/>
      <c r="BD89" s="1947"/>
      <c r="BE89" s="1947"/>
      <c r="BF89" s="1947"/>
      <c r="BG89" s="1947"/>
      <c r="BH89" s="1947"/>
      <c r="BI89" s="1947"/>
      <c r="BJ89" s="1947"/>
      <c r="BK89" s="1947"/>
      <c r="BL89" s="1947"/>
      <c r="BM89" s="1947"/>
      <c r="BN89" s="1947"/>
      <c r="BO89" s="1947"/>
      <c r="BP89" s="1947"/>
      <c r="BQ89" s="1947"/>
      <c r="BR89" s="1947"/>
      <c r="BS89" s="1947"/>
      <c r="BT89" s="1947"/>
      <c r="BU89" s="1947"/>
      <c r="BV89" s="1947"/>
      <c r="BW89" s="1947"/>
      <c r="BX89" s="1947"/>
      <c r="BY89" s="1947"/>
      <c r="BZ89" s="1947"/>
      <c r="CA89" s="1947"/>
      <c r="CB89" s="1947"/>
      <c r="CC89" s="1947"/>
      <c r="CD89" s="1947"/>
      <c r="CE89" s="1947"/>
      <c r="CF89" s="1947"/>
      <c r="CG89" s="1947"/>
      <c r="CH89" s="1947"/>
      <c r="CI89" s="1947"/>
      <c r="CJ89" s="1947"/>
      <c r="CK89" s="1947"/>
      <c r="CL89" s="1947"/>
      <c r="CM89" s="1947"/>
      <c r="CN89" s="1947"/>
      <c r="CO89" s="1947"/>
      <c r="CP89" s="1947"/>
      <c r="CQ89" s="1947"/>
      <c r="CR89" s="1947"/>
      <c r="CS89" s="1947"/>
      <c r="CT89" s="1947"/>
      <c r="CU89" s="1947"/>
      <c r="CV89" s="1947"/>
      <c r="CW89" s="1947"/>
      <c r="CX89" s="1947"/>
      <c r="CY89" s="1947"/>
      <c r="CZ89" s="1947"/>
      <c r="DA89" s="1947"/>
      <c r="DB89" s="1947"/>
      <c r="DC89" s="1947"/>
      <c r="DD89" s="1947"/>
      <c r="DE89" s="1947"/>
      <c r="DF89" s="1947"/>
      <c r="DG89" s="1947"/>
      <c r="DH89" s="1947"/>
      <c r="DI89" s="1947"/>
      <c r="DJ89" s="1947"/>
      <c r="DK89" s="1947"/>
      <c r="DL89" s="1947"/>
      <c r="DM89" s="1947"/>
      <c r="DN89" s="1947"/>
      <c r="DO89" s="1947"/>
      <c r="DP89" s="1947"/>
      <c r="DQ89" s="1947"/>
      <c r="DR89" s="1947"/>
      <c r="DS89" s="1947"/>
      <c r="DT89" s="1947"/>
      <c r="DU89" s="1947"/>
      <c r="DV89" s="1947"/>
      <c r="DW89" s="1947"/>
      <c r="DX89" s="1947"/>
      <c r="DY89" s="1947"/>
      <c r="DZ89" s="1947"/>
      <c r="EA89" s="1947"/>
      <c r="EB89" s="1947"/>
      <c r="EC89" s="1947"/>
      <c r="ED89" s="1947"/>
      <c r="EE89" s="1947"/>
      <c r="EF89" s="1947"/>
      <c r="EG89" s="1947"/>
      <c r="EH89" s="1947"/>
      <c r="EI89" s="1947"/>
      <c r="EJ89" s="1947"/>
      <c r="EK89" s="1947"/>
      <c r="EL89" s="1947"/>
      <c r="EM89" s="1947"/>
      <c r="EN89" s="1947"/>
      <c r="EO89" s="1947"/>
      <c r="EP89" s="1947"/>
      <c r="EQ89" s="1947"/>
      <c r="ER89" s="1947"/>
      <c r="ES89" s="1947"/>
      <c r="ET89" s="1947"/>
      <c r="EU89" s="1947"/>
      <c r="EV89" s="1947"/>
      <c r="EW89" s="1947"/>
      <c r="EX89" s="1947"/>
      <c r="EY89" s="1947"/>
      <c r="EZ89" s="1947"/>
      <c r="FA89" s="1947"/>
      <c r="FB89" s="1947"/>
      <c r="FC89" s="1947"/>
      <c r="FD89" s="1947"/>
      <c r="FE89" s="1947"/>
      <c r="FF89" s="1947"/>
      <c r="FG89" s="1947"/>
      <c r="FH89" s="1947"/>
      <c r="FI89" s="1947"/>
      <c r="FJ89" s="1947"/>
      <c r="FK89" s="1947"/>
      <c r="FL89" s="1947"/>
      <c r="FM89" s="1947"/>
      <c r="FN89" s="1947"/>
      <c r="FO89" s="1947"/>
      <c r="FP89" s="1947"/>
      <c r="FQ89" s="1947"/>
      <c r="FR89" s="1947"/>
      <c r="FS89" s="1947"/>
      <c r="FT89" s="1947"/>
      <c r="FU89" s="1947"/>
      <c r="FV89" s="1947"/>
      <c r="FW89" s="1947"/>
      <c r="FX89" s="1947"/>
      <c r="FY89" s="1947"/>
      <c r="FZ89" s="1947"/>
      <c r="GA89" s="1947"/>
      <c r="GB89" s="1947"/>
      <c r="GC89" s="1947"/>
      <c r="GD89" s="1947"/>
      <c r="GE89" s="1947"/>
      <c r="GF89" s="1947"/>
      <c r="GG89" s="1947"/>
      <c r="GH89" s="1947"/>
      <c r="GI89" s="1947"/>
      <c r="GJ89" s="1947"/>
      <c r="GK89" s="1947"/>
      <c r="GL89" s="1947"/>
      <c r="GM89" s="1947"/>
      <c r="GN89" s="1947"/>
      <c r="GO89" s="1947"/>
      <c r="GP89" s="1947"/>
      <c r="GQ89" s="1947"/>
      <c r="GR89" s="1947"/>
      <c r="GS89" s="1947"/>
      <c r="GT89" s="1947"/>
      <c r="GU89" s="1947"/>
      <c r="GV89" s="1947"/>
      <c r="GW89" s="1947"/>
      <c r="GX89" s="1947"/>
      <c r="GY89" s="1947"/>
      <c r="GZ89" s="1947"/>
      <c r="HA89" s="1947"/>
      <c r="HB89" s="1947"/>
      <c r="HC89" s="1947"/>
      <c r="HD89" s="1947"/>
      <c r="HE89" s="1947"/>
      <c r="HF89" s="1947"/>
      <c r="HG89" s="1947"/>
      <c r="HH89" s="1947"/>
      <c r="HI89" s="1947"/>
      <c r="HJ89" s="1947"/>
      <c r="HK89" s="1947"/>
      <c r="HL89" s="1947"/>
      <c r="HM89" s="1947"/>
      <c r="HN89" s="1947"/>
      <c r="HO89" s="1947"/>
      <c r="HP89" s="1947"/>
      <c r="HQ89" s="1947"/>
      <c r="HR89" s="1947"/>
      <c r="HS89" s="1947"/>
      <c r="HT89" s="1947"/>
      <c r="HU89" s="1947"/>
      <c r="HV89" s="1947"/>
      <c r="HW89" s="1947"/>
      <c r="HX89" s="1947"/>
      <c r="HY89" s="1947"/>
      <c r="HZ89" s="1947"/>
      <c r="IA89" s="1947"/>
      <c r="IB89" s="1947"/>
      <c r="IC89" s="1947"/>
      <c r="ID89" s="1947"/>
      <c r="IE89" s="1947"/>
      <c r="IF89" s="1947"/>
      <c r="IG89" s="1947"/>
      <c r="IH89" s="1947"/>
      <c r="II89" s="1947"/>
      <c r="IJ89" s="1947"/>
      <c r="IK89" s="1947"/>
      <c r="IL89" s="1947"/>
      <c r="IM89" s="1947"/>
      <c r="IN89" s="1947"/>
      <c r="IO89" s="1947"/>
      <c r="IP89" s="1947"/>
      <c r="IQ89" s="1947"/>
    </row>
    <row r="90" spans="1:251" hidden="1">
      <c r="A90" s="1026"/>
      <c r="B90" s="1955"/>
      <c r="C90" s="1955"/>
      <c r="D90" s="2034"/>
      <c r="E90" s="1955"/>
      <c r="F90" s="1942">
        <f t="shared" si="33"/>
        <v>0</v>
      </c>
      <c r="G90" s="1026"/>
      <c r="H90" s="1942">
        <f t="shared" si="34"/>
        <v>0</v>
      </c>
      <c r="I90" s="1026"/>
      <c r="J90" s="1942">
        <f t="shared" si="35"/>
        <v>0</v>
      </c>
      <c r="K90" s="1026"/>
      <c r="L90" s="1942">
        <f t="shared" si="36"/>
        <v>0</v>
      </c>
      <c r="M90" s="1942">
        <f t="shared" si="37"/>
        <v>0</v>
      </c>
      <c r="N90" s="1942">
        <f t="shared" si="38"/>
        <v>0</v>
      </c>
      <c r="O90" s="1026"/>
      <c r="P90" s="1026"/>
      <c r="Q90" s="1942">
        <f t="shared" si="39"/>
        <v>0</v>
      </c>
      <c r="R90" s="1942">
        <f t="shared" si="40"/>
        <v>0</v>
      </c>
      <c r="S90" s="1942">
        <f t="shared" si="41"/>
        <v>0</v>
      </c>
      <c r="T90" s="1942">
        <f t="shared" si="42"/>
        <v>0</v>
      </c>
      <c r="U90" s="1942">
        <f t="shared" si="43"/>
        <v>0</v>
      </c>
      <c r="V90" s="3034">
        <f t="shared" si="44"/>
        <v>0</v>
      </c>
      <c r="W90" s="1942"/>
      <c r="X90" s="1923">
        <v>0.01</v>
      </c>
      <c r="Y90" s="1947"/>
      <c r="Z90" s="1947"/>
      <c r="AA90" s="1947"/>
      <c r="AB90" s="1947"/>
      <c r="AC90" s="1947"/>
      <c r="AD90" s="1947"/>
      <c r="AE90" s="1947"/>
      <c r="AF90" s="1947"/>
      <c r="AG90" s="1947"/>
      <c r="AH90" s="1947"/>
      <c r="AI90" s="1947"/>
      <c r="AJ90" s="1947"/>
      <c r="AK90" s="1947"/>
      <c r="AL90" s="1947"/>
      <c r="AM90" s="1947"/>
      <c r="AN90" s="1947"/>
      <c r="AO90" s="1947"/>
      <c r="AP90" s="1947"/>
      <c r="AQ90" s="1947"/>
      <c r="AR90" s="1947"/>
      <c r="AS90" s="1947"/>
      <c r="AT90" s="1947"/>
      <c r="AU90" s="1947"/>
      <c r="AV90" s="1947"/>
      <c r="AW90" s="1947"/>
      <c r="AX90" s="1947"/>
      <c r="AY90" s="1947"/>
      <c r="AZ90" s="1947"/>
      <c r="BA90" s="1947"/>
      <c r="BB90" s="1947"/>
      <c r="BC90" s="1947"/>
      <c r="BD90" s="1947"/>
      <c r="BE90" s="1947"/>
      <c r="BF90" s="1947"/>
      <c r="BG90" s="1947"/>
      <c r="BH90" s="1947"/>
      <c r="BI90" s="1947"/>
      <c r="BJ90" s="1947"/>
      <c r="BK90" s="1947"/>
      <c r="BL90" s="1947"/>
      <c r="BM90" s="1947"/>
      <c r="BN90" s="1947"/>
      <c r="BO90" s="1947"/>
      <c r="BP90" s="1947"/>
      <c r="BQ90" s="1947"/>
      <c r="BR90" s="1947"/>
      <c r="BS90" s="1947"/>
      <c r="BT90" s="1947"/>
      <c r="BU90" s="1947"/>
      <c r="BV90" s="1947"/>
      <c r="BW90" s="1947"/>
      <c r="BX90" s="1947"/>
      <c r="BY90" s="1947"/>
      <c r="BZ90" s="1947"/>
      <c r="CA90" s="1947"/>
      <c r="CB90" s="1947"/>
      <c r="CC90" s="1947"/>
      <c r="CD90" s="1947"/>
      <c r="CE90" s="1947"/>
      <c r="CF90" s="1947"/>
      <c r="CG90" s="1947"/>
      <c r="CH90" s="1947"/>
      <c r="CI90" s="1947"/>
      <c r="CJ90" s="1947"/>
      <c r="CK90" s="1947"/>
      <c r="CL90" s="1947"/>
      <c r="CM90" s="1947"/>
      <c r="CN90" s="1947"/>
      <c r="CO90" s="1947"/>
      <c r="CP90" s="1947"/>
      <c r="CQ90" s="1947"/>
      <c r="CR90" s="1947"/>
      <c r="CS90" s="1947"/>
      <c r="CT90" s="1947"/>
      <c r="CU90" s="1947"/>
      <c r="CV90" s="1947"/>
      <c r="CW90" s="1947"/>
      <c r="CX90" s="1947"/>
      <c r="CY90" s="1947"/>
      <c r="CZ90" s="1947"/>
      <c r="DA90" s="1947"/>
      <c r="DB90" s="1947"/>
      <c r="DC90" s="1947"/>
      <c r="DD90" s="1947"/>
      <c r="DE90" s="1947"/>
      <c r="DF90" s="1947"/>
      <c r="DG90" s="1947"/>
      <c r="DH90" s="1947"/>
      <c r="DI90" s="1947"/>
      <c r="DJ90" s="1947"/>
      <c r="DK90" s="1947"/>
      <c r="DL90" s="1947"/>
      <c r="DM90" s="1947"/>
      <c r="DN90" s="1947"/>
      <c r="DO90" s="1947"/>
      <c r="DP90" s="1947"/>
      <c r="DQ90" s="1947"/>
      <c r="DR90" s="1947"/>
      <c r="DS90" s="1947"/>
      <c r="DT90" s="1947"/>
      <c r="DU90" s="1947"/>
      <c r="DV90" s="1947"/>
      <c r="DW90" s="1947"/>
      <c r="DX90" s="1947"/>
      <c r="DY90" s="1947"/>
      <c r="DZ90" s="1947"/>
      <c r="EA90" s="1947"/>
      <c r="EB90" s="1947"/>
      <c r="EC90" s="1947"/>
      <c r="ED90" s="1947"/>
      <c r="EE90" s="1947"/>
      <c r="EF90" s="1947"/>
      <c r="EG90" s="1947"/>
      <c r="EH90" s="1947"/>
      <c r="EI90" s="1947"/>
      <c r="EJ90" s="1947"/>
      <c r="EK90" s="1947"/>
      <c r="EL90" s="1947"/>
      <c r="EM90" s="1947"/>
      <c r="EN90" s="1947"/>
      <c r="EO90" s="1947"/>
      <c r="EP90" s="1947"/>
      <c r="EQ90" s="1947"/>
      <c r="ER90" s="1947"/>
      <c r="ES90" s="1947"/>
      <c r="ET90" s="1947"/>
      <c r="EU90" s="1947"/>
      <c r="EV90" s="1947"/>
      <c r="EW90" s="1947"/>
      <c r="EX90" s="1947"/>
      <c r="EY90" s="1947"/>
      <c r="EZ90" s="1947"/>
      <c r="FA90" s="1947"/>
      <c r="FB90" s="1947"/>
      <c r="FC90" s="1947"/>
      <c r="FD90" s="1947"/>
      <c r="FE90" s="1947"/>
      <c r="FF90" s="1947"/>
      <c r="FG90" s="1947"/>
      <c r="FH90" s="1947"/>
      <c r="FI90" s="1947"/>
      <c r="FJ90" s="1947"/>
      <c r="FK90" s="1947"/>
      <c r="FL90" s="1947"/>
      <c r="FM90" s="1947"/>
      <c r="FN90" s="1947"/>
      <c r="FO90" s="1947"/>
      <c r="FP90" s="1947"/>
      <c r="FQ90" s="1947"/>
      <c r="FR90" s="1947"/>
      <c r="FS90" s="1947"/>
      <c r="FT90" s="1947"/>
      <c r="FU90" s="1947"/>
      <c r="FV90" s="1947"/>
      <c r="FW90" s="1947"/>
      <c r="FX90" s="1947"/>
      <c r="FY90" s="1947"/>
      <c r="FZ90" s="1947"/>
      <c r="GA90" s="1947"/>
      <c r="GB90" s="1947"/>
      <c r="GC90" s="1947"/>
      <c r="GD90" s="1947"/>
      <c r="GE90" s="1947"/>
      <c r="GF90" s="1947"/>
      <c r="GG90" s="1947"/>
      <c r="GH90" s="1947"/>
      <c r="GI90" s="1947"/>
      <c r="GJ90" s="1947"/>
      <c r="GK90" s="1947"/>
      <c r="GL90" s="1947"/>
      <c r="GM90" s="1947"/>
      <c r="GN90" s="1947"/>
      <c r="GO90" s="1947"/>
      <c r="GP90" s="1947"/>
      <c r="GQ90" s="1947"/>
      <c r="GR90" s="1947"/>
      <c r="GS90" s="1947"/>
      <c r="GT90" s="1947"/>
      <c r="GU90" s="1947"/>
      <c r="GV90" s="1947"/>
      <c r="GW90" s="1947"/>
      <c r="GX90" s="1947"/>
      <c r="GY90" s="1947"/>
      <c r="GZ90" s="1947"/>
      <c r="HA90" s="1947"/>
      <c r="HB90" s="1947"/>
      <c r="HC90" s="1947"/>
      <c r="HD90" s="1947"/>
      <c r="HE90" s="1947"/>
      <c r="HF90" s="1947"/>
      <c r="HG90" s="1947"/>
      <c r="HH90" s="1947"/>
      <c r="HI90" s="1947"/>
      <c r="HJ90" s="1947"/>
      <c r="HK90" s="1947"/>
      <c r="HL90" s="1947"/>
      <c r="HM90" s="1947"/>
      <c r="HN90" s="1947"/>
      <c r="HO90" s="1947"/>
      <c r="HP90" s="1947"/>
      <c r="HQ90" s="1947"/>
      <c r="HR90" s="1947"/>
      <c r="HS90" s="1947"/>
      <c r="HT90" s="1947"/>
      <c r="HU90" s="1947"/>
      <c r="HV90" s="1947"/>
      <c r="HW90" s="1947"/>
      <c r="HX90" s="1947"/>
      <c r="HY90" s="1947"/>
      <c r="HZ90" s="1947"/>
      <c r="IA90" s="1947"/>
      <c r="IB90" s="1947"/>
      <c r="IC90" s="1947"/>
      <c r="ID90" s="1947"/>
      <c r="IE90" s="1947"/>
      <c r="IF90" s="1947"/>
      <c r="IG90" s="1947"/>
      <c r="IH90" s="1947"/>
      <c r="II90" s="1947"/>
      <c r="IJ90" s="1947"/>
      <c r="IK90" s="1947"/>
      <c r="IL90" s="1947"/>
      <c r="IM90" s="1947"/>
      <c r="IN90" s="1947"/>
      <c r="IO90" s="1947"/>
      <c r="IP90" s="1947"/>
      <c r="IQ90" s="1947"/>
    </row>
    <row r="91" spans="1:251" hidden="1">
      <c r="A91" s="1026"/>
      <c r="B91" s="1955"/>
      <c r="C91" s="1955"/>
      <c r="D91" s="2034"/>
      <c r="E91" s="1955"/>
      <c r="F91" s="1942">
        <f t="shared" si="33"/>
        <v>0</v>
      </c>
      <c r="G91" s="1026"/>
      <c r="H91" s="1942">
        <f t="shared" si="34"/>
        <v>0</v>
      </c>
      <c r="I91" s="1026"/>
      <c r="J91" s="1942">
        <f t="shared" si="35"/>
        <v>0</v>
      </c>
      <c r="K91" s="1026"/>
      <c r="L91" s="1942">
        <f t="shared" si="36"/>
        <v>0</v>
      </c>
      <c r="M91" s="1942">
        <f t="shared" si="37"/>
        <v>0</v>
      </c>
      <c r="N91" s="1942">
        <f t="shared" si="38"/>
        <v>0</v>
      </c>
      <c r="O91" s="1026"/>
      <c r="P91" s="1026"/>
      <c r="Q91" s="1942">
        <f t="shared" si="39"/>
        <v>0</v>
      </c>
      <c r="R91" s="1942">
        <f t="shared" si="40"/>
        <v>0</v>
      </c>
      <c r="S91" s="1942">
        <f t="shared" si="41"/>
        <v>0</v>
      </c>
      <c r="T91" s="1942">
        <f t="shared" si="42"/>
        <v>0</v>
      </c>
      <c r="U91" s="1942">
        <f t="shared" si="43"/>
        <v>0</v>
      </c>
      <c r="V91" s="3034">
        <f t="shared" si="44"/>
        <v>0</v>
      </c>
      <c r="W91" s="1942"/>
      <c r="X91" s="1923">
        <v>0.01</v>
      </c>
      <c r="Y91" s="1947"/>
      <c r="Z91" s="1947"/>
      <c r="AA91" s="1947"/>
      <c r="AB91" s="1947"/>
      <c r="AC91" s="1947"/>
      <c r="AD91" s="1947"/>
      <c r="AE91" s="1947"/>
      <c r="AF91" s="1947"/>
      <c r="AG91" s="1947"/>
      <c r="AH91" s="1947"/>
      <c r="AI91" s="1947"/>
      <c r="AJ91" s="1947"/>
      <c r="AK91" s="1947"/>
      <c r="AL91" s="1947"/>
      <c r="AM91" s="1947"/>
      <c r="AN91" s="1947"/>
      <c r="AO91" s="1947"/>
      <c r="AP91" s="1947"/>
      <c r="AQ91" s="1947"/>
      <c r="AR91" s="1947"/>
      <c r="AS91" s="1947"/>
      <c r="AT91" s="1947"/>
      <c r="AU91" s="1947"/>
      <c r="AV91" s="1947"/>
      <c r="AW91" s="1947"/>
      <c r="AX91" s="1947"/>
      <c r="AY91" s="1947"/>
      <c r="AZ91" s="1947"/>
      <c r="BA91" s="1947"/>
      <c r="BB91" s="1947"/>
      <c r="BC91" s="1947"/>
      <c r="BD91" s="1947"/>
      <c r="BE91" s="1947"/>
      <c r="BF91" s="1947"/>
      <c r="BG91" s="1947"/>
      <c r="BH91" s="1947"/>
      <c r="BI91" s="1947"/>
      <c r="BJ91" s="1947"/>
      <c r="BK91" s="1947"/>
      <c r="BL91" s="1947"/>
      <c r="BM91" s="1947"/>
      <c r="BN91" s="1947"/>
      <c r="BO91" s="1947"/>
      <c r="BP91" s="1947"/>
      <c r="BQ91" s="1947"/>
      <c r="BR91" s="1947"/>
      <c r="BS91" s="1947"/>
      <c r="BT91" s="1947"/>
      <c r="BU91" s="1947"/>
      <c r="BV91" s="1947"/>
      <c r="BW91" s="1947"/>
      <c r="BX91" s="1947"/>
      <c r="BY91" s="1947"/>
      <c r="BZ91" s="1947"/>
      <c r="CA91" s="1947"/>
      <c r="CB91" s="1947"/>
      <c r="CC91" s="1947"/>
      <c r="CD91" s="1947"/>
      <c r="CE91" s="1947"/>
      <c r="CF91" s="1947"/>
      <c r="CG91" s="1947"/>
      <c r="CH91" s="1947"/>
      <c r="CI91" s="1947"/>
      <c r="CJ91" s="1947"/>
      <c r="CK91" s="1947"/>
      <c r="CL91" s="1947"/>
      <c r="CM91" s="1947"/>
      <c r="CN91" s="1947"/>
      <c r="CO91" s="1947"/>
      <c r="CP91" s="1947"/>
      <c r="CQ91" s="1947"/>
      <c r="CR91" s="1947"/>
      <c r="CS91" s="1947"/>
      <c r="CT91" s="1947"/>
      <c r="CU91" s="1947"/>
      <c r="CV91" s="1947"/>
      <c r="CW91" s="1947"/>
      <c r="CX91" s="1947"/>
      <c r="CY91" s="1947"/>
      <c r="CZ91" s="1947"/>
      <c r="DA91" s="1947"/>
      <c r="DB91" s="1947"/>
      <c r="DC91" s="1947"/>
      <c r="DD91" s="1947"/>
      <c r="DE91" s="1947"/>
      <c r="DF91" s="1947"/>
      <c r="DG91" s="1947"/>
      <c r="DH91" s="1947"/>
      <c r="DI91" s="1947"/>
      <c r="DJ91" s="1947"/>
      <c r="DK91" s="1947"/>
      <c r="DL91" s="1947"/>
      <c r="DM91" s="1947"/>
      <c r="DN91" s="1947"/>
      <c r="DO91" s="1947"/>
      <c r="DP91" s="1947"/>
      <c r="DQ91" s="1947"/>
      <c r="DR91" s="1947"/>
      <c r="DS91" s="1947"/>
      <c r="DT91" s="1947"/>
      <c r="DU91" s="1947"/>
      <c r="DV91" s="1947"/>
      <c r="DW91" s="1947"/>
      <c r="DX91" s="1947"/>
      <c r="DY91" s="1947"/>
      <c r="DZ91" s="1947"/>
      <c r="EA91" s="1947"/>
      <c r="EB91" s="1947"/>
      <c r="EC91" s="1947"/>
      <c r="ED91" s="1947"/>
      <c r="EE91" s="1947"/>
      <c r="EF91" s="1947"/>
      <c r="EG91" s="1947"/>
      <c r="EH91" s="1947"/>
      <c r="EI91" s="1947"/>
      <c r="EJ91" s="1947"/>
      <c r="EK91" s="1947"/>
      <c r="EL91" s="1947"/>
      <c r="EM91" s="1947"/>
      <c r="EN91" s="1947"/>
      <c r="EO91" s="1947"/>
      <c r="EP91" s="1947"/>
      <c r="EQ91" s="1947"/>
      <c r="ER91" s="1947"/>
      <c r="ES91" s="1947"/>
      <c r="ET91" s="1947"/>
      <c r="EU91" s="1947"/>
      <c r="EV91" s="1947"/>
      <c r="EW91" s="1947"/>
      <c r="EX91" s="1947"/>
      <c r="EY91" s="1947"/>
      <c r="EZ91" s="1947"/>
      <c r="FA91" s="1947"/>
      <c r="FB91" s="1947"/>
      <c r="FC91" s="1947"/>
      <c r="FD91" s="1947"/>
      <c r="FE91" s="1947"/>
      <c r="FF91" s="1947"/>
      <c r="FG91" s="1947"/>
      <c r="FH91" s="1947"/>
      <c r="FI91" s="1947"/>
      <c r="FJ91" s="1947"/>
      <c r="FK91" s="1947"/>
      <c r="FL91" s="1947"/>
      <c r="FM91" s="1947"/>
      <c r="FN91" s="1947"/>
      <c r="FO91" s="1947"/>
      <c r="FP91" s="1947"/>
      <c r="FQ91" s="1947"/>
      <c r="FR91" s="1947"/>
      <c r="FS91" s="1947"/>
      <c r="FT91" s="1947"/>
      <c r="FU91" s="1947"/>
      <c r="FV91" s="1947"/>
      <c r="FW91" s="1947"/>
      <c r="FX91" s="1947"/>
      <c r="FY91" s="1947"/>
      <c r="FZ91" s="1947"/>
      <c r="GA91" s="1947"/>
      <c r="GB91" s="1947"/>
      <c r="GC91" s="1947"/>
      <c r="GD91" s="1947"/>
      <c r="GE91" s="1947"/>
      <c r="GF91" s="1947"/>
      <c r="GG91" s="1947"/>
      <c r="GH91" s="1947"/>
      <c r="GI91" s="1947"/>
      <c r="GJ91" s="1947"/>
      <c r="GK91" s="1947"/>
      <c r="GL91" s="1947"/>
      <c r="GM91" s="1947"/>
      <c r="GN91" s="1947"/>
      <c r="GO91" s="1947"/>
      <c r="GP91" s="1947"/>
      <c r="GQ91" s="1947"/>
      <c r="GR91" s="1947"/>
      <c r="GS91" s="1947"/>
      <c r="GT91" s="1947"/>
      <c r="GU91" s="1947"/>
      <c r="GV91" s="1947"/>
      <c r="GW91" s="1947"/>
      <c r="GX91" s="1947"/>
      <c r="GY91" s="1947"/>
      <c r="GZ91" s="1947"/>
      <c r="HA91" s="1947"/>
      <c r="HB91" s="1947"/>
      <c r="HC91" s="1947"/>
      <c r="HD91" s="1947"/>
      <c r="HE91" s="1947"/>
      <c r="HF91" s="1947"/>
      <c r="HG91" s="1947"/>
      <c r="HH91" s="1947"/>
      <c r="HI91" s="1947"/>
      <c r="HJ91" s="1947"/>
      <c r="HK91" s="1947"/>
      <c r="HL91" s="1947"/>
      <c r="HM91" s="1947"/>
      <c r="HN91" s="1947"/>
      <c r="HO91" s="1947"/>
      <c r="HP91" s="1947"/>
      <c r="HQ91" s="1947"/>
      <c r="HR91" s="1947"/>
      <c r="HS91" s="1947"/>
      <c r="HT91" s="1947"/>
      <c r="HU91" s="1947"/>
      <c r="HV91" s="1947"/>
      <c r="HW91" s="1947"/>
      <c r="HX91" s="1947"/>
      <c r="HY91" s="1947"/>
      <c r="HZ91" s="1947"/>
      <c r="IA91" s="1947"/>
      <c r="IB91" s="1947"/>
      <c r="IC91" s="1947"/>
      <c r="ID91" s="1947"/>
      <c r="IE91" s="1947"/>
      <c r="IF91" s="1947"/>
      <c r="IG91" s="1947"/>
      <c r="IH91" s="1947"/>
      <c r="II91" s="1947"/>
      <c r="IJ91" s="1947"/>
      <c r="IK91" s="1947"/>
      <c r="IL91" s="1947"/>
      <c r="IM91" s="1947"/>
      <c r="IN91" s="1947"/>
      <c r="IO91" s="1947"/>
      <c r="IP91" s="1947"/>
      <c r="IQ91" s="1947"/>
    </row>
    <row r="92" spans="1:251" hidden="1">
      <c r="A92" s="1026"/>
      <c r="B92" s="1955"/>
      <c r="C92" s="1955"/>
      <c r="D92" s="2034"/>
      <c r="E92" s="1955"/>
      <c r="F92" s="1942">
        <f t="shared" si="33"/>
        <v>0</v>
      </c>
      <c r="G92" s="1026"/>
      <c r="H92" s="1942">
        <f t="shared" si="34"/>
        <v>0</v>
      </c>
      <c r="I92" s="1026"/>
      <c r="J92" s="1942">
        <f t="shared" si="35"/>
        <v>0</v>
      </c>
      <c r="K92" s="1026"/>
      <c r="L92" s="1942">
        <f t="shared" si="36"/>
        <v>0</v>
      </c>
      <c r="M92" s="1942">
        <f t="shared" si="37"/>
        <v>0</v>
      </c>
      <c r="N92" s="1942">
        <f t="shared" si="38"/>
        <v>0</v>
      </c>
      <c r="O92" s="1026"/>
      <c r="P92" s="1026"/>
      <c r="Q92" s="1942">
        <f t="shared" si="39"/>
        <v>0</v>
      </c>
      <c r="R92" s="1942">
        <f t="shared" si="40"/>
        <v>0</v>
      </c>
      <c r="S92" s="1942">
        <f t="shared" si="41"/>
        <v>0</v>
      </c>
      <c r="T92" s="1942">
        <f t="shared" si="42"/>
        <v>0</v>
      </c>
      <c r="U92" s="1942">
        <f t="shared" si="43"/>
        <v>0</v>
      </c>
      <c r="V92" s="3034">
        <f t="shared" si="44"/>
        <v>0</v>
      </c>
      <c r="W92" s="1942"/>
      <c r="X92" s="1923">
        <v>0.01</v>
      </c>
      <c r="Y92" s="1947"/>
      <c r="Z92" s="1947"/>
      <c r="AA92" s="1947"/>
      <c r="AB92" s="1947"/>
      <c r="AC92" s="1947"/>
      <c r="AD92" s="1947"/>
      <c r="AE92" s="1947"/>
      <c r="AF92" s="1947"/>
      <c r="AG92" s="1947"/>
      <c r="AH92" s="1947"/>
      <c r="AI92" s="1947"/>
      <c r="AJ92" s="1947"/>
      <c r="AK92" s="1947"/>
      <c r="AL92" s="1947"/>
      <c r="AM92" s="1947"/>
      <c r="AN92" s="1947"/>
      <c r="AO92" s="1947"/>
      <c r="AP92" s="1947"/>
      <c r="AQ92" s="1947"/>
      <c r="AR92" s="1947"/>
      <c r="AS92" s="1947"/>
      <c r="AT92" s="1947"/>
      <c r="AU92" s="1947"/>
      <c r="AV92" s="1947"/>
      <c r="AW92" s="1947"/>
      <c r="AX92" s="1947"/>
      <c r="AY92" s="1947"/>
      <c r="AZ92" s="1947"/>
      <c r="BA92" s="1947"/>
      <c r="BB92" s="1947"/>
      <c r="BC92" s="1947"/>
      <c r="BD92" s="1947"/>
      <c r="BE92" s="1947"/>
      <c r="BF92" s="1947"/>
      <c r="BG92" s="1947"/>
      <c r="BH92" s="1947"/>
      <c r="BI92" s="1947"/>
      <c r="BJ92" s="1947"/>
      <c r="BK92" s="1947"/>
      <c r="BL92" s="1947"/>
      <c r="BM92" s="1947"/>
      <c r="BN92" s="1947"/>
      <c r="BO92" s="1947"/>
      <c r="BP92" s="1947"/>
      <c r="BQ92" s="1947"/>
      <c r="BR92" s="1947"/>
      <c r="BS92" s="1947"/>
      <c r="BT92" s="1947"/>
      <c r="BU92" s="1947"/>
      <c r="BV92" s="1947"/>
      <c r="BW92" s="1947"/>
      <c r="BX92" s="1947"/>
      <c r="BY92" s="1947"/>
      <c r="BZ92" s="1947"/>
      <c r="CA92" s="1947"/>
      <c r="CB92" s="1947"/>
      <c r="CC92" s="1947"/>
      <c r="CD92" s="1947"/>
      <c r="CE92" s="1947"/>
      <c r="CF92" s="1947"/>
      <c r="CG92" s="1947"/>
      <c r="CH92" s="1947"/>
      <c r="CI92" s="1947"/>
      <c r="CJ92" s="1947"/>
      <c r="CK92" s="1947"/>
      <c r="CL92" s="1947"/>
      <c r="CM92" s="1947"/>
      <c r="CN92" s="1947"/>
      <c r="CO92" s="1947"/>
      <c r="CP92" s="1947"/>
      <c r="CQ92" s="1947"/>
      <c r="CR92" s="1947"/>
      <c r="CS92" s="1947"/>
      <c r="CT92" s="1947"/>
      <c r="CU92" s="1947"/>
      <c r="CV92" s="1947"/>
      <c r="CW92" s="1947"/>
      <c r="CX92" s="1947"/>
      <c r="CY92" s="1947"/>
      <c r="CZ92" s="1947"/>
      <c r="DA92" s="1947"/>
      <c r="DB92" s="1947"/>
      <c r="DC92" s="1947"/>
      <c r="DD92" s="1947"/>
      <c r="DE92" s="1947"/>
      <c r="DF92" s="1947"/>
      <c r="DG92" s="1947"/>
      <c r="DH92" s="1947"/>
      <c r="DI92" s="1947"/>
      <c r="DJ92" s="1947"/>
      <c r="DK92" s="1947"/>
      <c r="DL92" s="1947"/>
      <c r="DM92" s="1947"/>
      <c r="DN92" s="1947"/>
      <c r="DO92" s="1947"/>
      <c r="DP92" s="1947"/>
      <c r="DQ92" s="1947"/>
      <c r="DR92" s="1947"/>
      <c r="DS92" s="1947"/>
      <c r="DT92" s="1947"/>
      <c r="DU92" s="1947"/>
      <c r="DV92" s="1947"/>
      <c r="DW92" s="1947"/>
      <c r="DX92" s="1947"/>
      <c r="DY92" s="1947"/>
      <c r="DZ92" s="1947"/>
      <c r="EA92" s="1947"/>
      <c r="EB92" s="1947"/>
      <c r="EC92" s="1947"/>
      <c r="ED92" s="1947"/>
      <c r="EE92" s="1947"/>
      <c r="EF92" s="1947"/>
      <c r="EG92" s="1947"/>
      <c r="EH92" s="1947"/>
      <c r="EI92" s="1947"/>
      <c r="EJ92" s="1947"/>
      <c r="EK92" s="1947"/>
      <c r="EL92" s="1947"/>
      <c r="EM92" s="1947"/>
      <c r="EN92" s="1947"/>
      <c r="EO92" s="1947"/>
      <c r="EP92" s="1947"/>
      <c r="EQ92" s="1947"/>
      <c r="ER92" s="1947"/>
      <c r="ES92" s="1947"/>
      <c r="ET92" s="1947"/>
      <c r="EU92" s="1947"/>
      <c r="EV92" s="1947"/>
      <c r="EW92" s="1947"/>
      <c r="EX92" s="1947"/>
      <c r="EY92" s="1947"/>
      <c r="EZ92" s="1947"/>
      <c r="FA92" s="1947"/>
      <c r="FB92" s="1947"/>
      <c r="FC92" s="1947"/>
      <c r="FD92" s="1947"/>
      <c r="FE92" s="1947"/>
      <c r="FF92" s="1947"/>
      <c r="FG92" s="1947"/>
      <c r="FH92" s="1947"/>
      <c r="FI92" s="1947"/>
      <c r="FJ92" s="1947"/>
      <c r="FK92" s="1947"/>
      <c r="FL92" s="1947"/>
      <c r="FM92" s="1947"/>
      <c r="FN92" s="1947"/>
      <c r="FO92" s="1947"/>
      <c r="FP92" s="1947"/>
      <c r="FQ92" s="1947"/>
      <c r="FR92" s="1947"/>
      <c r="FS92" s="1947"/>
      <c r="FT92" s="1947"/>
      <c r="FU92" s="1947"/>
      <c r="FV92" s="1947"/>
      <c r="FW92" s="1947"/>
      <c r="FX92" s="1947"/>
      <c r="FY92" s="1947"/>
      <c r="FZ92" s="1947"/>
      <c r="GA92" s="1947"/>
      <c r="GB92" s="1947"/>
      <c r="GC92" s="1947"/>
      <c r="GD92" s="1947"/>
      <c r="GE92" s="1947"/>
      <c r="GF92" s="1947"/>
      <c r="GG92" s="1947"/>
      <c r="GH92" s="1947"/>
      <c r="GI92" s="1947"/>
      <c r="GJ92" s="1947"/>
      <c r="GK92" s="1947"/>
      <c r="GL92" s="1947"/>
      <c r="GM92" s="1947"/>
      <c r="GN92" s="1947"/>
      <c r="GO92" s="1947"/>
      <c r="GP92" s="1947"/>
      <c r="GQ92" s="1947"/>
      <c r="GR92" s="1947"/>
      <c r="GS92" s="1947"/>
      <c r="GT92" s="1947"/>
      <c r="GU92" s="1947"/>
      <c r="GV92" s="1947"/>
      <c r="GW92" s="1947"/>
      <c r="GX92" s="1947"/>
      <c r="GY92" s="1947"/>
      <c r="GZ92" s="1947"/>
      <c r="HA92" s="1947"/>
      <c r="HB92" s="1947"/>
      <c r="HC92" s="1947"/>
      <c r="HD92" s="1947"/>
      <c r="HE92" s="1947"/>
      <c r="HF92" s="1947"/>
      <c r="HG92" s="1947"/>
      <c r="HH92" s="1947"/>
      <c r="HI92" s="1947"/>
      <c r="HJ92" s="1947"/>
      <c r="HK92" s="1947"/>
      <c r="HL92" s="1947"/>
      <c r="HM92" s="1947"/>
      <c r="HN92" s="1947"/>
      <c r="HO92" s="1947"/>
      <c r="HP92" s="1947"/>
      <c r="HQ92" s="1947"/>
      <c r="HR92" s="1947"/>
      <c r="HS92" s="1947"/>
      <c r="HT92" s="1947"/>
      <c r="HU92" s="1947"/>
      <c r="HV92" s="1947"/>
      <c r="HW92" s="1947"/>
      <c r="HX92" s="1947"/>
      <c r="HY92" s="1947"/>
      <c r="HZ92" s="1947"/>
      <c r="IA92" s="1947"/>
      <c r="IB92" s="1947"/>
      <c r="IC92" s="1947"/>
      <c r="ID92" s="1947"/>
      <c r="IE92" s="1947"/>
      <c r="IF92" s="1947"/>
      <c r="IG92" s="1947"/>
      <c r="IH92" s="1947"/>
      <c r="II92" s="1947"/>
      <c r="IJ92" s="1947"/>
      <c r="IK92" s="1947"/>
      <c r="IL92" s="1947"/>
      <c r="IM92" s="1947"/>
      <c r="IN92" s="1947"/>
      <c r="IO92" s="1947"/>
      <c r="IP92" s="1947"/>
      <c r="IQ92" s="1947"/>
    </row>
    <row r="93" spans="1:251" hidden="1">
      <c r="A93" s="1026"/>
      <c r="B93" s="1955"/>
      <c r="C93" s="1955"/>
      <c r="D93" s="2034"/>
      <c r="E93" s="1955"/>
      <c r="F93" s="1942">
        <f t="shared" si="33"/>
        <v>0</v>
      </c>
      <c r="G93" s="1026"/>
      <c r="H93" s="1942">
        <f t="shared" si="34"/>
        <v>0</v>
      </c>
      <c r="I93" s="1026"/>
      <c r="J93" s="1942">
        <f t="shared" si="35"/>
        <v>0</v>
      </c>
      <c r="K93" s="1026"/>
      <c r="L93" s="1942">
        <f t="shared" si="36"/>
        <v>0</v>
      </c>
      <c r="M93" s="1942">
        <f t="shared" si="37"/>
        <v>0</v>
      </c>
      <c r="N93" s="1942">
        <f t="shared" si="38"/>
        <v>0</v>
      </c>
      <c r="O93" s="1026"/>
      <c r="P93" s="1026"/>
      <c r="Q93" s="1942">
        <f t="shared" si="39"/>
        <v>0</v>
      </c>
      <c r="R93" s="1942">
        <f t="shared" si="40"/>
        <v>0</v>
      </c>
      <c r="S93" s="1942">
        <f t="shared" si="41"/>
        <v>0</v>
      </c>
      <c r="T93" s="1942">
        <f t="shared" si="42"/>
        <v>0</v>
      </c>
      <c r="U93" s="1942">
        <f t="shared" si="43"/>
        <v>0</v>
      </c>
      <c r="V93" s="3034">
        <f t="shared" si="44"/>
        <v>0</v>
      </c>
      <c r="W93" s="1942"/>
      <c r="X93" s="1923">
        <v>0.01</v>
      </c>
      <c r="Y93" s="1947"/>
      <c r="Z93" s="1947"/>
      <c r="AA93" s="1947"/>
      <c r="AB93" s="1947"/>
      <c r="AC93" s="1947"/>
      <c r="AD93" s="1947"/>
      <c r="AE93" s="1947"/>
      <c r="AF93" s="1947"/>
      <c r="AG93" s="1947"/>
      <c r="AH93" s="1947"/>
      <c r="AI93" s="1947"/>
      <c r="AJ93" s="1947"/>
      <c r="AK93" s="1947"/>
      <c r="AL93" s="1947"/>
      <c r="AM93" s="1947"/>
      <c r="AN93" s="1947"/>
      <c r="AO93" s="1947"/>
      <c r="AP93" s="1947"/>
      <c r="AQ93" s="1947"/>
      <c r="AR93" s="1947"/>
      <c r="AS93" s="1947"/>
      <c r="AT93" s="1947"/>
      <c r="AU93" s="1947"/>
      <c r="AV93" s="1947"/>
      <c r="AW93" s="1947"/>
      <c r="AX93" s="1947"/>
      <c r="AY93" s="1947"/>
      <c r="AZ93" s="1947"/>
      <c r="BA93" s="1947"/>
      <c r="BB93" s="1947"/>
      <c r="BC93" s="1947"/>
      <c r="BD93" s="1947"/>
      <c r="BE93" s="1947"/>
      <c r="BF93" s="1947"/>
      <c r="BG93" s="1947"/>
      <c r="BH93" s="1947"/>
      <c r="BI93" s="1947"/>
      <c r="BJ93" s="1947"/>
      <c r="BK93" s="1947"/>
      <c r="BL93" s="1947"/>
      <c r="BM93" s="1947"/>
      <c r="BN93" s="1947"/>
      <c r="BO93" s="1947"/>
      <c r="BP93" s="1947"/>
      <c r="BQ93" s="1947"/>
      <c r="BR93" s="1947"/>
      <c r="BS93" s="1947"/>
      <c r="BT93" s="1947"/>
      <c r="BU93" s="1947"/>
      <c r="BV93" s="1947"/>
      <c r="BW93" s="1947"/>
      <c r="BX93" s="1947"/>
      <c r="BY93" s="1947"/>
      <c r="BZ93" s="1947"/>
      <c r="CA93" s="1947"/>
      <c r="CB93" s="1947"/>
      <c r="CC93" s="1947"/>
      <c r="CD93" s="1947"/>
      <c r="CE93" s="1947"/>
      <c r="CF93" s="1947"/>
      <c r="CG93" s="1947"/>
      <c r="CH93" s="1947"/>
      <c r="CI93" s="1947"/>
      <c r="CJ93" s="1947"/>
      <c r="CK93" s="1947"/>
      <c r="CL93" s="1947"/>
      <c r="CM93" s="1947"/>
      <c r="CN93" s="1947"/>
      <c r="CO93" s="1947"/>
      <c r="CP93" s="1947"/>
      <c r="CQ93" s="1947"/>
      <c r="CR93" s="1947"/>
      <c r="CS93" s="1947"/>
      <c r="CT93" s="1947"/>
      <c r="CU93" s="1947"/>
      <c r="CV93" s="1947"/>
      <c r="CW93" s="1947"/>
      <c r="CX93" s="1947"/>
      <c r="CY93" s="1947"/>
      <c r="CZ93" s="1947"/>
      <c r="DA93" s="1947"/>
      <c r="DB93" s="1947"/>
      <c r="DC93" s="1947"/>
      <c r="DD93" s="1947"/>
      <c r="DE93" s="1947"/>
      <c r="DF93" s="1947"/>
      <c r="DG93" s="1947"/>
      <c r="DH93" s="1947"/>
      <c r="DI93" s="1947"/>
      <c r="DJ93" s="1947"/>
      <c r="DK93" s="1947"/>
      <c r="DL93" s="1947"/>
      <c r="DM93" s="1947"/>
      <c r="DN93" s="1947"/>
      <c r="DO93" s="1947"/>
      <c r="DP93" s="1947"/>
      <c r="DQ93" s="1947"/>
      <c r="DR93" s="1947"/>
      <c r="DS93" s="1947"/>
      <c r="DT93" s="1947"/>
      <c r="DU93" s="1947"/>
      <c r="DV93" s="1947"/>
      <c r="DW93" s="1947"/>
      <c r="DX93" s="1947"/>
      <c r="DY93" s="1947"/>
      <c r="DZ93" s="1947"/>
      <c r="EA93" s="1947"/>
      <c r="EB93" s="1947"/>
      <c r="EC93" s="1947"/>
      <c r="ED93" s="1947"/>
      <c r="EE93" s="1947"/>
      <c r="EF93" s="1947"/>
      <c r="EG93" s="1947"/>
      <c r="EH93" s="1947"/>
      <c r="EI93" s="1947"/>
      <c r="EJ93" s="1947"/>
      <c r="EK93" s="1947"/>
      <c r="EL93" s="1947"/>
      <c r="EM93" s="1947"/>
      <c r="EN93" s="1947"/>
      <c r="EO93" s="1947"/>
      <c r="EP93" s="1947"/>
      <c r="EQ93" s="1947"/>
      <c r="ER93" s="1947"/>
      <c r="ES93" s="1947"/>
      <c r="ET93" s="1947"/>
      <c r="EU93" s="1947"/>
      <c r="EV93" s="1947"/>
      <c r="EW93" s="1947"/>
      <c r="EX93" s="1947"/>
      <c r="EY93" s="1947"/>
      <c r="EZ93" s="1947"/>
      <c r="FA93" s="1947"/>
      <c r="FB93" s="1947"/>
      <c r="FC93" s="1947"/>
      <c r="FD93" s="1947"/>
      <c r="FE93" s="1947"/>
      <c r="FF93" s="1947"/>
      <c r="FG93" s="1947"/>
      <c r="FH93" s="1947"/>
      <c r="FI93" s="1947"/>
      <c r="FJ93" s="1947"/>
      <c r="FK93" s="1947"/>
      <c r="FL93" s="1947"/>
      <c r="FM93" s="1947"/>
      <c r="FN93" s="1947"/>
      <c r="FO93" s="1947"/>
      <c r="FP93" s="1947"/>
      <c r="FQ93" s="1947"/>
      <c r="FR93" s="1947"/>
      <c r="FS93" s="1947"/>
      <c r="FT93" s="1947"/>
      <c r="FU93" s="1947"/>
      <c r="FV93" s="1947"/>
      <c r="FW93" s="1947"/>
      <c r="FX93" s="1947"/>
      <c r="FY93" s="1947"/>
      <c r="FZ93" s="1947"/>
      <c r="GA93" s="1947"/>
      <c r="GB93" s="1947"/>
      <c r="GC93" s="1947"/>
      <c r="GD93" s="1947"/>
      <c r="GE93" s="1947"/>
      <c r="GF93" s="1947"/>
      <c r="GG93" s="1947"/>
      <c r="GH93" s="1947"/>
      <c r="GI93" s="1947"/>
      <c r="GJ93" s="1947"/>
      <c r="GK93" s="1947"/>
      <c r="GL93" s="1947"/>
      <c r="GM93" s="1947"/>
      <c r="GN93" s="1947"/>
      <c r="GO93" s="1947"/>
      <c r="GP93" s="1947"/>
      <c r="GQ93" s="1947"/>
      <c r="GR93" s="1947"/>
      <c r="GS93" s="1947"/>
      <c r="GT93" s="1947"/>
      <c r="GU93" s="1947"/>
      <c r="GV93" s="1947"/>
      <c r="GW93" s="1947"/>
      <c r="GX93" s="1947"/>
      <c r="GY93" s="1947"/>
      <c r="GZ93" s="1947"/>
      <c r="HA93" s="1947"/>
      <c r="HB93" s="1947"/>
      <c r="HC93" s="1947"/>
      <c r="HD93" s="1947"/>
      <c r="HE93" s="1947"/>
      <c r="HF93" s="1947"/>
      <c r="HG93" s="1947"/>
      <c r="HH93" s="1947"/>
      <c r="HI93" s="1947"/>
      <c r="HJ93" s="1947"/>
      <c r="HK93" s="1947"/>
      <c r="HL93" s="1947"/>
      <c r="HM93" s="1947"/>
      <c r="HN93" s="1947"/>
      <c r="HO93" s="1947"/>
      <c r="HP93" s="1947"/>
      <c r="HQ93" s="1947"/>
      <c r="HR93" s="1947"/>
      <c r="HS93" s="1947"/>
      <c r="HT93" s="1947"/>
      <c r="HU93" s="1947"/>
      <c r="HV93" s="1947"/>
      <c r="HW93" s="1947"/>
      <c r="HX93" s="1947"/>
      <c r="HY93" s="1947"/>
      <c r="HZ93" s="1947"/>
      <c r="IA93" s="1947"/>
      <c r="IB93" s="1947"/>
      <c r="IC93" s="1947"/>
      <c r="ID93" s="1947"/>
      <c r="IE93" s="1947"/>
      <c r="IF93" s="1947"/>
      <c r="IG93" s="1947"/>
      <c r="IH93" s="1947"/>
      <c r="II93" s="1947"/>
      <c r="IJ93" s="1947"/>
      <c r="IK93" s="1947"/>
      <c r="IL93" s="1947"/>
      <c r="IM93" s="1947"/>
      <c r="IN93" s="1947"/>
      <c r="IO93" s="1947"/>
      <c r="IP93" s="1947"/>
      <c r="IQ93" s="1947"/>
    </row>
    <row r="94" spans="1:251" hidden="1">
      <c r="A94" s="1026"/>
      <c r="B94" s="1955"/>
      <c r="C94" s="1955"/>
      <c r="D94" s="2034"/>
      <c r="E94" s="1955"/>
      <c r="F94" s="1942">
        <f t="shared" si="33"/>
        <v>0</v>
      </c>
      <c r="G94" s="1026"/>
      <c r="H94" s="1942">
        <f t="shared" si="34"/>
        <v>0</v>
      </c>
      <c r="I94" s="1026"/>
      <c r="J94" s="1942">
        <f t="shared" si="35"/>
        <v>0</v>
      </c>
      <c r="K94" s="1026"/>
      <c r="L94" s="1942">
        <f t="shared" si="36"/>
        <v>0</v>
      </c>
      <c r="M94" s="1942">
        <f t="shared" si="37"/>
        <v>0</v>
      </c>
      <c r="N94" s="1942">
        <f t="shared" si="38"/>
        <v>0</v>
      </c>
      <c r="O94" s="1026"/>
      <c r="P94" s="1026"/>
      <c r="Q94" s="1942">
        <f t="shared" si="39"/>
        <v>0</v>
      </c>
      <c r="R94" s="1942">
        <f t="shared" si="40"/>
        <v>0</v>
      </c>
      <c r="S94" s="1942">
        <f t="shared" si="41"/>
        <v>0</v>
      </c>
      <c r="T94" s="1942">
        <f t="shared" si="42"/>
        <v>0</v>
      </c>
      <c r="U94" s="1942">
        <f t="shared" si="43"/>
        <v>0</v>
      </c>
      <c r="V94" s="3034">
        <f t="shared" si="44"/>
        <v>0</v>
      </c>
      <c r="W94" s="1942"/>
      <c r="X94" s="1923">
        <v>0.01</v>
      </c>
      <c r="Y94" s="1947"/>
      <c r="Z94" s="1947"/>
      <c r="AA94" s="1947"/>
      <c r="AB94" s="1947"/>
      <c r="AC94" s="1947"/>
      <c r="AD94" s="1947"/>
      <c r="AE94" s="1947"/>
      <c r="AF94" s="1947"/>
      <c r="AG94" s="1947"/>
      <c r="AH94" s="1947"/>
      <c r="AI94" s="1947"/>
      <c r="AJ94" s="1947"/>
      <c r="AK94" s="1947"/>
      <c r="AL94" s="1947"/>
      <c r="AM94" s="1947"/>
      <c r="AN94" s="1947"/>
      <c r="AO94" s="1947"/>
      <c r="AP94" s="1947"/>
      <c r="AQ94" s="1947"/>
      <c r="AR94" s="1947"/>
      <c r="AS94" s="1947"/>
      <c r="AT94" s="1947"/>
      <c r="AU94" s="1947"/>
      <c r="AV94" s="1947"/>
      <c r="AW94" s="1947"/>
      <c r="AX94" s="1947"/>
      <c r="AY94" s="1947"/>
      <c r="AZ94" s="1947"/>
      <c r="BA94" s="1947"/>
      <c r="BB94" s="1947"/>
      <c r="BC94" s="1947"/>
      <c r="BD94" s="1947"/>
      <c r="BE94" s="1947"/>
      <c r="BF94" s="1947"/>
      <c r="BG94" s="1947"/>
      <c r="BH94" s="1947"/>
      <c r="BI94" s="1947"/>
      <c r="BJ94" s="1947"/>
      <c r="BK94" s="1947"/>
      <c r="BL94" s="1947"/>
      <c r="BM94" s="1947"/>
      <c r="BN94" s="1947"/>
      <c r="BO94" s="1947"/>
      <c r="BP94" s="1947"/>
      <c r="BQ94" s="1947"/>
      <c r="BR94" s="1947"/>
      <c r="BS94" s="1947"/>
      <c r="BT94" s="1947"/>
      <c r="BU94" s="1947"/>
      <c r="BV94" s="1947"/>
      <c r="BW94" s="1947"/>
      <c r="BX94" s="1947"/>
      <c r="BY94" s="1947"/>
      <c r="BZ94" s="1947"/>
      <c r="CA94" s="1947"/>
      <c r="CB94" s="1947"/>
      <c r="CC94" s="1947"/>
      <c r="CD94" s="1947"/>
      <c r="CE94" s="1947"/>
      <c r="CF94" s="1947"/>
      <c r="CG94" s="1947"/>
      <c r="CH94" s="1947"/>
      <c r="CI94" s="1947"/>
      <c r="CJ94" s="1947"/>
      <c r="CK94" s="1947"/>
      <c r="CL94" s="1947"/>
      <c r="CM94" s="1947"/>
      <c r="CN94" s="1947"/>
      <c r="CO94" s="1947"/>
      <c r="CP94" s="1947"/>
      <c r="CQ94" s="1947"/>
      <c r="CR94" s="1947"/>
      <c r="CS94" s="1947"/>
      <c r="CT94" s="1947"/>
      <c r="CU94" s="1947"/>
      <c r="CV94" s="1947"/>
      <c r="CW94" s="1947"/>
      <c r="CX94" s="1947"/>
      <c r="CY94" s="1947"/>
      <c r="CZ94" s="1947"/>
      <c r="DA94" s="1947"/>
      <c r="DB94" s="1947"/>
      <c r="DC94" s="1947"/>
      <c r="DD94" s="1947"/>
      <c r="DE94" s="1947"/>
      <c r="DF94" s="1947"/>
      <c r="DG94" s="1947"/>
      <c r="DH94" s="1947"/>
      <c r="DI94" s="1947"/>
      <c r="DJ94" s="1947"/>
      <c r="DK94" s="1947"/>
      <c r="DL94" s="1947"/>
      <c r="DM94" s="1947"/>
      <c r="DN94" s="1947"/>
      <c r="DO94" s="1947"/>
      <c r="DP94" s="1947"/>
      <c r="DQ94" s="1947"/>
      <c r="DR94" s="1947"/>
      <c r="DS94" s="1947"/>
      <c r="DT94" s="1947"/>
      <c r="DU94" s="1947"/>
      <c r="DV94" s="1947"/>
      <c r="DW94" s="1947"/>
      <c r="DX94" s="1947"/>
      <c r="DY94" s="1947"/>
      <c r="DZ94" s="1947"/>
      <c r="EA94" s="1947"/>
      <c r="EB94" s="1947"/>
      <c r="EC94" s="1947"/>
      <c r="ED94" s="1947"/>
      <c r="EE94" s="1947"/>
      <c r="EF94" s="1947"/>
      <c r="EG94" s="1947"/>
      <c r="EH94" s="1947"/>
      <c r="EI94" s="1947"/>
      <c r="EJ94" s="1947"/>
      <c r="EK94" s="1947"/>
      <c r="EL94" s="1947"/>
      <c r="EM94" s="1947"/>
      <c r="EN94" s="1947"/>
      <c r="EO94" s="1947"/>
      <c r="EP94" s="1947"/>
      <c r="EQ94" s="1947"/>
      <c r="ER94" s="1947"/>
      <c r="ES94" s="1947"/>
      <c r="ET94" s="1947"/>
      <c r="EU94" s="1947"/>
      <c r="EV94" s="1947"/>
      <c r="EW94" s="1947"/>
      <c r="EX94" s="1947"/>
      <c r="EY94" s="1947"/>
      <c r="EZ94" s="1947"/>
      <c r="FA94" s="1947"/>
      <c r="FB94" s="1947"/>
      <c r="FC94" s="1947"/>
      <c r="FD94" s="1947"/>
      <c r="FE94" s="1947"/>
      <c r="FF94" s="1947"/>
      <c r="FG94" s="1947"/>
      <c r="FH94" s="1947"/>
      <c r="FI94" s="1947"/>
      <c r="FJ94" s="1947"/>
      <c r="FK94" s="1947"/>
      <c r="FL94" s="1947"/>
      <c r="FM94" s="1947"/>
      <c r="FN94" s="1947"/>
      <c r="FO94" s="1947"/>
      <c r="FP94" s="1947"/>
      <c r="FQ94" s="1947"/>
      <c r="FR94" s="1947"/>
      <c r="FS94" s="1947"/>
      <c r="FT94" s="1947"/>
      <c r="FU94" s="1947"/>
      <c r="FV94" s="1947"/>
      <c r="FW94" s="1947"/>
      <c r="FX94" s="1947"/>
      <c r="FY94" s="1947"/>
      <c r="FZ94" s="1947"/>
      <c r="GA94" s="1947"/>
      <c r="GB94" s="1947"/>
      <c r="GC94" s="1947"/>
      <c r="GD94" s="1947"/>
      <c r="GE94" s="1947"/>
      <c r="GF94" s="1947"/>
      <c r="GG94" s="1947"/>
      <c r="GH94" s="1947"/>
      <c r="GI94" s="1947"/>
      <c r="GJ94" s="1947"/>
      <c r="GK94" s="1947"/>
      <c r="GL94" s="1947"/>
      <c r="GM94" s="1947"/>
      <c r="GN94" s="1947"/>
      <c r="GO94" s="1947"/>
      <c r="GP94" s="1947"/>
      <c r="GQ94" s="1947"/>
      <c r="GR94" s="1947"/>
      <c r="GS94" s="1947"/>
      <c r="GT94" s="1947"/>
      <c r="GU94" s="1947"/>
      <c r="GV94" s="1947"/>
      <c r="GW94" s="1947"/>
      <c r="GX94" s="1947"/>
      <c r="GY94" s="1947"/>
      <c r="GZ94" s="1947"/>
      <c r="HA94" s="1947"/>
      <c r="HB94" s="1947"/>
      <c r="HC94" s="1947"/>
      <c r="HD94" s="1947"/>
      <c r="HE94" s="1947"/>
      <c r="HF94" s="1947"/>
      <c r="HG94" s="1947"/>
      <c r="HH94" s="1947"/>
      <c r="HI94" s="1947"/>
      <c r="HJ94" s="1947"/>
      <c r="HK94" s="1947"/>
      <c r="HL94" s="1947"/>
      <c r="HM94" s="1947"/>
      <c r="HN94" s="1947"/>
      <c r="HO94" s="1947"/>
      <c r="HP94" s="1947"/>
      <c r="HQ94" s="1947"/>
      <c r="HR94" s="1947"/>
      <c r="HS94" s="1947"/>
      <c r="HT94" s="1947"/>
      <c r="HU94" s="1947"/>
      <c r="HV94" s="1947"/>
      <c r="HW94" s="1947"/>
      <c r="HX94" s="1947"/>
      <c r="HY94" s="1947"/>
      <c r="HZ94" s="1947"/>
      <c r="IA94" s="1947"/>
      <c r="IB94" s="1947"/>
      <c r="IC94" s="1947"/>
      <c r="ID94" s="1947"/>
      <c r="IE94" s="1947"/>
      <c r="IF94" s="1947"/>
      <c r="IG94" s="1947"/>
      <c r="IH94" s="1947"/>
      <c r="II94" s="1947"/>
      <c r="IJ94" s="1947"/>
      <c r="IK94" s="1947"/>
      <c r="IL94" s="1947"/>
      <c r="IM94" s="1947"/>
      <c r="IN94" s="1947"/>
      <c r="IO94" s="1947"/>
      <c r="IP94" s="1947"/>
      <c r="IQ94" s="1947"/>
    </row>
    <row r="95" spans="1:251" hidden="1">
      <c r="A95" s="1026"/>
      <c r="B95" s="1955"/>
      <c r="C95" s="1955"/>
      <c r="D95" s="2034"/>
      <c r="E95" s="1955"/>
      <c r="F95" s="1942">
        <f t="shared" si="33"/>
        <v>0</v>
      </c>
      <c r="G95" s="1026"/>
      <c r="H95" s="1942">
        <f t="shared" si="34"/>
        <v>0</v>
      </c>
      <c r="I95" s="1026"/>
      <c r="J95" s="1942">
        <f t="shared" si="35"/>
        <v>0</v>
      </c>
      <c r="K95" s="1026"/>
      <c r="L95" s="1942">
        <f t="shared" si="36"/>
        <v>0</v>
      </c>
      <c r="M95" s="1942">
        <f t="shared" si="37"/>
        <v>0</v>
      </c>
      <c r="N95" s="1942">
        <f t="shared" si="38"/>
        <v>0</v>
      </c>
      <c r="O95" s="1026"/>
      <c r="P95" s="1026"/>
      <c r="Q95" s="1942">
        <f t="shared" si="39"/>
        <v>0</v>
      </c>
      <c r="R95" s="1942">
        <f t="shared" si="40"/>
        <v>0</v>
      </c>
      <c r="S95" s="1942">
        <f t="shared" si="41"/>
        <v>0</v>
      </c>
      <c r="T95" s="1942">
        <f t="shared" si="42"/>
        <v>0</v>
      </c>
      <c r="U95" s="1942">
        <f t="shared" si="43"/>
        <v>0</v>
      </c>
      <c r="V95" s="3034">
        <f t="shared" si="44"/>
        <v>0</v>
      </c>
      <c r="W95" s="1942"/>
      <c r="X95" s="1923">
        <v>0.01</v>
      </c>
      <c r="Y95" s="1947"/>
      <c r="Z95" s="1947"/>
      <c r="AA95" s="1947"/>
      <c r="AB95" s="1947"/>
      <c r="AC95" s="1947"/>
      <c r="AD95" s="1947"/>
      <c r="AE95" s="1947"/>
      <c r="AF95" s="1947"/>
      <c r="AG95" s="1947"/>
      <c r="AH95" s="1947"/>
      <c r="AI95" s="1947"/>
      <c r="AJ95" s="1947"/>
      <c r="AK95" s="1947"/>
      <c r="AL95" s="1947"/>
      <c r="AM95" s="1947"/>
      <c r="AN95" s="1947"/>
      <c r="AO95" s="1947"/>
      <c r="AP95" s="1947"/>
      <c r="AQ95" s="1947"/>
      <c r="AR95" s="1947"/>
      <c r="AS95" s="1947"/>
      <c r="AT95" s="1947"/>
      <c r="AU95" s="1947"/>
      <c r="AV95" s="1947"/>
      <c r="AW95" s="1947"/>
      <c r="AX95" s="1947"/>
      <c r="AY95" s="1947"/>
      <c r="AZ95" s="1947"/>
      <c r="BA95" s="1947"/>
      <c r="BB95" s="1947"/>
      <c r="BC95" s="1947"/>
      <c r="BD95" s="1947"/>
      <c r="BE95" s="1947"/>
      <c r="BF95" s="1947"/>
      <c r="BG95" s="1947"/>
      <c r="BH95" s="1947"/>
      <c r="BI95" s="1947"/>
      <c r="BJ95" s="1947"/>
      <c r="BK95" s="1947"/>
      <c r="BL95" s="1947"/>
      <c r="BM95" s="1947"/>
      <c r="BN95" s="1947"/>
      <c r="BO95" s="1947"/>
      <c r="BP95" s="1947"/>
      <c r="BQ95" s="1947"/>
      <c r="BR95" s="1947"/>
      <c r="BS95" s="1947"/>
      <c r="BT95" s="1947"/>
      <c r="BU95" s="1947"/>
      <c r="BV95" s="1947"/>
      <c r="BW95" s="1947"/>
      <c r="BX95" s="1947"/>
      <c r="BY95" s="1947"/>
      <c r="BZ95" s="1947"/>
      <c r="CA95" s="1947"/>
      <c r="CB95" s="1947"/>
      <c r="CC95" s="1947"/>
      <c r="CD95" s="1947"/>
      <c r="CE95" s="1947"/>
      <c r="CF95" s="1947"/>
      <c r="CG95" s="1947"/>
      <c r="CH95" s="1947"/>
      <c r="CI95" s="1947"/>
      <c r="CJ95" s="1947"/>
      <c r="CK95" s="1947"/>
      <c r="CL95" s="1947"/>
      <c r="CM95" s="1947"/>
      <c r="CN95" s="1947"/>
      <c r="CO95" s="1947"/>
      <c r="CP95" s="1947"/>
      <c r="CQ95" s="1947"/>
      <c r="CR95" s="1947"/>
      <c r="CS95" s="1947"/>
      <c r="CT95" s="1947"/>
      <c r="CU95" s="1947"/>
      <c r="CV95" s="1947"/>
      <c r="CW95" s="1947"/>
      <c r="CX95" s="1947"/>
      <c r="CY95" s="1947"/>
      <c r="CZ95" s="1947"/>
      <c r="DA95" s="1947"/>
      <c r="DB95" s="1947"/>
      <c r="DC95" s="1947"/>
      <c r="DD95" s="1947"/>
      <c r="DE95" s="1947"/>
      <c r="DF95" s="1947"/>
      <c r="DG95" s="1947"/>
      <c r="DH95" s="1947"/>
      <c r="DI95" s="1947"/>
      <c r="DJ95" s="1947"/>
      <c r="DK95" s="1947"/>
      <c r="DL95" s="1947"/>
      <c r="DM95" s="1947"/>
      <c r="DN95" s="1947"/>
      <c r="DO95" s="1947"/>
      <c r="DP95" s="1947"/>
      <c r="DQ95" s="1947"/>
      <c r="DR95" s="1947"/>
      <c r="DS95" s="1947"/>
      <c r="DT95" s="1947"/>
      <c r="DU95" s="1947"/>
      <c r="DV95" s="1947"/>
      <c r="DW95" s="1947"/>
      <c r="DX95" s="1947"/>
      <c r="DY95" s="1947"/>
      <c r="DZ95" s="1947"/>
      <c r="EA95" s="1947"/>
      <c r="EB95" s="1947"/>
      <c r="EC95" s="1947"/>
      <c r="ED95" s="1947"/>
      <c r="EE95" s="1947"/>
      <c r="EF95" s="1947"/>
      <c r="EG95" s="1947"/>
      <c r="EH95" s="1947"/>
      <c r="EI95" s="1947"/>
      <c r="EJ95" s="1947"/>
      <c r="EK95" s="1947"/>
      <c r="EL95" s="1947"/>
      <c r="EM95" s="1947"/>
      <c r="EN95" s="1947"/>
      <c r="EO95" s="1947"/>
      <c r="EP95" s="1947"/>
      <c r="EQ95" s="1947"/>
      <c r="ER95" s="1947"/>
      <c r="ES95" s="1947"/>
      <c r="ET95" s="1947"/>
      <c r="EU95" s="1947"/>
      <c r="EV95" s="1947"/>
      <c r="EW95" s="1947"/>
      <c r="EX95" s="1947"/>
      <c r="EY95" s="1947"/>
      <c r="EZ95" s="1947"/>
      <c r="FA95" s="1947"/>
      <c r="FB95" s="1947"/>
      <c r="FC95" s="1947"/>
      <c r="FD95" s="1947"/>
      <c r="FE95" s="1947"/>
      <c r="FF95" s="1947"/>
      <c r="FG95" s="1947"/>
      <c r="FH95" s="1947"/>
      <c r="FI95" s="1947"/>
      <c r="FJ95" s="1947"/>
      <c r="FK95" s="1947"/>
      <c r="FL95" s="1947"/>
      <c r="FM95" s="1947"/>
      <c r="FN95" s="1947"/>
      <c r="FO95" s="1947"/>
      <c r="FP95" s="1947"/>
      <c r="FQ95" s="1947"/>
      <c r="FR95" s="1947"/>
      <c r="FS95" s="1947"/>
      <c r="FT95" s="1947"/>
      <c r="FU95" s="1947"/>
      <c r="FV95" s="1947"/>
      <c r="FW95" s="1947"/>
      <c r="FX95" s="1947"/>
      <c r="FY95" s="1947"/>
      <c r="FZ95" s="1947"/>
      <c r="GA95" s="1947"/>
      <c r="GB95" s="1947"/>
      <c r="GC95" s="1947"/>
      <c r="GD95" s="1947"/>
      <c r="GE95" s="1947"/>
      <c r="GF95" s="1947"/>
      <c r="GG95" s="1947"/>
      <c r="GH95" s="1947"/>
      <c r="GI95" s="1947"/>
      <c r="GJ95" s="1947"/>
      <c r="GK95" s="1947"/>
      <c r="GL95" s="1947"/>
      <c r="GM95" s="1947"/>
      <c r="GN95" s="1947"/>
      <c r="GO95" s="1947"/>
      <c r="GP95" s="1947"/>
      <c r="GQ95" s="1947"/>
      <c r="GR95" s="1947"/>
      <c r="GS95" s="1947"/>
      <c r="GT95" s="1947"/>
      <c r="GU95" s="1947"/>
      <c r="GV95" s="1947"/>
      <c r="GW95" s="1947"/>
      <c r="GX95" s="1947"/>
      <c r="GY95" s="1947"/>
      <c r="GZ95" s="1947"/>
      <c r="HA95" s="1947"/>
      <c r="HB95" s="1947"/>
      <c r="HC95" s="1947"/>
      <c r="HD95" s="1947"/>
      <c r="HE95" s="1947"/>
      <c r="HF95" s="1947"/>
      <c r="HG95" s="1947"/>
      <c r="HH95" s="1947"/>
      <c r="HI95" s="1947"/>
      <c r="HJ95" s="1947"/>
      <c r="HK95" s="1947"/>
      <c r="HL95" s="1947"/>
      <c r="HM95" s="1947"/>
      <c r="HN95" s="1947"/>
      <c r="HO95" s="1947"/>
      <c r="HP95" s="1947"/>
      <c r="HQ95" s="1947"/>
      <c r="HR95" s="1947"/>
      <c r="HS95" s="1947"/>
      <c r="HT95" s="1947"/>
      <c r="HU95" s="1947"/>
      <c r="HV95" s="1947"/>
      <c r="HW95" s="1947"/>
      <c r="HX95" s="1947"/>
      <c r="HY95" s="1947"/>
      <c r="HZ95" s="1947"/>
      <c r="IA95" s="1947"/>
      <c r="IB95" s="1947"/>
      <c r="IC95" s="1947"/>
      <c r="ID95" s="1947"/>
      <c r="IE95" s="1947"/>
      <c r="IF95" s="1947"/>
      <c r="IG95" s="1947"/>
      <c r="IH95" s="1947"/>
      <c r="II95" s="1947"/>
      <c r="IJ95" s="1947"/>
      <c r="IK95" s="1947"/>
      <c r="IL95" s="1947"/>
      <c r="IM95" s="1947"/>
      <c r="IN95" s="1947"/>
      <c r="IO95" s="1947"/>
      <c r="IP95" s="1947"/>
      <c r="IQ95" s="1947"/>
    </row>
    <row r="96" spans="1:251" hidden="1">
      <c r="A96" s="1026"/>
      <c r="B96" s="1955"/>
      <c r="C96" s="1955"/>
      <c r="D96" s="2034"/>
      <c r="E96" s="1955"/>
      <c r="F96" s="1942">
        <f t="shared" si="33"/>
        <v>0</v>
      </c>
      <c r="G96" s="1026"/>
      <c r="H96" s="1942">
        <f t="shared" si="34"/>
        <v>0</v>
      </c>
      <c r="I96" s="1026"/>
      <c r="J96" s="1942">
        <f t="shared" si="35"/>
        <v>0</v>
      </c>
      <c r="K96" s="1026"/>
      <c r="L96" s="1942">
        <f t="shared" si="36"/>
        <v>0</v>
      </c>
      <c r="M96" s="1942">
        <f t="shared" si="37"/>
        <v>0</v>
      </c>
      <c r="N96" s="1942">
        <f t="shared" si="38"/>
        <v>0</v>
      </c>
      <c r="O96" s="1026"/>
      <c r="P96" s="1026"/>
      <c r="Q96" s="1942">
        <f t="shared" si="39"/>
        <v>0</v>
      </c>
      <c r="R96" s="1942">
        <f t="shared" si="40"/>
        <v>0</v>
      </c>
      <c r="S96" s="1942">
        <f t="shared" si="41"/>
        <v>0</v>
      </c>
      <c r="T96" s="1942">
        <f t="shared" si="42"/>
        <v>0</v>
      </c>
      <c r="U96" s="1942">
        <f t="shared" si="43"/>
        <v>0</v>
      </c>
      <c r="V96" s="3034">
        <f t="shared" si="44"/>
        <v>0</v>
      </c>
      <c r="W96" s="1942"/>
      <c r="X96" s="1923">
        <v>0.01</v>
      </c>
      <c r="Y96" s="1947"/>
      <c r="Z96" s="1947"/>
      <c r="AA96" s="1947"/>
      <c r="AB96" s="1947"/>
      <c r="AC96" s="1947"/>
      <c r="AD96" s="1947"/>
      <c r="AE96" s="1947"/>
      <c r="AF96" s="1947"/>
      <c r="AG96" s="1947"/>
      <c r="AH96" s="1947"/>
      <c r="AI96" s="1947"/>
      <c r="AJ96" s="1947"/>
      <c r="AK96" s="1947"/>
      <c r="AL96" s="1947"/>
      <c r="AM96" s="1947"/>
      <c r="AN96" s="1947"/>
      <c r="AO96" s="1947"/>
      <c r="AP96" s="1947"/>
      <c r="AQ96" s="1947"/>
      <c r="AR96" s="1947"/>
      <c r="AS96" s="1947"/>
      <c r="AT96" s="1947"/>
      <c r="AU96" s="1947"/>
      <c r="AV96" s="1947"/>
      <c r="AW96" s="1947"/>
      <c r="AX96" s="1947"/>
      <c r="AY96" s="1947"/>
      <c r="AZ96" s="1947"/>
      <c r="BA96" s="1947"/>
      <c r="BB96" s="1947"/>
      <c r="BC96" s="1947"/>
      <c r="BD96" s="1947"/>
      <c r="BE96" s="1947"/>
      <c r="BF96" s="1947"/>
      <c r="BG96" s="1947"/>
      <c r="BH96" s="1947"/>
      <c r="BI96" s="1947"/>
      <c r="BJ96" s="1947"/>
      <c r="BK96" s="1947"/>
      <c r="BL96" s="1947"/>
      <c r="BM96" s="1947"/>
      <c r="BN96" s="1947"/>
      <c r="BO96" s="1947"/>
      <c r="BP96" s="1947"/>
      <c r="BQ96" s="1947"/>
      <c r="BR96" s="1947"/>
      <c r="BS96" s="1947"/>
      <c r="BT96" s="1947"/>
      <c r="BU96" s="1947"/>
      <c r="BV96" s="1947"/>
      <c r="BW96" s="1947"/>
      <c r="BX96" s="1947"/>
      <c r="BY96" s="1947"/>
      <c r="BZ96" s="1947"/>
      <c r="CA96" s="1947"/>
      <c r="CB96" s="1947"/>
      <c r="CC96" s="1947"/>
      <c r="CD96" s="1947"/>
      <c r="CE96" s="1947"/>
      <c r="CF96" s="1947"/>
      <c r="CG96" s="1947"/>
      <c r="CH96" s="1947"/>
      <c r="CI96" s="1947"/>
      <c r="CJ96" s="1947"/>
      <c r="CK96" s="1947"/>
      <c r="CL96" s="1947"/>
      <c r="CM96" s="1947"/>
      <c r="CN96" s="1947"/>
      <c r="CO96" s="1947"/>
      <c r="CP96" s="1947"/>
      <c r="CQ96" s="1947"/>
      <c r="CR96" s="1947"/>
      <c r="CS96" s="1947"/>
      <c r="CT96" s="1947"/>
      <c r="CU96" s="1947"/>
      <c r="CV96" s="1947"/>
      <c r="CW96" s="1947"/>
      <c r="CX96" s="1947"/>
      <c r="CY96" s="1947"/>
      <c r="CZ96" s="1947"/>
      <c r="DA96" s="1947"/>
      <c r="DB96" s="1947"/>
      <c r="DC96" s="1947"/>
      <c r="DD96" s="1947"/>
      <c r="DE96" s="1947"/>
      <c r="DF96" s="1947"/>
      <c r="DG96" s="1947"/>
      <c r="DH96" s="1947"/>
      <c r="DI96" s="1947"/>
      <c r="DJ96" s="1947"/>
      <c r="DK96" s="1947"/>
      <c r="DL96" s="1947"/>
      <c r="DM96" s="1947"/>
      <c r="DN96" s="1947"/>
      <c r="DO96" s="1947"/>
      <c r="DP96" s="1947"/>
      <c r="DQ96" s="1947"/>
      <c r="DR96" s="1947"/>
      <c r="DS96" s="1947"/>
      <c r="DT96" s="1947"/>
      <c r="DU96" s="1947"/>
      <c r="DV96" s="1947"/>
      <c r="DW96" s="1947"/>
      <c r="DX96" s="1947"/>
      <c r="DY96" s="1947"/>
      <c r="DZ96" s="1947"/>
      <c r="EA96" s="1947"/>
      <c r="EB96" s="1947"/>
      <c r="EC96" s="1947"/>
      <c r="ED96" s="1947"/>
      <c r="EE96" s="1947"/>
      <c r="EF96" s="1947"/>
      <c r="EG96" s="1947"/>
      <c r="EH96" s="1947"/>
      <c r="EI96" s="1947"/>
      <c r="EJ96" s="1947"/>
      <c r="EK96" s="1947"/>
      <c r="EL96" s="1947"/>
      <c r="EM96" s="1947"/>
      <c r="EN96" s="1947"/>
      <c r="EO96" s="1947"/>
      <c r="EP96" s="1947"/>
      <c r="EQ96" s="1947"/>
      <c r="ER96" s="1947"/>
      <c r="ES96" s="1947"/>
      <c r="ET96" s="1947"/>
      <c r="EU96" s="1947"/>
      <c r="EV96" s="1947"/>
      <c r="EW96" s="1947"/>
      <c r="EX96" s="1947"/>
      <c r="EY96" s="1947"/>
      <c r="EZ96" s="1947"/>
      <c r="FA96" s="1947"/>
      <c r="FB96" s="1947"/>
      <c r="FC96" s="1947"/>
      <c r="FD96" s="1947"/>
      <c r="FE96" s="1947"/>
      <c r="FF96" s="1947"/>
      <c r="FG96" s="1947"/>
      <c r="FH96" s="1947"/>
      <c r="FI96" s="1947"/>
      <c r="FJ96" s="1947"/>
      <c r="FK96" s="1947"/>
      <c r="FL96" s="1947"/>
      <c r="FM96" s="1947"/>
      <c r="FN96" s="1947"/>
      <c r="FO96" s="1947"/>
      <c r="FP96" s="1947"/>
      <c r="FQ96" s="1947"/>
      <c r="FR96" s="1947"/>
      <c r="FS96" s="1947"/>
      <c r="FT96" s="1947"/>
      <c r="FU96" s="1947"/>
      <c r="FV96" s="1947"/>
      <c r="FW96" s="1947"/>
      <c r="FX96" s="1947"/>
      <c r="FY96" s="1947"/>
      <c r="FZ96" s="1947"/>
      <c r="GA96" s="1947"/>
      <c r="GB96" s="1947"/>
      <c r="GC96" s="1947"/>
      <c r="GD96" s="1947"/>
      <c r="GE96" s="1947"/>
      <c r="GF96" s="1947"/>
      <c r="GG96" s="1947"/>
      <c r="GH96" s="1947"/>
      <c r="GI96" s="1947"/>
      <c r="GJ96" s="1947"/>
      <c r="GK96" s="1947"/>
      <c r="GL96" s="1947"/>
      <c r="GM96" s="1947"/>
      <c r="GN96" s="1947"/>
      <c r="GO96" s="1947"/>
      <c r="GP96" s="1947"/>
      <c r="GQ96" s="1947"/>
      <c r="GR96" s="1947"/>
      <c r="GS96" s="1947"/>
      <c r="GT96" s="1947"/>
      <c r="GU96" s="1947"/>
      <c r="GV96" s="1947"/>
      <c r="GW96" s="1947"/>
      <c r="GX96" s="1947"/>
      <c r="GY96" s="1947"/>
      <c r="GZ96" s="1947"/>
      <c r="HA96" s="1947"/>
      <c r="HB96" s="1947"/>
      <c r="HC96" s="1947"/>
      <c r="HD96" s="1947"/>
      <c r="HE96" s="1947"/>
      <c r="HF96" s="1947"/>
      <c r="HG96" s="1947"/>
      <c r="HH96" s="1947"/>
      <c r="HI96" s="1947"/>
      <c r="HJ96" s="1947"/>
      <c r="HK96" s="1947"/>
      <c r="HL96" s="1947"/>
      <c r="HM96" s="1947"/>
      <c r="HN96" s="1947"/>
      <c r="HO96" s="1947"/>
      <c r="HP96" s="1947"/>
      <c r="HQ96" s="1947"/>
      <c r="HR96" s="1947"/>
      <c r="HS96" s="1947"/>
      <c r="HT96" s="1947"/>
      <c r="HU96" s="1947"/>
      <c r="HV96" s="1947"/>
      <c r="HW96" s="1947"/>
      <c r="HX96" s="1947"/>
      <c r="HY96" s="1947"/>
      <c r="HZ96" s="1947"/>
      <c r="IA96" s="1947"/>
      <c r="IB96" s="1947"/>
      <c r="IC96" s="1947"/>
      <c r="ID96" s="1947"/>
      <c r="IE96" s="1947"/>
      <c r="IF96" s="1947"/>
      <c r="IG96" s="1947"/>
      <c r="IH96" s="1947"/>
      <c r="II96" s="1947"/>
      <c r="IJ96" s="1947"/>
      <c r="IK96" s="1947"/>
      <c r="IL96" s="1947"/>
      <c r="IM96" s="1947"/>
      <c r="IN96" s="1947"/>
      <c r="IO96" s="1947"/>
      <c r="IP96" s="1947"/>
      <c r="IQ96" s="1947"/>
    </row>
    <row r="97" spans="1:251" hidden="1">
      <c r="A97" s="1026"/>
      <c r="B97" s="1955"/>
      <c r="C97" s="1955"/>
      <c r="D97" s="2034"/>
      <c r="E97" s="1955"/>
      <c r="F97" s="1942">
        <f t="shared" si="33"/>
        <v>0</v>
      </c>
      <c r="G97" s="1026"/>
      <c r="H97" s="1942">
        <f t="shared" si="34"/>
        <v>0</v>
      </c>
      <c r="I97" s="1026"/>
      <c r="J97" s="1942">
        <f t="shared" si="35"/>
        <v>0</v>
      </c>
      <c r="K97" s="1026"/>
      <c r="L97" s="1942">
        <f t="shared" si="36"/>
        <v>0</v>
      </c>
      <c r="M97" s="1942">
        <f t="shared" si="37"/>
        <v>0</v>
      </c>
      <c r="N97" s="1942">
        <f t="shared" si="38"/>
        <v>0</v>
      </c>
      <c r="O97" s="1026"/>
      <c r="P97" s="1026"/>
      <c r="Q97" s="1942">
        <f t="shared" si="39"/>
        <v>0</v>
      </c>
      <c r="R97" s="1942">
        <f t="shared" si="40"/>
        <v>0</v>
      </c>
      <c r="S97" s="1942">
        <f t="shared" si="41"/>
        <v>0</v>
      </c>
      <c r="T97" s="1942">
        <f t="shared" si="42"/>
        <v>0</v>
      </c>
      <c r="U97" s="1942">
        <f t="shared" si="43"/>
        <v>0</v>
      </c>
      <c r="V97" s="3034">
        <f t="shared" si="44"/>
        <v>0</v>
      </c>
      <c r="W97" s="1942"/>
      <c r="X97" s="1923">
        <v>0.01</v>
      </c>
      <c r="Y97" s="1947"/>
      <c r="Z97" s="1947"/>
      <c r="AA97" s="1947"/>
      <c r="AB97" s="1947"/>
      <c r="AC97" s="1947"/>
      <c r="AD97" s="1947"/>
      <c r="AE97" s="1947"/>
      <c r="AF97" s="1947"/>
      <c r="AG97" s="1947"/>
      <c r="AH97" s="1947"/>
      <c r="AI97" s="1947"/>
      <c r="AJ97" s="1947"/>
      <c r="AK97" s="1947"/>
      <c r="AL97" s="1947"/>
      <c r="AM97" s="1947"/>
      <c r="AN97" s="1947"/>
      <c r="AO97" s="1947"/>
      <c r="AP97" s="1947"/>
      <c r="AQ97" s="1947"/>
      <c r="AR97" s="1947"/>
      <c r="AS97" s="1947"/>
      <c r="AT97" s="1947"/>
      <c r="AU97" s="1947"/>
      <c r="AV97" s="1947"/>
      <c r="AW97" s="1947"/>
      <c r="AX97" s="1947"/>
      <c r="AY97" s="1947"/>
      <c r="AZ97" s="1947"/>
      <c r="BA97" s="1947"/>
      <c r="BB97" s="1947"/>
      <c r="BC97" s="1947"/>
      <c r="BD97" s="1947"/>
      <c r="BE97" s="1947"/>
      <c r="BF97" s="1947"/>
      <c r="BG97" s="1947"/>
      <c r="BH97" s="1947"/>
      <c r="BI97" s="1947"/>
      <c r="BJ97" s="1947"/>
      <c r="BK97" s="1947"/>
      <c r="BL97" s="1947"/>
      <c r="BM97" s="1947"/>
      <c r="BN97" s="1947"/>
      <c r="BO97" s="1947"/>
      <c r="BP97" s="1947"/>
      <c r="BQ97" s="1947"/>
      <c r="BR97" s="1947"/>
      <c r="BS97" s="1947"/>
      <c r="BT97" s="1947"/>
      <c r="BU97" s="1947"/>
      <c r="BV97" s="1947"/>
      <c r="BW97" s="1947"/>
      <c r="BX97" s="1947"/>
      <c r="BY97" s="1947"/>
      <c r="BZ97" s="1947"/>
      <c r="CA97" s="1947"/>
      <c r="CB97" s="1947"/>
      <c r="CC97" s="1947"/>
      <c r="CD97" s="1947"/>
      <c r="CE97" s="1947"/>
      <c r="CF97" s="1947"/>
      <c r="CG97" s="1947"/>
      <c r="CH97" s="1947"/>
      <c r="CI97" s="1947"/>
      <c r="CJ97" s="1947"/>
      <c r="CK97" s="1947"/>
      <c r="CL97" s="1947"/>
      <c r="CM97" s="1947"/>
      <c r="CN97" s="1947"/>
      <c r="CO97" s="1947"/>
      <c r="CP97" s="1947"/>
      <c r="CQ97" s="1947"/>
      <c r="CR97" s="1947"/>
      <c r="CS97" s="1947"/>
      <c r="CT97" s="1947"/>
      <c r="CU97" s="1947"/>
      <c r="CV97" s="1947"/>
      <c r="CW97" s="1947"/>
      <c r="CX97" s="1947"/>
      <c r="CY97" s="1947"/>
      <c r="CZ97" s="1947"/>
      <c r="DA97" s="1947"/>
      <c r="DB97" s="1947"/>
      <c r="DC97" s="1947"/>
      <c r="DD97" s="1947"/>
      <c r="DE97" s="1947"/>
      <c r="DF97" s="1947"/>
      <c r="DG97" s="1947"/>
      <c r="DH97" s="1947"/>
      <c r="DI97" s="1947"/>
      <c r="DJ97" s="1947"/>
      <c r="DK97" s="1947"/>
      <c r="DL97" s="1947"/>
      <c r="DM97" s="1947"/>
      <c r="DN97" s="1947"/>
      <c r="DO97" s="1947"/>
      <c r="DP97" s="1947"/>
      <c r="DQ97" s="1947"/>
      <c r="DR97" s="1947"/>
      <c r="DS97" s="1947"/>
      <c r="DT97" s="1947"/>
      <c r="DU97" s="1947"/>
      <c r="DV97" s="1947"/>
      <c r="DW97" s="1947"/>
      <c r="DX97" s="1947"/>
      <c r="DY97" s="1947"/>
      <c r="DZ97" s="1947"/>
      <c r="EA97" s="1947"/>
      <c r="EB97" s="1947"/>
      <c r="EC97" s="1947"/>
      <c r="ED97" s="1947"/>
      <c r="EE97" s="1947"/>
      <c r="EF97" s="1947"/>
      <c r="EG97" s="1947"/>
      <c r="EH97" s="1947"/>
      <c r="EI97" s="1947"/>
      <c r="EJ97" s="1947"/>
      <c r="EK97" s="1947"/>
      <c r="EL97" s="1947"/>
      <c r="EM97" s="1947"/>
      <c r="EN97" s="1947"/>
      <c r="EO97" s="1947"/>
      <c r="EP97" s="1947"/>
      <c r="EQ97" s="1947"/>
      <c r="ER97" s="1947"/>
      <c r="ES97" s="1947"/>
      <c r="ET97" s="1947"/>
      <c r="EU97" s="1947"/>
      <c r="EV97" s="1947"/>
      <c r="EW97" s="1947"/>
      <c r="EX97" s="1947"/>
      <c r="EY97" s="1947"/>
      <c r="EZ97" s="1947"/>
      <c r="FA97" s="1947"/>
      <c r="FB97" s="1947"/>
      <c r="FC97" s="1947"/>
      <c r="FD97" s="1947"/>
      <c r="FE97" s="1947"/>
      <c r="FF97" s="1947"/>
      <c r="FG97" s="1947"/>
      <c r="FH97" s="1947"/>
      <c r="FI97" s="1947"/>
      <c r="FJ97" s="1947"/>
      <c r="FK97" s="1947"/>
      <c r="FL97" s="1947"/>
      <c r="FM97" s="1947"/>
      <c r="FN97" s="1947"/>
      <c r="FO97" s="1947"/>
      <c r="FP97" s="1947"/>
      <c r="FQ97" s="1947"/>
      <c r="FR97" s="1947"/>
      <c r="FS97" s="1947"/>
      <c r="FT97" s="1947"/>
      <c r="FU97" s="1947"/>
      <c r="FV97" s="1947"/>
      <c r="FW97" s="1947"/>
      <c r="FX97" s="1947"/>
      <c r="FY97" s="1947"/>
      <c r="FZ97" s="1947"/>
      <c r="GA97" s="1947"/>
      <c r="GB97" s="1947"/>
      <c r="GC97" s="1947"/>
      <c r="GD97" s="1947"/>
      <c r="GE97" s="1947"/>
      <c r="GF97" s="1947"/>
      <c r="GG97" s="1947"/>
      <c r="GH97" s="1947"/>
      <c r="GI97" s="1947"/>
      <c r="GJ97" s="1947"/>
      <c r="GK97" s="1947"/>
      <c r="GL97" s="1947"/>
      <c r="GM97" s="1947"/>
      <c r="GN97" s="1947"/>
      <c r="GO97" s="1947"/>
      <c r="GP97" s="1947"/>
      <c r="GQ97" s="1947"/>
      <c r="GR97" s="1947"/>
      <c r="GS97" s="1947"/>
      <c r="GT97" s="1947"/>
      <c r="GU97" s="1947"/>
      <c r="GV97" s="1947"/>
      <c r="GW97" s="1947"/>
      <c r="GX97" s="1947"/>
      <c r="GY97" s="1947"/>
      <c r="GZ97" s="1947"/>
      <c r="HA97" s="1947"/>
      <c r="HB97" s="1947"/>
      <c r="HC97" s="1947"/>
      <c r="HD97" s="1947"/>
      <c r="HE97" s="1947"/>
      <c r="HF97" s="1947"/>
      <c r="HG97" s="1947"/>
      <c r="HH97" s="1947"/>
      <c r="HI97" s="1947"/>
      <c r="HJ97" s="1947"/>
      <c r="HK97" s="1947"/>
      <c r="HL97" s="1947"/>
      <c r="HM97" s="1947"/>
      <c r="HN97" s="1947"/>
      <c r="HO97" s="1947"/>
      <c r="HP97" s="1947"/>
      <c r="HQ97" s="1947"/>
      <c r="HR97" s="1947"/>
      <c r="HS97" s="1947"/>
      <c r="HT97" s="1947"/>
      <c r="HU97" s="1947"/>
      <c r="HV97" s="1947"/>
      <c r="HW97" s="1947"/>
      <c r="HX97" s="1947"/>
      <c r="HY97" s="1947"/>
      <c r="HZ97" s="1947"/>
      <c r="IA97" s="1947"/>
      <c r="IB97" s="1947"/>
      <c r="IC97" s="1947"/>
      <c r="ID97" s="1947"/>
      <c r="IE97" s="1947"/>
      <c r="IF97" s="1947"/>
      <c r="IG97" s="1947"/>
      <c r="IH97" s="1947"/>
      <c r="II97" s="1947"/>
      <c r="IJ97" s="1947"/>
      <c r="IK97" s="1947"/>
      <c r="IL97" s="1947"/>
      <c r="IM97" s="1947"/>
      <c r="IN97" s="1947"/>
      <c r="IO97" s="1947"/>
      <c r="IP97" s="1947"/>
      <c r="IQ97" s="1947"/>
    </row>
    <row r="98" spans="1:251" hidden="1">
      <c r="A98" s="1026"/>
      <c r="B98" s="1955"/>
      <c r="C98" s="1955"/>
      <c r="D98" s="2034"/>
      <c r="E98" s="1955"/>
      <c r="F98" s="1942">
        <f t="shared" si="33"/>
        <v>0</v>
      </c>
      <c r="G98" s="1026"/>
      <c r="H98" s="1942">
        <f t="shared" si="34"/>
        <v>0</v>
      </c>
      <c r="I98" s="1026"/>
      <c r="J98" s="1942">
        <f t="shared" si="35"/>
        <v>0</v>
      </c>
      <c r="K98" s="1026"/>
      <c r="L98" s="1942">
        <f t="shared" si="36"/>
        <v>0</v>
      </c>
      <c r="M98" s="1942">
        <f t="shared" si="37"/>
        <v>0</v>
      </c>
      <c r="N98" s="1942">
        <f t="shared" si="38"/>
        <v>0</v>
      </c>
      <c r="O98" s="1026"/>
      <c r="P98" s="1026"/>
      <c r="Q98" s="1942">
        <f t="shared" si="39"/>
        <v>0</v>
      </c>
      <c r="R98" s="1942">
        <f t="shared" si="40"/>
        <v>0</v>
      </c>
      <c r="S98" s="1942">
        <f t="shared" si="41"/>
        <v>0</v>
      </c>
      <c r="T98" s="1942">
        <f t="shared" si="42"/>
        <v>0</v>
      </c>
      <c r="U98" s="1942">
        <f t="shared" si="43"/>
        <v>0</v>
      </c>
      <c r="V98" s="3034">
        <f t="shared" si="44"/>
        <v>0</v>
      </c>
      <c r="W98" s="1942"/>
      <c r="X98" s="1923">
        <v>0.01</v>
      </c>
      <c r="Y98" s="1947"/>
      <c r="Z98" s="1947"/>
      <c r="AA98" s="1947"/>
      <c r="AB98" s="1947"/>
      <c r="AC98" s="1947"/>
      <c r="AD98" s="1947"/>
      <c r="AE98" s="1947"/>
      <c r="AF98" s="1947"/>
      <c r="AG98" s="1947"/>
      <c r="AH98" s="1947"/>
      <c r="AI98" s="1947"/>
      <c r="AJ98" s="1947"/>
      <c r="AK98" s="1947"/>
      <c r="AL98" s="1947"/>
      <c r="AM98" s="1947"/>
      <c r="AN98" s="1947"/>
      <c r="AO98" s="1947"/>
      <c r="AP98" s="1947"/>
      <c r="AQ98" s="1947"/>
      <c r="AR98" s="1947"/>
      <c r="AS98" s="1947"/>
      <c r="AT98" s="1947"/>
      <c r="AU98" s="1947"/>
      <c r="AV98" s="1947"/>
      <c r="AW98" s="1947"/>
      <c r="AX98" s="1947"/>
      <c r="AY98" s="1947"/>
      <c r="AZ98" s="1947"/>
      <c r="BA98" s="1947"/>
      <c r="BB98" s="1947"/>
      <c r="BC98" s="1947"/>
      <c r="BD98" s="1947"/>
      <c r="BE98" s="1947"/>
      <c r="BF98" s="1947"/>
      <c r="BG98" s="1947"/>
      <c r="BH98" s="1947"/>
      <c r="BI98" s="1947"/>
      <c r="BJ98" s="1947"/>
      <c r="BK98" s="1947"/>
      <c r="BL98" s="1947"/>
      <c r="BM98" s="1947"/>
      <c r="BN98" s="1947"/>
      <c r="BO98" s="1947"/>
      <c r="BP98" s="1947"/>
      <c r="BQ98" s="1947"/>
      <c r="BR98" s="1947"/>
      <c r="BS98" s="1947"/>
      <c r="BT98" s="1947"/>
      <c r="BU98" s="1947"/>
      <c r="BV98" s="1947"/>
      <c r="BW98" s="1947"/>
      <c r="BX98" s="1947"/>
      <c r="BY98" s="1947"/>
      <c r="BZ98" s="1947"/>
      <c r="CA98" s="1947"/>
      <c r="CB98" s="1947"/>
      <c r="CC98" s="1947"/>
      <c r="CD98" s="1947"/>
      <c r="CE98" s="1947"/>
      <c r="CF98" s="1947"/>
      <c r="CG98" s="1947"/>
      <c r="CH98" s="1947"/>
      <c r="CI98" s="1947"/>
      <c r="CJ98" s="1947"/>
      <c r="CK98" s="1947"/>
      <c r="CL98" s="1947"/>
      <c r="CM98" s="1947"/>
      <c r="CN98" s="1947"/>
      <c r="CO98" s="1947"/>
      <c r="CP98" s="1947"/>
      <c r="CQ98" s="1947"/>
      <c r="CR98" s="1947"/>
      <c r="CS98" s="1947"/>
      <c r="CT98" s="1947"/>
      <c r="CU98" s="1947"/>
      <c r="CV98" s="1947"/>
      <c r="CW98" s="1947"/>
      <c r="CX98" s="1947"/>
      <c r="CY98" s="1947"/>
      <c r="CZ98" s="1947"/>
      <c r="DA98" s="1947"/>
      <c r="DB98" s="1947"/>
      <c r="DC98" s="1947"/>
      <c r="DD98" s="1947"/>
      <c r="DE98" s="1947"/>
      <c r="DF98" s="1947"/>
      <c r="DG98" s="1947"/>
      <c r="DH98" s="1947"/>
      <c r="DI98" s="1947"/>
      <c r="DJ98" s="1947"/>
      <c r="DK98" s="1947"/>
      <c r="DL98" s="1947"/>
      <c r="DM98" s="1947"/>
      <c r="DN98" s="1947"/>
      <c r="DO98" s="1947"/>
      <c r="DP98" s="1947"/>
      <c r="DQ98" s="1947"/>
      <c r="DR98" s="1947"/>
      <c r="DS98" s="1947"/>
      <c r="DT98" s="1947"/>
      <c r="DU98" s="1947"/>
      <c r="DV98" s="1947"/>
      <c r="DW98" s="1947"/>
      <c r="DX98" s="1947"/>
      <c r="DY98" s="1947"/>
      <c r="DZ98" s="1947"/>
      <c r="EA98" s="1947"/>
      <c r="EB98" s="1947"/>
      <c r="EC98" s="1947"/>
      <c r="ED98" s="1947"/>
      <c r="EE98" s="1947"/>
      <c r="EF98" s="1947"/>
      <c r="EG98" s="1947"/>
      <c r="EH98" s="1947"/>
      <c r="EI98" s="1947"/>
      <c r="EJ98" s="1947"/>
      <c r="EK98" s="1947"/>
      <c r="EL98" s="1947"/>
      <c r="EM98" s="1947"/>
      <c r="EN98" s="1947"/>
      <c r="EO98" s="1947"/>
      <c r="EP98" s="1947"/>
      <c r="EQ98" s="1947"/>
      <c r="ER98" s="1947"/>
      <c r="ES98" s="1947"/>
      <c r="ET98" s="1947"/>
      <c r="EU98" s="1947"/>
      <c r="EV98" s="1947"/>
      <c r="EW98" s="1947"/>
      <c r="EX98" s="1947"/>
      <c r="EY98" s="1947"/>
      <c r="EZ98" s="1947"/>
      <c r="FA98" s="1947"/>
      <c r="FB98" s="1947"/>
      <c r="FC98" s="1947"/>
      <c r="FD98" s="1947"/>
      <c r="FE98" s="1947"/>
      <c r="FF98" s="1947"/>
      <c r="FG98" s="1947"/>
      <c r="FH98" s="1947"/>
      <c r="FI98" s="1947"/>
      <c r="FJ98" s="1947"/>
      <c r="FK98" s="1947"/>
      <c r="FL98" s="1947"/>
      <c r="FM98" s="1947"/>
      <c r="FN98" s="1947"/>
      <c r="FO98" s="1947"/>
      <c r="FP98" s="1947"/>
      <c r="FQ98" s="1947"/>
      <c r="FR98" s="1947"/>
      <c r="FS98" s="1947"/>
      <c r="FT98" s="1947"/>
      <c r="FU98" s="1947"/>
      <c r="FV98" s="1947"/>
      <c r="FW98" s="1947"/>
      <c r="FX98" s="1947"/>
      <c r="FY98" s="1947"/>
      <c r="FZ98" s="1947"/>
      <c r="GA98" s="1947"/>
      <c r="GB98" s="1947"/>
      <c r="GC98" s="1947"/>
      <c r="GD98" s="1947"/>
      <c r="GE98" s="1947"/>
      <c r="GF98" s="1947"/>
      <c r="GG98" s="1947"/>
      <c r="GH98" s="1947"/>
      <c r="GI98" s="1947"/>
      <c r="GJ98" s="1947"/>
      <c r="GK98" s="1947"/>
      <c r="GL98" s="1947"/>
      <c r="GM98" s="1947"/>
      <c r="GN98" s="1947"/>
      <c r="GO98" s="1947"/>
      <c r="GP98" s="1947"/>
      <c r="GQ98" s="1947"/>
      <c r="GR98" s="1947"/>
      <c r="GS98" s="1947"/>
      <c r="GT98" s="1947"/>
      <c r="GU98" s="1947"/>
      <c r="GV98" s="1947"/>
      <c r="GW98" s="1947"/>
      <c r="GX98" s="1947"/>
      <c r="GY98" s="1947"/>
      <c r="GZ98" s="1947"/>
      <c r="HA98" s="1947"/>
      <c r="HB98" s="1947"/>
      <c r="HC98" s="1947"/>
      <c r="HD98" s="1947"/>
      <c r="HE98" s="1947"/>
      <c r="HF98" s="1947"/>
      <c r="HG98" s="1947"/>
      <c r="HH98" s="1947"/>
      <c r="HI98" s="1947"/>
      <c r="HJ98" s="1947"/>
      <c r="HK98" s="1947"/>
      <c r="HL98" s="1947"/>
      <c r="HM98" s="1947"/>
      <c r="HN98" s="1947"/>
      <c r="HO98" s="1947"/>
      <c r="HP98" s="1947"/>
      <c r="HQ98" s="1947"/>
      <c r="HR98" s="1947"/>
      <c r="HS98" s="1947"/>
      <c r="HT98" s="1947"/>
      <c r="HU98" s="1947"/>
      <c r="HV98" s="1947"/>
      <c r="HW98" s="1947"/>
      <c r="HX98" s="1947"/>
      <c r="HY98" s="1947"/>
      <c r="HZ98" s="1947"/>
      <c r="IA98" s="1947"/>
      <c r="IB98" s="1947"/>
      <c r="IC98" s="1947"/>
      <c r="ID98" s="1947"/>
      <c r="IE98" s="1947"/>
      <c r="IF98" s="1947"/>
      <c r="IG98" s="1947"/>
      <c r="IH98" s="1947"/>
      <c r="II98" s="1947"/>
      <c r="IJ98" s="1947"/>
      <c r="IK98" s="1947"/>
      <c r="IL98" s="1947"/>
      <c r="IM98" s="1947"/>
      <c r="IN98" s="1947"/>
      <c r="IO98" s="1947"/>
      <c r="IP98" s="1947"/>
      <c r="IQ98" s="1947"/>
    </row>
    <row r="99" spans="1:251" hidden="1">
      <c r="A99" s="1026"/>
      <c r="B99" s="1955"/>
      <c r="C99" s="1955"/>
      <c r="D99" s="2034"/>
      <c r="E99" s="1955"/>
      <c r="F99" s="1942">
        <f t="shared" si="33"/>
        <v>0</v>
      </c>
      <c r="G99" s="1026"/>
      <c r="H99" s="1942">
        <f t="shared" si="34"/>
        <v>0</v>
      </c>
      <c r="I99" s="1026"/>
      <c r="J99" s="1942">
        <f t="shared" si="35"/>
        <v>0</v>
      </c>
      <c r="K99" s="1026"/>
      <c r="L99" s="1942">
        <f t="shared" si="36"/>
        <v>0</v>
      </c>
      <c r="M99" s="1942">
        <f t="shared" si="37"/>
        <v>0</v>
      </c>
      <c r="N99" s="1942">
        <f t="shared" si="38"/>
        <v>0</v>
      </c>
      <c r="O99" s="1026"/>
      <c r="P99" s="1026"/>
      <c r="Q99" s="1942">
        <f t="shared" si="39"/>
        <v>0</v>
      </c>
      <c r="R99" s="1942">
        <f t="shared" si="40"/>
        <v>0</v>
      </c>
      <c r="S99" s="1942">
        <f t="shared" si="41"/>
        <v>0</v>
      </c>
      <c r="T99" s="1942">
        <f t="shared" si="42"/>
        <v>0</v>
      </c>
      <c r="U99" s="1942">
        <f t="shared" si="43"/>
        <v>0</v>
      </c>
      <c r="V99" s="3034">
        <f t="shared" si="44"/>
        <v>0</v>
      </c>
      <c r="W99" s="1942"/>
      <c r="X99" s="1923">
        <v>0.01</v>
      </c>
      <c r="Y99" s="1947"/>
      <c r="Z99" s="1947"/>
      <c r="AA99" s="1947"/>
      <c r="AB99" s="1947"/>
      <c r="AC99" s="1947"/>
      <c r="AD99" s="1947"/>
      <c r="AE99" s="1947"/>
      <c r="AF99" s="1947"/>
      <c r="AG99" s="1947"/>
      <c r="AH99" s="1947"/>
      <c r="AI99" s="1947"/>
      <c r="AJ99" s="1947"/>
      <c r="AK99" s="1947"/>
      <c r="AL99" s="1947"/>
      <c r="AM99" s="1947"/>
      <c r="AN99" s="1947"/>
      <c r="AO99" s="1947"/>
      <c r="AP99" s="1947"/>
      <c r="AQ99" s="1947"/>
      <c r="AR99" s="1947"/>
      <c r="AS99" s="1947"/>
      <c r="AT99" s="1947"/>
      <c r="AU99" s="1947"/>
      <c r="AV99" s="1947"/>
      <c r="AW99" s="1947"/>
      <c r="AX99" s="1947"/>
      <c r="AY99" s="1947"/>
      <c r="AZ99" s="1947"/>
      <c r="BA99" s="1947"/>
      <c r="BB99" s="1947"/>
      <c r="BC99" s="1947"/>
      <c r="BD99" s="1947"/>
      <c r="BE99" s="1947"/>
      <c r="BF99" s="1947"/>
      <c r="BG99" s="1947"/>
      <c r="BH99" s="1947"/>
      <c r="BI99" s="1947"/>
      <c r="BJ99" s="1947"/>
      <c r="BK99" s="1947"/>
      <c r="BL99" s="1947"/>
      <c r="BM99" s="1947"/>
      <c r="BN99" s="1947"/>
      <c r="BO99" s="1947"/>
      <c r="BP99" s="1947"/>
      <c r="BQ99" s="1947"/>
      <c r="BR99" s="1947"/>
      <c r="BS99" s="1947"/>
      <c r="BT99" s="1947"/>
      <c r="BU99" s="1947"/>
      <c r="BV99" s="1947"/>
      <c r="BW99" s="1947"/>
      <c r="BX99" s="1947"/>
      <c r="BY99" s="1947"/>
      <c r="BZ99" s="1947"/>
      <c r="CA99" s="1947"/>
      <c r="CB99" s="1947"/>
      <c r="CC99" s="1947"/>
      <c r="CD99" s="1947"/>
      <c r="CE99" s="1947"/>
      <c r="CF99" s="1947"/>
      <c r="CG99" s="1947"/>
      <c r="CH99" s="1947"/>
      <c r="CI99" s="1947"/>
      <c r="CJ99" s="1947"/>
      <c r="CK99" s="1947"/>
      <c r="CL99" s="1947"/>
      <c r="CM99" s="1947"/>
      <c r="CN99" s="1947"/>
      <c r="CO99" s="1947"/>
      <c r="CP99" s="1947"/>
      <c r="CQ99" s="1947"/>
      <c r="CR99" s="1947"/>
      <c r="CS99" s="1947"/>
      <c r="CT99" s="1947"/>
      <c r="CU99" s="1947"/>
      <c r="CV99" s="1947"/>
      <c r="CW99" s="1947"/>
      <c r="CX99" s="1947"/>
      <c r="CY99" s="1947"/>
      <c r="CZ99" s="1947"/>
      <c r="DA99" s="1947"/>
      <c r="DB99" s="1947"/>
      <c r="DC99" s="1947"/>
      <c r="DD99" s="1947"/>
      <c r="DE99" s="1947"/>
      <c r="DF99" s="1947"/>
      <c r="DG99" s="1947"/>
      <c r="DH99" s="1947"/>
      <c r="DI99" s="1947"/>
      <c r="DJ99" s="1947"/>
      <c r="DK99" s="1947"/>
      <c r="DL99" s="1947"/>
      <c r="DM99" s="1947"/>
      <c r="DN99" s="1947"/>
      <c r="DO99" s="1947"/>
      <c r="DP99" s="1947"/>
      <c r="DQ99" s="1947"/>
      <c r="DR99" s="1947"/>
      <c r="DS99" s="1947"/>
      <c r="DT99" s="1947"/>
      <c r="DU99" s="1947"/>
      <c r="DV99" s="1947"/>
      <c r="DW99" s="1947"/>
      <c r="DX99" s="1947"/>
      <c r="DY99" s="1947"/>
      <c r="DZ99" s="1947"/>
      <c r="EA99" s="1947"/>
      <c r="EB99" s="1947"/>
      <c r="EC99" s="1947"/>
      <c r="ED99" s="1947"/>
      <c r="EE99" s="1947"/>
      <c r="EF99" s="1947"/>
      <c r="EG99" s="1947"/>
      <c r="EH99" s="1947"/>
      <c r="EI99" s="1947"/>
      <c r="EJ99" s="1947"/>
      <c r="EK99" s="1947"/>
      <c r="EL99" s="1947"/>
      <c r="EM99" s="1947"/>
      <c r="EN99" s="1947"/>
      <c r="EO99" s="1947"/>
      <c r="EP99" s="1947"/>
      <c r="EQ99" s="1947"/>
      <c r="ER99" s="1947"/>
      <c r="ES99" s="1947"/>
      <c r="ET99" s="1947"/>
      <c r="EU99" s="1947"/>
      <c r="EV99" s="1947"/>
      <c r="EW99" s="1947"/>
      <c r="EX99" s="1947"/>
      <c r="EY99" s="1947"/>
      <c r="EZ99" s="1947"/>
      <c r="FA99" s="1947"/>
      <c r="FB99" s="1947"/>
      <c r="FC99" s="1947"/>
      <c r="FD99" s="1947"/>
      <c r="FE99" s="1947"/>
      <c r="FF99" s="1947"/>
      <c r="FG99" s="1947"/>
      <c r="FH99" s="1947"/>
      <c r="FI99" s="1947"/>
      <c r="FJ99" s="1947"/>
      <c r="FK99" s="1947"/>
      <c r="FL99" s="1947"/>
      <c r="FM99" s="1947"/>
      <c r="FN99" s="1947"/>
      <c r="FO99" s="1947"/>
      <c r="FP99" s="1947"/>
      <c r="FQ99" s="1947"/>
      <c r="FR99" s="1947"/>
      <c r="FS99" s="1947"/>
      <c r="FT99" s="1947"/>
      <c r="FU99" s="1947"/>
      <c r="FV99" s="1947"/>
      <c r="FW99" s="1947"/>
      <c r="FX99" s="1947"/>
      <c r="FY99" s="1947"/>
      <c r="FZ99" s="1947"/>
      <c r="GA99" s="1947"/>
      <c r="GB99" s="1947"/>
      <c r="GC99" s="1947"/>
      <c r="GD99" s="1947"/>
      <c r="GE99" s="1947"/>
      <c r="GF99" s="1947"/>
      <c r="GG99" s="1947"/>
      <c r="GH99" s="1947"/>
      <c r="GI99" s="1947"/>
      <c r="GJ99" s="1947"/>
      <c r="GK99" s="1947"/>
      <c r="GL99" s="1947"/>
      <c r="GM99" s="1947"/>
      <c r="GN99" s="1947"/>
      <c r="GO99" s="1947"/>
      <c r="GP99" s="1947"/>
      <c r="GQ99" s="1947"/>
      <c r="GR99" s="1947"/>
      <c r="GS99" s="1947"/>
      <c r="GT99" s="1947"/>
      <c r="GU99" s="1947"/>
      <c r="GV99" s="1947"/>
      <c r="GW99" s="1947"/>
      <c r="GX99" s="1947"/>
      <c r="GY99" s="1947"/>
      <c r="GZ99" s="1947"/>
      <c r="HA99" s="1947"/>
      <c r="HB99" s="1947"/>
      <c r="HC99" s="1947"/>
      <c r="HD99" s="1947"/>
      <c r="HE99" s="1947"/>
      <c r="HF99" s="1947"/>
      <c r="HG99" s="1947"/>
      <c r="HH99" s="1947"/>
      <c r="HI99" s="1947"/>
      <c r="HJ99" s="1947"/>
      <c r="HK99" s="1947"/>
      <c r="HL99" s="1947"/>
      <c r="HM99" s="1947"/>
      <c r="HN99" s="1947"/>
      <c r="HO99" s="1947"/>
      <c r="HP99" s="1947"/>
      <c r="HQ99" s="1947"/>
      <c r="HR99" s="1947"/>
      <c r="HS99" s="1947"/>
      <c r="HT99" s="1947"/>
      <c r="HU99" s="1947"/>
      <c r="HV99" s="1947"/>
      <c r="HW99" s="1947"/>
      <c r="HX99" s="1947"/>
      <c r="HY99" s="1947"/>
      <c r="HZ99" s="1947"/>
      <c r="IA99" s="1947"/>
      <c r="IB99" s="1947"/>
      <c r="IC99" s="1947"/>
      <c r="ID99" s="1947"/>
      <c r="IE99" s="1947"/>
      <c r="IF99" s="1947"/>
      <c r="IG99" s="1947"/>
      <c r="IH99" s="1947"/>
      <c r="II99" s="1947"/>
      <c r="IJ99" s="1947"/>
      <c r="IK99" s="1947"/>
      <c r="IL99" s="1947"/>
      <c r="IM99" s="1947"/>
      <c r="IN99" s="1947"/>
      <c r="IO99" s="1947"/>
      <c r="IP99" s="1947"/>
      <c r="IQ99" s="1947"/>
    </row>
    <row r="100" spans="1:251" hidden="1">
      <c r="A100" s="1026"/>
      <c r="B100" s="1955"/>
      <c r="C100" s="1955"/>
      <c r="D100" s="2034"/>
      <c r="E100" s="1955"/>
      <c r="F100" s="1942">
        <f t="shared" si="33"/>
        <v>0</v>
      </c>
      <c r="G100" s="1026"/>
      <c r="H100" s="1942">
        <f t="shared" si="34"/>
        <v>0</v>
      </c>
      <c r="I100" s="1026"/>
      <c r="J100" s="1942">
        <f t="shared" si="35"/>
        <v>0</v>
      </c>
      <c r="K100" s="1026"/>
      <c r="L100" s="1942">
        <f t="shared" si="36"/>
        <v>0</v>
      </c>
      <c r="M100" s="1942">
        <f t="shared" si="37"/>
        <v>0</v>
      </c>
      <c r="N100" s="1942">
        <f t="shared" si="38"/>
        <v>0</v>
      </c>
      <c r="O100" s="1026"/>
      <c r="P100" s="1026"/>
      <c r="Q100" s="1942">
        <f t="shared" si="39"/>
        <v>0</v>
      </c>
      <c r="R100" s="1942">
        <f t="shared" si="40"/>
        <v>0</v>
      </c>
      <c r="S100" s="1942">
        <f t="shared" si="41"/>
        <v>0</v>
      </c>
      <c r="T100" s="1942">
        <f t="shared" si="42"/>
        <v>0</v>
      </c>
      <c r="U100" s="1942">
        <f t="shared" si="43"/>
        <v>0</v>
      </c>
      <c r="V100" s="3034">
        <f t="shared" si="44"/>
        <v>0</v>
      </c>
      <c r="W100" s="1942"/>
      <c r="X100" s="1923">
        <v>0.01</v>
      </c>
      <c r="Y100" s="1947"/>
      <c r="Z100" s="1947"/>
      <c r="AA100" s="1947"/>
      <c r="AB100" s="1947"/>
      <c r="AC100" s="1947"/>
      <c r="AD100" s="1947"/>
      <c r="AE100" s="1947"/>
      <c r="AF100" s="1947"/>
      <c r="AG100" s="1947"/>
      <c r="AH100" s="1947"/>
      <c r="AI100" s="1947"/>
      <c r="AJ100" s="1947"/>
      <c r="AK100" s="1947"/>
      <c r="AL100" s="1947"/>
      <c r="AM100" s="1947"/>
      <c r="AN100" s="1947"/>
      <c r="AO100" s="1947"/>
      <c r="AP100" s="1947"/>
      <c r="AQ100" s="1947"/>
      <c r="AR100" s="1947"/>
      <c r="AS100" s="1947"/>
      <c r="AT100" s="1947"/>
      <c r="AU100" s="1947"/>
      <c r="AV100" s="1947"/>
      <c r="AW100" s="1947"/>
      <c r="AX100" s="1947"/>
      <c r="AY100" s="1947"/>
      <c r="AZ100" s="1947"/>
      <c r="BA100" s="1947"/>
      <c r="BB100" s="1947"/>
      <c r="BC100" s="1947"/>
      <c r="BD100" s="1947"/>
      <c r="BE100" s="1947"/>
      <c r="BF100" s="1947"/>
      <c r="BG100" s="1947"/>
      <c r="BH100" s="1947"/>
      <c r="BI100" s="1947"/>
      <c r="BJ100" s="1947"/>
      <c r="BK100" s="1947"/>
      <c r="BL100" s="1947"/>
      <c r="BM100" s="1947"/>
      <c r="BN100" s="1947"/>
      <c r="BO100" s="1947"/>
      <c r="BP100" s="1947"/>
      <c r="BQ100" s="1947"/>
      <c r="BR100" s="1947"/>
      <c r="BS100" s="1947"/>
      <c r="BT100" s="1947"/>
      <c r="BU100" s="1947"/>
      <c r="BV100" s="1947"/>
      <c r="BW100" s="1947"/>
      <c r="BX100" s="1947"/>
      <c r="BY100" s="1947"/>
      <c r="BZ100" s="1947"/>
      <c r="CA100" s="1947"/>
      <c r="CB100" s="1947"/>
      <c r="CC100" s="1947"/>
      <c r="CD100" s="1947"/>
      <c r="CE100" s="1947"/>
      <c r="CF100" s="1947"/>
      <c r="CG100" s="1947"/>
      <c r="CH100" s="1947"/>
      <c r="CI100" s="1947"/>
      <c r="CJ100" s="1947"/>
      <c r="CK100" s="1947"/>
      <c r="CL100" s="1947"/>
      <c r="CM100" s="1947"/>
      <c r="CN100" s="1947"/>
      <c r="CO100" s="1947"/>
      <c r="CP100" s="1947"/>
      <c r="CQ100" s="1947"/>
      <c r="CR100" s="1947"/>
      <c r="CS100" s="1947"/>
      <c r="CT100" s="1947"/>
      <c r="CU100" s="1947"/>
      <c r="CV100" s="1947"/>
      <c r="CW100" s="1947"/>
      <c r="CX100" s="1947"/>
      <c r="CY100" s="1947"/>
      <c r="CZ100" s="1947"/>
      <c r="DA100" s="1947"/>
      <c r="DB100" s="1947"/>
      <c r="DC100" s="1947"/>
      <c r="DD100" s="1947"/>
      <c r="DE100" s="1947"/>
      <c r="DF100" s="1947"/>
      <c r="DG100" s="1947"/>
      <c r="DH100" s="1947"/>
      <c r="DI100" s="1947"/>
      <c r="DJ100" s="1947"/>
      <c r="DK100" s="1947"/>
      <c r="DL100" s="1947"/>
      <c r="DM100" s="1947"/>
      <c r="DN100" s="1947"/>
      <c r="DO100" s="1947"/>
      <c r="DP100" s="1947"/>
      <c r="DQ100" s="1947"/>
      <c r="DR100" s="1947"/>
      <c r="DS100" s="1947"/>
      <c r="DT100" s="1947"/>
      <c r="DU100" s="1947"/>
      <c r="DV100" s="1947"/>
      <c r="DW100" s="1947"/>
      <c r="DX100" s="1947"/>
      <c r="DY100" s="1947"/>
      <c r="DZ100" s="1947"/>
      <c r="EA100" s="1947"/>
      <c r="EB100" s="1947"/>
      <c r="EC100" s="1947"/>
      <c r="ED100" s="1947"/>
      <c r="EE100" s="1947"/>
      <c r="EF100" s="1947"/>
      <c r="EG100" s="1947"/>
      <c r="EH100" s="1947"/>
      <c r="EI100" s="1947"/>
      <c r="EJ100" s="1947"/>
      <c r="EK100" s="1947"/>
      <c r="EL100" s="1947"/>
      <c r="EM100" s="1947"/>
      <c r="EN100" s="1947"/>
      <c r="EO100" s="1947"/>
      <c r="EP100" s="1947"/>
      <c r="EQ100" s="1947"/>
      <c r="ER100" s="1947"/>
      <c r="ES100" s="1947"/>
      <c r="ET100" s="1947"/>
      <c r="EU100" s="1947"/>
      <c r="EV100" s="1947"/>
      <c r="EW100" s="1947"/>
      <c r="EX100" s="1947"/>
      <c r="EY100" s="1947"/>
      <c r="EZ100" s="1947"/>
      <c r="FA100" s="1947"/>
      <c r="FB100" s="1947"/>
      <c r="FC100" s="1947"/>
      <c r="FD100" s="1947"/>
      <c r="FE100" s="1947"/>
      <c r="FF100" s="1947"/>
      <c r="FG100" s="1947"/>
      <c r="FH100" s="1947"/>
      <c r="FI100" s="1947"/>
      <c r="FJ100" s="1947"/>
      <c r="FK100" s="1947"/>
      <c r="FL100" s="1947"/>
      <c r="FM100" s="1947"/>
      <c r="FN100" s="1947"/>
      <c r="FO100" s="1947"/>
      <c r="FP100" s="1947"/>
      <c r="FQ100" s="1947"/>
      <c r="FR100" s="1947"/>
      <c r="FS100" s="1947"/>
      <c r="FT100" s="1947"/>
      <c r="FU100" s="1947"/>
      <c r="FV100" s="1947"/>
      <c r="FW100" s="1947"/>
      <c r="FX100" s="1947"/>
      <c r="FY100" s="1947"/>
      <c r="FZ100" s="1947"/>
      <c r="GA100" s="1947"/>
      <c r="GB100" s="1947"/>
      <c r="GC100" s="1947"/>
      <c r="GD100" s="1947"/>
      <c r="GE100" s="1947"/>
      <c r="GF100" s="1947"/>
      <c r="GG100" s="1947"/>
      <c r="GH100" s="1947"/>
      <c r="GI100" s="1947"/>
      <c r="GJ100" s="1947"/>
      <c r="GK100" s="1947"/>
      <c r="GL100" s="1947"/>
      <c r="GM100" s="1947"/>
      <c r="GN100" s="1947"/>
      <c r="GO100" s="1947"/>
      <c r="GP100" s="1947"/>
      <c r="GQ100" s="1947"/>
      <c r="GR100" s="1947"/>
      <c r="GS100" s="1947"/>
      <c r="GT100" s="1947"/>
      <c r="GU100" s="1947"/>
      <c r="GV100" s="1947"/>
      <c r="GW100" s="1947"/>
      <c r="GX100" s="1947"/>
      <c r="GY100" s="1947"/>
      <c r="GZ100" s="1947"/>
      <c r="HA100" s="1947"/>
      <c r="HB100" s="1947"/>
      <c r="HC100" s="1947"/>
      <c r="HD100" s="1947"/>
      <c r="HE100" s="1947"/>
      <c r="HF100" s="1947"/>
      <c r="HG100" s="1947"/>
      <c r="HH100" s="1947"/>
      <c r="HI100" s="1947"/>
      <c r="HJ100" s="1947"/>
      <c r="HK100" s="1947"/>
      <c r="HL100" s="1947"/>
      <c r="HM100" s="1947"/>
      <c r="HN100" s="1947"/>
      <c r="HO100" s="1947"/>
      <c r="HP100" s="1947"/>
      <c r="HQ100" s="1947"/>
      <c r="HR100" s="1947"/>
      <c r="HS100" s="1947"/>
      <c r="HT100" s="1947"/>
      <c r="HU100" s="1947"/>
      <c r="HV100" s="1947"/>
      <c r="HW100" s="1947"/>
      <c r="HX100" s="1947"/>
      <c r="HY100" s="1947"/>
      <c r="HZ100" s="1947"/>
      <c r="IA100" s="1947"/>
      <c r="IB100" s="1947"/>
      <c r="IC100" s="1947"/>
      <c r="ID100" s="1947"/>
      <c r="IE100" s="1947"/>
      <c r="IF100" s="1947"/>
      <c r="IG100" s="1947"/>
      <c r="IH100" s="1947"/>
      <c r="II100" s="1947"/>
      <c r="IJ100" s="1947"/>
      <c r="IK100" s="1947"/>
      <c r="IL100" s="1947"/>
      <c r="IM100" s="1947"/>
      <c r="IN100" s="1947"/>
      <c r="IO100" s="1947"/>
      <c r="IP100" s="1947"/>
      <c r="IQ100" s="1947"/>
    </row>
    <row r="101" spans="1:251" hidden="1">
      <c r="A101" s="1026"/>
      <c r="B101" s="1026" t="s">
        <v>527</v>
      </c>
      <c r="C101" s="1026"/>
      <c r="D101" s="2021">
        <f>SUM(D102:D109)</f>
        <v>0</v>
      </c>
      <c r="E101" s="1026"/>
      <c r="F101" s="1942">
        <f>SUM(F102:F109)</f>
        <v>0</v>
      </c>
      <c r="G101" s="1026"/>
      <c r="H101" s="1942">
        <f t="shared" ref="H101:U101" si="45">SUM(H102:H109)</f>
        <v>0</v>
      </c>
      <c r="I101" s="1026"/>
      <c r="J101" s="1942">
        <f t="shared" si="45"/>
        <v>0</v>
      </c>
      <c r="K101" s="1026"/>
      <c r="L101" s="1942">
        <f t="shared" si="45"/>
        <v>0</v>
      </c>
      <c r="M101" s="1942">
        <f t="shared" si="45"/>
        <v>0</v>
      </c>
      <c r="N101" s="1942">
        <f t="shared" si="45"/>
        <v>0</v>
      </c>
      <c r="O101" s="1942">
        <f t="shared" si="45"/>
        <v>0</v>
      </c>
      <c r="P101" s="1942">
        <f>SUM(P102:P109)</f>
        <v>0</v>
      </c>
      <c r="Q101" s="1942">
        <f t="shared" si="45"/>
        <v>0</v>
      </c>
      <c r="R101" s="1942">
        <f t="shared" si="45"/>
        <v>0</v>
      </c>
      <c r="S101" s="1942">
        <f t="shared" si="45"/>
        <v>0</v>
      </c>
      <c r="T101" s="1942">
        <f t="shared" si="45"/>
        <v>0</v>
      </c>
      <c r="U101" s="1942">
        <f t="shared" si="45"/>
        <v>0</v>
      </c>
      <c r="V101" s="3034">
        <f t="shared" si="44"/>
        <v>0</v>
      </c>
      <c r="W101" s="3472"/>
      <c r="X101" s="1923">
        <v>0.01</v>
      </c>
      <c r="Y101" s="1943"/>
      <c r="Z101" s="1943"/>
      <c r="AA101" s="1943"/>
      <c r="AB101" s="1943"/>
      <c r="AC101" s="1943"/>
      <c r="AD101" s="1943"/>
      <c r="AE101" s="1943"/>
      <c r="AF101" s="1943"/>
      <c r="AG101" s="1943"/>
      <c r="AH101" s="1943"/>
      <c r="AI101" s="1943"/>
      <c r="AJ101" s="1943"/>
      <c r="AK101" s="1943"/>
      <c r="AL101" s="1943"/>
      <c r="AM101" s="1943"/>
      <c r="AN101" s="1943"/>
      <c r="AO101" s="1943"/>
      <c r="AP101" s="1943"/>
      <c r="AQ101" s="1943"/>
      <c r="AR101" s="1943"/>
      <c r="AS101" s="1943"/>
      <c r="AT101" s="1943"/>
      <c r="AU101" s="1943"/>
      <c r="AV101" s="1943"/>
      <c r="AW101" s="1943"/>
      <c r="AX101" s="1943"/>
      <c r="AY101" s="1943"/>
      <c r="AZ101" s="1943"/>
      <c r="BA101" s="1943"/>
      <c r="BB101" s="1943"/>
      <c r="BC101" s="1943"/>
      <c r="BD101" s="1943"/>
      <c r="BE101" s="1943"/>
      <c r="BF101" s="1943"/>
      <c r="BG101" s="1943"/>
      <c r="BH101" s="1943"/>
      <c r="BI101" s="1943"/>
      <c r="BJ101" s="1943"/>
      <c r="BK101" s="1943"/>
      <c r="BL101" s="1943"/>
      <c r="BM101" s="1943"/>
      <c r="BN101" s="1943"/>
      <c r="BO101" s="1943"/>
      <c r="BP101" s="1943"/>
      <c r="BQ101" s="1943"/>
      <c r="BR101" s="1943"/>
      <c r="BS101" s="1943"/>
      <c r="BT101" s="1943"/>
      <c r="BU101" s="1943"/>
      <c r="BV101" s="1943"/>
      <c r="BW101" s="1943"/>
      <c r="BX101" s="1943"/>
      <c r="BY101" s="1943"/>
      <c r="BZ101" s="1943"/>
      <c r="CA101" s="1943"/>
      <c r="CB101" s="1943"/>
      <c r="CC101" s="1943"/>
      <c r="CD101" s="1943"/>
      <c r="CE101" s="1943"/>
      <c r="CF101" s="1943"/>
      <c r="CG101" s="1943"/>
      <c r="CH101" s="1943"/>
      <c r="CI101" s="1943"/>
      <c r="CJ101" s="1943"/>
      <c r="CK101" s="1943"/>
      <c r="CL101" s="1943"/>
      <c r="CM101" s="1943"/>
      <c r="CN101" s="1943"/>
      <c r="CO101" s="1943"/>
      <c r="CP101" s="1943"/>
      <c r="CQ101" s="1943"/>
      <c r="CR101" s="1943"/>
      <c r="CS101" s="1943"/>
      <c r="CT101" s="1943"/>
      <c r="CU101" s="1943"/>
      <c r="CV101" s="1943"/>
      <c r="CW101" s="1943"/>
      <c r="CX101" s="1943"/>
      <c r="CY101" s="1943"/>
      <c r="CZ101" s="1943"/>
      <c r="DA101" s="1943"/>
      <c r="DB101" s="1943"/>
      <c r="DC101" s="1943"/>
      <c r="DD101" s="1943"/>
      <c r="DE101" s="1943"/>
      <c r="DF101" s="1943"/>
      <c r="DG101" s="1943"/>
      <c r="DH101" s="1943"/>
      <c r="DI101" s="1943"/>
      <c r="DJ101" s="1943"/>
      <c r="DK101" s="1943"/>
      <c r="DL101" s="1943"/>
      <c r="DM101" s="1943"/>
      <c r="DN101" s="1943"/>
      <c r="DO101" s="1943"/>
      <c r="DP101" s="1943"/>
      <c r="DQ101" s="1943"/>
      <c r="DR101" s="1943"/>
      <c r="DS101" s="1943"/>
      <c r="DT101" s="1943"/>
      <c r="DU101" s="1943"/>
      <c r="DV101" s="1943"/>
      <c r="DW101" s="1943"/>
      <c r="DX101" s="1943"/>
      <c r="DY101" s="1943"/>
      <c r="DZ101" s="1943"/>
      <c r="EA101" s="1943"/>
      <c r="EB101" s="1943"/>
      <c r="EC101" s="1943"/>
      <c r="ED101" s="1943"/>
      <c r="EE101" s="1943"/>
      <c r="EF101" s="1943"/>
      <c r="EG101" s="1943"/>
      <c r="EH101" s="1943"/>
      <c r="EI101" s="1943"/>
      <c r="EJ101" s="1943"/>
      <c r="EK101" s="1943"/>
      <c r="EL101" s="1943"/>
      <c r="EM101" s="1943"/>
      <c r="EN101" s="1943"/>
      <c r="EO101" s="1943"/>
      <c r="EP101" s="1943"/>
      <c r="EQ101" s="1943"/>
      <c r="ER101" s="1943"/>
      <c r="ES101" s="1943"/>
      <c r="ET101" s="1943"/>
      <c r="EU101" s="1943"/>
      <c r="EV101" s="1943"/>
      <c r="EW101" s="1943"/>
      <c r="EX101" s="1943"/>
      <c r="EY101" s="1943"/>
      <c r="EZ101" s="1943"/>
      <c r="FA101" s="1943"/>
      <c r="FB101" s="1943"/>
      <c r="FC101" s="1943"/>
      <c r="FD101" s="1943"/>
      <c r="FE101" s="1943"/>
      <c r="FF101" s="1943"/>
      <c r="FG101" s="1943"/>
      <c r="FH101" s="1943"/>
      <c r="FI101" s="1943"/>
      <c r="FJ101" s="1943"/>
      <c r="FK101" s="1943"/>
      <c r="FL101" s="1943"/>
      <c r="FM101" s="1943"/>
      <c r="FN101" s="1943"/>
      <c r="FO101" s="1943"/>
      <c r="FP101" s="1943"/>
      <c r="FQ101" s="1943"/>
      <c r="FR101" s="1943"/>
      <c r="FS101" s="1943"/>
      <c r="FT101" s="1943"/>
      <c r="FU101" s="1943"/>
      <c r="FV101" s="1943"/>
      <c r="FW101" s="1943"/>
      <c r="FX101" s="1943"/>
      <c r="FY101" s="1943"/>
      <c r="FZ101" s="1943"/>
      <c r="GA101" s="1943"/>
      <c r="GB101" s="1943"/>
      <c r="GC101" s="1943"/>
      <c r="GD101" s="1943"/>
      <c r="GE101" s="1943"/>
      <c r="GF101" s="1943"/>
      <c r="GG101" s="1943"/>
      <c r="GH101" s="1943"/>
      <c r="GI101" s="1943"/>
      <c r="GJ101" s="1943"/>
      <c r="GK101" s="1943"/>
      <c r="GL101" s="1943"/>
      <c r="GM101" s="1943"/>
      <c r="GN101" s="1943"/>
      <c r="GO101" s="1943"/>
      <c r="GP101" s="1943"/>
      <c r="GQ101" s="1943"/>
      <c r="GR101" s="1943"/>
      <c r="GS101" s="1943"/>
      <c r="GT101" s="1943"/>
      <c r="GU101" s="1943"/>
      <c r="GV101" s="1943"/>
      <c r="GW101" s="1943"/>
      <c r="GX101" s="1943"/>
      <c r="GY101" s="1943"/>
      <c r="GZ101" s="1943"/>
      <c r="HA101" s="1943"/>
      <c r="HB101" s="1943"/>
      <c r="HC101" s="1943"/>
      <c r="HD101" s="1943"/>
      <c r="HE101" s="1943"/>
      <c r="HF101" s="1943"/>
      <c r="HG101" s="1943"/>
      <c r="HH101" s="1943"/>
      <c r="HI101" s="1943"/>
      <c r="HJ101" s="1943"/>
      <c r="HK101" s="1943"/>
      <c r="HL101" s="1943"/>
      <c r="HM101" s="1943"/>
      <c r="HN101" s="1943"/>
      <c r="HO101" s="1943"/>
      <c r="HP101" s="1943"/>
      <c r="HQ101" s="1943"/>
      <c r="HR101" s="1943"/>
      <c r="HS101" s="1943"/>
      <c r="HT101" s="1943"/>
      <c r="HU101" s="1943"/>
      <c r="HV101" s="1943"/>
      <c r="HW101" s="1943"/>
      <c r="HX101" s="1943"/>
      <c r="HY101" s="1943"/>
      <c r="HZ101" s="1943"/>
      <c r="IA101" s="1943"/>
      <c r="IB101" s="1943"/>
      <c r="IC101" s="1943"/>
      <c r="ID101" s="1943"/>
      <c r="IE101" s="1943"/>
      <c r="IF101" s="1943"/>
      <c r="IG101" s="1943"/>
      <c r="IH101" s="1943"/>
      <c r="II101" s="1943"/>
      <c r="IJ101" s="1943"/>
      <c r="IK101" s="1943"/>
      <c r="IL101" s="1943"/>
      <c r="IM101" s="1943"/>
      <c r="IN101" s="1943"/>
      <c r="IO101" s="1943"/>
      <c r="IP101" s="1943"/>
      <c r="IQ101" s="1943"/>
    </row>
    <row r="102" spans="1:251" hidden="1">
      <c r="A102" s="1026"/>
      <c r="B102" s="1026" t="s">
        <v>327</v>
      </c>
      <c r="C102" s="1026"/>
      <c r="D102" s="2021"/>
      <c r="E102" s="1026"/>
      <c r="F102" s="1942">
        <f t="shared" ref="F102:F109" si="46">ROUNDUP((E102*$Q$5),-3)</f>
        <v>0</v>
      </c>
      <c r="G102" s="1026"/>
      <c r="H102" s="1942">
        <f t="shared" ref="H102:H109" si="47">D102*F102*G102</f>
        <v>0</v>
      </c>
      <c r="I102" s="1026"/>
      <c r="J102" s="1942">
        <f t="shared" ref="J102:J109" si="48">I102*$Q$4</f>
        <v>0</v>
      </c>
      <c r="K102" s="1026"/>
      <c r="L102" s="1942">
        <f t="shared" ref="L102:L109" si="49">K102*F102</f>
        <v>0</v>
      </c>
      <c r="M102" s="1942">
        <f t="shared" ref="M102:M109" si="50">D102*G102*(J102+L102)</f>
        <v>0</v>
      </c>
      <c r="N102" s="1942">
        <f t="shared" ref="N102:N109" si="51">H102+M102</f>
        <v>0</v>
      </c>
      <c r="O102" s="1026"/>
      <c r="P102" s="1026"/>
      <c r="Q102" s="1942">
        <f t="shared" ref="Q102:Q109" si="52">N102+O102+P102</f>
        <v>0</v>
      </c>
      <c r="R102" s="1942">
        <f t="shared" ref="R102:R109" si="53">Q102*10%</f>
        <v>0</v>
      </c>
      <c r="S102" s="1942">
        <f t="shared" ref="S102:S109" si="54">(Q102-R102)*10%</f>
        <v>0</v>
      </c>
      <c r="T102" s="1942">
        <f t="shared" ref="T102:T109" si="55">(Q102-R102)*6%</f>
        <v>0</v>
      </c>
      <c r="U102" s="1942">
        <f t="shared" ref="U102:U109" si="56">(Q102-R102)*5%</f>
        <v>0</v>
      </c>
      <c r="V102" s="3034">
        <f t="shared" si="44"/>
        <v>0</v>
      </c>
      <c r="W102" s="3472"/>
      <c r="X102" s="1923">
        <v>0.01</v>
      </c>
      <c r="Y102" s="1943"/>
      <c r="Z102" s="1943"/>
      <c r="AA102" s="1943"/>
      <c r="AB102" s="1943"/>
      <c r="AC102" s="1943"/>
      <c r="AD102" s="1943"/>
      <c r="AE102" s="1943"/>
      <c r="AF102" s="1943"/>
      <c r="AG102" s="1943"/>
      <c r="AH102" s="1943"/>
      <c r="AI102" s="1943"/>
      <c r="AJ102" s="1943"/>
      <c r="AK102" s="1943"/>
      <c r="AL102" s="1943"/>
      <c r="AM102" s="1943"/>
      <c r="AN102" s="1943"/>
      <c r="AO102" s="1943"/>
      <c r="AP102" s="1943"/>
      <c r="AQ102" s="1943"/>
      <c r="AR102" s="1943"/>
      <c r="AS102" s="1943"/>
      <c r="AT102" s="1943"/>
      <c r="AU102" s="1943"/>
      <c r="AV102" s="1943"/>
      <c r="AW102" s="1943"/>
      <c r="AX102" s="1943"/>
      <c r="AY102" s="1943"/>
      <c r="AZ102" s="1943"/>
      <c r="BA102" s="1943"/>
      <c r="BB102" s="1943"/>
      <c r="BC102" s="1943"/>
      <c r="BD102" s="1943"/>
      <c r="BE102" s="1943"/>
      <c r="BF102" s="1943"/>
      <c r="BG102" s="1943"/>
      <c r="BH102" s="1943"/>
      <c r="BI102" s="1943"/>
      <c r="BJ102" s="1943"/>
      <c r="BK102" s="1943"/>
      <c r="BL102" s="1943"/>
      <c r="BM102" s="1943"/>
      <c r="BN102" s="1943"/>
      <c r="BO102" s="1943"/>
      <c r="BP102" s="1943"/>
      <c r="BQ102" s="1943"/>
      <c r="BR102" s="1943"/>
      <c r="BS102" s="1943"/>
      <c r="BT102" s="1943"/>
      <c r="BU102" s="1943"/>
      <c r="BV102" s="1943"/>
      <c r="BW102" s="1943"/>
      <c r="BX102" s="1943"/>
      <c r="BY102" s="1943"/>
      <c r="BZ102" s="1943"/>
      <c r="CA102" s="1943"/>
      <c r="CB102" s="1943"/>
      <c r="CC102" s="1943"/>
      <c r="CD102" s="1943"/>
      <c r="CE102" s="1943"/>
      <c r="CF102" s="1943"/>
      <c r="CG102" s="1943"/>
      <c r="CH102" s="1943"/>
      <c r="CI102" s="1943"/>
      <c r="CJ102" s="1943"/>
      <c r="CK102" s="1943"/>
      <c r="CL102" s="1943"/>
      <c r="CM102" s="1943"/>
      <c r="CN102" s="1943"/>
      <c r="CO102" s="1943"/>
      <c r="CP102" s="1943"/>
      <c r="CQ102" s="1943"/>
      <c r="CR102" s="1943"/>
      <c r="CS102" s="1943"/>
      <c r="CT102" s="1943"/>
      <c r="CU102" s="1943"/>
      <c r="CV102" s="1943"/>
      <c r="CW102" s="1943"/>
      <c r="CX102" s="1943"/>
      <c r="CY102" s="1943"/>
      <c r="CZ102" s="1943"/>
      <c r="DA102" s="1943"/>
      <c r="DB102" s="1943"/>
      <c r="DC102" s="1943"/>
      <c r="DD102" s="1943"/>
      <c r="DE102" s="1943"/>
      <c r="DF102" s="1943"/>
      <c r="DG102" s="1943"/>
      <c r="DH102" s="1943"/>
      <c r="DI102" s="1943"/>
      <c r="DJ102" s="1943"/>
      <c r="DK102" s="1943"/>
      <c r="DL102" s="1943"/>
      <c r="DM102" s="1943"/>
      <c r="DN102" s="1943"/>
      <c r="DO102" s="1943"/>
      <c r="DP102" s="1943"/>
      <c r="DQ102" s="1943"/>
      <c r="DR102" s="1943"/>
      <c r="DS102" s="1943"/>
      <c r="DT102" s="1943"/>
      <c r="DU102" s="1943"/>
      <c r="DV102" s="1943"/>
      <c r="DW102" s="1943"/>
      <c r="DX102" s="1943"/>
      <c r="DY102" s="1943"/>
      <c r="DZ102" s="1943"/>
      <c r="EA102" s="1943"/>
      <c r="EB102" s="1943"/>
      <c r="EC102" s="1943"/>
      <c r="ED102" s="1943"/>
      <c r="EE102" s="1943"/>
      <c r="EF102" s="1943"/>
      <c r="EG102" s="1943"/>
      <c r="EH102" s="1943"/>
      <c r="EI102" s="1943"/>
      <c r="EJ102" s="1943"/>
      <c r="EK102" s="1943"/>
      <c r="EL102" s="1943"/>
      <c r="EM102" s="1943"/>
      <c r="EN102" s="1943"/>
      <c r="EO102" s="1943"/>
      <c r="EP102" s="1943"/>
      <c r="EQ102" s="1943"/>
      <c r="ER102" s="1943"/>
      <c r="ES102" s="1943"/>
      <c r="ET102" s="1943"/>
      <c r="EU102" s="1943"/>
      <c r="EV102" s="1943"/>
      <c r="EW102" s="1943"/>
      <c r="EX102" s="1943"/>
      <c r="EY102" s="1943"/>
      <c r="EZ102" s="1943"/>
      <c r="FA102" s="1943"/>
      <c r="FB102" s="1943"/>
      <c r="FC102" s="1943"/>
      <c r="FD102" s="1943"/>
      <c r="FE102" s="1943"/>
      <c r="FF102" s="1943"/>
      <c r="FG102" s="1943"/>
      <c r="FH102" s="1943"/>
      <c r="FI102" s="1943"/>
      <c r="FJ102" s="1943"/>
      <c r="FK102" s="1943"/>
      <c r="FL102" s="1943"/>
      <c r="FM102" s="1943"/>
      <c r="FN102" s="1943"/>
      <c r="FO102" s="1943"/>
      <c r="FP102" s="1943"/>
      <c r="FQ102" s="1943"/>
      <c r="FR102" s="1943"/>
      <c r="FS102" s="1943"/>
      <c r="FT102" s="1943"/>
      <c r="FU102" s="1943"/>
      <c r="FV102" s="1943"/>
      <c r="FW102" s="1943"/>
      <c r="FX102" s="1943"/>
      <c r="FY102" s="1943"/>
      <c r="FZ102" s="1943"/>
      <c r="GA102" s="1943"/>
      <c r="GB102" s="1943"/>
      <c r="GC102" s="1943"/>
      <c r="GD102" s="1943"/>
      <c r="GE102" s="1943"/>
      <c r="GF102" s="1943"/>
      <c r="GG102" s="1943"/>
      <c r="GH102" s="1943"/>
      <c r="GI102" s="1943"/>
      <c r="GJ102" s="1943"/>
      <c r="GK102" s="1943"/>
      <c r="GL102" s="1943"/>
      <c r="GM102" s="1943"/>
      <c r="GN102" s="1943"/>
      <c r="GO102" s="1943"/>
      <c r="GP102" s="1943"/>
      <c r="GQ102" s="1943"/>
      <c r="GR102" s="1943"/>
      <c r="GS102" s="1943"/>
      <c r="GT102" s="1943"/>
      <c r="GU102" s="1943"/>
      <c r="GV102" s="1943"/>
      <c r="GW102" s="1943"/>
      <c r="GX102" s="1943"/>
      <c r="GY102" s="1943"/>
      <c r="GZ102" s="1943"/>
      <c r="HA102" s="1943"/>
      <c r="HB102" s="1943"/>
      <c r="HC102" s="1943"/>
      <c r="HD102" s="1943"/>
      <c r="HE102" s="1943"/>
      <c r="HF102" s="1943"/>
      <c r="HG102" s="1943"/>
      <c r="HH102" s="1943"/>
      <c r="HI102" s="1943"/>
      <c r="HJ102" s="1943"/>
      <c r="HK102" s="1943"/>
      <c r="HL102" s="1943"/>
      <c r="HM102" s="1943"/>
      <c r="HN102" s="1943"/>
      <c r="HO102" s="1943"/>
      <c r="HP102" s="1943"/>
      <c r="HQ102" s="1943"/>
      <c r="HR102" s="1943"/>
      <c r="HS102" s="1943"/>
      <c r="HT102" s="1943"/>
      <c r="HU102" s="1943"/>
      <c r="HV102" s="1943"/>
      <c r="HW102" s="1943"/>
      <c r="HX102" s="1943"/>
      <c r="HY102" s="1943"/>
      <c r="HZ102" s="1943"/>
      <c r="IA102" s="1943"/>
      <c r="IB102" s="1943"/>
      <c r="IC102" s="1943"/>
      <c r="ID102" s="1943"/>
      <c r="IE102" s="1943"/>
      <c r="IF102" s="1943"/>
      <c r="IG102" s="1943"/>
      <c r="IH102" s="1943"/>
      <c r="II102" s="1943"/>
      <c r="IJ102" s="1943"/>
      <c r="IK102" s="1943"/>
      <c r="IL102" s="1943"/>
      <c r="IM102" s="1943"/>
      <c r="IN102" s="1943"/>
      <c r="IO102" s="1943"/>
      <c r="IP102" s="1943"/>
      <c r="IQ102" s="1943"/>
    </row>
    <row r="103" spans="1:251" hidden="1">
      <c r="A103" s="1026"/>
      <c r="B103" s="1026"/>
      <c r="C103" s="1026"/>
      <c r="D103" s="2021"/>
      <c r="E103" s="1026"/>
      <c r="F103" s="1942">
        <f t="shared" si="46"/>
        <v>0</v>
      </c>
      <c r="G103" s="1026"/>
      <c r="H103" s="1942">
        <f t="shared" si="47"/>
        <v>0</v>
      </c>
      <c r="I103" s="1026"/>
      <c r="J103" s="1942">
        <f t="shared" si="48"/>
        <v>0</v>
      </c>
      <c r="K103" s="1026"/>
      <c r="L103" s="1942">
        <f t="shared" si="49"/>
        <v>0</v>
      </c>
      <c r="M103" s="1942">
        <f t="shared" si="50"/>
        <v>0</v>
      </c>
      <c r="N103" s="1942">
        <f t="shared" si="51"/>
        <v>0</v>
      </c>
      <c r="O103" s="1026"/>
      <c r="P103" s="1026"/>
      <c r="Q103" s="1942">
        <f t="shared" si="52"/>
        <v>0</v>
      </c>
      <c r="R103" s="1942">
        <f t="shared" si="53"/>
        <v>0</v>
      </c>
      <c r="S103" s="1942">
        <f t="shared" si="54"/>
        <v>0</v>
      </c>
      <c r="T103" s="1942">
        <f t="shared" si="55"/>
        <v>0</v>
      </c>
      <c r="U103" s="1942">
        <f t="shared" si="56"/>
        <v>0</v>
      </c>
      <c r="V103" s="3034">
        <f t="shared" si="44"/>
        <v>0</v>
      </c>
      <c r="W103" s="3472"/>
      <c r="X103" s="1923">
        <v>0.01</v>
      </c>
      <c r="Y103" s="1943"/>
      <c r="Z103" s="1943"/>
      <c r="AA103" s="1943"/>
      <c r="AB103" s="1943"/>
      <c r="AC103" s="1943"/>
      <c r="AD103" s="1943"/>
      <c r="AE103" s="1943"/>
      <c r="AF103" s="1943"/>
      <c r="AG103" s="1943"/>
      <c r="AH103" s="1943"/>
      <c r="AI103" s="1943"/>
      <c r="AJ103" s="1943"/>
      <c r="AK103" s="1943"/>
      <c r="AL103" s="1943"/>
      <c r="AM103" s="1943"/>
      <c r="AN103" s="1943"/>
      <c r="AO103" s="1943"/>
      <c r="AP103" s="1943"/>
      <c r="AQ103" s="1943"/>
      <c r="AR103" s="1943"/>
      <c r="AS103" s="1943"/>
      <c r="AT103" s="1943"/>
      <c r="AU103" s="1943"/>
      <c r="AV103" s="1943"/>
      <c r="AW103" s="1943"/>
      <c r="AX103" s="1943"/>
      <c r="AY103" s="1943"/>
      <c r="AZ103" s="1943"/>
      <c r="BA103" s="1943"/>
      <c r="BB103" s="1943"/>
      <c r="BC103" s="1943"/>
      <c r="BD103" s="1943"/>
      <c r="BE103" s="1943"/>
      <c r="BF103" s="1943"/>
      <c r="BG103" s="1943"/>
      <c r="BH103" s="1943"/>
      <c r="BI103" s="1943"/>
      <c r="BJ103" s="1943"/>
      <c r="BK103" s="1943"/>
      <c r="BL103" s="1943"/>
      <c r="BM103" s="1943"/>
      <c r="BN103" s="1943"/>
      <c r="BO103" s="1943"/>
      <c r="BP103" s="1943"/>
      <c r="BQ103" s="1943"/>
      <c r="BR103" s="1943"/>
      <c r="BS103" s="1943"/>
      <c r="BT103" s="1943"/>
      <c r="BU103" s="1943"/>
      <c r="BV103" s="1943"/>
      <c r="BW103" s="1943"/>
      <c r="BX103" s="1943"/>
      <c r="BY103" s="1943"/>
      <c r="BZ103" s="1943"/>
      <c r="CA103" s="1943"/>
      <c r="CB103" s="1943"/>
      <c r="CC103" s="1943"/>
      <c r="CD103" s="1943"/>
      <c r="CE103" s="1943"/>
      <c r="CF103" s="1943"/>
      <c r="CG103" s="1943"/>
      <c r="CH103" s="1943"/>
      <c r="CI103" s="1943"/>
      <c r="CJ103" s="1943"/>
      <c r="CK103" s="1943"/>
      <c r="CL103" s="1943"/>
      <c r="CM103" s="1943"/>
      <c r="CN103" s="1943"/>
      <c r="CO103" s="1943"/>
      <c r="CP103" s="1943"/>
      <c r="CQ103" s="1943"/>
      <c r="CR103" s="1943"/>
      <c r="CS103" s="1943"/>
      <c r="CT103" s="1943"/>
      <c r="CU103" s="1943"/>
      <c r="CV103" s="1943"/>
      <c r="CW103" s="1943"/>
      <c r="CX103" s="1943"/>
      <c r="CY103" s="1943"/>
      <c r="CZ103" s="1943"/>
      <c r="DA103" s="1943"/>
      <c r="DB103" s="1943"/>
      <c r="DC103" s="1943"/>
      <c r="DD103" s="1943"/>
      <c r="DE103" s="1943"/>
      <c r="DF103" s="1943"/>
      <c r="DG103" s="1943"/>
      <c r="DH103" s="1943"/>
      <c r="DI103" s="1943"/>
      <c r="DJ103" s="1943"/>
      <c r="DK103" s="1943"/>
      <c r="DL103" s="1943"/>
      <c r="DM103" s="1943"/>
      <c r="DN103" s="1943"/>
      <c r="DO103" s="1943"/>
      <c r="DP103" s="1943"/>
      <c r="DQ103" s="1943"/>
      <c r="DR103" s="1943"/>
      <c r="DS103" s="1943"/>
      <c r="DT103" s="1943"/>
      <c r="DU103" s="1943"/>
      <c r="DV103" s="1943"/>
      <c r="DW103" s="1943"/>
      <c r="DX103" s="1943"/>
      <c r="DY103" s="1943"/>
      <c r="DZ103" s="1943"/>
      <c r="EA103" s="1943"/>
      <c r="EB103" s="1943"/>
      <c r="EC103" s="1943"/>
      <c r="ED103" s="1943"/>
      <c r="EE103" s="1943"/>
      <c r="EF103" s="1943"/>
      <c r="EG103" s="1943"/>
      <c r="EH103" s="1943"/>
      <c r="EI103" s="1943"/>
      <c r="EJ103" s="1943"/>
      <c r="EK103" s="1943"/>
      <c r="EL103" s="1943"/>
      <c r="EM103" s="1943"/>
      <c r="EN103" s="1943"/>
      <c r="EO103" s="1943"/>
      <c r="EP103" s="1943"/>
      <c r="EQ103" s="1943"/>
      <c r="ER103" s="1943"/>
      <c r="ES103" s="1943"/>
      <c r="ET103" s="1943"/>
      <c r="EU103" s="1943"/>
      <c r="EV103" s="1943"/>
      <c r="EW103" s="1943"/>
      <c r="EX103" s="1943"/>
      <c r="EY103" s="1943"/>
      <c r="EZ103" s="1943"/>
      <c r="FA103" s="1943"/>
      <c r="FB103" s="1943"/>
      <c r="FC103" s="1943"/>
      <c r="FD103" s="1943"/>
      <c r="FE103" s="1943"/>
      <c r="FF103" s="1943"/>
      <c r="FG103" s="1943"/>
      <c r="FH103" s="1943"/>
      <c r="FI103" s="1943"/>
      <c r="FJ103" s="1943"/>
      <c r="FK103" s="1943"/>
      <c r="FL103" s="1943"/>
      <c r="FM103" s="1943"/>
      <c r="FN103" s="1943"/>
      <c r="FO103" s="1943"/>
      <c r="FP103" s="1943"/>
      <c r="FQ103" s="1943"/>
      <c r="FR103" s="1943"/>
      <c r="FS103" s="1943"/>
      <c r="FT103" s="1943"/>
      <c r="FU103" s="1943"/>
      <c r="FV103" s="1943"/>
      <c r="FW103" s="1943"/>
      <c r="FX103" s="1943"/>
      <c r="FY103" s="1943"/>
      <c r="FZ103" s="1943"/>
      <c r="GA103" s="1943"/>
      <c r="GB103" s="1943"/>
      <c r="GC103" s="1943"/>
      <c r="GD103" s="1943"/>
      <c r="GE103" s="1943"/>
      <c r="GF103" s="1943"/>
      <c r="GG103" s="1943"/>
      <c r="GH103" s="1943"/>
      <c r="GI103" s="1943"/>
      <c r="GJ103" s="1943"/>
      <c r="GK103" s="1943"/>
      <c r="GL103" s="1943"/>
      <c r="GM103" s="1943"/>
      <c r="GN103" s="1943"/>
      <c r="GO103" s="1943"/>
      <c r="GP103" s="1943"/>
      <c r="GQ103" s="1943"/>
      <c r="GR103" s="1943"/>
      <c r="GS103" s="1943"/>
      <c r="GT103" s="1943"/>
      <c r="GU103" s="1943"/>
      <c r="GV103" s="1943"/>
      <c r="GW103" s="1943"/>
      <c r="GX103" s="1943"/>
      <c r="GY103" s="1943"/>
      <c r="GZ103" s="1943"/>
      <c r="HA103" s="1943"/>
      <c r="HB103" s="1943"/>
      <c r="HC103" s="1943"/>
      <c r="HD103" s="1943"/>
      <c r="HE103" s="1943"/>
      <c r="HF103" s="1943"/>
      <c r="HG103" s="1943"/>
      <c r="HH103" s="1943"/>
      <c r="HI103" s="1943"/>
      <c r="HJ103" s="1943"/>
      <c r="HK103" s="1943"/>
      <c r="HL103" s="1943"/>
      <c r="HM103" s="1943"/>
      <c r="HN103" s="1943"/>
      <c r="HO103" s="1943"/>
      <c r="HP103" s="1943"/>
      <c r="HQ103" s="1943"/>
      <c r="HR103" s="1943"/>
      <c r="HS103" s="1943"/>
      <c r="HT103" s="1943"/>
      <c r="HU103" s="1943"/>
      <c r="HV103" s="1943"/>
      <c r="HW103" s="1943"/>
      <c r="HX103" s="1943"/>
      <c r="HY103" s="1943"/>
      <c r="HZ103" s="1943"/>
      <c r="IA103" s="1943"/>
      <c r="IB103" s="1943"/>
      <c r="IC103" s="1943"/>
      <c r="ID103" s="1943"/>
      <c r="IE103" s="1943"/>
      <c r="IF103" s="1943"/>
      <c r="IG103" s="1943"/>
      <c r="IH103" s="1943"/>
      <c r="II103" s="1943"/>
      <c r="IJ103" s="1943"/>
      <c r="IK103" s="1943"/>
      <c r="IL103" s="1943"/>
      <c r="IM103" s="1943"/>
      <c r="IN103" s="1943"/>
      <c r="IO103" s="1943"/>
      <c r="IP103" s="1943"/>
      <c r="IQ103" s="1943"/>
    </row>
    <row r="104" spans="1:251" hidden="1">
      <c r="A104" s="1026"/>
      <c r="B104" s="1026"/>
      <c r="C104" s="1026"/>
      <c r="D104" s="2021"/>
      <c r="E104" s="1026"/>
      <c r="F104" s="1942">
        <f t="shared" si="46"/>
        <v>0</v>
      </c>
      <c r="G104" s="1026"/>
      <c r="H104" s="1942">
        <f t="shared" si="47"/>
        <v>0</v>
      </c>
      <c r="I104" s="1026"/>
      <c r="J104" s="1942">
        <f t="shared" si="48"/>
        <v>0</v>
      </c>
      <c r="K104" s="1026"/>
      <c r="L104" s="1942">
        <f t="shared" si="49"/>
        <v>0</v>
      </c>
      <c r="M104" s="1942">
        <f t="shared" si="50"/>
        <v>0</v>
      </c>
      <c r="N104" s="1942">
        <f t="shared" si="51"/>
        <v>0</v>
      </c>
      <c r="O104" s="1026"/>
      <c r="P104" s="1026"/>
      <c r="Q104" s="1942">
        <f t="shared" si="52"/>
        <v>0</v>
      </c>
      <c r="R104" s="1942">
        <f t="shared" si="53"/>
        <v>0</v>
      </c>
      <c r="S104" s="1942">
        <f t="shared" si="54"/>
        <v>0</v>
      </c>
      <c r="T104" s="1942">
        <f t="shared" si="55"/>
        <v>0</v>
      </c>
      <c r="U104" s="1942">
        <f t="shared" si="56"/>
        <v>0</v>
      </c>
      <c r="V104" s="3034">
        <f t="shared" si="44"/>
        <v>0</v>
      </c>
      <c r="W104" s="1942"/>
      <c r="X104" s="1923">
        <v>0.01</v>
      </c>
      <c r="Y104" s="1947"/>
      <c r="Z104" s="1947"/>
      <c r="AA104" s="1947"/>
      <c r="AB104" s="1947"/>
      <c r="AC104" s="1947"/>
      <c r="AD104" s="1947"/>
      <c r="AE104" s="1947"/>
      <c r="AF104" s="1947"/>
      <c r="AG104" s="1947"/>
      <c r="AH104" s="1947"/>
      <c r="AI104" s="1947"/>
      <c r="AJ104" s="1947"/>
      <c r="AK104" s="1947"/>
      <c r="AL104" s="1947"/>
      <c r="AM104" s="1947"/>
      <c r="AN104" s="1947"/>
      <c r="AO104" s="1947"/>
      <c r="AP104" s="1947"/>
      <c r="AQ104" s="1947"/>
      <c r="AR104" s="1947"/>
      <c r="AS104" s="1947"/>
      <c r="AT104" s="1947"/>
      <c r="AU104" s="1947"/>
      <c r="AV104" s="1947"/>
      <c r="AW104" s="1947"/>
      <c r="AX104" s="1947"/>
      <c r="AY104" s="1947"/>
      <c r="AZ104" s="1947"/>
      <c r="BA104" s="1947"/>
      <c r="BB104" s="1947"/>
      <c r="BC104" s="1947"/>
      <c r="BD104" s="1947"/>
      <c r="BE104" s="1947"/>
      <c r="BF104" s="1947"/>
      <c r="BG104" s="1947"/>
      <c r="BH104" s="1947"/>
      <c r="BI104" s="1947"/>
      <c r="BJ104" s="1947"/>
      <c r="BK104" s="1947"/>
      <c r="BL104" s="1947"/>
      <c r="BM104" s="1947"/>
      <c r="BN104" s="1947"/>
      <c r="BO104" s="1947"/>
      <c r="BP104" s="1947"/>
      <c r="BQ104" s="1947"/>
      <c r="BR104" s="1947"/>
      <c r="BS104" s="1947"/>
      <c r="BT104" s="1947"/>
      <c r="BU104" s="1947"/>
      <c r="BV104" s="1947"/>
      <c r="BW104" s="1947"/>
      <c r="BX104" s="1947"/>
      <c r="BY104" s="1947"/>
      <c r="BZ104" s="1947"/>
      <c r="CA104" s="1947"/>
      <c r="CB104" s="1947"/>
      <c r="CC104" s="1947"/>
      <c r="CD104" s="1947"/>
      <c r="CE104" s="1947"/>
      <c r="CF104" s="1947"/>
      <c r="CG104" s="1947"/>
      <c r="CH104" s="1947"/>
      <c r="CI104" s="1947"/>
      <c r="CJ104" s="1947"/>
      <c r="CK104" s="1947"/>
      <c r="CL104" s="1947"/>
      <c r="CM104" s="1947"/>
      <c r="CN104" s="1947"/>
      <c r="CO104" s="1947"/>
      <c r="CP104" s="1947"/>
      <c r="CQ104" s="1947"/>
      <c r="CR104" s="1947"/>
      <c r="CS104" s="1947"/>
      <c r="CT104" s="1947"/>
      <c r="CU104" s="1947"/>
      <c r="CV104" s="1947"/>
      <c r="CW104" s="1947"/>
      <c r="CX104" s="1947"/>
      <c r="CY104" s="1947"/>
      <c r="CZ104" s="1947"/>
      <c r="DA104" s="1947"/>
      <c r="DB104" s="1947"/>
      <c r="DC104" s="1947"/>
      <c r="DD104" s="1947"/>
      <c r="DE104" s="1947"/>
      <c r="DF104" s="1947"/>
      <c r="DG104" s="1947"/>
      <c r="DH104" s="1947"/>
      <c r="DI104" s="1947"/>
      <c r="DJ104" s="1947"/>
      <c r="DK104" s="1947"/>
      <c r="DL104" s="1947"/>
      <c r="DM104" s="1947"/>
      <c r="DN104" s="1947"/>
      <c r="DO104" s="1947"/>
      <c r="DP104" s="1947"/>
      <c r="DQ104" s="1947"/>
      <c r="DR104" s="1947"/>
      <c r="DS104" s="1947"/>
      <c r="DT104" s="1947"/>
      <c r="DU104" s="1947"/>
      <c r="DV104" s="1947"/>
      <c r="DW104" s="1947"/>
      <c r="DX104" s="1947"/>
      <c r="DY104" s="1947"/>
      <c r="DZ104" s="1947"/>
      <c r="EA104" s="1947"/>
      <c r="EB104" s="1947"/>
      <c r="EC104" s="1947"/>
      <c r="ED104" s="1947"/>
      <c r="EE104" s="1947"/>
      <c r="EF104" s="1947"/>
      <c r="EG104" s="1947"/>
      <c r="EH104" s="1947"/>
      <c r="EI104" s="1947"/>
      <c r="EJ104" s="1947"/>
      <c r="EK104" s="1947"/>
      <c r="EL104" s="1947"/>
      <c r="EM104" s="1947"/>
      <c r="EN104" s="1947"/>
      <c r="EO104" s="1947"/>
      <c r="EP104" s="1947"/>
      <c r="EQ104" s="1947"/>
      <c r="ER104" s="1947"/>
      <c r="ES104" s="1947"/>
      <c r="ET104" s="1947"/>
      <c r="EU104" s="1947"/>
      <c r="EV104" s="1947"/>
      <c r="EW104" s="1947"/>
      <c r="EX104" s="1947"/>
      <c r="EY104" s="1947"/>
      <c r="EZ104" s="1947"/>
      <c r="FA104" s="1947"/>
      <c r="FB104" s="1947"/>
      <c r="FC104" s="1947"/>
      <c r="FD104" s="1947"/>
      <c r="FE104" s="1947"/>
      <c r="FF104" s="1947"/>
      <c r="FG104" s="1947"/>
      <c r="FH104" s="1947"/>
      <c r="FI104" s="1947"/>
      <c r="FJ104" s="1947"/>
      <c r="FK104" s="1947"/>
      <c r="FL104" s="1947"/>
      <c r="FM104" s="1947"/>
      <c r="FN104" s="1947"/>
      <c r="FO104" s="1947"/>
      <c r="FP104" s="1947"/>
      <c r="FQ104" s="1947"/>
      <c r="FR104" s="1947"/>
      <c r="FS104" s="1947"/>
      <c r="FT104" s="1947"/>
      <c r="FU104" s="1947"/>
      <c r="FV104" s="1947"/>
      <c r="FW104" s="1947"/>
      <c r="FX104" s="1947"/>
      <c r="FY104" s="1947"/>
      <c r="FZ104" s="1947"/>
      <c r="GA104" s="1947"/>
      <c r="GB104" s="1947"/>
      <c r="GC104" s="1947"/>
      <c r="GD104" s="1947"/>
      <c r="GE104" s="1947"/>
      <c r="GF104" s="1947"/>
      <c r="GG104" s="1947"/>
      <c r="GH104" s="1947"/>
      <c r="GI104" s="1947"/>
      <c r="GJ104" s="1947"/>
      <c r="GK104" s="1947"/>
      <c r="GL104" s="1947"/>
      <c r="GM104" s="1947"/>
      <c r="GN104" s="1947"/>
      <c r="GO104" s="1947"/>
      <c r="GP104" s="1947"/>
      <c r="GQ104" s="1947"/>
      <c r="GR104" s="1947"/>
      <c r="GS104" s="1947"/>
      <c r="GT104" s="1947"/>
      <c r="GU104" s="1947"/>
      <c r="GV104" s="1947"/>
      <c r="GW104" s="1947"/>
      <c r="GX104" s="1947"/>
      <c r="GY104" s="1947"/>
      <c r="GZ104" s="1947"/>
      <c r="HA104" s="1947"/>
      <c r="HB104" s="1947"/>
      <c r="HC104" s="1947"/>
      <c r="HD104" s="1947"/>
      <c r="HE104" s="1947"/>
      <c r="HF104" s="1947"/>
      <c r="HG104" s="1947"/>
      <c r="HH104" s="1947"/>
      <c r="HI104" s="1947"/>
      <c r="HJ104" s="1947"/>
      <c r="HK104" s="1947"/>
      <c r="HL104" s="1947"/>
      <c r="HM104" s="1947"/>
      <c r="HN104" s="1947"/>
      <c r="HO104" s="1947"/>
      <c r="HP104" s="1947"/>
      <c r="HQ104" s="1947"/>
      <c r="HR104" s="1947"/>
      <c r="HS104" s="1947"/>
      <c r="HT104" s="1947"/>
      <c r="HU104" s="1947"/>
      <c r="HV104" s="1947"/>
      <c r="HW104" s="1947"/>
      <c r="HX104" s="1947"/>
      <c r="HY104" s="1947"/>
      <c r="HZ104" s="1947"/>
      <c r="IA104" s="1947"/>
      <c r="IB104" s="1947"/>
      <c r="IC104" s="1947"/>
      <c r="ID104" s="1947"/>
      <c r="IE104" s="1947"/>
      <c r="IF104" s="1947"/>
      <c r="IG104" s="1947"/>
      <c r="IH104" s="1947"/>
      <c r="II104" s="1947"/>
      <c r="IJ104" s="1947"/>
      <c r="IK104" s="1947"/>
      <c r="IL104" s="1947"/>
      <c r="IM104" s="1947"/>
      <c r="IN104" s="1947"/>
      <c r="IO104" s="1947"/>
      <c r="IP104" s="1947"/>
      <c r="IQ104" s="1947"/>
    </row>
    <row r="105" spans="1:251" hidden="1">
      <c r="A105" s="1026"/>
      <c r="B105" s="1026"/>
      <c r="C105" s="1026"/>
      <c r="D105" s="2021"/>
      <c r="E105" s="1026"/>
      <c r="F105" s="1942">
        <f t="shared" si="46"/>
        <v>0</v>
      </c>
      <c r="G105" s="1026"/>
      <c r="H105" s="1942">
        <f t="shared" si="47"/>
        <v>0</v>
      </c>
      <c r="I105" s="1026"/>
      <c r="J105" s="1942">
        <f t="shared" si="48"/>
        <v>0</v>
      </c>
      <c r="K105" s="1026"/>
      <c r="L105" s="1942">
        <f t="shared" si="49"/>
        <v>0</v>
      </c>
      <c r="M105" s="1942">
        <f t="shared" si="50"/>
        <v>0</v>
      </c>
      <c r="N105" s="1942">
        <f t="shared" si="51"/>
        <v>0</v>
      </c>
      <c r="O105" s="1026"/>
      <c r="P105" s="1026"/>
      <c r="Q105" s="1942">
        <f t="shared" si="52"/>
        <v>0</v>
      </c>
      <c r="R105" s="1942">
        <f t="shared" si="53"/>
        <v>0</v>
      </c>
      <c r="S105" s="1942">
        <f t="shared" si="54"/>
        <v>0</v>
      </c>
      <c r="T105" s="1942">
        <f t="shared" si="55"/>
        <v>0</v>
      </c>
      <c r="U105" s="1942">
        <f t="shared" si="56"/>
        <v>0</v>
      </c>
      <c r="V105" s="3034">
        <f t="shared" si="44"/>
        <v>0</v>
      </c>
      <c r="W105" s="1942"/>
      <c r="X105" s="1923">
        <v>0.01</v>
      </c>
      <c r="Y105" s="1947"/>
      <c r="Z105" s="1947"/>
      <c r="AA105" s="1947"/>
      <c r="AB105" s="1947"/>
      <c r="AC105" s="1947"/>
      <c r="AD105" s="1947"/>
      <c r="AE105" s="1947"/>
      <c r="AF105" s="1947"/>
      <c r="AG105" s="1947"/>
      <c r="AH105" s="1947"/>
      <c r="AI105" s="1947"/>
      <c r="AJ105" s="1947"/>
      <c r="AK105" s="1947"/>
      <c r="AL105" s="1947"/>
      <c r="AM105" s="1947"/>
      <c r="AN105" s="1947"/>
      <c r="AO105" s="1947"/>
      <c r="AP105" s="1947"/>
      <c r="AQ105" s="1947"/>
      <c r="AR105" s="1947"/>
      <c r="AS105" s="1947"/>
      <c r="AT105" s="1947"/>
      <c r="AU105" s="1947"/>
      <c r="AV105" s="1947"/>
      <c r="AW105" s="1947"/>
      <c r="AX105" s="1947"/>
      <c r="AY105" s="1947"/>
      <c r="AZ105" s="1947"/>
      <c r="BA105" s="1947"/>
      <c r="BB105" s="1947"/>
      <c r="BC105" s="1947"/>
      <c r="BD105" s="1947"/>
      <c r="BE105" s="1947"/>
      <c r="BF105" s="1947"/>
      <c r="BG105" s="1947"/>
      <c r="BH105" s="1947"/>
      <c r="BI105" s="1947"/>
      <c r="BJ105" s="1947"/>
      <c r="BK105" s="1947"/>
      <c r="BL105" s="1947"/>
      <c r="BM105" s="1947"/>
      <c r="BN105" s="1947"/>
      <c r="BO105" s="1947"/>
      <c r="BP105" s="1947"/>
      <c r="BQ105" s="1947"/>
      <c r="BR105" s="1947"/>
      <c r="BS105" s="1947"/>
      <c r="BT105" s="1947"/>
      <c r="BU105" s="1947"/>
      <c r="BV105" s="1947"/>
      <c r="BW105" s="1947"/>
      <c r="BX105" s="1947"/>
      <c r="BY105" s="1947"/>
      <c r="BZ105" s="1947"/>
      <c r="CA105" s="1947"/>
      <c r="CB105" s="1947"/>
      <c r="CC105" s="1947"/>
      <c r="CD105" s="1947"/>
      <c r="CE105" s="1947"/>
      <c r="CF105" s="1947"/>
      <c r="CG105" s="1947"/>
      <c r="CH105" s="1947"/>
      <c r="CI105" s="1947"/>
      <c r="CJ105" s="1947"/>
      <c r="CK105" s="1947"/>
      <c r="CL105" s="1947"/>
      <c r="CM105" s="1947"/>
      <c r="CN105" s="1947"/>
      <c r="CO105" s="1947"/>
      <c r="CP105" s="1947"/>
      <c r="CQ105" s="1947"/>
      <c r="CR105" s="1947"/>
      <c r="CS105" s="1947"/>
      <c r="CT105" s="1947"/>
      <c r="CU105" s="1947"/>
      <c r="CV105" s="1947"/>
      <c r="CW105" s="1947"/>
      <c r="CX105" s="1947"/>
      <c r="CY105" s="1947"/>
      <c r="CZ105" s="1947"/>
      <c r="DA105" s="1947"/>
      <c r="DB105" s="1947"/>
      <c r="DC105" s="1947"/>
      <c r="DD105" s="1947"/>
      <c r="DE105" s="1947"/>
      <c r="DF105" s="1947"/>
      <c r="DG105" s="1947"/>
      <c r="DH105" s="1947"/>
      <c r="DI105" s="1947"/>
      <c r="DJ105" s="1947"/>
      <c r="DK105" s="1947"/>
      <c r="DL105" s="1947"/>
      <c r="DM105" s="1947"/>
      <c r="DN105" s="1947"/>
      <c r="DO105" s="1947"/>
      <c r="DP105" s="1947"/>
      <c r="DQ105" s="1947"/>
      <c r="DR105" s="1947"/>
      <c r="DS105" s="1947"/>
      <c r="DT105" s="1947"/>
      <c r="DU105" s="1947"/>
      <c r="DV105" s="1947"/>
      <c r="DW105" s="1947"/>
      <c r="DX105" s="1947"/>
      <c r="DY105" s="1947"/>
      <c r="DZ105" s="1947"/>
      <c r="EA105" s="1947"/>
      <c r="EB105" s="1947"/>
      <c r="EC105" s="1947"/>
      <c r="ED105" s="1947"/>
      <c r="EE105" s="1947"/>
      <c r="EF105" s="1947"/>
      <c r="EG105" s="1947"/>
      <c r="EH105" s="1947"/>
      <c r="EI105" s="1947"/>
      <c r="EJ105" s="1947"/>
      <c r="EK105" s="1947"/>
      <c r="EL105" s="1947"/>
      <c r="EM105" s="1947"/>
      <c r="EN105" s="1947"/>
      <c r="EO105" s="1947"/>
      <c r="EP105" s="1947"/>
      <c r="EQ105" s="1947"/>
      <c r="ER105" s="1947"/>
      <c r="ES105" s="1947"/>
      <c r="ET105" s="1947"/>
      <c r="EU105" s="1947"/>
      <c r="EV105" s="1947"/>
      <c r="EW105" s="1947"/>
      <c r="EX105" s="1947"/>
      <c r="EY105" s="1947"/>
      <c r="EZ105" s="1947"/>
      <c r="FA105" s="1947"/>
      <c r="FB105" s="1947"/>
      <c r="FC105" s="1947"/>
      <c r="FD105" s="1947"/>
      <c r="FE105" s="1947"/>
      <c r="FF105" s="1947"/>
      <c r="FG105" s="1947"/>
      <c r="FH105" s="1947"/>
      <c r="FI105" s="1947"/>
      <c r="FJ105" s="1947"/>
      <c r="FK105" s="1947"/>
      <c r="FL105" s="1947"/>
      <c r="FM105" s="1947"/>
      <c r="FN105" s="1947"/>
      <c r="FO105" s="1947"/>
      <c r="FP105" s="1947"/>
      <c r="FQ105" s="1947"/>
      <c r="FR105" s="1947"/>
      <c r="FS105" s="1947"/>
      <c r="FT105" s="1947"/>
      <c r="FU105" s="1947"/>
      <c r="FV105" s="1947"/>
      <c r="FW105" s="1947"/>
      <c r="FX105" s="1947"/>
      <c r="FY105" s="1947"/>
      <c r="FZ105" s="1947"/>
      <c r="GA105" s="1947"/>
      <c r="GB105" s="1947"/>
      <c r="GC105" s="1947"/>
      <c r="GD105" s="1947"/>
      <c r="GE105" s="1947"/>
      <c r="GF105" s="1947"/>
      <c r="GG105" s="1947"/>
      <c r="GH105" s="1947"/>
      <c r="GI105" s="1947"/>
      <c r="GJ105" s="1947"/>
      <c r="GK105" s="1947"/>
      <c r="GL105" s="1947"/>
      <c r="GM105" s="1947"/>
      <c r="GN105" s="1947"/>
      <c r="GO105" s="1947"/>
      <c r="GP105" s="1947"/>
      <c r="GQ105" s="1947"/>
      <c r="GR105" s="1947"/>
      <c r="GS105" s="1947"/>
      <c r="GT105" s="1947"/>
      <c r="GU105" s="1947"/>
      <c r="GV105" s="1947"/>
      <c r="GW105" s="1947"/>
      <c r="GX105" s="1947"/>
      <c r="GY105" s="1947"/>
      <c r="GZ105" s="1947"/>
      <c r="HA105" s="1947"/>
      <c r="HB105" s="1947"/>
      <c r="HC105" s="1947"/>
      <c r="HD105" s="1947"/>
      <c r="HE105" s="1947"/>
      <c r="HF105" s="1947"/>
      <c r="HG105" s="1947"/>
      <c r="HH105" s="1947"/>
      <c r="HI105" s="1947"/>
      <c r="HJ105" s="1947"/>
      <c r="HK105" s="1947"/>
      <c r="HL105" s="1947"/>
      <c r="HM105" s="1947"/>
      <c r="HN105" s="1947"/>
      <c r="HO105" s="1947"/>
      <c r="HP105" s="1947"/>
      <c r="HQ105" s="1947"/>
      <c r="HR105" s="1947"/>
      <c r="HS105" s="1947"/>
      <c r="HT105" s="1947"/>
      <c r="HU105" s="1947"/>
      <c r="HV105" s="1947"/>
      <c r="HW105" s="1947"/>
      <c r="HX105" s="1947"/>
      <c r="HY105" s="1947"/>
      <c r="HZ105" s="1947"/>
      <c r="IA105" s="1947"/>
      <c r="IB105" s="1947"/>
      <c r="IC105" s="1947"/>
      <c r="ID105" s="1947"/>
      <c r="IE105" s="1947"/>
      <c r="IF105" s="1947"/>
      <c r="IG105" s="1947"/>
      <c r="IH105" s="1947"/>
      <c r="II105" s="1947"/>
      <c r="IJ105" s="1947"/>
      <c r="IK105" s="1947"/>
      <c r="IL105" s="1947"/>
      <c r="IM105" s="1947"/>
      <c r="IN105" s="1947"/>
      <c r="IO105" s="1947"/>
      <c r="IP105" s="1947"/>
      <c r="IQ105" s="1947"/>
    </row>
    <row r="106" spans="1:251" hidden="1">
      <c r="A106" s="1026"/>
      <c r="B106" s="1026"/>
      <c r="C106" s="1026"/>
      <c r="D106" s="2021"/>
      <c r="E106" s="1026"/>
      <c r="F106" s="1942">
        <f t="shared" si="46"/>
        <v>0</v>
      </c>
      <c r="G106" s="1026"/>
      <c r="H106" s="1942">
        <f t="shared" si="47"/>
        <v>0</v>
      </c>
      <c r="I106" s="1026"/>
      <c r="J106" s="1942">
        <f t="shared" si="48"/>
        <v>0</v>
      </c>
      <c r="K106" s="1026"/>
      <c r="L106" s="1942">
        <f t="shared" si="49"/>
        <v>0</v>
      </c>
      <c r="M106" s="1942">
        <f t="shared" si="50"/>
        <v>0</v>
      </c>
      <c r="N106" s="1942">
        <f t="shared" si="51"/>
        <v>0</v>
      </c>
      <c r="O106" s="1026"/>
      <c r="P106" s="1026"/>
      <c r="Q106" s="1942">
        <f t="shared" si="52"/>
        <v>0</v>
      </c>
      <c r="R106" s="1942">
        <f t="shared" si="53"/>
        <v>0</v>
      </c>
      <c r="S106" s="1942">
        <f t="shared" si="54"/>
        <v>0</v>
      </c>
      <c r="T106" s="1942">
        <f t="shared" si="55"/>
        <v>0</v>
      </c>
      <c r="U106" s="1942">
        <f t="shared" si="56"/>
        <v>0</v>
      </c>
      <c r="V106" s="3034">
        <f t="shared" si="44"/>
        <v>0</v>
      </c>
      <c r="W106" s="1942"/>
      <c r="X106" s="1923">
        <v>0.01</v>
      </c>
      <c r="Y106" s="1947"/>
      <c r="Z106" s="1947"/>
      <c r="AA106" s="1947"/>
      <c r="AB106" s="1947"/>
      <c r="AC106" s="1947"/>
      <c r="AD106" s="1947"/>
      <c r="AE106" s="1947"/>
      <c r="AF106" s="1947"/>
      <c r="AG106" s="1947"/>
      <c r="AH106" s="1947"/>
      <c r="AI106" s="1947"/>
      <c r="AJ106" s="1947"/>
      <c r="AK106" s="1947"/>
      <c r="AL106" s="1947"/>
      <c r="AM106" s="1947"/>
      <c r="AN106" s="1947"/>
      <c r="AO106" s="1947"/>
      <c r="AP106" s="1947"/>
      <c r="AQ106" s="1947"/>
      <c r="AR106" s="1947"/>
      <c r="AS106" s="1947"/>
      <c r="AT106" s="1947"/>
      <c r="AU106" s="1947"/>
      <c r="AV106" s="1947"/>
      <c r="AW106" s="1947"/>
      <c r="AX106" s="1947"/>
      <c r="AY106" s="1947"/>
      <c r="AZ106" s="1947"/>
      <c r="BA106" s="1947"/>
      <c r="BB106" s="1947"/>
      <c r="BC106" s="1947"/>
      <c r="BD106" s="1947"/>
      <c r="BE106" s="1947"/>
      <c r="BF106" s="1947"/>
      <c r="BG106" s="1947"/>
      <c r="BH106" s="1947"/>
      <c r="BI106" s="1947"/>
      <c r="BJ106" s="1947"/>
      <c r="BK106" s="1947"/>
      <c r="BL106" s="1947"/>
      <c r="BM106" s="1947"/>
      <c r="BN106" s="1947"/>
      <c r="BO106" s="1947"/>
      <c r="BP106" s="1947"/>
      <c r="BQ106" s="1947"/>
      <c r="BR106" s="1947"/>
      <c r="BS106" s="1947"/>
      <c r="BT106" s="1947"/>
      <c r="BU106" s="1947"/>
      <c r="BV106" s="1947"/>
      <c r="BW106" s="1947"/>
      <c r="BX106" s="1947"/>
      <c r="BY106" s="1947"/>
      <c r="BZ106" s="1947"/>
      <c r="CA106" s="1947"/>
      <c r="CB106" s="1947"/>
      <c r="CC106" s="1947"/>
      <c r="CD106" s="1947"/>
      <c r="CE106" s="1947"/>
      <c r="CF106" s="1947"/>
      <c r="CG106" s="1947"/>
      <c r="CH106" s="1947"/>
      <c r="CI106" s="1947"/>
      <c r="CJ106" s="1947"/>
      <c r="CK106" s="1947"/>
      <c r="CL106" s="1947"/>
      <c r="CM106" s="1947"/>
      <c r="CN106" s="1947"/>
      <c r="CO106" s="1947"/>
      <c r="CP106" s="1947"/>
      <c r="CQ106" s="1947"/>
      <c r="CR106" s="1947"/>
      <c r="CS106" s="1947"/>
      <c r="CT106" s="1947"/>
      <c r="CU106" s="1947"/>
      <c r="CV106" s="1947"/>
      <c r="CW106" s="1947"/>
      <c r="CX106" s="1947"/>
      <c r="CY106" s="1947"/>
      <c r="CZ106" s="1947"/>
      <c r="DA106" s="1947"/>
      <c r="DB106" s="1947"/>
      <c r="DC106" s="1947"/>
      <c r="DD106" s="1947"/>
      <c r="DE106" s="1947"/>
      <c r="DF106" s="1947"/>
      <c r="DG106" s="1947"/>
      <c r="DH106" s="1947"/>
      <c r="DI106" s="1947"/>
      <c r="DJ106" s="1947"/>
      <c r="DK106" s="1947"/>
      <c r="DL106" s="1947"/>
      <c r="DM106" s="1947"/>
      <c r="DN106" s="1947"/>
      <c r="DO106" s="1947"/>
      <c r="DP106" s="1947"/>
      <c r="DQ106" s="1947"/>
      <c r="DR106" s="1947"/>
      <c r="DS106" s="1947"/>
      <c r="DT106" s="1947"/>
      <c r="DU106" s="1947"/>
      <c r="DV106" s="1947"/>
      <c r="DW106" s="1947"/>
      <c r="DX106" s="1947"/>
      <c r="DY106" s="1947"/>
      <c r="DZ106" s="1947"/>
      <c r="EA106" s="1947"/>
      <c r="EB106" s="1947"/>
      <c r="EC106" s="1947"/>
      <c r="ED106" s="1947"/>
      <c r="EE106" s="1947"/>
      <c r="EF106" s="1947"/>
      <c r="EG106" s="1947"/>
      <c r="EH106" s="1947"/>
      <c r="EI106" s="1947"/>
      <c r="EJ106" s="1947"/>
      <c r="EK106" s="1947"/>
      <c r="EL106" s="1947"/>
      <c r="EM106" s="1947"/>
      <c r="EN106" s="1947"/>
      <c r="EO106" s="1947"/>
      <c r="EP106" s="1947"/>
      <c r="EQ106" s="1947"/>
      <c r="ER106" s="1947"/>
      <c r="ES106" s="1947"/>
      <c r="ET106" s="1947"/>
      <c r="EU106" s="1947"/>
      <c r="EV106" s="1947"/>
      <c r="EW106" s="1947"/>
      <c r="EX106" s="1947"/>
      <c r="EY106" s="1947"/>
      <c r="EZ106" s="1947"/>
      <c r="FA106" s="1947"/>
      <c r="FB106" s="1947"/>
      <c r="FC106" s="1947"/>
      <c r="FD106" s="1947"/>
      <c r="FE106" s="1947"/>
      <c r="FF106" s="1947"/>
      <c r="FG106" s="1947"/>
      <c r="FH106" s="1947"/>
      <c r="FI106" s="1947"/>
      <c r="FJ106" s="1947"/>
      <c r="FK106" s="1947"/>
      <c r="FL106" s="1947"/>
      <c r="FM106" s="1947"/>
      <c r="FN106" s="1947"/>
      <c r="FO106" s="1947"/>
      <c r="FP106" s="1947"/>
      <c r="FQ106" s="1947"/>
      <c r="FR106" s="1947"/>
      <c r="FS106" s="1947"/>
      <c r="FT106" s="1947"/>
      <c r="FU106" s="1947"/>
      <c r="FV106" s="1947"/>
      <c r="FW106" s="1947"/>
      <c r="FX106" s="1947"/>
      <c r="FY106" s="1947"/>
      <c r="FZ106" s="1947"/>
      <c r="GA106" s="1947"/>
      <c r="GB106" s="1947"/>
      <c r="GC106" s="1947"/>
      <c r="GD106" s="1947"/>
      <c r="GE106" s="1947"/>
      <c r="GF106" s="1947"/>
      <c r="GG106" s="1947"/>
      <c r="GH106" s="1947"/>
      <c r="GI106" s="1947"/>
      <c r="GJ106" s="1947"/>
      <c r="GK106" s="1947"/>
      <c r="GL106" s="1947"/>
      <c r="GM106" s="1947"/>
      <c r="GN106" s="1947"/>
      <c r="GO106" s="1947"/>
      <c r="GP106" s="1947"/>
      <c r="GQ106" s="1947"/>
      <c r="GR106" s="1947"/>
      <c r="GS106" s="1947"/>
      <c r="GT106" s="1947"/>
      <c r="GU106" s="1947"/>
      <c r="GV106" s="1947"/>
      <c r="GW106" s="1947"/>
      <c r="GX106" s="1947"/>
      <c r="GY106" s="1947"/>
      <c r="GZ106" s="1947"/>
      <c r="HA106" s="1947"/>
      <c r="HB106" s="1947"/>
      <c r="HC106" s="1947"/>
      <c r="HD106" s="1947"/>
      <c r="HE106" s="1947"/>
      <c r="HF106" s="1947"/>
      <c r="HG106" s="1947"/>
      <c r="HH106" s="1947"/>
      <c r="HI106" s="1947"/>
      <c r="HJ106" s="1947"/>
      <c r="HK106" s="1947"/>
      <c r="HL106" s="1947"/>
      <c r="HM106" s="1947"/>
      <c r="HN106" s="1947"/>
      <c r="HO106" s="1947"/>
      <c r="HP106" s="1947"/>
      <c r="HQ106" s="1947"/>
      <c r="HR106" s="1947"/>
      <c r="HS106" s="1947"/>
      <c r="HT106" s="1947"/>
      <c r="HU106" s="1947"/>
      <c r="HV106" s="1947"/>
      <c r="HW106" s="1947"/>
      <c r="HX106" s="1947"/>
      <c r="HY106" s="1947"/>
      <c r="HZ106" s="1947"/>
      <c r="IA106" s="1947"/>
      <c r="IB106" s="1947"/>
      <c r="IC106" s="1947"/>
      <c r="ID106" s="1947"/>
      <c r="IE106" s="1947"/>
      <c r="IF106" s="1947"/>
      <c r="IG106" s="1947"/>
      <c r="IH106" s="1947"/>
      <c r="II106" s="1947"/>
      <c r="IJ106" s="1947"/>
      <c r="IK106" s="1947"/>
      <c r="IL106" s="1947"/>
      <c r="IM106" s="1947"/>
      <c r="IN106" s="1947"/>
      <c r="IO106" s="1947"/>
      <c r="IP106" s="1947"/>
      <c r="IQ106" s="1947"/>
    </row>
    <row r="107" spans="1:251" hidden="1">
      <c r="A107" s="1026"/>
      <c r="B107" s="1026"/>
      <c r="C107" s="1026"/>
      <c r="D107" s="2021"/>
      <c r="E107" s="1026"/>
      <c r="F107" s="1942">
        <f t="shared" si="46"/>
        <v>0</v>
      </c>
      <c r="G107" s="1026"/>
      <c r="H107" s="1942">
        <f t="shared" si="47"/>
        <v>0</v>
      </c>
      <c r="I107" s="1026"/>
      <c r="J107" s="1942">
        <f t="shared" si="48"/>
        <v>0</v>
      </c>
      <c r="K107" s="1026"/>
      <c r="L107" s="1942">
        <f t="shared" si="49"/>
        <v>0</v>
      </c>
      <c r="M107" s="1942">
        <f t="shared" si="50"/>
        <v>0</v>
      </c>
      <c r="N107" s="1942">
        <f t="shared" si="51"/>
        <v>0</v>
      </c>
      <c r="O107" s="1026"/>
      <c r="P107" s="1026"/>
      <c r="Q107" s="1942">
        <f t="shared" si="52"/>
        <v>0</v>
      </c>
      <c r="R107" s="1942">
        <f t="shared" si="53"/>
        <v>0</v>
      </c>
      <c r="S107" s="1942">
        <f t="shared" si="54"/>
        <v>0</v>
      </c>
      <c r="T107" s="1942">
        <f t="shared" si="55"/>
        <v>0</v>
      </c>
      <c r="U107" s="1942">
        <f t="shared" si="56"/>
        <v>0</v>
      </c>
      <c r="V107" s="3034">
        <f t="shared" si="44"/>
        <v>0</v>
      </c>
      <c r="W107" s="1942"/>
      <c r="X107" s="1923">
        <v>0.01</v>
      </c>
      <c r="Y107" s="1947"/>
      <c r="Z107" s="1947"/>
      <c r="AA107" s="1947"/>
      <c r="AB107" s="1947"/>
      <c r="AC107" s="1947"/>
      <c r="AD107" s="1947"/>
      <c r="AE107" s="1947"/>
      <c r="AF107" s="1947"/>
      <c r="AG107" s="1947"/>
      <c r="AH107" s="1947"/>
      <c r="AI107" s="1947"/>
      <c r="AJ107" s="1947"/>
      <c r="AK107" s="1947"/>
      <c r="AL107" s="1947"/>
      <c r="AM107" s="1947"/>
      <c r="AN107" s="1947"/>
      <c r="AO107" s="1947"/>
      <c r="AP107" s="1947"/>
      <c r="AQ107" s="1947"/>
      <c r="AR107" s="1947"/>
      <c r="AS107" s="1947"/>
      <c r="AT107" s="1947"/>
      <c r="AU107" s="1947"/>
      <c r="AV107" s="1947"/>
      <c r="AW107" s="1947"/>
      <c r="AX107" s="1947"/>
      <c r="AY107" s="1947"/>
      <c r="AZ107" s="1947"/>
      <c r="BA107" s="1947"/>
      <c r="BB107" s="1947"/>
      <c r="BC107" s="1947"/>
      <c r="BD107" s="1947"/>
      <c r="BE107" s="1947"/>
      <c r="BF107" s="1947"/>
      <c r="BG107" s="1947"/>
      <c r="BH107" s="1947"/>
      <c r="BI107" s="1947"/>
      <c r="BJ107" s="1947"/>
      <c r="BK107" s="1947"/>
      <c r="BL107" s="1947"/>
      <c r="BM107" s="1947"/>
      <c r="BN107" s="1947"/>
      <c r="BO107" s="1947"/>
      <c r="BP107" s="1947"/>
      <c r="BQ107" s="1947"/>
      <c r="BR107" s="1947"/>
      <c r="BS107" s="1947"/>
      <c r="BT107" s="1947"/>
      <c r="BU107" s="1947"/>
      <c r="BV107" s="1947"/>
      <c r="BW107" s="1947"/>
      <c r="BX107" s="1947"/>
      <c r="BY107" s="1947"/>
      <c r="BZ107" s="1947"/>
      <c r="CA107" s="1947"/>
      <c r="CB107" s="1947"/>
      <c r="CC107" s="1947"/>
      <c r="CD107" s="1947"/>
      <c r="CE107" s="1947"/>
      <c r="CF107" s="1947"/>
      <c r="CG107" s="1947"/>
      <c r="CH107" s="1947"/>
      <c r="CI107" s="1947"/>
      <c r="CJ107" s="1947"/>
      <c r="CK107" s="1947"/>
      <c r="CL107" s="1947"/>
      <c r="CM107" s="1947"/>
      <c r="CN107" s="1947"/>
      <c r="CO107" s="1947"/>
      <c r="CP107" s="1947"/>
      <c r="CQ107" s="1947"/>
      <c r="CR107" s="1947"/>
      <c r="CS107" s="1947"/>
      <c r="CT107" s="1947"/>
      <c r="CU107" s="1947"/>
      <c r="CV107" s="1947"/>
      <c r="CW107" s="1947"/>
      <c r="CX107" s="1947"/>
      <c r="CY107" s="1947"/>
      <c r="CZ107" s="1947"/>
      <c r="DA107" s="1947"/>
      <c r="DB107" s="1947"/>
      <c r="DC107" s="1947"/>
      <c r="DD107" s="1947"/>
      <c r="DE107" s="1947"/>
      <c r="DF107" s="1947"/>
      <c r="DG107" s="1947"/>
      <c r="DH107" s="1947"/>
      <c r="DI107" s="1947"/>
      <c r="DJ107" s="1947"/>
      <c r="DK107" s="1947"/>
      <c r="DL107" s="1947"/>
      <c r="DM107" s="1947"/>
      <c r="DN107" s="1947"/>
      <c r="DO107" s="1947"/>
      <c r="DP107" s="1947"/>
      <c r="DQ107" s="1947"/>
      <c r="DR107" s="1947"/>
      <c r="DS107" s="1947"/>
      <c r="DT107" s="1947"/>
      <c r="DU107" s="1947"/>
      <c r="DV107" s="1947"/>
      <c r="DW107" s="1947"/>
      <c r="DX107" s="1947"/>
      <c r="DY107" s="1947"/>
      <c r="DZ107" s="1947"/>
      <c r="EA107" s="1947"/>
      <c r="EB107" s="1947"/>
      <c r="EC107" s="1947"/>
      <c r="ED107" s="1947"/>
      <c r="EE107" s="1947"/>
      <c r="EF107" s="1947"/>
      <c r="EG107" s="1947"/>
      <c r="EH107" s="1947"/>
      <c r="EI107" s="1947"/>
      <c r="EJ107" s="1947"/>
      <c r="EK107" s="1947"/>
      <c r="EL107" s="1947"/>
      <c r="EM107" s="1947"/>
      <c r="EN107" s="1947"/>
      <c r="EO107" s="1947"/>
      <c r="EP107" s="1947"/>
      <c r="EQ107" s="1947"/>
      <c r="ER107" s="1947"/>
      <c r="ES107" s="1947"/>
      <c r="ET107" s="1947"/>
      <c r="EU107" s="1947"/>
      <c r="EV107" s="1947"/>
      <c r="EW107" s="1947"/>
      <c r="EX107" s="1947"/>
      <c r="EY107" s="1947"/>
      <c r="EZ107" s="1947"/>
      <c r="FA107" s="1947"/>
      <c r="FB107" s="1947"/>
      <c r="FC107" s="1947"/>
      <c r="FD107" s="1947"/>
      <c r="FE107" s="1947"/>
      <c r="FF107" s="1947"/>
      <c r="FG107" s="1947"/>
      <c r="FH107" s="1947"/>
      <c r="FI107" s="1947"/>
      <c r="FJ107" s="1947"/>
      <c r="FK107" s="1947"/>
      <c r="FL107" s="1947"/>
      <c r="FM107" s="1947"/>
      <c r="FN107" s="1947"/>
      <c r="FO107" s="1947"/>
      <c r="FP107" s="1947"/>
      <c r="FQ107" s="1947"/>
      <c r="FR107" s="1947"/>
      <c r="FS107" s="1947"/>
      <c r="FT107" s="1947"/>
      <c r="FU107" s="1947"/>
      <c r="FV107" s="1947"/>
      <c r="FW107" s="1947"/>
      <c r="FX107" s="1947"/>
      <c r="FY107" s="1947"/>
      <c r="FZ107" s="1947"/>
      <c r="GA107" s="1947"/>
      <c r="GB107" s="1947"/>
      <c r="GC107" s="1947"/>
      <c r="GD107" s="1947"/>
      <c r="GE107" s="1947"/>
      <c r="GF107" s="1947"/>
      <c r="GG107" s="1947"/>
      <c r="GH107" s="1947"/>
      <c r="GI107" s="1947"/>
      <c r="GJ107" s="1947"/>
      <c r="GK107" s="1947"/>
      <c r="GL107" s="1947"/>
      <c r="GM107" s="1947"/>
      <c r="GN107" s="1947"/>
      <c r="GO107" s="1947"/>
      <c r="GP107" s="1947"/>
      <c r="GQ107" s="1947"/>
      <c r="GR107" s="1947"/>
      <c r="GS107" s="1947"/>
      <c r="GT107" s="1947"/>
      <c r="GU107" s="1947"/>
      <c r="GV107" s="1947"/>
      <c r="GW107" s="1947"/>
      <c r="GX107" s="1947"/>
      <c r="GY107" s="1947"/>
      <c r="GZ107" s="1947"/>
      <c r="HA107" s="1947"/>
      <c r="HB107" s="1947"/>
      <c r="HC107" s="1947"/>
      <c r="HD107" s="1947"/>
      <c r="HE107" s="1947"/>
      <c r="HF107" s="1947"/>
      <c r="HG107" s="1947"/>
      <c r="HH107" s="1947"/>
      <c r="HI107" s="1947"/>
      <c r="HJ107" s="1947"/>
      <c r="HK107" s="1947"/>
      <c r="HL107" s="1947"/>
      <c r="HM107" s="1947"/>
      <c r="HN107" s="1947"/>
      <c r="HO107" s="1947"/>
      <c r="HP107" s="1947"/>
      <c r="HQ107" s="1947"/>
      <c r="HR107" s="1947"/>
      <c r="HS107" s="1947"/>
      <c r="HT107" s="1947"/>
      <c r="HU107" s="1947"/>
      <c r="HV107" s="1947"/>
      <c r="HW107" s="1947"/>
      <c r="HX107" s="1947"/>
      <c r="HY107" s="1947"/>
      <c r="HZ107" s="1947"/>
      <c r="IA107" s="1947"/>
      <c r="IB107" s="1947"/>
      <c r="IC107" s="1947"/>
      <c r="ID107" s="1947"/>
      <c r="IE107" s="1947"/>
      <c r="IF107" s="1947"/>
      <c r="IG107" s="1947"/>
      <c r="IH107" s="1947"/>
      <c r="II107" s="1947"/>
      <c r="IJ107" s="1947"/>
      <c r="IK107" s="1947"/>
      <c r="IL107" s="1947"/>
      <c r="IM107" s="1947"/>
      <c r="IN107" s="1947"/>
      <c r="IO107" s="1947"/>
      <c r="IP107" s="1947"/>
      <c r="IQ107" s="1947"/>
    </row>
    <row r="108" spans="1:251" hidden="1">
      <c r="A108" s="1026"/>
      <c r="B108" s="1026"/>
      <c r="C108" s="1026"/>
      <c r="D108" s="2021"/>
      <c r="E108" s="1026"/>
      <c r="F108" s="1942">
        <f t="shared" si="46"/>
        <v>0</v>
      </c>
      <c r="G108" s="1026"/>
      <c r="H108" s="1942">
        <f t="shared" si="47"/>
        <v>0</v>
      </c>
      <c r="I108" s="1026"/>
      <c r="J108" s="1942">
        <f t="shared" si="48"/>
        <v>0</v>
      </c>
      <c r="K108" s="1026"/>
      <c r="L108" s="1942">
        <f t="shared" si="49"/>
        <v>0</v>
      </c>
      <c r="M108" s="1942">
        <f t="shared" si="50"/>
        <v>0</v>
      </c>
      <c r="N108" s="1942">
        <f t="shared" si="51"/>
        <v>0</v>
      </c>
      <c r="O108" s="1026"/>
      <c r="P108" s="1026"/>
      <c r="Q108" s="1942">
        <f t="shared" si="52"/>
        <v>0</v>
      </c>
      <c r="R108" s="1942">
        <f t="shared" si="53"/>
        <v>0</v>
      </c>
      <c r="S108" s="1942">
        <f t="shared" si="54"/>
        <v>0</v>
      </c>
      <c r="T108" s="1942">
        <f t="shared" si="55"/>
        <v>0</v>
      </c>
      <c r="U108" s="1942">
        <f t="shared" si="56"/>
        <v>0</v>
      </c>
      <c r="V108" s="3034">
        <f t="shared" si="44"/>
        <v>0</v>
      </c>
      <c r="W108" s="1942"/>
      <c r="X108" s="1923">
        <v>0.01</v>
      </c>
      <c r="Y108" s="1947"/>
      <c r="Z108" s="1947"/>
      <c r="AA108" s="1947"/>
      <c r="AB108" s="1947"/>
      <c r="AC108" s="1947"/>
      <c r="AD108" s="1947"/>
      <c r="AE108" s="1947"/>
      <c r="AF108" s="1947"/>
      <c r="AG108" s="1947"/>
      <c r="AH108" s="1947"/>
      <c r="AI108" s="1947"/>
      <c r="AJ108" s="1947"/>
      <c r="AK108" s="1947"/>
      <c r="AL108" s="1947"/>
      <c r="AM108" s="1947"/>
      <c r="AN108" s="1947"/>
      <c r="AO108" s="1947"/>
      <c r="AP108" s="1947"/>
      <c r="AQ108" s="1947"/>
      <c r="AR108" s="1947"/>
      <c r="AS108" s="1947"/>
      <c r="AT108" s="1947"/>
      <c r="AU108" s="1947"/>
      <c r="AV108" s="1947"/>
      <c r="AW108" s="1947"/>
      <c r="AX108" s="1947"/>
      <c r="AY108" s="1947"/>
      <c r="AZ108" s="1947"/>
      <c r="BA108" s="1947"/>
      <c r="BB108" s="1947"/>
      <c r="BC108" s="1947"/>
      <c r="BD108" s="1947"/>
      <c r="BE108" s="1947"/>
      <c r="BF108" s="1947"/>
      <c r="BG108" s="1947"/>
      <c r="BH108" s="1947"/>
      <c r="BI108" s="1947"/>
      <c r="BJ108" s="1947"/>
      <c r="BK108" s="1947"/>
      <c r="BL108" s="1947"/>
      <c r="BM108" s="1947"/>
      <c r="BN108" s="1947"/>
      <c r="BO108" s="1947"/>
      <c r="BP108" s="1947"/>
      <c r="BQ108" s="1947"/>
      <c r="BR108" s="1947"/>
      <c r="BS108" s="1947"/>
      <c r="BT108" s="1947"/>
      <c r="BU108" s="1947"/>
      <c r="BV108" s="1947"/>
      <c r="BW108" s="1947"/>
      <c r="BX108" s="1947"/>
      <c r="BY108" s="1947"/>
      <c r="BZ108" s="1947"/>
      <c r="CA108" s="1947"/>
      <c r="CB108" s="1947"/>
      <c r="CC108" s="1947"/>
      <c r="CD108" s="1947"/>
      <c r="CE108" s="1947"/>
      <c r="CF108" s="1947"/>
      <c r="CG108" s="1947"/>
      <c r="CH108" s="1947"/>
      <c r="CI108" s="1947"/>
      <c r="CJ108" s="1947"/>
      <c r="CK108" s="1947"/>
      <c r="CL108" s="1947"/>
      <c r="CM108" s="1947"/>
      <c r="CN108" s="1947"/>
      <c r="CO108" s="1947"/>
      <c r="CP108" s="1947"/>
      <c r="CQ108" s="1947"/>
      <c r="CR108" s="1947"/>
      <c r="CS108" s="1947"/>
      <c r="CT108" s="1947"/>
      <c r="CU108" s="1947"/>
      <c r="CV108" s="1947"/>
      <c r="CW108" s="1947"/>
      <c r="CX108" s="1947"/>
      <c r="CY108" s="1947"/>
      <c r="CZ108" s="1947"/>
      <c r="DA108" s="1947"/>
      <c r="DB108" s="1947"/>
      <c r="DC108" s="1947"/>
      <c r="DD108" s="1947"/>
      <c r="DE108" s="1947"/>
      <c r="DF108" s="1947"/>
      <c r="DG108" s="1947"/>
      <c r="DH108" s="1947"/>
      <c r="DI108" s="1947"/>
      <c r="DJ108" s="1947"/>
      <c r="DK108" s="1947"/>
      <c r="DL108" s="1947"/>
      <c r="DM108" s="1947"/>
      <c r="DN108" s="1947"/>
      <c r="DO108" s="1947"/>
      <c r="DP108" s="1947"/>
      <c r="DQ108" s="1947"/>
      <c r="DR108" s="1947"/>
      <c r="DS108" s="1947"/>
      <c r="DT108" s="1947"/>
      <c r="DU108" s="1947"/>
      <c r="DV108" s="1947"/>
      <c r="DW108" s="1947"/>
      <c r="DX108" s="1947"/>
      <c r="DY108" s="1947"/>
      <c r="DZ108" s="1947"/>
      <c r="EA108" s="1947"/>
      <c r="EB108" s="1947"/>
      <c r="EC108" s="1947"/>
      <c r="ED108" s="1947"/>
      <c r="EE108" s="1947"/>
      <c r="EF108" s="1947"/>
      <c r="EG108" s="1947"/>
      <c r="EH108" s="1947"/>
      <c r="EI108" s="1947"/>
      <c r="EJ108" s="1947"/>
      <c r="EK108" s="1947"/>
      <c r="EL108" s="1947"/>
      <c r="EM108" s="1947"/>
      <c r="EN108" s="1947"/>
      <c r="EO108" s="1947"/>
      <c r="EP108" s="1947"/>
      <c r="EQ108" s="1947"/>
      <c r="ER108" s="1947"/>
      <c r="ES108" s="1947"/>
      <c r="ET108" s="1947"/>
      <c r="EU108" s="1947"/>
      <c r="EV108" s="1947"/>
      <c r="EW108" s="1947"/>
      <c r="EX108" s="1947"/>
      <c r="EY108" s="1947"/>
      <c r="EZ108" s="1947"/>
      <c r="FA108" s="1947"/>
      <c r="FB108" s="1947"/>
      <c r="FC108" s="1947"/>
      <c r="FD108" s="1947"/>
      <c r="FE108" s="1947"/>
      <c r="FF108" s="1947"/>
      <c r="FG108" s="1947"/>
      <c r="FH108" s="1947"/>
      <c r="FI108" s="1947"/>
      <c r="FJ108" s="1947"/>
      <c r="FK108" s="1947"/>
      <c r="FL108" s="1947"/>
      <c r="FM108" s="1947"/>
      <c r="FN108" s="1947"/>
      <c r="FO108" s="1947"/>
      <c r="FP108" s="1947"/>
      <c r="FQ108" s="1947"/>
      <c r="FR108" s="1947"/>
      <c r="FS108" s="1947"/>
      <c r="FT108" s="1947"/>
      <c r="FU108" s="1947"/>
      <c r="FV108" s="1947"/>
      <c r="FW108" s="1947"/>
      <c r="FX108" s="1947"/>
      <c r="FY108" s="1947"/>
      <c r="FZ108" s="1947"/>
      <c r="GA108" s="1947"/>
      <c r="GB108" s="1947"/>
      <c r="GC108" s="1947"/>
      <c r="GD108" s="1947"/>
      <c r="GE108" s="1947"/>
      <c r="GF108" s="1947"/>
      <c r="GG108" s="1947"/>
      <c r="GH108" s="1947"/>
      <c r="GI108" s="1947"/>
      <c r="GJ108" s="1947"/>
      <c r="GK108" s="1947"/>
      <c r="GL108" s="1947"/>
      <c r="GM108" s="1947"/>
      <c r="GN108" s="1947"/>
      <c r="GO108" s="1947"/>
      <c r="GP108" s="1947"/>
      <c r="GQ108" s="1947"/>
      <c r="GR108" s="1947"/>
      <c r="GS108" s="1947"/>
      <c r="GT108" s="1947"/>
      <c r="GU108" s="1947"/>
      <c r="GV108" s="1947"/>
      <c r="GW108" s="1947"/>
      <c r="GX108" s="1947"/>
      <c r="GY108" s="1947"/>
      <c r="GZ108" s="1947"/>
      <c r="HA108" s="1947"/>
      <c r="HB108" s="1947"/>
      <c r="HC108" s="1947"/>
      <c r="HD108" s="1947"/>
      <c r="HE108" s="1947"/>
      <c r="HF108" s="1947"/>
      <c r="HG108" s="1947"/>
      <c r="HH108" s="1947"/>
      <c r="HI108" s="1947"/>
      <c r="HJ108" s="1947"/>
      <c r="HK108" s="1947"/>
      <c r="HL108" s="1947"/>
      <c r="HM108" s="1947"/>
      <c r="HN108" s="1947"/>
      <c r="HO108" s="1947"/>
      <c r="HP108" s="1947"/>
      <c r="HQ108" s="1947"/>
      <c r="HR108" s="1947"/>
      <c r="HS108" s="1947"/>
      <c r="HT108" s="1947"/>
      <c r="HU108" s="1947"/>
      <c r="HV108" s="1947"/>
      <c r="HW108" s="1947"/>
      <c r="HX108" s="1947"/>
      <c r="HY108" s="1947"/>
      <c r="HZ108" s="1947"/>
      <c r="IA108" s="1947"/>
      <c r="IB108" s="1947"/>
      <c r="IC108" s="1947"/>
      <c r="ID108" s="1947"/>
      <c r="IE108" s="1947"/>
      <c r="IF108" s="1947"/>
      <c r="IG108" s="1947"/>
      <c r="IH108" s="1947"/>
      <c r="II108" s="1947"/>
      <c r="IJ108" s="1947"/>
      <c r="IK108" s="1947"/>
      <c r="IL108" s="1947"/>
      <c r="IM108" s="1947"/>
      <c r="IN108" s="1947"/>
      <c r="IO108" s="1947"/>
      <c r="IP108" s="1947"/>
      <c r="IQ108" s="1947"/>
    </row>
    <row r="109" spans="1:251" ht="14.25" hidden="1" customHeight="1">
      <c r="A109" s="1026"/>
      <c r="B109" s="1026"/>
      <c r="C109" s="1026"/>
      <c r="D109" s="2021"/>
      <c r="E109" s="1026"/>
      <c r="F109" s="1942">
        <f t="shared" si="46"/>
        <v>0</v>
      </c>
      <c r="G109" s="1026"/>
      <c r="H109" s="1942">
        <f t="shared" si="47"/>
        <v>0</v>
      </c>
      <c r="I109" s="1026"/>
      <c r="J109" s="1942">
        <f t="shared" si="48"/>
        <v>0</v>
      </c>
      <c r="K109" s="1026"/>
      <c r="L109" s="1942">
        <f t="shared" si="49"/>
        <v>0</v>
      </c>
      <c r="M109" s="1942">
        <f t="shared" si="50"/>
        <v>0</v>
      </c>
      <c r="N109" s="1942">
        <f t="shared" si="51"/>
        <v>0</v>
      </c>
      <c r="O109" s="1026"/>
      <c r="P109" s="1026"/>
      <c r="Q109" s="1942">
        <f t="shared" si="52"/>
        <v>0</v>
      </c>
      <c r="R109" s="1942">
        <f t="shared" si="53"/>
        <v>0</v>
      </c>
      <c r="S109" s="1942">
        <f t="shared" si="54"/>
        <v>0</v>
      </c>
      <c r="T109" s="1942">
        <f t="shared" si="55"/>
        <v>0</v>
      </c>
      <c r="U109" s="1942">
        <f t="shared" si="56"/>
        <v>0</v>
      </c>
      <c r="V109" s="3034">
        <f t="shared" si="44"/>
        <v>0</v>
      </c>
      <c r="W109" s="1942"/>
      <c r="X109" s="1923">
        <v>0.01</v>
      </c>
      <c r="Y109" s="1947"/>
      <c r="Z109" s="1947"/>
      <c r="AA109" s="1947"/>
      <c r="AB109" s="1947"/>
      <c r="AC109" s="1947"/>
      <c r="AD109" s="1947"/>
      <c r="AE109" s="1947"/>
      <c r="AF109" s="1947"/>
      <c r="AG109" s="1947"/>
      <c r="AH109" s="1947"/>
      <c r="AI109" s="1947"/>
      <c r="AJ109" s="1947"/>
      <c r="AK109" s="1947"/>
      <c r="AL109" s="1947"/>
      <c r="AM109" s="1947"/>
      <c r="AN109" s="1947"/>
      <c r="AO109" s="1947"/>
      <c r="AP109" s="1947"/>
      <c r="AQ109" s="1947"/>
      <c r="AR109" s="1947"/>
      <c r="AS109" s="1947"/>
      <c r="AT109" s="1947"/>
      <c r="AU109" s="1947"/>
      <c r="AV109" s="1947"/>
      <c r="AW109" s="1947"/>
      <c r="AX109" s="1947"/>
      <c r="AY109" s="1947"/>
      <c r="AZ109" s="1947"/>
      <c r="BA109" s="1947"/>
      <c r="BB109" s="1947"/>
      <c r="BC109" s="1947"/>
      <c r="BD109" s="1947"/>
      <c r="BE109" s="1947"/>
      <c r="BF109" s="1947"/>
      <c r="BG109" s="1947"/>
      <c r="BH109" s="1947"/>
      <c r="BI109" s="1947"/>
      <c r="BJ109" s="1947"/>
      <c r="BK109" s="1947"/>
      <c r="BL109" s="1947"/>
      <c r="BM109" s="1947"/>
      <c r="BN109" s="1947"/>
      <c r="BO109" s="1947"/>
      <c r="BP109" s="1947"/>
      <c r="BQ109" s="1947"/>
      <c r="BR109" s="1947"/>
      <c r="BS109" s="1947"/>
      <c r="BT109" s="1947"/>
      <c r="BU109" s="1947"/>
      <c r="BV109" s="1947"/>
      <c r="BW109" s="1947"/>
      <c r="BX109" s="1947"/>
      <c r="BY109" s="1947"/>
      <c r="BZ109" s="1947"/>
      <c r="CA109" s="1947"/>
      <c r="CB109" s="1947"/>
      <c r="CC109" s="1947"/>
      <c r="CD109" s="1947"/>
      <c r="CE109" s="1947"/>
      <c r="CF109" s="1947"/>
      <c r="CG109" s="1947"/>
      <c r="CH109" s="1947"/>
      <c r="CI109" s="1947"/>
      <c r="CJ109" s="1947"/>
      <c r="CK109" s="1947"/>
      <c r="CL109" s="1947"/>
      <c r="CM109" s="1947"/>
      <c r="CN109" s="1947"/>
      <c r="CO109" s="1947"/>
      <c r="CP109" s="1947"/>
      <c r="CQ109" s="1947"/>
      <c r="CR109" s="1947"/>
      <c r="CS109" s="1947"/>
      <c r="CT109" s="1947"/>
      <c r="CU109" s="1947"/>
      <c r="CV109" s="1947"/>
      <c r="CW109" s="1947"/>
      <c r="CX109" s="1947"/>
      <c r="CY109" s="1947"/>
      <c r="CZ109" s="1947"/>
      <c r="DA109" s="1947"/>
      <c r="DB109" s="1947"/>
      <c r="DC109" s="1947"/>
      <c r="DD109" s="1947"/>
      <c r="DE109" s="1947"/>
      <c r="DF109" s="1947"/>
      <c r="DG109" s="1947"/>
      <c r="DH109" s="1947"/>
      <c r="DI109" s="1947"/>
      <c r="DJ109" s="1947"/>
      <c r="DK109" s="1947"/>
      <c r="DL109" s="1947"/>
      <c r="DM109" s="1947"/>
      <c r="DN109" s="1947"/>
      <c r="DO109" s="1947"/>
      <c r="DP109" s="1947"/>
      <c r="DQ109" s="1947"/>
      <c r="DR109" s="1947"/>
      <c r="DS109" s="1947"/>
      <c r="DT109" s="1947"/>
      <c r="DU109" s="1947"/>
      <c r="DV109" s="1947"/>
      <c r="DW109" s="1947"/>
      <c r="DX109" s="1947"/>
      <c r="DY109" s="1947"/>
      <c r="DZ109" s="1947"/>
      <c r="EA109" s="1947"/>
      <c r="EB109" s="1947"/>
      <c r="EC109" s="1947"/>
      <c r="ED109" s="1947"/>
      <c r="EE109" s="1947"/>
      <c r="EF109" s="1947"/>
      <c r="EG109" s="1947"/>
      <c r="EH109" s="1947"/>
      <c r="EI109" s="1947"/>
      <c r="EJ109" s="1947"/>
      <c r="EK109" s="1947"/>
      <c r="EL109" s="1947"/>
      <c r="EM109" s="1947"/>
      <c r="EN109" s="1947"/>
      <c r="EO109" s="1947"/>
      <c r="EP109" s="1947"/>
      <c r="EQ109" s="1947"/>
      <c r="ER109" s="1947"/>
      <c r="ES109" s="1947"/>
      <c r="ET109" s="1947"/>
      <c r="EU109" s="1947"/>
      <c r="EV109" s="1947"/>
      <c r="EW109" s="1947"/>
      <c r="EX109" s="1947"/>
      <c r="EY109" s="1947"/>
      <c r="EZ109" s="1947"/>
      <c r="FA109" s="1947"/>
      <c r="FB109" s="1947"/>
      <c r="FC109" s="1947"/>
      <c r="FD109" s="1947"/>
      <c r="FE109" s="1947"/>
      <c r="FF109" s="1947"/>
      <c r="FG109" s="1947"/>
      <c r="FH109" s="1947"/>
      <c r="FI109" s="1947"/>
      <c r="FJ109" s="1947"/>
      <c r="FK109" s="1947"/>
      <c r="FL109" s="1947"/>
      <c r="FM109" s="1947"/>
      <c r="FN109" s="1947"/>
      <c r="FO109" s="1947"/>
      <c r="FP109" s="1947"/>
      <c r="FQ109" s="1947"/>
      <c r="FR109" s="1947"/>
      <c r="FS109" s="1947"/>
      <c r="FT109" s="1947"/>
      <c r="FU109" s="1947"/>
      <c r="FV109" s="1947"/>
      <c r="FW109" s="1947"/>
      <c r="FX109" s="1947"/>
      <c r="FY109" s="1947"/>
      <c r="FZ109" s="1947"/>
      <c r="GA109" s="1947"/>
      <c r="GB109" s="1947"/>
      <c r="GC109" s="1947"/>
      <c r="GD109" s="1947"/>
      <c r="GE109" s="1947"/>
      <c r="GF109" s="1947"/>
      <c r="GG109" s="1947"/>
      <c r="GH109" s="1947"/>
      <c r="GI109" s="1947"/>
      <c r="GJ109" s="1947"/>
      <c r="GK109" s="1947"/>
      <c r="GL109" s="1947"/>
      <c r="GM109" s="1947"/>
      <c r="GN109" s="1947"/>
      <c r="GO109" s="1947"/>
      <c r="GP109" s="1947"/>
      <c r="GQ109" s="1947"/>
      <c r="GR109" s="1947"/>
      <c r="GS109" s="1947"/>
      <c r="GT109" s="1947"/>
      <c r="GU109" s="1947"/>
      <c r="GV109" s="1947"/>
      <c r="GW109" s="1947"/>
      <c r="GX109" s="1947"/>
      <c r="GY109" s="1947"/>
      <c r="GZ109" s="1947"/>
      <c r="HA109" s="1947"/>
      <c r="HB109" s="1947"/>
      <c r="HC109" s="1947"/>
      <c r="HD109" s="1947"/>
      <c r="HE109" s="1947"/>
      <c r="HF109" s="1947"/>
      <c r="HG109" s="1947"/>
      <c r="HH109" s="1947"/>
      <c r="HI109" s="1947"/>
      <c r="HJ109" s="1947"/>
      <c r="HK109" s="1947"/>
      <c r="HL109" s="1947"/>
      <c r="HM109" s="1947"/>
      <c r="HN109" s="1947"/>
      <c r="HO109" s="1947"/>
      <c r="HP109" s="1947"/>
      <c r="HQ109" s="1947"/>
      <c r="HR109" s="1947"/>
      <c r="HS109" s="1947"/>
      <c r="HT109" s="1947"/>
      <c r="HU109" s="1947"/>
      <c r="HV109" s="1947"/>
      <c r="HW109" s="1947"/>
      <c r="HX109" s="1947"/>
      <c r="HY109" s="1947"/>
      <c r="HZ109" s="1947"/>
      <c r="IA109" s="1947"/>
      <c r="IB109" s="1947"/>
      <c r="IC109" s="1947"/>
      <c r="ID109" s="1947"/>
      <c r="IE109" s="1947"/>
      <c r="IF109" s="1947"/>
      <c r="IG109" s="1947"/>
      <c r="IH109" s="1947"/>
      <c r="II109" s="1947"/>
      <c r="IJ109" s="1947"/>
      <c r="IK109" s="1947"/>
      <c r="IL109" s="1947"/>
      <c r="IM109" s="1947"/>
      <c r="IN109" s="1947"/>
      <c r="IO109" s="1947"/>
      <c r="IP109" s="1947"/>
      <c r="IQ109" s="1947"/>
    </row>
    <row r="110" spans="1:251">
      <c r="A110" s="1026"/>
      <c r="B110" s="1979" t="s">
        <v>528</v>
      </c>
      <c r="C110" s="1026"/>
      <c r="D110" s="2021">
        <f>SUM(D112:D130)</f>
        <v>41</v>
      </c>
      <c r="E110" s="1026"/>
      <c r="F110" s="1942"/>
      <c r="G110" s="1942"/>
      <c r="H110" s="1942">
        <f t="shared" ref="H110:U110" si="57">SUM(H112:H130)</f>
        <v>53320800</v>
      </c>
      <c r="I110" s="1942">
        <f t="shared" si="57"/>
        <v>0</v>
      </c>
      <c r="J110" s="1942">
        <f t="shared" si="57"/>
        <v>0</v>
      </c>
      <c r="K110" s="1942">
        <f t="shared" si="57"/>
        <v>0.2</v>
      </c>
      <c r="L110" s="1942">
        <f t="shared" si="57"/>
        <v>9880</v>
      </c>
      <c r="M110" s="1942">
        <f t="shared" si="57"/>
        <v>3438240</v>
      </c>
      <c r="N110" s="1942">
        <f t="shared" si="57"/>
        <v>56759040</v>
      </c>
      <c r="O110" s="1942">
        <f t="shared" si="57"/>
        <v>8886800</v>
      </c>
      <c r="P110" s="1942">
        <f>SUM(P112:P130)</f>
        <v>17773600</v>
      </c>
      <c r="Q110" s="1942">
        <f>SUM(Q112:Q130)</f>
        <v>83419440</v>
      </c>
      <c r="R110" s="1942">
        <f t="shared" si="57"/>
        <v>8341944</v>
      </c>
      <c r="S110" s="1942">
        <f t="shared" si="57"/>
        <v>7507749.6000000006</v>
      </c>
      <c r="T110" s="1942">
        <f t="shared" si="57"/>
        <v>4504649.76</v>
      </c>
      <c r="U110" s="1942">
        <f t="shared" si="57"/>
        <v>3753874.8000000003</v>
      </c>
      <c r="V110" s="1942">
        <f>SUM(V112:V130)</f>
        <v>8258524.5600000005</v>
      </c>
      <c r="W110" s="1942">
        <f>SUM(W112:W130)</f>
        <v>834194.4</v>
      </c>
      <c r="X110" s="1923">
        <v>0.01</v>
      </c>
      <c r="Y110" s="1947"/>
      <c r="Z110" s="1947"/>
      <c r="AA110" s="1947"/>
      <c r="AB110" s="1947"/>
      <c r="AC110" s="1947"/>
      <c r="AD110" s="1947"/>
      <c r="AE110" s="1947"/>
      <c r="AF110" s="1947"/>
      <c r="AG110" s="1947"/>
      <c r="AH110" s="1947"/>
      <c r="AI110" s="1947"/>
      <c r="AJ110" s="1947"/>
      <c r="AK110" s="1947"/>
      <c r="AL110" s="1947"/>
      <c r="AM110" s="1947"/>
      <c r="AN110" s="1947"/>
      <c r="AO110" s="1947"/>
      <c r="AP110" s="1947"/>
      <c r="AQ110" s="1947"/>
      <c r="AR110" s="1947"/>
      <c r="AS110" s="1947"/>
      <c r="AT110" s="1947"/>
      <c r="AU110" s="1947"/>
      <c r="AV110" s="1947"/>
      <c r="AW110" s="1947"/>
      <c r="AX110" s="1947"/>
      <c r="AY110" s="1947"/>
      <c r="AZ110" s="1947"/>
      <c r="BA110" s="1947"/>
      <c r="BB110" s="1947"/>
      <c r="BC110" s="1947"/>
      <c r="BD110" s="1947"/>
      <c r="BE110" s="1947"/>
      <c r="BF110" s="1947"/>
      <c r="BG110" s="1947"/>
      <c r="BH110" s="1947"/>
      <c r="BI110" s="1947"/>
      <c r="BJ110" s="1947"/>
      <c r="BK110" s="1947"/>
      <c r="BL110" s="1947"/>
      <c r="BM110" s="1947"/>
      <c r="BN110" s="1947"/>
      <c r="BO110" s="1947"/>
      <c r="BP110" s="1947"/>
      <c r="BQ110" s="1947"/>
      <c r="BR110" s="1947"/>
      <c r="BS110" s="1947"/>
      <c r="BT110" s="1947"/>
      <c r="BU110" s="1947"/>
      <c r="BV110" s="1947"/>
      <c r="BW110" s="1947"/>
      <c r="BX110" s="1947"/>
      <c r="BY110" s="1947"/>
      <c r="BZ110" s="1947"/>
      <c r="CA110" s="1947"/>
      <c r="CB110" s="1947"/>
      <c r="CC110" s="1947"/>
      <c r="CD110" s="1947"/>
      <c r="CE110" s="1947"/>
      <c r="CF110" s="1947"/>
      <c r="CG110" s="1947"/>
      <c r="CH110" s="1947"/>
      <c r="CI110" s="1947"/>
      <c r="CJ110" s="1947"/>
      <c r="CK110" s="1947"/>
      <c r="CL110" s="1947"/>
      <c r="CM110" s="1947"/>
      <c r="CN110" s="1947"/>
      <c r="CO110" s="1947"/>
      <c r="CP110" s="1947"/>
      <c r="CQ110" s="1947"/>
      <c r="CR110" s="1947"/>
      <c r="CS110" s="1947"/>
      <c r="CT110" s="1947"/>
      <c r="CU110" s="1947"/>
      <c r="CV110" s="1947"/>
      <c r="CW110" s="1947"/>
      <c r="CX110" s="1947"/>
      <c r="CY110" s="1947"/>
      <c r="CZ110" s="1947"/>
      <c r="DA110" s="1947"/>
      <c r="DB110" s="1947"/>
      <c r="DC110" s="1947"/>
      <c r="DD110" s="1947"/>
      <c r="DE110" s="1947"/>
      <c r="DF110" s="1947"/>
      <c r="DG110" s="1947"/>
      <c r="DH110" s="1947"/>
      <c r="DI110" s="1947"/>
      <c r="DJ110" s="1947"/>
      <c r="DK110" s="1947"/>
      <c r="DL110" s="1947"/>
      <c r="DM110" s="1947"/>
      <c r="DN110" s="1947"/>
      <c r="DO110" s="1947"/>
      <c r="DP110" s="1947"/>
      <c r="DQ110" s="1947"/>
      <c r="DR110" s="1947"/>
      <c r="DS110" s="1947"/>
      <c r="DT110" s="1947"/>
      <c r="DU110" s="1947"/>
      <c r="DV110" s="1947"/>
      <c r="DW110" s="1947"/>
      <c r="DX110" s="1947"/>
      <c r="DY110" s="1947"/>
      <c r="DZ110" s="1947"/>
      <c r="EA110" s="1947"/>
      <c r="EB110" s="1947"/>
      <c r="EC110" s="1947"/>
      <c r="ED110" s="1947"/>
      <c r="EE110" s="1947"/>
      <c r="EF110" s="1947"/>
      <c r="EG110" s="1947"/>
      <c r="EH110" s="1947"/>
      <c r="EI110" s="1947"/>
      <c r="EJ110" s="1947"/>
      <c r="EK110" s="1947"/>
      <c r="EL110" s="1947"/>
      <c r="EM110" s="1947"/>
      <c r="EN110" s="1947"/>
      <c r="EO110" s="1947"/>
      <c r="EP110" s="1947"/>
      <c r="EQ110" s="1947"/>
      <c r="ER110" s="1947"/>
      <c r="ES110" s="1947"/>
      <c r="ET110" s="1947"/>
      <c r="EU110" s="1947"/>
      <c r="EV110" s="1947"/>
      <c r="EW110" s="1947"/>
      <c r="EX110" s="1947"/>
      <c r="EY110" s="1947"/>
      <c r="EZ110" s="1947"/>
      <c r="FA110" s="1947"/>
      <c r="FB110" s="1947"/>
      <c r="FC110" s="1947"/>
      <c r="FD110" s="1947"/>
      <c r="FE110" s="1947"/>
      <c r="FF110" s="1947"/>
      <c r="FG110" s="1947"/>
      <c r="FH110" s="1947"/>
      <c r="FI110" s="1947"/>
      <c r="FJ110" s="1947"/>
      <c r="FK110" s="1947"/>
      <c r="FL110" s="1947"/>
      <c r="FM110" s="1947"/>
      <c r="FN110" s="1947"/>
      <c r="FO110" s="1947"/>
      <c r="FP110" s="1947"/>
      <c r="FQ110" s="1947"/>
      <c r="FR110" s="1947"/>
      <c r="FS110" s="1947"/>
      <c r="FT110" s="1947"/>
      <c r="FU110" s="1947"/>
      <c r="FV110" s="1947"/>
      <c r="FW110" s="1947"/>
      <c r="FX110" s="1947"/>
      <c r="FY110" s="1947"/>
      <c r="FZ110" s="1947"/>
      <c r="GA110" s="1947"/>
      <c r="GB110" s="1947"/>
      <c r="GC110" s="1947"/>
      <c r="GD110" s="1947"/>
      <c r="GE110" s="1947"/>
      <c r="GF110" s="1947"/>
      <c r="GG110" s="1947"/>
      <c r="GH110" s="1947"/>
      <c r="GI110" s="1947"/>
      <c r="GJ110" s="1947"/>
      <c r="GK110" s="1947"/>
      <c r="GL110" s="1947"/>
      <c r="GM110" s="1947"/>
      <c r="GN110" s="1947"/>
      <c r="GO110" s="1947"/>
      <c r="GP110" s="1947"/>
      <c r="GQ110" s="1947"/>
      <c r="GR110" s="1947"/>
      <c r="GS110" s="1947"/>
      <c r="GT110" s="1947"/>
      <c r="GU110" s="1947"/>
      <c r="GV110" s="1947"/>
      <c r="GW110" s="1947"/>
      <c r="GX110" s="1947"/>
      <c r="GY110" s="1947"/>
      <c r="GZ110" s="1947"/>
      <c r="HA110" s="1947"/>
      <c r="HB110" s="1947"/>
      <c r="HC110" s="1947"/>
      <c r="HD110" s="1947"/>
      <c r="HE110" s="1947"/>
      <c r="HF110" s="1947"/>
      <c r="HG110" s="1947"/>
      <c r="HH110" s="1947"/>
      <c r="HI110" s="1947"/>
      <c r="HJ110" s="1947"/>
      <c r="HK110" s="1947"/>
      <c r="HL110" s="1947"/>
      <c r="HM110" s="1947"/>
      <c r="HN110" s="1947"/>
      <c r="HO110" s="1947"/>
      <c r="HP110" s="1947"/>
      <c r="HQ110" s="1947"/>
      <c r="HR110" s="1947"/>
      <c r="HS110" s="1947"/>
      <c r="HT110" s="1947"/>
      <c r="HU110" s="1947"/>
      <c r="HV110" s="1947"/>
      <c r="HW110" s="1947"/>
      <c r="HX110" s="1947"/>
      <c r="HY110" s="1947"/>
      <c r="HZ110" s="1947"/>
      <c r="IA110" s="1947"/>
      <c r="IB110" s="1947"/>
      <c r="IC110" s="1947"/>
      <c r="ID110" s="1947"/>
      <c r="IE110" s="1947"/>
      <c r="IF110" s="1947"/>
      <c r="IG110" s="1947"/>
      <c r="IH110" s="1947"/>
      <c r="II110" s="1947"/>
      <c r="IJ110" s="1947"/>
      <c r="IK110" s="1947"/>
      <c r="IL110" s="1947"/>
      <c r="IM110" s="1947"/>
      <c r="IN110" s="1947"/>
      <c r="IO110" s="1947"/>
      <c r="IP110" s="1947"/>
      <c r="IQ110" s="1947"/>
    </row>
    <row r="111" spans="1:251">
      <c r="A111" s="1026"/>
      <c r="B111" s="1979" t="s">
        <v>529</v>
      </c>
      <c r="C111" s="1026"/>
      <c r="D111" s="2021"/>
      <c r="E111" s="1026"/>
      <c r="F111" s="1942"/>
      <c r="G111" s="1026"/>
      <c r="H111" s="1942"/>
      <c r="I111" s="1026"/>
      <c r="J111" s="1942"/>
      <c r="K111" s="1026"/>
      <c r="L111" s="1942"/>
      <c r="M111" s="1942"/>
      <c r="N111" s="1942"/>
      <c r="O111" s="1942"/>
      <c r="P111" s="1942"/>
      <c r="Q111" s="1942"/>
      <c r="R111" s="1942"/>
      <c r="S111" s="1942"/>
      <c r="T111" s="1942"/>
      <c r="U111" s="1942"/>
      <c r="V111" s="3034">
        <f t="shared" si="44"/>
        <v>0</v>
      </c>
      <c r="W111" s="1942"/>
      <c r="X111" s="1923">
        <v>0.01</v>
      </c>
      <c r="Y111" s="1947"/>
      <c r="Z111" s="1947"/>
      <c r="AA111" s="1947"/>
      <c r="AB111" s="1947"/>
      <c r="AC111" s="1947"/>
      <c r="AD111" s="1947"/>
      <c r="AE111" s="1947"/>
      <c r="AF111" s="1947"/>
      <c r="AG111" s="1947"/>
      <c r="AH111" s="1947"/>
      <c r="AI111" s="1947"/>
      <c r="AJ111" s="1947"/>
      <c r="AK111" s="1947"/>
      <c r="AL111" s="1947"/>
      <c r="AM111" s="1947"/>
      <c r="AN111" s="1947"/>
      <c r="AO111" s="1947"/>
      <c r="AP111" s="1947"/>
      <c r="AQ111" s="1947"/>
      <c r="AR111" s="1947"/>
      <c r="AS111" s="1947"/>
      <c r="AT111" s="1947"/>
      <c r="AU111" s="1947"/>
      <c r="AV111" s="1947"/>
      <c r="AW111" s="1947"/>
      <c r="AX111" s="1947"/>
      <c r="AY111" s="1947"/>
      <c r="AZ111" s="1947"/>
      <c r="BA111" s="1947"/>
      <c r="BB111" s="1947"/>
      <c r="BC111" s="1947"/>
      <c r="BD111" s="1947"/>
      <c r="BE111" s="1947"/>
      <c r="BF111" s="1947"/>
      <c r="BG111" s="1947"/>
      <c r="BH111" s="1947"/>
      <c r="BI111" s="1947"/>
      <c r="BJ111" s="1947"/>
      <c r="BK111" s="1947"/>
      <c r="BL111" s="1947"/>
      <c r="BM111" s="1947"/>
      <c r="BN111" s="1947"/>
      <c r="BO111" s="1947"/>
      <c r="BP111" s="1947"/>
      <c r="BQ111" s="1947"/>
      <c r="BR111" s="1947"/>
      <c r="BS111" s="1947"/>
      <c r="BT111" s="1947"/>
      <c r="BU111" s="1947"/>
      <c r="BV111" s="1947"/>
      <c r="BW111" s="1947"/>
      <c r="BX111" s="1947"/>
      <c r="BY111" s="1947"/>
      <c r="BZ111" s="1947"/>
      <c r="CA111" s="1947"/>
      <c r="CB111" s="1947"/>
      <c r="CC111" s="1947"/>
      <c r="CD111" s="1947"/>
      <c r="CE111" s="1947"/>
      <c r="CF111" s="1947"/>
      <c r="CG111" s="1947"/>
      <c r="CH111" s="1947"/>
      <c r="CI111" s="1947"/>
      <c r="CJ111" s="1947"/>
      <c r="CK111" s="1947"/>
      <c r="CL111" s="1947"/>
      <c r="CM111" s="1947"/>
      <c r="CN111" s="1947"/>
      <c r="CO111" s="1947"/>
      <c r="CP111" s="1947"/>
      <c r="CQ111" s="1947"/>
      <c r="CR111" s="1947"/>
      <c r="CS111" s="1947"/>
      <c r="CT111" s="1947"/>
      <c r="CU111" s="1947"/>
      <c r="CV111" s="1947"/>
      <c r="CW111" s="1947"/>
      <c r="CX111" s="1947"/>
      <c r="CY111" s="1947"/>
      <c r="CZ111" s="1947"/>
      <c r="DA111" s="1947"/>
      <c r="DB111" s="1947"/>
      <c r="DC111" s="1947"/>
      <c r="DD111" s="1947"/>
      <c r="DE111" s="1947"/>
      <c r="DF111" s="1947"/>
      <c r="DG111" s="1947"/>
      <c r="DH111" s="1947"/>
      <c r="DI111" s="1947"/>
      <c r="DJ111" s="1947"/>
      <c r="DK111" s="1947"/>
      <c r="DL111" s="1947"/>
      <c r="DM111" s="1947"/>
      <c r="DN111" s="1947"/>
      <c r="DO111" s="1947"/>
      <c r="DP111" s="1947"/>
      <c r="DQ111" s="1947"/>
      <c r="DR111" s="1947"/>
      <c r="DS111" s="1947"/>
      <c r="DT111" s="1947"/>
      <c r="DU111" s="1947"/>
      <c r="DV111" s="1947"/>
      <c r="DW111" s="1947"/>
      <c r="DX111" s="1947"/>
      <c r="DY111" s="1947"/>
      <c r="DZ111" s="1947"/>
      <c r="EA111" s="1947"/>
      <c r="EB111" s="1947"/>
      <c r="EC111" s="1947"/>
      <c r="ED111" s="1947"/>
      <c r="EE111" s="1947"/>
      <c r="EF111" s="1947"/>
      <c r="EG111" s="1947"/>
      <c r="EH111" s="1947"/>
      <c r="EI111" s="1947"/>
      <c r="EJ111" s="1947"/>
      <c r="EK111" s="1947"/>
      <c r="EL111" s="1947"/>
      <c r="EM111" s="1947"/>
      <c r="EN111" s="1947"/>
      <c r="EO111" s="1947"/>
      <c r="EP111" s="1947"/>
      <c r="EQ111" s="1947"/>
      <c r="ER111" s="1947"/>
      <c r="ES111" s="1947"/>
      <c r="ET111" s="1947"/>
      <c r="EU111" s="1947"/>
      <c r="EV111" s="1947"/>
      <c r="EW111" s="1947"/>
      <c r="EX111" s="1947"/>
      <c r="EY111" s="1947"/>
      <c r="EZ111" s="1947"/>
      <c r="FA111" s="1947"/>
      <c r="FB111" s="1947"/>
      <c r="FC111" s="1947"/>
      <c r="FD111" s="1947"/>
      <c r="FE111" s="1947"/>
      <c r="FF111" s="1947"/>
      <c r="FG111" s="1947"/>
      <c r="FH111" s="1947"/>
      <c r="FI111" s="1947"/>
      <c r="FJ111" s="1947"/>
      <c r="FK111" s="1947"/>
      <c r="FL111" s="1947"/>
      <c r="FM111" s="1947"/>
      <c r="FN111" s="1947"/>
      <c r="FO111" s="1947"/>
      <c r="FP111" s="1947"/>
      <c r="FQ111" s="1947"/>
      <c r="FR111" s="1947"/>
      <c r="FS111" s="1947"/>
      <c r="FT111" s="1947"/>
      <c r="FU111" s="1947"/>
      <c r="FV111" s="1947"/>
      <c r="FW111" s="1947"/>
      <c r="FX111" s="1947"/>
      <c r="FY111" s="1947"/>
      <c r="FZ111" s="1947"/>
      <c r="GA111" s="1947"/>
      <c r="GB111" s="1947"/>
      <c r="GC111" s="1947"/>
      <c r="GD111" s="1947"/>
      <c r="GE111" s="1947"/>
      <c r="GF111" s="1947"/>
      <c r="GG111" s="1947"/>
      <c r="GH111" s="1947"/>
      <c r="GI111" s="1947"/>
      <c r="GJ111" s="1947"/>
      <c r="GK111" s="1947"/>
      <c r="GL111" s="1947"/>
      <c r="GM111" s="1947"/>
      <c r="GN111" s="1947"/>
      <c r="GO111" s="1947"/>
      <c r="GP111" s="1947"/>
      <c r="GQ111" s="1947"/>
      <c r="GR111" s="1947"/>
      <c r="GS111" s="1947"/>
      <c r="GT111" s="1947"/>
      <c r="GU111" s="1947"/>
      <c r="GV111" s="1947"/>
      <c r="GW111" s="1947"/>
      <c r="GX111" s="1947"/>
      <c r="GY111" s="1947"/>
      <c r="GZ111" s="1947"/>
      <c r="HA111" s="1947"/>
      <c r="HB111" s="1947"/>
      <c r="HC111" s="1947"/>
      <c r="HD111" s="1947"/>
      <c r="HE111" s="1947"/>
      <c r="HF111" s="1947"/>
      <c r="HG111" s="1947"/>
      <c r="HH111" s="1947"/>
      <c r="HI111" s="1947"/>
      <c r="HJ111" s="1947"/>
      <c r="HK111" s="1947"/>
      <c r="HL111" s="1947"/>
      <c r="HM111" s="1947"/>
      <c r="HN111" s="1947"/>
      <c r="HO111" s="1947"/>
      <c r="HP111" s="1947"/>
      <c r="HQ111" s="1947"/>
      <c r="HR111" s="1947"/>
      <c r="HS111" s="1947"/>
      <c r="HT111" s="1947"/>
      <c r="HU111" s="1947"/>
      <c r="HV111" s="1947"/>
      <c r="HW111" s="1947"/>
      <c r="HX111" s="1947"/>
      <c r="HY111" s="1947"/>
      <c r="HZ111" s="1947"/>
      <c r="IA111" s="1947"/>
      <c r="IB111" s="1947"/>
      <c r="IC111" s="1947"/>
      <c r="ID111" s="1947"/>
      <c r="IE111" s="1947"/>
      <c r="IF111" s="1947"/>
      <c r="IG111" s="1947"/>
      <c r="IH111" s="1947"/>
      <c r="II111" s="1947"/>
      <c r="IJ111" s="1947"/>
      <c r="IK111" s="1947"/>
      <c r="IL111" s="1947"/>
      <c r="IM111" s="1947"/>
      <c r="IN111" s="1947"/>
      <c r="IO111" s="1947"/>
      <c r="IP111" s="1947"/>
      <c r="IQ111" s="1947"/>
    </row>
    <row r="112" spans="1:251" ht="26.25" customHeight="1">
      <c r="A112" s="2021">
        <v>1</v>
      </c>
      <c r="B112" s="1958" t="s">
        <v>530</v>
      </c>
      <c r="C112" s="1945"/>
      <c r="D112" s="2035">
        <v>2</v>
      </c>
      <c r="E112" s="1026"/>
      <c r="F112" s="1946">
        <f>(72000+10000)*1.3</f>
        <v>106600</v>
      </c>
      <c r="G112" s="1026">
        <v>12</v>
      </c>
      <c r="H112" s="1942">
        <f>D112*F112*G112</f>
        <v>2558400</v>
      </c>
      <c r="I112" s="1026"/>
      <c r="J112" s="1942">
        <f>I112*$Q$4</f>
        <v>0</v>
      </c>
      <c r="K112" s="1026"/>
      <c r="L112" s="1942">
        <f>K112*F112</f>
        <v>0</v>
      </c>
      <c r="M112" s="1942">
        <f>D112*G112*(J112+L112)</f>
        <v>0</v>
      </c>
      <c r="N112" s="1942">
        <f>H112+M112</f>
        <v>2558400</v>
      </c>
      <c r="O112" s="1026">
        <f>F112*D112*2</f>
        <v>426400</v>
      </c>
      <c r="P112" s="1026">
        <f>F112*D112*4</f>
        <v>852800</v>
      </c>
      <c r="Q112" s="1942">
        <f>N112+O112+P112</f>
        <v>3837600</v>
      </c>
      <c r="R112" s="1942">
        <f>Q112*10%</f>
        <v>383760</v>
      </c>
      <c r="S112" s="1942">
        <f>(Q112-R112)*10%</f>
        <v>345384</v>
      </c>
      <c r="T112" s="1942">
        <f>(Q112-R112)*6%</f>
        <v>207230.4</v>
      </c>
      <c r="U112" s="1942">
        <f>(Q112-R112)*5%</f>
        <v>172692</v>
      </c>
      <c r="V112" s="3034">
        <f>T112+U112</f>
        <v>379922.4</v>
      </c>
      <c r="W112" s="1942">
        <f>Q112*X112</f>
        <v>38376</v>
      </c>
      <c r="X112" s="1923">
        <v>0.01</v>
      </c>
      <c r="Y112" s="1947"/>
      <c r="Z112" s="1947"/>
      <c r="AA112" s="1947"/>
      <c r="AB112" s="1947"/>
      <c r="AC112" s="1947"/>
      <c r="AD112" s="1947"/>
      <c r="AE112" s="1947"/>
      <c r="AF112" s="1947"/>
      <c r="AG112" s="1947"/>
      <c r="AH112" s="1947"/>
      <c r="AI112" s="1947"/>
      <c r="AJ112" s="1947"/>
      <c r="AK112" s="1947"/>
      <c r="AL112" s="1947"/>
      <c r="AM112" s="1947"/>
      <c r="AN112" s="1947"/>
      <c r="AO112" s="1947"/>
      <c r="AP112" s="1947"/>
      <c r="AQ112" s="1947"/>
      <c r="AR112" s="1947"/>
      <c r="AS112" s="1947"/>
      <c r="AT112" s="1947"/>
      <c r="AU112" s="1947"/>
      <c r="AV112" s="1947"/>
      <c r="AW112" s="1947"/>
      <c r="AX112" s="1947"/>
      <c r="AY112" s="1947"/>
      <c r="AZ112" s="1947"/>
      <c r="BA112" s="1947"/>
      <c r="BB112" s="1947"/>
      <c r="BC112" s="1947"/>
      <c r="BD112" s="1947"/>
      <c r="BE112" s="1947"/>
      <c r="BF112" s="1947"/>
      <c r="BG112" s="1947"/>
      <c r="BH112" s="1947"/>
      <c r="BI112" s="1947"/>
      <c r="BJ112" s="1947"/>
      <c r="BK112" s="1947"/>
      <c r="BL112" s="1947"/>
      <c r="BM112" s="1947"/>
      <c r="BN112" s="1947"/>
      <c r="BO112" s="1947"/>
      <c r="BP112" s="1947"/>
      <c r="BQ112" s="1947"/>
      <c r="BR112" s="1947"/>
      <c r="BS112" s="1947"/>
      <c r="BT112" s="1947"/>
      <c r="BU112" s="1947"/>
      <c r="BV112" s="1947"/>
      <c r="BW112" s="1947"/>
      <c r="BX112" s="1947"/>
      <c r="BY112" s="1947"/>
      <c r="BZ112" s="1947"/>
      <c r="CA112" s="1947"/>
      <c r="CB112" s="1947"/>
      <c r="CC112" s="1947"/>
      <c r="CD112" s="1947"/>
      <c r="CE112" s="1947"/>
      <c r="CF112" s="1947"/>
      <c r="CG112" s="1947"/>
      <c r="CH112" s="1947"/>
      <c r="CI112" s="1947"/>
      <c r="CJ112" s="1947"/>
      <c r="CK112" s="1947"/>
      <c r="CL112" s="1947"/>
      <c r="CM112" s="1947"/>
      <c r="CN112" s="1947"/>
      <c r="CO112" s="1947"/>
      <c r="CP112" s="1947"/>
      <c r="CQ112" s="1947"/>
      <c r="CR112" s="1947"/>
      <c r="CS112" s="1947"/>
      <c r="CT112" s="1947"/>
      <c r="CU112" s="1947"/>
      <c r="CV112" s="1947"/>
      <c r="CW112" s="1947"/>
      <c r="CX112" s="1947"/>
      <c r="CY112" s="1947"/>
      <c r="CZ112" s="1947"/>
      <c r="DA112" s="1947"/>
      <c r="DB112" s="1947"/>
      <c r="DC112" s="1947"/>
      <c r="DD112" s="1947"/>
      <c r="DE112" s="1947"/>
      <c r="DF112" s="1947"/>
      <c r="DG112" s="1947"/>
      <c r="DH112" s="1947"/>
      <c r="DI112" s="1947"/>
      <c r="DJ112" s="1947"/>
      <c r="DK112" s="1947"/>
      <c r="DL112" s="1947"/>
      <c r="DM112" s="1947"/>
      <c r="DN112" s="1947"/>
      <c r="DO112" s="1947"/>
      <c r="DP112" s="1947"/>
      <c r="DQ112" s="1947"/>
      <c r="DR112" s="1947"/>
      <c r="DS112" s="1947"/>
      <c r="DT112" s="1947"/>
      <c r="DU112" s="1947"/>
      <c r="DV112" s="1947"/>
      <c r="DW112" s="1947"/>
      <c r="DX112" s="1947"/>
      <c r="DY112" s="1947"/>
      <c r="DZ112" s="1947"/>
      <c r="EA112" s="1947"/>
      <c r="EB112" s="1947"/>
      <c r="EC112" s="1947"/>
      <c r="ED112" s="1947"/>
      <c r="EE112" s="1947"/>
      <c r="EF112" s="1947"/>
      <c r="EG112" s="1947"/>
      <c r="EH112" s="1947"/>
      <c r="EI112" s="1947"/>
      <c r="EJ112" s="1947"/>
      <c r="EK112" s="1947"/>
      <c r="EL112" s="1947"/>
      <c r="EM112" s="1947"/>
      <c r="EN112" s="1947"/>
      <c r="EO112" s="1947"/>
      <c r="EP112" s="1947"/>
      <c r="EQ112" s="1947"/>
      <c r="ER112" s="1947"/>
      <c r="ES112" s="1947"/>
      <c r="ET112" s="1947"/>
      <c r="EU112" s="1947"/>
      <c r="EV112" s="1947"/>
      <c r="EW112" s="1947"/>
      <c r="EX112" s="1947"/>
      <c r="EY112" s="1947"/>
      <c r="EZ112" s="1947"/>
      <c r="FA112" s="1947"/>
      <c r="FB112" s="1947"/>
      <c r="FC112" s="1947"/>
      <c r="FD112" s="1947"/>
      <c r="FE112" s="1947"/>
      <c r="FF112" s="1947"/>
      <c r="FG112" s="1947"/>
      <c r="FH112" s="1947"/>
      <c r="FI112" s="1947"/>
      <c r="FJ112" s="1947"/>
      <c r="FK112" s="1947"/>
      <c r="FL112" s="1947"/>
      <c r="FM112" s="1947"/>
      <c r="FN112" s="1947"/>
      <c r="FO112" s="1947"/>
      <c r="FP112" s="1947"/>
      <c r="FQ112" s="1947"/>
      <c r="FR112" s="1947"/>
      <c r="FS112" s="1947"/>
      <c r="FT112" s="1947"/>
      <c r="FU112" s="1947"/>
      <c r="FV112" s="1947"/>
      <c r="FW112" s="1947"/>
      <c r="FX112" s="1947"/>
      <c r="FY112" s="1947"/>
      <c r="FZ112" s="1947"/>
      <c r="GA112" s="1947"/>
      <c r="GB112" s="1947"/>
      <c r="GC112" s="1947"/>
      <c r="GD112" s="1947"/>
      <c r="GE112" s="1947"/>
      <c r="GF112" s="1947"/>
      <c r="GG112" s="1947"/>
      <c r="GH112" s="1947"/>
      <c r="GI112" s="1947"/>
      <c r="GJ112" s="1947"/>
      <c r="GK112" s="1947"/>
      <c r="GL112" s="1947"/>
      <c r="GM112" s="1947"/>
      <c r="GN112" s="1947"/>
      <c r="GO112" s="1947"/>
      <c r="GP112" s="1947"/>
      <c r="GQ112" s="1947"/>
      <c r="GR112" s="1947"/>
      <c r="GS112" s="1947"/>
      <c r="GT112" s="1947"/>
      <c r="GU112" s="1947"/>
      <c r="GV112" s="1947"/>
      <c r="GW112" s="1947"/>
      <c r="GX112" s="1947"/>
      <c r="GY112" s="1947"/>
      <c r="GZ112" s="1947"/>
      <c r="HA112" s="1947"/>
      <c r="HB112" s="1947"/>
      <c r="HC112" s="1947"/>
      <c r="HD112" s="1947"/>
      <c r="HE112" s="1947"/>
      <c r="HF112" s="1947"/>
      <c r="HG112" s="1947"/>
      <c r="HH112" s="1947"/>
      <c r="HI112" s="1947"/>
      <c r="HJ112" s="1947"/>
      <c r="HK112" s="1947"/>
      <c r="HL112" s="1947"/>
      <c r="HM112" s="1947"/>
      <c r="HN112" s="1947"/>
      <c r="HO112" s="1947"/>
      <c r="HP112" s="1947"/>
      <c r="HQ112" s="1947"/>
      <c r="HR112" s="1947"/>
      <c r="HS112" s="1947"/>
      <c r="HT112" s="1947"/>
      <c r="HU112" s="1947"/>
      <c r="HV112" s="1947"/>
      <c r="HW112" s="1947"/>
      <c r="HX112" s="1947"/>
      <c r="HY112" s="1947"/>
      <c r="HZ112" s="1947"/>
      <c r="IA112" s="1947"/>
      <c r="IB112" s="1947"/>
      <c r="IC112" s="1947"/>
      <c r="ID112" s="1947"/>
      <c r="IE112" s="1947"/>
      <c r="IF112" s="1947"/>
      <c r="IG112" s="1947"/>
      <c r="IH112" s="1947"/>
      <c r="II112" s="1947"/>
      <c r="IJ112" s="1947"/>
      <c r="IK112" s="1947"/>
      <c r="IL112" s="1947"/>
      <c r="IM112" s="1947"/>
      <c r="IN112" s="1947"/>
      <c r="IO112" s="1947"/>
      <c r="IP112" s="1947"/>
      <c r="IQ112" s="1947"/>
    </row>
    <row r="113" spans="1:251">
      <c r="A113" s="2021">
        <v>2</v>
      </c>
      <c r="B113" s="1958" t="s">
        <v>531</v>
      </c>
      <c r="C113" s="1945"/>
      <c r="D113" s="3496">
        <f>26+3</f>
        <v>29</v>
      </c>
      <c r="E113" s="1026"/>
      <c r="F113" s="1946">
        <f>(66000+10000)*1.3</f>
        <v>98800</v>
      </c>
      <c r="G113" s="1026">
        <v>12</v>
      </c>
      <c r="H113" s="1942">
        <f>D113*F113*G113</f>
        <v>34382400</v>
      </c>
      <c r="I113" s="1026"/>
      <c r="J113" s="1942">
        <f>I113*$Q$4</f>
        <v>0</v>
      </c>
      <c r="K113" s="1026">
        <v>0.1</v>
      </c>
      <c r="L113" s="1942">
        <f>K113*F113</f>
        <v>9880</v>
      </c>
      <c r="M113" s="1942">
        <f>D113*G113*(J113+L113)</f>
        <v>3438240</v>
      </c>
      <c r="N113" s="1942">
        <f>H113+M113</f>
        <v>37820640</v>
      </c>
      <c r="O113" s="1026">
        <f>F113*D113*2</f>
        <v>5730400</v>
      </c>
      <c r="P113" s="1026">
        <f>F113*D113*4</f>
        <v>11460800</v>
      </c>
      <c r="Q113" s="1942">
        <f>N113+O113+P113</f>
        <v>55011840</v>
      </c>
      <c r="R113" s="1942">
        <f>Q113*10%</f>
        <v>5501184</v>
      </c>
      <c r="S113" s="1942">
        <f>(Q113-R113)*10%</f>
        <v>4951065.6000000006</v>
      </c>
      <c r="T113" s="1942">
        <f>(Q113-R113)*6%</f>
        <v>2970639.36</v>
      </c>
      <c r="U113" s="1942">
        <f>(Q113-R113)*5%</f>
        <v>2475532.8000000003</v>
      </c>
      <c r="V113" s="3034">
        <f t="shared" si="44"/>
        <v>5446172.1600000001</v>
      </c>
      <c r="W113" s="1942">
        <f t="shared" ref="W113:W130" si="58">Q113*X113</f>
        <v>550118.40000000002</v>
      </c>
      <c r="X113" s="1923">
        <v>0.01</v>
      </c>
      <c r="Y113" s="1947"/>
      <c r="Z113" s="1947"/>
      <c r="AA113" s="1947"/>
      <c r="AB113" s="1947"/>
      <c r="AC113" s="1947"/>
      <c r="AD113" s="1947"/>
      <c r="AE113" s="1947"/>
      <c r="AF113" s="1947"/>
      <c r="AG113" s="1947"/>
      <c r="AH113" s="1947"/>
      <c r="AI113" s="1947"/>
      <c r="AJ113" s="1947"/>
      <c r="AK113" s="1947"/>
      <c r="AL113" s="1947"/>
      <c r="AM113" s="1947"/>
      <c r="AN113" s="1947"/>
      <c r="AO113" s="1947"/>
      <c r="AP113" s="1947"/>
      <c r="AQ113" s="1947"/>
      <c r="AR113" s="1947"/>
      <c r="AS113" s="1947"/>
      <c r="AT113" s="1947"/>
      <c r="AU113" s="1947"/>
      <c r="AV113" s="1947"/>
      <c r="AW113" s="1947"/>
      <c r="AX113" s="1947"/>
      <c r="AY113" s="1947"/>
      <c r="AZ113" s="1947"/>
      <c r="BA113" s="1947"/>
      <c r="BB113" s="1947"/>
      <c r="BC113" s="1947"/>
      <c r="BD113" s="1947"/>
      <c r="BE113" s="1947"/>
      <c r="BF113" s="1947"/>
      <c r="BG113" s="1947"/>
      <c r="BH113" s="1947"/>
      <c r="BI113" s="1947"/>
      <c r="BJ113" s="1947"/>
      <c r="BK113" s="1947"/>
      <c r="BL113" s="1947"/>
      <c r="BM113" s="1947"/>
      <c r="BN113" s="1947"/>
      <c r="BO113" s="1947"/>
      <c r="BP113" s="1947"/>
      <c r="BQ113" s="1947"/>
      <c r="BR113" s="1947"/>
      <c r="BS113" s="1947"/>
      <c r="BT113" s="1947"/>
      <c r="BU113" s="1947"/>
      <c r="BV113" s="1947"/>
      <c r="BW113" s="1947"/>
      <c r="BX113" s="1947"/>
      <c r="BY113" s="1947"/>
      <c r="BZ113" s="1947"/>
      <c r="CA113" s="1947"/>
      <c r="CB113" s="1947"/>
      <c r="CC113" s="1947"/>
      <c r="CD113" s="1947"/>
      <c r="CE113" s="1947"/>
      <c r="CF113" s="1947"/>
      <c r="CG113" s="1947"/>
      <c r="CH113" s="1947"/>
      <c r="CI113" s="1947"/>
      <c r="CJ113" s="1947"/>
      <c r="CK113" s="1947"/>
      <c r="CL113" s="1947"/>
      <c r="CM113" s="1947"/>
      <c r="CN113" s="1947"/>
      <c r="CO113" s="1947"/>
      <c r="CP113" s="1947"/>
      <c r="CQ113" s="1947"/>
      <c r="CR113" s="1947"/>
      <c r="CS113" s="1947"/>
      <c r="CT113" s="1947"/>
      <c r="CU113" s="1947"/>
      <c r="CV113" s="1947"/>
      <c r="CW113" s="1947"/>
      <c r="CX113" s="1947"/>
      <c r="CY113" s="1947"/>
      <c r="CZ113" s="1947"/>
      <c r="DA113" s="1947"/>
      <c r="DB113" s="1947"/>
      <c r="DC113" s="1947"/>
      <c r="DD113" s="1947"/>
      <c r="DE113" s="1947"/>
      <c r="DF113" s="1947"/>
      <c r="DG113" s="1947"/>
      <c r="DH113" s="1947"/>
      <c r="DI113" s="1947"/>
      <c r="DJ113" s="1947"/>
      <c r="DK113" s="1947"/>
      <c r="DL113" s="1947"/>
      <c r="DM113" s="1947"/>
      <c r="DN113" s="1947"/>
      <c r="DO113" s="1947"/>
      <c r="DP113" s="1947"/>
      <c r="DQ113" s="1947"/>
      <c r="DR113" s="1947"/>
      <c r="DS113" s="1947"/>
      <c r="DT113" s="1947"/>
      <c r="DU113" s="1947"/>
      <c r="DV113" s="1947"/>
      <c r="DW113" s="1947"/>
      <c r="DX113" s="1947"/>
      <c r="DY113" s="1947"/>
      <c r="DZ113" s="1947"/>
      <c r="EA113" s="1947"/>
      <c r="EB113" s="1947"/>
      <c r="EC113" s="1947"/>
      <c r="ED113" s="1947"/>
      <c r="EE113" s="1947"/>
      <c r="EF113" s="1947"/>
      <c r="EG113" s="1947"/>
      <c r="EH113" s="1947"/>
      <c r="EI113" s="1947"/>
      <c r="EJ113" s="1947"/>
      <c r="EK113" s="1947"/>
      <c r="EL113" s="1947"/>
      <c r="EM113" s="1947"/>
      <c r="EN113" s="1947"/>
      <c r="EO113" s="1947"/>
      <c r="EP113" s="1947"/>
      <c r="EQ113" s="1947"/>
      <c r="ER113" s="1947"/>
      <c r="ES113" s="1947"/>
      <c r="ET113" s="1947"/>
      <c r="EU113" s="1947"/>
      <c r="EV113" s="1947"/>
      <c r="EW113" s="1947"/>
      <c r="EX113" s="1947"/>
      <c r="EY113" s="1947"/>
      <c r="EZ113" s="1947"/>
      <c r="FA113" s="1947"/>
      <c r="FB113" s="1947"/>
      <c r="FC113" s="1947"/>
      <c r="FD113" s="1947"/>
      <c r="FE113" s="1947"/>
      <c r="FF113" s="1947"/>
      <c r="FG113" s="1947"/>
      <c r="FH113" s="1947"/>
      <c r="FI113" s="1947"/>
      <c r="FJ113" s="1947"/>
      <c r="FK113" s="1947"/>
      <c r="FL113" s="1947"/>
      <c r="FM113" s="1947"/>
      <c r="FN113" s="1947"/>
      <c r="FO113" s="1947"/>
      <c r="FP113" s="1947"/>
      <c r="FQ113" s="1947"/>
      <c r="FR113" s="1947"/>
      <c r="FS113" s="1947"/>
      <c r="FT113" s="1947"/>
      <c r="FU113" s="1947"/>
      <c r="FV113" s="1947"/>
      <c r="FW113" s="1947"/>
      <c r="FX113" s="1947"/>
      <c r="FY113" s="1947"/>
      <c r="FZ113" s="1947"/>
      <c r="GA113" s="1947"/>
      <c r="GB113" s="1947"/>
      <c r="GC113" s="1947"/>
      <c r="GD113" s="1947"/>
      <c r="GE113" s="1947"/>
      <c r="GF113" s="1947"/>
      <c r="GG113" s="1947"/>
      <c r="GH113" s="1947"/>
      <c r="GI113" s="1947"/>
      <c r="GJ113" s="1947"/>
      <c r="GK113" s="1947"/>
      <c r="GL113" s="1947"/>
      <c r="GM113" s="1947"/>
      <c r="GN113" s="1947"/>
      <c r="GO113" s="1947"/>
      <c r="GP113" s="1947"/>
      <c r="GQ113" s="1947"/>
      <c r="GR113" s="1947"/>
      <c r="GS113" s="1947"/>
      <c r="GT113" s="1947"/>
      <c r="GU113" s="1947"/>
      <c r="GV113" s="1947"/>
      <c r="GW113" s="1947"/>
      <c r="GX113" s="1947"/>
      <c r="GY113" s="1947"/>
      <c r="GZ113" s="1947"/>
      <c r="HA113" s="1947"/>
      <c r="HB113" s="1947"/>
      <c r="HC113" s="1947"/>
      <c r="HD113" s="1947"/>
      <c r="HE113" s="1947"/>
      <c r="HF113" s="1947"/>
      <c r="HG113" s="1947"/>
      <c r="HH113" s="1947"/>
      <c r="HI113" s="1947"/>
      <c r="HJ113" s="1947"/>
      <c r="HK113" s="1947"/>
      <c r="HL113" s="1947"/>
      <c r="HM113" s="1947"/>
      <c r="HN113" s="1947"/>
      <c r="HO113" s="1947"/>
      <c r="HP113" s="1947"/>
      <c r="HQ113" s="1947"/>
      <c r="HR113" s="1947"/>
      <c r="HS113" s="1947"/>
      <c r="HT113" s="1947"/>
      <c r="HU113" s="1947"/>
      <c r="HV113" s="1947"/>
      <c r="HW113" s="1947"/>
      <c r="HX113" s="1947"/>
      <c r="HY113" s="1947"/>
      <c r="HZ113" s="1947"/>
      <c r="IA113" s="1947"/>
      <c r="IB113" s="1947"/>
      <c r="IC113" s="1947"/>
      <c r="ID113" s="1947"/>
      <c r="IE113" s="1947"/>
      <c r="IF113" s="1947"/>
      <c r="IG113" s="1947"/>
      <c r="IH113" s="1947"/>
      <c r="II113" s="1947"/>
      <c r="IJ113" s="1947"/>
      <c r="IK113" s="1947"/>
      <c r="IL113" s="1947"/>
      <c r="IM113" s="1947"/>
      <c r="IN113" s="1947"/>
      <c r="IO113" s="1947"/>
      <c r="IP113" s="1947"/>
      <c r="IQ113" s="1947"/>
    </row>
    <row r="114" spans="1:251">
      <c r="A114" s="2021">
        <v>3</v>
      </c>
      <c r="B114" s="1958" t="s">
        <v>532</v>
      </c>
      <c r="C114" s="1945"/>
      <c r="D114" s="3496">
        <v>3</v>
      </c>
      <c r="E114" s="1026"/>
      <c r="F114" s="1946">
        <f>(66000+10000)*1.3</f>
        <v>98800</v>
      </c>
      <c r="G114" s="1026">
        <v>12</v>
      </c>
      <c r="H114" s="1942">
        <f t="shared" ref="H114:H130" si="59">D114*F114*G114</f>
        <v>3556800</v>
      </c>
      <c r="I114" s="1026"/>
      <c r="J114" s="1942">
        <f t="shared" ref="J114:J130" si="60">I114*$Q$4</f>
        <v>0</v>
      </c>
      <c r="K114" s="1026"/>
      <c r="L114" s="1942">
        <f t="shared" ref="L114:L130" si="61">K114*F114</f>
        <v>0</v>
      </c>
      <c r="M114" s="1942">
        <f t="shared" ref="M114:M130" si="62">D114*G114*(J114+L114)</f>
        <v>0</v>
      </c>
      <c r="N114" s="1942">
        <f>H114+M114</f>
        <v>3556800</v>
      </c>
      <c r="O114" s="1026">
        <f>F114*D114*2</f>
        <v>592800</v>
      </c>
      <c r="P114" s="1026">
        <f>F114*D114*4</f>
        <v>1185600</v>
      </c>
      <c r="Q114" s="1942">
        <f t="shared" ref="Q114:Q130" si="63">N114+O114+P114</f>
        <v>5335200</v>
      </c>
      <c r="R114" s="1942">
        <f t="shared" ref="R114:R130" si="64">Q114*10%</f>
        <v>533520</v>
      </c>
      <c r="S114" s="1942">
        <f t="shared" ref="S114:S130" si="65">(Q114-R114)*10%</f>
        <v>480168</v>
      </c>
      <c r="T114" s="1942">
        <f t="shared" ref="T114:T130" si="66">(Q114-R114)*6%</f>
        <v>288100.8</v>
      </c>
      <c r="U114" s="1942">
        <f t="shared" ref="U114:U130" si="67">(Q114-R114)*5%</f>
        <v>240084</v>
      </c>
      <c r="V114" s="3034">
        <f t="shared" si="44"/>
        <v>528184.80000000005</v>
      </c>
      <c r="W114" s="1942">
        <f t="shared" si="58"/>
        <v>53352</v>
      </c>
      <c r="X114" s="1923">
        <v>0.01</v>
      </c>
      <c r="Y114" s="1947"/>
      <c r="Z114" s="1947"/>
      <c r="AA114" s="1947"/>
      <c r="AB114" s="1947"/>
      <c r="AC114" s="1947"/>
      <c r="AD114" s="1947"/>
      <c r="AE114" s="1947"/>
      <c r="AF114" s="1947"/>
      <c r="AG114" s="1947"/>
      <c r="AH114" s="1947"/>
      <c r="AI114" s="1947"/>
      <c r="AJ114" s="1947"/>
      <c r="AK114" s="1947"/>
      <c r="AL114" s="1947"/>
      <c r="AM114" s="1947"/>
      <c r="AN114" s="1947"/>
      <c r="AO114" s="1947"/>
      <c r="AP114" s="1947"/>
      <c r="AQ114" s="1947"/>
      <c r="AR114" s="1947"/>
      <c r="AS114" s="1947"/>
      <c r="AT114" s="1947"/>
      <c r="AU114" s="1947"/>
      <c r="AV114" s="1947"/>
      <c r="AW114" s="1947"/>
      <c r="AX114" s="1947"/>
      <c r="AY114" s="1947"/>
      <c r="AZ114" s="1947"/>
      <c r="BA114" s="1947"/>
      <c r="BB114" s="1947"/>
      <c r="BC114" s="1947"/>
      <c r="BD114" s="1947"/>
      <c r="BE114" s="1947"/>
      <c r="BF114" s="1947"/>
      <c r="BG114" s="1947"/>
      <c r="BH114" s="1947"/>
      <c r="BI114" s="1947"/>
      <c r="BJ114" s="1947"/>
      <c r="BK114" s="1947"/>
      <c r="BL114" s="1947"/>
      <c r="BM114" s="1947"/>
      <c r="BN114" s="1947"/>
      <c r="BO114" s="1947"/>
      <c r="BP114" s="1947"/>
      <c r="BQ114" s="1947"/>
      <c r="BR114" s="1947"/>
      <c r="BS114" s="1947"/>
      <c r="BT114" s="1947"/>
      <c r="BU114" s="1947"/>
      <c r="BV114" s="1947"/>
      <c r="BW114" s="1947"/>
      <c r="BX114" s="1947"/>
      <c r="BY114" s="1947"/>
      <c r="BZ114" s="1947"/>
      <c r="CA114" s="1947"/>
      <c r="CB114" s="1947"/>
      <c r="CC114" s="1947"/>
      <c r="CD114" s="1947"/>
      <c r="CE114" s="1947"/>
      <c r="CF114" s="1947"/>
      <c r="CG114" s="1947"/>
      <c r="CH114" s="1947"/>
      <c r="CI114" s="1947"/>
      <c r="CJ114" s="1947"/>
      <c r="CK114" s="1947"/>
      <c r="CL114" s="1947"/>
      <c r="CM114" s="1947"/>
      <c r="CN114" s="1947"/>
      <c r="CO114" s="1947"/>
      <c r="CP114" s="1947"/>
      <c r="CQ114" s="1947"/>
      <c r="CR114" s="1947"/>
      <c r="CS114" s="1947"/>
      <c r="CT114" s="1947"/>
      <c r="CU114" s="1947"/>
      <c r="CV114" s="1947"/>
      <c r="CW114" s="1947"/>
      <c r="CX114" s="1947"/>
      <c r="CY114" s="1947"/>
      <c r="CZ114" s="1947"/>
      <c r="DA114" s="1947"/>
      <c r="DB114" s="1947"/>
      <c r="DC114" s="1947"/>
      <c r="DD114" s="1947"/>
      <c r="DE114" s="1947"/>
      <c r="DF114" s="1947"/>
      <c r="DG114" s="1947"/>
      <c r="DH114" s="1947"/>
      <c r="DI114" s="1947"/>
      <c r="DJ114" s="1947"/>
      <c r="DK114" s="1947"/>
      <c r="DL114" s="1947"/>
      <c r="DM114" s="1947"/>
      <c r="DN114" s="1947"/>
      <c r="DO114" s="1947"/>
      <c r="DP114" s="1947"/>
      <c r="DQ114" s="1947"/>
      <c r="DR114" s="1947"/>
      <c r="DS114" s="1947"/>
      <c r="DT114" s="1947"/>
      <c r="DU114" s="1947"/>
      <c r="DV114" s="1947"/>
      <c r="DW114" s="1947"/>
      <c r="DX114" s="1947"/>
      <c r="DY114" s="1947"/>
      <c r="DZ114" s="1947"/>
      <c r="EA114" s="1947"/>
      <c r="EB114" s="1947"/>
      <c r="EC114" s="1947"/>
      <c r="ED114" s="1947"/>
      <c r="EE114" s="1947"/>
      <c r="EF114" s="1947"/>
      <c r="EG114" s="1947"/>
      <c r="EH114" s="1947"/>
      <c r="EI114" s="1947"/>
      <c r="EJ114" s="1947"/>
      <c r="EK114" s="1947"/>
      <c r="EL114" s="1947"/>
      <c r="EM114" s="1947"/>
      <c r="EN114" s="1947"/>
      <c r="EO114" s="1947"/>
      <c r="EP114" s="1947"/>
      <c r="EQ114" s="1947"/>
      <c r="ER114" s="1947"/>
      <c r="ES114" s="1947"/>
      <c r="ET114" s="1947"/>
      <c r="EU114" s="1947"/>
      <c r="EV114" s="1947"/>
      <c r="EW114" s="1947"/>
      <c r="EX114" s="1947"/>
      <c r="EY114" s="1947"/>
      <c r="EZ114" s="1947"/>
      <c r="FA114" s="1947"/>
      <c r="FB114" s="1947"/>
      <c r="FC114" s="1947"/>
      <c r="FD114" s="1947"/>
      <c r="FE114" s="1947"/>
      <c r="FF114" s="1947"/>
      <c r="FG114" s="1947"/>
      <c r="FH114" s="1947"/>
      <c r="FI114" s="1947"/>
      <c r="FJ114" s="1947"/>
      <c r="FK114" s="1947"/>
      <c r="FL114" s="1947"/>
      <c r="FM114" s="1947"/>
      <c r="FN114" s="1947"/>
      <c r="FO114" s="1947"/>
      <c r="FP114" s="1947"/>
      <c r="FQ114" s="1947"/>
      <c r="FR114" s="1947"/>
      <c r="FS114" s="1947"/>
      <c r="FT114" s="1947"/>
      <c r="FU114" s="1947"/>
      <c r="FV114" s="1947"/>
      <c r="FW114" s="1947"/>
      <c r="FX114" s="1947"/>
      <c r="FY114" s="1947"/>
      <c r="FZ114" s="1947"/>
      <c r="GA114" s="1947"/>
      <c r="GB114" s="1947"/>
      <c r="GC114" s="1947"/>
      <c r="GD114" s="1947"/>
      <c r="GE114" s="1947"/>
      <c r="GF114" s="1947"/>
      <c r="GG114" s="1947"/>
      <c r="GH114" s="1947"/>
      <c r="GI114" s="1947"/>
      <c r="GJ114" s="1947"/>
      <c r="GK114" s="1947"/>
      <c r="GL114" s="1947"/>
      <c r="GM114" s="1947"/>
      <c r="GN114" s="1947"/>
      <c r="GO114" s="1947"/>
      <c r="GP114" s="1947"/>
      <c r="GQ114" s="1947"/>
      <c r="GR114" s="1947"/>
      <c r="GS114" s="1947"/>
      <c r="GT114" s="1947"/>
      <c r="GU114" s="1947"/>
      <c r="GV114" s="1947"/>
      <c r="GW114" s="1947"/>
      <c r="GX114" s="1947"/>
      <c r="GY114" s="1947"/>
      <c r="GZ114" s="1947"/>
      <c r="HA114" s="1947"/>
      <c r="HB114" s="1947"/>
      <c r="HC114" s="1947"/>
      <c r="HD114" s="1947"/>
      <c r="HE114" s="1947"/>
      <c r="HF114" s="1947"/>
      <c r="HG114" s="1947"/>
      <c r="HH114" s="1947"/>
      <c r="HI114" s="1947"/>
      <c r="HJ114" s="1947"/>
      <c r="HK114" s="1947"/>
      <c r="HL114" s="1947"/>
      <c r="HM114" s="1947"/>
      <c r="HN114" s="1947"/>
      <c r="HO114" s="1947"/>
      <c r="HP114" s="1947"/>
      <c r="HQ114" s="1947"/>
      <c r="HR114" s="1947"/>
      <c r="HS114" s="1947"/>
      <c r="HT114" s="1947"/>
      <c r="HU114" s="1947"/>
      <c r="HV114" s="1947"/>
      <c r="HW114" s="1947"/>
      <c r="HX114" s="1947"/>
      <c r="HY114" s="1947"/>
      <c r="HZ114" s="1947"/>
      <c r="IA114" s="1947"/>
      <c r="IB114" s="1947"/>
      <c r="IC114" s="1947"/>
      <c r="ID114" s="1947"/>
      <c r="IE114" s="1947"/>
      <c r="IF114" s="1947"/>
      <c r="IG114" s="1947"/>
      <c r="IH114" s="1947"/>
      <c r="II114" s="1947"/>
      <c r="IJ114" s="1947"/>
      <c r="IK114" s="1947"/>
      <c r="IL114" s="1947"/>
      <c r="IM114" s="1947"/>
      <c r="IN114" s="1947"/>
      <c r="IO114" s="1947"/>
      <c r="IP114" s="1947"/>
      <c r="IQ114" s="1947"/>
    </row>
    <row r="115" spans="1:251">
      <c r="A115" s="2021">
        <v>4</v>
      </c>
      <c r="B115" s="1958" t="s">
        <v>979</v>
      </c>
      <c r="C115" s="1945"/>
      <c r="D115" s="3496">
        <v>1</v>
      </c>
      <c r="E115" s="1026"/>
      <c r="F115" s="1946">
        <f>(72000+10000)*1.3</f>
        <v>106600</v>
      </c>
      <c r="G115" s="1026">
        <v>12</v>
      </c>
      <c r="H115" s="1942">
        <f t="shared" si="59"/>
        <v>1279200</v>
      </c>
      <c r="I115" s="1026"/>
      <c r="J115" s="1942">
        <f t="shared" si="60"/>
        <v>0</v>
      </c>
      <c r="K115" s="1026"/>
      <c r="L115" s="1942">
        <f t="shared" si="61"/>
        <v>0</v>
      </c>
      <c r="M115" s="1942">
        <f t="shared" si="62"/>
        <v>0</v>
      </c>
      <c r="N115" s="1942">
        <f>H115+M115</f>
        <v>1279200</v>
      </c>
      <c r="O115" s="1026">
        <f t="shared" ref="O115:O121" si="68">F115*D115*2</f>
        <v>213200</v>
      </c>
      <c r="P115" s="1026">
        <f>F115*D115*4</f>
        <v>426400</v>
      </c>
      <c r="Q115" s="1942">
        <f t="shared" si="63"/>
        <v>1918800</v>
      </c>
      <c r="R115" s="1942">
        <f t="shared" si="64"/>
        <v>191880</v>
      </c>
      <c r="S115" s="1942">
        <f t="shared" si="65"/>
        <v>172692</v>
      </c>
      <c r="T115" s="1942">
        <f t="shared" si="66"/>
        <v>103615.2</v>
      </c>
      <c r="U115" s="1942">
        <f t="shared" si="67"/>
        <v>86346</v>
      </c>
      <c r="V115" s="3034">
        <f t="shared" si="44"/>
        <v>189961.2</v>
      </c>
      <c r="W115" s="1942">
        <f t="shared" si="58"/>
        <v>19188</v>
      </c>
      <c r="X115" s="1923">
        <v>0.01</v>
      </c>
      <c r="Y115" s="1947"/>
      <c r="Z115" s="1947"/>
      <c r="AA115" s="1947"/>
      <c r="AB115" s="1947"/>
      <c r="AC115" s="1947"/>
      <c r="AD115" s="1947"/>
      <c r="AE115" s="1947"/>
      <c r="AF115" s="1947"/>
      <c r="AG115" s="1947"/>
      <c r="AH115" s="1947"/>
      <c r="AI115" s="1947"/>
      <c r="AJ115" s="1947"/>
      <c r="AK115" s="1947"/>
      <c r="AL115" s="1947"/>
      <c r="AM115" s="1947"/>
      <c r="AN115" s="1947"/>
      <c r="AO115" s="1947"/>
      <c r="AP115" s="1947"/>
      <c r="AQ115" s="1947"/>
      <c r="AR115" s="1947"/>
      <c r="AS115" s="1947"/>
      <c r="AT115" s="1947"/>
      <c r="AU115" s="1947"/>
      <c r="AV115" s="1947"/>
      <c r="AW115" s="1947"/>
      <c r="AX115" s="1947"/>
      <c r="AY115" s="1947"/>
      <c r="AZ115" s="1947"/>
      <c r="BA115" s="1947"/>
      <c r="BB115" s="1947"/>
      <c r="BC115" s="1947"/>
      <c r="BD115" s="1947"/>
      <c r="BE115" s="1947"/>
      <c r="BF115" s="1947"/>
      <c r="BG115" s="1947"/>
      <c r="BH115" s="1947"/>
      <c r="BI115" s="1947"/>
      <c r="BJ115" s="1947"/>
      <c r="BK115" s="1947"/>
      <c r="BL115" s="1947"/>
      <c r="BM115" s="1947"/>
      <c r="BN115" s="1947"/>
      <c r="BO115" s="1947"/>
      <c r="BP115" s="1947"/>
      <c r="BQ115" s="1947"/>
      <c r="BR115" s="1947"/>
      <c r="BS115" s="1947"/>
      <c r="BT115" s="1947"/>
      <c r="BU115" s="1947"/>
      <c r="BV115" s="1947"/>
      <c r="BW115" s="1947"/>
      <c r="BX115" s="1947"/>
      <c r="BY115" s="1947"/>
      <c r="BZ115" s="1947"/>
      <c r="CA115" s="1947"/>
      <c r="CB115" s="1947"/>
      <c r="CC115" s="1947"/>
      <c r="CD115" s="1947"/>
      <c r="CE115" s="1947"/>
      <c r="CF115" s="1947"/>
      <c r="CG115" s="1947"/>
      <c r="CH115" s="1947"/>
      <c r="CI115" s="1947"/>
      <c r="CJ115" s="1947"/>
      <c r="CK115" s="1947"/>
      <c r="CL115" s="1947"/>
      <c r="CM115" s="1947"/>
      <c r="CN115" s="1947"/>
      <c r="CO115" s="1947"/>
      <c r="CP115" s="1947"/>
      <c r="CQ115" s="1947"/>
      <c r="CR115" s="1947"/>
      <c r="CS115" s="1947"/>
      <c r="CT115" s="1947"/>
      <c r="CU115" s="1947"/>
      <c r="CV115" s="1947"/>
      <c r="CW115" s="1947"/>
      <c r="CX115" s="1947"/>
      <c r="CY115" s="1947"/>
      <c r="CZ115" s="1947"/>
      <c r="DA115" s="1947"/>
      <c r="DB115" s="1947"/>
      <c r="DC115" s="1947"/>
      <c r="DD115" s="1947"/>
      <c r="DE115" s="1947"/>
      <c r="DF115" s="1947"/>
      <c r="DG115" s="1947"/>
      <c r="DH115" s="1947"/>
      <c r="DI115" s="1947"/>
      <c r="DJ115" s="1947"/>
      <c r="DK115" s="1947"/>
      <c r="DL115" s="1947"/>
      <c r="DM115" s="1947"/>
      <c r="DN115" s="1947"/>
      <c r="DO115" s="1947"/>
      <c r="DP115" s="1947"/>
      <c r="DQ115" s="1947"/>
      <c r="DR115" s="1947"/>
      <c r="DS115" s="1947"/>
      <c r="DT115" s="1947"/>
      <c r="DU115" s="1947"/>
      <c r="DV115" s="1947"/>
      <c r="DW115" s="1947"/>
      <c r="DX115" s="1947"/>
      <c r="DY115" s="1947"/>
      <c r="DZ115" s="1947"/>
      <c r="EA115" s="1947"/>
      <c r="EB115" s="1947"/>
      <c r="EC115" s="1947"/>
      <c r="ED115" s="1947"/>
      <c r="EE115" s="1947"/>
      <c r="EF115" s="1947"/>
      <c r="EG115" s="1947"/>
      <c r="EH115" s="1947"/>
      <c r="EI115" s="1947"/>
      <c r="EJ115" s="1947"/>
      <c r="EK115" s="1947"/>
      <c r="EL115" s="1947"/>
      <c r="EM115" s="1947"/>
      <c r="EN115" s="1947"/>
      <c r="EO115" s="1947"/>
      <c r="EP115" s="1947"/>
      <c r="EQ115" s="1947"/>
      <c r="ER115" s="1947"/>
      <c r="ES115" s="1947"/>
      <c r="ET115" s="1947"/>
      <c r="EU115" s="1947"/>
      <c r="EV115" s="1947"/>
      <c r="EW115" s="1947"/>
      <c r="EX115" s="1947"/>
      <c r="EY115" s="1947"/>
      <c r="EZ115" s="1947"/>
      <c r="FA115" s="1947"/>
      <c r="FB115" s="1947"/>
      <c r="FC115" s="1947"/>
      <c r="FD115" s="1947"/>
      <c r="FE115" s="1947"/>
      <c r="FF115" s="1947"/>
      <c r="FG115" s="1947"/>
      <c r="FH115" s="1947"/>
      <c r="FI115" s="1947"/>
      <c r="FJ115" s="1947"/>
      <c r="FK115" s="1947"/>
      <c r="FL115" s="1947"/>
      <c r="FM115" s="1947"/>
      <c r="FN115" s="1947"/>
      <c r="FO115" s="1947"/>
      <c r="FP115" s="1947"/>
      <c r="FQ115" s="1947"/>
      <c r="FR115" s="1947"/>
      <c r="FS115" s="1947"/>
      <c r="FT115" s="1947"/>
      <c r="FU115" s="1947"/>
      <c r="FV115" s="1947"/>
      <c r="FW115" s="1947"/>
      <c r="FX115" s="1947"/>
      <c r="FY115" s="1947"/>
      <c r="FZ115" s="1947"/>
      <c r="GA115" s="1947"/>
      <c r="GB115" s="1947"/>
      <c r="GC115" s="1947"/>
      <c r="GD115" s="1947"/>
      <c r="GE115" s="1947"/>
      <c r="GF115" s="1947"/>
      <c r="GG115" s="1947"/>
      <c r="GH115" s="1947"/>
      <c r="GI115" s="1947"/>
      <c r="GJ115" s="1947"/>
      <c r="GK115" s="1947"/>
      <c r="GL115" s="1947"/>
      <c r="GM115" s="1947"/>
      <c r="GN115" s="1947"/>
      <c r="GO115" s="1947"/>
      <c r="GP115" s="1947"/>
      <c r="GQ115" s="1947"/>
      <c r="GR115" s="1947"/>
      <c r="GS115" s="1947"/>
      <c r="GT115" s="1947"/>
      <c r="GU115" s="1947"/>
      <c r="GV115" s="1947"/>
      <c r="GW115" s="1947"/>
      <c r="GX115" s="1947"/>
      <c r="GY115" s="1947"/>
      <c r="GZ115" s="1947"/>
      <c r="HA115" s="1947"/>
      <c r="HB115" s="1947"/>
      <c r="HC115" s="1947"/>
      <c r="HD115" s="1947"/>
      <c r="HE115" s="1947"/>
      <c r="HF115" s="1947"/>
      <c r="HG115" s="1947"/>
      <c r="HH115" s="1947"/>
      <c r="HI115" s="1947"/>
      <c r="HJ115" s="1947"/>
      <c r="HK115" s="1947"/>
      <c r="HL115" s="1947"/>
      <c r="HM115" s="1947"/>
      <c r="HN115" s="1947"/>
      <c r="HO115" s="1947"/>
      <c r="HP115" s="1947"/>
      <c r="HQ115" s="1947"/>
      <c r="HR115" s="1947"/>
      <c r="HS115" s="1947"/>
      <c r="HT115" s="1947"/>
      <c r="HU115" s="1947"/>
      <c r="HV115" s="1947"/>
      <c r="HW115" s="1947"/>
      <c r="HX115" s="1947"/>
      <c r="HY115" s="1947"/>
      <c r="HZ115" s="1947"/>
      <c r="IA115" s="1947"/>
      <c r="IB115" s="1947"/>
      <c r="IC115" s="1947"/>
      <c r="ID115" s="1947"/>
      <c r="IE115" s="1947"/>
      <c r="IF115" s="1947"/>
      <c r="IG115" s="1947"/>
      <c r="IH115" s="1947"/>
      <c r="II115" s="1947"/>
      <c r="IJ115" s="1947"/>
      <c r="IK115" s="1947"/>
      <c r="IL115" s="1947"/>
      <c r="IM115" s="1947"/>
      <c r="IN115" s="1947"/>
      <c r="IO115" s="1947"/>
      <c r="IP115" s="1947"/>
      <c r="IQ115" s="1947"/>
    </row>
    <row r="116" spans="1:251">
      <c r="A116" s="2021">
        <v>5</v>
      </c>
      <c r="B116" s="1958" t="s">
        <v>534</v>
      </c>
      <c r="C116" s="1945"/>
      <c r="D116" s="3496">
        <v>1</v>
      </c>
      <c r="E116" s="1026"/>
      <c r="F116" s="1946">
        <f>(72000+28000)*1.3</f>
        <v>130000</v>
      </c>
      <c r="G116" s="1026">
        <v>12</v>
      </c>
      <c r="H116" s="1942">
        <f t="shared" si="59"/>
        <v>1560000</v>
      </c>
      <c r="I116" s="1026"/>
      <c r="J116" s="1942">
        <f t="shared" si="60"/>
        <v>0</v>
      </c>
      <c r="K116" s="1026"/>
      <c r="L116" s="1942">
        <f t="shared" si="61"/>
        <v>0</v>
      </c>
      <c r="M116" s="1942">
        <f t="shared" si="62"/>
        <v>0</v>
      </c>
      <c r="N116" s="1942">
        <f>H116+M116</f>
        <v>1560000</v>
      </c>
      <c r="O116" s="1026">
        <f t="shared" si="68"/>
        <v>260000</v>
      </c>
      <c r="P116" s="1026">
        <f>F116*D116*4</f>
        <v>520000</v>
      </c>
      <c r="Q116" s="1942">
        <f t="shared" si="63"/>
        <v>2340000</v>
      </c>
      <c r="R116" s="1942">
        <f t="shared" si="64"/>
        <v>234000</v>
      </c>
      <c r="S116" s="1942">
        <f t="shared" si="65"/>
        <v>210600</v>
      </c>
      <c r="T116" s="1942">
        <f t="shared" si="66"/>
        <v>126360</v>
      </c>
      <c r="U116" s="1942">
        <f t="shared" si="67"/>
        <v>105300</v>
      </c>
      <c r="V116" s="3034">
        <f t="shared" si="44"/>
        <v>231660</v>
      </c>
      <c r="W116" s="1942">
        <f t="shared" si="58"/>
        <v>23400</v>
      </c>
      <c r="X116" s="1923">
        <v>0.01</v>
      </c>
      <c r="Y116" s="1947"/>
      <c r="Z116" s="1947"/>
      <c r="AA116" s="1947"/>
      <c r="AB116" s="1947"/>
      <c r="AC116" s="1947"/>
      <c r="AD116" s="1947"/>
      <c r="AE116" s="1947"/>
      <c r="AF116" s="1947"/>
      <c r="AG116" s="1947"/>
      <c r="AH116" s="1947"/>
      <c r="AI116" s="1947"/>
      <c r="AJ116" s="1947"/>
      <c r="AK116" s="1947"/>
      <c r="AL116" s="1947"/>
      <c r="AM116" s="1947"/>
      <c r="AN116" s="1947"/>
      <c r="AO116" s="1947"/>
      <c r="AP116" s="1947"/>
      <c r="AQ116" s="1947"/>
      <c r="AR116" s="1947"/>
      <c r="AS116" s="1947"/>
      <c r="AT116" s="1947"/>
      <c r="AU116" s="1947"/>
      <c r="AV116" s="1947"/>
      <c r="AW116" s="1947"/>
      <c r="AX116" s="1947"/>
      <c r="AY116" s="1947"/>
      <c r="AZ116" s="1947"/>
      <c r="BA116" s="1947"/>
      <c r="BB116" s="1947"/>
      <c r="BC116" s="1947"/>
      <c r="BD116" s="1947"/>
      <c r="BE116" s="1947"/>
      <c r="BF116" s="1947"/>
      <c r="BG116" s="1947"/>
      <c r="BH116" s="1947"/>
      <c r="BI116" s="1947"/>
      <c r="BJ116" s="1947"/>
      <c r="BK116" s="1947"/>
      <c r="BL116" s="1947"/>
      <c r="BM116" s="1947"/>
      <c r="BN116" s="1947"/>
      <c r="BO116" s="1947"/>
      <c r="BP116" s="1947"/>
      <c r="BQ116" s="1947"/>
      <c r="BR116" s="1947"/>
      <c r="BS116" s="1947"/>
      <c r="BT116" s="1947"/>
      <c r="BU116" s="1947"/>
      <c r="BV116" s="1947"/>
      <c r="BW116" s="1947"/>
      <c r="BX116" s="1947"/>
      <c r="BY116" s="1947"/>
      <c r="BZ116" s="1947"/>
      <c r="CA116" s="1947"/>
      <c r="CB116" s="1947"/>
      <c r="CC116" s="1947"/>
      <c r="CD116" s="1947"/>
      <c r="CE116" s="1947"/>
      <c r="CF116" s="1947"/>
      <c r="CG116" s="1947"/>
      <c r="CH116" s="1947"/>
      <c r="CI116" s="1947"/>
      <c r="CJ116" s="1947"/>
      <c r="CK116" s="1947"/>
      <c r="CL116" s="1947"/>
      <c r="CM116" s="1947"/>
      <c r="CN116" s="1947"/>
      <c r="CO116" s="1947"/>
      <c r="CP116" s="1947"/>
      <c r="CQ116" s="1947"/>
      <c r="CR116" s="1947"/>
      <c r="CS116" s="1947"/>
      <c r="CT116" s="1947"/>
      <c r="CU116" s="1947"/>
      <c r="CV116" s="1947"/>
      <c r="CW116" s="1947"/>
      <c r="CX116" s="1947"/>
      <c r="CY116" s="1947"/>
      <c r="CZ116" s="1947"/>
      <c r="DA116" s="1947"/>
      <c r="DB116" s="1947"/>
      <c r="DC116" s="1947"/>
      <c r="DD116" s="1947"/>
      <c r="DE116" s="1947"/>
      <c r="DF116" s="1947"/>
      <c r="DG116" s="1947"/>
      <c r="DH116" s="1947"/>
      <c r="DI116" s="1947"/>
      <c r="DJ116" s="1947"/>
      <c r="DK116" s="1947"/>
      <c r="DL116" s="1947"/>
      <c r="DM116" s="1947"/>
      <c r="DN116" s="1947"/>
      <c r="DO116" s="1947"/>
      <c r="DP116" s="1947"/>
      <c r="DQ116" s="1947"/>
      <c r="DR116" s="1947"/>
      <c r="DS116" s="1947"/>
      <c r="DT116" s="1947"/>
      <c r="DU116" s="1947"/>
      <c r="DV116" s="1947"/>
      <c r="DW116" s="1947"/>
      <c r="DX116" s="1947"/>
      <c r="DY116" s="1947"/>
      <c r="DZ116" s="1947"/>
      <c r="EA116" s="1947"/>
      <c r="EB116" s="1947"/>
      <c r="EC116" s="1947"/>
      <c r="ED116" s="1947"/>
      <c r="EE116" s="1947"/>
      <c r="EF116" s="1947"/>
      <c r="EG116" s="1947"/>
      <c r="EH116" s="1947"/>
      <c r="EI116" s="1947"/>
      <c r="EJ116" s="1947"/>
      <c r="EK116" s="1947"/>
      <c r="EL116" s="1947"/>
      <c r="EM116" s="1947"/>
      <c r="EN116" s="1947"/>
      <c r="EO116" s="1947"/>
      <c r="EP116" s="1947"/>
      <c r="EQ116" s="1947"/>
      <c r="ER116" s="1947"/>
      <c r="ES116" s="1947"/>
      <c r="ET116" s="1947"/>
      <c r="EU116" s="1947"/>
      <c r="EV116" s="1947"/>
      <c r="EW116" s="1947"/>
      <c r="EX116" s="1947"/>
      <c r="EY116" s="1947"/>
      <c r="EZ116" s="1947"/>
      <c r="FA116" s="1947"/>
      <c r="FB116" s="1947"/>
      <c r="FC116" s="1947"/>
      <c r="FD116" s="1947"/>
      <c r="FE116" s="1947"/>
      <c r="FF116" s="1947"/>
      <c r="FG116" s="1947"/>
      <c r="FH116" s="1947"/>
      <c r="FI116" s="1947"/>
      <c r="FJ116" s="1947"/>
      <c r="FK116" s="1947"/>
      <c r="FL116" s="1947"/>
      <c r="FM116" s="1947"/>
      <c r="FN116" s="1947"/>
      <c r="FO116" s="1947"/>
      <c r="FP116" s="1947"/>
      <c r="FQ116" s="1947"/>
      <c r="FR116" s="1947"/>
      <c r="FS116" s="1947"/>
      <c r="FT116" s="1947"/>
      <c r="FU116" s="1947"/>
      <c r="FV116" s="1947"/>
      <c r="FW116" s="1947"/>
      <c r="FX116" s="1947"/>
      <c r="FY116" s="1947"/>
      <c r="FZ116" s="1947"/>
      <c r="GA116" s="1947"/>
      <c r="GB116" s="1947"/>
      <c r="GC116" s="1947"/>
      <c r="GD116" s="1947"/>
      <c r="GE116" s="1947"/>
      <c r="GF116" s="1947"/>
      <c r="GG116" s="1947"/>
      <c r="GH116" s="1947"/>
      <c r="GI116" s="1947"/>
      <c r="GJ116" s="1947"/>
      <c r="GK116" s="1947"/>
      <c r="GL116" s="1947"/>
      <c r="GM116" s="1947"/>
      <c r="GN116" s="1947"/>
      <c r="GO116" s="1947"/>
      <c r="GP116" s="1947"/>
      <c r="GQ116" s="1947"/>
      <c r="GR116" s="1947"/>
      <c r="GS116" s="1947"/>
      <c r="GT116" s="1947"/>
      <c r="GU116" s="1947"/>
      <c r="GV116" s="1947"/>
      <c r="GW116" s="1947"/>
      <c r="GX116" s="1947"/>
      <c r="GY116" s="1947"/>
      <c r="GZ116" s="1947"/>
      <c r="HA116" s="1947"/>
      <c r="HB116" s="1947"/>
      <c r="HC116" s="1947"/>
      <c r="HD116" s="1947"/>
      <c r="HE116" s="1947"/>
      <c r="HF116" s="1947"/>
      <c r="HG116" s="1947"/>
      <c r="HH116" s="1947"/>
      <c r="HI116" s="1947"/>
      <c r="HJ116" s="1947"/>
      <c r="HK116" s="1947"/>
      <c r="HL116" s="1947"/>
      <c r="HM116" s="1947"/>
      <c r="HN116" s="1947"/>
      <c r="HO116" s="1947"/>
      <c r="HP116" s="1947"/>
      <c r="HQ116" s="1947"/>
      <c r="HR116" s="1947"/>
      <c r="HS116" s="1947"/>
      <c r="HT116" s="1947"/>
      <c r="HU116" s="1947"/>
      <c r="HV116" s="1947"/>
      <c r="HW116" s="1947"/>
      <c r="HX116" s="1947"/>
      <c r="HY116" s="1947"/>
      <c r="HZ116" s="1947"/>
      <c r="IA116" s="1947"/>
      <c r="IB116" s="1947"/>
      <c r="IC116" s="1947"/>
      <c r="ID116" s="1947"/>
      <c r="IE116" s="1947"/>
      <c r="IF116" s="1947"/>
      <c r="IG116" s="1947"/>
      <c r="IH116" s="1947"/>
      <c r="II116" s="1947"/>
      <c r="IJ116" s="1947"/>
      <c r="IK116" s="1947"/>
      <c r="IL116" s="1947"/>
      <c r="IM116" s="1947"/>
      <c r="IN116" s="1947"/>
      <c r="IO116" s="1947"/>
      <c r="IP116" s="1947"/>
      <c r="IQ116" s="1947"/>
    </row>
    <row r="117" spans="1:251" hidden="1">
      <c r="A117" s="2021"/>
      <c r="B117" s="1958" t="s">
        <v>980</v>
      </c>
      <c r="C117" s="1945"/>
      <c r="D117" s="3496"/>
      <c r="E117" s="1026"/>
      <c r="F117" s="1946"/>
      <c r="G117" s="1026">
        <v>12</v>
      </c>
      <c r="H117" s="1942">
        <f t="shared" si="59"/>
        <v>0</v>
      </c>
      <c r="I117" s="1026"/>
      <c r="J117" s="1942">
        <f t="shared" si="60"/>
        <v>0</v>
      </c>
      <c r="K117" s="1026"/>
      <c r="L117" s="1942">
        <f t="shared" si="61"/>
        <v>0</v>
      </c>
      <c r="M117" s="1942">
        <f t="shared" si="62"/>
        <v>0</v>
      </c>
      <c r="N117" s="1942">
        <f t="shared" ref="N117:N129" si="69">H117+M117</f>
        <v>0</v>
      </c>
      <c r="O117" s="1026">
        <f t="shared" si="68"/>
        <v>0</v>
      </c>
      <c r="P117" s="1026">
        <f t="shared" ref="P117:P121" si="70">F117*D117*4</f>
        <v>0</v>
      </c>
      <c r="Q117" s="1942">
        <f t="shared" si="63"/>
        <v>0</v>
      </c>
      <c r="R117" s="1942">
        <f t="shared" si="64"/>
        <v>0</v>
      </c>
      <c r="S117" s="1942">
        <f t="shared" si="65"/>
        <v>0</v>
      </c>
      <c r="T117" s="1942">
        <f t="shared" si="66"/>
        <v>0</v>
      </c>
      <c r="U117" s="1942">
        <f t="shared" si="67"/>
        <v>0</v>
      </c>
      <c r="V117" s="3034">
        <f t="shared" si="44"/>
        <v>0</v>
      </c>
      <c r="W117" s="1942">
        <f t="shared" si="58"/>
        <v>0</v>
      </c>
      <c r="X117" s="1923">
        <v>0.01</v>
      </c>
      <c r="Y117" s="1947"/>
      <c r="Z117" s="1947"/>
      <c r="AA117" s="1947"/>
      <c r="AB117" s="1947"/>
      <c r="AC117" s="1947"/>
      <c r="AD117" s="1947"/>
      <c r="AE117" s="1947"/>
      <c r="AF117" s="1947"/>
      <c r="AG117" s="1947"/>
      <c r="AH117" s="1947"/>
      <c r="AI117" s="1947"/>
      <c r="AJ117" s="1947"/>
      <c r="AK117" s="1947"/>
      <c r="AL117" s="1947"/>
      <c r="AM117" s="1947"/>
      <c r="AN117" s="1947"/>
      <c r="AO117" s="1947"/>
      <c r="AP117" s="1947"/>
      <c r="AQ117" s="1947"/>
      <c r="AR117" s="1947"/>
      <c r="AS117" s="1947"/>
      <c r="AT117" s="1947"/>
      <c r="AU117" s="1947"/>
      <c r="AV117" s="1947"/>
      <c r="AW117" s="1947"/>
      <c r="AX117" s="1947"/>
      <c r="AY117" s="1947"/>
      <c r="AZ117" s="1947"/>
      <c r="BA117" s="1947"/>
      <c r="BB117" s="1947"/>
      <c r="BC117" s="1947"/>
      <c r="BD117" s="1947"/>
      <c r="BE117" s="1947"/>
      <c r="BF117" s="1947"/>
      <c r="BG117" s="1947"/>
      <c r="BH117" s="1947"/>
      <c r="BI117" s="1947"/>
      <c r="BJ117" s="1947"/>
      <c r="BK117" s="1947"/>
      <c r="BL117" s="1947"/>
      <c r="BM117" s="1947"/>
      <c r="BN117" s="1947"/>
      <c r="BO117" s="1947"/>
      <c r="BP117" s="1947"/>
      <c r="BQ117" s="1947"/>
      <c r="BR117" s="1947"/>
      <c r="BS117" s="1947"/>
      <c r="BT117" s="1947"/>
      <c r="BU117" s="1947"/>
      <c r="BV117" s="1947"/>
      <c r="BW117" s="1947"/>
      <c r="BX117" s="1947"/>
      <c r="BY117" s="1947"/>
      <c r="BZ117" s="1947"/>
      <c r="CA117" s="1947"/>
      <c r="CB117" s="1947"/>
      <c r="CC117" s="1947"/>
      <c r="CD117" s="1947"/>
      <c r="CE117" s="1947"/>
      <c r="CF117" s="1947"/>
      <c r="CG117" s="1947"/>
      <c r="CH117" s="1947"/>
      <c r="CI117" s="1947"/>
      <c r="CJ117" s="1947"/>
      <c r="CK117" s="1947"/>
      <c r="CL117" s="1947"/>
      <c r="CM117" s="1947"/>
      <c r="CN117" s="1947"/>
      <c r="CO117" s="1947"/>
      <c r="CP117" s="1947"/>
      <c r="CQ117" s="1947"/>
      <c r="CR117" s="1947"/>
      <c r="CS117" s="1947"/>
      <c r="CT117" s="1947"/>
      <c r="CU117" s="1947"/>
      <c r="CV117" s="1947"/>
      <c r="CW117" s="1947"/>
      <c r="CX117" s="1947"/>
      <c r="CY117" s="1947"/>
      <c r="CZ117" s="1947"/>
      <c r="DA117" s="1947"/>
      <c r="DB117" s="1947"/>
      <c r="DC117" s="1947"/>
      <c r="DD117" s="1947"/>
      <c r="DE117" s="1947"/>
      <c r="DF117" s="1947"/>
      <c r="DG117" s="1947"/>
      <c r="DH117" s="1947"/>
      <c r="DI117" s="1947"/>
      <c r="DJ117" s="1947"/>
      <c r="DK117" s="1947"/>
      <c r="DL117" s="1947"/>
      <c r="DM117" s="1947"/>
      <c r="DN117" s="1947"/>
      <c r="DO117" s="1947"/>
      <c r="DP117" s="1947"/>
      <c r="DQ117" s="1947"/>
      <c r="DR117" s="1947"/>
      <c r="DS117" s="1947"/>
      <c r="DT117" s="1947"/>
      <c r="DU117" s="1947"/>
      <c r="DV117" s="1947"/>
      <c r="DW117" s="1947"/>
      <c r="DX117" s="1947"/>
      <c r="DY117" s="1947"/>
      <c r="DZ117" s="1947"/>
      <c r="EA117" s="1947"/>
      <c r="EB117" s="1947"/>
      <c r="EC117" s="1947"/>
      <c r="ED117" s="1947"/>
      <c r="EE117" s="1947"/>
      <c r="EF117" s="1947"/>
      <c r="EG117" s="1947"/>
      <c r="EH117" s="1947"/>
      <c r="EI117" s="1947"/>
      <c r="EJ117" s="1947"/>
      <c r="EK117" s="1947"/>
      <c r="EL117" s="1947"/>
      <c r="EM117" s="1947"/>
      <c r="EN117" s="1947"/>
      <c r="EO117" s="1947"/>
      <c r="EP117" s="1947"/>
      <c r="EQ117" s="1947"/>
      <c r="ER117" s="1947"/>
      <c r="ES117" s="1947"/>
      <c r="ET117" s="1947"/>
      <c r="EU117" s="1947"/>
      <c r="EV117" s="1947"/>
      <c r="EW117" s="1947"/>
      <c r="EX117" s="1947"/>
      <c r="EY117" s="1947"/>
      <c r="EZ117" s="1947"/>
      <c r="FA117" s="1947"/>
      <c r="FB117" s="1947"/>
      <c r="FC117" s="1947"/>
      <c r="FD117" s="1947"/>
      <c r="FE117" s="1947"/>
      <c r="FF117" s="1947"/>
      <c r="FG117" s="1947"/>
      <c r="FH117" s="1947"/>
      <c r="FI117" s="1947"/>
      <c r="FJ117" s="1947"/>
      <c r="FK117" s="1947"/>
      <c r="FL117" s="1947"/>
      <c r="FM117" s="1947"/>
      <c r="FN117" s="1947"/>
      <c r="FO117" s="1947"/>
      <c r="FP117" s="1947"/>
      <c r="FQ117" s="1947"/>
      <c r="FR117" s="1947"/>
      <c r="FS117" s="1947"/>
      <c r="FT117" s="1947"/>
      <c r="FU117" s="1947"/>
      <c r="FV117" s="1947"/>
      <c r="FW117" s="1947"/>
      <c r="FX117" s="1947"/>
      <c r="FY117" s="1947"/>
      <c r="FZ117" s="1947"/>
      <c r="GA117" s="1947"/>
      <c r="GB117" s="1947"/>
      <c r="GC117" s="1947"/>
      <c r="GD117" s="1947"/>
      <c r="GE117" s="1947"/>
      <c r="GF117" s="1947"/>
      <c r="GG117" s="1947"/>
      <c r="GH117" s="1947"/>
      <c r="GI117" s="1947"/>
      <c r="GJ117" s="1947"/>
      <c r="GK117" s="1947"/>
      <c r="GL117" s="1947"/>
      <c r="GM117" s="1947"/>
      <c r="GN117" s="1947"/>
      <c r="GO117" s="1947"/>
      <c r="GP117" s="1947"/>
      <c r="GQ117" s="1947"/>
      <c r="GR117" s="1947"/>
      <c r="GS117" s="1947"/>
      <c r="GT117" s="1947"/>
      <c r="GU117" s="1947"/>
      <c r="GV117" s="1947"/>
      <c r="GW117" s="1947"/>
      <c r="GX117" s="1947"/>
      <c r="GY117" s="1947"/>
      <c r="GZ117" s="1947"/>
      <c r="HA117" s="1947"/>
      <c r="HB117" s="1947"/>
      <c r="HC117" s="1947"/>
      <c r="HD117" s="1947"/>
      <c r="HE117" s="1947"/>
      <c r="HF117" s="1947"/>
      <c r="HG117" s="1947"/>
      <c r="HH117" s="1947"/>
      <c r="HI117" s="1947"/>
      <c r="HJ117" s="1947"/>
      <c r="HK117" s="1947"/>
      <c r="HL117" s="1947"/>
      <c r="HM117" s="1947"/>
      <c r="HN117" s="1947"/>
      <c r="HO117" s="1947"/>
      <c r="HP117" s="1947"/>
      <c r="HQ117" s="1947"/>
      <c r="HR117" s="1947"/>
      <c r="HS117" s="1947"/>
      <c r="HT117" s="1947"/>
      <c r="HU117" s="1947"/>
      <c r="HV117" s="1947"/>
      <c r="HW117" s="1947"/>
      <c r="HX117" s="1947"/>
      <c r="HY117" s="1947"/>
      <c r="HZ117" s="1947"/>
      <c r="IA117" s="1947"/>
      <c r="IB117" s="1947"/>
      <c r="IC117" s="1947"/>
      <c r="ID117" s="1947"/>
      <c r="IE117" s="1947"/>
      <c r="IF117" s="1947"/>
      <c r="IG117" s="1947"/>
      <c r="IH117" s="1947"/>
      <c r="II117" s="1947"/>
      <c r="IJ117" s="1947"/>
      <c r="IK117" s="1947"/>
      <c r="IL117" s="1947"/>
      <c r="IM117" s="1947"/>
      <c r="IN117" s="1947"/>
      <c r="IO117" s="1947"/>
      <c r="IP117" s="1947"/>
      <c r="IQ117" s="1947"/>
    </row>
    <row r="118" spans="1:251" hidden="1">
      <c r="A118" s="2021"/>
      <c r="B118" s="1958" t="s">
        <v>536</v>
      </c>
      <c r="C118" s="1945"/>
      <c r="D118" s="3496"/>
      <c r="E118" s="1026"/>
      <c r="F118" s="1946"/>
      <c r="G118" s="1026">
        <v>12</v>
      </c>
      <c r="H118" s="1942">
        <f t="shared" si="59"/>
        <v>0</v>
      </c>
      <c r="I118" s="1026"/>
      <c r="J118" s="1942">
        <f t="shared" si="60"/>
        <v>0</v>
      </c>
      <c r="K118" s="1026"/>
      <c r="L118" s="1942">
        <f t="shared" si="61"/>
        <v>0</v>
      </c>
      <c r="M118" s="1942">
        <f t="shared" si="62"/>
        <v>0</v>
      </c>
      <c r="N118" s="1942">
        <f t="shared" si="69"/>
        <v>0</v>
      </c>
      <c r="O118" s="1026">
        <f t="shared" si="68"/>
        <v>0</v>
      </c>
      <c r="P118" s="1026">
        <f t="shared" si="70"/>
        <v>0</v>
      </c>
      <c r="Q118" s="1942">
        <f t="shared" si="63"/>
        <v>0</v>
      </c>
      <c r="R118" s="1942">
        <f t="shared" si="64"/>
        <v>0</v>
      </c>
      <c r="S118" s="1942">
        <f t="shared" si="65"/>
        <v>0</v>
      </c>
      <c r="T118" s="1942">
        <f t="shared" si="66"/>
        <v>0</v>
      </c>
      <c r="U118" s="1942">
        <f t="shared" si="67"/>
        <v>0</v>
      </c>
      <c r="V118" s="3034">
        <f t="shared" si="44"/>
        <v>0</v>
      </c>
      <c r="W118" s="1942">
        <f t="shared" si="58"/>
        <v>0</v>
      </c>
      <c r="X118" s="1923">
        <v>0.01</v>
      </c>
      <c r="Y118" s="1947"/>
      <c r="Z118" s="1947"/>
      <c r="AA118" s="1947"/>
      <c r="AB118" s="1947"/>
      <c r="AC118" s="1947"/>
      <c r="AD118" s="1947"/>
      <c r="AE118" s="1947"/>
      <c r="AF118" s="1947"/>
      <c r="AG118" s="1947"/>
      <c r="AH118" s="1947"/>
      <c r="AI118" s="1947"/>
      <c r="AJ118" s="1947"/>
      <c r="AK118" s="1947"/>
      <c r="AL118" s="1947"/>
      <c r="AM118" s="1947"/>
      <c r="AN118" s="1947"/>
      <c r="AO118" s="1947"/>
      <c r="AP118" s="1947"/>
      <c r="AQ118" s="1947"/>
      <c r="AR118" s="1947"/>
      <c r="AS118" s="1947"/>
      <c r="AT118" s="1947"/>
      <c r="AU118" s="1947"/>
      <c r="AV118" s="1947"/>
      <c r="AW118" s="1947"/>
      <c r="AX118" s="1947"/>
      <c r="AY118" s="1947"/>
      <c r="AZ118" s="1947"/>
      <c r="BA118" s="1947"/>
      <c r="BB118" s="1947"/>
      <c r="BC118" s="1947"/>
      <c r="BD118" s="1947"/>
      <c r="BE118" s="1947"/>
      <c r="BF118" s="1947"/>
      <c r="BG118" s="1947"/>
      <c r="BH118" s="1947"/>
      <c r="BI118" s="1947"/>
      <c r="BJ118" s="1947"/>
      <c r="BK118" s="1947"/>
      <c r="BL118" s="1947"/>
      <c r="BM118" s="1947"/>
      <c r="BN118" s="1947"/>
      <c r="BO118" s="1947"/>
      <c r="BP118" s="1947"/>
      <c r="BQ118" s="1947"/>
      <c r="BR118" s="1947"/>
      <c r="BS118" s="1947"/>
      <c r="BT118" s="1947"/>
      <c r="BU118" s="1947"/>
      <c r="BV118" s="1947"/>
      <c r="BW118" s="1947"/>
      <c r="BX118" s="1947"/>
      <c r="BY118" s="1947"/>
      <c r="BZ118" s="1947"/>
      <c r="CA118" s="1947"/>
      <c r="CB118" s="1947"/>
      <c r="CC118" s="1947"/>
      <c r="CD118" s="1947"/>
      <c r="CE118" s="1947"/>
      <c r="CF118" s="1947"/>
      <c r="CG118" s="1947"/>
      <c r="CH118" s="1947"/>
      <c r="CI118" s="1947"/>
      <c r="CJ118" s="1947"/>
      <c r="CK118" s="1947"/>
      <c r="CL118" s="1947"/>
      <c r="CM118" s="1947"/>
      <c r="CN118" s="1947"/>
      <c r="CO118" s="1947"/>
      <c r="CP118" s="1947"/>
      <c r="CQ118" s="1947"/>
      <c r="CR118" s="1947"/>
      <c r="CS118" s="1947"/>
      <c r="CT118" s="1947"/>
      <c r="CU118" s="1947"/>
      <c r="CV118" s="1947"/>
      <c r="CW118" s="1947"/>
      <c r="CX118" s="1947"/>
      <c r="CY118" s="1947"/>
      <c r="CZ118" s="1947"/>
      <c r="DA118" s="1947"/>
      <c r="DB118" s="1947"/>
      <c r="DC118" s="1947"/>
      <c r="DD118" s="1947"/>
      <c r="DE118" s="1947"/>
      <c r="DF118" s="1947"/>
      <c r="DG118" s="1947"/>
      <c r="DH118" s="1947"/>
      <c r="DI118" s="1947"/>
      <c r="DJ118" s="1947"/>
      <c r="DK118" s="1947"/>
      <c r="DL118" s="1947"/>
      <c r="DM118" s="1947"/>
      <c r="DN118" s="1947"/>
      <c r="DO118" s="1947"/>
      <c r="DP118" s="1947"/>
      <c r="DQ118" s="1947"/>
      <c r="DR118" s="1947"/>
      <c r="DS118" s="1947"/>
      <c r="DT118" s="1947"/>
      <c r="DU118" s="1947"/>
      <c r="DV118" s="1947"/>
      <c r="DW118" s="1947"/>
      <c r="DX118" s="1947"/>
      <c r="DY118" s="1947"/>
      <c r="DZ118" s="1947"/>
      <c r="EA118" s="1947"/>
      <c r="EB118" s="1947"/>
      <c r="EC118" s="1947"/>
      <c r="ED118" s="1947"/>
      <c r="EE118" s="1947"/>
      <c r="EF118" s="1947"/>
      <c r="EG118" s="1947"/>
      <c r="EH118" s="1947"/>
      <c r="EI118" s="1947"/>
      <c r="EJ118" s="1947"/>
      <c r="EK118" s="1947"/>
      <c r="EL118" s="1947"/>
      <c r="EM118" s="1947"/>
      <c r="EN118" s="1947"/>
      <c r="EO118" s="1947"/>
      <c r="EP118" s="1947"/>
      <c r="EQ118" s="1947"/>
      <c r="ER118" s="1947"/>
      <c r="ES118" s="1947"/>
      <c r="ET118" s="1947"/>
      <c r="EU118" s="1947"/>
      <c r="EV118" s="1947"/>
      <c r="EW118" s="1947"/>
      <c r="EX118" s="1947"/>
      <c r="EY118" s="1947"/>
      <c r="EZ118" s="1947"/>
      <c r="FA118" s="1947"/>
      <c r="FB118" s="1947"/>
      <c r="FC118" s="1947"/>
      <c r="FD118" s="1947"/>
      <c r="FE118" s="1947"/>
      <c r="FF118" s="1947"/>
      <c r="FG118" s="1947"/>
      <c r="FH118" s="1947"/>
      <c r="FI118" s="1947"/>
      <c r="FJ118" s="1947"/>
      <c r="FK118" s="1947"/>
      <c r="FL118" s="1947"/>
      <c r="FM118" s="1947"/>
      <c r="FN118" s="1947"/>
      <c r="FO118" s="1947"/>
      <c r="FP118" s="1947"/>
      <c r="FQ118" s="1947"/>
      <c r="FR118" s="1947"/>
      <c r="FS118" s="1947"/>
      <c r="FT118" s="1947"/>
      <c r="FU118" s="1947"/>
      <c r="FV118" s="1947"/>
      <c r="FW118" s="1947"/>
      <c r="FX118" s="1947"/>
      <c r="FY118" s="1947"/>
      <c r="FZ118" s="1947"/>
      <c r="GA118" s="1947"/>
      <c r="GB118" s="1947"/>
      <c r="GC118" s="1947"/>
      <c r="GD118" s="1947"/>
      <c r="GE118" s="1947"/>
      <c r="GF118" s="1947"/>
      <c r="GG118" s="1947"/>
      <c r="GH118" s="1947"/>
      <c r="GI118" s="1947"/>
      <c r="GJ118" s="1947"/>
      <c r="GK118" s="1947"/>
      <c r="GL118" s="1947"/>
      <c r="GM118" s="1947"/>
      <c r="GN118" s="1947"/>
      <c r="GO118" s="1947"/>
      <c r="GP118" s="1947"/>
      <c r="GQ118" s="1947"/>
      <c r="GR118" s="1947"/>
      <c r="GS118" s="1947"/>
      <c r="GT118" s="1947"/>
      <c r="GU118" s="1947"/>
      <c r="GV118" s="1947"/>
      <c r="GW118" s="1947"/>
      <c r="GX118" s="1947"/>
      <c r="GY118" s="1947"/>
      <c r="GZ118" s="1947"/>
      <c r="HA118" s="1947"/>
      <c r="HB118" s="1947"/>
      <c r="HC118" s="1947"/>
      <c r="HD118" s="1947"/>
      <c r="HE118" s="1947"/>
      <c r="HF118" s="1947"/>
      <c r="HG118" s="1947"/>
      <c r="HH118" s="1947"/>
      <c r="HI118" s="1947"/>
      <c r="HJ118" s="1947"/>
      <c r="HK118" s="1947"/>
      <c r="HL118" s="1947"/>
      <c r="HM118" s="1947"/>
      <c r="HN118" s="1947"/>
      <c r="HO118" s="1947"/>
      <c r="HP118" s="1947"/>
      <c r="HQ118" s="1947"/>
      <c r="HR118" s="1947"/>
      <c r="HS118" s="1947"/>
      <c r="HT118" s="1947"/>
      <c r="HU118" s="1947"/>
      <c r="HV118" s="1947"/>
      <c r="HW118" s="1947"/>
      <c r="HX118" s="1947"/>
      <c r="HY118" s="1947"/>
      <c r="HZ118" s="1947"/>
      <c r="IA118" s="1947"/>
      <c r="IB118" s="1947"/>
      <c r="IC118" s="1947"/>
      <c r="ID118" s="1947"/>
      <c r="IE118" s="1947"/>
      <c r="IF118" s="1947"/>
      <c r="IG118" s="1947"/>
      <c r="IH118" s="1947"/>
      <c r="II118" s="1947"/>
      <c r="IJ118" s="1947"/>
      <c r="IK118" s="1947"/>
      <c r="IL118" s="1947"/>
      <c r="IM118" s="1947"/>
      <c r="IN118" s="1947"/>
      <c r="IO118" s="1947"/>
      <c r="IP118" s="1947"/>
      <c r="IQ118" s="1947"/>
    </row>
    <row r="119" spans="1:251" hidden="1">
      <c r="A119" s="2021"/>
      <c r="B119" s="1958" t="s">
        <v>537</v>
      </c>
      <c r="C119" s="1945"/>
      <c r="D119" s="3496"/>
      <c r="E119" s="1026"/>
      <c r="F119" s="1946"/>
      <c r="G119" s="1026">
        <v>12</v>
      </c>
      <c r="H119" s="1942">
        <f t="shared" si="59"/>
        <v>0</v>
      </c>
      <c r="I119" s="1026"/>
      <c r="J119" s="1942">
        <f t="shared" si="60"/>
        <v>0</v>
      </c>
      <c r="K119" s="1026"/>
      <c r="L119" s="1942">
        <f t="shared" si="61"/>
        <v>0</v>
      </c>
      <c r="M119" s="1942">
        <f t="shared" si="62"/>
        <v>0</v>
      </c>
      <c r="N119" s="1942">
        <f t="shared" si="69"/>
        <v>0</v>
      </c>
      <c r="O119" s="1026">
        <f t="shared" si="68"/>
        <v>0</v>
      </c>
      <c r="P119" s="1026">
        <f t="shared" si="70"/>
        <v>0</v>
      </c>
      <c r="Q119" s="1942">
        <f t="shared" si="63"/>
        <v>0</v>
      </c>
      <c r="R119" s="1942">
        <f t="shared" si="64"/>
        <v>0</v>
      </c>
      <c r="S119" s="1942">
        <f t="shared" si="65"/>
        <v>0</v>
      </c>
      <c r="T119" s="1942">
        <f t="shared" si="66"/>
        <v>0</v>
      </c>
      <c r="U119" s="1942">
        <f t="shared" si="67"/>
        <v>0</v>
      </c>
      <c r="V119" s="3034">
        <f t="shared" si="44"/>
        <v>0</v>
      </c>
      <c r="W119" s="1942">
        <f t="shared" si="58"/>
        <v>0</v>
      </c>
      <c r="X119" s="1923">
        <v>0.01</v>
      </c>
      <c r="Y119" s="1947"/>
      <c r="Z119" s="1947"/>
      <c r="AA119" s="1947"/>
      <c r="AB119" s="1947"/>
      <c r="AC119" s="1947"/>
      <c r="AD119" s="1947"/>
      <c r="AE119" s="1947"/>
      <c r="AF119" s="1947"/>
      <c r="AG119" s="1947"/>
      <c r="AH119" s="1947"/>
      <c r="AI119" s="1947"/>
      <c r="AJ119" s="1947"/>
      <c r="AK119" s="1947"/>
      <c r="AL119" s="1947"/>
      <c r="AM119" s="1947"/>
      <c r="AN119" s="1947"/>
      <c r="AO119" s="1947"/>
      <c r="AP119" s="1947"/>
      <c r="AQ119" s="1947"/>
      <c r="AR119" s="1947"/>
      <c r="AS119" s="1947"/>
      <c r="AT119" s="1947"/>
      <c r="AU119" s="1947"/>
      <c r="AV119" s="1947"/>
      <c r="AW119" s="1947"/>
      <c r="AX119" s="1947"/>
      <c r="AY119" s="1947"/>
      <c r="AZ119" s="1947"/>
      <c r="BA119" s="1947"/>
      <c r="BB119" s="1947"/>
      <c r="BC119" s="1947"/>
      <c r="BD119" s="1947"/>
      <c r="BE119" s="1947"/>
      <c r="BF119" s="1947"/>
      <c r="BG119" s="1947"/>
      <c r="BH119" s="1947"/>
      <c r="BI119" s="1947"/>
      <c r="BJ119" s="1947"/>
      <c r="BK119" s="1947"/>
      <c r="BL119" s="1947"/>
      <c r="BM119" s="1947"/>
      <c r="BN119" s="1947"/>
      <c r="BO119" s="1947"/>
      <c r="BP119" s="1947"/>
      <c r="BQ119" s="1947"/>
      <c r="BR119" s="1947"/>
      <c r="BS119" s="1947"/>
      <c r="BT119" s="1947"/>
      <c r="BU119" s="1947"/>
      <c r="BV119" s="1947"/>
      <c r="BW119" s="1947"/>
      <c r="BX119" s="1947"/>
      <c r="BY119" s="1947"/>
      <c r="BZ119" s="1947"/>
      <c r="CA119" s="1947"/>
      <c r="CB119" s="1947"/>
      <c r="CC119" s="1947"/>
      <c r="CD119" s="1947"/>
      <c r="CE119" s="1947"/>
      <c r="CF119" s="1947"/>
      <c r="CG119" s="1947"/>
      <c r="CH119" s="1947"/>
      <c r="CI119" s="1947"/>
      <c r="CJ119" s="1947"/>
      <c r="CK119" s="1947"/>
      <c r="CL119" s="1947"/>
      <c r="CM119" s="1947"/>
      <c r="CN119" s="1947"/>
      <c r="CO119" s="1947"/>
      <c r="CP119" s="1947"/>
      <c r="CQ119" s="1947"/>
      <c r="CR119" s="1947"/>
      <c r="CS119" s="1947"/>
      <c r="CT119" s="1947"/>
      <c r="CU119" s="1947"/>
      <c r="CV119" s="1947"/>
      <c r="CW119" s="1947"/>
      <c r="CX119" s="1947"/>
      <c r="CY119" s="1947"/>
      <c r="CZ119" s="1947"/>
      <c r="DA119" s="1947"/>
      <c r="DB119" s="1947"/>
      <c r="DC119" s="1947"/>
      <c r="DD119" s="1947"/>
      <c r="DE119" s="1947"/>
      <c r="DF119" s="1947"/>
      <c r="DG119" s="1947"/>
      <c r="DH119" s="1947"/>
      <c r="DI119" s="1947"/>
      <c r="DJ119" s="1947"/>
      <c r="DK119" s="1947"/>
      <c r="DL119" s="1947"/>
      <c r="DM119" s="1947"/>
      <c r="DN119" s="1947"/>
      <c r="DO119" s="1947"/>
      <c r="DP119" s="1947"/>
      <c r="DQ119" s="1947"/>
      <c r="DR119" s="1947"/>
      <c r="DS119" s="1947"/>
      <c r="DT119" s="1947"/>
      <c r="DU119" s="1947"/>
      <c r="DV119" s="1947"/>
      <c r="DW119" s="1947"/>
      <c r="DX119" s="1947"/>
      <c r="DY119" s="1947"/>
      <c r="DZ119" s="1947"/>
      <c r="EA119" s="1947"/>
      <c r="EB119" s="1947"/>
      <c r="EC119" s="1947"/>
      <c r="ED119" s="1947"/>
      <c r="EE119" s="1947"/>
      <c r="EF119" s="1947"/>
      <c r="EG119" s="1947"/>
      <c r="EH119" s="1947"/>
      <c r="EI119" s="1947"/>
      <c r="EJ119" s="1947"/>
      <c r="EK119" s="1947"/>
      <c r="EL119" s="1947"/>
      <c r="EM119" s="1947"/>
      <c r="EN119" s="1947"/>
      <c r="EO119" s="1947"/>
      <c r="EP119" s="1947"/>
      <c r="EQ119" s="1947"/>
      <c r="ER119" s="1947"/>
      <c r="ES119" s="1947"/>
      <c r="ET119" s="1947"/>
      <c r="EU119" s="1947"/>
      <c r="EV119" s="1947"/>
      <c r="EW119" s="1947"/>
      <c r="EX119" s="1947"/>
      <c r="EY119" s="1947"/>
      <c r="EZ119" s="1947"/>
      <c r="FA119" s="1947"/>
      <c r="FB119" s="1947"/>
      <c r="FC119" s="1947"/>
      <c r="FD119" s="1947"/>
      <c r="FE119" s="1947"/>
      <c r="FF119" s="1947"/>
      <c r="FG119" s="1947"/>
      <c r="FH119" s="1947"/>
      <c r="FI119" s="1947"/>
      <c r="FJ119" s="1947"/>
      <c r="FK119" s="1947"/>
      <c r="FL119" s="1947"/>
      <c r="FM119" s="1947"/>
      <c r="FN119" s="1947"/>
      <c r="FO119" s="1947"/>
      <c r="FP119" s="1947"/>
      <c r="FQ119" s="1947"/>
      <c r="FR119" s="1947"/>
      <c r="FS119" s="1947"/>
      <c r="FT119" s="1947"/>
      <c r="FU119" s="1947"/>
      <c r="FV119" s="1947"/>
      <c r="FW119" s="1947"/>
      <c r="FX119" s="1947"/>
      <c r="FY119" s="1947"/>
      <c r="FZ119" s="1947"/>
      <c r="GA119" s="1947"/>
      <c r="GB119" s="1947"/>
      <c r="GC119" s="1947"/>
      <c r="GD119" s="1947"/>
      <c r="GE119" s="1947"/>
      <c r="GF119" s="1947"/>
      <c r="GG119" s="1947"/>
      <c r="GH119" s="1947"/>
      <c r="GI119" s="1947"/>
      <c r="GJ119" s="1947"/>
      <c r="GK119" s="1947"/>
      <c r="GL119" s="1947"/>
      <c r="GM119" s="1947"/>
      <c r="GN119" s="1947"/>
      <c r="GO119" s="1947"/>
      <c r="GP119" s="1947"/>
      <c r="GQ119" s="1947"/>
      <c r="GR119" s="1947"/>
      <c r="GS119" s="1947"/>
      <c r="GT119" s="1947"/>
      <c r="GU119" s="1947"/>
      <c r="GV119" s="1947"/>
      <c r="GW119" s="1947"/>
      <c r="GX119" s="1947"/>
      <c r="GY119" s="1947"/>
      <c r="GZ119" s="1947"/>
      <c r="HA119" s="1947"/>
      <c r="HB119" s="1947"/>
      <c r="HC119" s="1947"/>
      <c r="HD119" s="1947"/>
      <c r="HE119" s="1947"/>
      <c r="HF119" s="1947"/>
      <c r="HG119" s="1947"/>
      <c r="HH119" s="1947"/>
      <c r="HI119" s="1947"/>
      <c r="HJ119" s="1947"/>
      <c r="HK119" s="1947"/>
      <c r="HL119" s="1947"/>
      <c r="HM119" s="1947"/>
      <c r="HN119" s="1947"/>
      <c r="HO119" s="1947"/>
      <c r="HP119" s="1947"/>
      <c r="HQ119" s="1947"/>
      <c r="HR119" s="1947"/>
      <c r="HS119" s="1947"/>
      <c r="HT119" s="1947"/>
      <c r="HU119" s="1947"/>
      <c r="HV119" s="1947"/>
      <c r="HW119" s="1947"/>
      <c r="HX119" s="1947"/>
      <c r="HY119" s="1947"/>
      <c r="HZ119" s="1947"/>
      <c r="IA119" s="1947"/>
      <c r="IB119" s="1947"/>
      <c r="IC119" s="1947"/>
      <c r="ID119" s="1947"/>
      <c r="IE119" s="1947"/>
      <c r="IF119" s="1947"/>
      <c r="IG119" s="1947"/>
      <c r="IH119" s="1947"/>
      <c r="II119" s="1947"/>
      <c r="IJ119" s="1947"/>
      <c r="IK119" s="1947"/>
      <c r="IL119" s="1947"/>
      <c r="IM119" s="1947"/>
      <c r="IN119" s="1947"/>
      <c r="IO119" s="1947"/>
      <c r="IP119" s="1947"/>
      <c r="IQ119" s="1947"/>
    </row>
    <row r="120" spans="1:251" hidden="1">
      <c r="A120" s="2021"/>
      <c r="B120" s="1625" t="s">
        <v>538</v>
      </c>
      <c r="C120" s="1945"/>
      <c r="D120" s="3497"/>
      <c r="E120" s="1026"/>
      <c r="F120" s="1959"/>
      <c r="G120" s="1026">
        <v>12</v>
      </c>
      <c r="H120" s="1942">
        <f t="shared" si="59"/>
        <v>0</v>
      </c>
      <c r="I120" s="1026"/>
      <c r="J120" s="1942">
        <f t="shared" si="60"/>
        <v>0</v>
      </c>
      <c r="K120" s="1026"/>
      <c r="L120" s="1942">
        <f t="shared" si="61"/>
        <v>0</v>
      </c>
      <c r="M120" s="1942">
        <f t="shared" si="62"/>
        <v>0</v>
      </c>
      <c r="N120" s="1942">
        <f t="shared" si="69"/>
        <v>0</v>
      </c>
      <c r="O120" s="1026">
        <f t="shared" si="68"/>
        <v>0</v>
      </c>
      <c r="P120" s="1026">
        <f t="shared" si="70"/>
        <v>0</v>
      </c>
      <c r="Q120" s="1942">
        <f t="shared" si="63"/>
        <v>0</v>
      </c>
      <c r="R120" s="1942">
        <f t="shared" si="64"/>
        <v>0</v>
      </c>
      <c r="S120" s="1942">
        <f t="shared" si="65"/>
        <v>0</v>
      </c>
      <c r="T120" s="1942">
        <f t="shared" si="66"/>
        <v>0</v>
      </c>
      <c r="U120" s="1942">
        <f t="shared" si="67"/>
        <v>0</v>
      </c>
      <c r="V120" s="3034">
        <f t="shared" si="44"/>
        <v>0</v>
      </c>
      <c r="W120" s="1942">
        <f t="shared" si="58"/>
        <v>0</v>
      </c>
      <c r="X120" s="1923">
        <v>0.01</v>
      </c>
      <c r="Y120" s="1947"/>
      <c r="Z120" s="1947"/>
      <c r="AA120" s="1947"/>
      <c r="AB120" s="1947"/>
      <c r="AC120" s="1947"/>
      <c r="AD120" s="1947"/>
      <c r="AE120" s="1947"/>
      <c r="AF120" s="1947"/>
      <c r="AG120" s="1947"/>
      <c r="AH120" s="1947"/>
      <c r="AI120" s="1947"/>
      <c r="AJ120" s="1947"/>
      <c r="AK120" s="1947"/>
      <c r="AL120" s="1947"/>
      <c r="AM120" s="1947"/>
      <c r="AN120" s="1947"/>
      <c r="AO120" s="1947"/>
      <c r="AP120" s="1947"/>
      <c r="AQ120" s="1947"/>
      <c r="AR120" s="1947"/>
      <c r="AS120" s="1947"/>
      <c r="AT120" s="1947"/>
      <c r="AU120" s="1947"/>
      <c r="AV120" s="1947"/>
      <c r="AW120" s="1947"/>
      <c r="AX120" s="1947"/>
      <c r="AY120" s="1947"/>
      <c r="AZ120" s="1947"/>
      <c r="BA120" s="1947"/>
      <c r="BB120" s="1947"/>
      <c r="BC120" s="1947"/>
      <c r="BD120" s="1947"/>
      <c r="BE120" s="1947"/>
      <c r="BF120" s="1947"/>
      <c r="BG120" s="1947"/>
      <c r="BH120" s="1947"/>
      <c r="BI120" s="1947"/>
      <c r="BJ120" s="1947"/>
      <c r="BK120" s="1947"/>
      <c r="BL120" s="1947"/>
      <c r="BM120" s="1947"/>
      <c r="BN120" s="1947"/>
      <c r="BO120" s="1947"/>
      <c r="BP120" s="1947"/>
      <c r="BQ120" s="1947"/>
      <c r="BR120" s="1947"/>
      <c r="BS120" s="1947"/>
      <c r="BT120" s="1947"/>
      <c r="BU120" s="1947"/>
      <c r="BV120" s="1947"/>
      <c r="BW120" s="1947"/>
      <c r="BX120" s="1947"/>
      <c r="BY120" s="1947"/>
      <c r="BZ120" s="1947"/>
      <c r="CA120" s="1947"/>
      <c r="CB120" s="1947"/>
      <c r="CC120" s="1947"/>
      <c r="CD120" s="1947"/>
      <c r="CE120" s="1947"/>
      <c r="CF120" s="1947"/>
      <c r="CG120" s="1947"/>
      <c r="CH120" s="1947"/>
      <c r="CI120" s="1947"/>
      <c r="CJ120" s="1947"/>
      <c r="CK120" s="1947"/>
      <c r="CL120" s="1947"/>
      <c r="CM120" s="1947"/>
      <c r="CN120" s="1947"/>
      <c r="CO120" s="1947"/>
      <c r="CP120" s="1947"/>
      <c r="CQ120" s="1947"/>
      <c r="CR120" s="1947"/>
      <c r="CS120" s="1947"/>
      <c r="CT120" s="1947"/>
      <c r="CU120" s="1947"/>
      <c r="CV120" s="1947"/>
      <c r="CW120" s="1947"/>
      <c r="CX120" s="1947"/>
      <c r="CY120" s="1947"/>
      <c r="CZ120" s="1947"/>
      <c r="DA120" s="1947"/>
      <c r="DB120" s="1947"/>
      <c r="DC120" s="1947"/>
      <c r="DD120" s="1947"/>
      <c r="DE120" s="1947"/>
      <c r="DF120" s="1947"/>
      <c r="DG120" s="1947"/>
      <c r="DH120" s="1947"/>
      <c r="DI120" s="1947"/>
      <c r="DJ120" s="1947"/>
      <c r="DK120" s="1947"/>
      <c r="DL120" s="1947"/>
      <c r="DM120" s="1947"/>
      <c r="DN120" s="1947"/>
      <c r="DO120" s="1947"/>
      <c r="DP120" s="1947"/>
      <c r="DQ120" s="1947"/>
      <c r="DR120" s="1947"/>
      <c r="DS120" s="1947"/>
      <c r="DT120" s="1947"/>
      <c r="DU120" s="1947"/>
      <c r="DV120" s="1947"/>
      <c r="DW120" s="1947"/>
      <c r="DX120" s="1947"/>
      <c r="DY120" s="1947"/>
      <c r="DZ120" s="1947"/>
      <c r="EA120" s="1947"/>
      <c r="EB120" s="1947"/>
      <c r="EC120" s="1947"/>
      <c r="ED120" s="1947"/>
      <c r="EE120" s="1947"/>
      <c r="EF120" s="1947"/>
      <c r="EG120" s="1947"/>
      <c r="EH120" s="1947"/>
      <c r="EI120" s="1947"/>
      <c r="EJ120" s="1947"/>
      <c r="EK120" s="1947"/>
      <c r="EL120" s="1947"/>
      <c r="EM120" s="1947"/>
      <c r="EN120" s="1947"/>
      <c r="EO120" s="1947"/>
      <c r="EP120" s="1947"/>
      <c r="EQ120" s="1947"/>
      <c r="ER120" s="1947"/>
      <c r="ES120" s="1947"/>
      <c r="ET120" s="1947"/>
      <c r="EU120" s="1947"/>
      <c r="EV120" s="1947"/>
      <c r="EW120" s="1947"/>
      <c r="EX120" s="1947"/>
      <c r="EY120" s="1947"/>
      <c r="EZ120" s="1947"/>
      <c r="FA120" s="1947"/>
      <c r="FB120" s="1947"/>
      <c r="FC120" s="1947"/>
      <c r="FD120" s="1947"/>
      <c r="FE120" s="1947"/>
      <c r="FF120" s="1947"/>
      <c r="FG120" s="1947"/>
      <c r="FH120" s="1947"/>
      <c r="FI120" s="1947"/>
      <c r="FJ120" s="1947"/>
      <c r="FK120" s="1947"/>
      <c r="FL120" s="1947"/>
      <c r="FM120" s="1947"/>
      <c r="FN120" s="1947"/>
      <c r="FO120" s="1947"/>
      <c r="FP120" s="1947"/>
      <c r="FQ120" s="1947"/>
      <c r="FR120" s="1947"/>
      <c r="FS120" s="1947"/>
      <c r="FT120" s="1947"/>
      <c r="FU120" s="1947"/>
      <c r="FV120" s="1947"/>
      <c r="FW120" s="1947"/>
      <c r="FX120" s="1947"/>
      <c r="FY120" s="1947"/>
      <c r="FZ120" s="1947"/>
      <c r="GA120" s="1947"/>
      <c r="GB120" s="1947"/>
      <c r="GC120" s="1947"/>
      <c r="GD120" s="1947"/>
      <c r="GE120" s="1947"/>
      <c r="GF120" s="1947"/>
      <c r="GG120" s="1947"/>
      <c r="GH120" s="1947"/>
      <c r="GI120" s="1947"/>
      <c r="GJ120" s="1947"/>
      <c r="GK120" s="1947"/>
      <c r="GL120" s="1947"/>
      <c r="GM120" s="1947"/>
      <c r="GN120" s="1947"/>
      <c r="GO120" s="1947"/>
      <c r="GP120" s="1947"/>
      <c r="GQ120" s="1947"/>
      <c r="GR120" s="1947"/>
      <c r="GS120" s="1947"/>
      <c r="GT120" s="1947"/>
      <c r="GU120" s="1947"/>
      <c r="GV120" s="1947"/>
      <c r="GW120" s="1947"/>
      <c r="GX120" s="1947"/>
      <c r="GY120" s="1947"/>
      <c r="GZ120" s="1947"/>
      <c r="HA120" s="1947"/>
      <c r="HB120" s="1947"/>
      <c r="HC120" s="1947"/>
      <c r="HD120" s="1947"/>
      <c r="HE120" s="1947"/>
      <c r="HF120" s="1947"/>
      <c r="HG120" s="1947"/>
      <c r="HH120" s="1947"/>
      <c r="HI120" s="1947"/>
      <c r="HJ120" s="1947"/>
      <c r="HK120" s="1947"/>
      <c r="HL120" s="1947"/>
      <c r="HM120" s="1947"/>
      <c r="HN120" s="1947"/>
      <c r="HO120" s="1947"/>
      <c r="HP120" s="1947"/>
      <c r="HQ120" s="1947"/>
      <c r="HR120" s="1947"/>
      <c r="HS120" s="1947"/>
      <c r="HT120" s="1947"/>
      <c r="HU120" s="1947"/>
      <c r="HV120" s="1947"/>
      <c r="HW120" s="1947"/>
      <c r="HX120" s="1947"/>
      <c r="HY120" s="1947"/>
      <c r="HZ120" s="1947"/>
      <c r="IA120" s="1947"/>
      <c r="IB120" s="1947"/>
      <c r="IC120" s="1947"/>
      <c r="ID120" s="1947"/>
      <c r="IE120" s="1947"/>
      <c r="IF120" s="1947"/>
      <c r="IG120" s="1947"/>
      <c r="IH120" s="1947"/>
      <c r="II120" s="1947"/>
      <c r="IJ120" s="1947"/>
      <c r="IK120" s="1947"/>
      <c r="IL120" s="1947"/>
      <c r="IM120" s="1947"/>
      <c r="IN120" s="1947"/>
      <c r="IO120" s="1947"/>
      <c r="IP120" s="1947"/>
      <c r="IQ120" s="1947"/>
    </row>
    <row r="121" spans="1:251" hidden="1">
      <c r="A121" s="2021"/>
      <c r="B121" s="1625" t="s">
        <v>539</v>
      </c>
      <c r="C121" s="1945"/>
      <c r="D121" s="3497"/>
      <c r="E121" s="1026"/>
      <c r="F121" s="1959"/>
      <c r="G121" s="1026">
        <v>12</v>
      </c>
      <c r="H121" s="1942">
        <f t="shared" si="59"/>
        <v>0</v>
      </c>
      <c r="I121" s="1026"/>
      <c r="J121" s="1942">
        <f t="shared" si="60"/>
        <v>0</v>
      </c>
      <c r="K121" s="1026"/>
      <c r="L121" s="1942">
        <f t="shared" si="61"/>
        <v>0</v>
      </c>
      <c r="M121" s="1942">
        <f t="shared" si="62"/>
        <v>0</v>
      </c>
      <c r="N121" s="1942">
        <f t="shared" si="69"/>
        <v>0</v>
      </c>
      <c r="O121" s="1026">
        <f t="shared" si="68"/>
        <v>0</v>
      </c>
      <c r="P121" s="1026">
        <f t="shared" si="70"/>
        <v>0</v>
      </c>
      <c r="Q121" s="1942">
        <f t="shared" si="63"/>
        <v>0</v>
      </c>
      <c r="R121" s="1942">
        <f t="shared" si="64"/>
        <v>0</v>
      </c>
      <c r="S121" s="1942">
        <f t="shared" si="65"/>
        <v>0</v>
      </c>
      <c r="T121" s="1942">
        <f t="shared" si="66"/>
        <v>0</v>
      </c>
      <c r="U121" s="1942">
        <f t="shared" si="67"/>
        <v>0</v>
      </c>
      <c r="V121" s="3034">
        <f t="shared" si="44"/>
        <v>0</v>
      </c>
      <c r="W121" s="1942">
        <f t="shared" si="58"/>
        <v>0</v>
      </c>
      <c r="X121" s="1923">
        <v>0.01</v>
      </c>
      <c r="Y121" s="1947"/>
      <c r="Z121" s="1947"/>
      <c r="AA121" s="1947"/>
      <c r="AB121" s="1947"/>
      <c r="AC121" s="1947"/>
      <c r="AD121" s="1947"/>
      <c r="AE121" s="1947"/>
      <c r="AF121" s="1947"/>
      <c r="AG121" s="1947"/>
      <c r="AH121" s="1947"/>
      <c r="AI121" s="1947"/>
      <c r="AJ121" s="1947"/>
      <c r="AK121" s="1947"/>
      <c r="AL121" s="1947"/>
      <c r="AM121" s="1947"/>
      <c r="AN121" s="1947"/>
      <c r="AO121" s="1947"/>
      <c r="AP121" s="1947"/>
      <c r="AQ121" s="1947"/>
      <c r="AR121" s="1947"/>
      <c r="AS121" s="1947"/>
      <c r="AT121" s="1947"/>
      <c r="AU121" s="1947"/>
      <c r="AV121" s="1947"/>
      <c r="AW121" s="1947"/>
      <c r="AX121" s="1947"/>
      <c r="AY121" s="1947"/>
      <c r="AZ121" s="1947"/>
      <c r="BA121" s="1947"/>
      <c r="BB121" s="1947"/>
      <c r="BC121" s="1947"/>
      <c r="BD121" s="1947"/>
      <c r="BE121" s="1947"/>
      <c r="BF121" s="1947"/>
      <c r="BG121" s="1947"/>
      <c r="BH121" s="1947"/>
      <c r="BI121" s="1947"/>
      <c r="BJ121" s="1947"/>
      <c r="BK121" s="1947"/>
      <c r="BL121" s="1947"/>
      <c r="BM121" s="1947"/>
      <c r="BN121" s="1947"/>
      <c r="BO121" s="1947"/>
      <c r="BP121" s="1947"/>
      <c r="BQ121" s="1947"/>
      <c r="BR121" s="1947"/>
      <c r="BS121" s="1947"/>
      <c r="BT121" s="1947"/>
      <c r="BU121" s="1947"/>
      <c r="BV121" s="1947"/>
      <c r="BW121" s="1947"/>
      <c r="BX121" s="1947"/>
      <c r="BY121" s="1947"/>
      <c r="BZ121" s="1947"/>
      <c r="CA121" s="1947"/>
      <c r="CB121" s="1947"/>
      <c r="CC121" s="1947"/>
      <c r="CD121" s="1947"/>
      <c r="CE121" s="1947"/>
      <c r="CF121" s="1947"/>
      <c r="CG121" s="1947"/>
      <c r="CH121" s="1947"/>
      <c r="CI121" s="1947"/>
      <c r="CJ121" s="1947"/>
      <c r="CK121" s="1947"/>
      <c r="CL121" s="1947"/>
      <c r="CM121" s="1947"/>
      <c r="CN121" s="1947"/>
      <c r="CO121" s="1947"/>
      <c r="CP121" s="1947"/>
      <c r="CQ121" s="1947"/>
      <c r="CR121" s="1947"/>
      <c r="CS121" s="1947"/>
      <c r="CT121" s="1947"/>
      <c r="CU121" s="1947"/>
      <c r="CV121" s="1947"/>
      <c r="CW121" s="1947"/>
      <c r="CX121" s="1947"/>
      <c r="CY121" s="1947"/>
      <c r="CZ121" s="1947"/>
      <c r="DA121" s="1947"/>
      <c r="DB121" s="1947"/>
      <c r="DC121" s="1947"/>
      <c r="DD121" s="1947"/>
      <c r="DE121" s="1947"/>
      <c r="DF121" s="1947"/>
      <c r="DG121" s="1947"/>
      <c r="DH121" s="1947"/>
      <c r="DI121" s="1947"/>
      <c r="DJ121" s="1947"/>
      <c r="DK121" s="1947"/>
      <c r="DL121" s="1947"/>
      <c r="DM121" s="1947"/>
      <c r="DN121" s="1947"/>
      <c r="DO121" s="1947"/>
      <c r="DP121" s="1947"/>
      <c r="DQ121" s="1947"/>
      <c r="DR121" s="1947"/>
      <c r="DS121" s="1947"/>
      <c r="DT121" s="1947"/>
      <c r="DU121" s="1947"/>
      <c r="DV121" s="1947"/>
      <c r="DW121" s="1947"/>
      <c r="DX121" s="1947"/>
      <c r="DY121" s="1947"/>
      <c r="DZ121" s="1947"/>
      <c r="EA121" s="1947"/>
      <c r="EB121" s="1947"/>
      <c r="EC121" s="1947"/>
      <c r="ED121" s="1947"/>
      <c r="EE121" s="1947"/>
      <c r="EF121" s="1947"/>
      <c r="EG121" s="1947"/>
      <c r="EH121" s="1947"/>
      <c r="EI121" s="1947"/>
      <c r="EJ121" s="1947"/>
      <c r="EK121" s="1947"/>
      <c r="EL121" s="1947"/>
      <c r="EM121" s="1947"/>
      <c r="EN121" s="1947"/>
      <c r="EO121" s="1947"/>
      <c r="EP121" s="1947"/>
      <c r="EQ121" s="1947"/>
      <c r="ER121" s="1947"/>
      <c r="ES121" s="1947"/>
      <c r="ET121" s="1947"/>
      <c r="EU121" s="1947"/>
      <c r="EV121" s="1947"/>
      <c r="EW121" s="1947"/>
      <c r="EX121" s="1947"/>
      <c r="EY121" s="1947"/>
      <c r="EZ121" s="1947"/>
      <c r="FA121" s="1947"/>
      <c r="FB121" s="1947"/>
      <c r="FC121" s="1947"/>
      <c r="FD121" s="1947"/>
      <c r="FE121" s="1947"/>
      <c r="FF121" s="1947"/>
      <c r="FG121" s="1947"/>
      <c r="FH121" s="1947"/>
      <c r="FI121" s="1947"/>
      <c r="FJ121" s="1947"/>
      <c r="FK121" s="1947"/>
      <c r="FL121" s="1947"/>
      <c r="FM121" s="1947"/>
      <c r="FN121" s="1947"/>
      <c r="FO121" s="1947"/>
      <c r="FP121" s="1947"/>
      <c r="FQ121" s="1947"/>
      <c r="FR121" s="1947"/>
      <c r="FS121" s="1947"/>
      <c r="FT121" s="1947"/>
      <c r="FU121" s="1947"/>
      <c r="FV121" s="1947"/>
      <c r="FW121" s="1947"/>
      <c r="FX121" s="1947"/>
      <c r="FY121" s="1947"/>
      <c r="FZ121" s="1947"/>
      <c r="GA121" s="1947"/>
      <c r="GB121" s="1947"/>
      <c r="GC121" s="1947"/>
      <c r="GD121" s="1947"/>
      <c r="GE121" s="1947"/>
      <c r="GF121" s="1947"/>
      <c r="GG121" s="1947"/>
      <c r="GH121" s="1947"/>
      <c r="GI121" s="1947"/>
      <c r="GJ121" s="1947"/>
      <c r="GK121" s="1947"/>
      <c r="GL121" s="1947"/>
      <c r="GM121" s="1947"/>
      <c r="GN121" s="1947"/>
      <c r="GO121" s="1947"/>
      <c r="GP121" s="1947"/>
      <c r="GQ121" s="1947"/>
      <c r="GR121" s="1947"/>
      <c r="GS121" s="1947"/>
      <c r="GT121" s="1947"/>
      <c r="GU121" s="1947"/>
      <c r="GV121" s="1947"/>
      <c r="GW121" s="1947"/>
      <c r="GX121" s="1947"/>
      <c r="GY121" s="1947"/>
      <c r="GZ121" s="1947"/>
      <c r="HA121" s="1947"/>
      <c r="HB121" s="1947"/>
      <c r="HC121" s="1947"/>
      <c r="HD121" s="1947"/>
      <c r="HE121" s="1947"/>
      <c r="HF121" s="1947"/>
      <c r="HG121" s="1947"/>
      <c r="HH121" s="1947"/>
      <c r="HI121" s="1947"/>
      <c r="HJ121" s="1947"/>
      <c r="HK121" s="1947"/>
      <c r="HL121" s="1947"/>
      <c r="HM121" s="1947"/>
      <c r="HN121" s="1947"/>
      <c r="HO121" s="1947"/>
      <c r="HP121" s="1947"/>
      <c r="HQ121" s="1947"/>
      <c r="HR121" s="1947"/>
      <c r="HS121" s="1947"/>
      <c r="HT121" s="1947"/>
      <c r="HU121" s="1947"/>
      <c r="HV121" s="1947"/>
      <c r="HW121" s="1947"/>
      <c r="HX121" s="1947"/>
      <c r="HY121" s="1947"/>
      <c r="HZ121" s="1947"/>
      <c r="IA121" s="1947"/>
      <c r="IB121" s="1947"/>
      <c r="IC121" s="1947"/>
      <c r="ID121" s="1947"/>
      <c r="IE121" s="1947"/>
      <c r="IF121" s="1947"/>
      <c r="IG121" s="1947"/>
      <c r="IH121" s="1947"/>
      <c r="II121" s="1947"/>
      <c r="IJ121" s="1947"/>
      <c r="IK121" s="1947"/>
      <c r="IL121" s="1947"/>
      <c r="IM121" s="1947"/>
      <c r="IN121" s="1947"/>
      <c r="IO121" s="1947"/>
      <c r="IP121" s="1947"/>
      <c r="IQ121" s="1947"/>
    </row>
    <row r="122" spans="1:251" hidden="1">
      <c r="A122" s="2021"/>
      <c r="B122" s="1625" t="s">
        <v>531</v>
      </c>
      <c r="C122" s="1945"/>
      <c r="D122" s="3497"/>
      <c r="E122" s="1026"/>
      <c r="F122" s="1959"/>
      <c r="G122" s="1026">
        <v>7</v>
      </c>
      <c r="H122" s="1942">
        <f t="shared" si="59"/>
        <v>0</v>
      </c>
      <c r="I122" s="1026"/>
      <c r="J122" s="1942">
        <f t="shared" si="60"/>
        <v>0</v>
      </c>
      <c r="K122" s="1026">
        <v>0.1</v>
      </c>
      <c r="L122" s="1942">
        <f t="shared" si="61"/>
        <v>0</v>
      </c>
      <c r="M122" s="1942">
        <f t="shared" si="62"/>
        <v>0</v>
      </c>
      <c r="N122" s="1942">
        <f t="shared" si="69"/>
        <v>0</v>
      </c>
      <c r="O122" s="1026"/>
      <c r="P122" s="1026">
        <f>D122*F122*2</f>
        <v>0</v>
      </c>
      <c r="Q122" s="1942">
        <f t="shared" si="63"/>
        <v>0</v>
      </c>
      <c r="R122" s="1942">
        <f t="shared" si="64"/>
        <v>0</v>
      </c>
      <c r="S122" s="1942">
        <f t="shared" si="65"/>
        <v>0</v>
      </c>
      <c r="T122" s="1942">
        <f t="shared" si="66"/>
        <v>0</v>
      </c>
      <c r="U122" s="1942">
        <f t="shared" si="67"/>
        <v>0</v>
      </c>
      <c r="V122" s="3034">
        <f t="shared" si="44"/>
        <v>0</v>
      </c>
      <c r="W122" s="1942">
        <f t="shared" si="58"/>
        <v>0</v>
      </c>
      <c r="X122" s="1923">
        <v>0.01</v>
      </c>
      <c r="Y122" s="1947"/>
      <c r="Z122" s="1947"/>
      <c r="AA122" s="1947"/>
      <c r="AB122" s="1947"/>
      <c r="AC122" s="1947"/>
      <c r="AD122" s="1947"/>
      <c r="AE122" s="1947"/>
      <c r="AF122" s="1947"/>
      <c r="AG122" s="1947"/>
      <c r="AH122" s="1947"/>
      <c r="AI122" s="1947"/>
      <c r="AJ122" s="1947"/>
      <c r="AK122" s="1947"/>
      <c r="AL122" s="1947"/>
      <c r="AM122" s="1947"/>
      <c r="AN122" s="1947"/>
      <c r="AO122" s="1947"/>
      <c r="AP122" s="1947"/>
      <c r="AQ122" s="1947"/>
      <c r="AR122" s="1947"/>
      <c r="AS122" s="1947"/>
      <c r="AT122" s="1947"/>
      <c r="AU122" s="1947"/>
      <c r="AV122" s="1947"/>
      <c r="AW122" s="1947"/>
      <c r="AX122" s="1947"/>
      <c r="AY122" s="1947"/>
      <c r="AZ122" s="1947"/>
      <c r="BA122" s="1947"/>
      <c r="BB122" s="1947"/>
      <c r="BC122" s="1947"/>
      <c r="BD122" s="1947"/>
      <c r="BE122" s="1947"/>
      <c r="BF122" s="1947"/>
      <c r="BG122" s="1947"/>
      <c r="BH122" s="1947"/>
      <c r="BI122" s="1947"/>
      <c r="BJ122" s="1947"/>
      <c r="BK122" s="1947"/>
      <c r="BL122" s="1947"/>
      <c r="BM122" s="1947"/>
      <c r="BN122" s="1947"/>
      <c r="BO122" s="1947"/>
      <c r="BP122" s="1947"/>
      <c r="BQ122" s="1947"/>
      <c r="BR122" s="1947"/>
      <c r="BS122" s="1947"/>
      <c r="BT122" s="1947"/>
      <c r="BU122" s="1947"/>
      <c r="BV122" s="1947"/>
      <c r="BW122" s="1947"/>
      <c r="BX122" s="1947"/>
      <c r="BY122" s="1947"/>
      <c r="BZ122" s="1947"/>
      <c r="CA122" s="1947"/>
      <c r="CB122" s="1947"/>
      <c r="CC122" s="1947"/>
      <c r="CD122" s="1947"/>
      <c r="CE122" s="1947"/>
      <c r="CF122" s="1947"/>
      <c r="CG122" s="1947"/>
      <c r="CH122" s="1947"/>
      <c r="CI122" s="1947"/>
      <c r="CJ122" s="1947"/>
      <c r="CK122" s="1947"/>
      <c r="CL122" s="1947"/>
      <c r="CM122" s="1947"/>
      <c r="CN122" s="1947"/>
      <c r="CO122" s="1947"/>
      <c r="CP122" s="1947"/>
      <c r="CQ122" s="1947"/>
      <c r="CR122" s="1947"/>
      <c r="CS122" s="1947"/>
      <c r="CT122" s="1947"/>
      <c r="CU122" s="1947"/>
      <c r="CV122" s="1947"/>
      <c r="CW122" s="1947"/>
      <c r="CX122" s="1947"/>
      <c r="CY122" s="1947"/>
      <c r="CZ122" s="1947"/>
      <c r="DA122" s="1947"/>
      <c r="DB122" s="1947"/>
      <c r="DC122" s="1947"/>
      <c r="DD122" s="1947"/>
      <c r="DE122" s="1947"/>
      <c r="DF122" s="1947"/>
      <c r="DG122" s="1947"/>
      <c r="DH122" s="1947"/>
      <c r="DI122" s="1947"/>
      <c r="DJ122" s="1947"/>
      <c r="DK122" s="1947"/>
      <c r="DL122" s="1947"/>
      <c r="DM122" s="1947"/>
      <c r="DN122" s="1947"/>
      <c r="DO122" s="1947"/>
      <c r="DP122" s="1947"/>
      <c r="DQ122" s="1947"/>
      <c r="DR122" s="1947"/>
      <c r="DS122" s="1947"/>
      <c r="DT122" s="1947"/>
      <c r="DU122" s="1947"/>
      <c r="DV122" s="1947"/>
      <c r="DW122" s="1947"/>
      <c r="DX122" s="1947"/>
      <c r="DY122" s="1947"/>
      <c r="DZ122" s="1947"/>
      <c r="EA122" s="1947"/>
      <c r="EB122" s="1947"/>
      <c r="EC122" s="1947"/>
      <c r="ED122" s="1947"/>
      <c r="EE122" s="1947"/>
      <c r="EF122" s="1947"/>
      <c r="EG122" s="1947"/>
      <c r="EH122" s="1947"/>
      <c r="EI122" s="1947"/>
      <c r="EJ122" s="1947"/>
      <c r="EK122" s="1947"/>
      <c r="EL122" s="1947"/>
      <c r="EM122" s="1947"/>
      <c r="EN122" s="1947"/>
      <c r="EO122" s="1947"/>
      <c r="EP122" s="1947"/>
      <c r="EQ122" s="1947"/>
      <c r="ER122" s="1947"/>
      <c r="ES122" s="1947"/>
      <c r="ET122" s="1947"/>
      <c r="EU122" s="1947"/>
      <c r="EV122" s="1947"/>
      <c r="EW122" s="1947"/>
      <c r="EX122" s="1947"/>
      <c r="EY122" s="1947"/>
      <c r="EZ122" s="1947"/>
      <c r="FA122" s="1947"/>
      <c r="FB122" s="1947"/>
      <c r="FC122" s="1947"/>
      <c r="FD122" s="1947"/>
      <c r="FE122" s="1947"/>
      <c r="FF122" s="1947"/>
      <c r="FG122" s="1947"/>
      <c r="FH122" s="1947"/>
      <c r="FI122" s="1947"/>
      <c r="FJ122" s="1947"/>
      <c r="FK122" s="1947"/>
      <c r="FL122" s="1947"/>
      <c r="FM122" s="1947"/>
      <c r="FN122" s="1947"/>
      <c r="FO122" s="1947"/>
      <c r="FP122" s="1947"/>
      <c r="FQ122" s="1947"/>
      <c r="FR122" s="1947"/>
      <c r="FS122" s="1947"/>
      <c r="FT122" s="1947"/>
      <c r="FU122" s="1947"/>
      <c r="FV122" s="1947"/>
      <c r="FW122" s="1947"/>
      <c r="FX122" s="1947"/>
      <c r="FY122" s="1947"/>
      <c r="FZ122" s="1947"/>
      <c r="GA122" s="1947"/>
      <c r="GB122" s="1947"/>
      <c r="GC122" s="1947"/>
      <c r="GD122" s="1947"/>
      <c r="GE122" s="1947"/>
      <c r="GF122" s="1947"/>
      <c r="GG122" s="1947"/>
      <c r="GH122" s="1947"/>
      <c r="GI122" s="1947"/>
      <c r="GJ122" s="1947"/>
      <c r="GK122" s="1947"/>
      <c r="GL122" s="1947"/>
      <c r="GM122" s="1947"/>
      <c r="GN122" s="1947"/>
      <c r="GO122" s="1947"/>
      <c r="GP122" s="1947"/>
      <c r="GQ122" s="1947"/>
      <c r="GR122" s="1947"/>
      <c r="GS122" s="1947"/>
      <c r="GT122" s="1947"/>
      <c r="GU122" s="1947"/>
      <c r="GV122" s="1947"/>
      <c r="GW122" s="1947"/>
      <c r="GX122" s="1947"/>
      <c r="GY122" s="1947"/>
      <c r="GZ122" s="1947"/>
      <c r="HA122" s="1947"/>
      <c r="HB122" s="1947"/>
      <c r="HC122" s="1947"/>
      <c r="HD122" s="1947"/>
      <c r="HE122" s="1947"/>
      <c r="HF122" s="1947"/>
      <c r="HG122" s="1947"/>
      <c r="HH122" s="1947"/>
      <c r="HI122" s="1947"/>
      <c r="HJ122" s="1947"/>
      <c r="HK122" s="1947"/>
      <c r="HL122" s="1947"/>
      <c r="HM122" s="1947"/>
      <c r="HN122" s="1947"/>
      <c r="HO122" s="1947"/>
      <c r="HP122" s="1947"/>
      <c r="HQ122" s="1947"/>
      <c r="HR122" s="1947"/>
      <c r="HS122" s="1947"/>
      <c r="HT122" s="1947"/>
      <c r="HU122" s="1947"/>
      <c r="HV122" s="1947"/>
      <c r="HW122" s="1947"/>
      <c r="HX122" s="1947"/>
      <c r="HY122" s="1947"/>
      <c r="HZ122" s="1947"/>
      <c r="IA122" s="1947"/>
      <c r="IB122" s="1947"/>
      <c r="IC122" s="1947"/>
      <c r="ID122" s="1947"/>
      <c r="IE122" s="1947"/>
      <c r="IF122" s="1947"/>
      <c r="IG122" s="1947"/>
      <c r="IH122" s="1947"/>
      <c r="II122" s="1947"/>
      <c r="IJ122" s="1947"/>
      <c r="IK122" s="1947"/>
      <c r="IL122" s="1947"/>
      <c r="IM122" s="1947"/>
      <c r="IN122" s="1947"/>
      <c r="IO122" s="1947"/>
      <c r="IP122" s="1947"/>
      <c r="IQ122" s="1947"/>
    </row>
    <row r="123" spans="1:251" ht="27">
      <c r="A123" s="2021"/>
      <c r="B123" s="2015" t="s">
        <v>540</v>
      </c>
      <c r="C123" s="1945"/>
      <c r="D123" s="2037"/>
      <c r="E123" s="1026"/>
      <c r="F123" s="1942"/>
      <c r="G123" s="1026"/>
      <c r="H123" s="1942">
        <f t="shared" si="59"/>
        <v>0</v>
      </c>
      <c r="I123" s="1026"/>
      <c r="J123" s="1942">
        <f t="shared" si="60"/>
        <v>0</v>
      </c>
      <c r="K123" s="1026"/>
      <c r="L123" s="1942">
        <f t="shared" si="61"/>
        <v>0</v>
      </c>
      <c r="M123" s="1942">
        <f t="shared" si="62"/>
        <v>0</v>
      </c>
      <c r="N123" s="1942">
        <f t="shared" si="69"/>
        <v>0</v>
      </c>
      <c r="O123" s="1026"/>
      <c r="P123" s="1026"/>
      <c r="Q123" s="1942">
        <f t="shared" si="63"/>
        <v>0</v>
      </c>
      <c r="R123" s="1942">
        <f t="shared" si="64"/>
        <v>0</v>
      </c>
      <c r="S123" s="1942">
        <f t="shared" si="65"/>
        <v>0</v>
      </c>
      <c r="T123" s="1942">
        <f t="shared" si="66"/>
        <v>0</v>
      </c>
      <c r="U123" s="1942">
        <f t="shared" si="67"/>
        <v>0</v>
      </c>
      <c r="V123" s="3034">
        <f t="shared" si="44"/>
        <v>0</v>
      </c>
      <c r="W123" s="1942">
        <f t="shared" si="58"/>
        <v>0</v>
      </c>
      <c r="X123" s="1923">
        <v>0.01</v>
      </c>
      <c r="Y123" s="1947"/>
      <c r="Z123" s="1947"/>
      <c r="AA123" s="1947"/>
      <c r="AB123" s="1947"/>
      <c r="AC123" s="1947"/>
      <c r="AD123" s="1947"/>
      <c r="AE123" s="1947"/>
      <c r="AF123" s="1947"/>
      <c r="AG123" s="1947"/>
      <c r="AH123" s="1947"/>
      <c r="AI123" s="1947"/>
      <c r="AJ123" s="1947"/>
      <c r="AK123" s="1947"/>
      <c r="AL123" s="1947"/>
      <c r="AM123" s="1947"/>
      <c r="AN123" s="1947"/>
      <c r="AO123" s="1947"/>
      <c r="AP123" s="1947"/>
      <c r="AQ123" s="1947"/>
      <c r="AR123" s="1947"/>
      <c r="AS123" s="1947"/>
      <c r="AT123" s="1947"/>
      <c r="AU123" s="1947"/>
      <c r="AV123" s="1947"/>
      <c r="AW123" s="1947"/>
      <c r="AX123" s="1947"/>
      <c r="AY123" s="1947"/>
      <c r="AZ123" s="1947"/>
      <c r="BA123" s="1947"/>
      <c r="BB123" s="1947"/>
      <c r="BC123" s="1947"/>
      <c r="BD123" s="1947"/>
      <c r="BE123" s="1947"/>
      <c r="BF123" s="1947"/>
      <c r="BG123" s="1947"/>
      <c r="BH123" s="1947"/>
      <c r="BI123" s="1947"/>
      <c r="BJ123" s="1947"/>
      <c r="BK123" s="1947"/>
      <c r="BL123" s="1947"/>
      <c r="BM123" s="1947"/>
      <c r="BN123" s="1947"/>
      <c r="BO123" s="1947"/>
      <c r="BP123" s="1947"/>
      <c r="BQ123" s="1947"/>
      <c r="BR123" s="1947"/>
      <c r="BS123" s="1947"/>
      <c r="BT123" s="1947"/>
      <c r="BU123" s="1947"/>
      <c r="BV123" s="1947"/>
      <c r="BW123" s="1947"/>
      <c r="BX123" s="1947"/>
      <c r="BY123" s="1947"/>
      <c r="BZ123" s="1947"/>
      <c r="CA123" s="1947"/>
      <c r="CB123" s="1947"/>
      <c r="CC123" s="1947"/>
      <c r="CD123" s="1947"/>
      <c r="CE123" s="1947"/>
      <c r="CF123" s="1947"/>
      <c r="CG123" s="1947"/>
      <c r="CH123" s="1947"/>
      <c r="CI123" s="1947"/>
      <c r="CJ123" s="1947"/>
      <c r="CK123" s="1947"/>
      <c r="CL123" s="1947"/>
      <c r="CM123" s="1947"/>
      <c r="CN123" s="1947"/>
      <c r="CO123" s="1947"/>
      <c r="CP123" s="1947"/>
      <c r="CQ123" s="1947"/>
      <c r="CR123" s="1947"/>
      <c r="CS123" s="1947"/>
      <c r="CT123" s="1947"/>
      <c r="CU123" s="1947"/>
      <c r="CV123" s="1947"/>
      <c r="CW123" s="1947"/>
      <c r="CX123" s="1947"/>
      <c r="CY123" s="1947"/>
      <c r="CZ123" s="1947"/>
      <c r="DA123" s="1947"/>
      <c r="DB123" s="1947"/>
      <c r="DC123" s="1947"/>
      <c r="DD123" s="1947"/>
      <c r="DE123" s="1947"/>
      <c r="DF123" s="1947"/>
      <c r="DG123" s="1947"/>
      <c r="DH123" s="1947"/>
      <c r="DI123" s="1947"/>
      <c r="DJ123" s="1947"/>
      <c r="DK123" s="1947"/>
      <c r="DL123" s="1947"/>
      <c r="DM123" s="1947"/>
      <c r="DN123" s="1947"/>
      <c r="DO123" s="1947"/>
      <c r="DP123" s="1947"/>
      <c r="DQ123" s="1947"/>
      <c r="DR123" s="1947"/>
      <c r="DS123" s="1947"/>
      <c r="DT123" s="1947"/>
      <c r="DU123" s="1947"/>
      <c r="DV123" s="1947"/>
      <c r="DW123" s="1947"/>
      <c r="DX123" s="1947"/>
      <c r="DY123" s="1947"/>
      <c r="DZ123" s="1947"/>
      <c r="EA123" s="1947"/>
      <c r="EB123" s="1947"/>
      <c r="EC123" s="1947"/>
      <c r="ED123" s="1947"/>
      <c r="EE123" s="1947"/>
      <c r="EF123" s="1947"/>
      <c r="EG123" s="1947"/>
      <c r="EH123" s="1947"/>
      <c r="EI123" s="1947"/>
      <c r="EJ123" s="1947"/>
      <c r="EK123" s="1947"/>
      <c r="EL123" s="1947"/>
      <c r="EM123" s="1947"/>
      <c r="EN123" s="1947"/>
      <c r="EO123" s="1947"/>
      <c r="EP123" s="1947"/>
      <c r="EQ123" s="1947"/>
      <c r="ER123" s="1947"/>
      <c r="ES123" s="1947"/>
      <c r="ET123" s="1947"/>
      <c r="EU123" s="1947"/>
      <c r="EV123" s="1947"/>
      <c r="EW123" s="1947"/>
      <c r="EX123" s="1947"/>
      <c r="EY123" s="1947"/>
      <c r="EZ123" s="1947"/>
      <c r="FA123" s="1947"/>
      <c r="FB123" s="1947"/>
      <c r="FC123" s="1947"/>
      <c r="FD123" s="1947"/>
      <c r="FE123" s="1947"/>
      <c r="FF123" s="1947"/>
      <c r="FG123" s="1947"/>
      <c r="FH123" s="1947"/>
      <c r="FI123" s="1947"/>
      <c r="FJ123" s="1947"/>
      <c r="FK123" s="1947"/>
      <c r="FL123" s="1947"/>
      <c r="FM123" s="1947"/>
      <c r="FN123" s="1947"/>
      <c r="FO123" s="1947"/>
      <c r="FP123" s="1947"/>
      <c r="FQ123" s="1947"/>
      <c r="FR123" s="1947"/>
      <c r="FS123" s="1947"/>
      <c r="FT123" s="1947"/>
      <c r="FU123" s="1947"/>
      <c r="FV123" s="1947"/>
      <c r="FW123" s="1947"/>
      <c r="FX123" s="1947"/>
      <c r="FY123" s="1947"/>
      <c r="FZ123" s="1947"/>
      <c r="GA123" s="1947"/>
      <c r="GB123" s="1947"/>
      <c r="GC123" s="1947"/>
      <c r="GD123" s="1947"/>
      <c r="GE123" s="1947"/>
      <c r="GF123" s="1947"/>
      <c r="GG123" s="1947"/>
      <c r="GH123" s="1947"/>
      <c r="GI123" s="1947"/>
      <c r="GJ123" s="1947"/>
      <c r="GK123" s="1947"/>
      <c r="GL123" s="1947"/>
      <c r="GM123" s="1947"/>
      <c r="GN123" s="1947"/>
      <c r="GO123" s="1947"/>
      <c r="GP123" s="1947"/>
      <c r="GQ123" s="1947"/>
      <c r="GR123" s="1947"/>
      <c r="GS123" s="1947"/>
      <c r="GT123" s="1947"/>
      <c r="GU123" s="1947"/>
      <c r="GV123" s="1947"/>
      <c r="GW123" s="1947"/>
      <c r="GX123" s="1947"/>
      <c r="GY123" s="1947"/>
      <c r="GZ123" s="1947"/>
      <c r="HA123" s="1947"/>
      <c r="HB123" s="1947"/>
      <c r="HC123" s="1947"/>
      <c r="HD123" s="1947"/>
      <c r="HE123" s="1947"/>
      <c r="HF123" s="1947"/>
      <c r="HG123" s="1947"/>
      <c r="HH123" s="1947"/>
      <c r="HI123" s="1947"/>
      <c r="HJ123" s="1947"/>
      <c r="HK123" s="1947"/>
      <c r="HL123" s="1947"/>
      <c r="HM123" s="1947"/>
      <c r="HN123" s="1947"/>
      <c r="HO123" s="1947"/>
      <c r="HP123" s="1947"/>
      <c r="HQ123" s="1947"/>
      <c r="HR123" s="1947"/>
      <c r="HS123" s="1947"/>
      <c r="HT123" s="1947"/>
      <c r="HU123" s="1947"/>
      <c r="HV123" s="1947"/>
      <c r="HW123" s="1947"/>
      <c r="HX123" s="1947"/>
      <c r="HY123" s="1947"/>
      <c r="HZ123" s="1947"/>
      <c r="IA123" s="1947"/>
      <c r="IB123" s="1947"/>
      <c r="IC123" s="1947"/>
      <c r="ID123" s="1947"/>
      <c r="IE123" s="1947"/>
      <c r="IF123" s="1947"/>
      <c r="IG123" s="1947"/>
      <c r="IH123" s="1947"/>
      <c r="II123" s="1947"/>
      <c r="IJ123" s="1947"/>
      <c r="IK123" s="1947"/>
      <c r="IL123" s="1947"/>
      <c r="IM123" s="1947"/>
      <c r="IN123" s="1947"/>
      <c r="IO123" s="1947"/>
      <c r="IP123" s="1947"/>
      <c r="IQ123" s="1947"/>
    </row>
    <row r="124" spans="1:251" hidden="1">
      <c r="A124" s="2021"/>
      <c r="B124" s="1958" t="s">
        <v>541</v>
      </c>
      <c r="C124" s="1945"/>
      <c r="D124" s="2037"/>
      <c r="E124" s="1026"/>
      <c r="F124" s="1946"/>
      <c r="G124" s="1026">
        <v>12</v>
      </c>
      <c r="H124" s="1942">
        <f t="shared" si="59"/>
        <v>0</v>
      </c>
      <c r="I124" s="1026"/>
      <c r="J124" s="1942">
        <f t="shared" si="60"/>
        <v>0</v>
      </c>
      <c r="K124" s="1026"/>
      <c r="L124" s="1942">
        <f t="shared" si="61"/>
        <v>0</v>
      </c>
      <c r="M124" s="1942">
        <f t="shared" si="62"/>
        <v>0</v>
      </c>
      <c r="N124" s="1942">
        <f t="shared" si="69"/>
        <v>0</v>
      </c>
      <c r="O124" s="1026">
        <f>F124*D124*2</f>
        <v>0</v>
      </c>
      <c r="P124" s="1026">
        <f t="shared" ref="P124:P130" si="71">F124*D124*4</f>
        <v>0</v>
      </c>
      <c r="Q124" s="1942">
        <f t="shared" si="63"/>
        <v>0</v>
      </c>
      <c r="R124" s="1942">
        <f t="shared" si="64"/>
        <v>0</v>
      </c>
      <c r="S124" s="1942">
        <f t="shared" si="65"/>
        <v>0</v>
      </c>
      <c r="T124" s="1942">
        <f t="shared" si="66"/>
        <v>0</v>
      </c>
      <c r="U124" s="1942">
        <f t="shared" si="67"/>
        <v>0</v>
      </c>
      <c r="V124" s="3034">
        <f t="shared" si="44"/>
        <v>0</v>
      </c>
      <c r="W124" s="1942">
        <f t="shared" si="58"/>
        <v>0</v>
      </c>
      <c r="X124" s="1923">
        <v>0.01</v>
      </c>
      <c r="Y124" s="1947"/>
      <c r="Z124" s="1947"/>
      <c r="AA124" s="1947"/>
      <c r="AB124" s="1947"/>
      <c r="AC124" s="1947"/>
      <c r="AD124" s="1947"/>
      <c r="AE124" s="1947"/>
      <c r="AF124" s="1947"/>
      <c r="AG124" s="1947"/>
      <c r="AH124" s="1947"/>
      <c r="AI124" s="1947"/>
      <c r="AJ124" s="1947"/>
      <c r="AK124" s="1947"/>
      <c r="AL124" s="1947"/>
      <c r="AM124" s="1947"/>
      <c r="AN124" s="1947"/>
      <c r="AO124" s="1947"/>
      <c r="AP124" s="1947"/>
      <c r="AQ124" s="1947"/>
      <c r="AR124" s="1947"/>
      <c r="AS124" s="1947"/>
      <c r="AT124" s="1947"/>
      <c r="AU124" s="1947"/>
      <c r="AV124" s="1947"/>
      <c r="AW124" s="1947"/>
      <c r="AX124" s="1947"/>
      <c r="AY124" s="1947"/>
      <c r="AZ124" s="1947"/>
      <c r="BA124" s="1947"/>
      <c r="BB124" s="1947"/>
      <c r="BC124" s="1947"/>
      <c r="BD124" s="1947"/>
      <c r="BE124" s="1947"/>
      <c r="BF124" s="1947"/>
      <c r="BG124" s="1947"/>
      <c r="BH124" s="1947"/>
      <c r="BI124" s="1947"/>
      <c r="BJ124" s="1947"/>
      <c r="BK124" s="1947"/>
      <c r="BL124" s="1947"/>
      <c r="BM124" s="1947"/>
      <c r="BN124" s="1947"/>
      <c r="BO124" s="1947"/>
      <c r="BP124" s="1947"/>
      <c r="BQ124" s="1947"/>
      <c r="BR124" s="1947"/>
      <c r="BS124" s="1947"/>
      <c r="BT124" s="1947"/>
      <c r="BU124" s="1947"/>
      <c r="BV124" s="1947"/>
      <c r="BW124" s="1947"/>
      <c r="BX124" s="1947"/>
      <c r="BY124" s="1947"/>
      <c r="BZ124" s="1947"/>
      <c r="CA124" s="1947"/>
      <c r="CB124" s="1947"/>
      <c r="CC124" s="1947"/>
      <c r="CD124" s="1947"/>
      <c r="CE124" s="1947"/>
      <c r="CF124" s="1947"/>
      <c r="CG124" s="1947"/>
      <c r="CH124" s="1947"/>
      <c r="CI124" s="1947"/>
      <c r="CJ124" s="1947"/>
      <c r="CK124" s="1947"/>
      <c r="CL124" s="1947"/>
      <c r="CM124" s="1947"/>
      <c r="CN124" s="1947"/>
      <c r="CO124" s="1947"/>
      <c r="CP124" s="1947"/>
      <c r="CQ124" s="1947"/>
      <c r="CR124" s="1947"/>
      <c r="CS124" s="1947"/>
      <c r="CT124" s="1947"/>
      <c r="CU124" s="1947"/>
      <c r="CV124" s="1947"/>
      <c r="CW124" s="1947"/>
      <c r="CX124" s="1947"/>
      <c r="CY124" s="1947"/>
      <c r="CZ124" s="1947"/>
      <c r="DA124" s="1947"/>
      <c r="DB124" s="1947"/>
      <c r="DC124" s="1947"/>
      <c r="DD124" s="1947"/>
      <c r="DE124" s="1947"/>
      <c r="DF124" s="1947"/>
      <c r="DG124" s="1947"/>
      <c r="DH124" s="1947"/>
      <c r="DI124" s="1947"/>
      <c r="DJ124" s="1947"/>
      <c r="DK124" s="1947"/>
      <c r="DL124" s="1947"/>
      <c r="DM124" s="1947"/>
      <c r="DN124" s="1947"/>
      <c r="DO124" s="1947"/>
      <c r="DP124" s="1947"/>
      <c r="DQ124" s="1947"/>
      <c r="DR124" s="1947"/>
      <c r="DS124" s="1947"/>
      <c r="DT124" s="1947"/>
      <c r="DU124" s="1947"/>
      <c r="DV124" s="1947"/>
      <c r="DW124" s="1947"/>
      <c r="DX124" s="1947"/>
      <c r="DY124" s="1947"/>
      <c r="DZ124" s="1947"/>
      <c r="EA124" s="1947"/>
      <c r="EB124" s="1947"/>
      <c r="EC124" s="1947"/>
      <c r="ED124" s="1947"/>
      <c r="EE124" s="1947"/>
      <c r="EF124" s="1947"/>
      <c r="EG124" s="1947"/>
      <c r="EH124" s="1947"/>
      <c r="EI124" s="1947"/>
      <c r="EJ124" s="1947"/>
      <c r="EK124" s="1947"/>
      <c r="EL124" s="1947"/>
      <c r="EM124" s="1947"/>
      <c r="EN124" s="1947"/>
      <c r="EO124" s="1947"/>
      <c r="EP124" s="1947"/>
      <c r="EQ124" s="1947"/>
      <c r="ER124" s="1947"/>
      <c r="ES124" s="1947"/>
      <c r="ET124" s="1947"/>
      <c r="EU124" s="1947"/>
      <c r="EV124" s="1947"/>
      <c r="EW124" s="1947"/>
      <c r="EX124" s="1947"/>
      <c r="EY124" s="1947"/>
      <c r="EZ124" s="1947"/>
      <c r="FA124" s="1947"/>
      <c r="FB124" s="1947"/>
      <c r="FC124" s="1947"/>
      <c r="FD124" s="1947"/>
      <c r="FE124" s="1947"/>
      <c r="FF124" s="1947"/>
      <c r="FG124" s="1947"/>
      <c r="FH124" s="1947"/>
      <c r="FI124" s="1947"/>
      <c r="FJ124" s="1947"/>
      <c r="FK124" s="1947"/>
      <c r="FL124" s="1947"/>
      <c r="FM124" s="1947"/>
      <c r="FN124" s="1947"/>
      <c r="FO124" s="1947"/>
      <c r="FP124" s="1947"/>
      <c r="FQ124" s="1947"/>
      <c r="FR124" s="1947"/>
      <c r="FS124" s="1947"/>
      <c r="FT124" s="1947"/>
      <c r="FU124" s="1947"/>
      <c r="FV124" s="1947"/>
      <c r="FW124" s="1947"/>
      <c r="FX124" s="1947"/>
      <c r="FY124" s="1947"/>
      <c r="FZ124" s="1947"/>
      <c r="GA124" s="1947"/>
      <c r="GB124" s="1947"/>
      <c r="GC124" s="1947"/>
      <c r="GD124" s="1947"/>
      <c r="GE124" s="1947"/>
      <c r="GF124" s="1947"/>
      <c r="GG124" s="1947"/>
      <c r="GH124" s="1947"/>
      <c r="GI124" s="1947"/>
      <c r="GJ124" s="1947"/>
      <c r="GK124" s="1947"/>
      <c r="GL124" s="1947"/>
      <c r="GM124" s="1947"/>
      <c r="GN124" s="1947"/>
      <c r="GO124" s="1947"/>
      <c r="GP124" s="1947"/>
      <c r="GQ124" s="1947"/>
      <c r="GR124" s="1947"/>
      <c r="GS124" s="1947"/>
      <c r="GT124" s="1947"/>
      <c r="GU124" s="1947"/>
      <c r="GV124" s="1947"/>
      <c r="GW124" s="1947"/>
      <c r="GX124" s="1947"/>
      <c r="GY124" s="1947"/>
      <c r="GZ124" s="1947"/>
      <c r="HA124" s="1947"/>
      <c r="HB124" s="1947"/>
      <c r="HC124" s="1947"/>
      <c r="HD124" s="1947"/>
      <c r="HE124" s="1947"/>
      <c r="HF124" s="1947"/>
      <c r="HG124" s="1947"/>
      <c r="HH124" s="1947"/>
      <c r="HI124" s="1947"/>
      <c r="HJ124" s="1947"/>
      <c r="HK124" s="1947"/>
      <c r="HL124" s="1947"/>
      <c r="HM124" s="1947"/>
      <c r="HN124" s="1947"/>
      <c r="HO124" s="1947"/>
      <c r="HP124" s="1947"/>
      <c r="HQ124" s="1947"/>
      <c r="HR124" s="1947"/>
      <c r="HS124" s="1947"/>
      <c r="HT124" s="1947"/>
      <c r="HU124" s="1947"/>
      <c r="HV124" s="1947"/>
      <c r="HW124" s="1947"/>
      <c r="HX124" s="1947"/>
      <c r="HY124" s="1947"/>
      <c r="HZ124" s="1947"/>
      <c r="IA124" s="1947"/>
      <c r="IB124" s="1947"/>
      <c r="IC124" s="1947"/>
      <c r="ID124" s="1947"/>
      <c r="IE124" s="1947"/>
      <c r="IF124" s="1947"/>
      <c r="IG124" s="1947"/>
      <c r="IH124" s="1947"/>
      <c r="II124" s="1947"/>
      <c r="IJ124" s="1947"/>
      <c r="IK124" s="1947"/>
      <c r="IL124" s="1947"/>
      <c r="IM124" s="1947"/>
      <c r="IN124" s="1947"/>
      <c r="IO124" s="1947"/>
      <c r="IP124" s="1947"/>
      <c r="IQ124" s="1947"/>
    </row>
    <row r="125" spans="1:251" ht="15.75" hidden="1" customHeight="1">
      <c r="A125" s="2021">
        <v>6</v>
      </c>
      <c r="B125" s="1958" t="s">
        <v>543</v>
      </c>
      <c r="C125" s="1945"/>
      <c r="D125" s="2037">
        <v>0</v>
      </c>
      <c r="E125" s="1026"/>
      <c r="F125" s="1946">
        <v>0</v>
      </c>
      <c r="G125" s="1026">
        <v>12</v>
      </c>
      <c r="H125" s="1942">
        <f t="shared" si="59"/>
        <v>0</v>
      </c>
      <c r="I125" s="1026"/>
      <c r="J125" s="1942">
        <f t="shared" si="60"/>
        <v>0</v>
      </c>
      <c r="K125" s="1026"/>
      <c r="L125" s="1942">
        <f t="shared" si="61"/>
        <v>0</v>
      </c>
      <c r="M125" s="1942">
        <f t="shared" si="62"/>
        <v>0</v>
      </c>
      <c r="N125" s="1942">
        <f t="shared" si="69"/>
        <v>0</v>
      </c>
      <c r="O125" s="1026">
        <f t="shared" ref="O125:O130" si="72">F125*D125*2</f>
        <v>0</v>
      </c>
      <c r="P125" s="1026">
        <f t="shared" si="71"/>
        <v>0</v>
      </c>
      <c r="Q125" s="1942">
        <f t="shared" si="63"/>
        <v>0</v>
      </c>
      <c r="R125" s="1942">
        <f t="shared" si="64"/>
        <v>0</v>
      </c>
      <c r="S125" s="1942">
        <f t="shared" si="65"/>
        <v>0</v>
      </c>
      <c r="T125" s="1942">
        <f t="shared" si="66"/>
        <v>0</v>
      </c>
      <c r="U125" s="1942">
        <f t="shared" si="67"/>
        <v>0</v>
      </c>
      <c r="V125" s="3034">
        <f t="shared" si="44"/>
        <v>0</v>
      </c>
      <c r="W125" s="1942">
        <f t="shared" si="58"/>
        <v>0</v>
      </c>
      <c r="X125" s="1923">
        <v>0.01</v>
      </c>
      <c r="Y125" s="1947"/>
      <c r="Z125" s="1947"/>
      <c r="AA125" s="1947"/>
      <c r="AB125" s="1947"/>
      <c r="AC125" s="1947"/>
      <c r="AD125" s="1947"/>
      <c r="AE125" s="1947"/>
      <c r="AF125" s="1947"/>
      <c r="AG125" s="1947"/>
      <c r="AH125" s="1947"/>
      <c r="AI125" s="1947"/>
      <c r="AJ125" s="1947"/>
      <c r="AK125" s="1947"/>
      <c r="AL125" s="1947"/>
      <c r="AM125" s="1947"/>
      <c r="AN125" s="1947"/>
      <c r="AO125" s="1947"/>
      <c r="AP125" s="1947"/>
      <c r="AQ125" s="1947"/>
      <c r="AR125" s="1947"/>
      <c r="AS125" s="1947"/>
      <c r="AT125" s="1947"/>
      <c r="AU125" s="1947"/>
      <c r="AV125" s="1947"/>
      <c r="AW125" s="1947"/>
      <c r="AX125" s="1947"/>
      <c r="AY125" s="1947"/>
      <c r="AZ125" s="1947"/>
      <c r="BA125" s="1947"/>
      <c r="BB125" s="1947"/>
      <c r="BC125" s="1947"/>
      <c r="BD125" s="1947"/>
      <c r="BE125" s="1947"/>
      <c r="BF125" s="1947"/>
      <c r="BG125" s="1947"/>
      <c r="BH125" s="1947"/>
      <c r="BI125" s="1947"/>
      <c r="BJ125" s="1947"/>
      <c r="BK125" s="1947"/>
      <c r="BL125" s="1947"/>
      <c r="BM125" s="1947"/>
      <c r="BN125" s="1947"/>
      <c r="BO125" s="1947"/>
      <c r="BP125" s="1947"/>
      <c r="BQ125" s="1947"/>
      <c r="BR125" s="1947"/>
      <c r="BS125" s="1947"/>
      <c r="BT125" s="1947"/>
      <c r="BU125" s="1947"/>
      <c r="BV125" s="1947"/>
      <c r="BW125" s="1947"/>
      <c r="BX125" s="1947"/>
      <c r="BY125" s="1947"/>
      <c r="BZ125" s="1947"/>
      <c r="CA125" s="1947"/>
      <c r="CB125" s="1947"/>
      <c r="CC125" s="1947"/>
      <c r="CD125" s="1947"/>
      <c r="CE125" s="1947"/>
      <c r="CF125" s="1947"/>
      <c r="CG125" s="1947"/>
      <c r="CH125" s="1947"/>
      <c r="CI125" s="1947"/>
      <c r="CJ125" s="1947"/>
      <c r="CK125" s="1947"/>
      <c r="CL125" s="1947"/>
      <c r="CM125" s="1947"/>
      <c r="CN125" s="1947"/>
      <c r="CO125" s="1947"/>
      <c r="CP125" s="1947"/>
      <c r="CQ125" s="1947"/>
      <c r="CR125" s="1947"/>
      <c r="CS125" s="1947"/>
      <c r="CT125" s="1947"/>
      <c r="CU125" s="1947"/>
      <c r="CV125" s="1947"/>
      <c r="CW125" s="1947"/>
      <c r="CX125" s="1947"/>
      <c r="CY125" s="1947"/>
      <c r="CZ125" s="1947"/>
      <c r="DA125" s="1947"/>
      <c r="DB125" s="1947"/>
      <c r="DC125" s="1947"/>
      <c r="DD125" s="1947"/>
      <c r="DE125" s="1947"/>
      <c r="DF125" s="1947"/>
      <c r="DG125" s="1947"/>
      <c r="DH125" s="1947"/>
      <c r="DI125" s="1947"/>
      <c r="DJ125" s="1947"/>
      <c r="DK125" s="1947"/>
      <c r="DL125" s="1947"/>
      <c r="DM125" s="1947"/>
      <c r="DN125" s="1947"/>
      <c r="DO125" s="1947"/>
      <c r="DP125" s="1947"/>
      <c r="DQ125" s="1947"/>
      <c r="DR125" s="1947"/>
      <c r="DS125" s="1947"/>
      <c r="DT125" s="1947"/>
      <c r="DU125" s="1947"/>
      <c r="DV125" s="1947"/>
      <c r="DW125" s="1947"/>
      <c r="DX125" s="1947"/>
      <c r="DY125" s="1947"/>
      <c r="DZ125" s="1947"/>
      <c r="EA125" s="1947"/>
      <c r="EB125" s="1947"/>
      <c r="EC125" s="1947"/>
      <c r="ED125" s="1947"/>
      <c r="EE125" s="1947"/>
      <c r="EF125" s="1947"/>
      <c r="EG125" s="1947"/>
      <c r="EH125" s="1947"/>
      <c r="EI125" s="1947"/>
      <c r="EJ125" s="1947"/>
      <c r="EK125" s="1947"/>
      <c r="EL125" s="1947"/>
      <c r="EM125" s="1947"/>
      <c r="EN125" s="1947"/>
      <c r="EO125" s="1947"/>
      <c r="EP125" s="1947"/>
      <c r="EQ125" s="1947"/>
      <c r="ER125" s="1947"/>
      <c r="ES125" s="1947"/>
      <c r="ET125" s="1947"/>
      <c r="EU125" s="1947"/>
      <c r="EV125" s="1947"/>
      <c r="EW125" s="1947"/>
      <c r="EX125" s="1947"/>
      <c r="EY125" s="1947"/>
      <c r="EZ125" s="1947"/>
      <c r="FA125" s="1947"/>
      <c r="FB125" s="1947"/>
      <c r="FC125" s="1947"/>
      <c r="FD125" s="1947"/>
      <c r="FE125" s="1947"/>
      <c r="FF125" s="1947"/>
      <c r="FG125" s="1947"/>
      <c r="FH125" s="1947"/>
      <c r="FI125" s="1947"/>
      <c r="FJ125" s="1947"/>
      <c r="FK125" s="1947"/>
      <c r="FL125" s="1947"/>
      <c r="FM125" s="1947"/>
      <c r="FN125" s="1947"/>
      <c r="FO125" s="1947"/>
      <c r="FP125" s="1947"/>
      <c r="FQ125" s="1947"/>
      <c r="FR125" s="1947"/>
      <c r="FS125" s="1947"/>
      <c r="FT125" s="1947"/>
      <c r="FU125" s="1947"/>
      <c r="FV125" s="1947"/>
      <c r="FW125" s="1947"/>
      <c r="FX125" s="1947"/>
      <c r="FY125" s="1947"/>
      <c r="FZ125" s="1947"/>
      <c r="GA125" s="1947"/>
      <c r="GB125" s="1947"/>
      <c r="GC125" s="1947"/>
      <c r="GD125" s="1947"/>
      <c r="GE125" s="1947"/>
      <c r="GF125" s="1947"/>
      <c r="GG125" s="1947"/>
      <c r="GH125" s="1947"/>
      <c r="GI125" s="1947"/>
      <c r="GJ125" s="1947"/>
      <c r="GK125" s="1947"/>
      <c r="GL125" s="1947"/>
      <c r="GM125" s="1947"/>
      <c r="GN125" s="1947"/>
      <c r="GO125" s="1947"/>
      <c r="GP125" s="1947"/>
      <c r="GQ125" s="1947"/>
      <c r="GR125" s="1947"/>
      <c r="GS125" s="1947"/>
      <c r="GT125" s="1947"/>
      <c r="GU125" s="1947"/>
      <c r="GV125" s="1947"/>
      <c r="GW125" s="1947"/>
      <c r="GX125" s="1947"/>
      <c r="GY125" s="1947"/>
      <c r="GZ125" s="1947"/>
      <c r="HA125" s="1947"/>
      <c r="HB125" s="1947"/>
      <c r="HC125" s="1947"/>
      <c r="HD125" s="1947"/>
      <c r="HE125" s="1947"/>
      <c r="HF125" s="1947"/>
      <c r="HG125" s="1947"/>
      <c r="HH125" s="1947"/>
      <c r="HI125" s="1947"/>
      <c r="HJ125" s="1947"/>
      <c r="HK125" s="1947"/>
      <c r="HL125" s="1947"/>
      <c r="HM125" s="1947"/>
      <c r="HN125" s="1947"/>
      <c r="HO125" s="1947"/>
      <c r="HP125" s="1947"/>
      <c r="HQ125" s="1947"/>
      <c r="HR125" s="1947"/>
      <c r="HS125" s="1947"/>
      <c r="HT125" s="1947"/>
      <c r="HU125" s="1947"/>
      <c r="HV125" s="1947"/>
      <c r="HW125" s="1947"/>
      <c r="HX125" s="1947"/>
      <c r="HY125" s="1947"/>
      <c r="HZ125" s="1947"/>
      <c r="IA125" s="1947"/>
      <c r="IB125" s="1947"/>
      <c r="IC125" s="1947"/>
      <c r="ID125" s="1947"/>
      <c r="IE125" s="1947"/>
      <c r="IF125" s="1947"/>
      <c r="IG125" s="1947"/>
      <c r="IH125" s="1947"/>
      <c r="II125" s="1947"/>
      <c r="IJ125" s="1947"/>
      <c r="IK125" s="1947"/>
      <c r="IL125" s="1947"/>
      <c r="IM125" s="1947"/>
      <c r="IN125" s="1947"/>
      <c r="IO125" s="1947"/>
      <c r="IP125" s="1947"/>
      <c r="IQ125" s="1947"/>
    </row>
    <row r="126" spans="1:251" ht="15.75" hidden="1" customHeight="1">
      <c r="A126" s="2021">
        <v>7</v>
      </c>
      <c r="B126" s="1958" t="s">
        <v>542</v>
      </c>
      <c r="C126" s="1945"/>
      <c r="D126" s="2037">
        <v>0</v>
      </c>
      <c r="E126" s="1026"/>
      <c r="F126" s="1946">
        <v>0</v>
      </c>
      <c r="G126" s="1026">
        <v>12</v>
      </c>
      <c r="H126" s="1942">
        <f t="shared" si="59"/>
        <v>0</v>
      </c>
      <c r="I126" s="1026"/>
      <c r="J126" s="1942">
        <f t="shared" si="60"/>
        <v>0</v>
      </c>
      <c r="K126" s="1026"/>
      <c r="L126" s="1942">
        <f t="shared" si="61"/>
        <v>0</v>
      </c>
      <c r="M126" s="1942">
        <f t="shared" si="62"/>
        <v>0</v>
      </c>
      <c r="N126" s="1942">
        <f t="shared" si="69"/>
        <v>0</v>
      </c>
      <c r="O126" s="1026">
        <f t="shared" si="72"/>
        <v>0</v>
      </c>
      <c r="P126" s="1026">
        <f t="shared" si="71"/>
        <v>0</v>
      </c>
      <c r="Q126" s="1942">
        <f t="shared" si="63"/>
        <v>0</v>
      </c>
      <c r="R126" s="1942">
        <f t="shared" si="64"/>
        <v>0</v>
      </c>
      <c r="S126" s="1942">
        <f t="shared" si="65"/>
        <v>0</v>
      </c>
      <c r="T126" s="1942">
        <f t="shared" si="66"/>
        <v>0</v>
      </c>
      <c r="U126" s="1942">
        <f t="shared" si="67"/>
        <v>0</v>
      </c>
      <c r="V126" s="3034">
        <f t="shared" si="44"/>
        <v>0</v>
      </c>
      <c r="W126" s="1942">
        <f t="shared" si="58"/>
        <v>0</v>
      </c>
      <c r="X126" s="1923">
        <v>0.01</v>
      </c>
      <c r="Y126" s="1947"/>
      <c r="Z126" s="1947"/>
      <c r="AA126" s="1947"/>
      <c r="AB126" s="1947"/>
      <c r="AC126" s="1947"/>
      <c r="AD126" s="1947"/>
      <c r="AE126" s="1947"/>
      <c r="AF126" s="1947"/>
      <c r="AG126" s="1947"/>
      <c r="AH126" s="1947"/>
      <c r="AI126" s="1947"/>
      <c r="AJ126" s="1947"/>
      <c r="AK126" s="1947"/>
      <c r="AL126" s="1947"/>
      <c r="AM126" s="1947"/>
      <c r="AN126" s="1947"/>
      <c r="AO126" s="1947"/>
      <c r="AP126" s="1947"/>
      <c r="AQ126" s="1947"/>
      <c r="AR126" s="1947"/>
      <c r="AS126" s="1947"/>
      <c r="AT126" s="1947"/>
      <c r="AU126" s="1947"/>
      <c r="AV126" s="1947"/>
      <c r="AW126" s="1947"/>
      <c r="AX126" s="1947"/>
      <c r="AY126" s="1947"/>
      <c r="AZ126" s="1947"/>
      <c r="BA126" s="1947"/>
      <c r="BB126" s="1947"/>
      <c r="BC126" s="1947"/>
      <c r="BD126" s="1947"/>
      <c r="BE126" s="1947"/>
      <c r="BF126" s="1947"/>
      <c r="BG126" s="1947"/>
      <c r="BH126" s="1947"/>
      <c r="BI126" s="1947"/>
      <c r="BJ126" s="1947"/>
      <c r="BK126" s="1947"/>
      <c r="BL126" s="1947"/>
      <c r="BM126" s="1947"/>
      <c r="BN126" s="1947"/>
      <c r="BO126" s="1947"/>
      <c r="BP126" s="1947"/>
      <c r="BQ126" s="1947"/>
      <c r="BR126" s="1947"/>
      <c r="BS126" s="1947"/>
      <c r="BT126" s="1947"/>
      <c r="BU126" s="1947"/>
      <c r="BV126" s="1947"/>
      <c r="BW126" s="1947"/>
      <c r="BX126" s="1947"/>
      <c r="BY126" s="1947"/>
      <c r="BZ126" s="1947"/>
      <c r="CA126" s="1947"/>
      <c r="CB126" s="1947"/>
      <c r="CC126" s="1947"/>
      <c r="CD126" s="1947"/>
      <c r="CE126" s="1947"/>
      <c r="CF126" s="1947"/>
      <c r="CG126" s="1947"/>
      <c r="CH126" s="1947"/>
      <c r="CI126" s="1947"/>
      <c r="CJ126" s="1947"/>
      <c r="CK126" s="1947"/>
      <c r="CL126" s="1947"/>
      <c r="CM126" s="1947"/>
      <c r="CN126" s="1947"/>
      <c r="CO126" s="1947"/>
      <c r="CP126" s="1947"/>
      <c r="CQ126" s="1947"/>
      <c r="CR126" s="1947"/>
      <c r="CS126" s="1947"/>
      <c r="CT126" s="1947"/>
      <c r="CU126" s="1947"/>
      <c r="CV126" s="1947"/>
      <c r="CW126" s="1947"/>
      <c r="CX126" s="1947"/>
      <c r="CY126" s="1947"/>
      <c r="CZ126" s="1947"/>
      <c r="DA126" s="1947"/>
      <c r="DB126" s="1947"/>
      <c r="DC126" s="1947"/>
      <c r="DD126" s="1947"/>
      <c r="DE126" s="1947"/>
      <c r="DF126" s="1947"/>
      <c r="DG126" s="1947"/>
      <c r="DH126" s="1947"/>
      <c r="DI126" s="1947"/>
      <c r="DJ126" s="1947"/>
      <c r="DK126" s="1947"/>
      <c r="DL126" s="1947"/>
      <c r="DM126" s="1947"/>
      <c r="DN126" s="1947"/>
      <c r="DO126" s="1947"/>
      <c r="DP126" s="1947"/>
      <c r="DQ126" s="1947"/>
      <c r="DR126" s="1947"/>
      <c r="DS126" s="1947"/>
      <c r="DT126" s="1947"/>
      <c r="DU126" s="1947"/>
      <c r="DV126" s="1947"/>
      <c r="DW126" s="1947"/>
      <c r="DX126" s="1947"/>
      <c r="DY126" s="1947"/>
      <c r="DZ126" s="1947"/>
      <c r="EA126" s="1947"/>
      <c r="EB126" s="1947"/>
      <c r="EC126" s="1947"/>
      <c r="ED126" s="1947"/>
      <c r="EE126" s="1947"/>
      <c r="EF126" s="1947"/>
      <c r="EG126" s="1947"/>
      <c r="EH126" s="1947"/>
      <c r="EI126" s="1947"/>
      <c r="EJ126" s="1947"/>
      <c r="EK126" s="1947"/>
      <c r="EL126" s="1947"/>
      <c r="EM126" s="1947"/>
      <c r="EN126" s="1947"/>
      <c r="EO126" s="1947"/>
      <c r="EP126" s="1947"/>
      <c r="EQ126" s="1947"/>
      <c r="ER126" s="1947"/>
      <c r="ES126" s="1947"/>
      <c r="ET126" s="1947"/>
      <c r="EU126" s="1947"/>
      <c r="EV126" s="1947"/>
      <c r="EW126" s="1947"/>
      <c r="EX126" s="1947"/>
      <c r="EY126" s="1947"/>
      <c r="EZ126" s="1947"/>
      <c r="FA126" s="1947"/>
      <c r="FB126" s="1947"/>
      <c r="FC126" s="1947"/>
      <c r="FD126" s="1947"/>
      <c r="FE126" s="1947"/>
      <c r="FF126" s="1947"/>
      <c r="FG126" s="1947"/>
      <c r="FH126" s="1947"/>
      <c r="FI126" s="1947"/>
      <c r="FJ126" s="1947"/>
      <c r="FK126" s="1947"/>
      <c r="FL126" s="1947"/>
      <c r="FM126" s="1947"/>
      <c r="FN126" s="1947"/>
      <c r="FO126" s="1947"/>
      <c r="FP126" s="1947"/>
      <c r="FQ126" s="1947"/>
      <c r="FR126" s="1947"/>
      <c r="FS126" s="1947"/>
      <c r="FT126" s="1947"/>
      <c r="FU126" s="1947"/>
      <c r="FV126" s="1947"/>
      <c r="FW126" s="1947"/>
      <c r="FX126" s="1947"/>
      <c r="FY126" s="1947"/>
      <c r="FZ126" s="1947"/>
      <c r="GA126" s="1947"/>
      <c r="GB126" s="1947"/>
      <c r="GC126" s="1947"/>
      <c r="GD126" s="1947"/>
      <c r="GE126" s="1947"/>
      <c r="GF126" s="1947"/>
      <c r="GG126" s="1947"/>
      <c r="GH126" s="1947"/>
      <c r="GI126" s="1947"/>
      <c r="GJ126" s="1947"/>
      <c r="GK126" s="1947"/>
      <c r="GL126" s="1947"/>
      <c r="GM126" s="1947"/>
      <c r="GN126" s="1947"/>
      <c r="GO126" s="1947"/>
      <c r="GP126" s="1947"/>
      <c r="GQ126" s="1947"/>
      <c r="GR126" s="1947"/>
      <c r="GS126" s="1947"/>
      <c r="GT126" s="1947"/>
      <c r="GU126" s="1947"/>
      <c r="GV126" s="1947"/>
      <c r="GW126" s="1947"/>
      <c r="GX126" s="1947"/>
      <c r="GY126" s="1947"/>
      <c r="GZ126" s="1947"/>
      <c r="HA126" s="1947"/>
      <c r="HB126" s="1947"/>
      <c r="HC126" s="1947"/>
      <c r="HD126" s="1947"/>
      <c r="HE126" s="1947"/>
      <c r="HF126" s="1947"/>
      <c r="HG126" s="1947"/>
      <c r="HH126" s="1947"/>
      <c r="HI126" s="1947"/>
      <c r="HJ126" s="1947"/>
      <c r="HK126" s="1947"/>
      <c r="HL126" s="1947"/>
      <c r="HM126" s="1947"/>
      <c r="HN126" s="1947"/>
      <c r="HO126" s="1947"/>
      <c r="HP126" s="1947"/>
      <c r="HQ126" s="1947"/>
      <c r="HR126" s="1947"/>
      <c r="HS126" s="1947"/>
      <c r="HT126" s="1947"/>
      <c r="HU126" s="1947"/>
      <c r="HV126" s="1947"/>
      <c r="HW126" s="1947"/>
      <c r="HX126" s="1947"/>
      <c r="HY126" s="1947"/>
      <c r="HZ126" s="1947"/>
      <c r="IA126" s="1947"/>
      <c r="IB126" s="1947"/>
      <c r="IC126" s="1947"/>
      <c r="ID126" s="1947"/>
      <c r="IE126" s="1947"/>
      <c r="IF126" s="1947"/>
      <c r="IG126" s="1947"/>
      <c r="IH126" s="1947"/>
      <c r="II126" s="1947"/>
      <c r="IJ126" s="1947"/>
      <c r="IK126" s="1947"/>
      <c r="IL126" s="1947"/>
      <c r="IM126" s="1947"/>
      <c r="IN126" s="1947"/>
      <c r="IO126" s="1947"/>
      <c r="IP126" s="1947"/>
      <c r="IQ126" s="1947"/>
    </row>
    <row r="127" spans="1:251">
      <c r="A127" s="2021">
        <v>6</v>
      </c>
      <c r="B127" s="1958" t="s">
        <v>544</v>
      </c>
      <c r="C127" s="1945"/>
      <c r="D127" s="2037">
        <v>1</v>
      </c>
      <c r="E127" s="1026"/>
      <c r="F127" s="1946">
        <f>240000*1.3</f>
        <v>312000</v>
      </c>
      <c r="G127" s="1026">
        <v>12</v>
      </c>
      <c r="H127" s="1942">
        <f t="shared" si="59"/>
        <v>3744000</v>
      </c>
      <c r="I127" s="1026"/>
      <c r="J127" s="1942">
        <f t="shared" si="60"/>
        <v>0</v>
      </c>
      <c r="K127" s="1026"/>
      <c r="L127" s="1942">
        <f t="shared" si="61"/>
        <v>0</v>
      </c>
      <c r="M127" s="1942">
        <f t="shared" si="62"/>
        <v>0</v>
      </c>
      <c r="N127" s="1942">
        <f>H127+M127</f>
        <v>3744000</v>
      </c>
      <c r="O127" s="1026">
        <f t="shared" si="72"/>
        <v>624000</v>
      </c>
      <c r="P127" s="1026">
        <f t="shared" si="71"/>
        <v>1248000</v>
      </c>
      <c r="Q127" s="1942">
        <f t="shared" si="63"/>
        <v>5616000</v>
      </c>
      <c r="R127" s="1942">
        <f t="shared" si="64"/>
        <v>561600</v>
      </c>
      <c r="S127" s="1942">
        <f t="shared" si="65"/>
        <v>505440</v>
      </c>
      <c r="T127" s="1942">
        <f t="shared" si="66"/>
        <v>303264</v>
      </c>
      <c r="U127" s="1942">
        <f t="shared" si="67"/>
        <v>252720</v>
      </c>
      <c r="V127" s="3034">
        <f t="shared" si="44"/>
        <v>555984</v>
      </c>
      <c r="W127" s="1942">
        <f t="shared" si="58"/>
        <v>56160</v>
      </c>
      <c r="X127" s="1923">
        <v>0.01</v>
      </c>
      <c r="Y127" s="1947"/>
      <c r="Z127" s="1947"/>
      <c r="AA127" s="1947"/>
      <c r="AB127" s="1947"/>
      <c r="AC127" s="1947"/>
      <c r="AD127" s="1947"/>
      <c r="AE127" s="1947"/>
      <c r="AF127" s="1947"/>
      <c r="AG127" s="1947"/>
      <c r="AH127" s="1947"/>
      <c r="AI127" s="1947"/>
      <c r="AJ127" s="1947"/>
      <c r="AK127" s="1947"/>
      <c r="AL127" s="1947"/>
      <c r="AM127" s="1947"/>
      <c r="AN127" s="1947"/>
      <c r="AO127" s="1947"/>
      <c r="AP127" s="1947"/>
      <c r="AQ127" s="1947"/>
      <c r="AR127" s="1947"/>
      <c r="AS127" s="1947"/>
      <c r="AT127" s="1947"/>
      <c r="AU127" s="1947"/>
      <c r="AV127" s="1947"/>
      <c r="AW127" s="1947"/>
      <c r="AX127" s="1947"/>
      <c r="AY127" s="1947"/>
      <c r="AZ127" s="1947"/>
      <c r="BA127" s="1947"/>
      <c r="BB127" s="1947"/>
      <c r="BC127" s="1947"/>
      <c r="BD127" s="1947"/>
      <c r="BE127" s="1947"/>
      <c r="BF127" s="1947"/>
      <c r="BG127" s="1947"/>
      <c r="BH127" s="1947"/>
      <c r="BI127" s="1947"/>
      <c r="BJ127" s="1947"/>
      <c r="BK127" s="1947"/>
      <c r="BL127" s="1947"/>
      <c r="BM127" s="1947"/>
      <c r="BN127" s="1947"/>
      <c r="BO127" s="1947"/>
      <c r="BP127" s="1947"/>
      <c r="BQ127" s="1947"/>
      <c r="BR127" s="1947"/>
      <c r="BS127" s="1947"/>
      <c r="BT127" s="1947"/>
      <c r="BU127" s="1947"/>
      <c r="BV127" s="1947"/>
      <c r="BW127" s="1947"/>
      <c r="BX127" s="1947"/>
      <c r="BY127" s="1947"/>
      <c r="BZ127" s="1947"/>
      <c r="CA127" s="1947"/>
      <c r="CB127" s="1947"/>
      <c r="CC127" s="1947"/>
      <c r="CD127" s="1947"/>
      <c r="CE127" s="1947"/>
      <c r="CF127" s="1947"/>
      <c r="CG127" s="1947"/>
      <c r="CH127" s="1947"/>
      <c r="CI127" s="1947"/>
      <c r="CJ127" s="1947"/>
      <c r="CK127" s="1947"/>
      <c r="CL127" s="1947"/>
      <c r="CM127" s="1947"/>
      <c r="CN127" s="1947"/>
      <c r="CO127" s="1947"/>
      <c r="CP127" s="1947"/>
      <c r="CQ127" s="1947"/>
      <c r="CR127" s="1947"/>
      <c r="CS127" s="1947"/>
      <c r="CT127" s="1947"/>
      <c r="CU127" s="1947"/>
      <c r="CV127" s="1947"/>
      <c r="CW127" s="1947"/>
      <c r="CX127" s="1947"/>
      <c r="CY127" s="1947"/>
      <c r="CZ127" s="1947"/>
      <c r="DA127" s="1947"/>
      <c r="DB127" s="1947"/>
      <c r="DC127" s="1947"/>
      <c r="DD127" s="1947"/>
      <c r="DE127" s="1947"/>
      <c r="DF127" s="1947"/>
      <c r="DG127" s="1947"/>
      <c r="DH127" s="1947"/>
      <c r="DI127" s="1947"/>
      <c r="DJ127" s="1947"/>
      <c r="DK127" s="1947"/>
      <c r="DL127" s="1947"/>
      <c r="DM127" s="1947"/>
      <c r="DN127" s="1947"/>
      <c r="DO127" s="1947"/>
      <c r="DP127" s="1947"/>
      <c r="DQ127" s="1947"/>
      <c r="DR127" s="1947"/>
      <c r="DS127" s="1947"/>
      <c r="DT127" s="1947"/>
      <c r="DU127" s="1947"/>
      <c r="DV127" s="1947"/>
      <c r="DW127" s="1947"/>
      <c r="DX127" s="1947"/>
      <c r="DY127" s="1947"/>
      <c r="DZ127" s="1947"/>
      <c r="EA127" s="1947"/>
      <c r="EB127" s="1947"/>
      <c r="EC127" s="1947"/>
      <c r="ED127" s="1947"/>
      <c r="EE127" s="1947"/>
      <c r="EF127" s="1947"/>
      <c r="EG127" s="1947"/>
      <c r="EH127" s="1947"/>
      <c r="EI127" s="1947"/>
      <c r="EJ127" s="1947"/>
      <c r="EK127" s="1947"/>
      <c r="EL127" s="1947"/>
      <c r="EM127" s="1947"/>
      <c r="EN127" s="1947"/>
      <c r="EO127" s="1947"/>
      <c r="EP127" s="1947"/>
      <c r="EQ127" s="1947"/>
      <c r="ER127" s="1947"/>
      <c r="ES127" s="1947"/>
      <c r="ET127" s="1947"/>
      <c r="EU127" s="1947"/>
      <c r="EV127" s="1947"/>
      <c r="EW127" s="1947"/>
      <c r="EX127" s="1947"/>
      <c r="EY127" s="1947"/>
      <c r="EZ127" s="1947"/>
      <c r="FA127" s="1947"/>
      <c r="FB127" s="1947"/>
      <c r="FC127" s="1947"/>
      <c r="FD127" s="1947"/>
      <c r="FE127" s="1947"/>
      <c r="FF127" s="1947"/>
      <c r="FG127" s="1947"/>
      <c r="FH127" s="1947"/>
      <c r="FI127" s="1947"/>
      <c r="FJ127" s="1947"/>
      <c r="FK127" s="1947"/>
      <c r="FL127" s="1947"/>
      <c r="FM127" s="1947"/>
      <c r="FN127" s="1947"/>
      <c r="FO127" s="1947"/>
      <c r="FP127" s="1947"/>
      <c r="FQ127" s="1947"/>
      <c r="FR127" s="1947"/>
      <c r="FS127" s="1947"/>
      <c r="FT127" s="1947"/>
      <c r="FU127" s="1947"/>
      <c r="FV127" s="1947"/>
      <c r="FW127" s="1947"/>
      <c r="FX127" s="1947"/>
      <c r="FY127" s="1947"/>
      <c r="FZ127" s="1947"/>
      <c r="GA127" s="1947"/>
      <c r="GB127" s="1947"/>
      <c r="GC127" s="1947"/>
      <c r="GD127" s="1947"/>
      <c r="GE127" s="1947"/>
      <c r="GF127" s="1947"/>
      <c r="GG127" s="1947"/>
      <c r="GH127" s="1947"/>
      <c r="GI127" s="1947"/>
      <c r="GJ127" s="1947"/>
      <c r="GK127" s="1947"/>
      <c r="GL127" s="1947"/>
      <c r="GM127" s="1947"/>
      <c r="GN127" s="1947"/>
      <c r="GO127" s="1947"/>
      <c r="GP127" s="1947"/>
      <c r="GQ127" s="1947"/>
      <c r="GR127" s="1947"/>
      <c r="GS127" s="1947"/>
      <c r="GT127" s="1947"/>
      <c r="GU127" s="1947"/>
      <c r="GV127" s="1947"/>
      <c r="GW127" s="1947"/>
      <c r="GX127" s="1947"/>
      <c r="GY127" s="1947"/>
      <c r="GZ127" s="1947"/>
      <c r="HA127" s="1947"/>
      <c r="HB127" s="1947"/>
      <c r="HC127" s="1947"/>
      <c r="HD127" s="1947"/>
      <c r="HE127" s="1947"/>
      <c r="HF127" s="1947"/>
      <c r="HG127" s="1947"/>
      <c r="HH127" s="1947"/>
      <c r="HI127" s="1947"/>
      <c r="HJ127" s="1947"/>
      <c r="HK127" s="1947"/>
      <c r="HL127" s="1947"/>
      <c r="HM127" s="1947"/>
      <c r="HN127" s="1947"/>
      <c r="HO127" s="1947"/>
      <c r="HP127" s="1947"/>
      <c r="HQ127" s="1947"/>
      <c r="HR127" s="1947"/>
      <c r="HS127" s="1947"/>
      <c r="HT127" s="1947"/>
      <c r="HU127" s="1947"/>
      <c r="HV127" s="1947"/>
      <c r="HW127" s="1947"/>
      <c r="HX127" s="1947"/>
      <c r="HY127" s="1947"/>
      <c r="HZ127" s="1947"/>
      <c r="IA127" s="1947"/>
      <c r="IB127" s="1947"/>
      <c r="IC127" s="1947"/>
      <c r="ID127" s="1947"/>
      <c r="IE127" s="1947"/>
      <c r="IF127" s="1947"/>
      <c r="IG127" s="1947"/>
      <c r="IH127" s="1947"/>
      <c r="II127" s="1947"/>
      <c r="IJ127" s="1947"/>
      <c r="IK127" s="1947"/>
      <c r="IL127" s="1947"/>
      <c r="IM127" s="1947"/>
      <c r="IN127" s="1947"/>
      <c r="IO127" s="1947"/>
      <c r="IP127" s="1947"/>
      <c r="IQ127" s="1947"/>
    </row>
    <row r="128" spans="1:251">
      <c r="A128" s="2021">
        <v>7</v>
      </c>
      <c r="B128" s="1958" t="s">
        <v>545</v>
      </c>
      <c r="C128" s="1945"/>
      <c r="D128" s="2037">
        <v>1</v>
      </c>
      <c r="E128" s="1026"/>
      <c r="F128" s="1946">
        <f>(78000+22000)*1.3</f>
        <v>130000</v>
      </c>
      <c r="G128" s="1026">
        <v>12</v>
      </c>
      <c r="H128" s="1942">
        <f t="shared" si="59"/>
        <v>1560000</v>
      </c>
      <c r="I128" s="1026"/>
      <c r="J128" s="1942">
        <f t="shared" si="60"/>
        <v>0</v>
      </c>
      <c r="K128" s="1026"/>
      <c r="L128" s="1942">
        <f t="shared" si="61"/>
        <v>0</v>
      </c>
      <c r="M128" s="1942">
        <f t="shared" si="62"/>
        <v>0</v>
      </c>
      <c r="N128" s="1942">
        <f>H128+M128</f>
        <v>1560000</v>
      </c>
      <c r="O128" s="1026">
        <f t="shared" si="72"/>
        <v>260000</v>
      </c>
      <c r="P128" s="1026">
        <f t="shared" si="71"/>
        <v>520000</v>
      </c>
      <c r="Q128" s="1942">
        <f t="shared" si="63"/>
        <v>2340000</v>
      </c>
      <c r="R128" s="1942">
        <f t="shared" si="64"/>
        <v>234000</v>
      </c>
      <c r="S128" s="1942">
        <f t="shared" si="65"/>
        <v>210600</v>
      </c>
      <c r="T128" s="1942">
        <f t="shared" si="66"/>
        <v>126360</v>
      </c>
      <c r="U128" s="1942">
        <f t="shared" si="67"/>
        <v>105300</v>
      </c>
      <c r="V128" s="3034">
        <f t="shared" si="44"/>
        <v>231660</v>
      </c>
      <c r="W128" s="1942">
        <f t="shared" si="58"/>
        <v>23400</v>
      </c>
      <c r="X128" s="1923">
        <v>0.01</v>
      </c>
      <c r="Y128" s="1947"/>
      <c r="Z128" s="1947"/>
      <c r="AA128" s="1947"/>
      <c r="AB128" s="1947"/>
      <c r="AC128" s="1947"/>
      <c r="AD128" s="1947"/>
      <c r="AE128" s="1947"/>
      <c r="AF128" s="1947"/>
      <c r="AG128" s="1947"/>
      <c r="AH128" s="1947"/>
      <c r="AI128" s="1947"/>
      <c r="AJ128" s="1947"/>
      <c r="AK128" s="1947"/>
      <c r="AL128" s="1947"/>
      <c r="AM128" s="1947"/>
      <c r="AN128" s="1947"/>
      <c r="AO128" s="1947"/>
      <c r="AP128" s="1947"/>
      <c r="AQ128" s="1947"/>
      <c r="AR128" s="1947"/>
      <c r="AS128" s="1947"/>
      <c r="AT128" s="1947"/>
      <c r="AU128" s="1947"/>
      <c r="AV128" s="1947"/>
      <c r="AW128" s="1947"/>
      <c r="AX128" s="1947"/>
      <c r="AY128" s="1947"/>
      <c r="AZ128" s="1947"/>
      <c r="BA128" s="1947"/>
      <c r="BB128" s="1947"/>
      <c r="BC128" s="1947"/>
      <c r="BD128" s="1947"/>
      <c r="BE128" s="1947"/>
      <c r="BF128" s="1947"/>
      <c r="BG128" s="1947"/>
      <c r="BH128" s="1947"/>
      <c r="BI128" s="1947"/>
      <c r="BJ128" s="1947"/>
      <c r="BK128" s="1947"/>
      <c r="BL128" s="1947"/>
      <c r="BM128" s="1947"/>
      <c r="BN128" s="1947"/>
      <c r="BO128" s="1947"/>
      <c r="BP128" s="1947"/>
      <c r="BQ128" s="1947"/>
      <c r="BR128" s="1947"/>
      <c r="BS128" s="1947"/>
      <c r="BT128" s="1947"/>
      <c r="BU128" s="1947"/>
      <c r="BV128" s="1947"/>
      <c r="BW128" s="1947"/>
      <c r="BX128" s="1947"/>
      <c r="BY128" s="1947"/>
      <c r="BZ128" s="1947"/>
      <c r="CA128" s="1947"/>
      <c r="CB128" s="1947"/>
      <c r="CC128" s="1947"/>
      <c r="CD128" s="1947"/>
      <c r="CE128" s="1947"/>
      <c r="CF128" s="1947"/>
      <c r="CG128" s="1947"/>
      <c r="CH128" s="1947"/>
      <c r="CI128" s="1947"/>
      <c r="CJ128" s="1947"/>
      <c r="CK128" s="1947"/>
      <c r="CL128" s="1947"/>
      <c r="CM128" s="1947"/>
      <c r="CN128" s="1947"/>
      <c r="CO128" s="1947"/>
      <c r="CP128" s="1947"/>
      <c r="CQ128" s="1947"/>
      <c r="CR128" s="1947"/>
      <c r="CS128" s="1947"/>
      <c r="CT128" s="1947"/>
      <c r="CU128" s="1947"/>
      <c r="CV128" s="1947"/>
      <c r="CW128" s="1947"/>
      <c r="CX128" s="1947"/>
      <c r="CY128" s="1947"/>
      <c r="CZ128" s="1947"/>
      <c r="DA128" s="1947"/>
      <c r="DB128" s="1947"/>
      <c r="DC128" s="1947"/>
      <c r="DD128" s="1947"/>
      <c r="DE128" s="1947"/>
      <c r="DF128" s="1947"/>
      <c r="DG128" s="1947"/>
      <c r="DH128" s="1947"/>
      <c r="DI128" s="1947"/>
      <c r="DJ128" s="1947"/>
      <c r="DK128" s="1947"/>
      <c r="DL128" s="1947"/>
      <c r="DM128" s="1947"/>
      <c r="DN128" s="1947"/>
      <c r="DO128" s="1947"/>
      <c r="DP128" s="1947"/>
      <c r="DQ128" s="1947"/>
      <c r="DR128" s="1947"/>
      <c r="DS128" s="1947"/>
      <c r="DT128" s="1947"/>
      <c r="DU128" s="1947"/>
      <c r="DV128" s="1947"/>
      <c r="DW128" s="1947"/>
      <c r="DX128" s="1947"/>
      <c r="DY128" s="1947"/>
      <c r="DZ128" s="1947"/>
      <c r="EA128" s="1947"/>
      <c r="EB128" s="1947"/>
      <c r="EC128" s="1947"/>
      <c r="ED128" s="1947"/>
      <c r="EE128" s="1947"/>
      <c r="EF128" s="1947"/>
      <c r="EG128" s="1947"/>
      <c r="EH128" s="1947"/>
      <c r="EI128" s="1947"/>
      <c r="EJ128" s="1947"/>
      <c r="EK128" s="1947"/>
      <c r="EL128" s="1947"/>
      <c r="EM128" s="1947"/>
      <c r="EN128" s="1947"/>
      <c r="EO128" s="1947"/>
      <c r="EP128" s="1947"/>
      <c r="EQ128" s="1947"/>
      <c r="ER128" s="1947"/>
      <c r="ES128" s="1947"/>
      <c r="ET128" s="1947"/>
      <c r="EU128" s="1947"/>
      <c r="EV128" s="1947"/>
      <c r="EW128" s="1947"/>
      <c r="EX128" s="1947"/>
      <c r="EY128" s="1947"/>
      <c r="EZ128" s="1947"/>
      <c r="FA128" s="1947"/>
      <c r="FB128" s="1947"/>
      <c r="FC128" s="1947"/>
      <c r="FD128" s="1947"/>
      <c r="FE128" s="1947"/>
      <c r="FF128" s="1947"/>
      <c r="FG128" s="1947"/>
      <c r="FH128" s="1947"/>
      <c r="FI128" s="1947"/>
      <c r="FJ128" s="1947"/>
      <c r="FK128" s="1947"/>
      <c r="FL128" s="1947"/>
      <c r="FM128" s="1947"/>
      <c r="FN128" s="1947"/>
      <c r="FO128" s="1947"/>
      <c r="FP128" s="1947"/>
      <c r="FQ128" s="1947"/>
      <c r="FR128" s="1947"/>
      <c r="FS128" s="1947"/>
      <c r="FT128" s="1947"/>
      <c r="FU128" s="1947"/>
      <c r="FV128" s="1947"/>
      <c r="FW128" s="1947"/>
      <c r="FX128" s="1947"/>
      <c r="FY128" s="1947"/>
      <c r="FZ128" s="1947"/>
      <c r="GA128" s="1947"/>
      <c r="GB128" s="1947"/>
      <c r="GC128" s="1947"/>
      <c r="GD128" s="1947"/>
      <c r="GE128" s="1947"/>
      <c r="GF128" s="1947"/>
      <c r="GG128" s="1947"/>
      <c r="GH128" s="1947"/>
      <c r="GI128" s="1947"/>
      <c r="GJ128" s="1947"/>
      <c r="GK128" s="1947"/>
      <c r="GL128" s="1947"/>
      <c r="GM128" s="1947"/>
      <c r="GN128" s="1947"/>
      <c r="GO128" s="1947"/>
      <c r="GP128" s="1947"/>
      <c r="GQ128" s="1947"/>
      <c r="GR128" s="1947"/>
      <c r="GS128" s="1947"/>
      <c r="GT128" s="1947"/>
      <c r="GU128" s="1947"/>
      <c r="GV128" s="1947"/>
      <c r="GW128" s="1947"/>
      <c r="GX128" s="1947"/>
      <c r="GY128" s="1947"/>
      <c r="GZ128" s="1947"/>
      <c r="HA128" s="1947"/>
      <c r="HB128" s="1947"/>
      <c r="HC128" s="1947"/>
      <c r="HD128" s="1947"/>
      <c r="HE128" s="1947"/>
      <c r="HF128" s="1947"/>
      <c r="HG128" s="1947"/>
      <c r="HH128" s="1947"/>
      <c r="HI128" s="1947"/>
      <c r="HJ128" s="1947"/>
      <c r="HK128" s="1947"/>
      <c r="HL128" s="1947"/>
      <c r="HM128" s="1947"/>
      <c r="HN128" s="1947"/>
      <c r="HO128" s="1947"/>
      <c r="HP128" s="1947"/>
      <c r="HQ128" s="1947"/>
      <c r="HR128" s="1947"/>
      <c r="HS128" s="1947"/>
      <c r="HT128" s="1947"/>
      <c r="HU128" s="1947"/>
      <c r="HV128" s="1947"/>
      <c r="HW128" s="1947"/>
      <c r="HX128" s="1947"/>
      <c r="HY128" s="1947"/>
      <c r="HZ128" s="1947"/>
      <c r="IA128" s="1947"/>
      <c r="IB128" s="1947"/>
      <c r="IC128" s="1947"/>
      <c r="ID128" s="1947"/>
      <c r="IE128" s="1947"/>
      <c r="IF128" s="1947"/>
      <c r="IG128" s="1947"/>
      <c r="IH128" s="1947"/>
      <c r="II128" s="1947"/>
      <c r="IJ128" s="1947"/>
      <c r="IK128" s="1947"/>
      <c r="IL128" s="1947"/>
      <c r="IM128" s="1947"/>
      <c r="IN128" s="1947"/>
      <c r="IO128" s="1947"/>
      <c r="IP128" s="1947"/>
      <c r="IQ128" s="1947"/>
    </row>
    <row r="129" spans="1:251" ht="18.75" hidden="1" customHeight="1">
      <c r="A129" s="2021"/>
      <c r="B129" s="1958"/>
      <c r="C129" s="1945"/>
      <c r="D129" s="2037"/>
      <c r="E129" s="1026"/>
      <c r="F129" s="1946"/>
      <c r="G129" s="1026"/>
      <c r="H129" s="1942">
        <f t="shared" si="59"/>
        <v>0</v>
      </c>
      <c r="I129" s="1026"/>
      <c r="J129" s="1942">
        <f t="shared" si="60"/>
        <v>0</v>
      </c>
      <c r="K129" s="1026"/>
      <c r="L129" s="1942">
        <f t="shared" si="61"/>
        <v>0</v>
      </c>
      <c r="M129" s="1942">
        <f t="shared" si="62"/>
        <v>0</v>
      </c>
      <c r="N129" s="1942">
        <f t="shared" si="69"/>
        <v>0</v>
      </c>
      <c r="O129" s="1026">
        <f t="shared" si="72"/>
        <v>0</v>
      </c>
      <c r="P129" s="1026">
        <f t="shared" si="71"/>
        <v>0</v>
      </c>
      <c r="Q129" s="1942">
        <f t="shared" si="63"/>
        <v>0</v>
      </c>
      <c r="R129" s="1942">
        <f t="shared" si="64"/>
        <v>0</v>
      </c>
      <c r="S129" s="1942">
        <f t="shared" si="65"/>
        <v>0</v>
      </c>
      <c r="T129" s="1942">
        <f t="shared" si="66"/>
        <v>0</v>
      </c>
      <c r="U129" s="1942">
        <f t="shared" si="67"/>
        <v>0</v>
      </c>
      <c r="V129" s="3034">
        <f t="shared" si="44"/>
        <v>0</v>
      </c>
      <c r="W129" s="1942">
        <f t="shared" si="58"/>
        <v>0</v>
      </c>
      <c r="X129" s="1923">
        <v>0.01</v>
      </c>
      <c r="Y129" s="1947"/>
      <c r="Z129" s="1947"/>
      <c r="AA129" s="1947"/>
      <c r="AB129" s="1947"/>
      <c r="AC129" s="1947"/>
      <c r="AD129" s="1947"/>
      <c r="AE129" s="1947"/>
      <c r="AF129" s="1947"/>
      <c r="AG129" s="1947"/>
      <c r="AH129" s="1947"/>
      <c r="AI129" s="1947"/>
      <c r="AJ129" s="1947"/>
      <c r="AK129" s="1947"/>
      <c r="AL129" s="1947"/>
      <c r="AM129" s="1947"/>
      <c r="AN129" s="1947"/>
      <c r="AO129" s="1947"/>
      <c r="AP129" s="1947"/>
      <c r="AQ129" s="1947"/>
      <c r="AR129" s="1947"/>
      <c r="AS129" s="1947"/>
      <c r="AT129" s="1947"/>
      <c r="AU129" s="1947"/>
      <c r="AV129" s="1947"/>
      <c r="AW129" s="1947"/>
      <c r="AX129" s="1947"/>
      <c r="AY129" s="1947"/>
      <c r="AZ129" s="1947"/>
      <c r="BA129" s="1947"/>
      <c r="BB129" s="1947"/>
      <c r="BC129" s="1947"/>
      <c r="BD129" s="1947"/>
      <c r="BE129" s="1947"/>
      <c r="BF129" s="1947"/>
      <c r="BG129" s="1947"/>
      <c r="BH129" s="1947"/>
      <c r="BI129" s="1947"/>
      <c r="BJ129" s="1947"/>
      <c r="BK129" s="1947"/>
      <c r="BL129" s="1947"/>
      <c r="BM129" s="1947"/>
      <c r="BN129" s="1947"/>
      <c r="BO129" s="1947"/>
      <c r="BP129" s="1947"/>
      <c r="BQ129" s="1947"/>
      <c r="BR129" s="1947"/>
      <c r="BS129" s="1947"/>
      <c r="BT129" s="1947"/>
      <c r="BU129" s="1947"/>
      <c r="BV129" s="1947"/>
      <c r="BW129" s="1947"/>
      <c r="BX129" s="1947"/>
      <c r="BY129" s="1947"/>
      <c r="BZ129" s="1947"/>
      <c r="CA129" s="1947"/>
      <c r="CB129" s="1947"/>
      <c r="CC129" s="1947"/>
      <c r="CD129" s="1947"/>
      <c r="CE129" s="1947"/>
      <c r="CF129" s="1947"/>
      <c r="CG129" s="1947"/>
      <c r="CH129" s="1947"/>
      <c r="CI129" s="1947"/>
      <c r="CJ129" s="1947"/>
      <c r="CK129" s="1947"/>
      <c r="CL129" s="1947"/>
      <c r="CM129" s="1947"/>
      <c r="CN129" s="1947"/>
      <c r="CO129" s="1947"/>
      <c r="CP129" s="1947"/>
      <c r="CQ129" s="1947"/>
      <c r="CR129" s="1947"/>
      <c r="CS129" s="1947"/>
      <c r="CT129" s="1947"/>
      <c r="CU129" s="1947"/>
      <c r="CV129" s="1947"/>
      <c r="CW129" s="1947"/>
      <c r="CX129" s="1947"/>
      <c r="CY129" s="1947"/>
      <c r="CZ129" s="1947"/>
      <c r="DA129" s="1947"/>
      <c r="DB129" s="1947"/>
      <c r="DC129" s="1947"/>
      <c r="DD129" s="1947"/>
      <c r="DE129" s="1947"/>
      <c r="DF129" s="1947"/>
      <c r="DG129" s="1947"/>
      <c r="DH129" s="1947"/>
      <c r="DI129" s="1947"/>
      <c r="DJ129" s="1947"/>
      <c r="DK129" s="1947"/>
      <c r="DL129" s="1947"/>
      <c r="DM129" s="1947"/>
      <c r="DN129" s="1947"/>
      <c r="DO129" s="1947"/>
      <c r="DP129" s="1947"/>
      <c r="DQ129" s="1947"/>
      <c r="DR129" s="1947"/>
      <c r="DS129" s="1947"/>
      <c r="DT129" s="1947"/>
      <c r="DU129" s="1947"/>
      <c r="DV129" s="1947"/>
      <c r="DW129" s="1947"/>
      <c r="DX129" s="1947"/>
      <c r="DY129" s="1947"/>
      <c r="DZ129" s="1947"/>
      <c r="EA129" s="1947"/>
      <c r="EB129" s="1947"/>
      <c r="EC129" s="1947"/>
      <c r="ED129" s="1947"/>
      <c r="EE129" s="1947"/>
      <c r="EF129" s="1947"/>
      <c r="EG129" s="1947"/>
      <c r="EH129" s="1947"/>
      <c r="EI129" s="1947"/>
      <c r="EJ129" s="1947"/>
      <c r="EK129" s="1947"/>
      <c r="EL129" s="1947"/>
      <c r="EM129" s="1947"/>
      <c r="EN129" s="1947"/>
      <c r="EO129" s="1947"/>
      <c r="EP129" s="1947"/>
      <c r="EQ129" s="1947"/>
      <c r="ER129" s="1947"/>
      <c r="ES129" s="1947"/>
      <c r="ET129" s="1947"/>
      <c r="EU129" s="1947"/>
      <c r="EV129" s="1947"/>
      <c r="EW129" s="1947"/>
      <c r="EX129" s="1947"/>
      <c r="EY129" s="1947"/>
      <c r="EZ129" s="1947"/>
      <c r="FA129" s="1947"/>
      <c r="FB129" s="1947"/>
      <c r="FC129" s="1947"/>
      <c r="FD129" s="1947"/>
      <c r="FE129" s="1947"/>
      <c r="FF129" s="1947"/>
      <c r="FG129" s="1947"/>
      <c r="FH129" s="1947"/>
      <c r="FI129" s="1947"/>
      <c r="FJ129" s="1947"/>
      <c r="FK129" s="1947"/>
      <c r="FL129" s="1947"/>
      <c r="FM129" s="1947"/>
      <c r="FN129" s="1947"/>
      <c r="FO129" s="1947"/>
      <c r="FP129" s="1947"/>
      <c r="FQ129" s="1947"/>
      <c r="FR129" s="1947"/>
      <c r="FS129" s="1947"/>
      <c r="FT129" s="1947"/>
      <c r="FU129" s="1947"/>
      <c r="FV129" s="1947"/>
      <c r="FW129" s="1947"/>
      <c r="FX129" s="1947"/>
      <c r="FY129" s="1947"/>
      <c r="FZ129" s="1947"/>
      <c r="GA129" s="1947"/>
      <c r="GB129" s="1947"/>
      <c r="GC129" s="1947"/>
      <c r="GD129" s="1947"/>
      <c r="GE129" s="1947"/>
      <c r="GF129" s="1947"/>
      <c r="GG129" s="1947"/>
      <c r="GH129" s="1947"/>
      <c r="GI129" s="1947"/>
      <c r="GJ129" s="1947"/>
      <c r="GK129" s="1947"/>
      <c r="GL129" s="1947"/>
      <c r="GM129" s="1947"/>
      <c r="GN129" s="1947"/>
      <c r="GO129" s="1947"/>
      <c r="GP129" s="1947"/>
      <c r="GQ129" s="1947"/>
      <c r="GR129" s="1947"/>
      <c r="GS129" s="1947"/>
      <c r="GT129" s="1947"/>
      <c r="GU129" s="1947"/>
      <c r="GV129" s="1947"/>
      <c r="GW129" s="1947"/>
      <c r="GX129" s="1947"/>
      <c r="GY129" s="1947"/>
      <c r="GZ129" s="1947"/>
      <c r="HA129" s="1947"/>
      <c r="HB129" s="1947"/>
      <c r="HC129" s="1947"/>
      <c r="HD129" s="1947"/>
      <c r="HE129" s="1947"/>
      <c r="HF129" s="1947"/>
      <c r="HG129" s="1947"/>
      <c r="HH129" s="1947"/>
      <c r="HI129" s="1947"/>
      <c r="HJ129" s="1947"/>
      <c r="HK129" s="1947"/>
      <c r="HL129" s="1947"/>
      <c r="HM129" s="1947"/>
      <c r="HN129" s="1947"/>
      <c r="HO129" s="1947"/>
      <c r="HP129" s="1947"/>
      <c r="HQ129" s="1947"/>
      <c r="HR129" s="1947"/>
      <c r="HS129" s="1947"/>
      <c r="HT129" s="1947"/>
      <c r="HU129" s="1947"/>
      <c r="HV129" s="1947"/>
      <c r="HW129" s="1947"/>
      <c r="HX129" s="1947"/>
      <c r="HY129" s="1947"/>
      <c r="HZ129" s="1947"/>
      <c r="IA129" s="1947"/>
      <c r="IB129" s="1947"/>
      <c r="IC129" s="1947"/>
      <c r="ID129" s="1947"/>
      <c r="IE129" s="1947"/>
      <c r="IF129" s="1947"/>
      <c r="IG129" s="1947"/>
      <c r="IH129" s="1947"/>
      <c r="II129" s="1947"/>
      <c r="IJ129" s="1947"/>
      <c r="IK129" s="1947"/>
      <c r="IL129" s="1947"/>
      <c r="IM129" s="1947"/>
      <c r="IN129" s="1947"/>
      <c r="IO129" s="1947"/>
      <c r="IP129" s="1947"/>
      <c r="IQ129" s="1947"/>
    </row>
    <row r="130" spans="1:251">
      <c r="A130" s="2021">
        <v>8</v>
      </c>
      <c r="B130" s="1958" t="s">
        <v>546</v>
      </c>
      <c r="C130" s="1945"/>
      <c r="D130" s="2037">
        <v>3</v>
      </c>
      <c r="E130" s="1026"/>
      <c r="F130" s="1946">
        <f>(72000+28000)*1.3</f>
        <v>130000</v>
      </c>
      <c r="G130" s="1026">
        <v>12</v>
      </c>
      <c r="H130" s="1942">
        <f t="shared" si="59"/>
        <v>4680000</v>
      </c>
      <c r="I130" s="1026"/>
      <c r="J130" s="1942">
        <f t="shared" si="60"/>
        <v>0</v>
      </c>
      <c r="K130" s="1026"/>
      <c r="L130" s="1942">
        <f t="shared" si="61"/>
        <v>0</v>
      </c>
      <c r="M130" s="1942">
        <f t="shared" si="62"/>
        <v>0</v>
      </c>
      <c r="N130" s="1942">
        <f>H130+M130</f>
        <v>4680000</v>
      </c>
      <c r="O130" s="1026">
        <f t="shared" si="72"/>
        <v>780000</v>
      </c>
      <c r="P130" s="1026">
        <f t="shared" si="71"/>
        <v>1560000</v>
      </c>
      <c r="Q130" s="1942">
        <f t="shared" si="63"/>
        <v>7020000</v>
      </c>
      <c r="R130" s="1942">
        <f t="shared" si="64"/>
        <v>702000</v>
      </c>
      <c r="S130" s="1942">
        <f t="shared" si="65"/>
        <v>631800</v>
      </c>
      <c r="T130" s="1942">
        <f t="shared" si="66"/>
        <v>379080</v>
      </c>
      <c r="U130" s="1942">
        <f t="shared" si="67"/>
        <v>315900</v>
      </c>
      <c r="V130" s="3034">
        <f t="shared" si="44"/>
        <v>694980</v>
      </c>
      <c r="W130" s="1942">
        <f t="shared" si="58"/>
        <v>70200</v>
      </c>
      <c r="X130" s="1923">
        <v>0.01</v>
      </c>
      <c r="Y130" s="1947"/>
      <c r="Z130" s="1947"/>
      <c r="AA130" s="1947"/>
      <c r="AB130" s="1947"/>
      <c r="AC130" s="1947"/>
      <c r="AD130" s="1947"/>
      <c r="AE130" s="1947"/>
      <c r="AF130" s="1947"/>
      <c r="AG130" s="1947"/>
      <c r="AH130" s="1947"/>
      <c r="AI130" s="1947"/>
      <c r="AJ130" s="1947"/>
      <c r="AK130" s="1947"/>
      <c r="AL130" s="1947"/>
      <c r="AM130" s="1947"/>
      <c r="AN130" s="1947"/>
      <c r="AO130" s="1947"/>
      <c r="AP130" s="1947"/>
      <c r="AQ130" s="1947"/>
      <c r="AR130" s="1947"/>
      <c r="AS130" s="1947"/>
      <c r="AT130" s="1947"/>
      <c r="AU130" s="1947"/>
      <c r="AV130" s="1947"/>
      <c r="AW130" s="1947"/>
      <c r="AX130" s="1947"/>
      <c r="AY130" s="1947"/>
      <c r="AZ130" s="1947"/>
      <c r="BA130" s="1947"/>
      <c r="BB130" s="1947"/>
      <c r="BC130" s="1947"/>
      <c r="BD130" s="1947"/>
      <c r="BE130" s="1947"/>
      <c r="BF130" s="1947"/>
      <c r="BG130" s="1947"/>
      <c r="BH130" s="1947"/>
      <c r="BI130" s="1947"/>
      <c r="BJ130" s="1947"/>
      <c r="BK130" s="1947"/>
      <c r="BL130" s="1947"/>
      <c r="BM130" s="1947"/>
      <c r="BN130" s="1947"/>
      <c r="BO130" s="1947"/>
      <c r="BP130" s="1947"/>
      <c r="BQ130" s="1947"/>
      <c r="BR130" s="1947"/>
      <c r="BS130" s="1947"/>
      <c r="BT130" s="1947"/>
      <c r="BU130" s="1947"/>
      <c r="BV130" s="1947"/>
      <c r="BW130" s="1947"/>
      <c r="BX130" s="1947"/>
      <c r="BY130" s="1947"/>
      <c r="BZ130" s="1947"/>
      <c r="CA130" s="1947"/>
      <c r="CB130" s="1947"/>
      <c r="CC130" s="1947"/>
      <c r="CD130" s="1947"/>
      <c r="CE130" s="1947"/>
      <c r="CF130" s="1947"/>
      <c r="CG130" s="1947"/>
      <c r="CH130" s="1947"/>
      <c r="CI130" s="1947"/>
      <c r="CJ130" s="1947"/>
      <c r="CK130" s="1947"/>
      <c r="CL130" s="1947"/>
      <c r="CM130" s="1947"/>
      <c r="CN130" s="1947"/>
      <c r="CO130" s="1947"/>
      <c r="CP130" s="1947"/>
      <c r="CQ130" s="1947"/>
      <c r="CR130" s="1947"/>
      <c r="CS130" s="1947"/>
      <c r="CT130" s="1947"/>
      <c r="CU130" s="1947"/>
      <c r="CV130" s="1947"/>
      <c r="CW130" s="1947"/>
      <c r="CX130" s="1947"/>
      <c r="CY130" s="1947"/>
      <c r="CZ130" s="1947"/>
      <c r="DA130" s="1947"/>
      <c r="DB130" s="1947"/>
      <c r="DC130" s="1947"/>
      <c r="DD130" s="1947"/>
      <c r="DE130" s="1947"/>
      <c r="DF130" s="1947"/>
      <c r="DG130" s="1947"/>
      <c r="DH130" s="1947"/>
      <c r="DI130" s="1947"/>
      <c r="DJ130" s="1947"/>
      <c r="DK130" s="1947"/>
      <c r="DL130" s="1947"/>
      <c r="DM130" s="1947"/>
      <c r="DN130" s="1947"/>
      <c r="DO130" s="1947"/>
      <c r="DP130" s="1947"/>
      <c r="DQ130" s="1947"/>
      <c r="DR130" s="1947"/>
      <c r="DS130" s="1947"/>
      <c r="DT130" s="1947"/>
      <c r="DU130" s="1947"/>
      <c r="DV130" s="1947"/>
      <c r="DW130" s="1947"/>
      <c r="DX130" s="1947"/>
      <c r="DY130" s="1947"/>
      <c r="DZ130" s="1947"/>
      <c r="EA130" s="1947"/>
      <c r="EB130" s="1947"/>
      <c r="EC130" s="1947"/>
      <c r="ED130" s="1947"/>
      <c r="EE130" s="1947"/>
      <c r="EF130" s="1947"/>
      <c r="EG130" s="1947"/>
      <c r="EH130" s="1947"/>
      <c r="EI130" s="1947"/>
      <c r="EJ130" s="1947"/>
      <c r="EK130" s="1947"/>
      <c r="EL130" s="1947"/>
      <c r="EM130" s="1947"/>
      <c r="EN130" s="1947"/>
      <c r="EO130" s="1947"/>
      <c r="EP130" s="1947"/>
      <c r="EQ130" s="1947"/>
      <c r="ER130" s="1947"/>
      <c r="ES130" s="1947"/>
      <c r="ET130" s="1947"/>
      <c r="EU130" s="1947"/>
      <c r="EV130" s="1947"/>
      <c r="EW130" s="1947"/>
      <c r="EX130" s="1947"/>
      <c r="EY130" s="1947"/>
      <c r="EZ130" s="1947"/>
      <c r="FA130" s="1947"/>
      <c r="FB130" s="1947"/>
      <c r="FC130" s="1947"/>
      <c r="FD130" s="1947"/>
      <c r="FE130" s="1947"/>
      <c r="FF130" s="1947"/>
      <c r="FG130" s="1947"/>
      <c r="FH130" s="1947"/>
      <c r="FI130" s="1947"/>
      <c r="FJ130" s="1947"/>
      <c r="FK130" s="1947"/>
      <c r="FL130" s="1947"/>
      <c r="FM130" s="1947"/>
      <c r="FN130" s="1947"/>
      <c r="FO130" s="1947"/>
      <c r="FP130" s="1947"/>
      <c r="FQ130" s="1947"/>
      <c r="FR130" s="1947"/>
      <c r="FS130" s="1947"/>
      <c r="FT130" s="1947"/>
      <c r="FU130" s="1947"/>
      <c r="FV130" s="1947"/>
      <c r="FW130" s="1947"/>
      <c r="FX130" s="1947"/>
      <c r="FY130" s="1947"/>
      <c r="FZ130" s="1947"/>
      <c r="GA130" s="1947"/>
      <c r="GB130" s="1947"/>
      <c r="GC130" s="1947"/>
      <c r="GD130" s="1947"/>
      <c r="GE130" s="1947"/>
      <c r="GF130" s="1947"/>
      <c r="GG130" s="1947"/>
      <c r="GH130" s="1947"/>
      <c r="GI130" s="1947"/>
      <c r="GJ130" s="1947"/>
      <c r="GK130" s="1947"/>
      <c r="GL130" s="1947"/>
      <c r="GM130" s="1947"/>
      <c r="GN130" s="1947"/>
      <c r="GO130" s="1947"/>
      <c r="GP130" s="1947"/>
      <c r="GQ130" s="1947"/>
      <c r="GR130" s="1947"/>
      <c r="GS130" s="1947"/>
      <c r="GT130" s="1947"/>
      <c r="GU130" s="1947"/>
      <c r="GV130" s="1947"/>
      <c r="GW130" s="1947"/>
      <c r="GX130" s="1947"/>
      <c r="GY130" s="1947"/>
      <c r="GZ130" s="1947"/>
      <c r="HA130" s="1947"/>
      <c r="HB130" s="1947"/>
      <c r="HC130" s="1947"/>
      <c r="HD130" s="1947"/>
      <c r="HE130" s="1947"/>
      <c r="HF130" s="1947"/>
      <c r="HG130" s="1947"/>
      <c r="HH130" s="1947"/>
      <c r="HI130" s="1947"/>
      <c r="HJ130" s="1947"/>
      <c r="HK130" s="1947"/>
      <c r="HL130" s="1947"/>
      <c r="HM130" s="1947"/>
      <c r="HN130" s="1947"/>
      <c r="HO130" s="1947"/>
      <c r="HP130" s="1947"/>
      <c r="HQ130" s="1947"/>
      <c r="HR130" s="1947"/>
      <c r="HS130" s="1947"/>
      <c r="HT130" s="1947"/>
      <c r="HU130" s="1947"/>
      <c r="HV130" s="1947"/>
      <c r="HW130" s="1947"/>
      <c r="HX130" s="1947"/>
      <c r="HY130" s="1947"/>
      <c r="HZ130" s="1947"/>
      <c r="IA130" s="1947"/>
      <c r="IB130" s="1947"/>
      <c r="IC130" s="1947"/>
      <c r="ID130" s="1947"/>
      <c r="IE130" s="1947"/>
      <c r="IF130" s="1947"/>
      <c r="IG130" s="1947"/>
      <c r="IH130" s="1947"/>
      <c r="II130" s="1947"/>
      <c r="IJ130" s="1947"/>
      <c r="IK130" s="1947"/>
      <c r="IL130" s="1947"/>
      <c r="IM130" s="1947"/>
      <c r="IN130" s="1947"/>
      <c r="IO130" s="1947"/>
      <c r="IP130" s="1947"/>
      <c r="IQ130" s="1947"/>
    </row>
    <row r="131" spans="1:251">
      <c r="A131" s="1960"/>
      <c r="B131" s="1961"/>
      <c r="C131" s="1961"/>
      <c r="D131" s="1961"/>
      <c r="E131" s="1962"/>
      <c r="F131" s="1962"/>
      <c r="G131" s="1962"/>
      <c r="H131" s="1962"/>
      <c r="I131" s="1962"/>
      <c r="J131" s="1962"/>
      <c r="K131" s="1962"/>
      <c r="L131" s="1962"/>
      <c r="M131" s="1962"/>
      <c r="N131" s="1962"/>
      <c r="O131" s="1962"/>
      <c r="P131" s="1962"/>
      <c r="Q131" s="1962"/>
      <c r="R131" s="1947"/>
      <c r="S131" s="1947"/>
      <c r="T131" s="1947"/>
      <c r="U131" s="1947"/>
      <c r="V131" s="1947"/>
      <c r="W131" s="1947"/>
      <c r="X131" s="1947"/>
      <c r="Y131" s="1947"/>
      <c r="Z131" s="1947"/>
      <c r="AA131" s="1947"/>
      <c r="AB131" s="1947"/>
      <c r="AC131" s="1947"/>
      <c r="AD131" s="1947"/>
      <c r="AE131" s="1947"/>
      <c r="AF131" s="1947"/>
      <c r="AG131" s="1947"/>
      <c r="AH131" s="1947"/>
      <c r="AI131" s="1947"/>
      <c r="AJ131" s="1947"/>
      <c r="AK131" s="1947"/>
      <c r="AL131" s="1947"/>
      <c r="AM131" s="1947"/>
      <c r="AN131" s="1947"/>
      <c r="AO131" s="1947"/>
      <c r="AP131" s="1947"/>
      <c r="AQ131" s="1947"/>
      <c r="AR131" s="1947"/>
      <c r="AS131" s="1947"/>
      <c r="AT131" s="1947"/>
      <c r="AU131" s="1947"/>
      <c r="AV131" s="1947"/>
      <c r="AW131" s="1947"/>
      <c r="AX131" s="1947"/>
      <c r="AY131" s="1947"/>
      <c r="AZ131" s="1947"/>
      <c r="BA131" s="1947"/>
      <c r="BB131" s="1947"/>
      <c r="BC131" s="1947"/>
      <c r="BD131" s="1947"/>
      <c r="BE131" s="1947"/>
      <c r="BF131" s="1947"/>
      <c r="BG131" s="1947"/>
      <c r="BH131" s="1947"/>
      <c r="BI131" s="1947"/>
      <c r="BJ131" s="1947"/>
      <c r="BK131" s="1947"/>
      <c r="BL131" s="1947"/>
      <c r="BM131" s="1947"/>
      <c r="BN131" s="1947"/>
      <c r="BO131" s="1947"/>
      <c r="BP131" s="1947"/>
      <c r="BQ131" s="1947"/>
      <c r="BR131" s="1947"/>
      <c r="BS131" s="1947"/>
      <c r="BT131" s="1947"/>
      <c r="BU131" s="1947"/>
      <c r="BV131" s="1947"/>
      <c r="BW131" s="1947"/>
      <c r="BX131" s="1947"/>
      <c r="BY131" s="1947"/>
      <c r="BZ131" s="1947"/>
      <c r="CA131" s="1947"/>
      <c r="CB131" s="1947"/>
      <c r="CC131" s="1947"/>
      <c r="CD131" s="1947"/>
      <c r="CE131" s="1947"/>
      <c r="CF131" s="1947"/>
      <c r="CG131" s="1947"/>
      <c r="CH131" s="1947"/>
      <c r="CI131" s="1947"/>
      <c r="CJ131" s="1947"/>
      <c r="CK131" s="1947"/>
      <c r="CL131" s="1947"/>
      <c r="CM131" s="1947"/>
      <c r="CN131" s="1947"/>
      <c r="CO131" s="1947"/>
      <c r="CP131" s="1947"/>
      <c r="CQ131" s="1947"/>
      <c r="CR131" s="1947"/>
      <c r="CS131" s="1947"/>
      <c r="CT131" s="1947"/>
      <c r="CU131" s="1947"/>
      <c r="CV131" s="1947"/>
      <c r="CW131" s="1947"/>
      <c r="CX131" s="1947"/>
      <c r="CY131" s="1947"/>
      <c r="CZ131" s="1947"/>
      <c r="DA131" s="1947"/>
      <c r="DB131" s="1947"/>
      <c r="DC131" s="1947"/>
      <c r="DD131" s="1947"/>
      <c r="DE131" s="1947"/>
      <c r="DF131" s="1947"/>
      <c r="DG131" s="1947"/>
      <c r="DH131" s="1947"/>
      <c r="DI131" s="1947"/>
      <c r="DJ131" s="1947"/>
      <c r="DK131" s="1947"/>
      <c r="DL131" s="1947"/>
      <c r="DM131" s="1947"/>
      <c r="DN131" s="1947"/>
      <c r="DO131" s="1947"/>
      <c r="DP131" s="1947"/>
      <c r="DQ131" s="1947"/>
      <c r="DR131" s="1947"/>
      <c r="DS131" s="1947"/>
      <c r="DT131" s="1947"/>
      <c r="DU131" s="1947"/>
      <c r="DV131" s="1947"/>
      <c r="DW131" s="1947"/>
      <c r="DX131" s="1947"/>
      <c r="DY131" s="1947"/>
      <c r="DZ131" s="1947"/>
      <c r="EA131" s="1947"/>
      <c r="EB131" s="1947"/>
      <c r="EC131" s="1947"/>
      <c r="ED131" s="1947"/>
      <c r="EE131" s="1947"/>
      <c r="EF131" s="1947"/>
      <c r="EG131" s="1947"/>
      <c r="EH131" s="1947"/>
      <c r="EI131" s="1947"/>
      <c r="EJ131" s="1947"/>
      <c r="EK131" s="1947"/>
      <c r="EL131" s="1947"/>
      <c r="EM131" s="1947"/>
      <c r="EN131" s="1947"/>
      <c r="EO131" s="1947"/>
      <c r="EP131" s="1947"/>
      <c r="EQ131" s="1947"/>
      <c r="ER131" s="1947"/>
      <c r="ES131" s="1947"/>
      <c r="ET131" s="1947"/>
      <c r="EU131" s="1947"/>
      <c r="EV131" s="1947"/>
      <c r="EW131" s="1947"/>
      <c r="EX131" s="1947"/>
      <c r="EY131" s="1947"/>
      <c r="EZ131" s="1947"/>
      <c r="FA131" s="1947"/>
      <c r="FB131" s="1947"/>
      <c r="FC131" s="1947"/>
      <c r="FD131" s="1947"/>
      <c r="FE131" s="1947"/>
      <c r="FF131" s="1947"/>
      <c r="FG131" s="1947"/>
      <c r="FH131" s="1947"/>
      <c r="FI131" s="1947"/>
      <c r="FJ131" s="1947"/>
      <c r="FK131" s="1947"/>
      <c r="FL131" s="1947"/>
      <c r="FM131" s="1947"/>
      <c r="FN131" s="1947"/>
      <c r="FO131" s="1947"/>
      <c r="FP131" s="1947"/>
      <c r="FQ131" s="1947"/>
      <c r="FR131" s="1947"/>
      <c r="FS131" s="1947"/>
      <c r="FT131" s="1947"/>
      <c r="FU131" s="1947"/>
      <c r="FV131" s="1947"/>
      <c r="FW131" s="1947"/>
      <c r="FX131" s="1947"/>
      <c r="FY131" s="1947"/>
      <c r="FZ131" s="1947"/>
      <c r="GA131" s="1947"/>
      <c r="GB131" s="1947"/>
      <c r="GC131" s="1947"/>
      <c r="GD131" s="1947"/>
      <c r="GE131" s="1947"/>
      <c r="GF131" s="1947"/>
      <c r="GG131" s="1947"/>
      <c r="GH131" s="1947"/>
      <c r="GI131" s="1947"/>
      <c r="GJ131" s="1947"/>
      <c r="GK131" s="1947"/>
      <c r="GL131" s="1947"/>
      <c r="GM131" s="1947"/>
      <c r="GN131" s="1947"/>
      <c r="GO131" s="1947"/>
      <c r="GP131" s="1947"/>
      <c r="GQ131" s="1947"/>
      <c r="GR131" s="1947"/>
      <c r="GS131" s="1947"/>
      <c r="GT131" s="1947"/>
      <c r="GU131" s="1947"/>
      <c r="GV131" s="1947"/>
      <c r="GW131" s="1947"/>
      <c r="GX131" s="1947"/>
      <c r="GY131" s="1947"/>
      <c r="GZ131" s="1947"/>
      <c r="HA131" s="1947"/>
      <c r="HB131" s="1947"/>
      <c r="HC131" s="1947"/>
      <c r="HD131" s="1947"/>
      <c r="HE131" s="1947"/>
      <c r="HF131" s="1947"/>
      <c r="HG131" s="1947"/>
      <c r="HH131" s="1947"/>
      <c r="HI131" s="1947"/>
      <c r="HJ131" s="1947"/>
      <c r="HK131" s="1947"/>
      <c r="HL131" s="1947"/>
      <c r="HM131" s="1947"/>
      <c r="HN131" s="1947"/>
      <c r="HO131" s="1947"/>
      <c r="HP131" s="1947"/>
      <c r="HQ131" s="1947"/>
      <c r="HR131" s="1947"/>
      <c r="HS131" s="1947"/>
      <c r="HT131" s="1947"/>
      <c r="HU131" s="1947"/>
      <c r="HV131" s="1947"/>
      <c r="HW131" s="1947"/>
      <c r="HX131" s="1947"/>
      <c r="HY131" s="1947"/>
      <c r="HZ131" s="1947"/>
      <c r="IA131" s="1947"/>
      <c r="IB131" s="1947"/>
      <c r="IC131" s="1947"/>
      <c r="ID131" s="1947"/>
      <c r="IE131" s="1947"/>
      <c r="IF131" s="1947"/>
      <c r="IG131" s="1947"/>
      <c r="IH131" s="1947"/>
      <c r="II131" s="1947"/>
      <c r="IJ131" s="1947"/>
      <c r="IK131" s="1947"/>
      <c r="IL131" s="1947"/>
      <c r="IM131" s="1947"/>
      <c r="IN131" s="1947"/>
      <c r="IO131" s="1947"/>
      <c r="IP131" s="1947"/>
      <c r="IQ131" s="1947"/>
    </row>
    <row r="132" spans="1:251" ht="15.75">
      <c r="B132" s="1963"/>
      <c r="C132" s="1964"/>
      <c r="D132" s="1964"/>
      <c r="E132" s="1965"/>
      <c r="F132" s="1680"/>
      <c r="G132" s="1967"/>
      <c r="H132" s="1967"/>
      <c r="I132" s="1967"/>
      <c r="J132" s="1965"/>
      <c r="K132" s="1967"/>
      <c r="L132" s="1967"/>
      <c r="M132" s="1926"/>
      <c r="N132" s="2475">
        <f>22859*10</f>
        <v>228590</v>
      </c>
      <c r="O132" s="1969" t="s">
        <v>981</v>
      </c>
      <c r="P132" s="1969"/>
      <c r="Q132" s="1969"/>
      <c r="R132" s="1926"/>
      <c r="S132" s="1926"/>
      <c r="T132" s="1926"/>
      <c r="U132" s="1926"/>
    </row>
    <row r="133" spans="1:251" ht="15.75">
      <c r="B133" s="1963"/>
      <c r="C133" s="1964"/>
      <c r="D133" s="1964"/>
      <c r="E133" s="1965"/>
      <c r="F133" s="1680"/>
      <c r="G133" s="1967"/>
      <c r="H133" s="1967"/>
      <c r="I133" s="1967"/>
      <c r="J133" s="1965"/>
      <c r="K133" s="1967"/>
      <c r="L133" s="1967"/>
      <c r="M133" s="1968"/>
      <c r="N133" s="1926"/>
      <c r="O133" s="1969"/>
      <c r="P133" s="1969"/>
      <c r="Q133" s="1969"/>
      <c r="R133" s="1926"/>
      <c r="S133" s="1926"/>
      <c r="T133" s="1926"/>
      <c r="U133" s="1926"/>
    </row>
    <row r="134" spans="1:251" ht="15.75">
      <c r="B134" s="2042" t="s">
        <v>368</v>
      </c>
      <c r="C134" s="1964"/>
      <c r="D134" s="1964"/>
      <c r="E134" s="1965"/>
      <c r="F134" s="1680"/>
      <c r="G134" s="1967"/>
      <c r="H134" s="1967"/>
      <c r="I134" s="1967"/>
      <c r="J134" s="1965" t="s">
        <v>369</v>
      </c>
      <c r="K134" s="1967"/>
      <c r="L134" s="1967"/>
      <c r="M134" s="3806"/>
      <c r="N134" s="3806"/>
      <c r="O134" s="1969"/>
      <c r="P134" s="1969"/>
      <c r="Q134" s="1969"/>
      <c r="R134" s="1926"/>
      <c r="S134" s="1926"/>
      <c r="T134" s="1926"/>
      <c r="U134" s="1926"/>
    </row>
    <row r="135" spans="1:251" ht="15.75">
      <c r="B135" s="2042" t="s">
        <v>370</v>
      </c>
      <c r="C135" s="1964"/>
      <c r="D135" s="1964"/>
      <c r="E135" s="1965"/>
      <c r="F135" s="1680"/>
      <c r="G135" s="1967"/>
      <c r="H135" s="2042" t="s">
        <v>371</v>
      </c>
      <c r="I135" s="1967"/>
      <c r="J135" s="1965"/>
      <c r="K135" s="1967"/>
      <c r="L135" s="1967"/>
      <c r="M135" s="1928"/>
      <c r="N135" s="1928"/>
      <c r="O135" s="1969"/>
      <c r="P135" s="1969"/>
      <c r="Q135" s="1969"/>
      <c r="R135" s="1926"/>
      <c r="S135" s="1926"/>
      <c r="T135" s="1926"/>
      <c r="U135" s="1926"/>
    </row>
    <row r="136" spans="1:251" ht="15.75">
      <c r="B136" s="2042"/>
      <c r="C136" s="1972"/>
      <c r="D136" s="1973"/>
      <c r="E136" s="1974"/>
      <c r="F136" s="1680"/>
      <c r="G136" s="1967"/>
      <c r="H136" s="2042"/>
      <c r="I136" s="1967"/>
      <c r="K136" s="1967"/>
      <c r="L136" s="1967"/>
      <c r="M136" s="1928"/>
      <c r="N136" s="1928"/>
      <c r="O136" s="1969"/>
      <c r="P136" s="1969"/>
      <c r="Q136" s="1969"/>
      <c r="R136" s="1926"/>
      <c r="S136" s="1926"/>
      <c r="T136" s="1926"/>
      <c r="U136" s="1926"/>
    </row>
    <row r="137" spans="1:251" ht="15.75">
      <c r="B137" s="2042" t="s">
        <v>451</v>
      </c>
      <c r="C137" s="1076"/>
      <c r="D137" s="475"/>
      <c r="E137" s="1077"/>
      <c r="F137" s="419"/>
      <c r="G137" s="406"/>
      <c r="H137" s="2042" t="s">
        <v>452</v>
      </c>
      <c r="I137" s="1967"/>
      <c r="J137" s="1971" t="s">
        <v>374</v>
      </c>
      <c r="K137" s="1967"/>
      <c r="L137" s="1967"/>
      <c r="M137" s="1928"/>
      <c r="N137" s="1928"/>
      <c r="O137" s="1926"/>
      <c r="P137" s="1926"/>
      <c r="Q137" s="1926"/>
      <c r="R137" s="1926"/>
      <c r="S137" s="1926"/>
      <c r="T137" s="1926"/>
      <c r="U137" s="1926"/>
    </row>
    <row r="138" spans="1:251" ht="15.75">
      <c r="B138" s="2042"/>
      <c r="C138" s="1076"/>
      <c r="D138" s="475"/>
      <c r="E138" s="1077"/>
      <c r="F138" s="580"/>
      <c r="G138" s="406"/>
      <c r="H138" s="2042"/>
      <c r="I138" s="1967"/>
      <c r="J138" s="1976"/>
      <c r="K138" s="1967"/>
      <c r="L138" s="1967"/>
    </row>
    <row r="139" spans="1:251" ht="15.75">
      <c r="B139" s="2042" t="s">
        <v>375</v>
      </c>
      <c r="C139" s="1078"/>
      <c r="D139" s="1078"/>
      <c r="E139" s="1078"/>
      <c r="F139" s="580"/>
      <c r="G139" s="406"/>
      <c r="H139" s="2042" t="s">
        <v>377</v>
      </c>
      <c r="I139" s="1967"/>
      <c r="J139" s="1971" t="s">
        <v>376</v>
      </c>
      <c r="K139" s="1967"/>
      <c r="L139" s="1967"/>
    </row>
    <row r="142" spans="1:251">
      <c r="B142" s="1983"/>
    </row>
  </sheetData>
  <sheetProtection formatColumns="0" insertRows="0" deleteRows="0"/>
  <mergeCells count="21">
    <mergeCell ref="W7:W8"/>
    <mergeCell ref="V7:V8"/>
    <mergeCell ref="U7:U8"/>
    <mergeCell ref="O7:O8"/>
    <mergeCell ref="P7:P8"/>
    <mergeCell ref="Q7:Q8"/>
    <mergeCell ref="R7:R8"/>
    <mergeCell ref="S7:S8"/>
    <mergeCell ref="T7:T8"/>
    <mergeCell ref="N7:N8"/>
    <mergeCell ref="A7:A8"/>
    <mergeCell ref="B7:B8"/>
    <mergeCell ref="C7:C8"/>
    <mergeCell ref="D7:D8"/>
    <mergeCell ref="E7:E8"/>
    <mergeCell ref="F7:F8"/>
    <mergeCell ref="G7:G8"/>
    <mergeCell ref="H7:H8"/>
    <mergeCell ref="I7:J7"/>
    <mergeCell ref="K7:L7"/>
    <mergeCell ref="M7:M8"/>
  </mergeCells>
  <pageMargins left="0" right="0" top="0" bottom="0" header="0" footer="0"/>
  <pageSetup paperSize="9" scale="55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FFFF00"/>
    <pageSetUpPr fitToPage="1"/>
  </sheetPr>
  <dimension ref="A1:IQ140"/>
  <sheetViews>
    <sheetView workbookViewId="0">
      <selection activeCell="F126" sqref="F126"/>
    </sheetView>
  </sheetViews>
  <sheetFormatPr defaultColWidth="11.5703125" defaultRowHeight="15"/>
  <cols>
    <col min="1" max="1" width="4.42578125" style="188" customWidth="1"/>
    <col min="2" max="2" width="29.28515625" style="188" customWidth="1"/>
    <col min="3" max="3" width="24.28515625" style="188" hidden="1" customWidth="1"/>
    <col min="4" max="4" width="9.7109375" style="188" customWidth="1"/>
    <col min="5" max="5" width="10.28515625" style="194" customWidth="1"/>
    <col min="6" max="6" width="15.42578125" style="194" bestFit="1" customWidth="1"/>
    <col min="7" max="7" width="10.140625" style="194" customWidth="1"/>
    <col min="8" max="8" width="16.85546875" style="187" customWidth="1"/>
    <col min="9" max="9" width="10.140625" style="187" hidden="1" customWidth="1"/>
    <col min="10" max="10" width="11.7109375" style="187" hidden="1" customWidth="1"/>
    <col min="11" max="11" width="8.140625" style="194" customWidth="1"/>
    <col min="12" max="12" width="14.28515625" style="187" customWidth="1"/>
    <col min="13" max="13" width="15.7109375" style="187" customWidth="1"/>
    <col min="14" max="14" width="17.140625" style="187" customWidth="1"/>
    <col min="15" max="15" width="15" style="188" customWidth="1"/>
    <col min="16" max="16" width="16.5703125" style="188" customWidth="1"/>
    <col min="17" max="17" width="16.7109375" style="188" customWidth="1"/>
    <col min="18" max="21" width="15.7109375" style="188" customWidth="1"/>
    <col min="22" max="22" width="15.85546875" style="188" customWidth="1"/>
    <col min="23" max="23" width="17.85546875" style="1923" customWidth="1"/>
    <col min="24" max="24" width="9.140625" style="188" hidden="1" customWidth="1"/>
    <col min="25" max="244" width="9.140625" style="188" customWidth="1"/>
    <col min="245" max="245" width="3.7109375" style="188" customWidth="1"/>
    <col min="246" max="246" width="26.7109375" style="188" customWidth="1"/>
    <col min="247" max="247" width="19.140625" style="188" customWidth="1"/>
    <col min="248" max="248" width="7.42578125" style="188" customWidth="1"/>
    <col min="249" max="249" width="11.85546875" style="188" customWidth="1"/>
    <col min="250" max="250" width="12.5703125" style="188" customWidth="1"/>
    <col min="251" max="16384" width="11.5703125" style="188"/>
  </cols>
  <sheetData>
    <row r="1" spans="1:251" ht="15.75">
      <c r="R1" s="962" t="s">
        <v>267</v>
      </c>
      <c r="S1" s="961" t="s">
        <v>268</v>
      </c>
    </row>
    <row r="2" spans="1:251" s="949" customFormat="1" ht="15.75">
      <c r="B2" s="955" t="s">
        <v>973</v>
      </c>
      <c r="C2" s="950"/>
      <c r="D2" s="950"/>
      <c r="E2" s="950"/>
      <c r="F2" s="950"/>
      <c r="G2" s="950"/>
      <c r="H2" s="951"/>
      <c r="I2" s="951"/>
      <c r="J2" s="951"/>
      <c r="K2" s="952"/>
      <c r="L2" s="952"/>
      <c r="M2" s="952"/>
      <c r="N2" s="950"/>
      <c r="W2" s="1926"/>
    </row>
    <row r="3" spans="1:251">
      <c r="K3" s="190"/>
      <c r="L3" s="190"/>
      <c r="M3" s="190"/>
    </row>
    <row r="4" spans="1:251" s="949" customFormat="1" ht="15.75">
      <c r="A4" s="1926"/>
      <c r="B4" s="1931" t="s">
        <v>982</v>
      </c>
      <c r="C4" s="1926"/>
      <c r="D4" s="1926"/>
      <c r="E4" s="1926"/>
      <c r="F4" s="1926"/>
      <c r="G4" s="1926"/>
      <c r="H4" s="1926"/>
      <c r="I4" s="1926"/>
      <c r="J4" s="1926"/>
      <c r="K4" s="1926"/>
      <c r="L4" s="1926"/>
      <c r="M4" s="1926"/>
      <c r="N4" s="1932"/>
      <c r="O4" s="1926"/>
      <c r="P4" s="2483" t="s">
        <v>501</v>
      </c>
      <c r="Q4" s="2484">
        <v>1852</v>
      </c>
      <c r="R4" s="2485" t="s">
        <v>502</v>
      </c>
      <c r="S4" s="1926"/>
      <c r="T4" s="1926"/>
      <c r="U4" s="1926"/>
      <c r="W4" s="1926"/>
    </row>
    <row r="5" spans="1:251" ht="15.75">
      <c r="A5" s="3807"/>
      <c r="B5" s="3808" t="s">
        <v>983</v>
      </c>
      <c r="C5" s="1923"/>
      <c r="D5" s="1923"/>
      <c r="E5" s="1923"/>
      <c r="F5" s="1923"/>
      <c r="G5" s="1923"/>
      <c r="H5" s="1923"/>
      <c r="I5" s="1923"/>
      <c r="J5" s="1923"/>
      <c r="K5" s="1923"/>
      <c r="L5" s="1923"/>
      <c r="M5" s="1923"/>
      <c r="N5" s="1934"/>
      <c r="O5" s="1923"/>
      <c r="P5" s="2486" t="s">
        <v>504</v>
      </c>
      <c r="Q5" s="2484">
        <f>17439*1.1</f>
        <v>19182.900000000001</v>
      </c>
      <c r="R5" s="2485" t="s">
        <v>505</v>
      </c>
      <c r="S5" s="1923"/>
      <c r="T5" s="1923"/>
      <c r="U5" s="1923"/>
    </row>
    <row r="6" spans="1:251">
      <c r="A6" s="1935"/>
      <c r="B6" s="1935"/>
      <c r="C6" s="1935"/>
      <c r="D6" s="1935"/>
      <c r="E6" s="1936">
        <f>12*K9</f>
        <v>0</v>
      </c>
      <c r="F6" s="1935"/>
      <c r="G6" s="1935"/>
      <c r="H6" s="1937"/>
      <c r="I6" s="1937"/>
      <c r="J6" s="1937"/>
      <c r="K6" s="1936">
        <f>E6-(E6*19%)</f>
        <v>0</v>
      </c>
      <c r="L6" s="1937"/>
      <c r="M6" s="1937"/>
      <c r="N6" s="1937"/>
      <c r="O6" s="1938">
        <f>O9*19%</f>
        <v>2022436</v>
      </c>
      <c r="P6" s="2486" t="s">
        <v>506</v>
      </c>
      <c r="Q6" s="2484">
        <v>19966</v>
      </c>
      <c r="R6" s="2485" t="s">
        <v>502</v>
      </c>
      <c r="S6" s="1923"/>
      <c r="T6" s="1923"/>
      <c r="U6" s="1923"/>
    </row>
    <row r="7" spans="1:251" ht="39.75" customHeight="1">
      <c r="A7" s="3970" t="s">
        <v>34</v>
      </c>
      <c r="B7" s="3970" t="s">
        <v>507</v>
      </c>
      <c r="C7" s="3970" t="s">
        <v>277</v>
      </c>
      <c r="D7" s="3971" t="s">
        <v>508</v>
      </c>
      <c r="E7" s="3973" t="s">
        <v>509</v>
      </c>
      <c r="F7" s="3970" t="s">
        <v>510</v>
      </c>
      <c r="G7" s="3970" t="s">
        <v>511</v>
      </c>
      <c r="H7" s="3971" t="s">
        <v>512</v>
      </c>
      <c r="I7" s="3970" t="s">
        <v>513</v>
      </c>
      <c r="J7" s="3970"/>
      <c r="K7" s="3970" t="s">
        <v>514</v>
      </c>
      <c r="L7" s="3970"/>
      <c r="M7" s="3971" t="s">
        <v>515</v>
      </c>
      <c r="N7" s="3970" t="s">
        <v>516</v>
      </c>
      <c r="O7" s="3975" t="s">
        <v>517</v>
      </c>
      <c r="P7" s="3970" t="s">
        <v>518</v>
      </c>
      <c r="Q7" s="3970" t="s">
        <v>519</v>
      </c>
      <c r="R7" s="3974" t="s">
        <v>313</v>
      </c>
      <c r="S7" s="3974" t="s">
        <v>314</v>
      </c>
      <c r="T7" s="3974" t="s">
        <v>116</v>
      </c>
      <c r="U7" s="3974" t="s">
        <v>315</v>
      </c>
      <c r="V7" s="3974" t="s">
        <v>44</v>
      </c>
      <c r="W7" s="3976" t="s">
        <v>976</v>
      </c>
    </row>
    <row r="8" spans="1:251" ht="97.9" customHeight="1">
      <c r="A8" s="3970"/>
      <c r="B8" s="3970"/>
      <c r="C8" s="3970"/>
      <c r="D8" s="3972"/>
      <c r="E8" s="3973"/>
      <c r="F8" s="3970"/>
      <c r="G8" s="3970"/>
      <c r="H8" s="3972"/>
      <c r="I8" s="1939" t="s">
        <v>520</v>
      </c>
      <c r="J8" s="1939" t="s">
        <v>345</v>
      </c>
      <c r="K8" s="1939" t="s">
        <v>520</v>
      </c>
      <c r="L8" s="1939" t="s">
        <v>345</v>
      </c>
      <c r="M8" s="3972"/>
      <c r="N8" s="3970"/>
      <c r="O8" s="3972"/>
      <c r="P8" s="3970"/>
      <c r="Q8" s="3970"/>
      <c r="R8" s="3974"/>
      <c r="S8" s="3974"/>
      <c r="T8" s="3974"/>
      <c r="U8" s="3974"/>
      <c r="V8" s="3974"/>
      <c r="W8" s="3976"/>
    </row>
    <row r="9" spans="1:251">
      <c r="A9" s="1920"/>
      <c r="B9" s="1920" t="s">
        <v>306</v>
      </c>
      <c r="C9" s="1920"/>
      <c r="D9" s="2033">
        <f>D110</f>
        <v>47</v>
      </c>
      <c r="E9" s="1920"/>
      <c r="F9" s="1920">
        <f>F110</f>
        <v>0</v>
      </c>
      <c r="G9" s="1941"/>
      <c r="H9" s="1920">
        <f>H10+H64+H101+H110</f>
        <v>63866400</v>
      </c>
      <c r="I9" s="1941"/>
      <c r="J9" s="1920"/>
      <c r="K9" s="1941"/>
      <c r="L9" s="1920">
        <f>L110</f>
        <v>9880</v>
      </c>
      <c r="M9" s="1920">
        <f t="shared" ref="M9:T9" si="0">M10+M64+M101+M110</f>
        <v>4149600</v>
      </c>
      <c r="N9" s="1920">
        <f>N10+N64+N101+N110</f>
        <v>68016000</v>
      </c>
      <c r="O9" s="1920">
        <f t="shared" si="0"/>
        <v>10644400</v>
      </c>
      <c r="P9" s="1920">
        <f t="shared" si="0"/>
        <v>21288800</v>
      </c>
      <c r="Q9" s="1920">
        <f>Q10+Q64+Q101+Q110</f>
        <v>99949200</v>
      </c>
      <c r="R9" s="1920">
        <f t="shared" si="0"/>
        <v>9994920</v>
      </c>
      <c r="S9" s="1920">
        <f t="shared" si="0"/>
        <v>8995428</v>
      </c>
      <c r="T9" s="1920">
        <f t="shared" si="0"/>
        <v>5397256.7999999998</v>
      </c>
      <c r="U9" s="1920">
        <f>U10+U64+U101+U110</f>
        <v>4497714</v>
      </c>
      <c r="V9" s="1920">
        <f>T9+U9</f>
        <v>9894970.8000000007</v>
      </c>
      <c r="W9" s="3471">
        <f>W110</f>
        <v>999492</v>
      </c>
    </row>
    <row r="10" spans="1:251" ht="28.5" hidden="1">
      <c r="A10" s="1942"/>
      <c r="B10" s="1920" t="s">
        <v>521</v>
      </c>
      <c r="C10" s="1942"/>
      <c r="D10" s="3809">
        <f>SUM(D11:D63)</f>
        <v>2</v>
      </c>
      <c r="E10" s="3805"/>
      <c r="F10" s="3805">
        <f>SUM(F11:F63)</f>
        <v>0</v>
      </c>
      <c r="G10" s="1945"/>
      <c r="H10" s="3805">
        <f>SUM(H11:H63)</f>
        <v>0</v>
      </c>
      <c r="I10" s="1945"/>
      <c r="J10" s="3805">
        <f>SUM(J11:J63)</f>
        <v>0</v>
      </c>
      <c r="K10" s="1945"/>
      <c r="L10" s="3805">
        <f t="shared" ref="L10:U10" si="1">SUM(L11:L63)</f>
        <v>0</v>
      </c>
      <c r="M10" s="3805">
        <f t="shared" si="1"/>
        <v>0</v>
      </c>
      <c r="N10" s="3805">
        <f t="shared" si="1"/>
        <v>0</v>
      </c>
      <c r="O10" s="3805">
        <f t="shared" si="1"/>
        <v>0</v>
      </c>
      <c r="P10" s="3805">
        <f t="shared" si="1"/>
        <v>0</v>
      </c>
      <c r="Q10" s="3805">
        <f t="shared" si="1"/>
        <v>0</v>
      </c>
      <c r="R10" s="3805">
        <f t="shared" si="1"/>
        <v>0</v>
      </c>
      <c r="S10" s="3805">
        <f t="shared" si="1"/>
        <v>0</v>
      </c>
      <c r="T10" s="3805">
        <f t="shared" si="1"/>
        <v>0</v>
      </c>
      <c r="U10" s="3805">
        <f t="shared" si="1"/>
        <v>0</v>
      </c>
      <c r="V10" s="3035">
        <f t="shared" ref="V10:V73" si="2">T10+U10</f>
        <v>0</v>
      </c>
      <c r="W10" s="3472"/>
      <c r="X10" s="349"/>
      <c r="Y10" s="349"/>
      <c r="Z10" s="349"/>
      <c r="AA10" s="349"/>
      <c r="AB10" s="349"/>
      <c r="AC10" s="349"/>
      <c r="AD10" s="349"/>
      <c r="AE10" s="349"/>
      <c r="AF10" s="349"/>
      <c r="AG10" s="349"/>
      <c r="AH10" s="349"/>
      <c r="AI10" s="349"/>
      <c r="AJ10" s="349"/>
      <c r="AK10" s="349"/>
      <c r="AL10" s="349"/>
      <c r="AM10" s="349"/>
      <c r="AN10" s="349"/>
      <c r="AO10" s="349"/>
      <c r="AP10" s="349"/>
      <c r="AQ10" s="349"/>
      <c r="AR10" s="349"/>
      <c r="AS10" s="349"/>
      <c r="AT10" s="349"/>
      <c r="AU10" s="349"/>
      <c r="AV10" s="349"/>
      <c r="AW10" s="349"/>
      <c r="AX10" s="349"/>
      <c r="AY10" s="349"/>
      <c r="AZ10" s="349"/>
      <c r="BA10" s="349"/>
      <c r="BB10" s="349"/>
      <c r="BC10" s="349"/>
      <c r="BD10" s="349"/>
      <c r="BE10" s="349"/>
      <c r="BF10" s="349"/>
      <c r="BG10" s="349"/>
      <c r="BH10" s="349"/>
      <c r="BI10" s="349"/>
      <c r="BJ10" s="349"/>
      <c r="BK10" s="349"/>
      <c r="BL10" s="349"/>
      <c r="BM10" s="349"/>
      <c r="BN10" s="349"/>
      <c r="BO10" s="349"/>
      <c r="BP10" s="349"/>
      <c r="BQ10" s="349"/>
      <c r="BR10" s="349"/>
      <c r="BS10" s="349"/>
      <c r="BT10" s="349"/>
      <c r="BU10" s="349"/>
      <c r="BV10" s="349"/>
      <c r="BW10" s="349"/>
      <c r="BX10" s="349"/>
      <c r="BY10" s="349"/>
      <c r="BZ10" s="349"/>
      <c r="CA10" s="349"/>
      <c r="CB10" s="349"/>
      <c r="CC10" s="349"/>
      <c r="CD10" s="349"/>
      <c r="CE10" s="349"/>
      <c r="CF10" s="349"/>
      <c r="CG10" s="349"/>
      <c r="CH10" s="349"/>
      <c r="CI10" s="349"/>
      <c r="CJ10" s="349"/>
      <c r="CK10" s="349"/>
      <c r="CL10" s="349"/>
      <c r="CM10" s="349"/>
      <c r="CN10" s="349"/>
      <c r="CO10" s="349"/>
      <c r="CP10" s="349"/>
      <c r="CQ10" s="349"/>
      <c r="CR10" s="349"/>
      <c r="CS10" s="349"/>
      <c r="CT10" s="349"/>
      <c r="CU10" s="349"/>
      <c r="CV10" s="349"/>
      <c r="CW10" s="349"/>
      <c r="CX10" s="349"/>
      <c r="CY10" s="349"/>
      <c r="CZ10" s="349"/>
      <c r="DA10" s="349"/>
      <c r="DB10" s="349"/>
      <c r="DC10" s="349"/>
      <c r="DD10" s="349"/>
      <c r="DE10" s="349"/>
      <c r="DF10" s="349"/>
      <c r="DG10" s="349"/>
      <c r="DH10" s="349"/>
      <c r="DI10" s="349"/>
      <c r="DJ10" s="349"/>
      <c r="DK10" s="349"/>
      <c r="DL10" s="349"/>
      <c r="DM10" s="349"/>
      <c r="DN10" s="349"/>
      <c r="DO10" s="349"/>
      <c r="DP10" s="349"/>
      <c r="DQ10" s="349"/>
      <c r="DR10" s="349"/>
      <c r="DS10" s="349"/>
      <c r="DT10" s="349"/>
      <c r="DU10" s="349"/>
      <c r="DV10" s="349"/>
      <c r="DW10" s="349"/>
      <c r="DX10" s="349"/>
      <c r="DY10" s="349"/>
      <c r="DZ10" s="349"/>
      <c r="EA10" s="349"/>
      <c r="EB10" s="349"/>
      <c r="EC10" s="349"/>
      <c r="ED10" s="349"/>
      <c r="EE10" s="349"/>
      <c r="EF10" s="349"/>
      <c r="EG10" s="349"/>
      <c r="EH10" s="349"/>
      <c r="EI10" s="349"/>
      <c r="EJ10" s="349"/>
      <c r="EK10" s="349"/>
      <c r="EL10" s="349"/>
      <c r="EM10" s="349"/>
      <c r="EN10" s="349"/>
      <c r="EO10" s="349"/>
      <c r="EP10" s="349"/>
      <c r="EQ10" s="349"/>
      <c r="ER10" s="349"/>
      <c r="ES10" s="349"/>
      <c r="ET10" s="349"/>
      <c r="EU10" s="349"/>
      <c r="EV10" s="349"/>
      <c r="EW10" s="349"/>
      <c r="EX10" s="349"/>
      <c r="EY10" s="349"/>
      <c r="EZ10" s="349"/>
      <c r="FA10" s="349"/>
      <c r="FB10" s="349"/>
      <c r="FC10" s="349"/>
      <c r="FD10" s="349"/>
      <c r="FE10" s="349"/>
      <c r="FF10" s="349"/>
      <c r="FG10" s="349"/>
      <c r="FH10" s="349"/>
      <c r="FI10" s="349"/>
      <c r="FJ10" s="349"/>
      <c r="FK10" s="349"/>
      <c r="FL10" s="349"/>
      <c r="FM10" s="349"/>
      <c r="FN10" s="349"/>
      <c r="FO10" s="349"/>
      <c r="FP10" s="349"/>
      <c r="FQ10" s="349"/>
      <c r="FR10" s="349"/>
      <c r="FS10" s="349"/>
      <c r="FT10" s="349"/>
      <c r="FU10" s="349"/>
      <c r="FV10" s="349"/>
      <c r="FW10" s="349"/>
      <c r="FX10" s="349"/>
      <c r="FY10" s="349"/>
      <c r="FZ10" s="349"/>
      <c r="GA10" s="349"/>
      <c r="GB10" s="349"/>
      <c r="GC10" s="349"/>
      <c r="GD10" s="349"/>
      <c r="GE10" s="349"/>
      <c r="GF10" s="349"/>
      <c r="GG10" s="349"/>
      <c r="GH10" s="349"/>
      <c r="GI10" s="349"/>
      <c r="GJ10" s="349"/>
      <c r="GK10" s="349"/>
      <c r="GL10" s="349"/>
      <c r="GM10" s="349"/>
      <c r="GN10" s="349"/>
      <c r="GO10" s="349"/>
      <c r="GP10" s="349"/>
      <c r="GQ10" s="349"/>
      <c r="GR10" s="349"/>
      <c r="GS10" s="349"/>
      <c r="GT10" s="349"/>
      <c r="GU10" s="349"/>
      <c r="GV10" s="349"/>
      <c r="GW10" s="349"/>
      <c r="GX10" s="349"/>
      <c r="GY10" s="349"/>
      <c r="GZ10" s="349"/>
      <c r="HA10" s="349"/>
      <c r="HB10" s="349"/>
      <c r="HC10" s="349"/>
      <c r="HD10" s="349"/>
      <c r="HE10" s="349"/>
      <c r="HF10" s="349"/>
      <c r="HG10" s="349"/>
      <c r="HH10" s="349"/>
      <c r="HI10" s="349"/>
      <c r="HJ10" s="349"/>
      <c r="HK10" s="349"/>
      <c r="HL10" s="349"/>
      <c r="HM10" s="349"/>
      <c r="HN10" s="349"/>
      <c r="HO10" s="349"/>
      <c r="HP10" s="349"/>
      <c r="HQ10" s="349"/>
      <c r="HR10" s="349"/>
      <c r="HS10" s="349"/>
      <c r="HT10" s="349"/>
      <c r="HU10" s="349"/>
      <c r="HV10" s="349"/>
      <c r="HW10" s="349"/>
      <c r="HX10" s="349"/>
      <c r="HY10" s="349"/>
      <c r="HZ10" s="349"/>
      <c r="IA10" s="349"/>
      <c r="IB10" s="349"/>
      <c r="IC10" s="349"/>
      <c r="ID10" s="349"/>
      <c r="IE10" s="349"/>
      <c r="IF10" s="349"/>
      <c r="IG10" s="349"/>
      <c r="IH10" s="349"/>
      <c r="II10" s="349"/>
      <c r="IJ10" s="349"/>
      <c r="IK10" s="349"/>
      <c r="IL10" s="349"/>
      <c r="IM10" s="349"/>
      <c r="IN10" s="349"/>
      <c r="IO10" s="349"/>
      <c r="IP10" s="349"/>
      <c r="IQ10" s="349"/>
    </row>
    <row r="11" spans="1:251" s="2942" customFormat="1" hidden="1">
      <c r="A11" s="2943">
        <v>1</v>
      </c>
      <c r="B11" s="2944" t="s">
        <v>524</v>
      </c>
      <c r="C11" s="2945"/>
      <c r="D11" s="2946">
        <v>1</v>
      </c>
      <c r="E11" s="2945"/>
      <c r="F11" s="2947"/>
      <c r="G11" s="2948">
        <v>12</v>
      </c>
      <c r="H11" s="2904">
        <f>D11*F11*G11</f>
        <v>0</v>
      </c>
      <c r="I11" s="2948"/>
      <c r="J11" s="2904">
        <f>I11*$Q$4</f>
        <v>0</v>
      </c>
      <c r="K11" s="2948"/>
      <c r="L11" s="2904">
        <f>K11*F11</f>
        <v>0</v>
      </c>
      <c r="M11" s="2904">
        <f>D11*G11*(J11+L11)</f>
        <v>0</v>
      </c>
      <c r="N11" s="2904">
        <f>H11+M11</f>
        <v>0</v>
      </c>
      <c r="O11" s="2948">
        <f t="shared" ref="O11:O16" si="3">F11*2</f>
        <v>0</v>
      </c>
      <c r="P11" s="2948">
        <f>F11*2</f>
        <v>0</v>
      </c>
      <c r="Q11" s="2904">
        <f>N11+O11+P11</f>
        <v>0</v>
      </c>
      <c r="R11" s="2904">
        <f>Q11*10%</f>
        <v>0</v>
      </c>
      <c r="S11" s="2904">
        <f>(Q11-R11)*10%</f>
        <v>0</v>
      </c>
      <c r="T11" s="2904">
        <f>(Q11-R11)*6%</f>
        <v>0</v>
      </c>
      <c r="U11" s="2904">
        <f>(Q11-R11)*5%</f>
        <v>0</v>
      </c>
      <c r="V11" s="3035">
        <f t="shared" si="2"/>
        <v>0</v>
      </c>
      <c r="W11" s="2904"/>
      <c r="X11" s="2949"/>
      <c r="Y11" s="2949"/>
      <c r="Z11" s="2949"/>
      <c r="AA11" s="2949"/>
      <c r="AB11" s="2949"/>
      <c r="AC11" s="2949"/>
      <c r="AD11" s="2949"/>
      <c r="AE11" s="2949"/>
      <c r="AF11" s="2949"/>
      <c r="AG11" s="2949"/>
      <c r="AH11" s="2949"/>
      <c r="AI11" s="2949"/>
      <c r="AJ11" s="2949"/>
      <c r="AK11" s="2949"/>
      <c r="AL11" s="2949"/>
      <c r="AM11" s="2949"/>
      <c r="AN11" s="2949"/>
      <c r="AO11" s="2949"/>
      <c r="AP11" s="2949"/>
      <c r="AQ11" s="2949"/>
      <c r="AR11" s="2949"/>
      <c r="AS11" s="2949"/>
      <c r="AT11" s="2949"/>
      <c r="AU11" s="2949"/>
      <c r="AV11" s="2949"/>
      <c r="AW11" s="2949"/>
      <c r="AX11" s="2949"/>
      <c r="AY11" s="2949"/>
      <c r="AZ11" s="2949"/>
      <c r="BA11" s="2949"/>
      <c r="BB11" s="2949"/>
      <c r="BC11" s="2949"/>
      <c r="BD11" s="2949"/>
      <c r="BE11" s="2949"/>
      <c r="BF11" s="2949"/>
      <c r="BG11" s="2949"/>
      <c r="BH11" s="2949"/>
      <c r="BI11" s="2949"/>
      <c r="BJ11" s="2949"/>
      <c r="BK11" s="2949"/>
      <c r="BL11" s="2949"/>
      <c r="BM11" s="2949"/>
      <c r="BN11" s="2949"/>
      <c r="BO11" s="2949"/>
      <c r="BP11" s="2949"/>
      <c r="BQ11" s="2949"/>
      <c r="BR11" s="2949"/>
      <c r="BS11" s="2949"/>
      <c r="BT11" s="2949"/>
      <c r="BU11" s="2949"/>
      <c r="BV11" s="2949"/>
      <c r="BW11" s="2949"/>
      <c r="BX11" s="2949"/>
      <c r="BY11" s="2949"/>
      <c r="BZ11" s="2949"/>
      <c r="CA11" s="2949"/>
      <c r="CB11" s="2949"/>
      <c r="CC11" s="2949"/>
      <c r="CD11" s="2949"/>
      <c r="CE11" s="2949"/>
      <c r="CF11" s="2949"/>
      <c r="CG11" s="2949"/>
      <c r="CH11" s="2949"/>
      <c r="CI11" s="2949"/>
      <c r="CJ11" s="2949"/>
      <c r="CK11" s="2949"/>
      <c r="CL11" s="2949"/>
      <c r="CM11" s="2949"/>
      <c r="CN11" s="2949"/>
      <c r="CO11" s="2949"/>
      <c r="CP11" s="2949"/>
      <c r="CQ11" s="2949"/>
      <c r="CR11" s="2949"/>
      <c r="CS11" s="2949"/>
      <c r="CT11" s="2949"/>
      <c r="CU11" s="2949"/>
      <c r="CV11" s="2949"/>
      <c r="CW11" s="2949"/>
      <c r="CX11" s="2949"/>
      <c r="CY11" s="2949"/>
      <c r="CZ11" s="2949"/>
      <c r="DA11" s="2949"/>
      <c r="DB11" s="2949"/>
      <c r="DC11" s="2949"/>
      <c r="DD11" s="2949"/>
      <c r="DE11" s="2949"/>
      <c r="DF11" s="2949"/>
      <c r="DG11" s="2949"/>
      <c r="DH11" s="2949"/>
      <c r="DI11" s="2949"/>
      <c r="DJ11" s="2949"/>
      <c r="DK11" s="2949"/>
      <c r="DL11" s="2949"/>
      <c r="DM11" s="2949"/>
      <c r="DN11" s="2949"/>
      <c r="DO11" s="2949"/>
      <c r="DP11" s="2949"/>
      <c r="DQ11" s="2949"/>
      <c r="DR11" s="2949"/>
      <c r="DS11" s="2949"/>
      <c r="DT11" s="2949"/>
      <c r="DU11" s="2949"/>
      <c r="DV11" s="2949"/>
      <c r="DW11" s="2949"/>
      <c r="DX11" s="2949"/>
      <c r="DY11" s="2949"/>
      <c r="DZ11" s="2949"/>
      <c r="EA11" s="2949"/>
      <c r="EB11" s="2949"/>
      <c r="EC11" s="2949"/>
      <c r="ED11" s="2949"/>
      <c r="EE11" s="2949"/>
      <c r="EF11" s="2949"/>
      <c r="EG11" s="2949"/>
      <c r="EH11" s="2949"/>
      <c r="EI11" s="2949"/>
      <c r="EJ11" s="2949"/>
      <c r="EK11" s="2949"/>
      <c r="EL11" s="2949"/>
      <c r="EM11" s="2949"/>
      <c r="EN11" s="2949"/>
      <c r="EO11" s="2949"/>
      <c r="EP11" s="2949"/>
      <c r="EQ11" s="2949"/>
      <c r="ER11" s="2949"/>
      <c r="ES11" s="2949"/>
      <c r="ET11" s="2949"/>
      <c r="EU11" s="2949"/>
      <c r="EV11" s="2949"/>
      <c r="EW11" s="2949"/>
      <c r="EX11" s="2949"/>
      <c r="EY11" s="2949"/>
      <c r="EZ11" s="2949"/>
      <c r="FA11" s="2949"/>
      <c r="FB11" s="2949"/>
      <c r="FC11" s="2949"/>
      <c r="FD11" s="2949"/>
      <c r="FE11" s="2949"/>
      <c r="FF11" s="2949"/>
      <c r="FG11" s="2949"/>
      <c r="FH11" s="2949"/>
      <c r="FI11" s="2949"/>
      <c r="FJ11" s="2949"/>
      <c r="FK11" s="2949"/>
      <c r="FL11" s="2949"/>
      <c r="FM11" s="2949"/>
      <c r="FN11" s="2949"/>
      <c r="FO11" s="2949"/>
      <c r="FP11" s="2949"/>
      <c r="FQ11" s="2949"/>
      <c r="FR11" s="2949"/>
      <c r="FS11" s="2949"/>
      <c r="FT11" s="2949"/>
      <c r="FU11" s="2949"/>
      <c r="FV11" s="2949"/>
      <c r="FW11" s="2949"/>
      <c r="FX11" s="2949"/>
      <c r="FY11" s="2949"/>
      <c r="FZ11" s="2949"/>
      <c r="GA11" s="2949"/>
      <c r="GB11" s="2949"/>
      <c r="GC11" s="2949"/>
      <c r="GD11" s="2949"/>
      <c r="GE11" s="2949"/>
      <c r="GF11" s="2949"/>
      <c r="GG11" s="2949"/>
      <c r="GH11" s="2949"/>
      <c r="GI11" s="2949"/>
      <c r="GJ11" s="2949"/>
      <c r="GK11" s="2949"/>
      <c r="GL11" s="2949"/>
      <c r="GM11" s="2949"/>
      <c r="GN11" s="2949"/>
      <c r="GO11" s="2949"/>
      <c r="GP11" s="2949"/>
      <c r="GQ11" s="2949"/>
      <c r="GR11" s="2949"/>
      <c r="GS11" s="2949"/>
      <c r="GT11" s="2949"/>
      <c r="GU11" s="2949"/>
      <c r="GV11" s="2949"/>
      <c r="GW11" s="2949"/>
      <c r="GX11" s="2949"/>
      <c r="GY11" s="2949"/>
      <c r="GZ11" s="2949"/>
      <c r="HA11" s="2949"/>
      <c r="HB11" s="2949"/>
      <c r="HC11" s="2949"/>
      <c r="HD11" s="2949"/>
      <c r="HE11" s="2949"/>
      <c r="HF11" s="2949"/>
      <c r="HG11" s="2949"/>
      <c r="HH11" s="2949"/>
      <c r="HI11" s="2949"/>
      <c r="HJ11" s="2949"/>
      <c r="HK11" s="2949"/>
      <c r="HL11" s="2949"/>
      <c r="HM11" s="2949"/>
      <c r="HN11" s="2949"/>
      <c r="HO11" s="2949"/>
      <c r="HP11" s="2949"/>
      <c r="HQ11" s="2949"/>
      <c r="HR11" s="2949"/>
      <c r="HS11" s="2949"/>
      <c r="HT11" s="2949"/>
      <c r="HU11" s="2949"/>
      <c r="HV11" s="2949"/>
      <c r="HW11" s="2949"/>
      <c r="HX11" s="2949"/>
      <c r="HY11" s="2949"/>
      <c r="HZ11" s="2949"/>
      <c r="IA11" s="2949"/>
      <c r="IB11" s="2949"/>
      <c r="IC11" s="2949"/>
      <c r="ID11" s="2949"/>
      <c r="IE11" s="2949"/>
      <c r="IF11" s="2949"/>
      <c r="IG11" s="2949"/>
      <c r="IH11" s="2949"/>
      <c r="II11" s="2949"/>
      <c r="IJ11" s="2949"/>
      <c r="IK11" s="2949"/>
      <c r="IL11" s="2949"/>
      <c r="IM11" s="2949"/>
      <c r="IN11" s="2949"/>
      <c r="IO11" s="2949"/>
      <c r="IP11" s="2949"/>
      <c r="IQ11" s="2949"/>
    </row>
    <row r="12" spans="1:251" hidden="1">
      <c r="A12" s="2021"/>
      <c r="B12" s="1944" t="s">
        <v>970</v>
      </c>
      <c r="C12" s="1955"/>
      <c r="D12" s="2034"/>
      <c r="E12" s="1955"/>
      <c r="F12" s="1946"/>
      <c r="G12" s="1026">
        <v>12</v>
      </c>
      <c r="H12" s="1942">
        <f>D12*F12*G12</f>
        <v>0</v>
      </c>
      <c r="I12" s="1026"/>
      <c r="J12" s="1942">
        <f>I12*$Q$4</f>
        <v>0</v>
      </c>
      <c r="K12" s="1026"/>
      <c r="L12" s="1942">
        <f>K12*F12</f>
        <v>0</v>
      </c>
      <c r="M12" s="1942">
        <f>D12*G12*(J12+L12)</f>
        <v>0</v>
      </c>
      <c r="N12" s="1942">
        <f>H12+M12</f>
        <v>0</v>
      </c>
      <c r="O12" s="1026">
        <f t="shared" si="3"/>
        <v>0</v>
      </c>
      <c r="P12" s="1026">
        <f t="shared" ref="P12:P16" si="4">F12*4</f>
        <v>0</v>
      </c>
      <c r="Q12" s="1942">
        <f>N12+O12+P12</f>
        <v>0</v>
      </c>
      <c r="R12" s="1942">
        <f>Q12*10%</f>
        <v>0</v>
      </c>
      <c r="S12" s="1942">
        <f>(Q12-R12)*10%</f>
        <v>0</v>
      </c>
      <c r="T12" s="1942">
        <f>(Q12-R12)*6%</f>
        <v>0</v>
      </c>
      <c r="U12" s="1942">
        <f>(Q12-R12)*5%</f>
        <v>0</v>
      </c>
      <c r="V12" s="3035">
        <f t="shared" si="2"/>
        <v>0</v>
      </c>
      <c r="W12" s="1942"/>
      <c r="X12" s="193"/>
      <c r="Y12" s="193"/>
      <c r="Z12" s="193"/>
      <c r="AA12" s="193"/>
      <c r="AB12" s="193"/>
      <c r="AC12" s="193"/>
      <c r="AD12" s="193"/>
      <c r="AE12" s="193"/>
      <c r="AF12" s="193"/>
      <c r="AG12" s="193"/>
      <c r="AH12" s="193"/>
      <c r="AI12" s="193"/>
      <c r="AJ12" s="193"/>
      <c r="AK12" s="193"/>
      <c r="AL12" s="193"/>
      <c r="AM12" s="193"/>
      <c r="AN12" s="193"/>
      <c r="AO12" s="193"/>
      <c r="AP12" s="193"/>
      <c r="AQ12" s="193"/>
      <c r="AR12" s="193"/>
      <c r="AS12" s="193"/>
      <c r="AT12" s="193"/>
      <c r="AU12" s="193"/>
      <c r="AV12" s="193"/>
      <c r="AW12" s="193"/>
      <c r="AX12" s="193"/>
      <c r="AY12" s="193"/>
      <c r="AZ12" s="193"/>
      <c r="BA12" s="193"/>
      <c r="BB12" s="193"/>
      <c r="BC12" s="193"/>
      <c r="BD12" s="193"/>
      <c r="BE12" s="193"/>
      <c r="BF12" s="193"/>
      <c r="BG12" s="193"/>
      <c r="BH12" s="193"/>
      <c r="BI12" s="193"/>
      <c r="BJ12" s="193"/>
      <c r="BK12" s="193"/>
      <c r="BL12" s="193"/>
      <c r="BM12" s="193"/>
      <c r="BN12" s="193"/>
      <c r="BO12" s="193"/>
      <c r="BP12" s="193"/>
      <c r="BQ12" s="193"/>
      <c r="BR12" s="193"/>
      <c r="BS12" s="193"/>
      <c r="BT12" s="193"/>
      <c r="BU12" s="193"/>
      <c r="BV12" s="193"/>
      <c r="BW12" s="193"/>
      <c r="BX12" s="193"/>
      <c r="BY12" s="193"/>
      <c r="BZ12" s="193"/>
      <c r="CA12" s="193"/>
      <c r="CB12" s="193"/>
      <c r="CC12" s="193"/>
      <c r="CD12" s="193"/>
      <c r="CE12" s="193"/>
      <c r="CF12" s="193"/>
      <c r="CG12" s="193"/>
      <c r="CH12" s="193"/>
      <c r="CI12" s="193"/>
      <c r="CJ12" s="193"/>
      <c r="CK12" s="193"/>
      <c r="CL12" s="193"/>
      <c r="CM12" s="193"/>
      <c r="CN12" s="193"/>
      <c r="CO12" s="193"/>
      <c r="CP12" s="193"/>
      <c r="CQ12" s="193"/>
      <c r="CR12" s="193"/>
      <c r="CS12" s="193"/>
      <c r="CT12" s="193"/>
      <c r="CU12" s="193"/>
      <c r="CV12" s="193"/>
      <c r="CW12" s="193"/>
      <c r="CX12" s="193"/>
      <c r="CY12" s="193"/>
      <c r="CZ12" s="193"/>
      <c r="DA12" s="193"/>
      <c r="DB12" s="193"/>
      <c r="DC12" s="193"/>
      <c r="DD12" s="193"/>
      <c r="DE12" s="193"/>
      <c r="DF12" s="193"/>
      <c r="DG12" s="193"/>
      <c r="DH12" s="193"/>
      <c r="DI12" s="193"/>
      <c r="DJ12" s="193"/>
      <c r="DK12" s="193"/>
      <c r="DL12" s="193"/>
      <c r="DM12" s="193"/>
      <c r="DN12" s="193"/>
      <c r="DO12" s="193"/>
      <c r="DP12" s="193"/>
      <c r="DQ12" s="193"/>
      <c r="DR12" s="193"/>
      <c r="DS12" s="193"/>
      <c r="DT12" s="193"/>
      <c r="DU12" s="193"/>
      <c r="DV12" s="193"/>
      <c r="DW12" s="193"/>
      <c r="DX12" s="193"/>
      <c r="DY12" s="193"/>
      <c r="DZ12" s="193"/>
      <c r="EA12" s="193"/>
      <c r="EB12" s="193"/>
      <c r="EC12" s="193"/>
      <c r="ED12" s="193"/>
      <c r="EE12" s="193"/>
      <c r="EF12" s="193"/>
      <c r="EG12" s="193"/>
      <c r="EH12" s="193"/>
      <c r="EI12" s="193"/>
      <c r="EJ12" s="193"/>
      <c r="EK12" s="193"/>
      <c r="EL12" s="193"/>
      <c r="EM12" s="193"/>
      <c r="EN12" s="193"/>
      <c r="EO12" s="193"/>
      <c r="EP12" s="193"/>
      <c r="EQ12" s="193"/>
      <c r="ER12" s="193"/>
      <c r="ES12" s="193"/>
      <c r="ET12" s="193"/>
      <c r="EU12" s="193"/>
      <c r="EV12" s="193"/>
      <c r="EW12" s="193"/>
      <c r="EX12" s="193"/>
      <c r="EY12" s="193"/>
      <c r="EZ12" s="193"/>
      <c r="FA12" s="193"/>
      <c r="FB12" s="193"/>
      <c r="FC12" s="193"/>
      <c r="FD12" s="193"/>
      <c r="FE12" s="193"/>
      <c r="FF12" s="193"/>
      <c r="FG12" s="193"/>
      <c r="FH12" s="193"/>
      <c r="FI12" s="193"/>
      <c r="FJ12" s="193"/>
      <c r="FK12" s="193"/>
      <c r="FL12" s="193"/>
      <c r="FM12" s="193"/>
      <c r="FN12" s="193"/>
      <c r="FO12" s="193"/>
      <c r="FP12" s="193"/>
      <c r="FQ12" s="193"/>
      <c r="FR12" s="193"/>
      <c r="FS12" s="193"/>
      <c r="FT12" s="193"/>
      <c r="FU12" s="193"/>
      <c r="FV12" s="193"/>
      <c r="FW12" s="193"/>
      <c r="FX12" s="193"/>
      <c r="FY12" s="193"/>
      <c r="FZ12" s="193"/>
      <c r="GA12" s="193"/>
      <c r="GB12" s="193"/>
      <c r="GC12" s="193"/>
      <c r="GD12" s="193"/>
      <c r="GE12" s="193"/>
      <c r="GF12" s="193"/>
      <c r="GG12" s="193"/>
      <c r="GH12" s="193"/>
      <c r="GI12" s="193"/>
      <c r="GJ12" s="193"/>
      <c r="GK12" s="193"/>
      <c r="GL12" s="193"/>
      <c r="GM12" s="193"/>
      <c r="GN12" s="193"/>
      <c r="GO12" s="193"/>
      <c r="GP12" s="193"/>
      <c r="GQ12" s="193"/>
      <c r="GR12" s="193"/>
      <c r="GS12" s="193"/>
      <c r="GT12" s="193"/>
      <c r="GU12" s="193"/>
      <c r="GV12" s="193"/>
      <c r="GW12" s="193"/>
      <c r="GX12" s="193"/>
      <c r="GY12" s="193"/>
      <c r="GZ12" s="193"/>
      <c r="HA12" s="193"/>
      <c r="HB12" s="193"/>
      <c r="HC12" s="193"/>
      <c r="HD12" s="193"/>
      <c r="HE12" s="193"/>
      <c r="HF12" s="193"/>
      <c r="HG12" s="193"/>
      <c r="HH12" s="193"/>
      <c r="HI12" s="193"/>
      <c r="HJ12" s="193"/>
      <c r="HK12" s="193"/>
      <c r="HL12" s="193"/>
      <c r="HM12" s="193"/>
      <c r="HN12" s="193"/>
      <c r="HO12" s="193"/>
      <c r="HP12" s="193"/>
      <c r="HQ12" s="193"/>
      <c r="HR12" s="193"/>
      <c r="HS12" s="193"/>
      <c r="HT12" s="193"/>
      <c r="HU12" s="193"/>
      <c r="HV12" s="193"/>
      <c r="HW12" s="193"/>
      <c r="HX12" s="193"/>
      <c r="HY12" s="193"/>
      <c r="HZ12" s="193"/>
      <c r="IA12" s="193"/>
      <c r="IB12" s="193"/>
      <c r="IC12" s="193"/>
      <c r="ID12" s="193"/>
      <c r="IE12" s="193"/>
      <c r="IF12" s="193"/>
      <c r="IG12" s="193"/>
      <c r="IH12" s="193"/>
      <c r="II12" s="193"/>
      <c r="IJ12" s="193"/>
      <c r="IK12" s="193"/>
      <c r="IL12" s="193"/>
      <c r="IM12" s="193"/>
      <c r="IN12" s="193"/>
      <c r="IO12" s="193"/>
      <c r="IP12" s="193"/>
      <c r="IQ12" s="193"/>
    </row>
    <row r="13" spans="1:251" s="2942" customFormat="1" ht="25.5" hidden="1">
      <c r="A13" s="2943">
        <v>2</v>
      </c>
      <c r="B13" s="2944" t="s">
        <v>523</v>
      </c>
      <c r="C13" s="2945"/>
      <c r="D13" s="2946">
        <v>1</v>
      </c>
      <c r="E13" s="2945"/>
      <c r="F13" s="2947"/>
      <c r="G13" s="2948">
        <v>12</v>
      </c>
      <c r="H13" s="2904">
        <f>D13*F13*G13</f>
        <v>0</v>
      </c>
      <c r="I13" s="2948"/>
      <c r="J13" s="2904">
        <f>I13*$Q$4</f>
        <v>0</v>
      </c>
      <c r="K13" s="2948"/>
      <c r="L13" s="2904">
        <f>K13*F13</f>
        <v>0</v>
      </c>
      <c r="M13" s="2904">
        <f>D13*G13*(J13+L13)</f>
        <v>0</v>
      </c>
      <c r="N13" s="2904">
        <f>H13+M13</f>
        <v>0</v>
      </c>
      <c r="O13" s="2948">
        <f t="shared" si="3"/>
        <v>0</v>
      </c>
      <c r="P13" s="2948">
        <f>F13*2</f>
        <v>0</v>
      </c>
      <c r="Q13" s="2904">
        <f>N13+O13+P13</f>
        <v>0</v>
      </c>
      <c r="R13" s="2904">
        <f>Q13*10%</f>
        <v>0</v>
      </c>
      <c r="S13" s="2904">
        <f>(Q13-R13)*10%</f>
        <v>0</v>
      </c>
      <c r="T13" s="2904">
        <f>(Q13-R13)*6%</f>
        <v>0</v>
      </c>
      <c r="U13" s="2904">
        <f>(Q13-R13)*5%</f>
        <v>0</v>
      </c>
      <c r="V13" s="3035">
        <f t="shared" si="2"/>
        <v>0</v>
      </c>
      <c r="W13" s="2904"/>
      <c r="X13" s="2949"/>
      <c r="Y13" s="2949"/>
      <c r="Z13" s="2949"/>
      <c r="AA13" s="2949"/>
      <c r="AB13" s="2949"/>
      <c r="AC13" s="2949"/>
      <c r="AD13" s="2949"/>
      <c r="AE13" s="2949"/>
      <c r="AF13" s="2949"/>
      <c r="AG13" s="2949"/>
      <c r="AH13" s="2949"/>
      <c r="AI13" s="2949"/>
      <c r="AJ13" s="2949"/>
      <c r="AK13" s="2949"/>
      <c r="AL13" s="2949"/>
      <c r="AM13" s="2949"/>
      <c r="AN13" s="2949"/>
      <c r="AO13" s="2949"/>
      <c r="AP13" s="2949"/>
      <c r="AQ13" s="2949"/>
      <c r="AR13" s="2949"/>
      <c r="AS13" s="2949"/>
      <c r="AT13" s="2949"/>
      <c r="AU13" s="2949"/>
      <c r="AV13" s="2949"/>
      <c r="AW13" s="2949"/>
      <c r="AX13" s="2949"/>
      <c r="AY13" s="2949"/>
      <c r="AZ13" s="2949"/>
      <c r="BA13" s="2949"/>
      <c r="BB13" s="2949"/>
      <c r="BC13" s="2949"/>
      <c r="BD13" s="2949"/>
      <c r="BE13" s="2949"/>
      <c r="BF13" s="2949"/>
      <c r="BG13" s="2949"/>
      <c r="BH13" s="2949"/>
      <c r="BI13" s="2949"/>
      <c r="BJ13" s="2949"/>
      <c r="BK13" s="2949"/>
      <c r="BL13" s="2949"/>
      <c r="BM13" s="2949"/>
      <c r="BN13" s="2949"/>
      <c r="BO13" s="2949"/>
      <c r="BP13" s="2949"/>
      <c r="BQ13" s="2949"/>
      <c r="BR13" s="2949"/>
      <c r="BS13" s="2949"/>
      <c r="BT13" s="2949"/>
      <c r="BU13" s="2949"/>
      <c r="BV13" s="2949"/>
      <c r="BW13" s="2949"/>
      <c r="BX13" s="2949"/>
      <c r="BY13" s="2949"/>
      <c r="BZ13" s="2949"/>
      <c r="CA13" s="2949"/>
      <c r="CB13" s="2949"/>
      <c r="CC13" s="2949"/>
      <c r="CD13" s="2949"/>
      <c r="CE13" s="2949"/>
      <c r="CF13" s="2949"/>
      <c r="CG13" s="2949"/>
      <c r="CH13" s="2949"/>
      <c r="CI13" s="2949"/>
      <c r="CJ13" s="2949"/>
      <c r="CK13" s="2949"/>
      <c r="CL13" s="2949"/>
      <c r="CM13" s="2949"/>
      <c r="CN13" s="2949"/>
      <c r="CO13" s="2949"/>
      <c r="CP13" s="2949"/>
      <c r="CQ13" s="2949"/>
      <c r="CR13" s="2949"/>
      <c r="CS13" s="2949"/>
      <c r="CT13" s="2949"/>
      <c r="CU13" s="2949"/>
      <c r="CV13" s="2949"/>
      <c r="CW13" s="2949"/>
      <c r="CX13" s="2949"/>
      <c r="CY13" s="2949"/>
      <c r="CZ13" s="2949"/>
      <c r="DA13" s="2949"/>
      <c r="DB13" s="2949"/>
      <c r="DC13" s="2949"/>
      <c r="DD13" s="2949"/>
      <c r="DE13" s="2949"/>
      <c r="DF13" s="2949"/>
      <c r="DG13" s="2949"/>
      <c r="DH13" s="2949"/>
      <c r="DI13" s="2949"/>
      <c r="DJ13" s="2949"/>
      <c r="DK13" s="2949"/>
      <c r="DL13" s="2949"/>
      <c r="DM13" s="2949"/>
      <c r="DN13" s="2949"/>
      <c r="DO13" s="2949"/>
      <c r="DP13" s="2949"/>
      <c r="DQ13" s="2949"/>
      <c r="DR13" s="2949"/>
      <c r="DS13" s="2949"/>
      <c r="DT13" s="2949"/>
      <c r="DU13" s="2949"/>
      <c r="DV13" s="2949"/>
      <c r="DW13" s="2949"/>
      <c r="DX13" s="2949"/>
      <c r="DY13" s="2949"/>
      <c r="DZ13" s="2949"/>
      <c r="EA13" s="2949"/>
      <c r="EB13" s="2949"/>
      <c r="EC13" s="2949"/>
      <c r="ED13" s="2949"/>
      <c r="EE13" s="2949"/>
      <c r="EF13" s="2949"/>
      <c r="EG13" s="2949"/>
      <c r="EH13" s="2949"/>
      <c r="EI13" s="2949"/>
      <c r="EJ13" s="2949"/>
      <c r="EK13" s="2949"/>
      <c r="EL13" s="2949"/>
      <c r="EM13" s="2949"/>
      <c r="EN13" s="2949"/>
      <c r="EO13" s="2949"/>
      <c r="EP13" s="2949"/>
      <c r="EQ13" s="2949"/>
      <c r="ER13" s="2949"/>
      <c r="ES13" s="2949"/>
      <c r="ET13" s="2949"/>
      <c r="EU13" s="2949"/>
      <c r="EV13" s="2949"/>
      <c r="EW13" s="2949"/>
      <c r="EX13" s="2949"/>
      <c r="EY13" s="2949"/>
      <c r="EZ13" s="2949"/>
      <c r="FA13" s="2949"/>
      <c r="FB13" s="2949"/>
      <c r="FC13" s="2949"/>
      <c r="FD13" s="2949"/>
      <c r="FE13" s="2949"/>
      <c r="FF13" s="2949"/>
      <c r="FG13" s="2949"/>
      <c r="FH13" s="2949"/>
      <c r="FI13" s="2949"/>
      <c r="FJ13" s="2949"/>
      <c r="FK13" s="2949"/>
      <c r="FL13" s="2949"/>
      <c r="FM13" s="2949"/>
      <c r="FN13" s="2949"/>
      <c r="FO13" s="2949"/>
      <c r="FP13" s="2949"/>
      <c r="FQ13" s="2949"/>
      <c r="FR13" s="2949"/>
      <c r="FS13" s="2949"/>
      <c r="FT13" s="2949"/>
      <c r="FU13" s="2949"/>
      <c r="FV13" s="2949"/>
      <c r="FW13" s="2949"/>
      <c r="FX13" s="2949"/>
      <c r="FY13" s="2949"/>
      <c r="FZ13" s="2949"/>
      <c r="GA13" s="2949"/>
      <c r="GB13" s="2949"/>
      <c r="GC13" s="2949"/>
      <c r="GD13" s="2949"/>
      <c r="GE13" s="2949"/>
      <c r="GF13" s="2949"/>
      <c r="GG13" s="2949"/>
      <c r="GH13" s="2949"/>
      <c r="GI13" s="2949"/>
      <c r="GJ13" s="2949"/>
      <c r="GK13" s="2949"/>
      <c r="GL13" s="2949"/>
      <c r="GM13" s="2949"/>
      <c r="GN13" s="2949"/>
      <c r="GO13" s="2949"/>
      <c r="GP13" s="2949"/>
      <c r="GQ13" s="2949"/>
      <c r="GR13" s="2949"/>
      <c r="GS13" s="2949"/>
      <c r="GT13" s="2949"/>
      <c r="GU13" s="2949"/>
      <c r="GV13" s="2949"/>
      <c r="GW13" s="2949"/>
      <c r="GX13" s="2949"/>
      <c r="GY13" s="2949"/>
      <c r="GZ13" s="2949"/>
      <c r="HA13" s="2949"/>
      <c r="HB13" s="2949"/>
      <c r="HC13" s="2949"/>
      <c r="HD13" s="2949"/>
      <c r="HE13" s="2949"/>
      <c r="HF13" s="2949"/>
      <c r="HG13" s="2949"/>
      <c r="HH13" s="2949"/>
      <c r="HI13" s="2949"/>
      <c r="HJ13" s="2949"/>
      <c r="HK13" s="2949"/>
      <c r="HL13" s="2949"/>
      <c r="HM13" s="2949"/>
      <c r="HN13" s="2949"/>
      <c r="HO13" s="2949"/>
      <c r="HP13" s="2949"/>
      <c r="HQ13" s="2949"/>
      <c r="HR13" s="2949"/>
      <c r="HS13" s="2949"/>
      <c r="HT13" s="2949"/>
      <c r="HU13" s="2949"/>
      <c r="HV13" s="2949"/>
      <c r="HW13" s="2949"/>
      <c r="HX13" s="2949"/>
      <c r="HY13" s="2949"/>
      <c r="HZ13" s="2949"/>
      <c r="IA13" s="2949"/>
      <c r="IB13" s="2949"/>
      <c r="IC13" s="2949"/>
      <c r="ID13" s="2949"/>
      <c r="IE13" s="2949"/>
      <c r="IF13" s="2949"/>
      <c r="IG13" s="2949"/>
      <c r="IH13" s="2949"/>
      <c r="II13" s="2949"/>
      <c r="IJ13" s="2949"/>
      <c r="IK13" s="2949"/>
      <c r="IL13" s="2949"/>
      <c r="IM13" s="2949"/>
      <c r="IN13" s="2949"/>
      <c r="IO13" s="2949"/>
      <c r="IP13" s="2949"/>
      <c r="IQ13" s="2949"/>
    </row>
    <row r="14" spans="1:251" hidden="1">
      <c r="A14" s="1026"/>
      <c r="B14" s="1944" t="s">
        <v>977</v>
      </c>
      <c r="C14" s="1955"/>
      <c r="D14" s="2034"/>
      <c r="E14" s="1955"/>
      <c r="F14" s="1946"/>
      <c r="G14" s="1026">
        <v>12</v>
      </c>
      <c r="H14" s="1942">
        <f>D14*F14*G14</f>
        <v>0</v>
      </c>
      <c r="I14" s="1026"/>
      <c r="J14" s="1942">
        <f>I14*$Q$4</f>
        <v>0</v>
      </c>
      <c r="K14" s="1026"/>
      <c r="L14" s="1942">
        <f>K14*F14</f>
        <v>0</v>
      </c>
      <c r="M14" s="1942">
        <f>D14*G14*(J14+L14)</f>
        <v>0</v>
      </c>
      <c r="N14" s="1942">
        <f>H14+M14</f>
        <v>0</v>
      </c>
      <c r="O14" s="1026">
        <f t="shared" si="3"/>
        <v>0</v>
      </c>
      <c r="P14" s="1026">
        <f t="shared" si="4"/>
        <v>0</v>
      </c>
      <c r="Q14" s="1942">
        <f>N14+O14+P14</f>
        <v>0</v>
      </c>
      <c r="R14" s="1942">
        <f>Q14*10%</f>
        <v>0</v>
      </c>
      <c r="S14" s="1942">
        <f>(Q14-R14)*10%</f>
        <v>0</v>
      </c>
      <c r="T14" s="1942">
        <f>(Q14-R14)*6%</f>
        <v>0</v>
      </c>
      <c r="U14" s="1942">
        <f>(Q14-R14)*5%</f>
        <v>0</v>
      </c>
      <c r="V14" s="3035">
        <f t="shared" si="2"/>
        <v>0</v>
      </c>
      <c r="W14" s="1942"/>
      <c r="X14" s="193"/>
      <c r="Y14" s="193"/>
      <c r="Z14" s="193"/>
      <c r="AA14" s="193"/>
      <c r="AB14" s="193"/>
      <c r="AC14" s="193"/>
      <c r="AD14" s="193"/>
      <c r="AE14" s="193"/>
      <c r="AF14" s="193"/>
      <c r="AG14" s="193"/>
      <c r="AH14" s="193"/>
      <c r="AI14" s="193"/>
      <c r="AJ14" s="193"/>
      <c r="AK14" s="193"/>
      <c r="AL14" s="193"/>
      <c r="AM14" s="193"/>
      <c r="AN14" s="193"/>
      <c r="AO14" s="193"/>
      <c r="AP14" s="193"/>
      <c r="AQ14" s="193"/>
      <c r="AR14" s="193"/>
      <c r="AS14" s="193"/>
      <c r="AT14" s="193"/>
      <c r="AU14" s="193"/>
      <c r="AV14" s="193"/>
      <c r="AW14" s="193"/>
      <c r="AX14" s="193"/>
      <c r="AY14" s="193"/>
      <c r="AZ14" s="193"/>
      <c r="BA14" s="193"/>
      <c r="BB14" s="193"/>
      <c r="BC14" s="193"/>
      <c r="BD14" s="193"/>
      <c r="BE14" s="193"/>
      <c r="BF14" s="193"/>
      <c r="BG14" s="193"/>
      <c r="BH14" s="193"/>
      <c r="BI14" s="193"/>
      <c r="BJ14" s="193"/>
      <c r="BK14" s="193"/>
      <c r="BL14" s="193"/>
      <c r="BM14" s="193"/>
      <c r="BN14" s="193"/>
      <c r="BO14" s="193"/>
      <c r="BP14" s="193"/>
      <c r="BQ14" s="193"/>
      <c r="BR14" s="193"/>
      <c r="BS14" s="193"/>
      <c r="BT14" s="193"/>
      <c r="BU14" s="193"/>
      <c r="BV14" s="193"/>
      <c r="BW14" s="193"/>
      <c r="BX14" s="193"/>
      <c r="BY14" s="193"/>
      <c r="BZ14" s="193"/>
      <c r="CA14" s="193"/>
      <c r="CB14" s="193"/>
      <c r="CC14" s="193"/>
      <c r="CD14" s="193"/>
      <c r="CE14" s="193"/>
      <c r="CF14" s="193"/>
      <c r="CG14" s="193"/>
      <c r="CH14" s="193"/>
      <c r="CI14" s="193"/>
      <c r="CJ14" s="193"/>
      <c r="CK14" s="193"/>
      <c r="CL14" s="193"/>
      <c r="CM14" s="193"/>
      <c r="CN14" s="193"/>
      <c r="CO14" s="193"/>
      <c r="CP14" s="193"/>
      <c r="CQ14" s="193"/>
      <c r="CR14" s="193"/>
      <c r="CS14" s="193"/>
      <c r="CT14" s="193"/>
      <c r="CU14" s="193"/>
      <c r="CV14" s="193"/>
      <c r="CW14" s="193"/>
      <c r="CX14" s="193"/>
      <c r="CY14" s="193"/>
      <c r="CZ14" s="193"/>
      <c r="DA14" s="193"/>
      <c r="DB14" s="193"/>
      <c r="DC14" s="193"/>
      <c r="DD14" s="193"/>
      <c r="DE14" s="193"/>
      <c r="DF14" s="193"/>
      <c r="DG14" s="193"/>
      <c r="DH14" s="193"/>
      <c r="DI14" s="193"/>
      <c r="DJ14" s="193"/>
      <c r="DK14" s="193"/>
      <c r="DL14" s="193"/>
      <c r="DM14" s="193"/>
      <c r="DN14" s="193"/>
      <c r="DO14" s="193"/>
      <c r="DP14" s="193"/>
      <c r="DQ14" s="193"/>
      <c r="DR14" s="193"/>
      <c r="DS14" s="193"/>
      <c r="DT14" s="193"/>
      <c r="DU14" s="193"/>
      <c r="DV14" s="193"/>
      <c r="DW14" s="193"/>
      <c r="DX14" s="193"/>
      <c r="DY14" s="193"/>
      <c r="DZ14" s="193"/>
      <c r="EA14" s="193"/>
      <c r="EB14" s="193"/>
      <c r="EC14" s="193"/>
      <c r="ED14" s="193"/>
      <c r="EE14" s="193"/>
      <c r="EF14" s="193"/>
      <c r="EG14" s="193"/>
      <c r="EH14" s="193"/>
      <c r="EI14" s="193"/>
      <c r="EJ14" s="193"/>
      <c r="EK14" s="193"/>
      <c r="EL14" s="193"/>
      <c r="EM14" s="193"/>
      <c r="EN14" s="193"/>
      <c r="EO14" s="193"/>
      <c r="EP14" s="193"/>
      <c r="EQ14" s="193"/>
      <c r="ER14" s="193"/>
      <c r="ES14" s="193"/>
      <c r="ET14" s="193"/>
      <c r="EU14" s="193"/>
      <c r="EV14" s="193"/>
      <c r="EW14" s="193"/>
      <c r="EX14" s="193"/>
      <c r="EY14" s="193"/>
      <c r="EZ14" s="193"/>
      <c r="FA14" s="193"/>
      <c r="FB14" s="193"/>
      <c r="FC14" s="193"/>
      <c r="FD14" s="193"/>
      <c r="FE14" s="193"/>
      <c r="FF14" s="193"/>
      <c r="FG14" s="193"/>
      <c r="FH14" s="193"/>
      <c r="FI14" s="193"/>
      <c r="FJ14" s="193"/>
      <c r="FK14" s="193"/>
      <c r="FL14" s="193"/>
      <c r="FM14" s="193"/>
      <c r="FN14" s="193"/>
      <c r="FO14" s="193"/>
      <c r="FP14" s="193"/>
      <c r="FQ14" s="193"/>
      <c r="FR14" s="193"/>
      <c r="FS14" s="193"/>
      <c r="FT14" s="193"/>
      <c r="FU14" s="193"/>
      <c r="FV14" s="193"/>
      <c r="FW14" s="193"/>
      <c r="FX14" s="193"/>
      <c r="FY14" s="193"/>
      <c r="FZ14" s="193"/>
      <c r="GA14" s="193"/>
      <c r="GB14" s="193"/>
      <c r="GC14" s="193"/>
      <c r="GD14" s="193"/>
      <c r="GE14" s="193"/>
      <c r="GF14" s="193"/>
      <c r="GG14" s="193"/>
      <c r="GH14" s="193"/>
      <c r="GI14" s="193"/>
      <c r="GJ14" s="193"/>
      <c r="GK14" s="193"/>
      <c r="GL14" s="193"/>
      <c r="GM14" s="193"/>
      <c r="GN14" s="193"/>
      <c r="GO14" s="193"/>
      <c r="GP14" s="193"/>
      <c r="GQ14" s="193"/>
      <c r="GR14" s="193"/>
      <c r="GS14" s="193"/>
      <c r="GT14" s="193"/>
      <c r="GU14" s="193"/>
      <c r="GV14" s="193"/>
      <c r="GW14" s="193"/>
      <c r="GX14" s="193"/>
      <c r="GY14" s="193"/>
      <c r="GZ14" s="193"/>
      <c r="HA14" s="193"/>
      <c r="HB14" s="193"/>
      <c r="HC14" s="193"/>
      <c r="HD14" s="193"/>
      <c r="HE14" s="193"/>
      <c r="HF14" s="193"/>
      <c r="HG14" s="193"/>
      <c r="HH14" s="193"/>
      <c r="HI14" s="193"/>
      <c r="HJ14" s="193"/>
      <c r="HK14" s="193"/>
      <c r="HL14" s="193"/>
      <c r="HM14" s="193"/>
      <c r="HN14" s="193"/>
      <c r="HO14" s="193"/>
      <c r="HP14" s="193"/>
      <c r="HQ14" s="193"/>
      <c r="HR14" s="193"/>
      <c r="HS14" s="193"/>
      <c r="HT14" s="193"/>
      <c r="HU14" s="193"/>
      <c r="HV14" s="193"/>
      <c r="HW14" s="193"/>
      <c r="HX14" s="193"/>
      <c r="HY14" s="193"/>
      <c r="HZ14" s="193"/>
      <c r="IA14" s="193"/>
      <c r="IB14" s="193"/>
      <c r="IC14" s="193"/>
      <c r="ID14" s="193"/>
      <c r="IE14" s="193"/>
      <c r="IF14" s="193"/>
      <c r="IG14" s="193"/>
      <c r="IH14" s="193"/>
      <c r="II14" s="193"/>
      <c r="IJ14" s="193"/>
      <c r="IK14" s="193"/>
      <c r="IL14" s="193"/>
      <c r="IM14" s="193"/>
      <c r="IN14" s="193"/>
      <c r="IO14" s="193"/>
      <c r="IP14" s="193"/>
      <c r="IQ14" s="193"/>
    </row>
    <row r="15" spans="1:251" hidden="1">
      <c r="A15" s="1026"/>
      <c r="B15" s="1944" t="s">
        <v>978</v>
      </c>
      <c r="C15" s="1955"/>
      <c r="D15" s="2034"/>
      <c r="E15" s="1955"/>
      <c r="F15" s="1946"/>
      <c r="G15" s="1026">
        <v>12</v>
      </c>
      <c r="H15" s="1942">
        <f t="shared" ref="H15:H32" si="5">D15*F15*G15</f>
        <v>0</v>
      </c>
      <c r="I15" s="1026"/>
      <c r="J15" s="1942">
        <f t="shared" ref="J15:J63" si="6">I15*$Q$4</f>
        <v>0</v>
      </c>
      <c r="K15" s="1026"/>
      <c r="L15" s="1942">
        <f t="shared" ref="L15:L32" si="7">K15*F15</f>
        <v>0</v>
      </c>
      <c r="M15" s="1942">
        <f>D15*G15*(J15+L15)</f>
        <v>0</v>
      </c>
      <c r="N15" s="1942">
        <f t="shared" ref="N15:N32" si="8">H15+M15</f>
        <v>0</v>
      </c>
      <c r="O15" s="1026">
        <f t="shared" si="3"/>
        <v>0</v>
      </c>
      <c r="P15" s="1026">
        <f t="shared" si="4"/>
        <v>0</v>
      </c>
      <c r="Q15" s="1942">
        <f t="shared" ref="Q15:Q32" si="9">N15+O15+P15</f>
        <v>0</v>
      </c>
      <c r="R15" s="1942">
        <f t="shared" ref="R15:R63" si="10">Q15*10%</f>
        <v>0</v>
      </c>
      <c r="S15" s="1942">
        <f t="shared" ref="S15:S32" si="11">(Q15-R15)*10%</f>
        <v>0</v>
      </c>
      <c r="T15" s="1942">
        <f t="shared" ref="T15:T32" si="12">(Q15-R15)*6%</f>
        <v>0</v>
      </c>
      <c r="U15" s="1942">
        <f t="shared" ref="U15:U32" si="13">(Q15-R15)*5%</f>
        <v>0</v>
      </c>
      <c r="V15" s="3035">
        <f t="shared" si="2"/>
        <v>0</v>
      </c>
      <c r="W15" s="1942"/>
      <c r="X15" s="193"/>
      <c r="Y15" s="193"/>
      <c r="Z15" s="193"/>
      <c r="AA15" s="193"/>
      <c r="AB15" s="193"/>
      <c r="AC15" s="193"/>
      <c r="AD15" s="193"/>
      <c r="AE15" s="193"/>
      <c r="AF15" s="193"/>
      <c r="AG15" s="193"/>
      <c r="AH15" s="193"/>
      <c r="AI15" s="193"/>
      <c r="AJ15" s="193"/>
      <c r="AK15" s="193"/>
      <c r="AL15" s="193"/>
      <c r="AM15" s="193"/>
      <c r="AN15" s="193"/>
      <c r="AO15" s="193"/>
      <c r="AP15" s="193"/>
      <c r="AQ15" s="193"/>
      <c r="AR15" s="193"/>
      <c r="AS15" s="193"/>
      <c r="AT15" s="193"/>
      <c r="AU15" s="193"/>
      <c r="AV15" s="193"/>
      <c r="AW15" s="193"/>
      <c r="AX15" s="193"/>
      <c r="AY15" s="193"/>
      <c r="AZ15" s="193"/>
      <c r="BA15" s="193"/>
      <c r="BB15" s="193"/>
      <c r="BC15" s="193"/>
      <c r="BD15" s="193"/>
      <c r="BE15" s="193"/>
      <c r="BF15" s="193"/>
      <c r="BG15" s="193"/>
      <c r="BH15" s="193"/>
      <c r="BI15" s="193"/>
      <c r="BJ15" s="193"/>
      <c r="BK15" s="193"/>
      <c r="BL15" s="193"/>
      <c r="BM15" s="193"/>
      <c r="BN15" s="193"/>
      <c r="BO15" s="193"/>
      <c r="BP15" s="193"/>
      <c r="BQ15" s="193"/>
      <c r="BR15" s="193"/>
      <c r="BS15" s="193"/>
      <c r="BT15" s="193"/>
      <c r="BU15" s="193"/>
      <c r="BV15" s="193"/>
      <c r="BW15" s="193"/>
      <c r="BX15" s="193"/>
      <c r="BY15" s="193"/>
      <c r="BZ15" s="193"/>
      <c r="CA15" s="193"/>
      <c r="CB15" s="193"/>
      <c r="CC15" s="193"/>
      <c r="CD15" s="193"/>
      <c r="CE15" s="193"/>
      <c r="CF15" s="193"/>
      <c r="CG15" s="193"/>
      <c r="CH15" s="193"/>
      <c r="CI15" s="193"/>
      <c r="CJ15" s="193"/>
      <c r="CK15" s="193"/>
      <c r="CL15" s="193"/>
      <c r="CM15" s="193"/>
      <c r="CN15" s="193"/>
      <c r="CO15" s="193"/>
      <c r="CP15" s="193"/>
      <c r="CQ15" s="193"/>
      <c r="CR15" s="193"/>
      <c r="CS15" s="193"/>
      <c r="CT15" s="193"/>
      <c r="CU15" s="193"/>
      <c r="CV15" s="193"/>
      <c r="CW15" s="193"/>
      <c r="CX15" s="193"/>
      <c r="CY15" s="193"/>
      <c r="CZ15" s="193"/>
      <c r="DA15" s="193"/>
      <c r="DB15" s="193"/>
      <c r="DC15" s="193"/>
      <c r="DD15" s="193"/>
      <c r="DE15" s="193"/>
      <c r="DF15" s="193"/>
      <c r="DG15" s="193"/>
      <c r="DH15" s="193"/>
      <c r="DI15" s="193"/>
      <c r="DJ15" s="193"/>
      <c r="DK15" s="193"/>
      <c r="DL15" s="193"/>
      <c r="DM15" s="193"/>
      <c r="DN15" s="193"/>
      <c r="DO15" s="193"/>
      <c r="DP15" s="193"/>
      <c r="DQ15" s="193"/>
      <c r="DR15" s="193"/>
      <c r="DS15" s="193"/>
      <c r="DT15" s="193"/>
      <c r="DU15" s="193"/>
      <c r="DV15" s="193"/>
      <c r="DW15" s="193"/>
      <c r="DX15" s="193"/>
      <c r="DY15" s="193"/>
      <c r="DZ15" s="193"/>
      <c r="EA15" s="193"/>
      <c r="EB15" s="193"/>
      <c r="EC15" s="193"/>
      <c r="ED15" s="193"/>
      <c r="EE15" s="193"/>
      <c r="EF15" s="193"/>
      <c r="EG15" s="193"/>
      <c r="EH15" s="193"/>
      <c r="EI15" s="193"/>
      <c r="EJ15" s="193"/>
      <c r="EK15" s="193"/>
      <c r="EL15" s="193"/>
      <c r="EM15" s="193"/>
      <c r="EN15" s="193"/>
      <c r="EO15" s="193"/>
      <c r="EP15" s="193"/>
      <c r="EQ15" s="193"/>
      <c r="ER15" s="193"/>
      <c r="ES15" s="193"/>
      <c r="ET15" s="193"/>
      <c r="EU15" s="193"/>
      <c r="EV15" s="193"/>
      <c r="EW15" s="193"/>
      <c r="EX15" s="193"/>
      <c r="EY15" s="193"/>
      <c r="EZ15" s="193"/>
      <c r="FA15" s="193"/>
      <c r="FB15" s="193"/>
      <c r="FC15" s="193"/>
      <c r="FD15" s="193"/>
      <c r="FE15" s="193"/>
      <c r="FF15" s="193"/>
      <c r="FG15" s="193"/>
      <c r="FH15" s="193"/>
      <c r="FI15" s="193"/>
      <c r="FJ15" s="193"/>
      <c r="FK15" s="193"/>
      <c r="FL15" s="193"/>
      <c r="FM15" s="193"/>
      <c r="FN15" s="193"/>
      <c r="FO15" s="193"/>
      <c r="FP15" s="193"/>
      <c r="FQ15" s="193"/>
      <c r="FR15" s="193"/>
      <c r="FS15" s="193"/>
      <c r="FT15" s="193"/>
      <c r="FU15" s="193"/>
      <c r="FV15" s="193"/>
      <c r="FW15" s="193"/>
      <c r="FX15" s="193"/>
      <c r="FY15" s="193"/>
      <c r="FZ15" s="193"/>
      <c r="GA15" s="193"/>
      <c r="GB15" s="193"/>
      <c r="GC15" s="193"/>
      <c r="GD15" s="193"/>
      <c r="GE15" s="193"/>
      <c r="GF15" s="193"/>
      <c r="GG15" s="193"/>
      <c r="GH15" s="193"/>
      <c r="GI15" s="193"/>
      <c r="GJ15" s="193"/>
      <c r="GK15" s="193"/>
      <c r="GL15" s="193"/>
      <c r="GM15" s="193"/>
      <c r="GN15" s="193"/>
      <c r="GO15" s="193"/>
      <c r="GP15" s="193"/>
      <c r="GQ15" s="193"/>
      <c r="GR15" s="193"/>
      <c r="GS15" s="193"/>
      <c r="GT15" s="193"/>
      <c r="GU15" s="193"/>
      <c r="GV15" s="193"/>
      <c r="GW15" s="193"/>
      <c r="GX15" s="193"/>
      <c r="GY15" s="193"/>
      <c r="GZ15" s="193"/>
      <c r="HA15" s="193"/>
      <c r="HB15" s="193"/>
      <c r="HC15" s="193"/>
      <c r="HD15" s="193"/>
      <c r="HE15" s="193"/>
      <c r="HF15" s="193"/>
      <c r="HG15" s="193"/>
      <c r="HH15" s="193"/>
      <c r="HI15" s="193"/>
      <c r="HJ15" s="193"/>
      <c r="HK15" s="193"/>
      <c r="HL15" s="193"/>
      <c r="HM15" s="193"/>
      <c r="HN15" s="193"/>
      <c r="HO15" s="193"/>
      <c r="HP15" s="193"/>
      <c r="HQ15" s="193"/>
      <c r="HR15" s="193"/>
      <c r="HS15" s="193"/>
      <c r="HT15" s="193"/>
      <c r="HU15" s="193"/>
      <c r="HV15" s="193"/>
      <c r="HW15" s="193"/>
      <c r="HX15" s="193"/>
      <c r="HY15" s="193"/>
      <c r="HZ15" s="193"/>
      <c r="IA15" s="193"/>
      <c r="IB15" s="193"/>
      <c r="IC15" s="193"/>
      <c r="ID15" s="193"/>
      <c r="IE15" s="193"/>
      <c r="IF15" s="193"/>
      <c r="IG15" s="193"/>
      <c r="IH15" s="193"/>
      <c r="II15" s="193"/>
      <c r="IJ15" s="193"/>
      <c r="IK15" s="193"/>
      <c r="IL15" s="193"/>
      <c r="IM15" s="193"/>
      <c r="IN15" s="193"/>
      <c r="IO15" s="193"/>
      <c r="IP15" s="193"/>
      <c r="IQ15" s="193"/>
    </row>
    <row r="16" spans="1:251" hidden="1">
      <c r="A16" s="1026"/>
      <c r="B16" s="1944" t="s">
        <v>524</v>
      </c>
      <c r="C16" s="1955"/>
      <c r="D16" s="2034"/>
      <c r="E16" s="1955"/>
      <c r="F16" s="1946"/>
      <c r="G16" s="1026">
        <v>12</v>
      </c>
      <c r="H16" s="1942">
        <f>D16*F16*G16</f>
        <v>0</v>
      </c>
      <c r="I16" s="1026"/>
      <c r="J16" s="1942">
        <f t="shared" si="6"/>
        <v>0</v>
      </c>
      <c r="K16" s="1026"/>
      <c r="L16" s="1942">
        <f t="shared" si="7"/>
        <v>0</v>
      </c>
      <c r="M16" s="1942">
        <f t="shared" ref="M16:M32" si="14">D16*G16*(J16+L16)</f>
        <v>0</v>
      </c>
      <c r="N16" s="1942">
        <f>H16+M16</f>
        <v>0</v>
      </c>
      <c r="O16" s="1026">
        <f t="shared" si="3"/>
        <v>0</v>
      </c>
      <c r="P16" s="1026">
        <f t="shared" si="4"/>
        <v>0</v>
      </c>
      <c r="Q16" s="1942">
        <f t="shared" si="9"/>
        <v>0</v>
      </c>
      <c r="R16" s="1942">
        <f t="shared" si="10"/>
        <v>0</v>
      </c>
      <c r="S16" s="1942">
        <f t="shared" si="11"/>
        <v>0</v>
      </c>
      <c r="T16" s="1942">
        <f t="shared" si="12"/>
        <v>0</v>
      </c>
      <c r="U16" s="1942">
        <f t="shared" si="13"/>
        <v>0</v>
      </c>
      <c r="V16" s="3035">
        <f t="shared" si="2"/>
        <v>0</v>
      </c>
      <c r="W16" s="1942"/>
      <c r="X16" s="193"/>
      <c r="Y16" s="193"/>
      <c r="Z16" s="193"/>
      <c r="AA16" s="193"/>
      <c r="AB16" s="193"/>
      <c r="AC16" s="193"/>
      <c r="AD16" s="193"/>
      <c r="AE16" s="193"/>
      <c r="AF16" s="193"/>
      <c r="AG16" s="193"/>
      <c r="AH16" s="193"/>
      <c r="AI16" s="193"/>
      <c r="AJ16" s="193"/>
      <c r="AK16" s="193"/>
      <c r="AL16" s="193"/>
      <c r="AM16" s="193"/>
      <c r="AN16" s="193"/>
      <c r="AO16" s="193"/>
      <c r="AP16" s="193"/>
      <c r="AQ16" s="193"/>
      <c r="AR16" s="193"/>
      <c r="AS16" s="193"/>
      <c r="AT16" s="193"/>
      <c r="AU16" s="193"/>
      <c r="AV16" s="193"/>
      <c r="AW16" s="193"/>
      <c r="AX16" s="193"/>
      <c r="AY16" s="193"/>
      <c r="AZ16" s="193"/>
      <c r="BA16" s="193"/>
      <c r="BB16" s="193"/>
      <c r="BC16" s="193"/>
      <c r="BD16" s="193"/>
      <c r="BE16" s="193"/>
      <c r="BF16" s="193"/>
      <c r="BG16" s="193"/>
      <c r="BH16" s="193"/>
      <c r="BI16" s="193"/>
      <c r="BJ16" s="193"/>
      <c r="BK16" s="193"/>
      <c r="BL16" s="193"/>
      <c r="BM16" s="193"/>
      <c r="BN16" s="193"/>
      <c r="BO16" s="193"/>
      <c r="BP16" s="193"/>
      <c r="BQ16" s="193"/>
      <c r="BR16" s="193"/>
      <c r="BS16" s="193"/>
      <c r="BT16" s="193"/>
      <c r="BU16" s="193"/>
      <c r="BV16" s="193"/>
      <c r="BW16" s="193"/>
      <c r="BX16" s="193"/>
      <c r="BY16" s="193"/>
      <c r="BZ16" s="193"/>
      <c r="CA16" s="193"/>
      <c r="CB16" s="193"/>
      <c r="CC16" s="193"/>
      <c r="CD16" s="193"/>
      <c r="CE16" s="193"/>
      <c r="CF16" s="193"/>
      <c r="CG16" s="193"/>
      <c r="CH16" s="193"/>
      <c r="CI16" s="193"/>
      <c r="CJ16" s="193"/>
      <c r="CK16" s="193"/>
      <c r="CL16" s="193"/>
      <c r="CM16" s="193"/>
      <c r="CN16" s="193"/>
      <c r="CO16" s="193"/>
      <c r="CP16" s="193"/>
      <c r="CQ16" s="193"/>
      <c r="CR16" s="193"/>
      <c r="CS16" s="193"/>
      <c r="CT16" s="193"/>
      <c r="CU16" s="193"/>
      <c r="CV16" s="193"/>
      <c r="CW16" s="193"/>
      <c r="CX16" s="193"/>
      <c r="CY16" s="193"/>
      <c r="CZ16" s="193"/>
      <c r="DA16" s="193"/>
      <c r="DB16" s="193"/>
      <c r="DC16" s="193"/>
      <c r="DD16" s="193"/>
      <c r="DE16" s="193"/>
      <c r="DF16" s="193"/>
      <c r="DG16" s="193"/>
      <c r="DH16" s="193"/>
      <c r="DI16" s="193"/>
      <c r="DJ16" s="193"/>
      <c r="DK16" s="193"/>
      <c r="DL16" s="193"/>
      <c r="DM16" s="193"/>
      <c r="DN16" s="193"/>
      <c r="DO16" s="193"/>
      <c r="DP16" s="193"/>
      <c r="DQ16" s="193"/>
      <c r="DR16" s="193"/>
      <c r="DS16" s="193"/>
      <c r="DT16" s="193"/>
      <c r="DU16" s="193"/>
      <c r="DV16" s="193"/>
      <c r="DW16" s="193"/>
      <c r="DX16" s="193"/>
      <c r="DY16" s="193"/>
      <c r="DZ16" s="193"/>
      <c r="EA16" s="193"/>
      <c r="EB16" s="193"/>
      <c r="EC16" s="193"/>
      <c r="ED16" s="193"/>
      <c r="EE16" s="193"/>
      <c r="EF16" s="193"/>
      <c r="EG16" s="193"/>
      <c r="EH16" s="193"/>
      <c r="EI16" s="193"/>
      <c r="EJ16" s="193"/>
      <c r="EK16" s="193"/>
      <c r="EL16" s="193"/>
      <c r="EM16" s="193"/>
      <c r="EN16" s="193"/>
      <c r="EO16" s="193"/>
      <c r="EP16" s="193"/>
      <c r="EQ16" s="193"/>
      <c r="ER16" s="193"/>
      <c r="ES16" s="193"/>
      <c r="ET16" s="193"/>
      <c r="EU16" s="193"/>
      <c r="EV16" s="193"/>
      <c r="EW16" s="193"/>
      <c r="EX16" s="193"/>
      <c r="EY16" s="193"/>
      <c r="EZ16" s="193"/>
      <c r="FA16" s="193"/>
      <c r="FB16" s="193"/>
      <c r="FC16" s="193"/>
      <c r="FD16" s="193"/>
      <c r="FE16" s="193"/>
      <c r="FF16" s="193"/>
      <c r="FG16" s="193"/>
      <c r="FH16" s="193"/>
      <c r="FI16" s="193"/>
      <c r="FJ16" s="193"/>
      <c r="FK16" s="193"/>
      <c r="FL16" s="193"/>
      <c r="FM16" s="193"/>
      <c r="FN16" s="193"/>
      <c r="FO16" s="193"/>
      <c r="FP16" s="193"/>
      <c r="FQ16" s="193"/>
      <c r="FR16" s="193"/>
      <c r="FS16" s="193"/>
      <c r="FT16" s="193"/>
      <c r="FU16" s="193"/>
      <c r="FV16" s="193"/>
      <c r="FW16" s="193"/>
      <c r="FX16" s="193"/>
      <c r="FY16" s="193"/>
      <c r="FZ16" s="193"/>
      <c r="GA16" s="193"/>
      <c r="GB16" s="193"/>
      <c r="GC16" s="193"/>
      <c r="GD16" s="193"/>
      <c r="GE16" s="193"/>
      <c r="GF16" s="193"/>
      <c r="GG16" s="193"/>
      <c r="GH16" s="193"/>
      <c r="GI16" s="193"/>
      <c r="GJ16" s="193"/>
      <c r="GK16" s="193"/>
      <c r="GL16" s="193"/>
      <c r="GM16" s="193"/>
      <c r="GN16" s="193"/>
      <c r="GO16" s="193"/>
      <c r="GP16" s="193"/>
      <c r="GQ16" s="193"/>
      <c r="GR16" s="193"/>
      <c r="GS16" s="193"/>
      <c r="GT16" s="193"/>
      <c r="GU16" s="193"/>
      <c r="GV16" s="193"/>
      <c r="GW16" s="193"/>
      <c r="GX16" s="193"/>
      <c r="GY16" s="193"/>
      <c r="GZ16" s="193"/>
      <c r="HA16" s="193"/>
      <c r="HB16" s="193"/>
      <c r="HC16" s="193"/>
      <c r="HD16" s="193"/>
      <c r="HE16" s="193"/>
      <c r="HF16" s="193"/>
      <c r="HG16" s="193"/>
      <c r="HH16" s="193"/>
      <c r="HI16" s="193"/>
      <c r="HJ16" s="193"/>
      <c r="HK16" s="193"/>
      <c r="HL16" s="193"/>
      <c r="HM16" s="193"/>
      <c r="HN16" s="193"/>
      <c r="HO16" s="193"/>
      <c r="HP16" s="193"/>
      <c r="HQ16" s="193"/>
      <c r="HR16" s="193"/>
      <c r="HS16" s="193"/>
      <c r="HT16" s="193"/>
      <c r="HU16" s="193"/>
      <c r="HV16" s="193"/>
      <c r="HW16" s="193"/>
      <c r="HX16" s="193"/>
      <c r="HY16" s="193"/>
      <c r="HZ16" s="193"/>
      <c r="IA16" s="193"/>
      <c r="IB16" s="193"/>
      <c r="IC16" s="193"/>
      <c r="ID16" s="193"/>
      <c r="IE16" s="193"/>
      <c r="IF16" s="193"/>
      <c r="IG16" s="193"/>
      <c r="IH16" s="193"/>
      <c r="II16" s="193"/>
      <c r="IJ16" s="193"/>
      <c r="IK16" s="193"/>
      <c r="IL16" s="193"/>
      <c r="IM16" s="193"/>
      <c r="IN16" s="193"/>
      <c r="IO16" s="193"/>
      <c r="IP16" s="193"/>
      <c r="IQ16" s="193"/>
    </row>
    <row r="17" spans="1:251" hidden="1">
      <c r="A17" s="1026"/>
      <c r="B17" s="1955"/>
      <c r="C17" s="1955"/>
      <c r="D17" s="2034"/>
      <c r="E17" s="1955"/>
      <c r="F17" s="1942">
        <f t="shared" ref="F17:F63" si="15">ROUNDUP((E17*$Q$5),-3)</f>
        <v>0</v>
      </c>
      <c r="G17" s="1026"/>
      <c r="H17" s="1942">
        <f t="shared" si="5"/>
        <v>0</v>
      </c>
      <c r="I17" s="1026"/>
      <c r="J17" s="1942">
        <f t="shared" si="6"/>
        <v>0</v>
      </c>
      <c r="K17" s="1026"/>
      <c r="L17" s="1942">
        <f t="shared" si="7"/>
        <v>0</v>
      </c>
      <c r="M17" s="1942">
        <f t="shared" si="14"/>
        <v>0</v>
      </c>
      <c r="N17" s="1942">
        <f t="shared" si="8"/>
        <v>0</v>
      </c>
      <c r="O17" s="1026"/>
      <c r="P17" s="1026"/>
      <c r="Q17" s="1942">
        <f t="shared" si="9"/>
        <v>0</v>
      </c>
      <c r="R17" s="1942">
        <f t="shared" si="10"/>
        <v>0</v>
      </c>
      <c r="S17" s="1942">
        <f t="shared" si="11"/>
        <v>0</v>
      </c>
      <c r="T17" s="1942">
        <f t="shared" si="12"/>
        <v>0</v>
      </c>
      <c r="U17" s="1942">
        <f t="shared" si="13"/>
        <v>0</v>
      </c>
      <c r="V17" s="3035">
        <f t="shared" si="2"/>
        <v>0</v>
      </c>
      <c r="W17" s="1942"/>
      <c r="X17" s="193"/>
      <c r="Y17" s="193"/>
      <c r="Z17" s="193"/>
      <c r="AA17" s="193"/>
      <c r="AB17" s="193"/>
      <c r="AC17" s="193"/>
      <c r="AD17" s="193"/>
      <c r="AE17" s="193"/>
      <c r="AF17" s="193"/>
      <c r="AG17" s="193"/>
      <c r="AH17" s="193"/>
      <c r="AI17" s="193"/>
      <c r="AJ17" s="193"/>
      <c r="AK17" s="193"/>
      <c r="AL17" s="193"/>
      <c r="AM17" s="193"/>
      <c r="AN17" s="193"/>
      <c r="AO17" s="193"/>
      <c r="AP17" s="193"/>
      <c r="AQ17" s="193"/>
      <c r="AR17" s="193"/>
      <c r="AS17" s="193"/>
      <c r="AT17" s="193"/>
      <c r="AU17" s="193"/>
      <c r="AV17" s="193"/>
      <c r="AW17" s="193"/>
      <c r="AX17" s="193"/>
      <c r="AY17" s="193"/>
      <c r="AZ17" s="193"/>
      <c r="BA17" s="193"/>
      <c r="BB17" s="193"/>
      <c r="BC17" s="193"/>
      <c r="BD17" s="193"/>
      <c r="BE17" s="193"/>
      <c r="BF17" s="193"/>
      <c r="BG17" s="193"/>
      <c r="BH17" s="193"/>
      <c r="BI17" s="193"/>
      <c r="BJ17" s="193"/>
      <c r="BK17" s="193"/>
      <c r="BL17" s="193"/>
      <c r="BM17" s="193"/>
      <c r="BN17" s="193"/>
      <c r="BO17" s="193"/>
      <c r="BP17" s="193"/>
      <c r="BQ17" s="193"/>
      <c r="BR17" s="193"/>
      <c r="BS17" s="193"/>
      <c r="BT17" s="193"/>
      <c r="BU17" s="193"/>
      <c r="BV17" s="193"/>
      <c r="BW17" s="193"/>
      <c r="BX17" s="193"/>
      <c r="BY17" s="193"/>
      <c r="BZ17" s="193"/>
      <c r="CA17" s="193"/>
      <c r="CB17" s="193"/>
      <c r="CC17" s="193"/>
      <c r="CD17" s="193"/>
      <c r="CE17" s="193"/>
      <c r="CF17" s="193"/>
      <c r="CG17" s="193"/>
      <c r="CH17" s="193"/>
      <c r="CI17" s="193"/>
      <c r="CJ17" s="193"/>
      <c r="CK17" s="193"/>
      <c r="CL17" s="193"/>
      <c r="CM17" s="193"/>
      <c r="CN17" s="193"/>
      <c r="CO17" s="193"/>
      <c r="CP17" s="193"/>
      <c r="CQ17" s="193"/>
      <c r="CR17" s="193"/>
      <c r="CS17" s="193"/>
      <c r="CT17" s="193"/>
      <c r="CU17" s="193"/>
      <c r="CV17" s="193"/>
      <c r="CW17" s="193"/>
      <c r="CX17" s="193"/>
      <c r="CY17" s="193"/>
      <c r="CZ17" s="193"/>
      <c r="DA17" s="193"/>
      <c r="DB17" s="193"/>
      <c r="DC17" s="193"/>
      <c r="DD17" s="193"/>
      <c r="DE17" s="193"/>
      <c r="DF17" s="193"/>
      <c r="DG17" s="193"/>
      <c r="DH17" s="193"/>
      <c r="DI17" s="193"/>
      <c r="DJ17" s="193"/>
      <c r="DK17" s="193"/>
      <c r="DL17" s="193"/>
      <c r="DM17" s="193"/>
      <c r="DN17" s="193"/>
      <c r="DO17" s="193"/>
      <c r="DP17" s="193"/>
      <c r="DQ17" s="193"/>
      <c r="DR17" s="193"/>
      <c r="DS17" s="193"/>
      <c r="DT17" s="193"/>
      <c r="DU17" s="193"/>
      <c r="DV17" s="193"/>
      <c r="DW17" s="193"/>
      <c r="DX17" s="193"/>
      <c r="DY17" s="193"/>
      <c r="DZ17" s="193"/>
      <c r="EA17" s="193"/>
      <c r="EB17" s="193"/>
      <c r="EC17" s="193"/>
      <c r="ED17" s="193"/>
      <c r="EE17" s="193"/>
      <c r="EF17" s="193"/>
      <c r="EG17" s="193"/>
      <c r="EH17" s="193"/>
      <c r="EI17" s="193"/>
      <c r="EJ17" s="193"/>
      <c r="EK17" s="193"/>
      <c r="EL17" s="193"/>
      <c r="EM17" s="193"/>
      <c r="EN17" s="193"/>
      <c r="EO17" s="193"/>
      <c r="EP17" s="193"/>
      <c r="EQ17" s="193"/>
      <c r="ER17" s="193"/>
      <c r="ES17" s="193"/>
      <c r="ET17" s="193"/>
      <c r="EU17" s="193"/>
      <c r="EV17" s="193"/>
      <c r="EW17" s="193"/>
      <c r="EX17" s="193"/>
      <c r="EY17" s="193"/>
      <c r="EZ17" s="193"/>
      <c r="FA17" s="193"/>
      <c r="FB17" s="193"/>
      <c r="FC17" s="193"/>
      <c r="FD17" s="193"/>
      <c r="FE17" s="193"/>
      <c r="FF17" s="193"/>
      <c r="FG17" s="193"/>
      <c r="FH17" s="193"/>
      <c r="FI17" s="193"/>
      <c r="FJ17" s="193"/>
      <c r="FK17" s="193"/>
      <c r="FL17" s="193"/>
      <c r="FM17" s="193"/>
      <c r="FN17" s="193"/>
      <c r="FO17" s="193"/>
      <c r="FP17" s="193"/>
      <c r="FQ17" s="193"/>
      <c r="FR17" s="193"/>
      <c r="FS17" s="193"/>
      <c r="FT17" s="193"/>
      <c r="FU17" s="193"/>
      <c r="FV17" s="193"/>
      <c r="FW17" s="193"/>
      <c r="FX17" s="193"/>
      <c r="FY17" s="193"/>
      <c r="FZ17" s="193"/>
      <c r="GA17" s="193"/>
      <c r="GB17" s="193"/>
      <c r="GC17" s="193"/>
      <c r="GD17" s="193"/>
      <c r="GE17" s="193"/>
      <c r="GF17" s="193"/>
      <c r="GG17" s="193"/>
      <c r="GH17" s="193"/>
      <c r="GI17" s="193"/>
      <c r="GJ17" s="193"/>
      <c r="GK17" s="193"/>
      <c r="GL17" s="193"/>
      <c r="GM17" s="193"/>
      <c r="GN17" s="193"/>
      <c r="GO17" s="193"/>
      <c r="GP17" s="193"/>
      <c r="GQ17" s="193"/>
      <c r="GR17" s="193"/>
      <c r="GS17" s="193"/>
      <c r="GT17" s="193"/>
      <c r="GU17" s="193"/>
      <c r="GV17" s="193"/>
      <c r="GW17" s="193"/>
      <c r="GX17" s="193"/>
      <c r="GY17" s="193"/>
      <c r="GZ17" s="193"/>
      <c r="HA17" s="193"/>
      <c r="HB17" s="193"/>
      <c r="HC17" s="193"/>
      <c r="HD17" s="193"/>
      <c r="HE17" s="193"/>
      <c r="HF17" s="193"/>
      <c r="HG17" s="193"/>
      <c r="HH17" s="193"/>
      <c r="HI17" s="193"/>
      <c r="HJ17" s="193"/>
      <c r="HK17" s="193"/>
      <c r="HL17" s="193"/>
      <c r="HM17" s="193"/>
      <c r="HN17" s="193"/>
      <c r="HO17" s="193"/>
      <c r="HP17" s="193"/>
      <c r="HQ17" s="193"/>
      <c r="HR17" s="193"/>
      <c r="HS17" s="193"/>
      <c r="HT17" s="193"/>
      <c r="HU17" s="193"/>
      <c r="HV17" s="193"/>
      <c r="HW17" s="193"/>
      <c r="HX17" s="193"/>
      <c r="HY17" s="193"/>
      <c r="HZ17" s="193"/>
      <c r="IA17" s="193"/>
      <c r="IB17" s="193"/>
      <c r="IC17" s="193"/>
      <c r="ID17" s="193"/>
      <c r="IE17" s="193"/>
      <c r="IF17" s="193"/>
      <c r="IG17" s="193"/>
      <c r="IH17" s="193"/>
      <c r="II17" s="193"/>
      <c r="IJ17" s="193"/>
      <c r="IK17" s="193"/>
      <c r="IL17" s="193"/>
      <c r="IM17" s="193"/>
      <c r="IN17" s="193"/>
      <c r="IO17" s="193"/>
      <c r="IP17" s="193"/>
      <c r="IQ17" s="193"/>
    </row>
    <row r="18" spans="1:251" hidden="1">
      <c r="A18" s="1026"/>
      <c r="B18" s="1955"/>
      <c r="C18" s="1955"/>
      <c r="D18" s="2034"/>
      <c r="E18" s="1955"/>
      <c r="F18" s="1942">
        <f t="shared" si="15"/>
        <v>0</v>
      </c>
      <c r="G18" s="1026"/>
      <c r="H18" s="1942">
        <f t="shared" si="5"/>
        <v>0</v>
      </c>
      <c r="I18" s="1026"/>
      <c r="J18" s="1942">
        <f t="shared" si="6"/>
        <v>0</v>
      </c>
      <c r="K18" s="1026"/>
      <c r="L18" s="1942">
        <f t="shared" si="7"/>
        <v>0</v>
      </c>
      <c r="M18" s="1942">
        <f t="shared" si="14"/>
        <v>0</v>
      </c>
      <c r="N18" s="1942">
        <f t="shared" si="8"/>
        <v>0</v>
      </c>
      <c r="O18" s="1026"/>
      <c r="P18" s="1026"/>
      <c r="Q18" s="1942">
        <f t="shared" si="9"/>
        <v>0</v>
      </c>
      <c r="R18" s="1942">
        <f t="shared" si="10"/>
        <v>0</v>
      </c>
      <c r="S18" s="1942">
        <f t="shared" si="11"/>
        <v>0</v>
      </c>
      <c r="T18" s="1942">
        <f t="shared" si="12"/>
        <v>0</v>
      </c>
      <c r="U18" s="1942">
        <f t="shared" si="13"/>
        <v>0</v>
      </c>
      <c r="V18" s="3035">
        <f t="shared" si="2"/>
        <v>0</v>
      </c>
      <c r="W18" s="1942"/>
      <c r="X18" s="193"/>
      <c r="Y18" s="193"/>
      <c r="Z18" s="193"/>
      <c r="AA18" s="193"/>
      <c r="AB18" s="193"/>
      <c r="AC18" s="193"/>
      <c r="AD18" s="193"/>
      <c r="AE18" s="193"/>
      <c r="AF18" s="193"/>
      <c r="AG18" s="193"/>
      <c r="AH18" s="193"/>
      <c r="AI18" s="193"/>
      <c r="AJ18" s="193"/>
      <c r="AK18" s="193"/>
      <c r="AL18" s="193"/>
      <c r="AM18" s="193"/>
      <c r="AN18" s="193"/>
      <c r="AO18" s="193"/>
      <c r="AP18" s="193"/>
      <c r="AQ18" s="193"/>
      <c r="AR18" s="193"/>
      <c r="AS18" s="193"/>
      <c r="AT18" s="193"/>
      <c r="AU18" s="193"/>
      <c r="AV18" s="193"/>
      <c r="AW18" s="193"/>
      <c r="AX18" s="193"/>
      <c r="AY18" s="193"/>
      <c r="AZ18" s="193"/>
      <c r="BA18" s="193"/>
      <c r="BB18" s="193"/>
      <c r="BC18" s="193"/>
      <c r="BD18" s="193"/>
      <c r="BE18" s="193"/>
      <c r="BF18" s="193"/>
      <c r="BG18" s="193"/>
      <c r="BH18" s="193"/>
      <c r="BI18" s="193"/>
      <c r="BJ18" s="193"/>
      <c r="BK18" s="193"/>
      <c r="BL18" s="193"/>
      <c r="BM18" s="193"/>
      <c r="BN18" s="193"/>
      <c r="BO18" s="193"/>
      <c r="BP18" s="193"/>
      <c r="BQ18" s="193"/>
      <c r="BR18" s="193"/>
      <c r="BS18" s="193"/>
      <c r="BT18" s="193"/>
      <c r="BU18" s="193"/>
      <c r="BV18" s="193"/>
      <c r="BW18" s="193"/>
      <c r="BX18" s="193"/>
      <c r="BY18" s="193"/>
      <c r="BZ18" s="193"/>
      <c r="CA18" s="193"/>
      <c r="CB18" s="193"/>
      <c r="CC18" s="193"/>
      <c r="CD18" s="193"/>
      <c r="CE18" s="193"/>
      <c r="CF18" s="193"/>
      <c r="CG18" s="193"/>
      <c r="CH18" s="193"/>
      <c r="CI18" s="193"/>
      <c r="CJ18" s="193"/>
      <c r="CK18" s="193"/>
      <c r="CL18" s="193"/>
      <c r="CM18" s="193"/>
      <c r="CN18" s="193"/>
      <c r="CO18" s="193"/>
      <c r="CP18" s="193"/>
      <c r="CQ18" s="193"/>
      <c r="CR18" s="193"/>
      <c r="CS18" s="193"/>
      <c r="CT18" s="193"/>
      <c r="CU18" s="193"/>
      <c r="CV18" s="193"/>
      <c r="CW18" s="193"/>
      <c r="CX18" s="193"/>
      <c r="CY18" s="193"/>
      <c r="CZ18" s="193"/>
      <c r="DA18" s="193"/>
      <c r="DB18" s="193"/>
      <c r="DC18" s="193"/>
      <c r="DD18" s="193"/>
      <c r="DE18" s="193"/>
      <c r="DF18" s="193"/>
      <c r="DG18" s="193"/>
      <c r="DH18" s="193"/>
      <c r="DI18" s="193"/>
      <c r="DJ18" s="193"/>
      <c r="DK18" s="193"/>
      <c r="DL18" s="193"/>
      <c r="DM18" s="193"/>
      <c r="DN18" s="193"/>
      <c r="DO18" s="193"/>
      <c r="DP18" s="193"/>
      <c r="DQ18" s="193"/>
      <c r="DR18" s="193"/>
      <c r="DS18" s="193"/>
      <c r="DT18" s="193"/>
      <c r="DU18" s="193"/>
      <c r="DV18" s="193"/>
      <c r="DW18" s="193"/>
      <c r="DX18" s="193"/>
      <c r="DY18" s="193"/>
      <c r="DZ18" s="193"/>
      <c r="EA18" s="193"/>
      <c r="EB18" s="193"/>
      <c r="EC18" s="193"/>
      <c r="ED18" s="193"/>
      <c r="EE18" s="193"/>
      <c r="EF18" s="193"/>
      <c r="EG18" s="193"/>
      <c r="EH18" s="193"/>
      <c r="EI18" s="193"/>
      <c r="EJ18" s="193"/>
      <c r="EK18" s="193"/>
      <c r="EL18" s="193"/>
      <c r="EM18" s="193"/>
      <c r="EN18" s="193"/>
      <c r="EO18" s="193"/>
      <c r="EP18" s="193"/>
      <c r="EQ18" s="193"/>
      <c r="ER18" s="193"/>
      <c r="ES18" s="193"/>
      <c r="ET18" s="193"/>
      <c r="EU18" s="193"/>
      <c r="EV18" s="193"/>
      <c r="EW18" s="193"/>
      <c r="EX18" s="193"/>
      <c r="EY18" s="193"/>
      <c r="EZ18" s="193"/>
      <c r="FA18" s="193"/>
      <c r="FB18" s="193"/>
      <c r="FC18" s="193"/>
      <c r="FD18" s="193"/>
      <c r="FE18" s="193"/>
      <c r="FF18" s="193"/>
      <c r="FG18" s="193"/>
      <c r="FH18" s="193"/>
      <c r="FI18" s="193"/>
      <c r="FJ18" s="193"/>
      <c r="FK18" s="193"/>
      <c r="FL18" s="193"/>
      <c r="FM18" s="193"/>
      <c r="FN18" s="193"/>
      <c r="FO18" s="193"/>
      <c r="FP18" s="193"/>
      <c r="FQ18" s="193"/>
      <c r="FR18" s="193"/>
      <c r="FS18" s="193"/>
      <c r="FT18" s="193"/>
      <c r="FU18" s="193"/>
      <c r="FV18" s="193"/>
      <c r="FW18" s="193"/>
      <c r="FX18" s="193"/>
      <c r="FY18" s="193"/>
      <c r="FZ18" s="193"/>
      <c r="GA18" s="193"/>
      <c r="GB18" s="193"/>
      <c r="GC18" s="193"/>
      <c r="GD18" s="193"/>
      <c r="GE18" s="193"/>
      <c r="GF18" s="193"/>
      <c r="GG18" s="193"/>
      <c r="GH18" s="193"/>
      <c r="GI18" s="193"/>
      <c r="GJ18" s="193"/>
      <c r="GK18" s="193"/>
      <c r="GL18" s="193"/>
      <c r="GM18" s="193"/>
      <c r="GN18" s="193"/>
      <c r="GO18" s="193"/>
      <c r="GP18" s="193"/>
      <c r="GQ18" s="193"/>
      <c r="GR18" s="193"/>
      <c r="GS18" s="193"/>
      <c r="GT18" s="193"/>
      <c r="GU18" s="193"/>
      <c r="GV18" s="193"/>
      <c r="GW18" s="193"/>
      <c r="GX18" s="193"/>
      <c r="GY18" s="193"/>
      <c r="GZ18" s="193"/>
      <c r="HA18" s="193"/>
      <c r="HB18" s="193"/>
      <c r="HC18" s="193"/>
      <c r="HD18" s="193"/>
      <c r="HE18" s="193"/>
      <c r="HF18" s="193"/>
      <c r="HG18" s="193"/>
      <c r="HH18" s="193"/>
      <c r="HI18" s="193"/>
      <c r="HJ18" s="193"/>
      <c r="HK18" s="193"/>
      <c r="HL18" s="193"/>
      <c r="HM18" s="193"/>
      <c r="HN18" s="193"/>
      <c r="HO18" s="193"/>
      <c r="HP18" s="193"/>
      <c r="HQ18" s="193"/>
      <c r="HR18" s="193"/>
      <c r="HS18" s="193"/>
      <c r="HT18" s="193"/>
      <c r="HU18" s="193"/>
      <c r="HV18" s="193"/>
      <c r="HW18" s="193"/>
      <c r="HX18" s="193"/>
      <c r="HY18" s="193"/>
      <c r="HZ18" s="193"/>
      <c r="IA18" s="193"/>
      <c r="IB18" s="193"/>
      <c r="IC18" s="193"/>
      <c r="ID18" s="193"/>
      <c r="IE18" s="193"/>
      <c r="IF18" s="193"/>
      <c r="IG18" s="193"/>
      <c r="IH18" s="193"/>
      <c r="II18" s="193"/>
      <c r="IJ18" s="193"/>
      <c r="IK18" s="193"/>
      <c r="IL18" s="193"/>
      <c r="IM18" s="193"/>
      <c r="IN18" s="193"/>
      <c r="IO18" s="193"/>
      <c r="IP18" s="193"/>
      <c r="IQ18" s="193"/>
    </row>
    <row r="19" spans="1:251" hidden="1">
      <c r="A19" s="1026"/>
      <c r="B19" s="1955"/>
      <c r="C19" s="1955"/>
      <c r="D19" s="2034"/>
      <c r="E19" s="1955"/>
      <c r="F19" s="1942">
        <f t="shared" si="15"/>
        <v>0</v>
      </c>
      <c r="G19" s="1026"/>
      <c r="H19" s="1942">
        <f t="shared" si="5"/>
        <v>0</v>
      </c>
      <c r="I19" s="1026"/>
      <c r="J19" s="1942">
        <f t="shared" si="6"/>
        <v>0</v>
      </c>
      <c r="K19" s="1026"/>
      <c r="L19" s="1942">
        <f t="shared" si="7"/>
        <v>0</v>
      </c>
      <c r="M19" s="1942">
        <f t="shared" si="14"/>
        <v>0</v>
      </c>
      <c r="N19" s="1942">
        <f t="shared" si="8"/>
        <v>0</v>
      </c>
      <c r="O19" s="1026"/>
      <c r="P19" s="1026"/>
      <c r="Q19" s="1942">
        <f t="shared" si="9"/>
        <v>0</v>
      </c>
      <c r="R19" s="1942">
        <f t="shared" si="10"/>
        <v>0</v>
      </c>
      <c r="S19" s="1942">
        <f t="shared" si="11"/>
        <v>0</v>
      </c>
      <c r="T19" s="1942">
        <f t="shared" si="12"/>
        <v>0</v>
      </c>
      <c r="U19" s="1942">
        <f t="shared" si="13"/>
        <v>0</v>
      </c>
      <c r="V19" s="3035">
        <f t="shared" si="2"/>
        <v>0</v>
      </c>
      <c r="W19" s="1942"/>
      <c r="X19" s="193"/>
      <c r="Y19" s="193"/>
      <c r="Z19" s="193"/>
      <c r="AA19" s="193"/>
      <c r="AB19" s="193"/>
      <c r="AC19" s="193"/>
      <c r="AD19" s="193"/>
      <c r="AE19" s="193"/>
      <c r="AF19" s="193"/>
      <c r="AG19" s="193"/>
      <c r="AH19" s="193"/>
      <c r="AI19" s="193"/>
      <c r="AJ19" s="193"/>
      <c r="AK19" s="193"/>
      <c r="AL19" s="193"/>
      <c r="AM19" s="193"/>
      <c r="AN19" s="193"/>
      <c r="AO19" s="193"/>
      <c r="AP19" s="193"/>
      <c r="AQ19" s="193"/>
      <c r="AR19" s="193"/>
      <c r="AS19" s="193"/>
      <c r="AT19" s="193"/>
      <c r="AU19" s="193"/>
      <c r="AV19" s="193"/>
      <c r="AW19" s="193"/>
      <c r="AX19" s="193"/>
      <c r="AY19" s="193"/>
      <c r="AZ19" s="193"/>
      <c r="BA19" s="193"/>
      <c r="BB19" s="193"/>
      <c r="BC19" s="193"/>
      <c r="BD19" s="193"/>
      <c r="BE19" s="193"/>
      <c r="BF19" s="193"/>
      <c r="BG19" s="193"/>
      <c r="BH19" s="193"/>
      <c r="BI19" s="193"/>
      <c r="BJ19" s="193"/>
      <c r="BK19" s="193"/>
      <c r="BL19" s="193"/>
      <c r="BM19" s="193"/>
      <c r="BN19" s="193"/>
      <c r="BO19" s="193"/>
      <c r="BP19" s="193"/>
      <c r="BQ19" s="193"/>
      <c r="BR19" s="193"/>
      <c r="BS19" s="193"/>
      <c r="BT19" s="193"/>
      <c r="BU19" s="193"/>
      <c r="BV19" s="193"/>
      <c r="BW19" s="193"/>
      <c r="BX19" s="193"/>
      <c r="BY19" s="193"/>
      <c r="BZ19" s="193"/>
      <c r="CA19" s="193"/>
      <c r="CB19" s="193"/>
      <c r="CC19" s="193"/>
      <c r="CD19" s="193"/>
      <c r="CE19" s="193"/>
      <c r="CF19" s="193"/>
      <c r="CG19" s="193"/>
      <c r="CH19" s="193"/>
      <c r="CI19" s="193"/>
      <c r="CJ19" s="193"/>
      <c r="CK19" s="193"/>
      <c r="CL19" s="193"/>
      <c r="CM19" s="193"/>
      <c r="CN19" s="193"/>
      <c r="CO19" s="193"/>
      <c r="CP19" s="193"/>
      <c r="CQ19" s="193"/>
      <c r="CR19" s="193"/>
      <c r="CS19" s="193"/>
      <c r="CT19" s="193"/>
      <c r="CU19" s="193"/>
      <c r="CV19" s="193"/>
      <c r="CW19" s="193"/>
      <c r="CX19" s="193"/>
      <c r="CY19" s="193"/>
      <c r="CZ19" s="193"/>
      <c r="DA19" s="193"/>
      <c r="DB19" s="193"/>
      <c r="DC19" s="193"/>
      <c r="DD19" s="193"/>
      <c r="DE19" s="193"/>
      <c r="DF19" s="193"/>
      <c r="DG19" s="193"/>
      <c r="DH19" s="193"/>
      <c r="DI19" s="193"/>
      <c r="DJ19" s="193"/>
      <c r="DK19" s="193"/>
      <c r="DL19" s="193"/>
      <c r="DM19" s="193"/>
      <c r="DN19" s="193"/>
      <c r="DO19" s="193"/>
      <c r="DP19" s="193"/>
      <c r="DQ19" s="193"/>
      <c r="DR19" s="193"/>
      <c r="DS19" s="193"/>
      <c r="DT19" s="193"/>
      <c r="DU19" s="193"/>
      <c r="DV19" s="193"/>
      <c r="DW19" s="193"/>
      <c r="DX19" s="193"/>
      <c r="DY19" s="193"/>
      <c r="DZ19" s="193"/>
      <c r="EA19" s="193"/>
      <c r="EB19" s="193"/>
      <c r="EC19" s="193"/>
      <c r="ED19" s="193"/>
      <c r="EE19" s="193"/>
      <c r="EF19" s="193"/>
      <c r="EG19" s="193"/>
      <c r="EH19" s="193"/>
      <c r="EI19" s="193"/>
      <c r="EJ19" s="193"/>
      <c r="EK19" s="193"/>
      <c r="EL19" s="193"/>
      <c r="EM19" s="193"/>
      <c r="EN19" s="193"/>
      <c r="EO19" s="193"/>
      <c r="EP19" s="193"/>
      <c r="EQ19" s="193"/>
      <c r="ER19" s="193"/>
      <c r="ES19" s="193"/>
      <c r="ET19" s="193"/>
      <c r="EU19" s="193"/>
      <c r="EV19" s="193"/>
      <c r="EW19" s="193"/>
      <c r="EX19" s="193"/>
      <c r="EY19" s="193"/>
      <c r="EZ19" s="193"/>
      <c r="FA19" s="193"/>
      <c r="FB19" s="193"/>
      <c r="FC19" s="193"/>
      <c r="FD19" s="193"/>
      <c r="FE19" s="193"/>
      <c r="FF19" s="193"/>
      <c r="FG19" s="193"/>
      <c r="FH19" s="193"/>
      <c r="FI19" s="193"/>
      <c r="FJ19" s="193"/>
      <c r="FK19" s="193"/>
      <c r="FL19" s="193"/>
      <c r="FM19" s="193"/>
      <c r="FN19" s="193"/>
      <c r="FO19" s="193"/>
      <c r="FP19" s="193"/>
      <c r="FQ19" s="193"/>
      <c r="FR19" s="193"/>
      <c r="FS19" s="193"/>
      <c r="FT19" s="193"/>
      <c r="FU19" s="193"/>
      <c r="FV19" s="193"/>
      <c r="FW19" s="193"/>
      <c r="FX19" s="193"/>
      <c r="FY19" s="193"/>
      <c r="FZ19" s="193"/>
      <c r="GA19" s="193"/>
      <c r="GB19" s="193"/>
      <c r="GC19" s="193"/>
      <c r="GD19" s="193"/>
      <c r="GE19" s="193"/>
      <c r="GF19" s="193"/>
      <c r="GG19" s="193"/>
      <c r="GH19" s="193"/>
      <c r="GI19" s="193"/>
      <c r="GJ19" s="193"/>
      <c r="GK19" s="193"/>
      <c r="GL19" s="193"/>
      <c r="GM19" s="193"/>
      <c r="GN19" s="193"/>
      <c r="GO19" s="193"/>
      <c r="GP19" s="193"/>
      <c r="GQ19" s="193"/>
      <c r="GR19" s="193"/>
      <c r="GS19" s="193"/>
      <c r="GT19" s="193"/>
      <c r="GU19" s="193"/>
      <c r="GV19" s="193"/>
      <c r="GW19" s="193"/>
      <c r="GX19" s="193"/>
      <c r="GY19" s="193"/>
      <c r="GZ19" s="193"/>
      <c r="HA19" s="193"/>
      <c r="HB19" s="193"/>
      <c r="HC19" s="193"/>
      <c r="HD19" s="193"/>
      <c r="HE19" s="193"/>
      <c r="HF19" s="193"/>
      <c r="HG19" s="193"/>
      <c r="HH19" s="193"/>
      <c r="HI19" s="193"/>
      <c r="HJ19" s="193"/>
      <c r="HK19" s="193"/>
      <c r="HL19" s="193"/>
      <c r="HM19" s="193"/>
      <c r="HN19" s="193"/>
      <c r="HO19" s="193"/>
      <c r="HP19" s="193"/>
      <c r="HQ19" s="193"/>
      <c r="HR19" s="193"/>
      <c r="HS19" s="193"/>
      <c r="HT19" s="193"/>
      <c r="HU19" s="193"/>
      <c r="HV19" s="193"/>
      <c r="HW19" s="193"/>
      <c r="HX19" s="193"/>
      <c r="HY19" s="193"/>
      <c r="HZ19" s="193"/>
      <c r="IA19" s="193"/>
      <c r="IB19" s="193"/>
      <c r="IC19" s="193"/>
      <c r="ID19" s="193"/>
      <c r="IE19" s="193"/>
      <c r="IF19" s="193"/>
      <c r="IG19" s="193"/>
      <c r="IH19" s="193"/>
      <c r="II19" s="193"/>
      <c r="IJ19" s="193"/>
      <c r="IK19" s="193"/>
      <c r="IL19" s="193"/>
      <c r="IM19" s="193"/>
      <c r="IN19" s="193"/>
      <c r="IO19" s="193"/>
      <c r="IP19" s="193"/>
      <c r="IQ19" s="193"/>
    </row>
    <row r="20" spans="1:251" hidden="1">
      <c r="A20" s="1026"/>
      <c r="B20" s="1955"/>
      <c r="C20" s="1955"/>
      <c r="D20" s="2034"/>
      <c r="E20" s="1955"/>
      <c r="F20" s="1942">
        <f t="shared" si="15"/>
        <v>0</v>
      </c>
      <c r="G20" s="1026"/>
      <c r="H20" s="1942">
        <f t="shared" si="5"/>
        <v>0</v>
      </c>
      <c r="I20" s="1026"/>
      <c r="J20" s="1942">
        <f t="shared" si="6"/>
        <v>0</v>
      </c>
      <c r="K20" s="1026"/>
      <c r="L20" s="1942">
        <f t="shared" si="7"/>
        <v>0</v>
      </c>
      <c r="M20" s="1942">
        <f t="shared" si="14"/>
        <v>0</v>
      </c>
      <c r="N20" s="1942">
        <f t="shared" si="8"/>
        <v>0</v>
      </c>
      <c r="O20" s="1026"/>
      <c r="P20" s="1026"/>
      <c r="Q20" s="1942">
        <f t="shared" si="9"/>
        <v>0</v>
      </c>
      <c r="R20" s="1942">
        <f t="shared" si="10"/>
        <v>0</v>
      </c>
      <c r="S20" s="1942">
        <f t="shared" si="11"/>
        <v>0</v>
      </c>
      <c r="T20" s="1942">
        <f t="shared" si="12"/>
        <v>0</v>
      </c>
      <c r="U20" s="1942">
        <f t="shared" si="13"/>
        <v>0</v>
      </c>
      <c r="V20" s="3035">
        <f t="shared" si="2"/>
        <v>0</v>
      </c>
      <c r="W20" s="1942"/>
      <c r="X20" s="193"/>
      <c r="Y20" s="193"/>
      <c r="Z20" s="193"/>
      <c r="AA20" s="193"/>
      <c r="AB20" s="193"/>
      <c r="AC20" s="193"/>
      <c r="AD20" s="193"/>
      <c r="AE20" s="193"/>
      <c r="AF20" s="193"/>
      <c r="AG20" s="193"/>
      <c r="AH20" s="193"/>
      <c r="AI20" s="193"/>
      <c r="AJ20" s="193"/>
      <c r="AK20" s="193"/>
      <c r="AL20" s="193"/>
      <c r="AM20" s="193"/>
      <c r="AN20" s="193"/>
      <c r="AO20" s="193"/>
      <c r="AP20" s="193"/>
      <c r="AQ20" s="193"/>
      <c r="AR20" s="193"/>
      <c r="AS20" s="193"/>
      <c r="AT20" s="193"/>
      <c r="AU20" s="193"/>
      <c r="AV20" s="193"/>
      <c r="AW20" s="193"/>
      <c r="AX20" s="193"/>
      <c r="AY20" s="193"/>
      <c r="AZ20" s="193"/>
      <c r="BA20" s="193"/>
      <c r="BB20" s="193"/>
      <c r="BC20" s="193"/>
      <c r="BD20" s="193"/>
      <c r="BE20" s="193"/>
      <c r="BF20" s="193"/>
      <c r="BG20" s="193"/>
      <c r="BH20" s="193"/>
      <c r="BI20" s="193"/>
      <c r="BJ20" s="193"/>
      <c r="BK20" s="193"/>
      <c r="BL20" s="193"/>
      <c r="BM20" s="193"/>
      <c r="BN20" s="193"/>
      <c r="BO20" s="193"/>
      <c r="BP20" s="193"/>
      <c r="BQ20" s="193"/>
      <c r="BR20" s="193"/>
      <c r="BS20" s="193"/>
      <c r="BT20" s="193"/>
      <c r="BU20" s="193"/>
      <c r="BV20" s="193"/>
      <c r="BW20" s="193"/>
      <c r="BX20" s="193"/>
      <c r="BY20" s="193"/>
      <c r="BZ20" s="193"/>
      <c r="CA20" s="193"/>
      <c r="CB20" s="193"/>
      <c r="CC20" s="193"/>
      <c r="CD20" s="193"/>
      <c r="CE20" s="193"/>
      <c r="CF20" s="193"/>
      <c r="CG20" s="193"/>
      <c r="CH20" s="193"/>
      <c r="CI20" s="193"/>
      <c r="CJ20" s="193"/>
      <c r="CK20" s="193"/>
      <c r="CL20" s="193"/>
      <c r="CM20" s="193"/>
      <c r="CN20" s="193"/>
      <c r="CO20" s="193"/>
      <c r="CP20" s="193"/>
      <c r="CQ20" s="193"/>
      <c r="CR20" s="193"/>
      <c r="CS20" s="193"/>
      <c r="CT20" s="193"/>
      <c r="CU20" s="193"/>
      <c r="CV20" s="193"/>
      <c r="CW20" s="193"/>
      <c r="CX20" s="193"/>
      <c r="CY20" s="193"/>
      <c r="CZ20" s="193"/>
      <c r="DA20" s="193"/>
      <c r="DB20" s="193"/>
      <c r="DC20" s="193"/>
      <c r="DD20" s="193"/>
      <c r="DE20" s="193"/>
      <c r="DF20" s="193"/>
      <c r="DG20" s="193"/>
      <c r="DH20" s="193"/>
      <c r="DI20" s="193"/>
      <c r="DJ20" s="193"/>
      <c r="DK20" s="193"/>
      <c r="DL20" s="193"/>
      <c r="DM20" s="193"/>
      <c r="DN20" s="193"/>
      <c r="DO20" s="193"/>
      <c r="DP20" s="193"/>
      <c r="DQ20" s="193"/>
      <c r="DR20" s="193"/>
      <c r="DS20" s="193"/>
      <c r="DT20" s="193"/>
      <c r="DU20" s="193"/>
      <c r="DV20" s="193"/>
      <c r="DW20" s="193"/>
      <c r="DX20" s="193"/>
      <c r="DY20" s="193"/>
      <c r="DZ20" s="193"/>
      <c r="EA20" s="193"/>
      <c r="EB20" s="193"/>
      <c r="EC20" s="193"/>
      <c r="ED20" s="193"/>
      <c r="EE20" s="193"/>
      <c r="EF20" s="193"/>
      <c r="EG20" s="193"/>
      <c r="EH20" s="193"/>
      <c r="EI20" s="193"/>
      <c r="EJ20" s="193"/>
      <c r="EK20" s="193"/>
      <c r="EL20" s="193"/>
      <c r="EM20" s="193"/>
      <c r="EN20" s="193"/>
      <c r="EO20" s="193"/>
      <c r="EP20" s="193"/>
      <c r="EQ20" s="193"/>
      <c r="ER20" s="193"/>
      <c r="ES20" s="193"/>
      <c r="ET20" s="193"/>
      <c r="EU20" s="193"/>
      <c r="EV20" s="193"/>
      <c r="EW20" s="193"/>
      <c r="EX20" s="193"/>
      <c r="EY20" s="193"/>
      <c r="EZ20" s="193"/>
      <c r="FA20" s="193"/>
      <c r="FB20" s="193"/>
      <c r="FC20" s="193"/>
      <c r="FD20" s="193"/>
      <c r="FE20" s="193"/>
      <c r="FF20" s="193"/>
      <c r="FG20" s="193"/>
      <c r="FH20" s="193"/>
      <c r="FI20" s="193"/>
      <c r="FJ20" s="193"/>
      <c r="FK20" s="193"/>
      <c r="FL20" s="193"/>
      <c r="FM20" s="193"/>
      <c r="FN20" s="193"/>
      <c r="FO20" s="193"/>
      <c r="FP20" s="193"/>
      <c r="FQ20" s="193"/>
      <c r="FR20" s="193"/>
      <c r="FS20" s="193"/>
      <c r="FT20" s="193"/>
      <c r="FU20" s="193"/>
      <c r="FV20" s="193"/>
      <c r="FW20" s="193"/>
      <c r="FX20" s="193"/>
      <c r="FY20" s="193"/>
      <c r="FZ20" s="193"/>
      <c r="GA20" s="193"/>
      <c r="GB20" s="193"/>
      <c r="GC20" s="193"/>
      <c r="GD20" s="193"/>
      <c r="GE20" s="193"/>
      <c r="GF20" s="193"/>
      <c r="GG20" s="193"/>
      <c r="GH20" s="193"/>
      <c r="GI20" s="193"/>
      <c r="GJ20" s="193"/>
      <c r="GK20" s="193"/>
      <c r="GL20" s="193"/>
      <c r="GM20" s="193"/>
      <c r="GN20" s="193"/>
      <c r="GO20" s="193"/>
      <c r="GP20" s="193"/>
      <c r="GQ20" s="193"/>
      <c r="GR20" s="193"/>
      <c r="GS20" s="193"/>
      <c r="GT20" s="193"/>
      <c r="GU20" s="193"/>
      <c r="GV20" s="193"/>
      <c r="GW20" s="193"/>
      <c r="GX20" s="193"/>
      <c r="GY20" s="193"/>
      <c r="GZ20" s="193"/>
      <c r="HA20" s="193"/>
      <c r="HB20" s="193"/>
      <c r="HC20" s="193"/>
      <c r="HD20" s="193"/>
      <c r="HE20" s="193"/>
      <c r="HF20" s="193"/>
      <c r="HG20" s="193"/>
      <c r="HH20" s="193"/>
      <c r="HI20" s="193"/>
      <c r="HJ20" s="193"/>
      <c r="HK20" s="193"/>
      <c r="HL20" s="193"/>
      <c r="HM20" s="193"/>
      <c r="HN20" s="193"/>
      <c r="HO20" s="193"/>
      <c r="HP20" s="193"/>
      <c r="HQ20" s="193"/>
      <c r="HR20" s="193"/>
      <c r="HS20" s="193"/>
      <c r="HT20" s="193"/>
      <c r="HU20" s="193"/>
      <c r="HV20" s="193"/>
      <c r="HW20" s="193"/>
      <c r="HX20" s="193"/>
      <c r="HY20" s="193"/>
      <c r="HZ20" s="193"/>
      <c r="IA20" s="193"/>
      <c r="IB20" s="193"/>
      <c r="IC20" s="193"/>
      <c r="ID20" s="193"/>
      <c r="IE20" s="193"/>
      <c r="IF20" s="193"/>
      <c r="IG20" s="193"/>
      <c r="IH20" s="193"/>
      <c r="II20" s="193"/>
      <c r="IJ20" s="193"/>
      <c r="IK20" s="193"/>
      <c r="IL20" s="193"/>
      <c r="IM20" s="193"/>
      <c r="IN20" s="193"/>
      <c r="IO20" s="193"/>
      <c r="IP20" s="193"/>
      <c r="IQ20" s="193"/>
    </row>
    <row r="21" spans="1:251" hidden="1">
      <c r="A21" s="1026"/>
      <c r="B21" s="1955"/>
      <c r="C21" s="1955"/>
      <c r="D21" s="2034"/>
      <c r="E21" s="1955"/>
      <c r="F21" s="1942">
        <f t="shared" si="15"/>
        <v>0</v>
      </c>
      <c r="G21" s="1026"/>
      <c r="H21" s="1942">
        <f t="shared" si="5"/>
        <v>0</v>
      </c>
      <c r="I21" s="1026"/>
      <c r="J21" s="1942">
        <f t="shared" si="6"/>
        <v>0</v>
      </c>
      <c r="K21" s="1026"/>
      <c r="L21" s="1942">
        <f t="shared" si="7"/>
        <v>0</v>
      </c>
      <c r="M21" s="1942">
        <f t="shared" si="14"/>
        <v>0</v>
      </c>
      <c r="N21" s="1942">
        <f t="shared" si="8"/>
        <v>0</v>
      </c>
      <c r="O21" s="1026"/>
      <c r="P21" s="1026"/>
      <c r="Q21" s="1942">
        <f t="shared" si="9"/>
        <v>0</v>
      </c>
      <c r="R21" s="1942">
        <f t="shared" si="10"/>
        <v>0</v>
      </c>
      <c r="S21" s="1942">
        <f t="shared" si="11"/>
        <v>0</v>
      </c>
      <c r="T21" s="1942">
        <f t="shared" si="12"/>
        <v>0</v>
      </c>
      <c r="U21" s="1942">
        <f t="shared" si="13"/>
        <v>0</v>
      </c>
      <c r="V21" s="3035">
        <f t="shared" si="2"/>
        <v>0</v>
      </c>
      <c r="W21" s="1942"/>
      <c r="X21" s="193"/>
      <c r="Y21" s="193"/>
      <c r="Z21" s="193"/>
      <c r="AA21" s="193"/>
      <c r="AB21" s="193"/>
      <c r="AC21" s="193"/>
      <c r="AD21" s="193"/>
      <c r="AE21" s="193"/>
      <c r="AF21" s="193"/>
      <c r="AG21" s="193"/>
      <c r="AH21" s="193"/>
      <c r="AI21" s="193"/>
      <c r="AJ21" s="193"/>
      <c r="AK21" s="193"/>
      <c r="AL21" s="193"/>
      <c r="AM21" s="193"/>
      <c r="AN21" s="193"/>
      <c r="AO21" s="193"/>
      <c r="AP21" s="193"/>
      <c r="AQ21" s="193"/>
      <c r="AR21" s="193"/>
      <c r="AS21" s="193"/>
      <c r="AT21" s="193"/>
      <c r="AU21" s="193"/>
      <c r="AV21" s="193"/>
      <c r="AW21" s="193"/>
      <c r="AX21" s="193"/>
      <c r="AY21" s="193"/>
      <c r="AZ21" s="193"/>
      <c r="BA21" s="193"/>
      <c r="BB21" s="193"/>
      <c r="BC21" s="193"/>
      <c r="BD21" s="193"/>
      <c r="BE21" s="193"/>
      <c r="BF21" s="193"/>
      <c r="BG21" s="193"/>
      <c r="BH21" s="193"/>
      <c r="BI21" s="193"/>
      <c r="BJ21" s="193"/>
      <c r="BK21" s="193"/>
      <c r="BL21" s="193"/>
      <c r="BM21" s="193"/>
      <c r="BN21" s="193"/>
      <c r="BO21" s="193"/>
      <c r="BP21" s="193"/>
      <c r="BQ21" s="193"/>
      <c r="BR21" s="193"/>
      <c r="BS21" s="193"/>
      <c r="BT21" s="193"/>
      <c r="BU21" s="193"/>
      <c r="BV21" s="193"/>
      <c r="BW21" s="193"/>
      <c r="BX21" s="193"/>
      <c r="BY21" s="193"/>
      <c r="BZ21" s="193"/>
      <c r="CA21" s="193"/>
      <c r="CB21" s="193"/>
      <c r="CC21" s="193"/>
      <c r="CD21" s="193"/>
      <c r="CE21" s="193"/>
      <c r="CF21" s="193"/>
      <c r="CG21" s="193"/>
      <c r="CH21" s="193"/>
      <c r="CI21" s="193"/>
      <c r="CJ21" s="193"/>
      <c r="CK21" s="193"/>
      <c r="CL21" s="193"/>
      <c r="CM21" s="193"/>
      <c r="CN21" s="193"/>
      <c r="CO21" s="193"/>
      <c r="CP21" s="193"/>
      <c r="CQ21" s="193"/>
      <c r="CR21" s="193"/>
      <c r="CS21" s="193"/>
      <c r="CT21" s="193"/>
      <c r="CU21" s="193"/>
      <c r="CV21" s="193"/>
      <c r="CW21" s="193"/>
      <c r="CX21" s="193"/>
      <c r="CY21" s="193"/>
      <c r="CZ21" s="193"/>
      <c r="DA21" s="193"/>
      <c r="DB21" s="193"/>
      <c r="DC21" s="193"/>
      <c r="DD21" s="193"/>
      <c r="DE21" s="193"/>
      <c r="DF21" s="193"/>
      <c r="DG21" s="193"/>
      <c r="DH21" s="193"/>
      <c r="DI21" s="193"/>
      <c r="DJ21" s="193"/>
      <c r="DK21" s="193"/>
      <c r="DL21" s="193"/>
      <c r="DM21" s="193"/>
      <c r="DN21" s="193"/>
      <c r="DO21" s="193"/>
      <c r="DP21" s="193"/>
      <c r="DQ21" s="193"/>
      <c r="DR21" s="193"/>
      <c r="DS21" s="193"/>
      <c r="DT21" s="193"/>
      <c r="DU21" s="193"/>
      <c r="DV21" s="193"/>
      <c r="DW21" s="193"/>
      <c r="DX21" s="193"/>
      <c r="DY21" s="193"/>
      <c r="DZ21" s="193"/>
      <c r="EA21" s="193"/>
      <c r="EB21" s="193"/>
      <c r="EC21" s="193"/>
      <c r="ED21" s="193"/>
      <c r="EE21" s="193"/>
      <c r="EF21" s="193"/>
      <c r="EG21" s="193"/>
      <c r="EH21" s="193"/>
      <c r="EI21" s="193"/>
      <c r="EJ21" s="193"/>
      <c r="EK21" s="193"/>
      <c r="EL21" s="193"/>
      <c r="EM21" s="193"/>
      <c r="EN21" s="193"/>
      <c r="EO21" s="193"/>
      <c r="EP21" s="193"/>
      <c r="EQ21" s="193"/>
      <c r="ER21" s="193"/>
      <c r="ES21" s="193"/>
      <c r="ET21" s="193"/>
      <c r="EU21" s="193"/>
      <c r="EV21" s="193"/>
      <c r="EW21" s="193"/>
      <c r="EX21" s="193"/>
      <c r="EY21" s="193"/>
      <c r="EZ21" s="193"/>
      <c r="FA21" s="193"/>
      <c r="FB21" s="193"/>
      <c r="FC21" s="193"/>
      <c r="FD21" s="193"/>
      <c r="FE21" s="193"/>
      <c r="FF21" s="193"/>
      <c r="FG21" s="193"/>
      <c r="FH21" s="193"/>
      <c r="FI21" s="193"/>
      <c r="FJ21" s="193"/>
      <c r="FK21" s="193"/>
      <c r="FL21" s="193"/>
      <c r="FM21" s="193"/>
      <c r="FN21" s="193"/>
      <c r="FO21" s="193"/>
      <c r="FP21" s="193"/>
      <c r="FQ21" s="193"/>
      <c r="FR21" s="193"/>
      <c r="FS21" s="193"/>
      <c r="FT21" s="193"/>
      <c r="FU21" s="193"/>
      <c r="FV21" s="193"/>
      <c r="FW21" s="193"/>
      <c r="FX21" s="193"/>
      <c r="FY21" s="193"/>
      <c r="FZ21" s="193"/>
      <c r="GA21" s="193"/>
      <c r="GB21" s="193"/>
      <c r="GC21" s="193"/>
      <c r="GD21" s="193"/>
      <c r="GE21" s="193"/>
      <c r="GF21" s="193"/>
      <c r="GG21" s="193"/>
      <c r="GH21" s="193"/>
      <c r="GI21" s="193"/>
      <c r="GJ21" s="193"/>
      <c r="GK21" s="193"/>
      <c r="GL21" s="193"/>
      <c r="GM21" s="193"/>
      <c r="GN21" s="193"/>
      <c r="GO21" s="193"/>
      <c r="GP21" s="193"/>
      <c r="GQ21" s="193"/>
      <c r="GR21" s="193"/>
      <c r="GS21" s="193"/>
      <c r="GT21" s="193"/>
      <c r="GU21" s="193"/>
      <c r="GV21" s="193"/>
      <c r="GW21" s="193"/>
      <c r="GX21" s="193"/>
      <c r="GY21" s="193"/>
      <c r="GZ21" s="193"/>
      <c r="HA21" s="193"/>
      <c r="HB21" s="193"/>
      <c r="HC21" s="193"/>
      <c r="HD21" s="193"/>
      <c r="HE21" s="193"/>
      <c r="HF21" s="193"/>
      <c r="HG21" s="193"/>
      <c r="HH21" s="193"/>
      <c r="HI21" s="193"/>
      <c r="HJ21" s="193"/>
      <c r="HK21" s="193"/>
      <c r="HL21" s="193"/>
      <c r="HM21" s="193"/>
      <c r="HN21" s="193"/>
      <c r="HO21" s="193"/>
      <c r="HP21" s="193"/>
      <c r="HQ21" s="193"/>
      <c r="HR21" s="193"/>
      <c r="HS21" s="193"/>
      <c r="HT21" s="193"/>
      <c r="HU21" s="193"/>
      <c r="HV21" s="193"/>
      <c r="HW21" s="193"/>
      <c r="HX21" s="193"/>
      <c r="HY21" s="193"/>
      <c r="HZ21" s="193"/>
      <c r="IA21" s="193"/>
      <c r="IB21" s="193"/>
      <c r="IC21" s="193"/>
      <c r="ID21" s="193"/>
      <c r="IE21" s="193"/>
      <c r="IF21" s="193"/>
      <c r="IG21" s="193"/>
      <c r="IH21" s="193"/>
      <c r="II21" s="193"/>
      <c r="IJ21" s="193"/>
      <c r="IK21" s="193"/>
      <c r="IL21" s="193"/>
      <c r="IM21" s="193"/>
      <c r="IN21" s="193"/>
      <c r="IO21" s="193"/>
      <c r="IP21" s="193"/>
      <c r="IQ21" s="193"/>
    </row>
    <row r="22" spans="1:251" hidden="1">
      <c r="A22" s="1026"/>
      <c r="B22" s="1955"/>
      <c r="C22" s="1955"/>
      <c r="D22" s="2034"/>
      <c r="E22" s="1955"/>
      <c r="F22" s="1942">
        <f t="shared" si="15"/>
        <v>0</v>
      </c>
      <c r="G22" s="1026"/>
      <c r="H22" s="1942">
        <f t="shared" si="5"/>
        <v>0</v>
      </c>
      <c r="I22" s="1026"/>
      <c r="J22" s="1942">
        <f t="shared" si="6"/>
        <v>0</v>
      </c>
      <c r="K22" s="1026"/>
      <c r="L22" s="1942">
        <f t="shared" si="7"/>
        <v>0</v>
      </c>
      <c r="M22" s="1942">
        <f t="shared" si="14"/>
        <v>0</v>
      </c>
      <c r="N22" s="1942">
        <f t="shared" si="8"/>
        <v>0</v>
      </c>
      <c r="O22" s="1026"/>
      <c r="P22" s="1026"/>
      <c r="Q22" s="1942">
        <f t="shared" si="9"/>
        <v>0</v>
      </c>
      <c r="R22" s="1942">
        <f t="shared" si="10"/>
        <v>0</v>
      </c>
      <c r="S22" s="1942">
        <f t="shared" si="11"/>
        <v>0</v>
      </c>
      <c r="T22" s="1942">
        <f t="shared" si="12"/>
        <v>0</v>
      </c>
      <c r="U22" s="1942">
        <f t="shared" si="13"/>
        <v>0</v>
      </c>
      <c r="V22" s="3035">
        <f t="shared" si="2"/>
        <v>0</v>
      </c>
      <c r="W22" s="1942"/>
      <c r="X22" s="193"/>
      <c r="Y22" s="193"/>
      <c r="Z22" s="193"/>
      <c r="AA22" s="193"/>
      <c r="AB22" s="193"/>
      <c r="AC22" s="193"/>
      <c r="AD22" s="193"/>
      <c r="AE22" s="193"/>
      <c r="AF22" s="193"/>
      <c r="AG22" s="193"/>
      <c r="AH22" s="193"/>
      <c r="AI22" s="193"/>
      <c r="AJ22" s="193"/>
      <c r="AK22" s="193"/>
      <c r="AL22" s="193"/>
      <c r="AM22" s="193"/>
      <c r="AN22" s="193"/>
      <c r="AO22" s="193"/>
      <c r="AP22" s="193"/>
      <c r="AQ22" s="193"/>
      <c r="AR22" s="193"/>
      <c r="AS22" s="193"/>
      <c r="AT22" s="193"/>
      <c r="AU22" s="193"/>
      <c r="AV22" s="193"/>
      <c r="AW22" s="193"/>
      <c r="AX22" s="193"/>
      <c r="AY22" s="193"/>
      <c r="AZ22" s="193"/>
      <c r="BA22" s="193"/>
      <c r="BB22" s="193"/>
      <c r="BC22" s="193"/>
      <c r="BD22" s="193"/>
      <c r="BE22" s="193"/>
      <c r="BF22" s="193"/>
      <c r="BG22" s="193"/>
      <c r="BH22" s="193"/>
      <c r="BI22" s="193"/>
      <c r="BJ22" s="193"/>
      <c r="BK22" s="193"/>
      <c r="BL22" s="193"/>
      <c r="BM22" s="193"/>
      <c r="BN22" s="193"/>
      <c r="BO22" s="193"/>
      <c r="BP22" s="193"/>
      <c r="BQ22" s="193"/>
      <c r="BR22" s="193"/>
      <c r="BS22" s="193"/>
      <c r="BT22" s="193"/>
      <c r="BU22" s="193"/>
      <c r="BV22" s="193"/>
      <c r="BW22" s="193"/>
      <c r="BX22" s="193"/>
      <c r="BY22" s="193"/>
      <c r="BZ22" s="193"/>
      <c r="CA22" s="193"/>
      <c r="CB22" s="193"/>
      <c r="CC22" s="193"/>
      <c r="CD22" s="193"/>
      <c r="CE22" s="193"/>
      <c r="CF22" s="193"/>
      <c r="CG22" s="193"/>
      <c r="CH22" s="193"/>
      <c r="CI22" s="193"/>
      <c r="CJ22" s="193"/>
      <c r="CK22" s="193"/>
      <c r="CL22" s="193"/>
      <c r="CM22" s="193"/>
      <c r="CN22" s="193"/>
      <c r="CO22" s="193"/>
      <c r="CP22" s="193"/>
      <c r="CQ22" s="193"/>
      <c r="CR22" s="193"/>
      <c r="CS22" s="193"/>
      <c r="CT22" s="193"/>
      <c r="CU22" s="193"/>
      <c r="CV22" s="193"/>
      <c r="CW22" s="193"/>
      <c r="CX22" s="193"/>
      <c r="CY22" s="193"/>
      <c r="CZ22" s="193"/>
      <c r="DA22" s="193"/>
      <c r="DB22" s="193"/>
      <c r="DC22" s="193"/>
      <c r="DD22" s="193"/>
      <c r="DE22" s="193"/>
      <c r="DF22" s="193"/>
      <c r="DG22" s="193"/>
      <c r="DH22" s="193"/>
      <c r="DI22" s="193"/>
      <c r="DJ22" s="193"/>
      <c r="DK22" s="193"/>
      <c r="DL22" s="193"/>
      <c r="DM22" s="193"/>
      <c r="DN22" s="193"/>
      <c r="DO22" s="193"/>
      <c r="DP22" s="193"/>
      <c r="DQ22" s="193"/>
      <c r="DR22" s="193"/>
      <c r="DS22" s="193"/>
      <c r="DT22" s="193"/>
      <c r="DU22" s="193"/>
      <c r="DV22" s="193"/>
      <c r="DW22" s="193"/>
      <c r="DX22" s="193"/>
      <c r="DY22" s="193"/>
      <c r="DZ22" s="193"/>
      <c r="EA22" s="193"/>
      <c r="EB22" s="193"/>
      <c r="EC22" s="193"/>
      <c r="ED22" s="193"/>
      <c r="EE22" s="193"/>
      <c r="EF22" s="193"/>
      <c r="EG22" s="193"/>
      <c r="EH22" s="193"/>
      <c r="EI22" s="193"/>
      <c r="EJ22" s="193"/>
      <c r="EK22" s="193"/>
      <c r="EL22" s="193"/>
      <c r="EM22" s="193"/>
      <c r="EN22" s="193"/>
      <c r="EO22" s="193"/>
      <c r="EP22" s="193"/>
      <c r="EQ22" s="193"/>
      <c r="ER22" s="193"/>
      <c r="ES22" s="193"/>
      <c r="ET22" s="193"/>
      <c r="EU22" s="193"/>
      <c r="EV22" s="193"/>
      <c r="EW22" s="193"/>
      <c r="EX22" s="193"/>
      <c r="EY22" s="193"/>
      <c r="EZ22" s="193"/>
      <c r="FA22" s="193"/>
      <c r="FB22" s="193"/>
      <c r="FC22" s="193"/>
      <c r="FD22" s="193"/>
      <c r="FE22" s="193"/>
      <c r="FF22" s="193"/>
      <c r="FG22" s="193"/>
      <c r="FH22" s="193"/>
      <c r="FI22" s="193"/>
      <c r="FJ22" s="193"/>
      <c r="FK22" s="193"/>
      <c r="FL22" s="193"/>
      <c r="FM22" s="193"/>
      <c r="FN22" s="193"/>
      <c r="FO22" s="193"/>
      <c r="FP22" s="193"/>
      <c r="FQ22" s="193"/>
      <c r="FR22" s="193"/>
      <c r="FS22" s="193"/>
      <c r="FT22" s="193"/>
      <c r="FU22" s="193"/>
      <c r="FV22" s="193"/>
      <c r="FW22" s="193"/>
      <c r="FX22" s="193"/>
      <c r="FY22" s="193"/>
      <c r="FZ22" s="193"/>
      <c r="GA22" s="193"/>
      <c r="GB22" s="193"/>
      <c r="GC22" s="193"/>
      <c r="GD22" s="193"/>
      <c r="GE22" s="193"/>
      <c r="GF22" s="193"/>
      <c r="GG22" s="193"/>
      <c r="GH22" s="193"/>
      <c r="GI22" s="193"/>
      <c r="GJ22" s="193"/>
      <c r="GK22" s="193"/>
      <c r="GL22" s="193"/>
      <c r="GM22" s="193"/>
      <c r="GN22" s="193"/>
      <c r="GO22" s="193"/>
      <c r="GP22" s="193"/>
      <c r="GQ22" s="193"/>
      <c r="GR22" s="193"/>
      <c r="GS22" s="193"/>
      <c r="GT22" s="193"/>
      <c r="GU22" s="193"/>
      <c r="GV22" s="193"/>
      <c r="GW22" s="193"/>
      <c r="GX22" s="193"/>
      <c r="GY22" s="193"/>
      <c r="GZ22" s="193"/>
      <c r="HA22" s="193"/>
      <c r="HB22" s="193"/>
      <c r="HC22" s="193"/>
      <c r="HD22" s="193"/>
      <c r="HE22" s="193"/>
      <c r="HF22" s="193"/>
      <c r="HG22" s="193"/>
      <c r="HH22" s="193"/>
      <c r="HI22" s="193"/>
      <c r="HJ22" s="193"/>
      <c r="HK22" s="193"/>
      <c r="HL22" s="193"/>
      <c r="HM22" s="193"/>
      <c r="HN22" s="193"/>
      <c r="HO22" s="193"/>
      <c r="HP22" s="193"/>
      <c r="HQ22" s="193"/>
      <c r="HR22" s="193"/>
      <c r="HS22" s="193"/>
      <c r="HT22" s="193"/>
      <c r="HU22" s="193"/>
      <c r="HV22" s="193"/>
      <c r="HW22" s="193"/>
      <c r="HX22" s="193"/>
      <c r="HY22" s="193"/>
      <c r="HZ22" s="193"/>
      <c r="IA22" s="193"/>
      <c r="IB22" s="193"/>
      <c r="IC22" s="193"/>
      <c r="ID22" s="193"/>
      <c r="IE22" s="193"/>
      <c r="IF22" s="193"/>
      <c r="IG22" s="193"/>
      <c r="IH22" s="193"/>
      <c r="II22" s="193"/>
      <c r="IJ22" s="193"/>
      <c r="IK22" s="193"/>
      <c r="IL22" s="193"/>
      <c r="IM22" s="193"/>
      <c r="IN22" s="193"/>
      <c r="IO22" s="193"/>
      <c r="IP22" s="193"/>
      <c r="IQ22" s="193"/>
    </row>
    <row r="23" spans="1:251" hidden="1">
      <c r="A23" s="1026"/>
      <c r="B23" s="1955"/>
      <c r="C23" s="1955"/>
      <c r="D23" s="2034"/>
      <c r="E23" s="1955"/>
      <c r="F23" s="1942">
        <f t="shared" si="15"/>
        <v>0</v>
      </c>
      <c r="G23" s="1026"/>
      <c r="H23" s="1942">
        <f t="shared" si="5"/>
        <v>0</v>
      </c>
      <c r="I23" s="1026"/>
      <c r="J23" s="1942">
        <f t="shared" si="6"/>
        <v>0</v>
      </c>
      <c r="K23" s="1026"/>
      <c r="L23" s="1942">
        <f t="shared" si="7"/>
        <v>0</v>
      </c>
      <c r="M23" s="1942">
        <f t="shared" si="14"/>
        <v>0</v>
      </c>
      <c r="N23" s="1942">
        <f t="shared" si="8"/>
        <v>0</v>
      </c>
      <c r="O23" s="1026"/>
      <c r="P23" s="1026"/>
      <c r="Q23" s="1942">
        <f t="shared" si="9"/>
        <v>0</v>
      </c>
      <c r="R23" s="1942">
        <f t="shared" si="10"/>
        <v>0</v>
      </c>
      <c r="S23" s="1942">
        <f t="shared" si="11"/>
        <v>0</v>
      </c>
      <c r="T23" s="1942">
        <f t="shared" si="12"/>
        <v>0</v>
      </c>
      <c r="U23" s="1942">
        <f t="shared" si="13"/>
        <v>0</v>
      </c>
      <c r="V23" s="3035">
        <f t="shared" si="2"/>
        <v>0</v>
      </c>
      <c r="W23" s="1942"/>
      <c r="X23" s="193"/>
      <c r="Y23" s="193"/>
      <c r="Z23" s="193"/>
      <c r="AA23" s="193"/>
      <c r="AB23" s="193"/>
      <c r="AC23" s="193"/>
      <c r="AD23" s="193"/>
      <c r="AE23" s="193"/>
      <c r="AF23" s="193"/>
      <c r="AG23" s="193"/>
      <c r="AH23" s="193"/>
      <c r="AI23" s="193"/>
      <c r="AJ23" s="193"/>
      <c r="AK23" s="193"/>
      <c r="AL23" s="193"/>
      <c r="AM23" s="193"/>
      <c r="AN23" s="193"/>
      <c r="AO23" s="193"/>
      <c r="AP23" s="193"/>
      <c r="AQ23" s="193"/>
      <c r="AR23" s="193"/>
      <c r="AS23" s="193"/>
      <c r="AT23" s="193"/>
      <c r="AU23" s="193"/>
      <c r="AV23" s="193"/>
      <c r="AW23" s="193"/>
      <c r="AX23" s="193"/>
      <c r="AY23" s="193"/>
      <c r="AZ23" s="193"/>
      <c r="BA23" s="193"/>
      <c r="BB23" s="193"/>
      <c r="BC23" s="193"/>
      <c r="BD23" s="193"/>
      <c r="BE23" s="193"/>
      <c r="BF23" s="193"/>
      <c r="BG23" s="193"/>
      <c r="BH23" s="193"/>
      <c r="BI23" s="193"/>
      <c r="BJ23" s="193"/>
      <c r="BK23" s="193"/>
      <c r="BL23" s="193"/>
      <c r="BM23" s="193"/>
      <c r="BN23" s="193"/>
      <c r="BO23" s="193"/>
      <c r="BP23" s="193"/>
      <c r="BQ23" s="193"/>
      <c r="BR23" s="193"/>
      <c r="BS23" s="193"/>
      <c r="BT23" s="193"/>
      <c r="BU23" s="193"/>
      <c r="BV23" s="193"/>
      <c r="BW23" s="193"/>
      <c r="BX23" s="193"/>
      <c r="BY23" s="193"/>
      <c r="BZ23" s="193"/>
      <c r="CA23" s="193"/>
      <c r="CB23" s="193"/>
      <c r="CC23" s="193"/>
      <c r="CD23" s="193"/>
      <c r="CE23" s="193"/>
      <c r="CF23" s="193"/>
      <c r="CG23" s="193"/>
      <c r="CH23" s="193"/>
      <c r="CI23" s="193"/>
      <c r="CJ23" s="193"/>
      <c r="CK23" s="193"/>
      <c r="CL23" s="193"/>
      <c r="CM23" s="193"/>
      <c r="CN23" s="193"/>
      <c r="CO23" s="193"/>
      <c r="CP23" s="193"/>
      <c r="CQ23" s="193"/>
      <c r="CR23" s="193"/>
      <c r="CS23" s="193"/>
      <c r="CT23" s="193"/>
      <c r="CU23" s="193"/>
      <c r="CV23" s="193"/>
      <c r="CW23" s="193"/>
      <c r="CX23" s="193"/>
      <c r="CY23" s="193"/>
      <c r="CZ23" s="193"/>
      <c r="DA23" s="193"/>
      <c r="DB23" s="193"/>
      <c r="DC23" s="193"/>
      <c r="DD23" s="193"/>
      <c r="DE23" s="193"/>
      <c r="DF23" s="193"/>
      <c r="DG23" s="193"/>
      <c r="DH23" s="193"/>
      <c r="DI23" s="193"/>
      <c r="DJ23" s="193"/>
      <c r="DK23" s="193"/>
      <c r="DL23" s="193"/>
      <c r="DM23" s="193"/>
      <c r="DN23" s="193"/>
      <c r="DO23" s="193"/>
      <c r="DP23" s="193"/>
      <c r="DQ23" s="193"/>
      <c r="DR23" s="193"/>
      <c r="DS23" s="193"/>
      <c r="DT23" s="193"/>
      <c r="DU23" s="193"/>
      <c r="DV23" s="193"/>
      <c r="DW23" s="193"/>
      <c r="DX23" s="193"/>
      <c r="DY23" s="193"/>
      <c r="DZ23" s="193"/>
      <c r="EA23" s="193"/>
      <c r="EB23" s="193"/>
      <c r="EC23" s="193"/>
      <c r="ED23" s="193"/>
      <c r="EE23" s="193"/>
      <c r="EF23" s="193"/>
      <c r="EG23" s="193"/>
      <c r="EH23" s="193"/>
      <c r="EI23" s="193"/>
      <c r="EJ23" s="193"/>
      <c r="EK23" s="193"/>
      <c r="EL23" s="193"/>
      <c r="EM23" s="193"/>
      <c r="EN23" s="193"/>
      <c r="EO23" s="193"/>
      <c r="EP23" s="193"/>
      <c r="EQ23" s="193"/>
      <c r="ER23" s="193"/>
      <c r="ES23" s="193"/>
      <c r="ET23" s="193"/>
      <c r="EU23" s="193"/>
      <c r="EV23" s="193"/>
      <c r="EW23" s="193"/>
      <c r="EX23" s="193"/>
      <c r="EY23" s="193"/>
      <c r="EZ23" s="193"/>
      <c r="FA23" s="193"/>
      <c r="FB23" s="193"/>
      <c r="FC23" s="193"/>
      <c r="FD23" s="193"/>
      <c r="FE23" s="193"/>
      <c r="FF23" s="193"/>
      <c r="FG23" s="193"/>
      <c r="FH23" s="193"/>
      <c r="FI23" s="193"/>
      <c r="FJ23" s="193"/>
      <c r="FK23" s="193"/>
      <c r="FL23" s="193"/>
      <c r="FM23" s="193"/>
      <c r="FN23" s="193"/>
      <c r="FO23" s="193"/>
      <c r="FP23" s="193"/>
      <c r="FQ23" s="193"/>
      <c r="FR23" s="193"/>
      <c r="FS23" s="193"/>
      <c r="FT23" s="193"/>
      <c r="FU23" s="193"/>
      <c r="FV23" s="193"/>
      <c r="FW23" s="193"/>
      <c r="FX23" s="193"/>
      <c r="FY23" s="193"/>
      <c r="FZ23" s="193"/>
      <c r="GA23" s="193"/>
      <c r="GB23" s="193"/>
      <c r="GC23" s="193"/>
      <c r="GD23" s="193"/>
      <c r="GE23" s="193"/>
      <c r="GF23" s="193"/>
      <c r="GG23" s="193"/>
      <c r="GH23" s="193"/>
      <c r="GI23" s="193"/>
      <c r="GJ23" s="193"/>
      <c r="GK23" s="193"/>
      <c r="GL23" s="193"/>
      <c r="GM23" s="193"/>
      <c r="GN23" s="193"/>
      <c r="GO23" s="193"/>
      <c r="GP23" s="193"/>
      <c r="GQ23" s="193"/>
      <c r="GR23" s="193"/>
      <c r="GS23" s="193"/>
      <c r="GT23" s="193"/>
      <c r="GU23" s="193"/>
      <c r="GV23" s="193"/>
      <c r="GW23" s="193"/>
      <c r="GX23" s="193"/>
      <c r="GY23" s="193"/>
      <c r="GZ23" s="193"/>
      <c r="HA23" s="193"/>
      <c r="HB23" s="193"/>
      <c r="HC23" s="193"/>
      <c r="HD23" s="193"/>
      <c r="HE23" s="193"/>
      <c r="HF23" s="193"/>
      <c r="HG23" s="193"/>
      <c r="HH23" s="193"/>
      <c r="HI23" s="193"/>
      <c r="HJ23" s="193"/>
      <c r="HK23" s="193"/>
      <c r="HL23" s="193"/>
      <c r="HM23" s="193"/>
      <c r="HN23" s="193"/>
      <c r="HO23" s="193"/>
      <c r="HP23" s="193"/>
      <c r="HQ23" s="193"/>
      <c r="HR23" s="193"/>
      <c r="HS23" s="193"/>
      <c r="HT23" s="193"/>
      <c r="HU23" s="193"/>
      <c r="HV23" s="193"/>
      <c r="HW23" s="193"/>
      <c r="HX23" s="193"/>
      <c r="HY23" s="193"/>
      <c r="HZ23" s="193"/>
      <c r="IA23" s="193"/>
      <c r="IB23" s="193"/>
      <c r="IC23" s="193"/>
      <c r="ID23" s="193"/>
      <c r="IE23" s="193"/>
      <c r="IF23" s="193"/>
      <c r="IG23" s="193"/>
      <c r="IH23" s="193"/>
      <c r="II23" s="193"/>
      <c r="IJ23" s="193"/>
      <c r="IK23" s="193"/>
      <c r="IL23" s="193"/>
      <c r="IM23" s="193"/>
      <c r="IN23" s="193"/>
      <c r="IO23" s="193"/>
      <c r="IP23" s="193"/>
      <c r="IQ23" s="193"/>
    </row>
    <row r="24" spans="1:251" hidden="1">
      <c r="A24" s="1026"/>
      <c r="B24" s="1955"/>
      <c r="C24" s="1955"/>
      <c r="D24" s="2034"/>
      <c r="E24" s="1955"/>
      <c r="F24" s="1942">
        <f t="shared" si="15"/>
        <v>0</v>
      </c>
      <c r="G24" s="1026"/>
      <c r="H24" s="1942">
        <f t="shared" si="5"/>
        <v>0</v>
      </c>
      <c r="I24" s="1026"/>
      <c r="J24" s="1942">
        <f t="shared" si="6"/>
        <v>0</v>
      </c>
      <c r="K24" s="1026"/>
      <c r="L24" s="1942">
        <f t="shared" si="7"/>
        <v>0</v>
      </c>
      <c r="M24" s="1942">
        <f t="shared" si="14"/>
        <v>0</v>
      </c>
      <c r="N24" s="1942">
        <f t="shared" si="8"/>
        <v>0</v>
      </c>
      <c r="O24" s="1026"/>
      <c r="P24" s="1026"/>
      <c r="Q24" s="1942">
        <f t="shared" si="9"/>
        <v>0</v>
      </c>
      <c r="R24" s="1942">
        <f t="shared" si="10"/>
        <v>0</v>
      </c>
      <c r="S24" s="1942">
        <f t="shared" si="11"/>
        <v>0</v>
      </c>
      <c r="T24" s="1942">
        <f t="shared" si="12"/>
        <v>0</v>
      </c>
      <c r="U24" s="1942">
        <f t="shared" si="13"/>
        <v>0</v>
      </c>
      <c r="V24" s="3035">
        <f t="shared" si="2"/>
        <v>0</v>
      </c>
      <c r="W24" s="1942"/>
      <c r="X24" s="193"/>
      <c r="Y24" s="193"/>
      <c r="Z24" s="193"/>
      <c r="AA24" s="193"/>
      <c r="AB24" s="193"/>
      <c r="AC24" s="193"/>
      <c r="AD24" s="193"/>
      <c r="AE24" s="193"/>
      <c r="AF24" s="193"/>
      <c r="AG24" s="193"/>
      <c r="AH24" s="193"/>
      <c r="AI24" s="193"/>
      <c r="AJ24" s="193"/>
      <c r="AK24" s="193"/>
      <c r="AL24" s="193"/>
      <c r="AM24" s="193"/>
      <c r="AN24" s="193"/>
      <c r="AO24" s="193"/>
      <c r="AP24" s="193"/>
      <c r="AQ24" s="193"/>
      <c r="AR24" s="193"/>
      <c r="AS24" s="193"/>
      <c r="AT24" s="193"/>
      <c r="AU24" s="193"/>
      <c r="AV24" s="193"/>
      <c r="AW24" s="193"/>
      <c r="AX24" s="193"/>
      <c r="AY24" s="193"/>
      <c r="AZ24" s="193"/>
      <c r="BA24" s="193"/>
      <c r="BB24" s="193"/>
      <c r="BC24" s="193"/>
      <c r="BD24" s="193"/>
      <c r="BE24" s="193"/>
      <c r="BF24" s="193"/>
      <c r="BG24" s="193"/>
      <c r="BH24" s="193"/>
      <c r="BI24" s="193"/>
      <c r="BJ24" s="193"/>
      <c r="BK24" s="193"/>
      <c r="BL24" s="193"/>
      <c r="BM24" s="193"/>
      <c r="BN24" s="193"/>
      <c r="BO24" s="193"/>
      <c r="BP24" s="193"/>
      <c r="BQ24" s="193"/>
      <c r="BR24" s="193"/>
      <c r="BS24" s="193"/>
      <c r="BT24" s="193"/>
      <c r="BU24" s="193"/>
      <c r="BV24" s="193"/>
      <c r="BW24" s="193"/>
      <c r="BX24" s="193"/>
      <c r="BY24" s="193"/>
      <c r="BZ24" s="193"/>
      <c r="CA24" s="193"/>
      <c r="CB24" s="193"/>
      <c r="CC24" s="193"/>
      <c r="CD24" s="193"/>
      <c r="CE24" s="193"/>
      <c r="CF24" s="193"/>
      <c r="CG24" s="193"/>
      <c r="CH24" s="193"/>
      <c r="CI24" s="193"/>
      <c r="CJ24" s="193"/>
      <c r="CK24" s="193"/>
      <c r="CL24" s="193"/>
      <c r="CM24" s="193"/>
      <c r="CN24" s="193"/>
      <c r="CO24" s="193"/>
      <c r="CP24" s="193"/>
      <c r="CQ24" s="193"/>
      <c r="CR24" s="193"/>
      <c r="CS24" s="193"/>
      <c r="CT24" s="193"/>
      <c r="CU24" s="193"/>
      <c r="CV24" s="193"/>
      <c r="CW24" s="193"/>
      <c r="CX24" s="193"/>
      <c r="CY24" s="193"/>
      <c r="CZ24" s="193"/>
      <c r="DA24" s="193"/>
      <c r="DB24" s="193"/>
      <c r="DC24" s="193"/>
      <c r="DD24" s="193"/>
      <c r="DE24" s="193"/>
      <c r="DF24" s="193"/>
      <c r="DG24" s="193"/>
      <c r="DH24" s="193"/>
      <c r="DI24" s="193"/>
      <c r="DJ24" s="193"/>
      <c r="DK24" s="193"/>
      <c r="DL24" s="193"/>
      <c r="DM24" s="193"/>
      <c r="DN24" s="193"/>
      <c r="DO24" s="193"/>
      <c r="DP24" s="193"/>
      <c r="DQ24" s="193"/>
      <c r="DR24" s="193"/>
      <c r="DS24" s="193"/>
      <c r="DT24" s="193"/>
      <c r="DU24" s="193"/>
      <c r="DV24" s="193"/>
      <c r="DW24" s="193"/>
      <c r="DX24" s="193"/>
      <c r="DY24" s="193"/>
      <c r="DZ24" s="193"/>
      <c r="EA24" s="193"/>
      <c r="EB24" s="193"/>
      <c r="EC24" s="193"/>
      <c r="ED24" s="193"/>
      <c r="EE24" s="193"/>
      <c r="EF24" s="193"/>
      <c r="EG24" s="193"/>
      <c r="EH24" s="193"/>
      <c r="EI24" s="193"/>
      <c r="EJ24" s="193"/>
      <c r="EK24" s="193"/>
      <c r="EL24" s="193"/>
      <c r="EM24" s="193"/>
      <c r="EN24" s="193"/>
      <c r="EO24" s="193"/>
      <c r="EP24" s="193"/>
      <c r="EQ24" s="193"/>
      <c r="ER24" s="193"/>
      <c r="ES24" s="193"/>
      <c r="ET24" s="193"/>
      <c r="EU24" s="193"/>
      <c r="EV24" s="193"/>
      <c r="EW24" s="193"/>
      <c r="EX24" s="193"/>
      <c r="EY24" s="193"/>
      <c r="EZ24" s="193"/>
      <c r="FA24" s="193"/>
      <c r="FB24" s="193"/>
      <c r="FC24" s="193"/>
      <c r="FD24" s="193"/>
      <c r="FE24" s="193"/>
      <c r="FF24" s="193"/>
      <c r="FG24" s="193"/>
      <c r="FH24" s="193"/>
      <c r="FI24" s="193"/>
      <c r="FJ24" s="193"/>
      <c r="FK24" s="193"/>
      <c r="FL24" s="193"/>
      <c r="FM24" s="193"/>
      <c r="FN24" s="193"/>
      <c r="FO24" s="193"/>
      <c r="FP24" s="193"/>
      <c r="FQ24" s="193"/>
      <c r="FR24" s="193"/>
      <c r="FS24" s="193"/>
      <c r="FT24" s="193"/>
      <c r="FU24" s="193"/>
      <c r="FV24" s="193"/>
      <c r="FW24" s="193"/>
      <c r="FX24" s="193"/>
      <c r="FY24" s="193"/>
      <c r="FZ24" s="193"/>
      <c r="GA24" s="193"/>
      <c r="GB24" s="193"/>
      <c r="GC24" s="193"/>
      <c r="GD24" s="193"/>
      <c r="GE24" s="193"/>
      <c r="GF24" s="193"/>
      <c r="GG24" s="193"/>
      <c r="GH24" s="193"/>
      <c r="GI24" s="193"/>
      <c r="GJ24" s="193"/>
      <c r="GK24" s="193"/>
      <c r="GL24" s="193"/>
      <c r="GM24" s="193"/>
      <c r="GN24" s="193"/>
      <c r="GO24" s="193"/>
      <c r="GP24" s="193"/>
      <c r="GQ24" s="193"/>
      <c r="GR24" s="193"/>
      <c r="GS24" s="193"/>
      <c r="GT24" s="193"/>
      <c r="GU24" s="193"/>
      <c r="GV24" s="193"/>
      <c r="GW24" s="193"/>
      <c r="GX24" s="193"/>
      <c r="GY24" s="193"/>
      <c r="GZ24" s="193"/>
      <c r="HA24" s="193"/>
      <c r="HB24" s="193"/>
      <c r="HC24" s="193"/>
      <c r="HD24" s="193"/>
      <c r="HE24" s="193"/>
      <c r="HF24" s="193"/>
      <c r="HG24" s="193"/>
      <c r="HH24" s="193"/>
      <c r="HI24" s="193"/>
      <c r="HJ24" s="193"/>
      <c r="HK24" s="193"/>
      <c r="HL24" s="193"/>
      <c r="HM24" s="193"/>
      <c r="HN24" s="193"/>
      <c r="HO24" s="193"/>
      <c r="HP24" s="193"/>
      <c r="HQ24" s="193"/>
      <c r="HR24" s="193"/>
      <c r="HS24" s="193"/>
      <c r="HT24" s="193"/>
      <c r="HU24" s="193"/>
      <c r="HV24" s="193"/>
      <c r="HW24" s="193"/>
      <c r="HX24" s="193"/>
      <c r="HY24" s="193"/>
      <c r="HZ24" s="193"/>
      <c r="IA24" s="193"/>
      <c r="IB24" s="193"/>
      <c r="IC24" s="193"/>
      <c r="ID24" s="193"/>
      <c r="IE24" s="193"/>
      <c r="IF24" s="193"/>
      <c r="IG24" s="193"/>
      <c r="IH24" s="193"/>
      <c r="II24" s="193"/>
      <c r="IJ24" s="193"/>
      <c r="IK24" s="193"/>
      <c r="IL24" s="193"/>
      <c r="IM24" s="193"/>
      <c r="IN24" s="193"/>
      <c r="IO24" s="193"/>
      <c r="IP24" s="193"/>
      <c r="IQ24" s="193"/>
    </row>
    <row r="25" spans="1:251" hidden="1">
      <c r="A25" s="1026"/>
      <c r="B25" s="1955"/>
      <c r="C25" s="1955"/>
      <c r="D25" s="2034"/>
      <c r="E25" s="1955"/>
      <c r="F25" s="1942">
        <f t="shared" si="15"/>
        <v>0</v>
      </c>
      <c r="G25" s="1026"/>
      <c r="H25" s="1942">
        <f>D25*F25*G25</f>
        <v>0</v>
      </c>
      <c r="I25" s="1026"/>
      <c r="J25" s="1942">
        <f t="shared" si="6"/>
        <v>0</v>
      </c>
      <c r="K25" s="1026"/>
      <c r="L25" s="1942">
        <f t="shared" si="7"/>
        <v>0</v>
      </c>
      <c r="M25" s="1942">
        <f t="shared" si="14"/>
        <v>0</v>
      </c>
      <c r="N25" s="1942">
        <f t="shared" si="8"/>
        <v>0</v>
      </c>
      <c r="O25" s="1026"/>
      <c r="P25" s="1026"/>
      <c r="Q25" s="1942">
        <f t="shared" si="9"/>
        <v>0</v>
      </c>
      <c r="R25" s="1942">
        <f t="shared" si="10"/>
        <v>0</v>
      </c>
      <c r="S25" s="1942">
        <f t="shared" si="11"/>
        <v>0</v>
      </c>
      <c r="T25" s="1942">
        <f t="shared" si="12"/>
        <v>0</v>
      </c>
      <c r="U25" s="1942">
        <f t="shared" si="13"/>
        <v>0</v>
      </c>
      <c r="V25" s="3035">
        <f t="shared" si="2"/>
        <v>0</v>
      </c>
      <c r="W25" s="1942"/>
      <c r="X25" s="193"/>
      <c r="Y25" s="193"/>
      <c r="Z25" s="193"/>
      <c r="AA25" s="193"/>
      <c r="AB25" s="193"/>
      <c r="AC25" s="193"/>
      <c r="AD25" s="193"/>
      <c r="AE25" s="193"/>
      <c r="AF25" s="193"/>
      <c r="AG25" s="193"/>
      <c r="AH25" s="193"/>
      <c r="AI25" s="193"/>
      <c r="AJ25" s="193"/>
      <c r="AK25" s="193"/>
      <c r="AL25" s="193"/>
      <c r="AM25" s="193"/>
      <c r="AN25" s="193"/>
      <c r="AO25" s="193"/>
      <c r="AP25" s="193"/>
      <c r="AQ25" s="193"/>
      <c r="AR25" s="193"/>
      <c r="AS25" s="193"/>
      <c r="AT25" s="193"/>
      <c r="AU25" s="193"/>
      <c r="AV25" s="193"/>
      <c r="AW25" s="193"/>
      <c r="AX25" s="193"/>
      <c r="AY25" s="193"/>
      <c r="AZ25" s="193"/>
      <c r="BA25" s="193"/>
      <c r="BB25" s="193"/>
      <c r="BC25" s="193"/>
      <c r="BD25" s="193"/>
      <c r="BE25" s="193"/>
      <c r="BF25" s="193"/>
      <c r="BG25" s="193"/>
      <c r="BH25" s="193"/>
      <c r="BI25" s="193"/>
      <c r="BJ25" s="193"/>
      <c r="BK25" s="193"/>
      <c r="BL25" s="193"/>
      <c r="BM25" s="193"/>
      <c r="BN25" s="193"/>
      <c r="BO25" s="193"/>
      <c r="BP25" s="193"/>
      <c r="BQ25" s="193"/>
      <c r="BR25" s="193"/>
      <c r="BS25" s="193"/>
      <c r="BT25" s="193"/>
      <c r="BU25" s="193"/>
      <c r="BV25" s="193"/>
      <c r="BW25" s="193"/>
      <c r="BX25" s="193"/>
      <c r="BY25" s="193"/>
      <c r="BZ25" s="193"/>
      <c r="CA25" s="193"/>
      <c r="CB25" s="193"/>
      <c r="CC25" s="193"/>
      <c r="CD25" s="193"/>
      <c r="CE25" s="193"/>
      <c r="CF25" s="193"/>
      <c r="CG25" s="193"/>
      <c r="CH25" s="193"/>
      <c r="CI25" s="193"/>
      <c r="CJ25" s="193"/>
      <c r="CK25" s="193"/>
      <c r="CL25" s="193"/>
      <c r="CM25" s="193"/>
      <c r="CN25" s="193"/>
      <c r="CO25" s="193"/>
      <c r="CP25" s="193"/>
      <c r="CQ25" s="193"/>
      <c r="CR25" s="193"/>
      <c r="CS25" s="193"/>
      <c r="CT25" s="193"/>
      <c r="CU25" s="193"/>
      <c r="CV25" s="193"/>
      <c r="CW25" s="193"/>
      <c r="CX25" s="193"/>
      <c r="CY25" s="193"/>
      <c r="CZ25" s="193"/>
      <c r="DA25" s="193"/>
      <c r="DB25" s="193"/>
      <c r="DC25" s="193"/>
      <c r="DD25" s="193"/>
      <c r="DE25" s="193"/>
      <c r="DF25" s="193"/>
      <c r="DG25" s="193"/>
      <c r="DH25" s="193"/>
      <c r="DI25" s="193"/>
      <c r="DJ25" s="193"/>
      <c r="DK25" s="193"/>
      <c r="DL25" s="193"/>
      <c r="DM25" s="193"/>
      <c r="DN25" s="193"/>
      <c r="DO25" s="193"/>
      <c r="DP25" s="193"/>
      <c r="DQ25" s="193"/>
      <c r="DR25" s="193"/>
      <c r="DS25" s="193"/>
      <c r="DT25" s="193"/>
      <c r="DU25" s="193"/>
      <c r="DV25" s="193"/>
      <c r="DW25" s="193"/>
      <c r="DX25" s="193"/>
      <c r="DY25" s="193"/>
      <c r="DZ25" s="193"/>
      <c r="EA25" s="193"/>
      <c r="EB25" s="193"/>
      <c r="EC25" s="193"/>
      <c r="ED25" s="193"/>
      <c r="EE25" s="193"/>
      <c r="EF25" s="193"/>
      <c r="EG25" s="193"/>
      <c r="EH25" s="193"/>
      <c r="EI25" s="193"/>
      <c r="EJ25" s="193"/>
      <c r="EK25" s="193"/>
      <c r="EL25" s="193"/>
      <c r="EM25" s="193"/>
      <c r="EN25" s="193"/>
      <c r="EO25" s="193"/>
      <c r="EP25" s="193"/>
      <c r="EQ25" s="193"/>
      <c r="ER25" s="193"/>
      <c r="ES25" s="193"/>
      <c r="ET25" s="193"/>
      <c r="EU25" s="193"/>
      <c r="EV25" s="193"/>
      <c r="EW25" s="193"/>
      <c r="EX25" s="193"/>
      <c r="EY25" s="193"/>
      <c r="EZ25" s="193"/>
      <c r="FA25" s="193"/>
      <c r="FB25" s="193"/>
      <c r="FC25" s="193"/>
      <c r="FD25" s="193"/>
      <c r="FE25" s="193"/>
      <c r="FF25" s="193"/>
      <c r="FG25" s="193"/>
      <c r="FH25" s="193"/>
      <c r="FI25" s="193"/>
      <c r="FJ25" s="193"/>
      <c r="FK25" s="193"/>
      <c r="FL25" s="193"/>
      <c r="FM25" s="193"/>
      <c r="FN25" s="193"/>
      <c r="FO25" s="193"/>
      <c r="FP25" s="193"/>
      <c r="FQ25" s="193"/>
      <c r="FR25" s="193"/>
      <c r="FS25" s="193"/>
      <c r="FT25" s="193"/>
      <c r="FU25" s="193"/>
      <c r="FV25" s="193"/>
      <c r="FW25" s="193"/>
      <c r="FX25" s="193"/>
      <c r="FY25" s="193"/>
      <c r="FZ25" s="193"/>
      <c r="GA25" s="193"/>
      <c r="GB25" s="193"/>
      <c r="GC25" s="193"/>
      <c r="GD25" s="193"/>
      <c r="GE25" s="193"/>
      <c r="GF25" s="193"/>
      <c r="GG25" s="193"/>
      <c r="GH25" s="193"/>
      <c r="GI25" s="193"/>
      <c r="GJ25" s="193"/>
      <c r="GK25" s="193"/>
      <c r="GL25" s="193"/>
      <c r="GM25" s="193"/>
      <c r="GN25" s="193"/>
      <c r="GO25" s="193"/>
      <c r="GP25" s="193"/>
      <c r="GQ25" s="193"/>
      <c r="GR25" s="193"/>
      <c r="GS25" s="193"/>
      <c r="GT25" s="193"/>
      <c r="GU25" s="193"/>
      <c r="GV25" s="193"/>
      <c r="GW25" s="193"/>
      <c r="GX25" s="193"/>
      <c r="GY25" s="193"/>
      <c r="GZ25" s="193"/>
      <c r="HA25" s="193"/>
      <c r="HB25" s="193"/>
      <c r="HC25" s="193"/>
      <c r="HD25" s="193"/>
      <c r="HE25" s="193"/>
      <c r="HF25" s="193"/>
      <c r="HG25" s="193"/>
      <c r="HH25" s="193"/>
      <c r="HI25" s="193"/>
      <c r="HJ25" s="193"/>
      <c r="HK25" s="193"/>
      <c r="HL25" s="193"/>
      <c r="HM25" s="193"/>
      <c r="HN25" s="193"/>
      <c r="HO25" s="193"/>
      <c r="HP25" s="193"/>
      <c r="HQ25" s="193"/>
      <c r="HR25" s="193"/>
      <c r="HS25" s="193"/>
      <c r="HT25" s="193"/>
      <c r="HU25" s="193"/>
      <c r="HV25" s="193"/>
      <c r="HW25" s="193"/>
      <c r="HX25" s="193"/>
      <c r="HY25" s="193"/>
      <c r="HZ25" s="193"/>
      <c r="IA25" s="193"/>
      <c r="IB25" s="193"/>
      <c r="IC25" s="193"/>
      <c r="ID25" s="193"/>
      <c r="IE25" s="193"/>
      <c r="IF25" s="193"/>
      <c r="IG25" s="193"/>
      <c r="IH25" s="193"/>
      <c r="II25" s="193"/>
      <c r="IJ25" s="193"/>
      <c r="IK25" s="193"/>
      <c r="IL25" s="193"/>
      <c r="IM25" s="193"/>
      <c r="IN25" s="193"/>
      <c r="IO25" s="193"/>
      <c r="IP25" s="193"/>
      <c r="IQ25" s="193"/>
    </row>
    <row r="26" spans="1:251" ht="12" hidden="1" customHeight="1">
      <c r="A26" s="1026"/>
      <c r="B26" s="1955"/>
      <c r="C26" s="1955"/>
      <c r="D26" s="2034"/>
      <c r="E26" s="1955"/>
      <c r="F26" s="1942">
        <f t="shared" si="15"/>
        <v>0</v>
      </c>
      <c r="G26" s="1026"/>
      <c r="H26" s="1942">
        <f t="shared" si="5"/>
        <v>0</v>
      </c>
      <c r="I26" s="1026"/>
      <c r="J26" s="1942">
        <f t="shared" si="6"/>
        <v>0</v>
      </c>
      <c r="K26" s="1026"/>
      <c r="L26" s="1942">
        <f t="shared" si="7"/>
        <v>0</v>
      </c>
      <c r="M26" s="1942">
        <f t="shared" si="14"/>
        <v>0</v>
      </c>
      <c r="N26" s="1942">
        <f t="shared" si="8"/>
        <v>0</v>
      </c>
      <c r="O26" s="1026"/>
      <c r="P26" s="1026"/>
      <c r="Q26" s="1942">
        <f t="shared" si="9"/>
        <v>0</v>
      </c>
      <c r="R26" s="1942">
        <f t="shared" si="10"/>
        <v>0</v>
      </c>
      <c r="S26" s="1942">
        <f t="shared" si="11"/>
        <v>0</v>
      </c>
      <c r="T26" s="1942">
        <f t="shared" si="12"/>
        <v>0</v>
      </c>
      <c r="U26" s="1942">
        <f t="shared" si="13"/>
        <v>0</v>
      </c>
      <c r="V26" s="3035">
        <f t="shared" si="2"/>
        <v>0</v>
      </c>
      <c r="W26" s="1942"/>
      <c r="X26" s="193"/>
      <c r="Y26" s="193"/>
      <c r="Z26" s="193"/>
      <c r="AA26" s="193"/>
      <c r="AB26" s="193"/>
      <c r="AC26" s="193"/>
      <c r="AD26" s="193"/>
      <c r="AE26" s="193"/>
      <c r="AF26" s="193"/>
      <c r="AG26" s="193"/>
      <c r="AH26" s="193"/>
      <c r="AI26" s="193"/>
      <c r="AJ26" s="193"/>
      <c r="AK26" s="193"/>
      <c r="AL26" s="193"/>
      <c r="AM26" s="193"/>
      <c r="AN26" s="193"/>
      <c r="AO26" s="193"/>
      <c r="AP26" s="193"/>
      <c r="AQ26" s="193"/>
      <c r="AR26" s="193"/>
      <c r="AS26" s="193"/>
      <c r="AT26" s="193"/>
      <c r="AU26" s="193"/>
      <c r="AV26" s="193"/>
      <c r="AW26" s="193"/>
      <c r="AX26" s="193"/>
      <c r="AY26" s="193"/>
      <c r="AZ26" s="193"/>
      <c r="BA26" s="193"/>
      <c r="BB26" s="193"/>
      <c r="BC26" s="193"/>
      <c r="BD26" s="193"/>
      <c r="BE26" s="193"/>
      <c r="BF26" s="193"/>
      <c r="BG26" s="193"/>
      <c r="BH26" s="193"/>
      <c r="BI26" s="193"/>
      <c r="BJ26" s="193"/>
      <c r="BK26" s="193"/>
      <c r="BL26" s="193"/>
      <c r="BM26" s="193"/>
      <c r="BN26" s="193"/>
      <c r="BO26" s="193"/>
      <c r="BP26" s="193"/>
      <c r="BQ26" s="193"/>
      <c r="BR26" s="193"/>
      <c r="BS26" s="193"/>
      <c r="BT26" s="193"/>
      <c r="BU26" s="193"/>
      <c r="BV26" s="193"/>
      <c r="BW26" s="193"/>
      <c r="BX26" s="193"/>
      <c r="BY26" s="193"/>
      <c r="BZ26" s="193"/>
      <c r="CA26" s="193"/>
      <c r="CB26" s="193"/>
      <c r="CC26" s="193"/>
      <c r="CD26" s="193"/>
      <c r="CE26" s="193"/>
      <c r="CF26" s="193"/>
      <c r="CG26" s="193"/>
      <c r="CH26" s="193"/>
      <c r="CI26" s="193"/>
      <c r="CJ26" s="193"/>
      <c r="CK26" s="193"/>
      <c r="CL26" s="193"/>
      <c r="CM26" s="193"/>
      <c r="CN26" s="193"/>
      <c r="CO26" s="193"/>
      <c r="CP26" s="193"/>
      <c r="CQ26" s="193"/>
      <c r="CR26" s="193"/>
      <c r="CS26" s="193"/>
      <c r="CT26" s="193"/>
      <c r="CU26" s="193"/>
      <c r="CV26" s="193"/>
      <c r="CW26" s="193"/>
      <c r="CX26" s="193"/>
      <c r="CY26" s="193"/>
      <c r="CZ26" s="193"/>
      <c r="DA26" s="193"/>
      <c r="DB26" s="193"/>
      <c r="DC26" s="193"/>
      <c r="DD26" s="193"/>
      <c r="DE26" s="193"/>
      <c r="DF26" s="193"/>
      <c r="DG26" s="193"/>
      <c r="DH26" s="193"/>
      <c r="DI26" s="193"/>
      <c r="DJ26" s="193"/>
      <c r="DK26" s="193"/>
      <c r="DL26" s="193"/>
      <c r="DM26" s="193"/>
      <c r="DN26" s="193"/>
      <c r="DO26" s="193"/>
      <c r="DP26" s="193"/>
      <c r="DQ26" s="193"/>
      <c r="DR26" s="193"/>
      <c r="DS26" s="193"/>
      <c r="DT26" s="193"/>
      <c r="DU26" s="193"/>
      <c r="DV26" s="193"/>
      <c r="DW26" s="193"/>
      <c r="DX26" s="193"/>
      <c r="DY26" s="193"/>
      <c r="DZ26" s="193"/>
      <c r="EA26" s="193"/>
      <c r="EB26" s="193"/>
      <c r="EC26" s="193"/>
      <c r="ED26" s="193"/>
      <c r="EE26" s="193"/>
      <c r="EF26" s="193"/>
      <c r="EG26" s="193"/>
      <c r="EH26" s="193"/>
      <c r="EI26" s="193"/>
      <c r="EJ26" s="193"/>
      <c r="EK26" s="193"/>
      <c r="EL26" s="193"/>
      <c r="EM26" s="193"/>
      <c r="EN26" s="193"/>
      <c r="EO26" s="193"/>
      <c r="EP26" s="193"/>
      <c r="EQ26" s="193"/>
      <c r="ER26" s="193"/>
      <c r="ES26" s="193"/>
      <c r="ET26" s="193"/>
      <c r="EU26" s="193"/>
      <c r="EV26" s="193"/>
      <c r="EW26" s="193"/>
      <c r="EX26" s="193"/>
      <c r="EY26" s="193"/>
      <c r="EZ26" s="193"/>
      <c r="FA26" s="193"/>
      <c r="FB26" s="193"/>
      <c r="FC26" s="193"/>
      <c r="FD26" s="193"/>
      <c r="FE26" s="193"/>
      <c r="FF26" s="193"/>
      <c r="FG26" s="193"/>
      <c r="FH26" s="193"/>
      <c r="FI26" s="193"/>
      <c r="FJ26" s="193"/>
      <c r="FK26" s="193"/>
      <c r="FL26" s="193"/>
      <c r="FM26" s="193"/>
      <c r="FN26" s="193"/>
      <c r="FO26" s="193"/>
      <c r="FP26" s="193"/>
      <c r="FQ26" s="193"/>
      <c r="FR26" s="193"/>
      <c r="FS26" s="193"/>
      <c r="FT26" s="193"/>
      <c r="FU26" s="193"/>
      <c r="FV26" s="193"/>
      <c r="FW26" s="193"/>
      <c r="FX26" s="193"/>
      <c r="FY26" s="193"/>
      <c r="FZ26" s="193"/>
      <c r="GA26" s="193"/>
      <c r="GB26" s="193"/>
      <c r="GC26" s="193"/>
      <c r="GD26" s="193"/>
      <c r="GE26" s="193"/>
      <c r="GF26" s="193"/>
      <c r="GG26" s="193"/>
      <c r="GH26" s="193"/>
      <c r="GI26" s="193"/>
      <c r="GJ26" s="193"/>
      <c r="GK26" s="193"/>
      <c r="GL26" s="193"/>
      <c r="GM26" s="193"/>
      <c r="GN26" s="193"/>
      <c r="GO26" s="193"/>
      <c r="GP26" s="193"/>
      <c r="GQ26" s="193"/>
      <c r="GR26" s="193"/>
      <c r="GS26" s="193"/>
      <c r="GT26" s="193"/>
      <c r="GU26" s="193"/>
      <c r="GV26" s="193"/>
      <c r="GW26" s="193"/>
      <c r="GX26" s="193"/>
      <c r="GY26" s="193"/>
      <c r="GZ26" s="193"/>
      <c r="HA26" s="193"/>
      <c r="HB26" s="193"/>
      <c r="HC26" s="193"/>
      <c r="HD26" s="193"/>
      <c r="HE26" s="193"/>
      <c r="HF26" s="193"/>
      <c r="HG26" s="193"/>
      <c r="HH26" s="193"/>
      <c r="HI26" s="193"/>
      <c r="HJ26" s="193"/>
      <c r="HK26" s="193"/>
      <c r="HL26" s="193"/>
      <c r="HM26" s="193"/>
      <c r="HN26" s="193"/>
      <c r="HO26" s="193"/>
      <c r="HP26" s="193"/>
      <c r="HQ26" s="193"/>
      <c r="HR26" s="193"/>
      <c r="HS26" s="193"/>
      <c r="HT26" s="193"/>
      <c r="HU26" s="193"/>
      <c r="HV26" s="193"/>
      <c r="HW26" s="193"/>
      <c r="HX26" s="193"/>
      <c r="HY26" s="193"/>
      <c r="HZ26" s="193"/>
      <c r="IA26" s="193"/>
      <c r="IB26" s="193"/>
      <c r="IC26" s="193"/>
      <c r="ID26" s="193"/>
      <c r="IE26" s="193"/>
      <c r="IF26" s="193"/>
      <c r="IG26" s="193"/>
      <c r="IH26" s="193"/>
      <c r="II26" s="193"/>
      <c r="IJ26" s="193"/>
      <c r="IK26" s="193"/>
      <c r="IL26" s="193"/>
      <c r="IM26" s="193"/>
      <c r="IN26" s="193"/>
      <c r="IO26" s="193"/>
      <c r="IP26" s="193"/>
      <c r="IQ26" s="193"/>
    </row>
    <row r="27" spans="1:251" hidden="1">
      <c r="A27" s="1026"/>
      <c r="B27" s="1955"/>
      <c r="C27" s="1955"/>
      <c r="D27" s="2034"/>
      <c r="E27" s="1955"/>
      <c r="F27" s="1942">
        <f t="shared" si="15"/>
        <v>0</v>
      </c>
      <c r="G27" s="1026"/>
      <c r="H27" s="1942">
        <f t="shared" si="5"/>
        <v>0</v>
      </c>
      <c r="I27" s="1026"/>
      <c r="J27" s="1942">
        <f t="shared" si="6"/>
        <v>0</v>
      </c>
      <c r="K27" s="1026"/>
      <c r="L27" s="1942">
        <f t="shared" si="7"/>
        <v>0</v>
      </c>
      <c r="M27" s="1942">
        <f t="shared" si="14"/>
        <v>0</v>
      </c>
      <c r="N27" s="1942">
        <f t="shared" si="8"/>
        <v>0</v>
      </c>
      <c r="O27" s="1026"/>
      <c r="P27" s="1026"/>
      <c r="Q27" s="1942">
        <f t="shared" si="9"/>
        <v>0</v>
      </c>
      <c r="R27" s="1942">
        <f t="shared" si="10"/>
        <v>0</v>
      </c>
      <c r="S27" s="1942">
        <f t="shared" si="11"/>
        <v>0</v>
      </c>
      <c r="T27" s="1942">
        <f t="shared" si="12"/>
        <v>0</v>
      </c>
      <c r="U27" s="1942">
        <f t="shared" si="13"/>
        <v>0</v>
      </c>
      <c r="V27" s="3035">
        <f t="shared" si="2"/>
        <v>0</v>
      </c>
      <c r="W27" s="1942"/>
      <c r="X27" s="193"/>
      <c r="Y27" s="193"/>
      <c r="Z27" s="193"/>
      <c r="AA27" s="193"/>
      <c r="AB27" s="193"/>
      <c r="AC27" s="193"/>
      <c r="AD27" s="193"/>
      <c r="AE27" s="193"/>
      <c r="AF27" s="193"/>
      <c r="AG27" s="193"/>
      <c r="AH27" s="193"/>
      <c r="AI27" s="193"/>
      <c r="AJ27" s="193"/>
      <c r="AK27" s="193"/>
      <c r="AL27" s="193"/>
      <c r="AM27" s="193"/>
      <c r="AN27" s="193"/>
      <c r="AO27" s="193"/>
      <c r="AP27" s="193"/>
      <c r="AQ27" s="193"/>
      <c r="AR27" s="193"/>
      <c r="AS27" s="193"/>
      <c r="AT27" s="193"/>
      <c r="AU27" s="193"/>
      <c r="AV27" s="193"/>
      <c r="AW27" s="193"/>
      <c r="AX27" s="193"/>
      <c r="AY27" s="193"/>
      <c r="AZ27" s="193"/>
      <c r="BA27" s="193"/>
      <c r="BB27" s="193"/>
      <c r="BC27" s="193"/>
      <c r="BD27" s="193"/>
      <c r="BE27" s="193"/>
      <c r="BF27" s="193"/>
      <c r="BG27" s="193"/>
      <c r="BH27" s="193"/>
      <c r="BI27" s="193"/>
      <c r="BJ27" s="193"/>
      <c r="BK27" s="193"/>
      <c r="BL27" s="193"/>
      <c r="BM27" s="193"/>
      <c r="BN27" s="193"/>
      <c r="BO27" s="193"/>
      <c r="BP27" s="193"/>
      <c r="BQ27" s="193"/>
      <c r="BR27" s="193"/>
      <c r="BS27" s="193"/>
      <c r="BT27" s="193"/>
      <c r="BU27" s="193"/>
      <c r="BV27" s="193"/>
      <c r="BW27" s="193"/>
      <c r="BX27" s="193"/>
      <c r="BY27" s="193"/>
      <c r="BZ27" s="193"/>
      <c r="CA27" s="193"/>
      <c r="CB27" s="193"/>
      <c r="CC27" s="193"/>
      <c r="CD27" s="193"/>
      <c r="CE27" s="193"/>
      <c r="CF27" s="193"/>
      <c r="CG27" s="193"/>
      <c r="CH27" s="193"/>
      <c r="CI27" s="193"/>
      <c r="CJ27" s="193"/>
      <c r="CK27" s="193"/>
      <c r="CL27" s="193"/>
      <c r="CM27" s="193"/>
      <c r="CN27" s="193"/>
      <c r="CO27" s="193"/>
      <c r="CP27" s="193"/>
      <c r="CQ27" s="193"/>
      <c r="CR27" s="193"/>
      <c r="CS27" s="193"/>
      <c r="CT27" s="193"/>
      <c r="CU27" s="193"/>
      <c r="CV27" s="193"/>
      <c r="CW27" s="193"/>
      <c r="CX27" s="193"/>
      <c r="CY27" s="193"/>
      <c r="CZ27" s="193"/>
      <c r="DA27" s="193"/>
      <c r="DB27" s="193"/>
      <c r="DC27" s="193"/>
      <c r="DD27" s="193"/>
      <c r="DE27" s="193"/>
      <c r="DF27" s="193"/>
      <c r="DG27" s="193"/>
      <c r="DH27" s="193"/>
      <c r="DI27" s="193"/>
      <c r="DJ27" s="193"/>
      <c r="DK27" s="193"/>
      <c r="DL27" s="193"/>
      <c r="DM27" s="193"/>
      <c r="DN27" s="193"/>
      <c r="DO27" s="193"/>
      <c r="DP27" s="193"/>
      <c r="DQ27" s="193"/>
      <c r="DR27" s="193"/>
      <c r="DS27" s="193"/>
      <c r="DT27" s="193"/>
      <c r="DU27" s="193"/>
      <c r="DV27" s="193"/>
      <c r="DW27" s="193"/>
      <c r="DX27" s="193"/>
      <c r="DY27" s="193"/>
      <c r="DZ27" s="193"/>
      <c r="EA27" s="193"/>
      <c r="EB27" s="193"/>
      <c r="EC27" s="193"/>
      <c r="ED27" s="193"/>
      <c r="EE27" s="193"/>
      <c r="EF27" s="193"/>
      <c r="EG27" s="193"/>
      <c r="EH27" s="193"/>
      <c r="EI27" s="193"/>
      <c r="EJ27" s="193"/>
      <c r="EK27" s="193"/>
      <c r="EL27" s="193"/>
      <c r="EM27" s="193"/>
      <c r="EN27" s="193"/>
      <c r="EO27" s="193"/>
      <c r="EP27" s="193"/>
      <c r="EQ27" s="193"/>
      <c r="ER27" s="193"/>
      <c r="ES27" s="193"/>
      <c r="ET27" s="193"/>
      <c r="EU27" s="193"/>
      <c r="EV27" s="193"/>
      <c r="EW27" s="193"/>
      <c r="EX27" s="193"/>
      <c r="EY27" s="193"/>
      <c r="EZ27" s="193"/>
      <c r="FA27" s="193"/>
      <c r="FB27" s="193"/>
      <c r="FC27" s="193"/>
      <c r="FD27" s="193"/>
      <c r="FE27" s="193"/>
      <c r="FF27" s="193"/>
      <c r="FG27" s="193"/>
      <c r="FH27" s="193"/>
      <c r="FI27" s="193"/>
      <c r="FJ27" s="193"/>
      <c r="FK27" s="193"/>
      <c r="FL27" s="193"/>
      <c r="FM27" s="193"/>
      <c r="FN27" s="193"/>
      <c r="FO27" s="193"/>
      <c r="FP27" s="193"/>
      <c r="FQ27" s="193"/>
      <c r="FR27" s="193"/>
      <c r="FS27" s="193"/>
      <c r="FT27" s="193"/>
      <c r="FU27" s="193"/>
      <c r="FV27" s="193"/>
      <c r="FW27" s="193"/>
      <c r="FX27" s="193"/>
      <c r="FY27" s="193"/>
      <c r="FZ27" s="193"/>
      <c r="GA27" s="193"/>
      <c r="GB27" s="193"/>
      <c r="GC27" s="193"/>
      <c r="GD27" s="193"/>
      <c r="GE27" s="193"/>
      <c r="GF27" s="193"/>
      <c r="GG27" s="193"/>
      <c r="GH27" s="193"/>
      <c r="GI27" s="193"/>
      <c r="GJ27" s="193"/>
      <c r="GK27" s="193"/>
      <c r="GL27" s="193"/>
      <c r="GM27" s="193"/>
      <c r="GN27" s="193"/>
      <c r="GO27" s="193"/>
      <c r="GP27" s="193"/>
      <c r="GQ27" s="193"/>
      <c r="GR27" s="193"/>
      <c r="GS27" s="193"/>
      <c r="GT27" s="193"/>
      <c r="GU27" s="193"/>
      <c r="GV27" s="193"/>
      <c r="GW27" s="193"/>
      <c r="GX27" s="193"/>
      <c r="GY27" s="193"/>
      <c r="GZ27" s="193"/>
      <c r="HA27" s="193"/>
      <c r="HB27" s="193"/>
      <c r="HC27" s="193"/>
      <c r="HD27" s="193"/>
      <c r="HE27" s="193"/>
      <c r="HF27" s="193"/>
      <c r="HG27" s="193"/>
      <c r="HH27" s="193"/>
      <c r="HI27" s="193"/>
      <c r="HJ27" s="193"/>
      <c r="HK27" s="193"/>
      <c r="HL27" s="193"/>
      <c r="HM27" s="193"/>
      <c r="HN27" s="193"/>
      <c r="HO27" s="193"/>
      <c r="HP27" s="193"/>
      <c r="HQ27" s="193"/>
      <c r="HR27" s="193"/>
      <c r="HS27" s="193"/>
      <c r="HT27" s="193"/>
      <c r="HU27" s="193"/>
      <c r="HV27" s="193"/>
      <c r="HW27" s="193"/>
      <c r="HX27" s="193"/>
      <c r="HY27" s="193"/>
      <c r="HZ27" s="193"/>
      <c r="IA27" s="193"/>
      <c r="IB27" s="193"/>
      <c r="IC27" s="193"/>
      <c r="ID27" s="193"/>
      <c r="IE27" s="193"/>
      <c r="IF27" s="193"/>
      <c r="IG27" s="193"/>
      <c r="IH27" s="193"/>
      <c r="II27" s="193"/>
      <c r="IJ27" s="193"/>
      <c r="IK27" s="193"/>
      <c r="IL27" s="193"/>
      <c r="IM27" s="193"/>
      <c r="IN27" s="193"/>
      <c r="IO27" s="193"/>
      <c r="IP27" s="193"/>
      <c r="IQ27" s="193"/>
    </row>
    <row r="28" spans="1:251" hidden="1">
      <c r="A28" s="1026"/>
      <c r="B28" s="1955"/>
      <c r="C28" s="1955"/>
      <c r="D28" s="2034"/>
      <c r="E28" s="1955"/>
      <c r="F28" s="1942">
        <f t="shared" si="15"/>
        <v>0</v>
      </c>
      <c r="G28" s="1026"/>
      <c r="H28" s="1942">
        <f t="shared" si="5"/>
        <v>0</v>
      </c>
      <c r="I28" s="1026"/>
      <c r="J28" s="1942">
        <f t="shared" si="6"/>
        <v>0</v>
      </c>
      <c r="K28" s="1026"/>
      <c r="L28" s="1942">
        <f t="shared" si="7"/>
        <v>0</v>
      </c>
      <c r="M28" s="1942">
        <f t="shared" si="14"/>
        <v>0</v>
      </c>
      <c r="N28" s="1942">
        <f t="shared" si="8"/>
        <v>0</v>
      </c>
      <c r="O28" s="1026"/>
      <c r="P28" s="1026"/>
      <c r="Q28" s="1942">
        <f t="shared" si="9"/>
        <v>0</v>
      </c>
      <c r="R28" s="1942">
        <f t="shared" si="10"/>
        <v>0</v>
      </c>
      <c r="S28" s="1942">
        <f t="shared" si="11"/>
        <v>0</v>
      </c>
      <c r="T28" s="1942">
        <f t="shared" si="12"/>
        <v>0</v>
      </c>
      <c r="U28" s="1942">
        <f t="shared" si="13"/>
        <v>0</v>
      </c>
      <c r="V28" s="3035">
        <f t="shared" si="2"/>
        <v>0</v>
      </c>
      <c r="W28" s="1942"/>
      <c r="X28" s="193"/>
      <c r="Y28" s="193"/>
      <c r="Z28" s="193"/>
      <c r="AA28" s="193"/>
      <c r="AB28" s="193"/>
      <c r="AC28" s="193"/>
      <c r="AD28" s="193"/>
      <c r="AE28" s="193"/>
      <c r="AF28" s="193"/>
      <c r="AG28" s="193"/>
      <c r="AH28" s="193"/>
      <c r="AI28" s="193"/>
      <c r="AJ28" s="193"/>
      <c r="AK28" s="193"/>
      <c r="AL28" s="193"/>
      <c r="AM28" s="193"/>
      <c r="AN28" s="193"/>
      <c r="AO28" s="193"/>
      <c r="AP28" s="193"/>
      <c r="AQ28" s="193"/>
      <c r="AR28" s="193"/>
      <c r="AS28" s="193"/>
      <c r="AT28" s="193"/>
      <c r="AU28" s="193"/>
      <c r="AV28" s="193"/>
      <c r="AW28" s="193"/>
      <c r="AX28" s="193"/>
      <c r="AY28" s="193"/>
      <c r="AZ28" s="193"/>
      <c r="BA28" s="193"/>
      <c r="BB28" s="193"/>
      <c r="BC28" s="193"/>
      <c r="BD28" s="193"/>
      <c r="BE28" s="193"/>
      <c r="BF28" s="193"/>
      <c r="BG28" s="193"/>
      <c r="BH28" s="193"/>
      <c r="BI28" s="193"/>
      <c r="BJ28" s="193"/>
      <c r="BK28" s="193"/>
      <c r="BL28" s="193"/>
      <c r="BM28" s="193"/>
      <c r="BN28" s="193"/>
      <c r="BO28" s="193"/>
      <c r="BP28" s="193"/>
      <c r="BQ28" s="193"/>
      <c r="BR28" s="193"/>
      <c r="BS28" s="193"/>
      <c r="BT28" s="193"/>
      <c r="BU28" s="193"/>
      <c r="BV28" s="193"/>
      <c r="BW28" s="193"/>
      <c r="BX28" s="193"/>
      <c r="BY28" s="193"/>
      <c r="BZ28" s="193"/>
      <c r="CA28" s="193"/>
      <c r="CB28" s="193"/>
      <c r="CC28" s="193"/>
      <c r="CD28" s="193"/>
      <c r="CE28" s="193"/>
      <c r="CF28" s="193"/>
      <c r="CG28" s="193"/>
      <c r="CH28" s="193"/>
      <c r="CI28" s="193"/>
      <c r="CJ28" s="193"/>
      <c r="CK28" s="193"/>
      <c r="CL28" s="193"/>
      <c r="CM28" s="193"/>
      <c r="CN28" s="193"/>
      <c r="CO28" s="193"/>
      <c r="CP28" s="193"/>
      <c r="CQ28" s="193"/>
      <c r="CR28" s="193"/>
      <c r="CS28" s="193"/>
      <c r="CT28" s="193"/>
      <c r="CU28" s="193"/>
      <c r="CV28" s="193"/>
      <c r="CW28" s="193"/>
      <c r="CX28" s="193"/>
      <c r="CY28" s="193"/>
      <c r="CZ28" s="193"/>
      <c r="DA28" s="193"/>
      <c r="DB28" s="193"/>
      <c r="DC28" s="193"/>
      <c r="DD28" s="193"/>
      <c r="DE28" s="193"/>
      <c r="DF28" s="193"/>
      <c r="DG28" s="193"/>
      <c r="DH28" s="193"/>
      <c r="DI28" s="193"/>
      <c r="DJ28" s="193"/>
      <c r="DK28" s="193"/>
      <c r="DL28" s="193"/>
      <c r="DM28" s="193"/>
      <c r="DN28" s="193"/>
      <c r="DO28" s="193"/>
      <c r="DP28" s="193"/>
      <c r="DQ28" s="193"/>
      <c r="DR28" s="193"/>
      <c r="DS28" s="193"/>
      <c r="DT28" s="193"/>
      <c r="DU28" s="193"/>
      <c r="DV28" s="193"/>
      <c r="DW28" s="193"/>
      <c r="DX28" s="193"/>
      <c r="DY28" s="193"/>
      <c r="DZ28" s="193"/>
      <c r="EA28" s="193"/>
      <c r="EB28" s="193"/>
      <c r="EC28" s="193"/>
      <c r="ED28" s="193"/>
      <c r="EE28" s="193"/>
      <c r="EF28" s="193"/>
      <c r="EG28" s="193"/>
      <c r="EH28" s="193"/>
      <c r="EI28" s="193"/>
      <c r="EJ28" s="193"/>
      <c r="EK28" s="193"/>
      <c r="EL28" s="193"/>
      <c r="EM28" s="193"/>
      <c r="EN28" s="193"/>
      <c r="EO28" s="193"/>
      <c r="EP28" s="193"/>
      <c r="EQ28" s="193"/>
      <c r="ER28" s="193"/>
      <c r="ES28" s="193"/>
      <c r="ET28" s="193"/>
      <c r="EU28" s="193"/>
      <c r="EV28" s="193"/>
      <c r="EW28" s="193"/>
      <c r="EX28" s="193"/>
      <c r="EY28" s="193"/>
      <c r="EZ28" s="193"/>
      <c r="FA28" s="193"/>
      <c r="FB28" s="193"/>
      <c r="FC28" s="193"/>
      <c r="FD28" s="193"/>
      <c r="FE28" s="193"/>
      <c r="FF28" s="193"/>
      <c r="FG28" s="193"/>
      <c r="FH28" s="193"/>
      <c r="FI28" s="193"/>
      <c r="FJ28" s="193"/>
      <c r="FK28" s="193"/>
      <c r="FL28" s="193"/>
      <c r="FM28" s="193"/>
      <c r="FN28" s="193"/>
      <c r="FO28" s="193"/>
      <c r="FP28" s="193"/>
      <c r="FQ28" s="193"/>
      <c r="FR28" s="193"/>
      <c r="FS28" s="193"/>
      <c r="FT28" s="193"/>
      <c r="FU28" s="193"/>
      <c r="FV28" s="193"/>
      <c r="FW28" s="193"/>
      <c r="FX28" s="193"/>
      <c r="FY28" s="193"/>
      <c r="FZ28" s="193"/>
      <c r="GA28" s="193"/>
      <c r="GB28" s="193"/>
      <c r="GC28" s="193"/>
      <c r="GD28" s="193"/>
      <c r="GE28" s="193"/>
      <c r="GF28" s="193"/>
      <c r="GG28" s="193"/>
      <c r="GH28" s="193"/>
      <c r="GI28" s="193"/>
      <c r="GJ28" s="193"/>
      <c r="GK28" s="193"/>
      <c r="GL28" s="193"/>
      <c r="GM28" s="193"/>
      <c r="GN28" s="193"/>
      <c r="GO28" s="193"/>
      <c r="GP28" s="193"/>
      <c r="GQ28" s="193"/>
      <c r="GR28" s="193"/>
      <c r="GS28" s="193"/>
      <c r="GT28" s="193"/>
      <c r="GU28" s="193"/>
      <c r="GV28" s="193"/>
      <c r="GW28" s="193"/>
      <c r="GX28" s="193"/>
      <c r="GY28" s="193"/>
      <c r="GZ28" s="193"/>
      <c r="HA28" s="193"/>
      <c r="HB28" s="193"/>
      <c r="HC28" s="193"/>
      <c r="HD28" s="193"/>
      <c r="HE28" s="193"/>
      <c r="HF28" s="193"/>
      <c r="HG28" s="193"/>
      <c r="HH28" s="193"/>
      <c r="HI28" s="193"/>
      <c r="HJ28" s="193"/>
      <c r="HK28" s="193"/>
      <c r="HL28" s="193"/>
      <c r="HM28" s="193"/>
      <c r="HN28" s="193"/>
      <c r="HO28" s="193"/>
      <c r="HP28" s="193"/>
      <c r="HQ28" s="193"/>
      <c r="HR28" s="193"/>
      <c r="HS28" s="193"/>
      <c r="HT28" s="193"/>
      <c r="HU28" s="193"/>
      <c r="HV28" s="193"/>
      <c r="HW28" s="193"/>
      <c r="HX28" s="193"/>
      <c r="HY28" s="193"/>
      <c r="HZ28" s="193"/>
      <c r="IA28" s="193"/>
      <c r="IB28" s="193"/>
      <c r="IC28" s="193"/>
      <c r="ID28" s="193"/>
      <c r="IE28" s="193"/>
      <c r="IF28" s="193"/>
      <c r="IG28" s="193"/>
      <c r="IH28" s="193"/>
      <c r="II28" s="193"/>
      <c r="IJ28" s="193"/>
      <c r="IK28" s="193"/>
      <c r="IL28" s="193"/>
      <c r="IM28" s="193"/>
      <c r="IN28" s="193"/>
      <c r="IO28" s="193"/>
      <c r="IP28" s="193"/>
      <c r="IQ28" s="193"/>
    </row>
    <row r="29" spans="1:251" hidden="1">
      <c r="A29" s="1026"/>
      <c r="B29" s="1955"/>
      <c r="C29" s="1955"/>
      <c r="D29" s="2034"/>
      <c r="E29" s="1955"/>
      <c r="F29" s="1942">
        <f t="shared" si="15"/>
        <v>0</v>
      </c>
      <c r="G29" s="1026"/>
      <c r="H29" s="1942">
        <f t="shared" si="5"/>
        <v>0</v>
      </c>
      <c r="I29" s="1026"/>
      <c r="J29" s="1942">
        <f t="shared" si="6"/>
        <v>0</v>
      </c>
      <c r="K29" s="1026"/>
      <c r="L29" s="1942">
        <f t="shared" si="7"/>
        <v>0</v>
      </c>
      <c r="M29" s="1942">
        <f t="shared" si="14"/>
        <v>0</v>
      </c>
      <c r="N29" s="1942">
        <f t="shared" si="8"/>
        <v>0</v>
      </c>
      <c r="O29" s="1026"/>
      <c r="P29" s="1026"/>
      <c r="Q29" s="1942">
        <f t="shared" si="9"/>
        <v>0</v>
      </c>
      <c r="R29" s="1942">
        <f t="shared" si="10"/>
        <v>0</v>
      </c>
      <c r="S29" s="1942">
        <f t="shared" si="11"/>
        <v>0</v>
      </c>
      <c r="T29" s="1942">
        <f t="shared" si="12"/>
        <v>0</v>
      </c>
      <c r="U29" s="1942">
        <f t="shared" si="13"/>
        <v>0</v>
      </c>
      <c r="V29" s="3035">
        <f t="shared" si="2"/>
        <v>0</v>
      </c>
      <c r="W29" s="1942"/>
      <c r="X29" s="193"/>
      <c r="Y29" s="193"/>
      <c r="Z29" s="193"/>
      <c r="AA29" s="193"/>
      <c r="AB29" s="193"/>
      <c r="AC29" s="193"/>
      <c r="AD29" s="193"/>
      <c r="AE29" s="193"/>
      <c r="AF29" s="193"/>
      <c r="AG29" s="193"/>
      <c r="AH29" s="193"/>
      <c r="AI29" s="193"/>
      <c r="AJ29" s="193"/>
      <c r="AK29" s="193"/>
      <c r="AL29" s="193"/>
      <c r="AM29" s="193"/>
      <c r="AN29" s="193"/>
      <c r="AO29" s="193"/>
      <c r="AP29" s="193"/>
      <c r="AQ29" s="193"/>
      <c r="AR29" s="193"/>
      <c r="AS29" s="193"/>
      <c r="AT29" s="193"/>
      <c r="AU29" s="193"/>
      <c r="AV29" s="193"/>
      <c r="AW29" s="193"/>
      <c r="AX29" s="193"/>
      <c r="AY29" s="193"/>
      <c r="AZ29" s="193"/>
      <c r="BA29" s="193"/>
      <c r="BB29" s="193"/>
      <c r="BC29" s="193"/>
      <c r="BD29" s="193"/>
      <c r="BE29" s="193"/>
      <c r="BF29" s="193"/>
      <c r="BG29" s="193"/>
      <c r="BH29" s="193"/>
      <c r="BI29" s="193"/>
      <c r="BJ29" s="193"/>
      <c r="BK29" s="193"/>
      <c r="BL29" s="193"/>
      <c r="BM29" s="193"/>
      <c r="BN29" s="193"/>
      <c r="BO29" s="193"/>
      <c r="BP29" s="193"/>
      <c r="BQ29" s="193"/>
      <c r="BR29" s="193"/>
      <c r="BS29" s="193"/>
      <c r="BT29" s="193"/>
      <c r="BU29" s="193"/>
      <c r="BV29" s="193"/>
      <c r="BW29" s="193"/>
      <c r="BX29" s="193"/>
      <c r="BY29" s="193"/>
      <c r="BZ29" s="193"/>
      <c r="CA29" s="193"/>
      <c r="CB29" s="193"/>
      <c r="CC29" s="193"/>
      <c r="CD29" s="193"/>
      <c r="CE29" s="193"/>
      <c r="CF29" s="193"/>
      <c r="CG29" s="193"/>
      <c r="CH29" s="193"/>
      <c r="CI29" s="193"/>
      <c r="CJ29" s="193"/>
      <c r="CK29" s="193"/>
      <c r="CL29" s="193"/>
      <c r="CM29" s="193"/>
      <c r="CN29" s="193"/>
      <c r="CO29" s="193"/>
      <c r="CP29" s="193"/>
      <c r="CQ29" s="193"/>
      <c r="CR29" s="193"/>
      <c r="CS29" s="193"/>
      <c r="CT29" s="193"/>
      <c r="CU29" s="193"/>
      <c r="CV29" s="193"/>
      <c r="CW29" s="193"/>
      <c r="CX29" s="193"/>
      <c r="CY29" s="193"/>
      <c r="CZ29" s="193"/>
      <c r="DA29" s="193"/>
      <c r="DB29" s="193"/>
      <c r="DC29" s="193"/>
      <c r="DD29" s="193"/>
      <c r="DE29" s="193"/>
      <c r="DF29" s="193"/>
      <c r="DG29" s="193"/>
      <c r="DH29" s="193"/>
      <c r="DI29" s="193"/>
      <c r="DJ29" s="193"/>
      <c r="DK29" s="193"/>
      <c r="DL29" s="193"/>
      <c r="DM29" s="193"/>
      <c r="DN29" s="193"/>
      <c r="DO29" s="193"/>
      <c r="DP29" s="193"/>
      <c r="DQ29" s="193"/>
      <c r="DR29" s="193"/>
      <c r="DS29" s="193"/>
      <c r="DT29" s="193"/>
      <c r="DU29" s="193"/>
      <c r="DV29" s="193"/>
      <c r="DW29" s="193"/>
      <c r="DX29" s="193"/>
      <c r="DY29" s="193"/>
      <c r="DZ29" s="193"/>
      <c r="EA29" s="193"/>
      <c r="EB29" s="193"/>
      <c r="EC29" s="193"/>
      <c r="ED29" s="193"/>
      <c r="EE29" s="193"/>
      <c r="EF29" s="193"/>
      <c r="EG29" s="193"/>
      <c r="EH29" s="193"/>
      <c r="EI29" s="193"/>
      <c r="EJ29" s="193"/>
      <c r="EK29" s="193"/>
      <c r="EL29" s="193"/>
      <c r="EM29" s="193"/>
      <c r="EN29" s="193"/>
      <c r="EO29" s="193"/>
      <c r="EP29" s="193"/>
      <c r="EQ29" s="193"/>
      <c r="ER29" s="193"/>
      <c r="ES29" s="193"/>
      <c r="ET29" s="193"/>
      <c r="EU29" s="193"/>
      <c r="EV29" s="193"/>
      <c r="EW29" s="193"/>
      <c r="EX29" s="193"/>
      <c r="EY29" s="193"/>
      <c r="EZ29" s="193"/>
      <c r="FA29" s="193"/>
      <c r="FB29" s="193"/>
      <c r="FC29" s="193"/>
      <c r="FD29" s="193"/>
      <c r="FE29" s="193"/>
      <c r="FF29" s="193"/>
      <c r="FG29" s="193"/>
      <c r="FH29" s="193"/>
      <c r="FI29" s="193"/>
      <c r="FJ29" s="193"/>
      <c r="FK29" s="193"/>
      <c r="FL29" s="193"/>
      <c r="FM29" s="193"/>
      <c r="FN29" s="193"/>
      <c r="FO29" s="193"/>
      <c r="FP29" s="193"/>
      <c r="FQ29" s="193"/>
      <c r="FR29" s="193"/>
      <c r="FS29" s="193"/>
      <c r="FT29" s="193"/>
      <c r="FU29" s="193"/>
      <c r="FV29" s="193"/>
      <c r="FW29" s="193"/>
      <c r="FX29" s="193"/>
      <c r="FY29" s="193"/>
      <c r="FZ29" s="193"/>
      <c r="GA29" s="193"/>
      <c r="GB29" s="193"/>
      <c r="GC29" s="193"/>
      <c r="GD29" s="193"/>
      <c r="GE29" s="193"/>
      <c r="GF29" s="193"/>
      <c r="GG29" s="193"/>
      <c r="GH29" s="193"/>
      <c r="GI29" s="193"/>
      <c r="GJ29" s="193"/>
      <c r="GK29" s="193"/>
      <c r="GL29" s="193"/>
      <c r="GM29" s="193"/>
      <c r="GN29" s="193"/>
      <c r="GO29" s="193"/>
      <c r="GP29" s="193"/>
      <c r="GQ29" s="193"/>
      <c r="GR29" s="193"/>
      <c r="GS29" s="193"/>
      <c r="GT29" s="193"/>
      <c r="GU29" s="193"/>
      <c r="GV29" s="193"/>
      <c r="GW29" s="193"/>
      <c r="GX29" s="193"/>
      <c r="GY29" s="193"/>
      <c r="GZ29" s="193"/>
      <c r="HA29" s="193"/>
      <c r="HB29" s="193"/>
      <c r="HC29" s="193"/>
      <c r="HD29" s="193"/>
      <c r="HE29" s="193"/>
      <c r="HF29" s="193"/>
      <c r="HG29" s="193"/>
      <c r="HH29" s="193"/>
      <c r="HI29" s="193"/>
      <c r="HJ29" s="193"/>
      <c r="HK29" s="193"/>
      <c r="HL29" s="193"/>
      <c r="HM29" s="193"/>
      <c r="HN29" s="193"/>
      <c r="HO29" s="193"/>
      <c r="HP29" s="193"/>
      <c r="HQ29" s="193"/>
      <c r="HR29" s="193"/>
      <c r="HS29" s="193"/>
      <c r="HT29" s="193"/>
      <c r="HU29" s="193"/>
      <c r="HV29" s="193"/>
      <c r="HW29" s="193"/>
      <c r="HX29" s="193"/>
      <c r="HY29" s="193"/>
      <c r="HZ29" s="193"/>
      <c r="IA29" s="193"/>
      <c r="IB29" s="193"/>
      <c r="IC29" s="193"/>
      <c r="ID29" s="193"/>
      <c r="IE29" s="193"/>
      <c r="IF29" s="193"/>
      <c r="IG29" s="193"/>
      <c r="IH29" s="193"/>
      <c r="II29" s="193"/>
      <c r="IJ29" s="193"/>
      <c r="IK29" s="193"/>
      <c r="IL29" s="193"/>
      <c r="IM29" s="193"/>
      <c r="IN29" s="193"/>
      <c r="IO29" s="193"/>
      <c r="IP29" s="193"/>
      <c r="IQ29" s="193"/>
    </row>
    <row r="30" spans="1:251" hidden="1">
      <c r="A30" s="1026"/>
      <c r="B30" s="1955"/>
      <c r="C30" s="1955"/>
      <c r="D30" s="2034"/>
      <c r="E30" s="1955"/>
      <c r="F30" s="1942">
        <f t="shared" si="15"/>
        <v>0</v>
      </c>
      <c r="G30" s="1026"/>
      <c r="H30" s="1942">
        <f t="shared" si="5"/>
        <v>0</v>
      </c>
      <c r="I30" s="1026"/>
      <c r="J30" s="1942">
        <f t="shared" si="6"/>
        <v>0</v>
      </c>
      <c r="K30" s="1026"/>
      <c r="L30" s="1942">
        <f t="shared" si="7"/>
        <v>0</v>
      </c>
      <c r="M30" s="1942">
        <f t="shared" si="14"/>
        <v>0</v>
      </c>
      <c r="N30" s="1942">
        <f t="shared" si="8"/>
        <v>0</v>
      </c>
      <c r="O30" s="1026"/>
      <c r="P30" s="1026"/>
      <c r="Q30" s="1942">
        <f t="shared" si="9"/>
        <v>0</v>
      </c>
      <c r="R30" s="1942">
        <f t="shared" si="10"/>
        <v>0</v>
      </c>
      <c r="S30" s="1942">
        <f t="shared" si="11"/>
        <v>0</v>
      </c>
      <c r="T30" s="1942">
        <f t="shared" si="12"/>
        <v>0</v>
      </c>
      <c r="U30" s="1942">
        <f t="shared" si="13"/>
        <v>0</v>
      </c>
      <c r="V30" s="3035">
        <f t="shared" si="2"/>
        <v>0</v>
      </c>
      <c r="W30" s="1942"/>
      <c r="X30" s="193"/>
      <c r="Y30" s="193"/>
      <c r="Z30" s="193"/>
      <c r="AA30" s="193"/>
      <c r="AB30" s="193"/>
      <c r="AC30" s="193"/>
      <c r="AD30" s="193"/>
      <c r="AE30" s="193"/>
      <c r="AF30" s="193"/>
      <c r="AG30" s="193"/>
      <c r="AH30" s="193"/>
      <c r="AI30" s="193"/>
      <c r="AJ30" s="193"/>
      <c r="AK30" s="193"/>
      <c r="AL30" s="193"/>
      <c r="AM30" s="193"/>
      <c r="AN30" s="193"/>
      <c r="AO30" s="193"/>
      <c r="AP30" s="193"/>
      <c r="AQ30" s="193"/>
      <c r="AR30" s="193"/>
      <c r="AS30" s="193"/>
      <c r="AT30" s="193"/>
      <c r="AU30" s="193"/>
      <c r="AV30" s="193"/>
      <c r="AW30" s="193"/>
      <c r="AX30" s="193"/>
      <c r="AY30" s="193"/>
      <c r="AZ30" s="193"/>
      <c r="BA30" s="193"/>
      <c r="BB30" s="193"/>
      <c r="BC30" s="193"/>
      <c r="BD30" s="193"/>
      <c r="BE30" s="193"/>
      <c r="BF30" s="193"/>
      <c r="BG30" s="193"/>
      <c r="BH30" s="193"/>
      <c r="BI30" s="193"/>
      <c r="BJ30" s="193"/>
      <c r="BK30" s="193"/>
      <c r="BL30" s="193"/>
      <c r="BM30" s="193"/>
      <c r="BN30" s="193"/>
      <c r="BO30" s="193"/>
      <c r="BP30" s="193"/>
      <c r="BQ30" s="193"/>
      <c r="BR30" s="193"/>
      <c r="BS30" s="193"/>
      <c r="BT30" s="193"/>
      <c r="BU30" s="193"/>
      <c r="BV30" s="193"/>
      <c r="BW30" s="193"/>
      <c r="BX30" s="193"/>
      <c r="BY30" s="193"/>
      <c r="BZ30" s="193"/>
      <c r="CA30" s="193"/>
      <c r="CB30" s="193"/>
      <c r="CC30" s="193"/>
      <c r="CD30" s="193"/>
      <c r="CE30" s="193"/>
      <c r="CF30" s="193"/>
      <c r="CG30" s="193"/>
      <c r="CH30" s="193"/>
      <c r="CI30" s="193"/>
      <c r="CJ30" s="193"/>
      <c r="CK30" s="193"/>
      <c r="CL30" s="193"/>
      <c r="CM30" s="193"/>
      <c r="CN30" s="193"/>
      <c r="CO30" s="193"/>
      <c r="CP30" s="193"/>
      <c r="CQ30" s="193"/>
      <c r="CR30" s="193"/>
      <c r="CS30" s="193"/>
      <c r="CT30" s="193"/>
      <c r="CU30" s="193"/>
      <c r="CV30" s="193"/>
      <c r="CW30" s="193"/>
      <c r="CX30" s="193"/>
      <c r="CY30" s="193"/>
      <c r="CZ30" s="193"/>
      <c r="DA30" s="193"/>
      <c r="DB30" s="193"/>
      <c r="DC30" s="193"/>
      <c r="DD30" s="193"/>
      <c r="DE30" s="193"/>
      <c r="DF30" s="193"/>
      <c r="DG30" s="193"/>
      <c r="DH30" s="193"/>
      <c r="DI30" s="193"/>
      <c r="DJ30" s="193"/>
      <c r="DK30" s="193"/>
      <c r="DL30" s="193"/>
      <c r="DM30" s="193"/>
      <c r="DN30" s="193"/>
      <c r="DO30" s="193"/>
      <c r="DP30" s="193"/>
      <c r="DQ30" s="193"/>
      <c r="DR30" s="193"/>
      <c r="DS30" s="193"/>
      <c r="DT30" s="193"/>
      <c r="DU30" s="193"/>
      <c r="DV30" s="193"/>
      <c r="DW30" s="193"/>
      <c r="DX30" s="193"/>
      <c r="DY30" s="193"/>
      <c r="DZ30" s="193"/>
      <c r="EA30" s="193"/>
      <c r="EB30" s="193"/>
      <c r="EC30" s="193"/>
      <c r="ED30" s="193"/>
      <c r="EE30" s="193"/>
      <c r="EF30" s="193"/>
      <c r="EG30" s="193"/>
      <c r="EH30" s="193"/>
      <c r="EI30" s="193"/>
      <c r="EJ30" s="193"/>
      <c r="EK30" s="193"/>
      <c r="EL30" s="193"/>
      <c r="EM30" s="193"/>
      <c r="EN30" s="193"/>
      <c r="EO30" s="193"/>
      <c r="EP30" s="193"/>
      <c r="EQ30" s="193"/>
      <c r="ER30" s="193"/>
      <c r="ES30" s="193"/>
      <c r="ET30" s="193"/>
      <c r="EU30" s="193"/>
      <c r="EV30" s="193"/>
      <c r="EW30" s="193"/>
      <c r="EX30" s="193"/>
      <c r="EY30" s="193"/>
      <c r="EZ30" s="193"/>
      <c r="FA30" s="193"/>
      <c r="FB30" s="193"/>
      <c r="FC30" s="193"/>
      <c r="FD30" s="193"/>
      <c r="FE30" s="193"/>
      <c r="FF30" s="193"/>
      <c r="FG30" s="193"/>
      <c r="FH30" s="193"/>
      <c r="FI30" s="193"/>
      <c r="FJ30" s="193"/>
      <c r="FK30" s="193"/>
      <c r="FL30" s="193"/>
      <c r="FM30" s="193"/>
      <c r="FN30" s="193"/>
      <c r="FO30" s="193"/>
      <c r="FP30" s="193"/>
      <c r="FQ30" s="193"/>
      <c r="FR30" s="193"/>
      <c r="FS30" s="193"/>
      <c r="FT30" s="193"/>
      <c r="FU30" s="193"/>
      <c r="FV30" s="193"/>
      <c r="FW30" s="193"/>
      <c r="FX30" s="193"/>
      <c r="FY30" s="193"/>
      <c r="FZ30" s="193"/>
      <c r="GA30" s="193"/>
      <c r="GB30" s="193"/>
      <c r="GC30" s="193"/>
      <c r="GD30" s="193"/>
      <c r="GE30" s="193"/>
      <c r="GF30" s="193"/>
      <c r="GG30" s="193"/>
      <c r="GH30" s="193"/>
      <c r="GI30" s="193"/>
      <c r="GJ30" s="193"/>
      <c r="GK30" s="193"/>
      <c r="GL30" s="193"/>
      <c r="GM30" s="193"/>
      <c r="GN30" s="193"/>
      <c r="GO30" s="193"/>
      <c r="GP30" s="193"/>
      <c r="GQ30" s="193"/>
      <c r="GR30" s="193"/>
      <c r="GS30" s="193"/>
      <c r="GT30" s="193"/>
      <c r="GU30" s="193"/>
      <c r="GV30" s="193"/>
      <c r="GW30" s="193"/>
      <c r="GX30" s="193"/>
      <c r="GY30" s="193"/>
      <c r="GZ30" s="193"/>
      <c r="HA30" s="193"/>
      <c r="HB30" s="193"/>
      <c r="HC30" s="193"/>
      <c r="HD30" s="193"/>
      <c r="HE30" s="193"/>
      <c r="HF30" s="193"/>
      <c r="HG30" s="193"/>
      <c r="HH30" s="193"/>
      <c r="HI30" s="193"/>
      <c r="HJ30" s="193"/>
      <c r="HK30" s="193"/>
      <c r="HL30" s="193"/>
      <c r="HM30" s="193"/>
      <c r="HN30" s="193"/>
      <c r="HO30" s="193"/>
      <c r="HP30" s="193"/>
      <c r="HQ30" s="193"/>
      <c r="HR30" s="193"/>
      <c r="HS30" s="193"/>
      <c r="HT30" s="193"/>
      <c r="HU30" s="193"/>
      <c r="HV30" s="193"/>
      <c r="HW30" s="193"/>
      <c r="HX30" s="193"/>
      <c r="HY30" s="193"/>
      <c r="HZ30" s="193"/>
      <c r="IA30" s="193"/>
      <c r="IB30" s="193"/>
      <c r="IC30" s="193"/>
      <c r="ID30" s="193"/>
      <c r="IE30" s="193"/>
      <c r="IF30" s="193"/>
      <c r="IG30" s="193"/>
      <c r="IH30" s="193"/>
      <c r="II30" s="193"/>
      <c r="IJ30" s="193"/>
      <c r="IK30" s="193"/>
      <c r="IL30" s="193"/>
      <c r="IM30" s="193"/>
      <c r="IN30" s="193"/>
      <c r="IO30" s="193"/>
      <c r="IP30" s="193"/>
      <c r="IQ30" s="193"/>
    </row>
    <row r="31" spans="1:251" hidden="1">
      <c r="A31" s="1026"/>
      <c r="B31" s="1955"/>
      <c r="C31" s="1955"/>
      <c r="D31" s="2034"/>
      <c r="E31" s="1955"/>
      <c r="F31" s="1942">
        <f t="shared" si="15"/>
        <v>0</v>
      </c>
      <c r="G31" s="1026"/>
      <c r="H31" s="1942">
        <f t="shared" si="5"/>
        <v>0</v>
      </c>
      <c r="I31" s="1026"/>
      <c r="J31" s="1942">
        <f t="shared" si="6"/>
        <v>0</v>
      </c>
      <c r="K31" s="1026"/>
      <c r="L31" s="1942">
        <f t="shared" si="7"/>
        <v>0</v>
      </c>
      <c r="M31" s="1942">
        <f t="shared" si="14"/>
        <v>0</v>
      </c>
      <c r="N31" s="1942">
        <f t="shared" si="8"/>
        <v>0</v>
      </c>
      <c r="O31" s="1026"/>
      <c r="P31" s="1026"/>
      <c r="Q31" s="1942">
        <f t="shared" si="9"/>
        <v>0</v>
      </c>
      <c r="R31" s="1942">
        <f t="shared" si="10"/>
        <v>0</v>
      </c>
      <c r="S31" s="1942">
        <f t="shared" si="11"/>
        <v>0</v>
      </c>
      <c r="T31" s="1942">
        <f t="shared" si="12"/>
        <v>0</v>
      </c>
      <c r="U31" s="1942">
        <f t="shared" si="13"/>
        <v>0</v>
      </c>
      <c r="V31" s="3035">
        <f t="shared" si="2"/>
        <v>0</v>
      </c>
      <c r="W31" s="1942"/>
      <c r="X31" s="193"/>
      <c r="Y31" s="193"/>
      <c r="Z31" s="193"/>
      <c r="AA31" s="193"/>
      <c r="AB31" s="193"/>
      <c r="AC31" s="193"/>
      <c r="AD31" s="193"/>
      <c r="AE31" s="193"/>
      <c r="AF31" s="193"/>
      <c r="AG31" s="193"/>
      <c r="AH31" s="193"/>
      <c r="AI31" s="193"/>
      <c r="AJ31" s="193"/>
      <c r="AK31" s="193"/>
      <c r="AL31" s="193"/>
      <c r="AM31" s="193"/>
      <c r="AN31" s="193"/>
      <c r="AO31" s="193"/>
      <c r="AP31" s="193"/>
      <c r="AQ31" s="193"/>
      <c r="AR31" s="193"/>
      <c r="AS31" s="193"/>
      <c r="AT31" s="193"/>
      <c r="AU31" s="193"/>
      <c r="AV31" s="193"/>
      <c r="AW31" s="193"/>
      <c r="AX31" s="193"/>
      <c r="AY31" s="193"/>
      <c r="AZ31" s="193"/>
      <c r="BA31" s="193"/>
      <c r="BB31" s="193"/>
      <c r="BC31" s="193"/>
      <c r="BD31" s="193"/>
      <c r="BE31" s="193"/>
      <c r="BF31" s="193"/>
      <c r="BG31" s="193"/>
      <c r="BH31" s="193"/>
      <c r="BI31" s="193"/>
      <c r="BJ31" s="193"/>
      <c r="BK31" s="193"/>
      <c r="BL31" s="193"/>
      <c r="BM31" s="193"/>
      <c r="BN31" s="193"/>
      <c r="BO31" s="193"/>
      <c r="BP31" s="193"/>
      <c r="BQ31" s="193"/>
      <c r="BR31" s="193"/>
      <c r="BS31" s="193"/>
      <c r="BT31" s="193"/>
      <c r="BU31" s="193"/>
      <c r="BV31" s="193"/>
      <c r="BW31" s="193"/>
      <c r="BX31" s="193"/>
      <c r="BY31" s="193"/>
      <c r="BZ31" s="193"/>
      <c r="CA31" s="193"/>
      <c r="CB31" s="193"/>
      <c r="CC31" s="193"/>
      <c r="CD31" s="193"/>
      <c r="CE31" s="193"/>
      <c r="CF31" s="193"/>
      <c r="CG31" s="193"/>
      <c r="CH31" s="193"/>
      <c r="CI31" s="193"/>
      <c r="CJ31" s="193"/>
      <c r="CK31" s="193"/>
      <c r="CL31" s="193"/>
      <c r="CM31" s="193"/>
      <c r="CN31" s="193"/>
      <c r="CO31" s="193"/>
      <c r="CP31" s="193"/>
      <c r="CQ31" s="193"/>
      <c r="CR31" s="193"/>
      <c r="CS31" s="193"/>
      <c r="CT31" s="193"/>
      <c r="CU31" s="193"/>
      <c r="CV31" s="193"/>
      <c r="CW31" s="193"/>
      <c r="CX31" s="193"/>
      <c r="CY31" s="193"/>
      <c r="CZ31" s="193"/>
      <c r="DA31" s="193"/>
      <c r="DB31" s="193"/>
      <c r="DC31" s="193"/>
      <c r="DD31" s="193"/>
      <c r="DE31" s="193"/>
      <c r="DF31" s="193"/>
      <c r="DG31" s="193"/>
      <c r="DH31" s="193"/>
      <c r="DI31" s="193"/>
      <c r="DJ31" s="193"/>
      <c r="DK31" s="193"/>
      <c r="DL31" s="193"/>
      <c r="DM31" s="193"/>
      <c r="DN31" s="193"/>
      <c r="DO31" s="193"/>
      <c r="DP31" s="193"/>
      <c r="DQ31" s="193"/>
      <c r="DR31" s="193"/>
      <c r="DS31" s="193"/>
      <c r="DT31" s="193"/>
      <c r="DU31" s="193"/>
      <c r="DV31" s="193"/>
      <c r="DW31" s="193"/>
      <c r="DX31" s="193"/>
      <c r="DY31" s="193"/>
      <c r="DZ31" s="193"/>
      <c r="EA31" s="193"/>
      <c r="EB31" s="193"/>
      <c r="EC31" s="193"/>
      <c r="ED31" s="193"/>
      <c r="EE31" s="193"/>
      <c r="EF31" s="193"/>
      <c r="EG31" s="193"/>
      <c r="EH31" s="193"/>
      <c r="EI31" s="193"/>
      <c r="EJ31" s="193"/>
      <c r="EK31" s="193"/>
      <c r="EL31" s="193"/>
      <c r="EM31" s="193"/>
      <c r="EN31" s="193"/>
      <c r="EO31" s="193"/>
      <c r="EP31" s="193"/>
      <c r="EQ31" s="193"/>
      <c r="ER31" s="193"/>
      <c r="ES31" s="193"/>
      <c r="ET31" s="193"/>
      <c r="EU31" s="193"/>
      <c r="EV31" s="193"/>
      <c r="EW31" s="193"/>
      <c r="EX31" s="193"/>
      <c r="EY31" s="193"/>
      <c r="EZ31" s="193"/>
      <c r="FA31" s="193"/>
      <c r="FB31" s="193"/>
      <c r="FC31" s="193"/>
      <c r="FD31" s="193"/>
      <c r="FE31" s="193"/>
      <c r="FF31" s="193"/>
      <c r="FG31" s="193"/>
      <c r="FH31" s="193"/>
      <c r="FI31" s="193"/>
      <c r="FJ31" s="193"/>
      <c r="FK31" s="193"/>
      <c r="FL31" s="193"/>
      <c r="FM31" s="193"/>
      <c r="FN31" s="193"/>
      <c r="FO31" s="193"/>
      <c r="FP31" s="193"/>
      <c r="FQ31" s="193"/>
      <c r="FR31" s="193"/>
      <c r="FS31" s="193"/>
      <c r="FT31" s="193"/>
      <c r="FU31" s="193"/>
      <c r="FV31" s="193"/>
      <c r="FW31" s="193"/>
      <c r="FX31" s="193"/>
      <c r="FY31" s="193"/>
      <c r="FZ31" s="193"/>
      <c r="GA31" s="193"/>
      <c r="GB31" s="193"/>
      <c r="GC31" s="193"/>
      <c r="GD31" s="193"/>
      <c r="GE31" s="193"/>
      <c r="GF31" s="193"/>
      <c r="GG31" s="193"/>
      <c r="GH31" s="193"/>
      <c r="GI31" s="193"/>
      <c r="GJ31" s="193"/>
      <c r="GK31" s="193"/>
      <c r="GL31" s="193"/>
      <c r="GM31" s="193"/>
      <c r="GN31" s="193"/>
      <c r="GO31" s="193"/>
      <c r="GP31" s="193"/>
      <c r="GQ31" s="193"/>
      <c r="GR31" s="193"/>
      <c r="GS31" s="193"/>
      <c r="GT31" s="193"/>
      <c r="GU31" s="193"/>
      <c r="GV31" s="193"/>
      <c r="GW31" s="193"/>
      <c r="GX31" s="193"/>
      <c r="GY31" s="193"/>
      <c r="GZ31" s="193"/>
      <c r="HA31" s="193"/>
      <c r="HB31" s="193"/>
      <c r="HC31" s="193"/>
      <c r="HD31" s="193"/>
      <c r="HE31" s="193"/>
      <c r="HF31" s="193"/>
      <c r="HG31" s="193"/>
      <c r="HH31" s="193"/>
      <c r="HI31" s="193"/>
      <c r="HJ31" s="193"/>
      <c r="HK31" s="193"/>
      <c r="HL31" s="193"/>
      <c r="HM31" s="193"/>
      <c r="HN31" s="193"/>
      <c r="HO31" s="193"/>
      <c r="HP31" s="193"/>
      <c r="HQ31" s="193"/>
      <c r="HR31" s="193"/>
      <c r="HS31" s="193"/>
      <c r="HT31" s="193"/>
      <c r="HU31" s="193"/>
      <c r="HV31" s="193"/>
      <c r="HW31" s="193"/>
      <c r="HX31" s="193"/>
      <c r="HY31" s="193"/>
      <c r="HZ31" s="193"/>
      <c r="IA31" s="193"/>
      <c r="IB31" s="193"/>
      <c r="IC31" s="193"/>
      <c r="ID31" s="193"/>
      <c r="IE31" s="193"/>
      <c r="IF31" s="193"/>
      <c r="IG31" s="193"/>
      <c r="IH31" s="193"/>
      <c r="II31" s="193"/>
      <c r="IJ31" s="193"/>
      <c r="IK31" s="193"/>
      <c r="IL31" s="193"/>
      <c r="IM31" s="193"/>
      <c r="IN31" s="193"/>
      <c r="IO31" s="193"/>
      <c r="IP31" s="193"/>
      <c r="IQ31" s="193"/>
    </row>
    <row r="32" spans="1:251" hidden="1">
      <c r="A32" s="1026"/>
      <c r="B32" s="1955"/>
      <c r="C32" s="1955"/>
      <c r="D32" s="2034"/>
      <c r="E32" s="1955"/>
      <c r="F32" s="1942">
        <f t="shared" si="15"/>
        <v>0</v>
      </c>
      <c r="G32" s="1026"/>
      <c r="H32" s="1942">
        <f t="shared" si="5"/>
        <v>0</v>
      </c>
      <c r="I32" s="1026"/>
      <c r="J32" s="1942">
        <f t="shared" si="6"/>
        <v>0</v>
      </c>
      <c r="K32" s="1026"/>
      <c r="L32" s="1942">
        <f t="shared" si="7"/>
        <v>0</v>
      </c>
      <c r="M32" s="1942">
        <f t="shared" si="14"/>
        <v>0</v>
      </c>
      <c r="N32" s="1942">
        <f t="shared" si="8"/>
        <v>0</v>
      </c>
      <c r="O32" s="1026"/>
      <c r="P32" s="1026"/>
      <c r="Q32" s="1942">
        <f t="shared" si="9"/>
        <v>0</v>
      </c>
      <c r="R32" s="1942">
        <f t="shared" si="10"/>
        <v>0</v>
      </c>
      <c r="S32" s="1942">
        <f t="shared" si="11"/>
        <v>0</v>
      </c>
      <c r="T32" s="1942">
        <f t="shared" si="12"/>
        <v>0</v>
      </c>
      <c r="U32" s="1942">
        <f t="shared" si="13"/>
        <v>0</v>
      </c>
      <c r="V32" s="3035">
        <f t="shared" si="2"/>
        <v>0</v>
      </c>
      <c r="W32" s="1942"/>
      <c r="X32" s="193"/>
      <c r="Y32" s="193"/>
      <c r="Z32" s="193"/>
      <c r="AA32" s="193"/>
      <c r="AB32" s="193"/>
      <c r="AC32" s="193"/>
      <c r="AD32" s="193"/>
      <c r="AE32" s="193"/>
      <c r="AF32" s="193"/>
      <c r="AG32" s="193"/>
      <c r="AH32" s="193"/>
      <c r="AI32" s="193"/>
      <c r="AJ32" s="193"/>
      <c r="AK32" s="193"/>
      <c r="AL32" s="193"/>
      <c r="AM32" s="193"/>
      <c r="AN32" s="193"/>
      <c r="AO32" s="193"/>
      <c r="AP32" s="193"/>
      <c r="AQ32" s="193"/>
      <c r="AR32" s="193"/>
      <c r="AS32" s="193"/>
      <c r="AT32" s="193"/>
      <c r="AU32" s="193"/>
      <c r="AV32" s="193"/>
      <c r="AW32" s="193"/>
      <c r="AX32" s="193"/>
      <c r="AY32" s="193"/>
      <c r="AZ32" s="193"/>
      <c r="BA32" s="193"/>
      <c r="BB32" s="193"/>
      <c r="BC32" s="193"/>
      <c r="BD32" s="193"/>
      <c r="BE32" s="193"/>
      <c r="BF32" s="193"/>
      <c r="BG32" s="193"/>
      <c r="BH32" s="193"/>
      <c r="BI32" s="193"/>
      <c r="BJ32" s="193"/>
      <c r="BK32" s="193"/>
      <c r="BL32" s="193"/>
      <c r="BM32" s="193"/>
      <c r="BN32" s="193"/>
      <c r="BO32" s="193"/>
      <c r="BP32" s="193"/>
      <c r="BQ32" s="193"/>
      <c r="BR32" s="193"/>
      <c r="BS32" s="193"/>
      <c r="BT32" s="193"/>
      <c r="BU32" s="193"/>
      <c r="BV32" s="193"/>
      <c r="BW32" s="193"/>
      <c r="BX32" s="193"/>
      <c r="BY32" s="193"/>
      <c r="BZ32" s="193"/>
      <c r="CA32" s="193"/>
      <c r="CB32" s="193"/>
      <c r="CC32" s="193"/>
      <c r="CD32" s="193"/>
      <c r="CE32" s="193"/>
      <c r="CF32" s="193"/>
      <c r="CG32" s="193"/>
      <c r="CH32" s="193"/>
      <c r="CI32" s="193"/>
      <c r="CJ32" s="193"/>
      <c r="CK32" s="193"/>
      <c r="CL32" s="193"/>
      <c r="CM32" s="193"/>
      <c r="CN32" s="193"/>
      <c r="CO32" s="193"/>
      <c r="CP32" s="193"/>
      <c r="CQ32" s="193"/>
      <c r="CR32" s="193"/>
      <c r="CS32" s="193"/>
      <c r="CT32" s="193"/>
      <c r="CU32" s="193"/>
      <c r="CV32" s="193"/>
      <c r="CW32" s="193"/>
      <c r="CX32" s="193"/>
      <c r="CY32" s="193"/>
      <c r="CZ32" s="193"/>
      <c r="DA32" s="193"/>
      <c r="DB32" s="193"/>
      <c r="DC32" s="193"/>
      <c r="DD32" s="193"/>
      <c r="DE32" s="193"/>
      <c r="DF32" s="193"/>
      <c r="DG32" s="193"/>
      <c r="DH32" s="193"/>
      <c r="DI32" s="193"/>
      <c r="DJ32" s="193"/>
      <c r="DK32" s="193"/>
      <c r="DL32" s="193"/>
      <c r="DM32" s="193"/>
      <c r="DN32" s="193"/>
      <c r="DO32" s="193"/>
      <c r="DP32" s="193"/>
      <c r="DQ32" s="193"/>
      <c r="DR32" s="193"/>
      <c r="DS32" s="193"/>
      <c r="DT32" s="193"/>
      <c r="DU32" s="193"/>
      <c r="DV32" s="193"/>
      <c r="DW32" s="193"/>
      <c r="DX32" s="193"/>
      <c r="DY32" s="193"/>
      <c r="DZ32" s="193"/>
      <c r="EA32" s="193"/>
      <c r="EB32" s="193"/>
      <c r="EC32" s="193"/>
      <c r="ED32" s="193"/>
      <c r="EE32" s="193"/>
      <c r="EF32" s="193"/>
      <c r="EG32" s="193"/>
      <c r="EH32" s="193"/>
      <c r="EI32" s="193"/>
      <c r="EJ32" s="193"/>
      <c r="EK32" s="193"/>
      <c r="EL32" s="193"/>
      <c r="EM32" s="193"/>
      <c r="EN32" s="193"/>
      <c r="EO32" s="193"/>
      <c r="EP32" s="193"/>
      <c r="EQ32" s="193"/>
      <c r="ER32" s="193"/>
      <c r="ES32" s="193"/>
      <c r="ET32" s="193"/>
      <c r="EU32" s="193"/>
      <c r="EV32" s="193"/>
      <c r="EW32" s="193"/>
      <c r="EX32" s="193"/>
      <c r="EY32" s="193"/>
      <c r="EZ32" s="193"/>
      <c r="FA32" s="193"/>
      <c r="FB32" s="193"/>
      <c r="FC32" s="193"/>
      <c r="FD32" s="193"/>
      <c r="FE32" s="193"/>
      <c r="FF32" s="193"/>
      <c r="FG32" s="193"/>
      <c r="FH32" s="193"/>
      <c r="FI32" s="193"/>
      <c r="FJ32" s="193"/>
      <c r="FK32" s="193"/>
      <c r="FL32" s="193"/>
      <c r="FM32" s="193"/>
      <c r="FN32" s="193"/>
      <c r="FO32" s="193"/>
      <c r="FP32" s="193"/>
      <c r="FQ32" s="193"/>
      <c r="FR32" s="193"/>
      <c r="FS32" s="193"/>
      <c r="FT32" s="193"/>
      <c r="FU32" s="193"/>
      <c r="FV32" s="193"/>
      <c r="FW32" s="193"/>
      <c r="FX32" s="193"/>
      <c r="FY32" s="193"/>
      <c r="FZ32" s="193"/>
      <c r="GA32" s="193"/>
      <c r="GB32" s="193"/>
      <c r="GC32" s="193"/>
      <c r="GD32" s="193"/>
      <c r="GE32" s="193"/>
      <c r="GF32" s="193"/>
      <c r="GG32" s="193"/>
      <c r="GH32" s="193"/>
      <c r="GI32" s="193"/>
      <c r="GJ32" s="193"/>
      <c r="GK32" s="193"/>
      <c r="GL32" s="193"/>
      <c r="GM32" s="193"/>
      <c r="GN32" s="193"/>
      <c r="GO32" s="193"/>
      <c r="GP32" s="193"/>
      <c r="GQ32" s="193"/>
      <c r="GR32" s="193"/>
      <c r="GS32" s="193"/>
      <c r="GT32" s="193"/>
      <c r="GU32" s="193"/>
      <c r="GV32" s="193"/>
      <c r="GW32" s="193"/>
      <c r="GX32" s="193"/>
      <c r="GY32" s="193"/>
      <c r="GZ32" s="193"/>
      <c r="HA32" s="193"/>
      <c r="HB32" s="193"/>
      <c r="HC32" s="193"/>
      <c r="HD32" s="193"/>
      <c r="HE32" s="193"/>
      <c r="HF32" s="193"/>
      <c r="HG32" s="193"/>
      <c r="HH32" s="193"/>
      <c r="HI32" s="193"/>
      <c r="HJ32" s="193"/>
      <c r="HK32" s="193"/>
      <c r="HL32" s="193"/>
      <c r="HM32" s="193"/>
      <c r="HN32" s="193"/>
      <c r="HO32" s="193"/>
      <c r="HP32" s="193"/>
      <c r="HQ32" s="193"/>
      <c r="HR32" s="193"/>
      <c r="HS32" s="193"/>
      <c r="HT32" s="193"/>
      <c r="HU32" s="193"/>
      <c r="HV32" s="193"/>
      <c r="HW32" s="193"/>
      <c r="HX32" s="193"/>
      <c r="HY32" s="193"/>
      <c r="HZ32" s="193"/>
      <c r="IA32" s="193"/>
      <c r="IB32" s="193"/>
      <c r="IC32" s="193"/>
      <c r="ID32" s="193"/>
      <c r="IE32" s="193"/>
      <c r="IF32" s="193"/>
      <c r="IG32" s="193"/>
      <c r="IH32" s="193"/>
      <c r="II32" s="193"/>
      <c r="IJ32" s="193"/>
      <c r="IK32" s="193"/>
      <c r="IL32" s="193"/>
      <c r="IM32" s="193"/>
      <c r="IN32" s="193"/>
      <c r="IO32" s="193"/>
      <c r="IP32" s="193"/>
      <c r="IQ32" s="193"/>
    </row>
    <row r="33" spans="1:251" hidden="1">
      <c r="A33" s="1026"/>
      <c r="B33" s="1955"/>
      <c r="C33" s="1955"/>
      <c r="D33" s="2034"/>
      <c r="E33" s="1955"/>
      <c r="F33" s="1942">
        <f>ROUNDUP((E33*$Q$5),-3)</f>
        <v>0</v>
      </c>
      <c r="G33" s="1026"/>
      <c r="H33" s="1942">
        <f>D33*F33*G33</f>
        <v>0</v>
      </c>
      <c r="I33" s="1026"/>
      <c r="J33" s="1942">
        <f>I33*$Q$4</f>
        <v>0</v>
      </c>
      <c r="K33" s="1026"/>
      <c r="L33" s="1942">
        <f>K33*F33</f>
        <v>0</v>
      </c>
      <c r="M33" s="1942">
        <f>D33*G33*(J33+L33)</f>
        <v>0</v>
      </c>
      <c r="N33" s="1942">
        <f>H33+M33</f>
        <v>0</v>
      </c>
      <c r="O33" s="1026"/>
      <c r="P33" s="1026"/>
      <c r="Q33" s="1942">
        <f>N33+O33+P33</f>
        <v>0</v>
      </c>
      <c r="R33" s="1942">
        <f>Q33*10%</f>
        <v>0</v>
      </c>
      <c r="S33" s="1942">
        <f>(Q33-R33)*10%</f>
        <v>0</v>
      </c>
      <c r="T33" s="1942">
        <f>(Q33-R33)*6%</f>
        <v>0</v>
      </c>
      <c r="U33" s="1942">
        <f>(Q33-R33)*5%</f>
        <v>0</v>
      </c>
      <c r="V33" s="3035">
        <f t="shared" si="2"/>
        <v>0</v>
      </c>
      <c r="W33" s="1942"/>
      <c r="X33" s="193"/>
      <c r="Y33" s="193"/>
      <c r="Z33" s="193"/>
      <c r="AA33" s="193"/>
      <c r="AB33" s="193"/>
      <c r="AC33" s="193"/>
      <c r="AD33" s="193"/>
      <c r="AE33" s="193"/>
      <c r="AF33" s="193"/>
      <c r="AG33" s="193"/>
      <c r="AH33" s="193"/>
      <c r="AI33" s="193"/>
      <c r="AJ33" s="193"/>
      <c r="AK33" s="193"/>
      <c r="AL33" s="193"/>
      <c r="AM33" s="193"/>
      <c r="AN33" s="193"/>
      <c r="AO33" s="193"/>
      <c r="AP33" s="193"/>
      <c r="AQ33" s="193"/>
      <c r="AR33" s="193"/>
      <c r="AS33" s="193"/>
      <c r="AT33" s="193"/>
      <c r="AU33" s="193"/>
      <c r="AV33" s="193"/>
      <c r="AW33" s="193"/>
      <c r="AX33" s="193"/>
      <c r="AY33" s="193"/>
      <c r="AZ33" s="193"/>
      <c r="BA33" s="193"/>
      <c r="BB33" s="193"/>
      <c r="BC33" s="193"/>
      <c r="BD33" s="193"/>
      <c r="BE33" s="193"/>
      <c r="BF33" s="193"/>
      <c r="BG33" s="193"/>
      <c r="BH33" s="193"/>
      <c r="BI33" s="193"/>
      <c r="BJ33" s="193"/>
      <c r="BK33" s="193"/>
      <c r="BL33" s="193"/>
      <c r="BM33" s="193"/>
      <c r="BN33" s="193"/>
      <c r="BO33" s="193"/>
      <c r="BP33" s="193"/>
      <c r="BQ33" s="193"/>
      <c r="BR33" s="193"/>
      <c r="BS33" s="193"/>
      <c r="BT33" s="193"/>
      <c r="BU33" s="193"/>
      <c r="BV33" s="193"/>
      <c r="BW33" s="193"/>
      <c r="BX33" s="193"/>
      <c r="BY33" s="193"/>
      <c r="BZ33" s="193"/>
      <c r="CA33" s="193"/>
      <c r="CB33" s="193"/>
      <c r="CC33" s="193"/>
      <c r="CD33" s="193"/>
      <c r="CE33" s="193"/>
      <c r="CF33" s="193"/>
      <c r="CG33" s="193"/>
      <c r="CH33" s="193"/>
      <c r="CI33" s="193"/>
      <c r="CJ33" s="193"/>
      <c r="CK33" s="193"/>
      <c r="CL33" s="193"/>
      <c r="CM33" s="193"/>
      <c r="CN33" s="193"/>
      <c r="CO33" s="193"/>
      <c r="CP33" s="193"/>
      <c r="CQ33" s="193"/>
      <c r="CR33" s="193"/>
      <c r="CS33" s="193"/>
      <c r="CT33" s="193"/>
      <c r="CU33" s="193"/>
      <c r="CV33" s="193"/>
      <c r="CW33" s="193"/>
      <c r="CX33" s="193"/>
      <c r="CY33" s="193"/>
      <c r="CZ33" s="193"/>
      <c r="DA33" s="193"/>
      <c r="DB33" s="193"/>
      <c r="DC33" s="193"/>
      <c r="DD33" s="193"/>
      <c r="DE33" s="193"/>
      <c r="DF33" s="193"/>
      <c r="DG33" s="193"/>
      <c r="DH33" s="193"/>
      <c r="DI33" s="193"/>
      <c r="DJ33" s="193"/>
      <c r="DK33" s="193"/>
      <c r="DL33" s="193"/>
      <c r="DM33" s="193"/>
      <c r="DN33" s="193"/>
      <c r="DO33" s="193"/>
      <c r="DP33" s="193"/>
      <c r="DQ33" s="193"/>
      <c r="DR33" s="193"/>
      <c r="DS33" s="193"/>
      <c r="DT33" s="193"/>
      <c r="DU33" s="193"/>
      <c r="DV33" s="193"/>
      <c r="DW33" s="193"/>
      <c r="DX33" s="193"/>
      <c r="DY33" s="193"/>
      <c r="DZ33" s="193"/>
      <c r="EA33" s="193"/>
      <c r="EB33" s="193"/>
      <c r="EC33" s="193"/>
      <c r="ED33" s="193"/>
      <c r="EE33" s="193"/>
      <c r="EF33" s="193"/>
      <c r="EG33" s="193"/>
      <c r="EH33" s="193"/>
      <c r="EI33" s="193"/>
      <c r="EJ33" s="193"/>
      <c r="EK33" s="193"/>
      <c r="EL33" s="193"/>
      <c r="EM33" s="193"/>
      <c r="EN33" s="193"/>
      <c r="EO33" s="193"/>
      <c r="EP33" s="193"/>
      <c r="EQ33" s="193"/>
      <c r="ER33" s="193"/>
      <c r="ES33" s="193"/>
      <c r="ET33" s="193"/>
      <c r="EU33" s="193"/>
      <c r="EV33" s="193"/>
      <c r="EW33" s="193"/>
      <c r="EX33" s="193"/>
      <c r="EY33" s="193"/>
      <c r="EZ33" s="193"/>
      <c r="FA33" s="193"/>
      <c r="FB33" s="193"/>
      <c r="FC33" s="193"/>
      <c r="FD33" s="193"/>
      <c r="FE33" s="193"/>
      <c r="FF33" s="193"/>
      <c r="FG33" s="193"/>
      <c r="FH33" s="193"/>
      <c r="FI33" s="193"/>
      <c r="FJ33" s="193"/>
      <c r="FK33" s="193"/>
      <c r="FL33" s="193"/>
      <c r="FM33" s="193"/>
      <c r="FN33" s="193"/>
      <c r="FO33" s="193"/>
      <c r="FP33" s="193"/>
      <c r="FQ33" s="193"/>
      <c r="FR33" s="193"/>
      <c r="FS33" s="193"/>
      <c r="FT33" s="193"/>
      <c r="FU33" s="193"/>
      <c r="FV33" s="193"/>
      <c r="FW33" s="193"/>
      <c r="FX33" s="193"/>
      <c r="FY33" s="193"/>
      <c r="FZ33" s="193"/>
      <c r="GA33" s="193"/>
      <c r="GB33" s="193"/>
      <c r="GC33" s="193"/>
      <c r="GD33" s="193"/>
      <c r="GE33" s="193"/>
      <c r="GF33" s="193"/>
      <c r="GG33" s="193"/>
      <c r="GH33" s="193"/>
      <c r="GI33" s="193"/>
      <c r="GJ33" s="193"/>
      <c r="GK33" s="193"/>
      <c r="GL33" s="193"/>
      <c r="GM33" s="193"/>
      <c r="GN33" s="193"/>
      <c r="GO33" s="193"/>
      <c r="GP33" s="193"/>
      <c r="GQ33" s="193"/>
      <c r="GR33" s="193"/>
      <c r="GS33" s="193"/>
      <c r="GT33" s="193"/>
      <c r="GU33" s="193"/>
      <c r="GV33" s="193"/>
      <c r="GW33" s="193"/>
      <c r="GX33" s="193"/>
      <c r="GY33" s="193"/>
      <c r="GZ33" s="193"/>
      <c r="HA33" s="193"/>
      <c r="HB33" s="193"/>
      <c r="HC33" s="193"/>
      <c r="HD33" s="193"/>
      <c r="HE33" s="193"/>
      <c r="HF33" s="193"/>
      <c r="HG33" s="193"/>
      <c r="HH33" s="193"/>
      <c r="HI33" s="193"/>
      <c r="HJ33" s="193"/>
      <c r="HK33" s="193"/>
      <c r="HL33" s="193"/>
      <c r="HM33" s="193"/>
      <c r="HN33" s="193"/>
      <c r="HO33" s="193"/>
      <c r="HP33" s="193"/>
      <c r="HQ33" s="193"/>
      <c r="HR33" s="193"/>
      <c r="HS33" s="193"/>
      <c r="HT33" s="193"/>
      <c r="HU33" s="193"/>
      <c r="HV33" s="193"/>
      <c r="HW33" s="193"/>
      <c r="HX33" s="193"/>
      <c r="HY33" s="193"/>
      <c r="HZ33" s="193"/>
      <c r="IA33" s="193"/>
      <c r="IB33" s="193"/>
      <c r="IC33" s="193"/>
      <c r="ID33" s="193"/>
      <c r="IE33" s="193"/>
      <c r="IF33" s="193"/>
      <c r="IG33" s="193"/>
      <c r="IH33" s="193"/>
      <c r="II33" s="193"/>
      <c r="IJ33" s="193"/>
      <c r="IK33" s="193"/>
      <c r="IL33" s="193"/>
      <c r="IM33" s="193"/>
      <c r="IN33" s="193"/>
      <c r="IO33" s="193"/>
      <c r="IP33" s="193"/>
      <c r="IQ33" s="193"/>
    </row>
    <row r="34" spans="1:251" hidden="1">
      <c r="A34" s="1026"/>
      <c r="B34" s="1955"/>
      <c r="C34" s="1955"/>
      <c r="D34" s="2034"/>
      <c r="E34" s="1955"/>
      <c r="F34" s="1942">
        <f t="shared" si="15"/>
        <v>0</v>
      </c>
      <c r="G34" s="1026"/>
      <c r="H34" s="1942">
        <f t="shared" ref="H34:H46" si="16">D34*F34*G34</f>
        <v>0</v>
      </c>
      <c r="I34" s="1026"/>
      <c r="J34" s="1942">
        <f t="shared" si="6"/>
        <v>0</v>
      </c>
      <c r="K34" s="1026"/>
      <c r="L34" s="1942">
        <f t="shared" ref="L34:L46" si="17">K34*F34</f>
        <v>0</v>
      </c>
      <c r="M34" s="1942">
        <f t="shared" ref="M34:M46" si="18">D34*G34*(J34+L34)</f>
        <v>0</v>
      </c>
      <c r="N34" s="1942">
        <f t="shared" ref="N34:N46" si="19">H34+M34</f>
        <v>0</v>
      </c>
      <c r="O34" s="1026"/>
      <c r="P34" s="1026"/>
      <c r="Q34" s="1942">
        <f t="shared" ref="Q34:Q46" si="20">N34+O34+P34</f>
        <v>0</v>
      </c>
      <c r="R34" s="1942">
        <f t="shared" si="10"/>
        <v>0</v>
      </c>
      <c r="S34" s="1942">
        <f t="shared" ref="S34:S46" si="21">(Q34-R34)*10%</f>
        <v>0</v>
      </c>
      <c r="T34" s="1942">
        <f t="shared" ref="T34:T46" si="22">(Q34-R34)*6%</f>
        <v>0</v>
      </c>
      <c r="U34" s="1942">
        <f t="shared" ref="U34:U46" si="23">(Q34-R34)*5%</f>
        <v>0</v>
      </c>
      <c r="V34" s="3035">
        <f t="shared" si="2"/>
        <v>0</v>
      </c>
      <c r="W34" s="1942"/>
      <c r="X34" s="193"/>
      <c r="Y34" s="193"/>
      <c r="Z34" s="193"/>
      <c r="AA34" s="193"/>
      <c r="AB34" s="193"/>
      <c r="AC34" s="193"/>
      <c r="AD34" s="193"/>
      <c r="AE34" s="193"/>
      <c r="AF34" s="193"/>
      <c r="AG34" s="193"/>
      <c r="AH34" s="193"/>
      <c r="AI34" s="193"/>
      <c r="AJ34" s="193"/>
      <c r="AK34" s="193"/>
      <c r="AL34" s="193"/>
      <c r="AM34" s="193"/>
      <c r="AN34" s="193"/>
      <c r="AO34" s="193"/>
      <c r="AP34" s="193"/>
      <c r="AQ34" s="193"/>
      <c r="AR34" s="193"/>
      <c r="AS34" s="193"/>
      <c r="AT34" s="193"/>
      <c r="AU34" s="193"/>
      <c r="AV34" s="193"/>
      <c r="AW34" s="193"/>
      <c r="AX34" s="193"/>
      <c r="AY34" s="193"/>
      <c r="AZ34" s="193"/>
      <c r="BA34" s="193"/>
      <c r="BB34" s="193"/>
      <c r="BC34" s="193"/>
      <c r="BD34" s="193"/>
      <c r="BE34" s="193"/>
      <c r="BF34" s="193"/>
      <c r="BG34" s="193"/>
      <c r="BH34" s="193"/>
      <c r="BI34" s="193"/>
      <c r="BJ34" s="193"/>
      <c r="BK34" s="193"/>
      <c r="BL34" s="193"/>
      <c r="BM34" s="193"/>
      <c r="BN34" s="193"/>
      <c r="BO34" s="193"/>
      <c r="BP34" s="193"/>
      <c r="BQ34" s="193"/>
      <c r="BR34" s="193"/>
      <c r="BS34" s="193"/>
      <c r="BT34" s="193"/>
      <c r="BU34" s="193"/>
      <c r="BV34" s="193"/>
      <c r="BW34" s="193"/>
      <c r="BX34" s="193"/>
      <c r="BY34" s="193"/>
      <c r="BZ34" s="193"/>
      <c r="CA34" s="193"/>
      <c r="CB34" s="193"/>
      <c r="CC34" s="193"/>
      <c r="CD34" s="193"/>
      <c r="CE34" s="193"/>
      <c r="CF34" s="193"/>
      <c r="CG34" s="193"/>
      <c r="CH34" s="193"/>
      <c r="CI34" s="193"/>
      <c r="CJ34" s="193"/>
      <c r="CK34" s="193"/>
      <c r="CL34" s="193"/>
      <c r="CM34" s="193"/>
      <c r="CN34" s="193"/>
      <c r="CO34" s="193"/>
      <c r="CP34" s="193"/>
      <c r="CQ34" s="193"/>
      <c r="CR34" s="193"/>
      <c r="CS34" s="193"/>
      <c r="CT34" s="193"/>
      <c r="CU34" s="193"/>
      <c r="CV34" s="193"/>
      <c r="CW34" s="193"/>
      <c r="CX34" s="193"/>
      <c r="CY34" s="193"/>
      <c r="CZ34" s="193"/>
      <c r="DA34" s="193"/>
      <c r="DB34" s="193"/>
      <c r="DC34" s="193"/>
      <c r="DD34" s="193"/>
      <c r="DE34" s="193"/>
      <c r="DF34" s="193"/>
      <c r="DG34" s="193"/>
      <c r="DH34" s="193"/>
      <c r="DI34" s="193"/>
      <c r="DJ34" s="193"/>
      <c r="DK34" s="193"/>
      <c r="DL34" s="193"/>
      <c r="DM34" s="193"/>
      <c r="DN34" s="193"/>
      <c r="DO34" s="193"/>
      <c r="DP34" s="193"/>
      <c r="DQ34" s="193"/>
      <c r="DR34" s="193"/>
      <c r="DS34" s="193"/>
      <c r="DT34" s="193"/>
      <c r="DU34" s="193"/>
      <c r="DV34" s="193"/>
      <c r="DW34" s="193"/>
      <c r="DX34" s="193"/>
      <c r="DY34" s="193"/>
      <c r="DZ34" s="193"/>
      <c r="EA34" s="193"/>
      <c r="EB34" s="193"/>
      <c r="EC34" s="193"/>
      <c r="ED34" s="193"/>
      <c r="EE34" s="193"/>
      <c r="EF34" s="193"/>
      <c r="EG34" s="193"/>
      <c r="EH34" s="193"/>
      <c r="EI34" s="193"/>
      <c r="EJ34" s="193"/>
      <c r="EK34" s="193"/>
      <c r="EL34" s="193"/>
      <c r="EM34" s="193"/>
      <c r="EN34" s="193"/>
      <c r="EO34" s="193"/>
      <c r="EP34" s="193"/>
      <c r="EQ34" s="193"/>
      <c r="ER34" s="193"/>
      <c r="ES34" s="193"/>
      <c r="ET34" s="193"/>
      <c r="EU34" s="193"/>
      <c r="EV34" s="193"/>
      <c r="EW34" s="193"/>
      <c r="EX34" s="193"/>
      <c r="EY34" s="193"/>
      <c r="EZ34" s="193"/>
      <c r="FA34" s="193"/>
      <c r="FB34" s="193"/>
      <c r="FC34" s="193"/>
      <c r="FD34" s="193"/>
      <c r="FE34" s="193"/>
      <c r="FF34" s="193"/>
      <c r="FG34" s="193"/>
      <c r="FH34" s="193"/>
      <c r="FI34" s="193"/>
      <c r="FJ34" s="193"/>
      <c r="FK34" s="193"/>
      <c r="FL34" s="193"/>
      <c r="FM34" s="193"/>
      <c r="FN34" s="193"/>
      <c r="FO34" s="193"/>
      <c r="FP34" s="193"/>
      <c r="FQ34" s="193"/>
      <c r="FR34" s="193"/>
      <c r="FS34" s="193"/>
      <c r="FT34" s="193"/>
      <c r="FU34" s="193"/>
      <c r="FV34" s="193"/>
      <c r="FW34" s="193"/>
      <c r="FX34" s="193"/>
      <c r="FY34" s="193"/>
      <c r="FZ34" s="193"/>
      <c r="GA34" s="193"/>
      <c r="GB34" s="193"/>
      <c r="GC34" s="193"/>
      <c r="GD34" s="193"/>
      <c r="GE34" s="193"/>
      <c r="GF34" s="193"/>
      <c r="GG34" s="193"/>
      <c r="GH34" s="193"/>
      <c r="GI34" s="193"/>
      <c r="GJ34" s="193"/>
      <c r="GK34" s="193"/>
      <c r="GL34" s="193"/>
      <c r="GM34" s="193"/>
      <c r="GN34" s="193"/>
      <c r="GO34" s="193"/>
      <c r="GP34" s="193"/>
      <c r="GQ34" s="193"/>
      <c r="GR34" s="193"/>
      <c r="GS34" s="193"/>
      <c r="GT34" s="193"/>
      <c r="GU34" s="193"/>
      <c r="GV34" s="193"/>
      <c r="GW34" s="193"/>
      <c r="GX34" s="193"/>
      <c r="GY34" s="193"/>
      <c r="GZ34" s="193"/>
      <c r="HA34" s="193"/>
      <c r="HB34" s="193"/>
      <c r="HC34" s="193"/>
      <c r="HD34" s="193"/>
      <c r="HE34" s="193"/>
      <c r="HF34" s="193"/>
      <c r="HG34" s="193"/>
      <c r="HH34" s="193"/>
      <c r="HI34" s="193"/>
      <c r="HJ34" s="193"/>
      <c r="HK34" s="193"/>
      <c r="HL34" s="193"/>
      <c r="HM34" s="193"/>
      <c r="HN34" s="193"/>
      <c r="HO34" s="193"/>
      <c r="HP34" s="193"/>
      <c r="HQ34" s="193"/>
      <c r="HR34" s="193"/>
      <c r="HS34" s="193"/>
      <c r="HT34" s="193"/>
      <c r="HU34" s="193"/>
      <c r="HV34" s="193"/>
      <c r="HW34" s="193"/>
      <c r="HX34" s="193"/>
      <c r="HY34" s="193"/>
      <c r="HZ34" s="193"/>
      <c r="IA34" s="193"/>
      <c r="IB34" s="193"/>
      <c r="IC34" s="193"/>
      <c r="ID34" s="193"/>
      <c r="IE34" s="193"/>
      <c r="IF34" s="193"/>
      <c r="IG34" s="193"/>
      <c r="IH34" s="193"/>
      <c r="II34" s="193"/>
      <c r="IJ34" s="193"/>
      <c r="IK34" s="193"/>
      <c r="IL34" s="193"/>
      <c r="IM34" s="193"/>
      <c r="IN34" s="193"/>
      <c r="IO34" s="193"/>
      <c r="IP34" s="193"/>
      <c r="IQ34" s="193"/>
    </row>
    <row r="35" spans="1:251" hidden="1">
      <c r="A35" s="1026"/>
      <c r="B35" s="1955"/>
      <c r="C35" s="1955"/>
      <c r="D35" s="2034"/>
      <c r="E35" s="1955"/>
      <c r="F35" s="1942">
        <f t="shared" si="15"/>
        <v>0</v>
      </c>
      <c r="G35" s="1026"/>
      <c r="H35" s="1942">
        <f t="shared" si="16"/>
        <v>0</v>
      </c>
      <c r="I35" s="1026"/>
      <c r="J35" s="1942">
        <f t="shared" si="6"/>
        <v>0</v>
      </c>
      <c r="K35" s="1026"/>
      <c r="L35" s="1942">
        <f t="shared" si="17"/>
        <v>0</v>
      </c>
      <c r="M35" s="1942">
        <f t="shared" si="18"/>
        <v>0</v>
      </c>
      <c r="N35" s="1942">
        <f t="shared" si="19"/>
        <v>0</v>
      </c>
      <c r="O35" s="1026"/>
      <c r="P35" s="1026"/>
      <c r="Q35" s="1942">
        <f t="shared" si="20"/>
        <v>0</v>
      </c>
      <c r="R35" s="1942">
        <f t="shared" si="10"/>
        <v>0</v>
      </c>
      <c r="S35" s="1942">
        <f t="shared" si="21"/>
        <v>0</v>
      </c>
      <c r="T35" s="1942">
        <f t="shared" si="22"/>
        <v>0</v>
      </c>
      <c r="U35" s="1942">
        <f t="shared" si="23"/>
        <v>0</v>
      </c>
      <c r="V35" s="3035">
        <f t="shared" si="2"/>
        <v>0</v>
      </c>
      <c r="W35" s="1942"/>
      <c r="X35" s="193"/>
      <c r="Y35" s="193"/>
      <c r="Z35" s="193"/>
      <c r="AA35" s="193"/>
      <c r="AB35" s="193"/>
      <c r="AC35" s="193"/>
      <c r="AD35" s="193"/>
      <c r="AE35" s="193"/>
      <c r="AF35" s="193"/>
      <c r="AG35" s="193"/>
      <c r="AH35" s="193"/>
      <c r="AI35" s="193"/>
      <c r="AJ35" s="193"/>
      <c r="AK35" s="193"/>
      <c r="AL35" s="193"/>
      <c r="AM35" s="193"/>
      <c r="AN35" s="193"/>
      <c r="AO35" s="193"/>
      <c r="AP35" s="193"/>
      <c r="AQ35" s="193"/>
      <c r="AR35" s="193"/>
      <c r="AS35" s="193"/>
      <c r="AT35" s="193"/>
      <c r="AU35" s="193"/>
      <c r="AV35" s="193"/>
      <c r="AW35" s="193"/>
      <c r="AX35" s="193"/>
      <c r="AY35" s="193"/>
      <c r="AZ35" s="193"/>
      <c r="BA35" s="193"/>
      <c r="BB35" s="193"/>
      <c r="BC35" s="193"/>
      <c r="BD35" s="193"/>
      <c r="BE35" s="193"/>
      <c r="BF35" s="193"/>
      <c r="BG35" s="193"/>
      <c r="BH35" s="193"/>
      <c r="BI35" s="193"/>
      <c r="BJ35" s="193"/>
      <c r="BK35" s="193"/>
      <c r="BL35" s="193"/>
      <c r="BM35" s="193"/>
      <c r="BN35" s="193"/>
      <c r="BO35" s="193"/>
      <c r="BP35" s="193"/>
      <c r="BQ35" s="193"/>
      <c r="BR35" s="193"/>
      <c r="BS35" s="193"/>
      <c r="BT35" s="193"/>
      <c r="BU35" s="193"/>
      <c r="BV35" s="193"/>
      <c r="BW35" s="193"/>
      <c r="BX35" s="193"/>
      <c r="BY35" s="193"/>
      <c r="BZ35" s="193"/>
      <c r="CA35" s="193"/>
      <c r="CB35" s="193"/>
      <c r="CC35" s="193"/>
      <c r="CD35" s="193"/>
      <c r="CE35" s="193"/>
      <c r="CF35" s="193"/>
      <c r="CG35" s="193"/>
      <c r="CH35" s="193"/>
      <c r="CI35" s="193"/>
      <c r="CJ35" s="193"/>
      <c r="CK35" s="193"/>
      <c r="CL35" s="193"/>
      <c r="CM35" s="193"/>
      <c r="CN35" s="193"/>
      <c r="CO35" s="193"/>
      <c r="CP35" s="193"/>
      <c r="CQ35" s="193"/>
      <c r="CR35" s="193"/>
      <c r="CS35" s="193"/>
      <c r="CT35" s="193"/>
      <c r="CU35" s="193"/>
      <c r="CV35" s="193"/>
      <c r="CW35" s="193"/>
      <c r="CX35" s="193"/>
      <c r="CY35" s="193"/>
      <c r="CZ35" s="193"/>
      <c r="DA35" s="193"/>
      <c r="DB35" s="193"/>
      <c r="DC35" s="193"/>
      <c r="DD35" s="193"/>
      <c r="DE35" s="193"/>
      <c r="DF35" s="193"/>
      <c r="DG35" s="193"/>
      <c r="DH35" s="193"/>
      <c r="DI35" s="193"/>
      <c r="DJ35" s="193"/>
      <c r="DK35" s="193"/>
      <c r="DL35" s="193"/>
      <c r="DM35" s="193"/>
      <c r="DN35" s="193"/>
      <c r="DO35" s="193"/>
      <c r="DP35" s="193"/>
      <c r="DQ35" s="193"/>
      <c r="DR35" s="193"/>
      <c r="DS35" s="193"/>
      <c r="DT35" s="193"/>
      <c r="DU35" s="193"/>
      <c r="DV35" s="193"/>
      <c r="DW35" s="193"/>
      <c r="DX35" s="193"/>
      <c r="DY35" s="193"/>
      <c r="DZ35" s="193"/>
      <c r="EA35" s="193"/>
      <c r="EB35" s="193"/>
      <c r="EC35" s="193"/>
      <c r="ED35" s="193"/>
      <c r="EE35" s="193"/>
      <c r="EF35" s="193"/>
      <c r="EG35" s="193"/>
      <c r="EH35" s="193"/>
      <c r="EI35" s="193"/>
      <c r="EJ35" s="193"/>
      <c r="EK35" s="193"/>
      <c r="EL35" s="193"/>
      <c r="EM35" s="193"/>
      <c r="EN35" s="193"/>
      <c r="EO35" s="193"/>
      <c r="EP35" s="193"/>
      <c r="EQ35" s="193"/>
      <c r="ER35" s="193"/>
      <c r="ES35" s="193"/>
      <c r="ET35" s="193"/>
      <c r="EU35" s="193"/>
      <c r="EV35" s="193"/>
      <c r="EW35" s="193"/>
      <c r="EX35" s="193"/>
      <c r="EY35" s="193"/>
      <c r="EZ35" s="193"/>
      <c r="FA35" s="193"/>
      <c r="FB35" s="193"/>
      <c r="FC35" s="193"/>
      <c r="FD35" s="193"/>
      <c r="FE35" s="193"/>
      <c r="FF35" s="193"/>
      <c r="FG35" s="193"/>
      <c r="FH35" s="193"/>
      <c r="FI35" s="193"/>
      <c r="FJ35" s="193"/>
      <c r="FK35" s="193"/>
      <c r="FL35" s="193"/>
      <c r="FM35" s="193"/>
      <c r="FN35" s="193"/>
      <c r="FO35" s="193"/>
      <c r="FP35" s="193"/>
      <c r="FQ35" s="193"/>
      <c r="FR35" s="193"/>
      <c r="FS35" s="193"/>
      <c r="FT35" s="193"/>
      <c r="FU35" s="193"/>
      <c r="FV35" s="193"/>
      <c r="FW35" s="193"/>
      <c r="FX35" s="193"/>
      <c r="FY35" s="193"/>
      <c r="FZ35" s="193"/>
      <c r="GA35" s="193"/>
      <c r="GB35" s="193"/>
      <c r="GC35" s="193"/>
      <c r="GD35" s="193"/>
      <c r="GE35" s="193"/>
      <c r="GF35" s="193"/>
      <c r="GG35" s="193"/>
      <c r="GH35" s="193"/>
      <c r="GI35" s="193"/>
      <c r="GJ35" s="193"/>
      <c r="GK35" s="193"/>
      <c r="GL35" s="193"/>
      <c r="GM35" s="193"/>
      <c r="GN35" s="193"/>
      <c r="GO35" s="193"/>
      <c r="GP35" s="193"/>
      <c r="GQ35" s="193"/>
      <c r="GR35" s="193"/>
      <c r="GS35" s="193"/>
      <c r="GT35" s="193"/>
      <c r="GU35" s="193"/>
      <c r="GV35" s="193"/>
      <c r="GW35" s="193"/>
      <c r="GX35" s="193"/>
      <c r="GY35" s="193"/>
      <c r="GZ35" s="193"/>
      <c r="HA35" s="193"/>
      <c r="HB35" s="193"/>
      <c r="HC35" s="193"/>
      <c r="HD35" s="193"/>
      <c r="HE35" s="193"/>
      <c r="HF35" s="193"/>
      <c r="HG35" s="193"/>
      <c r="HH35" s="193"/>
      <c r="HI35" s="193"/>
      <c r="HJ35" s="193"/>
      <c r="HK35" s="193"/>
      <c r="HL35" s="193"/>
      <c r="HM35" s="193"/>
      <c r="HN35" s="193"/>
      <c r="HO35" s="193"/>
      <c r="HP35" s="193"/>
      <c r="HQ35" s="193"/>
      <c r="HR35" s="193"/>
      <c r="HS35" s="193"/>
      <c r="HT35" s="193"/>
      <c r="HU35" s="193"/>
      <c r="HV35" s="193"/>
      <c r="HW35" s="193"/>
      <c r="HX35" s="193"/>
      <c r="HY35" s="193"/>
      <c r="HZ35" s="193"/>
      <c r="IA35" s="193"/>
      <c r="IB35" s="193"/>
      <c r="IC35" s="193"/>
      <c r="ID35" s="193"/>
      <c r="IE35" s="193"/>
      <c r="IF35" s="193"/>
      <c r="IG35" s="193"/>
      <c r="IH35" s="193"/>
      <c r="II35" s="193"/>
      <c r="IJ35" s="193"/>
      <c r="IK35" s="193"/>
      <c r="IL35" s="193"/>
      <c r="IM35" s="193"/>
      <c r="IN35" s="193"/>
      <c r="IO35" s="193"/>
      <c r="IP35" s="193"/>
      <c r="IQ35" s="193"/>
    </row>
    <row r="36" spans="1:251" hidden="1">
      <c r="A36" s="1026"/>
      <c r="B36" s="1955"/>
      <c r="C36" s="1955"/>
      <c r="D36" s="2034"/>
      <c r="E36" s="1955"/>
      <c r="F36" s="1942">
        <f t="shared" si="15"/>
        <v>0</v>
      </c>
      <c r="G36" s="1026"/>
      <c r="H36" s="1942">
        <f t="shared" si="16"/>
        <v>0</v>
      </c>
      <c r="I36" s="1026"/>
      <c r="J36" s="1942">
        <f t="shared" si="6"/>
        <v>0</v>
      </c>
      <c r="K36" s="1026"/>
      <c r="L36" s="1942">
        <f t="shared" si="17"/>
        <v>0</v>
      </c>
      <c r="M36" s="1942">
        <f t="shared" si="18"/>
        <v>0</v>
      </c>
      <c r="N36" s="1942">
        <f t="shared" si="19"/>
        <v>0</v>
      </c>
      <c r="O36" s="1026"/>
      <c r="P36" s="1026"/>
      <c r="Q36" s="1942">
        <f t="shared" si="20"/>
        <v>0</v>
      </c>
      <c r="R36" s="1942">
        <f t="shared" si="10"/>
        <v>0</v>
      </c>
      <c r="S36" s="1942">
        <f t="shared" si="21"/>
        <v>0</v>
      </c>
      <c r="T36" s="1942">
        <f t="shared" si="22"/>
        <v>0</v>
      </c>
      <c r="U36" s="1942">
        <f t="shared" si="23"/>
        <v>0</v>
      </c>
      <c r="V36" s="3035">
        <f t="shared" si="2"/>
        <v>0</v>
      </c>
      <c r="W36" s="1942"/>
      <c r="X36" s="193"/>
      <c r="Y36" s="193"/>
      <c r="Z36" s="193"/>
      <c r="AA36" s="193"/>
      <c r="AB36" s="193"/>
      <c r="AC36" s="193"/>
      <c r="AD36" s="193"/>
      <c r="AE36" s="193"/>
      <c r="AF36" s="193"/>
      <c r="AG36" s="193"/>
      <c r="AH36" s="193"/>
      <c r="AI36" s="193"/>
      <c r="AJ36" s="193"/>
      <c r="AK36" s="193"/>
      <c r="AL36" s="193"/>
      <c r="AM36" s="193"/>
      <c r="AN36" s="193"/>
      <c r="AO36" s="193"/>
      <c r="AP36" s="193"/>
      <c r="AQ36" s="193"/>
      <c r="AR36" s="193"/>
      <c r="AS36" s="193"/>
      <c r="AT36" s="193"/>
      <c r="AU36" s="193"/>
      <c r="AV36" s="193"/>
      <c r="AW36" s="193"/>
      <c r="AX36" s="193"/>
      <c r="AY36" s="193"/>
      <c r="AZ36" s="193"/>
      <c r="BA36" s="193"/>
      <c r="BB36" s="193"/>
      <c r="BC36" s="193"/>
      <c r="BD36" s="193"/>
      <c r="BE36" s="193"/>
      <c r="BF36" s="193"/>
      <c r="BG36" s="193"/>
      <c r="BH36" s="193"/>
      <c r="BI36" s="193"/>
      <c r="BJ36" s="193"/>
      <c r="BK36" s="193"/>
      <c r="BL36" s="193"/>
      <c r="BM36" s="193"/>
      <c r="BN36" s="193"/>
      <c r="BO36" s="193"/>
      <c r="BP36" s="193"/>
      <c r="BQ36" s="193"/>
      <c r="BR36" s="193"/>
      <c r="BS36" s="193"/>
      <c r="BT36" s="193"/>
      <c r="BU36" s="193"/>
      <c r="BV36" s="193"/>
      <c r="BW36" s="193"/>
      <c r="BX36" s="193"/>
      <c r="BY36" s="193"/>
      <c r="BZ36" s="193"/>
      <c r="CA36" s="193"/>
      <c r="CB36" s="193"/>
      <c r="CC36" s="193"/>
      <c r="CD36" s="193"/>
      <c r="CE36" s="193"/>
      <c r="CF36" s="193"/>
      <c r="CG36" s="193"/>
      <c r="CH36" s="193"/>
      <c r="CI36" s="193"/>
      <c r="CJ36" s="193"/>
      <c r="CK36" s="193"/>
      <c r="CL36" s="193"/>
      <c r="CM36" s="193"/>
      <c r="CN36" s="193"/>
      <c r="CO36" s="193"/>
      <c r="CP36" s="193"/>
      <c r="CQ36" s="193"/>
      <c r="CR36" s="193"/>
      <c r="CS36" s="193"/>
      <c r="CT36" s="193"/>
      <c r="CU36" s="193"/>
      <c r="CV36" s="193"/>
      <c r="CW36" s="193"/>
      <c r="CX36" s="193"/>
      <c r="CY36" s="193"/>
      <c r="CZ36" s="193"/>
      <c r="DA36" s="193"/>
      <c r="DB36" s="193"/>
      <c r="DC36" s="193"/>
      <c r="DD36" s="193"/>
      <c r="DE36" s="193"/>
      <c r="DF36" s="193"/>
      <c r="DG36" s="193"/>
      <c r="DH36" s="193"/>
      <c r="DI36" s="193"/>
      <c r="DJ36" s="193"/>
      <c r="DK36" s="193"/>
      <c r="DL36" s="193"/>
      <c r="DM36" s="193"/>
      <c r="DN36" s="193"/>
      <c r="DO36" s="193"/>
      <c r="DP36" s="193"/>
      <c r="DQ36" s="193"/>
      <c r="DR36" s="193"/>
      <c r="DS36" s="193"/>
      <c r="DT36" s="193"/>
      <c r="DU36" s="193"/>
      <c r="DV36" s="193"/>
      <c r="DW36" s="193"/>
      <c r="DX36" s="193"/>
      <c r="DY36" s="193"/>
      <c r="DZ36" s="193"/>
      <c r="EA36" s="193"/>
      <c r="EB36" s="193"/>
      <c r="EC36" s="193"/>
      <c r="ED36" s="193"/>
      <c r="EE36" s="193"/>
      <c r="EF36" s="193"/>
      <c r="EG36" s="193"/>
      <c r="EH36" s="193"/>
      <c r="EI36" s="193"/>
      <c r="EJ36" s="193"/>
      <c r="EK36" s="193"/>
      <c r="EL36" s="193"/>
      <c r="EM36" s="193"/>
      <c r="EN36" s="193"/>
      <c r="EO36" s="193"/>
      <c r="EP36" s="193"/>
      <c r="EQ36" s="193"/>
      <c r="ER36" s="193"/>
      <c r="ES36" s="193"/>
      <c r="ET36" s="193"/>
      <c r="EU36" s="193"/>
      <c r="EV36" s="193"/>
      <c r="EW36" s="193"/>
      <c r="EX36" s="193"/>
      <c r="EY36" s="193"/>
      <c r="EZ36" s="193"/>
      <c r="FA36" s="193"/>
      <c r="FB36" s="193"/>
      <c r="FC36" s="193"/>
      <c r="FD36" s="193"/>
      <c r="FE36" s="193"/>
      <c r="FF36" s="193"/>
      <c r="FG36" s="193"/>
      <c r="FH36" s="193"/>
      <c r="FI36" s="193"/>
      <c r="FJ36" s="193"/>
      <c r="FK36" s="193"/>
      <c r="FL36" s="193"/>
      <c r="FM36" s="193"/>
      <c r="FN36" s="193"/>
      <c r="FO36" s="193"/>
      <c r="FP36" s="193"/>
      <c r="FQ36" s="193"/>
      <c r="FR36" s="193"/>
      <c r="FS36" s="193"/>
      <c r="FT36" s="193"/>
      <c r="FU36" s="193"/>
      <c r="FV36" s="193"/>
      <c r="FW36" s="193"/>
      <c r="FX36" s="193"/>
      <c r="FY36" s="193"/>
      <c r="FZ36" s="193"/>
      <c r="GA36" s="193"/>
      <c r="GB36" s="193"/>
      <c r="GC36" s="193"/>
      <c r="GD36" s="193"/>
      <c r="GE36" s="193"/>
      <c r="GF36" s="193"/>
      <c r="GG36" s="193"/>
      <c r="GH36" s="193"/>
      <c r="GI36" s="193"/>
      <c r="GJ36" s="193"/>
      <c r="GK36" s="193"/>
      <c r="GL36" s="193"/>
      <c r="GM36" s="193"/>
      <c r="GN36" s="193"/>
      <c r="GO36" s="193"/>
      <c r="GP36" s="193"/>
      <c r="GQ36" s="193"/>
      <c r="GR36" s="193"/>
      <c r="GS36" s="193"/>
      <c r="GT36" s="193"/>
      <c r="GU36" s="193"/>
      <c r="GV36" s="193"/>
      <c r="GW36" s="193"/>
      <c r="GX36" s="193"/>
      <c r="GY36" s="193"/>
      <c r="GZ36" s="193"/>
      <c r="HA36" s="193"/>
      <c r="HB36" s="193"/>
      <c r="HC36" s="193"/>
      <c r="HD36" s="193"/>
      <c r="HE36" s="193"/>
      <c r="HF36" s="193"/>
      <c r="HG36" s="193"/>
      <c r="HH36" s="193"/>
      <c r="HI36" s="193"/>
      <c r="HJ36" s="193"/>
      <c r="HK36" s="193"/>
      <c r="HL36" s="193"/>
      <c r="HM36" s="193"/>
      <c r="HN36" s="193"/>
      <c r="HO36" s="193"/>
      <c r="HP36" s="193"/>
      <c r="HQ36" s="193"/>
      <c r="HR36" s="193"/>
      <c r="HS36" s="193"/>
      <c r="HT36" s="193"/>
      <c r="HU36" s="193"/>
      <c r="HV36" s="193"/>
      <c r="HW36" s="193"/>
      <c r="HX36" s="193"/>
      <c r="HY36" s="193"/>
      <c r="HZ36" s="193"/>
      <c r="IA36" s="193"/>
      <c r="IB36" s="193"/>
      <c r="IC36" s="193"/>
      <c r="ID36" s="193"/>
      <c r="IE36" s="193"/>
      <c r="IF36" s="193"/>
      <c r="IG36" s="193"/>
      <c r="IH36" s="193"/>
      <c r="II36" s="193"/>
      <c r="IJ36" s="193"/>
      <c r="IK36" s="193"/>
      <c r="IL36" s="193"/>
      <c r="IM36" s="193"/>
      <c r="IN36" s="193"/>
      <c r="IO36" s="193"/>
      <c r="IP36" s="193"/>
      <c r="IQ36" s="193"/>
    </row>
    <row r="37" spans="1:251" hidden="1">
      <c r="A37" s="1026"/>
      <c r="B37" s="1955"/>
      <c r="C37" s="1955"/>
      <c r="D37" s="2034"/>
      <c r="E37" s="1955"/>
      <c r="F37" s="1942">
        <f t="shared" si="15"/>
        <v>0</v>
      </c>
      <c r="G37" s="1026"/>
      <c r="H37" s="1942">
        <f t="shared" si="16"/>
        <v>0</v>
      </c>
      <c r="I37" s="1026"/>
      <c r="J37" s="1942">
        <f t="shared" si="6"/>
        <v>0</v>
      </c>
      <c r="K37" s="1026"/>
      <c r="L37" s="1942">
        <f t="shared" si="17"/>
        <v>0</v>
      </c>
      <c r="M37" s="1942">
        <f t="shared" si="18"/>
        <v>0</v>
      </c>
      <c r="N37" s="1942">
        <f t="shared" si="19"/>
        <v>0</v>
      </c>
      <c r="O37" s="1026"/>
      <c r="P37" s="1026"/>
      <c r="Q37" s="1942">
        <f t="shared" si="20"/>
        <v>0</v>
      </c>
      <c r="R37" s="1942">
        <f t="shared" si="10"/>
        <v>0</v>
      </c>
      <c r="S37" s="1942">
        <f t="shared" si="21"/>
        <v>0</v>
      </c>
      <c r="T37" s="1942">
        <f t="shared" si="22"/>
        <v>0</v>
      </c>
      <c r="U37" s="1942">
        <f t="shared" si="23"/>
        <v>0</v>
      </c>
      <c r="V37" s="3035">
        <f t="shared" si="2"/>
        <v>0</v>
      </c>
      <c r="W37" s="1942"/>
      <c r="X37" s="193"/>
      <c r="Y37" s="193"/>
      <c r="Z37" s="193"/>
      <c r="AA37" s="193"/>
      <c r="AB37" s="193"/>
      <c r="AC37" s="193"/>
      <c r="AD37" s="193"/>
      <c r="AE37" s="193"/>
      <c r="AF37" s="193"/>
      <c r="AG37" s="193"/>
      <c r="AH37" s="193"/>
      <c r="AI37" s="193"/>
      <c r="AJ37" s="193"/>
      <c r="AK37" s="193"/>
      <c r="AL37" s="193"/>
      <c r="AM37" s="193"/>
      <c r="AN37" s="193"/>
      <c r="AO37" s="193"/>
      <c r="AP37" s="193"/>
      <c r="AQ37" s="193"/>
      <c r="AR37" s="193"/>
      <c r="AS37" s="193"/>
      <c r="AT37" s="193"/>
      <c r="AU37" s="193"/>
      <c r="AV37" s="193"/>
      <c r="AW37" s="193"/>
      <c r="AX37" s="193"/>
      <c r="AY37" s="193"/>
      <c r="AZ37" s="193"/>
      <c r="BA37" s="193"/>
      <c r="BB37" s="193"/>
      <c r="BC37" s="193"/>
      <c r="BD37" s="193"/>
      <c r="BE37" s="193"/>
      <c r="BF37" s="193"/>
      <c r="BG37" s="193"/>
      <c r="BH37" s="193"/>
      <c r="BI37" s="193"/>
      <c r="BJ37" s="193"/>
      <c r="BK37" s="193"/>
      <c r="BL37" s="193"/>
      <c r="BM37" s="193"/>
      <c r="BN37" s="193"/>
      <c r="BO37" s="193"/>
      <c r="BP37" s="193"/>
      <c r="BQ37" s="193"/>
      <c r="BR37" s="193"/>
      <c r="BS37" s="193"/>
      <c r="BT37" s="193"/>
      <c r="BU37" s="193"/>
      <c r="BV37" s="193"/>
      <c r="BW37" s="193"/>
      <c r="BX37" s="193"/>
      <c r="BY37" s="193"/>
      <c r="BZ37" s="193"/>
      <c r="CA37" s="193"/>
      <c r="CB37" s="193"/>
      <c r="CC37" s="193"/>
      <c r="CD37" s="193"/>
      <c r="CE37" s="193"/>
      <c r="CF37" s="193"/>
      <c r="CG37" s="193"/>
      <c r="CH37" s="193"/>
      <c r="CI37" s="193"/>
      <c r="CJ37" s="193"/>
      <c r="CK37" s="193"/>
      <c r="CL37" s="193"/>
      <c r="CM37" s="193"/>
      <c r="CN37" s="193"/>
      <c r="CO37" s="193"/>
      <c r="CP37" s="193"/>
      <c r="CQ37" s="193"/>
      <c r="CR37" s="193"/>
      <c r="CS37" s="193"/>
      <c r="CT37" s="193"/>
      <c r="CU37" s="193"/>
      <c r="CV37" s="193"/>
      <c r="CW37" s="193"/>
      <c r="CX37" s="193"/>
      <c r="CY37" s="193"/>
      <c r="CZ37" s="193"/>
      <c r="DA37" s="193"/>
      <c r="DB37" s="193"/>
      <c r="DC37" s="193"/>
      <c r="DD37" s="193"/>
      <c r="DE37" s="193"/>
      <c r="DF37" s="193"/>
      <c r="DG37" s="193"/>
      <c r="DH37" s="193"/>
      <c r="DI37" s="193"/>
      <c r="DJ37" s="193"/>
      <c r="DK37" s="193"/>
      <c r="DL37" s="193"/>
      <c r="DM37" s="193"/>
      <c r="DN37" s="193"/>
      <c r="DO37" s="193"/>
      <c r="DP37" s="193"/>
      <c r="DQ37" s="193"/>
      <c r="DR37" s="193"/>
      <c r="DS37" s="193"/>
      <c r="DT37" s="193"/>
      <c r="DU37" s="193"/>
      <c r="DV37" s="193"/>
      <c r="DW37" s="193"/>
      <c r="DX37" s="193"/>
      <c r="DY37" s="193"/>
      <c r="DZ37" s="193"/>
      <c r="EA37" s="193"/>
      <c r="EB37" s="193"/>
      <c r="EC37" s="193"/>
      <c r="ED37" s="193"/>
      <c r="EE37" s="193"/>
      <c r="EF37" s="193"/>
      <c r="EG37" s="193"/>
      <c r="EH37" s="193"/>
      <c r="EI37" s="193"/>
      <c r="EJ37" s="193"/>
      <c r="EK37" s="193"/>
      <c r="EL37" s="193"/>
      <c r="EM37" s="193"/>
      <c r="EN37" s="193"/>
      <c r="EO37" s="193"/>
      <c r="EP37" s="193"/>
      <c r="EQ37" s="193"/>
      <c r="ER37" s="193"/>
      <c r="ES37" s="193"/>
      <c r="ET37" s="193"/>
      <c r="EU37" s="193"/>
      <c r="EV37" s="193"/>
      <c r="EW37" s="193"/>
      <c r="EX37" s="193"/>
      <c r="EY37" s="193"/>
      <c r="EZ37" s="193"/>
      <c r="FA37" s="193"/>
      <c r="FB37" s="193"/>
      <c r="FC37" s="193"/>
      <c r="FD37" s="193"/>
      <c r="FE37" s="193"/>
      <c r="FF37" s="193"/>
      <c r="FG37" s="193"/>
      <c r="FH37" s="193"/>
      <c r="FI37" s="193"/>
      <c r="FJ37" s="193"/>
      <c r="FK37" s="193"/>
      <c r="FL37" s="193"/>
      <c r="FM37" s="193"/>
      <c r="FN37" s="193"/>
      <c r="FO37" s="193"/>
      <c r="FP37" s="193"/>
      <c r="FQ37" s="193"/>
      <c r="FR37" s="193"/>
      <c r="FS37" s="193"/>
      <c r="FT37" s="193"/>
      <c r="FU37" s="193"/>
      <c r="FV37" s="193"/>
      <c r="FW37" s="193"/>
      <c r="FX37" s="193"/>
      <c r="FY37" s="193"/>
      <c r="FZ37" s="193"/>
      <c r="GA37" s="193"/>
      <c r="GB37" s="193"/>
      <c r="GC37" s="193"/>
      <c r="GD37" s="193"/>
      <c r="GE37" s="193"/>
      <c r="GF37" s="193"/>
      <c r="GG37" s="193"/>
      <c r="GH37" s="193"/>
      <c r="GI37" s="193"/>
      <c r="GJ37" s="193"/>
      <c r="GK37" s="193"/>
      <c r="GL37" s="193"/>
      <c r="GM37" s="193"/>
      <c r="GN37" s="193"/>
      <c r="GO37" s="193"/>
      <c r="GP37" s="193"/>
      <c r="GQ37" s="193"/>
      <c r="GR37" s="193"/>
      <c r="GS37" s="193"/>
      <c r="GT37" s="193"/>
      <c r="GU37" s="193"/>
      <c r="GV37" s="193"/>
      <c r="GW37" s="193"/>
      <c r="GX37" s="193"/>
      <c r="GY37" s="193"/>
      <c r="GZ37" s="193"/>
      <c r="HA37" s="193"/>
      <c r="HB37" s="193"/>
      <c r="HC37" s="193"/>
      <c r="HD37" s="193"/>
      <c r="HE37" s="193"/>
      <c r="HF37" s="193"/>
      <c r="HG37" s="193"/>
      <c r="HH37" s="193"/>
      <c r="HI37" s="193"/>
      <c r="HJ37" s="193"/>
      <c r="HK37" s="193"/>
      <c r="HL37" s="193"/>
      <c r="HM37" s="193"/>
      <c r="HN37" s="193"/>
      <c r="HO37" s="193"/>
      <c r="HP37" s="193"/>
      <c r="HQ37" s="193"/>
      <c r="HR37" s="193"/>
      <c r="HS37" s="193"/>
      <c r="HT37" s="193"/>
      <c r="HU37" s="193"/>
      <c r="HV37" s="193"/>
      <c r="HW37" s="193"/>
      <c r="HX37" s="193"/>
      <c r="HY37" s="193"/>
      <c r="HZ37" s="193"/>
      <c r="IA37" s="193"/>
      <c r="IB37" s="193"/>
      <c r="IC37" s="193"/>
      <c r="ID37" s="193"/>
      <c r="IE37" s="193"/>
      <c r="IF37" s="193"/>
      <c r="IG37" s="193"/>
      <c r="IH37" s="193"/>
      <c r="II37" s="193"/>
      <c r="IJ37" s="193"/>
      <c r="IK37" s="193"/>
      <c r="IL37" s="193"/>
      <c r="IM37" s="193"/>
      <c r="IN37" s="193"/>
      <c r="IO37" s="193"/>
      <c r="IP37" s="193"/>
      <c r="IQ37" s="193"/>
    </row>
    <row r="38" spans="1:251" hidden="1">
      <c r="A38" s="1026"/>
      <c r="B38" s="1955"/>
      <c r="C38" s="1955"/>
      <c r="D38" s="2034"/>
      <c r="E38" s="1955"/>
      <c r="F38" s="1942">
        <f t="shared" si="15"/>
        <v>0</v>
      </c>
      <c r="G38" s="1026"/>
      <c r="H38" s="1942">
        <f t="shared" si="16"/>
        <v>0</v>
      </c>
      <c r="I38" s="1026"/>
      <c r="J38" s="1942">
        <f t="shared" si="6"/>
        <v>0</v>
      </c>
      <c r="K38" s="1026"/>
      <c r="L38" s="1942">
        <f t="shared" si="17"/>
        <v>0</v>
      </c>
      <c r="M38" s="1942">
        <f t="shared" si="18"/>
        <v>0</v>
      </c>
      <c r="N38" s="1942">
        <f t="shared" si="19"/>
        <v>0</v>
      </c>
      <c r="O38" s="1026"/>
      <c r="P38" s="1026"/>
      <c r="Q38" s="1942">
        <f t="shared" si="20"/>
        <v>0</v>
      </c>
      <c r="R38" s="1942">
        <f t="shared" si="10"/>
        <v>0</v>
      </c>
      <c r="S38" s="1942">
        <f t="shared" si="21"/>
        <v>0</v>
      </c>
      <c r="T38" s="1942">
        <f t="shared" si="22"/>
        <v>0</v>
      </c>
      <c r="U38" s="1942">
        <f t="shared" si="23"/>
        <v>0</v>
      </c>
      <c r="V38" s="3035">
        <f t="shared" si="2"/>
        <v>0</v>
      </c>
      <c r="W38" s="1942"/>
      <c r="X38" s="193"/>
      <c r="Y38" s="193"/>
      <c r="Z38" s="193"/>
      <c r="AA38" s="193"/>
      <c r="AB38" s="193"/>
      <c r="AC38" s="193"/>
      <c r="AD38" s="193"/>
      <c r="AE38" s="193"/>
      <c r="AF38" s="193"/>
      <c r="AG38" s="193"/>
      <c r="AH38" s="193"/>
      <c r="AI38" s="193"/>
      <c r="AJ38" s="193"/>
      <c r="AK38" s="193"/>
      <c r="AL38" s="193"/>
      <c r="AM38" s="193"/>
      <c r="AN38" s="193"/>
      <c r="AO38" s="193"/>
      <c r="AP38" s="193"/>
      <c r="AQ38" s="193"/>
      <c r="AR38" s="193"/>
      <c r="AS38" s="193"/>
      <c r="AT38" s="193"/>
      <c r="AU38" s="193"/>
      <c r="AV38" s="193"/>
      <c r="AW38" s="193"/>
      <c r="AX38" s="193"/>
      <c r="AY38" s="193"/>
      <c r="AZ38" s="193"/>
      <c r="BA38" s="193"/>
      <c r="BB38" s="193"/>
      <c r="BC38" s="193"/>
      <c r="BD38" s="193"/>
      <c r="BE38" s="193"/>
      <c r="BF38" s="193"/>
      <c r="BG38" s="193"/>
      <c r="BH38" s="193"/>
      <c r="BI38" s="193"/>
      <c r="BJ38" s="193"/>
      <c r="BK38" s="193"/>
      <c r="BL38" s="193"/>
      <c r="BM38" s="193"/>
      <c r="BN38" s="193"/>
      <c r="BO38" s="193"/>
      <c r="BP38" s="193"/>
      <c r="BQ38" s="193"/>
      <c r="BR38" s="193"/>
      <c r="BS38" s="193"/>
      <c r="BT38" s="193"/>
      <c r="BU38" s="193"/>
      <c r="BV38" s="193"/>
      <c r="BW38" s="193"/>
      <c r="BX38" s="193"/>
      <c r="BY38" s="193"/>
      <c r="BZ38" s="193"/>
      <c r="CA38" s="193"/>
      <c r="CB38" s="193"/>
      <c r="CC38" s="193"/>
      <c r="CD38" s="193"/>
      <c r="CE38" s="193"/>
      <c r="CF38" s="193"/>
      <c r="CG38" s="193"/>
      <c r="CH38" s="193"/>
      <c r="CI38" s="193"/>
      <c r="CJ38" s="193"/>
      <c r="CK38" s="193"/>
      <c r="CL38" s="193"/>
      <c r="CM38" s="193"/>
      <c r="CN38" s="193"/>
      <c r="CO38" s="193"/>
      <c r="CP38" s="193"/>
      <c r="CQ38" s="193"/>
      <c r="CR38" s="193"/>
      <c r="CS38" s="193"/>
      <c r="CT38" s="193"/>
      <c r="CU38" s="193"/>
      <c r="CV38" s="193"/>
      <c r="CW38" s="193"/>
      <c r="CX38" s="193"/>
      <c r="CY38" s="193"/>
      <c r="CZ38" s="193"/>
      <c r="DA38" s="193"/>
      <c r="DB38" s="193"/>
      <c r="DC38" s="193"/>
      <c r="DD38" s="193"/>
      <c r="DE38" s="193"/>
      <c r="DF38" s="193"/>
      <c r="DG38" s="193"/>
      <c r="DH38" s="193"/>
      <c r="DI38" s="193"/>
      <c r="DJ38" s="193"/>
      <c r="DK38" s="193"/>
      <c r="DL38" s="193"/>
      <c r="DM38" s="193"/>
      <c r="DN38" s="193"/>
      <c r="DO38" s="193"/>
      <c r="DP38" s="193"/>
      <c r="DQ38" s="193"/>
      <c r="DR38" s="193"/>
      <c r="DS38" s="193"/>
      <c r="DT38" s="193"/>
      <c r="DU38" s="193"/>
      <c r="DV38" s="193"/>
      <c r="DW38" s="193"/>
      <c r="DX38" s="193"/>
      <c r="DY38" s="193"/>
      <c r="DZ38" s="193"/>
      <c r="EA38" s="193"/>
      <c r="EB38" s="193"/>
      <c r="EC38" s="193"/>
      <c r="ED38" s="193"/>
      <c r="EE38" s="193"/>
      <c r="EF38" s="193"/>
      <c r="EG38" s="193"/>
      <c r="EH38" s="193"/>
      <c r="EI38" s="193"/>
      <c r="EJ38" s="193"/>
      <c r="EK38" s="193"/>
      <c r="EL38" s="193"/>
      <c r="EM38" s="193"/>
      <c r="EN38" s="193"/>
      <c r="EO38" s="193"/>
      <c r="EP38" s="193"/>
      <c r="EQ38" s="193"/>
      <c r="ER38" s="193"/>
      <c r="ES38" s="193"/>
      <c r="ET38" s="193"/>
      <c r="EU38" s="193"/>
      <c r="EV38" s="193"/>
      <c r="EW38" s="193"/>
      <c r="EX38" s="193"/>
      <c r="EY38" s="193"/>
      <c r="EZ38" s="193"/>
      <c r="FA38" s="193"/>
      <c r="FB38" s="193"/>
      <c r="FC38" s="193"/>
      <c r="FD38" s="193"/>
      <c r="FE38" s="193"/>
      <c r="FF38" s="193"/>
      <c r="FG38" s="193"/>
      <c r="FH38" s="193"/>
      <c r="FI38" s="193"/>
      <c r="FJ38" s="193"/>
      <c r="FK38" s="193"/>
      <c r="FL38" s="193"/>
      <c r="FM38" s="193"/>
      <c r="FN38" s="193"/>
      <c r="FO38" s="193"/>
      <c r="FP38" s="193"/>
      <c r="FQ38" s="193"/>
      <c r="FR38" s="193"/>
      <c r="FS38" s="193"/>
      <c r="FT38" s="193"/>
      <c r="FU38" s="193"/>
      <c r="FV38" s="193"/>
      <c r="FW38" s="193"/>
      <c r="FX38" s="193"/>
      <c r="FY38" s="193"/>
      <c r="FZ38" s="193"/>
      <c r="GA38" s="193"/>
      <c r="GB38" s="193"/>
      <c r="GC38" s="193"/>
      <c r="GD38" s="193"/>
      <c r="GE38" s="193"/>
      <c r="GF38" s="193"/>
      <c r="GG38" s="193"/>
      <c r="GH38" s="193"/>
      <c r="GI38" s="193"/>
      <c r="GJ38" s="193"/>
      <c r="GK38" s="193"/>
      <c r="GL38" s="193"/>
      <c r="GM38" s="193"/>
      <c r="GN38" s="193"/>
      <c r="GO38" s="193"/>
      <c r="GP38" s="193"/>
      <c r="GQ38" s="193"/>
      <c r="GR38" s="193"/>
      <c r="GS38" s="193"/>
      <c r="GT38" s="193"/>
      <c r="GU38" s="193"/>
      <c r="GV38" s="193"/>
      <c r="GW38" s="193"/>
      <c r="GX38" s="193"/>
      <c r="GY38" s="193"/>
      <c r="GZ38" s="193"/>
      <c r="HA38" s="193"/>
      <c r="HB38" s="193"/>
      <c r="HC38" s="193"/>
      <c r="HD38" s="193"/>
      <c r="HE38" s="193"/>
      <c r="HF38" s="193"/>
      <c r="HG38" s="193"/>
      <c r="HH38" s="193"/>
      <c r="HI38" s="193"/>
      <c r="HJ38" s="193"/>
      <c r="HK38" s="193"/>
      <c r="HL38" s="193"/>
      <c r="HM38" s="193"/>
      <c r="HN38" s="193"/>
      <c r="HO38" s="193"/>
      <c r="HP38" s="193"/>
      <c r="HQ38" s="193"/>
      <c r="HR38" s="193"/>
      <c r="HS38" s="193"/>
      <c r="HT38" s="193"/>
      <c r="HU38" s="193"/>
      <c r="HV38" s="193"/>
      <c r="HW38" s="193"/>
      <c r="HX38" s="193"/>
      <c r="HY38" s="193"/>
      <c r="HZ38" s="193"/>
      <c r="IA38" s="193"/>
      <c r="IB38" s="193"/>
      <c r="IC38" s="193"/>
      <c r="ID38" s="193"/>
      <c r="IE38" s="193"/>
      <c r="IF38" s="193"/>
      <c r="IG38" s="193"/>
      <c r="IH38" s="193"/>
      <c r="II38" s="193"/>
      <c r="IJ38" s="193"/>
      <c r="IK38" s="193"/>
      <c r="IL38" s="193"/>
      <c r="IM38" s="193"/>
      <c r="IN38" s="193"/>
      <c r="IO38" s="193"/>
      <c r="IP38" s="193"/>
      <c r="IQ38" s="193"/>
    </row>
    <row r="39" spans="1:251" hidden="1">
      <c r="A39" s="1026"/>
      <c r="B39" s="1955"/>
      <c r="C39" s="1955"/>
      <c r="D39" s="2034"/>
      <c r="E39" s="1955"/>
      <c r="F39" s="1942">
        <f t="shared" si="15"/>
        <v>0</v>
      </c>
      <c r="G39" s="1026"/>
      <c r="H39" s="1942">
        <f t="shared" si="16"/>
        <v>0</v>
      </c>
      <c r="I39" s="1026"/>
      <c r="J39" s="1942">
        <f t="shared" si="6"/>
        <v>0</v>
      </c>
      <c r="K39" s="1026"/>
      <c r="L39" s="1942">
        <f t="shared" si="17"/>
        <v>0</v>
      </c>
      <c r="M39" s="1942">
        <f t="shared" si="18"/>
        <v>0</v>
      </c>
      <c r="N39" s="1942">
        <f t="shared" si="19"/>
        <v>0</v>
      </c>
      <c r="O39" s="1026"/>
      <c r="P39" s="1026"/>
      <c r="Q39" s="1942">
        <f t="shared" si="20"/>
        <v>0</v>
      </c>
      <c r="R39" s="1942">
        <f t="shared" si="10"/>
        <v>0</v>
      </c>
      <c r="S39" s="1942">
        <f t="shared" si="21"/>
        <v>0</v>
      </c>
      <c r="T39" s="1942">
        <f t="shared" si="22"/>
        <v>0</v>
      </c>
      <c r="U39" s="1942">
        <f t="shared" si="23"/>
        <v>0</v>
      </c>
      <c r="V39" s="3035">
        <f t="shared" si="2"/>
        <v>0</v>
      </c>
      <c r="W39" s="1942"/>
      <c r="X39" s="193"/>
      <c r="Y39" s="193"/>
      <c r="Z39" s="193"/>
      <c r="AA39" s="193"/>
      <c r="AB39" s="193"/>
      <c r="AC39" s="193"/>
      <c r="AD39" s="193"/>
      <c r="AE39" s="193"/>
      <c r="AF39" s="193"/>
      <c r="AG39" s="193"/>
      <c r="AH39" s="193"/>
      <c r="AI39" s="193"/>
      <c r="AJ39" s="193"/>
      <c r="AK39" s="193"/>
      <c r="AL39" s="193"/>
      <c r="AM39" s="193"/>
      <c r="AN39" s="193"/>
      <c r="AO39" s="193"/>
      <c r="AP39" s="193"/>
      <c r="AQ39" s="193"/>
      <c r="AR39" s="193"/>
      <c r="AS39" s="193"/>
      <c r="AT39" s="193"/>
      <c r="AU39" s="193"/>
      <c r="AV39" s="193"/>
      <c r="AW39" s="193"/>
      <c r="AX39" s="193"/>
      <c r="AY39" s="193"/>
      <c r="AZ39" s="193"/>
      <c r="BA39" s="193"/>
      <c r="BB39" s="193"/>
      <c r="BC39" s="193"/>
      <c r="BD39" s="193"/>
      <c r="BE39" s="193"/>
      <c r="BF39" s="193"/>
      <c r="BG39" s="193"/>
      <c r="BH39" s="193"/>
      <c r="BI39" s="193"/>
      <c r="BJ39" s="193"/>
      <c r="BK39" s="193"/>
      <c r="BL39" s="193"/>
      <c r="BM39" s="193"/>
      <c r="BN39" s="193"/>
      <c r="BO39" s="193"/>
      <c r="BP39" s="193"/>
      <c r="BQ39" s="193"/>
      <c r="BR39" s="193"/>
      <c r="BS39" s="193"/>
      <c r="BT39" s="193"/>
      <c r="BU39" s="193"/>
      <c r="BV39" s="193"/>
      <c r="BW39" s="193"/>
      <c r="BX39" s="193"/>
      <c r="BY39" s="193"/>
      <c r="BZ39" s="193"/>
      <c r="CA39" s="193"/>
      <c r="CB39" s="193"/>
      <c r="CC39" s="193"/>
      <c r="CD39" s="193"/>
      <c r="CE39" s="193"/>
      <c r="CF39" s="193"/>
      <c r="CG39" s="193"/>
      <c r="CH39" s="193"/>
      <c r="CI39" s="193"/>
      <c r="CJ39" s="193"/>
      <c r="CK39" s="193"/>
      <c r="CL39" s="193"/>
      <c r="CM39" s="193"/>
      <c r="CN39" s="193"/>
      <c r="CO39" s="193"/>
      <c r="CP39" s="193"/>
      <c r="CQ39" s="193"/>
      <c r="CR39" s="193"/>
      <c r="CS39" s="193"/>
      <c r="CT39" s="193"/>
      <c r="CU39" s="193"/>
      <c r="CV39" s="193"/>
      <c r="CW39" s="193"/>
      <c r="CX39" s="193"/>
      <c r="CY39" s="193"/>
      <c r="CZ39" s="193"/>
      <c r="DA39" s="193"/>
      <c r="DB39" s="193"/>
      <c r="DC39" s="193"/>
      <c r="DD39" s="193"/>
      <c r="DE39" s="193"/>
      <c r="DF39" s="193"/>
      <c r="DG39" s="193"/>
      <c r="DH39" s="193"/>
      <c r="DI39" s="193"/>
      <c r="DJ39" s="193"/>
      <c r="DK39" s="193"/>
      <c r="DL39" s="193"/>
      <c r="DM39" s="193"/>
      <c r="DN39" s="193"/>
      <c r="DO39" s="193"/>
      <c r="DP39" s="193"/>
      <c r="DQ39" s="193"/>
      <c r="DR39" s="193"/>
      <c r="DS39" s="193"/>
      <c r="DT39" s="193"/>
      <c r="DU39" s="193"/>
      <c r="DV39" s="193"/>
      <c r="DW39" s="193"/>
      <c r="DX39" s="193"/>
      <c r="DY39" s="193"/>
      <c r="DZ39" s="193"/>
      <c r="EA39" s="193"/>
      <c r="EB39" s="193"/>
      <c r="EC39" s="193"/>
      <c r="ED39" s="193"/>
      <c r="EE39" s="193"/>
      <c r="EF39" s="193"/>
      <c r="EG39" s="193"/>
      <c r="EH39" s="193"/>
      <c r="EI39" s="193"/>
      <c r="EJ39" s="193"/>
      <c r="EK39" s="193"/>
      <c r="EL39" s="193"/>
      <c r="EM39" s="193"/>
      <c r="EN39" s="193"/>
      <c r="EO39" s="193"/>
      <c r="EP39" s="193"/>
      <c r="EQ39" s="193"/>
      <c r="ER39" s="193"/>
      <c r="ES39" s="193"/>
      <c r="ET39" s="193"/>
      <c r="EU39" s="193"/>
      <c r="EV39" s="193"/>
      <c r="EW39" s="193"/>
      <c r="EX39" s="193"/>
      <c r="EY39" s="193"/>
      <c r="EZ39" s="193"/>
      <c r="FA39" s="193"/>
      <c r="FB39" s="193"/>
      <c r="FC39" s="193"/>
      <c r="FD39" s="193"/>
      <c r="FE39" s="193"/>
      <c r="FF39" s="193"/>
      <c r="FG39" s="193"/>
      <c r="FH39" s="193"/>
      <c r="FI39" s="193"/>
      <c r="FJ39" s="193"/>
      <c r="FK39" s="193"/>
      <c r="FL39" s="193"/>
      <c r="FM39" s="193"/>
      <c r="FN39" s="193"/>
      <c r="FO39" s="193"/>
      <c r="FP39" s="193"/>
      <c r="FQ39" s="193"/>
      <c r="FR39" s="193"/>
      <c r="FS39" s="193"/>
      <c r="FT39" s="193"/>
      <c r="FU39" s="193"/>
      <c r="FV39" s="193"/>
      <c r="FW39" s="193"/>
      <c r="FX39" s="193"/>
      <c r="FY39" s="193"/>
      <c r="FZ39" s="193"/>
      <c r="GA39" s="193"/>
      <c r="GB39" s="193"/>
      <c r="GC39" s="193"/>
      <c r="GD39" s="193"/>
      <c r="GE39" s="193"/>
      <c r="GF39" s="193"/>
      <c r="GG39" s="193"/>
      <c r="GH39" s="193"/>
      <c r="GI39" s="193"/>
      <c r="GJ39" s="193"/>
      <c r="GK39" s="193"/>
      <c r="GL39" s="193"/>
      <c r="GM39" s="193"/>
      <c r="GN39" s="193"/>
      <c r="GO39" s="193"/>
      <c r="GP39" s="193"/>
      <c r="GQ39" s="193"/>
      <c r="GR39" s="193"/>
      <c r="GS39" s="193"/>
      <c r="GT39" s="193"/>
      <c r="GU39" s="193"/>
      <c r="GV39" s="193"/>
      <c r="GW39" s="193"/>
      <c r="GX39" s="193"/>
      <c r="GY39" s="193"/>
      <c r="GZ39" s="193"/>
      <c r="HA39" s="193"/>
      <c r="HB39" s="193"/>
      <c r="HC39" s="193"/>
      <c r="HD39" s="193"/>
      <c r="HE39" s="193"/>
      <c r="HF39" s="193"/>
      <c r="HG39" s="193"/>
      <c r="HH39" s="193"/>
      <c r="HI39" s="193"/>
      <c r="HJ39" s="193"/>
      <c r="HK39" s="193"/>
      <c r="HL39" s="193"/>
      <c r="HM39" s="193"/>
      <c r="HN39" s="193"/>
      <c r="HO39" s="193"/>
      <c r="HP39" s="193"/>
      <c r="HQ39" s="193"/>
      <c r="HR39" s="193"/>
      <c r="HS39" s="193"/>
      <c r="HT39" s="193"/>
      <c r="HU39" s="193"/>
      <c r="HV39" s="193"/>
      <c r="HW39" s="193"/>
      <c r="HX39" s="193"/>
      <c r="HY39" s="193"/>
      <c r="HZ39" s="193"/>
      <c r="IA39" s="193"/>
      <c r="IB39" s="193"/>
      <c r="IC39" s="193"/>
      <c r="ID39" s="193"/>
      <c r="IE39" s="193"/>
      <c r="IF39" s="193"/>
      <c r="IG39" s="193"/>
      <c r="IH39" s="193"/>
      <c r="II39" s="193"/>
      <c r="IJ39" s="193"/>
      <c r="IK39" s="193"/>
      <c r="IL39" s="193"/>
      <c r="IM39" s="193"/>
      <c r="IN39" s="193"/>
      <c r="IO39" s="193"/>
      <c r="IP39" s="193"/>
      <c r="IQ39" s="193"/>
    </row>
    <row r="40" spans="1:251" hidden="1">
      <c r="A40" s="1026"/>
      <c r="B40" s="1955"/>
      <c r="C40" s="1955"/>
      <c r="D40" s="2034"/>
      <c r="E40" s="1955"/>
      <c r="F40" s="1942">
        <f t="shared" si="15"/>
        <v>0</v>
      </c>
      <c r="G40" s="1026"/>
      <c r="H40" s="1942">
        <f t="shared" si="16"/>
        <v>0</v>
      </c>
      <c r="I40" s="1026"/>
      <c r="J40" s="1942">
        <f t="shared" si="6"/>
        <v>0</v>
      </c>
      <c r="K40" s="1026"/>
      <c r="L40" s="1942">
        <f t="shared" si="17"/>
        <v>0</v>
      </c>
      <c r="M40" s="1942">
        <f t="shared" si="18"/>
        <v>0</v>
      </c>
      <c r="N40" s="1942">
        <f t="shared" si="19"/>
        <v>0</v>
      </c>
      <c r="O40" s="1026"/>
      <c r="P40" s="1026"/>
      <c r="Q40" s="1942">
        <f t="shared" si="20"/>
        <v>0</v>
      </c>
      <c r="R40" s="1942">
        <f t="shared" si="10"/>
        <v>0</v>
      </c>
      <c r="S40" s="1942">
        <f t="shared" si="21"/>
        <v>0</v>
      </c>
      <c r="T40" s="1942">
        <f t="shared" si="22"/>
        <v>0</v>
      </c>
      <c r="U40" s="1942">
        <f t="shared" si="23"/>
        <v>0</v>
      </c>
      <c r="V40" s="3035">
        <f t="shared" si="2"/>
        <v>0</v>
      </c>
      <c r="W40" s="1942"/>
      <c r="X40" s="193"/>
      <c r="Y40" s="193"/>
      <c r="Z40" s="193"/>
      <c r="AA40" s="193"/>
      <c r="AB40" s="193"/>
      <c r="AC40" s="193"/>
      <c r="AD40" s="193"/>
      <c r="AE40" s="193"/>
      <c r="AF40" s="193"/>
      <c r="AG40" s="193"/>
      <c r="AH40" s="193"/>
      <c r="AI40" s="193"/>
      <c r="AJ40" s="193"/>
      <c r="AK40" s="193"/>
      <c r="AL40" s="193"/>
      <c r="AM40" s="193"/>
      <c r="AN40" s="193"/>
      <c r="AO40" s="193"/>
      <c r="AP40" s="193"/>
      <c r="AQ40" s="193"/>
      <c r="AR40" s="193"/>
      <c r="AS40" s="193"/>
      <c r="AT40" s="193"/>
      <c r="AU40" s="193"/>
      <c r="AV40" s="193"/>
      <c r="AW40" s="193"/>
      <c r="AX40" s="193"/>
      <c r="AY40" s="193"/>
      <c r="AZ40" s="193"/>
      <c r="BA40" s="193"/>
      <c r="BB40" s="193"/>
      <c r="BC40" s="193"/>
      <c r="BD40" s="193"/>
      <c r="BE40" s="193"/>
      <c r="BF40" s="193"/>
      <c r="BG40" s="193"/>
      <c r="BH40" s="193"/>
      <c r="BI40" s="193"/>
      <c r="BJ40" s="193"/>
      <c r="BK40" s="193"/>
      <c r="BL40" s="193"/>
      <c r="BM40" s="193"/>
      <c r="BN40" s="193"/>
      <c r="BO40" s="193"/>
      <c r="BP40" s="193"/>
      <c r="BQ40" s="193"/>
      <c r="BR40" s="193"/>
      <c r="BS40" s="193"/>
      <c r="BT40" s="193"/>
      <c r="BU40" s="193"/>
      <c r="BV40" s="193"/>
      <c r="BW40" s="193"/>
      <c r="BX40" s="193"/>
      <c r="BY40" s="193"/>
      <c r="BZ40" s="193"/>
      <c r="CA40" s="193"/>
      <c r="CB40" s="193"/>
      <c r="CC40" s="193"/>
      <c r="CD40" s="193"/>
      <c r="CE40" s="193"/>
      <c r="CF40" s="193"/>
      <c r="CG40" s="193"/>
      <c r="CH40" s="193"/>
      <c r="CI40" s="193"/>
      <c r="CJ40" s="193"/>
      <c r="CK40" s="193"/>
      <c r="CL40" s="193"/>
      <c r="CM40" s="193"/>
      <c r="CN40" s="193"/>
      <c r="CO40" s="193"/>
      <c r="CP40" s="193"/>
      <c r="CQ40" s="193"/>
      <c r="CR40" s="193"/>
      <c r="CS40" s="193"/>
      <c r="CT40" s="193"/>
      <c r="CU40" s="193"/>
      <c r="CV40" s="193"/>
      <c r="CW40" s="193"/>
      <c r="CX40" s="193"/>
      <c r="CY40" s="193"/>
      <c r="CZ40" s="193"/>
      <c r="DA40" s="193"/>
      <c r="DB40" s="193"/>
      <c r="DC40" s="193"/>
      <c r="DD40" s="193"/>
      <c r="DE40" s="193"/>
      <c r="DF40" s="193"/>
      <c r="DG40" s="193"/>
      <c r="DH40" s="193"/>
      <c r="DI40" s="193"/>
      <c r="DJ40" s="193"/>
      <c r="DK40" s="193"/>
      <c r="DL40" s="193"/>
      <c r="DM40" s="193"/>
      <c r="DN40" s="193"/>
      <c r="DO40" s="193"/>
      <c r="DP40" s="193"/>
      <c r="DQ40" s="193"/>
      <c r="DR40" s="193"/>
      <c r="DS40" s="193"/>
      <c r="DT40" s="193"/>
      <c r="DU40" s="193"/>
      <c r="DV40" s="193"/>
      <c r="DW40" s="193"/>
      <c r="DX40" s="193"/>
      <c r="DY40" s="193"/>
      <c r="DZ40" s="193"/>
      <c r="EA40" s="193"/>
      <c r="EB40" s="193"/>
      <c r="EC40" s="193"/>
      <c r="ED40" s="193"/>
      <c r="EE40" s="193"/>
      <c r="EF40" s="193"/>
      <c r="EG40" s="193"/>
      <c r="EH40" s="193"/>
      <c r="EI40" s="193"/>
      <c r="EJ40" s="193"/>
      <c r="EK40" s="193"/>
      <c r="EL40" s="193"/>
      <c r="EM40" s="193"/>
      <c r="EN40" s="193"/>
      <c r="EO40" s="193"/>
      <c r="EP40" s="193"/>
      <c r="EQ40" s="193"/>
      <c r="ER40" s="193"/>
      <c r="ES40" s="193"/>
      <c r="ET40" s="193"/>
      <c r="EU40" s="193"/>
      <c r="EV40" s="193"/>
      <c r="EW40" s="193"/>
      <c r="EX40" s="193"/>
      <c r="EY40" s="193"/>
      <c r="EZ40" s="193"/>
      <c r="FA40" s="193"/>
      <c r="FB40" s="193"/>
      <c r="FC40" s="193"/>
      <c r="FD40" s="193"/>
      <c r="FE40" s="193"/>
      <c r="FF40" s="193"/>
      <c r="FG40" s="193"/>
      <c r="FH40" s="193"/>
      <c r="FI40" s="193"/>
      <c r="FJ40" s="193"/>
      <c r="FK40" s="193"/>
      <c r="FL40" s="193"/>
      <c r="FM40" s="193"/>
      <c r="FN40" s="193"/>
      <c r="FO40" s="193"/>
      <c r="FP40" s="193"/>
      <c r="FQ40" s="193"/>
      <c r="FR40" s="193"/>
      <c r="FS40" s="193"/>
      <c r="FT40" s="193"/>
      <c r="FU40" s="193"/>
      <c r="FV40" s="193"/>
      <c r="FW40" s="193"/>
      <c r="FX40" s="193"/>
      <c r="FY40" s="193"/>
      <c r="FZ40" s="193"/>
      <c r="GA40" s="193"/>
      <c r="GB40" s="193"/>
      <c r="GC40" s="193"/>
      <c r="GD40" s="193"/>
      <c r="GE40" s="193"/>
      <c r="GF40" s="193"/>
      <c r="GG40" s="193"/>
      <c r="GH40" s="193"/>
      <c r="GI40" s="193"/>
      <c r="GJ40" s="193"/>
      <c r="GK40" s="193"/>
      <c r="GL40" s="193"/>
      <c r="GM40" s="193"/>
      <c r="GN40" s="193"/>
      <c r="GO40" s="193"/>
      <c r="GP40" s="193"/>
      <c r="GQ40" s="193"/>
      <c r="GR40" s="193"/>
      <c r="GS40" s="193"/>
      <c r="GT40" s="193"/>
      <c r="GU40" s="193"/>
      <c r="GV40" s="193"/>
      <c r="GW40" s="193"/>
      <c r="GX40" s="193"/>
      <c r="GY40" s="193"/>
      <c r="GZ40" s="193"/>
      <c r="HA40" s="193"/>
      <c r="HB40" s="193"/>
      <c r="HC40" s="193"/>
      <c r="HD40" s="193"/>
      <c r="HE40" s="193"/>
      <c r="HF40" s="193"/>
      <c r="HG40" s="193"/>
      <c r="HH40" s="193"/>
      <c r="HI40" s="193"/>
      <c r="HJ40" s="193"/>
      <c r="HK40" s="193"/>
      <c r="HL40" s="193"/>
      <c r="HM40" s="193"/>
      <c r="HN40" s="193"/>
      <c r="HO40" s="193"/>
      <c r="HP40" s="193"/>
      <c r="HQ40" s="193"/>
      <c r="HR40" s="193"/>
      <c r="HS40" s="193"/>
      <c r="HT40" s="193"/>
      <c r="HU40" s="193"/>
      <c r="HV40" s="193"/>
      <c r="HW40" s="193"/>
      <c r="HX40" s="193"/>
      <c r="HY40" s="193"/>
      <c r="HZ40" s="193"/>
      <c r="IA40" s="193"/>
      <c r="IB40" s="193"/>
      <c r="IC40" s="193"/>
      <c r="ID40" s="193"/>
      <c r="IE40" s="193"/>
      <c r="IF40" s="193"/>
      <c r="IG40" s="193"/>
      <c r="IH40" s="193"/>
      <c r="II40" s="193"/>
      <c r="IJ40" s="193"/>
      <c r="IK40" s="193"/>
      <c r="IL40" s="193"/>
      <c r="IM40" s="193"/>
      <c r="IN40" s="193"/>
      <c r="IO40" s="193"/>
      <c r="IP40" s="193"/>
      <c r="IQ40" s="193"/>
    </row>
    <row r="41" spans="1:251" hidden="1">
      <c r="A41" s="1026"/>
      <c r="B41" s="1955"/>
      <c r="C41" s="1955"/>
      <c r="D41" s="2034"/>
      <c r="E41" s="1955"/>
      <c r="F41" s="1942">
        <f t="shared" si="15"/>
        <v>0</v>
      </c>
      <c r="G41" s="1026"/>
      <c r="H41" s="1942">
        <f t="shared" si="16"/>
        <v>0</v>
      </c>
      <c r="I41" s="1026"/>
      <c r="J41" s="1942">
        <f t="shared" si="6"/>
        <v>0</v>
      </c>
      <c r="K41" s="1026"/>
      <c r="L41" s="1942">
        <f t="shared" si="17"/>
        <v>0</v>
      </c>
      <c r="M41" s="1942">
        <f t="shared" si="18"/>
        <v>0</v>
      </c>
      <c r="N41" s="1942">
        <f t="shared" si="19"/>
        <v>0</v>
      </c>
      <c r="O41" s="1026"/>
      <c r="P41" s="1026"/>
      <c r="Q41" s="1942">
        <f t="shared" si="20"/>
        <v>0</v>
      </c>
      <c r="R41" s="1942">
        <f t="shared" si="10"/>
        <v>0</v>
      </c>
      <c r="S41" s="1942">
        <f t="shared" si="21"/>
        <v>0</v>
      </c>
      <c r="T41" s="1942">
        <f t="shared" si="22"/>
        <v>0</v>
      </c>
      <c r="U41" s="1942">
        <f t="shared" si="23"/>
        <v>0</v>
      </c>
      <c r="V41" s="3035">
        <f t="shared" si="2"/>
        <v>0</v>
      </c>
      <c r="W41" s="1942"/>
      <c r="X41" s="193"/>
      <c r="Y41" s="193"/>
      <c r="Z41" s="193"/>
      <c r="AA41" s="193"/>
      <c r="AB41" s="193"/>
      <c r="AC41" s="193"/>
      <c r="AD41" s="193"/>
      <c r="AE41" s="193"/>
      <c r="AF41" s="193"/>
      <c r="AG41" s="193"/>
      <c r="AH41" s="193"/>
      <c r="AI41" s="193"/>
      <c r="AJ41" s="193"/>
      <c r="AK41" s="193"/>
      <c r="AL41" s="193"/>
      <c r="AM41" s="193"/>
      <c r="AN41" s="193"/>
      <c r="AO41" s="193"/>
      <c r="AP41" s="193"/>
      <c r="AQ41" s="193"/>
      <c r="AR41" s="193"/>
      <c r="AS41" s="193"/>
      <c r="AT41" s="193"/>
      <c r="AU41" s="193"/>
      <c r="AV41" s="193"/>
      <c r="AW41" s="193"/>
      <c r="AX41" s="193"/>
      <c r="AY41" s="193"/>
      <c r="AZ41" s="193"/>
      <c r="BA41" s="193"/>
      <c r="BB41" s="193"/>
      <c r="BC41" s="193"/>
      <c r="BD41" s="193"/>
      <c r="BE41" s="193"/>
      <c r="BF41" s="193"/>
      <c r="BG41" s="193"/>
      <c r="BH41" s="193"/>
      <c r="BI41" s="193"/>
      <c r="BJ41" s="193"/>
      <c r="BK41" s="193"/>
      <c r="BL41" s="193"/>
      <c r="BM41" s="193"/>
      <c r="BN41" s="193"/>
      <c r="BO41" s="193"/>
      <c r="BP41" s="193"/>
      <c r="BQ41" s="193"/>
      <c r="BR41" s="193"/>
      <c r="BS41" s="193"/>
      <c r="BT41" s="193"/>
      <c r="BU41" s="193"/>
      <c r="BV41" s="193"/>
      <c r="BW41" s="193"/>
      <c r="BX41" s="193"/>
      <c r="BY41" s="193"/>
      <c r="BZ41" s="193"/>
      <c r="CA41" s="193"/>
      <c r="CB41" s="193"/>
      <c r="CC41" s="193"/>
      <c r="CD41" s="193"/>
      <c r="CE41" s="193"/>
      <c r="CF41" s="193"/>
      <c r="CG41" s="193"/>
      <c r="CH41" s="193"/>
      <c r="CI41" s="193"/>
      <c r="CJ41" s="193"/>
      <c r="CK41" s="193"/>
      <c r="CL41" s="193"/>
      <c r="CM41" s="193"/>
      <c r="CN41" s="193"/>
      <c r="CO41" s="193"/>
      <c r="CP41" s="193"/>
      <c r="CQ41" s="193"/>
      <c r="CR41" s="193"/>
      <c r="CS41" s="193"/>
      <c r="CT41" s="193"/>
      <c r="CU41" s="193"/>
      <c r="CV41" s="193"/>
      <c r="CW41" s="193"/>
      <c r="CX41" s="193"/>
      <c r="CY41" s="193"/>
      <c r="CZ41" s="193"/>
      <c r="DA41" s="193"/>
      <c r="DB41" s="193"/>
      <c r="DC41" s="193"/>
      <c r="DD41" s="193"/>
      <c r="DE41" s="193"/>
      <c r="DF41" s="193"/>
      <c r="DG41" s="193"/>
      <c r="DH41" s="193"/>
      <c r="DI41" s="193"/>
      <c r="DJ41" s="193"/>
      <c r="DK41" s="193"/>
      <c r="DL41" s="193"/>
      <c r="DM41" s="193"/>
      <c r="DN41" s="193"/>
      <c r="DO41" s="193"/>
      <c r="DP41" s="193"/>
      <c r="DQ41" s="193"/>
      <c r="DR41" s="193"/>
      <c r="DS41" s="193"/>
      <c r="DT41" s="193"/>
      <c r="DU41" s="193"/>
      <c r="DV41" s="193"/>
      <c r="DW41" s="193"/>
      <c r="DX41" s="193"/>
      <c r="DY41" s="193"/>
      <c r="DZ41" s="193"/>
      <c r="EA41" s="193"/>
      <c r="EB41" s="193"/>
      <c r="EC41" s="193"/>
      <c r="ED41" s="193"/>
      <c r="EE41" s="193"/>
      <c r="EF41" s="193"/>
      <c r="EG41" s="193"/>
      <c r="EH41" s="193"/>
      <c r="EI41" s="193"/>
      <c r="EJ41" s="193"/>
      <c r="EK41" s="193"/>
      <c r="EL41" s="193"/>
      <c r="EM41" s="193"/>
      <c r="EN41" s="193"/>
      <c r="EO41" s="193"/>
      <c r="EP41" s="193"/>
      <c r="EQ41" s="193"/>
      <c r="ER41" s="193"/>
      <c r="ES41" s="193"/>
      <c r="ET41" s="193"/>
      <c r="EU41" s="193"/>
      <c r="EV41" s="193"/>
      <c r="EW41" s="193"/>
      <c r="EX41" s="193"/>
      <c r="EY41" s="193"/>
      <c r="EZ41" s="193"/>
      <c r="FA41" s="193"/>
      <c r="FB41" s="193"/>
      <c r="FC41" s="193"/>
      <c r="FD41" s="193"/>
      <c r="FE41" s="193"/>
      <c r="FF41" s="193"/>
      <c r="FG41" s="193"/>
      <c r="FH41" s="193"/>
      <c r="FI41" s="193"/>
      <c r="FJ41" s="193"/>
      <c r="FK41" s="193"/>
      <c r="FL41" s="193"/>
      <c r="FM41" s="193"/>
      <c r="FN41" s="193"/>
      <c r="FO41" s="193"/>
      <c r="FP41" s="193"/>
      <c r="FQ41" s="193"/>
      <c r="FR41" s="193"/>
      <c r="FS41" s="193"/>
      <c r="FT41" s="193"/>
      <c r="FU41" s="193"/>
      <c r="FV41" s="193"/>
      <c r="FW41" s="193"/>
      <c r="FX41" s="193"/>
      <c r="FY41" s="193"/>
      <c r="FZ41" s="193"/>
      <c r="GA41" s="193"/>
      <c r="GB41" s="193"/>
      <c r="GC41" s="193"/>
      <c r="GD41" s="193"/>
      <c r="GE41" s="193"/>
      <c r="GF41" s="193"/>
      <c r="GG41" s="193"/>
      <c r="GH41" s="193"/>
      <c r="GI41" s="193"/>
      <c r="GJ41" s="193"/>
      <c r="GK41" s="193"/>
      <c r="GL41" s="193"/>
      <c r="GM41" s="193"/>
      <c r="GN41" s="193"/>
      <c r="GO41" s="193"/>
      <c r="GP41" s="193"/>
      <c r="GQ41" s="193"/>
      <c r="GR41" s="193"/>
      <c r="GS41" s="193"/>
      <c r="GT41" s="193"/>
      <c r="GU41" s="193"/>
      <c r="GV41" s="193"/>
      <c r="GW41" s="193"/>
      <c r="GX41" s="193"/>
      <c r="GY41" s="193"/>
      <c r="GZ41" s="193"/>
      <c r="HA41" s="193"/>
      <c r="HB41" s="193"/>
      <c r="HC41" s="193"/>
      <c r="HD41" s="193"/>
      <c r="HE41" s="193"/>
      <c r="HF41" s="193"/>
      <c r="HG41" s="193"/>
      <c r="HH41" s="193"/>
      <c r="HI41" s="193"/>
      <c r="HJ41" s="193"/>
      <c r="HK41" s="193"/>
      <c r="HL41" s="193"/>
      <c r="HM41" s="193"/>
      <c r="HN41" s="193"/>
      <c r="HO41" s="193"/>
      <c r="HP41" s="193"/>
      <c r="HQ41" s="193"/>
      <c r="HR41" s="193"/>
      <c r="HS41" s="193"/>
      <c r="HT41" s="193"/>
      <c r="HU41" s="193"/>
      <c r="HV41" s="193"/>
      <c r="HW41" s="193"/>
      <c r="HX41" s="193"/>
      <c r="HY41" s="193"/>
      <c r="HZ41" s="193"/>
      <c r="IA41" s="193"/>
      <c r="IB41" s="193"/>
      <c r="IC41" s="193"/>
      <c r="ID41" s="193"/>
      <c r="IE41" s="193"/>
      <c r="IF41" s="193"/>
      <c r="IG41" s="193"/>
      <c r="IH41" s="193"/>
      <c r="II41" s="193"/>
      <c r="IJ41" s="193"/>
      <c r="IK41" s="193"/>
      <c r="IL41" s="193"/>
      <c r="IM41" s="193"/>
      <c r="IN41" s="193"/>
      <c r="IO41" s="193"/>
      <c r="IP41" s="193"/>
      <c r="IQ41" s="193"/>
    </row>
    <row r="42" spans="1:251" hidden="1">
      <c r="A42" s="1026"/>
      <c r="B42" s="1955"/>
      <c r="C42" s="1955"/>
      <c r="D42" s="2034"/>
      <c r="E42" s="1955"/>
      <c r="F42" s="1942">
        <f t="shared" si="15"/>
        <v>0</v>
      </c>
      <c r="G42" s="1026"/>
      <c r="H42" s="1942">
        <f t="shared" si="16"/>
        <v>0</v>
      </c>
      <c r="I42" s="1026"/>
      <c r="J42" s="1942">
        <f t="shared" si="6"/>
        <v>0</v>
      </c>
      <c r="K42" s="1026"/>
      <c r="L42" s="1942">
        <f t="shared" si="17"/>
        <v>0</v>
      </c>
      <c r="M42" s="1942">
        <f t="shared" si="18"/>
        <v>0</v>
      </c>
      <c r="N42" s="1942">
        <f t="shared" si="19"/>
        <v>0</v>
      </c>
      <c r="O42" s="1026"/>
      <c r="P42" s="1026"/>
      <c r="Q42" s="1942">
        <f t="shared" si="20"/>
        <v>0</v>
      </c>
      <c r="R42" s="1942">
        <f t="shared" si="10"/>
        <v>0</v>
      </c>
      <c r="S42" s="1942">
        <f t="shared" si="21"/>
        <v>0</v>
      </c>
      <c r="T42" s="1942">
        <f t="shared" si="22"/>
        <v>0</v>
      </c>
      <c r="U42" s="1942">
        <f t="shared" si="23"/>
        <v>0</v>
      </c>
      <c r="V42" s="3035">
        <f t="shared" si="2"/>
        <v>0</v>
      </c>
      <c r="W42" s="1942"/>
      <c r="X42" s="193"/>
      <c r="Y42" s="193"/>
      <c r="Z42" s="193"/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193"/>
      <c r="AM42" s="193"/>
      <c r="AN42" s="193"/>
      <c r="AO42" s="193"/>
      <c r="AP42" s="193"/>
      <c r="AQ42" s="193"/>
      <c r="AR42" s="193"/>
      <c r="AS42" s="193"/>
      <c r="AT42" s="193"/>
      <c r="AU42" s="193"/>
      <c r="AV42" s="193"/>
      <c r="AW42" s="193"/>
      <c r="AX42" s="193"/>
      <c r="AY42" s="193"/>
      <c r="AZ42" s="193"/>
      <c r="BA42" s="193"/>
      <c r="BB42" s="193"/>
      <c r="BC42" s="193"/>
      <c r="BD42" s="193"/>
      <c r="BE42" s="193"/>
      <c r="BF42" s="193"/>
      <c r="BG42" s="193"/>
      <c r="BH42" s="193"/>
      <c r="BI42" s="193"/>
      <c r="BJ42" s="193"/>
      <c r="BK42" s="193"/>
      <c r="BL42" s="193"/>
      <c r="BM42" s="193"/>
      <c r="BN42" s="193"/>
      <c r="BO42" s="193"/>
      <c r="BP42" s="193"/>
      <c r="BQ42" s="193"/>
      <c r="BR42" s="193"/>
      <c r="BS42" s="193"/>
      <c r="BT42" s="193"/>
      <c r="BU42" s="193"/>
      <c r="BV42" s="193"/>
      <c r="BW42" s="193"/>
      <c r="BX42" s="193"/>
      <c r="BY42" s="193"/>
      <c r="BZ42" s="193"/>
      <c r="CA42" s="193"/>
      <c r="CB42" s="193"/>
      <c r="CC42" s="193"/>
      <c r="CD42" s="193"/>
      <c r="CE42" s="193"/>
      <c r="CF42" s="193"/>
      <c r="CG42" s="193"/>
      <c r="CH42" s="193"/>
      <c r="CI42" s="193"/>
      <c r="CJ42" s="193"/>
      <c r="CK42" s="193"/>
      <c r="CL42" s="193"/>
      <c r="CM42" s="193"/>
      <c r="CN42" s="193"/>
      <c r="CO42" s="193"/>
      <c r="CP42" s="193"/>
      <c r="CQ42" s="193"/>
      <c r="CR42" s="193"/>
      <c r="CS42" s="193"/>
      <c r="CT42" s="193"/>
      <c r="CU42" s="193"/>
      <c r="CV42" s="193"/>
      <c r="CW42" s="193"/>
      <c r="CX42" s="193"/>
      <c r="CY42" s="193"/>
      <c r="CZ42" s="193"/>
      <c r="DA42" s="193"/>
      <c r="DB42" s="193"/>
      <c r="DC42" s="193"/>
      <c r="DD42" s="193"/>
      <c r="DE42" s="193"/>
      <c r="DF42" s="193"/>
      <c r="DG42" s="193"/>
      <c r="DH42" s="193"/>
      <c r="DI42" s="193"/>
      <c r="DJ42" s="193"/>
      <c r="DK42" s="193"/>
      <c r="DL42" s="193"/>
      <c r="DM42" s="193"/>
      <c r="DN42" s="193"/>
      <c r="DO42" s="193"/>
      <c r="DP42" s="193"/>
      <c r="DQ42" s="193"/>
      <c r="DR42" s="193"/>
      <c r="DS42" s="193"/>
      <c r="DT42" s="193"/>
      <c r="DU42" s="193"/>
      <c r="DV42" s="193"/>
      <c r="DW42" s="193"/>
      <c r="DX42" s="193"/>
      <c r="DY42" s="193"/>
      <c r="DZ42" s="193"/>
      <c r="EA42" s="193"/>
      <c r="EB42" s="193"/>
      <c r="EC42" s="193"/>
      <c r="ED42" s="193"/>
      <c r="EE42" s="193"/>
      <c r="EF42" s="193"/>
      <c r="EG42" s="193"/>
      <c r="EH42" s="193"/>
      <c r="EI42" s="193"/>
      <c r="EJ42" s="193"/>
      <c r="EK42" s="193"/>
      <c r="EL42" s="193"/>
      <c r="EM42" s="193"/>
      <c r="EN42" s="193"/>
      <c r="EO42" s="193"/>
      <c r="EP42" s="193"/>
      <c r="EQ42" s="193"/>
      <c r="ER42" s="193"/>
      <c r="ES42" s="193"/>
      <c r="ET42" s="193"/>
      <c r="EU42" s="193"/>
      <c r="EV42" s="193"/>
      <c r="EW42" s="193"/>
      <c r="EX42" s="193"/>
      <c r="EY42" s="193"/>
      <c r="EZ42" s="193"/>
      <c r="FA42" s="193"/>
      <c r="FB42" s="193"/>
      <c r="FC42" s="193"/>
      <c r="FD42" s="193"/>
      <c r="FE42" s="193"/>
      <c r="FF42" s="193"/>
      <c r="FG42" s="193"/>
      <c r="FH42" s="193"/>
      <c r="FI42" s="193"/>
      <c r="FJ42" s="193"/>
      <c r="FK42" s="193"/>
      <c r="FL42" s="193"/>
      <c r="FM42" s="193"/>
      <c r="FN42" s="193"/>
      <c r="FO42" s="193"/>
      <c r="FP42" s="193"/>
      <c r="FQ42" s="193"/>
      <c r="FR42" s="193"/>
      <c r="FS42" s="193"/>
      <c r="FT42" s="193"/>
      <c r="FU42" s="193"/>
      <c r="FV42" s="193"/>
      <c r="FW42" s="193"/>
      <c r="FX42" s="193"/>
      <c r="FY42" s="193"/>
      <c r="FZ42" s="193"/>
      <c r="GA42" s="193"/>
      <c r="GB42" s="193"/>
      <c r="GC42" s="193"/>
      <c r="GD42" s="193"/>
      <c r="GE42" s="193"/>
      <c r="GF42" s="193"/>
      <c r="GG42" s="193"/>
      <c r="GH42" s="193"/>
      <c r="GI42" s="193"/>
      <c r="GJ42" s="193"/>
      <c r="GK42" s="193"/>
      <c r="GL42" s="193"/>
      <c r="GM42" s="193"/>
      <c r="GN42" s="193"/>
      <c r="GO42" s="193"/>
      <c r="GP42" s="193"/>
      <c r="GQ42" s="193"/>
      <c r="GR42" s="193"/>
      <c r="GS42" s="193"/>
      <c r="GT42" s="193"/>
      <c r="GU42" s="193"/>
      <c r="GV42" s="193"/>
      <c r="GW42" s="193"/>
      <c r="GX42" s="193"/>
      <c r="GY42" s="193"/>
      <c r="GZ42" s="193"/>
      <c r="HA42" s="193"/>
      <c r="HB42" s="193"/>
      <c r="HC42" s="193"/>
      <c r="HD42" s="193"/>
      <c r="HE42" s="193"/>
      <c r="HF42" s="193"/>
      <c r="HG42" s="193"/>
      <c r="HH42" s="193"/>
      <c r="HI42" s="193"/>
      <c r="HJ42" s="193"/>
      <c r="HK42" s="193"/>
      <c r="HL42" s="193"/>
      <c r="HM42" s="193"/>
      <c r="HN42" s="193"/>
      <c r="HO42" s="193"/>
      <c r="HP42" s="193"/>
      <c r="HQ42" s="193"/>
      <c r="HR42" s="193"/>
      <c r="HS42" s="193"/>
      <c r="HT42" s="193"/>
      <c r="HU42" s="193"/>
      <c r="HV42" s="193"/>
      <c r="HW42" s="193"/>
      <c r="HX42" s="193"/>
      <c r="HY42" s="193"/>
      <c r="HZ42" s="193"/>
      <c r="IA42" s="193"/>
      <c r="IB42" s="193"/>
      <c r="IC42" s="193"/>
      <c r="ID42" s="193"/>
      <c r="IE42" s="193"/>
      <c r="IF42" s="193"/>
      <c r="IG42" s="193"/>
      <c r="IH42" s="193"/>
      <c r="II42" s="193"/>
      <c r="IJ42" s="193"/>
      <c r="IK42" s="193"/>
      <c r="IL42" s="193"/>
      <c r="IM42" s="193"/>
      <c r="IN42" s="193"/>
      <c r="IO42" s="193"/>
      <c r="IP42" s="193"/>
      <c r="IQ42" s="193"/>
    </row>
    <row r="43" spans="1:251" hidden="1">
      <c r="A43" s="1026"/>
      <c r="B43" s="1955"/>
      <c r="C43" s="1955"/>
      <c r="D43" s="2034"/>
      <c r="E43" s="1955"/>
      <c r="F43" s="1942">
        <f t="shared" si="15"/>
        <v>0</v>
      </c>
      <c r="G43" s="1026"/>
      <c r="H43" s="1942">
        <f t="shared" si="16"/>
        <v>0</v>
      </c>
      <c r="I43" s="1026"/>
      <c r="J43" s="1942">
        <f t="shared" si="6"/>
        <v>0</v>
      </c>
      <c r="K43" s="1026"/>
      <c r="L43" s="1942">
        <f t="shared" si="17"/>
        <v>0</v>
      </c>
      <c r="M43" s="1942">
        <f t="shared" si="18"/>
        <v>0</v>
      </c>
      <c r="N43" s="1942">
        <f t="shared" si="19"/>
        <v>0</v>
      </c>
      <c r="O43" s="1026"/>
      <c r="P43" s="1026"/>
      <c r="Q43" s="1942">
        <f t="shared" si="20"/>
        <v>0</v>
      </c>
      <c r="R43" s="1942">
        <f t="shared" si="10"/>
        <v>0</v>
      </c>
      <c r="S43" s="1942">
        <f t="shared" si="21"/>
        <v>0</v>
      </c>
      <c r="T43" s="1942">
        <f t="shared" si="22"/>
        <v>0</v>
      </c>
      <c r="U43" s="1942">
        <f t="shared" si="23"/>
        <v>0</v>
      </c>
      <c r="V43" s="3035">
        <f t="shared" si="2"/>
        <v>0</v>
      </c>
      <c r="W43" s="1942"/>
      <c r="X43" s="193"/>
      <c r="Y43" s="193"/>
      <c r="Z43" s="193"/>
      <c r="AA43" s="193"/>
      <c r="AB43" s="193"/>
      <c r="AC43" s="193"/>
      <c r="AD43" s="193"/>
      <c r="AE43" s="193"/>
      <c r="AF43" s="193"/>
      <c r="AG43" s="193"/>
      <c r="AH43" s="193"/>
      <c r="AI43" s="193"/>
      <c r="AJ43" s="193"/>
      <c r="AK43" s="193"/>
      <c r="AL43" s="193"/>
      <c r="AM43" s="193"/>
      <c r="AN43" s="193"/>
      <c r="AO43" s="193"/>
      <c r="AP43" s="193"/>
      <c r="AQ43" s="193"/>
      <c r="AR43" s="193"/>
      <c r="AS43" s="193"/>
      <c r="AT43" s="193"/>
      <c r="AU43" s="193"/>
      <c r="AV43" s="193"/>
      <c r="AW43" s="193"/>
      <c r="AX43" s="193"/>
      <c r="AY43" s="193"/>
      <c r="AZ43" s="193"/>
      <c r="BA43" s="193"/>
      <c r="BB43" s="193"/>
      <c r="BC43" s="193"/>
      <c r="BD43" s="193"/>
      <c r="BE43" s="193"/>
      <c r="BF43" s="193"/>
      <c r="BG43" s="193"/>
      <c r="BH43" s="193"/>
      <c r="BI43" s="193"/>
      <c r="BJ43" s="193"/>
      <c r="BK43" s="193"/>
      <c r="BL43" s="193"/>
      <c r="BM43" s="193"/>
      <c r="BN43" s="193"/>
      <c r="BO43" s="193"/>
      <c r="BP43" s="193"/>
      <c r="BQ43" s="193"/>
      <c r="BR43" s="193"/>
      <c r="BS43" s="193"/>
      <c r="BT43" s="193"/>
      <c r="BU43" s="193"/>
      <c r="BV43" s="193"/>
      <c r="BW43" s="193"/>
      <c r="BX43" s="193"/>
      <c r="BY43" s="193"/>
      <c r="BZ43" s="193"/>
      <c r="CA43" s="193"/>
      <c r="CB43" s="193"/>
      <c r="CC43" s="193"/>
      <c r="CD43" s="193"/>
      <c r="CE43" s="193"/>
      <c r="CF43" s="193"/>
      <c r="CG43" s="193"/>
      <c r="CH43" s="193"/>
      <c r="CI43" s="193"/>
      <c r="CJ43" s="193"/>
      <c r="CK43" s="193"/>
      <c r="CL43" s="193"/>
      <c r="CM43" s="193"/>
      <c r="CN43" s="193"/>
      <c r="CO43" s="193"/>
      <c r="CP43" s="193"/>
      <c r="CQ43" s="193"/>
      <c r="CR43" s="193"/>
      <c r="CS43" s="193"/>
      <c r="CT43" s="193"/>
      <c r="CU43" s="193"/>
      <c r="CV43" s="193"/>
      <c r="CW43" s="193"/>
      <c r="CX43" s="193"/>
      <c r="CY43" s="193"/>
      <c r="CZ43" s="193"/>
      <c r="DA43" s="193"/>
      <c r="DB43" s="193"/>
      <c r="DC43" s="193"/>
      <c r="DD43" s="193"/>
      <c r="DE43" s="193"/>
      <c r="DF43" s="193"/>
      <c r="DG43" s="193"/>
      <c r="DH43" s="193"/>
      <c r="DI43" s="193"/>
      <c r="DJ43" s="193"/>
      <c r="DK43" s="193"/>
      <c r="DL43" s="193"/>
      <c r="DM43" s="193"/>
      <c r="DN43" s="193"/>
      <c r="DO43" s="193"/>
      <c r="DP43" s="193"/>
      <c r="DQ43" s="193"/>
      <c r="DR43" s="193"/>
      <c r="DS43" s="193"/>
      <c r="DT43" s="193"/>
      <c r="DU43" s="193"/>
      <c r="DV43" s="193"/>
      <c r="DW43" s="193"/>
      <c r="DX43" s="193"/>
      <c r="DY43" s="193"/>
      <c r="DZ43" s="193"/>
      <c r="EA43" s="193"/>
      <c r="EB43" s="193"/>
      <c r="EC43" s="193"/>
      <c r="ED43" s="193"/>
      <c r="EE43" s="193"/>
      <c r="EF43" s="193"/>
      <c r="EG43" s="193"/>
      <c r="EH43" s="193"/>
      <c r="EI43" s="193"/>
      <c r="EJ43" s="193"/>
      <c r="EK43" s="193"/>
      <c r="EL43" s="193"/>
      <c r="EM43" s="193"/>
      <c r="EN43" s="193"/>
      <c r="EO43" s="193"/>
      <c r="EP43" s="193"/>
      <c r="EQ43" s="193"/>
      <c r="ER43" s="193"/>
      <c r="ES43" s="193"/>
      <c r="ET43" s="193"/>
      <c r="EU43" s="193"/>
      <c r="EV43" s="193"/>
      <c r="EW43" s="193"/>
      <c r="EX43" s="193"/>
      <c r="EY43" s="193"/>
      <c r="EZ43" s="193"/>
      <c r="FA43" s="193"/>
      <c r="FB43" s="193"/>
      <c r="FC43" s="193"/>
      <c r="FD43" s="193"/>
      <c r="FE43" s="193"/>
      <c r="FF43" s="193"/>
      <c r="FG43" s="193"/>
      <c r="FH43" s="193"/>
      <c r="FI43" s="193"/>
      <c r="FJ43" s="193"/>
      <c r="FK43" s="193"/>
      <c r="FL43" s="193"/>
      <c r="FM43" s="193"/>
      <c r="FN43" s="193"/>
      <c r="FO43" s="193"/>
      <c r="FP43" s="193"/>
      <c r="FQ43" s="193"/>
      <c r="FR43" s="193"/>
      <c r="FS43" s="193"/>
      <c r="FT43" s="193"/>
      <c r="FU43" s="193"/>
      <c r="FV43" s="193"/>
      <c r="FW43" s="193"/>
      <c r="FX43" s="193"/>
      <c r="FY43" s="193"/>
      <c r="FZ43" s="193"/>
      <c r="GA43" s="193"/>
      <c r="GB43" s="193"/>
      <c r="GC43" s="193"/>
      <c r="GD43" s="193"/>
      <c r="GE43" s="193"/>
      <c r="GF43" s="193"/>
      <c r="GG43" s="193"/>
      <c r="GH43" s="193"/>
      <c r="GI43" s="193"/>
      <c r="GJ43" s="193"/>
      <c r="GK43" s="193"/>
      <c r="GL43" s="193"/>
      <c r="GM43" s="193"/>
      <c r="GN43" s="193"/>
      <c r="GO43" s="193"/>
      <c r="GP43" s="193"/>
      <c r="GQ43" s="193"/>
      <c r="GR43" s="193"/>
      <c r="GS43" s="193"/>
      <c r="GT43" s="193"/>
      <c r="GU43" s="193"/>
      <c r="GV43" s="193"/>
      <c r="GW43" s="193"/>
      <c r="GX43" s="193"/>
      <c r="GY43" s="193"/>
      <c r="GZ43" s="193"/>
      <c r="HA43" s="193"/>
      <c r="HB43" s="193"/>
      <c r="HC43" s="193"/>
      <c r="HD43" s="193"/>
      <c r="HE43" s="193"/>
      <c r="HF43" s="193"/>
      <c r="HG43" s="193"/>
      <c r="HH43" s="193"/>
      <c r="HI43" s="193"/>
      <c r="HJ43" s="193"/>
      <c r="HK43" s="193"/>
      <c r="HL43" s="193"/>
      <c r="HM43" s="193"/>
      <c r="HN43" s="193"/>
      <c r="HO43" s="193"/>
      <c r="HP43" s="193"/>
      <c r="HQ43" s="193"/>
      <c r="HR43" s="193"/>
      <c r="HS43" s="193"/>
      <c r="HT43" s="193"/>
      <c r="HU43" s="193"/>
      <c r="HV43" s="193"/>
      <c r="HW43" s="193"/>
      <c r="HX43" s="193"/>
      <c r="HY43" s="193"/>
      <c r="HZ43" s="193"/>
      <c r="IA43" s="193"/>
      <c r="IB43" s="193"/>
      <c r="IC43" s="193"/>
      <c r="ID43" s="193"/>
      <c r="IE43" s="193"/>
      <c r="IF43" s="193"/>
      <c r="IG43" s="193"/>
      <c r="IH43" s="193"/>
      <c r="II43" s="193"/>
      <c r="IJ43" s="193"/>
      <c r="IK43" s="193"/>
      <c r="IL43" s="193"/>
      <c r="IM43" s="193"/>
      <c r="IN43" s="193"/>
      <c r="IO43" s="193"/>
      <c r="IP43" s="193"/>
      <c r="IQ43" s="193"/>
    </row>
    <row r="44" spans="1:251" hidden="1">
      <c r="A44" s="1026"/>
      <c r="B44" s="1955"/>
      <c r="C44" s="1955"/>
      <c r="D44" s="2034"/>
      <c r="E44" s="1955"/>
      <c r="F44" s="1942">
        <f t="shared" si="15"/>
        <v>0</v>
      </c>
      <c r="G44" s="1026"/>
      <c r="H44" s="1942">
        <f t="shared" si="16"/>
        <v>0</v>
      </c>
      <c r="I44" s="1026"/>
      <c r="J44" s="1942">
        <f t="shared" si="6"/>
        <v>0</v>
      </c>
      <c r="K44" s="1026"/>
      <c r="L44" s="1942">
        <f t="shared" si="17"/>
        <v>0</v>
      </c>
      <c r="M44" s="1942">
        <f t="shared" si="18"/>
        <v>0</v>
      </c>
      <c r="N44" s="1942">
        <f t="shared" si="19"/>
        <v>0</v>
      </c>
      <c r="O44" s="1026"/>
      <c r="P44" s="1026"/>
      <c r="Q44" s="1942">
        <f t="shared" si="20"/>
        <v>0</v>
      </c>
      <c r="R44" s="1942">
        <f t="shared" si="10"/>
        <v>0</v>
      </c>
      <c r="S44" s="1942">
        <f t="shared" si="21"/>
        <v>0</v>
      </c>
      <c r="T44" s="1942">
        <f t="shared" si="22"/>
        <v>0</v>
      </c>
      <c r="U44" s="1942">
        <f t="shared" si="23"/>
        <v>0</v>
      </c>
      <c r="V44" s="3035">
        <f t="shared" si="2"/>
        <v>0</v>
      </c>
      <c r="W44" s="1942"/>
      <c r="X44" s="193"/>
      <c r="Y44" s="193"/>
      <c r="Z44" s="193"/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193"/>
      <c r="AM44" s="193"/>
      <c r="AN44" s="193"/>
      <c r="AO44" s="193"/>
      <c r="AP44" s="193"/>
      <c r="AQ44" s="193"/>
      <c r="AR44" s="193"/>
      <c r="AS44" s="193"/>
      <c r="AT44" s="193"/>
      <c r="AU44" s="193"/>
      <c r="AV44" s="193"/>
      <c r="AW44" s="193"/>
      <c r="AX44" s="193"/>
      <c r="AY44" s="193"/>
      <c r="AZ44" s="193"/>
      <c r="BA44" s="193"/>
      <c r="BB44" s="193"/>
      <c r="BC44" s="193"/>
      <c r="BD44" s="193"/>
      <c r="BE44" s="193"/>
      <c r="BF44" s="193"/>
      <c r="BG44" s="193"/>
      <c r="BH44" s="193"/>
      <c r="BI44" s="193"/>
      <c r="BJ44" s="193"/>
      <c r="BK44" s="193"/>
      <c r="BL44" s="193"/>
      <c r="BM44" s="193"/>
      <c r="BN44" s="193"/>
      <c r="BO44" s="193"/>
      <c r="BP44" s="193"/>
      <c r="BQ44" s="193"/>
      <c r="BR44" s="193"/>
      <c r="BS44" s="193"/>
      <c r="BT44" s="193"/>
      <c r="BU44" s="193"/>
      <c r="BV44" s="193"/>
      <c r="BW44" s="193"/>
      <c r="BX44" s="193"/>
      <c r="BY44" s="193"/>
      <c r="BZ44" s="193"/>
      <c r="CA44" s="193"/>
      <c r="CB44" s="193"/>
      <c r="CC44" s="193"/>
      <c r="CD44" s="193"/>
      <c r="CE44" s="193"/>
      <c r="CF44" s="193"/>
      <c r="CG44" s="193"/>
      <c r="CH44" s="193"/>
      <c r="CI44" s="193"/>
      <c r="CJ44" s="193"/>
      <c r="CK44" s="193"/>
      <c r="CL44" s="193"/>
      <c r="CM44" s="193"/>
      <c r="CN44" s="193"/>
      <c r="CO44" s="193"/>
      <c r="CP44" s="193"/>
      <c r="CQ44" s="193"/>
      <c r="CR44" s="193"/>
      <c r="CS44" s="193"/>
      <c r="CT44" s="193"/>
      <c r="CU44" s="193"/>
      <c r="CV44" s="193"/>
      <c r="CW44" s="193"/>
      <c r="CX44" s="193"/>
      <c r="CY44" s="193"/>
      <c r="CZ44" s="193"/>
      <c r="DA44" s="193"/>
      <c r="DB44" s="193"/>
      <c r="DC44" s="193"/>
      <c r="DD44" s="193"/>
      <c r="DE44" s="193"/>
      <c r="DF44" s="193"/>
      <c r="DG44" s="193"/>
      <c r="DH44" s="193"/>
      <c r="DI44" s="193"/>
      <c r="DJ44" s="193"/>
      <c r="DK44" s="193"/>
      <c r="DL44" s="193"/>
      <c r="DM44" s="193"/>
      <c r="DN44" s="193"/>
      <c r="DO44" s="193"/>
      <c r="DP44" s="193"/>
      <c r="DQ44" s="193"/>
      <c r="DR44" s="193"/>
      <c r="DS44" s="193"/>
      <c r="DT44" s="193"/>
      <c r="DU44" s="193"/>
      <c r="DV44" s="193"/>
      <c r="DW44" s="193"/>
      <c r="DX44" s="193"/>
      <c r="DY44" s="193"/>
      <c r="DZ44" s="193"/>
      <c r="EA44" s="193"/>
      <c r="EB44" s="193"/>
      <c r="EC44" s="193"/>
      <c r="ED44" s="193"/>
      <c r="EE44" s="193"/>
      <c r="EF44" s="193"/>
      <c r="EG44" s="193"/>
      <c r="EH44" s="193"/>
      <c r="EI44" s="193"/>
      <c r="EJ44" s="193"/>
      <c r="EK44" s="193"/>
      <c r="EL44" s="193"/>
      <c r="EM44" s="193"/>
      <c r="EN44" s="193"/>
      <c r="EO44" s="193"/>
      <c r="EP44" s="193"/>
      <c r="EQ44" s="193"/>
      <c r="ER44" s="193"/>
      <c r="ES44" s="193"/>
      <c r="ET44" s="193"/>
      <c r="EU44" s="193"/>
      <c r="EV44" s="193"/>
      <c r="EW44" s="193"/>
      <c r="EX44" s="193"/>
      <c r="EY44" s="193"/>
      <c r="EZ44" s="193"/>
      <c r="FA44" s="193"/>
      <c r="FB44" s="193"/>
      <c r="FC44" s="193"/>
      <c r="FD44" s="193"/>
      <c r="FE44" s="193"/>
      <c r="FF44" s="193"/>
      <c r="FG44" s="193"/>
      <c r="FH44" s="193"/>
      <c r="FI44" s="193"/>
      <c r="FJ44" s="193"/>
      <c r="FK44" s="193"/>
      <c r="FL44" s="193"/>
      <c r="FM44" s="193"/>
      <c r="FN44" s="193"/>
      <c r="FO44" s="193"/>
      <c r="FP44" s="193"/>
      <c r="FQ44" s="193"/>
      <c r="FR44" s="193"/>
      <c r="FS44" s="193"/>
      <c r="FT44" s="193"/>
      <c r="FU44" s="193"/>
      <c r="FV44" s="193"/>
      <c r="FW44" s="193"/>
      <c r="FX44" s="193"/>
      <c r="FY44" s="193"/>
      <c r="FZ44" s="193"/>
      <c r="GA44" s="193"/>
      <c r="GB44" s="193"/>
      <c r="GC44" s="193"/>
      <c r="GD44" s="193"/>
      <c r="GE44" s="193"/>
      <c r="GF44" s="193"/>
      <c r="GG44" s="193"/>
      <c r="GH44" s="193"/>
      <c r="GI44" s="193"/>
      <c r="GJ44" s="193"/>
      <c r="GK44" s="193"/>
      <c r="GL44" s="193"/>
      <c r="GM44" s="193"/>
      <c r="GN44" s="193"/>
      <c r="GO44" s="193"/>
      <c r="GP44" s="193"/>
      <c r="GQ44" s="193"/>
      <c r="GR44" s="193"/>
      <c r="GS44" s="193"/>
      <c r="GT44" s="193"/>
      <c r="GU44" s="193"/>
      <c r="GV44" s="193"/>
      <c r="GW44" s="193"/>
      <c r="GX44" s="193"/>
      <c r="GY44" s="193"/>
      <c r="GZ44" s="193"/>
      <c r="HA44" s="193"/>
      <c r="HB44" s="193"/>
      <c r="HC44" s="193"/>
      <c r="HD44" s="193"/>
      <c r="HE44" s="193"/>
      <c r="HF44" s="193"/>
      <c r="HG44" s="193"/>
      <c r="HH44" s="193"/>
      <c r="HI44" s="193"/>
      <c r="HJ44" s="193"/>
      <c r="HK44" s="193"/>
      <c r="HL44" s="193"/>
      <c r="HM44" s="193"/>
      <c r="HN44" s="193"/>
      <c r="HO44" s="193"/>
      <c r="HP44" s="193"/>
      <c r="HQ44" s="193"/>
      <c r="HR44" s="193"/>
      <c r="HS44" s="193"/>
      <c r="HT44" s="193"/>
      <c r="HU44" s="193"/>
      <c r="HV44" s="193"/>
      <c r="HW44" s="193"/>
      <c r="HX44" s="193"/>
      <c r="HY44" s="193"/>
      <c r="HZ44" s="193"/>
      <c r="IA44" s="193"/>
      <c r="IB44" s="193"/>
      <c r="IC44" s="193"/>
      <c r="ID44" s="193"/>
      <c r="IE44" s="193"/>
      <c r="IF44" s="193"/>
      <c r="IG44" s="193"/>
      <c r="IH44" s="193"/>
      <c r="II44" s="193"/>
      <c r="IJ44" s="193"/>
      <c r="IK44" s="193"/>
      <c r="IL44" s="193"/>
      <c r="IM44" s="193"/>
      <c r="IN44" s="193"/>
      <c r="IO44" s="193"/>
      <c r="IP44" s="193"/>
      <c r="IQ44" s="193"/>
    </row>
    <row r="45" spans="1:251" hidden="1">
      <c r="A45" s="1026"/>
      <c r="B45" s="1955"/>
      <c r="C45" s="1955"/>
      <c r="D45" s="2034"/>
      <c r="E45" s="1955"/>
      <c r="F45" s="1942">
        <f t="shared" si="15"/>
        <v>0</v>
      </c>
      <c r="G45" s="1026"/>
      <c r="H45" s="1942">
        <f t="shared" si="16"/>
        <v>0</v>
      </c>
      <c r="I45" s="1026"/>
      <c r="J45" s="1942">
        <f t="shared" si="6"/>
        <v>0</v>
      </c>
      <c r="K45" s="1026"/>
      <c r="L45" s="1942">
        <f t="shared" si="17"/>
        <v>0</v>
      </c>
      <c r="M45" s="1942">
        <f t="shared" si="18"/>
        <v>0</v>
      </c>
      <c r="N45" s="1942">
        <f t="shared" si="19"/>
        <v>0</v>
      </c>
      <c r="O45" s="1026"/>
      <c r="P45" s="1026"/>
      <c r="Q45" s="1942">
        <f t="shared" si="20"/>
        <v>0</v>
      </c>
      <c r="R45" s="1942">
        <f t="shared" si="10"/>
        <v>0</v>
      </c>
      <c r="S45" s="1942">
        <f t="shared" si="21"/>
        <v>0</v>
      </c>
      <c r="T45" s="1942">
        <f t="shared" si="22"/>
        <v>0</v>
      </c>
      <c r="U45" s="1942">
        <f t="shared" si="23"/>
        <v>0</v>
      </c>
      <c r="V45" s="3035">
        <f t="shared" si="2"/>
        <v>0</v>
      </c>
      <c r="W45" s="1942"/>
      <c r="X45" s="193"/>
      <c r="Y45" s="193"/>
      <c r="Z45" s="193"/>
      <c r="AA45" s="193"/>
      <c r="AB45" s="193"/>
      <c r="AC45" s="193"/>
      <c r="AD45" s="193"/>
      <c r="AE45" s="193"/>
      <c r="AF45" s="193"/>
      <c r="AG45" s="193"/>
      <c r="AH45" s="193"/>
      <c r="AI45" s="193"/>
      <c r="AJ45" s="193"/>
      <c r="AK45" s="193"/>
      <c r="AL45" s="193"/>
      <c r="AM45" s="193"/>
      <c r="AN45" s="193"/>
      <c r="AO45" s="193"/>
      <c r="AP45" s="193"/>
      <c r="AQ45" s="193"/>
      <c r="AR45" s="193"/>
      <c r="AS45" s="193"/>
      <c r="AT45" s="193"/>
      <c r="AU45" s="193"/>
      <c r="AV45" s="193"/>
      <c r="AW45" s="193"/>
      <c r="AX45" s="193"/>
      <c r="AY45" s="193"/>
      <c r="AZ45" s="193"/>
      <c r="BA45" s="193"/>
      <c r="BB45" s="193"/>
      <c r="BC45" s="193"/>
      <c r="BD45" s="193"/>
      <c r="BE45" s="193"/>
      <c r="BF45" s="193"/>
      <c r="BG45" s="193"/>
      <c r="BH45" s="193"/>
      <c r="BI45" s="193"/>
      <c r="BJ45" s="193"/>
      <c r="BK45" s="193"/>
      <c r="BL45" s="193"/>
      <c r="BM45" s="193"/>
      <c r="BN45" s="193"/>
      <c r="BO45" s="193"/>
      <c r="BP45" s="193"/>
      <c r="BQ45" s="193"/>
      <c r="BR45" s="193"/>
      <c r="BS45" s="193"/>
      <c r="BT45" s="193"/>
      <c r="BU45" s="193"/>
      <c r="BV45" s="193"/>
      <c r="BW45" s="193"/>
      <c r="BX45" s="193"/>
      <c r="BY45" s="193"/>
      <c r="BZ45" s="193"/>
      <c r="CA45" s="193"/>
      <c r="CB45" s="193"/>
      <c r="CC45" s="193"/>
      <c r="CD45" s="193"/>
      <c r="CE45" s="193"/>
      <c r="CF45" s="193"/>
      <c r="CG45" s="193"/>
      <c r="CH45" s="193"/>
      <c r="CI45" s="193"/>
      <c r="CJ45" s="193"/>
      <c r="CK45" s="193"/>
      <c r="CL45" s="193"/>
      <c r="CM45" s="193"/>
      <c r="CN45" s="193"/>
      <c r="CO45" s="193"/>
      <c r="CP45" s="193"/>
      <c r="CQ45" s="193"/>
      <c r="CR45" s="193"/>
      <c r="CS45" s="193"/>
      <c r="CT45" s="193"/>
      <c r="CU45" s="193"/>
      <c r="CV45" s="193"/>
      <c r="CW45" s="193"/>
      <c r="CX45" s="193"/>
      <c r="CY45" s="193"/>
      <c r="CZ45" s="193"/>
      <c r="DA45" s="193"/>
      <c r="DB45" s="193"/>
      <c r="DC45" s="193"/>
      <c r="DD45" s="193"/>
      <c r="DE45" s="193"/>
      <c r="DF45" s="193"/>
      <c r="DG45" s="193"/>
      <c r="DH45" s="193"/>
      <c r="DI45" s="193"/>
      <c r="DJ45" s="193"/>
      <c r="DK45" s="193"/>
      <c r="DL45" s="193"/>
      <c r="DM45" s="193"/>
      <c r="DN45" s="193"/>
      <c r="DO45" s="193"/>
      <c r="DP45" s="193"/>
      <c r="DQ45" s="193"/>
      <c r="DR45" s="193"/>
      <c r="DS45" s="193"/>
      <c r="DT45" s="193"/>
      <c r="DU45" s="193"/>
      <c r="DV45" s="193"/>
      <c r="DW45" s="193"/>
      <c r="DX45" s="193"/>
      <c r="DY45" s="193"/>
      <c r="DZ45" s="193"/>
      <c r="EA45" s="193"/>
      <c r="EB45" s="193"/>
      <c r="EC45" s="193"/>
      <c r="ED45" s="193"/>
      <c r="EE45" s="193"/>
      <c r="EF45" s="193"/>
      <c r="EG45" s="193"/>
      <c r="EH45" s="193"/>
      <c r="EI45" s="193"/>
      <c r="EJ45" s="193"/>
      <c r="EK45" s="193"/>
      <c r="EL45" s="193"/>
      <c r="EM45" s="193"/>
      <c r="EN45" s="193"/>
      <c r="EO45" s="193"/>
      <c r="EP45" s="193"/>
      <c r="EQ45" s="193"/>
      <c r="ER45" s="193"/>
      <c r="ES45" s="193"/>
      <c r="ET45" s="193"/>
      <c r="EU45" s="193"/>
      <c r="EV45" s="193"/>
      <c r="EW45" s="193"/>
      <c r="EX45" s="193"/>
      <c r="EY45" s="193"/>
      <c r="EZ45" s="193"/>
      <c r="FA45" s="193"/>
      <c r="FB45" s="193"/>
      <c r="FC45" s="193"/>
      <c r="FD45" s="193"/>
      <c r="FE45" s="193"/>
      <c r="FF45" s="193"/>
      <c r="FG45" s="193"/>
      <c r="FH45" s="193"/>
      <c r="FI45" s="193"/>
      <c r="FJ45" s="193"/>
      <c r="FK45" s="193"/>
      <c r="FL45" s="193"/>
      <c r="FM45" s="193"/>
      <c r="FN45" s="193"/>
      <c r="FO45" s="193"/>
      <c r="FP45" s="193"/>
      <c r="FQ45" s="193"/>
      <c r="FR45" s="193"/>
      <c r="FS45" s="193"/>
      <c r="FT45" s="193"/>
      <c r="FU45" s="193"/>
      <c r="FV45" s="193"/>
      <c r="FW45" s="193"/>
      <c r="FX45" s="193"/>
      <c r="FY45" s="193"/>
      <c r="FZ45" s="193"/>
      <c r="GA45" s="193"/>
      <c r="GB45" s="193"/>
      <c r="GC45" s="193"/>
      <c r="GD45" s="193"/>
      <c r="GE45" s="193"/>
      <c r="GF45" s="193"/>
      <c r="GG45" s="193"/>
      <c r="GH45" s="193"/>
      <c r="GI45" s="193"/>
      <c r="GJ45" s="193"/>
      <c r="GK45" s="193"/>
      <c r="GL45" s="193"/>
      <c r="GM45" s="193"/>
      <c r="GN45" s="193"/>
      <c r="GO45" s="193"/>
      <c r="GP45" s="193"/>
      <c r="GQ45" s="193"/>
      <c r="GR45" s="193"/>
      <c r="GS45" s="193"/>
      <c r="GT45" s="193"/>
      <c r="GU45" s="193"/>
      <c r="GV45" s="193"/>
      <c r="GW45" s="193"/>
      <c r="GX45" s="193"/>
      <c r="GY45" s="193"/>
      <c r="GZ45" s="193"/>
      <c r="HA45" s="193"/>
      <c r="HB45" s="193"/>
      <c r="HC45" s="193"/>
      <c r="HD45" s="193"/>
      <c r="HE45" s="193"/>
      <c r="HF45" s="193"/>
      <c r="HG45" s="193"/>
      <c r="HH45" s="193"/>
      <c r="HI45" s="193"/>
      <c r="HJ45" s="193"/>
      <c r="HK45" s="193"/>
      <c r="HL45" s="193"/>
      <c r="HM45" s="193"/>
      <c r="HN45" s="193"/>
      <c r="HO45" s="193"/>
      <c r="HP45" s="193"/>
      <c r="HQ45" s="193"/>
      <c r="HR45" s="193"/>
      <c r="HS45" s="193"/>
      <c r="HT45" s="193"/>
      <c r="HU45" s="193"/>
      <c r="HV45" s="193"/>
      <c r="HW45" s="193"/>
      <c r="HX45" s="193"/>
      <c r="HY45" s="193"/>
      <c r="HZ45" s="193"/>
      <c r="IA45" s="193"/>
      <c r="IB45" s="193"/>
      <c r="IC45" s="193"/>
      <c r="ID45" s="193"/>
      <c r="IE45" s="193"/>
      <c r="IF45" s="193"/>
      <c r="IG45" s="193"/>
      <c r="IH45" s="193"/>
      <c r="II45" s="193"/>
      <c r="IJ45" s="193"/>
      <c r="IK45" s="193"/>
      <c r="IL45" s="193"/>
      <c r="IM45" s="193"/>
      <c r="IN45" s="193"/>
      <c r="IO45" s="193"/>
      <c r="IP45" s="193"/>
      <c r="IQ45" s="193"/>
    </row>
    <row r="46" spans="1:251" hidden="1">
      <c r="A46" s="1026"/>
      <c r="B46" s="1955"/>
      <c r="C46" s="1955"/>
      <c r="D46" s="2034"/>
      <c r="E46" s="1955"/>
      <c r="F46" s="1942">
        <f t="shared" si="15"/>
        <v>0</v>
      </c>
      <c r="G46" s="1026"/>
      <c r="H46" s="1942">
        <f t="shared" si="16"/>
        <v>0</v>
      </c>
      <c r="I46" s="1026"/>
      <c r="J46" s="1942">
        <f t="shared" si="6"/>
        <v>0</v>
      </c>
      <c r="K46" s="1026"/>
      <c r="L46" s="1942">
        <f t="shared" si="17"/>
        <v>0</v>
      </c>
      <c r="M46" s="1942">
        <f t="shared" si="18"/>
        <v>0</v>
      </c>
      <c r="N46" s="1942">
        <f t="shared" si="19"/>
        <v>0</v>
      </c>
      <c r="O46" s="1026"/>
      <c r="P46" s="1026"/>
      <c r="Q46" s="1942">
        <f t="shared" si="20"/>
        <v>0</v>
      </c>
      <c r="R46" s="1942">
        <f t="shared" si="10"/>
        <v>0</v>
      </c>
      <c r="S46" s="1942">
        <f t="shared" si="21"/>
        <v>0</v>
      </c>
      <c r="T46" s="1942">
        <f t="shared" si="22"/>
        <v>0</v>
      </c>
      <c r="U46" s="1942">
        <f t="shared" si="23"/>
        <v>0</v>
      </c>
      <c r="V46" s="3035">
        <f t="shared" si="2"/>
        <v>0</v>
      </c>
      <c r="W46" s="1942"/>
      <c r="X46" s="193"/>
      <c r="Y46" s="193"/>
      <c r="Z46" s="193"/>
      <c r="AA46" s="193"/>
      <c r="AB46" s="193"/>
      <c r="AC46" s="193"/>
      <c r="AD46" s="193"/>
      <c r="AE46" s="193"/>
      <c r="AF46" s="193"/>
      <c r="AG46" s="193"/>
      <c r="AH46" s="193"/>
      <c r="AI46" s="193"/>
      <c r="AJ46" s="193"/>
      <c r="AK46" s="193"/>
      <c r="AL46" s="193"/>
      <c r="AM46" s="193"/>
      <c r="AN46" s="193"/>
      <c r="AO46" s="193"/>
      <c r="AP46" s="193"/>
      <c r="AQ46" s="193"/>
      <c r="AR46" s="193"/>
      <c r="AS46" s="193"/>
      <c r="AT46" s="193"/>
      <c r="AU46" s="193"/>
      <c r="AV46" s="193"/>
      <c r="AW46" s="193"/>
      <c r="AX46" s="193"/>
      <c r="AY46" s="193"/>
      <c r="AZ46" s="193"/>
      <c r="BA46" s="193"/>
      <c r="BB46" s="193"/>
      <c r="BC46" s="193"/>
      <c r="BD46" s="193"/>
      <c r="BE46" s="193"/>
      <c r="BF46" s="193"/>
      <c r="BG46" s="193"/>
      <c r="BH46" s="193"/>
      <c r="BI46" s="193"/>
      <c r="BJ46" s="193"/>
      <c r="BK46" s="193"/>
      <c r="BL46" s="193"/>
      <c r="BM46" s="193"/>
      <c r="BN46" s="193"/>
      <c r="BO46" s="193"/>
      <c r="BP46" s="193"/>
      <c r="BQ46" s="193"/>
      <c r="BR46" s="193"/>
      <c r="BS46" s="193"/>
      <c r="BT46" s="193"/>
      <c r="BU46" s="193"/>
      <c r="BV46" s="193"/>
      <c r="BW46" s="193"/>
      <c r="BX46" s="193"/>
      <c r="BY46" s="193"/>
      <c r="BZ46" s="193"/>
      <c r="CA46" s="193"/>
      <c r="CB46" s="193"/>
      <c r="CC46" s="193"/>
      <c r="CD46" s="193"/>
      <c r="CE46" s="193"/>
      <c r="CF46" s="193"/>
      <c r="CG46" s="193"/>
      <c r="CH46" s="193"/>
      <c r="CI46" s="193"/>
      <c r="CJ46" s="193"/>
      <c r="CK46" s="193"/>
      <c r="CL46" s="193"/>
      <c r="CM46" s="193"/>
      <c r="CN46" s="193"/>
      <c r="CO46" s="193"/>
      <c r="CP46" s="193"/>
      <c r="CQ46" s="193"/>
      <c r="CR46" s="193"/>
      <c r="CS46" s="193"/>
      <c r="CT46" s="193"/>
      <c r="CU46" s="193"/>
      <c r="CV46" s="193"/>
      <c r="CW46" s="193"/>
      <c r="CX46" s="193"/>
      <c r="CY46" s="193"/>
      <c r="CZ46" s="193"/>
      <c r="DA46" s="193"/>
      <c r="DB46" s="193"/>
      <c r="DC46" s="193"/>
      <c r="DD46" s="193"/>
      <c r="DE46" s="193"/>
      <c r="DF46" s="193"/>
      <c r="DG46" s="193"/>
      <c r="DH46" s="193"/>
      <c r="DI46" s="193"/>
      <c r="DJ46" s="193"/>
      <c r="DK46" s="193"/>
      <c r="DL46" s="193"/>
      <c r="DM46" s="193"/>
      <c r="DN46" s="193"/>
      <c r="DO46" s="193"/>
      <c r="DP46" s="193"/>
      <c r="DQ46" s="193"/>
      <c r="DR46" s="193"/>
      <c r="DS46" s="193"/>
      <c r="DT46" s="193"/>
      <c r="DU46" s="193"/>
      <c r="DV46" s="193"/>
      <c r="DW46" s="193"/>
      <c r="DX46" s="193"/>
      <c r="DY46" s="193"/>
      <c r="DZ46" s="193"/>
      <c r="EA46" s="193"/>
      <c r="EB46" s="193"/>
      <c r="EC46" s="193"/>
      <c r="ED46" s="193"/>
      <c r="EE46" s="193"/>
      <c r="EF46" s="193"/>
      <c r="EG46" s="193"/>
      <c r="EH46" s="193"/>
      <c r="EI46" s="193"/>
      <c r="EJ46" s="193"/>
      <c r="EK46" s="193"/>
      <c r="EL46" s="193"/>
      <c r="EM46" s="193"/>
      <c r="EN46" s="193"/>
      <c r="EO46" s="193"/>
      <c r="EP46" s="193"/>
      <c r="EQ46" s="193"/>
      <c r="ER46" s="193"/>
      <c r="ES46" s="193"/>
      <c r="ET46" s="193"/>
      <c r="EU46" s="193"/>
      <c r="EV46" s="193"/>
      <c r="EW46" s="193"/>
      <c r="EX46" s="193"/>
      <c r="EY46" s="193"/>
      <c r="EZ46" s="193"/>
      <c r="FA46" s="193"/>
      <c r="FB46" s="193"/>
      <c r="FC46" s="193"/>
      <c r="FD46" s="193"/>
      <c r="FE46" s="193"/>
      <c r="FF46" s="193"/>
      <c r="FG46" s="193"/>
      <c r="FH46" s="193"/>
      <c r="FI46" s="193"/>
      <c r="FJ46" s="193"/>
      <c r="FK46" s="193"/>
      <c r="FL46" s="193"/>
      <c r="FM46" s="193"/>
      <c r="FN46" s="193"/>
      <c r="FO46" s="193"/>
      <c r="FP46" s="193"/>
      <c r="FQ46" s="193"/>
      <c r="FR46" s="193"/>
      <c r="FS46" s="193"/>
      <c r="FT46" s="193"/>
      <c r="FU46" s="193"/>
      <c r="FV46" s="193"/>
      <c r="FW46" s="193"/>
      <c r="FX46" s="193"/>
      <c r="FY46" s="193"/>
      <c r="FZ46" s="193"/>
      <c r="GA46" s="193"/>
      <c r="GB46" s="193"/>
      <c r="GC46" s="193"/>
      <c r="GD46" s="193"/>
      <c r="GE46" s="193"/>
      <c r="GF46" s="193"/>
      <c r="GG46" s="193"/>
      <c r="GH46" s="193"/>
      <c r="GI46" s="193"/>
      <c r="GJ46" s="193"/>
      <c r="GK46" s="193"/>
      <c r="GL46" s="193"/>
      <c r="GM46" s="193"/>
      <c r="GN46" s="193"/>
      <c r="GO46" s="193"/>
      <c r="GP46" s="193"/>
      <c r="GQ46" s="193"/>
      <c r="GR46" s="193"/>
      <c r="GS46" s="193"/>
      <c r="GT46" s="193"/>
      <c r="GU46" s="193"/>
      <c r="GV46" s="193"/>
      <c r="GW46" s="193"/>
      <c r="GX46" s="193"/>
      <c r="GY46" s="193"/>
      <c r="GZ46" s="193"/>
      <c r="HA46" s="193"/>
      <c r="HB46" s="193"/>
      <c r="HC46" s="193"/>
      <c r="HD46" s="193"/>
      <c r="HE46" s="193"/>
      <c r="HF46" s="193"/>
      <c r="HG46" s="193"/>
      <c r="HH46" s="193"/>
      <c r="HI46" s="193"/>
      <c r="HJ46" s="193"/>
      <c r="HK46" s="193"/>
      <c r="HL46" s="193"/>
      <c r="HM46" s="193"/>
      <c r="HN46" s="193"/>
      <c r="HO46" s="193"/>
      <c r="HP46" s="193"/>
      <c r="HQ46" s="193"/>
      <c r="HR46" s="193"/>
      <c r="HS46" s="193"/>
      <c r="HT46" s="193"/>
      <c r="HU46" s="193"/>
      <c r="HV46" s="193"/>
      <c r="HW46" s="193"/>
      <c r="HX46" s="193"/>
      <c r="HY46" s="193"/>
      <c r="HZ46" s="193"/>
      <c r="IA46" s="193"/>
      <c r="IB46" s="193"/>
      <c r="IC46" s="193"/>
      <c r="ID46" s="193"/>
      <c r="IE46" s="193"/>
      <c r="IF46" s="193"/>
      <c r="IG46" s="193"/>
      <c r="IH46" s="193"/>
      <c r="II46" s="193"/>
      <c r="IJ46" s="193"/>
      <c r="IK46" s="193"/>
      <c r="IL46" s="193"/>
      <c r="IM46" s="193"/>
      <c r="IN46" s="193"/>
      <c r="IO46" s="193"/>
      <c r="IP46" s="193"/>
      <c r="IQ46" s="193"/>
    </row>
    <row r="47" spans="1:251" hidden="1">
      <c r="A47" s="1026"/>
      <c r="B47" s="1955"/>
      <c r="C47" s="1955"/>
      <c r="D47" s="2034"/>
      <c r="E47" s="1955"/>
      <c r="F47" s="1942">
        <f>ROUNDUP((E47*$Q$5),-3)</f>
        <v>0</v>
      </c>
      <c r="G47" s="1026"/>
      <c r="H47" s="1942">
        <f>D47*F47*G47</f>
        <v>0</v>
      </c>
      <c r="I47" s="1026"/>
      <c r="J47" s="1942">
        <f>I47*$Q$4</f>
        <v>0</v>
      </c>
      <c r="K47" s="1026"/>
      <c r="L47" s="1942">
        <f>K47*F47</f>
        <v>0</v>
      </c>
      <c r="M47" s="1942">
        <f>D47*G47*(J47+L47)</f>
        <v>0</v>
      </c>
      <c r="N47" s="1942">
        <f>H47+M47</f>
        <v>0</v>
      </c>
      <c r="O47" s="1026"/>
      <c r="P47" s="1026"/>
      <c r="Q47" s="1942">
        <f>N47+O47+P47</f>
        <v>0</v>
      </c>
      <c r="R47" s="1942">
        <f>Q47*10%</f>
        <v>0</v>
      </c>
      <c r="S47" s="1942">
        <f>(Q47-R47)*10%</f>
        <v>0</v>
      </c>
      <c r="T47" s="1942">
        <f>(Q47-R47)*6%</f>
        <v>0</v>
      </c>
      <c r="U47" s="1942">
        <f>(Q47-R47)*5%</f>
        <v>0</v>
      </c>
      <c r="V47" s="3035">
        <f t="shared" si="2"/>
        <v>0</v>
      </c>
      <c r="W47" s="1942"/>
      <c r="X47" s="193"/>
      <c r="Y47" s="193"/>
      <c r="Z47" s="193"/>
      <c r="AA47" s="193"/>
      <c r="AB47" s="193"/>
      <c r="AC47" s="193"/>
      <c r="AD47" s="193"/>
      <c r="AE47" s="193"/>
      <c r="AF47" s="193"/>
      <c r="AG47" s="193"/>
      <c r="AH47" s="193"/>
      <c r="AI47" s="193"/>
      <c r="AJ47" s="193"/>
      <c r="AK47" s="193"/>
      <c r="AL47" s="193"/>
      <c r="AM47" s="193"/>
      <c r="AN47" s="193"/>
      <c r="AO47" s="193"/>
      <c r="AP47" s="193"/>
      <c r="AQ47" s="193"/>
      <c r="AR47" s="193"/>
      <c r="AS47" s="193"/>
      <c r="AT47" s="193"/>
      <c r="AU47" s="193"/>
      <c r="AV47" s="193"/>
      <c r="AW47" s="193"/>
      <c r="AX47" s="193"/>
      <c r="AY47" s="193"/>
      <c r="AZ47" s="193"/>
      <c r="BA47" s="193"/>
      <c r="BB47" s="193"/>
      <c r="BC47" s="193"/>
      <c r="BD47" s="193"/>
      <c r="BE47" s="193"/>
      <c r="BF47" s="193"/>
      <c r="BG47" s="193"/>
      <c r="BH47" s="193"/>
      <c r="BI47" s="193"/>
      <c r="BJ47" s="193"/>
      <c r="BK47" s="193"/>
      <c r="BL47" s="193"/>
      <c r="BM47" s="193"/>
      <c r="BN47" s="193"/>
      <c r="BO47" s="193"/>
      <c r="BP47" s="193"/>
      <c r="BQ47" s="193"/>
      <c r="BR47" s="193"/>
      <c r="BS47" s="193"/>
      <c r="BT47" s="193"/>
      <c r="BU47" s="193"/>
      <c r="BV47" s="193"/>
      <c r="BW47" s="193"/>
      <c r="BX47" s="193"/>
      <c r="BY47" s="193"/>
      <c r="BZ47" s="193"/>
      <c r="CA47" s="193"/>
      <c r="CB47" s="193"/>
      <c r="CC47" s="193"/>
      <c r="CD47" s="193"/>
      <c r="CE47" s="193"/>
      <c r="CF47" s="193"/>
      <c r="CG47" s="193"/>
      <c r="CH47" s="193"/>
      <c r="CI47" s="193"/>
      <c r="CJ47" s="193"/>
      <c r="CK47" s="193"/>
      <c r="CL47" s="193"/>
      <c r="CM47" s="193"/>
      <c r="CN47" s="193"/>
      <c r="CO47" s="193"/>
      <c r="CP47" s="193"/>
      <c r="CQ47" s="193"/>
      <c r="CR47" s="193"/>
      <c r="CS47" s="193"/>
      <c r="CT47" s="193"/>
      <c r="CU47" s="193"/>
      <c r="CV47" s="193"/>
      <c r="CW47" s="193"/>
      <c r="CX47" s="193"/>
      <c r="CY47" s="193"/>
      <c r="CZ47" s="193"/>
      <c r="DA47" s="193"/>
      <c r="DB47" s="193"/>
      <c r="DC47" s="193"/>
      <c r="DD47" s="193"/>
      <c r="DE47" s="193"/>
      <c r="DF47" s="193"/>
      <c r="DG47" s="193"/>
      <c r="DH47" s="193"/>
      <c r="DI47" s="193"/>
      <c r="DJ47" s="193"/>
      <c r="DK47" s="193"/>
      <c r="DL47" s="193"/>
      <c r="DM47" s="193"/>
      <c r="DN47" s="193"/>
      <c r="DO47" s="193"/>
      <c r="DP47" s="193"/>
      <c r="DQ47" s="193"/>
      <c r="DR47" s="193"/>
      <c r="DS47" s="193"/>
      <c r="DT47" s="193"/>
      <c r="DU47" s="193"/>
      <c r="DV47" s="193"/>
      <c r="DW47" s="193"/>
      <c r="DX47" s="193"/>
      <c r="DY47" s="193"/>
      <c r="DZ47" s="193"/>
      <c r="EA47" s="193"/>
      <c r="EB47" s="193"/>
      <c r="EC47" s="193"/>
      <c r="ED47" s="193"/>
      <c r="EE47" s="193"/>
      <c r="EF47" s="193"/>
      <c r="EG47" s="193"/>
      <c r="EH47" s="193"/>
      <c r="EI47" s="193"/>
      <c r="EJ47" s="193"/>
      <c r="EK47" s="193"/>
      <c r="EL47" s="193"/>
      <c r="EM47" s="193"/>
      <c r="EN47" s="193"/>
      <c r="EO47" s="193"/>
      <c r="EP47" s="193"/>
      <c r="EQ47" s="193"/>
      <c r="ER47" s="193"/>
      <c r="ES47" s="193"/>
      <c r="ET47" s="193"/>
      <c r="EU47" s="193"/>
      <c r="EV47" s="193"/>
      <c r="EW47" s="193"/>
      <c r="EX47" s="193"/>
      <c r="EY47" s="193"/>
      <c r="EZ47" s="193"/>
      <c r="FA47" s="193"/>
      <c r="FB47" s="193"/>
      <c r="FC47" s="193"/>
      <c r="FD47" s="193"/>
      <c r="FE47" s="193"/>
      <c r="FF47" s="193"/>
      <c r="FG47" s="193"/>
      <c r="FH47" s="193"/>
      <c r="FI47" s="193"/>
      <c r="FJ47" s="193"/>
      <c r="FK47" s="193"/>
      <c r="FL47" s="193"/>
      <c r="FM47" s="193"/>
      <c r="FN47" s="193"/>
      <c r="FO47" s="193"/>
      <c r="FP47" s="193"/>
      <c r="FQ47" s="193"/>
      <c r="FR47" s="193"/>
      <c r="FS47" s="193"/>
      <c r="FT47" s="193"/>
      <c r="FU47" s="193"/>
      <c r="FV47" s="193"/>
      <c r="FW47" s="193"/>
      <c r="FX47" s="193"/>
      <c r="FY47" s="193"/>
      <c r="FZ47" s="193"/>
      <c r="GA47" s="193"/>
      <c r="GB47" s="193"/>
      <c r="GC47" s="193"/>
      <c r="GD47" s="193"/>
      <c r="GE47" s="193"/>
      <c r="GF47" s="193"/>
      <c r="GG47" s="193"/>
      <c r="GH47" s="193"/>
      <c r="GI47" s="193"/>
      <c r="GJ47" s="193"/>
      <c r="GK47" s="193"/>
      <c r="GL47" s="193"/>
      <c r="GM47" s="193"/>
      <c r="GN47" s="193"/>
      <c r="GO47" s="193"/>
      <c r="GP47" s="193"/>
      <c r="GQ47" s="193"/>
      <c r="GR47" s="193"/>
      <c r="GS47" s="193"/>
      <c r="GT47" s="193"/>
      <c r="GU47" s="193"/>
      <c r="GV47" s="193"/>
      <c r="GW47" s="193"/>
      <c r="GX47" s="193"/>
      <c r="GY47" s="193"/>
      <c r="GZ47" s="193"/>
      <c r="HA47" s="193"/>
      <c r="HB47" s="193"/>
      <c r="HC47" s="193"/>
      <c r="HD47" s="193"/>
      <c r="HE47" s="193"/>
      <c r="HF47" s="193"/>
      <c r="HG47" s="193"/>
      <c r="HH47" s="193"/>
      <c r="HI47" s="193"/>
      <c r="HJ47" s="193"/>
      <c r="HK47" s="193"/>
      <c r="HL47" s="193"/>
      <c r="HM47" s="193"/>
      <c r="HN47" s="193"/>
      <c r="HO47" s="193"/>
      <c r="HP47" s="193"/>
      <c r="HQ47" s="193"/>
      <c r="HR47" s="193"/>
      <c r="HS47" s="193"/>
      <c r="HT47" s="193"/>
      <c r="HU47" s="193"/>
      <c r="HV47" s="193"/>
      <c r="HW47" s="193"/>
      <c r="HX47" s="193"/>
      <c r="HY47" s="193"/>
      <c r="HZ47" s="193"/>
      <c r="IA47" s="193"/>
      <c r="IB47" s="193"/>
      <c r="IC47" s="193"/>
      <c r="ID47" s="193"/>
      <c r="IE47" s="193"/>
      <c r="IF47" s="193"/>
      <c r="IG47" s="193"/>
      <c r="IH47" s="193"/>
      <c r="II47" s="193"/>
      <c r="IJ47" s="193"/>
      <c r="IK47" s="193"/>
      <c r="IL47" s="193"/>
      <c r="IM47" s="193"/>
      <c r="IN47" s="193"/>
      <c r="IO47" s="193"/>
      <c r="IP47" s="193"/>
      <c r="IQ47" s="193"/>
    </row>
    <row r="48" spans="1:251" hidden="1">
      <c r="A48" s="1026"/>
      <c r="B48" s="1955"/>
      <c r="C48" s="1955"/>
      <c r="D48" s="2034"/>
      <c r="E48" s="1955"/>
      <c r="F48" s="1942">
        <f t="shared" si="15"/>
        <v>0</v>
      </c>
      <c r="G48" s="1026"/>
      <c r="H48" s="1942">
        <f t="shared" ref="H48:H63" si="24">D48*F48*G48</f>
        <v>0</v>
      </c>
      <c r="I48" s="1026"/>
      <c r="J48" s="1942">
        <f t="shared" si="6"/>
        <v>0</v>
      </c>
      <c r="K48" s="1026"/>
      <c r="L48" s="1942">
        <f t="shared" ref="L48:L63" si="25">K48*F48</f>
        <v>0</v>
      </c>
      <c r="M48" s="1942">
        <f t="shared" ref="M48:M63" si="26">D48*G48*(J48+L48)</f>
        <v>0</v>
      </c>
      <c r="N48" s="1942">
        <f t="shared" ref="N48:N63" si="27">H48+M48</f>
        <v>0</v>
      </c>
      <c r="O48" s="1026"/>
      <c r="P48" s="1026"/>
      <c r="Q48" s="1942">
        <f t="shared" ref="Q48:Q63" si="28">N48+O48+P48</f>
        <v>0</v>
      </c>
      <c r="R48" s="1942">
        <f t="shared" si="10"/>
        <v>0</v>
      </c>
      <c r="S48" s="1942">
        <f t="shared" ref="S48:S63" si="29">(Q48-R48)*10%</f>
        <v>0</v>
      </c>
      <c r="T48" s="1942">
        <f t="shared" ref="T48:T63" si="30">(Q48-R48)*6%</f>
        <v>0</v>
      </c>
      <c r="U48" s="1942">
        <f t="shared" ref="U48:U63" si="31">(Q48-R48)*5%</f>
        <v>0</v>
      </c>
      <c r="V48" s="3035">
        <f t="shared" si="2"/>
        <v>0</v>
      </c>
      <c r="W48" s="1942"/>
      <c r="X48" s="193"/>
      <c r="Y48" s="193"/>
      <c r="Z48" s="193"/>
      <c r="AA48" s="193"/>
      <c r="AB48" s="193"/>
      <c r="AC48" s="193"/>
      <c r="AD48" s="193"/>
      <c r="AE48" s="193"/>
      <c r="AF48" s="193"/>
      <c r="AG48" s="193"/>
      <c r="AH48" s="193"/>
      <c r="AI48" s="193"/>
      <c r="AJ48" s="193"/>
      <c r="AK48" s="193"/>
      <c r="AL48" s="193"/>
      <c r="AM48" s="193"/>
      <c r="AN48" s="193"/>
      <c r="AO48" s="193"/>
      <c r="AP48" s="193"/>
      <c r="AQ48" s="193"/>
      <c r="AR48" s="193"/>
      <c r="AS48" s="193"/>
      <c r="AT48" s="193"/>
      <c r="AU48" s="193"/>
      <c r="AV48" s="193"/>
      <c r="AW48" s="193"/>
      <c r="AX48" s="193"/>
      <c r="AY48" s="193"/>
      <c r="AZ48" s="193"/>
      <c r="BA48" s="193"/>
      <c r="BB48" s="193"/>
      <c r="BC48" s="193"/>
      <c r="BD48" s="193"/>
      <c r="BE48" s="193"/>
      <c r="BF48" s="193"/>
      <c r="BG48" s="193"/>
      <c r="BH48" s="193"/>
      <c r="BI48" s="193"/>
      <c r="BJ48" s="193"/>
      <c r="BK48" s="193"/>
      <c r="BL48" s="193"/>
      <c r="BM48" s="193"/>
      <c r="BN48" s="193"/>
      <c r="BO48" s="193"/>
      <c r="BP48" s="193"/>
      <c r="BQ48" s="193"/>
      <c r="BR48" s="193"/>
      <c r="BS48" s="193"/>
      <c r="BT48" s="193"/>
      <c r="BU48" s="193"/>
      <c r="BV48" s="193"/>
      <c r="BW48" s="193"/>
      <c r="BX48" s="193"/>
      <c r="BY48" s="193"/>
      <c r="BZ48" s="193"/>
      <c r="CA48" s="193"/>
      <c r="CB48" s="193"/>
      <c r="CC48" s="193"/>
      <c r="CD48" s="193"/>
      <c r="CE48" s="193"/>
      <c r="CF48" s="193"/>
      <c r="CG48" s="193"/>
      <c r="CH48" s="193"/>
      <c r="CI48" s="193"/>
      <c r="CJ48" s="193"/>
      <c r="CK48" s="193"/>
      <c r="CL48" s="193"/>
      <c r="CM48" s="193"/>
      <c r="CN48" s="193"/>
      <c r="CO48" s="193"/>
      <c r="CP48" s="193"/>
      <c r="CQ48" s="193"/>
      <c r="CR48" s="193"/>
      <c r="CS48" s="193"/>
      <c r="CT48" s="193"/>
      <c r="CU48" s="193"/>
      <c r="CV48" s="193"/>
      <c r="CW48" s="193"/>
      <c r="CX48" s="193"/>
      <c r="CY48" s="193"/>
      <c r="CZ48" s="193"/>
      <c r="DA48" s="193"/>
      <c r="DB48" s="193"/>
      <c r="DC48" s="193"/>
      <c r="DD48" s="193"/>
      <c r="DE48" s="193"/>
      <c r="DF48" s="193"/>
      <c r="DG48" s="193"/>
      <c r="DH48" s="193"/>
      <c r="DI48" s="193"/>
      <c r="DJ48" s="193"/>
      <c r="DK48" s="193"/>
      <c r="DL48" s="193"/>
      <c r="DM48" s="193"/>
      <c r="DN48" s="193"/>
      <c r="DO48" s="193"/>
      <c r="DP48" s="193"/>
      <c r="DQ48" s="193"/>
      <c r="DR48" s="193"/>
      <c r="DS48" s="193"/>
      <c r="DT48" s="193"/>
      <c r="DU48" s="193"/>
      <c r="DV48" s="193"/>
      <c r="DW48" s="193"/>
      <c r="DX48" s="193"/>
      <c r="DY48" s="193"/>
      <c r="DZ48" s="193"/>
      <c r="EA48" s="193"/>
      <c r="EB48" s="193"/>
      <c r="EC48" s="193"/>
      <c r="ED48" s="193"/>
      <c r="EE48" s="193"/>
      <c r="EF48" s="193"/>
      <c r="EG48" s="193"/>
      <c r="EH48" s="193"/>
      <c r="EI48" s="193"/>
      <c r="EJ48" s="193"/>
      <c r="EK48" s="193"/>
      <c r="EL48" s="193"/>
      <c r="EM48" s="193"/>
      <c r="EN48" s="193"/>
      <c r="EO48" s="193"/>
      <c r="EP48" s="193"/>
      <c r="EQ48" s="193"/>
      <c r="ER48" s="193"/>
      <c r="ES48" s="193"/>
      <c r="ET48" s="193"/>
      <c r="EU48" s="193"/>
      <c r="EV48" s="193"/>
      <c r="EW48" s="193"/>
      <c r="EX48" s="193"/>
      <c r="EY48" s="193"/>
      <c r="EZ48" s="193"/>
      <c r="FA48" s="193"/>
      <c r="FB48" s="193"/>
      <c r="FC48" s="193"/>
      <c r="FD48" s="193"/>
      <c r="FE48" s="193"/>
      <c r="FF48" s="193"/>
      <c r="FG48" s="193"/>
      <c r="FH48" s="193"/>
      <c r="FI48" s="193"/>
      <c r="FJ48" s="193"/>
      <c r="FK48" s="193"/>
      <c r="FL48" s="193"/>
      <c r="FM48" s="193"/>
      <c r="FN48" s="193"/>
      <c r="FO48" s="193"/>
      <c r="FP48" s="193"/>
      <c r="FQ48" s="193"/>
      <c r="FR48" s="193"/>
      <c r="FS48" s="193"/>
      <c r="FT48" s="193"/>
      <c r="FU48" s="193"/>
      <c r="FV48" s="193"/>
      <c r="FW48" s="193"/>
      <c r="FX48" s="193"/>
      <c r="FY48" s="193"/>
      <c r="FZ48" s="193"/>
      <c r="GA48" s="193"/>
      <c r="GB48" s="193"/>
      <c r="GC48" s="193"/>
      <c r="GD48" s="193"/>
      <c r="GE48" s="193"/>
      <c r="GF48" s="193"/>
      <c r="GG48" s="193"/>
      <c r="GH48" s="193"/>
      <c r="GI48" s="193"/>
      <c r="GJ48" s="193"/>
      <c r="GK48" s="193"/>
      <c r="GL48" s="193"/>
      <c r="GM48" s="193"/>
      <c r="GN48" s="193"/>
      <c r="GO48" s="193"/>
      <c r="GP48" s="193"/>
      <c r="GQ48" s="193"/>
      <c r="GR48" s="193"/>
      <c r="GS48" s="193"/>
      <c r="GT48" s="193"/>
      <c r="GU48" s="193"/>
      <c r="GV48" s="193"/>
      <c r="GW48" s="193"/>
      <c r="GX48" s="193"/>
      <c r="GY48" s="193"/>
      <c r="GZ48" s="193"/>
      <c r="HA48" s="193"/>
      <c r="HB48" s="193"/>
      <c r="HC48" s="193"/>
      <c r="HD48" s="193"/>
      <c r="HE48" s="193"/>
      <c r="HF48" s="193"/>
      <c r="HG48" s="193"/>
      <c r="HH48" s="193"/>
      <c r="HI48" s="193"/>
      <c r="HJ48" s="193"/>
      <c r="HK48" s="193"/>
      <c r="HL48" s="193"/>
      <c r="HM48" s="193"/>
      <c r="HN48" s="193"/>
      <c r="HO48" s="193"/>
      <c r="HP48" s="193"/>
      <c r="HQ48" s="193"/>
      <c r="HR48" s="193"/>
      <c r="HS48" s="193"/>
      <c r="HT48" s="193"/>
      <c r="HU48" s="193"/>
      <c r="HV48" s="193"/>
      <c r="HW48" s="193"/>
      <c r="HX48" s="193"/>
      <c r="HY48" s="193"/>
      <c r="HZ48" s="193"/>
      <c r="IA48" s="193"/>
      <c r="IB48" s="193"/>
      <c r="IC48" s="193"/>
      <c r="ID48" s="193"/>
      <c r="IE48" s="193"/>
      <c r="IF48" s="193"/>
      <c r="IG48" s="193"/>
      <c r="IH48" s="193"/>
      <c r="II48" s="193"/>
      <c r="IJ48" s="193"/>
      <c r="IK48" s="193"/>
      <c r="IL48" s="193"/>
      <c r="IM48" s="193"/>
      <c r="IN48" s="193"/>
      <c r="IO48" s="193"/>
      <c r="IP48" s="193"/>
      <c r="IQ48" s="193"/>
    </row>
    <row r="49" spans="1:251" hidden="1">
      <c r="A49" s="1026"/>
      <c r="B49" s="1955"/>
      <c r="C49" s="1955"/>
      <c r="D49" s="2034"/>
      <c r="E49" s="1955"/>
      <c r="F49" s="1942">
        <f t="shared" si="15"/>
        <v>0</v>
      </c>
      <c r="G49" s="1026"/>
      <c r="H49" s="1942">
        <f t="shared" si="24"/>
        <v>0</v>
      </c>
      <c r="I49" s="1026"/>
      <c r="J49" s="1942">
        <f t="shared" si="6"/>
        <v>0</v>
      </c>
      <c r="K49" s="1026"/>
      <c r="L49" s="1942">
        <f t="shared" si="25"/>
        <v>0</v>
      </c>
      <c r="M49" s="1942">
        <f t="shared" si="26"/>
        <v>0</v>
      </c>
      <c r="N49" s="1942">
        <f t="shared" si="27"/>
        <v>0</v>
      </c>
      <c r="O49" s="1026"/>
      <c r="P49" s="1026"/>
      <c r="Q49" s="1942">
        <f t="shared" si="28"/>
        <v>0</v>
      </c>
      <c r="R49" s="1942">
        <f t="shared" si="10"/>
        <v>0</v>
      </c>
      <c r="S49" s="1942">
        <f t="shared" si="29"/>
        <v>0</v>
      </c>
      <c r="T49" s="1942">
        <f t="shared" si="30"/>
        <v>0</v>
      </c>
      <c r="U49" s="1942">
        <f t="shared" si="31"/>
        <v>0</v>
      </c>
      <c r="V49" s="3035">
        <f t="shared" si="2"/>
        <v>0</v>
      </c>
      <c r="W49" s="1942"/>
      <c r="X49" s="193"/>
      <c r="Y49" s="193"/>
      <c r="Z49" s="193"/>
      <c r="AA49" s="193"/>
      <c r="AB49" s="193"/>
      <c r="AC49" s="193"/>
      <c r="AD49" s="193"/>
      <c r="AE49" s="193"/>
      <c r="AF49" s="193"/>
      <c r="AG49" s="193"/>
      <c r="AH49" s="193"/>
      <c r="AI49" s="193"/>
      <c r="AJ49" s="193"/>
      <c r="AK49" s="193"/>
      <c r="AL49" s="193"/>
      <c r="AM49" s="193"/>
      <c r="AN49" s="193"/>
      <c r="AO49" s="193"/>
      <c r="AP49" s="193"/>
      <c r="AQ49" s="193"/>
      <c r="AR49" s="193"/>
      <c r="AS49" s="193"/>
      <c r="AT49" s="193"/>
      <c r="AU49" s="193"/>
      <c r="AV49" s="193"/>
      <c r="AW49" s="193"/>
      <c r="AX49" s="193"/>
      <c r="AY49" s="193"/>
      <c r="AZ49" s="193"/>
      <c r="BA49" s="193"/>
      <c r="BB49" s="193"/>
      <c r="BC49" s="193"/>
      <c r="BD49" s="193"/>
      <c r="BE49" s="193"/>
      <c r="BF49" s="193"/>
      <c r="BG49" s="193"/>
      <c r="BH49" s="193"/>
      <c r="BI49" s="193"/>
      <c r="BJ49" s="193"/>
      <c r="BK49" s="193"/>
      <c r="BL49" s="193"/>
      <c r="BM49" s="193"/>
      <c r="BN49" s="193"/>
      <c r="BO49" s="193"/>
      <c r="BP49" s="193"/>
      <c r="BQ49" s="193"/>
      <c r="BR49" s="193"/>
      <c r="BS49" s="193"/>
      <c r="BT49" s="193"/>
      <c r="BU49" s="193"/>
      <c r="BV49" s="193"/>
      <c r="BW49" s="193"/>
      <c r="BX49" s="193"/>
      <c r="BY49" s="193"/>
      <c r="BZ49" s="193"/>
      <c r="CA49" s="193"/>
      <c r="CB49" s="193"/>
      <c r="CC49" s="193"/>
      <c r="CD49" s="193"/>
      <c r="CE49" s="193"/>
      <c r="CF49" s="193"/>
      <c r="CG49" s="193"/>
      <c r="CH49" s="193"/>
      <c r="CI49" s="193"/>
      <c r="CJ49" s="193"/>
      <c r="CK49" s="193"/>
      <c r="CL49" s="193"/>
      <c r="CM49" s="193"/>
      <c r="CN49" s="193"/>
      <c r="CO49" s="193"/>
      <c r="CP49" s="193"/>
      <c r="CQ49" s="193"/>
      <c r="CR49" s="193"/>
      <c r="CS49" s="193"/>
      <c r="CT49" s="193"/>
      <c r="CU49" s="193"/>
      <c r="CV49" s="193"/>
      <c r="CW49" s="193"/>
      <c r="CX49" s="193"/>
      <c r="CY49" s="193"/>
      <c r="CZ49" s="193"/>
      <c r="DA49" s="193"/>
      <c r="DB49" s="193"/>
      <c r="DC49" s="193"/>
      <c r="DD49" s="193"/>
      <c r="DE49" s="193"/>
      <c r="DF49" s="193"/>
      <c r="DG49" s="193"/>
      <c r="DH49" s="193"/>
      <c r="DI49" s="193"/>
      <c r="DJ49" s="193"/>
      <c r="DK49" s="193"/>
      <c r="DL49" s="193"/>
      <c r="DM49" s="193"/>
      <c r="DN49" s="193"/>
      <c r="DO49" s="193"/>
      <c r="DP49" s="193"/>
      <c r="DQ49" s="193"/>
      <c r="DR49" s="193"/>
      <c r="DS49" s="193"/>
      <c r="DT49" s="193"/>
      <c r="DU49" s="193"/>
      <c r="DV49" s="193"/>
      <c r="DW49" s="193"/>
      <c r="DX49" s="193"/>
      <c r="DY49" s="193"/>
      <c r="DZ49" s="193"/>
      <c r="EA49" s="193"/>
      <c r="EB49" s="193"/>
      <c r="EC49" s="193"/>
      <c r="ED49" s="193"/>
      <c r="EE49" s="193"/>
      <c r="EF49" s="193"/>
      <c r="EG49" s="193"/>
      <c r="EH49" s="193"/>
      <c r="EI49" s="193"/>
      <c r="EJ49" s="193"/>
      <c r="EK49" s="193"/>
      <c r="EL49" s="193"/>
      <c r="EM49" s="193"/>
      <c r="EN49" s="193"/>
      <c r="EO49" s="193"/>
      <c r="EP49" s="193"/>
      <c r="EQ49" s="193"/>
      <c r="ER49" s="193"/>
      <c r="ES49" s="193"/>
      <c r="ET49" s="193"/>
      <c r="EU49" s="193"/>
      <c r="EV49" s="193"/>
      <c r="EW49" s="193"/>
      <c r="EX49" s="193"/>
      <c r="EY49" s="193"/>
      <c r="EZ49" s="193"/>
      <c r="FA49" s="193"/>
      <c r="FB49" s="193"/>
      <c r="FC49" s="193"/>
      <c r="FD49" s="193"/>
      <c r="FE49" s="193"/>
      <c r="FF49" s="193"/>
      <c r="FG49" s="193"/>
      <c r="FH49" s="193"/>
      <c r="FI49" s="193"/>
      <c r="FJ49" s="193"/>
      <c r="FK49" s="193"/>
      <c r="FL49" s="193"/>
      <c r="FM49" s="193"/>
      <c r="FN49" s="193"/>
      <c r="FO49" s="193"/>
      <c r="FP49" s="193"/>
      <c r="FQ49" s="193"/>
      <c r="FR49" s="193"/>
      <c r="FS49" s="193"/>
      <c r="FT49" s="193"/>
      <c r="FU49" s="193"/>
      <c r="FV49" s="193"/>
      <c r="FW49" s="193"/>
      <c r="FX49" s="193"/>
      <c r="FY49" s="193"/>
      <c r="FZ49" s="193"/>
      <c r="GA49" s="193"/>
      <c r="GB49" s="193"/>
      <c r="GC49" s="193"/>
      <c r="GD49" s="193"/>
      <c r="GE49" s="193"/>
      <c r="GF49" s="193"/>
      <c r="GG49" s="193"/>
      <c r="GH49" s="193"/>
      <c r="GI49" s="193"/>
      <c r="GJ49" s="193"/>
      <c r="GK49" s="193"/>
      <c r="GL49" s="193"/>
      <c r="GM49" s="193"/>
      <c r="GN49" s="193"/>
      <c r="GO49" s="193"/>
      <c r="GP49" s="193"/>
      <c r="GQ49" s="193"/>
      <c r="GR49" s="193"/>
      <c r="GS49" s="193"/>
      <c r="GT49" s="193"/>
      <c r="GU49" s="193"/>
      <c r="GV49" s="193"/>
      <c r="GW49" s="193"/>
      <c r="GX49" s="193"/>
      <c r="GY49" s="193"/>
      <c r="GZ49" s="193"/>
      <c r="HA49" s="193"/>
      <c r="HB49" s="193"/>
      <c r="HC49" s="193"/>
      <c r="HD49" s="193"/>
      <c r="HE49" s="193"/>
      <c r="HF49" s="193"/>
      <c r="HG49" s="193"/>
      <c r="HH49" s="193"/>
      <c r="HI49" s="193"/>
      <c r="HJ49" s="193"/>
      <c r="HK49" s="193"/>
      <c r="HL49" s="193"/>
      <c r="HM49" s="193"/>
      <c r="HN49" s="193"/>
      <c r="HO49" s="193"/>
      <c r="HP49" s="193"/>
      <c r="HQ49" s="193"/>
      <c r="HR49" s="193"/>
      <c r="HS49" s="193"/>
      <c r="HT49" s="193"/>
      <c r="HU49" s="193"/>
      <c r="HV49" s="193"/>
      <c r="HW49" s="193"/>
      <c r="HX49" s="193"/>
      <c r="HY49" s="193"/>
      <c r="HZ49" s="193"/>
      <c r="IA49" s="193"/>
      <c r="IB49" s="193"/>
      <c r="IC49" s="193"/>
      <c r="ID49" s="193"/>
      <c r="IE49" s="193"/>
      <c r="IF49" s="193"/>
      <c r="IG49" s="193"/>
      <c r="IH49" s="193"/>
      <c r="II49" s="193"/>
      <c r="IJ49" s="193"/>
      <c r="IK49" s="193"/>
      <c r="IL49" s="193"/>
      <c r="IM49" s="193"/>
      <c r="IN49" s="193"/>
      <c r="IO49" s="193"/>
      <c r="IP49" s="193"/>
      <c r="IQ49" s="193"/>
    </row>
    <row r="50" spans="1:251" hidden="1">
      <c r="A50" s="1026"/>
      <c r="B50" s="1955"/>
      <c r="C50" s="1955"/>
      <c r="D50" s="2034"/>
      <c r="E50" s="1955"/>
      <c r="F50" s="1942">
        <f t="shared" si="15"/>
        <v>0</v>
      </c>
      <c r="G50" s="1026"/>
      <c r="H50" s="1942">
        <f t="shared" si="24"/>
        <v>0</v>
      </c>
      <c r="I50" s="1026"/>
      <c r="J50" s="1942">
        <f t="shared" si="6"/>
        <v>0</v>
      </c>
      <c r="K50" s="1026"/>
      <c r="L50" s="1942">
        <f t="shared" si="25"/>
        <v>0</v>
      </c>
      <c r="M50" s="1942">
        <f t="shared" si="26"/>
        <v>0</v>
      </c>
      <c r="N50" s="1942">
        <f t="shared" si="27"/>
        <v>0</v>
      </c>
      <c r="O50" s="1026"/>
      <c r="P50" s="1026"/>
      <c r="Q50" s="1942">
        <f t="shared" si="28"/>
        <v>0</v>
      </c>
      <c r="R50" s="1942">
        <f t="shared" si="10"/>
        <v>0</v>
      </c>
      <c r="S50" s="1942">
        <f t="shared" si="29"/>
        <v>0</v>
      </c>
      <c r="T50" s="1942">
        <f t="shared" si="30"/>
        <v>0</v>
      </c>
      <c r="U50" s="1942">
        <f t="shared" si="31"/>
        <v>0</v>
      </c>
      <c r="V50" s="3035">
        <f t="shared" si="2"/>
        <v>0</v>
      </c>
      <c r="W50" s="1942"/>
      <c r="X50" s="193"/>
      <c r="Y50" s="193"/>
      <c r="Z50" s="193"/>
      <c r="AA50" s="193"/>
      <c r="AB50" s="193"/>
      <c r="AC50" s="193"/>
      <c r="AD50" s="193"/>
      <c r="AE50" s="193"/>
      <c r="AF50" s="193"/>
      <c r="AG50" s="193"/>
      <c r="AH50" s="193"/>
      <c r="AI50" s="193"/>
      <c r="AJ50" s="193"/>
      <c r="AK50" s="193"/>
      <c r="AL50" s="193"/>
      <c r="AM50" s="193"/>
      <c r="AN50" s="193"/>
      <c r="AO50" s="193"/>
      <c r="AP50" s="193"/>
      <c r="AQ50" s="193"/>
      <c r="AR50" s="193"/>
      <c r="AS50" s="193"/>
      <c r="AT50" s="193"/>
      <c r="AU50" s="193"/>
      <c r="AV50" s="193"/>
      <c r="AW50" s="193"/>
      <c r="AX50" s="193"/>
      <c r="AY50" s="193"/>
      <c r="AZ50" s="193"/>
      <c r="BA50" s="193"/>
      <c r="BB50" s="193"/>
      <c r="BC50" s="193"/>
      <c r="BD50" s="193"/>
      <c r="BE50" s="193"/>
      <c r="BF50" s="193"/>
      <c r="BG50" s="193"/>
      <c r="BH50" s="193"/>
      <c r="BI50" s="193"/>
      <c r="BJ50" s="193"/>
      <c r="BK50" s="193"/>
      <c r="BL50" s="193"/>
      <c r="BM50" s="193"/>
      <c r="BN50" s="193"/>
      <c r="BO50" s="193"/>
      <c r="BP50" s="193"/>
      <c r="BQ50" s="193"/>
      <c r="BR50" s="193"/>
      <c r="BS50" s="193"/>
      <c r="BT50" s="193"/>
      <c r="BU50" s="193"/>
      <c r="BV50" s="193"/>
      <c r="BW50" s="193"/>
      <c r="BX50" s="193"/>
      <c r="BY50" s="193"/>
      <c r="BZ50" s="193"/>
      <c r="CA50" s="193"/>
      <c r="CB50" s="193"/>
      <c r="CC50" s="193"/>
      <c r="CD50" s="193"/>
      <c r="CE50" s="193"/>
      <c r="CF50" s="193"/>
      <c r="CG50" s="193"/>
      <c r="CH50" s="193"/>
      <c r="CI50" s="193"/>
      <c r="CJ50" s="193"/>
      <c r="CK50" s="193"/>
      <c r="CL50" s="193"/>
      <c r="CM50" s="193"/>
      <c r="CN50" s="193"/>
      <c r="CO50" s="193"/>
      <c r="CP50" s="193"/>
      <c r="CQ50" s="193"/>
      <c r="CR50" s="193"/>
      <c r="CS50" s="193"/>
      <c r="CT50" s="193"/>
      <c r="CU50" s="193"/>
      <c r="CV50" s="193"/>
      <c r="CW50" s="193"/>
      <c r="CX50" s="193"/>
      <c r="CY50" s="193"/>
      <c r="CZ50" s="193"/>
      <c r="DA50" s="193"/>
      <c r="DB50" s="193"/>
      <c r="DC50" s="193"/>
      <c r="DD50" s="193"/>
      <c r="DE50" s="193"/>
      <c r="DF50" s="193"/>
      <c r="DG50" s="193"/>
      <c r="DH50" s="193"/>
      <c r="DI50" s="193"/>
      <c r="DJ50" s="193"/>
      <c r="DK50" s="193"/>
      <c r="DL50" s="193"/>
      <c r="DM50" s="193"/>
      <c r="DN50" s="193"/>
      <c r="DO50" s="193"/>
      <c r="DP50" s="193"/>
      <c r="DQ50" s="193"/>
      <c r="DR50" s="193"/>
      <c r="DS50" s="193"/>
      <c r="DT50" s="193"/>
      <c r="DU50" s="193"/>
      <c r="DV50" s="193"/>
      <c r="DW50" s="193"/>
      <c r="DX50" s="193"/>
      <c r="DY50" s="193"/>
      <c r="DZ50" s="193"/>
      <c r="EA50" s="193"/>
      <c r="EB50" s="193"/>
      <c r="EC50" s="193"/>
      <c r="ED50" s="193"/>
      <c r="EE50" s="193"/>
      <c r="EF50" s="193"/>
      <c r="EG50" s="193"/>
      <c r="EH50" s="193"/>
      <c r="EI50" s="193"/>
      <c r="EJ50" s="193"/>
      <c r="EK50" s="193"/>
      <c r="EL50" s="193"/>
      <c r="EM50" s="193"/>
      <c r="EN50" s="193"/>
      <c r="EO50" s="193"/>
      <c r="EP50" s="193"/>
      <c r="EQ50" s="193"/>
      <c r="ER50" s="193"/>
      <c r="ES50" s="193"/>
      <c r="ET50" s="193"/>
      <c r="EU50" s="193"/>
      <c r="EV50" s="193"/>
      <c r="EW50" s="193"/>
      <c r="EX50" s="193"/>
      <c r="EY50" s="193"/>
      <c r="EZ50" s="193"/>
      <c r="FA50" s="193"/>
      <c r="FB50" s="193"/>
      <c r="FC50" s="193"/>
      <c r="FD50" s="193"/>
      <c r="FE50" s="193"/>
      <c r="FF50" s="193"/>
      <c r="FG50" s="193"/>
      <c r="FH50" s="193"/>
      <c r="FI50" s="193"/>
      <c r="FJ50" s="193"/>
      <c r="FK50" s="193"/>
      <c r="FL50" s="193"/>
      <c r="FM50" s="193"/>
      <c r="FN50" s="193"/>
      <c r="FO50" s="193"/>
      <c r="FP50" s="193"/>
      <c r="FQ50" s="193"/>
      <c r="FR50" s="193"/>
      <c r="FS50" s="193"/>
      <c r="FT50" s="193"/>
      <c r="FU50" s="193"/>
      <c r="FV50" s="193"/>
      <c r="FW50" s="193"/>
      <c r="FX50" s="193"/>
      <c r="FY50" s="193"/>
      <c r="FZ50" s="193"/>
      <c r="GA50" s="193"/>
      <c r="GB50" s="193"/>
      <c r="GC50" s="193"/>
      <c r="GD50" s="193"/>
      <c r="GE50" s="193"/>
      <c r="GF50" s="193"/>
      <c r="GG50" s="193"/>
      <c r="GH50" s="193"/>
      <c r="GI50" s="193"/>
      <c r="GJ50" s="193"/>
      <c r="GK50" s="193"/>
      <c r="GL50" s="193"/>
      <c r="GM50" s="193"/>
      <c r="GN50" s="193"/>
      <c r="GO50" s="193"/>
      <c r="GP50" s="193"/>
      <c r="GQ50" s="193"/>
      <c r="GR50" s="193"/>
      <c r="GS50" s="193"/>
      <c r="GT50" s="193"/>
      <c r="GU50" s="193"/>
      <c r="GV50" s="193"/>
      <c r="GW50" s="193"/>
      <c r="GX50" s="193"/>
      <c r="GY50" s="193"/>
      <c r="GZ50" s="193"/>
      <c r="HA50" s="193"/>
      <c r="HB50" s="193"/>
      <c r="HC50" s="193"/>
      <c r="HD50" s="193"/>
      <c r="HE50" s="193"/>
      <c r="HF50" s="193"/>
      <c r="HG50" s="193"/>
      <c r="HH50" s="193"/>
      <c r="HI50" s="193"/>
      <c r="HJ50" s="193"/>
      <c r="HK50" s="193"/>
      <c r="HL50" s="193"/>
      <c r="HM50" s="193"/>
      <c r="HN50" s="193"/>
      <c r="HO50" s="193"/>
      <c r="HP50" s="193"/>
      <c r="HQ50" s="193"/>
      <c r="HR50" s="193"/>
      <c r="HS50" s="193"/>
      <c r="HT50" s="193"/>
      <c r="HU50" s="193"/>
      <c r="HV50" s="193"/>
      <c r="HW50" s="193"/>
      <c r="HX50" s="193"/>
      <c r="HY50" s="193"/>
      <c r="HZ50" s="193"/>
      <c r="IA50" s="193"/>
      <c r="IB50" s="193"/>
      <c r="IC50" s="193"/>
      <c r="ID50" s="193"/>
      <c r="IE50" s="193"/>
      <c r="IF50" s="193"/>
      <c r="IG50" s="193"/>
      <c r="IH50" s="193"/>
      <c r="II50" s="193"/>
      <c r="IJ50" s="193"/>
      <c r="IK50" s="193"/>
      <c r="IL50" s="193"/>
      <c r="IM50" s="193"/>
      <c r="IN50" s="193"/>
      <c r="IO50" s="193"/>
      <c r="IP50" s="193"/>
      <c r="IQ50" s="193"/>
    </row>
    <row r="51" spans="1:251" hidden="1">
      <c r="A51" s="1026"/>
      <c r="B51" s="1955"/>
      <c r="C51" s="1955"/>
      <c r="D51" s="2034"/>
      <c r="E51" s="1955"/>
      <c r="F51" s="1942">
        <f t="shared" si="15"/>
        <v>0</v>
      </c>
      <c r="G51" s="1026"/>
      <c r="H51" s="1942">
        <f t="shared" si="24"/>
        <v>0</v>
      </c>
      <c r="I51" s="1026"/>
      <c r="J51" s="1942">
        <f t="shared" si="6"/>
        <v>0</v>
      </c>
      <c r="K51" s="1026"/>
      <c r="L51" s="1942">
        <f t="shared" si="25"/>
        <v>0</v>
      </c>
      <c r="M51" s="1942">
        <f t="shared" si="26"/>
        <v>0</v>
      </c>
      <c r="N51" s="1942">
        <f t="shared" si="27"/>
        <v>0</v>
      </c>
      <c r="O51" s="1026"/>
      <c r="P51" s="1026"/>
      <c r="Q51" s="1942">
        <f t="shared" si="28"/>
        <v>0</v>
      </c>
      <c r="R51" s="1942">
        <f t="shared" si="10"/>
        <v>0</v>
      </c>
      <c r="S51" s="1942">
        <f t="shared" si="29"/>
        <v>0</v>
      </c>
      <c r="T51" s="1942">
        <f t="shared" si="30"/>
        <v>0</v>
      </c>
      <c r="U51" s="1942">
        <f t="shared" si="31"/>
        <v>0</v>
      </c>
      <c r="V51" s="3035">
        <f t="shared" si="2"/>
        <v>0</v>
      </c>
      <c r="W51" s="1942"/>
      <c r="X51" s="193"/>
      <c r="Y51" s="193"/>
      <c r="Z51" s="193"/>
      <c r="AA51" s="193"/>
      <c r="AB51" s="193"/>
      <c r="AC51" s="193"/>
      <c r="AD51" s="193"/>
      <c r="AE51" s="193"/>
      <c r="AF51" s="193"/>
      <c r="AG51" s="193"/>
      <c r="AH51" s="193"/>
      <c r="AI51" s="193"/>
      <c r="AJ51" s="193"/>
      <c r="AK51" s="193"/>
      <c r="AL51" s="193"/>
      <c r="AM51" s="193"/>
      <c r="AN51" s="193"/>
      <c r="AO51" s="193"/>
      <c r="AP51" s="193"/>
      <c r="AQ51" s="193"/>
      <c r="AR51" s="193"/>
      <c r="AS51" s="193"/>
      <c r="AT51" s="193"/>
      <c r="AU51" s="193"/>
      <c r="AV51" s="193"/>
      <c r="AW51" s="193"/>
      <c r="AX51" s="193"/>
      <c r="AY51" s="193"/>
      <c r="AZ51" s="193"/>
      <c r="BA51" s="193"/>
      <c r="BB51" s="193"/>
      <c r="BC51" s="193"/>
      <c r="BD51" s="193"/>
      <c r="BE51" s="193"/>
      <c r="BF51" s="193"/>
      <c r="BG51" s="193"/>
      <c r="BH51" s="193"/>
      <c r="BI51" s="193"/>
      <c r="BJ51" s="193"/>
      <c r="BK51" s="193"/>
      <c r="BL51" s="193"/>
      <c r="BM51" s="193"/>
      <c r="BN51" s="193"/>
      <c r="BO51" s="193"/>
      <c r="BP51" s="193"/>
      <c r="BQ51" s="193"/>
      <c r="BR51" s="193"/>
      <c r="BS51" s="193"/>
      <c r="BT51" s="193"/>
      <c r="BU51" s="193"/>
      <c r="BV51" s="193"/>
      <c r="BW51" s="193"/>
      <c r="BX51" s="193"/>
      <c r="BY51" s="193"/>
      <c r="BZ51" s="193"/>
      <c r="CA51" s="193"/>
      <c r="CB51" s="193"/>
      <c r="CC51" s="193"/>
      <c r="CD51" s="193"/>
      <c r="CE51" s="193"/>
      <c r="CF51" s="193"/>
      <c r="CG51" s="193"/>
      <c r="CH51" s="193"/>
      <c r="CI51" s="193"/>
      <c r="CJ51" s="193"/>
      <c r="CK51" s="193"/>
      <c r="CL51" s="193"/>
      <c r="CM51" s="193"/>
      <c r="CN51" s="193"/>
      <c r="CO51" s="193"/>
      <c r="CP51" s="193"/>
      <c r="CQ51" s="193"/>
      <c r="CR51" s="193"/>
      <c r="CS51" s="193"/>
      <c r="CT51" s="193"/>
      <c r="CU51" s="193"/>
      <c r="CV51" s="193"/>
      <c r="CW51" s="193"/>
      <c r="CX51" s="193"/>
      <c r="CY51" s="193"/>
      <c r="CZ51" s="193"/>
      <c r="DA51" s="193"/>
      <c r="DB51" s="193"/>
      <c r="DC51" s="193"/>
      <c r="DD51" s="193"/>
      <c r="DE51" s="193"/>
      <c r="DF51" s="193"/>
      <c r="DG51" s="193"/>
      <c r="DH51" s="193"/>
      <c r="DI51" s="193"/>
      <c r="DJ51" s="193"/>
      <c r="DK51" s="193"/>
      <c r="DL51" s="193"/>
      <c r="DM51" s="193"/>
      <c r="DN51" s="193"/>
      <c r="DO51" s="193"/>
      <c r="DP51" s="193"/>
      <c r="DQ51" s="193"/>
      <c r="DR51" s="193"/>
      <c r="DS51" s="193"/>
      <c r="DT51" s="193"/>
      <c r="DU51" s="193"/>
      <c r="DV51" s="193"/>
      <c r="DW51" s="193"/>
      <c r="DX51" s="193"/>
      <c r="DY51" s="193"/>
      <c r="DZ51" s="193"/>
      <c r="EA51" s="193"/>
      <c r="EB51" s="193"/>
      <c r="EC51" s="193"/>
      <c r="ED51" s="193"/>
      <c r="EE51" s="193"/>
      <c r="EF51" s="193"/>
      <c r="EG51" s="193"/>
      <c r="EH51" s="193"/>
      <c r="EI51" s="193"/>
      <c r="EJ51" s="193"/>
      <c r="EK51" s="193"/>
      <c r="EL51" s="193"/>
      <c r="EM51" s="193"/>
      <c r="EN51" s="193"/>
      <c r="EO51" s="193"/>
      <c r="EP51" s="193"/>
      <c r="EQ51" s="193"/>
      <c r="ER51" s="193"/>
      <c r="ES51" s="193"/>
      <c r="ET51" s="193"/>
      <c r="EU51" s="193"/>
      <c r="EV51" s="193"/>
      <c r="EW51" s="193"/>
      <c r="EX51" s="193"/>
      <c r="EY51" s="193"/>
      <c r="EZ51" s="193"/>
      <c r="FA51" s="193"/>
      <c r="FB51" s="193"/>
      <c r="FC51" s="193"/>
      <c r="FD51" s="193"/>
      <c r="FE51" s="193"/>
      <c r="FF51" s="193"/>
      <c r="FG51" s="193"/>
      <c r="FH51" s="193"/>
      <c r="FI51" s="193"/>
      <c r="FJ51" s="193"/>
      <c r="FK51" s="193"/>
      <c r="FL51" s="193"/>
      <c r="FM51" s="193"/>
      <c r="FN51" s="193"/>
      <c r="FO51" s="193"/>
      <c r="FP51" s="193"/>
      <c r="FQ51" s="193"/>
      <c r="FR51" s="193"/>
      <c r="FS51" s="193"/>
      <c r="FT51" s="193"/>
      <c r="FU51" s="193"/>
      <c r="FV51" s="193"/>
      <c r="FW51" s="193"/>
      <c r="FX51" s="193"/>
      <c r="FY51" s="193"/>
      <c r="FZ51" s="193"/>
      <c r="GA51" s="193"/>
      <c r="GB51" s="193"/>
      <c r="GC51" s="193"/>
      <c r="GD51" s="193"/>
      <c r="GE51" s="193"/>
      <c r="GF51" s="193"/>
      <c r="GG51" s="193"/>
      <c r="GH51" s="193"/>
      <c r="GI51" s="193"/>
      <c r="GJ51" s="193"/>
      <c r="GK51" s="193"/>
      <c r="GL51" s="193"/>
      <c r="GM51" s="193"/>
      <c r="GN51" s="193"/>
      <c r="GO51" s="193"/>
      <c r="GP51" s="193"/>
      <c r="GQ51" s="193"/>
      <c r="GR51" s="193"/>
      <c r="GS51" s="193"/>
      <c r="GT51" s="193"/>
      <c r="GU51" s="193"/>
      <c r="GV51" s="193"/>
      <c r="GW51" s="193"/>
      <c r="GX51" s="193"/>
      <c r="GY51" s="193"/>
      <c r="GZ51" s="193"/>
      <c r="HA51" s="193"/>
      <c r="HB51" s="193"/>
      <c r="HC51" s="193"/>
      <c r="HD51" s="193"/>
      <c r="HE51" s="193"/>
      <c r="HF51" s="193"/>
      <c r="HG51" s="193"/>
      <c r="HH51" s="193"/>
      <c r="HI51" s="193"/>
      <c r="HJ51" s="193"/>
      <c r="HK51" s="193"/>
      <c r="HL51" s="193"/>
      <c r="HM51" s="193"/>
      <c r="HN51" s="193"/>
      <c r="HO51" s="193"/>
      <c r="HP51" s="193"/>
      <c r="HQ51" s="193"/>
      <c r="HR51" s="193"/>
      <c r="HS51" s="193"/>
      <c r="HT51" s="193"/>
      <c r="HU51" s="193"/>
      <c r="HV51" s="193"/>
      <c r="HW51" s="193"/>
      <c r="HX51" s="193"/>
      <c r="HY51" s="193"/>
      <c r="HZ51" s="193"/>
      <c r="IA51" s="193"/>
      <c r="IB51" s="193"/>
      <c r="IC51" s="193"/>
      <c r="ID51" s="193"/>
      <c r="IE51" s="193"/>
      <c r="IF51" s="193"/>
      <c r="IG51" s="193"/>
      <c r="IH51" s="193"/>
      <c r="II51" s="193"/>
      <c r="IJ51" s="193"/>
      <c r="IK51" s="193"/>
      <c r="IL51" s="193"/>
      <c r="IM51" s="193"/>
      <c r="IN51" s="193"/>
      <c r="IO51" s="193"/>
      <c r="IP51" s="193"/>
      <c r="IQ51" s="193"/>
    </row>
    <row r="52" spans="1:251" hidden="1">
      <c r="A52" s="1026"/>
      <c r="B52" s="1955"/>
      <c r="C52" s="1955"/>
      <c r="D52" s="2034"/>
      <c r="E52" s="1955"/>
      <c r="F52" s="1942">
        <f t="shared" si="15"/>
        <v>0</v>
      </c>
      <c r="G52" s="1026"/>
      <c r="H52" s="1942">
        <f t="shared" si="24"/>
        <v>0</v>
      </c>
      <c r="I52" s="1026"/>
      <c r="J52" s="1942">
        <f t="shared" si="6"/>
        <v>0</v>
      </c>
      <c r="K52" s="1026"/>
      <c r="L52" s="1942">
        <f t="shared" si="25"/>
        <v>0</v>
      </c>
      <c r="M52" s="1942">
        <f t="shared" si="26"/>
        <v>0</v>
      </c>
      <c r="N52" s="1942">
        <f t="shared" si="27"/>
        <v>0</v>
      </c>
      <c r="O52" s="1026"/>
      <c r="P52" s="1026"/>
      <c r="Q52" s="1942">
        <f t="shared" si="28"/>
        <v>0</v>
      </c>
      <c r="R52" s="1942">
        <f t="shared" si="10"/>
        <v>0</v>
      </c>
      <c r="S52" s="1942">
        <f t="shared" si="29"/>
        <v>0</v>
      </c>
      <c r="T52" s="1942">
        <f t="shared" si="30"/>
        <v>0</v>
      </c>
      <c r="U52" s="1942">
        <f t="shared" si="31"/>
        <v>0</v>
      </c>
      <c r="V52" s="3035">
        <f t="shared" si="2"/>
        <v>0</v>
      </c>
      <c r="W52" s="1942"/>
      <c r="X52" s="193"/>
      <c r="Y52" s="193"/>
      <c r="Z52" s="193"/>
      <c r="AA52" s="193"/>
      <c r="AB52" s="193"/>
      <c r="AC52" s="193"/>
      <c r="AD52" s="193"/>
      <c r="AE52" s="193"/>
      <c r="AF52" s="193"/>
      <c r="AG52" s="193"/>
      <c r="AH52" s="193"/>
      <c r="AI52" s="193"/>
      <c r="AJ52" s="193"/>
      <c r="AK52" s="193"/>
      <c r="AL52" s="193"/>
      <c r="AM52" s="193"/>
      <c r="AN52" s="193"/>
      <c r="AO52" s="193"/>
      <c r="AP52" s="193"/>
      <c r="AQ52" s="193"/>
      <c r="AR52" s="193"/>
      <c r="AS52" s="193"/>
      <c r="AT52" s="193"/>
      <c r="AU52" s="193"/>
      <c r="AV52" s="193"/>
      <c r="AW52" s="193"/>
      <c r="AX52" s="193"/>
      <c r="AY52" s="193"/>
      <c r="AZ52" s="193"/>
      <c r="BA52" s="193"/>
      <c r="BB52" s="193"/>
      <c r="BC52" s="193"/>
      <c r="BD52" s="193"/>
      <c r="BE52" s="193"/>
      <c r="BF52" s="193"/>
      <c r="BG52" s="193"/>
      <c r="BH52" s="193"/>
      <c r="BI52" s="193"/>
      <c r="BJ52" s="193"/>
      <c r="BK52" s="193"/>
      <c r="BL52" s="193"/>
      <c r="BM52" s="193"/>
      <c r="BN52" s="193"/>
      <c r="BO52" s="193"/>
      <c r="BP52" s="193"/>
      <c r="BQ52" s="193"/>
      <c r="BR52" s="193"/>
      <c r="BS52" s="193"/>
      <c r="BT52" s="193"/>
      <c r="BU52" s="193"/>
      <c r="BV52" s="193"/>
      <c r="BW52" s="193"/>
      <c r="BX52" s="193"/>
      <c r="BY52" s="193"/>
      <c r="BZ52" s="193"/>
      <c r="CA52" s="193"/>
      <c r="CB52" s="193"/>
      <c r="CC52" s="193"/>
      <c r="CD52" s="193"/>
      <c r="CE52" s="193"/>
      <c r="CF52" s="193"/>
      <c r="CG52" s="193"/>
      <c r="CH52" s="193"/>
      <c r="CI52" s="193"/>
      <c r="CJ52" s="193"/>
      <c r="CK52" s="193"/>
      <c r="CL52" s="193"/>
      <c r="CM52" s="193"/>
      <c r="CN52" s="193"/>
      <c r="CO52" s="193"/>
      <c r="CP52" s="193"/>
      <c r="CQ52" s="193"/>
      <c r="CR52" s="193"/>
      <c r="CS52" s="193"/>
      <c r="CT52" s="193"/>
      <c r="CU52" s="193"/>
      <c r="CV52" s="193"/>
      <c r="CW52" s="193"/>
      <c r="CX52" s="193"/>
      <c r="CY52" s="193"/>
      <c r="CZ52" s="193"/>
      <c r="DA52" s="193"/>
      <c r="DB52" s="193"/>
      <c r="DC52" s="193"/>
      <c r="DD52" s="193"/>
      <c r="DE52" s="193"/>
      <c r="DF52" s="193"/>
      <c r="DG52" s="193"/>
      <c r="DH52" s="193"/>
      <c r="DI52" s="193"/>
      <c r="DJ52" s="193"/>
      <c r="DK52" s="193"/>
      <c r="DL52" s="193"/>
      <c r="DM52" s="193"/>
      <c r="DN52" s="193"/>
      <c r="DO52" s="193"/>
      <c r="DP52" s="193"/>
      <c r="DQ52" s="193"/>
      <c r="DR52" s="193"/>
      <c r="DS52" s="193"/>
      <c r="DT52" s="193"/>
      <c r="DU52" s="193"/>
      <c r="DV52" s="193"/>
      <c r="DW52" s="193"/>
      <c r="DX52" s="193"/>
      <c r="DY52" s="193"/>
      <c r="DZ52" s="193"/>
      <c r="EA52" s="193"/>
      <c r="EB52" s="193"/>
      <c r="EC52" s="193"/>
      <c r="ED52" s="193"/>
      <c r="EE52" s="193"/>
      <c r="EF52" s="193"/>
      <c r="EG52" s="193"/>
      <c r="EH52" s="193"/>
      <c r="EI52" s="193"/>
      <c r="EJ52" s="193"/>
      <c r="EK52" s="193"/>
      <c r="EL52" s="193"/>
      <c r="EM52" s="193"/>
      <c r="EN52" s="193"/>
      <c r="EO52" s="193"/>
      <c r="EP52" s="193"/>
      <c r="EQ52" s="193"/>
      <c r="ER52" s="193"/>
      <c r="ES52" s="193"/>
      <c r="ET52" s="193"/>
      <c r="EU52" s="193"/>
      <c r="EV52" s="193"/>
      <c r="EW52" s="193"/>
      <c r="EX52" s="193"/>
      <c r="EY52" s="193"/>
      <c r="EZ52" s="193"/>
      <c r="FA52" s="193"/>
      <c r="FB52" s="193"/>
      <c r="FC52" s="193"/>
      <c r="FD52" s="193"/>
      <c r="FE52" s="193"/>
      <c r="FF52" s="193"/>
      <c r="FG52" s="193"/>
      <c r="FH52" s="193"/>
      <c r="FI52" s="193"/>
      <c r="FJ52" s="193"/>
      <c r="FK52" s="193"/>
      <c r="FL52" s="193"/>
      <c r="FM52" s="193"/>
      <c r="FN52" s="193"/>
      <c r="FO52" s="193"/>
      <c r="FP52" s="193"/>
      <c r="FQ52" s="193"/>
      <c r="FR52" s="193"/>
      <c r="FS52" s="193"/>
      <c r="FT52" s="193"/>
      <c r="FU52" s="193"/>
      <c r="FV52" s="193"/>
      <c r="FW52" s="193"/>
      <c r="FX52" s="193"/>
      <c r="FY52" s="193"/>
      <c r="FZ52" s="193"/>
      <c r="GA52" s="193"/>
      <c r="GB52" s="193"/>
      <c r="GC52" s="193"/>
      <c r="GD52" s="193"/>
      <c r="GE52" s="193"/>
      <c r="GF52" s="193"/>
      <c r="GG52" s="193"/>
      <c r="GH52" s="193"/>
      <c r="GI52" s="193"/>
      <c r="GJ52" s="193"/>
      <c r="GK52" s="193"/>
      <c r="GL52" s="193"/>
      <c r="GM52" s="193"/>
      <c r="GN52" s="193"/>
      <c r="GO52" s="193"/>
      <c r="GP52" s="193"/>
      <c r="GQ52" s="193"/>
      <c r="GR52" s="193"/>
      <c r="GS52" s="193"/>
      <c r="GT52" s="193"/>
      <c r="GU52" s="193"/>
      <c r="GV52" s="193"/>
      <c r="GW52" s="193"/>
      <c r="GX52" s="193"/>
      <c r="GY52" s="193"/>
      <c r="GZ52" s="193"/>
      <c r="HA52" s="193"/>
      <c r="HB52" s="193"/>
      <c r="HC52" s="193"/>
      <c r="HD52" s="193"/>
      <c r="HE52" s="193"/>
      <c r="HF52" s="193"/>
      <c r="HG52" s="193"/>
      <c r="HH52" s="193"/>
      <c r="HI52" s="193"/>
      <c r="HJ52" s="193"/>
      <c r="HK52" s="193"/>
      <c r="HL52" s="193"/>
      <c r="HM52" s="193"/>
      <c r="HN52" s="193"/>
      <c r="HO52" s="193"/>
      <c r="HP52" s="193"/>
      <c r="HQ52" s="193"/>
      <c r="HR52" s="193"/>
      <c r="HS52" s="193"/>
      <c r="HT52" s="193"/>
      <c r="HU52" s="193"/>
      <c r="HV52" s="193"/>
      <c r="HW52" s="193"/>
      <c r="HX52" s="193"/>
      <c r="HY52" s="193"/>
      <c r="HZ52" s="193"/>
      <c r="IA52" s="193"/>
      <c r="IB52" s="193"/>
      <c r="IC52" s="193"/>
      <c r="ID52" s="193"/>
      <c r="IE52" s="193"/>
      <c r="IF52" s="193"/>
      <c r="IG52" s="193"/>
      <c r="IH52" s="193"/>
      <c r="II52" s="193"/>
      <c r="IJ52" s="193"/>
      <c r="IK52" s="193"/>
      <c r="IL52" s="193"/>
      <c r="IM52" s="193"/>
      <c r="IN52" s="193"/>
      <c r="IO52" s="193"/>
      <c r="IP52" s="193"/>
      <c r="IQ52" s="193"/>
    </row>
    <row r="53" spans="1:251" hidden="1">
      <c r="A53" s="1026"/>
      <c r="B53" s="1955"/>
      <c r="C53" s="1955"/>
      <c r="D53" s="2034"/>
      <c r="E53" s="1955"/>
      <c r="F53" s="1942">
        <f t="shared" si="15"/>
        <v>0</v>
      </c>
      <c r="G53" s="1026"/>
      <c r="H53" s="1942">
        <f t="shared" si="24"/>
        <v>0</v>
      </c>
      <c r="I53" s="1026"/>
      <c r="J53" s="1942">
        <f t="shared" si="6"/>
        <v>0</v>
      </c>
      <c r="K53" s="1026"/>
      <c r="L53" s="1942">
        <f t="shared" si="25"/>
        <v>0</v>
      </c>
      <c r="M53" s="1942">
        <f t="shared" si="26"/>
        <v>0</v>
      </c>
      <c r="N53" s="1942">
        <f t="shared" si="27"/>
        <v>0</v>
      </c>
      <c r="O53" s="1026"/>
      <c r="P53" s="1026"/>
      <c r="Q53" s="1942">
        <f t="shared" si="28"/>
        <v>0</v>
      </c>
      <c r="R53" s="1942">
        <f t="shared" si="10"/>
        <v>0</v>
      </c>
      <c r="S53" s="1942">
        <f t="shared" si="29"/>
        <v>0</v>
      </c>
      <c r="T53" s="1942">
        <f t="shared" si="30"/>
        <v>0</v>
      </c>
      <c r="U53" s="1942">
        <f t="shared" si="31"/>
        <v>0</v>
      </c>
      <c r="V53" s="3035">
        <f t="shared" si="2"/>
        <v>0</v>
      </c>
      <c r="W53" s="1942"/>
      <c r="X53" s="193"/>
      <c r="Y53" s="193"/>
      <c r="Z53" s="193"/>
      <c r="AA53" s="193"/>
      <c r="AB53" s="193"/>
      <c r="AC53" s="193"/>
      <c r="AD53" s="193"/>
      <c r="AE53" s="193"/>
      <c r="AF53" s="193"/>
      <c r="AG53" s="193"/>
      <c r="AH53" s="193"/>
      <c r="AI53" s="193"/>
      <c r="AJ53" s="193"/>
      <c r="AK53" s="193"/>
      <c r="AL53" s="193"/>
      <c r="AM53" s="193"/>
      <c r="AN53" s="193"/>
      <c r="AO53" s="193"/>
      <c r="AP53" s="193"/>
      <c r="AQ53" s="193"/>
      <c r="AR53" s="193"/>
      <c r="AS53" s="193"/>
      <c r="AT53" s="193"/>
      <c r="AU53" s="193"/>
      <c r="AV53" s="193"/>
      <c r="AW53" s="193"/>
      <c r="AX53" s="193"/>
      <c r="AY53" s="193"/>
      <c r="AZ53" s="193"/>
      <c r="BA53" s="193"/>
      <c r="BB53" s="193"/>
      <c r="BC53" s="193"/>
      <c r="BD53" s="193"/>
      <c r="BE53" s="193"/>
      <c r="BF53" s="193"/>
      <c r="BG53" s="193"/>
      <c r="BH53" s="193"/>
      <c r="BI53" s="193"/>
      <c r="BJ53" s="193"/>
      <c r="BK53" s="193"/>
      <c r="BL53" s="193"/>
      <c r="BM53" s="193"/>
      <c r="BN53" s="193"/>
      <c r="BO53" s="193"/>
      <c r="BP53" s="193"/>
      <c r="BQ53" s="193"/>
      <c r="BR53" s="193"/>
      <c r="BS53" s="193"/>
      <c r="BT53" s="193"/>
      <c r="BU53" s="193"/>
      <c r="BV53" s="193"/>
      <c r="BW53" s="193"/>
      <c r="BX53" s="193"/>
      <c r="BY53" s="193"/>
      <c r="BZ53" s="193"/>
      <c r="CA53" s="193"/>
      <c r="CB53" s="193"/>
      <c r="CC53" s="193"/>
      <c r="CD53" s="193"/>
      <c r="CE53" s="193"/>
      <c r="CF53" s="193"/>
      <c r="CG53" s="193"/>
      <c r="CH53" s="193"/>
      <c r="CI53" s="193"/>
      <c r="CJ53" s="193"/>
      <c r="CK53" s="193"/>
      <c r="CL53" s="193"/>
      <c r="CM53" s="193"/>
      <c r="CN53" s="193"/>
      <c r="CO53" s="193"/>
      <c r="CP53" s="193"/>
      <c r="CQ53" s="193"/>
      <c r="CR53" s="193"/>
      <c r="CS53" s="193"/>
      <c r="CT53" s="193"/>
      <c r="CU53" s="193"/>
      <c r="CV53" s="193"/>
      <c r="CW53" s="193"/>
      <c r="CX53" s="193"/>
      <c r="CY53" s="193"/>
      <c r="CZ53" s="193"/>
      <c r="DA53" s="193"/>
      <c r="DB53" s="193"/>
      <c r="DC53" s="193"/>
      <c r="DD53" s="193"/>
      <c r="DE53" s="193"/>
      <c r="DF53" s="193"/>
      <c r="DG53" s="193"/>
      <c r="DH53" s="193"/>
      <c r="DI53" s="193"/>
      <c r="DJ53" s="193"/>
      <c r="DK53" s="193"/>
      <c r="DL53" s="193"/>
      <c r="DM53" s="193"/>
      <c r="DN53" s="193"/>
      <c r="DO53" s="193"/>
      <c r="DP53" s="193"/>
      <c r="DQ53" s="193"/>
      <c r="DR53" s="193"/>
      <c r="DS53" s="193"/>
      <c r="DT53" s="193"/>
      <c r="DU53" s="193"/>
      <c r="DV53" s="193"/>
      <c r="DW53" s="193"/>
      <c r="DX53" s="193"/>
      <c r="DY53" s="193"/>
      <c r="DZ53" s="193"/>
      <c r="EA53" s="193"/>
      <c r="EB53" s="193"/>
      <c r="EC53" s="193"/>
      <c r="ED53" s="193"/>
      <c r="EE53" s="193"/>
      <c r="EF53" s="193"/>
      <c r="EG53" s="193"/>
      <c r="EH53" s="193"/>
      <c r="EI53" s="193"/>
      <c r="EJ53" s="193"/>
      <c r="EK53" s="193"/>
      <c r="EL53" s="193"/>
      <c r="EM53" s="193"/>
      <c r="EN53" s="193"/>
      <c r="EO53" s="193"/>
      <c r="EP53" s="193"/>
      <c r="EQ53" s="193"/>
      <c r="ER53" s="193"/>
      <c r="ES53" s="193"/>
      <c r="ET53" s="193"/>
      <c r="EU53" s="193"/>
      <c r="EV53" s="193"/>
      <c r="EW53" s="193"/>
      <c r="EX53" s="193"/>
      <c r="EY53" s="193"/>
      <c r="EZ53" s="193"/>
      <c r="FA53" s="193"/>
      <c r="FB53" s="193"/>
      <c r="FC53" s="193"/>
      <c r="FD53" s="193"/>
      <c r="FE53" s="193"/>
      <c r="FF53" s="193"/>
      <c r="FG53" s="193"/>
      <c r="FH53" s="193"/>
      <c r="FI53" s="193"/>
      <c r="FJ53" s="193"/>
      <c r="FK53" s="193"/>
      <c r="FL53" s="193"/>
      <c r="FM53" s="193"/>
      <c r="FN53" s="193"/>
      <c r="FO53" s="193"/>
      <c r="FP53" s="193"/>
      <c r="FQ53" s="193"/>
      <c r="FR53" s="193"/>
      <c r="FS53" s="193"/>
      <c r="FT53" s="193"/>
      <c r="FU53" s="193"/>
      <c r="FV53" s="193"/>
      <c r="FW53" s="193"/>
      <c r="FX53" s="193"/>
      <c r="FY53" s="193"/>
      <c r="FZ53" s="193"/>
      <c r="GA53" s="193"/>
      <c r="GB53" s="193"/>
      <c r="GC53" s="193"/>
      <c r="GD53" s="193"/>
      <c r="GE53" s="193"/>
      <c r="GF53" s="193"/>
      <c r="GG53" s="193"/>
      <c r="GH53" s="193"/>
      <c r="GI53" s="193"/>
      <c r="GJ53" s="193"/>
      <c r="GK53" s="193"/>
      <c r="GL53" s="193"/>
      <c r="GM53" s="193"/>
      <c r="GN53" s="193"/>
      <c r="GO53" s="193"/>
      <c r="GP53" s="193"/>
      <c r="GQ53" s="193"/>
      <c r="GR53" s="193"/>
      <c r="GS53" s="193"/>
      <c r="GT53" s="193"/>
      <c r="GU53" s="193"/>
      <c r="GV53" s="193"/>
      <c r="GW53" s="193"/>
      <c r="GX53" s="193"/>
      <c r="GY53" s="193"/>
      <c r="GZ53" s="193"/>
      <c r="HA53" s="193"/>
      <c r="HB53" s="193"/>
      <c r="HC53" s="193"/>
      <c r="HD53" s="193"/>
      <c r="HE53" s="193"/>
      <c r="HF53" s="193"/>
      <c r="HG53" s="193"/>
      <c r="HH53" s="193"/>
      <c r="HI53" s="193"/>
      <c r="HJ53" s="193"/>
      <c r="HK53" s="193"/>
      <c r="HL53" s="193"/>
      <c r="HM53" s="193"/>
      <c r="HN53" s="193"/>
      <c r="HO53" s="193"/>
      <c r="HP53" s="193"/>
      <c r="HQ53" s="193"/>
      <c r="HR53" s="193"/>
      <c r="HS53" s="193"/>
      <c r="HT53" s="193"/>
      <c r="HU53" s="193"/>
      <c r="HV53" s="193"/>
      <c r="HW53" s="193"/>
      <c r="HX53" s="193"/>
      <c r="HY53" s="193"/>
      <c r="HZ53" s="193"/>
      <c r="IA53" s="193"/>
      <c r="IB53" s="193"/>
      <c r="IC53" s="193"/>
      <c r="ID53" s="193"/>
      <c r="IE53" s="193"/>
      <c r="IF53" s="193"/>
      <c r="IG53" s="193"/>
      <c r="IH53" s="193"/>
      <c r="II53" s="193"/>
      <c r="IJ53" s="193"/>
      <c r="IK53" s="193"/>
      <c r="IL53" s="193"/>
      <c r="IM53" s="193"/>
      <c r="IN53" s="193"/>
      <c r="IO53" s="193"/>
      <c r="IP53" s="193"/>
      <c r="IQ53" s="193"/>
    </row>
    <row r="54" spans="1:251" hidden="1">
      <c r="A54" s="1026"/>
      <c r="B54" s="1955"/>
      <c r="C54" s="1955"/>
      <c r="D54" s="2034"/>
      <c r="E54" s="1955"/>
      <c r="F54" s="1942">
        <f t="shared" si="15"/>
        <v>0</v>
      </c>
      <c r="G54" s="1026"/>
      <c r="H54" s="1942">
        <f t="shared" si="24"/>
        <v>0</v>
      </c>
      <c r="I54" s="1026"/>
      <c r="J54" s="1942">
        <f t="shared" si="6"/>
        <v>0</v>
      </c>
      <c r="K54" s="1026"/>
      <c r="L54" s="1942">
        <f t="shared" si="25"/>
        <v>0</v>
      </c>
      <c r="M54" s="1942">
        <f t="shared" si="26"/>
        <v>0</v>
      </c>
      <c r="N54" s="1942">
        <f t="shared" si="27"/>
        <v>0</v>
      </c>
      <c r="O54" s="1026"/>
      <c r="P54" s="1026"/>
      <c r="Q54" s="1942">
        <f t="shared" si="28"/>
        <v>0</v>
      </c>
      <c r="R54" s="1942">
        <f t="shared" si="10"/>
        <v>0</v>
      </c>
      <c r="S54" s="1942">
        <f t="shared" si="29"/>
        <v>0</v>
      </c>
      <c r="T54" s="1942">
        <f t="shared" si="30"/>
        <v>0</v>
      </c>
      <c r="U54" s="1942">
        <f t="shared" si="31"/>
        <v>0</v>
      </c>
      <c r="V54" s="3035">
        <f t="shared" si="2"/>
        <v>0</v>
      </c>
      <c r="W54" s="1942"/>
      <c r="X54" s="193"/>
      <c r="Y54" s="193"/>
      <c r="Z54" s="193"/>
      <c r="AA54" s="193"/>
      <c r="AB54" s="193"/>
      <c r="AC54" s="193"/>
      <c r="AD54" s="193"/>
      <c r="AE54" s="193"/>
      <c r="AF54" s="193"/>
      <c r="AG54" s="193"/>
      <c r="AH54" s="193"/>
      <c r="AI54" s="193"/>
      <c r="AJ54" s="193"/>
      <c r="AK54" s="193"/>
      <c r="AL54" s="193"/>
      <c r="AM54" s="193"/>
      <c r="AN54" s="193"/>
      <c r="AO54" s="193"/>
      <c r="AP54" s="193"/>
      <c r="AQ54" s="193"/>
      <c r="AR54" s="193"/>
      <c r="AS54" s="193"/>
      <c r="AT54" s="193"/>
      <c r="AU54" s="193"/>
      <c r="AV54" s="193"/>
      <c r="AW54" s="193"/>
      <c r="AX54" s="193"/>
      <c r="AY54" s="193"/>
      <c r="AZ54" s="193"/>
      <c r="BA54" s="193"/>
      <c r="BB54" s="193"/>
      <c r="BC54" s="193"/>
      <c r="BD54" s="193"/>
      <c r="BE54" s="193"/>
      <c r="BF54" s="193"/>
      <c r="BG54" s="193"/>
      <c r="BH54" s="193"/>
      <c r="BI54" s="193"/>
      <c r="BJ54" s="193"/>
      <c r="BK54" s="193"/>
      <c r="BL54" s="193"/>
      <c r="BM54" s="193"/>
      <c r="BN54" s="193"/>
      <c r="BO54" s="193"/>
      <c r="BP54" s="193"/>
      <c r="BQ54" s="193"/>
      <c r="BR54" s="193"/>
      <c r="BS54" s="193"/>
      <c r="BT54" s="193"/>
      <c r="BU54" s="193"/>
      <c r="BV54" s="193"/>
      <c r="BW54" s="193"/>
      <c r="BX54" s="193"/>
      <c r="BY54" s="193"/>
      <c r="BZ54" s="193"/>
      <c r="CA54" s="193"/>
      <c r="CB54" s="193"/>
      <c r="CC54" s="193"/>
      <c r="CD54" s="193"/>
      <c r="CE54" s="193"/>
      <c r="CF54" s="193"/>
      <c r="CG54" s="193"/>
      <c r="CH54" s="193"/>
      <c r="CI54" s="193"/>
      <c r="CJ54" s="193"/>
      <c r="CK54" s="193"/>
      <c r="CL54" s="193"/>
      <c r="CM54" s="193"/>
      <c r="CN54" s="193"/>
      <c r="CO54" s="193"/>
      <c r="CP54" s="193"/>
      <c r="CQ54" s="193"/>
      <c r="CR54" s="193"/>
      <c r="CS54" s="193"/>
      <c r="CT54" s="193"/>
      <c r="CU54" s="193"/>
      <c r="CV54" s="193"/>
      <c r="CW54" s="193"/>
      <c r="CX54" s="193"/>
      <c r="CY54" s="193"/>
      <c r="CZ54" s="193"/>
      <c r="DA54" s="193"/>
      <c r="DB54" s="193"/>
      <c r="DC54" s="193"/>
      <c r="DD54" s="193"/>
      <c r="DE54" s="193"/>
      <c r="DF54" s="193"/>
      <c r="DG54" s="193"/>
      <c r="DH54" s="193"/>
      <c r="DI54" s="193"/>
      <c r="DJ54" s="193"/>
      <c r="DK54" s="193"/>
      <c r="DL54" s="193"/>
      <c r="DM54" s="193"/>
      <c r="DN54" s="193"/>
      <c r="DO54" s="193"/>
      <c r="DP54" s="193"/>
      <c r="DQ54" s="193"/>
      <c r="DR54" s="193"/>
      <c r="DS54" s="193"/>
      <c r="DT54" s="193"/>
      <c r="DU54" s="193"/>
      <c r="DV54" s="193"/>
      <c r="DW54" s="193"/>
      <c r="DX54" s="193"/>
      <c r="DY54" s="193"/>
      <c r="DZ54" s="193"/>
      <c r="EA54" s="193"/>
      <c r="EB54" s="193"/>
      <c r="EC54" s="193"/>
      <c r="ED54" s="193"/>
      <c r="EE54" s="193"/>
      <c r="EF54" s="193"/>
      <c r="EG54" s="193"/>
      <c r="EH54" s="193"/>
      <c r="EI54" s="193"/>
      <c r="EJ54" s="193"/>
      <c r="EK54" s="193"/>
      <c r="EL54" s="193"/>
      <c r="EM54" s="193"/>
      <c r="EN54" s="193"/>
      <c r="EO54" s="193"/>
      <c r="EP54" s="193"/>
      <c r="EQ54" s="193"/>
      <c r="ER54" s="193"/>
      <c r="ES54" s="193"/>
      <c r="ET54" s="193"/>
      <c r="EU54" s="193"/>
      <c r="EV54" s="193"/>
      <c r="EW54" s="193"/>
      <c r="EX54" s="193"/>
      <c r="EY54" s="193"/>
      <c r="EZ54" s="193"/>
      <c r="FA54" s="193"/>
      <c r="FB54" s="193"/>
      <c r="FC54" s="193"/>
      <c r="FD54" s="193"/>
      <c r="FE54" s="193"/>
      <c r="FF54" s="193"/>
      <c r="FG54" s="193"/>
      <c r="FH54" s="193"/>
      <c r="FI54" s="193"/>
      <c r="FJ54" s="193"/>
      <c r="FK54" s="193"/>
      <c r="FL54" s="193"/>
      <c r="FM54" s="193"/>
      <c r="FN54" s="193"/>
      <c r="FO54" s="193"/>
      <c r="FP54" s="193"/>
      <c r="FQ54" s="193"/>
      <c r="FR54" s="193"/>
      <c r="FS54" s="193"/>
      <c r="FT54" s="193"/>
      <c r="FU54" s="193"/>
      <c r="FV54" s="193"/>
      <c r="FW54" s="193"/>
      <c r="FX54" s="193"/>
      <c r="FY54" s="193"/>
      <c r="FZ54" s="193"/>
      <c r="GA54" s="193"/>
      <c r="GB54" s="193"/>
      <c r="GC54" s="193"/>
      <c r="GD54" s="193"/>
      <c r="GE54" s="193"/>
      <c r="GF54" s="193"/>
      <c r="GG54" s="193"/>
      <c r="GH54" s="193"/>
      <c r="GI54" s="193"/>
      <c r="GJ54" s="193"/>
      <c r="GK54" s="193"/>
      <c r="GL54" s="193"/>
      <c r="GM54" s="193"/>
      <c r="GN54" s="193"/>
      <c r="GO54" s="193"/>
      <c r="GP54" s="193"/>
      <c r="GQ54" s="193"/>
      <c r="GR54" s="193"/>
      <c r="GS54" s="193"/>
      <c r="GT54" s="193"/>
      <c r="GU54" s="193"/>
      <c r="GV54" s="193"/>
      <c r="GW54" s="193"/>
      <c r="GX54" s="193"/>
      <c r="GY54" s="193"/>
      <c r="GZ54" s="193"/>
      <c r="HA54" s="193"/>
      <c r="HB54" s="193"/>
      <c r="HC54" s="193"/>
      <c r="HD54" s="193"/>
      <c r="HE54" s="193"/>
      <c r="HF54" s="193"/>
      <c r="HG54" s="193"/>
      <c r="HH54" s="193"/>
      <c r="HI54" s="193"/>
      <c r="HJ54" s="193"/>
      <c r="HK54" s="193"/>
      <c r="HL54" s="193"/>
      <c r="HM54" s="193"/>
      <c r="HN54" s="193"/>
      <c r="HO54" s="193"/>
      <c r="HP54" s="193"/>
      <c r="HQ54" s="193"/>
      <c r="HR54" s="193"/>
      <c r="HS54" s="193"/>
      <c r="HT54" s="193"/>
      <c r="HU54" s="193"/>
      <c r="HV54" s="193"/>
      <c r="HW54" s="193"/>
      <c r="HX54" s="193"/>
      <c r="HY54" s="193"/>
      <c r="HZ54" s="193"/>
      <c r="IA54" s="193"/>
      <c r="IB54" s="193"/>
      <c r="IC54" s="193"/>
      <c r="ID54" s="193"/>
      <c r="IE54" s="193"/>
      <c r="IF54" s="193"/>
      <c r="IG54" s="193"/>
      <c r="IH54" s="193"/>
      <c r="II54" s="193"/>
      <c r="IJ54" s="193"/>
      <c r="IK54" s="193"/>
      <c r="IL54" s="193"/>
      <c r="IM54" s="193"/>
      <c r="IN54" s="193"/>
      <c r="IO54" s="193"/>
      <c r="IP54" s="193"/>
      <c r="IQ54" s="193"/>
    </row>
    <row r="55" spans="1:251" hidden="1">
      <c r="A55" s="1026"/>
      <c r="B55" s="1955"/>
      <c r="C55" s="1955"/>
      <c r="D55" s="2034"/>
      <c r="E55" s="1955"/>
      <c r="F55" s="1942">
        <f t="shared" si="15"/>
        <v>0</v>
      </c>
      <c r="G55" s="1026"/>
      <c r="H55" s="1942">
        <f t="shared" si="24"/>
        <v>0</v>
      </c>
      <c r="I55" s="1026"/>
      <c r="J55" s="1942">
        <f t="shared" si="6"/>
        <v>0</v>
      </c>
      <c r="K55" s="1026"/>
      <c r="L55" s="1942">
        <f t="shared" si="25"/>
        <v>0</v>
      </c>
      <c r="M55" s="1942">
        <f t="shared" si="26"/>
        <v>0</v>
      </c>
      <c r="N55" s="1942">
        <f t="shared" si="27"/>
        <v>0</v>
      </c>
      <c r="O55" s="1026"/>
      <c r="P55" s="1026"/>
      <c r="Q55" s="1942">
        <f t="shared" si="28"/>
        <v>0</v>
      </c>
      <c r="R55" s="1942">
        <f t="shared" si="10"/>
        <v>0</v>
      </c>
      <c r="S55" s="1942">
        <f t="shared" si="29"/>
        <v>0</v>
      </c>
      <c r="T55" s="1942">
        <f t="shared" si="30"/>
        <v>0</v>
      </c>
      <c r="U55" s="1942">
        <f t="shared" si="31"/>
        <v>0</v>
      </c>
      <c r="V55" s="3035">
        <f t="shared" si="2"/>
        <v>0</v>
      </c>
      <c r="W55" s="1942"/>
      <c r="X55" s="193"/>
      <c r="Y55" s="193"/>
      <c r="Z55" s="193"/>
      <c r="AA55" s="193"/>
      <c r="AB55" s="193"/>
      <c r="AC55" s="193"/>
      <c r="AD55" s="193"/>
      <c r="AE55" s="193"/>
      <c r="AF55" s="193"/>
      <c r="AG55" s="193"/>
      <c r="AH55" s="193"/>
      <c r="AI55" s="193"/>
      <c r="AJ55" s="193"/>
      <c r="AK55" s="193"/>
      <c r="AL55" s="193"/>
      <c r="AM55" s="193"/>
      <c r="AN55" s="193"/>
      <c r="AO55" s="193"/>
      <c r="AP55" s="193"/>
      <c r="AQ55" s="193"/>
      <c r="AR55" s="193"/>
      <c r="AS55" s="193"/>
      <c r="AT55" s="193"/>
      <c r="AU55" s="193"/>
      <c r="AV55" s="193"/>
      <c r="AW55" s="193"/>
      <c r="AX55" s="193"/>
      <c r="AY55" s="193"/>
      <c r="AZ55" s="193"/>
      <c r="BA55" s="193"/>
      <c r="BB55" s="193"/>
      <c r="BC55" s="193"/>
      <c r="BD55" s="193"/>
      <c r="BE55" s="193"/>
      <c r="BF55" s="193"/>
      <c r="BG55" s="193"/>
      <c r="BH55" s="193"/>
      <c r="BI55" s="193"/>
      <c r="BJ55" s="193"/>
      <c r="BK55" s="193"/>
      <c r="BL55" s="193"/>
      <c r="BM55" s="193"/>
      <c r="BN55" s="193"/>
      <c r="BO55" s="193"/>
      <c r="BP55" s="193"/>
      <c r="BQ55" s="193"/>
      <c r="BR55" s="193"/>
      <c r="BS55" s="193"/>
      <c r="BT55" s="193"/>
      <c r="BU55" s="193"/>
      <c r="BV55" s="193"/>
      <c r="BW55" s="193"/>
      <c r="BX55" s="193"/>
      <c r="BY55" s="193"/>
      <c r="BZ55" s="193"/>
      <c r="CA55" s="193"/>
      <c r="CB55" s="193"/>
      <c r="CC55" s="193"/>
      <c r="CD55" s="193"/>
      <c r="CE55" s="193"/>
      <c r="CF55" s="193"/>
      <c r="CG55" s="193"/>
      <c r="CH55" s="193"/>
      <c r="CI55" s="193"/>
      <c r="CJ55" s="193"/>
      <c r="CK55" s="193"/>
      <c r="CL55" s="193"/>
      <c r="CM55" s="193"/>
      <c r="CN55" s="193"/>
      <c r="CO55" s="193"/>
      <c r="CP55" s="193"/>
      <c r="CQ55" s="193"/>
      <c r="CR55" s="193"/>
      <c r="CS55" s="193"/>
      <c r="CT55" s="193"/>
      <c r="CU55" s="193"/>
      <c r="CV55" s="193"/>
      <c r="CW55" s="193"/>
      <c r="CX55" s="193"/>
      <c r="CY55" s="193"/>
      <c r="CZ55" s="193"/>
      <c r="DA55" s="193"/>
      <c r="DB55" s="193"/>
      <c r="DC55" s="193"/>
      <c r="DD55" s="193"/>
      <c r="DE55" s="193"/>
      <c r="DF55" s="193"/>
      <c r="DG55" s="193"/>
      <c r="DH55" s="193"/>
      <c r="DI55" s="193"/>
      <c r="DJ55" s="193"/>
      <c r="DK55" s="193"/>
      <c r="DL55" s="193"/>
      <c r="DM55" s="193"/>
      <c r="DN55" s="193"/>
      <c r="DO55" s="193"/>
      <c r="DP55" s="193"/>
      <c r="DQ55" s="193"/>
      <c r="DR55" s="193"/>
      <c r="DS55" s="193"/>
      <c r="DT55" s="193"/>
      <c r="DU55" s="193"/>
      <c r="DV55" s="193"/>
      <c r="DW55" s="193"/>
      <c r="DX55" s="193"/>
      <c r="DY55" s="193"/>
      <c r="DZ55" s="193"/>
      <c r="EA55" s="193"/>
      <c r="EB55" s="193"/>
      <c r="EC55" s="193"/>
      <c r="ED55" s="193"/>
      <c r="EE55" s="193"/>
      <c r="EF55" s="193"/>
      <c r="EG55" s="193"/>
      <c r="EH55" s="193"/>
      <c r="EI55" s="193"/>
      <c r="EJ55" s="193"/>
      <c r="EK55" s="193"/>
      <c r="EL55" s="193"/>
      <c r="EM55" s="193"/>
      <c r="EN55" s="193"/>
      <c r="EO55" s="193"/>
      <c r="EP55" s="193"/>
      <c r="EQ55" s="193"/>
      <c r="ER55" s="193"/>
      <c r="ES55" s="193"/>
      <c r="ET55" s="193"/>
      <c r="EU55" s="193"/>
      <c r="EV55" s="193"/>
      <c r="EW55" s="193"/>
      <c r="EX55" s="193"/>
      <c r="EY55" s="193"/>
      <c r="EZ55" s="193"/>
      <c r="FA55" s="193"/>
      <c r="FB55" s="193"/>
      <c r="FC55" s="193"/>
      <c r="FD55" s="193"/>
      <c r="FE55" s="193"/>
      <c r="FF55" s="193"/>
      <c r="FG55" s="193"/>
      <c r="FH55" s="193"/>
      <c r="FI55" s="193"/>
      <c r="FJ55" s="193"/>
      <c r="FK55" s="193"/>
      <c r="FL55" s="193"/>
      <c r="FM55" s="193"/>
      <c r="FN55" s="193"/>
      <c r="FO55" s="193"/>
      <c r="FP55" s="193"/>
      <c r="FQ55" s="193"/>
      <c r="FR55" s="193"/>
      <c r="FS55" s="193"/>
      <c r="FT55" s="193"/>
      <c r="FU55" s="193"/>
      <c r="FV55" s="193"/>
      <c r="FW55" s="193"/>
      <c r="FX55" s="193"/>
      <c r="FY55" s="193"/>
      <c r="FZ55" s="193"/>
      <c r="GA55" s="193"/>
      <c r="GB55" s="193"/>
      <c r="GC55" s="193"/>
      <c r="GD55" s="193"/>
      <c r="GE55" s="193"/>
      <c r="GF55" s="193"/>
      <c r="GG55" s="193"/>
      <c r="GH55" s="193"/>
      <c r="GI55" s="193"/>
      <c r="GJ55" s="193"/>
      <c r="GK55" s="193"/>
      <c r="GL55" s="193"/>
      <c r="GM55" s="193"/>
      <c r="GN55" s="193"/>
      <c r="GO55" s="193"/>
      <c r="GP55" s="193"/>
      <c r="GQ55" s="193"/>
      <c r="GR55" s="193"/>
      <c r="GS55" s="193"/>
      <c r="GT55" s="193"/>
      <c r="GU55" s="193"/>
      <c r="GV55" s="193"/>
      <c r="GW55" s="193"/>
      <c r="GX55" s="193"/>
      <c r="GY55" s="193"/>
      <c r="GZ55" s="193"/>
      <c r="HA55" s="193"/>
      <c r="HB55" s="193"/>
      <c r="HC55" s="193"/>
      <c r="HD55" s="193"/>
      <c r="HE55" s="193"/>
      <c r="HF55" s="193"/>
      <c r="HG55" s="193"/>
      <c r="HH55" s="193"/>
      <c r="HI55" s="193"/>
      <c r="HJ55" s="193"/>
      <c r="HK55" s="193"/>
      <c r="HL55" s="193"/>
      <c r="HM55" s="193"/>
      <c r="HN55" s="193"/>
      <c r="HO55" s="193"/>
      <c r="HP55" s="193"/>
      <c r="HQ55" s="193"/>
      <c r="HR55" s="193"/>
      <c r="HS55" s="193"/>
      <c r="HT55" s="193"/>
      <c r="HU55" s="193"/>
      <c r="HV55" s="193"/>
      <c r="HW55" s="193"/>
      <c r="HX55" s="193"/>
      <c r="HY55" s="193"/>
      <c r="HZ55" s="193"/>
      <c r="IA55" s="193"/>
      <c r="IB55" s="193"/>
      <c r="IC55" s="193"/>
      <c r="ID55" s="193"/>
      <c r="IE55" s="193"/>
      <c r="IF55" s="193"/>
      <c r="IG55" s="193"/>
      <c r="IH55" s="193"/>
      <c r="II55" s="193"/>
      <c r="IJ55" s="193"/>
      <c r="IK55" s="193"/>
      <c r="IL55" s="193"/>
      <c r="IM55" s="193"/>
      <c r="IN55" s="193"/>
      <c r="IO55" s="193"/>
      <c r="IP55" s="193"/>
      <c r="IQ55" s="193"/>
    </row>
    <row r="56" spans="1:251" hidden="1">
      <c r="A56" s="1026"/>
      <c r="B56" s="1955"/>
      <c r="C56" s="1955"/>
      <c r="D56" s="2034"/>
      <c r="E56" s="1955"/>
      <c r="F56" s="1942">
        <f t="shared" si="15"/>
        <v>0</v>
      </c>
      <c r="G56" s="1026"/>
      <c r="H56" s="1942">
        <f t="shared" si="24"/>
        <v>0</v>
      </c>
      <c r="I56" s="1026"/>
      <c r="J56" s="1942">
        <f t="shared" si="6"/>
        <v>0</v>
      </c>
      <c r="K56" s="1026"/>
      <c r="L56" s="1942">
        <f t="shared" si="25"/>
        <v>0</v>
      </c>
      <c r="M56" s="1942">
        <f t="shared" si="26"/>
        <v>0</v>
      </c>
      <c r="N56" s="1942">
        <f t="shared" si="27"/>
        <v>0</v>
      </c>
      <c r="O56" s="1026"/>
      <c r="P56" s="1026"/>
      <c r="Q56" s="1942">
        <f t="shared" si="28"/>
        <v>0</v>
      </c>
      <c r="R56" s="1942">
        <f t="shared" si="10"/>
        <v>0</v>
      </c>
      <c r="S56" s="1942">
        <f t="shared" si="29"/>
        <v>0</v>
      </c>
      <c r="T56" s="1942">
        <f t="shared" si="30"/>
        <v>0</v>
      </c>
      <c r="U56" s="1942">
        <f t="shared" si="31"/>
        <v>0</v>
      </c>
      <c r="V56" s="3035">
        <f t="shared" si="2"/>
        <v>0</v>
      </c>
      <c r="W56" s="1942"/>
      <c r="X56" s="193"/>
      <c r="Y56" s="193"/>
      <c r="Z56" s="193"/>
      <c r="AA56" s="193"/>
      <c r="AB56" s="193"/>
      <c r="AC56" s="193"/>
      <c r="AD56" s="193"/>
      <c r="AE56" s="193"/>
      <c r="AF56" s="193"/>
      <c r="AG56" s="193"/>
      <c r="AH56" s="193"/>
      <c r="AI56" s="193"/>
      <c r="AJ56" s="193"/>
      <c r="AK56" s="193"/>
      <c r="AL56" s="193"/>
      <c r="AM56" s="193"/>
      <c r="AN56" s="193"/>
      <c r="AO56" s="193"/>
      <c r="AP56" s="193"/>
      <c r="AQ56" s="193"/>
      <c r="AR56" s="193"/>
      <c r="AS56" s="193"/>
      <c r="AT56" s="193"/>
      <c r="AU56" s="193"/>
      <c r="AV56" s="193"/>
      <c r="AW56" s="193"/>
      <c r="AX56" s="193"/>
      <c r="AY56" s="193"/>
      <c r="AZ56" s="193"/>
      <c r="BA56" s="193"/>
      <c r="BB56" s="193"/>
      <c r="BC56" s="193"/>
      <c r="BD56" s="193"/>
      <c r="BE56" s="193"/>
      <c r="BF56" s="193"/>
      <c r="BG56" s="193"/>
      <c r="BH56" s="193"/>
      <c r="BI56" s="193"/>
      <c r="BJ56" s="193"/>
      <c r="BK56" s="193"/>
      <c r="BL56" s="193"/>
      <c r="BM56" s="193"/>
      <c r="BN56" s="193"/>
      <c r="BO56" s="193"/>
      <c r="BP56" s="193"/>
      <c r="BQ56" s="193"/>
      <c r="BR56" s="193"/>
      <c r="BS56" s="193"/>
      <c r="BT56" s="193"/>
      <c r="BU56" s="193"/>
      <c r="BV56" s="193"/>
      <c r="BW56" s="193"/>
      <c r="BX56" s="193"/>
      <c r="BY56" s="193"/>
      <c r="BZ56" s="193"/>
      <c r="CA56" s="193"/>
      <c r="CB56" s="193"/>
      <c r="CC56" s="193"/>
      <c r="CD56" s="193"/>
      <c r="CE56" s="193"/>
      <c r="CF56" s="193"/>
      <c r="CG56" s="193"/>
      <c r="CH56" s="193"/>
      <c r="CI56" s="193"/>
      <c r="CJ56" s="193"/>
      <c r="CK56" s="193"/>
      <c r="CL56" s="193"/>
      <c r="CM56" s="193"/>
      <c r="CN56" s="193"/>
      <c r="CO56" s="193"/>
      <c r="CP56" s="193"/>
      <c r="CQ56" s="193"/>
      <c r="CR56" s="193"/>
      <c r="CS56" s="193"/>
      <c r="CT56" s="193"/>
      <c r="CU56" s="193"/>
      <c r="CV56" s="193"/>
      <c r="CW56" s="193"/>
      <c r="CX56" s="193"/>
      <c r="CY56" s="193"/>
      <c r="CZ56" s="193"/>
      <c r="DA56" s="193"/>
      <c r="DB56" s="193"/>
      <c r="DC56" s="193"/>
      <c r="DD56" s="193"/>
      <c r="DE56" s="193"/>
      <c r="DF56" s="193"/>
      <c r="DG56" s="193"/>
      <c r="DH56" s="193"/>
      <c r="DI56" s="193"/>
      <c r="DJ56" s="193"/>
      <c r="DK56" s="193"/>
      <c r="DL56" s="193"/>
      <c r="DM56" s="193"/>
      <c r="DN56" s="193"/>
      <c r="DO56" s="193"/>
      <c r="DP56" s="193"/>
      <c r="DQ56" s="193"/>
      <c r="DR56" s="193"/>
      <c r="DS56" s="193"/>
      <c r="DT56" s="193"/>
      <c r="DU56" s="193"/>
      <c r="DV56" s="193"/>
      <c r="DW56" s="193"/>
      <c r="DX56" s="193"/>
      <c r="DY56" s="193"/>
      <c r="DZ56" s="193"/>
      <c r="EA56" s="193"/>
      <c r="EB56" s="193"/>
      <c r="EC56" s="193"/>
      <c r="ED56" s="193"/>
      <c r="EE56" s="193"/>
      <c r="EF56" s="193"/>
      <c r="EG56" s="193"/>
      <c r="EH56" s="193"/>
      <c r="EI56" s="193"/>
      <c r="EJ56" s="193"/>
      <c r="EK56" s="193"/>
      <c r="EL56" s="193"/>
      <c r="EM56" s="193"/>
      <c r="EN56" s="193"/>
      <c r="EO56" s="193"/>
      <c r="EP56" s="193"/>
      <c r="EQ56" s="193"/>
      <c r="ER56" s="193"/>
      <c r="ES56" s="193"/>
      <c r="ET56" s="193"/>
      <c r="EU56" s="193"/>
      <c r="EV56" s="193"/>
      <c r="EW56" s="193"/>
      <c r="EX56" s="193"/>
      <c r="EY56" s="193"/>
      <c r="EZ56" s="193"/>
      <c r="FA56" s="193"/>
      <c r="FB56" s="193"/>
      <c r="FC56" s="193"/>
      <c r="FD56" s="193"/>
      <c r="FE56" s="193"/>
      <c r="FF56" s="193"/>
      <c r="FG56" s="193"/>
      <c r="FH56" s="193"/>
      <c r="FI56" s="193"/>
      <c r="FJ56" s="193"/>
      <c r="FK56" s="193"/>
      <c r="FL56" s="193"/>
      <c r="FM56" s="193"/>
      <c r="FN56" s="193"/>
      <c r="FO56" s="193"/>
      <c r="FP56" s="193"/>
      <c r="FQ56" s="193"/>
      <c r="FR56" s="193"/>
      <c r="FS56" s="193"/>
      <c r="FT56" s="193"/>
      <c r="FU56" s="193"/>
      <c r="FV56" s="193"/>
      <c r="FW56" s="193"/>
      <c r="FX56" s="193"/>
      <c r="FY56" s="193"/>
      <c r="FZ56" s="193"/>
      <c r="GA56" s="193"/>
      <c r="GB56" s="193"/>
      <c r="GC56" s="193"/>
      <c r="GD56" s="193"/>
      <c r="GE56" s="193"/>
      <c r="GF56" s="193"/>
      <c r="GG56" s="193"/>
      <c r="GH56" s="193"/>
      <c r="GI56" s="193"/>
      <c r="GJ56" s="193"/>
      <c r="GK56" s="193"/>
      <c r="GL56" s="193"/>
      <c r="GM56" s="193"/>
      <c r="GN56" s="193"/>
      <c r="GO56" s="193"/>
      <c r="GP56" s="193"/>
      <c r="GQ56" s="193"/>
      <c r="GR56" s="193"/>
      <c r="GS56" s="193"/>
      <c r="GT56" s="193"/>
      <c r="GU56" s="193"/>
      <c r="GV56" s="193"/>
      <c r="GW56" s="193"/>
      <c r="GX56" s="193"/>
      <c r="GY56" s="193"/>
      <c r="GZ56" s="193"/>
      <c r="HA56" s="193"/>
      <c r="HB56" s="193"/>
      <c r="HC56" s="193"/>
      <c r="HD56" s="193"/>
      <c r="HE56" s="193"/>
      <c r="HF56" s="193"/>
      <c r="HG56" s="193"/>
      <c r="HH56" s="193"/>
      <c r="HI56" s="193"/>
      <c r="HJ56" s="193"/>
      <c r="HK56" s="193"/>
      <c r="HL56" s="193"/>
      <c r="HM56" s="193"/>
      <c r="HN56" s="193"/>
      <c r="HO56" s="193"/>
      <c r="HP56" s="193"/>
      <c r="HQ56" s="193"/>
      <c r="HR56" s="193"/>
      <c r="HS56" s="193"/>
      <c r="HT56" s="193"/>
      <c r="HU56" s="193"/>
      <c r="HV56" s="193"/>
      <c r="HW56" s="193"/>
      <c r="HX56" s="193"/>
      <c r="HY56" s="193"/>
      <c r="HZ56" s="193"/>
      <c r="IA56" s="193"/>
      <c r="IB56" s="193"/>
      <c r="IC56" s="193"/>
      <c r="ID56" s="193"/>
      <c r="IE56" s="193"/>
      <c r="IF56" s="193"/>
      <c r="IG56" s="193"/>
      <c r="IH56" s="193"/>
      <c r="II56" s="193"/>
      <c r="IJ56" s="193"/>
      <c r="IK56" s="193"/>
      <c r="IL56" s="193"/>
      <c r="IM56" s="193"/>
      <c r="IN56" s="193"/>
      <c r="IO56" s="193"/>
      <c r="IP56" s="193"/>
      <c r="IQ56" s="193"/>
    </row>
    <row r="57" spans="1:251" hidden="1">
      <c r="A57" s="1026"/>
      <c r="B57" s="1955"/>
      <c r="C57" s="1955"/>
      <c r="D57" s="2034"/>
      <c r="E57" s="1955"/>
      <c r="F57" s="1942">
        <f t="shared" si="15"/>
        <v>0</v>
      </c>
      <c r="G57" s="1026"/>
      <c r="H57" s="1942">
        <f t="shared" si="24"/>
        <v>0</v>
      </c>
      <c r="I57" s="1026"/>
      <c r="J57" s="1942">
        <f t="shared" si="6"/>
        <v>0</v>
      </c>
      <c r="K57" s="1026"/>
      <c r="L57" s="1942">
        <f t="shared" si="25"/>
        <v>0</v>
      </c>
      <c r="M57" s="1942">
        <f t="shared" si="26"/>
        <v>0</v>
      </c>
      <c r="N57" s="1942">
        <f t="shared" si="27"/>
        <v>0</v>
      </c>
      <c r="O57" s="1026"/>
      <c r="P57" s="1026"/>
      <c r="Q57" s="1942">
        <f t="shared" si="28"/>
        <v>0</v>
      </c>
      <c r="R57" s="1942">
        <f t="shared" si="10"/>
        <v>0</v>
      </c>
      <c r="S57" s="1942">
        <f t="shared" si="29"/>
        <v>0</v>
      </c>
      <c r="T57" s="1942">
        <f t="shared" si="30"/>
        <v>0</v>
      </c>
      <c r="U57" s="1942">
        <f t="shared" si="31"/>
        <v>0</v>
      </c>
      <c r="V57" s="3035">
        <f t="shared" si="2"/>
        <v>0</v>
      </c>
      <c r="W57" s="1942"/>
      <c r="X57" s="193"/>
      <c r="Y57" s="193"/>
      <c r="Z57" s="193"/>
      <c r="AA57" s="193"/>
      <c r="AB57" s="193"/>
      <c r="AC57" s="193"/>
      <c r="AD57" s="193"/>
      <c r="AE57" s="193"/>
      <c r="AF57" s="193"/>
      <c r="AG57" s="193"/>
      <c r="AH57" s="193"/>
      <c r="AI57" s="193"/>
      <c r="AJ57" s="193"/>
      <c r="AK57" s="193"/>
      <c r="AL57" s="193"/>
      <c r="AM57" s="193"/>
      <c r="AN57" s="193"/>
      <c r="AO57" s="193"/>
      <c r="AP57" s="193"/>
      <c r="AQ57" s="193"/>
      <c r="AR57" s="193"/>
      <c r="AS57" s="193"/>
      <c r="AT57" s="193"/>
      <c r="AU57" s="193"/>
      <c r="AV57" s="193"/>
      <c r="AW57" s="193"/>
      <c r="AX57" s="193"/>
      <c r="AY57" s="193"/>
      <c r="AZ57" s="193"/>
      <c r="BA57" s="193"/>
      <c r="BB57" s="193"/>
      <c r="BC57" s="193"/>
      <c r="BD57" s="193"/>
      <c r="BE57" s="193"/>
      <c r="BF57" s="193"/>
      <c r="BG57" s="193"/>
      <c r="BH57" s="193"/>
      <c r="BI57" s="193"/>
      <c r="BJ57" s="193"/>
      <c r="BK57" s="193"/>
      <c r="BL57" s="193"/>
      <c r="BM57" s="193"/>
      <c r="BN57" s="193"/>
      <c r="BO57" s="193"/>
      <c r="BP57" s="193"/>
      <c r="BQ57" s="193"/>
      <c r="BR57" s="193"/>
      <c r="BS57" s="193"/>
      <c r="BT57" s="193"/>
      <c r="BU57" s="193"/>
      <c r="BV57" s="193"/>
      <c r="BW57" s="193"/>
      <c r="BX57" s="193"/>
      <c r="BY57" s="193"/>
      <c r="BZ57" s="193"/>
      <c r="CA57" s="193"/>
      <c r="CB57" s="193"/>
      <c r="CC57" s="193"/>
      <c r="CD57" s="193"/>
      <c r="CE57" s="193"/>
      <c r="CF57" s="193"/>
      <c r="CG57" s="193"/>
      <c r="CH57" s="193"/>
      <c r="CI57" s="193"/>
      <c r="CJ57" s="193"/>
      <c r="CK57" s="193"/>
      <c r="CL57" s="193"/>
      <c r="CM57" s="193"/>
      <c r="CN57" s="193"/>
      <c r="CO57" s="193"/>
      <c r="CP57" s="193"/>
      <c r="CQ57" s="193"/>
      <c r="CR57" s="193"/>
      <c r="CS57" s="193"/>
      <c r="CT57" s="193"/>
      <c r="CU57" s="193"/>
      <c r="CV57" s="193"/>
      <c r="CW57" s="193"/>
      <c r="CX57" s="193"/>
      <c r="CY57" s="193"/>
      <c r="CZ57" s="193"/>
      <c r="DA57" s="193"/>
      <c r="DB57" s="193"/>
      <c r="DC57" s="193"/>
      <c r="DD57" s="193"/>
      <c r="DE57" s="193"/>
      <c r="DF57" s="193"/>
      <c r="DG57" s="193"/>
      <c r="DH57" s="193"/>
      <c r="DI57" s="193"/>
      <c r="DJ57" s="193"/>
      <c r="DK57" s="193"/>
      <c r="DL57" s="193"/>
      <c r="DM57" s="193"/>
      <c r="DN57" s="193"/>
      <c r="DO57" s="193"/>
      <c r="DP57" s="193"/>
      <c r="DQ57" s="193"/>
      <c r="DR57" s="193"/>
      <c r="DS57" s="193"/>
      <c r="DT57" s="193"/>
      <c r="DU57" s="193"/>
      <c r="DV57" s="193"/>
      <c r="DW57" s="193"/>
      <c r="DX57" s="193"/>
      <c r="DY57" s="193"/>
      <c r="DZ57" s="193"/>
      <c r="EA57" s="193"/>
      <c r="EB57" s="193"/>
      <c r="EC57" s="193"/>
      <c r="ED57" s="193"/>
      <c r="EE57" s="193"/>
      <c r="EF57" s="193"/>
      <c r="EG57" s="193"/>
      <c r="EH57" s="193"/>
      <c r="EI57" s="193"/>
      <c r="EJ57" s="193"/>
      <c r="EK57" s="193"/>
      <c r="EL57" s="193"/>
      <c r="EM57" s="193"/>
      <c r="EN57" s="193"/>
      <c r="EO57" s="193"/>
      <c r="EP57" s="193"/>
      <c r="EQ57" s="193"/>
      <c r="ER57" s="193"/>
      <c r="ES57" s="193"/>
      <c r="ET57" s="193"/>
      <c r="EU57" s="193"/>
      <c r="EV57" s="193"/>
      <c r="EW57" s="193"/>
      <c r="EX57" s="193"/>
      <c r="EY57" s="193"/>
      <c r="EZ57" s="193"/>
      <c r="FA57" s="193"/>
      <c r="FB57" s="193"/>
      <c r="FC57" s="193"/>
      <c r="FD57" s="193"/>
      <c r="FE57" s="193"/>
      <c r="FF57" s="193"/>
      <c r="FG57" s="193"/>
      <c r="FH57" s="193"/>
      <c r="FI57" s="193"/>
      <c r="FJ57" s="193"/>
      <c r="FK57" s="193"/>
      <c r="FL57" s="193"/>
      <c r="FM57" s="193"/>
      <c r="FN57" s="193"/>
      <c r="FO57" s="193"/>
      <c r="FP57" s="193"/>
      <c r="FQ57" s="193"/>
      <c r="FR57" s="193"/>
      <c r="FS57" s="193"/>
      <c r="FT57" s="193"/>
      <c r="FU57" s="193"/>
      <c r="FV57" s="193"/>
      <c r="FW57" s="193"/>
      <c r="FX57" s="193"/>
      <c r="FY57" s="193"/>
      <c r="FZ57" s="193"/>
      <c r="GA57" s="193"/>
      <c r="GB57" s="193"/>
      <c r="GC57" s="193"/>
      <c r="GD57" s="193"/>
      <c r="GE57" s="193"/>
      <c r="GF57" s="193"/>
      <c r="GG57" s="193"/>
      <c r="GH57" s="193"/>
      <c r="GI57" s="193"/>
      <c r="GJ57" s="193"/>
      <c r="GK57" s="193"/>
      <c r="GL57" s="193"/>
      <c r="GM57" s="193"/>
      <c r="GN57" s="193"/>
      <c r="GO57" s="193"/>
      <c r="GP57" s="193"/>
      <c r="GQ57" s="193"/>
      <c r="GR57" s="193"/>
      <c r="GS57" s="193"/>
      <c r="GT57" s="193"/>
      <c r="GU57" s="193"/>
      <c r="GV57" s="193"/>
      <c r="GW57" s="193"/>
      <c r="GX57" s="193"/>
      <c r="GY57" s="193"/>
      <c r="GZ57" s="193"/>
      <c r="HA57" s="193"/>
      <c r="HB57" s="193"/>
      <c r="HC57" s="193"/>
      <c r="HD57" s="193"/>
      <c r="HE57" s="193"/>
      <c r="HF57" s="193"/>
      <c r="HG57" s="193"/>
      <c r="HH57" s="193"/>
      <c r="HI57" s="193"/>
      <c r="HJ57" s="193"/>
      <c r="HK57" s="193"/>
      <c r="HL57" s="193"/>
      <c r="HM57" s="193"/>
      <c r="HN57" s="193"/>
      <c r="HO57" s="193"/>
      <c r="HP57" s="193"/>
      <c r="HQ57" s="193"/>
      <c r="HR57" s="193"/>
      <c r="HS57" s="193"/>
      <c r="HT57" s="193"/>
      <c r="HU57" s="193"/>
      <c r="HV57" s="193"/>
      <c r="HW57" s="193"/>
      <c r="HX57" s="193"/>
      <c r="HY57" s="193"/>
      <c r="HZ57" s="193"/>
      <c r="IA57" s="193"/>
      <c r="IB57" s="193"/>
      <c r="IC57" s="193"/>
      <c r="ID57" s="193"/>
      <c r="IE57" s="193"/>
      <c r="IF57" s="193"/>
      <c r="IG57" s="193"/>
      <c r="IH57" s="193"/>
      <c r="II57" s="193"/>
      <c r="IJ57" s="193"/>
      <c r="IK57" s="193"/>
      <c r="IL57" s="193"/>
      <c r="IM57" s="193"/>
      <c r="IN57" s="193"/>
      <c r="IO57" s="193"/>
      <c r="IP57" s="193"/>
      <c r="IQ57" s="193"/>
    </row>
    <row r="58" spans="1:251" hidden="1">
      <c r="A58" s="1026"/>
      <c r="B58" s="1955"/>
      <c r="C58" s="1955"/>
      <c r="D58" s="2034"/>
      <c r="E58" s="1955"/>
      <c r="F58" s="1942">
        <f t="shared" si="15"/>
        <v>0</v>
      </c>
      <c r="G58" s="1026"/>
      <c r="H58" s="1942">
        <f t="shared" si="24"/>
        <v>0</v>
      </c>
      <c r="I58" s="1026"/>
      <c r="J58" s="1942">
        <f t="shared" si="6"/>
        <v>0</v>
      </c>
      <c r="K58" s="1026"/>
      <c r="L58" s="1942">
        <f t="shared" si="25"/>
        <v>0</v>
      </c>
      <c r="M58" s="1942">
        <f t="shared" si="26"/>
        <v>0</v>
      </c>
      <c r="N58" s="1942">
        <f t="shared" si="27"/>
        <v>0</v>
      </c>
      <c r="O58" s="1026"/>
      <c r="P58" s="1026"/>
      <c r="Q58" s="1942">
        <f t="shared" si="28"/>
        <v>0</v>
      </c>
      <c r="R58" s="1942">
        <f t="shared" si="10"/>
        <v>0</v>
      </c>
      <c r="S58" s="1942">
        <f t="shared" si="29"/>
        <v>0</v>
      </c>
      <c r="T58" s="1942">
        <f t="shared" si="30"/>
        <v>0</v>
      </c>
      <c r="U58" s="1942">
        <f t="shared" si="31"/>
        <v>0</v>
      </c>
      <c r="V58" s="3035">
        <f t="shared" si="2"/>
        <v>0</v>
      </c>
      <c r="W58" s="1942"/>
      <c r="X58" s="193"/>
      <c r="Y58" s="193"/>
      <c r="Z58" s="193"/>
      <c r="AA58" s="193"/>
      <c r="AB58" s="193"/>
      <c r="AC58" s="193"/>
      <c r="AD58" s="193"/>
      <c r="AE58" s="193"/>
      <c r="AF58" s="193"/>
      <c r="AG58" s="193"/>
      <c r="AH58" s="193"/>
      <c r="AI58" s="193"/>
      <c r="AJ58" s="193"/>
      <c r="AK58" s="193"/>
      <c r="AL58" s="193"/>
      <c r="AM58" s="193"/>
      <c r="AN58" s="193"/>
      <c r="AO58" s="193"/>
      <c r="AP58" s="193"/>
      <c r="AQ58" s="193"/>
      <c r="AR58" s="193"/>
      <c r="AS58" s="193"/>
      <c r="AT58" s="193"/>
      <c r="AU58" s="193"/>
      <c r="AV58" s="193"/>
      <c r="AW58" s="193"/>
      <c r="AX58" s="193"/>
      <c r="AY58" s="193"/>
      <c r="AZ58" s="193"/>
      <c r="BA58" s="193"/>
      <c r="BB58" s="193"/>
      <c r="BC58" s="193"/>
      <c r="BD58" s="193"/>
      <c r="BE58" s="193"/>
      <c r="BF58" s="193"/>
      <c r="BG58" s="193"/>
      <c r="BH58" s="193"/>
      <c r="BI58" s="193"/>
      <c r="BJ58" s="193"/>
      <c r="BK58" s="193"/>
      <c r="BL58" s="193"/>
      <c r="BM58" s="193"/>
      <c r="BN58" s="193"/>
      <c r="BO58" s="193"/>
      <c r="BP58" s="193"/>
      <c r="BQ58" s="193"/>
      <c r="BR58" s="193"/>
      <c r="BS58" s="193"/>
      <c r="BT58" s="193"/>
      <c r="BU58" s="193"/>
      <c r="BV58" s="193"/>
      <c r="BW58" s="193"/>
      <c r="BX58" s="193"/>
      <c r="BY58" s="193"/>
      <c r="BZ58" s="193"/>
      <c r="CA58" s="193"/>
      <c r="CB58" s="193"/>
      <c r="CC58" s="193"/>
      <c r="CD58" s="193"/>
      <c r="CE58" s="193"/>
      <c r="CF58" s="193"/>
      <c r="CG58" s="193"/>
      <c r="CH58" s="193"/>
      <c r="CI58" s="193"/>
      <c r="CJ58" s="193"/>
      <c r="CK58" s="193"/>
      <c r="CL58" s="193"/>
      <c r="CM58" s="193"/>
      <c r="CN58" s="193"/>
      <c r="CO58" s="193"/>
      <c r="CP58" s="193"/>
      <c r="CQ58" s="193"/>
      <c r="CR58" s="193"/>
      <c r="CS58" s="193"/>
      <c r="CT58" s="193"/>
      <c r="CU58" s="193"/>
      <c r="CV58" s="193"/>
      <c r="CW58" s="193"/>
      <c r="CX58" s="193"/>
      <c r="CY58" s="193"/>
      <c r="CZ58" s="193"/>
      <c r="DA58" s="193"/>
      <c r="DB58" s="193"/>
      <c r="DC58" s="193"/>
      <c r="DD58" s="193"/>
      <c r="DE58" s="193"/>
      <c r="DF58" s="193"/>
      <c r="DG58" s="193"/>
      <c r="DH58" s="193"/>
      <c r="DI58" s="193"/>
      <c r="DJ58" s="193"/>
      <c r="DK58" s="193"/>
      <c r="DL58" s="193"/>
      <c r="DM58" s="193"/>
      <c r="DN58" s="193"/>
      <c r="DO58" s="193"/>
      <c r="DP58" s="193"/>
      <c r="DQ58" s="193"/>
      <c r="DR58" s="193"/>
      <c r="DS58" s="193"/>
      <c r="DT58" s="193"/>
      <c r="DU58" s="193"/>
      <c r="DV58" s="193"/>
      <c r="DW58" s="193"/>
      <c r="DX58" s="193"/>
      <c r="DY58" s="193"/>
      <c r="DZ58" s="193"/>
      <c r="EA58" s="193"/>
      <c r="EB58" s="193"/>
      <c r="EC58" s="193"/>
      <c r="ED58" s="193"/>
      <c r="EE58" s="193"/>
      <c r="EF58" s="193"/>
      <c r="EG58" s="193"/>
      <c r="EH58" s="193"/>
      <c r="EI58" s="193"/>
      <c r="EJ58" s="193"/>
      <c r="EK58" s="193"/>
      <c r="EL58" s="193"/>
      <c r="EM58" s="193"/>
      <c r="EN58" s="193"/>
      <c r="EO58" s="193"/>
      <c r="EP58" s="193"/>
      <c r="EQ58" s="193"/>
      <c r="ER58" s="193"/>
      <c r="ES58" s="193"/>
      <c r="ET58" s="193"/>
      <c r="EU58" s="193"/>
      <c r="EV58" s="193"/>
      <c r="EW58" s="193"/>
      <c r="EX58" s="193"/>
      <c r="EY58" s="193"/>
      <c r="EZ58" s="193"/>
      <c r="FA58" s="193"/>
      <c r="FB58" s="193"/>
      <c r="FC58" s="193"/>
      <c r="FD58" s="193"/>
      <c r="FE58" s="193"/>
      <c r="FF58" s="193"/>
      <c r="FG58" s="193"/>
      <c r="FH58" s="193"/>
      <c r="FI58" s="193"/>
      <c r="FJ58" s="193"/>
      <c r="FK58" s="193"/>
      <c r="FL58" s="193"/>
      <c r="FM58" s="193"/>
      <c r="FN58" s="193"/>
      <c r="FO58" s="193"/>
      <c r="FP58" s="193"/>
      <c r="FQ58" s="193"/>
      <c r="FR58" s="193"/>
      <c r="FS58" s="193"/>
      <c r="FT58" s="193"/>
      <c r="FU58" s="193"/>
      <c r="FV58" s="193"/>
      <c r="FW58" s="193"/>
      <c r="FX58" s="193"/>
      <c r="FY58" s="193"/>
      <c r="FZ58" s="193"/>
      <c r="GA58" s="193"/>
      <c r="GB58" s="193"/>
      <c r="GC58" s="193"/>
      <c r="GD58" s="193"/>
      <c r="GE58" s="193"/>
      <c r="GF58" s="193"/>
      <c r="GG58" s="193"/>
      <c r="GH58" s="193"/>
      <c r="GI58" s="193"/>
      <c r="GJ58" s="193"/>
      <c r="GK58" s="193"/>
      <c r="GL58" s="193"/>
      <c r="GM58" s="193"/>
      <c r="GN58" s="193"/>
      <c r="GO58" s="193"/>
      <c r="GP58" s="193"/>
      <c r="GQ58" s="193"/>
      <c r="GR58" s="193"/>
      <c r="GS58" s="193"/>
      <c r="GT58" s="193"/>
      <c r="GU58" s="193"/>
      <c r="GV58" s="193"/>
      <c r="GW58" s="193"/>
      <c r="GX58" s="193"/>
      <c r="GY58" s="193"/>
      <c r="GZ58" s="193"/>
      <c r="HA58" s="193"/>
      <c r="HB58" s="193"/>
      <c r="HC58" s="193"/>
      <c r="HD58" s="193"/>
      <c r="HE58" s="193"/>
      <c r="HF58" s="193"/>
      <c r="HG58" s="193"/>
      <c r="HH58" s="193"/>
      <c r="HI58" s="193"/>
      <c r="HJ58" s="193"/>
      <c r="HK58" s="193"/>
      <c r="HL58" s="193"/>
      <c r="HM58" s="193"/>
      <c r="HN58" s="193"/>
      <c r="HO58" s="193"/>
      <c r="HP58" s="193"/>
      <c r="HQ58" s="193"/>
      <c r="HR58" s="193"/>
      <c r="HS58" s="193"/>
      <c r="HT58" s="193"/>
      <c r="HU58" s="193"/>
      <c r="HV58" s="193"/>
      <c r="HW58" s="193"/>
      <c r="HX58" s="193"/>
      <c r="HY58" s="193"/>
      <c r="HZ58" s="193"/>
      <c r="IA58" s="193"/>
      <c r="IB58" s="193"/>
      <c r="IC58" s="193"/>
      <c r="ID58" s="193"/>
      <c r="IE58" s="193"/>
      <c r="IF58" s="193"/>
      <c r="IG58" s="193"/>
      <c r="IH58" s="193"/>
      <c r="II58" s="193"/>
      <c r="IJ58" s="193"/>
      <c r="IK58" s="193"/>
      <c r="IL58" s="193"/>
      <c r="IM58" s="193"/>
      <c r="IN58" s="193"/>
      <c r="IO58" s="193"/>
      <c r="IP58" s="193"/>
      <c r="IQ58" s="193"/>
    </row>
    <row r="59" spans="1:251" hidden="1">
      <c r="A59" s="1026"/>
      <c r="B59" s="1955"/>
      <c r="C59" s="1955"/>
      <c r="D59" s="2034"/>
      <c r="E59" s="1955"/>
      <c r="F59" s="1942">
        <f t="shared" si="15"/>
        <v>0</v>
      </c>
      <c r="G59" s="1026"/>
      <c r="H59" s="1942">
        <f t="shared" si="24"/>
        <v>0</v>
      </c>
      <c r="I59" s="1026"/>
      <c r="J59" s="1942">
        <f t="shared" si="6"/>
        <v>0</v>
      </c>
      <c r="K59" s="1026"/>
      <c r="L59" s="1942">
        <f t="shared" si="25"/>
        <v>0</v>
      </c>
      <c r="M59" s="1942">
        <f t="shared" si="26"/>
        <v>0</v>
      </c>
      <c r="N59" s="1942">
        <f t="shared" si="27"/>
        <v>0</v>
      </c>
      <c r="O59" s="1026"/>
      <c r="P59" s="1026"/>
      <c r="Q59" s="1942">
        <f t="shared" si="28"/>
        <v>0</v>
      </c>
      <c r="R59" s="1942">
        <f t="shared" si="10"/>
        <v>0</v>
      </c>
      <c r="S59" s="1942">
        <f t="shared" si="29"/>
        <v>0</v>
      </c>
      <c r="T59" s="1942">
        <f t="shared" si="30"/>
        <v>0</v>
      </c>
      <c r="U59" s="1942">
        <f t="shared" si="31"/>
        <v>0</v>
      </c>
      <c r="V59" s="3035">
        <f t="shared" si="2"/>
        <v>0</v>
      </c>
      <c r="W59" s="1942"/>
      <c r="X59" s="193"/>
      <c r="Y59" s="193"/>
      <c r="Z59" s="193"/>
      <c r="AA59" s="193"/>
      <c r="AB59" s="193"/>
      <c r="AC59" s="193"/>
      <c r="AD59" s="193"/>
      <c r="AE59" s="193"/>
      <c r="AF59" s="193"/>
      <c r="AG59" s="193"/>
      <c r="AH59" s="193"/>
      <c r="AI59" s="193"/>
      <c r="AJ59" s="193"/>
      <c r="AK59" s="193"/>
      <c r="AL59" s="193"/>
      <c r="AM59" s="193"/>
      <c r="AN59" s="193"/>
      <c r="AO59" s="193"/>
      <c r="AP59" s="193"/>
      <c r="AQ59" s="193"/>
      <c r="AR59" s="193"/>
      <c r="AS59" s="193"/>
      <c r="AT59" s="193"/>
      <c r="AU59" s="193"/>
      <c r="AV59" s="193"/>
      <c r="AW59" s="193"/>
      <c r="AX59" s="193"/>
      <c r="AY59" s="193"/>
      <c r="AZ59" s="193"/>
      <c r="BA59" s="193"/>
      <c r="BB59" s="193"/>
      <c r="BC59" s="193"/>
      <c r="BD59" s="193"/>
      <c r="BE59" s="193"/>
      <c r="BF59" s="193"/>
      <c r="BG59" s="193"/>
      <c r="BH59" s="193"/>
      <c r="BI59" s="193"/>
      <c r="BJ59" s="193"/>
      <c r="BK59" s="193"/>
      <c r="BL59" s="193"/>
      <c r="BM59" s="193"/>
      <c r="BN59" s="193"/>
      <c r="BO59" s="193"/>
      <c r="BP59" s="193"/>
      <c r="BQ59" s="193"/>
      <c r="BR59" s="193"/>
      <c r="BS59" s="193"/>
      <c r="BT59" s="193"/>
      <c r="BU59" s="193"/>
      <c r="BV59" s="193"/>
      <c r="BW59" s="193"/>
      <c r="BX59" s="193"/>
      <c r="BY59" s="193"/>
      <c r="BZ59" s="193"/>
      <c r="CA59" s="193"/>
      <c r="CB59" s="193"/>
      <c r="CC59" s="193"/>
      <c r="CD59" s="193"/>
      <c r="CE59" s="193"/>
      <c r="CF59" s="193"/>
      <c r="CG59" s="193"/>
      <c r="CH59" s="193"/>
      <c r="CI59" s="193"/>
      <c r="CJ59" s="193"/>
      <c r="CK59" s="193"/>
      <c r="CL59" s="193"/>
      <c r="CM59" s="193"/>
      <c r="CN59" s="193"/>
      <c r="CO59" s="193"/>
      <c r="CP59" s="193"/>
      <c r="CQ59" s="193"/>
      <c r="CR59" s="193"/>
      <c r="CS59" s="193"/>
      <c r="CT59" s="193"/>
      <c r="CU59" s="193"/>
      <c r="CV59" s="193"/>
      <c r="CW59" s="193"/>
      <c r="CX59" s="193"/>
      <c r="CY59" s="193"/>
      <c r="CZ59" s="193"/>
      <c r="DA59" s="193"/>
      <c r="DB59" s="193"/>
      <c r="DC59" s="193"/>
      <c r="DD59" s="193"/>
      <c r="DE59" s="193"/>
      <c r="DF59" s="193"/>
      <c r="DG59" s="193"/>
      <c r="DH59" s="193"/>
      <c r="DI59" s="193"/>
      <c r="DJ59" s="193"/>
      <c r="DK59" s="193"/>
      <c r="DL59" s="193"/>
      <c r="DM59" s="193"/>
      <c r="DN59" s="193"/>
      <c r="DO59" s="193"/>
      <c r="DP59" s="193"/>
      <c r="DQ59" s="193"/>
      <c r="DR59" s="193"/>
      <c r="DS59" s="193"/>
      <c r="DT59" s="193"/>
      <c r="DU59" s="193"/>
      <c r="DV59" s="193"/>
      <c r="DW59" s="193"/>
      <c r="DX59" s="193"/>
      <c r="DY59" s="193"/>
      <c r="DZ59" s="193"/>
      <c r="EA59" s="193"/>
      <c r="EB59" s="193"/>
      <c r="EC59" s="193"/>
      <c r="ED59" s="193"/>
      <c r="EE59" s="193"/>
      <c r="EF59" s="193"/>
      <c r="EG59" s="193"/>
      <c r="EH59" s="193"/>
      <c r="EI59" s="193"/>
      <c r="EJ59" s="193"/>
      <c r="EK59" s="193"/>
      <c r="EL59" s="193"/>
      <c r="EM59" s="193"/>
      <c r="EN59" s="193"/>
      <c r="EO59" s="193"/>
      <c r="EP59" s="193"/>
      <c r="EQ59" s="193"/>
      <c r="ER59" s="193"/>
      <c r="ES59" s="193"/>
      <c r="ET59" s="193"/>
      <c r="EU59" s="193"/>
      <c r="EV59" s="193"/>
      <c r="EW59" s="193"/>
      <c r="EX59" s="193"/>
      <c r="EY59" s="193"/>
      <c r="EZ59" s="193"/>
      <c r="FA59" s="193"/>
      <c r="FB59" s="193"/>
      <c r="FC59" s="193"/>
      <c r="FD59" s="193"/>
      <c r="FE59" s="193"/>
      <c r="FF59" s="193"/>
      <c r="FG59" s="193"/>
      <c r="FH59" s="193"/>
      <c r="FI59" s="193"/>
      <c r="FJ59" s="193"/>
      <c r="FK59" s="193"/>
      <c r="FL59" s="193"/>
      <c r="FM59" s="193"/>
      <c r="FN59" s="193"/>
      <c r="FO59" s="193"/>
      <c r="FP59" s="193"/>
      <c r="FQ59" s="193"/>
      <c r="FR59" s="193"/>
      <c r="FS59" s="193"/>
      <c r="FT59" s="193"/>
      <c r="FU59" s="193"/>
      <c r="FV59" s="193"/>
      <c r="FW59" s="193"/>
      <c r="FX59" s="193"/>
      <c r="FY59" s="193"/>
      <c r="FZ59" s="193"/>
      <c r="GA59" s="193"/>
      <c r="GB59" s="193"/>
      <c r="GC59" s="193"/>
      <c r="GD59" s="193"/>
      <c r="GE59" s="193"/>
      <c r="GF59" s="193"/>
      <c r="GG59" s="193"/>
      <c r="GH59" s="193"/>
      <c r="GI59" s="193"/>
      <c r="GJ59" s="193"/>
      <c r="GK59" s="193"/>
      <c r="GL59" s="193"/>
      <c r="GM59" s="193"/>
      <c r="GN59" s="193"/>
      <c r="GO59" s="193"/>
      <c r="GP59" s="193"/>
      <c r="GQ59" s="193"/>
      <c r="GR59" s="193"/>
      <c r="GS59" s="193"/>
      <c r="GT59" s="193"/>
      <c r="GU59" s="193"/>
      <c r="GV59" s="193"/>
      <c r="GW59" s="193"/>
      <c r="GX59" s="193"/>
      <c r="GY59" s="193"/>
      <c r="GZ59" s="193"/>
      <c r="HA59" s="193"/>
      <c r="HB59" s="193"/>
      <c r="HC59" s="193"/>
      <c r="HD59" s="193"/>
      <c r="HE59" s="193"/>
      <c r="HF59" s="193"/>
      <c r="HG59" s="193"/>
      <c r="HH59" s="193"/>
      <c r="HI59" s="193"/>
      <c r="HJ59" s="193"/>
      <c r="HK59" s="193"/>
      <c r="HL59" s="193"/>
      <c r="HM59" s="193"/>
      <c r="HN59" s="193"/>
      <c r="HO59" s="193"/>
      <c r="HP59" s="193"/>
      <c r="HQ59" s="193"/>
      <c r="HR59" s="193"/>
      <c r="HS59" s="193"/>
      <c r="HT59" s="193"/>
      <c r="HU59" s="193"/>
      <c r="HV59" s="193"/>
      <c r="HW59" s="193"/>
      <c r="HX59" s="193"/>
      <c r="HY59" s="193"/>
      <c r="HZ59" s="193"/>
      <c r="IA59" s="193"/>
      <c r="IB59" s="193"/>
      <c r="IC59" s="193"/>
      <c r="ID59" s="193"/>
      <c r="IE59" s="193"/>
      <c r="IF59" s="193"/>
      <c r="IG59" s="193"/>
      <c r="IH59" s="193"/>
      <c r="II59" s="193"/>
      <c r="IJ59" s="193"/>
      <c r="IK59" s="193"/>
      <c r="IL59" s="193"/>
      <c r="IM59" s="193"/>
      <c r="IN59" s="193"/>
      <c r="IO59" s="193"/>
      <c r="IP59" s="193"/>
      <c r="IQ59" s="193"/>
    </row>
    <row r="60" spans="1:251" hidden="1">
      <c r="A60" s="1026"/>
      <c r="B60" s="1955"/>
      <c r="C60" s="1955"/>
      <c r="D60" s="2034"/>
      <c r="E60" s="1955"/>
      <c r="F60" s="1942">
        <f t="shared" si="15"/>
        <v>0</v>
      </c>
      <c r="G60" s="1026"/>
      <c r="H60" s="1942">
        <f t="shared" si="24"/>
        <v>0</v>
      </c>
      <c r="I60" s="1026"/>
      <c r="J60" s="1942">
        <f t="shared" si="6"/>
        <v>0</v>
      </c>
      <c r="K60" s="1026"/>
      <c r="L60" s="1942">
        <f t="shared" si="25"/>
        <v>0</v>
      </c>
      <c r="M60" s="1942">
        <f t="shared" si="26"/>
        <v>0</v>
      </c>
      <c r="N60" s="1942">
        <f t="shared" si="27"/>
        <v>0</v>
      </c>
      <c r="O60" s="1026"/>
      <c r="P60" s="1026"/>
      <c r="Q60" s="1942">
        <f t="shared" si="28"/>
        <v>0</v>
      </c>
      <c r="R60" s="1942">
        <f t="shared" si="10"/>
        <v>0</v>
      </c>
      <c r="S60" s="1942">
        <f t="shared" si="29"/>
        <v>0</v>
      </c>
      <c r="T60" s="1942">
        <f t="shared" si="30"/>
        <v>0</v>
      </c>
      <c r="U60" s="1942">
        <f t="shared" si="31"/>
        <v>0</v>
      </c>
      <c r="V60" s="3035">
        <f t="shared" si="2"/>
        <v>0</v>
      </c>
      <c r="W60" s="1942"/>
      <c r="X60" s="193"/>
      <c r="Y60" s="193"/>
      <c r="Z60" s="193"/>
      <c r="AA60" s="193"/>
      <c r="AB60" s="193"/>
      <c r="AC60" s="193"/>
      <c r="AD60" s="193"/>
      <c r="AE60" s="193"/>
      <c r="AF60" s="193"/>
      <c r="AG60" s="193"/>
      <c r="AH60" s="193"/>
      <c r="AI60" s="193"/>
      <c r="AJ60" s="193"/>
      <c r="AK60" s="193"/>
      <c r="AL60" s="193"/>
      <c r="AM60" s="193"/>
      <c r="AN60" s="193"/>
      <c r="AO60" s="193"/>
      <c r="AP60" s="193"/>
      <c r="AQ60" s="193"/>
      <c r="AR60" s="193"/>
      <c r="AS60" s="193"/>
      <c r="AT60" s="193"/>
      <c r="AU60" s="193"/>
      <c r="AV60" s="193"/>
      <c r="AW60" s="193"/>
      <c r="AX60" s="193"/>
      <c r="AY60" s="193"/>
      <c r="AZ60" s="193"/>
      <c r="BA60" s="193"/>
      <c r="BB60" s="193"/>
      <c r="BC60" s="193"/>
      <c r="BD60" s="193"/>
      <c r="BE60" s="193"/>
      <c r="BF60" s="193"/>
      <c r="BG60" s="193"/>
      <c r="BH60" s="193"/>
      <c r="BI60" s="193"/>
      <c r="BJ60" s="193"/>
      <c r="BK60" s="193"/>
      <c r="BL60" s="193"/>
      <c r="BM60" s="193"/>
      <c r="BN60" s="193"/>
      <c r="BO60" s="193"/>
      <c r="BP60" s="193"/>
      <c r="BQ60" s="193"/>
      <c r="BR60" s="193"/>
      <c r="BS60" s="193"/>
      <c r="BT60" s="193"/>
      <c r="BU60" s="193"/>
      <c r="BV60" s="193"/>
      <c r="BW60" s="193"/>
      <c r="BX60" s="193"/>
      <c r="BY60" s="193"/>
      <c r="BZ60" s="193"/>
      <c r="CA60" s="193"/>
      <c r="CB60" s="193"/>
      <c r="CC60" s="193"/>
      <c r="CD60" s="193"/>
      <c r="CE60" s="193"/>
      <c r="CF60" s="193"/>
      <c r="CG60" s="193"/>
      <c r="CH60" s="193"/>
      <c r="CI60" s="193"/>
      <c r="CJ60" s="193"/>
      <c r="CK60" s="193"/>
      <c r="CL60" s="193"/>
      <c r="CM60" s="193"/>
      <c r="CN60" s="193"/>
      <c r="CO60" s="193"/>
      <c r="CP60" s="193"/>
      <c r="CQ60" s="193"/>
      <c r="CR60" s="193"/>
      <c r="CS60" s="193"/>
      <c r="CT60" s="193"/>
      <c r="CU60" s="193"/>
      <c r="CV60" s="193"/>
      <c r="CW60" s="193"/>
      <c r="CX60" s="193"/>
      <c r="CY60" s="193"/>
      <c r="CZ60" s="193"/>
      <c r="DA60" s="193"/>
      <c r="DB60" s="193"/>
      <c r="DC60" s="193"/>
      <c r="DD60" s="193"/>
      <c r="DE60" s="193"/>
      <c r="DF60" s="193"/>
      <c r="DG60" s="193"/>
      <c r="DH60" s="193"/>
      <c r="DI60" s="193"/>
      <c r="DJ60" s="193"/>
      <c r="DK60" s="193"/>
      <c r="DL60" s="193"/>
      <c r="DM60" s="193"/>
      <c r="DN60" s="193"/>
      <c r="DO60" s="193"/>
      <c r="DP60" s="193"/>
      <c r="DQ60" s="193"/>
      <c r="DR60" s="193"/>
      <c r="DS60" s="193"/>
      <c r="DT60" s="193"/>
      <c r="DU60" s="193"/>
      <c r="DV60" s="193"/>
      <c r="DW60" s="193"/>
      <c r="DX60" s="193"/>
      <c r="DY60" s="193"/>
      <c r="DZ60" s="193"/>
      <c r="EA60" s="193"/>
      <c r="EB60" s="193"/>
      <c r="EC60" s="193"/>
      <c r="ED60" s="193"/>
      <c r="EE60" s="193"/>
      <c r="EF60" s="193"/>
      <c r="EG60" s="193"/>
      <c r="EH60" s="193"/>
      <c r="EI60" s="193"/>
      <c r="EJ60" s="193"/>
      <c r="EK60" s="193"/>
      <c r="EL60" s="193"/>
      <c r="EM60" s="193"/>
      <c r="EN60" s="193"/>
      <c r="EO60" s="193"/>
      <c r="EP60" s="193"/>
      <c r="EQ60" s="193"/>
      <c r="ER60" s="193"/>
      <c r="ES60" s="193"/>
      <c r="ET60" s="193"/>
      <c r="EU60" s="193"/>
      <c r="EV60" s="193"/>
      <c r="EW60" s="193"/>
      <c r="EX60" s="193"/>
      <c r="EY60" s="193"/>
      <c r="EZ60" s="193"/>
      <c r="FA60" s="193"/>
      <c r="FB60" s="193"/>
      <c r="FC60" s="193"/>
      <c r="FD60" s="193"/>
      <c r="FE60" s="193"/>
      <c r="FF60" s="193"/>
      <c r="FG60" s="193"/>
      <c r="FH60" s="193"/>
      <c r="FI60" s="193"/>
      <c r="FJ60" s="193"/>
      <c r="FK60" s="193"/>
      <c r="FL60" s="193"/>
      <c r="FM60" s="193"/>
      <c r="FN60" s="193"/>
      <c r="FO60" s="193"/>
      <c r="FP60" s="193"/>
      <c r="FQ60" s="193"/>
      <c r="FR60" s="193"/>
      <c r="FS60" s="193"/>
      <c r="FT60" s="193"/>
      <c r="FU60" s="193"/>
      <c r="FV60" s="193"/>
      <c r="FW60" s="193"/>
      <c r="FX60" s="193"/>
      <c r="FY60" s="193"/>
      <c r="FZ60" s="193"/>
      <c r="GA60" s="193"/>
      <c r="GB60" s="193"/>
      <c r="GC60" s="193"/>
      <c r="GD60" s="193"/>
      <c r="GE60" s="193"/>
      <c r="GF60" s="193"/>
      <c r="GG60" s="193"/>
      <c r="GH60" s="193"/>
      <c r="GI60" s="193"/>
      <c r="GJ60" s="193"/>
      <c r="GK60" s="193"/>
      <c r="GL60" s="193"/>
      <c r="GM60" s="193"/>
      <c r="GN60" s="193"/>
      <c r="GO60" s="193"/>
      <c r="GP60" s="193"/>
      <c r="GQ60" s="193"/>
      <c r="GR60" s="193"/>
      <c r="GS60" s="193"/>
      <c r="GT60" s="193"/>
      <c r="GU60" s="193"/>
      <c r="GV60" s="193"/>
      <c r="GW60" s="193"/>
      <c r="GX60" s="193"/>
      <c r="GY60" s="193"/>
      <c r="GZ60" s="193"/>
      <c r="HA60" s="193"/>
      <c r="HB60" s="193"/>
      <c r="HC60" s="193"/>
      <c r="HD60" s="193"/>
      <c r="HE60" s="193"/>
      <c r="HF60" s="193"/>
      <c r="HG60" s="193"/>
      <c r="HH60" s="193"/>
      <c r="HI60" s="193"/>
      <c r="HJ60" s="193"/>
      <c r="HK60" s="193"/>
      <c r="HL60" s="193"/>
      <c r="HM60" s="193"/>
      <c r="HN60" s="193"/>
      <c r="HO60" s="193"/>
      <c r="HP60" s="193"/>
      <c r="HQ60" s="193"/>
      <c r="HR60" s="193"/>
      <c r="HS60" s="193"/>
      <c r="HT60" s="193"/>
      <c r="HU60" s="193"/>
      <c r="HV60" s="193"/>
      <c r="HW60" s="193"/>
      <c r="HX60" s="193"/>
      <c r="HY60" s="193"/>
      <c r="HZ60" s="193"/>
      <c r="IA60" s="193"/>
      <c r="IB60" s="193"/>
      <c r="IC60" s="193"/>
      <c r="ID60" s="193"/>
      <c r="IE60" s="193"/>
      <c r="IF60" s="193"/>
      <c r="IG60" s="193"/>
      <c r="IH60" s="193"/>
      <c r="II60" s="193"/>
      <c r="IJ60" s="193"/>
      <c r="IK60" s="193"/>
      <c r="IL60" s="193"/>
      <c r="IM60" s="193"/>
      <c r="IN60" s="193"/>
      <c r="IO60" s="193"/>
      <c r="IP60" s="193"/>
      <c r="IQ60" s="193"/>
    </row>
    <row r="61" spans="1:251" hidden="1">
      <c r="A61" s="1026"/>
      <c r="B61" s="1955"/>
      <c r="C61" s="1955"/>
      <c r="D61" s="2034"/>
      <c r="E61" s="1955"/>
      <c r="F61" s="1942">
        <f t="shared" si="15"/>
        <v>0</v>
      </c>
      <c r="G61" s="1026"/>
      <c r="H61" s="1942">
        <f t="shared" si="24"/>
        <v>0</v>
      </c>
      <c r="I61" s="1026"/>
      <c r="J61" s="1942">
        <f t="shared" si="6"/>
        <v>0</v>
      </c>
      <c r="K61" s="1026"/>
      <c r="L61" s="1942">
        <f t="shared" si="25"/>
        <v>0</v>
      </c>
      <c r="M61" s="1942">
        <f t="shared" si="26"/>
        <v>0</v>
      </c>
      <c r="N61" s="1942">
        <f t="shared" si="27"/>
        <v>0</v>
      </c>
      <c r="O61" s="1026"/>
      <c r="P61" s="1026"/>
      <c r="Q61" s="1942">
        <f t="shared" si="28"/>
        <v>0</v>
      </c>
      <c r="R61" s="1942">
        <f t="shared" si="10"/>
        <v>0</v>
      </c>
      <c r="S61" s="1942">
        <f t="shared" si="29"/>
        <v>0</v>
      </c>
      <c r="T61" s="1942">
        <f t="shared" si="30"/>
        <v>0</v>
      </c>
      <c r="U61" s="1942">
        <f t="shared" si="31"/>
        <v>0</v>
      </c>
      <c r="V61" s="3035">
        <f t="shared" si="2"/>
        <v>0</v>
      </c>
      <c r="W61" s="1942"/>
      <c r="X61" s="193"/>
      <c r="Y61" s="193"/>
      <c r="Z61" s="193"/>
      <c r="AA61" s="193"/>
      <c r="AB61" s="193"/>
      <c r="AC61" s="193"/>
      <c r="AD61" s="193"/>
      <c r="AE61" s="193"/>
      <c r="AF61" s="193"/>
      <c r="AG61" s="193"/>
      <c r="AH61" s="193"/>
      <c r="AI61" s="193"/>
      <c r="AJ61" s="193"/>
      <c r="AK61" s="193"/>
      <c r="AL61" s="193"/>
      <c r="AM61" s="193"/>
      <c r="AN61" s="193"/>
      <c r="AO61" s="193"/>
      <c r="AP61" s="193"/>
      <c r="AQ61" s="193"/>
      <c r="AR61" s="193"/>
      <c r="AS61" s="193"/>
      <c r="AT61" s="193"/>
      <c r="AU61" s="193"/>
      <c r="AV61" s="193"/>
      <c r="AW61" s="193"/>
      <c r="AX61" s="193"/>
      <c r="AY61" s="193"/>
      <c r="AZ61" s="193"/>
      <c r="BA61" s="193"/>
      <c r="BB61" s="193"/>
      <c r="BC61" s="193"/>
      <c r="BD61" s="193"/>
      <c r="BE61" s="193"/>
      <c r="BF61" s="193"/>
      <c r="BG61" s="193"/>
      <c r="BH61" s="193"/>
      <c r="BI61" s="193"/>
      <c r="BJ61" s="193"/>
      <c r="BK61" s="193"/>
      <c r="BL61" s="193"/>
      <c r="BM61" s="193"/>
      <c r="BN61" s="193"/>
      <c r="BO61" s="193"/>
      <c r="BP61" s="193"/>
      <c r="BQ61" s="193"/>
      <c r="BR61" s="193"/>
      <c r="BS61" s="193"/>
      <c r="BT61" s="193"/>
      <c r="BU61" s="193"/>
      <c r="BV61" s="193"/>
      <c r="BW61" s="193"/>
      <c r="BX61" s="193"/>
      <c r="BY61" s="193"/>
      <c r="BZ61" s="193"/>
      <c r="CA61" s="193"/>
      <c r="CB61" s="193"/>
      <c r="CC61" s="193"/>
      <c r="CD61" s="193"/>
      <c r="CE61" s="193"/>
      <c r="CF61" s="193"/>
      <c r="CG61" s="193"/>
      <c r="CH61" s="193"/>
      <c r="CI61" s="193"/>
      <c r="CJ61" s="193"/>
      <c r="CK61" s="193"/>
      <c r="CL61" s="193"/>
      <c r="CM61" s="193"/>
      <c r="CN61" s="193"/>
      <c r="CO61" s="193"/>
      <c r="CP61" s="193"/>
      <c r="CQ61" s="193"/>
      <c r="CR61" s="193"/>
      <c r="CS61" s="193"/>
      <c r="CT61" s="193"/>
      <c r="CU61" s="193"/>
      <c r="CV61" s="193"/>
      <c r="CW61" s="193"/>
      <c r="CX61" s="193"/>
      <c r="CY61" s="193"/>
      <c r="CZ61" s="193"/>
      <c r="DA61" s="193"/>
      <c r="DB61" s="193"/>
      <c r="DC61" s="193"/>
      <c r="DD61" s="193"/>
      <c r="DE61" s="193"/>
      <c r="DF61" s="193"/>
      <c r="DG61" s="193"/>
      <c r="DH61" s="193"/>
      <c r="DI61" s="193"/>
      <c r="DJ61" s="193"/>
      <c r="DK61" s="193"/>
      <c r="DL61" s="193"/>
      <c r="DM61" s="193"/>
      <c r="DN61" s="193"/>
      <c r="DO61" s="193"/>
      <c r="DP61" s="193"/>
      <c r="DQ61" s="193"/>
      <c r="DR61" s="193"/>
      <c r="DS61" s="193"/>
      <c r="DT61" s="193"/>
      <c r="DU61" s="193"/>
      <c r="DV61" s="193"/>
      <c r="DW61" s="193"/>
      <c r="DX61" s="193"/>
      <c r="DY61" s="193"/>
      <c r="DZ61" s="193"/>
      <c r="EA61" s="193"/>
      <c r="EB61" s="193"/>
      <c r="EC61" s="193"/>
      <c r="ED61" s="193"/>
      <c r="EE61" s="193"/>
      <c r="EF61" s="193"/>
      <c r="EG61" s="193"/>
      <c r="EH61" s="193"/>
      <c r="EI61" s="193"/>
      <c r="EJ61" s="193"/>
      <c r="EK61" s="193"/>
      <c r="EL61" s="193"/>
      <c r="EM61" s="193"/>
      <c r="EN61" s="193"/>
      <c r="EO61" s="193"/>
      <c r="EP61" s="193"/>
      <c r="EQ61" s="193"/>
      <c r="ER61" s="193"/>
      <c r="ES61" s="193"/>
      <c r="ET61" s="193"/>
      <c r="EU61" s="193"/>
      <c r="EV61" s="193"/>
      <c r="EW61" s="193"/>
      <c r="EX61" s="193"/>
      <c r="EY61" s="193"/>
      <c r="EZ61" s="193"/>
      <c r="FA61" s="193"/>
      <c r="FB61" s="193"/>
      <c r="FC61" s="193"/>
      <c r="FD61" s="193"/>
      <c r="FE61" s="193"/>
      <c r="FF61" s="193"/>
      <c r="FG61" s="193"/>
      <c r="FH61" s="193"/>
      <c r="FI61" s="193"/>
      <c r="FJ61" s="193"/>
      <c r="FK61" s="193"/>
      <c r="FL61" s="193"/>
      <c r="FM61" s="193"/>
      <c r="FN61" s="193"/>
      <c r="FO61" s="193"/>
      <c r="FP61" s="193"/>
      <c r="FQ61" s="193"/>
      <c r="FR61" s="193"/>
      <c r="FS61" s="193"/>
      <c r="FT61" s="193"/>
      <c r="FU61" s="193"/>
      <c r="FV61" s="193"/>
      <c r="FW61" s="193"/>
      <c r="FX61" s="193"/>
      <c r="FY61" s="193"/>
      <c r="FZ61" s="193"/>
      <c r="GA61" s="193"/>
      <c r="GB61" s="193"/>
      <c r="GC61" s="193"/>
      <c r="GD61" s="193"/>
      <c r="GE61" s="193"/>
      <c r="GF61" s="193"/>
      <c r="GG61" s="193"/>
      <c r="GH61" s="193"/>
      <c r="GI61" s="193"/>
      <c r="GJ61" s="193"/>
      <c r="GK61" s="193"/>
      <c r="GL61" s="193"/>
      <c r="GM61" s="193"/>
      <c r="GN61" s="193"/>
      <c r="GO61" s="193"/>
      <c r="GP61" s="193"/>
      <c r="GQ61" s="193"/>
      <c r="GR61" s="193"/>
      <c r="GS61" s="193"/>
      <c r="GT61" s="193"/>
      <c r="GU61" s="193"/>
      <c r="GV61" s="193"/>
      <c r="GW61" s="193"/>
      <c r="GX61" s="193"/>
      <c r="GY61" s="193"/>
      <c r="GZ61" s="193"/>
      <c r="HA61" s="193"/>
      <c r="HB61" s="193"/>
      <c r="HC61" s="193"/>
      <c r="HD61" s="193"/>
      <c r="HE61" s="193"/>
      <c r="HF61" s="193"/>
      <c r="HG61" s="193"/>
      <c r="HH61" s="193"/>
      <c r="HI61" s="193"/>
      <c r="HJ61" s="193"/>
      <c r="HK61" s="193"/>
      <c r="HL61" s="193"/>
      <c r="HM61" s="193"/>
      <c r="HN61" s="193"/>
      <c r="HO61" s="193"/>
      <c r="HP61" s="193"/>
      <c r="HQ61" s="193"/>
      <c r="HR61" s="193"/>
      <c r="HS61" s="193"/>
      <c r="HT61" s="193"/>
      <c r="HU61" s="193"/>
      <c r="HV61" s="193"/>
      <c r="HW61" s="193"/>
      <c r="HX61" s="193"/>
      <c r="HY61" s="193"/>
      <c r="HZ61" s="193"/>
      <c r="IA61" s="193"/>
      <c r="IB61" s="193"/>
      <c r="IC61" s="193"/>
      <c r="ID61" s="193"/>
      <c r="IE61" s="193"/>
      <c r="IF61" s="193"/>
      <c r="IG61" s="193"/>
      <c r="IH61" s="193"/>
      <c r="II61" s="193"/>
      <c r="IJ61" s="193"/>
      <c r="IK61" s="193"/>
      <c r="IL61" s="193"/>
      <c r="IM61" s="193"/>
      <c r="IN61" s="193"/>
      <c r="IO61" s="193"/>
      <c r="IP61" s="193"/>
      <c r="IQ61" s="193"/>
    </row>
    <row r="62" spans="1:251" hidden="1">
      <c r="A62" s="1026"/>
      <c r="B62" s="1955"/>
      <c r="C62" s="1955"/>
      <c r="D62" s="2034"/>
      <c r="E62" s="1955"/>
      <c r="F62" s="1942">
        <f t="shared" si="15"/>
        <v>0</v>
      </c>
      <c r="G62" s="1026"/>
      <c r="H62" s="1942">
        <f t="shared" si="24"/>
        <v>0</v>
      </c>
      <c r="I62" s="1026"/>
      <c r="J62" s="1942">
        <f t="shared" si="6"/>
        <v>0</v>
      </c>
      <c r="K62" s="1026"/>
      <c r="L62" s="1942">
        <f t="shared" si="25"/>
        <v>0</v>
      </c>
      <c r="M62" s="1942">
        <f t="shared" si="26"/>
        <v>0</v>
      </c>
      <c r="N62" s="1942">
        <f t="shared" si="27"/>
        <v>0</v>
      </c>
      <c r="O62" s="1026"/>
      <c r="P62" s="1026"/>
      <c r="Q62" s="1942">
        <f t="shared" si="28"/>
        <v>0</v>
      </c>
      <c r="R62" s="1942">
        <f t="shared" si="10"/>
        <v>0</v>
      </c>
      <c r="S62" s="1942">
        <f t="shared" si="29"/>
        <v>0</v>
      </c>
      <c r="T62" s="1942">
        <f t="shared" si="30"/>
        <v>0</v>
      </c>
      <c r="U62" s="1942">
        <f t="shared" si="31"/>
        <v>0</v>
      </c>
      <c r="V62" s="3035">
        <f t="shared" si="2"/>
        <v>0</v>
      </c>
      <c r="W62" s="1942"/>
      <c r="X62" s="193"/>
      <c r="Y62" s="193"/>
      <c r="Z62" s="193"/>
      <c r="AA62" s="193"/>
      <c r="AB62" s="193"/>
      <c r="AC62" s="193"/>
      <c r="AD62" s="193"/>
      <c r="AE62" s="193"/>
      <c r="AF62" s="193"/>
      <c r="AG62" s="193"/>
      <c r="AH62" s="193"/>
      <c r="AI62" s="193"/>
      <c r="AJ62" s="193"/>
      <c r="AK62" s="193"/>
      <c r="AL62" s="193"/>
      <c r="AM62" s="193"/>
      <c r="AN62" s="193"/>
      <c r="AO62" s="193"/>
      <c r="AP62" s="193"/>
      <c r="AQ62" s="193"/>
      <c r="AR62" s="193"/>
      <c r="AS62" s="193"/>
      <c r="AT62" s="193"/>
      <c r="AU62" s="193"/>
      <c r="AV62" s="193"/>
      <c r="AW62" s="193"/>
      <c r="AX62" s="193"/>
      <c r="AY62" s="193"/>
      <c r="AZ62" s="193"/>
      <c r="BA62" s="193"/>
      <c r="BB62" s="193"/>
      <c r="BC62" s="193"/>
      <c r="BD62" s="193"/>
      <c r="BE62" s="193"/>
      <c r="BF62" s="193"/>
      <c r="BG62" s="193"/>
      <c r="BH62" s="193"/>
      <c r="BI62" s="193"/>
      <c r="BJ62" s="193"/>
      <c r="BK62" s="193"/>
      <c r="BL62" s="193"/>
      <c r="BM62" s="193"/>
      <c r="BN62" s="193"/>
      <c r="BO62" s="193"/>
      <c r="BP62" s="193"/>
      <c r="BQ62" s="193"/>
      <c r="BR62" s="193"/>
      <c r="BS62" s="193"/>
      <c r="BT62" s="193"/>
      <c r="BU62" s="193"/>
      <c r="BV62" s="193"/>
      <c r="BW62" s="193"/>
      <c r="BX62" s="193"/>
      <c r="BY62" s="193"/>
      <c r="BZ62" s="193"/>
      <c r="CA62" s="193"/>
      <c r="CB62" s="193"/>
      <c r="CC62" s="193"/>
      <c r="CD62" s="193"/>
      <c r="CE62" s="193"/>
      <c r="CF62" s="193"/>
      <c r="CG62" s="193"/>
      <c r="CH62" s="193"/>
      <c r="CI62" s="193"/>
      <c r="CJ62" s="193"/>
      <c r="CK62" s="193"/>
      <c r="CL62" s="193"/>
      <c r="CM62" s="193"/>
      <c r="CN62" s="193"/>
      <c r="CO62" s="193"/>
      <c r="CP62" s="193"/>
      <c r="CQ62" s="193"/>
      <c r="CR62" s="193"/>
      <c r="CS62" s="193"/>
      <c r="CT62" s="193"/>
      <c r="CU62" s="193"/>
      <c r="CV62" s="193"/>
      <c r="CW62" s="193"/>
      <c r="CX62" s="193"/>
      <c r="CY62" s="193"/>
      <c r="CZ62" s="193"/>
      <c r="DA62" s="193"/>
      <c r="DB62" s="193"/>
      <c r="DC62" s="193"/>
      <c r="DD62" s="193"/>
      <c r="DE62" s="193"/>
      <c r="DF62" s="193"/>
      <c r="DG62" s="193"/>
      <c r="DH62" s="193"/>
      <c r="DI62" s="193"/>
      <c r="DJ62" s="193"/>
      <c r="DK62" s="193"/>
      <c r="DL62" s="193"/>
      <c r="DM62" s="193"/>
      <c r="DN62" s="193"/>
      <c r="DO62" s="193"/>
      <c r="DP62" s="193"/>
      <c r="DQ62" s="193"/>
      <c r="DR62" s="193"/>
      <c r="DS62" s="193"/>
      <c r="DT62" s="193"/>
      <c r="DU62" s="193"/>
      <c r="DV62" s="193"/>
      <c r="DW62" s="193"/>
      <c r="DX62" s="193"/>
      <c r="DY62" s="193"/>
      <c r="DZ62" s="193"/>
      <c r="EA62" s="193"/>
      <c r="EB62" s="193"/>
      <c r="EC62" s="193"/>
      <c r="ED62" s="193"/>
      <c r="EE62" s="193"/>
      <c r="EF62" s="193"/>
      <c r="EG62" s="193"/>
      <c r="EH62" s="193"/>
      <c r="EI62" s="193"/>
      <c r="EJ62" s="193"/>
      <c r="EK62" s="193"/>
      <c r="EL62" s="193"/>
      <c r="EM62" s="193"/>
      <c r="EN62" s="193"/>
      <c r="EO62" s="193"/>
      <c r="EP62" s="193"/>
      <c r="EQ62" s="193"/>
      <c r="ER62" s="193"/>
      <c r="ES62" s="193"/>
      <c r="ET62" s="193"/>
      <c r="EU62" s="193"/>
      <c r="EV62" s="193"/>
      <c r="EW62" s="193"/>
      <c r="EX62" s="193"/>
      <c r="EY62" s="193"/>
      <c r="EZ62" s="193"/>
      <c r="FA62" s="193"/>
      <c r="FB62" s="193"/>
      <c r="FC62" s="193"/>
      <c r="FD62" s="193"/>
      <c r="FE62" s="193"/>
      <c r="FF62" s="193"/>
      <c r="FG62" s="193"/>
      <c r="FH62" s="193"/>
      <c r="FI62" s="193"/>
      <c r="FJ62" s="193"/>
      <c r="FK62" s="193"/>
      <c r="FL62" s="193"/>
      <c r="FM62" s="193"/>
      <c r="FN62" s="193"/>
      <c r="FO62" s="193"/>
      <c r="FP62" s="193"/>
      <c r="FQ62" s="193"/>
      <c r="FR62" s="193"/>
      <c r="FS62" s="193"/>
      <c r="FT62" s="193"/>
      <c r="FU62" s="193"/>
      <c r="FV62" s="193"/>
      <c r="FW62" s="193"/>
      <c r="FX62" s="193"/>
      <c r="FY62" s="193"/>
      <c r="FZ62" s="193"/>
      <c r="GA62" s="193"/>
      <c r="GB62" s="193"/>
      <c r="GC62" s="193"/>
      <c r="GD62" s="193"/>
      <c r="GE62" s="193"/>
      <c r="GF62" s="193"/>
      <c r="GG62" s="193"/>
      <c r="GH62" s="193"/>
      <c r="GI62" s="193"/>
      <c r="GJ62" s="193"/>
      <c r="GK62" s="193"/>
      <c r="GL62" s="193"/>
      <c r="GM62" s="193"/>
      <c r="GN62" s="193"/>
      <c r="GO62" s="193"/>
      <c r="GP62" s="193"/>
      <c r="GQ62" s="193"/>
      <c r="GR62" s="193"/>
      <c r="GS62" s="193"/>
      <c r="GT62" s="193"/>
      <c r="GU62" s="193"/>
      <c r="GV62" s="193"/>
      <c r="GW62" s="193"/>
      <c r="GX62" s="193"/>
      <c r="GY62" s="193"/>
      <c r="GZ62" s="193"/>
      <c r="HA62" s="193"/>
      <c r="HB62" s="193"/>
      <c r="HC62" s="193"/>
      <c r="HD62" s="193"/>
      <c r="HE62" s="193"/>
      <c r="HF62" s="193"/>
      <c r="HG62" s="193"/>
      <c r="HH62" s="193"/>
      <c r="HI62" s="193"/>
      <c r="HJ62" s="193"/>
      <c r="HK62" s="193"/>
      <c r="HL62" s="193"/>
      <c r="HM62" s="193"/>
      <c r="HN62" s="193"/>
      <c r="HO62" s="193"/>
      <c r="HP62" s="193"/>
      <c r="HQ62" s="193"/>
      <c r="HR62" s="193"/>
      <c r="HS62" s="193"/>
      <c r="HT62" s="193"/>
      <c r="HU62" s="193"/>
      <c r="HV62" s="193"/>
      <c r="HW62" s="193"/>
      <c r="HX62" s="193"/>
      <c r="HY62" s="193"/>
      <c r="HZ62" s="193"/>
      <c r="IA62" s="193"/>
      <c r="IB62" s="193"/>
      <c r="IC62" s="193"/>
      <c r="ID62" s="193"/>
      <c r="IE62" s="193"/>
      <c r="IF62" s="193"/>
      <c r="IG62" s="193"/>
      <c r="IH62" s="193"/>
      <c r="II62" s="193"/>
      <c r="IJ62" s="193"/>
      <c r="IK62" s="193"/>
      <c r="IL62" s="193"/>
      <c r="IM62" s="193"/>
      <c r="IN62" s="193"/>
      <c r="IO62" s="193"/>
      <c r="IP62" s="193"/>
      <c r="IQ62" s="193"/>
    </row>
    <row r="63" spans="1:251" hidden="1">
      <c r="A63" s="1026"/>
      <c r="B63" s="1955"/>
      <c r="C63" s="1955"/>
      <c r="D63" s="2034"/>
      <c r="E63" s="1955"/>
      <c r="F63" s="1942">
        <f t="shared" si="15"/>
        <v>0</v>
      </c>
      <c r="G63" s="1026"/>
      <c r="H63" s="1942">
        <f t="shared" si="24"/>
        <v>0</v>
      </c>
      <c r="I63" s="1026"/>
      <c r="J63" s="1942">
        <f t="shared" si="6"/>
        <v>0</v>
      </c>
      <c r="K63" s="1026"/>
      <c r="L63" s="1942">
        <f t="shared" si="25"/>
        <v>0</v>
      </c>
      <c r="M63" s="1942">
        <f t="shared" si="26"/>
        <v>0</v>
      </c>
      <c r="N63" s="1942">
        <f t="shared" si="27"/>
        <v>0</v>
      </c>
      <c r="O63" s="1026"/>
      <c r="P63" s="1026"/>
      <c r="Q63" s="1942">
        <f t="shared" si="28"/>
        <v>0</v>
      </c>
      <c r="R63" s="1942">
        <f t="shared" si="10"/>
        <v>0</v>
      </c>
      <c r="S63" s="1942">
        <f t="shared" si="29"/>
        <v>0</v>
      </c>
      <c r="T63" s="1942">
        <f t="shared" si="30"/>
        <v>0</v>
      </c>
      <c r="U63" s="1942">
        <f t="shared" si="31"/>
        <v>0</v>
      </c>
      <c r="V63" s="3035">
        <f t="shared" si="2"/>
        <v>0</v>
      </c>
      <c r="W63" s="1942"/>
      <c r="X63" s="193"/>
      <c r="Y63" s="193"/>
      <c r="Z63" s="193"/>
      <c r="AA63" s="193"/>
      <c r="AB63" s="193"/>
      <c r="AC63" s="193"/>
      <c r="AD63" s="193"/>
      <c r="AE63" s="193"/>
      <c r="AF63" s="193"/>
      <c r="AG63" s="193"/>
      <c r="AH63" s="193"/>
      <c r="AI63" s="193"/>
      <c r="AJ63" s="193"/>
      <c r="AK63" s="193"/>
      <c r="AL63" s="193"/>
      <c r="AM63" s="193"/>
      <c r="AN63" s="193"/>
      <c r="AO63" s="193"/>
      <c r="AP63" s="193"/>
      <c r="AQ63" s="193"/>
      <c r="AR63" s="193"/>
      <c r="AS63" s="193"/>
      <c r="AT63" s="193"/>
      <c r="AU63" s="193"/>
      <c r="AV63" s="193"/>
      <c r="AW63" s="193"/>
      <c r="AX63" s="193"/>
      <c r="AY63" s="193"/>
      <c r="AZ63" s="193"/>
      <c r="BA63" s="193"/>
      <c r="BB63" s="193"/>
      <c r="BC63" s="193"/>
      <c r="BD63" s="193"/>
      <c r="BE63" s="193"/>
      <c r="BF63" s="193"/>
      <c r="BG63" s="193"/>
      <c r="BH63" s="193"/>
      <c r="BI63" s="193"/>
      <c r="BJ63" s="193"/>
      <c r="BK63" s="193"/>
      <c r="BL63" s="193"/>
      <c r="BM63" s="193"/>
      <c r="BN63" s="193"/>
      <c r="BO63" s="193"/>
      <c r="BP63" s="193"/>
      <c r="BQ63" s="193"/>
      <c r="BR63" s="193"/>
      <c r="BS63" s="193"/>
      <c r="BT63" s="193"/>
      <c r="BU63" s="193"/>
      <c r="BV63" s="193"/>
      <c r="BW63" s="193"/>
      <c r="BX63" s="193"/>
      <c r="BY63" s="193"/>
      <c r="BZ63" s="193"/>
      <c r="CA63" s="193"/>
      <c r="CB63" s="193"/>
      <c r="CC63" s="193"/>
      <c r="CD63" s="193"/>
      <c r="CE63" s="193"/>
      <c r="CF63" s="193"/>
      <c r="CG63" s="193"/>
      <c r="CH63" s="193"/>
      <c r="CI63" s="193"/>
      <c r="CJ63" s="193"/>
      <c r="CK63" s="193"/>
      <c r="CL63" s="193"/>
      <c r="CM63" s="193"/>
      <c r="CN63" s="193"/>
      <c r="CO63" s="193"/>
      <c r="CP63" s="193"/>
      <c r="CQ63" s="193"/>
      <c r="CR63" s="193"/>
      <c r="CS63" s="193"/>
      <c r="CT63" s="193"/>
      <c r="CU63" s="193"/>
      <c r="CV63" s="193"/>
      <c r="CW63" s="193"/>
      <c r="CX63" s="193"/>
      <c r="CY63" s="193"/>
      <c r="CZ63" s="193"/>
      <c r="DA63" s="193"/>
      <c r="DB63" s="193"/>
      <c r="DC63" s="193"/>
      <c r="DD63" s="193"/>
      <c r="DE63" s="193"/>
      <c r="DF63" s="193"/>
      <c r="DG63" s="193"/>
      <c r="DH63" s="193"/>
      <c r="DI63" s="193"/>
      <c r="DJ63" s="193"/>
      <c r="DK63" s="193"/>
      <c r="DL63" s="193"/>
      <c r="DM63" s="193"/>
      <c r="DN63" s="193"/>
      <c r="DO63" s="193"/>
      <c r="DP63" s="193"/>
      <c r="DQ63" s="193"/>
      <c r="DR63" s="193"/>
      <c r="DS63" s="193"/>
      <c r="DT63" s="193"/>
      <c r="DU63" s="193"/>
      <c r="DV63" s="193"/>
      <c r="DW63" s="193"/>
      <c r="DX63" s="193"/>
      <c r="DY63" s="193"/>
      <c r="DZ63" s="193"/>
      <c r="EA63" s="193"/>
      <c r="EB63" s="193"/>
      <c r="EC63" s="193"/>
      <c r="ED63" s="193"/>
      <c r="EE63" s="193"/>
      <c r="EF63" s="193"/>
      <c r="EG63" s="193"/>
      <c r="EH63" s="193"/>
      <c r="EI63" s="193"/>
      <c r="EJ63" s="193"/>
      <c r="EK63" s="193"/>
      <c r="EL63" s="193"/>
      <c r="EM63" s="193"/>
      <c r="EN63" s="193"/>
      <c r="EO63" s="193"/>
      <c r="EP63" s="193"/>
      <c r="EQ63" s="193"/>
      <c r="ER63" s="193"/>
      <c r="ES63" s="193"/>
      <c r="ET63" s="193"/>
      <c r="EU63" s="193"/>
      <c r="EV63" s="193"/>
      <c r="EW63" s="193"/>
      <c r="EX63" s="193"/>
      <c r="EY63" s="193"/>
      <c r="EZ63" s="193"/>
      <c r="FA63" s="193"/>
      <c r="FB63" s="193"/>
      <c r="FC63" s="193"/>
      <c r="FD63" s="193"/>
      <c r="FE63" s="193"/>
      <c r="FF63" s="193"/>
      <c r="FG63" s="193"/>
      <c r="FH63" s="193"/>
      <c r="FI63" s="193"/>
      <c r="FJ63" s="193"/>
      <c r="FK63" s="193"/>
      <c r="FL63" s="193"/>
      <c r="FM63" s="193"/>
      <c r="FN63" s="193"/>
      <c r="FO63" s="193"/>
      <c r="FP63" s="193"/>
      <c r="FQ63" s="193"/>
      <c r="FR63" s="193"/>
      <c r="FS63" s="193"/>
      <c r="FT63" s="193"/>
      <c r="FU63" s="193"/>
      <c r="FV63" s="193"/>
      <c r="FW63" s="193"/>
      <c r="FX63" s="193"/>
      <c r="FY63" s="193"/>
      <c r="FZ63" s="193"/>
      <c r="GA63" s="193"/>
      <c r="GB63" s="193"/>
      <c r="GC63" s="193"/>
      <c r="GD63" s="193"/>
      <c r="GE63" s="193"/>
      <c r="GF63" s="193"/>
      <c r="GG63" s="193"/>
      <c r="GH63" s="193"/>
      <c r="GI63" s="193"/>
      <c r="GJ63" s="193"/>
      <c r="GK63" s="193"/>
      <c r="GL63" s="193"/>
      <c r="GM63" s="193"/>
      <c r="GN63" s="193"/>
      <c r="GO63" s="193"/>
      <c r="GP63" s="193"/>
      <c r="GQ63" s="193"/>
      <c r="GR63" s="193"/>
      <c r="GS63" s="193"/>
      <c r="GT63" s="193"/>
      <c r="GU63" s="193"/>
      <c r="GV63" s="193"/>
      <c r="GW63" s="193"/>
      <c r="GX63" s="193"/>
      <c r="GY63" s="193"/>
      <c r="GZ63" s="193"/>
      <c r="HA63" s="193"/>
      <c r="HB63" s="193"/>
      <c r="HC63" s="193"/>
      <c r="HD63" s="193"/>
      <c r="HE63" s="193"/>
      <c r="HF63" s="193"/>
      <c r="HG63" s="193"/>
      <c r="HH63" s="193"/>
      <c r="HI63" s="193"/>
      <c r="HJ63" s="193"/>
      <c r="HK63" s="193"/>
      <c r="HL63" s="193"/>
      <c r="HM63" s="193"/>
      <c r="HN63" s="193"/>
      <c r="HO63" s="193"/>
      <c r="HP63" s="193"/>
      <c r="HQ63" s="193"/>
      <c r="HR63" s="193"/>
      <c r="HS63" s="193"/>
      <c r="HT63" s="193"/>
      <c r="HU63" s="193"/>
      <c r="HV63" s="193"/>
      <c r="HW63" s="193"/>
      <c r="HX63" s="193"/>
      <c r="HY63" s="193"/>
      <c r="HZ63" s="193"/>
      <c r="IA63" s="193"/>
      <c r="IB63" s="193"/>
      <c r="IC63" s="193"/>
      <c r="ID63" s="193"/>
      <c r="IE63" s="193"/>
      <c r="IF63" s="193"/>
      <c r="IG63" s="193"/>
      <c r="IH63" s="193"/>
      <c r="II63" s="193"/>
      <c r="IJ63" s="193"/>
      <c r="IK63" s="193"/>
      <c r="IL63" s="193"/>
      <c r="IM63" s="193"/>
      <c r="IN63" s="193"/>
      <c r="IO63" s="193"/>
      <c r="IP63" s="193"/>
      <c r="IQ63" s="193"/>
    </row>
    <row r="64" spans="1:251" ht="30" hidden="1">
      <c r="A64" s="1026"/>
      <c r="B64" s="1026" t="s">
        <v>525</v>
      </c>
      <c r="C64" s="1026"/>
      <c r="D64" s="2021">
        <f>SUM(D65:D100)</f>
        <v>0</v>
      </c>
      <c r="E64" s="1026"/>
      <c r="F64" s="1942">
        <f>SUM(F65:F100)</f>
        <v>0</v>
      </c>
      <c r="G64" s="1026"/>
      <c r="H64" s="1942">
        <f>SUM(H65:H100)</f>
        <v>0</v>
      </c>
      <c r="I64" s="1026"/>
      <c r="J64" s="1942">
        <f>SUM(J65:J100)</f>
        <v>0</v>
      </c>
      <c r="K64" s="1026"/>
      <c r="L64" s="1942">
        <f t="shared" ref="L64:U64" si="32">SUM(L65:L100)</f>
        <v>0</v>
      </c>
      <c r="M64" s="1942">
        <f t="shared" si="32"/>
        <v>0</v>
      </c>
      <c r="N64" s="1942">
        <f t="shared" si="32"/>
        <v>0</v>
      </c>
      <c r="O64" s="1942">
        <f t="shared" si="32"/>
        <v>0</v>
      </c>
      <c r="P64" s="1942">
        <f t="shared" si="32"/>
        <v>0</v>
      </c>
      <c r="Q64" s="1942">
        <f t="shared" si="32"/>
        <v>0</v>
      </c>
      <c r="R64" s="1942">
        <f t="shared" si="32"/>
        <v>0</v>
      </c>
      <c r="S64" s="1942">
        <f t="shared" si="32"/>
        <v>0</v>
      </c>
      <c r="T64" s="1942">
        <f t="shared" si="32"/>
        <v>0</v>
      </c>
      <c r="U64" s="1942">
        <f t="shared" si="32"/>
        <v>0</v>
      </c>
      <c r="V64" s="3035">
        <f t="shared" si="2"/>
        <v>0</v>
      </c>
      <c r="W64" s="3472"/>
      <c r="X64" s="349"/>
      <c r="Y64" s="349"/>
      <c r="Z64" s="349"/>
      <c r="AA64" s="349"/>
      <c r="AB64" s="349"/>
      <c r="AC64" s="349"/>
      <c r="AD64" s="349"/>
      <c r="AE64" s="349"/>
      <c r="AF64" s="349"/>
      <c r="AG64" s="349"/>
      <c r="AH64" s="349"/>
      <c r="AI64" s="349"/>
      <c r="AJ64" s="349"/>
      <c r="AK64" s="349"/>
      <c r="AL64" s="349"/>
      <c r="AM64" s="349"/>
      <c r="AN64" s="349"/>
      <c r="AO64" s="349"/>
      <c r="AP64" s="349"/>
      <c r="AQ64" s="349"/>
      <c r="AR64" s="349"/>
      <c r="AS64" s="349"/>
      <c r="AT64" s="349"/>
      <c r="AU64" s="349"/>
      <c r="AV64" s="349"/>
      <c r="AW64" s="349"/>
      <c r="AX64" s="349"/>
      <c r="AY64" s="349"/>
      <c r="AZ64" s="349"/>
      <c r="BA64" s="349"/>
      <c r="BB64" s="349"/>
      <c r="BC64" s="349"/>
      <c r="BD64" s="349"/>
      <c r="BE64" s="349"/>
      <c r="BF64" s="349"/>
      <c r="BG64" s="349"/>
      <c r="BH64" s="349"/>
      <c r="BI64" s="349"/>
      <c r="BJ64" s="349"/>
      <c r="BK64" s="349"/>
      <c r="BL64" s="349"/>
      <c r="BM64" s="349"/>
      <c r="BN64" s="349"/>
      <c r="BO64" s="349"/>
      <c r="BP64" s="349"/>
      <c r="BQ64" s="349"/>
      <c r="BR64" s="349"/>
      <c r="BS64" s="349"/>
      <c r="BT64" s="349"/>
      <c r="BU64" s="349"/>
      <c r="BV64" s="349"/>
      <c r="BW64" s="349"/>
      <c r="BX64" s="349"/>
      <c r="BY64" s="349"/>
      <c r="BZ64" s="349"/>
      <c r="CA64" s="349"/>
      <c r="CB64" s="349"/>
      <c r="CC64" s="349"/>
      <c r="CD64" s="349"/>
      <c r="CE64" s="349"/>
      <c r="CF64" s="349"/>
      <c r="CG64" s="349"/>
      <c r="CH64" s="349"/>
      <c r="CI64" s="349"/>
      <c r="CJ64" s="349"/>
      <c r="CK64" s="349"/>
      <c r="CL64" s="349"/>
      <c r="CM64" s="349"/>
      <c r="CN64" s="349"/>
      <c r="CO64" s="349"/>
      <c r="CP64" s="349"/>
      <c r="CQ64" s="349"/>
      <c r="CR64" s="349"/>
      <c r="CS64" s="349"/>
      <c r="CT64" s="349"/>
      <c r="CU64" s="349"/>
      <c r="CV64" s="349"/>
      <c r="CW64" s="349"/>
      <c r="CX64" s="349"/>
      <c r="CY64" s="349"/>
      <c r="CZ64" s="349"/>
      <c r="DA64" s="349"/>
      <c r="DB64" s="349"/>
      <c r="DC64" s="349"/>
      <c r="DD64" s="349"/>
      <c r="DE64" s="349"/>
      <c r="DF64" s="349"/>
      <c r="DG64" s="349"/>
      <c r="DH64" s="349"/>
      <c r="DI64" s="349"/>
      <c r="DJ64" s="349"/>
      <c r="DK64" s="349"/>
      <c r="DL64" s="349"/>
      <c r="DM64" s="349"/>
      <c r="DN64" s="349"/>
      <c r="DO64" s="349"/>
      <c r="DP64" s="349"/>
      <c r="DQ64" s="349"/>
      <c r="DR64" s="349"/>
      <c r="DS64" s="349"/>
      <c r="DT64" s="349"/>
      <c r="DU64" s="349"/>
      <c r="DV64" s="349"/>
      <c r="DW64" s="349"/>
      <c r="DX64" s="349"/>
      <c r="DY64" s="349"/>
      <c r="DZ64" s="349"/>
      <c r="EA64" s="349"/>
      <c r="EB64" s="349"/>
      <c r="EC64" s="349"/>
      <c r="ED64" s="349"/>
      <c r="EE64" s="349"/>
      <c r="EF64" s="349"/>
      <c r="EG64" s="349"/>
      <c r="EH64" s="349"/>
      <c r="EI64" s="349"/>
      <c r="EJ64" s="349"/>
      <c r="EK64" s="349"/>
      <c r="EL64" s="349"/>
      <c r="EM64" s="349"/>
      <c r="EN64" s="349"/>
      <c r="EO64" s="349"/>
      <c r="EP64" s="349"/>
      <c r="EQ64" s="349"/>
      <c r="ER64" s="349"/>
      <c r="ES64" s="349"/>
      <c r="ET64" s="349"/>
      <c r="EU64" s="349"/>
      <c r="EV64" s="349"/>
      <c r="EW64" s="349"/>
      <c r="EX64" s="349"/>
      <c r="EY64" s="349"/>
      <c r="EZ64" s="349"/>
      <c r="FA64" s="349"/>
      <c r="FB64" s="349"/>
      <c r="FC64" s="349"/>
      <c r="FD64" s="349"/>
      <c r="FE64" s="349"/>
      <c r="FF64" s="349"/>
      <c r="FG64" s="349"/>
      <c r="FH64" s="349"/>
      <c r="FI64" s="349"/>
      <c r="FJ64" s="349"/>
      <c r="FK64" s="349"/>
      <c r="FL64" s="349"/>
      <c r="FM64" s="349"/>
      <c r="FN64" s="349"/>
      <c r="FO64" s="349"/>
      <c r="FP64" s="349"/>
      <c r="FQ64" s="349"/>
      <c r="FR64" s="349"/>
      <c r="FS64" s="349"/>
      <c r="FT64" s="349"/>
      <c r="FU64" s="349"/>
      <c r="FV64" s="349"/>
      <c r="FW64" s="349"/>
      <c r="FX64" s="349"/>
      <c r="FY64" s="349"/>
      <c r="FZ64" s="349"/>
      <c r="GA64" s="349"/>
      <c r="GB64" s="349"/>
      <c r="GC64" s="349"/>
      <c r="GD64" s="349"/>
      <c r="GE64" s="349"/>
      <c r="GF64" s="349"/>
      <c r="GG64" s="349"/>
      <c r="GH64" s="349"/>
      <c r="GI64" s="349"/>
      <c r="GJ64" s="349"/>
      <c r="GK64" s="349"/>
      <c r="GL64" s="349"/>
      <c r="GM64" s="349"/>
      <c r="GN64" s="349"/>
      <c r="GO64" s="349"/>
      <c r="GP64" s="349"/>
      <c r="GQ64" s="349"/>
      <c r="GR64" s="349"/>
      <c r="GS64" s="349"/>
      <c r="GT64" s="349"/>
      <c r="GU64" s="349"/>
      <c r="GV64" s="349"/>
      <c r="GW64" s="349"/>
      <c r="GX64" s="349"/>
      <c r="GY64" s="349"/>
      <c r="GZ64" s="349"/>
      <c r="HA64" s="349"/>
      <c r="HB64" s="349"/>
      <c r="HC64" s="349"/>
      <c r="HD64" s="349"/>
      <c r="HE64" s="349"/>
      <c r="HF64" s="349"/>
      <c r="HG64" s="349"/>
      <c r="HH64" s="349"/>
      <c r="HI64" s="349"/>
      <c r="HJ64" s="349"/>
      <c r="HK64" s="349"/>
      <c r="HL64" s="349"/>
      <c r="HM64" s="349"/>
      <c r="HN64" s="349"/>
      <c r="HO64" s="349"/>
      <c r="HP64" s="349"/>
      <c r="HQ64" s="349"/>
      <c r="HR64" s="349"/>
      <c r="HS64" s="349"/>
      <c r="HT64" s="349"/>
      <c r="HU64" s="349"/>
      <c r="HV64" s="349"/>
      <c r="HW64" s="349"/>
      <c r="HX64" s="349"/>
      <c r="HY64" s="349"/>
      <c r="HZ64" s="349"/>
      <c r="IA64" s="349"/>
      <c r="IB64" s="349"/>
      <c r="IC64" s="349"/>
      <c r="ID64" s="349"/>
      <c r="IE64" s="349"/>
      <c r="IF64" s="349"/>
      <c r="IG64" s="349"/>
      <c r="IH64" s="349"/>
      <c r="II64" s="349"/>
      <c r="IJ64" s="349"/>
      <c r="IK64" s="349"/>
      <c r="IL64" s="349"/>
      <c r="IM64" s="349"/>
      <c r="IN64" s="349"/>
      <c r="IO64" s="349"/>
      <c r="IP64" s="349"/>
      <c r="IQ64" s="349"/>
    </row>
    <row r="65" spans="1:251" hidden="1">
      <c r="A65" s="1026"/>
      <c r="B65" s="1955" t="s">
        <v>526</v>
      </c>
      <c r="C65" s="1955"/>
      <c r="D65" s="2034"/>
      <c r="E65" s="1955"/>
      <c r="F65" s="1942">
        <f>ROUNDUP((E65*$Q$5),-3)</f>
        <v>0</v>
      </c>
      <c r="G65" s="1026"/>
      <c r="H65" s="1942">
        <f>D65*F65*G65</f>
        <v>0</v>
      </c>
      <c r="I65" s="1026"/>
      <c r="J65" s="1942">
        <f>I65*$Q$4</f>
        <v>0</v>
      </c>
      <c r="K65" s="1026"/>
      <c r="L65" s="1942">
        <f>K65*F65</f>
        <v>0</v>
      </c>
      <c r="M65" s="1942">
        <f>D65*G65*(J65+L65)</f>
        <v>0</v>
      </c>
      <c r="N65" s="1942">
        <f>H65+M65</f>
        <v>0</v>
      </c>
      <c r="O65" s="1026"/>
      <c r="P65" s="1026"/>
      <c r="Q65" s="1942">
        <f>N65+O65+P65</f>
        <v>0</v>
      </c>
      <c r="R65" s="1942">
        <f>Q65*10%</f>
        <v>0</v>
      </c>
      <c r="S65" s="1942">
        <f>(Q65-R65)*10%</f>
        <v>0</v>
      </c>
      <c r="T65" s="1942">
        <f>(Q65-R65)*6%</f>
        <v>0</v>
      </c>
      <c r="U65" s="1942">
        <f>(Q65-R65)*5%</f>
        <v>0</v>
      </c>
      <c r="V65" s="3035">
        <f t="shared" si="2"/>
        <v>0</v>
      </c>
      <c r="W65" s="1942"/>
      <c r="X65" s="193"/>
      <c r="Y65" s="193"/>
      <c r="Z65" s="193"/>
      <c r="AA65" s="193"/>
      <c r="AB65" s="193"/>
      <c r="AC65" s="193"/>
      <c r="AD65" s="193"/>
      <c r="AE65" s="193"/>
      <c r="AF65" s="193"/>
      <c r="AG65" s="193"/>
      <c r="AH65" s="193"/>
      <c r="AI65" s="193"/>
      <c r="AJ65" s="193"/>
      <c r="AK65" s="193"/>
      <c r="AL65" s="193"/>
      <c r="AM65" s="193"/>
      <c r="AN65" s="193"/>
      <c r="AO65" s="193"/>
      <c r="AP65" s="193"/>
      <c r="AQ65" s="193"/>
      <c r="AR65" s="193"/>
      <c r="AS65" s="193"/>
      <c r="AT65" s="193"/>
      <c r="AU65" s="193"/>
      <c r="AV65" s="193"/>
      <c r="AW65" s="193"/>
      <c r="AX65" s="193"/>
      <c r="AY65" s="193"/>
      <c r="AZ65" s="193"/>
      <c r="BA65" s="193"/>
      <c r="BB65" s="193"/>
      <c r="BC65" s="193"/>
      <c r="BD65" s="193"/>
      <c r="BE65" s="193"/>
      <c r="BF65" s="193"/>
      <c r="BG65" s="193"/>
      <c r="BH65" s="193"/>
      <c r="BI65" s="193"/>
      <c r="BJ65" s="193"/>
      <c r="BK65" s="193"/>
      <c r="BL65" s="193"/>
      <c r="BM65" s="193"/>
      <c r="BN65" s="193"/>
      <c r="BO65" s="193"/>
      <c r="BP65" s="193"/>
      <c r="BQ65" s="193"/>
      <c r="BR65" s="193"/>
      <c r="BS65" s="193"/>
      <c r="BT65" s="193"/>
      <c r="BU65" s="193"/>
      <c r="BV65" s="193"/>
      <c r="BW65" s="193"/>
      <c r="BX65" s="193"/>
      <c r="BY65" s="193"/>
      <c r="BZ65" s="193"/>
      <c r="CA65" s="193"/>
      <c r="CB65" s="193"/>
      <c r="CC65" s="193"/>
      <c r="CD65" s="193"/>
      <c r="CE65" s="193"/>
      <c r="CF65" s="193"/>
      <c r="CG65" s="193"/>
      <c r="CH65" s="193"/>
      <c r="CI65" s="193"/>
      <c r="CJ65" s="193"/>
      <c r="CK65" s="193"/>
      <c r="CL65" s="193"/>
      <c r="CM65" s="193"/>
      <c r="CN65" s="193"/>
      <c r="CO65" s="193"/>
      <c r="CP65" s="193"/>
      <c r="CQ65" s="193"/>
      <c r="CR65" s="193"/>
      <c r="CS65" s="193"/>
      <c r="CT65" s="193"/>
      <c r="CU65" s="193"/>
      <c r="CV65" s="193"/>
      <c r="CW65" s="193"/>
      <c r="CX65" s="193"/>
      <c r="CY65" s="193"/>
      <c r="CZ65" s="193"/>
      <c r="DA65" s="193"/>
      <c r="DB65" s="193"/>
      <c r="DC65" s="193"/>
      <c r="DD65" s="193"/>
      <c r="DE65" s="193"/>
      <c r="DF65" s="193"/>
      <c r="DG65" s="193"/>
      <c r="DH65" s="193"/>
      <c r="DI65" s="193"/>
      <c r="DJ65" s="193"/>
      <c r="DK65" s="193"/>
      <c r="DL65" s="193"/>
      <c r="DM65" s="193"/>
      <c r="DN65" s="193"/>
      <c r="DO65" s="193"/>
      <c r="DP65" s="193"/>
      <c r="DQ65" s="193"/>
      <c r="DR65" s="193"/>
      <c r="DS65" s="193"/>
      <c r="DT65" s="193"/>
      <c r="DU65" s="193"/>
      <c r="DV65" s="193"/>
      <c r="DW65" s="193"/>
      <c r="DX65" s="193"/>
      <c r="DY65" s="193"/>
      <c r="DZ65" s="193"/>
      <c r="EA65" s="193"/>
      <c r="EB65" s="193"/>
      <c r="EC65" s="193"/>
      <c r="ED65" s="193"/>
      <c r="EE65" s="193"/>
      <c r="EF65" s="193"/>
      <c r="EG65" s="193"/>
      <c r="EH65" s="193"/>
      <c r="EI65" s="193"/>
      <c r="EJ65" s="193"/>
      <c r="EK65" s="193"/>
      <c r="EL65" s="193"/>
      <c r="EM65" s="193"/>
      <c r="EN65" s="193"/>
      <c r="EO65" s="193"/>
      <c r="EP65" s="193"/>
      <c r="EQ65" s="193"/>
      <c r="ER65" s="193"/>
      <c r="ES65" s="193"/>
      <c r="ET65" s="193"/>
      <c r="EU65" s="193"/>
      <c r="EV65" s="193"/>
      <c r="EW65" s="193"/>
      <c r="EX65" s="193"/>
      <c r="EY65" s="193"/>
      <c r="EZ65" s="193"/>
      <c r="FA65" s="193"/>
      <c r="FB65" s="193"/>
      <c r="FC65" s="193"/>
      <c r="FD65" s="193"/>
      <c r="FE65" s="193"/>
      <c r="FF65" s="193"/>
      <c r="FG65" s="193"/>
      <c r="FH65" s="193"/>
      <c r="FI65" s="193"/>
      <c r="FJ65" s="193"/>
      <c r="FK65" s="193"/>
      <c r="FL65" s="193"/>
      <c r="FM65" s="193"/>
      <c r="FN65" s="193"/>
      <c r="FO65" s="193"/>
      <c r="FP65" s="193"/>
      <c r="FQ65" s="193"/>
      <c r="FR65" s="193"/>
      <c r="FS65" s="193"/>
      <c r="FT65" s="193"/>
      <c r="FU65" s="193"/>
      <c r="FV65" s="193"/>
      <c r="FW65" s="193"/>
      <c r="FX65" s="193"/>
      <c r="FY65" s="193"/>
      <c r="FZ65" s="193"/>
      <c r="GA65" s="193"/>
      <c r="GB65" s="193"/>
      <c r="GC65" s="193"/>
      <c r="GD65" s="193"/>
      <c r="GE65" s="193"/>
      <c r="GF65" s="193"/>
      <c r="GG65" s="193"/>
      <c r="GH65" s="193"/>
      <c r="GI65" s="193"/>
      <c r="GJ65" s="193"/>
      <c r="GK65" s="193"/>
      <c r="GL65" s="193"/>
      <c r="GM65" s="193"/>
      <c r="GN65" s="193"/>
      <c r="GO65" s="193"/>
      <c r="GP65" s="193"/>
      <c r="GQ65" s="193"/>
      <c r="GR65" s="193"/>
      <c r="GS65" s="193"/>
      <c r="GT65" s="193"/>
      <c r="GU65" s="193"/>
      <c r="GV65" s="193"/>
      <c r="GW65" s="193"/>
      <c r="GX65" s="193"/>
      <c r="GY65" s="193"/>
      <c r="GZ65" s="193"/>
      <c r="HA65" s="193"/>
      <c r="HB65" s="193"/>
      <c r="HC65" s="193"/>
      <c r="HD65" s="193"/>
      <c r="HE65" s="193"/>
      <c r="HF65" s="193"/>
      <c r="HG65" s="193"/>
      <c r="HH65" s="193"/>
      <c r="HI65" s="193"/>
      <c r="HJ65" s="193"/>
      <c r="HK65" s="193"/>
      <c r="HL65" s="193"/>
      <c r="HM65" s="193"/>
      <c r="HN65" s="193"/>
      <c r="HO65" s="193"/>
      <c r="HP65" s="193"/>
      <c r="HQ65" s="193"/>
      <c r="HR65" s="193"/>
      <c r="HS65" s="193"/>
      <c r="HT65" s="193"/>
      <c r="HU65" s="193"/>
      <c r="HV65" s="193"/>
      <c r="HW65" s="193"/>
      <c r="HX65" s="193"/>
      <c r="HY65" s="193"/>
      <c r="HZ65" s="193"/>
      <c r="IA65" s="193"/>
      <c r="IB65" s="193"/>
      <c r="IC65" s="193"/>
      <c r="ID65" s="193"/>
      <c r="IE65" s="193"/>
      <c r="IF65" s="193"/>
      <c r="IG65" s="193"/>
      <c r="IH65" s="193"/>
      <c r="II65" s="193"/>
      <c r="IJ65" s="193"/>
      <c r="IK65" s="193"/>
      <c r="IL65" s="193"/>
      <c r="IM65" s="193"/>
      <c r="IN65" s="193"/>
      <c r="IO65" s="193"/>
      <c r="IP65" s="193"/>
      <c r="IQ65" s="193"/>
    </row>
    <row r="66" spans="1:251" hidden="1">
      <c r="A66" s="1026"/>
      <c r="B66" s="1026"/>
      <c r="C66" s="1955"/>
      <c r="D66" s="2034"/>
      <c r="E66" s="1955"/>
      <c r="F66" s="1942">
        <f>ROUNDUP((E66*$Q$5),-3)</f>
        <v>0</v>
      </c>
      <c r="G66" s="1026"/>
      <c r="H66" s="1942">
        <f>D66*F66*G66</f>
        <v>0</v>
      </c>
      <c r="I66" s="1026"/>
      <c r="J66" s="1942">
        <f>I66*$Q$4</f>
        <v>0</v>
      </c>
      <c r="K66" s="1026"/>
      <c r="L66" s="1942">
        <f>K66*F66</f>
        <v>0</v>
      </c>
      <c r="M66" s="1942">
        <f>D66*G66*(J66+L66)</f>
        <v>0</v>
      </c>
      <c r="N66" s="1942">
        <f>H66+M66</f>
        <v>0</v>
      </c>
      <c r="O66" s="1026"/>
      <c r="P66" s="1026"/>
      <c r="Q66" s="1942">
        <f>N66+O66+P66</f>
        <v>0</v>
      </c>
      <c r="R66" s="1942">
        <f>Q66*10%</f>
        <v>0</v>
      </c>
      <c r="S66" s="1942">
        <f>(Q66-R66)*10%</f>
        <v>0</v>
      </c>
      <c r="T66" s="1942">
        <f>(Q66-R66)*6%</f>
        <v>0</v>
      </c>
      <c r="U66" s="1942">
        <f>(Q66-R66)*5%</f>
        <v>0</v>
      </c>
      <c r="V66" s="3035">
        <f t="shared" si="2"/>
        <v>0</v>
      </c>
      <c r="W66" s="1942"/>
      <c r="X66" s="193"/>
      <c r="Y66" s="193"/>
      <c r="Z66" s="193"/>
      <c r="AA66" s="193"/>
      <c r="AB66" s="193"/>
      <c r="AC66" s="193"/>
      <c r="AD66" s="193"/>
      <c r="AE66" s="193"/>
      <c r="AF66" s="193"/>
      <c r="AG66" s="193"/>
      <c r="AH66" s="193"/>
      <c r="AI66" s="193"/>
      <c r="AJ66" s="193"/>
      <c r="AK66" s="193"/>
      <c r="AL66" s="193"/>
      <c r="AM66" s="193"/>
      <c r="AN66" s="193"/>
      <c r="AO66" s="193"/>
      <c r="AP66" s="193"/>
      <c r="AQ66" s="193"/>
      <c r="AR66" s="193"/>
      <c r="AS66" s="193"/>
      <c r="AT66" s="193"/>
      <c r="AU66" s="193"/>
      <c r="AV66" s="193"/>
      <c r="AW66" s="193"/>
      <c r="AX66" s="193"/>
      <c r="AY66" s="193"/>
      <c r="AZ66" s="193"/>
      <c r="BA66" s="193"/>
      <c r="BB66" s="193"/>
      <c r="BC66" s="193"/>
      <c r="BD66" s="193"/>
      <c r="BE66" s="193"/>
      <c r="BF66" s="193"/>
      <c r="BG66" s="193"/>
      <c r="BH66" s="193"/>
      <c r="BI66" s="193"/>
      <c r="BJ66" s="193"/>
      <c r="BK66" s="193"/>
      <c r="BL66" s="193"/>
      <c r="BM66" s="193"/>
      <c r="BN66" s="193"/>
      <c r="BO66" s="193"/>
      <c r="BP66" s="193"/>
      <c r="BQ66" s="193"/>
      <c r="BR66" s="193"/>
      <c r="BS66" s="193"/>
      <c r="BT66" s="193"/>
      <c r="BU66" s="193"/>
      <c r="BV66" s="193"/>
      <c r="BW66" s="193"/>
      <c r="BX66" s="193"/>
      <c r="BY66" s="193"/>
      <c r="BZ66" s="193"/>
      <c r="CA66" s="193"/>
      <c r="CB66" s="193"/>
      <c r="CC66" s="193"/>
      <c r="CD66" s="193"/>
      <c r="CE66" s="193"/>
      <c r="CF66" s="193"/>
      <c r="CG66" s="193"/>
      <c r="CH66" s="193"/>
      <c r="CI66" s="193"/>
      <c r="CJ66" s="193"/>
      <c r="CK66" s="193"/>
      <c r="CL66" s="193"/>
      <c r="CM66" s="193"/>
      <c r="CN66" s="193"/>
      <c r="CO66" s="193"/>
      <c r="CP66" s="193"/>
      <c r="CQ66" s="193"/>
      <c r="CR66" s="193"/>
      <c r="CS66" s="193"/>
      <c r="CT66" s="193"/>
      <c r="CU66" s="193"/>
      <c r="CV66" s="193"/>
      <c r="CW66" s="193"/>
      <c r="CX66" s="193"/>
      <c r="CY66" s="193"/>
      <c r="CZ66" s="193"/>
      <c r="DA66" s="193"/>
      <c r="DB66" s="193"/>
      <c r="DC66" s="193"/>
      <c r="DD66" s="193"/>
      <c r="DE66" s="193"/>
      <c r="DF66" s="193"/>
      <c r="DG66" s="193"/>
      <c r="DH66" s="193"/>
      <c r="DI66" s="193"/>
      <c r="DJ66" s="193"/>
      <c r="DK66" s="193"/>
      <c r="DL66" s="193"/>
      <c r="DM66" s="193"/>
      <c r="DN66" s="193"/>
      <c r="DO66" s="193"/>
      <c r="DP66" s="193"/>
      <c r="DQ66" s="193"/>
      <c r="DR66" s="193"/>
      <c r="DS66" s="193"/>
      <c r="DT66" s="193"/>
      <c r="DU66" s="193"/>
      <c r="DV66" s="193"/>
      <c r="DW66" s="193"/>
      <c r="DX66" s="193"/>
      <c r="DY66" s="193"/>
      <c r="DZ66" s="193"/>
      <c r="EA66" s="193"/>
      <c r="EB66" s="193"/>
      <c r="EC66" s="193"/>
      <c r="ED66" s="193"/>
      <c r="EE66" s="193"/>
      <c r="EF66" s="193"/>
      <c r="EG66" s="193"/>
      <c r="EH66" s="193"/>
      <c r="EI66" s="193"/>
      <c r="EJ66" s="193"/>
      <c r="EK66" s="193"/>
      <c r="EL66" s="193"/>
      <c r="EM66" s="193"/>
      <c r="EN66" s="193"/>
      <c r="EO66" s="193"/>
      <c r="EP66" s="193"/>
      <c r="EQ66" s="193"/>
      <c r="ER66" s="193"/>
      <c r="ES66" s="193"/>
      <c r="ET66" s="193"/>
      <c r="EU66" s="193"/>
      <c r="EV66" s="193"/>
      <c r="EW66" s="193"/>
      <c r="EX66" s="193"/>
      <c r="EY66" s="193"/>
      <c r="EZ66" s="193"/>
      <c r="FA66" s="193"/>
      <c r="FB66" s="193"/>
      <c r="FC66" s="193"/>
      <c r="FD66" s="193"/>
      <c r="FE66" s="193"/>
      <c r="FF66" s="193"/>
      <c r="FG66" s="193"/>
      <c r="FH66" s="193"/>
      <c r="FI66" s="193"/>
      <c r="FJ66" s="193"/>
      <c r="FK66" s="193"/>
      <c r="FL66" s="193"/>
      <c r="FM66" s="193"/>
      <c r="FN66" s="193"/>
      <c r="FO66" s="193"/>
      <c r="FP66" s="193"/>
      <c r="FQ66" s="193"/>
      <c r="FR66" s="193"/>
      <c r="FS66" s="193"/>
      <c r="FT66" s="193"/>
      <c r="FU66" s="193"/>
      <c r="FV66" s="193"/>
      <c r="FW66" s="193"/>
      <c r="FX66" s="193"/>
      <c r="FY66" s="193"/>
      <c r="FZ66" s="193"/>
      <c r="GA66" s="193"/>
      <c r="GB66" s="193"/>
      <c r="GC66" s="193"/>
      <c r="GD66" s="193"/>
      <c r="GE66" s="193"/>
      <c r="GF66" s="193"/>
      <c r="GG66" s="193"/>
      <c r="GH66" s="193"/>
      <c r="GI66" s="193"/>
      <c r="GJ66" s="193"/>
      <c r="GK66" s="193"/>
      <c r="GL66" s="193"/>
      <c r="GM66" s="193"/>
      <c r="GN66" s="193"/>
      <c r="GO66" s="193"/>
      <c r="GP66" s="193"/>
      <c r="GQ66" s="193"/>
      <c r="GR66" s="193"/>
      <c r="GS66" s="193"/>
      <c r="GT66" s="193"/>
      <c r="GU66" s="193"/>
      <c r="GV66" s="193"/>
      <c r="GW66" s="193"/>
      <c r="GX66" s="193"/>
      <c r="GY66" s="193"/>
      <c r="GZ66" s="193"/>
      <c r="HA66" s="193"/>
      <c r="HB66" s="193"/>
      <c r="HC66" s="193"/>
      <c r="HD66" s="193"/>
      <c r="HE66" s="193"/>
      <c r="HF66" s="193"/>
      <c r="HG66" s="193"/>
      <c r="HH66" s="193"/>
      <c r="HI66" s="193"/>
      <c r="HJ66" s="193"/>
      <c r="HK66" s="193"/>
      <c r="HL66" s="193"/>
      <c r="HM66" s="193"/>
      <c r="HN66" s="193"/>
      <c r="HO66" s="193"/>
      <c r="HP66" s="193"/>
      <c r="HQ66" s="193"/>
      <c r="HR66" s="193"/>
      <c r="HS66" s="193"/>
      <c r="HT66" s="193"/>
      <c r="HU66" s="193"/>
      <c r="HV66" s="193"/>
      <c r="HW66" s="193"/>
      <c r="HX66" s="193"/>
      <c r="HY66" s="193"/>
      <c r="HZ66" s="193"/>
      <c r="IA66" s="193"/>
      <c r="IB66" s="193"/>
      <c r="IC66" s="193"/>
      <c r="ID66" s="193"/>
      <c r="IE66" s="193"/>
      <c r="IF66" s="193"/>
      <c r="IG66" s="193"/>
      <c r="IH66" s="193"/>
      <c r="II66" s="193"/>
      <c r="IJ66" s="193"/>
      <c r="IK66" s="193"/>
      <c r="IL66" s="193"/>
      <c r="IM66" s="193"/>
      <c r="IN66" s="193"/>
      <c r="IO66" s="193"/>
      <c r="IP66" s="193"/>
      <c r="IQ66" s="193"/>
    </row>
    <row r="67" spans="1:251" hidden="1">
      <c r="A67" s="1026"/>
      <c r="B67" s="1955"/>
      <c r="C67" s="1955"/>
      <c r="D67" s="2034"/>
      <c r="E67" s="1955"/>
      <c r="F67" s="1942">
        <f>ROUNDUP((E67*$Q$5),-3)</f>
        <v>0</v>
      </c>
      <c r="G67" s="1026"/>
      <c r="H67" s="1942">
        <f>D67*F67*G67</f>
        <v>0</v>
      </c>
      <c r="I67" s="1026"/>
      <c r="J67" s="1942">
        <f>I67*$Q$4</f>
        <v>0</v>
      </c>
      <c r="K67" s="1026"/>
      <c r="L67" s="1942">
        <f>K67*F67</f>
        <v>0</v>
      </c>
      <c r="M67" s="1942">
        <f>D67*G67*(J67+L67)</f>
        <v>0</v>
      </c>
      <c r="N67" s="1942">
        <f>H67+M67</f>
        <v>0</v>
      </c>
      <c r="O67" s="1026"/>
      <c r="P67" s="1026"/>
      <c r="Q67" s="1942">
        <f>N67+O67+P67</f>
        <v>0</v>
      </c>
      <c r="R67" s="1942">
        <f>Q67*10%</f>
        <v>0</v>
      </c>
      <c r="S67" s="1942">
        <f>(Q67-R67)*10%</f>
        <v>0</v>
      </c>
      <c r="T67" s="1942">
        <f>(Q67-R67)*6%</f>
        <v>0</v>
      </c>
      <c r="U67" s="1942">
        <f>(Q67-R67)*5%</f>
        <v>0</v>
      </c>
      <c r="V67" s="3035">
        <f t="shared" si="2"/>
        <v>0</v>
      </c>
      <c r="W67" s="1942"/>
      <c r="X67" s="193"/>
      <c r="Y67" s="193"/>
      <c r="Z67" s="193"/>
      <c r="AA67" s="193"/>
      <c r="AB67" s="193"/>
      <c r="AC67" s="193"/>
      <c r="AD67" s="193"/>
      <c r="AE67" s="193"/>
      <c r="AF67" s="193"/>
      <c r="AG67" s="193"/>
      <c r="AH67" s="193"/>
      <c r="AI67" s="193"/>
      <c r="AJ67" s="193"/>
      <c r="AK67" s="193"/>
      <c r="AL67" s="193"/>
      <c r="AM67" s="193"/>
      <c r="AN67" s="193"/>
      <c r="AO67" s="193"/>
      <c r="AP67" s="193"/>
      <c r="AQ67" s="193"/>
      <c r="AR67" s="193"/>
      <c r="AS67" s="193"/>
      <c r="AT67" s="193"/>
      <c r="AU67" s="193"/>
      <c r="AV67" s="193"/>
      <c r="AW67" s="193"/>
      <c r="AX67" s="193"/>
      <c r="AY67" s="193"/>
      <c r="AZ67" s="193"/>
      <c r="BA67" s="193"/>
      <c r="BB67" s="193"/>
      <c r="BC67" s="193"/>
      <c r="BD67" s="193"/>
      <c r="BE67" s="193"/>
      <c r="BF67" s="193"/>
      <c r="BG67" s="193"/>
      <c r="BH67" s="193"/>
      <c r="BI67" s="193"/>
      <c r="BJ67" s="193"/>
      <c r="BK67" s="193"/>
      <c r="BL67" s="193"/>
      <c r="BM67" s="193"/>
      <c r="BN67" s="193"/>
      <c r="BO67" s="193"/>
      <c r="BP67" s="193"/>
      <c r="BQ67" s="193"/>
      <c r="BR67" s="193"/>
      <c r="BS67" s="193"/>
      <c r="BT67" s="193"/>
      <c r="BU67" s="193"/>
      <c r="BV67" s="193"/>
      <c r="BW67" s="193"/>
      <c r="BX67" s="193"/>
      <c r="BY67" s="193"/>
      <c r="BZ67" s="193"/>
      <c r="CA67" s="193"/>
      <c r="CB67" s="193"/>
      <c r="CC67" s="193"/>
      <c r="CD67" s="193"/>
      <c r="CE67" s="193"/>
      <c r="CF67" s="193"/>
      <c r="CG67" s="193"/>
      <c r="CH67" s="193"/>
      <c r="CI67" s="193"/>
      <c r="CJ67" s="193"/>
      <c r="CK67" s="193"/>
      <c r="CL67" s="193"/>
      <c r="CM67" s="193"/>
      <c r="CN67" s="193"/>
      <c r="CO67" s="193"/>
      <c r="CP67" s="193"/>
      <c r="CQ67" s="193"/>
      <c r="CR67" s="193"/>
      <c r="CS67" s="193"/>
      <c r="CT67" s="193"/>
      <c r="CU67" s="193"/>
      <c r="CV67" s="193"/>
      <c r="CW67" s="193"/>
      <c r="CX67" s="193"/>
      <c r="CY67" s="193"/>
      <c r="CZ67" s="193"/>
      <c r="DA67" s="193"/>
      <c r="DB67" s="193"/>
      <c r="DC67" s="193"/>
      <c r="DD67" s="193"/>
      <c r="DE67" s="193"/>
      <c r="DF67" s="193"/>
      <c r="DG67" s="193"/>
      <c r="DH67" s="193"/>
      <c r="DI67" s="193"/>
      <c r="DJ67" s="193"/>
      <c r="DK67" s="193"/>
      <c r="DL67" s="193"/>
      <c r="DM67" s="193"/>
      <c r="DN67" s="193"/>
      <c r="DO67" s="193"/>
      <c r="DP67" s="193"/>
      <c r="DQ67" s="193"/>
      <c r="DR67" s="193"/>
      <c r="DS67" s="193"/>
      <c r="DT67" s="193"/>
      <c r="DU67" s="193"/>
      <c r="DV67" s="193"/>
      <c r="DW67" s="193"/>
      <c r="DX67" s="193"/>
      <c r="DY67" s="193"/>
      <c r="DZ67" s="193"/>
      <c r="EA67" s="193"/>
      <c r="EB67" s="193"/>
      <c r="EC67" s="193"/>
      <c r="ED67" s="193"/>
      <c r="EE67" s="193"/>
      <c r="EF67" s="193"/>
      <c r="EG67" s="193"/>
      <c r="EH67" s="193"/>
      <c r="EI67" s="193"/>
      <c r="EJ67" s="193"/>
      <c r="EK67" s="193"/>
      <c r="EL67" s="193"/>
      <c r="EM67" s="193"/>
      <c r="EN67" s="193"/>
      <c r="EO67" s="193"/>
      <c r="EP67" s="193"/>
      <c r="EQ67" s="193"/>
      <c r="ER67" s="193"/>
      <c r="ES67" s="193"/>
      <c r="ET67" s="193"/>
      <c r="EU67" s="193"/>
      <c r="EV67" s="193"/>
      <c r="EW67" s="193"/>
      <c r="EX67" s="193"/>
      <c r="EY67" s="193"/>
      <c r="EZ67" s="193"/>
      <c r="FA67" s="193"/>
      <c r="FB67" s="193"/>
      <c r="FC67" s="193"/>
      <c r="FD67" s="193"/>
      <c r="FE67" s="193"/>
      <c r="FF67" s="193"/>
      <c r="FG67" s="193"/>
      <c r="FH67" s="193"/>
      <c r="FI67" s="193"/>
      <c r="FJ67" s="193"/>
      <c r="FK67" s="193"/>
      <c r="FL67" s="193"/>
      <c r="FM67" s="193"/>
      <c r="FN67" s="193"/>
      <c r="FO67" s="193"/>
      <c r="FP67" s="193"/>
      <c r="FQ67" s="193"/>
      <c r="FR67" s="193"/>
      <c r="FS67" s="193"/>
      <c r="FT67" s="193"/>
      <c r="FU67" s="193"/>
      <c r="FV67" s="193"/>
      <c r="FW67" s="193"/>
      <c r="FX67" s="193"/>
      <c r="FY67" s="193"/>
      <c r="FZ67" s="193"/>
      <c r="GA67" s="193"/>
      <c r="GB67" s="193"/>
      <c r="GC67" s="193"/>
      <c r="GD67" s="193"/>
      <c r="GE67" s="193"/>
      <c r="GF67" s="193"/>
      <c r="GG67" s="193"/>
      <c r="GH67" s="193"/>
      <c r="GI67" s="193"/>
      <c r="GJ67" s="193"/>
      <c r="GK67" s="193"/>
      <c r="GL67" s="193"/>
      <c r="GM67" s="193"/>
      <c r="GN67" s="193"/>
      <c r="GO67" s="193"/>
      <c r="GP67" s="193"/>
      <c r="GQ67" s="193"/>
      <c r="GR67" s="193"/>
      <c r="GS67" s="193"/>
      <c r="GT67" s="193"/>
      <c r="GU67" s="193"/>
      <c r="GV67" s="193"/>
      <c r="GW67" s="193"/>
      <c r="GX67" s="193"/>
      <c r="GY67" s="193"/>
      <c r="GZ67" s="193"/>
      <c r="HA67" s="193"/>
      <c r="HB67" s="193"/>
      <c r="HC67" s="193"/>
      <c r="HD67" s="193"/>
      <c r="HE67" s="193"/>
      <c r="HF67" s="193"/>
      <c r="HG67" s="193"/>
      <c r="HH67" s="193"/>
      <c r="HI67" s="193"/>
      <c r="HJ67" s="193"/>
      <c r="HK67" s="193"/>
      <c r="HL67" s="193"/>
      <c r="HM67" s="193"/>
      <c r="HN67" s="193"/>
      <c r="HO67" s="193"/>
      <c r="HP67" s="193"/>
      <c r="HQ67" s="193"/>
      <c r="HR67" s="193"/>
      <c r="HS67" s="193"/>
      <c r="HT67" s="193"/>
      <c r="HU67" s="193"/>
      <c r="HV67" s="193"/>
      <c r="HW67" s="193"/>
      <c r="HX67" s="193"/>
      <c r="HY67" s="193"/>
      <c r="HZ67" s="193"/>
      <c r="IA67" s="193"/>
      <c r="IB67" s="193"/>
      <c r="IC67" s="193"/>
      <c r="ID67" s="193"/>
      <c r="IE67" s="193"/>
      <c r="IF67" s="193"/>
      <c r="IG67" s="193"/>
      <c r="IH67" s="193"/>
      <c r="II67" s="193"/>
      <c r="IJ67" s="193"/>
      <c r="IK67" s="193"/>
      <c r="IL67" s="193"/>
      <c r="IM67" s="193"/>
      <c r="IN67" s="193"/>
      <c r="IO67" s="193"/>
      <c r="IP67" s="193"/>
      <c r="IQ67" s="193"/>
    </row>
    <row r="68" spans="1:251" hidden="1">
      <c r="A68" s="1026"/>
      <c r="B68" s="1955"/>
      <c r="C68" s="1955"/>
      <c r="D68" s="2034"/>
      <c r="E68" s="1955"/>
      <c r="F68" s="1942">
        <f>ROUNDUP((E68*$Q$5),-3)</f>
        <v>0</v>
      </c>
      <c r="G68" s="1026"/>
      <c r="H68" s="1942">
        <f>D68*F68*G68</f>
        <v>0</v>
      </c>
      <c r="I68" s="1026"/>
      <c r="J68" s="1942">
        <f>I68*$Q$4</f>
        <v>0</v>
      </c>
      <c r="K68" s="1026"/>
      <c r="L68" s="1942">
        <f>K68*F68</f>
        <v>0</v>
      </c>
      <c r="M68" s="1942">
        <f>D68*G68*(J68+L68)</f>
        <v>0</v>
      </c>
      <c r="N68" s="1942">
        <f>H68+M68</f>
        <v>0</v>
      </c>
      <c r="O68" s="1026"/>
      <c r="P68" s="1026"/>
      <c r="Q68" s="1942">
        <f>N68+O68+P68</f>
        <v>0</v>
      </c>
      <c r="R68" s="1942">
        <f>Q68*10%</f>
        <v>0</v>
      </c>
      <c r="S68" s="1942">
        <f>(Q68-R68)*10%</f>
        <v>0</v>
      </c>
      <c r="T68" s="1942">
        <f>(Q68-R68)*6%</f>
        <v>0</v>
      </c>
      <c r="U68" s="1942">
        <f>(Q68-R68)*5%</f>
        <v>0</v>
      </c>
      <c r="V68" s="3035">
        <f t="shared" si="2"/>
        <v>0</v>
      </c>
      <c r="W68" s="1942"/>
      <c r="X68" s="193"/>
      <c r="Y68" s="193"/>
      <c r="Z68" s="193"/>
      <c r="AA68" s="193"/>
      <c r="AB68" s="193"/>
      <c r="AC68" s="193"/>
      <c r="AD68" s="193"/>
      <c r="AE68" s="193"/>
      <c r="AF68" s="193"/>
      <c r="AG68" s="193"/>
      <c r="AH68" s="193"/>
      <c r="AI68" s="193"/>
      <c r="AJ68" s="193"/>
      <c r="AK68" s="193"/>
      <c r="AL68" s="193"/>
      <c r="AM68" s="193"/>
      <c r="AN68" s="193"/>
      <c r="AO68" s="193"/>
      <c r="AP68" s="193"/>
      <c r="AQ68" s="193"/>
      <c r="AR68" s="193"/>
      <c r="AS68" s="193"/>
      <c r="AT68" s="193"/>
      <c r="AU68" s="193"/>
      <c r="AV68" s="193"/>
      <c r="AW68" s="193"/>
      <c r="AX68" s="193"/>
      <c r="AY68" s="193"/>
      <c r="AZ68" s="193"/>
      <c r="BA68" s="193"/>
      <c r="BB68" s="193"/>
      <c r="BC68" s="193"/>
      <c r="BD68" s="193"/>
      <c r="BE68" s="193"/>
      <c r="BF68" s="193"/>
      <c r="BG68" s="193"/>
      <c r="BH68" s="193"/>
      <c r="BI68" s="193"/>
      <c r="BJ68" s="193"/>
      <c r="BK68" s="193"/>
      <c r="BL68" s="193"/>
      <c r="BM68" s="193"/>
      <c r="BN68" s="193"/>
      <c r="BO68" s="193"/>
      <c r="BP68" s="193"/>
      <c r="BQ68" s="193"/>
      <c r="BR68" s="193"/>
      <c r="BS68" s="193"/>
      <c r="BT68" s="193"/>
      <c r="BU68" s="193"/>
      <c r="BV68" s="193"/>
      <c r="BW68" s="193"/>
      <c r="BX68" s="193"/>
      <c r="BY68" s="193"/>
      <c r="BZ68" s="193"/>
      <c r="CA68" s="193"/>
      <c r="CB68" s="193"/>
      <c r="CC68" s="193"/>
      <c r="CD68" s="193"/>
      <c r="CE68" s="193"/>
      <c r="CF68" s="193"/>
      <c r="CG68" s="193"/>
      <c r="CH68" s="193"/>
      <c r="CI68" s="193"/>
      <c r="CJ68" s="193"/>
      <c r="CK68" s="193"/>
      <c r="CL68" s="193"/>
      <c r="CM68" s="193"/>
      <c r="CN68" s="193"/>
      <c r="CO68" s="193"/>
      <c r="CP68" s="193"/>
      <c r="CQ68" s="193"/>
      <c r="CR68" s="193"/>
      <c r="CS68" s="193"/>
      <c r="CT68" s="193"/>
      <c r="CU68" s="193"/>
      <c r="CV68" s="193"/>
      <c r="CW68" s="193"/>
      <c r="CX68" s="193"/>
      <c r="CY68" s="193"/>
      <c r="CZ68" s="193"/>
      <c r="DA68" s="193"/>
      <c r="DB68" s="193"/>
      <c r="DC68" s="193"/>
      <c r="DD68" s="193"/>
      <c r="DE68" s="193"/>
      <c r="DF68" s="193"/>
      <c r="DG68" s="193"/>
      <c r="DH68" s="193"/>
      <c r="DI68" s="193"/>
      <c r="DJ68" s="193"/>
      <c r="DK68" s="193"/>
      <c r="DL68" s="193"/>
      <c r="DM68" s="193"/>
      <c r="DN68" s="193"/>
      <c r="DO68" s="193"/>
      <c r="DP68" s="193"/>
      <c r="DQ68" s="193"/>
      <c r="DR68" s="193"/>
      <c r="DS68" s="193"/>
      <c r="DT68" s="193"/>
      <c r="DU68" s="193"/>
      <c r="DV68" s="193"/>
      <c r="DW68" s="193"/>
      <c r="DX68" s="193"/>
      <c r="DY68" s="193"/>
      <c r="DZ68" s="193"/>
      <c r="EA68" s="193"/>
      <c r="EB68" s="193"/>
      <c r="EC68" s="193"/>
      <c r="ED68" s="193"/>
      <c r="EE68" s="193"/>
      <c r="EF68" s="193"/>
      <c r="EG68" s="193"/>
      <c r="EH68" s="193"/>
      <c r="EI68" s="193"/>
      <c r="EJ68" s="193"/>
      <c r="EK68" s="193"/>
      <c r="EL68" s="193"/>
      <c r="EM68" s="193"/>
      <c r="EN68" s="193"/>
      <c r="EO68" s="193"/>
      <c r="EP68" s="193"/>
      <c r="EQ68" s="193"/>
      <c r="ER68" s="193"/>
      <c r="ES68" s="193"/>
      <c r="ET68" s="193"/>
      <c r="EU68" s="193"/>
      <c r="EV68" s="193"/>
      <c r="EW68" s="193"/>
      <c r="EX68" s="193"/>
      <c r="EY68" s="193"/>
      <c r="EZ68" s="193"/>
      <c r="FA68" s="193"/>
      <c r="FB68" s="193"/>
      <c r="FC68" s="193"/>
      <c r="FD68" s="193"/>
      <c r="FE68" s="193"/>
      <c r="FF68" s="193"/>
      <c r="FG68" s="193"/>
      <c r="FH68" s="193"/>
      <c r="FI68" s="193"/>
      <c r="FJ68" s="193"/>
      <c r="FK68" s="193"/>
      <c r="FL68" s="193"/>
      <c r="FM68" s="193"/>
      <c r="FN68" s="193"/>
      <c r="FO68" s="193"/>
      <c r="FP68" s="193"/>
      <c r="FQ68" s="193"/>
      <c r="FR68" s="193"/>
      <c r="FS68" s="193"/>
      <c r="FT68" s="193"/>
      <c r="FU68" s="193"/>
      <c r="FV68" s="193"/>
      <c r="FW68" s="193"/>
      <c r="FX68" s="193"/>
      <c r="FY68" s="193"/>
      <c r="FZ68" s="193"/>
      <c r="GA68" s="193"/>
      <c r="GB68" s="193"/>
      <c r="GC68" s="193"/>
      <c r="GD68" s="193"/>
      <c r="GE68" s="193"/>
      <c r="GF68" s="193"/>
      <c r="GG68" s="193"/>
      <c r="GH68" s="193"/>
      <c r="GI68" s="193"/>
      <c r="GJ68" s="193"/>
      <c r="GK68" s="193"/>
      <c r="GL68" s="193"/>
      <c r="GM68" s="193"/>
      <c r="GN68" s="193"/>
      <c r="GO68" s="193"/>
      <c r="GP68" s="193"/>
      <c r="GQ68" s="193"/>
      <c r="GR68" s="193"/>
      <c r="GS68" s="193"/>
      <c r="GT68" s="193"/>
      <c r="GU68" s="193"/>
      <c r="GV68" s="193"/>
      <c r="GW68" s="193"/>
      <c r="GX68" s="193"/>
      <c r="GY68" s="193"/>
      <c r="GZ68" s="193"/>
      <c r="HA68" s="193"/>
      <c r="HB68" s="193"/>
      <c r="HC68" s="193"/>
      <c r="HD68" s="193"/>
      <c r="HE68" s="193"/>
      <c r="HF68" s="193"/>
      <c r="HG68" s="193"/>
      <c r="HH68" s="193"/>
      <c r="HI68" s="193"/>
      <c r="HJ68" s="193"/>
      <c r="HK68" s="193"/>
      <c r="HL68" s="193"/>
      <c r="HM68" s="193"/>
      <c r="HN68" s="193"/>
      <c r="HO68" s="193"/>
      <c r="HP68" s="193"/>
      <c r="HQ68" s="193"/>
      <c r="HR68" s="193"/>
      <c r="HS68" s="193"/>
      <c r="HT68" s="193"/>
      <c r="HU68" s="193"/>
      <c r="HV68" s="193"/>
      <c r="HW68" s="193"/>
      <c r="HX68" s="193"/>
      <c r="HY68" s="193"/>
      <c r="HZ68" s="193"/>
      <c r="IA68" s="193"/>
      <c r="IB68" s="193"/>
      <c r="IC68" s="193"/>
      <c r="ID68" s="193"/>
      <c r="IE68" s="193"/>
      <c r="IF68" s="193"/>
      <c r="IG68" s="193"/>
      <c r="IH68" s="193"/>
      <c r="II68" s="193"/>
      <c r="IJ68" s="193"/>
      <c r="IK68" s="193"/>
      <c r="IL68" s="193"/>
      <c r="IM68" s="193"/>
      <c r="IN68" s="193"/>
      <c r="IO68" s="193"/>
      <c r="IP68" s="193"/>
      <c r="IQ68" s="193"/>
    </row>
    <row r="69" spans="1:251" hidden="1">
      <c r="A69" s="1026"/>
      <c r="B69" s="1955"/>
      <c r="C69" s="1955"/>
      <c r="D69" s="2034"/>
      <c r="E69" s="1955"/>
      <c r="F69" s="1942">
        <f>ROUNDUP((E69*$Q$5),-3)</f>
        <v>0</v>
      </c>
      <c r="G69" s="1026"/>
      <c r="H69" s="1942">
        <f>D69*F69*G69</f>
        <v>0</v>
      </c>
      <c r="I69" s="1026"/>
      <c r="J69" s="1942">
        <f>I69*$Q$4</f>
        <v>0</v>
      </c>
      <c r="K69" s="1026"/>
      <c r="L69" s="1942">
        <f>K69*F69</f>
        <v>0</v>
      </c>
      <c r="M69" s="1942">
        <f>D69*G69*(J69+L69)</f>
        <v>0</v>
      </c>
      <c r="N69" s="1942">
        <f>H69+M69</f>
        <v>0</v>
      </c>
      <c r="O69" s="1026"/>
      <c r="P69" s="1026"/>
      <c r="Q69" s="1942">
        <f>N69+O69+P69</f>
        <v>0</v>
      </c>
      <c r="R69" s="1942">
        <f>Q69*10%</f>
        <v>0</v>
      </c>
      <c r="S69" s="1942">
        <f>(Q69-R69)*10%</f>
        <v>0</v>
      </c>
      <c r="T69" s="1942">
        <f>(Q69-R69)*6%</f>
        <v>0</v>
      </c>
      <c r="U69" s="1942">
        <f>(Q69-R69)*5%</f>
        <v>0</v>
      </c>
      <c r="V69" s="3035">
        <f t="shared" si="2"/>
        <v>0</v>
      </c>
      <c r="W69" s="1942"/>
      <c r="X69" s="193"/>
      <c r="Y69" s="193"/>
      <c r="Z69" s="193"/>
      <c r="AA69" s="193"/>
      <c r="AB69" s="193"/>
      <c r="AC69" s="193"/>
      <c r="AD69" s="193"/>
      <c r="AE69" s="193"/>
      <c r="AF69" s="193"/>
      <c r="AG69" s="193"/>
      <c r="AH69" s="193"/>
      <c r="AI69" s="193"/>
      <c r="AJ69" s="193"/>
      <c r="AK69" s="193"/>
      <c r="AL69" s="193"/>
      <c r="AM69" s="193"/>
      <c r="AN69" s="193"/>
      <c r="AO69" s="193"/>
      <c r="AP69" s="193"/>
      <c r="AQ69" s="193"/>
      <c r="AR69" s="193"/>
      <c r="AS69" s="193"/>
      <c r="AT69" s="193"/>
      <c r="AU69" s="193"/>
      <c r="AV69" s="193"/>
      <c r="AW69" s="193"/>
      <c r="AX69" s="193"/>
      <c r="AY69" s="193"/>
      <c r="AZ69" s="193"/>
      <c r="BA69" s="193"/>
      <c r="BB69" s="193"/>
      <c r="BC69" s="193"/>
      <c r="BD69" s="193"/>
      <c r="BE69" s="193"/>
      <c r="BF69" s="193"/>
      <c r="BG69" s="193"/>
      <c r="BH69" s="193"/>
      <c r="BI69" s="193"/>
      <c r="BJ69" s="193"/>
      <c r="BK69" s="193"/>
      <c r="BL69" s="193"/>
      <c r="BM69" s="193"/>
      <c r="BN69" s="193"/>
      <c r="BO69" s="193"/>
      <c r="BP69" s="193"/>
      <c r="BQ69" s="193"/>
      <c r="BR69" s="193"/>
      <c r="BS69" s="193"/>
      <c r="BT69" s="193"/>
      <c r="BU69" s="193"/>
      <c r="BV69" s="193"/>
      <c r="BW69" s="193"/>
      <c r="BX69" s="193"/>
      <c r="BY69" s="193"/>
      <c r="BZ69" s="193"/>
      <c r="CA69" s="193"/>
      <c r="CB69" s="193"/>
      <c r="CC69" s="193"/>
      <c r="CD69" s="193"/>
      <c r="CE69" s="193"/>
      <c r="CF69" s="193"/>
      <c r="CG69" s="193"/>
      <c r="CH69" s="193"/>
      <c r="CI69" s="193"/>
      <c r="CJ69" s="193"/>
      <c r="CK69" s="193"/>
      <c r="CL69" s="193"/>
      <c r="CM69" s="193"/>
      <c r="CN69" s="193"/>
      <c r="CO69" s="193"/>
      <c r="CP69" s="193"/>
      <c r="CQ69" s="193"/>
      <c r="CR69" s="193"/>
      <c r="CS69" s="193"/>
      <c r="CT69" s="193"/>
      <c r="CU69" s="193"/>
      <c r="CV69" s="193"/>
      <c r="CW69" s="193"/>
      <c r="CX69" s="193"/>
      <c r="CY69" s="193"/>
      <c r="CZ69" s="193"/>
      <c r="DA69" s="193"/>
      <c r="DB69" s="193"/>
      <c r="DC69" s="193"/>
      <c r="DD69" s="193"/>
      <c r="DE69" s="193"/>
      <c r="DF69" s="193"/>
      <c r="DG69" s="193"/>
      <c r="DH69" s="193"/>
      <c r="DI69" s="193"/>
      <c r="DJ69" s="193"/>
      <c r="DK69" s="193"/>
      <c r="DL69" s="193"/>
      <c r="DM69" s="193"/>
      <c r="DN69" s="193"/>
      <c r="DO69" s="193"/>
      <c r="DP69" s="193"/>
      <c r="DQ69" s="193"/>
      <c r="DR69" s="193"/>
      <c r="DS69" s="193"/>
      <c r="DT69" s="193"/>
      <c r="DU69" s="193"/>
      <c r="DV69" s="193"/>
      <c r="DW69" s="193"/>
      <c r="DX69" s="193"/>
      <c r="DY69" s="193"/>
      <c r="DZ69" s="193"/>
      <c r="EA69" s="193"/>
      <c r="EB69" s="193"/>
      <c r="EC69" s="193"/>
      <c r="ED69" s="193"/>
      <c r="EE69" s="193"/>
      <c r="EF69" s="193"/>
      <c r="EG69" s="193"/>
      <c r="EH69" s="193"/>
      <c r="EI69" s="193"/>
      <c r="EJ69" s="193"/>
      <c r="EK69" s="193"/>
      <c r="EL69" s="193"/>
      <c r="EM69" s="193"/>
      <c r="EN69" s="193"/>
      <c r="EO69" s="193"/>
      <c r="EP69" s="193"/>
      <c r="EQ69" s="193"/>
      <c r="ER69" s="193"/>
      <c r="ES69" s="193"/>
      <c r="ET69" s="193"/>
      <c r="EU69" s="193"/>
      <c r="EV69" s="193"/>
      <c r="EW69" s="193"/>
      <c r="EX69" s="193"/>
      <c r="EY69" s="193"/>
      <c r="EZ69" s="193"/>
      <c r="FA69" s="193"/>
      <c r="FB69" s="193"/>
      <c r="FC69" s="193"/>
      <c r="FD69" s="193"/>
      <c r="FE69" s="193"/>
      <c r="FF69" s="193"/>
      <c r="FG69" s="193"/>
      <c r="FH69" s="193"/>
      <c r="FI69" s="193"/>
      <c r="FJ69" s="193"/>
      <c r="FK69" s="193"/>
      <c r="FL69" s="193"/>
      <c r="FM69" s="193"/>
      <c r="FN69" s="193"/>
      <c r="FO69" s="193"/>
      <c r="FP69" s="193"/>
      <c r="FQ69" s="193"/>
      <c r="FR69" s="193"/>
      <c r="FS69" s="193"/>
      <c r="FT69" s="193"/>
      <c r="FU69" s="193"/>
      <c r="FV69" s="193"/>
      <c r="FW69" s="193"/>
      <c r="FX69" s="193"/>
      <c r="FY69" s="193"/>
      <c r="FZ69" s="193"/>
      <c r="GA69" s="193"/>
      <c r="GB69" s="193"/>
      <c r="GC69" s="193"/>
      <c r="GD69" s="193"/>
      <c r="GE69" s="193"/>
      <c r="GF69" s="193"/>
      <c r="GG69" s="193"/>
      <c r="GH69" s="193"/>
      <c r="GI69" s="193"/>
      <c r="GJ69" s="193"/>
      <c r="GK69" s="193"/>
      <c r="GL69" s="193"/>
      <c r="GM69" s="193"/>
      <c r="GN69" s="193"/>
      <c r="GO69" s="193"/>
      <c r="GP69" s="193"/>
      <c r="GQ69" s="193"/>
      <c r="GR69" s="193"/>
      <c r="GS69" s="193"/>
      <c r="GT69" s="193"/>
      <c r="GU69" s="193"/>
      <c r="GV69" s="193"/>
      <c r="GW69" s="193"/>
      <c r="GX69" s="193"/>
      <c r="GY69" s="193"/>
      <c r="GZ69" s="193"/>
      <c r="HA69" s="193"/>
      <c r="HB69" s="193"/>
      <c r="HC69" s="193"/>
      <c r="HD69" s="193"/>
      <c r="HE69" s="193"/>
      <c r="HF69" s="193"/>
      <c r="HG69" s="193"/>
      <c r="HH69" s="193"/>
      <c r="HI69" s="193"/>
      <c r="HJ69" s="193"/>
      <c r="HK69" s="193"/>
      <c r="HL69" s="193"/>
      <c r="HM69" s="193"/>
      <c r="HN69" s="193"/>
      <c r="HO69" s="193"/>
      <c r="HP69" s="193"/>
      <c r="HQ69" s="193"/>
      <c r="HR69" s="193"/>
      <c r="HS69" s="193"/>
      <c r="HT69" s="193"/>
      <c r="HU69" s="193"/>
      <c r="HV69" s="193"/>
      <c r="HW69" s="193"/>
      <c r="HX69" s="193"/>
      <c r="HY69" s="193"/>
      <c r="HZ69" s="193"/>
      <c r="IA69" s="193"/>
      <c r="IB69" s="193"/>
      <c r="IC69" s="193"/>
      <c r="ID69" s="193"/>
      <c r="IE69" s="193"/>
      <c r="IF69" s="193"/>
      <c r="IG69" s="193"/>
      <c r="IH69" s="193"/>
      <c r="II69" s="193"/>
      <c r="IJ69" s="193"/>
      <c r="IK69" s="193"/>
      <c r="IL69" s="193"/>
      <c r="IM69" s="193"/>
      <c r="IN69" s="193"/>
      <c r="IO69" s="193"/>
      <c r="IP69" s="193"/>
      <c r="IQ69" s="193"/>
    </row>
    <row r="70" spans="1:251" hidden="1">
      <c r="A70" s="1026"/>
      <c r="B70" s="1955"/>
      <c r="C70" s="1955"/>
      <c r="D70" s="2034"/>
      <c r="E70" s="1955"/>
      <c r="F70" s="1942">
        <f t="shared" ref="F70:F100" si="33">ROUNDUP((E70*$Q$5),-3)</f>
        <v>0</v>
      </c>
      <c r="G70" s="1026"/>
      <c r="H70" s="1942">
        <f t="shared" ref="H70:H100" si="34">D70*F70*G70</f>
        <v>0</v>
      </c>
      <c r="I70" s="1026"/>
      <c r="J70" s="1942">
        <f t="shared" ref="J70:J100" si="35">I70*$Q$4</f>
        <v>0</v>
      </c>
      <c r="K70" s="1026"/>
      <c r="L70" s="1942">
        <f t="shared" ref="L70:L100" si="36">K70*F70</f>
        <v>0</v>
      </c>
      <c r="M70" s="1942">
        <f t="shared" ref="M70:M100" si="37">D70*G70*(J70+L70)</f>
        <v>0</v>
      </c>
      <c r="N70" s="1942">
        <f t="shared" ref="N70:N100" si="38">H70+M70</f>
        <v>0</v>
      </c>
      <c r="O70" s="1026"/>
      <c r="P70" s="1026"/>
      <c r="Q70" s="1942">
        <f t="shared" ref="Q70:Q100" si="39">N70+O70+P70</f>
        <v>0</v>
      </c>
      <c r="R70" s="1942">
        <f t="shared" ref="R70:R100" si="40">Q70*10%</f>
        <v>0</v>
      </c>
      <c r="S70" s="1942">
        <f t="shared" ref="S70:S100" si="41">(Q70-R70)*10%</f>
        <v>0</v>
      </c>
      <c r="T70" s="1942">
        <f t="shared" ref="T70:T100" si="42">(Q70-R70)*6%</f>
        <v>0</v>
      </c>
      <c r="U70" s="1942">
        <f t="shared" ref="U70:U100" si="43">(Q70-R70)*5%</f>
        <v>0</v>
      </c>
      <c r="V70" s="3035">
        <f t="shared" si="2"/>
        <v>0</v>
      </c>
      <c r="W70" s="1942"/>
      <c r="X70" s="193"/>
      <c r="Y70" s="193"/>
      <c r="Z70" s="193"/>
      <c r="AA70" s="193"/>
      <c r="AB70" s="193"/>
      <c r="AC70" s="193"/>
      <c r="AD70" s="193"/>
      <c r="AE70" s="193"/>
      <c r="AF70" s="193"/>
      <c r="AG70" s="193"/>
      <c r="AH70" s="193"/>
      <c r="AI70" s="193"/>
      <c r="AJ70" s="193"/>
      <c r="AK70" s="193"/>
      <c r="AL70" s="193"/>
      <c r="AM70" s="193"/>
      <c r="AN70" s="193"/>
      <c r="AO70" s="193"/>
      <c r="AP70" s="193"/>
      <c r="AQ70" s="193"/>
      <c r="AR70" s="193"/>
      <c r="AS70" s="193"/>
      <c r="AT70" s="193"/>
      <c r="AU70" s="193"/>
      <c r="AV70" s="193"/>
      <c r="AW70" s="193"/>
      <c r="AX70" s="193"/>
      <c r="AY70" s="193"/>
      <c r="AZ70" s="193"/>
      <c r="BA70" s="193"/>
      <c r="BB70" s="193"/>
      <c r="BC70" s="193"/>
      <c r="BD70" s="193"/>
      <c r="BE70" s="193"/>
      <c r="BF70" s="193"/>
      <c r="BG70" s="193"/>
      <c r="BH70" s="193"/>
      <c r="BI70" s="193"/>
      <c r="BJ70" s="193"/>
      <c r="BK70" s="193"/>
      <c r="BL70" s="193"/>
      <c r="BM70" s="193"/>
      <c r="BN70" s="193"/>
      <c r="BO70" s="193"/>
      <c r="BP70" s="193"/>
      <c r="BQ70" s="193"/>
      <c r="BR70" s="193"/>
      <c r="BS70" s="193"/>
      <c r="BT70" s="193"/>
      <c r="BU70" s="193"/>
      <c r="BV70" s="193"/>
      <c r="BW70" s="193"/>
      <c r="BX70" s="193"/>
      <c r="BY70" s="193"/>
      <c r="BZ70" s="193"/>
      <c r="CA70" s="193"/>
      <c r="CB70" s="193"/>
      <c r="CC70" s="193"/>
      <c r="CD70" s="193"/>
      <c r="CE70" s="193"/>
      <c r="CF70" s="193"/>
      <c r="CG70" s="193"/>
      <c r="CH70" s="193"/>
      <c r="CI70" s="193"/>
      <c r="CJ70" s="193"/>
      <c r="CK70" s="193"/>
      <c r="CL70" s="193"/>
      <c r="CM70" s="193"/>
      <c r="CN70" s="193"/>
      <c r="CO70" s="193"/>
      <c r="CP70" s="193"/>
      <c r="CQ70" s="193"/>
      <c r="CR70" s="193"/>
      <c r="CS70" s="193"/>
      <c r="CT70" s="193"/>
      <c r="CU70" s="193"/>
      <c r="CV70" s="193"/>
      <c r="CW70" s="193"/>
      <c r="CX70" s="193"/>
      <c r="CY70" s="193"/>
      <c r="CZ70" s="193"/>
      <c r="DA70" s="193"/>
      <c r="DB70" s="193"/>
      <c r="DC70" s="193"/>
      <c r="DD70" s="193"/>
      <c r="DE70" s="193"/>
      <c r="DF70" s="193"/>
      <c r="DG70" s="193"/>
      <c r="DH70" s="193"/>
      <c r="DI70" s="193"/>
      <c r="DJ70" s="193"/>
      <c r="DK70" s="193"/>
      <c r="DL70" s="193"/>
      <c r="DM70" s="193"/>
      <c r="DN70" s="193"/>
      <c r="DO70" s="193"/>
      <c r="DP70" s="193"/>
      <c r="DQ70" s="193"/>
      <c r="DR70" s="193"/>
      <c r="DS70" s="193"/>
      <c r="DT70" s="193"/>
      <c r="DU70" s="193"/>
      <c r="DV70" s="193"/>
      <c r="DW70" s="193"/>
      <c r="DX70" s="193"/>
      <c r="DY70" s="193"/>
      <c r="DZ70" s="193"/>
      <c r="EA70" s="193"/>
      <c r="EB70" s="193"/>
      <c r="EC70" s="193"/>
      <c r="ED70" s="193"/>
      <c r="EE70" s="193"/>
      <c r="EF70" s="193"/>
      <c r="EG70" s="193"/>
      <c r="EH70" s="193"/>
      <c r="EI70" s="193"/>
      <c r="EJ70" s="193"/>
      <c r="EK70" s="193"/>
      <c r="EL70" s="193"/>
      <c r="EM70" s="193"/>
      <c r="EN70" s="193"/>
      <c r="EO70" s="193"/>
      <c r="EP70" s="193"/>
      <c r="EQ70" s="193"/>
      <c r="ER70" s="193"/>
      <c r="ES70" s="193"/>
      <c r="ET70" s="193"/>
      <c r="EU70" s="193"/>
      <c r="EV70" s="193"/>
      <c r="EW70" s="193"/>
      <c r="EX70" s="193"/>
      <c r="EY70" s="193"/>
      <c r="EZ70" s="193"/>
      <c r="FA70" s="193"/>
      <c r="FB70" s="193"/>
      <c r="FC70" s="193"/>
      <c r="FD70" s="193"/>
      <c r="FE70" s="193"/>
      <c r="FF70" s="193"/>
      <c r="FG70" s="193"/>
      <c r="FH70" s="193"/>
      <c r="FI70" s="193"/>
      <c r="FJ70" s="193"/>
      <c r="FK70" s="193"/>
      <c r="FL70" s="193"/>
      <c r="FM70" s="193"/>
      <c r="FN70" s="193"/>
      <c r="FO70" s="193"/>
      <c r="FP70" s="193"/>
      <c r="FQ70" s="193"/>
      <c r="FR70" s="193"/>
      <c r="FS70" s="193"/>
      <c r="FT70" s="193"/>
      <c r="FU70" s="193"/>
      <c r="FV70" s="193"/>
      <c r="FW70" s="193"/>
      <c r="FX70" s="193"/>
      <c r="FY70" s="193"/>
      <c r="FZ70" s="193"/>
      <c r="GA70" s="193"/>
      <c r="GB70" s="193"/>
      <c r="GC70" s="193"/>
      <c r="GD70" s="193"/>
      <c r="GE70" s="193"/>
      <c r="GF70" s="193"/>
      <c r="GG70" s="193"/>
      <c r="GH70" s="193"/>
      <c r="GI70" s="193"/>
      <c r="GJ70" s="193"/>
      <c r="GK70" s="193"/>
      <c r="GL70" s="193"/>
      <c r="GM70" s="193"/>
      <c r="GN70" s="193"/>
      <c r="GO70" s="193"/>
      <c r="GP70" s="193"/>
      <c r="GQ70" s="193"/>
      <c r="GR70" s="193"/>
      <c r="GS70" s="193"/>
      <c r="GT70" s="193"/>
      <c r="GU70" s="193"/>
      <c r="GV70" s="193"/>
      <c r="GW70" s="193"/>
      <c r="GX70" s="193"/>
      <c r="GY70" s="193"/>
      <c r="GZ70" s="193"/>
      <c r="HA70" s="193"/>
      <c r="HB70" s="193"/>
      <c r="HC70" s="193"/>
      <c r="HD70" s="193"/>
      <c r="HE70" s="193"/>
      <c r="HF70" s="193"/>
      <c r="HG70" s="193"/>
      <c r="HH70" s="193"/>
      <c r="HI70" s="193"/>
      <c r="HJ70" s="193"/>
      <c r="HK70" s="193"/>
      <c r="HL70" s="193"/>
      <c r="HM70" s="193"/>
      <c r="HN70" s="193"/>
      <c r="HO70" s="193"/>
      <c r="HP70" s="193"/>
      <c r="HQ70" s="193"/>
      <c r="HR70" s="193"/>
      <c r="HS70" s="193"/>
      <c r="HT70" s="193"/>
      <c r="HU70" s="193"/>
      <c r="HV70" s="193"/>
      <c r="HW70" s="193"/>
      <c r="HX70" s="193"/>
      <c r="HY70" s="193"/>
      <c r="HZ70" s="193"/>
      <c r="IA70" s="193"/>
      <c r="IB70" s="193"/>
      <c r="IC70" s="193"/>
      <c r="ID70" s="193"/>
      <c r="IE70" s="193"/>
      <c r="IF70" s="193"/>
      <c r="IG70" s="193"/>
      <c r="IH70" s="193"/>
      <c r="II70" s="193"/>
      <c r="IJ70" s="193"/>
      <c r="IK70" s="193"/>
      <c r="IL70" s="193"/>
      <c r="IM70" s="193"/>
      <c r="IN70" s="193"/>
      <c r="IO70" s="193"/>
      <c r="IP70" s="193"/>
      <c r="IQ70" s="193"/>
    </row>
    <row r="71" spans="1:251" hidden="1">
      <c r="A71" s="1026"/>
      <c r="B71" s="1955"/>
      <c r="C71" s="1955"/>
      <c r="D71" s="2034"/>
      <c r="E71" s="1955"/>
      <c r="F71" s="1942">
        <f t="shared" si="33"/>
        <v>0</v>
      </c>
      <c r="G71" s="1026"/>
      <c r="H71" s="1942">
        <f t="shared" si="34"/>
        <v>0</v>
      </c>
      <c r="I71" s="1026"/>
      <c r="J71" s="1942">
        <f t="shared" si="35"/>
        <v>0</v>
      </c>
      <c r="K71" s="1026"/>
      <c r="L71" s="1942">
        <f t="shared" si="36"/>
        <v>0</v>
      </c>
      <c r="M71" s="1942">
        <f t="shared" si="37"/>
        <v>0</v>
      </c>
      <c r="N71" s="1942">
        <f t="shared" si="38"/>
        <v>0</v>
      </c>
      <c r="O71" s="1026"/>
      <c r="P71" s="1026"/>
      <c r="Q71" s="1942">
        <f t="shared" si="39"/>
        <v>0</v>
      </c>
      <c r="R71" s="1942">
        <f t="shared" si="40"/>
        <v>0</v>
      </c>
      <c r="S71" s="1942">
        <f t="shared" si="41"/>
        <v>0</v>
      </c>
      <c r="T71" s="1942">
        <f t="shared" si="42"/>
        <v>0</v>
      </c>
      <c r="U71" s="1942">
        <f t="shared" si="43"/>
        <v>0</v>
      </c>
      <c r="V71" s="3035">
        <f t="shared" si="2"/>
        <v>0</v>
      </c>
      <c r="W71" s="1942"/>
      <c r="X71" s="193"/>
      <c r="Y71" s="193"/>
      <c r="Z71" s="193"/>
      <c r="AA71" s="193"/>
      <c r="AB71" s="193"/>
      <c r="AC71" s="193"/>
      <c r="AD71" s="193"/>
      <c r="AE71" s="193"/>
      <c r="AF71" s="193"/>
      <c r="AG71" s="193"/>
      <c r="AH71" s="193"/>
      <c r="AI71" s="193"/>
      <c r="AJ71" s="193"/>
      <c r="AK71" s="193"/>
      <c r="AL71" s="193"/>
      <c r="AM71" s="193"/>
      <c r="AN71" s="193"/>
      <c r="AO71" s="193"/>
      <c r="AP71" s="193"/>
      <c r="AQ71" s="193"/>
      <c r="AR71" s="193"/>
      <c r="AS71" s="193"/>
      <c r="AT71" s="193"/>
      <c r="AU71" s="193"/>
      <c r="AV71" s="193"/>
      <c r="AW71" s="193"/>
      <c r="AX71" s="193"/>
      <c r="AY71" s="193"/>
      <c r="AZ71" s="193"/>
      <c r="BA71" s="193"/>
      <c r="BB71" s="193"/>
      <c r="BC71" s="193"/>
      <c r="BD71" s="193"/>
      <c r="BE71" s="193"/>
      <c r="BF71" s="193"/>
      <c r="BG71" s="193"/>
      <c r="BH71" s="193"/>
      <c r="BI71" s="193"/>
      <c r="BJ71" s="193"/>
      <c r="BK71" s="193"/>
      <c r="BL71" s="193"/>
      <c r="BM71" s="193"/>
      <c r="BN71" s="193"/>
      <c r="BO71" s="193"/>
      <c r="BP71" s="193"/>
      <c r="BQ71" s="193"/>
      <c r="BR71" s="193"/>
      <c r="BS71" s="193"/>
      <c r="BT71" s="193"/>
      <c r="BU71" s="193"/>
      <c r="BV71" s="193"/>
      <c r="BW71" s="193"/>
      <c r="BX71" s="193"/>
      <c r="BY71" s="193"/>
      <c r="BZ71" s="193"/>
      <c r="CA71" s="193"/>
      <c r="CB71" s="193"/>
      <c r="CC71" s="193"/>
      <c r="CD71" s="193"/>
      <c r="CE71" s="193"/>
      <c r="CF71" s="193"/>
      <c r="CG71" s="193"/>
      <c r="CH71" s="193"/>
      <c r="CI71" s="193"/>
      <c r="CJ71" s="193"/>
      <c r="CK71" s="193"/>
      <c r="CL71" s="193"/>
      <c r="CM71" s="193"/>
      <c r="CN71" s="193"/>
      <c r="CO71" s="193"/>
      <c r="CP71" s="193"/>
      <c r="CQ71" s="193"/>
      <c r="CR71" s="193"/>
      <c r="CS71" s="193"/>
      <c r="CT71" s="193"/>
      <c r="CU71" s="193"/>
      <c r="CV71" s="193"/>
      <c r="CW71" s="193"/>
      <c r="CX71" s="193"/>
      <c r="CY71" s="193"/>
      <c r="CZ71" s="193"/>
      <c r="DA71" s="193"/>
      <c r="DB71" s="193"/>
      <c r="DC71" s="193"/>
      <c r="DD71" s="193"/>
      <c r="DE71" s="193"/>
      <c r="DF71" s="193"/>
      <c r="DG71" s="193"/>
      <c r="DH71" s="193"/>
      <c r="DI71" s="193"/>
      <c r="DJ71" s="193"/>
      <c r="DK71" s="193"/>
      <c r="DL71" s="193"/>
      <c r="DM71" s="193"/>
      <c r="DN71" s="193"/>
      <c r="DO71" s="193"/>
      <c r="DP71" s="193"/>
      <c r="DQ71" s="193"/>
      <c r="DR71" s="193"/>
      <c r="DS71" s="193"/>
      <c r="DT71" s="193"/>
      <c r="DU71" s="193"/>
      <c r="DV71" s="193"/>
      <c r="DW71" s="193"/>
      <c r="DX71" s="193"/>
      <c r="DY71" s="193"/>
      <c r="DZ71" s="193"/>
      <c r="EA71" s="193"/>
      <c r="EB71" s="193"/>
      <c r="EC71" s="193"/>
      <c r="ED71" s="193"/>
      <c r="EE71" s="193"/>
      <c r="EF71" s="193"/>
      <c r="EG71" s="193"/>
      <c r="EH71" s="193"/>
      <c r="EI71" s="193"/>
      <c r="EJ71" s="193"/>
      <c r="EK71" s="193"/>
      <c r="EL71" s="193"/>
      <c r="EM71" s="193"/>
      <c r="EN71" s="193"/>
      <c r="EO71" s="193"/>
      <c r="EP71" s="193"/>
      <c r="EQ71" s="193"/>
      <c r="ER71" s="193"/>
      <c r="ES71" s="193"/>
      <c r="ET71" s="193"/>
      <c r="EU71" s="193"/>
      <c r="EV71" s="193"/>
      <c r="EW71" s="193"/>
      <c r="EX71" s="193"/>
      <c r="EY71" s="193"/>
      <c r="EZ71" s="193"/>
      <c r="FA71" s="193"/>
      <c r="FB71" s="193"/>
      <c r="FC71" s="193"/>
      <c r="FD71" s="193"/>
      <c r="FE71" s="193"/>
      <c r="FF71" s="193"/>
      <c r="FG71" s="193"/>
      <c r="FH71" s="193"/>
      <c r="FI71" s="193"/>
      <c r="FJ71" s="193"/>
      <c r="FK71" s="193"/>
      <c r="FL71" s="193"/>
      <c r="FM71" s="193"/>
      <c r="FN71" s="193"/>
      <c r="FO71" s="193"/>
      <c r="FP71" s="193"/>
      <c r="FQ71" s="193"/>
      <c r="FR71" s="193"/>
      <c r="FS71" s="193"/>
      <c r="FT71" s="193"/>
      <c r="FU71" s="193"/>
      <c r="FV71" s="193"/>
      <c r="FW71" s="193"/>
      <c r="FX71" s="193"/>
      <c r="FY71" s="193"/>
      <c r="FZ71" s="193"/>
      <c r="GA71" s="193"/>
      <c r="GB71" s="193"/>
      <c r="GC71" s="193"/>
      <c r="GD71" s="193"/>
      <c r="GE71" s="193"/>
      <c r="GF71" s="193"/>
      <c r="GG71" s="193"/>
      <c r="GH71" s="193"/>
      <c r="GI71" s="193"/>
      <c r="GJ71" s="193"/>
      <c r="GK71" s="193"/>
      <c r="GL71" s="193"/>
      <c r="GM71" s="193"/>
      <c r="GN71" s="193"/>
      <c r="GO71" s="193"/>
      <c r="GP71" s="193"/>
      <c r="GQ71" s="193"/>
      <c r="GR71" s="193"/>
      <c r="GS71" s="193"/>
      <c r="GT71" s="193"/>
      <c r="GU71" s="193"/>
      <c r="GV71" s="193"/>
      <c r="GW71" s="193"/>
      <c r="GX71" s="193"/>
      <c r="GY71" s="193"/>
      <c r="GZ71" s="193"/>
      <c r="HA71" s="193"/>
      <c r="HB71" s="193"/>
      <c r="HC71" s="193"/>
      <c r="HD71" s="193"/>
      <c r="HE71" s="193"/>
      <c r="HF71" s="193"/>
      <c r="HG71" s="193"/>
      <c r="HH71" s="193"/>
      <c r="HI71" s="193"/>
      <c r="HJ71" s="193"/>
      <c r="HK71" s="193"/>
      <c r="HL71" s="193"/>
      <c r="HM71" s="193"/>
      <c r="HN71" s="193"/>
      <c r="HO71" s="193"/>
      <c r="HP71" s="193"/>
      <c r="HQ71" s="193"/>
      <c r="HR71" s="193"/>
      <c r="HS71" s="193"/>
      <c r="HT71" s="193"/>
      <c r="HU71" s="193"/>
      <c r="HV71" s="193"/>
      <c r="HW71" s="193"/>
      <c r="HX71" s="193"/>
      <c r="HY71" s="193"/>
      <c r="HZ71" s="193"/>
      <c r="IA71" s="193"/>
      <c r="IB71" s="193"/>
      <c r="IC71" s="193"/>
      <c r="ID71" s="193"/>
      <c r="IE71" s="193"/>
      <c r="IF71" s="193"/>
      <c r="IG71" s="193"/>
      <c r="IH71" s="193"/>
      <c r="II71" s="193"/>
      <c r="IJ71" s="193"/>
      <c r="IK71" s="193"/>
      <c r="IL71" s="193"/>
      <c r="IM71" s="193"/>
      <c r="IN71" s="193"/>
      <c r="IO71" s="193"/>
      <c r="IP71" s="193"/>
      <c r="IQ71" s="193"/>
    </row>
    <row r="72" spans="1:251" hidden="1">
      <c r="A72" s="1026"/>
      <c r="B72" s="1955"/>
      <c r="C72" s="1955"/>
      <c r="D72" s="2034"/>
      <c r="E72" s="1955"/>
      <c r="F72" s="1942">
        <f t="shared" si="33"/>
        <v>0</v>
      </c>
      <c r="G72" s="1026"/>
      <c r="H72" s="1942">
        <f t="shared" si="34"/>
        <v>0</v>
      </c>
      <c r="I72" s="1026"/>
      <c r="J72" s="1942">
        <f t="shared" si="35"/>
        <v>0</v>
      </c>
      <c r="K72" s="1026"/>
      <c r="L72" s="1942">
        <f t="shared" si="36"/>
        <v>0</v>
      </c>
      <c r="M72" s="1942">
        <f t="shared" si="37"/>
        <v>0</v>
      </c>
      <c r="N72" s="1942">
        <f t="shared" si="38"/>
        <v>0</v>
      </c>
      <c r="O72" s="1026"/>
      <c r="P72" s="1026"/>
      <c r="Q72" s="1942">
        <f t="shared" si="39"/>
        <v>0</v>
      </c>
      <c r="R72" s="1942">
        <f t="shared" si="40"/>
        <v>0</v>
      </c>
      <c r="S72" s="1942">
        <f t="shared" si="41"/>
        <v>0</v>
      </c>
      <c r="T72" s="1942">
        <f t="shared" si="42"/>
        <v>0</v>
      </c>
      <c r="U72" s="1942">
        <f t="shared" si="43"/>
        <v>0</v>
      </c>
      <c r="V72" s="3035">
        <f t="shared" si="2"/>
        <v>0</v>
      </c>
      <c r="W72" s="1942"/>
      <c r="X72" s="193"/>
      <c r="Y72" s="193"/>
      <c r="Z72" s="193"/>
      <c r="AA72" s="193"/>
      <c r="AB72" s="193"/>
      <c r="AC72" s="193"/>
      <c r="AD72" s="193"/>
      <c r="AE72" s="193"/>
      <c r="AF72" s="193"/>
      <c r="AG72" s="193"/>
      <c r="AH72" s="193"/>
      <c r="AI72" s="193"/>
      <c r="AJ72" s="193"/>
      <c r="AK72" s="193"/>
      <c r="AL72" s="193"/>
      <c r="AM72" s="193"/>
      <c r="AN72" s="193"/>
      <c r="AO72" s="193"/>
      <c r="AP72" s="193"/>
      <c r="AQ72" s="193"/>
      <c r="AR72" s="193"/>
      <c r="AS72" s="193"/>
      <c r="AT72" s="193"/>
      <c r="AU72" s="193"/>
      <c r="AV72" s="193"/>
      <c r="AW72" s="193"/>
      <c r="AX72" s="193"/>
      <c r="AY72" s="193"/>
      <c r="AZ72" s="193"/>
      <c r="BA72" s="193"/>
      <c r="BB72" s="193"/>
      <c r="BC72" s="193"/>
      <c r="BD72" s="193"/>
      <c r="BE72" s="193"/>
      <c r="BF72" s="193"/>
      <c r="BG72" s="193"/>
      <c r="BH72" s="193"/>
      <c r="BI72" s="193"/>
      <c r="BJ72" s="193"/>
      <c r="BK72" s="193"/>
      <c r="BL72" s="193"/>
      <c r="BM72" s="193"/>
      <c r="BN72" s="193"/>
      <c r="BO72" s="193"/>
      <c r="BP72" s="193"/>
      <c r="BQ72" s="193"/>
      <c r="BR72" s="193"/>
      <c r="BS72" s="193"/>
      <c r="BT72" s="193"/>
      <c r="BU72" s="193"/>
      <c r="BV72" s="193"/>
      <c r="BW72" s="193"/>
      <c r="BX72" s="193"/>
      <c r="BY72" s="193"/>
      <c r="BZ72" s="193"/>
      <c r="CA72" s="193"/>
      <c r="CB72" s="193"/>
      <c r="CC72" s="193"/>
      <c r="CD72" s="193"/>
      <c r="CE72" s="193"/>
      <c r="CF72" s="193"/>
      <c r="CG72" s="193"/>
      <c r="CH72" s="193"/>
      <c r="CI72" s="193"/>
      <c r="CJ72" s="193"/>
      <c r="CK72" s="193"/>
      <c r="CL72" s="193"/>
      <c r="CM72" s="193"/>
      <c r="CN72" s="193"/>
      <c r="CO72" s="193"/>
      <c r="CP72" s="193"/>
      <c r="CQ72" s="193"/>
      <c r="CR72" s="193"/>
      <c r="CS72" s="193"/>
      <c r="CT72" s="193"/>
      <c r="CU72" s="193"/>
      <c r="CV72" s="193"/>
      <c r="CW72" s="193"/>
      <c r="CX72" s="193"/>
      <c r="CY72" s="193"/>
      <c r="CZ72" s="193"/>
      <c r="DA72" s="193"/>
      <c r="DB72" s="193"/>
      <c r="DC72" s="193"/>
      <c r="DD72" s="193"/>
      <c r="DE72" s="193"/>
      <c r="DF72" s="193"/>
      <c r="DG72" s="193"/>
      <c r="DH72" s="193"/>
      <c r="DI72" s="193"/>
      <c r="DJ72" s="193"/>
      <c r="DK72" s="193"/>
      <c r="DL72" s="193"/>
      <c r="DM72" s="193"/>
      <c r="DN72" s="193"/>
      <c r="DO72" s="193"/>
      <c r="DP72" s="193"/>
      <c r="DQ72" s="193"/>
      <c r="DR72" s="193"/>
      <c r="DS72" s="193"/>
      <c r="DT72" s="193"/>
      <c r="DU72" s="193"/>
      <c r="DV72" s="193"/>
      <c r="DW72" s="193"/>
      <c r="DX72" s="193"/>
      <c r="DY72" s="193"/>
      <c r="DZ72" s="193"/>
      <c r="EA72" s="193"/>
      <c r="EB72" s="193"/>
      <c r="EC72" s="193"/>
      <c r="ED72" s="193"/>
      <c r="EE72" s="193"/>
      <c r="EF72" s="193"/>
      <c r="EG72" s="193"/>
      <c r="EH72" s="193"/>
      <c r="EI72" s="193"/>
      <c r="EJ72" s="193"/>
      <c r="EK72" s="193"/>
      <c r="EL72" s="193"/>
      <c r="EM72" s="193"/>
      <c r="EN72" s="193"/>
      <c r="EO72" s="193"/>
      <c r="EP72" s="193"/>
      <c r="EQ72" s="193"/>
      <c r="ER72" s="193"/>
      <c r="ES72" s="193"/>
      <c r="ET72" s="193"/>
      <c r="EU72" s="193"/>
      <c r="EV72" s="193"/>
      <c r="EW72" s="193"/>
      <c r="EX72" s="193"/>
      <c r="EY72" s="193"/>
      <c r="EZ72" s="193"/>
      <c r="FA72" s="193"/>
      <c r="FB72" s="193"/>
      <c r="FC72" s="193"/>
      <c r="FD72" s="193"/>
      <c r="FE72" s="193"/>
      <c r="FF72" s="193"/>
      <c r="FG72" s="193"/>
      <c r="FH72" s="193"/>
      <c r="FI72" s="193"/>
      <c r="FJ72" s="193"/>
      <c r="FK72" s="193"/>
      <c r="FL72" s="193"/>
      <c r="FM72" s="193"/>
      <c r="FN72" s="193"/>
      <c r="FO72" s="193"/>
      <c r="FP72" s="193"/>
      <c r="FQ72" s="193"/>
      <c r="FR72" s="193"/>
      <c r="FS72" s="193"/>
      <c r="FT72" s="193"/>
      <c r="FU72" s="193"/>
      <c r="FV72" s="193"/>
      <c r="FW72" s="193"/>
      <c r="FX72" s="193"/>
      <c r="FY72" s="193"/>
      <c r="FZ72" s="193"/>
      <c r="GA72" s="193"/>
      <c r="GB72" s="193"/>
      <c r="GC72" s="193"/>
      <c r="GD72" s="193"/>
      <c r="GE72" s="193"/>
      <c r="GF72" s="193"/>
      <c r="GG72" s="193"/>
      <c r="GH72" s="193"/>
      <c r="GI72" s="193"/>
      <c r="GJ72" s="193"/>
      <c r="GK72" s="193"/>
      <c r="GL72" s="193"/>
      <c r="GM72" s="193"/>
      <c r="GN72" s="193"/>
      <c r="GO72" s="193"/>
      <c r="GP72" s="193"/>
      <c r="GQ72" s="193"/>
      <c r="GR72" s="193"/>
      <c r="GS72" s="193"/>
      <c r="GT72" s="193"/>
      <c r="GU72" s="193"/>
      <c r="GV72" s="193"/>
      <c r="GW72" s="193"/>
      <c r="GX72" s="193"/>
      <c r="GY72" s="193"/>
      <c r="GZ72" s="193"/>
      <c r="HA72" s="193"/>
      <c r="HB72" s="193"/>
      <c r="HC72" s="193"/>
      <c r="HD72" s="193"/>
      <c r="HE72" s="193"/>
      <c r="HF72" s="193"/>
      <c r="HG72" s="193"/>
      <c r="HH72" s="193"/>
      <c r="HI72" s="193"/>
      <c r="HJ72" s="193"/>
      <c r="HK72" s="193"/>
      <c r="HL72" s="193"/>
      <c r="HM72" s="193"/>
      <c r="HN72" s="193"/>
      <c r="HO72" s="193"/>
      <c r="HP72" s="193"/>
      <c r="HQ72" s="193"/>
      <c r="HR72" s="193"/>
      <c r="HS72" s="193"/>
      <c r="HT72" s="193"/>
      <c r="HU72" s="193"/>
      <c r="HV72" s="193"/>
      <c r="HW72" s="193"/>
      <c r="HX72" s="193"/>
      <c r="HY72" s="193"/>
      <c r="HZ72" s="193"/>
      <c r="IA72" s="193"/>
      <c r="IB72" s="193"/>
      <c r="IC72" s="193"/>
      <c r="ID72" s="193"/>
      <c r="IE72" s="193"/>
      <c r="IF72" s="193"/>
      <c r="IG72" s="193"/>
      <c r="IH72" s="193"/>
      <c r="II72" s="193"/>
      <c r="IJ72" s="193"/>
      <c r="IK72" s="193"/>
      <c r="IL72" s="193"/>
      <c r="IM72" s="193"/>
      <c r="IN72" s="193"/>
      <c r="IO72" s="193"/>
      <c r="IP72" s="193"/>
      <c r="IQ72" s="193"/>
    </row>
    <row r="73" spans="1:251" hidden="1">
      <c r="A73" s="1026"/>
      <c r="B73" s="1955"/>
      <c r="C73" s="1955"/>
      <c r="D73" s="2034"/>
      <c r="E73" s="1955"/>
      <c r="F73" s="1942">
        <f t="shared" si="33"/>
        <v>0</v>
      </c>
      <c r="G73" s="1026"/>
      <c r="H73" s="1942">
        <f t="shared" si="34"/>
        <v>0</v>
      </c>
      <c r="I73" s="1026"/>
      <c r="J73" s="1942">
        <f t="shared" si="35"/>
        <v>0</v>
      </c>
      <c r="K73" s="1026"/>
      <c r="L73" s="1942">
        <f t="shared" si="36"/>
        <v>0</v>
      </c>
      <c r="M73" s="1942">
        <f t="shared" si="37"/>
        <v>0</v>
      </c>
      <c r="N73" s="1942">
        <f t="shared" si="38"/>
        <v>0</v>
      </c>
      <c r="O73" s="1026"/>
      <c r="P73" s="1026"/>
      <c r="Q73" s="1942">
        <f t="shared" si="39"/>
        <v>0</v>
      </c>
      <c r="R73" s="1942">
        <f t="shared" si="40"/>
        <v>0</v>
      </c>
      <c r="S73" s="1942">
        <f t="shared" si="41"/>
        <v>0</v>
      </c>
      <c r="T73" s="1942">
        <f t="shared" si="42"/>
        <v>0</v>
      </c>
      <c r="U73" s="1942">
        <f t="shared" si="43"/>
        <v>0</v>
      </c>
      <c r="V73" s="3035">
        <f t="shared" si="2"/>
        <v>0</v>
      </c>
      <c r="W73" s="1942"/>
      <c r="X73" s="193"/>
      <c r="Y73" s="193"/>
      <c r="Z73" s="193"/>
      <c r="AA73" s="193"/>
      <c r="AB73" s="193"/>
      <c r="AC73" s="193"/>
      <c r="AD73" s="193"/>
      <c r="AE73" s="193"/>
      <c r="AF73" s="193"/>
      <c r="AG73" s="193"/>
      <c r="AH73" s="193"/>
      <c r="AI73" s="193"/>
      <c r="AJ73" s="193"/>
      <c r="AK73" s="193"/>
      <c r="AL73" s="193"/>
      <c r="AM73" s="193"/>
      <c r="AN73" s="193"/>
      <c r="AO73" s="193"/>
      <c r="AP73" s="193"/>
      <c r="AQ73" s="193"/>
      <c r="AR73" s="193"/>
      <c r="AS73" s="193"/>
      <c r="AT73" s="193"/>
      <c r="AU73" s="193"/>
      <c r="AV73" s="193"/>
      <c r="AW73" s="193"/>
      <c r="AX73" s="193"/>
      <c r="AY73" s="193"/>
      <c r="AZ73" s="193"/>
      <c r="BA73" s="193"/>
      <c r="BB73" s="193"/>
      <c r="BC73" s="193"/>
      <c r="BD73" s="193"/>
      <c r="BE73" s="193"/>
      <c r="BF73" s="193"/>
      <c r="BG73" s="193"/>
      <c r="BH73" s="193"/>
      <c r="BI73" s="193"/>
      <c r="BJ73" s="193"/>
      <c r="BK73" s="193"/>
      <c r="BL73" s="193"/>
      <c r="BM73" s="193"/>
      <c r="BN73" s="193"/>
      <c r="BO73" s="193"/>
      <c r="BP73" s="193"/>
      <c r="BQ73" s="193"/>
      <c r="BR73" s="193"/>
      <c r="BS73" s="193"/>
      <c r="BT73" s="193"/>
      <c r="BU73" s="193"/>
      <c r="BV73" s="193"/>
      <c r="BW73" s="193"/>
      <c r="BX73" s="193"/>
      <c r="BY73" s="193"/>
      <c r="BZ73" s="193"/>
      <c r="CA73" s="193"/>
      <c r="CB73" s="193"/>
      <c r="CC73" s="193"/>
      <c r="CD73" s="193"/>
      <c r="CE73" s="193"/>
      <c r="CF73" s="193"/>
      <c r="CG73" s="193"/>
      <c r="CH73" s="193"/>
      <c r="CI73" s="193"/>
      <c r="CJ73" s="193"/>
      <c r="CK73" s="193"/>
      <c r="CL73" s="193"/>
      <c r="CM73" s="193"/>
      <c r="CN73" s="193"/>
      <c r="CO73" s="193"/>
      <c r="CP73" s="193"/>
      <c r="CQ73" s="193"/>
      <c r="CR73" s="193"/>
      <c r="CS73" s="193"/>
      <c r="CT73" s="193"/>
      <c r="CU73" s="193"/>
      <c r="CV73" s="193"/>
      <c r="CW73" s="193"/>
      <c r="CX73" s="193"/>
      <c r="CY73" s="193"/>
      <c r="CZ73" s="193"/>
      <c r="DA73" s="193"/>
      <c r="DB73" s="193"/>
      <c r="DC73" s="193"/>
      <c r="DD73" s="193"/>
      <c r="DE73" s="193"/>
      <c r="DF73" s="193"/>
      <c r="DG73" s="193"/>
      <c r="DH73" s="193"/>
      <c r="DI73" s="193"/>
      <c r="DJ73" s="193"/>
      <c r="DK73" s="193"/>
      <c r="DL73" s="193"/>
      <c r="DM73" s="193"/>
      <c r="DN73" s="193"/>
      <c r="DO73" s="193"/>
      <c r="DP73" s="193"/>
      <c r="DQ73" s="193"/>
      <c r="DR73" s="193"/>
      <c r="DS73" s="193"/>
      <c r="DT73" s="193"/>
      <c r="DU73" s="193"/>
      <c r="DV73" s="193"/>
      <c r="DW73" s="193"/>
      <c r="DX73" s="193"/>
      <c r="DY73" s="193"/>
      <c r="DZ73" s="193"/>
      <c r="EA73" s="193"/>
      <c r="EB73" s="193"/>
      <c r="EC73" s="193"/>
      <c r="ED73" s="193"/>
      <c r="EE73" s="193"/>
      <c r="EF73" s="193"/>
      <c r="EG73" s="193"/>
      <c r="EH73" s="193"/>
      <c r="EI73" s="193"/>
      <c r="EJ73" s="193"/>
      <c r="EK73" s="193"/>
      <c r="EL73" s="193"/>
      <c r="EM73" s="193"/>
      <c r="EN73" s="193"/>
      <c r="EO73" s="193"/>
      <c r="EP73" s="193"/>
      <c r="EQ73" s="193"/>
      <c r="ER73" s="193"/>
      <c r="ES73" s="193"/>
      <c r="ET73" s="193"/>
      <c r="EU73" s="193"/>
      <c r="EV73" s="193"/>
      <c r="EW73" s="193"/>
      <c r="EX73" s="193"/>
      <c r="EY73" s="193"/>
      <c r="EZ73" s="193"/>
      <c r="FA73" s="193"/>
      <c r="FB73" s="193"/>
      <c r="FC73" s="193"/>
      <c r="FD73" s="193"/>
      <c r="FE73" s="193"/>
      <c r="FF73" s="193"/>
      <c r="FG73" s="193"/>
      <c r="FH73" s="193"/>
      <c r="FI73" s="193"/>
      <c r="FJ73" s="193"/>
      <c r="FK73" s="193"/>
      <c r="FL73" s="193"/>
      <c r="FM73" s="193"/>
      <c r="FN73" s="193"/>
      <c r="FO73" s="193"/>
      <c r="FP73" s="193"/>
      <c r="FQ73" s="193"/>
      <c r="FR73" s="193"/>
      <c r="FS73" s="193"/>
      <c r="FT73" s="193"/>
      <c r="FU73" s="193"/>
      <c r="FV73" s="193"/>
      <c r="FW73" s="193"/>
      <c r="FX73" s="193"/>
      <c r="FY73" s="193"/>
      <c r="FZ73" s="193"/>
      <c r="GA73" s="193"/>
      <c r="GB73" s="193"/>
      <c r="GC73" s="193"/>
      <c r="GD73" s="193"/>
      <c r="GE73" s="193"/>
      <c r="GF73" s="193"/>
      <c r="GG73" s="193"/>
      <c r="GH73" s="193"/>
      <c r="GI73" s="193"/>
      <c r="GJ73" s="193"/>
      <c r="GK73" s="193"/>
      <c r="GL73" s="193"/>
      <c r="GM73" s="193"/>
      <c r="GN73" s="193"/>
      <c r="GO73" s="193"/>
      <c r="GP73" s="193"/>
      <c r="GQ73" s="193"/>
      <c r="GR73" s="193"/>
      <c r="GS73" s="193"/>
      <c r="GT73" s="193"/>
      <c r="GU73" s="193"/>
      <c r="GV73" s="193"/>
      <c r="GW73" s="193"/>
      <c r="GX73" s="193"/>
      <c r="GY73" s="193"/>
      <c r="GZ73" s="193"/>
      <c r="HA73" s="193"/>
      <c r="HB73" s="193"/>
      <c r="HC73" s="193"/>
      <c r="HD73" s="193"/>
      <c r="HE73" s="193"/>
      <c r="HF73" s="193"/>
      <c r="HG73" s="193"/>
      <c r="HH73" s="193"/>
      <c r="HI73" s="193"/>
      <c r="HJ73" s="193"/>
      <c r="HK73" s="193"/>
      <c r="HL73" s="193"/>
      <c r="HM73" s="193"/>
      <c r="HN73" s="193"/>
      <c r="HO73" s="193"/>
      <c r="HP73" s="193"/>
      <c r="HQ73" s="193"/>
      <c r="HR73" s="193"/>
      <c r="HS73" s="193"/>
      <c r="HT73" s="193"/>
      <c r="HU73" s="193"/>
      <c r="HV73" s="193"/>
      <c r="HW73" s="193"/>
      <c r="HX73" s="193"/>
      <c r="HY73" s="193"/>
      <c r="HZ73" s="193"/>
      <c r="IA73" s="193"/>
      <c r="IB73" s="193"/>
      <c r="IC73" s="193"/>
      <c r="ID73" s="193"/>
      <c r="IE73" s="193"/>
      <c r="IF73" s="193"/>
      <c r="IG73" s="193"/>
      <c r="IH73" s="193"/>
      <c r="II73" s="193"/>
      <c r="IJ73" s="193"/>
      <c r="IK73" s="193"/>
      <c r="IL73" s="193"/>
      <c r="IM73" s="193"/>
      <c r="IN73" s="193"/>
      <c r="IO73" s="193"/>
      <c r="IP73" s="193"/>
      <c r="IQ73" s="193"/>
    </row>
    <row r="74" spans="1:251" hidden="1">
      <c r="A74" s="1026"/>
      <c r="B74" s="1955"/>
      <c r="C74" s="1955"/>
      <c r="D74" s="2034"/>
      <c r="E74" s="1955"/>
      <c r="F74" s="1942">
        <f t="shared" si="33"/>
        <v>0</v>
      </c>
      <c r="G74" s="1026"/>
      <c r="H74" s="1942">
        <f t="shared" si="34"/>
        <v>0</v>
      </c>
      <c r="I74" s="1026"/>
      <c r="J74" s="1942">
        <f t="shared" si="35"/>
        <v>0</v>
      </c>
      <c r="K74" s="1026"/>
      <c r="L74" s="1942">
        <f t="shared" si="36"/>
        <v>0</v>
      </c>
      <c r="M74" s="1942">
        <f t="shared" si="37"/>
        <v>0</v>
      </c>
      <c r="N74" s="1942">
        <f t="shared" si="38"/>
        <v>0</v>
      </c>
      <c r="O74" s="1026"/>
      <c r="P74" s="1026"/>
      <c r="Q74" s="1942">
        <f t="shared" si="39"/>
        <v>0</v>
      </c>
      <c r="R74" s="1942">
        <f t="shared" si="40"/>
        <v>0</v>
      </c>
      <c r="S74" s="1942">
        <f t="shared" si="41"/>
        <v>0</v>
      </c>
      <c r="T74" s="1942">
        <f t="shared" si="42"/>
        <v>0</v>
      </c>
      <c r="U74" s="1942">
        <f t="shared" si="43"/>
        <v>0</v>
      </c>
      <c r="V74" s="3035">
        <f t="shared" ref="V74:V129" si="44">T74+U74</f>
        <v>0</v>
      </c>
      <c r="W74" s="1942"/>
      <c r="X74" s="193"/>
      <c r="Y74" s="193"/>
      <c r="Z74" s="193"/>
      <c r="AA74" s="193"/>
      <c r="AB74" s="193"/>
      <c r="AC74" s="193"/>
      <c r="AD74" s="193"/>
      <c r="AE74" s="193"/>
      <c r="AF74" s="193"/>
      <c r="AG74" s="193"/>
      <c r="AH74" s="193"/>
      <c r="AI74" s="193"/>
      <c r="AJ74" s="193"/>
      <c r="AK74" s="193"/>
      <c r="AL74" s="193"/>
      <c r="AM74" s="193"/>
      <c r="AN74" s="193"/>
      <c r="AO74" s="193"/>
      <c r="AP74" s="193"/>
      <c r="AQ74" s="193"/>
      <c r="AR74" s="193"/>
      <c r="AS74" s="193"/>
      <c r="AT74" s="193"/>
      <c r="AU74" s="193"/>
      <c r="AV74" s="193"/>
      <c r="AW74" s="193"/>
      <c r="AX74" s="193"/>
      <c r="AY74" s="193"/>
      <c r="AZ74" s="193"/>
      <c r="BA74" s="193"/>
      <c r="BB74" s="193"/>
      <c r="BC74" s="193"/>
      <c r="BD74" s="193"/>
      <c r="BE74" s="193"/>
      <c r="BF74" s="193"/>
      <c r="BG74" s="193"/>
      <c r="BH74" s="193"/>
      <c r="BI74" s="193"/>
      <c r="BJ74" s="193"/>
      <c r="BK74" s="193"/>
      <c r="BL74" s="193"/>
      <c r="BM74" s="193"/>
      <c r="BN74" s="193"/>
      <c r="BO74" s="193"/>
      <c r="BP74" s="193"/>
      <c r="BQ74" s="193"/>
      <c r="BR74" s="193"/>
      <c r="BS74" s="193"/>
      <c r="BT74" s="193"/>
      <c r="BU74" s="193"/>
      <c r="BV74" s="193"/>
      <c r="BW74" s="193"/>
      <c r="BX74" s="193"/>
      <c r="BY74" s="193"/>
      <c r="BZ74" s="193"/>
      <c r="CA74" s="193"/>
      <c r="CB74" s="193"/>
      <c r="CC74" s="193"/>
      <c r="CD74" s="193"/>
      <c r="CE74" s="193"/>
      <c r="CF74" s="193"/>
      <c r="CG74" s="193"/>
      <c r="CH74" s="193"/>
      <c r="CI74" s="193"/>
      <c r="CJ74" s="193"/>
      <c r="CK74" s="193"/>
      <c r="CL74" s="193"/>
      <c r="CM74" s="193"/>
      <c r="CN74" s="193"/>
      <c r="CO74" s="193"/>
      <c r="CP74" s="193"/>
      <c r="CQ74" s="193"/>
      <c r="CR74" s="193"/>
      <c r="CS74" s="193"/>
      <c r="CT74" s="193"/>
      <c r="CU74" s="193"/>
      <c r="CV74" s="193"/>
      <c r="CW74" s="193"/>
      <c r="CX74" s="193"/>
      <c r="CY74" s="193"/>
      <c r="CZ74" s="193"/>
      <c r="DA74" s="193"/>
      <c r="DB74" s="193"/>
      <c r="DC74" s="193"/>
      <c r="DD74" s="193"/>
      <c r="DE74" s="193"/>
      <c r="DF74" s="193"/>
      <c r="DG74" s="193"/>
      <c r="DH74" s="193"/>
      <c r="DI74" s="193"/>
      <c r="DJ74" s="193"/>
      <c r="DK74" s="193"/>
      <c r="DL74" s="193"/>
      <c r="DM74" s="193"/>
      <c r="DN74" s="193"/>
      <c r="DO74" s="193"/>
      <c r="DP74" s="193"/>
      <c r="DQ74" s="193"/>
      <c r="DR74" s="193"/>
      <c r="DS74" s="193"/>
      <c r="DT74" s="193"/>
      <c r="DU74" s="193"/>
      <c r="DV74" s="193"/>
      <c r="DW74" s="193"/>
      <c r="DX74" s="193"/>
      <c r="DY74" s="193"/>
      <c r="DZ74" s="193"/>
      <c r="EA74" s="193"/>
      <c r="EB74" s="193"/>
      <c r="EC74" s="193"/>
      <c r="ED74" s="193"/>
      <c r="EE74" s="193"/>
      <c r="EF74" s="193"/>
      <c r="EG74" s="193"/>
      <c r="EH74" s="193"/>
      <c r="EI74" s="193"/>
      <c r="EJ74" s="193"/>
      <c r="EK74" s="193"/>
      <c r="EL74" s="193"/>
      <c r="EM74" s="193"/>
      <c r="EN74" s="193"/>
      <c r="EO74" s="193"/>
      <c r="EP74" s="193"/>
      <c r="EQ74" s="193"/>
      <c r="ER74" s="193"/>
      <c r="ES74" s="193"/>
      <c r="ET74" s="193"/>
      <c r="EU74" s="193"/>
      <c r="EV74" s="193"/>
      <c r="EW74" s="193"/>
      <c r="EX74" s="193"/>
      <c r="EY74" s="193"/>
      <c r="EZ74" s="193"/>
      <c r="FA74" s="193"/>
      <c r="FB74" s="193"/>
      <c r="FC74" s="193"/>
      <c r="FD74" s="193"/>
      <c r="FE74" s="193"/>
      <c r="FF74" s="193"/>
      <c r="FG74" s="193"/>
      <c r="FH74" s="193"/>
      <c r="FI74" s="193"/>
      <c r="FJ74" s="193"/>
      <c r="FK74" s="193"/>
      <c r="FL74" s="193"/>
      <c r="FM74" s="193"/>
      <c r="FN74" s="193"/>
      <c r="FO74" s="193"/>
      <c r="FP74" s="193"/>
      <c r="FQ74" s="193"/>
      <c r="FR74" s="193"/>
      <c r="FS74" s="193"/>
      <c r="FT74" s="193"/>
      <c r="FU74" s="193"/>
      <c r="FV74" s="193"/>
      <c r="FW74" s="193"/>
      <c r="FX74" s="193"/>
      <c r="FY74" s="193"/>
      <c r="FZ74" s="193"/>
      <c r="GA74" s="193"/>
      <c r="GB74" s="193"/>
      <c r="GC74" s="193"/>
      <c r="GD74" s="193"/>
      <c r="GE74" s="193"/>
      <c r="GF74" s="193"/>
      <c r="GG74" s="193"/>
      <c r="GH74" s="193"/>
      <c r="GI74" s="193"/>
      <c r="GJ74" s="193"/>
      <c r="GK74" s="193"/>
      <c r="GL74" s="193"/>
      <c r="GM74" s="193"/>
      <c r="GN74" s="193"/>
      <c r="GO74" s="193"/>
      <c r="GP74" s="193"/>
      <c r="GQ74" s="193"/>
      <c r="GR74" s="193"/>
      <c r="GS74" s="193"/>
      <c r="GT74" s="193"/>
      <c r="GU74" s="193"/>
      <c r="GV74" s="193"/>
      <c r="GW74" s="193"/>
      <c r="GX74" s="193"/>
      <c r="GY74" s="193"/>
      <c r="GZ74" s="193"/>
      <c r="HA74" s="193"/>
      <c r="HB74" s="193"/>
      <c r="HC74" s="193"/>
      <c r="HD74" s="193"/>
      <c r="HE74" s="193"/>
      <c r="HF74" s="193"/>
      <c r="HG74" s="193"/>
      <c r="HH74" s="193"/>
      <c r="HI74" s="193"/>
      <c r="HJ74" s="193"/>
      <c r="HK74" s="193"/>
      <c r="HL74" s="193"/>
      <c r="HM74" s="193"/>
      <c r="HN74" s="193"/>
      <c r="HO74" s="193"/>
      <c r="HP74" s="193"/>
      <c r="HQ74" s="193"/>
      <c r="HR74" s="193"/>
      <c r="HS74" s="193"/>
      <c r="HT74" s="193"/>
      <c r="HU74" s="193"/>
      <c r="HV74" s="193"/>
      <c r="HW74" s="193"/>
      <c r="HX74" s="193"/>
      <c r="HY74" s="193"/>
      <c r="HZ74" s="193"/>
      <c r="IA74" s="193"/>
      <c r="IB74" s="193"/>
      <c r="IC74" s="193"/>
      <c r="ID74" s="193"/>
      <c r="IE74" s="193"/>
      <c r="IF74" s="193"/>
      <c r="IG74" s="193"/>
      <c r="IH74" s="193"/>
      <c r="II74" s="193"/>
      <c r="IJ74" s="193"/>
      <c r="IK74" s="193"/>
      <c r="IL74" s="193"/>
      <c r="IM74" s="193"/>
      <c r="IN74" s="193"/>
      <c r="IO74" s="193"/>
      <c r="IP74" s="193"/>
      <c r="IQ74" s="193"/>
    </row>
    <row r="75" spans="1:251" hidden="1">
      <c r="A75" s="1026"/>
      <c r="B75" s="1955"/>
      <c r="C75" s="1955"/>
      <c r="D75" s="2034"/>
      <c r="E75" s="1955"/>
      <c r="F75" s="1942">
        <f t="shared" si="33"/>
        <v>0</v>
      </c>
      <c r="G75" s="1026"/>
      <c r="H75" s="1942">
        <f t="shared" si="34"/>
        <v>0</v>
      </c>
      <c r="I75" s="1026"/>
      <c r="J75" s="1942">
        <f t="shared" si="35"/>
        <v>0</v>
      </c>
      <c r="K75" s="1026"/>
      <c r="L75" s="1942">
        <f t="shared" si="36"/>
        <v>0</v>
      </c>
      <c r="M75" s="1942">
        <f t="shared" si="37"/>
        <v>0</v>
      </c>
      <c r="N75" s="1942">
        <f t="shared" si="38"/>
        <v>0</v>
      </c>
      <c r="O75" s="1026"/>
      <c r="P75" s="1026"/>
      <c r="Q75" s="1942">
        <f t="shared" si="39"/>
        <v>0</v>
      </c>
      <c r="R75" s="1942">
        <f t="shared" si="40"/>
        <v>0</v>
      </c>
      <c r="S75" s="1942">
        <f t="shared" si="41"/>
        <v>0</v>
      </c>
      <c r="T75" s="1942">
        <f t="shared" si="42"/>
        <v>0</v>
      </c>
      <c r="U75" s="1942">
        <f t="shared" si="43"/>
        <v>0</v>
      </c>
      <c r="V75" s="3035">
        <f t="shared" si="44"/>
        <v>0</v>
      </c>
      <c r="W75" s="1942"/>
      <c r="X75" s="193"/>
      <c r="Y75" s="193"/>
      <c r="Z75" s="193"/>
      <c r="AA75" s="193"/>
      <c r="AB75" s="193"/>
      <c r="AC75" s="193"/>
      <c r="AD75" s="193"/>
      <c r="AE75" s="193"/>
      <c r="AF75" s="193"/>
      <c r="AG75" s="193"/>
      <c r="AH75" s="193"/>
      <c r="AI75" s="193"/>
      <c r="AJ75" s="193"/>
      <c r="AK75" s="193"/>
      <c r="AL75" s="193"/>
      <c r="AM75" s="193"/>
      <c r="AN75" s="193"/>
      <c r="AO75" s="193"/>
      <c r="AP75" s="193"/>
      <c r="AQ75" s="193"/>
      <c r="AR75" s="193"/>
      <c r="AS75" s="193"/>
      <c r="AT75" s="193"/>
      <c r="AU75" s="193"/>
      <c r="AV75" s="193"/>
      <c r="AW75" s="193"/>
      <c r="AX75" s="193"/>
      <c r="AY75" s="193"/>
      <c r="AZ75" s="193"/>
      <c r="BA75" s="193"/>
      <c r="BB75" s="193"/>
      <c r="BC75" s="193"/>
      <c r="BD75" s="193"/>
      <c r="BE75" s="193"/>
      <c r="BF75" s="193"/>
      <c r="BG75" s="193"/>
      <c r="BH75" s="193"/>
      <c r="BI75" s="193"/>
      <c r="BJ75" s="193"/>
      <c r="BK75" s="193"/>
      <c r="BL75" s="193"/>
      <c r="BM75" s="193"/>
      <c r="BN75" s="193"/>
      <c r="BO75" s="193"/>
      <c r="BP75" s="193"/>
      <c r="BQ75" s="193"/>
      <c r="BR75" s="193"/>
      <c r="BS75" s="193"/>
      <c r="BT75" s="193"/>
      <c r="BU75" s="193"/>
      <c r="BV75" s="193"/>
      <c r="BW75" s="193"/>
      <c r="BX75" s="193"/>
      <c r="BY75" s="193"/>
      <c r="BZ75" s="193"/>
      <c r="CA75" s="193"/>
      <c r="CB75" s="193"/>
      <c r="CC75" s="193"/>
      <c r="CD75" s="193"/>
      <c r="CE75" s="193"/>
      <c r="CF75" s="193"/>
      <c r="CG75" s="193"/>
      <c r="CH75" s="193"/>
      <c r="CI75" s="193"/>
      <c r="CJ75" s="193"/>
      <c r="CK75" s="193"/>
      <c r="CL75" s="193"/>
      <c r="CM75" s="193"/>
      <c r="CN75" s="193"/>
      <c r="CO75" s="193"/>
      <c r="CP75" s="193"/>
      <c r="CQ75" s="193"/>
      <c r="CR75" s="193"/>
      <c r="CS75" s="193"/>
      <c r="CT75" s="193"/>
      <c r="CU75" s="193"/>
      <c r="CV75" s="193"/>
      <c r="CW75" s="193"/>
      <c r="CX75" s="193"/>
      <c r="CY75" s="193"/>
      <c r="CZ75" s="193"/>
      <c r="DA75" s="193"/>
      <c r="DB75" s="193"/>
      <c r="DC75" s="193"/>
      <c r="DD75" s="193"/>
      <c r="DE75" s="193"/>
      <c r="DF75" s="193"/>
      <c r="DG75" s="193"/>
      <c r="DH75" s="193"/>
      <c r="DI75" s="193"/>
      <c r="DJ75" s="193"/>
      <c r="DK75" s="193"/>
      <c r="DL75" s="193"/>
      <c r="DM75" s="193"/>
      <c r="DN75" s="193"/>
      <c r="DO75" s="193"/>
      <c r="DP75" s="193"/>
      <c r="DQ75" s="193"/>
      <c r="DR75" s="193"/>
      <c r="DS75" s="193"/>
      <c r="DT75" s="193"/>
      <c r="DU75" s="193"/>
      <c r="DV75" s="193"/>
      <c r="DW75" s="193"/>
      <c r="DX75" s="193"/>
      <c r="DY75" s="193"/>
      <c r="DZ75" s="193"/>
      <c r="EA75" s="193"/>
      <c r="EB75" s="193"/>
      <c r="EC75" s="193"/>
      <c r="ED75" s="193"/>
      <c r="EE75" s="193"/>
      <c r="EF75" s="193"/>
      <c r="EG75" s="193"/>
      <c r="EH75" s="193"/>
      <c r="EI75" s="193"/>
      <c r="EJ75" s="193"/>
      <c r="EK75" s="193"/>
      <c r="EL75" s="193"/>
      <c r="EM75" s="193"/>
      <c r="EN75" s="193"/>
      <c r="EO75" s="193"/>
      <c r="EP75" s="193"/>
      <c r="EQ75" s="193"/>
      <c r="ER75" s="193"/>
      <c r="ES75" s="193"/>
      <c r="ET75" s="193"/>
      <c r="EU75" s="193"/>
      <c r="EV75" s="193"/>
      <c r="EW75" s="193"/>
      <c r="EX75" s="193"/>
      <c r="EY75" s="193"/>
      <c r="EZ75" s="193"/>
      <c r="FA75" s="193"/>
      <c r="FB75" s="193"/>
      <c r="FC75" s="193"/>
      <c r="FD75" s="193"/>
      <c r="FE75" s="193"/>
      <c r="FF75" s="193"/>
      <c r="FG75" s="193"/>
      <c r="FH75" s="193"/>
      <c r="FI75" s="193"/>
      <c r="FJ75" s="193"/>
      <c r="FK75" s="193"/>
      <c r="FL75" s="193"/>
      <c r="FM75" s="193"/>
      <c r="FN75" s="193"/>
      <c r="FO75" s="193"/>
      <c r="FP75" s="193"/>
      <c r="FQ75" s="193"/>
      <c r="FR75" s="193"/>
      <c r="FS75" s="193"/>
      <c r="FT75" s="193"/>
      <c r="FU75" s="193"/>
      <c r="FV75" s="193"/>
      <c r="FW75" s="193"/>
      <c r="FX75" s="193"/>
      <c r="FY75" s="193"/>
      <c r="FZ75" s="193"/>
      <c r="GA75" s="193"/>
      <c r="GB75" s="193"/>
      <c r="GC75" s="193"/>
      <c r="GD75" s="193"/>
      <c r="GE75" s="193"/>
      <c r="GF75" s="193"/>
      <c r="GG75" s="193"/>
      <c r="GH75" s="193"/>
      <c r="GI75" s="193"/>
      <c r="GJ75" s="193"/>
      <c r="GK75" s="193"/>
      <c r="GL75" s="193"/>
      <c r="GM75" s="193"/>
      <c r="GN75" s="193"/>
      <c r="GO75" s="193"/>
      <c r="GP75" s="193"/>
      <c r="GQ75" s="193"/>
      <c r="GR75" s="193"/>
      <c r="GS75" s="193"/>
      <c r="GT75" s="193"/>
      <c r="GU75" s="193"/>
      <c r="GV75" s="193"/>
      <c r="GW75" s="193"/>
      <c r="GX75" s="193"/>
      <c r="GY75" s="193"/>
      <c r="GZ75" s="193"/>
      <c r="HA75" s="193"/>
      <c r="HB75" s="193"/>
      <c r="HC75" s="193"/>
      <c r="HD75" s="193"/>
      <c r="HE75" s="193"/>
      <c r="HF75" s="193"/>
      <c r="HG75" s="193"/>
      <c r="HH75" s="193"/>
      <c r="HI75" s="193"/>
      <c r="HJ75" s="193"/>
      <c r="HK75" s="193"/>
      <c r="HL75" s="193"/>
      <c r="HM75" s="193"/>
      <c r="HN75" s="193"/>
      <c r="HO75" s="193"/>
      <c r="HP75" s="193"/>
      <c r="HQ75" s="193"/>
      <c r="HR75" s="193"/>
      <c r="HS75" s="193"/>
      <c r="HT75" s="193"/>
      <c r="HU75" s="193"/>
      <c r="HV75" s="193"/>
      <c r="HW75" s="193"/>
      <c r="HX75" s="193"/>
      <c r="HY75" s="193"/>
      <c r="HZ75" s="193"/>
      <c r="IA75" s="193"/>
      <c r="IB75" s="193"/>
      <c r="IC75" s="193"/>
      <c r="ID75" s="193"/>
      <c r="IE75" s="193"/>
      <c r="IF75" s="193"/>
      <c r="IG75" s="193"/>
      <c r="IH75" s="193"/>
      <c r="II75" s="193"/>
      <c r="IJ75" s="193"/>
      <c r="IK75" s="193"/>
      <c r="IL75" s="193"/>
      <c r="IM75" s="193"/>
      <c r="IN75" s="193"/>
      <c r="IO75" s="193"/>
      <c r="IP75" s="193"/>
      <c r="IQ75" s="193"/>
    </row>
    <row r="76" spans="1:251" hidden="1">
      <c r="A76" s="1026"/>
      <c r="B76" s="1955"/>
      <c r="C76" s="1955"/>
      <c r="D76" s="2034"/>
      <c r="E76" s="1955"/>
      <c r="F76" s="1942">
        <f t="shared" si="33"/>
        <v>0</v>
      </c>
      <c r="G76" s="1026"/>
      <c r="H76" s="1942">
        <f t="shared" si="34"/>
        <v>0</v>
      </c>
      <c r="I76" s="1026"/>
      <c r="J76" s="1942">
        <f t="shared" si="35"/>
        <v>0</v>
      </c>
      <c r="K76" s="1026"/>
      <c r="L76" s="1942">
        <f t="shared" si="36"/>
        <v>0</v>
      </c>
      <c r="M76" s="1942">
        <f t="shared" si="37"/>
        <v>0</v>
      </c>
      <c r="N76" s="1942">
        <f t="shared" si="38"/>
        <v>0</v>
      </c>
      <c r="O76" s="1026"/>
      <c r="P76" s="1026"/>
      <c r="Q76" s="1942">
        <f t="shared" si="39"/>
        <v>0</v>
      </c>
      <c r="R76" s="1942">
        <f t="shared" si="40"/>
        <v>0</v>
      </c>
      <c r="S76" s="1942">
        <f t="shared" si="41"/>
        <v>0</v>
      </c>
      <c r="T76" s="1942">
        <f t="shared" si="42"/>
        <v>0</v>
      </c>
      <c r="U76" s="1942">
        <f t="shared" si="43"/>
        <v>0</v>
      </c>
      <c r="V76" s="3035">
        <f t="shared" si="44"/>
        <v>0</v>
      </c>
      <c r="W76" s="1942"/>
      <c r="X76" s="193"/>
      <c r="Y76" s="193"/>
      <c r="Z76" s="193"/>
      <c r="AA76" s="193"/>
      <c r="AB76" s="193"/>
      <c r="AC76" s="193"/>
      <c r="AD76" s="193"/>
      <c r="AE76" s="193"/>
      <c r="AF76" s="193"/>
      <c r="AG76" s="193"/>
      <c r="AH76" s="193"/>
      <c r="AI76" s="193"/>
      <c r="AJ76" s="193"/>
      <c r="AK76" s="193"/>
      <c r="AL76" s="193"/>
      <c r="AM76" s="193"/>
      <c r="AN76" s="193"/>
      <c r="AO76" s="193"/>
      <c r="AP76" s="193"/>
      <c r="AQ76" s="193"/>
      <c r="AR76" s="193"/>
      <c r="AS76" s="193"/>
      <c r="AT76" s="193"/>
      <c r="AU76" s="193"/>
      <c r="AV76" s="193"/>
      <c r="AW76" s="193"/>
      <c r="AX76" s="193"/>
      <c r="AY76" s="193"/>
      <c r="AZ76" s="193"/>
      <c r="BA76" s="193"/>
      <c r="BB76" s="193"/>
      <c r="BC76" s="193"/>
      <c r="BD76" s="193"/>
      <c r="BE76" s="193"/>
      <c r="BF76" s="193"/>
      <c r="BG76" s="193"/>
      <c r="BH76" s="193"/>
      <c r="BI76" s="193"/>
      <c r="BJ76" s="193"/>
      <c r="BK76" s="193"/>
      <c r="BL76" s="193"/>
      <c r="BM76" s="193"/>
      <c r="BN76" s="193"/>
      <c r="BO76" s="193"/>
      <c r="BP76" s="193"/>
      <c r="BQ76" s="193"/>
      <c r="BR76" s="193"/>
      <c r="BS76" s="193"/>
      <c r="BT76" s="193"/>
      <c r="BU76" s="193"/>
      <c r="BV76" s="193"/>
      <c r="BW76" s="193"/>
      <c r="BX76" s="193"/>
      <c r="BY76" s="193"/>
      <c r="BZ76" s="193"/>
      <c r="CA76" s="193"/>
      <c r="CB76" s="193"/>
      <c r="CC76" s="193"/>
      <c r="CD76" s="193"/>
      <c r="CE76" s="193"/>
      <c r="CF76" s="193"/>
      <c r="CG76" s="193"/>
      <c r="CH76" s="193"/>
      <c r="CI76" s="193"/>
      <c r="CJ76" s="193"/>
      <c r="CK76" s="193"/>
      <c r="CL76" s="193"/>
      <c r="CM76" s="193"/>
      <c r="CN76" s="193"/>
      <c r="CO76" s="193"/>
      <c r="CP76" s="193"/>
      <c r="CQ76" s="193"/>
      <c r="CR76" s="193"/>
      <c r="CS76" s="193"/>
      <c r="CT76" s="193"/>
      <c r="CU76" s="193"/>
      <c r="CV76" s="193"/>
      <c r="CW76" s="193"/>
      <c r="CX76" s="193"/>
      <c r="CY76" s="193"/>
      <c r="CZ76" s="193"/>
      <c r="DA76" s="193"/>
      <c r="DB76" s="193"/>
      <c r="DC76" s="193"/>
      <c r="DD76" s="193"/>
      <c r="DE76" s="193"/>
      <c r="DF76" s="193"/>
      <c r="DG76" s="193"/>
      <c r="DH76" s="193"/>
      <c r="DI76" s="193"/>
      <c r="DJ76" s="193"/>
      <c r="DK76" s="193"/>
      <c r="DL76" s="193"/>
      <c r="DM76" s="193"/>
      <c r="DN76" s="193"/>
      <c r="DO76" s="193"/>
      <c r="DP76" s="193"/>
      <c r="DQ76" s="193"/>
      <c r="DR76" s="193"/>
      <c r="DS76" s="193"/>
      <c r="DT76" s="193"/>
      <c r="DU76" s="193"/>
      <c r="DV76" s="193"/>
      <c r="DW76" s="193"/>
      <c r="DX76" s="193"/>
      <c r="DY76" s="193"/>
      <c r="DZ76" s="193"/>
      <c r="EA76" s="193"/>
      <c r="EB76" s="193"/>
      <c r="EC76" s="193"/>
      <c r="ED76" s="193"/>
      <c r="EE76" s="193"/>
      <c r="EF76" s="193"/>
      <c r="EG76" s="193"/>
      <c r="EH76" s="193"/>
      <c r="EI76" s="193"/>
      <c r="EJ76" s="193"/>
      <c r="EK76" s="193"/>
      <c r="EL76" s="193"/>
      <c r="EM76" s="193"/>
      <c r="EN76" s="193"/>
      <c r="EO76" s="193"/>
      <c r="EP76" s="193"/>
      <c r="EQ76" s="193"/>
      <c r="ER76" s="193"/>
      <c r="ES76" s="193"/>
      <c r="ET76" s="193"/>
      <c r="EU76" s="193"/>
      <c r="EV76" s="193"/>
      <c r="EW76" s="193"/>
      <c r="EX76" s="193"/>
      <c r="EY76" s="193"/>
      <c r="EZ76" s="193"/>
      <c r="FA76" s="193"/>
      <c r="FB76" s="193"/>
      <c r="FC76" s="193"/>
      <c r="FD76" s="193"/>
      <c r="FE76" s="193"/>
      <c r="FF76" s="193"/>
      <c r="FG76" s="193"/>
      <c r="FH76" s="193"/>
      <c r="FI76" s="193"/>
      <c r="FJ76" s="193"/>
      <c r="FK76" s="193"/>
      <c r="FL76" s="193"/>
      <c r="FM76" s="193"/>
      <c r="FN76" s="193"/>
      <c r="FO76" s="193"/>
      <c r="FP76" s="193"/>
      <c r="FQ76" s="193"/>
      <c r="FR76" s="193"/>
      <c r="FS76" s="193"/>
      <c r="FT76" s="193"/>
      <c r="FU76" s="193"/>
      <c r="FV76" s="193"/>
      <c r="FW76" s="193"/>
      <c r="FX76" s="193"/>
      <c r="FY76" s="193"/>
      <c r="FZ76" s="193"/>
      <c r="GA76" s="193"/>
      <c r="GB76" s="193"/>
      <c r="GC76" s="193"/>
      <c r="GD76" s="193"/>
      <c r="GE76" s="193"/>
      <c r="GF76" s="193"/>
      <c r="GG76" s="193"/>
      <c r="GH76" s="193"/>
      <c r="GI76" s="193"/>
      <c r="GJ76" s="193"/>
      <c r="GK76" s="193"/>
      <c r="GL76" s="193"/>
      <c r="GM76" s="193"/>
      <c r="GN76" s="193"/>
      <c r="GO76" s="193"/>
      <c r="GP76" s="193"/>
      <c r="GQ76" s="193"/>
      <c r="GR76" s="193"/>
      <c r="GS76" s="193"/>
      <c r="GT76" s="193"/>
      <c r="GU76" s="193"/>
      <c r="GV76" s="193"/>
      <c r="GW76" s="193"/>
      <c r="GX76" s="193"/>
      <c r="GY76" s="193"/>
      <c r="GZ76" s="193"/>
      <c r="HA76" s="193"/>
      <c r="HB76" s="193"/>
      <c r="HC76" s="193"/>
      <c r="HD76" s="193"/>
      <c r="HE76" s="193"/>
      <c r="HF76" s="193"/>
      <c r="HG76" s="193"/>
      <c r="HH76" s="193"/>
      <c r="HI76" s="193"/>
      <c r="HJ76" s="193"/>
      <c r="HK76" s="193"/>
      <c r="HL76" s="193"/>
      <c r="HM76" s="193"/>
      <c r="HN76" s="193"/>
      <c r="HO76" s="193"/>
      <c r="HP76" s="193"/>
      <c r="HQ76" s="193"/>
      <c r="HR76" s="193"/>
      <c r="HS76" s="193"/>
      <c r="HT76" s="193"/>
      <c r="HU76" s="193"/>
      <c r="HV76" s="193"/>
      <c r="HW76" s="193"/>
      <c r="HX76" s="193"/>
      <c r="HY76" s="193"/>
      <c r="HZ76" s="193"/>
      <c r="IA76" s="193"/>
      <c r="IB76" s="193"/>
      <c r="IC76" s="193"/>
      <c r="ID76" s="193"/>
      <c r="IE76" s="193"/>
      <c r="IF76" s="193"/>
      <c r="IG76" s="193"/>
      <c r="IH76" s="193"/>
      <c r="II76" s="193"/>
      <c r="IJ76" s="193"/>
      <c r="IK76" s="193"/>
      <c r="IL76" s="193"/>
      <c r="IM76" s="193"/>
      <c r="IN76" s="193"/>
      <c r="IO76" s="193"/>
      <c r="IP76" s="193"/>
      <c r="IQ76" s="193"/>
    </row>
    <row r="77" spans="1:251" hidden="1">
      <c r="A77" s="1026"/>
      <c r="B77" s="1955"/>
      <c r="C77" s="1955"/>
      <c r="D77" s="2034"/>
      <c r="E77" s="1955"/>
      <c r="F77" s="1942">
        <f t="shared" si="33"/>
        <v>0</v>
      </c>
      <c r="G77" s="1026"/>
      <c r="H77" s="1942">
        <f t="shared" si="34"/>
        <v>0</v>
      </c>
      <c r="I77" s="1026"/>
      <c r="J77" s="1942">
        <f t="shared" si="35"/>
        <v>0</v>
      </c>
      <c r="K77" s="1026"/>
      <c r="L77" s="1942">
        <f t="shared" si="36"/>
        <v>0</v>
      </c>
      <c r="M77" s="1942">
        <f t="shared" si="37"/>
        <v>0</v>
      </c>
      <c r="N77" s="1942">
        <f t="shared" si="38"/>
        <v>0</v>
      </c>
      <c r="O77" s="1026"/>
      <c r="P77" s="1026"/>
      <c r="Q77" s="1942">
        <f t="shared" si="39"/>
        <v>0</v>
      </c>
      <c r="R77" s="1942">
        <f t="shared" si="40"/>
        <v>0</v>
      </c>
      <c r="S77" s="1942">
        <f t="shared" si="41"/>
        <v>0</v>
      </c>
      <c r="T77" s="1942">
        <f t="shared" si="42"/>
        <v>0</v>
      </c>
      <c r="U77" s="1942">
        <f t="shared" si="43"/>
        <v>0</v>
      </c>
      <c r="V77" s="3035">
        <f t="shared" si="44"/>
        <v>0</v>
      </c>
      <c r="W77" s="1942"/>
      <c r="X77" s="193"/>
      <c r="Y77" s="193"/>
      <c r="Z77" s="193"/>
      <c r="AA77" s="193"/>
      <c r="AB77" s="193"/>
      <c r="AC77" s="193"/>
      <c r="AD77" s="193"/>
      <c r="AE77" s="193"/>
      <c r="AF77" s="193"/>
      <c r="AG77" s="193"/>
      <c r="AH77" s="193"/>
      <c r="AI77" s="193"/>
      <c r="AJ77" s="193"/>
      <c r="AK77" s="193"/>
      <c r="AL77" s="193"/>
      <c r="AM77" s="193"/>
      <c r="AN77" s="193"/>
      <c r="AO77" s="193"/>
      <c r="AP77" s="193"/>
      <c r="AQ77" s="193"/>
      <c r="AR77" s="193"/>
      <c r="AS77" s="193"/>
      <c r="AT77" s="193"/>
      <c r="AU77" s="193"/>
      <c r="AV77" s="193"/>
      <c r="AW77" s="193"/>
      <c r="AX77" s="193"/>
      <c r="AY77" s="193"/>
      <c r="AZ77" s="193"/>
      <c r="BA77" s="193"/>
      <c r="BB77" s="193"/>
      <c r="BC77" s="193"/>
      <c r="BD77" s="193"/>
      <c r="BE77" s="193"/>
      <c r="BF77" s="193"/>
      <c r="BG77" s="193"/>
      <c r="BH77" s="193"/>
      <c r="BI77" s="193"/>
      <c r="BJ77" s="193"/>
      <c r="BK77" s="193"/>
      <c r="BL77" s="193"/>
      <c r="BM77" s="193"/>
      <c r="BN77" s="193"/>
      <c r="BO77" s="193"/>
      <c r="BP77" s="193"/>
      <c r="BQ77" s="193"/>
      <c r="BR77" s="193"/>
      <c r="BS77" s="193"/>
      <c r="BT77" s="193"/>
      <c r="BU77" s="193"/>
      <c r="BV77" s="193"/>
      <c r="BW77" s="193"/>
      <c r="BX77" s="193"/>
      <c r="BY77" s="193"/>
      <c r="BZ77" s="193"/>
      <c r="CA77" s="193"/>
      <c r="CB77" s="193"/>
      <c r="CC77" s="193"/>
      <c r="CD77" s="193"/>
      <c r="CE77" s="193"/>
      <c r="CF77" s="193"/>
      <c r="CG77" s="193"/>
      <c r="CH77" s="193"/>
      <c r="CI77" s="193"/>
      <c r="CJ77" s="193"/>
      <c r="CK77" s="193"/>
      <c r="CL77" s="193"/>
      <c r="CM77" s="193"/>
      <c r="CN77" s="193"/>
      <c r="CO77" s="193"/>
      <c r="CP77" s="193"/>
      <c r="CQ77" s="193"/>
      <c r="CR77" s="193"/>
      <c r="CS77" s="193"/>
      <c r="CT77" s="193"/>
      <c r="CU77" s="193"/>
      <c r="CV77" s="193"/>
      <c r="CW77" s="193"/>
      <c r="CX77" s="193"/>
      <c r="CY77" s="193"/>
      <c r="CZ77" s="193"/>
      <c r="DA77" s="193"/>
      <c r="DB77" s="193"/>
      <c r="DC77" s="193"/>
      <c r="DD77" s="193"/>
      <c r="DE77" s="193"/>
      <c r="DF77" s="193"/>
      <c r="DG77" s="193"/>
      <c r="DH77" s="193"/>
      <c r="DI77" s="193"/>
      <c r="DJ77" s="193"/>
      <c r="DK77" s="193"/>
      <c r="DL77" s="193"/>
      <c r="DM77" s="193"/>
      <c r="DN77" s="193"/>
      <c r="DO77" s="193"/>
      <c r="DP77" s="193"/>
      <c r="DQ77" s="193"/>
      <c r="DR77" s="193"/>
      <c r="DS77" s="193"/>
      <c r="DT77" s="193"/>
      <c r="DU77" s="193"/>
      <c r="DV77" s="193"/>
      <c r="DW77" s="193"/>
      <c r="DX77" s="193"/>
      <c r="DY77" s="193"/>
      <c r="DZ77" s="193"/>
      <c r="EA77" s="193"/>
      <c r="EB77" s="193"/>
      <c r="EC77" s="193"/>
      <c r="ED77" s="193"/>
      <c r="EE77" s="193"/>
      <c r="EF77" s="193"/>
      <c r="EG77" s="193"/>
      <c r="EH77" s="193"/>
      <c r="EI77" s="193"/>
      <c r="EJ77" s="193"/>
      <c r="EK77" s="193"/>
      <c r="EL77" s="193"/>
      <c r="EM77" s="193"/>
      <c r="EN77" s="193"/>
      <c r="EO77" s="193"/>
      <c r="EP77" s="193"/>
      <c r="EQ77" s="193"/>
      <c r="ER77" s="193"/>
      <c r="ES77" s="193"/>
      <c r="ET77" s="193"/>
      <c r="EU77" s="193"/>
      <c r="EV77" s="193"/>
      <c r="EW77" s="193"/>
      <c r="EX77" s="193"/>
      <c r="EY77" s="193"/>
      <c r="EZ77" s="193"/>
      <c r="FA77" s="193"/>
      <c r="FB77" s="193"/>
      <c r="FC77" s="193"/>
      <c r="FD77" s="193"/>
      <c r="FE77" s="193"/>
      <c r="FF77" s="193"/>
      <c r="FG77" s="193"/>
      <c r="FH77" s="193"/>
      <c r="FI77" s="193"/>
      <c r="FJ77" s="193"/>
      <c r="FK77" s="193"/>
      <c r="FL77" s="193"/>
      <c r="FM77" s="193"/>
      <c r="FN77" s="193"/>
      <c r="FO77" s="193"/>
      <c r="FP77" s="193"/>
      <c r="FQ77" s="193"/>
      <c r="FR77" s="193"/>
      <c r="FS77" s="193"/>
      <c r="FT77" s="193"/>
      <c r="FU77" s="193"/>
      <c r="FV77" s="193"/>
      <c r="FW77" s="193"/>
      <c r="FX77" s="193"/>
      <c r="FY77" s="193"/>
      <c r="FZ77" s="193"/>
      <c r="GA77" s="193"/>
      <c r="GB77" s="193"/>
      <c r="GC77" s="193"/>
      <c r="GD77" s="193"/>
      <c r="GE77" s="193"/>
      <c r="GF77" s="193"/>
      <c r="GG77" s="193"/>
      <c r="GH77" s="193"/>
      <c r="GI77" s="193"/>
      <c r="GJ77" s="193"/>
      <c r="GK77" s="193"/>
      <c r="GL77" s="193"/>
      <c r="GM77" s="193"/>
      <c r="GN77" s="193"/>
      <c r="GO77" s="193"/>
      <c r="GP77" s="193"/>
      <c r="GQ77" s="193"/>
      <c r="GR77" s="193"/>
      <c r="GS77" s="193"/>
      <c r="GT77" s="193"/>
      <c r="GU77" s="193"/>
      <c r="GV77" s="193"/>
      <c r="GW77" s="193"/>
      <c r="GX77" s="193"/>
      <c r="GY77" s="193"/>
      <c r="GZ77" s="193"/>
      <c r="HA77" s="193"/>
      <c r="HB77" s="193"/>
      <c r="HC77" s="193"/>
      <c r="HD77" s="193"/>
      <c r="HE77" s="193"/>
      <c r="HF77" s="193"/>
      <c r="HG77" s="193"/>
      <c r="HH77" s="193"/>
      <c r="HI77" s="193"/>
      <c r="HJ77" s="193"/>
      <c r="HK77" s="193"/>
      <c r="HL77" s="193"/>
      <c r="HM77" s="193"/>
      <c r="HN77" s="193"/>
      <c r="HO77" s="193"/>
      <c r="HP77" s="193"/>
      <c r="HQ77" s="193"/>
      <c r="HR77" s="193"/>
      <c r="HS77" s="193"/>
      <c r="HT77" s="193"/>
      <c r="HU77" s="193"/>
      <c r="HV77" s="193"/>
      <c r="HW77" s="193"/>
      <c r="HX77" s="193"/>
      <c r="HY77" s="193"/>
      <c r="HZ77" s="193"/>
      <c r="IA77" s="193"/>
      <c r="IB77" s="193"/>
      <c r="IC77" s="193"/>
      <c r="ID77" s="193"/>
      <c r="IE77" s="193"/>
      <c r="IF77" s="193"/>
      <c r="IG77" s="193"/>
      <c r="IH77" s="193"/>
      <c r="II77" s="193"/>
      <c r="IJ77" s="193"/>
      <c r="IK77" s="193"/>
      <c r="IL77" s="193"/>
      <c r="IM77" s="193"/>
      <c r="IN77" s="193"/>
      <c r="IO77" s="193"/>
      <c r="IP77" s="193"/>
      <c r="IQ77" s="193"/>
    </row>
    <row r="78" spans="1:251" hidden="1">
      <c r="A78" s="1026"/>
      <c r="B78" s="1955"/>
      <c r="C78" s="1955"/>
      <c r="D78" s="2034"/>
      <c r="E78" s="1955"/>
      <c r="F78" s="1942">
        <f t="shared" si="33"/>
        <v>0</v>
      </c>
      <c r="G78" s="1026"/>
      <c r="H78" s="1942">
        <f t="shared" si="34"/>
        <v>0</v>
      </c>
      <c r="I78" s="1026"/>
      <c r="J78" s="1942">
        <f t="shared" si="35"/>
        <v>0</v>
      </c>
      <c r="K78" s="1026"/>
      <c r="L78" s="1942">
        <f t="shared" si="36"/>
        <v>0</v>
      </c>
      <c r="M78" s="1942">
        <f t="shared" si="37"/>
        <v>0</v>
      </c>
      <c r="N78" s="1942">
        <f t="shared" si="38"/>
        <v>0</v>
      </c>
      <c r="O78" s="1026"/>
      <c r="P78" s="1026"/>
      <c r="Q78" s="1942">
        <f t="shared" si="39"/>
        <v>0</v>
      </c>
      <c r="R78" s="1942">
        <f t="shared" si="40"/>
        <v>0</v>
      </c>
      <c r="S78" s="1942">
        <f t="shared" si="41"/>
        <v>0</v>
      </c>
      <c r="T78" s="1942">
        <f t="shared" si="42"/>
        <v>0</v>
      </c>
      <c r="U78" s="1942">
        <f t="shared" si="43"/>
        <v>0</v>
      </c>
      <c r="V78" s="3035">
        <f t="shared" si="44"/>
        <v>0</v>
      </c>
      <c r="W78" s="1942"/>
      <c r="X78" s="193"/>
      <c r="Y78" s="193"/>
      <c r="Z78" s="193"/>
      <c r="AA78" s="193"/>
      <c r="AB78" s="193"/>
      <c r="AC78" s="193"/>
      <c r="AD78" s="193"/>
      <c r="AE78" s="193"/>
      <c r="AF78" s="193"/>
      <c r="AG78" s="193"/>
      <c r="AH78" s="193"/>
      <c r="AI78" s="193"/>
      <c r="AJ78" s="193"/>
      <c r="AK78" s="193"/>
      <c r="AL78" s="193"/>
      <c r="AM78" s="193"/>
      <c r="AN78" s="193"/>
      <c r="AO78" s="193"/>
      <c r="AP78" s="193"/>
      <c r="AQ78" s="193"/>
      <c r="AR78" s="193"/>
      <c r="AS78" s="193"/>
      <c r="AT78" s="193"/>
      <c r="AU78" s="193"/>
      <c r="AV78" s="193"/>
      <c r="AW78" s="193"/>
      <c r="AX78" s="193"/>
      <c r="AY78" s="193"/>
      <c r="AZ78" s="193"/>
      <c r="BA78" s="193"/>
      <c r="BB78" s="193"/>
      <c r="BC78" s="193"/>
      <c r="BD78" s="193"/>
      <c r="BE78" s="193"/>
      <c r="BF78" s="193"/>
      <c r="BG78" s="193"/>
      <c r="BH78" s="193"/>
      <c r="BI78" s="193"/>
      <c r="BJ78" s="193"/>
      <c r="BK78" s="193"/>
      <c r="BL78" s="193"/>
      <c r="BM78" s="193"/>
      <c r="BN78" s="193"/>
      <c r="BO78" s="193"/>
      <c r="BP78" s="193"/>
      <c r="BQ78" s="193"/>
      <c r="BR78" s="193"/>
      <c r="BS78" s="193"/>
      <c r="BT78" s="193"/>
      <c r="BU78" s="193"/>
      <c r="BV78" s="193"/>
      <c r="BW78" s="193"/>
      <c r="BX78" s="193"/>
      <c r="BY78" s="193"/>
      <c r="BZ78" s="193"/>
      <c r="CA78" s="193"/>
      <c r="CB78" s="193"/>
      <c r="CC78" s="193"/>
      <c r="CD78" s="193"/>
      <c r="CE78" s="193"/>
      <c r="CF78" s="193"/>
      <c r="CG78" s="193"/>
      <c r="CH78" s="193"/>
      <c r="CI78" s="193"/>
      <c r="CJ78" s="193"/>
      <c r="CK78" s="193"/>
      <c r="CL78" s="193"/>
      <c r="CM78" s="193"/>
      <c r="CN78" s="193"/>
      <c r="CO78" s="193"/>
      <c r="CP78" s="193"/>
      <c r="CQ78" s="193"/>
      <c r="CR78" s="193"/>
      <c r="CS78" s="193"/>
      <c r="CT78" s="193"/>
      <c r="CU78" s="193"/>
      <c r="CV78" s="193"/>
      <c r="CW78" s="193"/>
      <c r="CX78" s="193"/>
      <c r="CY78" s="193"/>
      <c r="CZ78" s="193"/>
      <c r="DA78" s="193"/>
      <c r="DB78" s="193"/>
      <c r="DC78" s="193"/>
      <c r="DD78" s="193"/>
      <c r="DE78" s="193"/>
      <c r="DF78" s="193"/>
      <c r="DG78" s="193"/>
      <c r="DH78" s="193"/>
      <c r="DI78" s="193"/>
      <c r="DJ78" s="193"/>
      <c r="DK78" s="193"/>
      <c r="DL78" s="193"/>
      <c r="DM78" s="193"/>
      <c r="DN78" s="193"/>
      <c r="DO78" s="193"/>
      <c r="DP78" s="193"/>
      <c r="DQ78" s="193"/>
      <c r="DR78" s="193"/>
      <c r="DS78" s="193"/>
      <c r="DT78" s="193"/>
      <c r="DU78" s="193"/>
      <c r="DV78" s="193"/>
      <c r="DW78" s="193"/>
      <c r="DX78" s="193"/>
      <c r="DY78" s="193"/>
      <c r="DZ78" s="193"/>
      <c r="EA78" s="193"/>
      <c r="EB78" s="193"/>
      <c r="EC78" s="193"/>
      <c r="ED78" s="193"/>
      <c r="EE78" s="193"/>
      <c r="EF78" s="193"/>
      <c r="EG78" s="193"/>
      <c r="EH78" s="193"/>
      <c r="EI78" s="193"/>
      <c r="EJ78" s="193"/>
      <c r="EK78" s="193"/>
      <c r="EL78" s="193"/>
      <c r="EM78" s="193"/>
      <c r="EN78" s="193"/>
      <c r="EO78" s="193"/>
      <c r="EP78" s="193"/>
      <c r="EQ78" s="193"/>
      <c r="ER78" s="193"/>
      <c r="ES78" s="193"/>
      <c r="ET78" s="193"/>
      <c r="EU78" s="193"/>
      <c r="EV78" s="193"/>
      <c r="EW78" s="193"/>
      <c r="EX78" s="193"/>
      <c r="EY78" s="193"/>
      <c r="EZ78" s="193"/>
      <c r="FA78" s="193"/>
      <c r="FB78" s="193"/>
      <c r="FC78" s="193"/>
      <c r="FD78" s="193"/>
      <c r="FE78" s="193"/>
      <c r="FF78" s="193"/>
      <c r="FG78" s="193"/>
      <c r="FH78" s="193"/>
      <c r="FI78" s="193"/>
      <c r="FJ78" s="193"/>
      <c r="FK78" s="193"/>
      <c r="FL78" s="193"/>
      <c r="FM78" s="193"/>
      <c r="FN78" s="193"/>
      <c r="FO78" s="193"/>
      <c r="FP78" s="193"/>
      <c r="FQ78" s="193"/>
      <c r="FR78" s="193"/>
      <c r="FS78" s="193"/>
      <c r="FT78" s="193"/>
      <c r="FU78" s="193"/>
      <c r="FV78" s="193"/>
      <c r="FW78" s="193"/>
      <c r="FX78" s="193"/>
      <c r="FY78" s="193"/>
      <c r="FZ78" s="193"/>
      <c r="GA78" s="193"/>
      <c r="GB78" s="193"/>
      <c r="GC78" s="193"/>
      <c r="GD78" s="193"/>
      <c r="GE78" s="193"/>
      <c r="GF78" s="193"/>
      <c r="GG78" s="193"/>
      <c r="GH78" s="193"/>
      <c r="GI78" s="193"/>
      <c r="GJ78" s="193"/>
      <c r="GK78" s="193"/>
      <c r="GL78" s="193"/>
      <c r="GM78" s="193"/>
      <c r="GN78" s="193"/>
      <c r="GO78" s="193"/>
      <c r="GP78" s="193"/>
      <c r="GQ78" s="193"/>
      <c r="GR78" s="193"/>
      <c r="GS78" s="193"/>
      <c r="GT78" s="193"/>
      <c r="GU78" s="193"/>
      <c r="GV78" s="193"/>
      <c r="GW78" s="193"/>
      <c r="GX78" s="193"/>
      <c r="GY78" s="193"/>
      <c r="GZ78" s="193"/>
      <c r="HA78" s="193"/>
      <c r="HB78" s="193"/>
      <c r="HC78" s="193"/>
      <c r="HD78" s="193"/>
      <c r="HE78" s="193"/>
      <c r="HF78" s="193"/>
      <c r="HG78" s="193"/>
      <c r="HH78" s="193"/>
      <c r="HI78" s="193"/>
      <c r="HJ78" s="193"/>
      <c r="HK78" s="193"/>
      <c r="HL78" s="193"/>
      <c r="HM78" s="193"/>
      <c r="HN78" s="193"/>
      <c r="HO78" s="193"/>
      <c r="HP78" s="193"/>
      <c r="HQ78" s="193"/>
      <c r="HR78" s="193"/>
      <c r="HS78" s="193"/>
      <c r="HT78" s="193"/>
      <c r="HU78" s="193"/>
      <c r="HV78" s="193"/>
      <c r="HW78" s="193"/>
      <c r="HX78" s="193"/>
      <c r="HY78" s="193"/>
      <c r="HZ78" s="193"/>
      <c r="IA78" s="193"/>
      <c r="IB78" s="193"/>
      <c r="IC78" s="193"/>
      <c r="ID78" s="193"/>
      <c r="IE78" s="193"/>
      <c r="IF78" s="193"/>
      <c r="IG78" s="193"/>
      <c r="IH78" s="193"/>
      <c r="II78" s="193"/>
      <c r="IJ78" s="193"/>
      <c r="IK78" s="193"/>
      <c r="IL78" s="193"/>
      <c r="IM78" s="193"/>
      <c r="IN78" s="193"/>
      <c r="IO78" s="193"/>
      <c r="IP78" s="193"/>
      <c r="IQ78" s="193"/>
    </row>
    <row r="79" spans="1:251" hidden="1">
      <c r="A79" s="1026"/>
      <c r="B79" s="1955"/>
      <c r="C79" s="1955"/>
      <c r="D79" s="2034"/>
      <c r="E79" s="1955"/>
      <c r="F79" s="1942">
        <f t="shared" si="33"/>
        <v>0</v>
      </c>
      <c r="G79" s="1026"/>
      <c r="H79" s="1942">
        <f t="shared" si="34"/>
        <v>0</v>
      </c>
      <c r="I79" s="1026"/>
      <c r="J79" s="1942">
        <f t="shared" si="35"/>
        <v>0</v>
      </c>
      <c r="K79" s="1026"/>
      <c r="L79" s="1942">
        <f t="shared" si="36"/>
        <v>0</v>
      </c>
      <c r="M79" s="1942">
        <f t="shared" si="37"/>
        <v>0</v>
      </c>
      <c r="N79" s="1942">
        <f t="shared" si="38"/>
        <v>0</v>
      </c>
      <c r="O79" s="1026"/>
      <c r="P79" s="1026"/>
      <c r="Q79" s="1942">
        <f t="shared" si="39"/>
        <v>0</v>
      </c>
      <c r="R79" s="1942">
        <f t="shared" si="40"/>
        <v>0</v>
      </c>
      <c r="S79" s="1942">
        <f t="shared" si="41"/>
        <v>0</v>
      </c>
      <c r="T79" s="1942">
        <f t="shared" si="42"/>
        <v>0</v>
      </c>
      <c r="U79" s="1942">
        <f t="shared" si="43"/>
        <v>0</v>
      </c>
      <c r="V79" s="3035">
        <f t="shared" si="44"/>
        <v>0</v>
      </c>
      <c r="W79" s="1942"/>
      <c r="X79" s="193"/>
      <c r="Y79" s="193"/>
      <c r="Z79" s="193"/>
      <c r="AA79" s="193"/>
      <c r="AB79" s="193"/>
      <c r="AC79" s="193"/>
      <c r="AD79" s="193"/>
      <c r="AE79" s="193"/>
      <c r="AF79" s="193"/>
      <c r="AG79" s="193"/>
      <c r="AH79" s="193"/>
      <c r="AI79" s="193"/>
      <c r="AJ79" s="193"/>
      <c r="AK79" s="193"/>
      <c r="AL79" s="193"/>
      <c r="AM79" s="193"/>
      <c r="AN79" s="193"/>
      <c r="AO79" s="193"/>
      <c r="AP79" s="193"/>
      <c r="AQ79" s="193"/>
      <c r="AR79" s="193"/>
      <c r="AS79" s="193"/>
      <c r="AT79" s="193"/>
      <c r="AU79" s="193"/>
      <c r="AV79" s="193"/>
      <c r="AW79" s="193"/>
      <c r="AX79" s="193"/>
      <c r="AY79" s="193"/>
      <c r="AZ79" s="193"/>
      <c r="BA79" s="193"/>
      <c r="BB79" s="193"/>
      <c r="BC79" s="193"/>
      <c r="BD79" s="193"/>
      <c r="BE79" s="193"/>
      <c r="BF79" s="193"/>
      <c r="BG79" s="193"/>
      <c r="BH79" s="193"/>
      <c r="BI79" s="193"/>
      <c r="BJ79" s="193"/>
      <c r="BK79" s="193"/>
      <c r="BL79" s="193"/>
      <c r="BM79" s="193"/>
      <c r="BN79" s="193"/>
      <c r="BO79" s="193"/>
      <c r="BP79" s="193"/>
      <c r="BQ79" s="193"/>
      <c r="BR79" s="193"/>
      <c r="BS79" s="193"/>
      <c r="BT79" s="193"/>
      <c r="BU79" s="193"/>
      <c r="BV79" s="193"/>
      <c r="BW79" s="193"/>
      <c r="BX79" s="193"/>
      <c r="BY79" s="193"/>
      <c r="BZ79" s="193"/>
      <c r="CA79" s="193"/>
      <c r="CB79" s="193"/>
      <c r="CC79" s="193"/>
      <c r="CD79" s="193"/>
      <c r="CE79" s="193"/>
      <c r="CF79" s="193"/>
      <c r="CG79" s="193"/>
      <c r="CH79" s="193"/>
      <c r="CI79" s="193"/>
      <c r="CJ79" s="193"/>
      <c r="CK79" s="193"/>
      <c r="CL79" s="193"/>
      <c r="CM79" s="193"/>
      <c r="CN79" s="193"/>
      <c r="CO79" s="193"/>
      <c r="CP79" s="193"/>
      <c r="CQ79" s="193"/>
      <c r="CR79" s="193"/>
      <c r="CS79" s="193"/>
      <c r="CT79" s="193"/>
      <c r="CU79" s="193"/>
      <c r="CV79" s="193"/>
      <c r="CW79" s="193"/>
      <c r="CX79" s="193"/>
      <c r="CY79" s="193"/>
      <c r="CZ79" s="193"/>
      <c r="DA79" s="193"/>
      <c r="DB79" s="193"/>
      <c r="DC79" s="193"/>
      <c r="DD79" s="193"/>
      <c r="DE79" s="193"/>
      <c r="DF79" s="193"/>
      <c r="DG79" s="193"/>
      <c r="DH79" s="193"/>
      <c r="DI79" s="193"/>
      <c r="DJ79" s="193"/>
      <c r="DK79" s="193"/>
      <c r="DL79" s="193"/>
      <c r="DM79" s="193"/>
      <c r="DN79" s="193"/>
      <c r="DO79" s="193"/>
      <c r="DP79" s="193"/>
      <c r="DQ79" s="193"/>
      <c r="DR79" s="193"/>
      <c r="DS79" s="193"/>
      <c r="DT79" s="193"/>
      <c r="DU79" s="193"/>
      <c r="DV79" s="193"/>
      <c r="DW79" s="193"/>
      <c r="DX79" s="193"/>
      <c r="DY79" s="193"/>
      <c r="DZ79" s="193"/>
      <c r="EA79" s="193"/>
      <c r="EB79" s="193"/>
      <c r="EC79" s="193"/>
      <c r="ED79" s="193"/>
      <c r="EE79" s="193"/>
      <c r="EF79" s="193"/>
      <c r="EG79" s="193"/>
      <c r="EH79" s="193"/>
      <c r="EI79" s="193"/>
      <c r="EJ79" s="193"/>
      <c r="EK79" s="193"/>
      <c r="EL79" s="193"/>
      <c r="EM79" s="193"/>
      <c r="EN79" s="193"/>
      <c r="EO79" s="193"/>
      <c r="EP79" s="193"/>
      <c r="EQ79" s="193"/>
      <c r="ER79" s="193"/>
      <c r="ES79" s="193"/>
      <c r="ET79" s="193"/>
      <c r="EU79" s="193"/>
      <c r="EV79" s="193"/>
      <c r="EW79" s="193"/>
      <c r="EX79" s="193"/>
      <c r="EY79" s="193"/>
      <c r="EZ79" s="193"/>
      <c r="FA79" s="193"/>
      <c r="FB79" s="193"/>
      <c r="FC79" s="193"/>
      <c r="FD79" s="193"/>
      <c r="FE79" s="193"/>
      <c r="FF79" s="193"/>
      <c r="FG79" s="193"/>
      <c r="FH79" s="193"/>
      <c r="FI79" s="193"/>
      <c r="FJ79" s="193"/>
      <c r="FK79" s="193"/>
      <c r="FL79" s="193"/>
      <c r="FM79" s="193"/>
      <c r="FN79" s="193"/>
      <c r="FO79" s="193"/>
      <c r="FP79" s="193"/>
      <c r="FQ79" s="193"/>
      <c r="FR79" s="193"/>
      <c r="FS79" s="193"/>
      <c r="FT79" s="193"/>
      <c r="FU79" s="193"/>
      <c r="FV79" s="193"/>
      <c r="FW79" s="193"/>
      <c r="FX79" s="193"/>
      <c r="FY79" s="193"/>
      <c r="FZ79" s="193"/>
      <c r="GA79" s="193"/>
      <c r="GB79" s="193"/>
      <c r="GC79" s="193"/>
      <c r="GD79" s="193"/>
      <c r="GE79" s="193"/>
      <c r="GF79" s="193"/>
      <c r="GG79" s="193"/>
      <c r="GH79" s="193"/>
      <c r="GI79" s="193"/>
      <c r="GJ79" s="193"/>
      <c r="GK79" s="193"/>
      <c r="GL79" s="193"/>
      <c r="GM79" s="193"/>
      <c r="GN79" s="193"/>
      <c r="GO79" s="193"/>
      <c r="GP79" s="193"/>
      <c r="GQ79" s="193"/>
      <c r="GR79" s="193"/>
      <c r="GS79" s="193"/>
      <c r="GT79" s="193"/>
      <c r="GU79" s="193"/>
      <c r="GV79" s="193"/>
      <c r="GW79" s="193"/>
      <c r="GX79" s="193"/>
      <c r="GY79" s="193"/>
      <c r="GZ79" s="193"/>
      <c r="HA79" s="193"/>
      <c r="HB79" s="193"/>
      <c r="HC79" s="193"/>
      <c r="HD79" s="193"/>
      <c r="HE79" s="193"/>
      <c r="HF79" s="193"/>
      <c r="HG79" s="193"/>
      <c r="HH79" s="193"/>
      <c r="HI79" s="193"/>
      <c r="HJ79" s="193"/>
      <c r="HK79" s="193"/>
      <c r="HL79" s="193"/>
      <c r="HM79" s="193"/>
      <c r="HN79" s="193"/>
      <c r="HO79" s="193"/>
      <c r="HP79" s="193"/>
      <c r="HQ79" s="193"/>
      <c r="HR79" s="193"/>
      <c r="HS79" s="193"/>
      <c r="HT79" s="193"/>
      <c r="HU79" s="193"/>
      <c r="HV79" s="193"/>
      <c r="HW79" s="193"/>
      <c r="HX79" s="193"/>
      <c r="HY79" s="193"/>
      <c r="HZ79" s="193"/>
      <c r="IA79" s="193"/>
      <c r="IB79" s="193"/>
      <c r="IC79" s="193"/>
      <c r="ID79" s="193"/>
      <c r="IE79" s="193"/>
      <c r="IF79" s="193"/>
      <c r="IG79" s="193"/>
      <c r="IH79" s="193"/>
      <c r="II79" s="193"/>
      <c r="IJ79" s="193"/>
      <c r="IK79" s="193"/>
      <c r="IL79" s="193"/>
      <c r="IM79" s="193"/>
      <c r="IN79" s="193"/>
      <c r="IO79" s="193"/>
      <c r="IP79" s="193"/>
      <c r="IQ79" s="193"/>
    </row>
    <row r="80" spans="1:251" hidden="1">
      <c r="A80" s="1026"/>
      <c r="B80" s="1955"/>
      <c r="C80" s="1955"/>
      <c r="D80" s="2034"/>
      <c r="E80" s="1955"/>
      <c r="F80" s="1942">
        <f t="shared" si="33"/>
        <v>0</v>
      </c>
      <c r="G80" s="1026"/>
      <c r="H80" s="1942">
        <f t="shared" si="34"/>
        <v>0</v>
      </c>
      <c r="I80" s="1026"/>
      <c r="J80" s="1942">
        <f t="shared" si="35"/>
        <v>0</v>
      </c>
      <c r="K80" s="1026"/>
      <c r="L80" s="1942">
        <f t="shared" si="36"/>
        <v>0</v>
      </c>
      <c r="M80" s="1942">
        <f t="shared" si="37"/>
        <v>0</v>
      </c>
      <c r="N80" s="1942">
        <f t="shared" si="38"/>
        <v>0</v>
      </c>
      <c r="O80" s="1026"/>
      <c r="P80" s="1026"/>
      <c r="Q80" s="1942">
        <f t="shared" si="39"/>
        <v>0</v>
      </c>
      <c r="R80" s="1942">
        <f t="shared" si="40"/>
        <v>0</v>
      </c>
      <c r="S80" s="1942">
        <f t="shared" si="41"/>
        <v>0</v>
      </c>
      <c r="T80" s="1942">
        <f t="shared" si="42"/>
        <v>0</v>
      </c>
      <c r="U80" s="1942">
        <f t="shared" si="43"/>
        <v>0</v>
      </c>
      <c r="V80" s="3035">
        <f t="shared" si="44"/>
        <v>0</v>
      </c>
      <c r="W80" s="1942"/>
      <c r="X80" s="193"/>
      <c r="Y80" s="193"/>
      <c r="Z80" s="193"/>
      <c r="AA80" s="193"/>
      <c r="AB80" s="193"/>
      <c r="AC80" s="193"/>
      <c r="AD80" s="193"/>
      <c r="AE80" s="193"/>
      <c r="AF80" s="193"/>
      <c r="AG80" s="193"/>
      <c r="AH80" s="193"/>
      <c r="AI80" s="193"/>
      <c r="AJ80" s="193"/>
      <c r="AK80" s="193"/>
      <c r="AL80" s="193"/>
      <c r="AM80" s="193"/>
      <c r="AN80" s="193"/>
      <c r="AO80" s="193"/>
      <c r="AP80" s="193"/>
      <c r="AQ80" s="193"/>
      <c r="AR80" s="193"/>
      <c r="AS80" s="193"/>
      <c r="AT80" s="193"/>
      <c r="AU80" s="193"/>
      <c r="AV80" s="193"/>
      <c r="AW80" s="193"/>
      <c r="AX80" s="193"/>
      <c r="AY80" s="193"/>
      <c r="AZ80" s="193"/>
      <c r="BA80" s="193"/>
      <c r="BB80" s="193"/>
      <c r="BC80" s="193"/>
      <c r="BD80" s="193"/>
      <c r="BE80" s="193"/>
      <c r="BF80" s="193"/>
      <c r="BG80" s="193"/>
      <c r="BH80" s="193"/>
      <c r="BI80" s="193"/>
      <c r="BJ80" s="193"/>
      <c r="BK80" s="193"/>
      <c r="BL80" s="193"/>
      <c r="BM80" s="193"/>
      <c r="BN80" s="193"/>
      <c r="BO80" s="193"/>
      <c r="BP80" s="193"/>
      <c r="BQ80" s="193"/>
      <c r="BR80" s="193"/>
      <c r="BS80" s="193"/>
      <c r="BT80" s="193"/>
      <c r="BU80" s="193"/>
      <c r="BV80" s="193"/>
      <c r="BW80" s="193"/>
      <c r="BX80" s="193"/>
      <c r="BY80" s="193"/>
      <c r="BZ80" s="193"/>
      <c r="CA80" s="193"/>
      <c r="CB80" s="193"/>
      <c r="CC80" s="193"/>
      <c r="CD80" s="193"/>
      <c r="CE80" s="193"/>
      <c r="CF80" s="193"/>
      <c r="CG80" s="193"/>
      <c r="CH80" s="193"/>
      <c r="CI80" s="193"/>
      <c r="CJ80" s="193"/>
      <c r="CK80" s="193"/>
      <c r="CL80" s="193"/>
      <c r="CM80" s="193"/>
      <c r="CN80" s="193"/>
      <c r="CO80" s="193"/>
      <c r="CP80" s="193"/>
      <c r="CQ80" s="193"/>
      <c r="CR80" s="193"/>
      <c r="CS80" s="193"/>
      <c r="CT80" s="193"/>
      <c r="CU80" s="193"/>
      <c r="CV80" s="193"/>
      <c r="CW80" s="193"/>
      <c r="CX80" s="193"/>
      <c r="CY80" s="193"/>
      <c r="CZ80" s="193"/>
      <c r="DA80" s="193"/>
      <c r="DB80" s="193"/>
      <c r="DC80" s="193"/>
      <c r="DD80" s="193"/>
      <c r="DE80" s="193"/>
      <c r="DF80" s="193"/>
      <c r="DG80" s="193"/>
      <c r="DH80" s="193"/>
      <c r="DI80" s="193"/>
      <c r="DJ80" s="193"/>
      <c r="DK80" s="193"/>
      <c r="DL80" s="193"/>
      <c r="DM80" s="193"/>
      <c r="DN80" s="193"/>
      <c r="DO80" s="193"/>
      <c r="DP80" s="193"/>
      <c r="DQ80" s="193"/>
      <c r="DR80" s="193"/>
      <c r="DS80" s="193"/>
      <c r="DT80" s="193"/>
      <c r="DU80" s="193"/>
      <c r="DV80" s="193"/>
      <c r="DW80" s="193"/>
      <c r="DX80" s="193"/>
      <c r="DY80" s="193"/>
      <c r="DZ80" s="193"/>
      <c r="EA80" s="193"/>
      <c r="EB80" s="193"/>
      <c r="EC80" s="193"/>
      <c r="ED80" s="193"/>
      <c r="EE80" s="193"/>
      <c r="EF80" s="193"/>
      <c r="EG80" s="193"/>
      <c r="EH80" s="193"/>
      <c r="EI80" s="193"/>
      <c r="EJ80" s="193"/>
      <c r="EK80" s="193"/>
      <c r="EL80" s="193"/>
      <c r="EM80" s="193"/>
      <c r="EN80" s="193"/>
      <c r="EO80" s="193"/>
      <c r="EP80" s="193"/>
      <c r="EQ80" s="193"/>
      <c r="ER80" s="193"/>
      <c r="ES80" s="193"/>
      <c r="ET80" s="193"/>
      <c r="EU80" s="193"/>
      <c r="EV80" s="193"/>
      <c r="EW80" s="193"/>
      <c r="EX80" s="193"/>
      <c r="EY80" s="193"/>
      <c r="EZ80" s="193"/>
      <c r="FA80" s="193"/>
      <c r="FB80" s="193"/>
      <c r="FC80" s="193"/>
      <c r="FD80" s="193"/>
      <c r="FE80" s="193"/>
      <c r="FF80" s="193"/>
      <c r="FG80" s="193"/>
      <c r="FH80" s="193"/>
      <c r="FI80" s="193"/>
      <c r="FJ80" s="193"/>
      <c r="FK80" s="193"/>
      <c r="FL80" s="193"/>
      <c r="FM80" s="193"/>
      <c r="FN80" s="193"/>
      <c r="FO80" s="193"/>
      <c r="FP80" s="193"/>
      <c r="FQ80" s="193"/>
      <c r="FR80" s="193"/>
      <c r="FS80" s="193"/>
      <c r="FT80" s="193"/>
      <c r="FU80" s="193"/>
      <c r="FV80" s="193"/>
      <c r="FW80" s="193"/>
      <c r="FX80" s="193"/>
      <c r="FY80" s="193"/>
      <c r="FZ80" s="193"/>
      <c r="GA80" s="193"/>
      <c r="GB80" s="193"/>
      <c r="GC80" s="193"/>
      <c r="GD80" s="193"/>
      <c r="GE80" s="193"/>
      <c r="GF80" s="193"/>
      <c r="GG80" s="193"/>
      <c r="GH80" s="193"/>
      <c r="GI80" s="193"/>
      <c r="GJ80" s="193"/>
      <c r="GK80" s="193"/>
      <c r="GL80" s="193"/>
      <c r="GM80" s="193"/>
      <c r="GN80" s="193"/>
      <c r="GO80" s="193"/>
      <c r="GP80" s="193"/>
      <c r="GQ80" s="193"/>
      <c r="GR80" s="193"/>
      <c r="GS80" s="193"/>
      <c r="GT80" s="193"/>
      <c r="GU80" s="193"/>
      <c r="GV80" s="193"/>
      <c r="GW80" s="193"/>
      <c r="GX80" s="193"/>
      <c r="GY80" s="193"/>
      <c r="GZ80" s="193"/>
      <c r="HA80" s="193"/>
      <c r="HB80" s="193"/>
      <c r="HC80" s="193"/>
      <c r="HD80" s="193"/>
      <c r="HE80" s="193"/>
      <c r="HF80" s="193"/>
      <c r="HG80" s="193"/>
      <c r="HH80" s="193"/>
      <c r="HI80" s="193"/>
      <c r="HJ80" s="193"/>
      <c r="HK80" s="193"/>
      <c r="HL80" s="193"/>
      <c r="HM80" s="193"/>
      <c r="HN80" s="193"/>
      <c r="HO80" s="193"/>
      <c r="HP80" s="193"/>
      <c r="HQ80" s="193"/>
      <c r="HR80" s="193"/>
      <c r="HS80" s="193"/>
      <c r="HT80" s="193"/>
      <c r="HU80" s="193"/>
      <c r="HV80" s="193"/>
      <c r="HW80" s="193"/>
      <c r="HX80" s="193"/>
      <c r="HY80" s="193"/>
      <c r="HZ80" s="193"/>
      <c r="IA80" s="193"/>
      <c r="IB80" s="193"/>
      <c r="IC80" s="193"/>
      <c r="ID80" s="193"/>
      <c r="IE80" s="193"/>
      <c r="IF80" s="193"/>
      <c r="IG80" s="193"/>
      <c r="IH80" s="193"/>
      <c r="II80" s="193"/>
      <c r="IJ80" s="193"/>
      <c r="IK80" s="193"/>
      <c r="IL80" s="193"/>
      <c r="IM80" s="193"/>
      <c r="IN80" s="193"/>
      <c r="IO80" s="193"/>
      <c r="IP80" s="193"/>
      <c r="IQ80" s="193"/>
    </row>
    <row r="81" spans="1:251" hidden="1">
      <c r="A81" s="1026"/>
      <c r="B81" s="1955"/>
      <c r="C81" s="1955"/>
      <c r="D81" s="2034"/>
      <c r="E81" s="1955"/>
      <c r="F81" s="1942">
        <f t="shared" si="33"/>
        <v>0</v>
      </c>
      <c r="G81" s="1026"/>
      <c r="H81" s="1942">
        <f t="shared" si="34"/>
        <v>0</v>
      </c>
      <c r="I81" s="1026"/>
      <c r="J81" s="1942">
        <f t="shared" si="35"/>
        <v>0</v>
      </c>
      <c r="K81" s="1026"/>
      <c r="L81" s="1942">
        <f t="shared" si="36"/>
        <v>0</v>
      </c>
      <c r="M81" s="1942">
        <f t="shared" si="37"/>
        <v>0</v>
      </c>
      <c r="N81" s="1942">
        <f t="shared" si="38"/>
        <v>0</v>
      </c>
      <c r="O81" s="1026"/>
      <c r="P81" s="1026"/>
      <c r="Q81" s="1942">
        <f t="shared" si="39"/>
        <v>0</v>
      </c>
      <c r="R81" s="1942">
        <f t="shared" si="40"/>
        <v>0</v>
      </c>
      <c r="S81" s="1942">
        <f t="shared" si="41"/>
        <v>0</v>
      </c>
      <c r="T81" s="1942">
        <f t="shared" si="42"/>
        <v>0</v>
      </c>
      <c r="U81" s="1942">
        <f t="shared" si="43"/>
        <v>0</v>
      </c>
      <c r="V81" s="3035">
        <f t="shared" si="44"/>
        <v>0</v>
      </c>
      <c r="W81" s="1942"/>
      <c r="X81" s="193"/>
      <c r="Y81" s="193"/>
      <c r="Z81" s="193"/>
      <c r="AA81" s="193"/>
      <c r="AB81" s="193"/>
      <c r="AC81" s="193"/>
      <c r="AD81" s="193"/>
      <c r="AE81" s="193"/>
      <c r="AF81" s="193"/>
      <c r="AG81" s="193"/>
      <c r="AH81" s="193"/>
      <c r="AI81" s="193"/>
      <c r="AJ81" s="193"/>
      <c r="AK81" s="193"/>
      <c r="AL81" s="193"/>
      <c r="AM81" s="193"/>
      <c r="AN81" s="193"/>
      <c r="AO81" s="193"/>
      <c r="AP81" s="193"/>
      <c r="AQ81" s="193"/>
      <c r="AR81" s="193"/>
      <c r="AS81" s="193"/>
      <c r="AT81" s="193"/>
      <c r="AU81" s="193"/>
      <c r="AV81" s="193"/>
      <c r="AW81" s="193"/>
      <c r="AX81" s="193"/>
      <c r="AY81" s="193"/>
      <c r="AZ81" s="193"/>
      <c r="BA81" s="193"/>
      <c r="BB81" s="193"/>
      <c r="BC81" s="193"/>
      <c r="BD81" s="193"/>
      <c r="BE81" s="193"/>
      <c r="BF81" s="193"/>
      <c r="BG81" s="193"/>
      <c r="BH81" s="193"/>
      <c r="BI81" s="193"/>
      <c r="BJ81" s="193"/>
      <c r="BK81" s="193"/>
      <c r="BL81" s="193"/>
      <c r="BM81" s="193"/>
      <c r="BN81" s="193"/>
      <c r="BO81" s="193"/>
      <c r="BP81" s="193"/>
      <c r="BQ81" s="193"/>
      <c r="BR81" s="193"/>
      <c r="BS81" s="193"/>
      <c r="BT81" s="193"/>
      <c r="BU81" s="193"/>
      <c r="BV81" s="193"/>
      <c r="BW81" s="193"/>
      <c r="BX81" s="193"/>
      <c r="BY81" s="193"/>
      <c r="BZ81" s="193"/>
      <c r="CA81" s="193"/>
      <c r="CB81" s="193"/>
      <c r="CC81" s="193"/>
      <c r="CD81" s="193"/>
      <c r="CE81" s="193"/>
      <c r="CF81" s="193"/>
      <c r="CG81" s="193"/>
      <c r="CH81" s="193"/>
      <c r="CI81" s="193"/>
      <c r="CJ81" s="193"/>
      <c r="CK81" s="193"/>
      <c r="CL81" s="193"/>
      <c r="CM81" s="193"/>
      <c r="CN81" s="193"/>
      <c r="CO81" s="193"/>
      <c r="CP81" s="193"/>
      <c r="CQ81" s="193"/>
      <c r="CR81" s="193"/>
      <c r="CS81" s="193"/>
      <c r="CT81" s="193"/>
      <c r="CU81" s="193"/>
      <c r="CV81" s="193"/>
      <c r="CW81" s="193"/>
      <c r="CX81" s="193"/>
      <c r="CY81" s="193"/>
      <c r="CZ81" s="193"/>
      <c r="DA81" s="193"/>
      <c r="DB81" s="193"/>
      <c r="DC81" s="193"/>
      <c r="DD81" s="193"/>
      <c r="DE81" s="193"/>
      <c r="DF81" s="193"/>
      <c r="DG81" s="193"/>
      <c r="DH81" s="193"/>
      <c r="DI81" s="193"/>
      <c r="DJ81" s="193"/>
      <c r="DK81" s="193"/>
      <c r="DL81" s="193"/>
      <c r="DM81" s="193"/>
      <c r="DN81" s="193"/>
      <c r="DO81" s="193"/>
      <c r="DP81" s="193"/>
      <c r="DQ81" s="193"/>
      <c r="DR81" s="193"/>
      <c r="DS81" s="193"/>
      <c r="DT81" s="193"/>
      <c r="DU81" s="193"/>
      <c r="DV81" s="193"/>
      <c r="DW81" s="193"/>
      <c r="DX81" s="193"/>
      <c r="DY81" s="193"/>
      <c r="DZ81" s="193"/>
      <c r="EA81" s="193"/>
      <c r="EB81" s="193"/>
      <c r="EC81" s="193"/>
      <c r="ED81" s="193"/>
      <c r="EE81" s="193"/>
      <c r="EF81" s="193"/>
      <c r="EG81" s="193"/>
      <c r="EH81" s="193"/>
      <c r="EI81" s="193"/>
      <c r="EJ81" s="193"/>
      <c r="EK81" s="193"/>
      <c r="EL81" s="193"/>
      <c r="EM81" s="193"/>
      <c r="EN81" s="193"/>
      <c r="EO81" s="193"/>
      <c r="EP81" s="193"/>
      <c r="EQ81" s="193"/>
      <c r="ER81" s="193"/>
      <c r="ES81" s="193"/>
      <c r="ET81" s="193"/>
      <c r="EU81" s="193"/>
      <c r="EV81" s="193"/>
      <c r="EW81" s="193"/>
      <c r="EX81" s="193"/>
      <c r="EY81" s="193"/>
      <c r="EZ81" s="193"/>
      <c r="FA81" s="193"/>
      <c r="FB81" s="193"/>
      <c r="FC81" s="193"/>
      <c r="FD81" s="193"/>
      <c r="FE81" s="193"/>
      <c r="FF81" s="193"/>
      <c r="FG81" s="193"/>
      <c r="FH81" s="193"/>
      <c r="FI81" s="193"/>
      <c r="FJ81" s="193"/>
      <c r="FK81" s="193"/>
      <c r="FL81" s="193"/>
      <c r="FM81" s="193"/>
      <c r="FN81" s="193"/>
      <c r="FO81" s="193"/>
      <c r="FP81" s="193"/>
      <c r="FQ81" s="193"/>
      <c r="FR81" s="193"/>
      <c r="FS81" s="193"/>
      <c r="FT81" s="193"/>
      <c r="FU81" s="193"/>
      <c r="FV81" s="193"/>
      <c r="FW81" s="193"/>
      <c r="FX81" s="193"/>
      <c r="FY81" s="193"/>
      <c r="FZ81" s="193"/>
      <c r="GA81" s="193"/>
      <c r="GB81" s="193"/>
      <c r="GC81" s="193"/>
      <c r="GD81" s="193"/>
      <c r="GE81" s="193"/>
      <c r="GF81" s="193"/>
      <c r="GG81" s="193"/>
      <c r="GH81" s="193"/>
      <c r="GI81" s="193"/>
      <c r="GJ81" s="193"/>
      <c r="GK81" s="193"/>
      <c r="GL81" s="193"/>
      <c r="GM81" s="193"/>
      <c r="GN81" s="193"/>
      <c r="GO81" s="193"/>
      <c r="GP81" s="193"/>
      <c r="GQ81" s="193"/>
      <c r="GR81" s="193"/>
      <c r="GS81" s="193"/>
      <c r="GT81" s="193"/>
      <c r="GU81" s="193"/>
      <c r="GV81" s="193"/>
      <c r="GW81" s="193"/>
      <c r="GX81" s="193"/>
      <c r="GY81" s="193"/>
      <c r="GZ81" s="193"/>
      <c r="HA81" s="193"/>
      <c r="HB81" s="193"/>
      <c r="HC81" s="193"/>
      <c r="HD81" s="193"/>
      <c r="HE81" s="193"/>
      <c r="HF81" s="193"/>
      <c r="HG81" s="193"/>
      <c r="HH81" s="193"/>
      <c r="HI81" s="193"/>
      <c r="HJ81" s="193"/>
      <c r="HK81" s="193"/>
      <c r="HL81" s="193"/>
      <c r="HM81" s="193"/>
      <c r="HN81" s="193"/>
      <c r="HO81" s="193"/>
      <c r="HP81" s="193"/>
      <c r="HQ81" s="193"/>
      <c r="HR81" s="193"/>
      <c r="HS81" s="193"/>
      <c r="HT81" s="193"/>
      <c r="HU81" s="193"/>
      <c r="HV81" s="193"/>
      <c r="HW81" s="193"/>
      <c r="HX81" s="193"/>
      <c r="HY81" s="193"/>
      <c r="HZ81" s="193"/>
      <c r="IA81" s="193"/>
      <c r="IB81" s="193"/>
      <c r="IC81" s="193"/>
      <c r="ID81" s="193"/>
      <c r="IE81" s="193"/>
      <c r="IF81" s="193"/>
      <c r="IG81" s="193"/>
      <c r="IH81" s="193"/>
      <c r="II81" s="193"/>
      <c r="IJ81" s="193"/>
      <c r="IK81" s="193"/>
      <c r="IL81" s="193"/>
      <c r="IM81" s="193"/>
      <c r="IN81" s="193"/>
      <c r="IO81" s="193"/>
      <c r="IP81" s="193"/>
      <c r="IQ81" s="193"/>
    </row>
    <row r="82" spans="1:251" hidden="1">
      <c r="A82" s="1026"/>
      <c r="B82" s="1955"/>
      <c r="C82" s="1955"/>
      <c r="D82" s="2034"/>
      <c r="E82" s="1955"/>
      <c r="F82" s="1942">
        <f t="shared" si="33"/>
        <v>0</v>
      </c>
      <c r="G82" s="1026"/>
      <c r="H82" s="1942">
        <f t="shared" si="34"/>
        <v>0</v>
      </c>
      <c r="I82" s="1026"/>
      <c r="J82" s="1942">
        <f t="shared" si="35"/>
        <v>0</v>
      </c>
      <c r="K82" s="1026"/>
      <c r="L82" s="1942">
        <f t="shared" si="36"/>
        <v>0</v>
      </c>
      <c r="M82" s="1942">
        <f t="shared" si="37"/>
        <v>0</v>
      </c>
      <c r="N82" s="1942">
        <f t="shared" si="38"/>
        <v>0</v>
      </c>
      <c r="O82" s="1026"/>
      <c r="P82" s="1026"/>
      <c r="Q82" s="1942">
        <f t="shared" si="39"/>
        <v>0</v>
      </c>
      <c r="R82" s="1942">
        <f t="shared" si="40"/>
        <v>0</v>
      </c>
      <c r="S82" s="1942">
        <f t="shared" si="41"/>
        <v>0</v>
      </c>
      <c r="T82" s="1942">
        <f t="shared" si="42"/>
        <v>0</v>
      </c>
      <c r="U82" s="1942">
        <f t="shared" si="43"/>
        <v>0</v>
      </c>
      <c r="V82" s="3035">
        <f t="shared" si="44"/>
        <v>0</v>
      </c>
      <c r="W82" s="1942"/>
      <c r="X82" s="193"/>
      <c r="Y82" s="193"/>
      <c r="Z82" s="193"/>
      <c r="AA82" s="193"/>
      <c r="AB82" s="193"/>
      <c r="AC82" s="193"/>
      <c r="AD82" s="193"/>
      <c r="AE82" s="193"/>
      <c r="AF82" s="193"/>
      <c r="AG82" s="193"/>
      <c r="AH82" s="193"/>
      <c r="AI82" s="193"/>
      <c r="AJ82" s="193"/>
      <c r="AK82" s="193"/>
      <c r="AL82" s="193"/>
      <c r="AM82" s="193"/>
      <c r="AN82" s="193"/>
      <c r="AO82" s="193"/>
      <c r="AP82" s="193"/>
      <c r="AQ82" s="193"/>
      <c r="AR82" s="193"/>
      <c r="AS82" s="193"/>
      <c r="AT82" s="193"/>
      <c r="AU82" s="193"/>
      <c r="AV82" s="193"/>
      <c r="AW82" s="193"/>
      <c r="AX82" s="193"/>
      <c r="AY82" s="193"/>
      <c r="AZ82" s="193"/>
      <c r="BA82" s="193"/>
      <c r="BB82" s="193"/>
      <c r="BC82" s="193"/>
      <c r="BD82" s="193"/>
      <c r="BE82" s="193"/>
      <c r="BF82" s="193"/>
      <c r="BG82" s="193"/>
      <c r="BH82" s="193"/>
      <c r="BI82" s="193"/>
      <c r="BJ82" s="193"/>
      <c r="BK82" s="193"/>
      <c r="BL82" s="193"/>
      <c r="BM82" s="193"/>
      <c r="BN82" s="193"/>
      <c r="BO82" s="193"/>
      <c r="BP82" s="193"/>
      <c r="BQ82" s="193"/>
      <c r="BR82" s="193"/>
      <c r="BS82" s="193"/>
      <c r="BT82" s="193"/>
      <c r="BU82" s="193"/>
      <c r="BV82" s="193"/>
      <c r="BW82" s="193"/>
      <c r="BX82" s="193"/>
      <c r="BY82" s="193"/>
      <c r="BZ82" s="193"/>
      <c r="CA82" s="193"/>
      <c r="CB82" s="193"/>
      <c r="CC82" s="193"/>
      <c r="CD82" s="193"/>
      <c r="CE82" s="193"/>
      <c r="CF82" s="193"/>
      <c r="CG82" s="193"/>
      <c r="CH82" s="193"/>
      <c r="CI82" s="193"/>
      <c r="CJ82" s="193"/>
      <c r="CK82" s="193"/>
      <c r="CL82" s="193"/>
      <c r="CM82" s="193"/>
      <c r="CN82" s="193"/>
      <c r="CO82" s="193"/>
      <c r="CP82" s="193"/>
      <c r="CQ82" s="193"/>
      <c r="CR82" s="193"/>
      <c r="CS82" s="193"/>
      <c r="CT82" s="193"/>
      <c r="CU82" s="193"/>
      <c r="CV82" s="193"/>
      <c r="CW82" s="193"/>
      <c r="CX82" s="193"/>
      <c r="CY82" s="193"/>
      <c r="CZ82" s="193"/>
      <c r="DA82" s="193"/>
      <c r="DB82" s="193"/>
      <c r="DC82" s="193"/>
      <c r="DD82" s="193"/>
      <c r="DE82" s="193"/>
      <c r="DF82" s="193"/>
      <c r="DG82" s="193"/>
      <c r="DH82" s="193"/>
      <c r="DI82" s="193"/>
      <c r="DJ82" s="193"/>
      <c r="DK82" s="193"/>
      <c r="DL82" s="193"/>
      <c r="DM82" s="193"/>
      <c r="DN82" s="193"/>
      <c r="DO82" s="193"/>
      <c r="DP82" s="193"/>
      <c r="DQ82" s="193"/>
      <c r="DR82" s="193"/>
      <c r="DS82" s="193"/>
      <c r="DT82" s="193"/>
      <c r="DU82" s="193"/>
      <c r="DV82" s="193"/>
      <c r="DW82" s="193"/>
      <c r="DX82" s="193"/>
      <c r="DY82" s="193"/>
      <c r="DZ82" s="193"/>
      <c r="EA82" s="193"/>
      <c r="EB82" s="193"/>
      <c r="EC82" s="193"/>
      <c r="ED82" s="193"/>
      <c r="EE82" s="193"/>
      <c r="EF82" s="193"/>
      <c r="EG82" s="193"/>
      <c r="EH82" s="193"/>
      <c r="EI82" s="193"/>
      <c r="EJ82" s="193"/>
      <c r="EK82" s="193"/>
      <c r="EL82" s="193"/>
      <c r="EM82" s="193"/>
      <c r="EN82" s="193"/>
      <c r="EO82" s="193"/>
      <c r="EP82" s="193"/>
      <c r="EQ82" s="193"/>
      <c r="ER82" s="193"/>
      <c r="ES82" s="193"/>
      <c r="ET82" s="193"/>
      <c r="EU82" s="193"/>
      <c r="EV82" s="193"/>
      <c r="EW82" s="193"/>
      <c r="EX82" s="193"/>
      <c r="EY82" s="193"/>
      <c r="EZ82" s="193"/>
      <c r="FA82" s="193"/>
      <c r="FB82" s="193"/>
      <c r="FC82" s="193"/>
      <c r="FD82" s="193"/>
      <c r="FE82" s="193"/>
      <c r="FF82" s="193"/>
      <c r="FG82" s="193"/>
      <c r="FH82" s="193"/>
      <c r="FI82" s="193"/>
      <c r="FJ82" s="193"/>
      <c r="FK82" s="193"/>
      <c r="FL82" s="193"/>
      <c r="FM82" s="193"/>
      <c r="FN82" s="193"/>
      <c r="FO82" s="193"/>
      <c r="FP82" s="193"/>
      <c r="FQ82" s="193"/>
      <c r="FR82" s="193"/>
      <c r="FS82" s="193"/>
      <c r="FT82" s="193"/>
      <c r="FU82" s="193"/>
      <c r="FV82" s="193"/>
      <c r="FW82" s="193"/>
      <c r="FX82" s="193"/>
      <c r="FY82" s="193"/>
      <c r="FZ82" s="193"/>
      <c r="GA82" s="193"/>
      <c r="GB82" s="193"/>
      <c r="GC82" s="193"/>
      <c r="GD82" s="193"/>
      <c r="GE82" s="193"/>
      <c r="GF82" s="193"/>
      <c r="GG82" s="193"/>
      <c r="GH82" s="193"/>
      <c r="GI82" s="193"/>
      <c r="GJ82" s="193"/>
      <c r="GK82" s="193"/>
      <c r="GL82" s="193"/>
      <c r="GM82" s="193"/>
      <c r="GN82" s="193"/>
      <c r="GO82" s="193"/>
      <c r="GP82" s="193"/>
      <c r="GQ82" s="193"/>
      <c r="GR82" s="193"/>
      <c r="GS82" s="193"/>
      <c r="GT82" s="193"/>
      <c r="GU82" s="193"/>
      <c r="GV82" s="193"/>
      <c r="GW82" s="193"/>
      <c r="GX82" s="193"/>
      <c r="GY82" s="193"/>
      <c r="GZ82" s="193"/>
      <c r="HA82" s="193"/>
      <c r="HB82" s="193"/>
      <c r="HC82" s="193"/>
      <c r="HD82" s="193"/>
      <c r="HE82" s="193"/>
      <c r="HF82" s="193"/>
      <c r="HG82" s="193"/>
      <c r="HH82" s="193"/>
      <c r="HI82" s="193"/>
      <c r="HJ82" s="193"/>
      <c r="HK82" s="193"/>
      <c r="HL82" s="193"/>
      <c r="HM82" s="193"/>
      <c r="HN82" s="193"/>
      <c r="HO82" s="193"/>
      <c r="HP82" s="193"/>
      <c r="HQ82" s="193"/>
      <c r="HR82" s="193"/>
      <c r="HS82" s="193"/>
      <c r="HT82" s="193"/>
      <c r="HU82" s="193"/>
      <c r="HV82" s="193"/>
      <c r="HW82" s="193"/>
      <c r="HX82" s="193"/>
      <c r="HY82" s="193"/>
      <c r="HZ82" s="193"/>
      <c r="IA82" s="193"/>
      <c r="IB82" s="193"/>
      <c r="IC82" s="193"/>
      <c r="ID82" s="193"/>
      <c r="IE82" s="193"/>
      <c r="IF82" s="193"/>
      <c r="IG82" s="193"/>
      <c r="IH82" s="193"/>
      <c r="II82" s="193"/>
      <c r="IJ82" s="193"/>
      <c r="IK82" s="193"/>
      <c r="IL82" s="193"/>
      <c r="IM82" s="193"/>
      <c r="IN82" s="193"/>
      <c r="IO82" s="193"/>
      <c r="IP82" s="193"/>
      <c r="IQ82" s="193"/>
    </row>
    <row r="83" spans="1:251" hidden="1">
      <c r="A83" s="1026"/>
      <c r="B83" s="1955"/>
      <c r="C83" s="1955"/>
      <c r="D83" s="2034"/>
      <c r="E83" s="1955"/>
      <c r="F83" s="1942">
        <f t="shared" si="33"/>
        <v>0</v>
      </c>
      <c r="G83" s="1026"/>
      <c r="H83" s="1942">
        <f t="shared" si="34"/>
        <v>0</v>
      </c>
      <c r="I83" s="1026"/>
      <c r="J83" s="1942">
        <f t="shared" si="35"/>
        <v>0</v>
      </c>
      <c r="K83" s="1026"/>
      <c r="L83" s="1942">
        <f t="shared" si="36"/>
        <v>0</v>
      </c>
      <c r="M83" s="1942">
        <f t="shared" si="37"/>
        <v>0</v>
      </c>
      <c r="N83" s="1942">
        <f t="shared" si="38"/>
        <v>0</v>
      </c>
      <c r="O83" s="1026"/>
      <c r="P83" s="1026"/>
      <c r="Q83" s="1942">
        <f t="shared" si="39"/>
        <v>0</v>
      </c>
      <c r="R83" s="1942">
        <f t="shared" si="40"/>
        <v>0</v>
      </c>
      <c r="S83" s="1942">
        <f t="shared" si="41"/>
        <v>0</v>
      </c>
      <c r="T83" s="1942">
        <f t="shared" si="42"/>
        <v>0</v>
      </c>
      <c r="U83" s="1942">
        <f t="shared" si="43"/>
        <v>0</v>
      </c>
      <c r="V83" s="3035">
        <f t="shared" si="44"/>
        <v>0</v>
      </c>
      <c r="W83" s="1942"/>
      <c r="X83" s="193"/>
      <c r="Y83" s="193"/>
      <c r="Z83" s="193"/>
      <c r="AA83" s="193"/>
      <c r="AB83" s="193"/>
      <c r="AC83" s="193"/>
      <c r="AD83" s="193"/>
      <c r="AE83" s="193"/>
      <c r="AF83" s="193"/>
      <c r="AG83" s="193"/>
      <c r="AH83" s="193"/>
      <c r="AI83" s="193"/>
      <c r="AJ83" s="193"/>
      <c r="AK83" s="193"/>
      <c r="AL83" s="193"/>
      <c r="AM83" s="193"/>
      <c r="AN83" s="193"/>
      <c r="AO83" s="193"/>
      <c r="AP83" s="193"/>
      <c r="AQ83" s="193"/>
      <c r="AR83" s="193"/>
      <c r="AS83" s="193"/>
      <c r="AT83" s="193"/>
      <c r="AU83" s="193"/>
      <c r="AV83" s="193"/>
      <c r="AW83" s="193"/>
      <c r="AX83" s="193"/>
      <c r="AY83" s="193"/>
      <c r="AZ83" s="193"/>
      <c r="BA83" s="193"/>
      <c r="BB83" s="193"/>
      <c r="BC83" s="193"/>
      <c r="BD83" s="193"/>
      <c r="BE83" s="193"/>
      <c r="BF83" s="193"/>
      <c r="BG83" s="193"/>
      <c r="BH83" s="193"/>
      <c r="BI83" s="193"/>
      <c r="BJ83" s="193"/>
      <c r="BK83" s="193"/>
      <c r="BL83" s="193"/>
      <c r="BM83" s="193"/>
      <c r="BN83" s="193"/>
      <c r="BO83" s="193"/>
      <c r="BP83" s="193"/>
      <c r="BQ83" s="193"/>
      <c r="BR83" s="193"/>
      <c r="BS83" s="193"/>
      <c r="BT83" s="193"/>
      <c r="BU83" s="193"/>
      <c r="BV83" s="193"/>
      <c r="BW83" s="193"/>
      <c r="BX83" s="193"/>
      <c r="BY83" s="193"/>
      <c r="BZ83" s="193"/>
      <c r="CA83" s="193"/>
      <c r="CB83" s="193"/>
      <c r="CC83" s="193"/>
      <c r="CD83" s="193"/>
      <c r="CE83" s="193"/>
      <c r="CF83" s="193"/>
      <c r="CG83" s="193"/>
      <c r="CH83" s="193"/>
      <c r="CI83" s="193"/>
      <c r="CJ83" s="193"/>
      <c r="CK83" s="193"/>
      <c r="CL83" s="193"/>
      <c r="CM83" s="193"/>
      <c r="CN83" s="193"/>
      <c r="CO83" s="193"/>
      <c r="CP83" s="193"/>
      <c r="CQ83" s="193"/>
      <c r="CR83" s="193"/>
      <c r="CS83" s="193"/>
      <c r="CT83" s="193"/>
      <c r="CU83" s="193"/>
      <c r="CV83" s="193"/>
      <c r="CW83" s="193"/>
      <c r="CX83" s="193"/>
      <c r="CY83" s="193"/>
      <c r="CZ83" s="193"/>
      <c r="DA83" s="193"/>
      <c r="DB83" s="193"/>
      <c r="DC83" s="193"/>
      <c r="DD83" s="193"/>
      <c r="DE83" s="193"/>
      <c r="DF83" s="193"/>
      <c r="DG83" s="193"/>
      <c r="DH83" s="193"/>
      <c r="DI83" s="193"/>
      <c r="DJ83" s="193"/>
      <c r="DK83" s="193"/>
      <c r="DL83" s="193"/>
      <c r="DM83" s="193"/>
      <c r="DN83" s="193"/>
      <c r="DO83" s="193"/>
      <c r="DP83" s="193"/>
      <c r="DQ83" s="193"/>
      <c r="DR83" s="193"/>
      <c r="DS83" s="193"/>
      <c r="DT83" s="193"/>
      <c r="DU83" s="193"/>
      <c r="DV83" s="193"/>
      <c r="DW83" s="193"/>
      <c r="DX83" s="193"/>
      <c r="DY83" s="193"/>
      <c r="DZ83" s="193"/>
      <c r="EA83" s="193"/>
      <c r="EB83" s="193"/>
      <c r="EC83" s="193"/>
      <c r="ED83" s="193"/>
      <c r="EE83" s="193"/>
      <c r="EF83" s="193"/>
      <c r="EG83" s="193"/>
      <c r="EH83" s="193"/>
      <c r="EI83" s="193"/>
      <c r="EJ83" s="193"/>
      <c r="EK83" s="193"/>
      <c r="EL83" s="193"/>
      <c r="EM83" s="193"/>
      <c r="EN83" s="193"/>
      <c r="EO83" s="193"/>
      <c r="EP83" s="193"/>
      <c r="EQ83" s="193"/>
      <c r="ER83" s="193"/>
      <c r="ES83" s="193"/>
      <c r="ET83" s="193"/>
      <c r="EU83" s="193"/>
      <c r="EV83" s="193"/>
      <c r="EW83" s="193"/>
      <c r="EX83" s="193"/>
      <c r="EY83" s="193"/>
      <c r="EZ83" s="193"/>
      <c r="FA83" s="193"/>
      <c r="FB83" s="193"/>
      <c r="FC83" s="193"/>
      <c r="FD83" s="193"/>
      <c r="FE83" s="193"/>
      <c r="FF83" s="193"/>
      <c r="FG83" s="193"/>
      <c r="FH83" s="193"/>
      <c r="FI83" s="193"/>
      <c r="FJ83" s="193"/>
      <c r="FK83" s="193"/>
      <c r="FL83" s="193"/>
      <c r="FM83" s="193"/>
      <c r="FN83" s="193"/>
      <c r="FO83" s="193"/>
      <c r="FP83" s="193"/>
      <c r="FQ83" s="193"/>
      <c r="FR83" s="193"/>
      <c r="FS83" s="193"/>
      <c r="FT83" s="193"/>
      <c r="FU83" s="193"/>
      <c r="FV83" s="193"/>
      <c r="FW83" s="193"/>
      <c r="FX83" s="193"/>
      <c r="FY83" s="193"/>
      <c r="FZ83" s="193"/>
      <c r="GA83" s="193"/>
      <c r="GB83" s="193"/>
      <c r="GC83" s="193"/>
      <c r="GD83" s="193"/>
      <c r="GE83" s="193"/>
      <c r="GF83" s="193"/>
      <c r="GG83" s="193"/>
      <c r="GH83" s="193"/>
      <c r="GI83" s="193"/>
      <c r="GJ83" s="193"/>
      <c r="GK83" s="193"/>
      <c r="GL83" s="193"/>
      <c r="GM83" s="193"/>
      <c r="GN83" s="193"/>
      <c r="GO83" s="193"/>
      <c r="GP83" s="193"/>
      <c r="GQ83" s="193"/>
      <c r="GR83" s="193"/>
      <c r="GS83" s="193"/>
      <c r="GT83" s="193"/>
      <c r="GU83" s="193"/>
      <c r="GV83" s="193"/>
      <c r="GW83" s="193"/>
      <c r="GX83" s="193"/>
      <c r="GY83" s="193"/>
      <c r="GZ83" s="193"/>
      <c r="HA83" s="193"/>
      <c r="HB83" s="193"/>
      <c r="HC83" s="193"/>
      <c r="HD83" s="193"/>
      <c r="HE83" s="193"/>
      <c r="HF83" s="193"/>
      <c r="HG83" s="193"/>
      <c r="HH83" s="193"/>
      <c r="HI83" s="193"/>
      <c r="HJ83" s="193"/>
      <c r="HK83" s="193"/>
      <c r="HL83" s="193"/>
      <c r="HM83" s="193"/>
      <c r="HN83" s="193"/>
      <c r="HO83" s="193"/>
      <c r="HP83" s="193"/>
      <c r="HQ83" s="193"/>
      <c r="HR83" s="193"/>
      <c r="HS83" s="193"/>
      <c r="HT83" s="193"/>
      <c r="HU83" s="193"/>
      <c r="HV83" s="193"/>
      <c r="HW83" s="193"/>
      <c r="HX83" s="193"/>
      <c r="HY83" s="193"/>
      <c r="HZ83" s="193"/>
      <c r="IA83" s="193"/>
      <c r="IB83" s="193"/>
      <c r="IC83" s="193"/>
      <c r="ID83" s="193"/>
      <c r="IE83" s="193"/>
      <c r="IF83" s="193"/>
      <c r="IG83" s="193"/>
      <c r="IH83" s="193"/>
      <c r="II83" s="193"/>
      <c r="IJ83" s="193"/>
      <c r="IK83" s="193"/>
      <c r="IL83" s="193"/>
      <c r="IM83" s="193"/>
      <c r="IN83" s="193"/>
      <c r="IO83" s="193"/>
      <c r="IP83" s="193"/>
      <c r="IQ83" s="193"/>
    </row>
    <row r="84" spans="1:251" hidden="1">
      <c r="A84" s="1026"/>
      <c r="B84" s="1955"/>
      <c r="C84" s="1955"/>
      <c r="D84" s="2034"/>
      <c r="E84" s="1955"/>
      <c r="F84" s="1942">
        <f t="shared" si="33"/>
        <v>0</v>
      </c>
      <c r="G84" s="1026"/>
      <c r="H84" s="1942">
        <f t="shared" si="34"/>
        <v>0</v>
      </c>
      <c r="I84" s="1026"/>
      <c r="J84" s="1942">
        <f t="shared" si="35"/>
        <v>0</v>
      </c>
      <c r="K84" s="1026"/>
      <c r="L84" s="1942">
        <f t="shared" si="36"/>
        <v>0</v>
      </c>
      <c r="M84" s="1942">
        <f t="shared" si="37"/>
        <v>0</v>
      </c>
      <c r="N84" s="1942">
        <f t="shared" si="38"/>
        <v>0</v>
      </c>
      <c r="O84" s="1026"/>
      <c r="P84" s="1026"/>
      <c r="Q84" s="1942">
        <f t="shared" si="39"/>
        <v>0</v>
      </c>
      <c r="R84" s="1942">
        <f t="shared" si="40"/>
        <v>0</v>
      </c>
      <c r="S84" s="1942">
        <f t="shared" si="41"/>
        <v>0</v>
      </c>
      <c r="T84" s="1942">
        <f t="shared" si="42"/>
        <v>0</v>
      </c>
      <c r="U84" s="1942">
        <f t="shared" si="43"/>
        <v>0</v>
      </c>
      <c r="V84" s="3035">
        <f t="shared" si="44"/>
        <v>0</v>
      </c>
      <c r="W84" s="1942"/>
      <c r="X84" s="193"/>
      <c r="Y84" s="193"/>
      <c r="Z84" s="193"/>
      <c r="AA84" s="193"/>
      <c r="AB84" s="193"/>
      <c r="AC84" s="193"/>
      <c r="AD84" s="193"/>
      <c r="AE84" s="193"/>
      <c r="AF84" s="193"/>
      <c r="AG84" s="193"/>
      <c r="AH84" s="193"/>
      <c r="AI84" s="193"/>
      <c r="AJ84" s="193"/>
      <c r="AK84" s="193"/>
      <c r="AL84" s="193"/>
      <c r="AM84" s="193"/>
      <c r="AN84" s="193"/>
      <c r="AO84" s="193"/>
      <c r="AP84" s="193"/>
      <c r="AQ84" s="193"/>
      <c r="AR84" s="193"/>
      <c r="AS84" s="193"/>
      <c r="AT84" s="193"/>
      <c r="AU84" s="193"/>
      <c r="AV84" s="193"/>
      <c r="AW84" s="193"/>
      <c r="AX84" s="193"/>
      <c r="AY84" s="193"/>
      <c r="AZ84" s="193"/>
      <c r="BA84" s="193"/>
      <c r="BB84" s="193"/>
      <c r="BC84" s="193"/>
      <c r="BD84" s="193"/>
      <c r="BE84" s="193"/>
      <c r="BF84" s="193"/>
      <c r="BG84" s="193"/>
      <c r="BH84" s="193"/>
      <c r="BI84" s="193"/>
      <c r="BJ84" s="193"/>
      <c r="BK84" s="193"/>
      <c r="BL84" s="193"/>
      <c r="BM84" s="193"/>
      <c r="BN84" s="193"/>
      <c r="BO84" s="193"/>
      <c r="BP84" s="193"/>
      <c r="BQ84" s="193"/>
      <c r="BR84" s="193"/>
      <c r="BS84" s="193"/>
      <c r="BT84" s="193"/>
      <c r="BU84" s="193"/>
      <c r="BV84" s="193"/>
      <c r="BW84" s="193"/>
      <c r="BX84" s="193"/>
      <c r="BY84" s="193"/>
      <c r="BZ84" s="193"/>
      <c r="CA84" s="193"/>
      <c r="CB84" s="193"/>
      <c r="CC84" s="193"/>
      <c r="CD84" s="193"/>
      <c r="CE84" s="193"/>
      <c r="CF84" s="193"/>
      <c r="CG84" s="193"/>
      <c r="CH84" s="193"/>
      <c r="CI84" s="193"/>
      <c r="CJ84" s="193"/>
      <c r="CK84" s="193"/>
      <c r="CL84" s="193"/>
      <c r="CM84" s="193"/>
      <c r="CN84" s="193"/>
      <c r="CO84" s="193"/>
      <c r="CP84" s="193"/>
      <c r="CQ84" s="193"/>
      <c r="CR84" s="193"/>
      <c r="CS84" s="193"/>
      <c r="CT84" s="193"/>
      <c r="CU84" s="193"/>
      <c r="CV84" s="193"/>
      <c r="CW84" s="193"/>
      <c r="CX84" s="193"/>
      <c r="CY84" s="193"/>
      <c r="CZ84" s="193"/>
      <c r="DA84" s="193"/>
      <c r="DB84" s="193"/>
      <c r="DC84" s="193"/>
      <c r="DD84" s="193"/>
      <c r="DE84" s="193"/>
      <c r="DF84" s="193"/>
      <c r="DG84" s="193"/>
      <c r="DH84" s="193"/>
      <c r="DI84" s="193"/>
      <c r="DJ84" s="193"/>
      <c r="DK84" s="193"/>
      <c r="DL84" s="193"/>
      <c r="DM84" s="193"/>
      <c r="DN84" s="193"/>
      <c r="DO84" s="193"/>
      <c r="DP84" s="193"/>
      <c r="DQ84" s="193"/>
      <c r="DR84" s="193"/>
      <c r="DS84" s="193"/>
      <c r="DT84" s="193"/>
      <c r="DU84" s="193"/>
      <c r="DV84" s="193"/>
      <c r="DW84" s="193"/>
      <c r="DX84" s="193"/>
      <c r="DY84" s="193"/>
      <c r="DZ84" s="193"/>
      <c r="EA84" s="193"/>
      <c r="EB84" s="193"/>
      <c r="EC84" s="193"/>
      <c r="ED84" s="193"/>
      <c r="EE84" s="193"/>
      <c r="EF84" s="193"/>
      <c r="EG84" s="193"/>
      <c r="EH84" s="193"/>
      <c r="EI84" s="193"/>
      <c r="EJ84" s="193"/>
      <c r="EK84" s="193"/>
      <c r="EL84" s="193"/>
      <c r="EM84" s="193"/>
      <c r="EN84" s="193"/>
      <c r="EO84" s="193"/>
      <c r="EP84" s="193"/>
      <c r="EQ84" s="193"/>
      <c r="ER84" s="193"/>
      <c r="ES84" s="193"/>
      <c r="ET84" s="193"/>
      <c r="EU84" s="193"/>
      <c r="EV84" s="193"/>
      <c r="EW84" s="193"/>
      <c r="EX84" s="193"/>
      <c r="EY84" s="193"/>
      <c r="EZ84" s="193"/>
      <c r="FA84" s="193"/>
      <c r="FB84" s="193"/>
      <c r="FC84" s="193"/>
      <c r="FD84" s="193"/>
      <c r="FE84" s="193"/>
      <c r="FF84" s="193"/>
      <c r="FG84" s="193"/>
      <c r="FH84" s="193"/>
      <c r="FI84" s="193"/>
      <c r="FJ84" s="193"/>
      <c r="FK84" s="193"/>
      <c r="FL84" s="193"/>
      <c r="FM84" s="193"/>
      <c r="FN84" s="193"/>
      <c r="FO84" s="193"/>
      <c r="FP84" s="193"/>
      <c r="FQ84" s="193"/>
      <c r="FR84" s="193"/>
      <c r="FS84" s="193"/>
      <c r="FT84" s="193"/>
      <c r="FU84" s="193"/>
      <c r="FV84" s="193"/>
      <c r="FW84" s="193"/>
      <c r="FX84" s="193"/>
      <c r="FY84" s="193"/>
      <c r="FZ84" s="193"/>
      <c r="GA84" s="193"/>
      <c r="GB84" s="193"/>
      <c r="GC84" s="193"/>
      <c r="GD84" s="193"/>
      <c r="GE84" s="193"/>
      <c r="GF84" s="193"/>
      <c r="GG84" s="193"/>
      <c r="GH84" s="193"/>
      <c r="GI84" s="193"/>
      <c r="GJ84" s="193"/>
      <c r="GK84" s="193"/>
      <c r="GL84" s="193"/>
      <c r="GM84" s="193"/>
      <c r="GN84" s="193"/>
      <c r="GO84" s="193"/>
      <c r="GP84" s="193"/>
      <c r="GQ84" s="193"/>
      <c r="GR84" s="193"/>
      <c r="GS84" s="193"/>
      <c r="GT84" s="193"/>
      <c r="GU84" s="193"/>
      <c r="GV84" s="193"/>
      <c r="GW84" s="193"/>
      <c r="GX84" s="193"/>
      <c r="GY84" s="193"/>
      <c r="GZ84" s="193"/>
      <c r="HA84" s="193"/>
      <c r="HB84" s="193"/>
      <c r="HC84" s="193"/>
      <c r="HD84" s="193"/>
      <c r="HE84" s="193"/>
      <c r="HF84" s="193"/>
      <c r="HG84" s="193"/>
      <c r="HH84" s="193"/>
      <c r="HI84" s="193"/>
      <c r="HJ84" s="193"/>
      <c r="HK84" s="193"/>
      <c r="HL84" s="193"/>
      <c r="HM84" s="193"/>
      <c r="HN84" s="193"/>
      <c r="HO84" s="193"/>
      <c r="HP84" s="193"/>
      <c r="HQ84" s="193"/>
      <c r="HR84" s="193"/>
      <c r="HS84" s="193"/>
      <c r="HT84" s="193"/>
      <c r="HU84" s="193"/>
      <c r="HV84" s="193"/>
      <c r="HW84" s="193"/>
      <c r="HX84" s="193"/>
      <c r="HY84" s="193"/>
      <c r="HZ84" s="193"/>
      <c r="IA84" s="193"/>
      <c r="IB84" s="193"/>
      <c r="IC84" s="193"/>
      <c r="ID84" s="193"/>
      <c r="IE84" s="193"/>
      <c r="IF84" s="193"/>
      <c r="IG84" s="193"/>
      <c r="IH84" s="193"/>
      <c r="II84" s="193"/>
      <c r="IJ84" s="193"/>
      <c r="IK84" s="193"/>
      <c r="IL84" s="193"/>
      <c r="IM84" s="193"/>
      <c r="IN84" s="193"/>
      <c r="IO84" s="193"/>
      <c r="IP84" s="193"/>
      <c r="IQ84" s="193"/>
    </row>
    <row r="85" spans="1:251" hidden="1">
      <c r="A85" s="1026"/>
      <c r="B85" s="1955"/>
      <c r="C85" s="1955"/>
      <c r="D85" s="2034"/>
      <c r="E85" s="1955"/>
      <c r="F85" s="1942">
        <f t="shared" si="33"/>
        <v>0</v>
      </c>
      <c r="G85" s="1026"/>
      <c r="H85" s="1942">
        <f t="shared" si="34"/>
        <v>0</v>
      </c>
      <c r="I85" s="1026"/>
      <c r="J85" s="1942">
        <f t="shared" si="35"/>
        <v>0</v>
      </c>
      <c r="K85" s="1026"/>
      <c r="L85" s="1942">
        <f t="shared" si="36"/>
        <v>0</v>
      </c>
      <c r="M85" s="1942">
        <f t="shared" si="37"/>
        <v>0</v>
      </c>
      <c r="N85" s="1942">
        <f t="shared" si="38"/>
        <v>0</v>
      </c>
      <c r="O85" s="1026"/>
      <c r="P85" s="1026"/>
      <c r="Q85" s="1942">
        <f t="shared" si="39"/>
        <v>0</v>
      </c>
      <c r="R85" s="1942">
        <f t="shared" si="40"/>
        <v>0</v>
      </c>
      <c r="S85" s="1942">
        <f t="shared" si="41"/>
        <v>0</v>
      </c>
      <c r="T85" s="1942">
        <f t="shared" si="42"/>
        <v>0</v>
      </c>
      <c r="U85" s="1942">
        <f t="shared" si="43"/>
        <v>0</v>
      </c>
      <c r="V85" s="3035">
        <f t="shared" si="44"/>
        <v>0</v>
      </c>
      <c r="W85" s="1942"/>
      <c r="X85" s="193"/>
      <c r="Y85" s="193"/>
      <c r="Z85" s="193"/>
      <c r="AA85" s="193"/>
      <c r="AB85" s="193"/>
      <c r="AC85" s="193"/>
      <c r="AD85" s="193"/>
      <c r="AE85" s="193"/>
      <c r="AF85" s="193"/>
      <c r="AG85" s="193"/>
      <c r="AH85" s="193"/>
      <c r="AI85" s="193"/>
      <c r="AJ85" s="193"/>
      <c r="AK85" s="193"/>
      <c r="AL85" s="193"/>
      <c r="AM85" s="193"/>
      <c r="AN85" s="193"/>
      <c r="AO85" s="193"/>
      <c r="AP85" s="193"/>
      <c r="AQ85" s="193"/>
      <c r="AR85" s="193"/>
      <c r="AS85" s="193"/>
      <c r="AT85" s="193"/>
      <c r="AU85" s="193"/>
      <c r="AV85" s="193"/>
      <c r="AW85" s="193"/>
      <c r="AX85" s="193"/>
      <c r="AY85" s="193"/>
      <c r="AZ85" s="193"/>
      <c r="BA85" s="193"/>
      <c r="BB85" s="193"/>
      <c r="BC85" s="193"/>
      <c r="BD85" s="193"/>
      <c r="BE85" s="193"/>
      <c r="BF85" s="193"/>
      <c r="BG85" s="193"/>
      <c r="BH85" s="193"/>
      <c r="BI85" s="193"/>
      <c r="BJ85" s="193"/>
      <c r="BK85" s="193"/>
      <c r="BL85" s="193"/>
      <c r="BM85" s="193"/>
      <c r="BN85" s="193"/>
      <c r="BO85" s="193"/>
      <c r="BP85" s="193"/>
      <c r="BQ85" s="193"/>
      <c r="BR85" s="193"/>
      <c r="BS85" s="193"/>
      <c r="BT85" s="193"/>
      <c r="BU85" s="193"/>
      <c r="BV85" s="193"/>
      <c r="BW85" s="193"/>
      <c r="BX85" s="193"/>
      <c r="BY85" s="193"/>
      <c r="BZ85" s="193"/>
      <c r="CA85" s="193"/>
      <c r="CB85" s="193"/>
      <c r="CC85" s="193"/>
      <c r="CD85" s="193"/>
      <c r="CE85" s="193"/>
      <c r="CF85" s="193"/>
      <c r="CG85" s="193"/>
      <c r="CH85" s="193"/>
      <c r="CI85" s="193"/>
      <c r="CJ85" s="193"/>
      <c r="CK85" s="193"/>
      <c r="CL85" s="193"/>
      <c r="CM85" s="193"/>
      <c r="CN85" s="193"/>
      <c r="CO85" s="193"/>
      <c r="CP85" s="193"/>
      <c r="CQ85" s="193"/>
      <c r="CR85" s="193"/>
      <c r="CS85" s="193"/>
      <c r="CT85" s="193"/>
      <c r="CU85" s="193"/>
      <c r="CV85" s="193"/>
      <c r="CW85" s="193"/>
      <c r="CX85" s="193"/>
      <c r="CY85" s="193"/>
      <c r="CZ85" s="193"/>
      <c r="DA85" s="193"/>
      <c r="DB85" s="193"/>
      <c r="DC85" s="193"/>
      <c r="DD85" s="193"/>
      <c r="DE85" s="193"/>
      <c r="DF85" s="193"/>
      <c r="DG85" s="193"/>
      <c r="DH85" s="193"/>
      <c r="DI85" s="193"/>
      <c r="DJ85" s="193"/>
      <c r="DK85" s="193"/>
      <c r="DL85" s="193"/>
      <c r="DM85" s="193"/>
      <c r="DN85" s="193"/>
      <c r="DO85" s="193"/>
      <c r="DP85" s="193"/>
      <c r="DQ85" s="193"/>
      <c r="DR85" s="193"/>
      <c r="DS85" s="193"/>
      <c r="DT85" s="193"/>
      <c r="DU85" s="193"/>
      <c r="DV85" s="193"/>
      <c r="DW85" s="193"/>
      <c r="DX85" s="193"/>
      <c r="DY85" s="193"/>
      <c r="DZ85" s="193"/>
      <c r="EA85" s="193"/>
      <c r="EB85" s="193"/>
      <c r="EC85" s="193"/>
      <c r="ED85" s="193"/>
      <c r="EE85" s="193"/>
      <c r="EF85" s="193"/>
      <c r="EG85" s="193"/>
      <c r="EH85" s="193"/>
      <c r="EI85" s="193"/>
      <c r="EJ85" s="193"/>
      <c r="EK85" s="193"/>
      <c r="EL85" s="193"/>
      <c r="EM85" s="193"/>
      <c r="EN85" s="193"/>
      <c r="EO85" s="193"/>
      <c r="EP85" s="193"/>
      <c r="EQ85" s="193"/>
      <c r="ER85" s="193"/>
      <c r="ES85" s="193"/>
      <c r="ET85" s="193"/>
      <c r="EU85" s="193"/>
      <c r="EV85" s="193"/>
      <c r="EW85" s="193"/>
      <c r="EX85" s="193"/>
      <c r="EY85" s="193"/>
      <c r="EZ85" s="193"/>
      <c r="FA85" s="193"/>
      <c r="FB85" s="193"/>
      <c r="FC85" s="193"/>
      <c r="FD85" s="193"/>
      <c r="FE85" s="193"/>
      <c r="FF85" s="193"/>
      <c r="FG85" s="193"/>
      <c r="FH85" s="193"/>
      <c r="FI85" s="193"/>
      <c r="FJ85" s="193"/>
      <c r="FK85" s="193"/>
      <c r="FL85" s="193"/>
      <c r="FM85" s="193"/>
      <c r="FN85" s="193"/>
      <c r="FO85" s="193"/>
      <c r="FP85" s="193"/>
      <c r="FQ85" s="193"/>
      <c r="FR85" s="193"/>
      <c r="FS85" s="193"/>
      <c r="FT85" s="193"/>
      <c r="FU85" s="193"/>
      <c r="FV85" s="193"/>
      <c r="FW85" s="193"/>
      <c r="FX85" s="193"/>
      <c r="FY85" s="193"/>
      <c r="FZ85" s="193"/>
      <c r="GA85" s="193"/>
      <c r="GB85" s="193"/>
      <c r="GC85" s="193"/>
      <c r="GD85" s="193"/>
      <c r="GE85" s="193"/>
      <c r="GF85" s="193"/>
      <c r="GG85" s="193"/>
      <c r="GH85" s="193"/>
      <c r="GI85" s="193"/>
      <c r="GJ85" s="193"/>
      <c r="GK85" s="193"/>
      <c r="GL85" s="193"/>
      <c r="GM85" s="193"/>
      <c r="GN85" s="193"/>
      <c r="GO85" s="193"/>
      <c r="GP85" s="193"/>
      <c r="GQ85" s="193"/>
      <c r="GR85" s="193"/>
      <c r="GS85" s="193"/>
      <c r="GT85" s="193"/>
      <c r="GU85" s="193"/>
      <c r="GV85" s="193"/>
      <c r="GW85" s="193"/>
      <c r="GX85" s="193"/>
      <c r="GY85" s="193"/>
      <c r="GZ85" s="193"/>
      <c r="HA85" s="193"/>
      <c r="HB85" s="193"/>
      <c r="HC85" s="193"/>
      <c r="HD85" s="193"/>
      <c r="HE85" s="193"/>
      <c r="HF85" s="193"/>
      <c r="HG85" s="193"/>
      <c r="HH85" s="193"/>
      <c r="HI85" s="193"/>
      <c r="HJ85" s="193"/>
      <c r="HK85" s="193"/>
      <c r="HL85" s="193"/>
      <c r="HM85" s="193"/>
      <c r="HN85" s="193"/>
      <c r="HO85" s="193"/>
      <c r="HP85" s="193"/>
      <c r="HQ85" s="193"/>
      <c r="HR85" s="193"/>
      <c r="HS85" s="193"/>
      <c r="HT85" s="193"/>
      <c r="HU85" s="193"/>
      <c r="HV85" s="193"/>
      <c r="HW85" s="193"/>
      <c r="HX85" s="193"/>
      <c r="HY85" s="193"/>
      <c r="HZ85" s="193"/>
      <c r="IA85" s="193"/>
      <c r="IB85" s="193"/>
      <c r="IC85" s="193"/>
      <c r="ID85" s="193"/>
      <c r="IE85" s="193"/>
      <c r="IF85" s="193"/>
      <c r="IG85" s="193"/>
      <c r="IH85" s="193"/>
      <c r="II85" s="193"/>
      <c r="IJ85" s="193"/>
      <c r="IK85" s="193"/>
      <c r="IL85" s="193"/>
      <c r="IM85" s="193"/>
      <c r="IN85" s="193"/>
      <c r="IO85" s="193"/>
      <c r="IP85" s="193"/>
      <c r="IQ85" s="193"/>
    </row>
    <row r="86" spans="1:251" hidden="1">
      <c r="A86" s="1026"/>
      <c r="B86" s="1955"/>
      <c r="C86" s="1955"/>
      <c r="D86" s="2034"/>
      <c r="E86" s="1955"/>
      <c r="F86" s="1942">
        <f t="shared" si="33"/>
        <v>0</v>
      </c>
      <c r="G86" s="1026"/>
      <c r="H86" s="1942">
        <f t="shared" si="34"/>
        <v>0</v>
      </c>
      <c r="I86" s="1026"/>
      <c r="J86" s="1942">
        <f t="shared" si="35"/>
        <v>0</v>
      </c>
      <c r="K86" s="1026"/>
      <c r="L86" s="1942">
        <f t="shared" si="36"/>
        <v>0</v>
      </c>
      <c r="M86" s="1942">
        <f t="shared" si="37"/>
        <v>0</v>
      </c>
      <c r="N86" s="1942">
        <f t="shared" si="38"/>
        <v>0</v>
      </c>
      <c r="O86" s="1026"/>
      <c r="P86" s="1026"/>
      <c r="Q86" s="1942">
        <f t="shared" si="39"/>
        <v>0</v>
      </c>
      <c r="R86" s="1942">
        <f t="shared" si="40"/>
        <v>0</v>
      </c>
      <c r="S86" s="1942">
        <f t="shared" si="41"/>
        <v>0</v>
      </c>
      <c r="T86" s="1942">
        <f t="shared" si="42"/>
        <v>0</v>
      </c>
      <c r="U86" s="1942">
        <f t="shared" si="43"/>
        <v>0</v>
      </c>
      <c r="V86" s="3035">
        <f t="shared" si="44"/>
        <v>0</v>
      </c>
      <c r="W86" s="1942"/>
      <c r="X86" s="193"/>
      <c r="Y86" s="193"/>
      <c r="Z86" s="193"/>
      <c r="AA86" s="193"/>
      <c r="AB86" s="193"/>
      <c r="AC86" s="193"/>
      <c r="AD86" s="193"/>
      <c r="AE86" s="193"/>
      <c r="AF86" s="193"/>
      <c r="AG86" s="193"/>
      <c r="AH86" s="193"/>
      <c r="AI86" s="193"/>
      <c r="AJ86" s="193"/>
      <c r="AK86" s="193"/>
      <c r="AL86" s="193"/>
      <c r="AM86" s="193"/>
      <c r="AN86" s="193"/>
      <c r="AO86" s="193"/>
      <c r="AP86" s="193"/>
      <c r="AQ86" s="193"/>
      <c r="AR86" s="193"/>
      <c r="AS86" s="193"/>
      <c r="AT86" s="193"/>
      <c r="AU86" s="193"/>
      <c r="AV86" s="193"/>
      <c r="AW86" s="193"/>
      <c r="AX86" s="193"/>
      <c r="AY86" s="193"/>
      <c r="AZ86" s="193"/>
      <c r="BA86" s="193"/>
      <c r="BB86" s="193"/>
      <c r="BC86" s="193"/>
      <c r="BD86" s="193"/>
      <c r="BE86" s="193"/>
      <c r="BF86" s="193"/>
      <c r="BG86" s="193"/>
      <c r="BH86" s="193"/>
      <c r="BI86" s="193"/>
      <c r="BJ86" s="193"/>
      <c r="BK86" s="193"/>
      <c r="BL86" s="193"/>
      <c r="BM86" s="193"/>
      <c r="BN86" s="193"/>
      <c r="BO86" s="193"/>
      <c r="BP86" s="193"/>
      <c r="BQ86" s="193"/>
      <c r="BR86" s="193"/>
      <c r="BS86" s="193"/>
      <c r="BT86" s="193"/>
      <c r="BU86" s="193"/>
      <c r="BV86" s="193"/>
      <c r="BW86" s="193"/>
      <c r="BX86" s="193"/>
      <c r="BY86" s="193"/>
      <c r="BZ86" s="193"/>
      <c r="CA86" s="193"/>
      <c r="CB86" s="193"/>
      <c r="CC86" s="193"/>
      <c r="CD86" s="193"/>
      <c r="CE86" s="193"/>
      <c r="CF86" s="193"/>
      <c r="CG86" s="193"/>
      <c r="CH86" s="193"/>
      <c r="CI86" s="193"/>
      <c r="CJ86" s="193"/>
      <c r="CK86" s="193"/>
      <c r="CL86" s="193"/>
      <c r="CM86" s="193"/>
      <c r="CN86" s="193"/>
      <c r="CO86" s="193"/>
      <c r="CP86" s="193"/>
      <c r="CQ86" s="193"/>
      <c r="CR86" s="193"/>
      <c r="CS86" s="193"/>
      <c r="CT86" s="193"/>
      <c r="CU86" s="193"/>
      <c r="CV86" s="193"/>
      <c r="CW86" s="193"/>
      <c r="CX86" s="193"/>
      <c r="CY86" s="193"/>
      <c r="CZ86" s="193"/>
      <c r="DA86" s="193"/>
      <c r="DB86" s="193"/>
      <c r="DC86" s="193"/>
      <c r="DD86" s="193"/>
      <c r="DE86" s="193"/>
      <c r="DF86" s="193"/>
      <c r="DG86" s="193"/>
      <c r="DH86" s="193"/>
      <c r="DI86" s="193"/>
      <c r="DJ86" s="193"/>
      <c r="DK86" s="193"/>
      <c r="DL86" s="193"/>
      <c r="DM86" s="193"/>
      <c r="DN86" s="193"/>
      <c r="DO86" s="193"/>
      <c r="DP86" s="193"/>
      <c r="DQ86" s="193"/>
      <c r="DR86" s="193"/>
      <c r="DS86" s="193"/>
      <c r="DT86" s="193"/>
      <c r="DU86" s="193"/>
      <c r="DV86" s="193"/>
      <c r="DW86" s="193"/>
      <c r="DX86" s="193"/>
      <c r="DY86" s="193"/>
      <c r="DZ86" s="193"/>
      <c r="EA86" s="193"/>
      <c r="EB86" s="193"/>
      <c r="EC86" s="193"/>
      <c r="ED86" s="193"/>
      <c r="EE86" s="193"/>
      <c r="EF86" s="193"/>
      <c r="EG86" s="193"/>
      <c r="EH86" s="193"/>
      <c r="EI86" s="193"/>
      <c r="EJ86" s="193"/>
      <c r="EK86" s="193"/>
      <c r="EL86" s="193"/>
      <c r="EM86" s="193"/>
      <c r="EN86" s="193"/>
      <c r="EO86" s="193"/>
      <c r="EP86" s="193"/>
      <c r="EQ86" s="193"/>
      <c r="ER86" s="193"/>
      <c r="ES86" s="193"/>
      <c r="ET86" s="193"/>
      <c r="EU86" s="193"/>
      <c r="EV86" s="193"/>
      <c r="EW86" s="193"/>
      <c r="EX86" s="193"/>
      <c r="EY86" s="193"/>
      <c r="EZ86" s="193"/>
      <c r="FA86" s="193"/>
      <c r="FB86" s="193"/>
      <c r="FC86" s="193"/>
      <c r="FD86" s="193"/>
      <c r="FE86" s="193"/>
      <c r="FF86" s="193"/>
      <c r="FG86" s="193"/>
      <c r="FH86" s="193"/>
      <c r="FI86" s="193"/>
      <c r="FJ86" s="193"/>
      <c r="FK86" s="193"/>
      <c r="FL86" s="193"/>
      <c r="FM86" s="193"/>
      <c r="FN86" s="193"/>
      <c r="FO86" s="193"/>
      <c r="FP86" s="193"/>
      <c r="FQ86" s="193"/>
      <c r="FR86" s="193"/>
      <c r="FS86" s="193"/>
      <c r="FT86" s="193"/>
      <c r="FU86" s="193"/>
      <c r="FV86" s="193"/>
      <c r="FW86" s="193"/>
      <c r="FX86" s="193"/>
      <c r="FY86" s="193"/>
      <c r="FZ86" s="193"/>
      <c r="GA86" s="193"/>
      <c r="GB86" s="193"/>
      <c r="GC86" s="193"/>
      <c r="GD86" s="193"/>
      <c r="GE86" s="193"/>
      <c r="GF86" s="193"/>
      <c r="GG86" s="193"/>
      <c r="GH86" s="193"/>
      <c r="GI86" s="193"/>
      <c r="GJ86" s="193"/>
      <c r="GK86" s="193"/>
      <c r="GL86" s="193"/>
      <c r="GM86" s="193"/>
      <c r="GN86" s="193"/>
      <c r="GO86" s="193"/>
      <c r="GP86" s="193"/>
      <c r="GQ86" s="193"/>
      <c r="GR86" s="193"/>
      <c r="GS86" s="193"/>
      <c r="GT86" s="193"/>
      <c r="GU86" s="193"/>
      <c r="GV86" s="193"/>
      <c r="GW86" s="193"/>
      <c r="GX86" s="193"/>
      <c r="GY86" s="193"/>
      <c r="GZ86" s="193"/>
      <c r="HA86" s="193"/>
      <c r="HB86" s="193"/>
      <c r="HC86" s="193"/>
      <c r="HD86" s="193"/>
      <c r="HE86" s="193"/>
      <c r="HF86" s="193"/>
      <c r="HG86" s="193"/>
      <c r="HH86" s="193"/>
      <c r="HI86" s="193"/>
      <c r="HJ86" s="193"/>
      <c r="HK86" s="193"/>
      <c r="HL86" s="193"/>
      <c r="HM86" s="193"/>
      <c r="HN86" s="193"/>
      <c r="HO86" s="193"/>
      <c r="HP86" s="193"/>
      <c r="HQ86" s="193"/>
      <c r="HR86" s="193"/>
      <c r="HS86" s="193"/>
      <c r="HT86" s="193"/>
      <c r="HU86" s="193"/>
      <c r="HV86" s="193"/>
      <c r="HW86" s="193"/>
      <c r="HX86" s="193"/>
      <c r="HY86" s="193"/>
      <c r="HZ86" s="193"/>
      <c r="IA86" s="193"/>
      <c r="IB86" s="193"/>
      <c r="IC86" s="193"/>
      <c r="ID86" s="193"/>
      <c r="IE86" s="193"/>
      <c r="IF86" s="193"/>
      <c r="IG86" s="193"/>
      <c r="IH86" s="193"/>
      <c r="II86" s="193"/>
      <c r="IJ86" s="193"/>
      <c r="IK86" s="193"/>
      <c r="IL86" s="193"/>
      <c r="IM86" s="193"/>
      <c r="IN86" s="193"/>
      <c r="IO86" s="193"/>
      <c r="IP86" s="193"/>
      <c r="IQ86" s="193"/>
    </row>
    <row r="87" spans="1:251" hidden="1">
      <c r="A87" s="1026"/>
      <c r="B87" s="1955"/>
      <c r="C87" s="1955"/>
      <c r="D87" s="2034"/>
      <c r="E87" s="1955"/>
      <c r="F87" s="1942">
        <f t="shared" si="33"/>
        <v>0</v>
      </c>
      <c r="G87" s="1026"/>
      <c r="H87" s="1942">
        <f t="shared" si="34"/>
        <v>0</v>
      </c>
      <c r="I87" s="1026"/>
      <c r="J87" s="1942">
        <f t="shared" si="35"/>
        <v>0</v>
      </c>
      <c r="K87" s="1026"/>
      <c r="L87" s="1942">
        <f t="shared" si="36"/>
        <v>0</v>
      </c>
      <c r="M87" s="1942">
        <f t="shared" si="37"/>
        <v>0</v>
      </c>
      <c r="N87" s="1942">
        <f t="shared" si="38"/>
        <v>0</v>
      </c>
      <c r="O87" s="1026"/>
      <c r="P87" s="1026"/>
      <c r="Q87" s="1942">
        <f t="shared" si="39"/>
        <v>0</v>
      </c>
      <c r="R87" s="1942">
        <f t="shared" si="40"/>
        <v>0</v>
      </c>
      <c r="S87" s="1942">
        <f t="shared" si="41"/>
        <v>0</v>
      </c>
      <c r="T87" s="1942">
        <f t="shared" si="42"/>
        <v>0</v>
      </c>
      <c r="U87" s="1942">
        <f t="shared" si="43"/>
        <v>0</v>
      </c>
      <c r="V87" s="3035">
        <f t="shared" si="44"/>
        <v>0</v>
      </c>
      <c r="W87" s="1942"/>
      <c r="X87" s="193"/>
      <c r="Y87" s="193"/>
      <c r="Z87" s="193"/>
      <c r="AA87" s="193"/>
      <c r="AB87" s="193"/>
      <c r="AC87" s="193"/>
      <c r="AD87" s="193"/>
      <c r="AE87" s="193"/>
      <c r="AF87" s="193"/>
      <c r="AG87" s="193"/>
      <c r="AH87" s="193"/>
      <c r="AI87" s="193"/>
      <c r="AJ87" s="193"/>
      <c r="AK87" s="193"/>
      <c r="AL87" s="193"/>
      <c r="AM87" s="193"/>
      <c r="AN87" s="193"/>
      <c r="AO87" s="193"/>
      <c r="AP87" s="193"/>
      <c r="AQ87" s="193"/>
      <c r="AR87" s="193"/>
      <c r="AS87" s="193"/>
      <c r="AT87" s="193"/>
      <c r="AU87" s="193"/>
      <c r="AV87" s="193"/>
      <c r="AW87" s="193"/>
      <c r="AX87" s="193"/>
      <c r="AY87" s="193"/>
      <c r="AZ87" s="193"/>
      <c r="BA87" s="193"/>
      <c r="BB87" s="193"/>
      <c r="BC87" s="193"/>
      <c r="BD87" s="193"/>
      <c r="BE87" s="193"/>
      <c r="BF87" s="193"/>
      <c r="BG87" s="193"/>
      <c r="BH87" s="193"/>
      <c r="BI87" s="193"/>
      <c r="BJ87" s="193"/>
      <c r="BK87" s="193"/>
      <c r="BL87" s="193"/>
      <c r="BM87" s="193"/>
      <c r="BN87" s="193"/>
      <c r="BO87" s="193"/>
      <c r="BP87" s="193"/>
      <c r="BQ87" s="193"/>
      <c r="BR87" s="193"/>
      <c r="BS87" s="193"/>
      <c r="BT87" s="193"/>
      <c r="BU87" s="193"/>
      <c r="BV87" s="193"/>
      <c r="BW87" s="193"/>
      <c r="BX87" s="193"/>
      <c r="BY87" s="193"/>
      <c r="BZ87" s="193"/>
      <c r="CA87" s="193"/>
      <c r="CB87" s="193"/>
      <c r="CC87" s="193"/>
      <c r="CD87" s="193"/>
      <c r="CE87" s="193"/>
      <c r="CF87" s="193"/>
      <c r="CG87" s="193"/>
      <c r="CH87" s="193"/>
      <c r="CI87" s="193"/>
      <c r="CJ87" s="193"/>
      <c r="CK87" s="193"/>
      <c r="CL87" s="193"/>
      <c r="CM87" s="193"/>
      <c r="CN87" s="193"/>
      <c r="CO87" s="193"/>
      <c r="CP87" s="193"/>
      <c r="CQ87" s="193"/>
      <c r="CR87" s="193"/>
      <c r="CS87" s="193"/>
      <c r="CT87" s="193"/>
      <c r="CU87" s="193"/>
      <c r="CV87" s="193"/>
      <c r="CW87" s="193"/>
      <c r="CX87" s="193"/>
      <c r="CY87" s="193"/>
      <c r="CZ87" s="193"/>
      <c r="DA87" s="193"/>
      <c r="DB87" s="193"/>
      <c r="DC87" s="193"/>
      <c r="DD87" s="193"/>
      <c r="DE87" s="193"/>
      <c r="DF87" s="193"/>
      <c r="DG87" s="193"/>
      <c r="DH87" s="193"/>
      <c r="DI87" s="193"/>
      <c r="DJ87" s="193"/>
      <c r="DK87" s="193"/>
      <c r="DL87" s="193"/>
      <c r="DM87" s="193"/>
      <c r="DN87" s="193"/>
      <c r="DO87" s="193"/>
      <c r="DP87" s="193"/>
      <c r="DQ87" s="193"/>
      <c r="DR87" s="193"/>
      <c r="DS87" s="193"/>
      <c r="DT87" s="193"/>
      <c r="DU87" s="193"/>
      <c r="DV87" s="193"/>
      <c r="DW87" s="193"/>
      <c r="DX87" s="193"/>
      <c r="DY87" s="193"/>
      <c r="DZ87" s="193"/>
      <c r="EA87" s="193"/>
      <c r="EB87" s="193"/>
      <c r="EC87" s="193"/>
      <c r="ED87" s="193"/>
      <c r="EE87" s="193"/>
      <c r="EF87" s="193"/>
      <c r="EG87" s="193"/>
      <c r="EH87" s="193"/>
      <c r="EI87" s="193"/>
      <c r="EJ87" s="193"/>
      <c r="EK87" s="193"/>
      <c r="EL87" s="193"/>
      <c r="EM87" s="193"/>
      <c r="EN87" s="193"/>
      <c r="EO87" s="193"/>
      <c r="EP87" s="193"/>
      <c r="EQ87" s="193"/>
      <c r="ER87" s="193"/>
      <c r="ES87" s="193"/>
      <c r="ET87" s="193"/>
      <c r="EU87" s="193"/>
      <c r="EV87" s="193"/>
      <c r="EW87" s="193"/>
      <c r="EX87" s="193"/>
      <c r="EY87" s="193"/>
      <c r="EZ87" s="193"/>
      <c r="FA87" s="193"/>
      <c r="FB87" s="193"/>
      <c r="FC87" s="193"/>
      <c r="FD87" s="193"/>
      <c r="FE87" s="193"/>
      <c r="FF87" s="193"/>
      <c r="FG87" s="193"/>
      <c r="FH87" s="193"/>
      <c r="FI87" s="193"/>
      <c r="FJ87" s="193"/>
      <c r="FK87" s="193"/>
      <c r="FL87" s="193"/>
      <c r="FM87" s="193"/>
      <c r="FN87" s="193"/>
      <c r="FO87" s="193"/>
      <c r="FP87" s="193"/>
      <c r="FQ87" s="193"/>
      <c r="FR87" s="193"/>
      <c r="FS87" s="193"/>
      <c r="FT87" s="193"/>
      <c r="FU87" s="193"/>
      <c r="FV87" s="193"/>
      <c r="FW87" s="193"/>
      <c r="FX87" s="193"/>
      <c r="FY87" s="193"/>
      <c r="FZ87" s="193"/>
      <c r="GA87" s="193"/>
      <c r="GB87" s="193"/>
      <c r="GC87" s="193"/>
      <c r="GD87" s="193"/>
      <c r="GE87" s="193"/>
      <c r="GF87" s="193"/>
      <c r="GG87" s="193"/>
      <c r="GH87" s="193"/>
      <c r="GI87" s="193"/>
      <c r="GJ87" s="193"/>
      <c r="GK87" s="193"/>
      <c r="GL87" s="193"/>
      <c r="GM87" s="193"/>
      <c r="GN87" s="193"/>
      <c r="GO87" s="193"/>
      <c r="GP87" s="193"/>
      <c r="GQ87" s="193"/>
      <c r="GR87" s="193"/>
      <c r="GS87" s="193"/>
      <c r="GT87" s="193"/>
      <c r="GU87" s="193"/>
      <c r="GV87" s="193"/>
      <c r="GW87" s="193"/>
      <c r="GX87" s="193"/>
      <c r="GY87" s="193"/>
      <c r="GZ87" s="193"/>
      <c r="HA87" s="193"/>
      <c r="HB87" s="193"/>
      <c r="HC87" s="193"/>
      <c r="HD87" s="193"/>
      <c r="HE87" s="193"/>
      <c r="HF87" s="193"/>
      <c r="HG87" s="193"/>
      <c r="HH87" s="193"/>
      <c r="HI87" s="193"/>
      <c r="HJ87" s="193"/>
      <c r="HK87" s="193"/>
      <c r="HL87" s="193"/>
      <c r="HM87" s="193"/>
      <c r="HN87" s="193"/>
      <c r="HO87" s="193"/>
      <c r="HP87" s="193"/>
      <c r="HQ87" s="193"/>
      <c r="HR87" s="193"/>
      <c r="HS87" s="193"/>
      <c r="HT87" s="193"/>
      <c r="HU87" s="193"/>
      <c r="HV87" s="193"/>
      <c r="HW87" s="193"/>
      <c r="HX87" s="193"/>
      <c r="HY87" s="193"/>
      <c r="HZ87" s="193"/>
      <c r="IA87" s="193"/>
      <c r="IB87" s="193"/>
      <c r="IC87" s="193"/>
      <c r="ID87" s="193"/>
      <c r="IE87" s="193"/>
      <c r="IF87" s="193"/>
      <c r="IG87" s="193"/>
      <c r="IH87" s="193"/>
      <c r="II87" s="193"/>
      <c r="IJ87" s="193"/>
      <c r="IK87" s="193"/>
      <c r="IL87" s="193"/>
      <c r="IM87" s="193"/>
      <c r="IN87" s="193"/>
      <c r="IO87" s="193"/>
      <c r="IP87" s="193"/>
      <c r="IQ87" s="193"/>
    </row>
    <row r="88" spans="1:251" hidden="1">
      <c r="A88" s="1026"/>
      <c r="B88" s="1955"/>
      <c r="C88" s="1955"/>
      <c r="D88" s="2034"/>
      <c r="E88" s="1955"/>
      <c r="F88" s="1942">
        <f t="shared" si="33"/>
        <v>0</v>
      </c>
      <c r="G88" s="1026"/>
      <c r="H88" s="1942">
        <f t="shared" si="34"/>
        <v>0</v>
      </c>
      <c r="I88" s="1026"/>
      <c r="J88" s="1942">
        <f t="shared" si="35"/>
        <v>0</v>
      </c>
      <c r="K88" s="1026"/>
      <c r="L88" s="1942">
        <f t="shared" si="36"/>
        <v>0</v>
      </c>
      <c r="M88" s="1942">
        <f t="shared" si="37"/>
        <v>0</v>
      </c>
      <c r="N88" s="1942">
        <f t="shared" si="38"/>
        <v>0</v>
      </c>
      <c r="O88" s="1026"/>
      <c r="P88" s="1026"/>
      <c r="Q88" s="1942">
        <f t="shared" si="39"/>
        <v>0</v>
      </c>
      <c r="R88" s="1942">
        <f t="shared" si="40"/>
        <v>0</v>
      </c>
      <c r="S88" s="1942">
        <f t="shared" si="41"/>
        <v>0</v>
      </c>
      <c r="T88" s="1942">
        <f t="shared" si="42"/>
        <v>0</v>
      </c>
      <c r="U88" s="1942">
        <f t="shared" si="43"/>
        <v>0</v>
      </c>
      <c r="V88" s="3035">
        <f t="shared" si="44"/>
        <v>0</v>
      </c>
      <c r="W88" s="1942"/>
      <c r="X88" s="193"/>
      <c r="Y88" s="193"/>
      <c r="Z88" s="193"/>
      <c r="AA88" s="193"/>
      <c r="AB88" s="193"/>
      <c r="AC88" s="193"/>
      <c r="AD88" s="193"/>
      <c r="AE88" s="193"/>
      <c r="AF88" s="193"/>
      <c r="AG88" s="193"/>
      <c r="AH88" s="193"/>
      <c r="AI88" s="193"/>
      <c r="AJ88" s="193"/>
      <c r="AK88" s="193"/>
      <c r="AL88" s="193"/>
      <c r="AM88" s="193"/>
      <c r="AN88" s="193"/>
      <c r="AO88" s="193"/>
      <c r="AP88" s="193"/>
      <c r="AQ88" s="193"/>
      <c r="AR88" s="193"/>
      <c r="AS88" s="193"/>
      <c r="AT88" s="193"/>
      <c r="AU88" s="193"/>
      <c r="AV88" s="193"/>
      <c r="AW88" s="193"/>
      <c r="AX88" s="193"/>
      <c r="AY88" s="193"/>
      <c r="AZ88" s="193"/>
      <c r="BA88" s="193"/>
      <c r="BB88" s="193"/>
      <c r="BC88" s="193"/>
      <c r="BD88" s="193"/>
      <c r="BE88" s="193"/>
      <c r="BF88" s="193"/>
      <c r="BG88" s="193"/>
      <c r="BH88" s="193"/>
      <c r="BI88" s="193"/>
      <c r="BJ88" s="193"/>
      <c r="BK88" s="193"/>
      <c r="BL88" s="193"/>
      <c r="BM88" s="193"/>
      <c r="BN88" s="193"/>
      <c r="BO88" s="193"/>
      <c r="BP88" s="193"/>
      <c r="BQ88" s="193"/>
      <c r="BR88" s="193"/>
      <c r="BS88" s="193"/>
      <c r="BT88" s="193"/>
      <c r="BU88" s="193"/>
      <c r="BV88" s="193"/>
      <c r="BW88" s="193"/>
      <c r="BX88" s="193"/>
      <c r="BY88" s="193"/>
      <c r="BZ88" s="193"/>
      <c r="CA88" s="193"/>
      <c r="CB88" s="193"/>
      <c r="CC88" s="193"/>
      <c r="CD88" s="193"/>
      <c r="CE88" s="193"/>
      <c r="CF88" s="193"/>
      <c r="CG88" s="193"/>
      <c r="CH88" s="193"/>
      <c r="CI88" s="193"/>
      <c r="CJ88" s="193"/>
      <c r="CK88" s="193"/>
      <c r="CL88" s="193"/>
      <c r="CM88" s="193"/>
      <c r="CN88" s="193"/>
      <c r="CO88" s="193"/>
      <c r="CP88" s="193"/>
      <c r="CQ88" s="193"/>
      <c r="CR88" s="193"/>
      <c r="CS88" s="193"/>
      <c r="CT88" s="193"/>
      <c r="CU88" s="193"/>
      <c r="CV88" s="193"/>
      <c r="CW88" s="193"/>
      <c r="CX88" s="193"/>
      <c r="CY88" s="193"/>
      <c r="CZ88" s="193"/>
      <c r="DA88" s="193"/>
      <c r="DB88" s="193"/>
      <c r="DC88" s="193"/>
      <c r="DD88" s="193"/>
      <c r="DE88" s="193"/>
      <c r="DF88" s="193"/>
      <c r="DG88" s="193"/>
      <c r="DH88" s="193"/>
      <c r="DI88" s="193"/>
      <c r="DJ88" s="193"/>
      <c r="DK88" s="193"/>
      <c r="DL88" s="193"/>
      <c r="DM88" s="193"/>
      <c r="DN88" s="193"/>
      <c r="DO88" s="193"/>
      <c r="DP88" s="193"/>
      <c r="DQ88" s="193"/>
      <c r="DR88" s="193"/>
      <c r="DS88" s="193"/>
      <c r="DT88" s="193"/>
      <c r="DU88" s="193"/>
      <c r="DV88" s="193"/>
      <c r="DW88" s="193"/>
      <c r="DX88" s="193"/>
      <c r="DY88" s="193"/>
      <c r="DZ88" s="193"/>
      <c r="EA88" s="193"/>
      <c r="EB88" s="193"/>
      <c r="EC88" s="193"/>
      <c r="ED88" s="193"/>
      <c r="EE88" s="193"/>
      <c r="EF88" s="193"/>
      <c r="EG88" s="193"/>
      <c r="EH88" s="193"/>
      <c r="EI88" s="193"/>
      <c r="EJ88" s="193"/>
      <c r="EK88" s="193"/>
      <c r="EL88" s="193"/>
      <c r="EM88" s="193"/>
      <c r="EN88" s="193"/>
      <c r="EO88" s="193"/>
      <c r="EP88" s="193"/>
      <c r="EQ88" s="193"/>
      <c r="ER88" s="193"/>
      <c r="ES88" s="193"/>
      <c r="ET88" s="193"/>
      <c r="EU88" s="193"/>
      <c r="EV88" s="193"/>
      <c r="EW88" s="193"/>
      <c r="EX88" s="193"/>
      <c r="EY88" s="193"/>
      <c r="EZ88" s="193"/>
      <c r="FA88" s="193"/>
      <c r="FB88" s="193"/>
      <c r="FC88" s="193"/>
      <c r="FD88" s="193"/>
      <c r="FE88" s="193"/>
      <c r="FF88" s="193"/>
      <c r="FG88" s="193"/>
      <c r="FH88" s="193"/>
      <c r="FI88" s="193"/>
      <c r="FJ88" s="193"/>
      <c r="FK88" s="193"/>
      <c r="FL88" s="193"/>
      <c r="FM88" s="193"/>
      <c r="FN88" s="193"/>
      <c r="FO88" s="193"/>
      <c r="FP88" s="193"/>
      <c r="FQ88" s="193"/>
      <c r="FR88" s="193"/>
      <c r="FS88" s="193"/>
      <c r="FT88" s="193"/>
      <c r="FU88" s="193"/>
      <c r="FV88" s="193"/>
      <c r="FW88" s="193"/>
      <c r="FX88" s="193"/>
      <c r="FY88" s="193"/>
      <c r="FZ88" s="193"/>
      <c r="GA88" s="193"/>
      <c r="GB88" s="193"/>
      <c r="GC88" s="193"/>
      <c r="GD88" s="193"/>
      <c r="GE88" s="193"/>
      <c r="GF88" s="193"/>
      <c r="GG88" s="193"/>
      <c r="GH88" s="193"/>
      <c r="GI88" s="193"/>
      <c r="GJ88" s="193"/>
      <c r="GK88" s="193"/>
      <c r="GL88" s="193"/>
      <c r="GM88" s="193"/>
      <c r="GN88" s="193"/>
      <c r="GO88" s="193"/>
      <c r="GP88" s="193"/>
      <c r="GQ88" s="193"/>
      <c r="GR88" s="193"/>
      <c r="GS88" s="193"/>
      <c r="GT88" s="193"/>
      <c r="GU88" s="193"/>
      <c r="GV88" s="193"/>
      <c r="GW88" s="193"/>
      <c r="GX88" s="193"/>
      <c r="GY88" s="193"/>
      <c r="GZ88" s="193"/>
      <c r="HA88" s="193"/>
      <c r="HB88" s="193"/>
      <c r="HC88" s="193"/>
      <c r="HD88" s="193"/>
      <c r="HE88" s="193"/>
      <c r="HF88" s="193"/>
      <c r="HG88" s="193"/>
      <c r="HH88" s="193"/>
      <c r="HI88" s="193"/>
      <c r="HJ88" s="193"/>
      <c r="HK88" s="193"/>
      <c r="HL88" s="193"/>
      <c r="HM88" s="193"/>
      <c r="HN88" s="193"/>
      <c r="HO88" s="193"/>
      <c r="HP88" s="193"/>
      <c r="HQ88" s="193"/>
      <c r="HR88" s="193"/>
      <c r="HS88" s="193"/>
      <c r="HT88" s="193"/>
      <c r="HU88" s="193"/>
      <c r="HV88" s="193"/>
      <c r="HW88" s="193"/>
      <c r="HX88" s="193"/>
      <c r="HY88" s="193"/>
      <c r="HZ88" s="193"/>
      <c r="IA88" s="193"/>
      <c r="IB88" s="193"/>
      <c r="IC88" s="193"/>
      <c r="ID88" s="193"/>
      <c r="IE88" s="193"/>
      <c r="IF88" s="193"/>
      <c r="IG88" s="193"/>
      <c r="IH88" s="193"/>
      <c r="II88" s="193"/>
      <c r="IJ88" s="193"/>
      <c r="IK88" s="193"/>
      <c r="IL88" s="193"/>
      <c r="IM88" s="193"/>
      <c r="IN88" s="193"/>
      <c r="IO88" s="193"/>
      <c r="IP88" s="193"/>
      <c r="IQ88" s="193"/>
    </row>
    <row r="89" spans="1:251" hidden="1">
      <c r="A89" s="1026"/>
      <c r="B89" s="1955"/>
      <c r="C89" s="1955"/>
      <c r="D89" s="2034"/>
      <c r="E89" s="1955"/>
      <c r="F89" s="1942">
        <f t="shared" si="33"/>
        <v>0</v>
      </c>
      <c r="G89" s="1026"/>
      <c r="H89" s="1942">
        <f t="shared" si="34"/>
        <v>0</v>
      </c>
      <c r="I89" s="1026"/>
      <c r="J89" s="1942">
        <f t="shared" si="35"/>
        <v>0</v>
      </c>
      <c r="K89" s="1026"/>
      <c r="L89" s="1942">
        <f t="shared" si="36"/>
        <v>0</v>
      </c>
      <c r="M89" s="1942">
        <f t="shared" si="37"/>
        <v>0</v>
      </c>
      <c r="N89" s="1942">
        <f t="shared" si="38"/>
        <v>0</v>
      </c>
      <c r="O89" s="1026"/>
      <c r="P89" s="1026"/>
      <c r="Q89" s="1942">
        <f t="shared" si="39"/>
        <v>0</v>
      </c>
      <c r="R89" s="1942">
        <f t="shared" si="40"/>
        <v>0</v>
      </c>
      <c r="S89" s="1942">
        <f t="shared" si="41"/>
        <v>0</v>
      </c>
      <c r="T89" s="1942">
        <f t="shared" si="42"/>
        <v>0</v>
      </c>
      <c r="U89" s="1942">
        <f t="shared" si="43"/>
        <v>0</v>
      </c>
      <c r="V89" s="3035">
        <f t="shared" si="44"/>
        <v>0</v>
      </c>
      <c r="W89" s="1942"/>
      <c r="X89" s="193"/>
      <c r="Y89" s="193"/>
      <c r="Z89" s="193"/>
      <c r="AA89" s="193"/>
      <c r="AB89" s="193"/>
      <c r="AC89" s="193"/>
      <c r="AD89" s="193"/>
      <c r="AE89" s="193"/>
      <c r="AF89" s="193"/>
      <c r="AG89" s="193"/>
      <c r="AH89" s="193"/>
      <c r="AI89" s="193"/>
      <c r="AJ89" s="193"/>
      <c r="AK89" s="193"/>
      <c r="AL89" s="193"/>
      <c r="AM89" s="193"/>
      <c r="AN89" s="193"/>
      <c r="AO89" s="193"/>
      <c r="AP89" s="193"/>
      <c r="AQ89" s="193"/>
      <c r="AR89" s="193"/>
      <c r="AS89" s="193"/>
      <c r="AT89" s="193"/>
      <c r="AU89" s="193"/>
      <c r="AV89" s="193"/>
      <c r="AW89" s="193"/>
      <c r="AX89" s="193"/>
      <c r="AY89" s="193"/>
      <c r="AZ89" s="193"/>
      <c r="BA89" s="193"/>
      <c r="BB89" s="193"/>
      <c r="BC89" s="193"/>
      <c r="BD89" s="193"/>
      <c r="BE89" s="193"/>
      <c r="BF89" s="193"/>
      <c r="BG89" s="193"/>
      <c r="BH89" s="193"/>
      <c r="BI89" s="193"/>
      <c r="BJ89" s="193"/>
      <c r="BK89" s="193"/>
      <c r="BL89" s="193"/>
      <c r="BM89" s="193"/>
      <c r="BN89" s="193"/>
      <c r="BO89" s="193"/>
      <c r="BP89" s="193"/>
      <c r="BQ89" s="193"/>
      <c r="BR89" s="193"/>
      <c r="BS89" s="193"/>
      <c r="BT89" s="193"/>
      <c r="BU89" s="193"/>
      <c r="BV89" s="193"/>
      <c r="BW89" s="193"/>
      <c r="BX89" s="193"/>
      <c r="BY89" s="193"/>
      <c r="BZ89" s="193"/>
      <c r="CA89" s="193"/>
      <c r="CB89" s="193"/>
      <c r="CC89" s="193"/>
      <c r="CD89" s="193"/>
      <c r="CE89" s="193"/>
      <c r="CF89" s="193"/>
      <c r="CG89" s="193"/>
      <c r="CH89" s="193"/>
      <c r="CI89" s="193"/>
      <c r="CJ89" s="193"/>
      <c r="CK89" s="193"/>
      <c r="CL89" s="193"/>
      <c r="CM89" s="193"/>
      <c r="CN89" s="193"/>
      <c r="CO89" s="193"/>
      <c r="CP89" s="193"/>
      <c r="CQ89" s="193"/>
      <c r="CR89" s="193"/>
      <c r="CS89" s="193"/>
      <c r="CT89" s="193"/>
      <c r="CU89" s="193"/>
      <c r="CV89" s="193"/>
      <c r="CW89" s="193"/>
      <c r="CX89" s="193"/>
      <c r="CY89" s="193"/>
      <c r="CZ89" s="193"/>
      <c r="DA89" s="193"/>
      <c r="DB89" s="193"/>
      <c r="DC89" s="193"/>
      <c r="DD89" s="193"/>
      <c r="DE89" s="193"/>
      <c r="DF89" s="193"/>
      <c r="DG89" s="193"/>
      <c r="DH89" s="193"/>
      <c r="DI89" s="193"/>
      <c r="DJ89" s="193"/>
      <c r="DK89" s="193"/>
      <c r="DL89" s="193"/>
      <c r="DM89" s="193"/>
      <c r="DN89" s="193"/>
      <c r="DO89" s="193"/>
      <c r="DP89" s="193"/>
      <c r="DQ89" s="193"/>
      <c r="DR89" s="193"/>
      <c r="DS89" s="193"/>
      <c r="DT89" s="193"/>
      <c r="DU89" s="193"/>
      <c r="DV89" s="193"/>
      <c r="DW89" s="193"/>
      <c r="DX89" s="193"/>
      <c r="DY89" s="193"/>
      <c r="DZ89" s="193"/>
      <c r="EA89" s="193"/>
      <c r="EB89" s="193"/>
      <c r="EC89" s="193"/>
      <c r="ED89" s="193"/>
      <c r="EE89" s="193"/>
      <c r="EF89" s="193"/>
      <c r="EG89" s="193"/>
      <c r="EH89" s="193"/>
      <c r="EI89" s="193"/>
      <c r="EJ89" s="193"/>
      <c r="EK89" s="193"/>
      <c r="EL89" s="193"/>
      <c r="EM89" s="193"/>
      <c r="EN89" s="193"/>
      <c r="EO89" s="193"/>
      <c r="EP89" s="193"/>
      <c r="EQ89" s="193"/>
      <c r="ER89" s="193"/>
      <c r="ES89" s="193"/>
      <c r="ET89" s="193"/>
      <c r="EU89" s="193"/>
      <c r="EV89" s="193"/>
      <c r="EW89" s="193"/>
      <c r="EX89" s="193"/>
      <c r="EY89" s="193"/>
      <c r="EZ89" s="193"/>
      <c r="FA89" s="193"/>
      <c r="FB89" s="193"/>
      <c r="FC89" s="193"/>
      <c r="FD89" s="193"/>
      <c r="FE89" s="193"/>
      <c r="FF89" s="193"/>
      <c r="FG89" s="193"/>
      <c r="FH89" s="193"/>
      <c r="FI89" s="193"/>
      <c r="FJ89" s="193"/>
      <c r="FK89" s="193"/>
      <c r="FL89" s="193"/>
      <c r="FM89" s="193"/>
      <c r="FN89" s="193"/>
      <c r="FO89" s="193"/>
      <c r="FP89" s="193"/>
      <c r="FQ89" s="193"/>
      <c r="FR89" s="193"/>
      <c r="FS89" s="193"/>
      <c r="FT89" s="193"/>
      <c r="FU89" s="193"/>
      <c r="FV89" s="193"/>
      <c r="FW89" s="193"/>
      <c r="FX89" s="193"/>
      <c r="FY89" s="193"/>
      <c r="FZ89" s="193"/>
      <c r="GA89" s="193"/>
      <c r="GB89" s="193"/>
      <c r="GC89" s="193"/>
      <c r="GD89" s="193"/>
      <c r="GE89" s="193"/>
      <c r="GF89" s="193"/>
      <c r="GG89" s="193"/>
      <c r="GH89" s="193"/>
      <c r="GI89" s="193"/>
      <c r="GJ89" s="193"/>
      <c r="GK89" s="193"/>
      <c r="GL89" s="193"/>
      <c r="GM89" s="193"/>
      <c r="GN89" s="193"/>
      <c r="GO89" s="193"/>
      <c r="GP89" s="193"/>
      <c r="GQ89" s="193"/>
      <c r="GR89" s="193"/>
      <c r="GS89" s="193"/>
      <c r="GT89" s="193"/>
      <c r="GU89" s="193"/>
      <c r="GV89" s="193"/>
      <c r="GW89" s="193"/>
      <c r="GX89" s="193"/>
      <c r="GY89" s="193"/>
      <c r="GZ89" s="193"/>
      <c r="HA89" s="193"/>
      <c r="HB89" s="193"/>
      <c r="HC89" s="193"/>
      <c r="HD89" s="193"/>
      <c r="HE89" s="193"/>
      <c r="HF89" s="193"/>
      <c r="HG89" s="193"/>
      <c r="HH89" s="193"/>
      <c r="HI89" s="193"/>
      <c r="HJ89" s="193"/>
      <c r="HK89" s="193"/>
      <c r="HL89" s="193"/>
      <c r="HM89" s="193"/>
      <c r="HN89" s="193"/>
      <c r="HO89" s="193"/>
      <c r="HP89" s="193"/>
      <c r="HQ89" s="193"/>
      <c r="HR89" s="193"/>
      <c r="HS89" s="193"/>
      <c r="HT89" s="193"/>
      <c r="HU89" s="193"/>
      <c r="HV89" s="193"/>
      <c r="HW89" s="193"/>
      <c r="HX89" s="193"/>
      <c r="HY89" s="193"/>
      <c r="HZ89" s="193"/>
      <c r="IA89" s="193"/>
      <c r="IB89" s="193"/>
      <c r="IC89" s="193"/>
      <c r="ID89" s="193"/>
      <c r="IE89" s="193"/>
      <c r="IF89" s="193"/>
      <c r="IG89" s="193"/>
      <c r="IH89" s="193"/>
      <c r="II89" s="193"/>
      <c r="IJ89" s="193"/>
      <c r="IK89" s="193"/>
      <c r="IL89" s="193"/>
      <c r="IM89" s="193"/>
      <c r="IN89" s="193"/>
      <c r="IO89" s="193"/>
      <c r="IP89" s="193"/>
      <c r="IQ89" s="193"/>
    </row>
    <row r="90" spans="1:251" hidden="1">
      <c r="A90" s="1026"/>
      <c r="B90" s="1955"/>
      <c r="C90" s="1955"/>
      <c r="D90" s="2034"/>
      <c r="E90" s="1955"/>
      <c r="F90" s="1942">
        <f t="shared" si="33"/>
        <v>0</v>
      </c>
      <c r="G90" s="1026"/>
      <c r="H90" s="1942">
        <f t="shared" si="34"/>
        <v>0</v>
      </c>
      <c r="I90" s="1026"/>
      <c r="J90" s="1942">
        <f t="shared" si="35"/>
        <v>0</v>
      </c>
      <c r="K90" s="1026"/>
      <c r="L90" s="1942">
        <f t="shared" si="36"/>
        <v>0</v>
      </c>
      <c r="M90" s="1942">
        <f t="shared" si="37"/>
        <v>0</v>
      </c>
      <c r="N90" s="1942">
        <f t="shared" si="38"/>
        <v>0</v>
      </c>
      <c r="O90" s="1026"/>
      <c r="P90" s="1026"/>
      <c r="Q90" s="1942">
        <f t="shared" si="39"/>
        <v>0</v>
      </c>
      <c r="R90" s="1942">
        <f t="shared" si="40"/>
        <v>0</v>
      </c>
      <c r="S90" s="1942">
        <f t="shared" si="41"/>
        <v>0</v>
      </c>
      <c r="T90" s="1942">
        <f t="shared" si="42"/>
        <v>0</v>
      </c>
      <c r="U90" s="1942">
        <f t="shared" si="43"/>
        <v>0</v>
      </c>
      <c r="V90" s="3035">
        <f t="shared" si="44"/>
        <v>0</v>
      </c>
      <c r="W90" s="1942"/>
      <c r="X90" s="193"/>
      <c r="Y90" s="193"/>
      <c r="Z90" s="193"/>
      <c r="AA90" s="193"/>
      <c r="AB90" s="193"/>
      <c r="AC90" s="193"/>
      <c r="AD90" s="193"/>
      <c r="AE90" s="193"/>
      <c r="AF90" s="193"/>
      <c r="AG90" s="193"/>
      <c r="AH90" s="193"/>
      <c r="AI90" s="193"/>
      <c r="AJ90" s="193"/>
      <c r="AK90" s="193"/>
      <c r="AL90" s="193"/>
      <c r="AM90" s="193"/>
      <c r="AN90" s="193"/>
      <c r="AO90" s="193"/>
      <c r="AP90" s="193"/>
      <c r="AQ90" s="193"/>
      <c r="AR90" s="193"/>
      <c r="AS90" s="193"/>
      <c r="AT90" s="193"/>
      <c r="AU90" s="193"/>
      <c r="AV90" s="193"/>
      <c r="AW90" s="193"/>
      <c r="AX90" s="193"/>
      <c r="AY90" s="193"/>
      <c r="AZ90" s="193"/>
      <c r="BA90" s="193"/>
      <c r="BB90" s="193"/>
      <c r="BC90" s="193"/>
      <c r="BD90" s="193"/>
      <c r="BE90" s="193"/>
      <c r="BF90" s="193"/>
      <c r="BG90" s="193"/>
      <c r="BH90" s="193"/>
      <c r="BI90" s="193"/>
      <c r="BJ90" s="193"/>
      <c r="BK90" s="193"/>
      <c r="BL90" s="193"/>
      <c r="BM90" s="193"/>
      <c r="BN90" s="193"/>
      <c r="BO90" s="193"/>
      <c r="BP90" s="193"/>
      <c r="BQ90" s="193"/>
      <c r="BR90" s="193"/>
      <c r="BS90" s="193"/>
      <c r="BT90" s="193"/>
      <c r="BU90" s="193"/>
      <c r="BV90" s="193"/>
      <c r="BW90" s="193"/>
      <c r="BX90" s="193"/>
      <c r="BY90" s="193"/>
      <c r="BZ90" s="193"/>
      <c r="CA90" s="193"/>
      <c r="CB90" s="193"/>
      <c r="CC90" s="193"/>
      <c r="CD90" s="193"/>
      <c r="CE90" s="193"/>
      <c r="CF90" s="193"/>
      <c r="CG90" s="193"/>
      <c r="CH90" s="193"/>
      <c r="CI90" s="193"/>
      <c r="CJ90" s="193"/>
      <c r="CK90" s="193"/>
      <c r="CL90" s="193"/>
      <c r="CM90" s="193"/>
      <c r="CN90" s="193"/>
      <c r="CO90" s="193"/>
      <c r="CP90" s="193"/>
      <c r="CQ90" s="193"/>
      <c r="CR90" s="193"/>
      <c r="CS90" s="193"/>
      <c r="CT90" s="193"/>
      <c r="CU90" s="193"/>
      <c r="CV90" s="193"/>
      <c r="CW90" s="193"/>
      <c r="CX90" s="193"/>
      <c r="CY90" s="193"/>
      <c r="CZ90" s="193"/>
      <c r="DA90" s="193"/>
      <c r="DB90" s="193"/>
      <c r="DC90" s="193"/>
      <c r="DD90" s="193"/>
      <c r="DE90" s="193"/>
      <c r="DF90" s="193"/>
      <c r="DG90" s="193"/>
      <c r="DH90" s="193"/>
      <c r="DI90" s="193"/>
      <c r="DJ90" s="193"/>
      <c r="DK90" s="193"/>
      <c r="DL90" s="193"/>
      <c r="DM90" s="193"/>
      <c r="DN90" s="193"/>
      <c r="DO90" s="193"/>
      <c r="DP90" s="193"/>
      <c r="DQ90" s="193"/>
      <c r="DR90" s="193"/>
      <c r="DS90" s="193"/>
      <c r="DT90" s="193"/>
      <c r="DU90" s="193"/>
      <c r="DV90" s="193"/>
      <c r="DW90" s="193"/>
      <c r="DX90" s="193"/>
      <c r="DY90" s="193"/>
      <c r="DZ90" s="193"/>
      <c r="EA90" s="193"/>
      <c r="EB90" s="193"/>
      <c r="EC90" s="193"/>
      <c r="ED90" s="193"/>
      <c r="EE90" s="193"/>
      <c r="EF90" s="193"/>
      <c r="EG90" s="193"/>
      <c r="EH90" s="193"/>
      <c r="EI90" s="193"/>
      <c r="EJ90" s="193"/>
      <c r="EK90" s="193"/>
      <c r="EL90" s="193"/>
      <c r="EM90" s="193"/>
      <c r="EN90" s="193"/>
      <c r="EO90" s="193"/>
      <c r="EP90" s="193"/>
      <c r="EQ90" s="193"/>
      <c r="ER90" s="193"/>
      <c r="ES90" s="193"/>
      <c r="ET90" s="193"/>
      <c r="EU90" s="193"/>
      <c r="EV90" s="193"/>
      <c r="EW90" s="193"/>
      <c r="EX90" s="193"/>
      <c r="EY90" s="193"/>
      <c r="EZ90" s="193"/>
      <c r="FA90" s="193"/>
      <c r="FB90" s="193"/>
      <c r="FC90" s="193"/>
      <c r="FD90" s="193"/>
      <c r="FE90" s="193"/>
      <c r="FF90" s="193"/>
      <c r="FG90" s="193"/>
      <c r="FH90" s="193"/>
      <c r="FI90" s="193"/>
      <c r="FJ90" s="193"/>
      <c r="FK90" s="193"/>
      <c r="FL90" s="193"/>
      <c r="FM90" s="193"/>
      <c r="FN90" s="193"/>
      <c r="FO90" s="193"/>
      <c r="FP90" s="193"/>
      <c r="FQ90" s="193"/>
      <c r="FR90" s="193"/>
      <c r="FS90" s="193"/>
      <c r="FT90" s="193"/>
      <c r="FU90" s="193"/>
      <c r="FV90" s="193"/>
      <c r="FW90" s="193"/>
      <c r="FX90" s="193"/>
      <c r="FY90" s="193"/>
      <c r="FZ90" s="193"/>
      <c r="GA90" s="193"/>
      <c r="GB90" s="193"/>
      <c r="GC90" s="193"/>
      <c r="GD90" s="193"/>
      <c r="GE90" s="193"/>
      <c r="GF90" s="193"/>
      <c r="GG90" s="193"/>
      <c r="GH90" s="193"/>
      <c r="GI90" s="193"/>
      <c r="GJ90" s="193"/>
      <c r="GK90" s="193"/>
      <c r="GL90" s="193"/>
      <c r="GM90" s="193"/>
      <c r="GN90" s="193"/>
      <c r="GO90" s="193"/>
      <c r="GP90" s="193"/>
      <c r="GQ90" s="193"/>
      <c r="GR90" s="193"/>
      <c r="GS90" s="193"/>
      <c r="GT90" s="193"/>
      <c r="GU90" s="193"/>
      <c r="GV90" s="193"/>
      <c r="GW90" s="193"/>
      <c r="GX90" s="193"/>
      <c r="GY90" s="193"/>
      <c r="GZ90" s="193"/>
      <c r="HA90" s="193"/>
      <c r="HB90" s="193"/>
      <c r="HC90" s="193"/>
      <c r="HD90" s="193"/>
      <c r="HE90" s="193"/>
      <c r="HF90" s="193"/>
      <c r="HG90" s="193"/>
      <c r="HH90" s="193"/>
      <c r="HI90" s="193"/>
      <c r="HJ90" s="193"/>
      <c r="HK90" s="193"/>
      <c r="HL90" s="193"/>
      <c r="HM90" s="193"/>
      <c r="HN90" s="193"/>
      <c r="HO90" s="193"/>
      <c r="HP90" s="193"/>
      <c r="HQ90" s="193"/>
      <c r="HR90" s="193"/>
      <c r="HS90" s="193"/>
      <c r="HT90" s="193"/>
      <c r="HU90" s="193"/>
      <c r="HV90" s="193"/>
      <c r="HW90" s="193"/>
      <c r="HX90" s="193"/>
      <c r="HY90" s="193"/>
      <c r="HZ90" s="193"/>
      <c r="IA90" s="193"/>
      <c r="IB90" s="193"/>
      <c r="IC90" s="193"/>
      <c r="ID90" s="193"/>
      <c r="IE90" s="193"/>
      <c r="IF90" s="193"/>
      <c r="IG90" s="193"/>
      <c r="IH90" s="193"/>
      <c r="II90" s="193"/>
      <c r="IJ90" s="193"/>
      <c r="IK90" s="193"/>
      <c r="IL90" s="193"/>
      <c r="IM90" s="193"/>
      <c r="IN90" s="193"/>
      <c r="IO90" s="193"/>
      <c r="IP90" s="193"/>
      <c r="IQ90" s="193"/>
    </row>
    <row r="91" spans="1:251" hidden="1">
      <c r="A91" s="1026"/>
      <c r="B91" s="1955"/>
      <c r="C91" s="1955"/>
      <c r="D91" s="2034"/>
      <c r="E91" s="1955"/>
      <c r="F91" s="1942">
        <f t="shared" si="33"/>
        <v>0</v>
      </c>
      <c r="G91" s="1026"/>
      <c r="H91" s="1942">
        <f t="shared" si="34"/>
        <v>0</v>
      </c>
      <c r="I91" s="1026"/>
      <c r="J91" s="1942">
        <f t="shared" si="35"/>
        <v>0</v>
      </c>
      <c r="K91" s="1026"/>
      <c r="L91" s="1942">
        <f t="shared" si="36"/>
        <v>0</v>
      </c>
      <c r="M91" s="1942">
        <f t="shared" si="37"/>
        <v>0</v>
      </c>
      <c r="N91" s="1942">
        <f t="shared" si="38"/>
        <v>0</v>
      </c>
      <c r="O91" s="1026"/>
      <c r="P91" s="1026"/>
      <c r="Q91" s="1942">
        <f t="shared" si="39"/>
        <v>0</v>
      </c>
      <c r="R91" s="1942">
        <f t="shared" si="40"/>
        <v>0</v>
      </c>
      <c r="S91" s="1942">
        <f t="shared" si="41"/>
        <v>0</v>
      </c>
      <c r="T91" s="1942">
        <f t="shared" si="42"/>
        <v>0</v>
      </c>
      <c r="U91" s="1942">
        <f t="shared" si="43"/>
        <v>0</v>
      </c>
      <c r="V91" s="3035">
        <f t="shared" si="44"/>
        <v>0</v>
      </c>
      <c r="W91" s="1942"/>
      <c r="X91" s="193"/>
      <c r="Y91" s="193"/>
      <c r="Z91" s="193"/>
      <c r="AA91" s="193"/>
      <c r="AB91" s="193"/>
      <c r="AC91" s="193"/>
      <c r="AD91" s="193"/>
      <c r="AE91" s="193"/>
      <c r="AF91" s="193"/>
      <c r="AG91" s="193"/>
      <c r="AH91" s="193"/>
      <c r="AI91" s="193"/>
      <c r="AJ91" s="193"/>
      <c r="AK91" s="193"/>
      <c r="AL91" s="193"/>
      <c r="AM91" s="193"/>
      <c r="AN91" s="193"/>
      <c r="AO91" s="193"/>
      <c r="AP91" s="193"/>
      <c r="AQ91" s="193"/>
      <c r="AR91" s="193"/>
      <c r="AS91" s="193"/>
      <c r="AT91" s="193"/>
      <c r="AU91" s="193"/>
      <c r="AV91" s="193"/>
      <c r="AW91" s="193"/>
      <c r="AX91" s="193"/>
      <c r="AY91" s="193"/>
      <c r="AZ91" s="193"/>
      <c r="BA91" s="193"/>
      <c r="BB91" s="193"/>
      <c r="BC91" s="193"/>
      <c r="BD91" s="193"/>
      <c r="BE91" s="193"/>
      <c r="BF91" s="193"/>
      <c r="BG91" s="193"/>
      <c r="BH91" s="193"/>
      <c r="BI91" s="193"/>
      <c r="BJ91" s="193"/>
      <c r="BK91" s="193"/>
      <c r="BL91" s="193"/>
      <c r="BM91" s="193"/>
      <c r="BN91" s="193"/>
      <c r="BO91" s="193"/>
      <c r="BP91" s="193"/>
      <c r="BQ91" s="193"/>
      <c r="BR91" s="193"/>
      <c r="BS91" s="193"/>
      <c r="BT91" s="193"/>
      <c r="BU91" s="193"/>
      <c r="BV91" s="193"/>
      <c r="BW91" s="193"/>
      <c r="BX91" s="193"/>
      <c r="BY91" s="193"/>
      <c r="BZ91" s="193"/>
      <c r="CA91" s="193"/>
      <c r="CB91" s="193"/>
      <c r="CC91" s="193"/>
      <c r="CD91" s="193"/>
      <c r="CE91" s="193"/>
      <c r="CF91" s="193"/>
      <c r="CG91" s="193"/>
      <c r="CH91" s="193"/>
      <c r="CI91" s="193"/>
      <c r="CJ91" s="193"/>
      <c r="CK91" s="193"/>
      <c r="CL91" s="193"/>
      <c r="CM91" s="193"/>
      <c r="CN91" s="193"/>
      <c r="CO91" s="193"/>
      <c r="CP91" s="193"/>
      <c r="CQ91" s="193"/>
      <c r="CR91" s="193"/>
      <c r="CS91" s="193"/>
      <c r="CT91" s="193"/>
      <c r="CU91" s="193"/>
      <c r="CV91" s="193"/>
      <c r="CW91" s="193"/>
      <c r="CX91" s="193"/>
      <c r="CY91" s="193"/>
      <c r="CZ91" s="193"/>
      <c r="DA91" s="193"/>
      <c r="DB91" s="193"/>
      <c r="DC91" s="193"/>
      <c r="DD91" s="193"/>
      <c r="DE91" s="193"/>
      <c r="DF91" s="193"/>
      <c r="DG91" s="193"/>
      <c r="DH91" s="193"/>
      <c r="DI91" s="193"/>
      <c r="DJ91" s="193"/>
      <c r="DK91" s="193"/>
      <c r="DL91" s="193"/>
      <c r="DM91" s="193"/>
      <c r="DN91" s="193"/>
      <c r="DO91" s="193"/>
      <c r="DP91" s="193"/>
      <c r="DQ91" s="193"/>
      <c r="DR91" s="193"/>
      <c r="DS91" s="193"/>
      <c r="DT91" s="193"/>
      <c r="DU91" s="193"/>
      <c r="DV91" s="193"/>
      <c r="DW91" s="193"/>
      <c r="DX91" s="193"/>
      <c r="DY91" s="193"/>
      <c r="DZ91" s="193"/>
      <c r="EA91" s="193"/>
      <c r="EB91" s="193"/>
      <c r="EC91" s="193"/>
      <c r="ED91" s="193"/>
      <c r="EE91" s="193"/>
      <c r="EF91" s="193"/>
      <c r="EG91" s="193"/>
      <c r="EH91" s="193"/>
      <c r="EI91" s="193"/>
      <c r="EJ91" s="193"/>
      <c r="EK91" s="193"/>
      <c r="EL91" s="193"/>
      <c r="EM91" s="193"/>
      <c r="EN91" s="193"/>
      <c r="EO91" s="193"/>
      <c r="EP91" s="193"/>
      <c r="EQ91" s="193"/>
      <c r="ER91" s="193"/>
      <c r="ES91" s="193"/>
      <c r="ET91" s="193"/>
      <c r="EU91" s="193"/>
      <c r="EV91" s="193"/>
      <c r="EW91" s="193"/>
      <c r="EX91" s="193"/>
      <c r="EY91" s="193"/>
      <c r="EZ91" s="193"/>
      <c r="FA91" s="193"/>
      <c r="FB91" s="193"/>
      <c r="FC91" s="193"/>
      <c r="FD91" s="193"/>
      <c r="FE91" s="193"/>
      <c r="FF91" s="193"/>
      <c r="FG91" s="193"/>
      <c r="FH91" s="193"/>
      <c r="FI91" s="193"/>
      <c r="FJ91" s="193"/>
      <c r="FK91" s="193"/>
      <c r="FL91" s="193"/>
      <c r="FM91" s="193"/>
      <c r="FN91" s="193"/>
      <c r="FO91" s="193"/>
      <c r="FP91" s="193"/>
      <c r="FQ91" s="193"/>
      <c r="FR91" s="193"/>
      <c r="FS91" s="193"/>
      <c r="FT91" s="193"/>
      <c r="FU91" s="193"/>
      <c r="FV91" s="193"/>
      <c r="FW91" s="193"/>
      <c r="FX91" s="193"/>
      <c r="FY91" s="193"/>
      <c r="FZ91" s="193"/>
      <c r="GA91" s="193"/>
      <c r="GB91" s="193"/>
      <c r="GC91" s="193"/>
      <c r="GD91" s="193"/>
      <c r="GE91" s="193"/>
      <c r="GF91" s="193"/>
      <c r="GG91" s="193"/>
      <c r="GH91" s="193"/>
      <c r="GI91" s="193"/>
      <c r="GJ91" s="193"/>
      <c r="GK91" s="193"/>
      <c r="GL91" s="193"/>
      <c r="GM91" s="193"/>
      <c r="GN91" s="193"/>
      <c r="GO91" s="193"/>
      <c r="GP91" s="193"/>
      <c r="GQ91" s="193"/>
      <c r="GR91" s="193"/>
      <c r="GS91" s="193"/>
      <c r="GT91" s="193"/>
      <c r="GU91" s="193"/>
      <c r="GV91" s="193"/>
      <c r="GW91" s="193"/>
      <c r="GX91" s="193"/>
      <c r="GY91" s="193"/>
      <c r="GZ91" s="193"/>
      <c r="HA91" s="193"/>
      <c r="HB91" s="193"/>
      <c r="HC91" s="193"/>
      <c r="HD91" s="193"/>
      <c r="HE91" s="193"/>
      <c r="HF91" s="193"/>
      <c r="HG91" s="193"/>
      <c r="HH91" s="193"/>
      <c r="HI91" s="193"/>
      <c r="HJ91" s="193"/>
      <c r="HK91" s="193"/>
      <c r="HL91" s="193"/>
      <c r="HM91" s="193"/>
      <c r="HN91" s="193"/>
      <c r="HO91" s="193"/>
      <c r="HP91" s="193"/>
      <c r="HQ91" s="193"/>
      <c r="HR91" s="193"/>
      <c r="HS91" s="193"/>
      <c r="HT91" s="193"/>
      <c r="HU91" s="193"/>
      <c r="HV91" s="193"/>
      <c r="HW91" s="193"/>
      <c r="HX91" s="193"/>
      <c r="HY91" s="193"/>
      <c r="HZ91" s="193"/>
      <c r="IA91" s="193"/>
      <c r="IB91" s="193"/>
      <c r="IC91" s="193"/>
      <c r="ID91" s="193"/>
      <c r="IE91" s="193"/>
      <c r="IF91" s="193"/>
      <c r="IG91" s="193"/>
      <c r="IH91" s="193"/>
      <c r="II91" s="193"/>
      <c r="IJ91" s="193"/>
      <c r="IK91" s="193"/>
      <c r="IL91" s="193"/>
      <c r="IM91" s="193"/>
      <c r="IN91" s="193"/>
      <c r="IO91" s="193"/>
      <c r="IP91" s="193"/>
      <c r="IQ91" s="193"/>
    </row>
    <row r="92" spans="1:251" hidden="1">
      <c r="A92" s="1026"/>
      <c r="B92" s="1955"/>
      <c r="C92" s="1955"/>
      <c r="D92" s="2034"/>
      <c r="E92" s="1955"/>
      <c r="F92" s="1942">
        <f t="shared" si="33"/>
        <v>0</v>
      </c>
      <c r="G92" s="1026"/>
      <c r="H92" s="1942">
        <f t="shared" si="34"/>
        <v>0</v>
      </c>
      <c r="I92" s="1026"/>
      <c r="J92" s="1942">
        <f t="shared" si="35"/>
        <v>0</v>
      </c>
      <c r="K92" s="1026"/>
      <c r="L92" s="1942">
        <f t="shared" si="36"/>
        <v>0</v>
      </c>
      <c r="M92" s="1942">
        <f t="shared" si="37"/>
        <v>0</v>
      </c>
      <c r="N92" s="1942">
        <f t="shared" si="38"/>
        <v>0</v>
      </c>
      <c r="O92" s="1026"/>
      <c r="P92" s="1026"/>
      <c r="Q92" s="1942">
        <f t="shared" si="39"/>
        <v>0</v>
      </c>
      <c r="R92" s="1942">
        <f t="shared" si="40"/>
        <v>0</v>
      </c>
      <c r="S92" s="1942">
        <f t="shared" si="41"/>
        <v>0</v>
      </c>
      <c r="T92" s="1942">
        <f t="shared" si="42"/>
        <v>0</v>
      </c>
      <c r="U92" s="1942">
        <f t="shared" si="43"/>
        <v>0</v>
      </c>
      <c r="V92" s="3035">
        <f t="shared" si="44"/>
        <v>0</v>
      </c>
      <c r="W92" s="1942"/>
      <c r="X92" s="193"/>
      <c r="Y92" s="193"/>
      <c r="Z92" s="193"/>
      <c r="AA92" s="193"/>
      <c r="AB92" s="193"/>
      <c r="AC92" s="193"/>
      <c r="AD92" s="193"/>
      <c r="AE92" s="193"/>
      <c r="AF92" s="193"/>
      <c r="AG92" s="193"/>
      <c r="AH92" s="193"/>
      <c r="AI92" s="193"/>
      <c r="AJ92" s="193"/>
      <c r="AK92" s="193"/>
      <c r="AL92" s="193"/>
      <c r="AM92" s="193"/>
      <c r="AN92" s="193"/>
      <c r="AO92" s="193"/>
      <c r="AP92" s="193"/>
      <c r="AQ92" s="193"/>
      <c r="AR92" s="193"/>
      <c r="AS92" s="193"/>
      <c r="AT92" s="193"/>
      <c r="AU92" s="193"/>
      <c r="AV92" s="193"/>
      <c r="AW92" s="193"/>
      <c r="AX92" s="193"/>
      <c r="AY92" s="193"/>
      <c r="AZ92" s="193"/>
      <c r="BA92" s="193"/>
      <c r="BB92" s="193"/>
      <c r="BC92" s="193"/>
      <c r="BD92" s="193"/>
      <c r="BE92" s="193"/>
      <c r="BF92" s="193"/>
      <c r="BG92" s="193"/>
      <c r="BH92" s="193"/>
      <c r="BI92" s="193"/>
      <c r="BJ92" s="193"/>
      <c r="BK92" s="193"/>
      <c r="BL92" s="193"/>
      <c r="BM92" s="193"/>
      <c r="BN92" s="193"/>
      <c r="BO92" s="193"/>
      <c r="BP92" s="193"/>
      <c r="BQ92" s="193"/>
      <c r="BR92" s="193"/>
      <c r="BS92" s="193"/>
      <c r="BT92" s="193"/>
      <c r="BU92" s="193"/>
      <c r="BV92" s="193"/>
      <c r="BW92" s="193"/>
      <c r="BX92" s="193"/>
      <c r="BY92" s="193"/>
      <c r="BZ92" s="193"/>
      <c r="CA92" s="193"/>
      <c r="CB92" s="193"/>
      <c r="CC92" s="193"/>
      <c r="CD92" s="193"/>
      <c r="CE92" s="193"/>
      <c r="CF92" s="193"/>
      <c r="CG92" s="193"/>
      <c r="CH92" s="193"/>
      <c r="CI92" s="193"/>
      <c r="CJ92" s="193"/>
      <c r="CK92" s="193"/>
      <c r="CL92" s="193"/>
      <c r="CM92" s="193"/>
      <c r="CN92" s="193"/>
      <c r="CO92" s="193"/>
      <c r="CP92" s="193"/>
      <c r="CQ92" s="193"/>
      <c r="CR92" s="193"/>
      <c r="CS92" s="193"/>
      <c r="CT92" s="193"/>
      <c r="CU92" s="193"/>
      <c r="CV92" s="193"/>
      <c r="CW92" s="193"/>
      <c r="CX92" s="193"/>
      <c r="CY92" s="193"/>
      <c r="CZ92" s="193"/>
      <c r="DA92" s="193"/>
      <c r="DB92" s="193"/>
      <c r="DC92" s="193"/>
      <c r="DD92" s="193"/>
      <c r="DE92" s="193"/>
      <c r="DF92" s="193"/>
      <c r="DG92" s="193"/>
      <c r="DH92" s="193"/>
      <c r="DI92" s="193"/>
      <c r="DJ92" s="193"/>
      <c r="DK92" s="193"/>
      <c r="DL92" s="193"/>
      <c r="DM92" s="193"/>
      <c r="DN92" s="193"/>
      <c r="DO92" s="193"/>
      <c r="DP92" s="193"/>
      <c r="DQ92" s="193"/>
      <c r="DR92" s="193"/>
      <c r="DS92" s="193"/>
      <c r="DT92" s="193"/>
      <c r="DU92" s="193"/>
      <c r="DV92" s="193"/>
      <c r="DW92" s="193"/>
      <c r="DX92" s="193"/>
      <c r="DY92" s="193"/>
      <c r="DZ92" s="193"/>
      <c r="EA92" s="193"/>
      <c r="EB92" s="193"/>
      <c r="EC92" s="193"/>
      <c r="ED92" s="193"/>
      <c r="EE92" s="193"/>
      <c r="EF92" s="193"/>
      <c r="EG92" s="193"/>
      <c r="EH92" s="193"/>
      <c r="EI92" s="193"/>
      <c r="EJ92" s="193"/>
      <c r="EK92" s="193"/>
      <c r="EL92" s="193"/>
      <c r="EM92" s="193"/>
      <c r="EN92" s="193"/>
      <c r="EO92" s="193"/>
      <c r="EP92" s="193"/>
      <c r="EQ92" s="193"/>
      <c r="ER92" s="193"/>
      <c r="ES92" s="193"/>
      <c r="ET92" s="193"/>
      <c r="EU92" s="193"/>
      <c r="EV92" s="193"/>
      <c r="EW92" s="193"/>
      <c r="EX92" s="193"/>
      <c r="EY92" s="193"/>
      <c r="EZ92" s="193"/>
      <c r="FA92" s="193"/>
      <c r="FB92" s="193"/>
      <c r="FC92" s="193"/>
      <c r="FD92" s="193"/>
      <c r="FE92" s="193"/>
      <c r="FF92" s="193"/>
      <c r="FG92" s="193"/>
      <c r="FH92" s="193"/>
      <c r="FI92" s="193"/>
      <c r="FJ92" s="193"/>
      <c r="FK92" s="193"/>
      <c r="FL92" s="193"/>
      <c r="FM92" s="193"/>
      <c r="FN92" s="193"/>
      <c r="FO92" s="193"/>
      <c r="FP92" s="193"/>
      <c r="FQ92" s="193"/>
      <c r="FR92" s="193"/>
      <c r="FS92" s="193"/>
      <c r="FT92" s="193"/>
      <c r="FU92" s="193"/>
      <c r="FV92" s="193"/>
      <c r="FW92" s="193"/>
      <c r="FX92" s="193"/>
      <c r="FY92" s="193"/>
      <c r="FZ92" s="193"/>
      <c r="GA92" s="193"/>
      <c r="GB92" s="193"/>
      <c r="GC92" s="193"/>
      <c r="GD92" s="193"/>
      <c r="GE92" s="193"/>
      <c r="GF92" s="193"/>
      <c r="GG92" s="193"/>
      <c r="GH92" s="193"/>
      <c r="GI92" s="193"/>
      <c r="GJ92" s="193"/>
      <c r="GK92" s="193"/>
      <c r="GL92" s="193"/>
      <c r="GM92" s="193"/>
      <c r="GN92" s="193"/>
      <c r="GO92" s="193"/>
      <c r="GP92" s="193"/>
      <c r="GQ92" s="193"/>
      <c r="GR92" s="193"/>
      <c r="GS92" s="193"/>
      <c r="GT92" s="193"/>
      <c r="GU92" s="193"/>
      <c r="GV92" s="193"/>
      <c r="GW92" s="193"/>
      <c r="GX92" s="193"/>
      <c r="GY92" s="193"/>
      <c r="GZ92" s="193"/>
      <c r="HA92" s="193"/>
      <c r="HB92" s="193"/>
      <c r="HC92" s="193"/>
      <c r="HD92" s="193"/>
      <c r="HE92" s="193"/>
      <c r="HF92" s="193"/>
      <c r="HG92" s="193"/>
      <c r="HH92" s="193"/>
      <c r="HI92" s="193"/>
      <c r="HJ92" s="193"/>
      <c r="HK92" s="193"/>
      <c r="HL92" s="193"/>
      <c r="HM92" s="193"/>
      <c r="HN92" s="193"/>
      <c r="HO92" s="193"/>
      <c r="HP92" s="193"/>
      <c r="HQ92" s="193"/>
      <c r="HR92" s="193"/>
      <c r="HS92" s="193"/>
      <c r="HT92" s="193"/>
      <c r="HU92" s="193"/>
      <c r="HV92" s="193"/>
      <c r="HW92" s="193"/>
      <c r="HX92" s="193"/>
      <c r="HY92" s="193"/>
      <c r="HZ92" s="193"/>
      <c r="IA92" s="193"/>
      <c r="IB92" s="193"/>
      <c r="IC92" s="193"/>
      <c r="ID92" s="193"/>
      <c r="IE92" s="193"/>
      <c r="IF92" s="193"/>
      <c r="IG92" s="193"/>
      <c r="IH92" s="193"/>
      <c r="II92" s="193"/>
      <c r="IJ92" s="193"/>
      <c r="IK92" s="193"/>
      <c r="IL92" s="193"/>
      <c r="IM92" s="193"/>
      <c r="IN92" s="193"/>
      <c r="IO92" s="193"/>
      <c r="IP92" s="193"/>
      <c r="IQ92" s="193"/>
    </row>
    <row r="93" spans="1:251" hidden="1">
      <c r="A93" s="1026"/>
      <c r="B93" s="1955"/>
      <c r="C93" s="1955"/>
      <c r="D93" s="2034"/>
      <c r="E93" s="1955"/>
      <c r="F93" s="1942">
        <f t="shared" si="33"/>
        <v>0</v>
      </c>
      <c r="G93" s="1026"/>
      <c r="H93" s="1942">
        <f t="shared" si="34"/>
        <v>0</v>
      </c>
      <c r="I93" s="1026"/>
      <c r="J93" s="1942">
        <f t="shared" si="35"/>
        <v>0</v>
      </c>
      <c r="K93" s="1026"/>
      <c r="L93" s="1942">
        <f t="shared" si="36"/>
        <v>0</v>
      </c>
      <c r="M93" s="1942">
        <f t="shared" si="37"/>
        <v>0</v>
      </c>
      <c r="N93" s="1942">
        <f t="shared" si="38"/>
        <v>0</v>
      </c>
      <c r="O93" s="1026"/>
      <c r="P93" s="1026"/>
      <c r="Q93" s="1942">
        <f t="shared" si="39"/>
        <v>0</v>
      </c>
      <c r="R93" s="1942">
        <f t="shared" si="40"/>
        <v>0</v>
      </c>
      <c r="S93" s="1942">
        <f t="shared" si="41"/>
        <v>0</v>
      </c>
      <c r="T93" s="1942">
        <f t="shared" si="42"/>
        <v>0</v>
      </c>
      <c r="U93" s="1942">
        <f t="shared" si="43"/>
        <v>0</v>
      </c>
      <c r="V93" s="3035">
        <f t="shared" si="44"/>
        <v>0</v>
      </c>
      <c r="W93" s="1942"/>
      <c r="X93" s="193"/>
      <c r="Y93" s="193"/>
      <c r="Z93" s="193"/>
      <c r="AA93" s="193"/>
      <c r="AB93" s="193"/>
      <c r="AC93" s="193"/>
      <c r="AD93" s="193"/>
      <c r="AE93" s="193"/>
      <c r="AF93" s="193"/>
      <c r="AG93" s="193"/>
      <c r="AH93" s="193"/>
      <c r="AI93" s="193"/>
      <c r="AJ93" s="193"/>
      <c r="AK93" s="193"/>
      <c r="AL93" s="193"/>
      <c r="AM93" s="193"/>
      <c r="AN93" s="193"/>
      <c r="AO93" s="193"/>
      <c r="AP93" s="193"/>
      <c r="AQ93" s="193"/>
      <c r="AR93" s="193"/>
      <c r="AS93" s="193"/>
      <c r="AT93" s="193"/>
      <c r="AU93" s="193"/>
      <c r="AV93" s="193"/>
      <c r="AW93" s="193"/>
      <c r="AX93" s="193"/>
      <c r="AY93" s="193"/>
      <c r="AZ93" s="193"/>
      <c r="BA93" s="193"/>
      <c r="BB93" s="193"/>
      <c r="BC93" s="193"/>
      <c r="BD93" s="193"/>
      <c r="BE93" s="193"/>
      <c r="BF93" s="193"/>
      <c r="BG93" s="193"/>
      <c r="BH93" s="193"/>
      <c r="BI93" s="193"/>
      <c r="BJ93" s="193"/>
      <c r="BK93" s="193"/>
      <c r="BL93" s="193"/>
      <c r="BM93" s="193"/>
      <c r="BN93" s="193"/>
      <c r="BO93" s="193"/>
      <c r="BP93" s="193"/>
      <c r="BQ93" s="193"/>
      <c r="BR93" s="193"/>
      <c r="BS93" s="193"/>
      <c r="BT93" s="193"/>
      <c r="BU93" s="193"/>
      <c r="BV93" s="193"/>
      <c r="BW93" s="193"/>
      <c r="BX93" s="193"/>
      <c r="BY93" s="193"/>
      <c r="BZ93" s="193"/>
      <c r="CA93" s="193"/>
      <c r="CB93" s="193"/>
      <c r="CC93" s="193"/>
      <c r="CD93" s="193"/>
      <c r="CE93" s="193"/>
      <c r="CF93" s="193"/>
      <c r="CG93" s="193"/>
      <c r="CH93" s="193"/>
      <c r="CI93" s="193"/>
      <c r="CJ93" s="193"/>
      <c r="CK93" s="193"/>
      <c r="CL93" s="193"/>
      <c r="CM93" s="193"/>
      <c r="CN93" s="193"/>
      <c r="CO93" s="193"/>
      <c r="CP93" s="193"/>
      <c r="CQ93" s="193"/>
      <c r="CR93" s="193"/>
      <c r="CS93" s="193"/>
      <c r="CT93" s="193"/>
      <c r="CU93" s="193"/>
      <c r="CV93" s="193"/>
      <c r="CW93" s="193"/>
      <c r="CX93" s="193"/>
      <c r="CY93" s="193"/>
      <c r="CZ93" s="193"/>
      <c r="DA93" s="193"/>
      <c r="DB93" s="193"/>
      <c r="DC93" s="193"/>
      <c r="DD93" s="193"/>
      <c r="DE93" s="193"/>
      <c r="DF93" s="193"/>
      <c r="DG93" s="193"/>
      <c r="DH93" s="193"/>
      <c r="DI93" s="193"/>
      <c r="DJ93" s="193"/>
      <c r="DK93" s="193"/>
      <c r="DL93" s="193"/>
      <c r="DM93" s="193"/>
      <c r="DN93" s="193"/>
      <c r="DO93" s="193"/>
      <c r="DP93" s="193"/>
      <c r="DQ93" s="193"/>
      <c r="DR93" s="193"/>
      <c r="DS93" s="193"/>
      <c r="DT93" s="193"/>
      <c r="DU93" s="193"/>
      <c r="DV93" s="193"/>
      <c r="DW93" s="193"/>
      <c r="DX93" s="193"/>
      <c r="DY93" s="193"/>
      <c r="DZ93" s="193"/>
      <c r="EA93" s="193"/>
      <c r="EB93" s="193"/>
      <c r="EC93" s="193"/>
      <c r="ED93" s="193"/>
      <c r="EE93" s="193"/>
      <c r="EF93" s="193"/>
      <c r="EG93" s="193"/>
      <c r="EH93" s="193"/>
      <c r="EI93" s="193"/>
      <c r="EJ93" s="193"/>
      <c r="EK93" s="193"/>
      <c r="EL93" s="193"/>
      <c r="EM93" s="193"/>
      <c r="EN93" s="193"/>
      <c r="EO93" s="193"/>
      <c r="EP93" s="193"/>
      <c r="EQ93" s="193"/>
      <c r="ER93" s="193"/>
      <c r="ES93" s="193"/>
      <c r="ET93" s="193"/>
      <c r="EU93" s="193"/>
      <c r="EV93" s="193"/>
      <c r="EW93" s="193"/>
      <c r="EX93" s="193"/>
      <c r="EY93" s="193"/>
      <c r="EZ93" s="193"/>
      <c r="FA93" s="193"/>
      <c r="FB93" s="193"/>
      <c r="FC93" s="193"/>
      <c r="FD93" s="193"/>
      <c r="FE93" s="193"/>
      <c r="FF93" s="193"/>
      <c r="FG93" s="193"/>
      <c r="FH93" s="193"/>
      <c r="FI93" s="193"/>
      <c r="FJ93" s="193"/>
      <c r="FK93" s="193"/>
      <c r="FL93" s="193"/>
      <c r="FM93" s="193"/>
      <c r="FN93" s="193"/>
      <c r="FO93" s="193"/>
      <c r="FP93" s="193"/>
      <c r="FQ93" s="193"/>
      <c r="FR93" s="193"/>
      <c r="FS93" s="193"/>
      <c r="FT93" s="193"/>
      <c r="FU93" s="193"/>
      <c r="FV93" s="193"/>
      <c r="FW93" s="193"/>
      <c r="FX93" s="193"/>
      <c r="FY93" s="193"/>
      <c r="FZ93" s="193"/>
      <c r="GA93" s="193"/>
      <c r="GB93" s="193"/>
      <c r="GC93" s="193"/>
      <c r="GD93" s="193"/>
      <c r="GE93" s="193"/>
      <c r="GF93" s="193"/>
      <c r="GG93" s="193"/>
      <c r="GH93" s="193"/>
      <c r="GI93" s="193"/>
      <c r="GJ93" s="193"/>
      <c r="GK93" s="193"/>
      <c r="GL93" s="193"/>
      <c r="GM93" s="193"/>
      <c r="GN93" s="193"/>
      <c r="GO93" s="193"/>
      <c r="GP93" s="193"/>
      <c r="GQ93" s="193"/>
      <c r="GR93" s="193"/>
      <c r="GS93" s="193"/>
      <c r="GT93" s="193"/>
      <c r="GU93" s="193"/>
      <c r="GV93" s="193"/>
      <c r="GW93" s="193"/>
      <c r="GX93" s="193"/>
      <c r="GY93" s="193"/>
      <c r="GZ93" s="193"/>
      <c r="HA93" s="193"/>
      <c r="HB93" s="193"/>
      <c r="HC93" s="193"/>
      <c r="HD93" s="193"/>
      <c r="HE93" s="193"/>
      <c r="HF93" s="193"/>
      <c r="HG93" s="193"/>
      <c r="HH93" s="193"/>
      <c r="HI93" s="193"/>
      <c r="HJ93" s="193"/>
      <c r="HK93" s="193"/>
      <c r="HL93" s="193"/>
      <c r="HM93" s="193"/>
      <c r="HN93" s="193"/>
      <c r="HO93" s="193"/>
      <c r="HP93" s="193"/>
      <c r="HQ93" s="193"/>
      <c r="HR93" s="193"/>
      <c r="HS93" s="193"/>
      <c r="HT93" s="193"/>
      <c r="HU93" s="193"/>
      <c r="HV93" s="193"/>
      <c r="HW93" s="193"/>
      <c r="HX93" s="193"/>
      <c r="HY93" s="193"/>
      <c r="HZ93" s="193"/>
      <c r="IA93" s="193"/>
      <c r="IB93" s="193"/>
      <c r="IC93" s="193"/>
      <c r="ID93" s="193"/>
      <c r="IE93" s="193"/>
      <c r="IF93" s="193"/>
      <c r="IG93" s="193"/>
      <c r="IH93" s="193"/>
      <c r="II93" s="193"/>
      <c r="IJ93" s="193"/>
      <c r="IK93" s="193"/>
      <c r="IL93" s="193"/>
      <c r="IM93" s="193"/>
      <c r="IN93" s="193"/>
      <c r="IO93" s="193"/>
      <c r="IP93" s="193"/>
      <c r="IQ93" s="193"/>
    </row>
    <row r="94" spans="1:251" hidden="1">
      <c r="A94" s="1026"/>
      <c r="B94" s="1955"/>
      <c r="C94" s="1955"/>
      <c r="D94" s="2034"/>
      <c r="E94" s="1955"/>
      <c r="F94" s="1942">
        <f t="shared" si="33"/>
        <v>0</v>
      </c>
      <c r="G94" s="1026"/>
      <c r="H94" s="1942">
        <f t="shared" si="34"/>
        <v>0</v>
      </c>
      <c r="I94" s="1026"/>
      <c r="J94" s="1942">
        <f t="shared" si="35"/>
        <v>0</v>
      </c>
      <c r="K94" s="1026"/>
      <c r="L94" s="1942">
        <f t="shared" si="36"/>
        <v>0</v>
      </c>
      <c r="M94" s="1942">
        <f t="shared" si="37"/>
        <v>0</v>
      </c>
      <c r="N94" s="1942">
        <f t="shared" si="38"/>
        <v>0</v>
      </c>
      <c r="O94" s="1026"/>
      <c r="P94" s="1026"/>
      <c r="Q94" s="1942">
        <f t="shared" si="39"/>
        <v>0</v>
      </c>
      <c r="R94" s="1942">
        <f t="shared" si="40"/>
        <v>0</v>
      </c>
      <c r="S94" s="1942">
        <f t="shared" si="41"/>
        <v>0</v>
      </c>
      <c r="T94" s="1942">
        <f t="shared" si="42"/>
        <v>0</v>
      </c>
      <c r="U94" s="1942">
        <f t="shared" si="43"/>
        <v>0</v>
      </c>
      <c r="V94" s="3035">
        <f t="shared" si="44"/>
        <v>0</v>
      </c>
      <c r="W94" s="1942"/>
      <c r="X94" s="193"/>
      <c r="Y94" s="193"/>
      <c r="Z94" s="193"/>
      <c r="AA94" s="193"/>
      <c r="AB94" s="193"/>
      <c r="AC94" s="193"/>
      <c r="AD94" s="193"/>
      <c r="AE94" s="193"/>
      <c r="AF94" s="193"/>
      <c r="AG94" s="193"/>
      <c r="AH94" s="193"/>
      <c r="AI94" s="193"/>
      <c r="AJ94" s="193"/>
      <c r="AK94" s="193"/>
      <c r="AL94" s="193"/>
      <c r="AM94" s="193"/>
      <c r="AN94" s="193"/>
      <c r="AO94" s="193"/>
      <c r="AP94" s="193"/>
      <c r="AQ94" s="193"/>
      <c r="AR94" s="193"/>
      <c r="AS94" s="193"/>
      <c r="AT94" s="193"/>
      <c r="AU94" s="193"/>
      <c r="AV94" s="193"/>
      <c r="AW94" s="193"/>
      <c r="AX94" s="193"/>
      <c r="AY94" s="193"/>
      <c r="AZ94" s="193"/>
      <c r="BA94" s="193"/>
      <c r="BB94" s="193"/>
      <c r="BC94" s="193"/>
      <c r="BD94" s="193"/>
      <c r="BE94" s="193"/>
      <c r="BF94" s="193"/>
      <c r="BG94" s="193"/>
      <c r="BH94" s="193"/>
      <c r="BI94" s="193"/>
      <c r="BJ94" s="193"/>
      <c r="BK94" s="193"/>
      <c r="BL94" s="193"/>
      <c r="BM94" s="193"/>
      <c r="BN94" s="193"/>
      <c r="BO94" s="193"/>
      <c r="BP94" s="193"/>
      <c r="BQ94" s="193"/>
      <c r="BR94" s="193"/>
      <c r="BS94" s="193"/>
      <c r="BT94" s="193"/>
      <c r="BU94" s="193"/>
      <c r="BV94" s="193"/>
      <c r="BW94" s="193"/>
      <c r="BX94" s="193"/>
      <c r="BY94" s="193"/>
      <c r="BZ94" s="193"/>
      <c r="CA94" s="193"/>
      <c r="CB94" s="193"/>
      <c r="CC94" s="193"/>
      <c r="CD94" s="193"/>
      <c r="CE94" s="193"/>
      <c r="CF94" s="193"/>
      <c r="CG94" s="193"/>
      <c r="CH94" s="193"/>
      <c r="CI94" s="193"/>
      <c r="CJ94" s="193"/>
      <c r="CK94" s="193"/>
      <c r="CL94" s="193"/>
      <c r="CM94" s="193"/>
      <c r="CN94" s="193"/>
      <c r="CO94" s="193"/>
      <c r="CP94" s="193"/>
      <c r="CQ94" s="193"/>
      <c r="CR94" s="193"/>
      <c r="CS94" s="193"/>
      <c r="CT94" s="193"/>
      <c r="CU94" s="193"/>
      <c r="CV94" s="193"/>
      <c r="CW94" s="193"/>
      <c r="CX94" s="193"/>
      <c r="CY94" s="193"/>
      <c r="CZ94" s="193"/>
      <c r="DA94" s="193"/>
      <c r="DB94" s="193"/>
      <c r="DC94" s="193"/>
      <c r="DD94" s="193"/>
      <c r="DE94" s="193"/>
      <c r="DF94" s="193"/>
      <c r="DG94" s="193"/>
      <c r="DH94" s="193"/>
      <c r="DI94" s="193"/>
      <c r="DJ94" s="193"/>
      <c r="DK94" s="193"/>
      <c r="DL94" s="193"/>
      <c r="DM94" s="193"/>
      <c r="DN94" s="193"/>
      <c r="DO94" s="193"/>
      <c r="DP94" s="193"/>
      <c r="DQ94" s="193"/>
      <c r="DR94" s="193"/>
      <c r="DS94" s="193"/>
      <c r="DT94" s="193"/>
      <c r="DU94" s="193"/>
      <c r="DV94" s="193"/>
      <c r="DW94" s="193"/>
      <c r="DX94" s="193"/>
      <c r="DY94" s="193"/>
      <c r="DZ94" s="193"/>
      <c r="EA94" s="193"/>
      <c r="EB94" s="193"/>
      <c r="EC94" s="193"/>
      <c r="ED94" s="193"/>
      <c r="EE94" s="193"/>
      <c r="EF94" s="193"/>
      <c r="EG94" s="193"/>
      <c r="EH94" s="193"/>
      <c r="EI94" s="193"/>
      <c r="EJ94" s="193"/>
      <c r="EK94" s="193"/>
      <c r="EL94" s="193"/>
      <c r="EM94" s="193"/>
      <c r="EN94" s="193"/>
      <c r="EO94" s="193"/>
      <c r="EP94" s="193"/>
      <c r="EQ94" s="193"/>
      <c r="ER94" s="193"/>
      <c r="ES94" s="193"/>
      <c r="ET94" s="193"/>
      <c r="EU94" s="193"/>
      <c r="EV94" s="193"/>
      <c r="EW94" s="193"/>
      <c r="EX94" s="193"/>
      <c r="EY94" s="193"/>
      <c r="EZ94" s="193"/>
      <c r="FA94" s="193"/>
      <c r="FB94" s="193"/>
      <c r="FC94" s="193"/>
      <c r="FD94" s="193"/>
      <c r="FE94" s="193"/>
      <c r="FF94" s="193"/>
      <c r="FG94" s="193"/>
      <c r="FH94" s="193"/>
      <c r="FI94" s="193"/>
      <c r="FJ94" s="193"/>
      <c r="FK94" s="193"/>
      <c r="FL94" s="193"/>
      <c r="FM94" s="193"/>
      <c r="FN94" s="193"/>
      <c r="FO94" s="193"/>
      <c r="FP94" s="193"/>
      <c r="FQ94" s="193"/>
      <c r="FR94" s="193"/>
      <c r="FS94" s="193"/>
      <c r="FT94" s="193"/>
      <c r="FU94" s="193"/>
      <c r="FV94" s="193"/>
      <c r="FW94" s="193"/>
      <c r="FX94" s="193"/>
      <c r="FY94" s="193"/>
      <c r="FZ94" s="193"/>
      <c r="GA94" s="193"/>
      <c r="GB94" s="193"/>
      <c r="GC94" s="193"/>
      <c r="GD94" s="193"/>
      <c r="GE94" s="193"/>
      <c r="GF94" s="193"/>
      <c r="GG94" s="193"/>
      <c r="GH94" s="193"/>
      <c r="GI94" s="193"/>
      <c r="GJ94" s="193"/>
      <c r="GK94" s="193"/>
      <c r="GL94" s="193"/>
      <c r="GM94" s="193"/>
      <c r="GN94" s="193"/>
      <c r="GO94" s="193"/>
      <c r="GP94" s="193"/>
      <c r="GQ94" s="193"/>
      <c r="GR94" s="193"/>
      <c r="GS94" s="193"/>
      <c r="GT94" s="193"/>
      <c r="GU94" s="193"/>
      <c r="GV94" s="193"/>
      <c r="GW94" s="193"/>
      <c r="GX94" s="193"/>
      <c r="GY94" s="193"/>
      <c r="GZ94" s="193"/>
      <c r="HA94" s="193"/>
      <c r="HB94" s="193"/>
      <c r="HC94" s="193"/>
      <c r="HD94" s="193"/>
      <c r="HE94" s="193"/>
      <c r="HF94" s="193"/>
      <c r="HG94" s="193"/>
      <c r="HH94" s="193"/>
      <c r="HI94" s="193"/>
      <c r="HJ94" s="193"/>
      <c r="HK94" s="193"/>
      <c r="HL94" s="193"/>
      <c r="HM94" s="193"/>
      <c r="HN94" s="193"/>
      <c r="HO94" s="193"/>
      <c r="HP94" s="193"/>
      <c r="HQ94" s="193"/>
      <c r="HR94" s="193"/>
      <c r="HS94" s="193"/>
      <c r="HT94" s="193"/>
      <c r="HU94" s="193"/>
      <c r="HV94" s="193"/>
      <c r="HW94" s="193"/>
      <c r="HX94" s="193"/>
      <c r="HY94" s="193"/>
      <c r="HZ94" s="193"/>
      <c r="IA94" s="193"/>
      <c r="IB94" s="193"/>
      <c r="IC94" s="193"/>
      <c r="ID94" s="193"/>
      <c r="IE94" s="193"/>
      <c r="IF94" s="193"/>
      <c r="IG94" s="193"/>
      <c r="IH94" s="193"/>
      <c r="II94" s="193"/>
      <c r="IJ94" s="193"/>
      <c r="IK94" s="193"/>
      <c r="IL94" s="193"/>
      <c r="IM94" s="193"/>
      <c r="IN94" s="193"/>
      <c r="IO94" s="193"/>
      <c r="IP94" s="193"/>
      <c r="IQ94" s="193"/>
    </row>
    <row r="95" spans="1:251" hidden="1">
      <c r="A95" s="1026"/>
      <c r="B95" s="1955"/>
      <c r="C95" s="1955"/>
      <c r="D95" s="2034"/>
      <c r="E95" s="1955"/>
      <c r="F95" s="1942">
        <f t="shared" si="33"/>
        <v>0</v>
      </c>
      <c r="G95" s="1026"/>
      <c r="H95" s="1942">
        <f t="shared" si="34"/>
        <v>0</v>
      </c>
      <c r="I95" s="1026"/>
      <c r="J95" s="1942">
        <f t="shared" si="35"/>
        <v>0</v>
      </c>
      <c r="K95" s="1026"/>
      <c r="L95" s="1942">
        <f t="shared" si="36"/>
        <v>0</v>
      </c>
      <c r="M95" s="1942">
        <f t="shared" si="37"/>
        <v>0</v>
      </c>
      <c r="N95" s="1942">
        <f t="shared" si="38"/>
        <v>0</v>
      </c>
      <c r="O95" s="1026"/>
      <c r="P95" s="1026"/>
      <c r="Q95" s="1942">
        <f t="shared" si="39"/>
        <v>0</v>
      </c>
      <c r="R95" s="1942">
        <f t="shared" si="40"/>
        <v>0</v>
      </c>
      <c r="S95" s="1942">
        <f t="shared" si="41"/>
        <v>0</v>
      </c>
      <c r="T95" s="1942">
        <f t="shared" si="42"/>
        <v>0</v>
      </c>
      <c r="U95" s="1942">
        <f t="shared" si="43"/>
        <v>0</v>
      </c>
      <c r="V95" s="3035">
        <f t="shared" si="44"/>
        <v>0</v>
      </c>
      <c r="W95" s="1942"/>
      <c r="X95" s="193"/>
      <c r="Y95" s="193"/>
      <c r="Z95" s="193"/>
      <c r="AA95" s="193"/>
      <c r="AB95" s="193"/>
      <c r="AC95" s="193"/>
      <c r="AD95" s="193"/>
      <c r="AE95" s="193"/>
      <c r="AF95" s="193"/>
      <c r="AG95" s="193"/>
      <c r="AH95" s="193"/>
      <c r="AI95" s="193"/>
      <c r="AJ95" s="193"/>
      <c r="AK95" s="193"/>
      <c r="AL95" s="193"/>
      <c r="AM95" s="193"/>
      <c r="AN95" s="193"/>
      <c r="AO95" s="193"/>
      <c r="AP95" s="193"/>
      <c r="AQ95" s="193"/>
      <c r="AR95" s="193"/>
      <c r="AS95" s="193"/>
      <c r="AT95" s="193"/>
      <c r="AU95" s="193"/>
      <c r="AV95" s="193"/>
      <c r="AW95" s="193"/>
      <c r="AX95" s="193"/>
      <c r="AY95" s="193"/>
      <c r="AZ95" s="193"/>
      <c r="BA95" s="193"/>
      <c r="BB95" s="193"/>
      <c r="BC95" s="193"/>
      <c r="BD95" s="193"/>
      <c r="BE95" s="193"/>
      <c r="BF95" s="193"/>
      <c r="BG95" s="193"/>
      <c r="BH95" s="193"/>
      <c r="BI95" s="193"/>
      <c r="BJ95" s="193"/>
      <c r="BK95" s="193"/>
      <c r="BL95" s="193"/>
      <c r="BM95" s="193"/>
      <c r="BN95" s="193"/>
      <c r="BO95" s="193"/>
      <c r="BP95" s="193"/>
      <c r="BQ95" s="193"/>
      <c r="BR95" s="193"/>
      <c r="BS95" s="193"/>
      <c r="BT95" s="193"/>
      <c r="BU95" s="193"/>
      <c r="BV95" s="193"/>
      <c r="BW95" s="193"/>
      <c r="BX95" s="193"/>
      <c r="BY95" s="193"/>
      <c r="BZ95" s="193"/>
      <c r="CA95" s="193"/>
      <c r="CB95" s="193"/>
      <c r="CC95" s="193"/>
      <c r="CD95" s="193"/>
      <c r="CE95" s="193"/>
      <c r="CF95" s="193"/>
      <c r="CG95" s="193"/>
      <c r="CH95" s="193"/>
      <c r="CI95" s="193"/>
      <c r="CJ95" s="193"/>
      <c r="CK95" s="193"/>
      <c r="CL95" s="193"/>
      <c r="CM95" s="193"/>
      <c r="CN95" s="193"/>
      <c r="CO95" s="193"/>
      <c r="CP95" s="193"/>
      <c r="CQ95" s="193"/>
      <c r="CR95" s="193"/>
      <c r="CS95" s="193"/>
      <c r="CT95" s="193"/>
      <c r="CU95" s="193"/>
      <c r="CV95" s="193"/>
      <c r="CW95" s="193"/>
      <c r="CX95" s="193"/>
      <c r="CY95" s="193"/>
      <c r="CZ95" s="193"/>
      <c r="DA95" s="193"/>
      <c r="DB95" s="193"/>
      <c r="DC95" s="193"/>
      <c r="DD95" s="193"/>
      <c r="DE95" s="193"/>
      <c r="DF95" s="193"/>
      <c r="DG95" s="193"/>
      <c r="DH95" s="193"/>
      <c r="DI95" s="193"/>
      <c r="DJ95" s="193"/>
      <c r="DK95" s="193"/>
      <c r="DL95" s="193"/>
      <c r="DM95" s="193"/>
      <c r="DN95" s="193"/>
      <c r="DO95" s="193"/>
      <c r="DP95" s="193"/>
      <c r="DQ95" s="193"/>
      <c r="DR95" s="193"/>
      <c r="DS95" s="193"/>
      <c r="DT95" s="193"/>
      <c r="DU95" s="193"/>
      <c r="DV95" s="193"/>
      <c r="DW95" s="193"/>
      <c r="DX95" s="193"/>
      <c r="DY95" s="193"/>
      <c r="DZ95" s="193"/>
      <c r="EA95" s="193"/>
      <c r="EB95" s="193"/>
      <c r="EC95" s="193"/>
      <c r="ED95" s="193"/>
      <c r="EE95" s="193"/>
      <c r="EF95" s="193"/>
      <c r="EG95" s="193"/>
      <c r="EH95" s="193"/>
      <c r="EI95" s="193"/>
      <c r="EJ95" s="193"/>
      <c r="EK95" s="193"/>
      <c r="EL95" s="193"/>
      <c r="EM95" s="193"/>
      <c r="EN95" s="193"/>
      <c r="EO95" s="193"/>
      <c r="EP95" s="193"/>
      <c r="EQ95" s="193"/>
      <c r="ER95" s="193"/>
      <c r="ES95" s="193"/>
      <c r="ET95" s="193"/>
      <c r="EU95" s="193"/>
      <c r="EV95" s="193"/>
      <c r="EW95" s="193"/>
      <c r="EX95" s="193"/>
      <c r="EY95" s="193"/>
      <c r="EZ95" s="193"/>
      <c r="FA95" s="193"/>
      <c r="FB95" s="193"/>
      <c r="FC95" s="193"/>
      <c r="FD95" s="193"/>
      <c r="FE95" s="193"/>
      <c r="FF95" s="193"/>
      <c r="FG95" s="193"/>
      <c r="FH95" s="193"/>
      <c r="FI95" s="193"/>
      <c r="FJ95" s="193"/>
      <c r="FK95" s="193"/>
      <c r="FL95" s="193"/>
      <c r="FM95" s="193"/>
      <c r="FN95" s="193"/>
      <c r="FO95" s="193"/>
      <c r="FP95" s="193"/>
      <c r="FQ95" s="193"/>
      <c r="FR95" s="193"/>
      <c r="FS95" s="193"/>
      <c r="FT95" s="193"/>
      <c r="FU95" s="193"/>
      <c r="FV95" s="193"/>
      <c r="FW95" s="193"/>
      <c r="FX95" s="193"/>
      <c r="FY95" s="193"/>
      <c r="FZ95" s="193"/>
      <c r="GA95" s="193"/>
      <c r="GB95" s="193"/>
      <c r="GC95" s="193"/>
      <c r="GD95" s="193"/>
      <c r="GE95" s="193"/>
      <c r="GF95" s="193"/>
      <c r="GG95" s="193"/>
      <c r="GH95" s="193"/>
      <c r="GI95" s="193"/>
      <c r="GJ95" s="193"/>
      <c r="GK95" s="193"/>
      <c r="GL95" s="193"/>
      <c r="GM95" s="193"/>
      <c r="GN95" s="193"/>
      <c r="GO95" s="193"/>
      <c r="GP95" s="193"/>
      <c r="GQ95" s="193"/>
      <c r="GR95" s="193"/>
      <c r="GS95" s="193"/>
      <c r="GT95" s="193"/>
      <c r="GU95" s="193"/>
      <c r="GV95" s="193"/>
      <c r="GW95" s="193"/>
      <c r="GX95" s="193"/>
      <c r="GY95" s="193"/>
      <c r="GZ95" s="193"/>
      <c r="HA95" s="193"/>
      <c r="HB95" s="193"/>
      <c r="HC95" s="193"/>
      <c r="HD95" s="193"/>
      <c r="HE95" s="193"/>
      <c r="HF95" s="193"/>
      <c r="HG95" s="193"/>
      <c r="HH95" s="193"/>
      <c r="HI95" s="193"/>
      <c r="HJ95" s="193"/>
      <c r="HK95" s="193"/>
      <c r="HL95" s="193"/>
      <c r="HM95" s="193"/>
      <c r="HN95" s="193"/>
      <c r="HO95" s="193"/>
      <c r="HP95" s="193"/>
      <c r="HQ95" s="193"/>
      <c r="HR95" s="193"/>
      <c r="HS95" s="193"/>
      <c r="HT95" s="193"/>
      <c r="HU95" s="193"/>
      <c r="HV95" s="193"/>
      <c r="HW95" s="193"/>
      <c r="HX95" s="193"/>
      <c r="HY95" s="193"/>
      <c r="HZ95" s="193"/>
      <c r="IA95" s="193"/>
      <c r="IB95" s="193"/>
      <c r="IC95" s="193"/>
      <c r="ID95" s="193"/>
      <c r="IE95" s="193"/>
      <c r="IF95" s="193"/>
      <c r="IG95" s="193"/>
      <c r="IH95" s="193"/>
      <c r="II95" s="193"/>
      <c r="IJ95" s="193"/>
      <c r="IK95" s="193"/>
      <c r="IL95" s="193"/>
      <c r="IM95" s="193"/>
      <c r="IN95" s="193"/>
      <c r="IO95" s="193"/>
      <c r="IP95" s="193"/>
      <c r="IQ95" s="193"/>
    </row>
    <row r="96" spans="1:251" hidden="1">
      <c r="A96" s="1026"/>
      <c r="B96" s="1955"/>
      <c r="C96" s="1955"/>
      <c r="D96" s="2034"/>
      <c r="E96" s="1955"/>
      <c r="F96" s="1942">
        <f t="shared" si="33"/>
        <v>0</v>
      </c>
      <c r="G96" s="1026"/>
      <c r="H96" s="1942">
        <f t="shared" si="34"/>
        <v>0</v>
      </c>
      <c r="I96" s="1026"/>
      <c r="J96" s="1942">
        <f t="shared" si="35"/>
        <v>0</v>
      </c>
      <c r="K96" s="1026"/>
      <c r="L96" s="1942">
        <f t="shared" si="36"/>
        <v>0</v>
      </c>
      <c r="M96" s="1942">
        <f t="shared" si="37"/>
        <v>0</v>
      </c>
      <c r="N96" s="1942">
        <f t="shared" si="38"/>
        <v>0</v>
      </c>
      <c r="O96" s="1026"/>
      <c r="P96" s="1026"/>
      <c r="Q96" s="1942">
        <f t="shared" si="39"/>
        <v>0</v>
      </c>
      <c r="R96" s="1942">
        <f t="shared" si="40"/>
        <v>0</v>
      </c>
      <c r="S96" s="1942">
        <f t="shared" si="41"/>
        <v>0</v>
      </c>
      <c r="T96" s="1942">
        <f t="shared" si="42"/>
        <v>0</v>
      </c>
      <c r="U96" s="1942">
        <f t="shared" si="43"/>
        <v>0</v>
      </c>
      <c r="V96" s="3035">
        <f t="shared" si="44"/>
        <v>0</v>
      </c>
      <c r="W96" s="1942"/>
      <c r="X96" s="193"/>
      <c r="Y96" s="193"/>
      <c r="Z96" s="193"/>
      <c r="AA96" s="193"/>
      <c r="AB96" s="193"/>
      <c r="AC96" s="193"/>
      <c r="AD96" s="193"/>
      <c r="AE96" s="193"/>
      <c r="AF96" s="193"/>
      <c r="AG96" s="193"/>
      <c r="AH96" s="193"/>
      <c r="AI96" s="193"/>
      <c r="AJ96" s="193"/>
      <c r="AK96" s="193"/>
      <c r="AL96" s="193"/>
      <c r="AM96" s="193"/>
      <c r="AN96" s="193"/>
      <c r="AO96" s="193"/>
      <c r="AP96" s="193"/>
      <c r="AQ96" s="193"/>
      <c r="AR96" s="193"/>
      <c r="AS96" s="193"/>
      <c r="AT96" s="193"/>
      <c r="AU96" s="193"/>
      <c r="AV96" s="193"/>
      <c r="AW96" s="193"/>
      <c r="AX96" s="193"/>
      <c r="AY96" s="193"/>
      <c r="AZ96" s="193"/>
      <c r="BA96" s="193"/>
      <c r="BB96" s="193"/>
      <c r="BC96" s="193"/>
      <c r="BD96" s="193"/>
      <c r="BE96" s="193"/>
      <c r="BF96" s="193"/>
      <c r="BG96" s="193"/>
      <c r="BH96" s="193"/>
      <c r="BI96" s="193"/>
      <c r="BJ96" s="193"/>
      <c r="BK96" s="193"/>
      <c r="BL96" s="193"/>
      <c r="BM96" s="193"/>
      <c r="BN96" s="193"/>
      <c r="BO96" s="193"/>
      <c r="BP96" s="193"/>
      <c r="BQ96" s="193"/>
      <c r="BR96" s="193"/>
      <c r="BS96" s="193"/>
      <c r="BT96" s="193"/>
      <c r="BU96" s="193"/>
      <c r="BV96" s="193"/>
      <c r="BW96" s="193"/>
      <c r="BX96" s="193"/>
      <c r="BY96" s="193"/>
      <c r="BZ96" s="193"/>
      <c r="CA96" s="193"/>
      <c r="CB96" s="193"/>
      <c r="CC96" s="193"/>
      <c r="CD96" s="193"/>
      <c r="CE96" s="193"/>
      <c r="CF96" s="193"/>
      <c r="CG96" s="193"/>
      <c r="CH96" s="193"/>
      <c r="CI96" s="193"/>
      <c r="CJ96" s="193"/>
      <c r="CK96" s="193"/>
      <c r="CL96" s="193"/>
      <c r="CM96" s="193"/>
      <c r="CN96" s="193"/>
      <c r="CO96" s="193"/>
      <c r="CP96" s="193"/>
      <c r="CQ96" s="193"/>
      <c r="CR96" s="193"/>
      <c r="CS96" s="193"/>
      <c r="CT96" s="193"/>
      <c r="CU96" s="193"/>
      <c r="CV96" s="193"/>
      <c r="CW96" s="193"/>
      <c r="CX96" s="193"/>
      <c r="CY96" s="193"/>
      <c r="CZ96" s="193"/>
      <c r="DA96" s="193"/>
      <c r="DB96" s="193"/>
      <c r="DC96" s="193"/>
      <c r="DD96" s="193"/>
      <c r="DE96" s="193"/>
      <c r="DF96" s="193"/>
      <c r="DG96" s="193"/>
      <c r="DH96" s="193"/>
      <c r="DI96" s="193"/>
      <c r="DJ96" s="193"/>
      <c r="DK96" s="193"/>
      <c r="DL96" s="193"/>
      <c r="DM96" s="193"/>
      <c r="DN96" s="193"/>
      <c r="DO96" s="193"/>
      <c r="DP96" s="193"/>
      <c r="DQ96" s="193"/>
      <c r="DR96" s="193"/>
      <c r="DS96" s="193"/>
      <c r="DT96" s="193"/>
      <c r="DU96" s="193"/>
      <c r="DV96" s="193"/>
      <c r="DW96" s="193"/>
      <c r="DX96" s="193"/>
      <c r="DY96" s="193"/>
      <c r="DZ96" s="193"/>
      <c r="EA96" s="193"/>
      <c r="EB96" s="193"/>
      <c r="EC96" s="193"/>
      <c r="ED96" s="193"/>
      <c r="EE96" s="193"/>
      <c r="EF96" s="193"/>
      <c r="EG96" s="193"/>
      <c r="EH96" s="193"/>
      <c r="EI96" s="193"/>
      <c r="EJ96" s="193"/>
      <c r="EK96" s="193"/>
      <c r="EL96" s="193"/>
      <c r="EM96" s="193"/>
      <c r="EN96" s="193"/>
      <c r="EO96" s="193"/>
      <c r="EP96" s="193"/>
      <c r="EQ96" s="193"/>
      <c r="ER96" s="193"/>
      <c r="ES96" s="193"/>
      <c r="ET96" s="193"/>
      <c r="EU96" s="193"/>
      <c r="EV96" s="193"/>
      <c r="EW96" s="193"/>
      <c r="EX96" s="193"/>
      <c r="EY96" s="193"/>
      <c r="EZ96" s="193"/>
      <c r="FA96" s="193"/>
      <c r="FB96" s="193"/>
      <c r="FC96" s="193"/>
      <c r="FD96" s="193"/>
      <c r="FE96" s="193"/>
      <c r="FF96" s="193"/>
      <c r="FG96" s="193"/>
      <c r="FH96" s="193"/>
      <c r="FI96" s="193"/>
      <c r="FJ96" s="193"/>
      <c r="FK96" s="193"/>
      <c r="FL96" s="193"/>
      <c r="FM96" s="193"/>
      <c r="FN96" s="193"/>
      <c r="FO96" s="193"/>
      <c r="FP96" s="193"/>
      <c r="FQ96" s="193"/>
      <c r="FR96" s="193"/>
      <c r="FS96" s="193"/>
      <c r="FT96" s="193"/>
      <c r="FU96" s="193"/>
      <c r="FV96" s="193"/>
      <c r="FW96" s="193"/>
      <c r="FX96" s="193"/>
      <c r="FY96" s="193"/>
      <c r="FZ96" s="193"/>
      <c r="GA96" s="193"/>
      <c r="GB96" s="193"/>
      <c r="GC96" s="193"/>
      <c r="GD96" s="193"/>
      <c r="GE96" s="193"/>
      <c r="GF96" s="193"/>
      <c r="GG96" s="193"/>
      <c r="GH96" s="193"/>
      <c r="GI96" s="193"/>
      <c r="GJ96" s="193"/>
      <c r="GK96" s="193"/>
      <c r="GL96" s="193"/>
      <c r="GM96" s="193"/>
      <c r="GN96" s="193"/>
      <c r="GO96" s="193"/>
      <c r="GP96" s="193"/>
      <c r="GQ96" s="193"/>
      <c r="GR96" s="193"/>
      <c r="GS96" s="193"/>
      <c r="GT96" s="193"/>
      <c r="GU96" s="193"/>
      <c r="GV96" s="193"/>
      <c r="GW96" s="193"/>
      <c r="GX96" s="193"/>
      <c r="GY96" s="193"/>
      <c r="GZ96" s="193"/>
      <c r="HA96" s="193"/>
      <c r="HB96" s="193"/>
      <c r="HC96" s="193"/>
      <c r="HD96" s="193"/>
      <c r="HE96" s="193"/>
      <c r="HF96" s="193"/>
      <c r="HG96" s="193"/>
      <c r="HH96" s="193"/>
      <c r="HI96" s="193"/>
      <c r="HJ96" s="193"/>
      <c r="HK96" s="193"/>
      <c r="HL96" s="193"/>
      <c r="HM96" s="193"/>
      <c r="HN96" s="193"/>
      <c r="HO96" s="193"/>
      <c r="HP96" s="193"/>
      <c r="HQ96" s="193"/>
      <c r="HR96" s="193"/>
      <c r="HS96" s="193"/>
      <c r="HT96" s="193"/>
      <c r="HU96" s="193"/>
      <c r="HV96" s="193"/>
      <c r="HW96" s="193"/>
      <c r="HX96" s="193"/>
      <c r="HY96" s="193"/>
      <c r="HZ96" s="193"/>
      <c r="IA96" s="193"/>
      <c r="IB96" s="193"/>
      <c r="IC96" s="193"/>
      <c r="ID96" s="193"/>
      <c r="IE96" s="193"/>
      <c r="IF96" s="193"/>
      <c r="IG96" s="193"/>
      <c r="IH96" s="193"/>
      <c r="II96" s="193"/>
      <c r="IJ96" s="193"/>
      <c r="IK96" s="193"/>
      <c r="IL96" s="193"/>
      <c r="IM96" s="193"/>
      <c r="IN96" s="193"/>
      <c r="IO96" s="193"/>
      <c r="IP96" s="193"/>
      <c r="IQ96" s="193"/>
    </row>
    <row r="97" spans="1:251" hidden="1">
      <c r="A97" s="1026"/>
      <c r="B97" s="1955"/>
      <c r="C97" s="1955"/>
      <c r="D97" s="2034"/>
      <c r="E97" s="1955"/>
      <c r="F97" s="1942">
        <f t="shared" si="33"/>
        <v>0</v>
      </c>
      <c r="G97" s="1026"/>
      <c r="H97" s="1942">
        <f t="shared" si="34"/>
        <v>0</v>
      </c>
      <c r="I97" s="1026"/>
      <c r="J97" s="1942">
        <f t="shared" si="35"/>
        <v>0</v>
      </c>
      <c r="K97" s="1026"/>
      <c r="L97" s="1942">
        <f t="shared" si="36"/>
        <v>0</v>
      </c>
      <c r="M97" s="1942">
        <f t="shared" si="37"/>
        <v>0</v>
      </c>
      <c r="N97" s="1942">
        <f t="shared" si="38"/>
        <v>0</v>
      </c>
      <c r="O97" s="1026"/>
      <c r="P97" s="1026"/>
      <c r="Q97" s="1942">
        <f t="shared" si="39"/>
        <v>0</v>
      </c>
      <c r="R97" s="1942">
        <f t="shared" si="40"/>
        <v>0</v>
      </c>
      <c r="S97" s="1942">
        <f t="shared" si="41"/>
        <v>0</v>
      </c>
      <c r="T97" s="1942">
        <f t="shared" si="42"/>
        <v>0</v>
      </c>
      <c r="U97" s="1942">
        <f t="shared" si="43"/>
        <v>0</v>
      </c>
      <c r="V97" s="3035">
        <f t="shared" si="44"/>
        <v>0</v>
      </c>
      <c r="W97" s="1942"/>
      <c r="X97" s="193"/>
      <c r="Y97" s="193"/>
      <c r="Z97" s="193"/>
      <c r="AA97" s="193"/>
      <c r="AB97" s="193"/>
      <c r="AC97" s="193"/>
      <c r="AD97" s="193"/>
      <c r="AE97" s="193"/>
      <c r="AF97" s="193"/>
      <c r="AG97" s="193"/>
      <c r="AH97" s="193"/>
      <c r="AI97" s="193"/>
      <c r="AJ97" s="193"/>
      <c r="AK97" s="193"/>
      <c r="AL97" s="193"/>
      <c r="AM97" s="193"/>
      <c r="AN97" s="193"/>
      <c r="AO97" s="193"/>
      <c r="AP97" s="193"/>
      <c r="AQ97" s="193"/>
      <c r="AR97" s="193"/>
      <c r="AS97" s="193"/>
      <c r="AT97" s="193"/>
      <c r="AU97" s="193"/>
      <c r="AV97" s="193"/>
      <c r="AW97" s="193"/>
      <c r="AX97" s="193"/>
      <c r="AY97" s="193"/>
      <c r="AZ97" s="193"/>
      <c r="BA97" s="193"/>
      <c r="BB97" s="193"/>
      <c r="BC97" s="193"/>
      <c r="BD97" s="193"/>
      <c r="BE97" s="193"/>
      <c r="BF97" s="193"/>
      <c r="BG97" s="193"/>
      <c r="BH97" s="193"/>
      <c r="BI97" s="193"/>
      <c r="BJ97" s="193"/>
      <c r="BK97" s="193"/>
      <c r="BL97" s="193"/>
      <c r="BM97" s="193"/>
      <c r="BN97" s="193"/>
      <c r="BO97" s="193"/>
      <c r="BP97" s="193"/>
      <c r="BQ97" s="193"/>
      <c r="BR97" s="193"/>
      <c r="BS97" s="193"/>
      <c r="BT97" s="193"/>
      <c r="BU97" s="193"/>
      <c r="BV97" s="193"/>
      <c r="BW97" s="193"/>
      <c r="BX97" s="193"/>
      <c r="BY97" s="193"/>
      <c r="BZ97" s="193"/>
      <c r="CA97" s="193"/>
      <c r="CB97" s="193"/>
      <c r="CC97" s="193"/>
      <c r="CD97" s="193"/>
      <c r="CE97" s="193"/>
      <c r="CF97" s="193"/>
      <c r="CG97" s="193"/>
      <c r="CH97" s="193"/>
      <c r="CI97" s="193"/>
      <c r="CJ97" s="193"/>
      <c r="CK97" s="193"/>
      <c r="CL97" s="193"/>
      <c r="CM97" s="193"/>
      <c r="CN97" s="193"/>
      <c r="CO97" s="193"/>
      <c r="CP97" s="193"/>
      <c r="CQ97" s="193"/>
      <c r="CR97" s="193"/>
      <c r="CS97" s="193"/>
      <c r="CT97" s="193"/>
      <c r="CU97" s="193"/>
      <c r="CV97" s="193"/>
      <c r="CW97" s="193"/>
      <c r="CX97" s="193"/>
      <c r="CY97" s="193"/>
      <c r="CZ97" s="193"/>
      <c r="DA97" s="193"/>
      <c r="DB97" s="193"/>
      <c r="DC97" s="193"/>
      <c r="DD97" s="193"/>
      <c r="DE97" s="193"/>
      <c r="DF97" s="193"/>
      <c r="DG97" s="193"/>
      <c r="DH97" s="193"/>
      <c r="DI97" s="193"/>
      <c r="DJ97" s="193"/>
      <c r="DK97" s="193"/>
      <c r="DL97" s="193"/>
      <c r="DM97" s="193"/>
      <c r="DN97" s="193"/>
      <c r="DO97" s="193"/>
      <c r="DP97" s="193"/>
      <c r="DQ97" s="193"/>
      <c r="DR97" s="193"/>
      <c r="DS97" s="193"/>
      <c r="DT97" s="193"/>
      <c r="DU97" s="193"/>
      <c r="DV97" s="193"/>
      <c r="DW97" s="193"/>
      <c r="DX97" s="193"/>
      <c r="DY97" s="193"/>
      <c r="DZ97" s="193"/>
      <c r="EA97" s="193"/>
      <c r="EB97" s="193"/>
      <c r="EC97" s="193"/>
      <c r="ED97" s="193"/>
      <c r="EE97" s="193"/>
      <c r="EF97" s="193"/>
      <c r="EG97" s="193"/>
      <c r="EH97" s="193"/>
      <c r="EI97" s="193"/>
      <c r="EJ97" s="193"/>
      <c r="EK97" s="193"/>
      <c r="EL97" s="193"/>
      <c r="EM97" s="193"/>
      <c r="EN97" s="193"/>
      <c r="EO97" s="193"/>
      <c r="EP97" s="193"/>
      <c r="EQ97" s="193"/>
      <c r="ER97" s="193"/>
      <c r="ES97" s="193"/>
      <c r="ET97" s="193"/>
      <c r="EU97" s="193"/>
      <c r="EV97" s="193"/>
      <c r="EW97" s="193"/>
      <c r="EX97" s="193"/>
      <c r="EY97" s="193"/>
      <c r="EZ97" s="193"/>
      <c r="FA97" s="193"/>
      <c r="FB97" s="193"/>
      <c r="FC97" s="193"/>
      <c r="FD97" s="193"/>
      <c r="FE97" s="193"/>
      <c r="FF97" s="193"/>
      <c r="FG97" s="193"/>
      <c r="FH97" s="193"/>
      <c r="FI97" s="193"/>
      <c r="FJ97" s="193"/>
      <c r="FK97" s="193"/>
      <c r="FL97" s="193"/>
      <c r="FM97" s="193"/>
      <c r="FN97" s="193"/>
      <c r="FO97" s="193"/>
      <c r="FP97" s="193"/>
      <c r="FQ97" s="193"/>
      <c r="FR97" s="193"/>
      <c r="FS97" s="193"/>
      <c r="FT97" s="193"/>
      <c r="FU97" s="193"/>
      <c r="FV97" s="193"/>
      <c r="FW97" s="193"/>
      <c r="FX97" s="193"/>
      <c r="FY97" s="193"/>
      <c r="FZ97" s="193"/>
      <c r="GA97" s="193"/>
      <c r="GB97" s="193"/>
      <c r="GC97" s="193"/>
      <c r="GD97" s="193"/>
      <c r="GE97" s="193"/>
      <c r="GF97" s="193"/>
      <c r="GG97" s="193"/>
      <c r="GH97" s="193"/>
      <c r="GI97" s="193"/>
      <c r="GJ97" s="193"/>
      <c r="GK97" s="193"/>
      <c r="GL97" s="193"/>
      <c r="GM97" s="193"/>
      <c r="GN97" s="193"/>
      <c r="GO97" s="193"/>
      <c r="GP97" s="193"/>
      <c r="GQ97" s="193"/>
      <c r="GR97" s="193"/>
      <c r="GS97" s="193"/>
      <c r="GT97" s="193"/>
      <c r="GU97" s="193"/>
      <c r="GV97" s="193"/>
      <c r="GW97" s="193"/>
      <c r="GX97" s="193"/>
      <c r="GY97" s="193"/>
      <c r="GZ97" s="193"/>
      <c r="HA97" s="193"/>
      <c r="HB97" s="193"/>
      <c r="HC97" s="193"/>
      <c r="HD97" s="193"/>
      <c r="HE97" s="193"/>
      <c r="HF97" s="193"/>
      <c r="HG97" s="193"/>
      <c r="HH97" s="193"/>
      <c r="HI97" s="193"/>
      <c r="HJ97" s="193"/>
      <c r="HK97" s="193"/>
      <c r="HL97" s="193"/>
      <c r="HM97" s="193"/>
      <c r="HN97" s="193"/>
      <c r="HO97" s="193"/>
      <c r="HP97" s="193"/>
      <c r="HQ97" s="193"/>
      <c r="HR97" s="193"/>
      <c r="HS97" s="193"/>
      <c r="HT97" s="193"/>
      <c r="HU97" s="193"/>
      <c r="HV97" s="193"/>
      <c r="HW97" s="193"/>
      <c r="HX97" s="193"/>
      <c r="HY97" s="193"/>
      <c r="HZ97" s="193"/>
      <c r="IA97" s="193"/>
      <c r="IB97" s="193"/>
      <c r="IC97" s="193"/>
      <c r="ID97" s="193"/>
      <c r="IE97" s="193"/>
      <c r="IF97" s="193"/>
      <c r="IG97" s="193"/>
      <c r="IH97" s="193"/>
      <c r="II97" s="193"/>
      <c r="IJ97" s="193"/>
      <c r="IK97" s="193"/>
      <c r="IL97" s="193"/>
      <c r="IM97" s="193"/>
      <c r="IN97" s="193"/>
      <c r="IO97" s="193"/>
      <c r="IP97" s="193"/>
      <c r="IQ97" s="193"/>
    </row>
    <row r="98" spans="1:251" hidden="1">
      <c r="A98" s="1026"/>
      <c r="B98" s="1955"/>
      <c r="C98" s="1955"/>
      <c r="D98" s="2034"/>
      <c r="E98" s="1955"/>
      <c r="F98" s="1942">
        <f t="shared" si="33"/>
        <v>0</v>
      </c>
      <c r="G98" s="1026"/>
      <c r="H98" s="1942">
        <f t="shared" si="34"/>
        <v>0</v>
      </c>
      <c r="I98" s="1026"/>
      <c r="J98" s="1942">
        <f t="shared" si="35"/>
        <v>0</v>
      </c>
      <c r="K98" s="1026"/>
      <c r="L98" s="1942">
        <f t="shared" si="36"/>
        <v>0</v>
      </c>
      <c r="M98" s="1942">
        <f t="shared" si="37"/>
        <v>0</v>
      </c>
      <c r="N98" s="1942">
        <f t="shared" si="38"/>
        <v>0</v>
      </c>
      <c r="O98" s="1026"/>
      <c r="P98" s="1026"/>
      <c r="Q98" s="1942">
        <f t="shared" si="39"/>
        <v>0</v>
      </c>
      <c r="R98" s="1942">
        <f t="shared" si="40"/>
        <v>0</v>
      </c>
      <c r="S98" s="1942">
        <f t="shared" si="41"/>
        <v>0</v>
      </c>
      <c r="T98" s="1942">
        <f t="shared" si="42"/>
        <v>0</v>
      </c>
      <c r="U98" s="1942">
        <f t="shared" si="43"/>
        <v>0</v>
      </c>
      <c r="V98" s="3035">
        <f t="shared" si="44"/>
        <v>0</v>
      </c>
      <c r="W98" s="1942"/>
      <c r="X98" s="193"/>
      <c r="Y98" s="193"/>
      <c r="Z98" s="193"/>
      <c r="AA98" s="193"/>
      <c r="AB98" s="193"/>
      <c r="AC98" s="193"/>
      <c r="AD98" s="193"/>
      <c r="AE98" s="193"/>
      <c r="AF98" s="193"/>
      <c r="AG98" s="193"/>
      <c r="AH98" s="193"/>
      <c r="AI98" s="193"/>
      <c r="AJ98" s="193"/>
      <c r="AK98" s="193"/>
      <c r="AL98" s="193"/>
      <c r="AM98" s="193"/>
      <c r="AN98" s="193"/>
      <c r="AO98" s="193"/>
      <c r="AP98" s="193"/>
      <c r="AQ98" s="193"/>
      <c r="AR98" s="193"/>
      <c r="AS98" s="193"/>
      <c r="AT98" s="193"/>
      <c r="AU98" s="193"/>
      <c r="AV98" s="193"/>
      <c r="AW98" s="193"/>
      <c r="AX98" s="193"/>
      <c r="AY98" s="193"/>
      <c r="AZ98" s="193"/>
      <c r="BA98" s="193"/>
      <c r="BB98" s="193"/>
      <c r="BC98" s="193"/>
      <c r="BD98" s="193"/>
      <c r="BE98" s="193"/>
      <c r="BF98" s="193"/>
      <c r="BG98" s="193"/>
      <c r="BH98" s="193"/>
      <c r="BI98" s="193"/>
      <c r="BJ98" s="193"/>
      <c r="BK98" s="193"/>
      <c r="BL98" s="193"/>
      <c r="BM98" s="193"/>
      <c r="BN98" s="193"/>
      <c r="BO98" s="193"/>
      <c r="BP98" s="193"/>
      <c r="BQ98" s="193"/>
      <c r="BR98" s="193"/>
      <c r="BS98" s="193"/>
      <c r="BT98" s="193"/>
      <c r="BU98" s="193"/>
      <c r="BV98" s="193"/>
      <c r="BW98" s="193"/>
      <c r="BX98" s="193"/>
      <c r="BY98" s="193"/>
      <c r="BZ98" s="193"/>
      <c r="CA98" s="193"/>
      <c r="CB98" s="193"/>
      <c r="CC98" s="193"/>
      <c r="CD98" s="193"/>
      <c r="CE98" s="193"/>
      <c r="CF98" s="193"/>
      <c r="CG98" s="193"/>
      <c r="CH98" s="193"/>
      <c r="CI98" s="193"/>
      <c r="CJ98" s="193"/>
      <c r="CK98" s="193"/>
      <c r="CL98" s="193"/>
      <c r="CM98" s="193"/>
      <c r="CN98" s="193"/>
      <c r="CO98" s="193"/>
      <c r="CP98" s="193"/>
      <c r="CQ98" s="193"/>
      <c r="CR98" s="193"/>
      <c r="CS98" s="193"/>
      <c r="CT98" s="193"/>
      <c r="CU98" s="193"/>
      <c r="CV98" s="193"/>
      <c r="CW98" s="193"/>
      <c r="CX98" s="193"/>
      <c r="CY98" s="193"/>
      <c r="CZ98" s="193"/>
      <c r="DA98" s="193"/>
      <c r="DB98" s="193"/>
      <c r="DC98" s="193"/>
      <c r="DD98" s="193"/>
      <c r="DE98" s="193"/>
      <c r="DF98" s="193"/>
      <c r="DG98" s="193"/>
      <c r="DH98" s="193"/>
      <c r="DI98" s="193"/>
      <c r="DJ98" s="193"/>
      <c r="DK98" s="193"/>
      <c r="DL98" s="193"/>
      <c r="DM98" s="193"/>
      <c r="DN98" s="193"/>
      <c r="DO98" s="193"/>
      <c r="DP98" s="193"/>
      <c r="DQ98" s="193"/>
      <c r="DR98" s="193"/>
      <c r="DS98" s="193"/>
      <c r="DT98" s="193"/>
      <c r="DU98" s="193"/>
      <c r="DV98" s="193"/>
      <c r="DW98" s="193"/>
      <c r="DX98" s="193"/>
      <c r="DY98" s="193"/>
      <c r="DZ98" s="193"/>
      <c r="EA98" s="193"/>
      <c r="EB98" s="193"/>
      <c r="EC98" s="193"/>
      <c r="ED98" s="193"/>
      <c r="EE98" s="193"/>
      <c r="EF98" s="193"/>
      <c r="EG98" s="193"/>
      <c r="EH98" s="193"/>
      <c r="EI98" s="193"/>
      <c r="EJ98" s="193"/>
      <c r="EK98" s="193"/>
      <c r="EL98" s="193"/>
      <c r="EM98" s="193"/>
      <c r="EN98" s="193"/>
      <c r="EO98" s="193"/>
      <c r="EP98" s="193"/>
      <c r="EQ98" s="193"/>
      <c r="ER98" s="193"/>
      <c r="ES98" s="193"/>
      <c r="ET98" s="193"/>
      <c r="EU98" s="193"/>
      <c r="EV98" s="193"/>
      <c r="EW98" s="193"/>
      <c r="EX98" s="193"/>
      <c r="EY98" s="193"/>
      <c r="EZ98" s="193"/>
      <c r="FA98" s="193"/>
      <c r="FB98" s="193"/>
      <c r="FC98" s="193"/>
      <c r="FD98" s="193"/>
      <c r="FE98" s="193"/>
      <c r="FF98" s="193"/>
      <c r="FG98" s="193"/>
      <c r="FH98" s="193"/>
      <c r="FI98" s="193"/>
      <c r="FJ98" s="193"/>
      <c r="FK98" s="193"/>
      <c r="FL98" s="193"/>
      <c r="FM98" s="193"/>
      <c r="FN98" s="193"/>
      <c r="FO98" s="193"/>
      <c r="FP98" s="193"/>
      <c r="FQ98" s="193"/>
      <c r="FR98" s="193"/>
      <c r="FS98" s="193"/>
      <c r="FT98" s="193"/>
      <c r="FU98" s="193"/>
      <c r="FV98" s="193"/>
      <c r="FW98" s="193"/>
      <c r="FX98" s="193"/>
      <c r="FY98" s="193"/>
      <c r="FZ98" s="193"/>
      <c r="GA98" s="193"/>
      <c r="GB98" s="193"/>
      <c r="GC98" s="193"/>
      <c r="GD98" s="193"/>
      <c r="GE98" s="193"/>
      <c r="GF98" s="193"/>
      <c r="GG98" s="193"/>
      <c r="GH98" s="193"/>
      <c r="GI98" s="193"/>
      <c r="GJ98" s="193"/>
      <c r="GK98" s="193"/>
      <c r="GL98" s="193"/>
      <c r="GM98" s="193"/>
      <c r="GN98" s="193"/>
      <c r="GO98" s="193"/>
      <c r="GP98" s="193"/>
      <c r="GQ98" s="193"/>
      <c r="GR98" s="193"/>
      <c r="GS98" s="193"/>
      <c r="GT98" s="193"/>
      <c r="GU98" s="193"/>
      <c r="GV98" s="193"/>
      <c r="GW98" s="193"/>
      <c r="GX98" s="193"/>
      <c r="GY98" s="193"/>
      <c r="GZ98" s="193"/>
      <c r="HA98" s="193"/>
      <c r="HB98" s="193"/>
      <c r="HC98" s="193"/>
      <c r="HD98" s="193"/>
      <c r="HE98" s="193"/>
      <c r="HF98" s="193"/>
      <c r="HG98" s="193"/>
      <c r="HH98" s="193"/>
      <c r="HI98" s="193"/>
      <c r="HJ98" s="193"/>
      <c r="HK98" s="193"/>
      <c r="HL98" s="193"/>
      <c r="HM98" s="193"/>
      <c r="HN98" s="193"/>
      <c r="HO98" s="193"/>
      <c r="HP98" s="193"/>
      <c r="HQ98" s="193"/>
      <c r="HR98" s="193"/>
      <c r="HS98" s="193"/>
      <c r="HT98" s="193"/>
      <c r="HU98" s="193"/>
      <c r="HV98" s="193"/>
      <c r="HW98" s="193"/>
      <c r="HX98" s="193"/>
      <c r="HY98" s="193"/>
      <c r="HZ98" s="193"/>
      <c r="IA98" s="193"/>
      <c r="IB98" s="193"/>
      <c r="IC98" s="193"/>
      <c r="ID98" s="193"/>
      <c r="IE98" s="193"/>
      <c r="IF98" s="193"/>
      <c r="IG98" s="193"/>
      <c r="IH98" s="193"/>
      <c r="II98" s="193"/>
      <c r="IJ98" s="193"/>
      <c r="IK98" s="193"/>
      <c r="IL98" s="193"/>
      <c r="IM98" s="193"/>
      <c r="IN98" s="193"/>
      <c r="IO98" s="193"/>
      <c r="IP98" s="193"/>
      <c r="IQ98" s="193"/>
    </row>
    <row r="99" spans="1:251" hidden="1">
      <c r="A99" s="1026"/>
      <c r="B99" s="1955"/>
      <c r="C99" s="1955"/>
      <c r="D99" s="2034"/>
      <c r="E99" s="1955"/>
      <c r="F99" s="1942">
        <f t="shared" si="33"/>
        <v>0</v>
      </c>
      <c r="G99" s="1026"/>
      <c r="H99" s="1942">
        <f t="shared" si="34"/>
        <v>0</v>
      </c>
      <c r="I99" s="1026"/>
      <c r="J99" s="1942">
        <f t="shared" si="35"/>
        <v>0</v>
      </c>
      <c r="K99" s="1026"/>
      <c r="L99" s="1942">
        <f t="shared" si="36"/>
        <v>0</v>
      </c>
      <c r="M99" s="1942">
        <f t="shared" si="37"/>
        <v>0</v>
      </c>
      <c r="N99" s="1942">
        <f t="shared" si="38"/>
        <v>0</v>
      </c>
      <c r="O99" s="1026"/>
      <c r="P99" s="1026"/>
      <c r="Q99" s="1942">
        <f t="shared" si="39"/>
        <v>0</v>
      </c>
      <c r="R99" s="1942">
        <f t="shared" si="40"/>
        <v>0</v>
      </c>
      <c r="S99" s="1942">
        <f t="shared" si="41"/>
        <v>0</v>
      </c>
      <c r="T99" s="1942">
        <f t="shared" si="42"/>
        <v>0</v>
      </c>
      <c r="U99" s="1942">
        <f t="shared" si="43"/>
        <v>0</v>
      </c>
      <c r="V99" s="3035">
        <f t="shared" si="44"/>
        <v>0</v>
      </c>
      <c r="W99" s="1942"/>
      <c r="X99" s="193"/>
      <c r="Y99" s="193"/>
      <c r="Z99" s="193"/>
      <c r="AA99" s="193"/>
      <c r="AB99" s="193"/>
      <c r="AC99" s="193"/>
      <c r="AD99" s="193"/>
      <c r="AE99" s="193"/>
      <c r="AF99" s="193"/>
      <c r="AG99" s="193"/>
      <c r="AH99" s="193"/>
      <c r="AI99" s="193"/>
      <c r="AJ99" s="193"/>
      <c r="AK99" s="193"/>
      <c r="AL99" s="193"/>
      <c r="AM99" s="193"/>
      <c r="AN99" s="193"/>
      <c r="AO99" s="193"/>
      <c r="AP99" s="193"/>
      <c r="AQ99" s="193"/>
      <c r="AR99" s="193"/>
      <c r="AS99" s="193"/>
      <c r="AT99" s="193"/>
      <c r="AU99" s="193"/>
      <c r="AV99" s="193"/>
      <c r="AW99" s="193"/>
      <c r="AX99" s="193"/>
      <c r="AY99" s="193"/>
      <c r="AZ99" s="193"/>
      <c r="BA99" s="193"/>
      <c r="BB99" s="193"/>
      <c r="BC99" s="193"/>
      <c r="BD99" s="193"/>
      <c r="BE99" s="193"/>
      <c r="BF99" s="193"/>
      <c r="BG99" s="193"/>
      <c r="BH99" s="193"/>
      <c r="BI99" s="193"/>
      <c r="BJ99" s="193"/>
      <c r="BK99" s="193"/>
      <c r="BL99" s="193"/>
      <c r="BM99" s="193"/>
      <c r="BN99" s="193"/>
      <c r="BO99" s="193"/>
      <c r="BP99" s="193"/>
      <c r="BQ99" s="193"/>
      <c r="BR99" s="193"/>
      <c r="BS99" s="193"/>
      <c r="BT99" s="193"/>
      <c r="BU99" s="193"/>
      <c r="BV99" s="193"/>
      <c r="BW99" s="193"/>
      <c r="BX99" s="193"/>
      <c r="BY99" s="193"/>
      <c r="BZ99" s="193"/>
      <c r="CA99" s="193"/>
      <c r="CB99" s="193"/>
      <c r="CC99" s="193"/>
      <c r="CD99" s="193"/>
      <c r="CE99" s="193"/>
      <c r="CF99" s="193"/>
      <c r="CG99" s="193"/>
      <c r="CH99" s="193"/>
      <c r="CI99" s="193"/>
      <c r="CJ99" s="193"/>
      <c r="CK99" s="193"/>
      <c r="CL99" s="193"/>
      <c r="CM99" s="193"/>
      <c r="CN99" s="193"/>
      <c r="CO99" s="193"/>
      <c r="CP99" s="193"/>
      <c r="CQ99" s="193"/>
      <c r="CR99" s="193"/>
      <c r="CS99" s="193"/>
      <c r="CT99" s="193"/>
      <c r="CU99" s="193"/>
      <c r="CV99" s="193"/>
      <c r="CW99" s="193"/>
      <c r="CX99" s="193"/>
      <c r="CY99" s="193"/>
      <c r="CZ99" s="193"/>
      <c r="DA99" s="193"/>
      <c r="DB99" s="193"/>
      <c r="DC99" s="193"/>
      <c r="DD99" s="193"/>
      <c r="DE99" s="193"/>
      <c r="DF99" s="193"/>
      <c r="DG99" s="193"/>
      <c r="DH99" s="193"/>
      <c r="DI99" s="193"/>
      <c r="DJ99" s="193"/>
      <c r="DK99" s="193"/>
      <c r="DL99" s="193"/>
      <c r="DM99" s="193"/>
      <c r="DN99" s="193"/>
      <c r="DO99" s="193"/>
      <c r="DP99" s="193"/>
      <c r="DQ99" s="193"/>
      <c r="DR99" s="193"/>
      <c r="DS99" s="193"/>
      <c r="DT99" s="193"/>
      <c r="DU99" s="193"/>
      <c r="DV99" s="193"/>
      <c r="DW99" s="193"/>
      <c r="DX99" s="193"/>
      <c r="DY99" s="193"/>
      <c r="DZ99" s="193"/>
      <c r="EA99" s="193"/>
      <c r="EB99" s="193"/>
      <c r="EC99" s="193"/>
      <c r="ED99" s="193"/>
      <c r="EE99" s="193"/>
      <c r="EF99" s="193"/>
      <c r="EG99" s="193"/>
      <c r="EH99" s="193"/>
      <c r="EI99" s="193"/>
      <c r="EJ99" s="193"/>
      <c r="EK99" s="193"/>
      <c r="EL99" s="193"/>
      <c r="EM99" s="193"/>
      <c r="EN99" s="193"/>
      <c r="EO99" s="193"/>
      <c r="EP99" s="193"/>
      <c r="EQ99" s="193"/>
      <c r="ER99" s="193"/>
      <c r="ES99" s="193"/>
      <c r="ET99" s="193"/>
      <c r="EU99" s="193"/>
      <c r="EV99" s="193"/>
      <c r="EW99" s="193"/>
      <c r="EX99" s="193"/>
      <c r="EY99" s="193"/>
      <c r="EZ99" s="193"/>
      <c r="FA99" s="193"/>
      <c r="FB99" s="193"/>
      <c r="FC99" s="193"/>
      <c r="FD99" s="193"/>
      <c r="FE99" s="193"/>
      <c r="FF99" s="193"/>
      <c r="FG99" s="193"/>
      <c r="FH99" s="193"/>
      <c r="FI99" s="193"/>
      <c r="FJ99" s="193"/>
      <c r="FK99" s="193"/>
      <c r="FL99" s="193"/>
      <c r="FM99" s="193"/>
      <c r="FN99" s="193"/>
      <c r="FO99" s="193"/>
      <c r="FP99" s="193"/>
      <c r="FQ99" s="193"/>
      <c r="FR99" s="193"/>
      <c r="FS99" s="193"/>
      <c r="FT99" s="193"/>
      <c r="FU99" s="193"/>
      <c r="FV99" s="193"/>
      <c r="FW99" s="193"/>
      <c r="FX99" s="193"/>
      <c r="FY99" s="193"/>
      <c r="FZ99" s="193"/>
      <c r="GA99" s="193"/>
      <c r="GB99" s="193"/>
      <c r="GC99" s="193"/>
      <c r="GD99" s="193"/>
      <c r="GE99" s="193"/>
      <c r="GF99" s="193"/>
      <c r="GG99" s="193"/>
      <c r="GH99" s="193"/>
      <c r="GI99" s="193"/>
      <c r="GJ99" s="193"/>
      <c r="GK99" s="193"/>
      <c r="GL99" s="193"/>
      <c r="GM99" s="193"/>
      <c r="GN99" s="193"/>
      <c r="GO99" s="193"/>
      <c r="GP99" s="193"/>
      <c r="GQ99" s="193"/>
      <c r="GR99" s="193"/>
      <c r="GS99" s="193"/>
      <c r="GT99" s="193"/>
      <c r="GU99" s="193"/>
      <c r="GV99" s="193"/>
      <c r="GW99" s="193"/>
      <c r="GX99" s="193"/>
      <c r="GY99" s="193"/>
      <c r="GZ99" s="193"/>
      <c r="HA99" s="193"/>
      <c r="HB99" s="193"/>
      <c r="HC99" s="193"/>
      <c r="HD99" s="193"/>
      <c r="HE99" s="193"/>
      <c r="HF99" s="193"/>
      <c r="HG99" s="193"/>
      <c r="HH99" s="193"/>
      <c r="HI99" s="193"/>
      <c r="HJ99" s="193"/>
      <c r="HK99" s="193"/>
      <c r="HL99" s="193"/>
      <c r="HM99" s="193"/>
      <c r="HN99" s="193"/>
      <c r="HO99" s="193"/>
      <c r="HP99" s="193"/>
      <c r="HQ99" s="193"/>
      <c r="HR99" s="193"/>
      <c r="HS99" s="193"/>
      <c r="HT99" s="193"/>
      <c r="HU99" s="193"/>
      <c r="HV99" s="193"/>
      <c r="HW99" s="193"/>
      <c r="HX99" s="193"/>
      <c r="HY99" s="193"/>
      <c r="HZ99" s="193"/>
      <c r="IA99" s="193"/>
      <c r="IB99" s="193"/>
      <c r="IC99" s="193"/>
      <c r="ID99" s="193"/>
      <c r="IE99" s="193"/>
      <c r="IF99" s="193"/>
      <c r="IG99" s="193"/>
      <c r="IH99" s="193"/>
      <c r="II99" s="193"/>
      <c r="IJ99" s="193"/>
      <c r="IK99" s="193"/>
      <c r="IL99" s="193"/>
      <c r="IM99" s="193"/>
      <c r="IN99" s="193"/>
      <c r="IO99" s="193"/>
      <c r="IP99" s="193"/>
      <c r="IQ99" s="193"/>
    </row>
    <row r="100" spans="1:251" hidden="1">
      <c r="A100" s="1026"/>
      <c r="B100" s="1955"/>
      <c r="C100" s="1955"/>
      <c r="D100" s="2034"/>
      <c r="E100" s="1955"/>
      <c r="F100" s="1942">
        <f t="shared" si="33"/>
        <v>0</v>
      </c>
      <c r="G100" s="1026"/>
      <c r="H100" s="1942">
        <f t="shared" si="34"/>
        <v>0</v>
      </c>
      <c r="I100" s="1026"/>
      <c r="J100" s="1942">
        <f t="shared" si="35"/>
        <v>0</v>
      </c>
      <c r="K100" s="1026"/>
      <c r="L100" s="1942">
        <f t="shared" si="36"/>
        <v>0</v>
      </c>
      <c r="M100" s="1942">
        <f t="shared" si="37"/>
        <v>0</v>
      </c>
      <c r="N100" s="1942">
        <f t="shared" si="38"/>
        <v>0</v>
      </c>
      <c r="O100" s="1026"/>
      <c r="P100" s="1026"/>
      <c r="Q100" s="1942">
        <f t="shared" si="39"/>
        <v>0</v>
      </c>
      <c r="R100" s="1942">
        <f t="shared" si="40"/>
        <v>0</v>
      </c>
      <c r="S100" s="1942">
        <f t="shared" si="41"/>
        <v>0</v>
      </c>
      <c r="T100" s="1942">
        <f t="shared" si="42"/>
        <v>0</v>
      </c>
      <c r="U100" s="1942">
        <f t="shared" si="43"/>
        <v>0</v>
      </c>
      <c r="V100" s="3035">
        <f t="shared" si="44"/>
        <v>0</v>
      </c>
      <c r="W100" s="1942"/>
      <c r="X100" s="193"/>
      <c r="Y100" s="193"/>
      <c r="Z100" s="193"/>
      <c r="AA100" s="193"/>
      <c r="AB100" s="193"/>
      <c r="AC100" s="193"/>
      <c r="AD100" s="193"/>
      <c r="AE100" s="193"/>
      <c r="AF100" s="193"/>
      <c r="AG100" s="193"/>
      <c r="AH100" s="193"/>
      <c r="AI100" s="193"/>
      <c r="AJ100" s="193"/>
      <c r="AK100" s="193"/>
      <c r="AL100" s="193"/>
      <c r="AM100" s="193"/>
      <c r="AN100" s="193"/>
      <c r="AO100" s="193"/>
      <c r="AP100" s="193"/>
      <c r="AQ100" s="193"/>
      <c r="AR100" s="193"/>
      <c r="AS100" s="193"/>
      <c r="AT100" s="193"/>
      <c r="AU100" s="193"/>
      <c r="AV100" s="193"/>
      <c r="AW100" s="193"/>
      <c r="AX100" s="193"/>
      <c r="AY100" s="193"/>
      <c r="AZ100" s="193"/>
      <c r="BA100" s="193"/>
      <c r="BB100" s="193"/>
      <c r="BC100" s="193"/>
      <c r="BD100" s="193"/>
      <c r="BE100" s="193"/>
      <c r="BF100" s="193"/>
      <c r="BG100" s="193"/>
      <c r="BH100" s="193"/>
      <c r="BI100" s="193"/>
      <c r="BJ100" s="193"/>
      <c r="BK100" s="193"/>
      <c r="BL100" s="193"/>
      <c r="BM100" s="193"/>
      <c r="BN100" s="193"/>
      <c r="BO100" s="193"/>
      <c r="BP100" s="193"/>
      <c r="BQ100" s="193"/>
      <c r="BR100" s="193"/>
      <c r="BS100" s="193"/>
      <c r="BT100" s="193"/>
      <c r="BU100" s="193"/>
      <c r="BV100" s="193"/>
      <c r="BW100" s="193"/>
      <c r="BX100" s="193"/>
      <c r="BY100" s="193"/>
      <c r="BZ100" s="193"/>
      <c r="CA100" s="193"/>
      <c r="CB100" s="193"/>
      <c r="CC100" s="193"/>
      <c r="CD100" s="193"/>
      <c r="CE100" s="193"/>
      <c r="CF100" s="193"/>
      <c r="CG100" s="193"/>
      <c r="CH100" s="193"/>
      <c r="CI100" s="193"/>
      <c r="CJ100" s="193"/>
      <c r="CK100" s="193"/>
      <c r="CL100" s="193"/>
      <c r="CM100" s="193"/>
      <c r="CN100" s="193"/>
      <c r="CO100" s="193"/>
      <c r="CP100" s="193"/>
      <c r="CQ100" s="193"/>
      <c r="CR100" s="193"/>
      <c r="CS100" s="193"/>
      <c r="CT100" s="193"/>
      <c r="CU100" s="193"/>
      <c r="CV100" s="193"/>
      <c r="CW100" s="193"/>
      <c r="CX100" s="193"/>
      <c r="CY100" s="193"/>
      <c r="CZ100" s="193"/>
      <c r="DA100" s="193"/>
      <c r="DB100" s="193"/>
      <c r="DC100" s="193"/>
      <c r="DD100" s="193"/>
      <c r="DE100" s="193"/>
      <c r="DF100" s="193"/>
      <c r="DG100" s="193"/>
      <c r="DH100" s="193"/>
      <c r="DI100" s="193"/>
      <c r="DJ100" s="193"/>
      <c r="DK100" s="193"/>
      <c r="DL100" s="193"/>
      <c r="DM100" s="193"/>
      <c r="DN100" s="193"/>
      <c r="DO100" s="193"/>
      <c r="DP100" s="193"/>
      <c r="DQ100" s="193"/>
      <c r="DR100" s="193"/>
      <c r="DS100" s="193"/>
      <c r="DT100" s="193"/>
      <c r="DU100" s="193"/>
      <c r="DV100" s="193"/>
      <c r="DW100" s="193"/>
      <c r="DX100" s="193"/>
      <c r="DY100" s="193"/>
      <c r="DZ100" s="193"/>
      <c r="EA100" s="193"/>
      <c r="EB100" s="193"/>
      <c r="EC100" s="193"/>
      <c r="ED100" s="193"/>
      <c r="EE100" s="193"/>
      <c r="EF100" s="193"/>
      <c r="EG100" s="193"/>
      <c r="EH100" s="193"/>
      <c r="EI100" s="193"/>
      <c r="EJ100" s="193"/>
      <c r="EK100" s="193"/>
      <c r="EL100" s="193"/>
      <c r="EM100" s="193"/>
      <c r="EN100" s="193"/>
      <c r="EO100" s="193"/>
      <c r="EP100" s="193"/>
      <c r="EQ100" s="193"/>
      <c r="ER100" s="193"/>
      <c r="ES100" s="193"/>
      <c r="ET100" s="193"/>
      <c r="EU100" s="193"/>
      <c r="EV100" s="193"/>
      <c r="EW100" s="193"/>
      <c r="EX100" s="193"/>
      <c r="EY100" s="193"/>
      <c r="EZ100" s="193"/>
      <c r="FA100" s="193"/>
      <c r="FB100" s="193"/>
      <c r="FC100" s="193"/>
      <c r="FD100" s="193"/>
      <c r="FE100" s="193"/>
      <c r="FF100" s="193"/>
      <c r="FG100" s="193"/>
      <c r="FH100" s="193"/>
      <c r="FI100" s="193"/>
      <c r="FJ100" s="193"/>
      <c r="FK100" s="193"/>
      <c r="FL100" s="193"/>
      <c r="FM100" s="193"/>
      <c r="FN100" s="193"/>
      <c r="FO100" s="193"/>
      <c r="FP100" s="193"/>
      <c r="FQ100" s="193"/>
      <c r="FR100" s="193"/>
      <c r="FS100" s="193"/>
      <c r="FT100" s="193"/>
      <c r="FU100" s="193"/>
      <c r="FV100" s="193"/>
      <c r="FW100" s="193"/>
      <c r="FX100" s="193"/>
      <c r="FY100" s="193"/>
      <c r="FZ100" s="193"/>
      <c r="GA100" s="193"/>
      <c r="GB100" s="193"/>
      <c r="GC100" s="193"/>
      <c r="GD100" s="193"/>
      <c r="GE100" s="193"/>
      <c r="GF100" s="193"/>
      <c r="GG100" s="193"/>
      <c r="GH100" s="193"/>
      <c r="GI100" s="193"/>
      <c r="GJ100" s="193"/>
      <c r="GK100" s="193"/>
      <c r="GL100" s="193"/>
      <c r="GM100" s="193"/>
      <c r="GN100" s="193"/>
      <c r="GO100" s="193"/>
      <c r="GP100" s="193"/>
      <c r="GQ100" s="193"/>
      <c r="GR100" s="193"/>
      <c r="GS100" s="193"/>
      <c r="GT100" s="193"/>
      <c r="GU100" s="193"/>
      <c r="GV100" s="193"/>
      <c r="GW100" s="193"/>
      <c r="GX100" s="193"/>
      <c r="GY100" s="193"/>
      <c r="GZ100" s="193"/>
      <c r="HA100" s="193"/>
      <c r="HB100" s="193"/>
      <c r="HC100" s="193"/>
      <c r="HD100" s="193"/>
      <c r="HE100" s="193"/>
      <c r="HF100" s="193"/>
      <c r="HG100" s="193"/>
      <c r="HH100" s="193"/>
      <c r="HI100" s="193"/>
      <c r="HJ100" s="193"/>
      <c r="HK100" s="193"/>
      <c r="HL100" s="193"/>
      <c r="HM100" s="193"/>
      <c r="HN100" s="193"/>
      <c r="HO100" s="193"/>
      <c r="HP100" s="193"/>
      <c r="HQ100" s="193"/>
      <c r="HR100" s="193"/>
      <c r="HS100" s="193"/>
      <c r="HT100" s="193"/>
      <c r="HU100" s="193"/>
      <c r="HV100" s="193"/>
      <c r="HW100" s="193"/>
      <c r="HX100" s="193"/>
      <c r="HY100" s="193"/>
      <c r="HZ100" s="193"/>
      <c r="IA100" s="193"/>
      <c r="IB100" s="193"/>
      <c r="IC100" s="193"/>
      <c r="ID100" s="193"/>
      <c r="IE100" s="193"/>
      <c r="IF100" s="193"/>
      <c r="IG100" s="193"/>
      <c r="IH100" s="193"/>
      <c r="II100" s="193"/>
      <c r="IJ100" s="193"/>
      <c r="IK100" s="193"/>
      <c r="IL100" s="193"/>
      <c r="IM100" s="193"/>
      <c r="IN100" s="193"/>
      <c r="IO100" s="193"/>
      <c r="IP100" s="193"/>
      <c r="IQ100" s="193"/>
    </row>
    <row r="101" spans="1:251" hidden="1">
      <c r="A101" s="1026"/>
      <c r="B101" s="1026" t="s">
        <v>527</v>
      </c>
      <c r="C101" s="1026"/>
      <c r="D101" s="2021">
        <f>SUM(D102:D109)</f>
        <v>0</v>
      </c>
      <c r="E101" s="1026"/>
      <c r="F101" s="1942">
        <f>SUM(F102:F109)</f>
        <v>0</v>
      </c>
      <c r="G101" s="1026"/>
      <c r="H101" s="1942">
        <f t="shared" ref="H101:U101" si="45">SUM(H102:H109)</f>
        <v>0</v>
      </c>
      <c r="I101" s="1026"/>
      <c r="J101" s="1942">
        <f t="shared" si="45"/>
        <v>0</v>
      </c>
      <c r="K101" s="1026"/>
      <c r="L101" s="1942">
        <f t="shared" si="45"/>
        <v>0</v>
      </c>
      <c r="M101" s="1942">
        <f t="shared" si="45"/>
        <v>0</v>
      </c>
      <c r="N101" s="1942">
        <f t="shared" si="45"/>
        <v>0</v>
      </c>
      <c r="O101" s="1942">
        <f t="shared" si="45"/>
        <v>0</v>
      </c>
      <c r="P101" s="1942">
        <f>SUM(P102:P109)</f>
        <v>0</v>
      </c>
      <c r="Q101" s="1942">
        <f t="shared" si="45"/>
        <v>0</v>
      </c>
      <c r="R101" s="1942">
        <f t="shared" si="45"/>
        <v>0</v>
      </c>
      <c r="S101" s="1942">
        <f t="shared" si="45"/>
        <v>0</v>
      </c>
      <c r="T101" s="1942">
        <f t="shared" si="45"/>
        <v>0</v>
      </c>
      <c r="U101" s="1942">
        <f t="shared" si="45"/>
        <v>0</v>
      </c>
      <c r="V101" s="3035">
        <f t="shared" si="44"/>
        <v>0</v>
      </c>
      <c r="W101" s="3472"/>
      <c r="X101" s="349"/>
      <c r="Y101" s="349"/>
      <c r="Z101" s="349"/>
      <c r="AA101" s="349"/>
      <c r="AB101" s="349"/>
      <c r="AC101" s="349"/>
      <c r="AD101" s="349"/>
      <c r="AE101" s="349"/>
      <c r="AF101" s="349"/>
      <c r="AG101" s="349"/>
      <c r="AH101" s="349"/>
      <c r="AI101" s="349"/>
      <c r="AJ101" s="349"/>
      <c r="AK101" s="349"/>
      <c r="AL101" s="349"/>
      <c r="AM101" s="349"/>
      <c r="AN101" s="349"/>
      <c r="AO101" s="349"/>
      <c r="AP101" s="349"/>
      <c r="AQ101" s="349"/>
      <c r="AR101" s="349"/>
      <c r="AS101" s="349"/>
      <c r="AT101" s="349"/>
      <c r="AU101" s="349"/>
      <c r="AV101" s="349"/>
      <c r="AW101" s="349"/>
      <c r="AX101" s="349"/>
      <c r="AY101" s="349"/>
      <c r="AZ101" s="349"/>
      <c r="BA101" s="349"/>
      <c r="BB101" s="349"/>
      <c r="BC101" s="349"/>
      <c r="BD101" s="349"/>
      <c r="BE101" s="349"/>
      <c r="BF101" s="349"/>
      <c r="BG101" s="349"/>
      <c r="BH101" s="349"/>
      <c r="BI101" s="349"/>
      <c r="BJ101" s="349"/>
      <c r="BK101" s="349"/>
      <c r="BL101" s="349"/>
      <c r="BM101" s="349"/>
      <c r="BN101" s="349"/>
      <c r="BO101" s="349"/>
      <c r="BP101" s="349"/>
      <c r="BQ101" s="349"/>
      <c r="BR101" s="349"/>
      <c r="BS101" s="349"/>
      <c r="BT101" s="349"/>
      <c r="BU101" s="349"/>
      <c r="BV101" s="349"/>
      <c r="BW101" s="349"/>
      <c r="BX101" s="349"/>
      <c r="BY101" s="349"/>
      <c r="BZ101" s="349"/>
      <c r="CA101" s="349"/>
      <c r="CB101" s="349"/>
      <c r="CC101" s="349"/>
      <c r="CD101" s="349"/>
      <c r="CE101" s="349"/>
      <c r="CF101" s="349"/>
      <c r="CG101" s="349"/>
      <c r="CH101" s="349"/>
      <c r="CI101" s="349"/>
      <c r="CJ101" s="349"/>
      <c r="CK101" s="349"/>
      <c r="CL101" s="349"/>
      <c r="CM101" s="349"/>
      <c r="CN101" s="349"/>
      <c r="CO101" s="349"/>
      <c r="CP101" s="349"/>
      <c r="CQ101" s="349"/>
      <c r="CR101" s="349"/>
      <c r="CS101" s="349"/>
      <c r="CT101" s="349"/>
      <c r="CU101" s="349"/>
      <c r="CV101" s="349"/>
      <c r="CW101" s="349"/>
      <c r="CX101" s="349"/>
      <c r="CY101" s="349"/>
      <c r="CZ101" s="349"/>
      <c r="DA101" s="349"/>
      <c r="DB101" s="349"/>
      <c r="DC101" s="349"/>
      <c r="DD101" s="349"/>
      <c r="DE101" s="349"/>
      <c r="DF101" s="349"/>
      <c r="DG101" s="349"/>
      <c r="DH101" s="349"/>
      <c r="DI101" s="349"/>
      <c r="DJ101" s="349"/>
      <c r="DK101" s="349"/>
      <c r="DL101" s="349"/>
      <c r="DM101" s="349"/>
      <c r="DN101" s="349"/>
      <c r="DO101" s="349"/>
      <c r="DP101" s="349"/>
      <c r="DQ101" s="349"/>
      <c r="DR101" s="349"/>
      <c r="DS101" s="349"/>
      <c r="DT101" s="349"/>
      <c r="DU101" s="349"/>
      <c r="DV101" s="349"/>
      <c r="DW101" s="349"/>
      <c r="DX101" s="349"/>
      <c r="DY101" s="349"/>
      <c r="DZ101" s="349"/>
      <c r="EA101" s="349"/>
      <c r="EB101" s="349"/>
      <c r="EC101" s="349"/>
      <c r="ED101" s="349"/>
      <c r="EE101" s="349"/>
      <c r="EF101" s="349"/>
      <c r="EG101" s="349"/>
      <c r="EH101" s="349"/>
      <c r="EI101" s="349"/>
      <c r="EJ101" s="349"/>
      <c r="EK101" s="349"/>
      <c r="EL101" s="349"/>
      <c r="EM101" s="349"/>
      <c r="EN101" s="349"/>
      <c r="EO101" s="349"/>
      <c r="EP101" s="349"/>
      <c r="EQ101" s="349"/>
      <c r="ER101" s="349"/>
      <c r="ES101" s="349"/>
      <c r="ET101" s="349"/>
      <c r="EU101" s="349"/>
      <c r="EV101" s="349"/>
      <c r="EW101" s="349"/>
      <c r="EX101" s="349"/>
      <c r="EY101" s="349"/>
      <c r="EZ101" s="349"/>
      <c r="FA101" s="349"/>
      <c r="FB101" s="349"/>
      <c r="FC101" s="349"/>
      <c r="FD101" s="349"/>
      <c r="FE101" s="349"/>
      <c r="FF101" s="349"/>
      <c r="FG101" s="349"/>
      <c r="FH101" s="349"/>
      <c r="FI101" s="349"/>
      <c r="FJ101" s="349"/>
      <c r="FK101" s="349"/>
      <c r="FL101" s="349"/>
      <c r="FM101" s="349"/>
      <c r="FN101" s="349"/>
      <c r="FO101" s="349"/>
      <c r="FP101" s="349"/>
      <c r="FQ101" s="349"/>
      <c r="FR101" s="349"/>
      <c r="FS101" s="349"/>
      <c r="FT101" s="349"/>
      <c r="FU101" s="349"/>
      <c r="FV101" s="349"/>
      <c r="FW101" s="349"/>
      <c r="FX101" s="349"/>
      <c r="FY101" s="349"/>
      <c r="FZ101" s="349"/>
      <c r="GA101" s="349"/>
      <c r="GB101" s="349"/>
      <c r="GC101" s="349"/>
      <c r="GD101" s="349"/>
      <c r="GE101" s="349"/>
      <c r="GF101" s="349"/>
      <c r="GG101" s="349"/>
      <c r="GH101" s="349"/>
      <c r="GI101" s="349"/>
      <c r="GJ101" s="349"/>
      <c r="GK101" s="349"/>
      <c r="GL101" s="349"/>
      <c r="GM101" s="349"/>
      <c r="GN101" s="349"/>
      <c r="GO101" s="349"/>
      <c r="GP101" s="349"/>
      <c r="GQ101" s="349"/>
      <c r="GR101" s="349"/>
      <c r="GS101" s="349"/>
      <c r="GT101" s="349"/>
      <c r="GU101" s="349"/>
      <c r="GV101" s="349"/>
      <c r="GW101" s="349"/>
      <c r="GX101" s="349"/>
      <c r="GY101" s="349"/>
      <c r="GZ101" s="349"/>
      <c r="HA101" s="349"/>
      <c r="HB101" s="349"/>
      <c r="HC101" s="349"/>
      <c r="HD101" s="349"/>
      <c r="HE101" s="349"/>
      <c r="HF101" s="349"/>
      <c r="HG101" s="349"/>
      <c r="HH101" s="349"/>
      <c r="HI101" s="349"/>
      <c r="HJ101" s="349"/>
      <c r="HK101" s="349"/>
      <c r="HL101" s="349"/>
      <c r="HM101" s="349"/>
      <c r="HN101" s="349"/>
      <c r="HO101" s="349"/>
      <c r="HP101" s="349"/>
      <c r="HQ101" s="349"/>
      <c r="HR101" s="349"/>
      <c r="HS101" s="349"/>
      <c r="HT101" s="349"/>
      <c r="HU101" s="349"/>
      <c r="HV101" s="349"/>
      <c r="HW101" s="349"/>
      <c r="HX101" s="349"/>
      <c r="HY101" s="349"/>
      <c r="HZ101" s="349"/>
      <c r="IA101" s="349"/>
      <c r="IB101" s="349"/>
      <c r="IC101" s="349"/>
      <c r="ID101" s="349"/>
      <c r="IE101" s="349"/>
      <c r="IF101" s="349"/>
      <c r="IG101" s="349"/>
      <c r="IH101" s="349"/>
      <c r="II101" s="349"/>
      <c r="IJ101" s="349"/>
      <c r="IK101" s="349"/>
      <c r="IL101" s="349"/>
      <c r="IM101" s="349"/>
      <c r="IN101" s="349"/>
      <c r="IO101" s="349"/>
      <c r="IP101" s="349"/>
      <c r="IQ101" s="349"/>
    </row>
    <row r="102" spans="1:251" hidden="1">
      <c r="A102" s="1026"/>
      <c r="B102" s="1026" t="s">
        <v>327</v>
      </c>
      <c r="C102" s="1026"/>
      <c r="D102" s="2021"/>
      <c r="E102" s="1026"/>
      <c r="F102" s="1942">
        <f t="shared" ref="F102:F109" si="46">ROUNDUP((E102*$Q$5),-3)</f>
        <v>0</v>
      </c>
      <c r="G102" s="1026"/>
      <c r="H102" s="1942">
        <f t="shared" ref="H102:H109" si="47">D102*F102*G102</f>
        <v>0</v>
      </c>
      <c r="I102" s="1026"/>
      <c r="J102" s="1942">
        <f t="shared" ref="J102:J109" si="48">I102*$Q$4</f>
        <v>0</v>
      </c>
      <c r="K102" s="1026"/>
      <c r="L102" s="1942">
        <f t="shared" ref="L102:L109" si="49">K102*F102</f>
        <v>0</v>
      </c>
      <c r="M102" s="1942">
        <f t="shared" ref="M102:M109" si="50">D102*G102*(J102+L102)</f>
        <v>0</v>
      </c>
      <c r="N102" s="1942">
        <f t="shared" ref="N102:N109" si="51">H102+M102</f>
        <v>0</v>
      </c>
      <c r="O102" s="1026"/>
      <c r="P102" s="1026"/>
      <c r="Q102" s="1942">
        <f t="shared" ref="Q102:Q109" si="52">N102+O102+P102</f>
        <v>0</v>
      </c>
      <c r="R102" s="1942">
        <f t="shared" ref="R102:R109" si="53">Q102*10%</f>
        <v>0</v>
      </c>
      <c r="S102" s="1942">
        <f t="shared" ref="S102:S109" si="54">(Q102-R102)*10%</f>
        <v>0</v>
      </c>
      <c r="T102" s="1942">
        <f t="shared" ref="T102:T109" si="55">(Q102-R102)*6%</f>
        <v>0</v>
      </c>
      <c r="U102" s="1942">
        <f t="shared" ref="U102:U109" si="56">(Q102-R102)*5%</f>
        <v>0</v>
      </c>
      <c r="V102" s="3035">
        <f t="shared" si="44"/>
        <v>0</v>
      </c>
      <c r="W102" s="3472"/>
      <c r="X102" s="349"/>
      <c r="Y102" s="349"/>
      <c r="Z102" s="349"/>
      <c r="AA102" s="349"/>
      <c r="AB102" s="349"/>
      <c r="AC102" s="349"/>
      <c r="AD102" s="349"/>
      <c r="AE102" s="349"/>
      <c r="AF102" s="349"/>
      <c r="AG102" s="349"/>
      <c r="AH102" s="349"/>
      <c r="AI102" s="349"/>
      <c r="AJ102" s="349"/>
      <c r="AK102" s="349"/>
      <c r="AL102" s="349"/>
      <c r="AM102" s="349"/>
      <c r="AN102" s="349"/>
      <c r="AO102" s="349"/>
      <c r="AP102" s="349"/>
      <c r="AQ102" s="349"/>
      <c r="AR102" s="349"/>
      <c r="AS102" s="349"/>
      <c r="AT102" s="349"/>
      <c r="AU102" s="349"/>
      <c r="AV102" s="349"/>
      <c r="AW102" s="349"/>
      <c r="AX102" s="349"/>
      <c r="AY102" s="349"/>
      <c r="AZ102" s="349"/>
      <c r="BA102" s="349"/>
      <c r="BB102" s="349"/>
      <c r="BC102" s="349"/>
      <c r="BD102" s="349"/>
      <c r="BE102" s="349"/>
      <c r="BF102" s="349"/>
      <c r="BG102" s="349"/>
      <c r="BH102" s="349"/>
      <c r="BI102" s="349"/>
      <c r="BJ102" s="349"/>
      <c r="BK102" s="349"/>
      <c r="BL102" s="349"/>
      <c r="BM102" s="349"/>
      <c r="BN102" s="349"/>
      <c r="BO102" s="349"/>
      <c r="BP102" s="349"/>
      <c r="BQ102" s="349"/>
      <c r="BR102" s="349"/>
      <c r="BS102" s="349"/>
      <c r="BT102" s="349"/>
      <c r="BU102" s="349"/>
      <c r="BV102" s="349"/>
      <c r="BW102" s="349"/>
      <c r="BX102" s="349"/>
      <c r="BY102" s="349"/>
      <c r="BZ102" s="349"/>
      <c r="CA102" s="349"/>
      <c r="CB102" s="349"/>
      <c r="CC102" s="349"/>
      <c r="CD102" s="349"/>
      <c r="CE102" s="349"/>
      <c r="CF102" s="349"/>
      <c r="CG102" s="349"/>
      <c r="CH102" s="349"/>
      <c r="CI102" s="349"/>
      <c r="CJ102" s="349"/>
      <c r="CK102" s="349"/>
      <c r="CL102" s="349"/>
      <c r="CM102" s="349"/>
      <c r="CN102" s="349"/>
      <c r="CO102" s="349"/>
      <c r="CP102" s="349"/>
      <c r="CQ102" s="349"/>
      <c r="CR102" s="349"/>
      <c r="CS102" s="349"/>
      <c r="CT102" s="349"/>
      <c r="CU102" s="349"/>
      <c r="CV102" s="349"/>
      <c r="CW102" s="349"/>
      <c r="CX102" s="349"/>
      <c r="CY102" s="349"/>
      <c r="CZ102" s="349"/>
      <c r="DA102" s="349"/>
      <c r="DB102" s="349"/>
      <c r="DC102" s="349"/>
      <c r="DD102" s="349"/>
      <c r="DE102" s="349"/>
      <c r="DF102" s="349"/>
      <c r="DG102" s="349"/>
      <c r="DH102" s="349"/>
      <c r="DI102" s="349"/>
      <c r="DJ102" s="349"/>
      <c r="DK102" s="349"/>
      <c r="DL102" s="349"/>
      <c r="DM102" s="349"/>
      <c r="DN102" s="349"/>
      <c r="DO102" s="349"/>
      <c r="DP102" s="349"/>
      <c r="DQ102" s="349"/>
      <c r="DR102" s="349"/>
      <c r="DS102" s="349"/>
      <c r="DT102" s="349"/>
      <c r="DU102" s="349"/>
      <c r="DV102" s="349"/>
      <c r="DW102" s="349"/>
      <c r="DX102" s="349"/>
      <c r="DY102" s="349"/>
      <c r="DZ102" s="349"/>
      <c r="EA102" s="349"/>
      <c r="EB102" s="349"/>
      <c r="EC102" s="349"/>
      <c r="ED102" s="349"/>
      <c r="EE102" s="349"/>
      <c r="EF102" s="349"/>
      <c r="EG102" s="349"/>
      <c r="EH102" s="349"/>
      <c r="EI102" s="349"/>
      <c r="EJ102" s="349"/>
      <c r="EK102" s="349"/>
      <c r="EL102" s="349"/>
      <c r="EM102" s="349"/>
      <c r="EN102" s="349"/>
      <c r="EO102" s="349"/>
      <c r="EP102" s="349"/>
      <c r="EQ102" s="349"/>
      <c r="ER102" s="349"/>
      <c r="ES102" s="349"/>
      <c r="ET102" s="349"/>
      <c r="EU102" s="349"/>
      <c r="EV102" s="349"/>
      <c r="EW102" s="349"/>
      <c r="EX102" s="349"/>
      <c r="EY102" s="349"/>
      <c r="EZ102" s="349"/>
      <c r="FA102" s="349"/>
      <c r="FB102" s="349"/>
      <c r="FC102" s="349"/>
      <c r="FD102" s="349"/>
      <c r="FE102" s="349"/>
      <c r="FF102" s="349"/>
      <c r="FG102" s="349"/>
      <c r="FH102" s="349"/>
      <c r="FI102" s="349"/>
      <c r="FJ102" s="349"/>
      <c r="FK102" s="349"/>
      <c r="FL102" s="349"/>
      <c r="FM102" s="349"/>
      <c r="FN102" s="349"/>
      <c r="FO102" s="349"/>
      <c r="FP102" s="349"/>
      <c r="FQ102" s="349"/>
      <c r="FR102" s="349"/>
      <c r="FS102" s="349"/>
      <c r="FT102" s="349"/>
      <c r="FU102" s="349"/>
      <c r="FV102" s="349"/>
      <c r="FW102" s="349"/>
      <c r="FX102" s="349"/>
      <c r="FY102" s="349"/>
      <c r="FZ102" s="349"/>
      <c r="GA102" s="349"/>
      <c r="GB102" s="349"/>
      <c r="GC102" s="349"/>
      <c r="GD102" s="349"/>
      <c r="GE102" s="349"/>
      <c r="GF102" s="349"/>
      <c r="GG102" s="349"/>
      <c r="GH102" s="349"/>
      <c r="GI102" s="349"/>
      <c r="GJ102" s="349"/>
      <c r="GK102" s="349"/>
      <c r="GL102" s="349"/>
      <c r="GM102" s="349"/>
      <c r="GN102" s="349"/>
      <c r="GO102" s="349"/>
      <c r="GP102" s="349"/>
      <c r="GQ102" s="349"/>
      <c r="GR102" s="349"/>
      <c r="GS102" s="349"/>
      <c r="GT102" s="349"/>
      <c r="GU102" s="349"/>
      <c r="GV102" s="349"/>
      <c r="GW102" s="349"/>
      <c r="GX102" s="349"/>
      <c r="GY102" s="349"/>
      <c r="GZ102" s="349"/>
      <c r="HA102" s="349"/>
      <c r="HB102" s="349"/>
      <c r="HC102" s="349"/>
      <c r="HD102" s="349"/>
      <c r="HE102" s="349"/>
      <c r="HF102" s="349"/>
      <c r="HG102" s="349"/>
      <c r="HH102" s="349"/>
      <c r="HI102" s="349"/>
      <c r="HJ102" s="349"/>
      <c r="HK102" s="349"/>
      <c r="HL102" s="349"/>
      <c r="HM102" s="349"/>
      <c r="HN102" s="349"/>
      <c r="HO102" s="349"/>
      <c r="HP102" s="349"/>
      <c r="HQ102" s="349"/>
      <c r="HR102" s="349"/>
      <c r="HS102" s="349"/>
      <c r="HT102" s="349"/>
      <c r="HU102" s="349"/>
      <c r="HV102" s="349"/>
      <c r="HW102" s="349"/>
      <c r="HX102" s="349"/>
      <c r="HY102" s="349"/>
      <c r="HZ102" s="349"/>
      <c r="IA102" s="349"/>
      <c r="IB102" s="349"/>
      <c r="IC102" s="349"/>
      <c r="ID102" s="349"/>
      <c r="IE102" s="349"/>
      <c r="IF102" s="349"/>
      <c r="IG102" s="349"/>
      <c r="IH102" s="349"/>
      <c r="II102" s="349"/>
      <c r="IJ102" s="349"/>
      <c r="IK102" s="349"/>
      <c r="IL102" s="349"/>
      <c r="IM102" s="349"/>
      <c r="IN102" s="349"/>
      <c r="IO102" s="349"/>
      <c r="IP102" s="349"/>
      <c r="IQ102" s="349"/>
    </row>
    <row r="103" spans="1:251" hidden="1">
      <c r="A103" s="1026"/>
      <c r="B103" s="1026"/>
      <c r="C103" s="1026"/>
      <c r="D103" s="2021"/>
      <c r="E103" s="1026"/>
      <c r="F103" s="1942">
        <f t="shared" si="46"/>
        <v>0</v>
      </c>
      <c r="G103" s="1026"/>
      <c r="H103" s="1942">
        <f t="shared" si="47"/>
        <v>0</v>
      </c>
      <c r="I103" s="1026"/>
      <c r="J103" s="1942">
        <f t="shared" si="48"/>
        <v>0</v>
      </c>
      <c r="K103" s="1026"/>
      <c r="L103" s="1942">
        <f t="shared" si="49"/>
        <v>0</v>
      </c>
      <c r="M103" s="1942">
        <f t="shared" si="50"/>
        <v>0</v>
      </c>
      <c r="N103" s="1942">
        <f t="shared" si="51"/>
        <v>0</v>
      </c>
      <c r="O103" s="1026"/>
      <c r="P103" s="1026"/>
      <c r="Q103" s="1942">
        <f t="shared" si="52"/>
        <v>0</v>
      </c>
      <c r="R103" s="1942">
        <f t="shared" si="53"/>
        <v>0</v>
      </c>
      <c r="S103" s="1942">
        <f t="shared" si="54"/>
        <v>0</v>
      </c>
      <c r="T103" s="1942">
        <f t="shared" si="55"/>
        <v>0</v>
      </c>
      <c r="U103" s="1942">
        <f t="shared" si="56"/>
        <v>0</v>
      </c>
      <c r="V103" s="3035">
        <f t="shared" si="44"/>
        <v>0</v>
      </c>
      <c r="W103" s="3472"/>
      <c r="X103" s="349"/>
      <c r="Y103" s="349"/>
      <c r="Z103" s="349"/>
      <c r="AA103" s="349"/>
      <c r="AB103" s="349"/>
      <c r="AC103" s="349"/>
      <c r="AD103" s="349"/>
      <c r="AE103" s="349"/>
      <c r="AF103" s="349"/>
      <c r="AG103" s="349"/>
      <c r="AH103" s="349"/>
      <c r="AI103" s="349"/>
      <c r="AJ103" s="349"/>
      <c r="AK103" s="349"/>
      <c r="AL103" s="349"/>
      <c r="AM103" s="349"/>
      <c r="AN103" s="349"/>
      <c r="AO103" s="349"/>
      <c r="AP103" s="349"/>
      <c r="AQ103" s="349"/>
      <c r="AR103" s="349"/>
      <c r="AS103" s="349"/>
      <c r="AT103" s="349"/>
      <c r="AU103" s="349"/>
      <c r="AV103" s="349"/>
      <c r="AW103" s="349"/>
      <c r="AX103" s="349"/>
      <c r="AY103" s="349"/>
      <c r="AZ103" s="349"/>
      <c r="BA103" s="349"/>
      <c r="BB103" s="349"/>
      <c r="BC103" s="349"/>
      <c r="BD103" s="349"/>
      <c r="BE103" s="349"/>
      <c r="BF103" s="349"/>
      <c r="BG103" s="349"/>
      <c r="BH103" s="349"/>
      <c r="BI103" s="349"/>
      <c r="BJ103" s="349"/>
      <c r="BK103" s="349"/>
      <c r="BL103" s="349"/>
      <c r="BM103" s="349"/>
      <c r="BN103" s="349"/>
      <c r="BO103" s="349"/>
      <c r="BP103" s="349"/>
      <c r="BQ103" s="349"/>
      <c r="BR103" s="349"/>
      <c r="BS103" s="349"/>
      <c r="BT103" s="349"/>
      <c r="BU103" s="349"/>
      <c r="BV103" s="349"/>
      <c r="BW103" s="349"/>
      <c r="BX103" s="349"/>
      <c r="BY103" s="349"/>
      <c r="BZ103" s="349"/>
      <c r="CA103" s="349"/>
      <c r="CB103" s="349"/>
      <c r="CC103" s="349"/>
      <c r="CD103" s="349"/>
      <c r="CE103" s="349"/>
      <c r="CF103" s="349"/>
      <c r="CG103" s="349"/>
      <c r="CH103" s="349"/>
      <c r="CI103" s="349"/>
      <c r="CJ103" s="349"/>
      <c r="CK103" s="349"/>
      <c r="CL103" s="349"/>
      <c r="CM103" s="349"/>
      <c r="CN103" s="349"/>
      <c r="CO103" s="349"/>
      <c r="CP103" s="349"/>
      <c r="CQ103" s="349"/>
      <c r="CR103" s="349"/>
      <c r="CS103" s="349"/>
      <c r="CT103" s="349"/>
      <c r="CU103" s="349"/>
      <c r="CV103" s="349"/>
      <c r="CW103" s="349"/>
      <c r="CX103" s="349"/>
      <c r="CY103" s="349"/>
      <c r="CZ103" s="349"/>
      <c r="DA103" s="349"/>
      <c r="DB103" s="349"/>
      <c r="DC103" s="349"/>
      <c r="DD103" s="349"/>
      <c r="DE103" s="349"/>
      <c r="DF103" s="349"/>
      <c r="DG103" s="349"/>
      <c r="DH103" s="349"/>
      <c r="DI103" s="349"/>
      <c r="DJ103" s="349"/>
      <c r="DK103" s="349"/>
      <c r="DL103" s="349"/>
      <c r="DM103" s="349"/>
      <c r="DN103" s="349"/>
      <c r="DO103" s="349"/>
      <c r="DP103" s="349"/>
      <c r="DQ103" s="349"/>
      <c r="DR103" s="349"/>
      <c r="DS103" s="349"/>
      <c r="DT103" s="349"/>
      <c r="DU103" s="349"/>
      <c r="DV103" s="349"/>
      <c r="DW103" s="349"/>
      <c r="DX103" s="349"/>
      <c r="DY103" s="349"/>
      <c r="DZ103" s="349"/>
      <c r="EA103" s="349"/>
      <c r="EB103" s="349"/>
      <c r="EC103" s="349"/>
      <c r="ED103" s="349"/>
      <c r="EE103" s="349"/>
      <c r="EF103" s="349"/>
      <c r="EG103" s="349"/>
      <c r="EH103" s="349"/>
      <c r="EI103" s="349"/>
      <c r="EJ103" s="349"/>
      <c r="EK103" s="349"/>
      <c r="EL103" s="349"/>
      <c r="EM103" s="349"/>
      <c r="EN103" s="349"/>
      <c r="EO103" s="349"/>
      <c r="EP103" s="349"/>
      <c r="EQ103" s="349"/>
      <c r="ER103" s="349"/>
      <c r="ES103" s="349"/>
      <c r="ET103" s="349"/>
      <c r="EU103" s="349"/>
      <c r="EV103" s="349"/>
      <c r="EW103" s="349"/>
      <c r="EX103" s="349"/>
      <c r="EY103" s="349"/>
      <c r="EZ103" s="349"/>
      <c r="FA103" s="349"/>
      <c r="FB103" s="349"/>
      <c r="FC103" s="349"/>
      <c r="FD103" s="349"/>
      <c r="FE103" s="349"/>
      <c r="FF103" s="349"/>
      <c r="FG103" s="349"/>
      <c r="FH103" s="349"/>
      <c r="FI103" s="349"/>
      <c r="FJ103" s="349"/>
      <c r="FK103" s="349"/>
      <c r="FL103" s="349"/>
      <c r="FM103" s="349"/>
      <c r="FN103" s="349"/>
      <c r="FO103" s="349"/>
      <c r="FP103" s="349"/>
      <c r="FQ103" s="349"/>
      <c r="FR103" s="349"/>
      <c r="FS103" s="349"/>
      <c r="FT103" s="349"/>
      <c r="FU103" s="349"/>
      <c r="FV103" s="349"/>
      <c r="FW103" s="349"/>
      <c r="FX103" s="349"/>
      <c r="FY103" s="349"/>
      <c r="FZ103" s="349"/>
      <c r="GA103" s="349"/>
      <c r="GB103" s="349"/>
      <c r="GC103" s="349"/>
      <c r="GD103" s="349"/>
      <c r="GE103" s="349"/>
      <c r="GF103" s="349"/>
      <c r="GG103" s="349"/>
      <c r="GH103" s="349"/>
      <c r="GI103" s="349"/>
      <c r="GJ103" s="349"/>
      <c r="GK103" s="349"/>
      <c r="GL103" s="349"/>
      <c r="GM103" s="349"/>
      <c r="GN103" s="349"/>
      <c r="GO103" s="349"/>
      <c r="GP103" s="349"/>
      <c r="GQ103" s="349"/>
      <c r="GR103" s="349"/>
      <c r="GS103" s="349"/>
      <c r="GT103" s="349"/>
      <c r="GU103" s="349"/>
      <c r="GV103" s="349"/>
      <c r="GW103" s="349"/>
      <c r="GX103" s="349"/>
      <c r="GY103" s="349"/>
      <c r="GZ103" s="349"/>
      <c r="HA103" s="349"/>
      <c r="HB103" s="349"/>
      <c r="HC103" s="349"/>
      <c r="HD103" s="349"/>
      <c r="HE103" s="349"/>
      <c r="HF103" s="349"/>
      <c r="HG103" s="349"/>
      <c r="HH103" s="349"/>
      <c r="HI103" s="349"/>
      <c r="HJ103" s="349"/>
      <c r="HK103" s="349"/>
      <c r="HL103" s="349"/>
      <c r="HM103" s="349"/>
      <c r="HN103" s="349"/>
      <c r="HO103" s="349"/>
      <c r="HP103" s="349"/>
      <c r="HQ103" s="349"/>
      <c r="HR103" s="349"/>
      <c r="HS103" s="349"/>
      <c r="HT103" s="349"/>
      <c r="HU103" s="349"/>
      <c r="HV103" s="349"/>
      <c r="HW103" s="349"/>
      <c r="HX103" s="349"/>
      <c r="HY103" s="349"/>
      <c r="HZ103" s="349"/>
      <c r="IA103" s="349"/>
      <c r="IB103" s="349"/>
      <c r="IC103" s="349"/>
      <c r="ID103" s="349"/>
      <c r="IE103" s="349"/>
      <c r="IF103" s="349"/>
      <c r="IG103" s="349"/>
      <c r="IH103" s="349"/>
      <c r="II103" s="349"/>
      <c r="IJ103" s="349"/>
      <c r="IK103" s="349"/>
      <c r="IL103" s="349"/>
      <c r="IM103" s="349"/>
      <c r="IN103" s="349"/>
      <c r="IO103" s="349"/>
      <c r="IP103" s="349"/>
      <c r="IQ103" s="349"/>
    </row>
    <row r="104" spans="1:251" hidden="1">
      <c r="A104" s="1026"/>
      <c r="B104" s="1026"/>
      <c r="C104" s="1026"/>
      <c r="D104" s="2021"/>
      <c r="E104" s="1026"/>
      <c r="F104" s="1942">
        <f t="shared" si="46"/>
        <v>0</v>
      </c>
      <c r="G104" s="1026"/>
      <c r="H104" s="1942">
        <f t="shared" si="47"/>
        <v>0</v>
      </c>
      <c r="I104" s="1026"/>
      <c r="J104" s="1942">
        <f t="shared" si="48"/>
        <v>0</v>
      </c>
      <c r="K104" s="1026"/>
      <c r="L104" s="1942">
        <f t="shared" si="49"/>
        <v>0</v>
      </c>
      <c r="M104" s="1942">
        <f t="shared" si="50"/>
        <v>0</v>
      </c>
      <c r="N104" s="1942">
        <f t="shared" si="51"/>
        <v>0</v>
      </c>
      <c r="O104" s="1026"/>
      <c r="P104" s="1026"/>
      <c r="Q104" s="1942">
        <f t="shared" si="52"/>
        <v>0</v>
      </c>
      <c r="R104" s="1942">
        <f t="shared" si="53"/>
        <v>0</v>
      </c>
      <c r="S104" s="1942">
        <f t="shared" si="54"/>
        <v>0</v>
      </c>
      <c r="T104" s="1942">
        <f t="shared" si="55"/>
        <v>0</v>
      </c>
      <c r="U104" s="1942">
        <f t="shared" si="56"/>
        <v>0</v>
      </c>
      <c r="V104" s="3035">
        <f t="shared" si="44"/>
        <v>0</v>
      </c>
      <c r="W104" s="1942"/>
      <c r="X104" s="193"/>
      <c r="Y104" s="193"/>
      <c r="Z104" s="193"/>
      <c r="AA104" s="193"/>
      <c r="AB104" s="193"/>
      <c r="AC104" s="193"/>
      <c r="AD104" s="193"/>
      <c r="AE104" s="193"/>
      <c r="AF104" s="193"/>
      <c r="AG104" s="193"/>
      <c r="AH104" s="193"/>
      <c r="AI104" s="193"/>
      <c r="AJ104" s="193"/>
      <c r="AK104" s="193"/>
      <c r="AL104" s="193"/>
      <c r="AM104" s="193"/>
      <c r="AN104" s="193"/>
      <c r="AO104" s="193"/>
      <c r="AP104" s="193"/>
      <c r="AQ104" s="193"/>
      <c r="AR104" s="193"/>
      <c r="AS104" s="193"/>
      <c r="AT104" s="193"/>
      <c r="AU104" s="193"/>
      <c r="AV104" s="193"/>
      <c r="AW104" s="193"/>
      <c r="AX104" s="193"/>
      <c r="AY104" s="193"/>
      <c r="AZ104" s="193"/>
      <c r="BA104" s="193"/>
      <c r="BB104" s="193"/>
      <c r="BC104" s="193"/>
      <c r="BD104" s="193"/>
      <c r="BE104" s="193"/>
      <c r="BF104" s="193"/>
      <c r="BG104" s="193"/>
      <c r="BH104" s="193"/>
      <c r="BI104" s="193"/>
      <c r="BJ104" s="193"/>
      <c r="BK104" s="193"/>
      <c r="BL104" s="193"/>
      <c r="BM104" s="193"/>
      <c r="BN104" s="193"/>
      <c r="BO104" s="193"/>
      <c r="BP104" s="193"/>
      <c r="BQ104" s="193"/>
      <c r="BR104" s="193"/>
      <c r="BS104" s="193"/>
      <c r="BT104" s="193"/>
      <c r="BU104" s="193"/>
      <c r="BV104" s="193"/>
      <c r="BW104" s="193"/>
      <c r="BX104" s="193"/>
      <c r="BY104" s="193"/>
      <c r="BZ104" s="193"/>
      <c r="CA104" s="193"/>
      <c r="CB104" s="193"/>
      <c r="CC104" s="193"/>
      <c r="CD104" s="193"/>
      <c r="CE104" s="193"/>
      <c r="CF104" s="193"/>
      <c r="CG104" s="193"/>
      <c r="CH104" s="193"/>
      <c r="CI104" s="193"/>
      <c r="CJ104" s="193"/>
      <c r="CK104" s="193"/>
      <c r="CL104" s="193"/>
      <c r="CM104" s="193"/>
      <c r="CN104" s="193"/>
      <c r="CO104" s="193"/>
      <c r="CP104" s="193"/>
      <c r="CQ104" s="193"/>
      <c r="CR104" s="193"/>
      <c r="CS104" s="193"/>
      <c r="CT104" s="193"/>
      <c r="CU104" s="193"/>
      <c r="CV104" s="193"/>
      <c r="CW104" s="193"/>
      <c r="CX104" s="193"/>
      <c r="CY104" s="193"/>
      <c r="CZ104" s="193"/>
      <c r="DA104" s="193"/>
      <c r="DB104" s="193"/>
      <c r="DC104" s="193"/>
      <c r="DD104" s="193"/>
      <c r="DE104" s="193"/>
      <c r="DF104" s="193"/>
      <c r="DG104" s="193"/>
      <c r="DH104" s="193"/>
      <c r="DI104" s="193"/>
      <c r="DJ104" s="193"/>
      <c r="DK104" s="193"/>
      <c r="DL104" s="193"/>
      <c r="DM104" s="193"/>
      <c r="DN104" s="193"/>
      <c r="DO104" s="193"/>
      <c r="DP104" s="193"/>
      <c r="DQ104" s="193"/>
      <c r="DR104" s="193"/>
      <c r="DS104" s="193"/>
      <c r="DT104" s="193"/>
      <c r="DU104" s="193"/>
      <c r="DV104" s="193"/>
      <c r="DW104" s="193"/>
      <c r="DX104" s="193"/>
      <c r="DY104" s="193"/>
      <c r="DZ104" s="193"/>
      <c r="EA104" s="193"/>
      <c r="EB104" s="193"/>
      <c r="EC104" s="193"/>
      <c r="ED104" s="193"/>
      <c r="EE104" s="193"/>
      <c r="EF104" s="193"/>
      <c r="EG104" s="193"/>
      <c r="EH104" s="193"/>
      <c r="EI104" s="193"/>
      <c r="EJ104" s="193"/>
      <c r="EK104" s="193"/>
      <c r="EL104" s="193"/>
      <c r="EM104" s="193"/>
      <c r="EN104" s="193"/>
      <c r="EO104" s="193"/>
      <c r="EP104" s="193"/>
      <c r="EQ104" s="193"/>
      <c r="ER104" s="193"/>
      <c r="ES104" s="193"/>
      <c r="ET104" s="193"/>
      <c r="EU104" s="193"/>
      <c r="EV104" s="193"/>
      <c r="EW104" s="193"/>
      <c r="EX104" s="193"/>
      <c r="EY104" s="193"/>
      <c r="EZ104" s="193"/>
      <c r="FA104" s="193"/>
      <c r="FB104" s="193"/>
      <c r="FC104" s="193"/>
      <c r="FD104" s="193"/>
      <c r="FE104" s="193"/>
      <c r="FF104" s="193"/>
      <c r="FG104" s="193"/>
      <c r="FH104" s="193"/>
      <c r="FI104" s="193"/>
      <c r="FJ104" s="193"/>
      <c r="FK104" s="193"/>
      <c r="FL104" s="193"/>
      <c r="FM104" s="193"/>
      <c r="FN104" s="193"/>
      <c r="FO104" s="193"/>
      <c r="FP104" s="193"/>
      <c r="FQ104" s="193"/>
      <c r="FR104" s="193"/>
      <c r="FS104" s="193"/>
      <c r="FT104" s="193"/>
      <c r="FU104" s="193"/>
      <c r="FV104" s="193"/>
      <c r="FW104" s="193"/>
      <c r="FX104" s="193"/>
      <c r="FY104" s="193"/>
      <c r="FZ104" s="193"/>
      <c r="GA104" s="193"/>
      <c r="GB104" s="193"/>
      <c r="GC104" s="193"/>
      <c r="GD104" s="193"/>
      <c r="GE104" s="193"/>
      <c r="GF104" s="193"/>
      <c r="GG104" s="193"/>
      <c r="GH104" s="193"/>
      <c r="GI104" s="193"/>
      <c r="GJ104" s="193"/>
      <c r="GK104" s="193"/>
      <c r="GL104" s="193"/>
      <c r="GM104" s="193"/>
      <c r="GN104" s="193"/>
      <c r="GO104" s="193"/>
      <c r="GP104" s="193"/>
      <c r="GQ104" s="193"/>
      <c r="GR104" s="193"/>
      <c r="GS104" s="193"/>
      <c r="GT104" s="193"/>
      <c r="GU104" s="193"/>
      <c r="GV104" s="193"/>
      <c r="GW104" s="193"/>
      <c r="GX104" s="193"/>
      <c r="GY104" s="193"/>
      <c r="GZ104" s="193"/>
      <c r="HA104" s="193"/>
      <c r="HB104" s="193"/>
      <c r="HC104" s="193"/>
      <c r="HD104" s="193"/>
      <c r="HE104" s="193"/>
      <c r="HF104" s="193"/>
      <c r="HG104" s="193"/>
      <c r="HH104" s="193"/>
      <c r="HI104" s="193"/>
      <c r="HJ104" s="193"/>
      <c r="HK104" s="193"/>
      <c r="HL104" s="193"/>
      <c r="HM104" s="193"/>
      <c r="HN104" s="193"/>
      <c r="HO104" s="193"/>
      <c r="HP104" s="193"/>
      <c r="HQ104" s="193"/>
      <c r="HR104" s="193"/>
      <c r="HS104" s="193"/>
      <c r="HT104" s="193"/>
      <c r="HU104" s="193"/>
      <c r="HV104" s="193"/>
      <c r="HW104" s="193"/>
      <c r="HX104" s="193"/>
      <c r="HY104" s="193"/>
      <c r="HZ104" s="193"/>
      <c r="IA104" s="193"/>
      <c r="IB104" s="193"/>
      <c r="IC104" s="193"/>
      <c r="ID104" s="193"/>
      <c r="IE104" s="193"/>
      <c r="IF104" s="193"/>
      <c r="IG104" s="193"/>
      <c r="IH104" s="193"/>
      <c r="II104" s="193"/>
      <c r="IJ104" s="193"/>
      <c r="IK104" s="193"/>
      <c r="IL104" s="193"/>
      <c r="IM104" s="193"/>
      <c r="IN104" s="193"/>
      <c r="IO104" s="193"/>
      <c r="IP104" s="193"/>
      <c r="IQ104" s="193"/>
    </row>
    <row r="105" spans="1:251" hidden="1">
      <c r="A105" s="1026"/>
      <c r="B105" s="1026"/>
      <c r="C105" s="1026"/>
      <c r="D105" s="2021"/>
      <c r="E105" s="1026"/>
      <c r="F105" s="1942">
        <f t="shared" si="46"/>
        <v>0</v>
      </c>
      <c r="G105" s="1026"/>
      <c r="H105" s="1942">
        <f t="shared" si="47"/>
        <v>0</v>
      </c>
      <c r="I105" s="1026"/>
      <c r="J105" s="1942">
        <f t="shared" si="48"/>
        <v>0</v>
      </c>
      <c r="K105" s="1026"/>
      <c r="L105" s="1942">
        <f t="shared" si="49"/>
        <v>0</v>
      </c>
      <c r="M105" s="1942">
        <f t="shared" si="50"/>
        <v>0</v>
      </c>
      <c r="N105" s="1942">
        <f t="shared" si="51"/>
        <v>0</v>
      </c>
      <c r="O105" s="1026"/>
      <c r="P105" s="1026"/>
      <c r="Q105" s="1942">
        <f t="shared" si="52"/>
        <v>0</v>
      </c>
      <c r="R105" s="1942">
        <f t="shared" si="53"/>
        <v>0</v>
      </c>
      <c r="S105" s="1942">
        <f t="shared" si="54"/>
        <v>0</v>
      </c>
      <c r="T105" s="1942">
        <f t="shared" si="55"/>
        <v>0</v>
      </c>
      <c r="U105" s="1942">
        <f t="shared" si="56"/>
        <v>0</v>
      </c>
      <c r="V105" s="3035">
        <f t="shared" si="44"/>
        <v>0</v>
      </c>
      <c r="W105" s="1942"/>
      <c r="X105" s="193"/>
      <c r="Y105" s="193"/>
      <c r="Z105" s="193"/>
      <c r="AA105" s="193"/>
      <c r="AB105" s="193"/>
      <c r="AC105" s="193"/>
      <c r="AD105" s="193"/>
      <c r="AE105" s="193"/>
      <c r="AF105" s="193"/>
      <c r="AG105" s="193"/>
      <c r="AH105" s="193"/>
      <c r="AI105" s="193"/>
      <c r="AJ105" s="193"/>
      <c r="AK105" s="193"/>
      <c r="AL105" s="193"/>
      <c r="AM105" s="193"/>
      <c r="AN105" s="193"/>
      <c r="AO105" s="193"/>
      <c r="AP105" s="193"/>
      <c r="AQ105" s="193"/>
      <c r="AR105" s="193"/>
      <c r="AS105" s="193"/>
      <c r="AT105" s="193"/>
      <c r="AU105" s="193"/>
      <c r="AV105" s="193"/>
      <c r="AW105" s="193"/>
      <c r="AX105" s="193"/>
      <c r="AY105" s="193"/>
      <c r="AZ105" s="193"/>
      <c r="BA105" s="193"/>
      <c r="BB105" s="193"/>
      <c r="BC105" s="193"/>
      <c r="BD105" s="193"/>
      <c r="BE105" s="193"/>
      <c r="BF105" s="193"/>
      <c r="BG105" s="193"/>
      <c r="BH105" s="193"/>
      <c r="BI105" s="193"/>
      <c r="BJ105" s="193"/>
      <c r="BK105" s="193"/>
      <c r="BL105" s="193"/>
      <c r="BM105" s="193"/>
      <c r="BN105" s="193"/>
      <c r="BO105" s="193"/>
      <c r="BP105" s="193"/>
      <c r="BQ105" s="193"/>
      <c r="BR105" s="193"/>
      <c r="BS105" s="193"/>
      <c r="BT105" s="193"/>
      <c r="BU105" s="193"/>
      <c r="BV105" s="193"/>
      <c r="BW105" s="193"/>
      <c r="BX105" s="193"/>
      <c r="BY105" s="193"/>
      <c r="BZ105" s="193"/>
      <c r="CA105" s="193"/>
      <c r="CB105" s="193"/>
      <c r="CC105" s="193"/>
      <c r="CD105" s="193"/>
      <c r="CE105" s="193"/>
      <c r="CF105" s="193"/>
      <c r="CG105" s="193"/>
      <c r="CH105" s="193"/>
      <c r="CI105" s="193"/>
      <c r="CJ105" s="193"/>
      <c r="CK105" s="193"/>
      <c r="CL105" s="193"/>
      <c r="CM105" s="193"/>
      <c r="CN105" s="193"/>
      <c r="CO105" s="193"/>
      <c r="CP105" s="193"/>
      <c r="CQ105" s="193"/>
      <c r="CR105" s="193"/>
      <c r="CS105" s="193"/>
      <c r="CT105" s="193"/>
      <c r="CU105" s="193"/>
      <c r="CV105" s="193"/>
      <c r="CW105" s="193"/>
      <c r="CX105" s="193"/>
      <c r="CY105" s="193"/>
      <c r="CZ105" s="193"/>
      <c r="DA105" s="193"/>
      <c r="DB105" s="193"/>
      <c r="DC105" s="193"/>
      <c r="DD105" s="193"/>
      <c r="DE105" s="193"/>
      <c r="DF105" s="193"/>
      <c r="DG105" s="193"/>
      <c r="DH105" s="193"/>
      <c r="DI105" s="193"/>
      <c r="DJ105" s="193"/>
      <c r="DK105" s="193"/>
      <c r="DL105" s="193"/>
      <c r="DM105" s="193"/>
      <c r="DN105" s="193"/>
      <c r="DO105" s="193"/>
      <c r="DP105" s="193"/>
      <c r="DQ105" s="193"/>
      <c r="DR105" s="193"/>
      <c r="DS105" s="193"/>
      <c r="DT105" s="193"/>
      <c r="DU105" s="193"/>
      <c r="DV105" s="193"/>
      <c r="DW105" s="193"/>
      <c r="DX105" s="193"/>
      <c r="DY105" s="193"/>
      <c r="DZ105" s="193"/>
      <c r="EA105" s="193"/>
      <c r="EB105" s="193"/>
      <c r="EC105" s="193"/>
      <c r="ED105" s="193"/>
      <c r="EE105" s="193"/>
      <c r="EF105" s="193"/>
      <c r="EG105" s="193"/>
      <c r="EH105" s="193"/>
      <c r="EI105" s="193"/>
      <c r="EJ105" s="193"/>
      <c r="EK105" s="193"/>
      <c r="EL105" s="193"/>
      <c r="EM105" s="193"/>
      <c r="EN105" s="193"/>
      <c r="EO105" s="193"/>
      <c r="EP105" s="193"/>
      <c r="EQ105" s="193"/>
      <c r="ER105" s="193"/>
      <c r="ES105" s="193"/>
      <c r="ET105" s="193"/>
      <c r="EU105" s="193"/>
      <c r="EV105" s="193"/>
      <c r="EW105" s="193"/>
      <c r="EX105" s="193"/>
      <c r="EY105" s="193"/>
      <c r="EZ105" s="193"/>
      <c r="FA105" s="193"/>
      <c r="FB105" s="193"/>
      <c r="FC105" s="193"/>
      <c r="FD105" s="193"/>
      <c r="FE105" s="193"/>
      <c r="FF105" s="193"/>
      <c r="FG105" s="193"/>
      <c r="FH105" s="193"/>
      <c r="FI105" s="193"/>
      <c r="FJ105" s="193"/>
      <c r="FK105" s="193"/>
      <c r="FL105" s="193"/>
      <c r="FM105" s="193"/>
      <c r="FN105" s="193"/>
      <c r="FO105" s="193"/>
      <c r="FP105" s="193"/>
      <c r="FQ105" s="193"/>
      <c r="FR105" s="193"/>
      <c r="FS105" s="193"/>
      <c r="FT105" s="193"/>
      <c r="FU105" s="193"/>
      <c r="FV105" s="193"/>
      <c r="FW105" s="193"/>
      <c r="FX105" s="193"/>
      <c r="FY105" s="193"/>
      <c r="FZ105" s="193"/>
      <c r="GA105" s="193"/>
      <c r="GB105" s="193"/>
      <c r="GC105" s="193"/>
      <c r="GD105" s="193"/>
      <c r="GE105" s="193"/>
      <c r="GF105" s="193"/>
      <c r="GG105" s="193"/>
      <c r="GH105" s="193"/>
      <c r="GI105" s="193"/>
      <c r="GJ105" s="193"/>
      <c r="GK105" s="193"/>
      <c r="GL105" s="193"/>
      <c r="GM105" s="193"/>
      <c r="GN105" s="193"/>
      <c r="GO105" s="193"/>
      <c r="GP105" s="193"/>
      <c r="GQ105" s="193"/>
      <c r="GR105" s="193"/>
      <c r="GS105" s="193"/>
      <c r="GT105" s="193"/>
      <c r="GU105" s="193"/>
      <c r="GV105" s="193"/>
      <c r="GW105" s="193"/>
      <c r="GX105" s="193"/>
      <c r="GY105" s="193"/>
      <c r="GZ105" s="193"/>
      <c r="HA105" s="193"/>
      <c r="HB105" s="193"/>
      <c r="HC105" s="193"/>
      <c r="HD105" s="193"/>
      <c r="HE105" s="193"/>
      <c r="HF105" s="193"/>
      <c r="HG105" s="193"/>
      <c r="HH105" s="193"/>
      <c r="HI105" s="193"/>
      <c r="HJ105" s="193"/>
      <c r="HK105" s="193"/>
      <c r="HL105" s="193"/>
      <c r="HM105" s="193"/>
      <c r="HN105" s="193"/>
      <c r="HO105" s="193"/>
      <c r="HP105" s="193"/>
      <c r="HQ105" s="193"/>
      <c r="HR105" s="193"/>
      <c r="HS105" s="193"/>
      <c r="HT105" s="193"/>
      <c r="HU105" s="193"/>
      <c r="HV105" s="193"/>
      <c r="HW105" s="193"/>
      <c r="HX105" s="193"/>
      <c r="HY105" s="193"/>
      <c r="HZ105" s="193"/>
      <c r="IA105" s="193"/>
      <c r="IB105" s="193"/>
      <c r="IC105" s="193"/>
      <c r="ID105" s="193"/>
      <c r="IE105" s="193"/>
      <c r="IF105" s="193"/>
      <c r="IG105" s="193"/>
      <c r="IH105" s="193"/>
      <c r="II105" s="193"/>
      <c r="IJ105" s="193"/>
      <c r="IK105" s="193"/>
      <c r="IL105" s="193"/>
      <c r="IM105" s="193"/>
      <c r="IN105" s="193"/>
      <c r="IO105" s="193"/>
      <c r="IP105" s="193"/>
      <c r="IQ105" s="193"/>
    </row>
    <row r="106" spans="1:251" hidden="1">
      <c r="A106" s="1026"/>
      <c r="B106" s="1026"/>
      <c r="C106" s="1026"/>
      <c r="D106" s="2021"/>
      <c r="E106" s="1026"/>
      <c r="F106" s="1942">
        <f t="shared" si="46"/>
        <v>0</v>
      </c>
      <c r="G106" s="1026"/>
      <c r="H106" s="1942">
        <f t="shared" si="47"/>
        <v>0</v>
      </c>
      <c r="I106" s="1026"/>
      <c r="J106" s="1942">
        <f t="shared" si="48"/>
        <v>0</v>
      </c>
      <c r="K106" s="1026"/>
      <c r="L106" s="1942">
        <f t="shared" si="49"/>
        <v>0</v>
      </c>
      <c r="M106" s="1942">
        <f t="shared" si="50"/>
        <v>0</v>
      </c>
      <c r="N106" s="1942">
        <f t="shared" si="51"/>
        <v>0</v>
      </c>
      <c r="O106" s="1026"/>
      <c r="P106" s="1026"/>
      <c r="Q106" s="1942">
        <f t="shared" si="52"/>
        <v>0</v>
      </c>
      <c r="R106" s="1942">
        <f t="shared" si="53"/>
        <v>0</v>
      </c>
      <c r="S106" s="1942">
        <f t="shared" si="54"/>
        <v>0</v>
      </c>
      <c r="T106" s="1942">
        <f t="shared" si="55"/>
        <v>0</v>
      </c>
      <c r="U106" s="1942">
        <f t="shared" si="56"/>
        <v>0</v>
      </c>
      <c r="V106" s="3035">
        <f t="shared" si="44"/>
        <v>0</v>
      </c>
      <c r="W106" s="1942"/>
      <c r="X106" s="193"/>
      <c r="Y106" s="193"/>
      <c r="Z106" s="193"/>
      <c r="AA106" s="193"/>
      <c r="AB106" s="193"/>
      <c r="AC106" s="193"/>
      <c r="AD106" s="193"/>
      <c r="AE106" s="193"/>
      <c r="AF106" s="193"/>
      <c r="AG106" s="193"/>
      <c r="AH106" s="193"/>
      <c r="AI106" s="193"/>
      <c r="AJ106" s="193"/>
      <c r="AK106" s="193"/>
      <c r="AL106" s="193"/>
      <c r="AM106" s="193"/>
      <c r="AN106" s="193"/>
      <c r="AO106" s="193"/>
      <c r="AP106" s="193"/>
      <c r="AQ106" s="193"/>
      <c r="AR106" s="193"/>
      <c r="AS106" s="193"/>
      <c r="AT106" s="193"/>
      <c r="AU106" s="193"/>
      <c r="AV106" s="193"/>
      <c r="AW106" s="193"/>
      <c r="AX106" s="193"/>
      <c r="AY106" s="193"/>
      <c r="AZ106" s="193"/>
      <c r="BA106" s="193"/>
      <c r="BB106" s="193"/>
      <c r="BC106" s="193"/>
      <c r="BD106" s="193"/>
      <c r="BE106" s="193"/>
      <c r="BF106" s="193"/>
      <c r="BG106" s="193"/>
      <c r="BH106" s="193"/>
      <c r="BI106" s="193"/>
      <c r="BJ106" s="193"/>
      <c r="BK106" s="193"/>
      <c r="BL106" s="193"/>
      <c r="BM106" s="193"/>
      <c r="BN106" s="193"/>
      <c r="BO106" s="193"/>
      <c r="BP106" s="193"/>
      <c r="BQ106" s="193"/>
      <c r="BR106" s="193"/>
      <c r="BS106" s="193"/>
      <c r="BT106" s="193"/>
      <c r="BU106" s="193"/>
      <c r="BV106" s="193"/>
      <c r="BW106" s="193"/>
      <c r="BX106" s="193"/>
      <c r="BY106" s="193"/>
      <c r="BZ106" s="193"/>
      <c r="CA106" s="193"/>
      <c r="CB106" s="193"/>
      <c r="CC106" s="193"/>
      <c r="CD106" s="193"/>
      <c r="CE106" s="193"/>
      <c r="CF106" s="193"/>
      <c r="CG106" s="193"/>
      <c r="CH106" s="193"/>
      <c r="CI106" s="193"/>
      <c r="CJ106" s="193"/>
      <c r="CK106" s="193"/>
      <c r="CL106" s="193"/>
      <c r="CM106" s="193"/>
      <c r="CN106" s="193"/>
      <c r="CO106" s="193"/>
      <c r="CP106" s="193"/>
      <c r="CQ106" s="193"/>
      <c r="CR106" s="193"/>
      <c r="CS106" s="193"/>
      <c r="CT106" s="193"/>
      <c r="CU106" s="193"/>
      <c r="CV106" s="193"/>
      <c r="CW106" s="193"/>
      <c r="CX106" s="193"/>
      <c r="CY106" s="193"/>
      <c r="CZ106" s="193"/>
      <c r="DA106" s="193"/>
      <c r="DB106" s="193"/>
      <c r="DC106" s="193"/>
      <c r="DD106" s="193"/>
      <c r="DE106" s="193"/>
      <c r="DF106" s="193"/>
      <c r="DG106" s="193"/>
      <c r="DH106" s="193"/>
      <c r="DI106" s="193"/>
      <c r="DJ106" s="193"/>
      <c r="DK106" s="193"/>
      <c r="DL106" s="193"/>
      <c r="DM106" s="193"/>
      <c r="DN106" s="193"/>
      <c r="DO106" s="193"/>
      <c r="DP106" s="193"/>
      <c r="DQ106" s="193"/>
      <c r="DR106" s="193"/>
      <c r="DS106" s="193"/>
      <c r="DT106" s="193"/>
      <c r="DU106" s="193"/>
      <c r="DV106" s="193"/>
      <c r="DW106" s="193"/>
      <c r="DX106" s="193"/>
      <c r="DY106" s="193"/>
      <c r="DZ106" s="193"/>
      <c r="EA106" s="193"/>
      <c r="EB106" s="193"/>
      <c r="EC106" s="193"/>
      <c r="ED106" s="193"/>
      <c r="EE106" s="193"/>
      <c r="EF106" s="193"/>
      <c r="EG106" s="193"/>
      <c r="EH106" s="193"/>
      <c r="EI106" s="193"/>
      <c r="EJ106" s="193"/>
      <c r="EK106" s="193"/>
      <c r="EL106" s="193"/>
      <c r="EM106" s="193"/>
      <c r="EN106" s="193"/>
      <c r="EO106" s="193"/>
      <c r="EP106" s="193"/>
      <c r="EQ106" s="193"/>
      <c r="ER106" s="193"/>
      <c r="ES106" s="193"/>
      <c r="ET106" s="193"/>
      <c r="EU106" s="193"/>
      <c r="EV106" s="193"/>
      <c r="EW106" s="193"/>
      <c r="EX106" s="193"/>
      <c r="EY106" s="193"/>
      <c r="EZ106" s="193"/>
      <c r="FA106" s="193"/>
      <c r="FB106" s="193"/>
      <c r="FC106" s="193"/>
      <c r="FD106" s="193"/>
      <c r="FE106" s="193"/>
      <c r="FF106" s="193"/>
      <c r="FG106" s="193"/>
      <c r="FH106" s="193"/>
      <c r="FI106" s="193"/>
      <c r="FJ106" s="193"/>
      <c r="FK106" s="193"/>
      <c r="FL106" s="193"/>
      <c r="FM106" s="193"/>
      <c r="FN106" s="193"/>
      <c r="FO106" s="193"/>
      <c r="FP106" s="193"/>
      <c r="FQ106" s="193"/>
      <c r="FR106" s="193"/>
      <c r="FS106" s="193"/>
      <c r="FT106" s="193"/>
      <c r="FU106" s="193"/>
      <c r="FV106" s="193"/>
      <c r="FW106" s="193"/>
      <c r="FX106" s="193"/>
      <c r="FY106" s="193"/>
      <c r="FZ106" s="193"/>
      <c r="GA106" s="193"/>
      <c r="GB106" s="193"/>
      <c r="GC106" s="193"/>
      <c r="GD106" s="193"/>
      <c r="GE106" s="193"/>
      <c r="GF106" s="193"/>
      <c r="GG106" s="193"/>
      <c r="GH106" s="193"/>
      <c r="GI106" s="193"/>
      <c r="GJ106" s="193"/>
      <c r="GK106" s="193"/>
      <c r="GL106" s="193"/>
      <c r="GM106" s="193"/>
      <c r="GN106" s="193"/>
      <c r="GO106" s="193"/>
      <c r="GP106" s="193"/>
      <c r="GQ106" s="193"/>
      <c r="GR106" s="193"/>
      <c r="GS106" s="193"/>
      <c r="GT106" s="193"/>
      <c r="GU106" s="193"/>
      <c r="GV106" s="193"/>
      <c r="GW106" s="193"/>
      <c r="GX106" s="193"/>
      <c r="GY106" s="193"/>
      <c r="GZ106" s="193"/>
      <c r="HA106" s="193"/>
      <c r="HB106" s="193"/>
      <c r="HC106" s="193"/>
      <c r="HD106" s="193"/>
      <c r="HE106" s="193"/>
      <c r="HF106" s="193"/>
      <c r="HG106" s="193"/>
      <c r="HH106" s="193"/>
      <c r="HI106" s="193"/>
      <c r="HJ106" s="193"/>
      <c r="HK106" s="193"/>
      <c r="HL106" s="193"/>
      <c r="HM106" s="193"/>
      <c r="HN106" s="193"/>
      <c r="HO106" s="193"/>
      <c r="HP106" s="193"/>
      <c r="HQ106" s="193"/>
      <c r="HR106" s="193"/>
      <c r="HS106" s="193"/>
      <c r="HT106" s="193"/>
      <c r="HU106" s="193"/>
      <c r="HV106" s="193"/>
      <c r="HW106" s="193"/>
      <c r="HX106" s="193"/>
      <c r="HY106" s="193"/>
      <c r="HZ106" s="193"/>
      <c r="IA106" s="193"/>
      <c r="IB106" s="193"/>
      <c r="IC106" s="193"/>
      <c r="ID106" s="193"/>
      <c r="IE106" s="193"/>
      <c r="IF106" s="193"/>
      <c r="IG106" s="193"/>
      <c r="IH106" s="193"/>
      <c r="II106" s="193"/>
      <c r="IJ106" s="193"/>
      <c r="IK106" s="193"/>
      <c r="IL106" s="193"/>
      <c r="IM106" s="193"/>
      <c r="IN106" s="193"/>
      <c r="IO106" s="193"/>
      <c r="IP106" s="193"/>
      <c r="IQ106" s="193"/>
    </row>
    <row r="107" spans="1:251" hidden="1">
      <c r="A107" s="1026"/>
      <c r="B107" s="1026"/>
      <c r="C107" s="1026"/>
      <c r="D107" s="2021"/>
      <c r="E107" s="1026"/>
      <c r="F107" s="1942">
        <f t="shared" si="46"/>
        <v>0</v>
      </c>
      <c r="G107" s="1026"/>
      <c r="H107" s="1942">
        <f t="shared" si="47"/>
        <v>0</v>
      </c>
      <c r="I107" s="1026"/>
      <c r="J107" s="1942">
        <f t="shared" si="48"/>
        <v>0</v>
      </c>
      <c r="K107" s="1026"/>
      <c r="L107" s="1942">
        <f t="shared" si="49"/>
        <v>0</v>
      </c>
      <c r="M107" s="1942">
        <f t="shared" si="50"/>
        <v>0</v>
      </c>
      <c r="N107" s="1942">
        <f t="shared" si="51"/>
        <v>0</v>
      </c>
      <c r="O107" s="1026"/>
      <c r="P107" s="1026"/>
      <c r="Q107" s="1942">
        <f t="shared" si="52"/>
        <v>0</v>
      </c>
      <c r="R107" s="1942">
        <f t="shared" si="53"/>
        <v>0</v>
      </c>
      <c r="S107" s="1942">
        <f t="shared" si="54"/>
        <v>0</v>
      </c>
      <c r="T107" s="1942">
        <f t="shared" si="55"/>
        <v>0</v>
      </c>
      <c r="U107" s="1942">
        <f t="shared" si="56"/>
        <v>0</v>
      </c>
      <c r="V107" s="3035">
        <f t="shared" si="44"/>
        <v>0</v>
      </c>
      <c r="W107" s="1942"/>
      <c r="X107" s="193"/>
      <c r="Y107" s="193"/>
      <c r="Z107" s="193"/>
      <c r="AA107" s="193"/>
      <c r="AB107" s="193"/>
      <c r="AC107" s="193"/>
      <c r="AD107" s="193"/>
      <c r="AE107" s="193"/>
      <c r="AF107" s="193"/>
      <c r="AG107" s="193"/>
      <c r="AH107" s="193"/>
      <c r="AI107" s="193"/>
      <c r="AJ107" s="193"/>
      <c r="AK107" s="193"/>
      <c r="AL107" s="193"/>
      <c r="AM107" s="193"/>
      <c r="AN107" s="193"/>
      <c r="AO107" s="193"/>
      <c r="AP107" s="193"/>
      <c r="AQ107" s="193"/>
      <c r="AR107" s="193"/>
      <c r="AS107" s="193"/>
      <c r="AT107" s="193"/>
      <c r="AU107" s="193"/>
      <c r="AV107" s="193"/>
      <c r="AW107" s="193"/>
      <c r="AX107" s="193"/>
      <c r="AY107" s="193"/>
      <c r="AZ107" s="193"/>
      <c r="BA107" s="193"/>
      <c r="BB107" s="193"/>
      <c r="BC107" s="193"/>
      <c r="BD107" s="193"/>
      <c r="BE107" s="193"/>
      <c r="BF107" s="193"/>
      <c r="BG107" s="193"/>
      <c r="BH107" s="193"/>
      <c r="BI107" s="193"/>
      <c r="BJ107" s="193"/>
      <c r="BK107" s="193"/>
      <c r="BL107" s="193"/>
      <c r="BM107" s="193"/>
      <c r="BN107" s="193"/>
      <c r="BO107" s="193"/>
      <c r="BP107" s="193"/>
      <c r="BQ107" s="193"/>
      <c r="BR107" s="193"/>
      <c r="BS107" s="193"/>
      <c r="BT107" s="193"/>
      <c r="BU107" s="193"/>
      <c r="BV107" s="193"/>
      <c r="BW107" s="193"/>
      <c r="BX107" s="193"/>
      <c r="BY107" s="193"/>
      <c r="BZ107" s="193"/>
      <c r="CA107" s="193"/>
      <c r="CB107" s="193"/>
      <c r="CC107" s="193"/>
      <c r="CD107" s="193"/>
      <c r="CE107" s="193"/>
      <c r="CF107" s="193"/>
      <c r="CG107" s="193"/>
      <c r="CH107" s="193"/>
      <c r="CI107" s="193"/>
      <c r="CJ107" s="193"/>
      <c r="CK107" s="193"/>
      <c r="CL107" s="193"/>
      <c r="CM107" s="193"/>
      <c r="CN107" s="193"/>
      <c r="CO107" s="193"/>
      <c r="CP107" s="193"/>
      <c r="CQ107" s="193"/>
      <c r="CR107" s="193"/>
      <c r="CS107" s="193"/>
      <c r="CT107" s="193"/>
      <c r="CU107" s="193"/>
      <c r="CV107" s="193"/>
      <c r="CW107" s="193"/>
      <c r="CX107" s="193"/>
      <c r="CY107" s="193"/>
      <c r="CZ107" s="193"/>
      <c r="DA107" s="193"/>
      <c r="DB107" s="193"/>
      <c r="DC107" s="193"/>
      <c r="DD107" s="193"/>
      <c r="DE107" s="193"/>
      <c r="DF107" s="193"/>
      <c r="DG107" s="193"/>
      <c r="DH107" s="193"/>
      <c r="DI107" s="193"/>
      <c r="DJ107" s="193"/>
      <c r="DK107" s="193"/>
      <c r="DL107" s="193"/>
      <c r="DM107" s="193"/>
      <c r="DN107" s="193"/>
      <c r="DO107" s="193"/>
      <c r="DP107" s="193"/>
      <c r="DQ107" s="193"/>
      <c r="DR107" s="193"/>
      <c r="DS107" s="193"/>
      <c r="DT107" s="193"/>
      <c r="DU107" s="193"/>
      <c r="DV107" s="193"/>
      <c r="DW107" s="193"/>
      <c r="DX107" s="193"/>
      <c r="DY107" s="193"/>
      <c r="DZ107" s="193"/>
      <c r="EA107" s="193"/>
      <c r="EB107" s="193"/>
      <c r="EC107" s="193"/>
      <c r="ED107" s="193"/>
      <c r="EE107" s="193"/>
      <c r="EF107" s="193"/>
      <c r="EG107" s="193"/>
      <c r="EH107" s="193"/>
      <c r="EI107" s="193"/>
      <c r="EJ107" s="193"/>
      <c r="EK107" s="193"/>
      <c r="EL107" s="193"/>
      <c r="EM107" s="193"/>
      <c r="EN107" s="193"/>
      <c r="EO107" s="193"/>
      <c r="EP107" s="193"/>
      <c r="EQ107" s="193"/>
      <c r="ER107" s="193"/>
      <c r="ES107" s="193"/>
      <c r="ET107" s="193"/>
      <c r="EU107" s="193"/>
      <c r="EV107" s="193"/>
      <c r="EW107" s="193"/>
      <c r="EX107" s="193"/>
      <c r="EY107" s="193"/>
      <c r="EZ107" s="193"/>
      <c r="FA107" s="193"/>
      <c r="FB107" s="193"/>
      <c r="FC107" s="193"/>
      <c r="FD107" s="193"/>
      <c r="FE107" s="193"/>
      <c r="FF107" s="193"/>
      <c r="FG107" s="193"/>
      <c r="FH107" s="193"/>
      <c r="FI107" s="193"/>
      <c r="FJ107" s="193"/>
      <c r="FK107" s="193"/>
      <c r="FL107" s="193"/>
      <c r="FM107" s="193"/>
      <c r="FN107" s="193"/>
      <c r="FO107" s="193"/>
      <c r="FP107" s="193"/>
      <c r="FQ107" s="193"/>
      <c r="FR107" s="193"/>
      <c r="FS107" s="193"/>
      <c r="FT107" s="193"/>
      <c r="FU107" s="193"/>
      <c r="FV107" s="193"/>
      <c r="FW107" s="193"/>
      <c r="FX107" s="193"/>
      <c r="FY107" s="193"/>
      <c r="FZ107" s="193"/>
      <c r="GA107" s="193"/>
      <c r="GB107" s="193"/>
      <c r="GC107" s="193"/>
      <c r="GD107" s="193"/>
      <c r="GE107" s="193"/>
      <c r="GF107" s="193"/>
      <c r="GG107" s="193"/>
      <c r="GH107" s="193"/>
      <c r="GI107" s="193"/>
      <c r="GJ107" s="193"/>
      <c r="GK107" s="193"/>
      <c r="GL107" s="193"/>
      <c r="GM107" s="193"/>
      <c r="GN107" s="193"/>
      <c r="GO107" s="193"/>
      <c r="GP107" s="193"/>
      <c r="GQ107" s="193"/>
      <c r="GR107" s="193"/>
      <c r="GS107" s="193"/>
      <c r="GT107" s="193"/>
      <c r="GU107" s="193"/>
      <c r="GV107" s="193"/>
      <c r="GW107" s="193"/>
      <c r="GX107" s="193"/>
      <c r="GY107" s="193"/>
      <c r="GZ107" s="193"/>
      <c r="HA107" s="193"/>
      <c r="HB107" s="193"/>
      <c r="HC107" s="193"/>
      <c r="HD107" s="193"/>
      <c r="HE107" s="193"/>
      <c r="HF107" s="193"/>
      <c r="HG107" s="193"/>
      <c r="HH107" s="193"/>
      <c r="HI107" s="193"/>
      <c r="HJ107" s="193"/>
      <c r="HK107" s="193"/>
      <c r="HL107" s="193"/>
      <c r="HM107" s="193"/>
      <c r="HN107" s="193"/>
      <c r="HO107" s="193"/>
      <c r="HP107" s="193"/>
      <c r="HQ107" s="193"/>
      <c r="HR107" s="193"/>
      <c r="HS107" s="193"/>
      <c r="HT107" s="193"/>
      <c r="HU107" s="193"/>
      <c r="HV107" s="193"/>
      <c r="HW107" s="193"/>
      <c r="HX107" s="193"/>
      <c r="HY107" s="193"/>
      <c r="HZ107" s="193"/>
      <c r="IA107" s="193"/>
      <c r="IB107" s="193"/>
      <c r="IC107" s="193"/>
      <c r="ID107" s="193"/>
      <c r="IE107" s="193"/>
      <c r="IF107" s="193"/>
      <c r="IG107" s="193"/>
      <c r="IH107" s="193"/>
      <c r="II107" s="193"/>
      <c r="IJ107" s="193"/>
      <c r="IK107" s="193"/>
      <c r="IL107" s="193"/>
      <c r="IM107" s="193"/>
      <c r="IN107" s="193"/>
      <c r="IO107" s="193"/>
      <c r="IP107" s="193"/>
      <c r="IQ107" s="193"/>
    </row>
    <row r="108" spans="1:251" hidden="1">
      <c r="A108" s="1026"/>
      <c r="B108" s="1026"/>
      <c r="C108" s="1026"/>
      <c r="D108" s="2021"/>
      <c r="E108" s="1026"/>
      <c r="F108" s="1942">
        <f t="shared" si="46"/>
        <v>0</v>
      </c>
      <c r="G108" s="1026"/>
      <c r="H108" s="1942">
        <f t="shared" si="47"/>
        <v>0</v>
      </c>
      <c r="I108" s="1026"/>
      <c r="J108" s="1942">
        <f t="shared" si="48"/>
        <v>0</v>
      </c>
      <c r="K108" s="1026"/>
      <c r="L108" s="1942">
        <f t="shared" si="49"/>
        <v>0</v>
      </c>
      <c r="M108" s="1942">
        <f t="shared" si="50"/>
        <v>0</v>
      </c>
      <c r="N108" s="1942">
        <f t="shared" si="51"/>
        <v>0</v>
      </c>
      <c r="O108" s="1026"/>
      <c r="P108" s="1026"/>
      <c r="Q108" s="1942">
        <f t="shared" si="52"/>
        <v>0</v>
      </c>
      <c r="R108" s="1942">
        <f t="shared" si="53"/>
        <v>0</v>
      </c>
      <c r="S108" s="1942">
        <f t="shared" si="54"/>
        <v>0</v>
      </c>
      <c r="T108" s="1942">
        <f t="shared" si="55"/>
        <v>0</v>
      </c>
      <c r="U108" s="1942">
        <f t="shared" si="56"/>
        <v>0</v>
      </c>
      <c r="V108" s="3035">
        <f t="shared" si="44"/>
        <v>0</v>
      </c>
      <c r="W108" s="1942"/>
      <c r="X108" s="193"/>
      <c r="Y108" s="193"/>
      <c r="Z108" s="193"/>
      <c r="AA108" s="193"/>
      <c r="AB108" s="193"/>
      <c r="AC108" s="193"/>
      <c r="AD108" s="193"/>
      <c r="AE108" s="193"/>
      <c r="AF108" s="193"/>
      <c r="AG108" s="193"/>
      <c r="AH108" s="193"/>
      <c r="AI108" s="193"/>
      <c r="AJ108" s="193"/>
      <c r="AK108" s="193"/>
      <c r="AL108" s="193"/>
      <c r="AM108" s="193"/>
      <c r="AN108" s="193"/>
      <c r="AO108" s="193"/>
      <c r="AP108" s="193"/>
      <c r="AQ108" s="193"/>
      <c r="AR108" s="193"/>
      <c r="AS108" s="193"/>
      <c r="AT108" s="193"/>
      <c r="AU108" s="193"/>
      <c r="AV108" s="193"/>
      <c r="AW108" s="193"/>
      <c r="AX108" s="193"/>
      <c r="AY108" s="193"/>
      <c r="AZ108" s="193"/>
      <c r="BA108" s="193"/>
      <c r="BB108" s="193"/>
      <c r="BC108" s="193"/>
      <c r="BD108" s="193"/>
      <c r="BE108" s="193"/>
      <c r="BF108" s="193"/>
      <c r="BG108" s="193"/>
      <c r="BH108" s="193"/>
      <c r="BI108" s="193"/>
      <c r="BJ108" s="193"/>
      <c r="BK108" s="193"/>
      <c r="BL108" s="193"/>
      <c r="BM108" s="193"/>
      <c r="BN108" s="193"/>
      <c r="BO108" s="193"/>
      <c r="BP108" s="193"/>
      <c r="BQ108" s="193"/>
      <c r="BR108" s="193"/>
      <c r="BS108" s="193"/>
      <c r="BT108" s="193"/>
      <c r="BU108" s="193"/>
      <c r="BV108" s="193"/>
      <c r="BW108" s="193"/>
      <c r="BX108" s="193"/>
      <c r="BY108" s="193"/>
      <c r="BZ108" s="193"/>
      <c r="CA108" s="193"/>
      <c r="CB108" s="193"/>
      <c r="CC108" s="193"/>
      <c r="CD108" s="193"/>
      <c r="CE108" s="193"/>
      <c r="CF108" s="193"/>
      <c r="CG108" s="193"/>
      <c r="CH108" s="193"/>
      <c r="CI108" s="193"/>
      <c r="CJ108" s="193"/>
      <c r="CK108" s="193"/>
      <c r="CL108" s="193"/>
      <c r="CM108" s="193"/>
      <c r="CN108" s="193"/>
      <c r="CO108" s="193"/>
      <c r="CP108" s="193"/>
      <c r="CQ108" s="193"/>
      <c r="CR108" s="193"/>
      <c r="CS108" s="193"/>
      <c r="CT108" s="193"/>
      <c r="CU108" s="193"/>
      <c r="CV108" s="193"/>
      <c r="CW108" s="193"/>
      <c r="CX108" s="193"/>
      <c r="CY108" s="193"/>
      <c r="CZ108" s="193"/>
      <c r="DA108" s="193"/>
      <c r="DB108" s="193"/>
      <c r="DC108" s="193"/>
      <c r="DD108" s="193"/>
      <c r="DE108" s="193"/>
      <c r="DF108" s="193"/>
      <c r="DG108" s="193"/>
      <c r="DH108" s="193"/>
      <c r="DI108" s="193"/>
      <c r="DJ108" s="193"/>
      <c r="DK108" s="193"/>
      <c r="DL108" s="193"/>
      <c r="DM108" s="193"/>
      <c r="DN108" s="193"/>
      <c r="DO108" s="193"/>
      <c r="DP108" s="193"/>
      <c r="DQ108" s="193"/>
      <c r="DR108" s="193"/>
      <c r="DS108" s="193"/>
      <c r="DT108" s="193"/>
      <c r="DU108" s="193"/>
      <c r="DV108" s="193"/>
      <c r="DW108" s="193"/>
      <c r="DX108" s="193"/>
      <c r="DY108" s="193"/>
      <c r="DZ108" s="193"/>
      <c r="EA108" s="193"/>
      <c r="EB108" s="193"/>
      <c r="EC108" s="193"/>
      <c r="ED108" s="193"/>
      <c r="EE108" s="193"/>
      <c r="EF108" s="193"/>
      <c r="EG108" s="193"/>
      <c r="EH108" s="193"/>
      <c r="EI108" s="193"/>
      <c r="EJ108" s="193"/>
      <c r="EK108" s="193"/>
      <c r="EL108" s="193"/>
      <c r="EM108" s="193"/>
      <c r="EN108" s="193"/>
      <c r="EO108" s="193"/>
      <c r="EP108" s="193"/>
      <c r="EQ108" s="193"/>
      <c r="ER108" s="193"/>
      <c r="ES108" s="193"/>
      <c r="ET108" s="193"/>
      <c r="EU108" s="193"/>
      <c r="EV108" s="193"/>
      <c r="EW108" s="193"/>
      <c r="EX108" s="193"/>
      <c r="EY108" s="193"/>
      <c r="EZ108" s="193"/>
      <c r="FA108" s="193"/>
      <c r="FB108" s="193"/>
      <c r="FC108" s="193"/>
      <c r="FD108" s="193"/>
      <c r="FE108" s="193"/>
      <c r="FF108" s="193"/>
      <c r="FG108" s="193"/>
      <c r="FH108" s="193"/>
      <c r="FI108" s="193"/>
      <c r="FJ108" s="193"/>
      <c r="FK108" s="193"/>
      <c r="FL108" s="193"/>
      <c r="FM108" s="193"/>
      <c r="FN108" s="193"/>
      <c r="FO108" s="193"/>
      <c r="FP108" s="193"/>
      <c r="FQ108" s="193"/>
      <c r="FR108" s="193"/>
      <c r="FS108" s="193"/>
      <c r="FT108" s="193"/>
      <c r="FU108" s="193"/>
      <c r="FV108" s="193"/>
      <c r="FW108" s="193"/>
      <c r="FX108" s="193"/>
      <c r="FY108" s="193"/>
      <c r="FZ108" s="193"/>
      <c r="GA108" s="193"/>
      <c r="GB108" s="193"/>
      <c r="GC108" s="193"/>
      <c r="GD108" s="193"/>
      <c r="GE108" s="193"/>
      <c r="GF108" s="193"/>
      <c r="GG108" s="193"/>
      <c r="GH108" s="193"/>
      <c r="GI108" s="193"/>
      <c r="GJ108" s="193"/>
      <c r="GK108" s="193"/>
      <c r="GL108" s="193"/>
      <c r="GM108" s="193"/>
      <c r="GN108" s="193"/>
      <c r="GO108" s="193"/>
      <c r="GP108" s="193"/>
      <c r="GQ108" s="193"/>
      <c r="GR108" s="193"/>
      <c r="GS108" s="193"/>
      <c r="GT108" s="193"/>
      <c r="GU108" s="193"/>
      <c r="GV108" s="193"/>
      <c r="GW108" s="193"/>
      <c r="GX108" s="193"/>
      <c r="GY108" s="193"/>
      <c r="GZ108" s="193"/>
      <c r="HA108" s="193"/>
      <c r="HB108" s="193"/>
      <c r="HC108" s="193"/>
      <c r="HD108" s="193"/>
      <c r="HE108" s="193"/>
      <c r="HF108" s="193"/>
      <c r="HG108" s="193"/>
      <c r="HH108" s="193"/>
      <c r="HI108" s="193"/>
      <c r="HJ108" s="193"/>
      <c r="HK108" s="193"/>
      <c r="HL108" s="193"/>
      <c r="HM108" s="193"/>
      <c r="HN108" s="193"/>
      <c r="HO108" s="193"/>
      <c r="HP108" s="193"/>
      <c r="HQ108" s="193"/>
      <c r="HR108" s="193"/>
      <c r="HS108" s="193"/>
      <c r="HT108" s="193"/>
      <c r="HU108" s="193"/>
      <c r="HV108" s="193"/>
      <c r="HW108" s="193"/>
      <c r="HX108" s="193"/>
      <c r="HY108" s="193"/>
      <c r="HZ108" s="193"/>
      <c r="IA108" s="193"/>
      <c r="IB108" s="193"/>
      <c r="IC108" s="193"/>
      <c r="ID108" s="193"/>
      <c r="IE108" s="193"/>
      <c r="IF108" s="193"/>
      <c r="IG108" s="193"/>
      <c r="IH108" s="193"/>
      <c r="II108" s="193"/>
      <c r="IJ108" s="193"/>
      <c r="IK108" s="193"/>
      <c r="IL108" s="193"/>
      <c r="IM108" s="193"/>
      <c r="IN108" s="193"/>
      <c r="IO108" s="193"/>
      <c r="IP108" s="193"/>
      <c r="IQ108" s="193"/>
    </row>
    <row r="109" spans="1:251" ht="14.25" hidden="1" customHeight="1">
      <c r="A109" s="1026"/>
      <c r="B109" s="1026"/>
      <c r="C109" s="1026"/>
      <c r="D109" s="2021"/>
      <c r="E109" s="1026"/>
      <c r="F109" s="1942">
        <f t="shared" si="46"/>
        <v>0</v>
      </c>
      <c r="G109" s="1026"/>
      <c r="H109" s="1942">
        <f t="shared" si="47"/>
        <v>0</v>
      </c>
      <c r="I109" s="1026"/>
      <c r="J109" s="1942">
        <f t="shared" si="48"/>
        <v>0</v>
      </c>
      <c r="K109" s="1026"/>
      <c r="L109" s="1942">
        <f t="shared" si="49"/>
        <v>0</v>
      </c>
      <c r="M109" s="1942">
        <f t="shared" si="50"/>
        <v>0</v>
      </c>
      <c r="N109" s="1942">
        <f t="shared" si="51"/>
        <v>0</v>
      </c>
      <c r="O109" s="1026"/>
      <c r="P109" s="1026"/>
      <c r="Q109" s="1942">
        <f t="shared" si="52"/>
        <v>0</v>
      </c>
      <c r="R109" s="1942">
        <f t="shared" si="53"/>
        <v>0</v>
      </c>
      <c r="S109" s="1942">
        <f t="shared" si="54"/>
        <v>0</v>
      </c>
      <c r="T109" s="1942">
        <f t="shared" si="55"/>
        <v>0</v>
      </c>
      <c r="U109" s="1942">
        <f t="shared" si="56"/>
        <v>0</v>
      </c>
      <c r="V109" s="3035">
        <f t="shared" si="44"/>
        <v>0</v>
      </c>
      <c r="W109" s="1942"/>
      <c r="X109" s="193"/>
      <c r="Y109" s="193"/>
      <c r="Z109" s="193"/>
      <c r="AA109" s="193"/>
      <c r="AB109" s="193"/>
      <c r="AC109" s="193"/>
      <c r="AD109" s="193"/>
      <c r="AE109" s="193"/>
      <c r="AF109" s="193"/>
      <c r="AG109" s="193"/>
      <c r="AH109" s="193"/>
      <c r="AI109" s="193"/>
      <c r="AJ109" s="193"/>
      <c r="AK109" s="193"/>
      <c r="AL109" s="193"/>
      <c r="AM109" s="193"/>
      <c r="AN109" s="193"/>
      <c r="AO109" s="193"/>
      <c r="AP109" s="193"/>
      <c r="AQ109" s="193"/>
      <c r="AR109" s="193"/>
      <c r="AS109" s="193"/>
      <c r="AT109" s="193"/>
      <c r="AU109" s="193"/>
      <c r="AV109" s="193"/>
      <c r="AW109" s="193"/>
      <c r="AX109" s="193"/>
      <c r="AY109" s="193"/>
      <c r="AZ109" s="193"/>
      <c r="BA109" s="193"/>
      <c r="BB109" s="193"/>
      <c r="BC109" s="193"/>
      <c r="BD109" s="193"/>
      <c r="BE109" s="193"/>
      <c r="BF109" s="193"/>
      <c r="BG109" s="193"/>
      <c r="BH109" s="193"/>
      <c r="BI109" s="193"/>
      <c r="BJ109" s="193"/>
      <c r="BK109" s="193"/>
      <c r="BL109" s="193"/>
      <c r="BM109" s="193"/>
      <c r="BN109" s="193"/>
      <c r="BO109" s="193"/>
      <c r="BP109" s="193"/>
      <c r="BQ109" s="193"/>
      <c r="BR109" s="193"/>
      <c r="BS109" s="193"/>
      <c r="BT109" s="193"/>
      <c r="BU109" s="193"/>
      <c r="BV109" s="193"/>
      <c r="BW109" s="193"/>
      <c r="BX109" s="193"/>
      <c r="BY109" s="193"/>
      <c r="BZ109" s="193"/>
      <c r="CA109" s="193"/>
      <c r="CB109" s="193"/>
      <c r="CC109" s="193"/>
      <c r="CD109" s="193"/>
      <c r="CE109" s="193"/>
      <c r="CF109" s="193"/>
      <c r="CG109" s="193"/>
      <c r="CH109" s="193"/>
      <c r="CI109" s="193"/>
      <c r="CJ109" s="193"/>
      <c r="CK109" s="193"/>
      <c r="CL109" s="193"/>
      <c r="CM109" s="193"/>
      <c r="CN109" s="193"/>
      <c r="CO109" s="193"/>
      <c r="CP109" s="193"/>
      <c r="CQ109" s="193"/>
      <c r="CR109" s="193"/>
      <c r="CS109" s="193"/>
      <c r="CT109" s="193"/>
      <c r="CU109" s="193"/>
      <c r="CV109" s="193"/>
      <c r="CW109" s="193"/>
      <c r="CX109" s="193"/>
      <c r="CY109" s="193"/>
      <c r="CZ109" s="193"/>
      <c r="DA109" s="193"/>
      <c r="DB109" s="193"/>
      <c r="DC109" s="193"/>
      <c r="DD109" s="193"/>
      <c r="DE109" s="193"/>
      <c r="DF109" s="193"/>
      <c r="DG109" s="193"/>
      <c r="DH109" s="193"/>
      <c r="DI109" s="193"/>
      <c r="DJ109" s="193"/>
      <c r="DK109" s="193"/>
      <c r="DL109" s="193"/>
      <c r="DM109" s="193"/>
      <c r="DN109" s="193"/>
      <c r="DO109" s="193"/>
      <c r="DP109" s="193"/>
      <c r="DQ109" s="193"/>
      <c r="DR109" s="193"/>
      <c r="DS109" s="193"/>
      <c r="DT109" s="193"/>
      <c r="DU109" s="193"/>
      <c r="DV109" s="193"/>
      <c r="DW109" s="193"/>
      <c r="DX109" s="193"/>
      <c r="DY109" s="193"/>
      <c r="DZ109" s="193"/>
      <c r="EA109" s="193"/>
      <c r="EB109" s="193"/>
      <c r="EC109" s="193"/>
      <c r="ED109" s="193"/>
      <c r="EE109" s="193"/>
      <c r="EF109" s="193"/>
      <c r="EG109" s="193"/>
      <c r="EH109" s="193"/>
      <c r="EI109" s="193"/>
      <c r="EJ109" s="193"/>
      <c r="EK109" s="193"/>
      <c r="EL109" s="193"/>
      <c r="EM109" s="193"/>
      <c r="EN109" s="193"/>
      <c r="EO109" s="193"/>
      <c r="EP109" s="193"/>
      <c r="EQ109" s="193"/>
      <c r="ER109" s="193"/>
      <c r="ES109" s="193"/>
      <c r="ET109" s="193"/>
      <c r="EU109" s="193"/>
      <c r="EV109" s="193"/>
      <c r="EW109" s="193"/>
      <c r="EX109" s="193"/>
      <c r="EY109" s="193"/>
      <c r="EZ109" s="193"/>
      <c r="FA109" s="193"/>
      <c r="FB109" s="193"/>
      <c r="FC109" s="193"/>
      <c r="FD109" s="193"/>
      <c r="FE109" s="193"/>
      <c r="FF109" s="193"/>
      <c r="FG109" s="193"/>
      <c r="FH109" s="193"/>
      <c r="FI109" s="193"/>
      <c r="FJ109" s="193"/>
      <c r="FK109" s="193"/>
      <c r="FL109" s="193"/>
      <c r="FM109" s="193"/>
      <c r="FN109" s="193"/>
      <c r="FO109" s="193"/>
      <c r="FP109" s="193"/>
      <c r="FQ109" s="193"/>
      <c r="FR109" s="193"/>
      <c r="FS109" s="193"/>
      <c r="FT109" s="193"/>
      <c r="FU109" s="193"/>
      <c r="FV109" s="193"/>
      <c r="FW109" s="193"/>
      <c r="FX109" s="193"/>
      <c r="FY109" s="193"/>
      <c r="FZ109" s="193"/>
      <c r="GA109" s="193"/>
      <c r="GB109" s="193"/>
      <c r="GC109" s="193"/>
      <c r="GD109" s="193"/>
      <c r="GE109" s="193"/>
      <c r="GF109" s="193"/>
      <c r="GG109" s="193"/>
      <c r="GH109" s="193"/>
      <c r="GI109" s="193"/>
      <c r="GJ109" s="193"/>
      <c r="GK109" s="193"/>
      <c r="GL109" s="193"/>
      <c r="GM109" s="193"/>
      <c r="GN109" s="193"/>
      <c r="GO109" s="193"/>
      <c r="GP109" s="193"/>
      <c r="GQ109" s="193"/>
      <c r="GR109" s="193"/>
      <c r="GS109" s="193"/>
      <c r="GT109" s="193"/>
      <c r="GU109" s="193"/>
      <c r="GV109" s="193"/>
      <c r="GW109" s="193"/>
      <c r="GX109" s="193"/>
      <c r="GY109" s="193"/>
      <c r="GZ109" s="193"/>
      <c r="HA109" s="193"/>
      <c r="HB109" s="193"/>
      <c r="HC109" s="193"/>
      <c r="HD109" s="193"/>
      <c r="HE109" s="193"/>
      <c r="HF109" s="193"/>
      <c r="HG109" s="193"/>
      <c r="HH109" s="193"/>
      <c r="HI109" s="193"/>
      <c r="HJ109" s="193"/>
      <c r="HK109" s="193"/>
      <c r="HL109" s="193"/>
      <c r="HM109" s="193"/>
      <c r="HN109" s="193"/>
      <c r="HO109" s="193"/>
      <c r="HP109" s="193"/>
      <c r="HQ109" s="193"/>
      <c r="HR109" s="193"/>
      <c r="HS109" s="193"/>
      <c r="HT109" s="193"/>
      <c r="HU109" s="193"/>
      <c r="HV109" s="193"/>
      <c r="HW109" s="193"/>
      <c r="HX109" s="193"/>
      <c r="HY109" s="193"/>
      <c r="HZ109" s="193"/>
      <c r="IA109" s="193"/>
      <c r="IB109" s="193"/>
      <c r="IC109" s="193"/>
      <c r="ID109" s="193"/>
      <c r="IE109" s="193"/>
      <c r="IF109" s="193"/>
      <c r="IG109" s="193"/>
      <c r="IH109" s="193"/>
      <c r="II109" s="193"/>
      <c r="IJ109" s="193"/>
      <c r="IK109" s="193"/>
      <c r="IL109" s="193"/>
      <c r="IM109" s="193"/>
      <c r="IN109" s="193"/>
      <c r="IO109" s="193"/>
      <c r="IP109" s="193"/>
      <c r="IQ109" s="193"/>
    </row>
    <row r="110" spans="1:251">
      <c r="A110" s="1026"/>
      <c r="B110" s="1979" t="s">
        <v>528</v>
      </c>
      <c r="C110" s="1026"/>
      <c r="D110" s="2021">
        <f>D112+D113+D114+D115+D116+D125+D126+D127+D128+D129</f>
        <v>47</v>
      </c>
      <c r="E110" s="1026"/>
      <c r="F110" s="1942"/>
      <c r="G110" s="1026"/>
      <c r="H110" s="1942">
        <f>SUM(H112:H129)</f>
        <v>63866400</v>
      </c>
      <c r="I110" s="1026"/>
      <c r="J110" s="1942">
        <f>SUM(J112:J129)</f>
        <v>0</v>
      </c>
      <c r="K110" s="1026"/>
      <c r="L110" s="1942">
        <f t="shared" ref="L110" si="57">SUM(L112:L129)</f>
        <v>9880</v>
      </c>
      <c r="M110" s="1942">
        <f t="shared" ref="M110:U110" si="58">SUM(M112:M129)</f>
        <v>4149600</v>
      </c>
      <c r="N110" s="1942">
        <f t="shared" si="58"/>
        <v>68016000</v>
      </c>
      <c r="O110" s="1942">
        <f t="shared" si="58"/>
        <v>10644400</v>
      </c>
      <c r="P110" s="1942">
        <f t="shared" si="58"/>
        <v>21288800</v>
      </c>
      <c r="Q110" s="1942">
        <f t="shared" si="58"/>
        <v>99949200</v>
      </c>
      <c r="R110" s="1942">
        <f t="shared" si="58"/>
        <v>9994920</v>
      </c>
      <c r="S110" s="1942">
        <f t="shared" si="58"/>
        <v>8995428</v>
      </c>
      <c r="T110" s="1942">
        <f t="shared" si="58"/>
        <v>5397256.7999999998</v>
      </c>
      <c r="U110" s="1942">
        <f t="shared" si="58"/>
        <v>4497714</v>
      </c>
      <c r="V110" s="3035">
        <f t="shared" si="44"/>
        <v>9894970.8000000007</v>
      </c>
      <c r="W110" s="3035">
        <f>SUM(W112:W129)</f>
        <v>999492</v>
      </c>
      <c r="X110" s="193"/>
      <c r="Y110" s="193"/>
      <c r="Z110" s="193"/>
      <c r="AA110" s="193"/>
      <c r="AB110" s="193"/>
      <c r="AC110" s="193"/>
      <c r="AD110" s="193"/>
      <c r="AE110" s="193"/>
      <c r="AF110" s="193"/>
      <c r="AG110" s="193"/>
      <c r="AH110" s="193"/>
      <c r="AI110" s="193"/>
      <c r="AJ110" s="193"/>
      <c r="AK110" s="193"/>
      <c r="AL110" s="193"/>
      <c r="AM110" s="193"/>
      <c r="AN110" s="193"/>
      <c r="AO110" s="193"/>
      <c r="AP110" s="193"/>
      <c r="AQ110" s="193"/>
      <c r="AR110" s="193"/>
      <c r="AS110" s="193"/>
      <c r="AT110" s="193"/>
      <c r="AU110" s="193"/>
      <c r="AV110" s="193"/>
      <c r="AW110" s="193"/>
      <c r="AX110" s="193"/>
      <c r="AY110" s="193"/>
      <c r="AZ110" s="193"/>
      <c r="BA110" s="193"/>
      <c r="BB110" s="193"/>
      <c r="BC110" s="193"/>
      <c r="BD110" s="193"/>
      <c r="BE110" s="193"/>
      <c r="BF110" s="193"/>
      <c r="BG110" s="193"/>
      <c r="BH110" s="193"/>
      <c r="BI110" s="193"/>
      <c r="BJ110" s="193"/>
      <c r="BK110" s="193"/>
      <c r="BL110" s="193"/>
      <c r="BM110" s="193"/>
      <c r="BN110" s="193"/>
      <c r="BO110" s="193"/>
      <c r="BP110" s="193"/>
      <c r="BQ110" s="193"/>
      <c r="BR110" s="193"/>
      <c r="BS110" s="193"/>
      <c r="BT110" s="193"/>
      <c r="BU110" s="193"/>
      <c r="BV110" s="193"/>
      <c r="BW110" s="193"/>
      <c r="BX110" s="193"/>
      <c r="BY110" s="193"/>
      <c r="BZ110" s="193"/>
      <c r="CA110" s="193"/>
      <c r="CB110" s="193"/>
      <c r="CC110" s="193"/>
      <c r="CD110" s="193"/>
      <c r="CE110" s="193"/>
      <c r="CF110" s="193"/>
      <c r="CG110" s="193"/>
      <c r="CH110" s="193"/>
      <c r="CI110" s="193"/>
      <c r="CJ110" s="193"/>
      <c r="CK110" s="193"/>
      <c r="CL110" s="193"/>
      <c r="CM110" s="193"/>
      <c r="CN110" s="193"/>
      <c r="CO110" s="193"/>
      <c r="CP110" s="193"/>
      <c r="CQ110" s="193"/>
      <c r="CR110" s="193"/>
      <c r="CS110" s="193"/>
      <c r="CT110" s="193"/>
      <c r="CU110" s="193"/>
      <c r="CV110" s="193"/>
      <c r="CW110" s="193"/>
      <c r="CX110" s="193"/>
      <c r="CY110" s="193"/>
      <c r="CZ110" s="193"/>
      <c r="DA110" s="193"/>
      <c r="DB110" s="193"/>
      <c r="DC110" s="193"/>
      <c r="DD110" s="193"/>
      <c r="DE110" s="193"/>
      <c r="DF110" s="193"/>
      <c r="DG110" s="193"/>
      <c r="DH110" s="193"/>
      <c r="DI110" s="193"/>
      <c r="DJ110" s="193"/>
      <c r="DK110" s="193"/>
      <c r="DL110" s="193"/>
      <c r="DM110" s="193"/>
      <c r="DN110" s="193"/>
      <c r="DO110" s="193"/>
      <c r="DP110" s="193"/>
      <c r="DQ110" s="193"/>
      <c r="DR110" s="193"/>
      <c r="DS110" s="193"/>
      <c r="DT110" s="193"/>
      <c r="DU110" s="193"/>
      <c r="DV110" s="193"/>
      <c r="DW110" s="193"/>
      <c r="DX110" s="193"/>
      <c r="DY110" s="193"/>
      <c r="DZ110" s="193"/>
      <c r="EA110" s="193"/>
      <c r="EB110" s="193"/>
      <c r="EC110" s="193"/>
      <c r="ED110" s="193"/>
      <c r="EE110" s="193"/>
      <c r="EF110" s="193"/>
      <c r="EG110" s="193"/>
      <c r="EH110" s="193"/>
      <c r="EI110" s="193"/>
      <c r="EJ110" s="193"/>
      <c r="EK110" s="193"/>
      <c r="EL110" s="193"/>
      <c r="EM110" s="193"/>
      <c r="EN110" s="193"/>
      <c r="EO110" s="193"/>
      <c r="EP110" s="193"/>
      <c r="EQ110" s="193"/>
      <c r="ER110" s="193"/>
      <c r="ES110" s="193"/>
      <c r="ET110" s="193"/>
      <c r="EU110" s="193"/>
      <c r="EV110" s="193"/>
      <c r="EW110" s="193"/>
      <c r="EX110" s="193"/>
      <c r="EY110" s="193"/>
      <c r="EZ110" s="193"/>
      <c r="FA110" s="193"/>
      <c r="FB110" s="193"/>
      <c r="FC110" s="193"/>
      <c r="FD110" s="193"/>
      <c r="FE110" s="193"/>
      <c r="FF110" s="193"/>
      <c r="FG110" s="193"/>
      <c r="FH110" s="193"/>
      <c r="FI110" s="193"/>
      <c r="FJ110" s="193"/>
      <c r="FK110" s="193"/>
      <c r="FL110" s="193"/>
      <c r="FM110" s="193"/>
      <c r="FN110" s="193"/>
      <c r="FO110" s="193"/>
      <c r="FP110" s="193"/>
      <c r="FQ110" s="193"/>
      <c r="FR110" s="193"/>
      <c r="FS110" s="193"/>
      <c r="FT110" s="193"/>
      <c r="FU110" s="193"/>
      <c r="FV110" s="193"/>
      <c r="FW110" s="193"/>
      <c r="FX110" s="193"/>
      <c r="FY110" s="193"/>
      <c r="FZ110" s="193"/>
      <c r="GA110" s="193"/>
      <c r="GB110" s="193"/>
      <c r="GC110" s="193"/>
      <c r="GD110" s="193"/>
      <c r="GE110" s="193"/>
      <c r="GF110" s="193"/>
      <c r="GG110" s="193"/>
      <c r="GH110" s="193"/>
      <c r="GI110" s="193"/>
      <c r="GJ110" s="193"/>
      <c r="GK110" s="193"/>
      <c r="GL110" s="193"/>
      <c r="GM110" s="193"/>
      <c r="GN110" s="193"/>
      <c r="GO110" s="193"/>
      <c r="GP110" s="193"/>
      <c r="GQ110" s="193"/>
      <c r="GR110" s="193"/>
      <c r="GS110" s="193"/>
      <c r="GT110" s="193"/>
      <c r="GU110" s="193"/>
      <c r="GV110" s="193"/>
      <c r="GW110" s="193"/>
      <c r="GX110" s="193"/>
      <c r="GY110" s="193"/>
      <c r="GZ110" s="193"/>
      <c r="HA110" s="193"/>
      <c r="HB110" s="193"/>
      <c r="HC110" s="193"/>
      <c r="HD110" s="193"/>
      <c r="HE110" s="193"/>
      <c r="HF110" s="193"/>
      <c r="HG110" s="193"/>
      <c r="HH110" s="193"/>
      <c r="HI110" s="193"/>
      <c r="HJ110" s="193"/>
      <c r="HK110" s="193"/>
      <c r="HL110" s="193"/>
      <c r="HM110" s="193"/>
      <c r="HN110" s="193"/>
      <c r="HO110" s="193"/>
      <c r="HP110" s="193"/>
      <c r="HQ110" s="193"/>
      <c r="HR110" s="193"/>
      <c r="HS110" s="193"/>
      <c r="HT110" s="193"/>
      <c r="HU110" s="193"/>
      <c r="HV110" s="193"/>
      <c r="HW110" s="193"/>
      <c r="HX110" s="193"/>
      <c r="HY110" s="193"/>
      <c r="HZ110" s="193"/>
      <c r="IA110" s="193"/>
      <c r="IB110" s="193"/>
      <c r="IC110" s="193"/>
      <c r="ID110" s="193"/>
      <c r="IE110" s="193"/>
      <c r="IF110" s="193"/>
      <c r="IG110" s="193"/>
      <c r="IH110" s="193"/>
      <c r="II110" s="193"/>
      <c r="IJ110" s="193"/>
      <c r="IK110" s="193"/>
      <c r="IL110" s="193"/>
      <c r="IM110" s="193"/>
      <c r="IN110" s="193"/>
      <c r="IO110" s="193"/>
      <c r="IP110" s="193"/>
      <c r="IQ110" s="193"/>
    </row>
    <row r="111" spans="1:251">
      <c r="A111" s="1026"/>
      <c r="B111" s="1979" t="s">
        <v>529</v>
      </c>
      <c r="C111" s="1026"/>
      <c r="D111" s="2021"/>
      <c r="E111" s="1026"/>
      <c r="F111" s="1942"/>
      <c r="G111" s="1026"/>
      <c r="H111" s="1942"/>
      <c r="I111" s="1026"/>
      <c r="J111" s="1942"/>
      <c r="K111" s="1026"/>
      <c r="L111" s="1942"/>
      <c r="M111" s="1942"/>
      <c r="N111" s="1942"/>
      <c r="O111" s="1942"/>
      <c r="P111" s="1942"/>
      <c r="Q111" s="1942"/>
      <c r="R111" s="1942"/>
      <c r="S111" s="1942"/>
      <c r="T111" s="1942"/>
      <c r="U111" s="1942"/>
      <c r="V111" s="3035"/>
      <c r="W111" s="1942"/>
      <c r="X111" s="193"/>
      <c r="Y111" s="193"/>
      <c r="Z111" s="193"/>
      <c r="AA111" s="193"/>
      <c r="AB111" s="193"/>
      <c r="AC111" s="193"/>
      <c r="AD111" s="193"/>
      <c r="AE111" s="193"/>
      <c r="AF111" s="193"/>
      <c r="AG111" s="193"/>
      <c r="AH111" s="193"/>
      <c r="AI111" s="193"/>
      <c r="AJ111" s="193"/>
      <c r="AK111" s="193"/>
      <c r="AL111" s="193"/>
      <c r="AM111" s="193"/>
      <c r="AN111" s="193"/>
      <c r="AO111" s="193"/>
      <c r="AP111" s="193"/>
      <c r="AQ111" s="193"/>
      <c r="AR111" s="193"/>
      <c r="AS111" s="193"/>
      <c r="AT111" s="193"/>
      <c r="AU111" s="193"/>
      <c r="AV111" s="193"/>
      <c r="AW111" s="193"/>
      <c r="AX111" s="193"/>
      <c r="AY111" s="193"/>
      <c r="AZ111" s="193"/>
      <c r="BA111" s="193"/>
      <c r="BB111" s="193"/>
      <c r="BC111" s="193"/>
      <c r="BD111" s="193"/>
      <c r="BE111" s="193"/>
      <c r="BF111" s="193"/>
      <c r="BG111" s="193"/>
      <c r="BH111" s="193"/>
      <c r="BI111" s="193"/>
      <c r="BJ111" s="193"/>
      <c r="BK111" s="193"/>
      <c r="BL111" s="193"/>
      <c r="BM111" s="193"/>
      <c r="BN111" s="193"/>
      <c r="BO111" s="193"/>
      <c r="BP111" s="193"/>
      <c r="BQ111" s="193"/>
      <c r="BR111" s="193"/>
      <c r="BS111" s="193"/>
      <c r="BT111" s="193"/>
      <c r="BU111" s="193"/>
      <c r="BV111" s="193"/>
      <c r="BW111" s="193"/>
      <c r="BX111" s="193"/>
      <c r="BY111" s="193"/>
      <c r="BZ111" s="193"/>
      <c r="CA111" s="193"/>
      <c r="CB111" s="193"/>
      <c r="CC111" s="193"/>
      <c r="CD111" s="193"/>
      <c r="CE111" s="193"/>
      <c r="CF111" s="193"/>
      <c r="CG111" s="193"/>
      <c r="CH111" s="193"/>
      <c r="CI111" s="193"/>
      <c r="CJ111" s="193"/>
      <c r="CK111" s="193"/>
      <c r="CL111" s="193"/>
      <c r="CM111" s="193"/>
      <c r="CN111" s="193"/>
      <c r="CO111" s="193"/>
      <c r="CP111" s="193"/>
      <c r="CQ111" s="193"/>
      <c r="CR111" s="193"/>
      <c r="CS111" s="193"/>
      <c r="CT111" s="193"/>
      <c r="CU111" s="193"/>
      <c r="CV111" s="193"/>
      <c r="CW111" s="193"/>
      <c r="CX111" s="193"/>
      <c r="CY111" s="193"/>
      <c r="CZ111" s="193"/>
      <c r="DA111" s="193"/>
      <c r="DB111" s="193"/>
      <c r="DC111" s="193"/>
      <c r="DD111" s="193"/>
      <c r="DE111" s="193"/>
      <c r="DF111" s="193"/>
      <c r="DG111" s="193"/>
      <c r="DH111" s="193"/>
      <c r="DI111" s="193"/>
      <c r="DJ111" s="193"/>
      <c r="DK111" s="193"/>
      <c r="DL111" s="193"/>
      <c r="DM111" s="193"/>
      <c r="DN111" s="193"/>
      <c r="DO111" s="193"/>
      <c r="DP111" s="193"/>
      <c r="DQ111" s="193"/>
      <c r="DR111" s="193"/>
      <c r="DS111" s="193"/>
      <c r="DT111" s="193"/>
      <c r="DU111" s="193"/>
      <c r="DV111" s="193"/>
      <c r="DW111" s="193"/>
      <c r="DX111" s="193"/>
      <c r="DY111" s="193"/>
      <c r="DZ111" s="193"/>
      <c r="EA111" s="193"/>
      <c r="EB111" s="193"/>
      <c r="EC111" s="193"/>
      <c r="ED111" s="193"/>
      <c r="EE111" s="193"/>
      <c r="EF111" s="193"/>
      <c r="EG111" s="193"/>
      <c r="EH111" s="193"/>
      <c r="EI111" s="193"/>
      <c r="EJ111" s="193"/>
      <c r="EK111" s="193"/>
      <c r="EL111" s="193"/>
      <c r="EM111" s="193"/>
      <c r="EN111" s="193"/>
      <c r="EO111" s="193"/>
      <c r="EP111" s="193"/>
      <c r="EQ111" s="193"/>
      <c r="ER111" s="193"/>
      <c r="ES111" s="193"/>
      <c r="ET111" s="193"/>
      <c r="EU111" s="193"/>
      <c r="EV111" s="193"/>
      <c r="EW111" s="193"/>
      <c r="EX111" s="193"/>
      <c r="EY111" s="193"/>
      <c r="EZ111" s="193"/>
      <c r="FA111" s="193"/>
      <c r="FB111" s="193"/>
      <c r="FC111" s="193"/>
      <c r="FD111" s="193"/>
      <c r="FE111" s="193"/>
      <c r="FF111" s="193"/>
      <c r="FG111" s="193"/>
      <c r="FH111" s="193"/>
      <c r="FI111" s="193"/>
      <c r="FJ111" s="193"/>
      <c r="FK111" s="193"/>
      <c r="FL111" s="193"/>
      <c r="FM111" s="193"/>
      <c r="FN111" s="193"/>
      <c r="FO111" s="193"/>
      <c r="FP111" s="193"/>
      <c r="FQ111" s="193"/>
      <c r="FR111" s="193"/>
      <c r="FS111" s="193"/>
      <c r="FT111" s="193"/>
      <c r="FU111" s="193"/>
      <c r="FV111" s="193"/>
      <c r="FW111" s="193"/>
      <c r="FX111" s="193"/>
      <c r="FY111" s="193"/>
      <c r="FZ111" s="193"/>
      <c r="GA111" s="193"/>
      <c r="GB111" s="193"/>
      <c r="GC111" s="193"/>
      <c r="GD111" s="193"/>
      <c r="GE111" s="193"/>
      <c r="GF111" s="193"/>
      <c r="GG111" s="193"/>
      <c r="GH111" s="193"/>
      <c r="GI111" s="193"/>
      <c r="GJ111" s="193"/>
      <c r="GK111" s="193"/>
      <c r="GL111" s="193"/>
      <c r="GM111" s="193"/>
      <c r="GN111" s="193"/>
      <c r="GO111" s="193"/>
      <c r="GP111" s="193"/>
      <c r="GQ111" s="193"/>
      <c r="GR111" s="193"/>
      <c r="GS111" s="193"/>
      <c r="GT111" s="193"/>
      <c r="GU111" s="193"/>
      <c r="GV111" s="193"/>
      <c r="GW111" s="193"/>
      <c r="GX111" s="193"/>
      <c r="GY111" s="193"/>
      <c r="GZ111" s="193"/>
      <c r="HA111" s="193"/>
      <c r="HB111" s="193"/>
      <c r="HC111" s="193"/>
      <c r="HD111" s="193"/>
      <c r="HE111" s="193"/>
      <c r="HF111" s="193"/>
      <c r="HG111" s="193"/>
      <c r="HH111" s="193"/>
      <c r="HI111" s="193"/>
      <c r="HJ111" s="193"/>
      <c r="HK111" s="193"/>
      <c r="HL111" s="193"/>
      <c r="HM111" s="193"/>
      <c r="HN111" s="193"/>
      <c r="HO111" s="193"/>
      <c r="HP111" s="193"/>
      <c r="HQ111" s="193"/>
      <c r="HR111" s="193"/>
      <c r="HS111" s="193"/>
      <c r="HT111" s="193"/>
      <c r="HU111" s="193"/>
      <c r="HV111" s="193"/>
      <c r="HW111" s="193"/>
      <c r="HX111" s="193"/>
      <c r="HY111" s="193"/>
      <c r="HZ111" s="193"/>
      <c r="IA111" s="193"/>
      <c r="IB111" s="193"/>
      <c r="IC111" s="193"/>
      <c r="ID111" s="193"/>
      <c r="IE111" s="193"/>
      <c r="IF111" s="193"/>
      <c r="IG111" s="193"/>
      <c r="IH111" s="193"/>
      <c r="II111" s="193"/>
      <c r="IJ111" s="193"/>
      <c r="IK111" s="193"/>
      <c r="IL111" s="193"/>
      <c r="IM111" s="193"/>
      <c r="IN111" s="193"/>
      <c r="IO111" s="193"/>
      <c r="IP111" s="193"/>
      <c r="IQ111" s="193"/>
    </row>
    <row r="112" spans="1:251" ht="25.5" customHeight="1">
      <c r="A112" s="2021">
        <v>1</v>
      </c>
      <c r="B112" s="1958" t="s">
        <v>530</v>
      </c>
      <c r="C112" s="1945"/>
      <c r="D112" s="2035">
        <v>2</v>
      </c>
      <c r="E112" s="1026"/>
      <c r="F112" s="1946">
        <f>(72000+10000)*1.3</f>
        <v>106600</v>
      </c>
      <c r="G112" s="1026">
        <v>12</v>
      </c>
      <c r="H112" s="1942">
        <f t="shared" ref="H112:H129" si="59">D112*F112*G112</f>
        <v>2558400</v>
      </c>
      <c r="I112" s="1026"/>
      <c r="J112" s="1942">
        <f>I112*$Q$4</f>
        <v>0</v>
      </c>
      <c r="K112" s="1026"/>
      <c r="L112" s="1942">
        <f>K112*F112</f>
        <v>0</v>
      </c>
      <c r="M112" s="1942">
        <f t="shared" ref="M112:M129" si="60">D112*G112*(J112+L112)</f>
        <v>0</v>
      </c>
      <c r="N112" s="1942">
        <f>H112+M112</f>
        <v>2558400</v>
      </c>
      <c r="O112" s="1026">
        <f t="shared" ref="O112:O121" si="61">F112*D112*2</f>
        <v>426400</v>
      </c>
      <c r="P112" s="1026">
        <f t="shared" ref="P112:P121" si="62">F112*D112*4</f>
        <v>852800</v>
      </c>
      <c r="Q112" s="1942">
        <f>N112+O112+P112</f>
        <v>3837600</v>
      </c>
      <c r="R112" s="1942">
        <f>Q112*10%</f>
        <v>383760</v>
      </c>
      <c r="S112" s="1942">
        <f>(Q112-R112)*10%</f>
        <v>345384</v>
      </c>
      <c r="T112" s="1942">
        <f>(Q112-R112)*6%</f>
        <v>207230.4</v>
      </c>
      <c r="U112" s="1942">
        <f>(Q112-R112)*5%</f>
        <v>172692</v>
      </c>
      <c r="V112" s="3035">
        <f t="shared" si="44"/>
        <v>379922.4</v>
      </c>
      <c r="W112" s="1942">
        <f>Q112*X112</f>
        <v>38376</v>
      </c>
      <c r="X112" s="193">
        <v>0.01</v>
      </c>
      <c r="Y112" s="193"/>
      <c r="Z112" s="193"/>
      <c r="AA112" s="193"/>
      <c r="AB112" s="193"/>
      <c r="AC112" s="193"/>
      <c r="AD112" s="193"/>
      <c r="AE112" s="193"/>
      <c r="AF112" s="193"/>
      <c r="AG112" s="193"/>
      <c r="AH112" s="193"/>
      <c r="AI112" s="193"/>
      <c r="AJ112" s="193"/>
      <c r="AK112" s="193"/>
      <c r="AL112" s="193"/>
      <c r="AM112" s="193"/>
      <c r="AN112" s="193"/>
      <c r="AO112" s="193"/>
      <c r="AP112" s="193"/>
      <c r="AQ112" s="193"/>
      <c r="AR112" s="193"/>
      <c r="AS112" s="193"/>
      <c r="AT112" s="193"/>
      <c r="AU112" s="193"/>
      <c r="AV112" s="193"/>
      <c r="AW112" s="193"/>
      <c r="AX112" s="193"/>
      <c r="AY112" s="193"/>
      <c r="AZ112" s="193"/>
      <c r="BA112" s="193"/>
      <c r="BB112" s="193"/>
      <c r="BC112" s="193"/>
      <c r="BD112" s="193"/>
      <c r="BE112" s="193"/>
      <c r="BF112" s="193"/>
      <c r="BG112" s="193"/>
      <c r="BH112" s="193"/>
      <c r="BI112" s="193"/>
      <c r="BJ112" s="193"/>
      <c r="BK112" s="193"/>
      <c r="BL112" s="193"/>
      <c r="BM112" s="193"/>
      <c r="BN112" s="193"/>
      <c r="BO112" s="193"/>
      <c r="BP112" s="193"/>
      <c r="BQ112" s="193"/>
      <c r="BR112" s="193"/>
      <c r="BS112" s="193"/>
      <c r="BT112" s="193"/>
      <c r="BU112" s="193"/>
      <c r="BV112" s="193"/>
      <c r="BW112" s="193"/>
      <c r="BX112" s="193"/>
      <c r="BY112" s="193"/>
      <c r="BZ112" s="193"/>
      <c r="CA112" s="193"/>
      <c r="CB112" s="193"/>
      <c r="CC112" s="193"/>
      <c r="CD112" s="193"/>
      <c r="CE112" s="193"/>
      <c r="CF112" s="193"/>
      <c r="CG112" s="193"/>
      <c r="CH112" s="193"/>
      <c r="CI112" s="193"/>
      <c r="CJ112" s="193"/>
      <c r="CK112" s="193"/>
      <c r="CL112" s="193"/>
      <c r="CM112" s="193"/>
      <c r="CN112" s="193"/>
      <c r="CO112" s="193"/>
      <c r="CP112" s="193"/>
      <c r="CQ112" s="193"/>
      <c r="CR112" s="193"/>
      <c r="CS112" s="193"/>
      <c r="CT112" s="193"/>
      <c r="CU112" s="193"/>
      <c r="CV112" s="193"/>
      <c r="CW112" s="193"/>
      <c r="CX112" s="193"/>
      <c r="CY112" s="193"/>
      <c r="CZ112" s="193"/>
      <c r="DA112" s="193"/>
      <c r="DB112" s="193"/>
      <c r="DC112" s="193"/>
      <c r="DD112" s="193"/>
      <c r="DE112" s="193"/>
      <c r="DF112" s="193"/>
      <c r="DG112" s="193"/>
      <c r="DH112" s="193"/>
      <c r="DI112" s="193"/>
      <c r="DJ112" s="193"/>
      <c r="DK112" s="193"/>
      <c r="DL112" s="193"/>
      <c r="DM112" s="193"/>
      <c r="DN112" s="193"/>
      <c r="DO112" s="193"/>
      <c r="DP112" s="193"/>
      <c r="DQ112" s="193"/>
      <c r="DR112" s="193"/>
      <c r="DS112" s="193"/>
      <c r="DT112" s="193"/>
      <c r="DU112" s="193"/>
      <c r="DV112" s="193"/>
      <c r="DW112" s="193"/>
      <c r="DX112" s="193"/>
      <c r="DY112" s="193"/>
      <c r="DZ112" s="193"/>
      <c r="EA112" s="193"/>
      <c r="EB112" s="193"/>
      <c r="EC112" s="193"/>
      <c r="ED112" s="193"/>
      <c r="EE112" s="193"/>
      <c r="EF112" s="193"/>
      <c r="EG112" s="193"/>
      <c r="EH112" s="193"/>
      <c r="EI112" s="193"/>
      <c r="EJ112" s="193"/>
      <c r="EK112" s="193"/>
      <c r="EL112" s="193"/>
      <c r="EM112" s="193"/>
      <c r="EN112" s="193"/>
      <c r="EO112" s="193"/>
      <c r="EP112" s="193"/>
      <c r="EQ112" s="193"/>
      <c r="ER112" s="193"/>
      <c r="ES112" s="193"/>
      <c r="ET112" s="193"/>
      <c r="EU112" s="193"/>
      <c r="EV112" s="193"/>
      <c r="EW112" s="193"/>
      <c r="EX112" s="193"/>
      <c r="EY112" s="193"/>
      <c r="EZ112" s="193"/>
      <c r="FA112" s="193"/>
      <c r="FB112" s="193"/>
      <c r="FC112" s="193"/>
      <c r="FD112" s="193"/>
      <c r="FE112" s="193"/>
      <c r="FF112" s="193"/>
      <c r="FG112" s="193"/>
      <c r="FH112" s="193"/>
      <c r="FI112" s="193"/>
      <c r="FJ112" s="193"/>
      <c r="FK112" s="193"/>
      <c r="FL112" s="193"/>
      <c r="FM112" s="193"/>
      <c r="FN112" s="193"/>
      <c r="FO112" s="193"/>
      <c r="FP112" s="193"/>
      <c r="FQ112" s="193"/>
      <c r="FR112" s="193"/>
      <c r="FS112" s="193"/>
      <c r="FT112" s="193"/>
      <c r="FU112" s="193"/>
      <c r="FV112" s="193"/>
      <c r="FW112" s="193"/>
      <c r="FX112" s="193"/>
      <c r="FY112" s="193"/>
      <c r="FZ112" s="193"/>
      <c r="GA112" s="193"/>
      <c r="GB112" s="193"/>
      <c r="GC112" s="193"/>
      <c r="GD112" s="193"/>
      <c r="GE112" s="193"/>
      <c r="GF112" s="193"/>
      <c r="GG112" s="193"/>
      <c r="GH112" s="193"/>
      <c r="GI112" s="193"/>
      <c r="GJ112" s="193"/>
      <c r="GK112" s="193"/>
      <c r="GL112" s="193"/>
      <c r="GM112" s="193"/>
      <c r="GN112" s="193"/>
      <c r="GO112" s="193"/>
      <c r="GP112" s="193"/>
      <c r="GQ112" s="193"/>
      <c r="GR112" s="193"/>
      <c r="GS112" s="193"/>
      <c r="GT112" s="193"/>
      <c r="GU112" s="193"/>
      <c r="GV112" s="193"/>
      <c r="GW112" s="193"/>
      <c r="GX112" s="193"/>
      <c r="GY112" s="193"/>
      <c r="GZ112" s="193"/>
      <c r="HA112" s="193"/>
      <c r="HB112" s="193"/>
      <c r="HC112" s="193"/>
      <c r="HD112" s="193"/>
      <c r="HE112" s="193"/>
      <c r="HF112" s="193"/>
      <c r="HG112" s="193"/>
      <c r="HH112" s="193"/>
      <c r="HI112" s="193"/>
      <c r="HJ112" s="193"/>
      <c r="HK112" s="193"/>
      <c r="HL112" s="193"/>
      <c r="HM112" s="193"/>
      <c r="HN112" s="193"/>
      <c r="HO112" s="193"/>
      <c r="HP112" s="193"/>
      <c r="HQ112" s="193"/>
      <c r="HR112" s="193"/>
      <c r="HS112" s="193"/>
      <c r="HT112" s="193"/>
      <c r="HU112" s="193"/>
      <c r="HV112" s="193"/>
      <c r="HW112" s="193"/>
      <c r="HX112" s="193"/>
      <c r="HY112" s="193"/>
      <c r="HZ112" s="193"/>
      <c r="IA112" s="193"/>
      <c r="IB112" s="193"/>
      <c r="IC112" s="193"/>
      <c r="ID112" s="193"/>
      <c r="IE112" s="193"/>
      <c r="IF112" s="193"/>
      <c r="IG112" s="193"/>
      <c r="IH112" s="193"/>
      <c r="II112" s="193"/>
      <c r="IJ112" s="193"/>
      <c r="IK112" s="193"/>
      <c r="IL112" s="193"/>
      <c r="IM112" s="193"/>
      <c r="IN112" s="193"/>
      <c r="IO112" s="193"/>
      <c r="IP112" s="193"/>
      <c r="IQ112" s="193"/>
    </row>
    <row r="113" spans="1:251">
      <c r="A113" s="2021">
        <v>2</v>
      </c>
      <c r="B113" s="1958" t="s">
        <v>531</v>
      </c>
      <c r="C113" s="1945"/>
      <c r="D113" s="3496">
        <v>35</v>
      </c>
      <c r="E113" s="1026"/>
      <c r="F113" s="1946">
        <f>(66000+10000)*1.3</f>
        <v>98800</v>
      </c>
      <c r="G113" s="1026">
        <v>12</v>
      </c>
      <c r="H113" s="1942">
        <f t="shared" si="59"/>
        <v>41496000</v>
      </c>
      <c r="I113" s="1026"/>
      <c r="J113" s="1942">
        <f>I113*$Q$4</f>
        <v>0</v>
      </c>
      <c r="K113" s="1026">
        <v>0.1</v>
      </c>
      <c r="L113" s="1942">
        <f>K113*F113</f>
        <v>9880</v>
      </c>
      <c r="M113" s="1942">
        <f t="shared" si="60"/>
        <v>4149600</v>
      </c>
      <c r="N113" s="1942">
        <f>H113+M113</f>
        <v>45645600</v>
      </c>
      <c r="O113" s="1026">
        <f t="shared" si="61"/>
        <v>6916000</v>
      </c>
      <c r="P113" s="1026">
        <f t="shared" si="62"/>
        <v>13832000</v>
      </c>
      <c r="Q113" s="1942">
        <f>N113+O113+P113</f>
        <v>66393600</v>
      </c>
      <c r="R113" s="1942">
        <f>Q113*10%</f>
        <v>6639360</v>
      </c>
      <c r="S113" s="1942">
        <f>(Q113-R113)*10%</f>
        <v>5975424</v>
      </c>
      <c r="T113" s="1942">
        <f>(Q113-R113)*6%</f>
        <v>3585254.4</v>
      </c>
      <c r="U113" s="1942">
        <f>(Q113-R113)*5%</f>
        <v>2987712</v>
      </c>
      <c r="V113" s="3035">
        <f t="shared" si="44"/>
        <v>6572966.4000000004</v>
      </c>
      <c r="W113" s="1942">
        <f t="shared" ref="W113:W129" si="63">Q113*X113</f>
        <v>663936</v>
      </c>
      <c r="X113" s="193">
        <v>0.01</v>
      </c>
      <c r="Y113" s="193"/>
      <c r="Z113" s="193"/>
      <c r="AA113" s="193"/>
      <c r="AB113" s="193"/>
      <c r="AC113" s="193"/>
      <c r="AD113" s="193"/>
      <c r="AE113" s="193"/>
      <c r="AF113" s="193"/>
      <c r="AG113" s="193"/>
      <c r="AH113" s="193"/>
      <c r="AI113" s="193"/>
      <c r="AJ113" s="193"/>
      <c r="AK113" s="193"/>
      <c r="AL113" s="193"/>
      <c r="AM113" s="193"/>
      <c r="AN113" s="193"/>
      <c r="AO113" s="193"/>
      <c r="AP113" s="193"/>
      <c r="AQ113" s="193"/>
      <c r="AR113" s="193"/>
      <c r="AS113" s="193"/>
      <c r="AT113" s="193"/>
      <c r="AU113" s="193"/>
      <c r="AV113" s="193"/>
      <c r="AW113" s="193"/>
      <c r="AX113" s="193"/>
      <c r="AY113" s="193"/>
      <c r="AZ113" s="193"/>
      <c r="BA113" s="193"/>
      <c r="BB113" s="193"/>
      <c r="BC113" s="193"/>
      <c r="BD113" s="193"/>
      <c r="BE113" s="193"/>
      <c r="BF113" s="193"/>
      <c r="BG113" s="193"/>
      <c r="BH113" s="193"/>
      <c r="BI113" s="193"/>
      <c r="BJ113" s="193"/>
      <c r="BK113" s="193"/>
      <c r="BL113" s="193"/>
      <c r="BM113" s="193"/>
      <c r="BN113" s="193"/>
      <c r="BO113" s="193"/>
      <c r="BP113" s="193"/>
      <c r="BQ113" s="193"/>
      <c r="BR113" s="193"/>
      <c r="BS113" s="193"/>
      <c r="BT113" s="193"/>
      <c r="BU113" s="193"/>
      <c r="BV113" s="193"/>
      <c r="BW113" s="193"/>
      <c r="BX113" s="193"/>
      <c r="BY113" s="193"/>
      <c r="BZ113" s="193"/>
      <c r="CA113" s="193"/>
      <c r="CB113" s="193"/>
      <c r="CC113" s="193"/>
      <c r="CD113" s="193"/>
      <c r="CE113" s="193"/>
      <c r="CF113" s="193"/>
      <c r="CG113" s="193"/>
      <c r="CH113" s="193"/>
      <c r="CI113" s="193"/>
      <c r="CJ113" s="193"/>
      <c r="CK113" s="193"/>
      <c r="CL113" s="193"/>
      <c r="CM113" s="193"/>
      <c r="CN113" s="193"/>
      <c r="CO113" s="193"/>
      <c r="CP113" s="193"/>
      <c r="CQ113" s="193"/>
      <c r="CR113" s="193"/>
      <c r="CS113" s="193"/>
      <c r="CT113" s="193"/>
      <c r="CU113" s="193"/>
      <c r="CV113" s="193"/>
      <c r="CW113" s="193"/>
      <c r="CX113" s="193"/>
      <c r="CY113" s="193"/>
      <c r="CZ113" s="193"/>
      <c r="DA113" s="193"/>
      <c r="DB113" s="193"/>
      <c r="DC113" s="193"/>
      <c r="DD113" s="193"/>
      <c r="DE113" s="193"/>
      <c r="DF113" s="193"/>
      <c r="DG113" s="193"/>
      <c r="DH113" s="193"/>
      <c r="DI113" s="193"/>
      <c r="DJ113" s="193"/>
      <c r="DK113" s="193"/>
      <c r="DL113" s="193"/>
      <c r="DM113" s="193"/>
      <c r="DN113" s="193"/>
      <c r="DO113" s="193"/>
      <c r="DP113" s="193"/>
      <c r="DQ113" s="193"/>
      <c r="DR113" s="193"/>
      <c r="DS113" s="193"/>
      <c r="DT113" s="193"/>
      <c r="DU113" s="193"/>
      <c r="DV113" s="193"/>
      <c r="DW113" s="193"/>
      <c r="DX113" s="193"/>
      <c r="DY113" s="193"/>
      <c r="DZ113" s="193"/>
      <c r="EA113" s="193"/>
      <c r="EB113" s="193"/>
      <c r="EC113" s="193"/>
      <c r="ED113" s="193"/>
      <c r="EE113" s="193"/>
      <c r="EF113" s="193"/>
      <c r="EG113" s="193"/>
      <c r="EH113" s="193"/>
      <c r="EI113" s="193"/>
      <c r="EJ113" s="193"/>
      <c r="EK113" s="193"/>
      <c r="EL113" s="193"/>
      <c r="EM113" s="193"/>
      <c r="EN113" s="193"/>
      <c r="EO113" s="193"/>
      <c r="EP113" s="193"/>
      <c r="EQ113" s="193"/>
      <c r="ER113" s="193"/>
      <c r="ES113" s="193"/>
      <c r="ET113" s="193"/>
      <c r="EU113" s="193"/>
      <c r="EV113" s="193"/>
      <c r="EW113" s="193"/>
      <c r="EX113" s="193"/>
      <c r="EY113" s="193"/>
      <c r="EZ113" s="193"/>
      <c r="FA113" s="193"/>
      <c r="FB113" s="193"/>
      <c r="FC113" s="193"/>
      <c r="FD113" s="193"/>
      <c r="FE113" s="193"/>
      <c r="FF113" s="193"/>
      <c r="FG113" s="193"/>
      <c r="FH113" s="193"/>
      <c r="FI113" s="193"/>
      <c r="FJ113" s="193"/>
      <c r="FK113" s="193"/>
      <c r="FL113" s="193"/>
      <c r="FM113" s="193"/>
      <c r="FN113" s="193"/>
      <c r="FO113" s="193"/>
      <c r="FP113" s="193"/>
      <c r="FQ113" s="193"/>
      <c r="FR113" s="193"/>
      <c r="FS113" s="193"/>
      <c r="FT113" s="193"/>
      <c r="FU113" s="193"/>
      <c r="FV113" s="193"/>
      <c r="FW113" s="193"/>
      <c r="FX113" s="193"/>
      <c r="FY113" s="193"/>
      <c r="FZ113" s="193"/>
      <c r="GA113" s="193"/>
      <c r="GB113" s="193"/>
      <c r="GC113" s="193"/>
      <c r="GD113" s="193"/>
      <c r="GE113" s="193"/>
      <c r="GF113" s="193"/>
      <c r="GG113" s="193"/>
      <c r="GH113" s="193"/>
      <c r="GI113" s="193"/>
      <c r="GJ113" s="193"/>
      <c r="GK113" s="193"/>
      <c r="GL113" s="193"/>
      <c r="GM113" s="193"/>
      <c r="GN113" s="193"/>
      <c r="GO113" s="193"/>
      <c r="GP113" s="193"/>
      <c r="GQ113" s="193"/>
      <c r="GR113" s="193"/>
      <c r="GS113" s="193"/>
      <c r="GT113" s="193"/>
      <c r="GU113" s="193"/>
      <c r="GV113" s="193"/>
      <c r="GW113" s="193"/>
      <c r="GX113" s="193"/>
      <c r="GY113" s="193"/>
      <c r="GZ113" s="193"/>
      <c r="HA113" s="193"/>
      <c r="HB113" s="193"/>
      <c r="HC113" s="193"/>
      <c r="HD113" s="193"/>
      <c r="HE113" s="193"/>
      <c r="HF113" s="193"/>
      <c r="HG113" s="193"/>
      <c r="HH113" s="193"/>
      <c r="HI113" s="193"/>
      <c r="HJ113" s="193"/>
      <c r="HK113" s="193"/>
      <c r="HL113" s="193"/>
      <c r="HM113" s="193"/>
      <c r="HN113" s="193"/>
      <c r="HO113" s="193"/>
      <c r="HP113" s="193"/>
      <c r="HQ113" s="193"/>
      <c r="HR113" s="193"/>
      <c r="HS113" s="193"/>
      <c r="HT113" s="193"/>
      <c r="HU113" s="193"/>
      <c r="HV113" s="193"/>
      <c r="HW113" s="193"/>
      <c r="HX113" s="193"/>
      <c r="HY113" s="193"/>
      <c r="HZ113" s="193"/>
      <c r="IA113" s="193"/>
      <c r="IB113" s="193"/>
      <c r="IC113" s="193"/>
      <c r="ID113" s="193"/>
      <c r="IE113" s="193"/>
      <c r="IF113" s="193"/>
      <c r="IG113" s="193"/>
      <c r="IH113" s="193"/>
      <c r="II113" s="193"/>
      <c r="IJ113" s="193"/>
      <c r="IK113" s="193"/>
      <c r="IL113" s="193"/>
      <c r="IM113" s="193"/>
      <c r="IN113" s="193"/>
      <c r="IO113" s="193"/>
      <c r="IP113" s="193"/>
      <c r="IQ113" s="193"/>
    </row>
    <row r="114" spans="1:251">
      <c r="A114" s="2021">
        <v>3</v>
      </c>
      <c r="B114" s="1958" t="s">
        <v>532</v>
      </c>
      <c r="C114" s="1945"/>
      <c r="D114" s="3496">
        <v>3</v>
      </c>
      <c r="E114" s="1026"/>
      <c r="F114" s="1946">
        <f>(66000+10000)*1.3</f>
        <v>98800</v>
      </c>
      <c r="G114" s="1026">
        <v>12</v>
      </c>
      <c r="H114" s="1942">
        <f t="shared" si="59"/>
        <v>3556800</v>
      </c>
      <c r="I114" s="1026"/>
      <c r="J114" s="1942">
        <f t="shared" ref="J114:J129" si="64">I114*$Q$4</f>
        <v>0</v>
      </c>
      <c r="K114" s="1026"/>
      <c r="L114" s="1942">
        <f t="shared" ref="L114:L129" si="65">K114*F114</f>
        <v>0</v>
      </c>
      <c r="M114" s="1942">
        <f t="shared" si="60"/>
        <v>0</v>
      </c>
      <c r="N114" s="1942">
        <f t="shared" ref="N114:N129" si="66">H114+M114</f>
        <v>3556800</v>
      </c>
      <c r="O114" s="1026">
        <f t="shared" si="61"/>
        <v>592800</v>
      </c>
      <c r="P114" s="1026">
        <f t="shared" si="62"/>
        <v>1185600</v>
      </c>
      <c r="Q114" s="1942">
        <f t="shared" ref="Q114:Q129" si="67">N114+O114+P114</f>
        <v>5335200</v>
      </c>
      <c r="R114" s="1942">
        <f t="shared" ref="R114:R129" si="68">Q114*10%</f>
        <v>533520</v>
      </c>
      <c r="S114" s="1942">
        <f t="shared" ref="S114:S129" si="69">(Q114-R114)*10%</f>
        <v>480168</v>
      </c>
      <c r="T114" s="1942">
        <f t="shared" ref="T114:T129" si="70">(Q114-R114)*6%</f>
        <v>288100.8</v>
      </c>
      <c r="U114" s="1942">
        <f t="shared" ref="U114:U129" si="71">(Q114-R114)*5%</f>
        <v>240084</v>
      </c>
      <c r="V114" s="3035">
        <f t="shared" si="44"/>
        <v>528184.80000000005</v>
      </c>
      <c r="W114" s="1942">
        <f t="shared" si="63"/>
        <v>53352</v>
      </c>
      <c r="X114" s="193">
        <v>0.01</v>
      </c>
      <c r="Y114" s="193"/>
      <c r="Z114" s="193"/>
      <c r="AA114" s="193"/>
      <c r="AB114" s="193"/>
      <c r="AC114" s="193"/>
      <c r="AD114" s="193"/>
      <c r="AE114" s="193"/>
      <c r="AF114" s="193"/>
      <c r="AG114" s="193"/>
      <c r="AH114" s="193"/>
      <c r="AI114" s="193"/>
      <c r="AJ114" s="193"/>
      <c r="AK114" s="193"/>
      <c r="AL114" s="193"/>
      <c r="AM114" s="193"/>
      <c r="AN114" s="193"/>
      <c r="AO114" s="193"/>
      <c r="AP114" s="193"/>
      <c r="AQ114" s="193"/>
      <c r="AR114" s="193"/>
      <c r="AS114" s="193"/>
      <c r="AT114" s="193"/>
      <c r="AU114" s="193"/>
      <c r="AV114" s="193"/>
      <c r="AW114" s="193"/>
      <c r="AX114" s="193"/>
      <c r="AY114" s="193"/>
      <c r="AZ114" s="193"/>
      <c r="BA114" s="193"/>
      <c r="BB114" s="193"/>
      <c r="BC114" s="193"/>
      <c r="BD114" s="193"/>
      <c r="BE114" s="193"/>
      <c r="BF114" s="193"/>
      <c r="BG114" s="193"/>
      <c r="BH114" s="193"/>
      <c r="BI114" s="193"/>
      <c r="BJ114" s="193"/>
      <c r="BK114" s="193"/>
      <c r="BL114" s="193"/>
      <c r="BM114" s="193"/>
      <c r="BN114" s="193"/>
      <c r="BO114" s="193"/>
      <c r="BP114" s="193"/>
      <c r="BQ114" s="193"/>
      <c r="BR114" s="193"/>
      <c r="BS114" s="193"/>
      <c r="BT114" s="193"/>
      <c r="BU114" s="193"/>
      <c r="BV114" s="193"/>
      <c r="BW114" s="193"/>
      <c r="BX114" s="193"/>
      <c r="BY114" s="193"/>
      <c r="BZ114" s="193"/>
      <c r="CA114" s="193"/>
      <c r="CB114" s="193"/>
      <c r="CC114" s="193"/>
      <c r="CD114" s="193"/>
      <c r="CE114" s="193"/>
      <c r="CF114" s="193"/>
      <c r="CG114" s="193"/>
      <c r="CH114" s="193"/>
      <c r="CI114" s="193"/>
      <c r="CJ114" s="193"/>
      <c r="CK114" s="193"/>
      <c r="CL114" s="193"/>
      <c r="CM114" s="193"/>
      <c r="CN114" s="193"/>
      <c r="CO114" s="193"/>
      <c r="CP114" s="193"/>
      <c r="CQ114" s="193"/>
      <c r="CR114" s="193"/>
      <c r="CS114" s="193"/>
      <c r="CT114" s="193"/>
      <c r="CU114" s="193"/>
      <c r="CV114" s="193"/>
      <c r="CW114" s="193"/>
      <c r="CX114" s="193"/>
      <c r="CY114" s="193"/>
      <c r="CZ114" s="193"/>
      <c r="DA114" s="193"/>
      <c r="DB114" s="193"/>
      <c r="DC114" s="193"/>
      <c r="DD114" s="193"/>
      <c r="DE114" s="193"/>
      <c r="DF114" s="193"/>
      <c r="DG114" s="193"/>
      <c r="DH114" s="193"/>
      <c r="DI114" s="193"/>
      <c r="DJ114" s="193"/>
      <c r="DK114" s="193"/>
      <c r="DL114" s="193"/>
      <c r="DM114" s="193"/>
      <c r="DN114" s="193"/>
      <c r="DO114" s="193"/>
      <c r="DP114" s="193"/>
      <c r="DQ114" s="193"/>
      <c r="DR114" s="193"/>
      <c r="DS114" s="193"/>
      <c r="DT114" s="193"/>
      <c r="DU114" s="193"/>
      <c r="DV114" s="193"/>
      <c r="DW114" s="193"/>
      <c r="DX114" s="193"/>
      <c r="DY114" s="193"/>
      <c r="DZ114" s="193"/>
      <c r="EA114" s="193"/>
      <c r="EB114" s="193"/>
      <c r="EC114" s="193"/>
      <c r="ED114" s="193"/>
      <c r="EE114" s="193"/>
      <c r="EF114" s="193"/>
      <c r="EG114" s="193"/>
      <c r="EH114" s="193"/>
      <c r="EI114" s="193"/>
      <c r="EJ114" s="193"/>
      <c r="EK114" s="193"/>
      <c r="EL114" s="193"/>
      <c r="EM114" s="193"/>
      <c r="EN114" s="193"/>
      <c r="EO114" s="193"/>
      <c r="EP114" s="193"/>
      <c r="EQ114" s="193"/>
      <c r="ER114" s="193"/>
      <c r="ES114" s="193"/>
      <c r="ET114" s="193"/>
      <c r="EU114" s="193"/>
      <c r="EV114" s="193"/>
      <c r="EW114" s="193"/>
      <c r="EX114" s="193"/>
      <c r="EY114" s="193"/>
      <c r="EZ114" s="193"/>
      <c r="FA114" s="193"/>
      <c r="FB114" s="193"/>
      <c r="FC114" s="193"/>
      <c r="FD114" s="193"/>
      <c r="FE114" s="193"/>
      <c r="FF114" s="193"/>
      <c r="FG114" s="193"/>
      <c r="FH114" s="193"/>
      <c r="FI114" s="193"/>
      <c r="FJ114" s="193"/>
      <c r="FK114" s="193"/>
      <c r="FL114" s="193"/>
      <c r="FM114" s="193"/>
      <c r="FN114" s="193"/>
      <c r="FO114" s="193"/>
      <c r="FP114" s="193"/>
      <c r="FQ114" s="193"/>
      <c r="FR114" s="193"/>
      <c r="FS114" s="193"/>
      <c r="FT114" s="193"/>
      <c r="FU114" s="193"/>
      <c r="FV114" s="193"/>
      <c r="FW114" s="193"/>
      <c r="FX114" s="193"/>
      <c r="FY114" s="193"/>
      <c r="FZ114" s="193"/>
      <c r="GA114" s="193"/>
      <c r="GB114" s="193"/>
      <c r="GC114" s="193"/>
      <c r="GD114" s="193"/>
      <c r="GE114" s="193"/>
      <c r="GF114" s="193"/>
      <c r="GG114" s="193"/>
      <c r="GH114" s="193"/>
      <c r="GI114" s="193"/>
      <c r="GJ114" s="193"/>
      <c r="GK114" s="193"/>
      <c r="GL114" s="193"/>
      <c r="GM114" s="193"/>
      <c r="GN114" s="193"/>
      <c r="GO114" s="193"/>
      <c r="GP114" s="193"/>
      <c r="GQ114" s="193"/>
      <c r="GR114" s="193"/>
      <c r="GS114" s="193"/>
      <c r="GT114" s="193"/>
      <c r="GU114" s="193"/>
      <c r="GV114" s="193"/>
      <c r="GW114" s="193"/>
      <c r="GX114" s="193"/>
      <c r="GY114" s="193"/>
      <c r="GZ114" s="193"/>
      <c r="HA114" s="193"/>
      <c r="HB114" s="193"/>
      <c r="HC114" s="193"/>
      <c r="HD114" s="193"/>
      <c r="HE114" s="193"/>
      <c r="HF114" s="193"/>
      <c r="HG114" s="193"/>
      <c r="HH114" s="193"/>
      <c r="HI114" s="193"/>
      <c r="HJ114" s="193"/>
      <c r="HK114" s="193"/>
      <c r="HL114" s="193"/>
      <c r="HM114" s="193"/>
      <c r="HN114" s="193"/>
      <c r="HO114" s="193"/>
      <c r="HP114" s="193"/>
      <c r="HQ114" s="193"/>
      <c r="HR114" s="193"/>
      <c r="HS114" s="193"/>
      <c r="HT114" s="193"/>
      <c r="HU114" s="193"/>
      <c r="HV114" s="193"/>
      <c r="HW114" s="193"/>
      <c r="HX114" s="193"/>
      <c r="HY114" s="193"/>
      <c r="HZ114" s="193"/>
      <c r="IA114" s="193"/>
      <c r="IB114" s="193"/>
      <c r="IC114" s="193"/>
      <c r="ID114" s="193"/>
      <c r="IE114" s="193"/>
      <c r="IF114" s="193"/>
      <c r="IG114" s="193"/>
      <c r="IH114" s="193"/>
      <c r="II114" s="193"/>
      <c r="IJ114" s="193"/>
      <c r="IK114" s="193"/>
      <c r="IL114" s="193"/>
      <c r="IM114" s="193"/>
      <c r="IN114" s="193"/>
      <c r="IO114" s="193"/>
      <c r="IP114" s="193"/>
      <c r="IQ114" s="193"/>
    </row>
    <row r="115" spans="1:251">
      <c r="A115" s="2021">
        <v>4</v>
      </c>
      <c r="B115" s="1958" t="s">
        <v>979</v>
      </c>
      <c r="C115" s="1945"/>
      <c r="D115" s="3496">
        <v>1</v>
      </c>
      <c r="E115" s="1026"/>
      <c r="F115" s="1946">
        <f>(72000+10000)*1.3</f>
        <v>106600</v>
      </c>
      <c r="G115" s="1026">
        <v>12</v>
      </c>
      <c r="H115" s="1942">
        <f t="shared" si="59"/>
        <v>1279200</v>
      </c>
      <c r="I115" s="1026"/>
      <c r="J115" s="1942">
        <f t="shared" si="64"/>
        <v>0</v>
      </c>
      <c r="K115" s="1026"/>
      <c r="L115" s="1942">
        <f t="shared" si="65"/>
        <v>0</v>
      </c>
      <c r="M115" s="1942">
        <f t="shared" si="60"/>
        <v>0</v>
      </c>
      <c r="N115" s="1942">
        <f t="shared" si="66"/>
        <v>1279200</v>
      </c>
      <c r="O115" s="1026">
        <f t="shared" si="61"/>
        <v>213200</v>
      </c>
      <c r="P115" s="1026">
        <f t="shared" si="62"/>
        <v>426400</v>
      </c>
      <c r="Q115" s="1942">
        <f t="shared" si="67"/>
        <v>1918800</v>
      </c>
      <c r="R115" s="1942">
        <f t="shared" si="68"/>
        <v>191880</v>
      </c>
      <c r="S115" s="1942">
        <f t="shared" si="69"/>
        <v>172692</v>
      </c>
      <c r="T115" s="1942">
        <f t="shared" si="70"/>
        <v>103615.2</v>
      </c>
      <c r="U115" s="1942">
        <f t="shared" si="71"/>
        <v>86346</v>
      </c>
      <c r="V115" s="3035">
        <f t="shared" si="44"/>
        <v>189961.2</v>
      </c>
      <c r="W115" s="1942">
        <f t="shared" si="63"/>
        <v>19188</v>
      </c>
      <c r="X115" s="193">
        <v>0.01</v>
      </c>
      <c r="Y115" s="193"/>
      <c r="Z115" s="193"/>
      <c r="AA115" s="193"/>
      <c r="AB115" s="193"/>
      <c r="AC115" s="193"/>
      <c r="AD115" s="193"/>
      <c r="AE115" s="193"/>
      <c r="AF115" s="193"/>
      <c r="AG115" s="193"/>
      <c r="AH115" s="193"/>
      <c r="AI115" s="193"/>
      <c r="AJ115" s="193"/>
      <c r="AK115" s="193"/>
      <c r="AL115" s="193"/>
      <c r="AM115" s="193"/>
      <c r="AN115" s="193"/>
      <c r="AO115" s="193"/>
      <c r="AP115" s="193"/>
      <c r="AQ115" s="193"/>
      <c r="AR115" s="193"/>
      <c r="AS115" s="193"/>
      <c r="AT115" s="193"/>
      <c r="AU115" s="193"/>
      <c r="AV115" s="193"/>
      <c r="AW115" s="193"/>
      <c r="AX115" s="193"/>
      <c r="AY115" s="193"/>
      <c r="AZ115" s="193"/>
      <c r="BA115" s="193"/>
      <c r="BB115" s="193"/>
      <c r="BC115" s="193"/>
      <c r="BD115" s="193"/>
      <c r="BE115" s="193"/>
      <c r="BF115" s="193"/>
      <c r="BG115" s="193"/>
      <c r="BH115" s="193"/>
      <c r="BI115" s="193"/>
      <c r="BJ115" s="193"/>
      <c r="BK115" s="193"/>
      <c r="BL115" s="193"/>
      <c r="BM115" s="193"/>
      <c r="BN115" s="193"/>
      <c r="BO115" s="193"/>
      <c r="BP115" s="193"/>
      <c r="BQ115" s="193"/>
      <c r="BR115" s="193"/>
      <c r="BS115" s="193"/>
      <c r="BT115" s="193"/>
      <c r="BU115" s="193"/>
      <c r="BV115" s="193"/>
      <c r="BW115" s="193"/>
      <c r="BX115" s="193"/>
      <c r="BY115" s="193"/>
      <c r="BZ115" s="193"/>
      <c r="CA115" s="193"/>
      <c r="CB115" s="193"/>
      <c r="CC115" s="193"/>
      <c r="CD115" s="193"/>
      <c r="CE115" s="193"/>
      <c r="CF115" s="193"/>
      <c r="CG115" s="193"/>
      <c r="CH115" s="193"/>
      <c r="CI115" s="193"/>
      <c r="CJ115" s="193"/>
      <c r="CK115" s="193"/>
      <c r="CL115" s="193"/>
      <c r="CM115" s="193"/>
      <c r="CN115" s="193"/>
      <c r="CO115" s="193"/>
      <c r="CP115" s="193"/>
      <c r="CQ115" s="193"/>
      <c r="CR115" s="193"/>
      <c r="CS115" s="193"/>
      <c r="CT115" s="193"/>
      <c r="CU115" s="193"/>
      <c r="CV115" s="193"/>
      <c r="CW115" s="193"/>
      <c r="CX115" s="193"/>
      <c r="CY115" s="193"/>
      <c r="CZ115" s="193"/>
      <c r="DA115" s="193"/>
      <c r="DB115" s="193"/>
      <c r="DC115" s="193"/>
      <c r="DD115" s="193"/>
      <c r="DE115" s="193"/>
      <c r="DF115" s="193"/>
      <c r="DG115" s="193"/>
      <c r="DH115" s="193"/>
      <c r="DI115" s="193"/>
      <c r="DJ115" s="193"/>
      <c r="DK115" s="193"/>
      <c r="DL115" s="193"/>
      <c r="DM115" s="193"/>
      <c r="DN115" s="193"/>
      <c r="DO115" s="193"/>
      <c r="DP115" s="193"/>
      <c r="DQ115" s="193"/>
      <c r="DR115" s="193"/>
      <c r="DS115" s="193"/>
      <c r="DT115" s="193"/>
      <c r="DU115" s="193"/>
      <c r="DV115" s="193"/>
      <c r="DW115" s="193"/>
      <c r="DX115" s="193"/>
      <c r="DY115" s="193"/>
      <c r="DZ115" s="193"/>
      <c r="EA115" s="193"/>
      <c r="EB115" s="193"/>
      <c r="EC115" s="193"/>
      <c r="ED115" s="193"/>
      <c r="EE115" s="193"/>
      <c r="EF115" s="193"/>
      <c r="EG115" s="193"/>
      <c r="EH115" s="193"/>
      <c r="EI115" s="193"/>
      <c r="EJ115" s="193"/>
      <c r="EK115" s="193"/>
      <c r="EL115" s="193"/>
      <c r="EM115" s="193"/>
      <c r="EN115" s="193"/>
      <c r="EO115" s="193"/>
      <c r="EP115" s="193"/>
      <c r="EQ115" s="193"/>
      <c r="ER115" s="193"/>
      <c r="ES115" s="193"/>
      <c r="ET115" s="193"/>
      <c r="EU115" s="193"/>
      <c r="EV115" s="193"/>
      <c r="EW115" s="193"/>
      <c r="EX115" s="193"/>
      <c r="EY115" s="193"/>
      <c r="EZ115" s="193"/>
      <c r="FA115" s="193"/>
      <c r="FB115" s="193"/>
      <c r="FC115" s="193"/>
      <c r="FD115" s="193"/>
      <c r="FE115" s="193"/>
      <c r="FF115" s="193"/>
      <c r="FG115" s="193"/>
      <c r="FH115" s="193"/>
      <c r="FI115" s="193"/>
      <c r="FJ115" s="193"/>
      <c r="FK115" s="193"/>
      <c r="FL115" s="193"/>
      <c r="FM115" s="193"/>
      <c r="FN115" s="193"/>
      <c r="FO115" s="193"/>
      <c r="FP115" s="193"/>
      <c r="FQ115" s="193"/>
      <c r="FR115" s="193"/>
      <c r="FS115" s="193"/>
      <c r="FT115" s="193"/>
      <c r="FU115" s="193"/>
      <c r="FV115" s="193"/>
      <c r="FW115" s="193"/>
      <c r="FX115" s="193"/>
      <c r="FY115" s="193"/>
      <c r="FZ115" s="193"/>
      <c r="GA115" s="193"/>
      <c r="GB115" s="193"/>
      <c r="GC115" s="193"/>
      <c r="GD115" s="193"/>
      <c r="GE115" s="193"/>
      <c r="GF115" s="193"/>
      <c r="GG115" s="193"/>
      <c r="GH115" s="193"/>
      <c r="GI115" s="193"/>
      <c r="GJ115" s="193"/>
      <c r="GK115" s="193"/>
      <c r="GL115" s="193"/>
      <c r="GM115" s="193"/>
      <c r="GN115" s="193"/>
      <c r="GO115" s="193"/>
      <c r="GP115" s="193"/>
      <c r="GQ115" s="193"/>
      <c r="GR115" s="193"/>
      <c r="GS115" s="193"/>
      <c r="GT115" s="193"/>
      <c r="GU115" s="193"/>
      <c r="GV115" s="193"/>
      <c r="GW115" s="193"/>
      <c r="GX115" s="193"/>
      <c r="GY115" s="193"/>
      <c r="GZ115" s="193"/>
      <c r="HA115" s="193"/>
      <c r="HB115" s="193"/>
      <c r="HC115" s="193"/>
      <c r="HD115" s="193"/>
      <c r="HE115" s="193"/>
      <c r="HF115" s="193"/>
      <c r="HG115" s="193"/>
      <c r="HH115" s="193"/>
      <c r="HI115" s="193"/>
      <c r="HJ115" s="193"/>
      <c r="HK115" s="193"/>
      <c r="HL115" s="193"/>
      <c r="HM115" s="193"/>
      <c r="HN115" s="193"/>
      <c r="HO115" s="193"/>
      <c r="HP115" s="193"/>
      <c r="HQ115" s="193"/>
      <c r="HR115" s="193"/>
      <c r="HS115" s="193"/>
      <c r="HT115" s="193"/>
      <c r="HU115" s="193"/>
      <c r="HV115" s="193"/>
      <c r="HW115" s="193"/>
      <c r="HX115" s="193"/>
      <c r="HY115" s="193"/>
      <c r="HZ115" s="193"/>
      <c r="IA115" s="193"/>
      <c r="IB115" s="193"/>
      <c r="IC115" s="193"/>
      <c r="ID115" s="193"/>
      <c r="IE115" s="193"/>
      <c r="IF115" s="193"/>
      <c r="IG115" s="193"/>
      <c r="IH115" s="193"/>
      <c r="II115" s="193"/>
      <c r="IJ115" s="193"/>
      <c r="IK115" s="193"/>
      <c r="IL115" s="193"/>
      <c r="IM115" s="193"/>
      <c r="IN115" s="193"/>
      <c r="IO115" s="193"/>
      <c r="IP115" s="193"/>
      <c r="IQ115" s="193"/>
    </row>
    <row r="116" spans="1:251">
      <c r="A116" s="2021">
        <v>5</v>
      </c>
      <c r="B116" s="1958" t="s">
        <v>534</v>
      </c>
      <c r="C116" s="1945"/>
      <c r="D116" s="3496">
        <v>1</v>
      </c>
      <c r="E116" s="1026"/>
      <c r="F116" s="1946">
        <f>(72000+28000)*1.3</f>
        <v>130000</v>
      </c>
      <c r="G116" s="1026">
        <v>12</v>
      </c>
      <c r="H116" s="1942">
        <f t="shared" si="59"/>
        <v>1560000</v>
      </c>
      <c r="I116" s="1026"/>
      <c r="J116" s="1942">
        <f t="shared" si="64"/>
        <v>0</v>
      </c>
      <c r="K116" s="1026"/>
      <c r="L116" s="1942">
        <f t="shared" si="65"/>
        <v>0</v>
      </c>
      <c r="M116" s="1942">
        <f t="shared" si="60"/>
        <v>0</v>
      </c>
      <c r="N116" s="1942">
        <f t="shared" si="66"/>
        <v>1560000</v>
      </c>
      <c r="O116" s="1026">
        <f t="shared" si="61"/>
        <v>260000</v>
      </c>
      <c r="P116" s="1026">
        <f t="shared" si="62"/>
        <v>520000</v>
      </c>
      <c r="Q116" s="1942">
        <f t="shared" si="67"/>
        <v>2340000</v>
      </c>
      <c r="R116" s="1942">
        <f t="shared" si="68"/>
        <v>234000</v>
      </c>
      <c r="S116" s="1942">
        <f t="shared" si="69"/>
        <v>210600</v>
      </c>
      <c r="T116" s="1942">
        <f t="shared" si="70"/>
        <v>126360</v>
      </c>
      <c r="U116" s="1942">
        <f t="shared" si="71"/>
        <v>105300</v>
      </c>
      <c r="V116" s="3035">
        <f t="shared" si="44"/>
        <v>231660</v>
      </c>
      <c r="W116" s="1942">
        <f t="shared" si="63"/>
        <v>23400</v>
      </c>
      <c r="X116" s="193">
        <v>0.01</v>
      </c>
      <c r="Y116" s="193"/>
      <c r="Z116" s="193"/>
      <c r="AA116" s="193"/>
      <c r="AB116" s="193"/>
      <c r="AC116" s="193"/>
      <c r="AD116" s="193"/>
      <c r="AE116" s="193"/>
      <c r="AF116" s="193"/>
      <c r="AG116" s="193"/>
      <c r="AH116" s="193"/>
      <c r="AI116" s="193"/>
      <c r="AJ116" s="193"/>
      <c r="AK116" s="193"/>
      <c r="AL116" s="193"/>
      <c r="AM116" s="193"/>
      <c r="AN116" s="193"/>
      <c r="AO116" s="193"/>
      <c r="AP116" s="193"/>
      <c r="AQ116" s="193"/>
      <c r="AR116" s="193"/>
      <c r="AS116" s="193"/>
      <c r="AT116" s="193"/>
      <c r="AU116" s="193"/>
      <c r="AV116" s="193"/>
      <c r="AW116" s="193"/>
      <c r="AX116" s="193"/>
      <c r="AY116" s="193"/>
      <c r="AZ116" s="193"/>
      <c r="BA116" s="193"/>
      <c r="BB116" s="193"/>
      <c r="BC116" s="193"/>
      <c r="BD116" s="193"/>
      <c r="BE116" s="193"/>
      <c r="BF116" s="193"/>
      <c r="BG116" s="193"/>
      <c r="BH116" s="193"/>
      <c r="BI116" s="193"/>
      <c r="BJ116" s="193"/>
      <c r="BK116" s="193"/>
      <c r="BL116" s="193"/>
      <c r="BM116" s="193"/>
      <c r="BN116" s="193"/>
      <c r="BO116" s="193"/>
      <c r="BP116" s="193"/>
      <c r="BQ116" s="193"/>
      <c r="BR116" s="193"/>
      <c r="BS116" s="193"/>
      <c r="BT116" s="193"/>
      <c r="BU116" s="193"/>
      <c r="BV116" s="193"/>
      <c r="BW116" s="193"/>
      <c r="BX116" s="193"/>
      <c r="BY116" s="193"/>
      <c r="BZ116" s="193"/>
      <c r="CA116" s="193"/>
      <c r="CB116" s="193"/>
      <c r="CC116" s="193"/>
      <c r="CD116" s="193"/>
      <c r="CE116" s="193"/>
      <c r="CF116" s="193"/>
      <c r="CG116" s="193"/>
      <c r="CH116" s="193"/>
      <c r="CI116" s="193"/>
      <c r="CJ116" s="193"/>
      <c r="CK116" s="193"/>
      <c r="CL116" s="193"/>
      <c r="CM116" s="193"/>
      <c r="CN116" s="193"/>
      <c r="CO116" s="193"/>
      <c r="CP116" s="193"/>
      <c r="CQ116" s="193"/>
      <c r="CR116" s="193"/>
      <c r="CS116" s="193"/>
      <c r="CT116" s="193"/>
      <c r="CU116" s="193"/>
      <c r="CV116" s="193"/>
      <c r="CW116" s="193"/>
      <c r="CX116" s="193"/>
      <c r="CY116" s="193"/>
      <c r="CZ116" s="193"/>
      <c r="DA116" s="193"/>
      <c r="DB116" s="193"/>
      <c r="DC116" s="193"/>
      <c r="DD116" s="193"/>
      <c r="DE116" s="193"/>
      <c r="DF116" s="193"/>
      <c r="DG116" s="193"/>
      <c r="DH116" s="193"/>
      <c r="DI116" s="193"/>
      <c r="DJ116" s="193"/>
      <c r="DK116" s="193"/>
      <c r="DL116" s="193"/>
      <c r="DM116" s="193"/>
      <c r="DN116" s="193"/>
      <c r="DO116" s="193"/>
      <c r="DP116" s="193"/>
      <c r="DQ116" s="193"/>
      <c r="DR116" s="193"/>
      <c r="DS116" s="193"/>
      <c r="DT116" s="193"/>
      <c r="DU116" s="193"/>
      <c r="DV116" s="193"/>
      <c r="DW116" s="193"/>
      <c r="DX116" s="193"/>
      <c r="DY116" s="193"/>
      <c r="DZ116" s="193"/>
      <c r="EA116" s="193"/>
      <c r="EB116" s="193"/>
      <c r="EC116" s="193"/>
      <c r="ED116" s="193"/>
      <c r="EE116" s="193"/>
      <c r="EF116" s="193"/>
      <c r="EG116" s="193"/>
      <c r="EH116" s="193"/>
      <c r="EI116" s="193"/>
      <c r="EJ116" s="193"/>
      <c r="EK116" s="193"/>
      <c r="EL116" s="193"/>
      <c r="EM116" s="193"/>
      <c r="EN116" s="193"/>
      <c r="EO116" s="193"/>
      <c r="EP116" s="193"/>
      <c r="EQ116" s="193"/>
      <c r="ER116" s="193"/>
      <c r="ES116" s="193"/>
      <c r="ET116" s="193"/>
      <c r="EU116" s="193"/>
      <c r="EV116" s="193"/>
      <c r="EW116" s="193"/>
      <c r="EX116" s="193"/>
      <c r="EY116" s="193"/>
      <c r="EZ116" s="193"/>
      <c r="FA116" s="193"/>
      <c r="FB116" s="193"/>
      <c r="FC116" s="193"/>
      <c r="FD116" s="193"/>
      <c r="FE116" s="193"/>
      <c r="FF116" s="193"/>
      <c r="FG116" s="193"/>
      <c r="FH116" s="193"/>
      <c r="FI116" s="193"/>
      <c r="FJ116" s="193"/>
      <c r="FK116" s="193"/>
      <c r="FL116" s="193"/>
      <c r="FM116" s="193"/>
      <c r="FN116" s="193"/>
      <c r="FO116" s="193"/>
      <c r="FP116" s="193"/>
      <c r="FQ116" s="193"/>
      <c r="FR116" s="193"/>
      <c r="FS116" s="193"/>
      <c r="FT116" s="193"/>
      <c r="FU116" s="193"/>
      <c r="FV116" s="193"/>
      <c r="FW116" s="193"/>
      <c r="FX116" s="193"/>
      <c r="FY116" s="193"/>
      <c r="FZ116" s="193"/>
      <c r="GA116" s="193"/>
      <c r="GB116" s="193"/>
      <c r="GC116" s="193"/>
      <c r="GD116" s="193"/>
      <c r="GE116" s="193"/>
      <c r="GF116" s="193"/>
      <c r="GG116" s="193"/>
      <c r="GH116" s="193"/>
      <c r="GI116" s="193"/>
      <c r="GJ116" s="193"/>
      <c r="GK116" s="193"/>
      <c r="GL116" s="193"/>
      <c r="GM116" s="193"/>
      <c r="GN116" s="193"/>
      <c r="GO116" s="193"/>
      <c r="GP116" s="193"/>
      <c r="GQ116" s="193"/>
      <c r="GR116" s="193"/>
      <c r="GS116" s="193"/>
      <c r="GT116" s="193"/>
      <c r="GU116" s="193"/>
      <c r="GV116" s="193"/>
      <c r="GW116" s="193"/>
      <c r="GX116" s="193"/>
      <c r="GY116" s="193"/>
      <c r="GZ116" s="193"/>
      <c r="HA116" s="193"/>
      <c r="HB116" s="193"/>
      <c r="HC116" s="193"/>
      <c r="HD116" s="193"/>
      <c r="HE116" s="193"/>
      <c r="HF116" s="193"/>
      <c r="HG116" s="193"/>
      <c r="HH116" s="193"/>
      <c r="HI116" s="193"/>
      <c r="HJ116" s="193"/>
      <c r="HK116" s="193"/>
      <c r="HL116" s="193"/>
      <c r="HM116" s="193"/>
      <c r="HN116" s="193"/>
      <c r="HO116" s="193"/>
      <c r="HP116" s="193"/>
      <c r="HQ116" s="193"/>
      <c r="HR116" s="193"/>
      <c r="HS116" s="193"/>
      <c r="HT116" s="193"/>
      <c r="HU116" s="193"/>
      <c r="HV116" s="193"/>
      <c r="HW116" s="193"/>
      <c r="HX116" s="193"/>
      <c r="HY116" s="193"/>
      <c r="HZ116" s="193"/>
      <c r="IA116" s="193"/>
      <c r="IB116" s="193"/>
      <c r="IC116" s="193"/>
      <c r="ID116" s="193"/>
      <c r="IE116" s="193"/>
      <c r="IF116" s="193"/>
      <c r="IG116" s="193"/>
      <c r="IH116" s="193"/>
      <c r="II116" s="193"/>
      <c r="IJ116" s="193"/>
      <c r="IK116" s="193"/>
      <c r="IL116" s="193"/>
      <c r="IM116" s="193"/>
      <c r="IN116" s="193"/>
      <c r="IO116" s="193"/>
      <c r="IP116" s="193"/>
      <c r="IQ116" s="193"/>
    </row>
    <row r="117" spans="1:251" hidden="1">
      <c r="A117" s="2021"/>
      <c r="B117" s="1958" t="s">
        <v>980</v>
      </c>
      <c r="C117" s="1945"/>
      <c r="D117" s="3496"/>
      <c r="E117" s="1026"/>
      <c r="F117" s="1946"/>
      <c r="G117" s="1026">
        <v>12</v>
      </c>
      <c r="H117" s="1942">
        <f t="shared" si="59"/>
        <v>0</v>
      </c>
      <c r="I117" s="1026"/>
      <c r="J117" s="1942">
        <f t="shared" si="64"/>
        <v>0</v>
      </c>
      <c r="K117" s="1026"/>
      <c r="L117" s="1942">
        <f t="shared" si="65"/>
        <v>0</v>
      </c>
      <c r="M117" s="1942">
        <f t="shared" si="60"/>
        <v>0</v>
      </c>
      <c r="N117" s="1942">
        <f t="shared" si="66"/>
        <v>0</v>
      </c>
      <c r="O117" s="1026">
        <f t="shared" si="61"/>
        <v>0</v>
      </c>
      <c r="P117" s="1026">
        <f t="shared" si="62"/>
        <v>0</v>
      </c>
      <c r="Q117" s="1942">
        <f t="shared" si="67"/>
        <v>0</v>
      </c>
      <c r="R117" s="1942">
        <f t="shared" si="68"/>
        <v>0</v>
      </c>
      <c r="S117" s="1942">
        <f t="shared" si="69"/>
        <v>0</v>
      </c>
      <c r="T117" s="1942">
        <f t="shared" si="70"/>
        <v>0</v>
      </c>
      <c r="U117" s="1942">
        <f t="shared" si="71"/>
        <v>0</v>
      </c>
      <c r="V117" s="3035">
        <f t="shared" si="44"/>
        <v>0</v>
      </c>
      <c r="W117" s="1942">
        <f t="shared" si="63"/>
        <v>0</v>
      </c>
      <c r="X117" s="193">
        <v>0.01</v>
      </c>
      <c r="Y117" s="193"/>
      <c r="Z117" s="193"/>
      <c r="AA117" s="193"/>
      <c r="AB117" s="193"/>
      <c r="AC117" s="193"/>
      <c r="AD117" s="193"/>
      <c r="AE117" s="193"/>
      <c r="AF117" s="193"/>
      <c r="AG117" s="193"/>
      <c r="AH117" s="193"/>
      <c r="AI117" s="193"/>
      <c r="AJ117" s="193"/>
      <c r="AK117" s="193"/>
      <c r="AL117" s="193"/>
      <c r="AM117" s="193"/>
      <c r="AN117" s="193"/>
      <c r="AO117" s="193"/>
      <c r="AP117" s="193"/>
      <c r="AQ117" s="193"/>
      <c r="AR117" s="193"/>
      <c r="AS117" s="193"/>
      <c r="AT117" s="193"/>
      <c r="AU117" s="193"/>
      <c r="AV117" s="193"/>
      <c r="AW117" s="193"/>
      <c r="AX117" s="193"/>
      <c r="AY117" s="193"/>
      <c r="AZ117" s="193"/>
      <c r="BA117" s="193"/>
      <c r="BB117" s="193"/>
      <c r="BC117" s="193"/>
      <c r="BD117" s="193"/>
      <c r="BE117" s="193"/>
      <c r="BF117" s="193"/>
      <c r="BG117" s="193"/>
      <c r="BH117" s="193"/>
      <c r="BI117" s="193"/>
      <c r="BJ117" s="193"/>
      <c r="BK117" s="193"/>
      <c r="BL117" s="193"/>
      <c r="BM117" s="193"/>
      <c r="BN117" s="193"/>
      <c r="BO117" s="193"/>
      <c r="BP117" s="193"/>
      <c r="BQ117" s="193"/>
      <c r="BR117" s="193"/>
      <c r="BS117" s="193"/>
      <c r="BT117" s="193"/>
      <c r="BU117" s="193"/>
      <c r="BV117" s="193"/>
      <c r="BW117" s="193"/>
      <c r="BX117" s="193"/>
      <c r="BY117" s="193"/>
      <c r="BZ117" s="193"/>
      <c r="CA117" s="193"/>
      <c r="CB117" s="193"/>
      <c r="CC117" s="193"/>
      <c r="CD117" s="193"/>
      <c r="CE117" s="193"/>
      <c r="CF117" s="193"/>
      <c r="CG117" s="193"/>
      <c r="CH117" s="193"/>
      <c r="CI117" s="193"/>
      <c r="CJ117" s="193"/>
      <c r="CK117" s="193"/>
      <c r="CL117" s="193"/>
      <c r="CM117" s="193"/>
      <c r="CN117" s="193"/>
      <c r="CO117" s="193"/>
      <c r="CP117" s="193"/>
      <c r="CQ117" s="193"/>
      <c r="CR117" s="193"/>
      <c r="CS117" s="193"/>
      <c r="CT117" s="193"/>
      <c r="CU117" s="193"/>
      <c r="CV117" s="193"/>
      <c r="CW117" s="193"/>
      <c r="CX117" s="193"/>
      <c r="CY117" s="193"/>
      <c r="CZ117" s="193"/>
      <c r="DA117" s="193"/>
      <c r="DB117" s="193"/>
      <c r="DC117" s="193"/>
      <c r="DD117" s="193"/>
      <c r="DE117" s="193"/>
      <c r="DF117" s="193"/>
      <c r="DG117" s="193"/>
      <c r="DH117" s="193"/>
      <c r="DI117" s="193"/>
      <c r="DJ117" s="193"/>
      <c r="DK117" s="193"/>
      <c r="DL117" s="193"/>
      <c r="DM117" s="193"/>
      <c r="DN117" s="193"/>
      <c r="DO117" s="193"/>
      <c r="DP117" s="193"/>
      <c r="DQ117" s="193"/>
      <c r="DR117" s="193"/>
      <c r="DS117" s="193"/>
      <c r="DT117" s="193"/>
      <c r="DU117" s="193"/>
      <c r="DV117" s="193"/>
      <c r="DW117" s="193"/>
      <c r="DX117" s="193"/>
      <c r="DY117" s="193"/>
      <c r="DZ117" s="193"/>
      <c r="EA117" s="193"/>
      <c r="EB117" s="193"/>
      <c r="EC117" s="193"/>
      <c r="ED117" s="193"/>
      <c r="EE117" s="193"/>
      <c r="EF117" s="193"/>
      <c r="EG117" s="193"/>
      <c r="EH117" s="193"/>
      <c r="EI117" s="193"/>
      <c r="EJ117" s="193"/>
      <c r="EK117" s="193"/>
      <c r="EL117" s="193"/>
      <c r="EM117" s="193"/>
      <c r="EN117" s="193"/>
      <c r="EO117" s="193"/>
      <c r="EP117" s="193"/>
      <c r="EQ117" s="193"/>
      <c r="ER117" s="193"/>
      <c r="ES117" s="193"/>
      <c r="ET117" s="193"/>
      <c r="EU117" s="193"/>
      <c r="EV117" s="193"/>
      <c r="EW117" s="193"/>
      <c r="EX117" s="193"/>
      <c r="EY117" s="193"/>
      <c r="EZ117" s="193"/>
      <c r="FA117" s="193"/>
      <c r="FB117" s="193"/>
      <c r="FC117" s="193"/>
      <c r="FD117" s="193"/>
      <c r="FE117" s="193"/>
      <c r="FF117" s="193"/>
      <c r="FG117" s="193"/>
      <c r="FH117" s="193"/>
      <c r="FI117" s="193"/>
      <c r="FJ117" s="193"/>
      <c r="FK117" s="193"/>
      <c r="FL117" s="193"/>
      <c r="FM117" s="193"/>
      <c r="FN117" s="193"/>
      <c r="FO117" s="193"/>
      <c r="FP117" s="193"/>
      <c r="FQ117" s="193"/>
      <c r="FR117" s="193"/>
      <c r="FS117" s="193"/>
      <c r="FT117" s="193"/>
      <c r="FU117" s="193"/>
      <c r="FV117" s="193"/>
      <c r="FW117" s="193"/>
      <c r="FX117" s="193"/>
      <c r="FY117" s="193"/>
      <c r="FZ117" s="193"/>
      <c r="GA117" s="193"/>
      <c r="GB117" s="193"/>
      <c r="GC117" s="193"/>
      <c r="GD117" s="193"/>
      <c r="GE117" s="193"/>
      <c r="GF117" s="193"/>
      <c r="GG117" s="193"/>
      <c r="GH117" s="193"/>
      <c r="GI117" s="193"/>
      <c r="GJ117" s="193"/>
      <c r="GK117" s="193"/>
      <c r="GL117" s="193"/>
      <c r="GM117" s="193"/>
      <c r="GN117" s="193"/>
      <c r="GO117" s="193"/>
      <c r="GP117" s="193"/>
      <c r="GQ117" s="193"/>
      <c r="GR117" s="193"/>
      <c r="GS117" s="193"/>
      <c r="GT117" s="193"/>
      <c r="GU117" s="193"/>
      <c r="GV117" s="193"/>
      <c r="GW117" s="193"/>
      <c r="GX117" s="193"/>
      <c r="GY117" s="193"/>
      <c r="GZ117" s="193"/>
      <c r="HA117" s="193"/>
      <c r="HB117" s="193"/>
      <c r="HC117" s="193"/>
      <c r="HD117" s="193"/>
      <c r="HE117" s="193"/>
      <c r="HF117" s="193"/>
      <c r="HG117" s="193"/>
      <c r="HH117" s="193"/>
      <c r="HI117" s="193"/>
      <c r="HJ117" s="193"/>
      <c r="HK117" s="193"/>
      <c r="HL117" s="193"/>
      <c r="HM117" s="193"/>
      <c r="HN117" s="193"/>
      <c r="HO117" s="193"/>
      <c r="HP117" s="193"/>
      <c r="HQ117" s="193"/>
      <c r="HR117" s="193"/>
      <c r="HS117" s="193"/>
      <c r="HT117" s="193"/>
      <c r="HU117" s="193"/>
      <c r="HV117" s="193"/>
      <c r="HW117" s="193"/>
      <c r="HX117" s="193"/>
      <c r="HY117" s="193"/>
      <c r="HZ117" s="193"/>
      <c r="IA117" s="193"/>
      <c r="IB117" s="193"/>
      <c r="IC117" s="193"/>
      <c r="ID117" s="193"/>
      <c r="IE117" s="193"/>
      <c r="IF117" s="193"/>
      <c r="IG117" s="193"/>
      <c r="IH117" s="193"/>
      <c r="II117" s="193"/>
      <c r="IJ117" s="193"/>
      <c r="IK117" s="193"/>
      <c r="IL117" s="193"/>
      <c r="IM117" s="193"/>
      <c r="IN117" s="193"/>
      <c r="IO117" s="193"/>
      <c r="IP117" s="193"/>
      <c r="IQ117" s="193"/>
    </row>
    <row r="118" spans="1:251" hidden="1">
      <c r="A118" s="2021"/>
      <c r="B118" s="1958" t="s">
        <v>536</v>
      </c>
      <c r="C118" s="1945"/>
      <c r="D118" s="3496"/>
      <c r="E118" s="1026"/>
      <c r="F118" s="1946"/>
      <c r="G118" s="1026">
        <v>12</v>
      </c>
      <c r="H118" s="1942">
        <f t="shared" si="59"/>
        <v>0</v>
      </c>
      <c r="I118" s="1026"/>
      <c r="J118" s="1942">
        <f t="shared" si="64"/>
        <v>0</v>
      </c>
      <c r="K118" s="1026"/>
      <c r="L118" s="1942">
        <f t="shared" si="65"/>
        <v>0</v>
      </c>
      <c r="M118" s="1942">
        <f t="shared" si="60"/>
        <v>0</v>
      </c>
      <c r="N118" s="1942">
        <f t="shared" si="66"/>
        <v>0</v>
      </c>
      <c r="O118" s="1026">
        <f t="shared" si="61"/>
        <v>0</v>
      </c>
      <c r="P118" s="1026">
        <f t="shared" si="62"/>
        <v>0</v>
      </c>
      <c r="Q118" s="1942">
        <f t="shared" si="67"/>
        <v>0</v>
      </c>
      <c r="R118" s="1942">
        <f t="shared" si="68"/>
        <v>0</v>
      </c>
      <c r="S118" s="1942">
        <f t="shared" si="69"/>
        <v>0</v>
      </c>
      <c r="T118" s="1942">
        <f t="shared" si="70"/>
        <v>0</v>
      </c>
      <c r="U118" s="1942">
        <f t="shared" si="71"/>
        <v>0</v>
      </c>
      <c r="V118" s="3035">
        <f t="shared" si="44"/>
        <v>0</v>
      </c>
      <c r="W118" s="1942">
        <f t="shared" si="63"/>
        <v>0</v>
      </c>
      <c r="X118" s="193">
        <v>0.01</v>
      </c>
      <c r="Y118" s="193"/>
      <c r="Z118" s="193"/>
      <c r="AA118" s="193"/>
      <c r="AB118" s="193"/>
      <c r="AC118" s="193"/>
      <c r="AD118" s="193"/>
      <c r="AE118" s="193"/>
      <c r="AF118" s="193"/>
      <c r="AG118" s="193"/>
      <c r="AH118" s="193"/>
      <c r="AI118" s="193"/>
      <c r="AJ118" s="193"/>
      <c r="AK118" s="193"/>
      <c r="AL118" s="193"/>
      <c r="AM118" s="193"/>
      <c r="AN118" s="193"/>
      <c r="AO118" s="193"/>
      <c r="AP118" s="193"/>
      <c r="AQ118" s="193"/>
      <c r="AR118" s="193"/>
      <c r="AS118" s="193"/>
      <c r="AT118" s="193"/>
      <c r="AU118" s="193"/>
      <c r="AV118" s="193"/>
      <c r="AW118" s="193"/>
      <c r="AX118" s="193"/>
      <c r="AY118" s="193"/>
      <c r="AZ118" s="193"/>
      <c r="BA118" s="193"/>
      <c r="BB118" s="193"/>
      <c r="BC118" s="193"/>
      <c r="BD118" s="193"/>
      <c r="BE118" s="193"/>
      <c r="BF118" s="193"/>
      <c r="BG118" s="193"/>
      <c r="BH118" s="193"/>
      <c r="BI118" s="193"/>
      <c r="BJ118" s="193"/>
      <c r="BK118" s="193"/>
      <c r="BL118" s="193"/>
      <c r="BM118" s="193"/>
      <c r="BN118" s="193"/>
      <c r="BO118" s="193"/>
      <c r="BP118" s="193"/>
      <c r="BQ118" s="193"/>
      <c r="BR118" s="193"/>
      <c r="BS118" s="193"/>
      <c r="BT118" s="193"/>
      <c r="BU118" s="193"/>
      <c r="BV118" s="193"/>
      <c r="BW118" s="193"/>
      <c r="BX118" s="193"/>
      <c r="BY118" s="193"/>
      <c r="BZ118" s="193"/>
      <c r="CA118" s="193"/>
      <c r="CB118" s="193"/>
      <c r="CC118" s="193"/>
      <c r="CD118" s="193"/>
      <c r="CE118" s="193"/>
      <c r="CF118" s="193"/>
      <c r="CG118" s="193"/>
      <c r="CH118" s="193"/>
      <c r="CI118" s="193"/>
      <c r="CJ118" s="193"/>
      <c r="CK118" s="193"/>
      <c r="CL118" s="193"/>
      <c r="CM118" s="193"/>
      <c r="CN118" s="193"/>
      <c r="CO118" s="193"/>
      <c r="CP118" s="193"/>
      <c r="CQ118" s="193"/>
      <c r="CR118" s="193"/>
      <c r="CS118" s="193"/>
      <c r="CT118" s="193"/>
      <c r="CU118" s="193"/>
      <c r="CV118" s="193"/>
      <c r="CW118" s="193"/>
      <c r="CX118" s="193"/>
      <c r="CY118" s="193"/>
      <c r="CZ118" s="193"/>
      <c r="DA118" s="193"/>
      <c r="DB118" s="193"/>
      <c r="DC118" s="193"/>
      <c r="DD118" s="193"/>
      <c r="DE118" s="193"/>
      <c r="DF118" s="193"/>
      <c r="DG118" s="193"/>
      <c r="DH118" s="193"/>
      <c r="DI118" s="193"/>
      <c r="DJ118" s="193"/>
      <c r="DK118" s="193"/>
      <c r="DL118" s="193"/>
      <c r="DM118" s="193"/>
      <c r="DN118" s="193"/>
      <c r="DO118" s="193"/>
      <c r="DP118" s="193"/>
      <c r="DQ118" s="193"/>
      <c r="DR118" s="193"/>
      <c r="DS118" s="193"/>
      <c r="DT118" s="193"/>
      <c r="DU118" s="193"/>
      <c r="DV118" s="193"/>
      <c r="DW118" s="193"/>
      <c r="DX118" s="193"/>
      <c r="DY118" s="193"/>
      <c r="DZ118" s="193"/>
      <c r="EA118" s="193"/>
      <c r="EB118" s="193"/>
      <c r="EC118" s="193"/>
      <c r="ED118" s="193"/>
      <c r="EE118" s="193"/>
      <c r="EF118" s="193"/>
      <c r="EG118" s="193"/>
      <c r="EH118" s="193"/>
      <c r="EI118" s="193"/>
      <c r="EJ118" s="193"/>
      <c r="EK118" s="193"/>
      <c r="EL118" s="193"/>
      <c r="EM118" s="193"/>
      <c r="EN118" s="193"/>
      <c r="EO118" s="193"/>
      <c r="EP118" s="193"/>
      <c r="EQ118" s="193"/>
      <c r="ER118" s="193"/>
      <c r="ES118" s="193"/>
      <c r="ET118" s="193"/>
      <c r="EU118" s="193"/>
      <c r="EV118" s="193"/>
      <c r="EW118" s="193"/>
      <c r="EX118" s="193"/>
      <c r="EY118" s="193"/>
      <c r="EZ118" s="193"/>
      <c r="FA118" s="193"/>
      <c r="FB118" s="193"/>
      <c r="FC118" s="193"/>
      <c r="FD118" s="193"/>
      <c r="FE118" s="193"/>
      <c r="FF118" s="193"/>
      <c r="FG118" s="193"/>
      <c r="FH118" s="193"/>
      <c r="FI118" s="193"/>
      <c r="FJ118" s="193"/>
      <c r="FK118" s="193"/>
      <c r="FL118" s="193"/>
      <c r="FM118" s="193"/>
      <c r="FN118" s="193"/>
      <c r="FO118" s="193"/>
      <c r="FP118" s="193"/>
      <c r="FQ118" s="193"/>
      <c r="FR118" s="193"/>
      <c r="FS118" s="193"/>
      <c r="FT118" s="193"/>
      <c r="FU118" s="193"/>
      <c r="FV118" s="193"/>
      <c r="FW118" s="193"/>
      <c r="FX118" s="193"/>
      <c r="FY118" s="193"/>
      <c r="FZ118" s="193"/>
      <c r="GA118" s="193"/>
      <c r="GB118" s="193"/>
      <c r="GC118" s="193"/>
      <c r="GD118" s="193"/>
      <c r="GE118" s="193"/>
      <c r="GF118" s="193"/>
      <c r="GG118" s="193"/>
      <c r="GH118" s="193"/>
      <c r="GI118" s="193"/>
      <c r="GJ118" s="193"/>
      <c r="GK118" s="193"/>
      <c r="GL118" s="193"/>
      <c r="GM118" s="193"/>
      <c r="GN118" s="193"/>
      <c r="GO118" s="193"/>
      <c r="GP118" s="193"/>
      <c r="GQ118" s="193"/>
      <c r="GR118" s="193"/>
      <c r="GS118" s="193"/>
      <c r="GT118" s="193"/>
      <c r="GU118" s="193"/>
      <c r="GV118" s="193"/>
      <c r="GW118" s="193"/>
      <c r="GX118" s="193"/>
      <c r="GY118" s="193"/>
      <c r="GZ118" s="193"/>
      <c r="HA118" s="193"/>
      <c r="HB118" s="193"/>
      <c r="HC118" s="193"/>
      <c r="HD118" s="193"/>
      <c r="HE118" s="193"/>
      <c r="HF118" s="193"/>
      <c r="HG118" s="193"/>
      <c r="HH118" s="193"/>
      <c r="HI118" s="193"/>
      <c r="HJ118" s="193"/>
      <c r="HK118" s="193"/>
      <c r="HL118" s="193"/>
      <c r="HM118" s="193"/>
      <c r="HN118" s="193"/>
      <c r="HO118" s="193"/>
      <c r="HP118" s="193"/>
      <c r="HQ118" s="193"/>
      <c r="HR118" s="193"/>
      <c r="HS118" s="193"/>
      <c r="HT118" s="193"/>
      <c r="HU118" s="193"/>
      <c r="HV118" s="193"/>
      <c r="HW118" s="193"/>
      <c r="HX118" s="193"/>
      <c r="HY118" s="193"/>
      <c r="HZ118" s="193"/>
      <c r="IA118" s="193"/>
      <c r="IB118" s="193"/>
      <c r="IC118" s="193"/>
      <c r="ID118" s="193"/>
      <c r="IE118" s="193"/>
      <c r="IF118" s="193"/>
      <c r="IG118" s="193"/>
      <c r="IH118" s="193"/>
      <c r="II118" s="193"/>
      <c r="IJ118" s="193"/>
      <c r="IK118" s="193"/>
      <c r="IL118" s="193"/>
      <c r="IM118" s="193"/>
      <c r="IN118" s="193"/>
      <c r="IO118" s="193"/>
      <c r="IP118" s="193"/>
      <c r="IQ118" s="193"/>
    </row>
    <row r="119" spans="1:251" hidden="1">
      <c r="A119" s="2021"/>
      <c r="B119" s="1958" t="s">
        <v>537</v>
      </c>
      <c r="C119" s="1945"/>
      <c r="D119" s="3496"/>
      <c r="E119" s="1026"/>
      <c r="F119" s="1946"/>
      <c r="G119" s="1026">
        <v>12</v>
      </c>
      <c r="H119" s="1942">
        <f t="shared" si="59"/>
        <v>0</v>
      </c>
      <c r="I119" s="1026"/>
      <c r="J119" s="1942">
        <f t="shared" si="64"/>
        <v>0</v>
      </c>
      <c r="K119" s="1026"/>
      <c r="L119" s="1942">
        <f t="shared" si="65"/>
        <v>0</v>
      </c>
      <c r="M119" s="1942">
        <f t="shared" si="60"/>
        <v>0</v>
      </c>
      <c r="N119" s="1942">
        <f t="shared" si="66"/>
        <v>0</v>
      </c>
      <c r="O119" s="1026">
        <f t="shared" si="61"/>
        <v>0</v>
      </c>
      <c r="P119" s="1026">
        <f t="shared" si="62"/>
        <v>0</v>
      </c>
      <c r="Q119" s="1942">
        <f t="shared" si="67"/>
        <v>0</v>
      </c>
      <c r="R119" s="1942">
        <f t="shared" si="68"/>
        <v>0</v>
      </c>
      <c r="S119" s="1942">
        <f t="shared" si="69"/>
        <v>0</v>
      </c>
      <c r="T119" s="1942">
        <f t="shared" si="70"/>
        <v>0</v>
      </c>
      <c r="U119" s="1942">
        <f t="shared" si="71"/>
        <v>0</v>
      </c>
      <c r="V119" s="3035">
        <f t="shared" si="44"/>
        <v>0</v>
      </c>
      <c r="W119" s="1942">
        <f t="shared" si="63"/>
        <v>0</v>
      </c>
      <c r="X119" s="193">
        <v>0.01</v>
      </c>
      <c r="Y119" s="193"/>
      <c r="Z119" s="193"/>
      <c r="AA119" s="193"/>
      <c r="AB119" s="193"/>
      <c r="AC119" s="193"/>
      <c r="AD119" s="193"/>
      <c r="AE119" s="193"/>
      <c r="AF119" s="193"/>
      <c r="AG119" s="193"/>
      <c r="AH119" s="193"/>
      <c r="AI119" s="193"/>
      <c r="AJ119" s="193"/>
      <c r="AK119" s="193"/>
      <c r="AL119" s="193"/>
      <c r="AM119" s="193"/>
      <c r="AN119" s="193"/>
      <c r="AO119" s="193"/>
      <c r="AP119" s="193"/>
      <c r="AQ119" s="193"/>
      <c r="AR119" s="193"/>
      <c r="AS119" s="193"/>
      <c r="AT119" s="193"/>
      <c r="AU119" s="193"/>
      <c r="AV119" s="193"/>
      <c r="AW119" s="193"/>
      <c r="AX119" s="193"/>
      <c r="AY119" s="193"/>
      <c r="AZ119" s="193"/>
      <c r="BA119" s="193"/>
      <c r="BB119" s="193"/>
      <c r="BC119" s="193"/>
      <c r="BD119" s="193"/>
      <c r="BE119" s="193"/>
      <c r="BF119" s="193"/>
      <c r="BG119" s="193"/>
      <c r="BH119" s="193"/>
      <c r="BI119" s="193"/>
      <c r="BJ119" s="193"/>
      <c r="BK119" s="193"/>
      <c r="BL119" s="193"/>
      <c r="BM119" s="193"/>
      <c r="BN119" s="193"/>
      <c r="BO119" s="193"/>
      <c r="BP119" s="193"/>
      <c r="BQ119" s="193"/>
      <c r="BR119" s="193"/>
      <c r="BS119" s="193"/>
      <c r="BT119" s="193"/>
      <c r="BU119" s="193"/>
      <c r="BV119" s="193"/>
      <c r="BW119" s="193"/>
      <c r="BX119" s="193"/>
      <c r="BY119" s="193"/>
      <c r="BZ119" s="193"/>
      <c r="CA119" s="193"/>
      <c r="CB119" s="193"/>
      <c r="CC119" s="193"/>
      <c r="CD119" s="193"/>
      <c r="CE119" s="193"/>
      <c r="CF119" s="193"/>
      <c r="CG119" s="193"/>
      <c r="CH119" s="193"/>
      <c r="CI119" s="193"/>
      <c r="CJ119" s="193"/>
      <c r="CK119" s="193"/>
      <c r="CL119" s="193"/>
      <c r="CM119" s="193"/>
      <c r="CN119" s="193"/>
      <c r="CO119" s="193"/>
      <c r="CP119" s="193"/>
      <c r="CQ119" s="193"/>
      <c r="CR119" s="193"/>
      <c r="CS119" s="193"/>
      <c r="CT119" s="193"/>
      <c r="CU119" s="193"/>
      <c r="CV119" s="193"/>
      <c r="CW119" s="193"/>
      <c r="CX119" s="193"/>
      <c r="CY119" s="193"/>
      <c r="CZ119" s="193"/>
      <c r="DA119" s="193"/>
      <c r="DB119" s="193"/>
      <c r="DC119" s="193"/>
      <c r="DD119" s="193"/>
      <c r="DE119" s="193"/>
      <c r="DF119" s="193"/>
      <c r="DG119" s="193"/>
      <c r="DH119" s="193"/>
      <c r="DI119" s="193"/>
      <c r="DJ119" s="193"/>
      <c r="DK119" s="193"/>
      <c r="DL119" s="193"/>
      <c r="DM119" s="193"/>
      <c r="DN119" s="193"/>
      <c r="DO119" s="193"/>
      <c r="DP119" s="193"/>
      <c r="DQ119" s="193"/>
      <c r="DR119" s="193"/>
      <c r="DS119" s="193"/>
      <c r="DT119" s="193"/>
      <c r="DU119" s="193"/>
      <c r="DV119" s="193"/>
      <c r="DW119" s="193"/>
      <c r="DX119" s="193"/>
      <c r="DY119" s="193"/>
      <c r="DZ119" s="193"/>
      <c r="EA119" s="193"/>
      <c r="EB119" s="193"/>
      <c r="EC119" s="193"/>
      <c r="ED119" s="193"/>
      <c r="EE119" s="193"/>
      <c r="EF119" s="193"/>
      <c r="EG119" s="193"/>
      <c r="EH119" s="193"/>
      <c r="EI119" s="193"/>
      <c r="EJ119" s="193"/>
      <c r="EK119" s="193"/>
      <c r="EL119" s="193"/>
      <c r="EM119" s="193"/>
      <c r="EN119" s="193"/>
      <c r="EO119" s="193"/>
      <c r="EP119" s="193"/>
      <c r="EQ119" s="193"/>
      <c r="ER119" s="193"/>
      <c r="ES119" s="193"/>
      <c r="ET119" s="193"/>
      <c r="EU119" s="193"/>
      <c r="EV119" s="193"/>
      <c r="EW119" s="193"/>
      <c r="EX119" s="193"/>
      <c r="EY119" s="193"/>
      <c r="EZ119" s="193"/>
      <c r="FA119" s="193"/>
      <c r="FB119" s="193"/>
      <c r="FC119" s="193"/>
      <c r="FD119" s="193"/>
      <c r="FE119" s="193"/>
      <c r="FF119" s="193"/>
      <c r="FG119" s="193"/>
      <c r="FH119" s="193"/>
      <c r="FI119" s="193"/>
      <c r="FJ119" s="193"/>
      <c r="FK119" s="193"/>
      <c r="FL119" s="193"/>
      <c r="FM119" s="193"/>
      <c r="FN119" s="193"/>
      <c r="FO119" s="193"/>
      <c r="FP119" s="193"/>
      <c r="FQ119" s="193"/>
      <c r="FR119" s="193"/>
      <c r="FS119" s="193"/>
      <c r="FT119" s="193"/>
      <c r="FU119" s="193"/>
      <c r="FV119" s="193"/>
      <c r="FW119" s="193"/>
      <c r="FX119" s="193"/>
      <c r="FY119" s="193"/>
      <c r="FZ119" s="193"/>
      <c r="GA119" s="193"/>
      <c r="GB119" s="193"/>
      <c r="GC119" s="193"/>
      <c r="GD119" s="193"/>
      <c r="GE119" s="193"/>
      <c r="GF119" s="193"/>
      <c r="GG119" s="193"/>
      <c r="GH119" s="193"/>
      <c r="GI119" s="193"/>
      <c r="GJ119" s="193"/>
      <c r="GK119" s="193"/>
      <c r="GL119" s="193"/>
      <c r="GM119" s="193"/>
      <c r="GN119" s="193"/>
      <c r="GO119" s="193"/>
      <c r="GP119" s="193"/>
      <c r="GQ119" s="193"/>
      <c r="GR119" s="193"/>
      <c r="GS119" s="193"/>
      <c r="GT119" s="193"/>
      <c r="GU119" s="193"/>
      <c r="GV119" s="193"/>
      <c r="GW119" s="193"/>
      <c r="GX119" s="193"/>
      <c r="GY119" s="193"/>
      <c r="GZ119" s="193"/>
      <c r="HA119" s="193"/>
      <c r="HB119" s="193"/>
      <c r="HC119" s="193"/>
      <c r="HD119" s="193"/>
      <c r="HE119" s="193"/>
      <c r="HF119" s="193"/>
      <c r="HG119" s="193"/>
      <c r="HH119" s="193"/>
      <c r="HI119" s="193"/>
      <c r="HJ119" s="193"/>
      <c r="HK119" s="193"/>
      <c r="HL119" s="193"/>
      <c r="HM119" s="193"/>
      <c r="HN119" s="193"/>
      <c r="HO119" s="193"/>
      <c r="HP119" s="193"/>
      <c r="HQ119" s="193"/>
      <c r="HR119" s="193"/>
      <c r="HS119" s="193"/>
      <c r="HT119" s="193"/>
      <c r="HU119" s="193"/>
      <c r="HV119" s="193"/>
      <c r="HW119" s="193"/>
      <c r="HX119" s="193"/>
      <c r="HY119" s="193"/>
      <c r="HZ119" s="193"/>
      <c r="IA119" s="193"/>
      <c r="IB119" s="193"/>
      <c r="IC119" s="193"/>
      <c r="ID119" s="193"/>
      <c r="IE119" s="193"/>
      <c r="IF119" s="193"/>
      <c r="IG119" s="193"/>
      <c r="IH119" s="193"/>
      <c r="II119" s="193"/>
      <c r="IJ119" s="193"/>
      <c r="IK119" s="193"/>
      <c r="IL119" s="193"/>
      <c r="IM119" s="193"/>
      <c r="IN119" s="193"/>
      <c r="IO119" s="193"/>
      <c r="IP119" s="193"/>
      <c r="IQ119" s="193"/>
    </row>
    <row r="120" spans="1:251" hidden="1">
      <c r="A120" s="2021"/>
      <c r="B120" s="1625" t="s">
        <v>538</v>
      </c>
      <c r="C120" s="1945"/>
      <c r="D120" s="3497"/>
      <c r="E120" s="1026"/>
      <c r="F120" s="1959"/>
      <c r="G120" s="1026">
        <v>12</v>
      </c>
      <c r="H120" s="1942">
        <f t="shared" si="59"/>
        <v>0</v>
      </c>
      <c r="I120" s="1026"/>
      <c r="J120" s="1942">
        <f t="shared" si="64"/>
        <v>0</v>
      </c>
      <c r="K120" s="1026"/>
      <c r="L120" s="1942">
        <f t="shared" si="65"/>
        <v>0</v>
      </c>
      <c r="M120" s="1942">
        <f t="shared" si="60"/>
        <v>0</v>
      </c>
      <c r="N120" s="1942">
        <f t="shared" si="66"/>
        <v>0</v>
      </c>
      <c r="O120" s="1026">
        <f t="shared" si="61"/>
        <v>0</v>
      </c>
      <c r="P120" s="1026">
        <f t="shared" si="62"/>
        <v>0</v>
      </c>
      <c r="Q120" s="1942">
        <f t="shared" si="67"/>
        <v>0</v>
      </c>
      <c r="R120" s="1942">
        <f t="shared" si="68"/>
        <v>0</v>
      </c>
      <c r="S120" s="1942">
        <f t="shared" si="69"/>
        <v>0</v>
      </c>
      <c r="T120" s="1942">
        <f t="shared" si="70"/>
        <v>0</v>
      </c>
      <c r="U120" s="1942">
        <f t="shared" si="71"/>
        <v>0</v>
      </c>
      <c r="V120" s="3035">
        <f t="shared" si="44"/>
        <v>0</v>
      </c>
      <c r="W120" s="1942">
        <f t="shared" si="63"/>
        <v>0</v>
      </c>
      <c r="X120" s="193">
        <v>0.01</v>
      </c>
      <c r="Y120" s="193"/>
      <c r="Z120" s="193"/>
      <c r="AA120" s="193"/>
      <c r="AB120" s="193"/>
      <c r="AC120" s="193"/>
      <c r="AD120" s="193"/>
      <c r="AE120" s="193"/>
      <c r="AF120" s="193"/>
      <c r="AG120" s="193"/>
      <c r="AH120" s="193"/>
      <c r="AI120" s="193"/>
      <c r="AJ120" s="193"/>
      <c r="AK120" s="193"/>
      <c r="AL120" s="193"/>
      <c r="AM120" s="193"/>
      <c r="AN120" s="193"/>
      <c r="AO120" s="193"/>
      <c r="AP120" s="193"/>
      <c r="AQ120" s="193"/>
      <c r="AR120" s="193"/>
      <c r="AS120" s="193"/>
      <c r="AT120" s="193"/>
      <c r="AU120" s="193"/>
      <c r="AV120" s="193"/>
      <c r="AW120" s="193"/>
      <c r="AX120" s="193"/>
      <c r="AY120" s="193"/>
      <c r="AZ120" s="193"/>
      <c r="BA120" s="193"/>
      <c r="BB120" s="193"/>
      <c r="BC120" s="193"/>
      <c r="BD120" s="193"/>
      <c r="BE120" s="193"/>
      <c r="BF120" s="193"/>
      <c r="BG120" s="193"/>
      <c r="BH120" s="193"/>
      <c r="BI120" s="193"/>
      <c r="BJ120" s="193"/>
      <c r="BK120" s="193"/>
      <c r="BL120" s="193"/>
      <c r="BM120" s="193"/>
      <c r="BN120" s="193"/>
      <c r="BO120" s="193"/>
      <c r="BP120" s="193"/>
      <c r="BQ120" s="193"/>
      <c r="BR120" s="193"/>
      <c r="BS120" s="193"/>
      <c r="BT120" s="193"/>
      <c r="BU120" s="193"/>
      <c r="BV120" s="193"/>
      <c r="BW120" s="193"/>
      <c r="BX120" s="193"/>
      <c r="BY120" s="193"/>
      <c r="BZ120" s="193"/>
      <c r="CA120" s="193"/>
      <c r="CB120" s="193"/>
      <c r="CC120" s="193"/>
      <c r="CD120" s="193"/>
      <c r="CE120" s="193"/>
      <c r="CF120" s="193"/>
      <c r="CG120" s="193"/>
      <c r="CH120" s="193"/>
      <c r="CI120" s="193"/>
      <c r="CJ120" s="193"/>
      <c r="CK120" s="193"/>
      <c r="CL120" s="193"/>
      <c r="CM120" s="193"/>
      <c r="CN120" s="193"/>
      <c r="CO120" s="193"/>
      <c r="CP120" s="193"/>
      <c r="CQ120" s="193"/>
      <c r="CR120" s="193"/>
      <c r="CS120" s="193"/>
      <c r="CT120" s="193"/>
      <c r="CU120" s="193"/>
      <c r="CV120" s="193"/>
      <c r="CW120" s="193"/>
      <c r="CX120" s="193"/>
      <c r="CY120" s="193"/>
      <c r="CZ120" s="193"/>
      <c r="DA120" s="193"/>
      <c r="DB120" s="193"/>
      <c r="DC120" s="193"/>
      <c r="DD120" s="193"/>
      <c r="DE120" s="193"/>
      <c r="DF120" s="193"/>
      <c r="DG120" s="193"/>
      <c r="DH120" s="193"/>
      <c r="DI120" s="193"/>
      <c r="DJ120" s="193"/>
      <c r="DK120" s="193"/>
      <c r="DL120" s="193"/>
      <c r="DM120" s="193"/>
      <c r="DN120" s="193"/>
      <c r="DO120" s="193"/>
      <c r="DP120" s="193"/>
      <c r="DQ120" s="193"/>
      <c r="DR120" s="193"/>
      <c r="DS120" s="193"/>
      <c r="DT120" s="193"/>
      <c r="DU120" s="193"/>
      <c r="DV120" s="193"/>
      <c r="DW120" s="193"/>
      <c r="DX120" s="193"/>
      <c r="DY120" s="193"/>
      <c r="DZ120" s="193"/>
      <c r="EA120" s="193"/>
      <c r="EB120" s="193"/>
      <c r="EC120" s="193"/>
      <c r="ED120" s="193"/>
      <c r="EE120" s="193"/>
      <c r="EF120" s="193"/>
      <c r="EG120" s="193"/>
      <c r="EH120" s="193"/>
      <c r="EI120" s="193"/>
      <c r="EJ120" s="193"/>
      <c r="EK120" s="193"/>
      <c r="EL120" s="193"/>
      <c r="EM120" s="193"/>
      <c r="EN120" s="193"/>
      <c r="EO120" s="193"/>
      <c r="EP120" s="193"/>
      <c r="EQ120" s="193"/>
      <c r="ER120" s="193"/>
      <c r="ES120" s="193"/>
      <c r="ET120" s="193"/>
      <c r="EU120" s="193"/>
      <c r="EV120" s="193"/>
      <c r="EW120" s="193"/>
      <c r="EX120" s="193"/>
      <c r="EY120" s="193"/>
      <c r="EZ120" s="193"/>
      <c r="FA120" s="193"/>
      <c r="FB120" s="193"/>
      <c r="FC120" s="193"/>
      <c r="FD120" s="193"/>
      <c r="FE120" s="193"/>
      <c r="FF120" s="193"/>
      <c r="FG120" s="193"/>
      <c r="FH120" s="193"/>
      <c r="FI120" s="193"/>
      <c r="FJ120" s="193"/>
      <c r="FK120" s="193"/>
      <c r="FL120" s="193"/>
      <c r="FM120" s="193"/>
      <c r="FN120" s="193"/>
      <c r="FO120" s="193"/>
      <c r="FP120" s="193"/>
      <c r="FQ120" s="193"/>
      <c r="FR120" s="193"/>
      <c r="FS120" s="193"/>
      <c r="FT120" s="193"/>
      <c r="FU120" s="193"/>
      <c r="FV120" s="193"/>
      <c r="FW120" s="193"/>
      <c r="FX120" s="193"/>
      <c r="FY120" s="193"/>
      <c r="FZ120" s="193"/>
      <c r="GA120" s="193"/>
      <c r="GB120" s="193"/>
      <c r="GC120" s="193"/>
      <c r="GD120" s="193"/>
      <c r="GE120" s="193"/>
      <c r="GF120" s="193"/>
      <c r="GG120" s="193"/>
      <c r="GH120" s="193"/>
      <c r="GI120" s="193"/>
      <c r="GJ120" s="193"/>
      <c r="GK120" s="193"/>
      <c r="GL120" s="193"/>
      <c r="GM120" s="193"/>
      <c r="GN120" s="193"/>
      <c r="GO120" s="193"/>
      <c r="GP120" s="193"/>
      <c r="GQ120" s="193"/>
      <c r="GR120" s="193"/>
      <c r="GS120" s="193"/>
      <c r="GT120" s="193"/>
      <c r="GU120" s="193"/>
      <c r="GV120" s="193"/>
      <c r="GW120" s="193"/>
      <c r="GX120" s="193"/>
      <c r="GY120" s="193"/>
      <c r="GZ120" s="193"/>
      <c r="HA120" s="193"/>
      <c r="HB120" s="193"/>
      <c r="HC120" s="193"/>
      <c r="HD120" s="193"/>
      <c r="HE120" s="193"/>
      <c r="HF120" s="193"/>
      <c r="HG120" s="193"/>
      <c r="HH120" s="193"/>
      <c r="HI120" s="193"/>
      <c r="HJ120" s="193"/>
      <c r="HK120" s="193"/>
      <c r="HL120" s="193"/>
      <c r="HM120" s="193"/>
      <c r="HN120" s="193"/>
      <c r="HO120" s="193"/>
      <c r="HP120" s="193"/>
      <c r="HQ120" s="193"/>
      <c r="HR120" s="193"/>
      <c r="HS120" s="193"/>
      <c r="HT120" s="193"/>
      <c r="HU120" s="193"/>
      <c r="HV120" s="193"/>
      <c r="HW120" s="193"/>
      <c r="HX120" s="193"/>
      <c r="HY120" s="193"/>
      <c r="HZ120" s="193"/>
      <c r="IA120" s="193"/>
      <c r="IB120" s="193"/>
      <c r="IC120" s="193"/>
      <c r="ID120" s="193"/>
      <c r="IE120" s="193"/>
      <c r="IF120" s="193"/>
      <c r="IG120" s="193"/>
      <c r="IH120" s="193"/>
      <c r="II120" s="193"/>
      <c r="IJ120" s="193"/>
      <c r="IK120" s="193"/>
      <c r="IL120" s="193"/>
      <c r="IM120" s="193"/>
      <c r="IN120" s="193"/>
      <c r="IO120" s="193"/>
      <c r="IP120" s="193"/>
      <c r="IQ120" s="193"/>
    </row>
    <row r="121" spans="1:251" hidden="1">
      <c r="A121" s="2021"/>
      <c r="B121" s="1625" t="s">
        <v>539</v>
      </c>
      <c r="C121" s="1945"/>
      <c r="D121" s="3497"/>
      <c r="E121" s="1026"/>
      <c r="F121" s="1959"/>
      <c r="G121" s="1026">
        <v>12</v>
      </c>
      <c r="H121" s="1942">
        <f t="shared" si="59"/>
        <v>0</v>
      </c>
      <c r="I121" s="1026"/>
      <c r="J121" s="1942">
        <f t="shared" si="64"/>
        <v>0</v>
      </c>
      <c r="K121" s="1026"/>
      <c r="L121" s="1942">
        <f t="shared" si="65"/>
        <v>0</v>
      </c>
      <c r="M121" s="1942">
        <f t="shared" si="60"/>
        <v>0</v>
      </c>
      <c r="N121" s="1942">
        <f t="shared" si="66"/>
        <v>0</v>
      </c>
      <c r="O121" s="1026">
        <f t="shared" si="61"/>
        <v>0</v>
      </c>
      <c r="P121" s="1026">
        <f t="shared" si="62"/>
        <v>0</v>
      </c>
      <c r="Q121" s="1942">
        <f t="shared" si="67"/>
        <v>0</v>
      </c>
      <c r="R121" s="1942">
        <f t="shared" si="68"/>
        <v>0</v>
      </c>
      <c r="S121" s="1942">
        <f t="shared" si="69"/>
        <v>0</v>
      </c>
      <c r="T121" s="1942">
        <f t="shared" si="70"/>
        <v>0</v>
      </c>
      <c r="U121" s="1942">
        <f t="shared" si="71"/>
        <v>0</v>
      </c>
      <c r="V121" s="3035">
        <f t="shared" si="44"/>
        <v>0</v>
      </c>
      <c r="W121" s="1942">
        <f t="shared" si="63"/>
        <v>0</v>
      </c>
      <c r="X121" s="193">
        <v>0.01</v>
      </c>
      <c r="Y121" s="193"/>
      <c r="Z121" s="193"/>
      <c r="AA121" s="193"/>
      <c r="AB121" s="193"/>
      <c r="AC121" s="193"/>
      <c r="AD121" s="193"/>
      <c r="AE121" s="193"/>
      <c r="AF121" s="193"/>
      <c r="AG121" s="193"/>
      <c r="AH121" s="193"/>
      <c r="AI121" s="193"/>
      <c r="AJ121" s="193"/>
      <c r="AK121" s="193"/>
      <c r="AL121" s="193"/>
      <c r="AM121" s="193"/>
      <c r="AN121" s="193"/>
      <c r="AO121" s="193"/>
      <c r="AP121" s="193"/>
      <c r="AQ121" s="193"/>
      <c r="AR121" s="193"/>
      <c r="AS121" s="193"/>
      <c r="AT121" s="193"/>
      <c r="AU121" s="193"/>
      <c r="AV121" s="193"/>
      <c r="AW121" s="193"/>
      <c r="AX121" s="193"/>
      <c r="AY121" s="193"/>
      <c r="AZ121" s="193"/>
      <c r="BA121" s="193"/>
      <c r="BB121" s="193"/>
      <c r="BC121" s="193"/>
      <c r="BD121" s="193"/>
      <c r="BE121" s="193"/>
      <c r="BF121" s="193"/>
      <c r="BG121" s="193"/>
      <c r="BH121" s="193"/>
      <c r="BI121" s="193"/>
      <c r="BJ121" s="193"/>
      <c r="BK121" s="193"/>
      <c r="BL121" s="193"/>
      <c r="BM121" s="193"/>
      <c r="BN121" s="193"/>
      <c r="BO121" s="193"/>
      <c r="BP121" s="193"/>
      <c r="BQ121" s="193"/>
      <c r="BR121" s="193"/>
      <c r="BS121" s="193"/>
      <c r="BT121" s="193"/>
      <c r="BU121" s="193"/>
      <c r="BV121" s="193"/>
      <c r="BW121" s="193"/>
      <c r="BX121" s="193"/>
      <c r="BY121" s="193"/>
      <c r="BZ121" s="193"/>
      <c r="CA121" s="193"/>
      <c r="CB121" s="193"/>
      <c r="CC121" s="193"/>
      <c r="CD121" s="193"/>
      <c r="CE121" s="193"/>
      <c r="CF121" s="193"/>
      <c r="CG121" s="193"/>
      <c r="CH121" s="193"/>
      <c r="CI121" s="193"/>
      <c r="CJ121" s="193"/>
      <c r="CK121" s="193"/>
      <c r="CL121" s="193"/>
      <c r="CM121" s="193"/>
      <c r="CN121" s="193"/>
      <c r="CO121" s="193"/>
      <c r="CP121" s="193"/>
      <c r="CQ121" s="193"/>
      <c r="CR121" s="193"/>
      <c r="CS121" s="193"/>
      <c r="CT121" s="193"/>
      <c r="CU121" s="193"/>
      <c r="CV121" s="193"/>
      <c r="CW121" s="193"/>
      <c r="CX121" s="193"/>
      <c r="CY121" s="193"/>
      <c r="CZ121" s="193"/>
      <c r="DA121" s="193"/>
      <c r="DB121" s="193"/>
      <c r="DC121" s="193"/>
      <c r="DD121" s="193"/>
      <c r="DE121" s="193"/>
      <c r="DF121" s="193"/>
      <c r="DG121" s="193"/>
      <c r="DH121" s="193"/>
      <c r="DI121" s="193"/>
      <c r="DJ121" s="193"/>
      <c r="DK121" s="193"/>
      <c r="DL121" s="193"/>
      <c r="DM121" s="193"/>
      <c r="DN121" s="193"/>
      <c r="DO121" s="193"/>
      <c r="DP121" s="193"/>
      <c r="DQ121" s="193"/>
      <c r="DR121" s="193"/>
      <c r="DS121" s="193"/>
      <c r="DT121" s="193"/>
      <c r="DU121" s="193"/>
      <c r="DV121" s="193"/>
      <c r="DW121" s="193"/>
      <c r="DX121" s="193"/>
      <c r="DY121" s="193"/>
      <c r="DZ121" s="193"/>
      <c r="EA121" s="193"/>
      <c r="EB121" s="193"/>
      <c r="EC121" s="193"/>
      <c r="ED121" s="193"/>
      <c r="EE121" s="193"/>
      <c r="EF121" s="193"/>
      <c r="EG121" s="193"/>
      <c r="EH121" s="193"/>
      <c r="EI121" s="193"/>
      <c r="EJ121" s="193"/>
      <c r="EK121" s="193"/>
      <c r="EL121" s="193"/>
      <c r="EM121" s="193"/>
      <c r="EN121" s="193"/>
      <c r="EO121" s="193"/>
      <c r="EP121" s="193"/>
      <c r="EQ121" s="193"/>
      <c r="ER121" s="193"/>
      <c r="ES121" s="193"/>
      <c r="ET121" s="193"/>
      <c r="EU121" s="193"/>
      <c r="EV121" s="193"/>
      <c r="EW121" s="193"/>
      <c r="EX121" s="193"/>
      <c r="EY121" s="193"/>
      <c r="EZ121" s="193"/>
      <c r="FA121" s="193"/>
      <c r="FB121" s="193"/>
      <c r="FC121" s="193"/>
      <c r="FD121" s="193"/>
      <c r="FE121" s="193"/>
      <c r="FF121" s="193"/>
      <c r="FG121" s="193"/>
      <c r="FH121" s="193"/>
      <c r="FI121" s="193"/>
      <c r="FJ121" s="193"/>
      <c r="FK121" s="193"/>
      <c r="FL121" s="193"/>
      <c r="FM121" s="193"/>
      <c r="FN121" s="193"/>
      <c r="FO121" s="193"/>
      <c r="FP121" s="193"/>
      <c r="FQ121" s="193"/>
      <c r="FR121" s="193"/>
      <c r="FS121" s="193"/>
      <c r="FT121" s="193"/>
      <c r="FU121" s="193"/>
      <c r="FV121" s="193"/>
      <c r="FW121" s="193"/>
      <c r="FX121" s="193"/>
      <c r="FY121" s="193"/>
      <c r="FZ121" s="193"/>
      <c r="GA121" s="193"/>
      <c r="GB121" s="193"/>
      <c r="GC121" s="193"/>
      <c r="GD121" s="193"/>
      <c r="GE121" s="193"/>
      <c r="GF121" s="193"/>
      <c r="GG121" s="193"/>
      <c r="GH121" s="193"/>
      <c r="GI121" s="193"/>
      <c r="GJ121" s="193"/>
      <c r="GK121" s="193"/>
      <c r="GL121" s="193"/>
      <c r="GM121" s="193"/>
      <c r="GN121" s="193"/>
      <c r="GO121" s="193"/>
      <c r="GP121" s="193"/>
      <c r="GQ121" s="193"/>
      <c r="GR121" s="193"/>
      <c r="GS121" s="193"/>
      <c r="GT121" s="193"/>
      <c r="GU121" s="193"/>
      <c r="GV121" s="193"/>
      <c r="GW121" s="193"/>
      <c r="GX121" s="193"/>
      <c r="GY121" s="193"/>
      <c r="GZ121" s="193"/>
      <c r="HA121" s="193"/>
      <c r="HB121" s="193"/>
      <c r="HC121" s="193"/>
      <c r="HD121" s="193"/>
      <c r="HE121" s="193"/>
      <c r="HF121" s="193"/>
      <c r="HG121" s="193"/>
      <c r="HH121" s="193"/>
      <c r="HI121" s="193"/>
      <c r="HJ121" s="193"/>
      <c r="HK121" s="193"/>
      <c r="HL121" s="193"/>
      <c r="HM121" s="193"/>
      <c r="HN121" s="193"/>
      <c r="HO121" s="193"/>
      <c r="HP121" s="193"/>
      <c r="HQ121" s="193"/>
      <c r="HR121" s="193"/>
      <c r="HS121" s="193"/>
      <c r="HT121" s="193"/>
      <c r="HU121" s="193"/>
      <c r="HV121" s="193"/>
      <c r="HW121" s="193"/>
      <c r="HX121" s="193"/>
      <c r="HY121" s="193"/>
      <c r="HZ121" s="193"/>
      <c r="IA121" s="193"/>
      <c r="IB121" s="193"/>
      <c r="IC121" s="193"/>
      <c r="ID121" s="193"/>
      <c r="IE121" s="193"/>
      <c r="IF121" s="193"/>
      <c r="IG121" s="193"/>
      <c r="IH121" s="193"/>
      <c r="II121" s="193"/>
      <c r="IJ121" s="193"/>
      <c r="IK121" s="193"/>
      <c r="IL121" s="193"/>
      <c r="IM121" s="193"/>
      <c r="IN121" s="193"/>
      <c r="IO121" s="193"/>
      <c r="IP121" s="193"/>
      <c r="IQ121" s="193"/>
    </row>
    <row r="122" spans="1:251" hidden="1">
      <c r="A122" s="2021"/>
      <c r="B122" s="1625" t="s">
        <v>531</v>
      </c>
      <c r="C122" s="1945"/>
      <c r="D122" s="3497"/>
      <c r="E122" s="1026"/>
      <c r="F122" s="1959"/>
      <c r="G122" s="1026">
        <v>7</v>
      </c>
      <c r="H122" s="1942">
        <f t="shared" si="59"/>
        <v>0</v>
      </c>
      <c r="I122" s="1026"/>
      <c r="J122" s="1942">
        <f t="shared" si="64"/>
        <v>0</v>
      </c>
      <c r="K122" s="1026">
        <v>0.1</v>
      </c>
      <c r="L122" s="1942">
        <f t="shared" si="65"/>
        <v>0</v>
      </c>
      <c r="M122" s="1942">
        <f t="shared" si="60"/>
        <v>0</v>
      </c>
      <c r="N122" s="1942">
        <f t="shared" si="66"/>
        <v>0</v>
      </c>
      <c r="O122" s="1026"/>
      <c r="P122" s="1026">
        <f>D122*F122*2</f>
        <v>0</v>
      </c>
      <c r="Q122" s="1942">
        <f t="shared" si="67"/>
        <v>0</v>
      </c>
      <c r="R122" s="1942">
        <f t="shared" si="68"/>
        <v>0</v>
      </c>
      <c r="S122" s="1942">
        <f t="shared" si="69"/>
        <v>0</v>
      </c>
      <c r="T122" s="1942">
        <f t="shared" si="70"/>
        <v>0</v>
      </c>
      <c r="U122" s="1942">
        <f t="shared" si="71"/>
        <v>0</v>
      </c>
      <c r="V122" s="3035">
        <f t="shared" si="44"/>
        <v>0</v>
      </c>
      <c r="W122" s="1942">
        <f t="shared" si="63"/>
        <v>0</v>
      </c>
      <c r="X122" s="193">
        <v>0.01</v>
      </c>
      <c r="Y122" s="193"/>
      <c r="Z122" s="193"/>
      <c r="AA122" s="193"/>
      <c r="AB122" s="193"/>
      <c r="AC122" s="193"/>
      <c r="AD122" s="193"/>
      <c r="AE122" s="193"/>
      <c r="AF122" s="193"/>
      <c r="AG122" s="193"/>
      <c r="AH122" s="193"/>
      <c r="AI122" s="193"/>
      <c r="AJ122" s="193"/>
      <c r="AK122" s="193"/>
      <c r="AL122" s="193"/>
      <c r="AM122" s="193"/>
      <c r="AN122" s="193"/>
      <c r="AO122" s="193"/>
      <c r="AP122" s="193"/>
      <c r="AQ122" s="193"/>
      <c r="AR122" s="193"/>
      <c r="AS122" s="193"/>
      <c r="AT122" s="193"/>
      <c r="AU122" s="193"/>
      <c r="AV122" s="193"/>
      <c r="AW122" s="193"/>
      <c r="AX122" s="193"/>
      <c r="AY122" s="193"/>
      <c r="AZ122" s="193"/>
      <c r="BA122" s="193"/>
      <c r="BB122" s="193"/>
      <c r="BC122" s="193"/>
      <c r="BD122" s="193"/>
      <c r="BE122" s="193"/>
      <c r="BF122" s="193"/>
      <c r="BG122" s="193"/>
      <c r="BH122" s="193"/>
      <c r="BI122" s="193"/>
      <c r="BJ122" s="193"/>
      <c r="BK122" s="193"/>
      <c r="BL122" s="193"/>
      <c r="BM122" s="193"/>
      <c r="BN122" s="193"/>
      <c r="BO122" s="193"/>
      <c r="BP122" s="193"/>
      <c r="BQ122" s="193"/>
      <c r="BR122" s="193"/>
      <c r="BS122" s="193"/>
      <c r="BT122" s="193"/>
      <c r="BU122" s="193"/>
      <c r="BV122" s="193"/>
      <c r="BW122" s="193"/>
      <c r="BX122" s="193"/>
      <c r="BY122" s="193"/>
      <c r="BZ122" s="193"/>
      <c r="CA122" s="193"/>
      <c r="CB122" s="193"/>
      <c r="CC122" s="193"/>
      <c r="CD122" s="193"/>
      <c r="CE122" s="193"/>
      <c r="CF122" s="193"/>
      <c r="CG122" s="193"/>
      <c r="CH122" s="193"/>
      <c r="CI122" s="193"/>
      <c r="CJ122" s="193"/>
      <c r="CK122" s="193"/>
      <c r="CL122" s="193"/>
      <c r="CM122" s="193"/>
      <c r="CN122" s="193"/>
      <c r="CO122" s="193"/>
      <c r="CP122" s="193"/>
      <c r="CQ122" s="193"/>
      <c r="CR122" s="193"/>
      <c r="CS122" s="193"/>
      <c r="CT122" s="193"/>
      <c r="CU122" s="193"/>
      <c r="CV122" s="193"/>
      <c r="CW122" s="193"/>
      <c r="CX122" s="193"/>
      <c r="CY122" s="193"/>
      <c r="CZ122" s="193"/>
      <c r="DA122" s="193"/>
      <c r="DB122" s="193"/>
      <c r="DC122" s="193"/>
      <c r="DD122" s="193"/>
      <c r="DE122" s="193"/>
      <c r="DF122" s="193"/>
      <c r="DG122" s="193"/>
      <c r="DH122" s="193"/>
      <c r="DI122" s="193"/>
      <c r="DJ122" s="193"/>
      <c r="DK122" s="193"/>
      <c r="DL122" s="193"/>
      <c r="DM122" s="193"/>
      <c r="DN122" s="193"/>
      <c r="DO122" s="193"/>
      <c r="DP122" s="193"/>
      <c r="DQ122" s="193"/>
      <c r="DR122" s="193"/>
      <c r="DS122" s="193"/>
      <c r="DT122" s="193"/>
      <c r="DU122" s="193"/>
      <c r="DV122" s="193"/>
      <c r="DW122" s="193"/>
      <c r="DX122" s="193"/>
      <c r="DY122" s="193"/>
      <c r="DZ122" s="193"/>
      <c r="EA122" s="193"/>
      <c r="EB122" s="193"/>
      <c r="EC122" s="193"/>
      <c r="ED122" s="193"/>
      <c r="EE122" s="193"/>
      <c r="EF122" s="193"/>
      <c r="EG122" s="193"/>
      <c r="EH122" s="193"/>
      <c r="EI122" s="193"/>
      <c r="EJ122" s="193"/>
      <c r="EK122" s="193"/>
      <c r="EL122" s="193"/>
      <c r="EM122" s="193"/>
      <c r="EN122" s="193"/>
      <c r="EO122" s="193"/>
      <c r="EP122" s="193"/>
      <c r="EQ122" s="193"/>
      <c r="ER122" s="193"/>
      <c r="ES122" s="193"/>
      <c r="ET122" s="193"/>
      <c r="EU122" s="193"/>
      <c r="EV122" s="193"/>
      <c r="EW122" s="193"/>
      <c r="EX122" s="193"/>
      <c r="EY122" s="193"/>
      <c r="EZ122" s="193"/>
      <c r="FA122" s="193"/>
      <c r="FB122" s="193"/>
      <c r="FC122" s="193"/>
      <c r="FD122" s="193"/>
      <c r="FE122" s="193"/>
      <c r="FF122" s="193"/>
      <c r="FG122" s="193"/>
      <c r="FH122" s="193"/>
      <c r="FI122" s="193"/>
      <c r="FJ122" s="193"/>
      <c r="FK122" s="193"/>
      <c r="FL122" s="193"/>
      <c r="FM122" s="193"/>
      <c r="FN122" s="193"/>
      <c r="FO122" s="193"/>
      <c r="FP122" s="193"/>
      <c r="FQ122" s="193"/>
      <c r="FR122" s="193"/>
      <c r="FS122" s="193"/>
      <c r="FT122" s="193"/>
      <c r="FU122" s="193"/>
      <c r="FV122" s="193"/>
      <c r="FW122" s="193"/>
      <c r="FX122" s="193"/>
      <c r="FY122" s="193"/>
      <c r="FZ122" s="193"/>
      <c r="GA122" s="193"/>
      <c r="GB122" s="193"/>
      <c r="GC122" s="193"/>
      <c r="GD122" s="193"/>
      <c r="GE122" s="193"/>
      <c r="GF122" s="193"/>
      <c r="GG122" s="193"/>
      <c r="GH122" s="193"/>
      <c r="GI122" s="193"/>
      <c r="GJ122" s="193"/>
      <c r="GK122" s="193"/>
      <c r="GL122" s="193"/>
      <c r="GM122" s="193"/>
      <c r="GN122" s="193"/>
      <c r="GO122" s="193"/>
      <c r="GP122" s="193"/>
      <c r="GQ122" s="193"/>
      <c r="GR122" s="193"/>
      <c r="GS122" s="193"/>
      <c r="GT122" s="193"/>
      <c r="GU122" s="193"/>
      <c r="GV122" s="193"/>
      <c r="GW122" s="193"/>
      <c r="GX122" s="193"/>
      <c r="GY122" s="193"/>
      <c r="GZ122" s="193"/>
      <c r="HA122" s="193"/>
      <c r="HB122" s="193"/>
      <c r="HC122" s="193"/>
      <c r="HD122" s="193"/>
      <c r="HE122" s="193"/>
      <c r="HF122" s="193"/>
      <c r="HG122" s="193"/>
      <c r="HH122" s="193"/>
      <c r="HI122" s="193"/>
      <c r="HJ122" s="193"/>
      <c r="HK122" s="193"/>
      <c r="HL122" s="193"/>
      <c r="HM122" s="193"/>
      <c r="HN122" s="193"/>
      <c r="HO122" s="193"/>
      <c r="HP122" s="193"/>
      <c r="HQ122" s="193"/>
      <c r="HR122" s="193"/>
      <c r="HS122" s="193"/>
      <c r="HT122" s="193"/>
      <c r="HU122" s="193"/>
      <c r="HV122" s="193"/>
      <c r="HW122" s="193"/>
      <c r="HX122" s="193"/>
      <c r="HY122" s="193"/>
      <c r="HZ122" s="193"/>
      <c r="IA122" s="193"/>
      <c r="IB122" s="193"/>
      <c r="IC122" s="193"/>
      <c r="ID122" s="193"/>
      <c r="IE122" s="193"/>
      <c r="IF122" s="193"/>
      <c r="IG122" s="193"/>
      <c r="IH122" s="193"/>
      <c r="II122" s="193"/>
      <c r="IJ122" s="193"/>
      <c r="IK122" s="193"/>
      <c r="IL122" s="193"/>
      <c r="IM122" s="193"/>
      <c r="IN122" s="193"/>
      <c r="IO122" s="193"/>
      <c r="IP122" s="193"/>
      <c r="IQ122" s="193"/>
    </row>
    <row r="123" spans="1:251" ht="27">
      <c r="A123" s="2021"/>
      <c r="B123" s="2015" t="s">
        <v>540</v>
      </c>
      <c r="C123" s="1945"/>
      <c r="D123" s="2037"/>
      <c r="E123" s="1026"/>
      <c r="F123" s="1942"/>
      <c r="G123" s="1026"/>
      <c r="H123" s="1942">
        <f t="shared" si="59"/>
        <v>0</v>
      </c>
      <c r="I123" s="1026"/>
      <c r="J123" s="1942">
        <f t="shared" si="64"/>
        <v>0</v>
      </c>
      <c r="K123" s="1026"/>
      <c r="L123" s="1942">
        <f t="shared" si="65"/>
        <v>0</v>
      </c>
      <c r="M123" s="1942">
        <f t="shared" si="60"/>
        <v>0</v>
      </c>
      <c r="N123" s="1942">
        <f t="shared" si="66"/>
        <v>0</v>
      </c>
      <c r="O123" s="1026"/>
      <c r="P123" s="1026"/>
      <c r="Q123" s="1942">
        <f t="shared" si="67"/>
        <v>0</v>
      </c>
      <c r="R123" s="1942">
        <f t="shared" si="68"/>
        <v>0</v>
      </c>
      <c r="S123" s="1942">
        <f t="shared" si="69"/>
        <v>0</v>
      </c>
      <c r="T123" s="1942">
        <f t="shared" si="70"/>
        <v>0</v>
      </c>
      <c r="U123" s="1942">
        <f t="shared" si="71"/>
        <v>0</v>
      </c>
      <c r="V123" s="3035">
        <f t="shared" si="44"/>
        <v>0</v>
      </c>
      <c r="W123" s="1942">
        <f t="shared" si="63"/>
        <v>0</v>
      </c>
      <c r="X123" s="193">
        <v>0.01</v>
      </c>
      <c r="Y123" s="193"/>
      <c r="Z123" s="193"/>
      <c r="AA123" s="193"/>
      <c r="AB123" s="193"/>
      <c r="AC123" s="193"/>
      <c r="AD123" s="193"/>
      <c r="AE123" s="193"/>
      <c r="AF123" s="193"/>
      <c r="AG123" s="193"/>
      <c r="AH123" s="193"/>
      <c r="AI123" s="193"/>
      <c r="AJ123" s="193"/>
      <c r="AK123" s="193"/>
      <c r="AL123" s="193"/>
      <c r="AM123" s="193"/>
      <c r="AN123" s="193"/>
      <c r="AO123" s="193"/>
      <c r="AP123" s="193"/>
      <c r="AQ123" s="193"/>
      <c r="AR123" s="193"/>
      <c r="AS123" s="193"/>
      <c r="AT123" s="193"/>
      <c r="AU123" s="193"/>
      <c r="AV123" s="193"/>
      <c r="AW123" s="193"/>
      <c r="AX123" s="193"/>
      <c r="AY123" s="193"/>
      <c r="AZ123" s="193"/>
      <c r="BA123" s="193"/>
      <c r="BB123" s="193"/>
      <c r="BC123" s="193"/>
      <c r="BD123" s="193"/>
      <c r="BE123" s="193"/>
      <c r="BF123" s="193"/>
      <c r="BG123" s="193"/>
      <c r="BH123" s="193"/>
      <c r="BI123" s="193"/>
      <c r="BJ123" s="193"/>
      <c r="BK123" s="193"/>
      <c r="BL123" s="193"/>
      <c r="BM123" s="193"/>
      <c r="BN123" s="193"/>
      <c r="BO123" s="193"/>
      <c r="BP123" s="193"/>
      <c r="BQ123" s="193"/>
      <c r="BR123" s="193"/>
      <c r="BS123" s="193"/>
      <c r="BT123" s="193"/>
      <c r="BU123" s="193"/>
      <c r="BV123" s="193"/>
      <c r="BW123" s="193"/>
      <c r="BX123" s="193"/>
      <c r="BY123" s="193"/>
      <c r="BZ123" s="193"/>
      <c r="CA123" s="193"/>
      <c r="CB123" s="193"/>
      <c r="CC123" s="193"/>
      <c r="CD123" s="193"/>
      <c r="CE123" s="193"/>
      <c r="CF123" s="193"/>
      <c r="CG123" s="193"/>
      <c r="CH123" s="193"/>
      <c r="CI123" s="193"/>
      <c r="CJ123" s="193"/>
      <c r="CK123" s="193"/>
      <c r="CL123" s="193"/>
      <c r="CM123" s="193"/>
      <c r="CN123" s="193"/>
      <c r="CO123" s="193"/>
      <c r="CP123" s="193"/>
      <c r="CQ123" s="193"/>
      <c r="CR123" s="193"/>
      <c r="CS123" s="193"/>
      <c r="CT123" s="193"/>
      <c r="CU123" s="193"/>
      <c r="CV123" s="193"/>
      <c r="CW123" s="193"/>
      <c r="CX123" s="193"/>
      <c r="CY123" s="193"/>
      <c r="CZ123" s="193"/>
      <c r="DA123" s="193"/>
      <c r="DB123" s="193"/>
      <c r="DC123" s="193"/>
      <c r="DD123" s="193"/>
      <c r="DE123" s="193"/>
      <c r="DF123" s="193"/>
      <c r="DG123" s="193"/>
      <c r="DH123" s="193"/>
      <c r="DI123" s="193"/>
      <c r="DJ123" s="193"/>
      <c r="DK123" s="193"/>
      <c r="DL123" s="193"/>
      <c r="DM123" s="193"/>
      <c r="DN123" s="193"/>
      <c r="DO123" s="193"/>
      <c r="DP123" s="193"/>
      <c r="DQ123" s="193"/>
      <c r="DR123" s="193"/>
      <c r="DS123" s="193"/>
      <c r="DT123" s="193"/>
      <c r="DU123" s="193"/>
      <c r="DV123" s="193"/>
      <c r="DW123" s="193"/>
      <c r="DX123" s="193"/>
      <c r="DY123" s="193"/>
      <c r="DZ123" s="193"/>
      <c r="EA123" s="193"/>
      <c r="EB123" s="193"/>
      <c r="EC123" s="193"/>
      <c r="ED123" s="193"/>
      <c r="EE123" s="193"/>
      <c r="EF123" s="193"/>
      <c r="EG123" s="193"/>
      <c r="EH123" s="193"/>
      <c r="EI123" s="193"/>
      <c r="EJ123" s="193"/>
      <c r="EK123" s="193"/>
      <c r="EL123" s="193"/>
      <c r="EM123" s="193"/>
      <c r="EN123" s="193"/>
      <c r="EO123" s="193"/>
      <c r="EP123" s="193"/>
      <c r="EQ123" s="193"/>
      <c r="ER123" s="193"/>
      <c r="ES123" s="193"/>
      <c r="ET123" s="193"/>
      <c r="EU123" s="193"/>
      <c r="EV123" s="193"/>
      <c r="EW123" s="193"/>
      <c r="EX123" s="193"/>
      <c r="EY123" s="193"/>
      <c r="EZ123" s="193"/>
      <c r="FA123" s="193"/>
      <c r="FB123" s="193"/>
      <c r="FC123" s="193"/>
      <c r="FD123" s="193"/>
      <c r="FE123" s="193"/>
      <c r="FF123" s="193"/>
      <c r="FG123" s="193"/>
      <c r="FH123" s="193"/>
      <c r="FI123" s="193"/>
      <c r="FJ123" s="193"/>
      <c r="FK123" s="193"/>
      <c r="FL123" s="193"/>
      <c r="FM123" s="193"/>
      <c r="FN123" s="193"/>
      <c r="FO123" s="193"/>
      <c r="FP123" s="193"/>
      <c r="FQ123" s="193"/>
      <c r="FR123" s="193"/>
      <c r="FS123" s="193"/>
      <c r="FT123" s="193"/>
      <c r="FU123" s="193"/>
      <c r="FV123" s="193"/>
      <c r="FW123" s="193"/>
      <c r="FX123" s="193"/>
      <c r="FY123" s="193"/>
      <c r="FZ123" s="193"/>
      <c r="GA123" s="193"/>
      <c r="GB123" s="193"/>
      <c r="GC123" s="193"/>
      <c r="GD123" s="193"/>
      <c r="GE123" s="193"/>
      <c r="GF123" s="193"/>
      <c r="GG123" s="193"/>
      <c r="GH123" s="193"/>
      <c r="GI123" s="193"/>
      <c r="GJ123" s="193"/>
      <c r="GK123" s="193"/>
      <c r="GL123" s="193"/>
      <c r="GM123" s="193"/>
      <c r="GN123" s="193"/>
      <c r="GO123" s="193"/>
      <c r="GP123" s="193"/>
      <c r="GQ123" s="193"/>
      <c r="GR123" s="193"/>
      <c r="GS123" s="193"/>
      <c r="GT123" s="193"/>
      <c r="GU123" s="193"/>
      <c r="GV123" s="193"/>
      <c r="GW123" s="193"/>
      <c r="GX123" s="193"/>
      <c r="GY123" s="193"/>
      <c r="GZ123" s="193"/>
      <c r="HA123" s="193"/>
      <c r="HB123" s="193"/>
      <c r="HC123" s="193"/>
      <c r="HD123" s="193"/>
      <c r="HE123" s="193"/>
      <c r="HF123" s="193"/>
      <c r="HG123" s="193"/>
      <c r="HH123" s="193"/>
      <c r="HI123" s="193"/>
      <c r="HJ123" s="193"/>
      <c r="HK123" s="193"/>
      <c r="HL123" s="193"/>
      <c r="HM123" s="193"/>
      <c r="HN123" s="193"/>
      <c r="HO123" s="193"/>
      <c r="HP123" s="193"/>
      <c r="HQ123" s="193"/>
      <c r="HR123" s="193"/>
      <c r="HS123" s="193"/>
      <c r="HT123" s="193"/>
      <c r="HU123" s="193"/>
      <c r="HV123" s="193"/>
      <c r="HW123" s="193"/>
      <c r="HX123" s="193"/>
      <c r="HY123" s="193"/>
      <c r="HZ123" s="193"/>
      <c r="IA123" s="193"/>
      <c r="IB123" s="193"/>
      <c r="IC123" s="193"/>
      <c r="ID123" s="193"/>
      <c r="IE123" s="193"/>
      <c r="IF123" s="193"/>
      <c r="IG123" s="193"/>
      <c r="IH123" s="193"/>
      <c r="II123" s="193"/>
      <c r="IJ123" s="193"/>
      <c r="IK123" s="193"/>
      <c r="IL123" s="193"/>
      <c r="IM123" s="193"/>
      <c r="IN123" s="193"/>
      <c r="IO123" s="193"/>
      <c r="IP123" s="193"/>
      <c r="IQ123" s="193"/>
    </row>
    <row r="124" spans="1:251" hidden="1">
      <c r="A124" s="2021"/>
      <c r="B124" s="1958" t="s">
        <v>541</v>
      </c>
      <c r="C124" s="1945"/>
      <c r="D124" s="2037"/>
      <c r="E124" s="1026"/>
      <c r="F124" s="1946"/>
      <c r="G124" s="1026">
        <v>12</v>
      </c>
      <c r="H124" s="1942">
        <f t="shared" si="59"/>
        <v>0</v>
      </c>
      <c r="I124" s="1026"/>
      <c r="J124" s="1942">
        <f t="shared" si="64"/>
        <v>0</v>
      </c>
      <c r="K124" s="1026"/>
      <c r="L124" s="1942">
        <f t="shared" si="65"/>
        <v>0</v>
      </c>
      <c r="M124" s="1942">
        <f t="shared" si="60"/>
        <v>0</v>
      </c>
      <c r="N124" s="1942">
        <f t="shared" si="66"/>
        <v>0</v>
      </c>
      <c r="O124" s="1026">
        <f t="shared" ref="O124:O129" si="72">F124*D124*2</f>
        <v>0</v>
      </c>
      <c r="P124" s="1026">
        <f t="shared" ref="P124:P129" si="73">F124*D124*4</f>
        <v>0</v>
      </c>
      <c r="Q124" s="1942">
        <f t="shared" si="67"/>
        <v>0</v>
      </c>
      <c r="R124" s="1942">
        <f t="shared" si="68"/>
        <v>0</v>
      </c>
      <c r="S124" s="1942">
        <f t="shared" si="69"/>
        <v>0</v>
      </c>
      <c r="T124" s="1942">
        <f t="shared" si="70"/>
        <v>0</v>
      </c>
      <c r="U124" s="1942">
        <f t="shared" si="71"/>
        <v>0</v>
      </c>
      <c r="V124" s="3035">
        <f t="shared" si="44"/>
        <v>0</v>
      </c>
      <c r="W124" s="1942">
        <f t="shared" si="63"/>
        <v>0</v>
      </c>
      <c r="X124" s="193">
        <v>0.01</v>
      </c>
      <c r="Y124" s="193"/>
      <c r="Z124" s="193"/>
      <c r="AA124" s="193"/>
      <c r="AB124" s="193"/>
      <c r="AC124" s="193"/>
      <c r="AD124" s="193"/>
      <c r="AE124" s="193"/>
      <c r="AF124" s="193"/>
      <c r="AG124" s="193"/>
      <c r="AH124" s="193"/>
      <c r="AI124" s="193"/>
      <c r="AJ124" s="193"/>
      <c r="AK124" s="193"/>
      <c r="AL124" s="193"/>
      <c r="AM124" s="193"/>
      <c r="AN124" s="193"/>
      <c r="AO124" s="193"/>
      <c r="AP124" s="193"/>
      <c r="AQ124" s="193"/>
      <c r="AR124" s="193"/>
      <c r="AS124" s="193"/>
      <c r="AT124" s="193"/>
      <c r="AU124" s="193"/>
      <c r="AV124" s="193"/>
      <c r="AW124" s="193"/>
      <c r="AX124" s="193"/>
      <c r="AY124" s="193"/>
      <c r="AZ124" s="193"/>
      <c r="BA124" s="193"/>
      <c r="BB124" s="193"/>
      <c r="BC124" s="193"/>
      <c r="BD124" s="193"/>
      <c r="BE124" s="193"/>
      <c r="BF124" s="193"/>
      <c r="BG124" s="193"/>
      <c r="BH124" s="193"/>
      <c r="BI124" s="193"/>
      <c r="BJ124" s="193"/>
      <c r="BK124" s="193"/>
      <c r="BL124" s="193"/>
      <c r="BM124" s="193"/>
      <c r="BN124" s="193"/>
      <c r="BO124" s="193"/>
      <c r="BP124" s="193"/>
      <c r="BQ124" s="193"/>
      <c r="BR124" s="193"/>
      <c r="BS124" s="193"/>
      <c r="BT124" s="193"/>
      <c r="BU124" s="193"/>
      <c r="BV124" s="193"/>
      <c r="BW124" s="193"/>
      <c r="BX124" s="193"/>
      <c r="BY124" s="193"/>
      <c r="BZ124" s="193"/>
      <c r="CA124" s="193"/>
      <c r="CB124" s="193"/>
      <c r="CC124" s="193"/>
      <c r="CD124" s="193"/>
      <c r="CE124" s="193"/>
      <c r="CF124" s="193"/>
      <c r="CG124" s="193"/>
      <c r="CH124" s="193"/>
      <c r="CI124" s="193"/>
      <c r="CJ124" s="193"/>
      <c r="CK124" s="193"/>
      <c r="CL124" s="193"/>
      <c r="CM124" s="193"/>
      <c r="CN124" s="193"/>
      <c r="CO124" s="193"/>
      <c r="CP124" s="193"/>
      <c r="CQ124" s="193"/>
      <c r="CR124" s="193"/>
      <c r="CS124" s="193"/>
      <c r="CT124" s="193"/>
      <c r="CU124" s="193"/>
      <c r="CV124" s="193"/>
      <c r="CW124" s="193"/>
      <c r="CX124" s="193"/>
      <c r="CY124" s="193"/>
      <c r="CZ124" s="193"/>
      <c r="DA124" s="193"/>
      <c r="DB124" s="193"/>
      <c r="DC124" s="193"/>
      <c r="DD124" s="193"/>
      <c r="DE124" s="193"/>
      <c r="DF124" s="193"/>
      <c r="DG124" s="193"/>
      <c r="DH124" s="193"/>
      <c r="DI124" s="193"/>
      <c r="DJ124" s="193"/>
      <c r="DK124" s="193"/>
      <c r="DL124" s="193"/>
      <c r="DM124" s="193"/>
      <c r="DN124" s="193"/>
      <c r="DO124" s="193"/>
      <c r="DP124" s="193"/>
      <c r="DQ124" s="193"/>
      <c r="DR124" s="193"/>
      <c r="DS124" s="193"/>
      <c r="DT124" s="193"/>
      <c r="DU124" s="193"/>
      <c r="DV124" s="193"/>
      <c r="DW124" s="193"/>
      <c r="DX124" s="193"/>
      <c r="DY124" s="193"/>
      <c r="DZ124" s="193"/>
      <c r="EA124" s="193"/>
      <c r="EB124" s="193"/>
      <c r="EC124" s="193"/>
      <c r="ED124" s="193"/>
      <c r="EE124" s="193"/>
      <c r="EF124" s="193"/>
      <c r="EG124" s="193"/>
      <c r="EH124" s="193"/>
      <c r="EI124" s="193"/>
      <c r="EJ124" s="193"/>
      <c r="EK124" s="193"/>
      <c r="EL124" s="193"/>
      <c r="EM124" s="193"/>
      <c r="EN124" s="193"/>
      <c r="EO124" s="193"/>
      <c r="EP124" s="193"/>
      <c r="EQ124" s="193"/>
      <c r="ER124" s="193"/>
      <c r="ES124" s="193"/>
      <c r="ET124" s="193"/>
      <c r="EU124" s="193"/>
      <c r="EV124" s="193"/>
      <c r="EW124" s="193"/>
      <c r="EX124" s="193"/>
      <c r="EY124" s="193"/>
      <c r="EZ124" s="193"/>
      <c r="FA124" s="193"/>
      <c r="FB124" s="193"/>
      <c r="FC124" s="193"/>
      <c r="FD124" s="193"/>
      <c r="FE124" s="193"/>
      <c r="FF124" s="193"/>
      <c r="FG124" s="193"/>
      <c r="FH124" s="193"/>
      <c r="FI124" s="193"/>
      <c r="FJ124" s="193"/>
      <c r="FK124" s="193"/>
      <c r="FL124" s="193"/>
      <c r="FM124" s="193"/>
      <c r="FN124" s="193"/>
      <c r="FO124" s="193"/>
      <c r="FP124" s="193"/>
      <c r="FQ124" s="193"/>
      <c r="FR124" s="193"/>
      <c r="FS124" s="193"/>
      <c r="FT124" s="193"/>
      <c r="FU124" s="193"/>
      <c r="FV124" s="193"/>
      <c r="FW124" s="193"/>
      <c r="FX124" s="193"/>
      <c r="FY124" s="193"/>
      <c r="FZ124" s="193"/>
      <c r="GA124" s="193"/>
      <c r="GB124" s="193"/>
      <c r="GC124" s="193"/>
      <c r="GD124" s="193"/>
      <c r="GE124" s="193"/>
      <c r="GF124" s="193"/>
      <c r="GG124" s="193"/>
      <c r="GH124" s="193"/>
      <c r="GI124" s="193"/>
      <c r="GJ124" s="193"/>
      <c r="GK124" s="193"/>
      <c r="GL124" s="193"/>
      <c r="GM124" s="193"/>
      <c r="GN124" s="193"/>
      <c r="GO124" s="193"/>
      <c r="GP124" s="193"/>
      <c r="GQ124" s="193"/>
      <c r="GR124" s="193"/>
      <c r="GS124" s="193"/>
      <c r="GT124" s="193"/>
      <c r="GU124" s="193"/>
      <c r="GV124" s="193"/>
      <c r="GW124" s="193"/>
      <c r="GX124" s="193"/>
      <c r="GY124" s="193"/>
      <c r="GZ124" s="193"/>
      <c r="HA124" s="193"/>
      <c r="HB124" s="193"/>
      <c r="HC124" s="193"/>
      <c r="HD124" s="193"/>
      <c r="HE124" s="193"/>
      <c r="HF124" s="193"/>
      <c r="HG124" s="193"/>
      <c r="HH124" s="193"/>
      <c r="HI124" s="193"/>
      <c r="HJ124" s="193"/>
      <c r="HK124" s="193"/>
      <c r="HL124" s="193"/>
      <c r="HM124" s="193"/>
      <c r="HN124" s="193"/>
      <c r="HO124" s="193"/>
      <c r="HP124" s="193"/>
      <c r="HQ124" s="193"/>
      <c r="HR124" s="193"/>
      <c r="HS124" s="193"/>
      <c r="HT124" s="193"/>
      <c r="HU124" s="193"/>
      <c r="HV124" s="193"/>
      <c r="HW124" s="193"/>
      <c r="HX124" s="193"/>
      <c r="HY124" s="193"/>
      <c r="HZ124" s="193"/>
      <c r="IA124" s="193"/>
      <c r="IB124" s="193"/>
      <c r="IC124" s="193"/>
      <c r="ID124" s="193"/>
      <c r="IE124" s="193"/>
      <c r="IF124" s="193"/>
      <c r="IG124" s="193"/>
      <c r="IH124" s="193"/>
      <c r="II124" s="193"/>
      <c r="IJ124" s="193"/>
      <c r="IK124" s="193"/>
      <c r="IL124" s="193"/>
      <c r="IM124" s="193"/>
      <c r="IN124" s="193"/>
      <c r="IO124" s="193"/>
      <c r="IP124" s="193"/>
      <c r="IQ124" s="193"/>
    </row>
    <row r="125" spans="1:251" ht="17.25" hidden="1" customHeight="1">
      <c r="A125" s="2021"/>
      <c r="B125" s="1958"/>
      <c r="C125" s="1945"/>
      <c r="D125" s="2037"/>
      <c r="E125" s="1026"/>
      <c r="F125" s="1946"/>
      <c r="G125" s="1026"/>
      <c r="H125" s="1942">
        <f t="shared" si="59"/>
        <v>0</v>
      </c>
      <c r="I125" s="1026"/>
      <c r="J125" s="1942">
        <f t="shared" si="64"/>
        <v>0</v>
      </c>
      <c r="K125" s="1026"/>
      <c r="L125" s="1942">
        <f t="shared" si="65"/>
        <v>0</v>
      </c>
      <c r="M125" s="1942">
        <f t="shared" si="60"/>
        <v>0</v>
      </c>
      <c r="N125" s="1942">
        <f t="shared" si="66"/>
        <v>0</v>
      </c>
      <c r="O125" s="1026">
        <f t="shared" si="72"/>
        <v>0</v>
      </c>
      <c r="P125" s="1026">
        <f t="shared" si="73"/>
        <v>0</v>
      </c>
      <c r="Q125" s="1942">
        <f t="shared" si="67"/>
        <v>0</v>
      </c>
      <c r="R125" s="1942">
        <f t="shared" si="68"/>
        <v>0</v>
      </c>
      <c r="S125" s="1942">
        <f t="shared" si="69"/>
        <v>0</v>
      </c>
      <c r="T125" s="1942">
        <f t="shared" si="70"/>
        <v>0</v>
      </c>
      <c r="U125" s="1942">
        <f t="shared" si="71"/>
        <v>0</v>
      </c>
      <c r="V125" s="3035">
        <f t="shared" si="44"/>
        <v>0</v>
      </c>
      <c r="W125" s="1942">
        <f t="shared" si="63"/>
        <v>0</v>
      </c>
      <c r="X125" s="193">
        <v>0.01</v>
      </c>
      <c r="Y125" s="193"/>
      <c r="Z125" s="193"/>
      <c r="AA125" s="193"/>
      <c r="AB125" s="193"/>
      <c r="AC125" s="193"/>
      <c r="AD125" s="193"/>
      <c r="AE125" s="193"/>
      <c r="AF125" s="193"/>
      <c r="AG125" s="193"/>
      <c r="AH125" s="193"/>
      <c r="AI125" s="193"/>
      <c r="AJ125" s="193"/>
      <c r="AK125" s="193"/>
      <c r="AL125" s="193"/>
      <c r="AM125" s="193"/>
      <c r="AN125" s="193"/>
      <c r="AO125" s="193"/>
      <c r="AP125" s="193"/>
      <c r="AQ125" s="193"/>
      <c r="AR125" s="193"/>
      <c r="AS125" s="193"/>
      <c r="AT125" s="193"/>
      <c r="AU125" s="193"/>
      <c r="AV125" s="193"/>
      <c r="AW125" s="193"/>
      <c r="AX125" s="193"/>
      <c r="AY125" s="193"/>
      <c r="AZ125" s="193"/>
      <c r="BA125" s="193"/>
      <c r="BB125" s="193"/>
      <c r="BC125" s="193"/>
      <c r="BD125" s="193"/>
      <c r="BE125" s="193"/>
      <c r="BF125" s="193"/>
      <c r="BG125" s="193"/>
      <c r="BH125" s="193"/>
      <c r="BI125" s="193"/>
      <c r="BJ125" s="193"/>
      <c r="BK125" s="193"/>
      <c r="BL125" s="193"/>
      <c r="BM125" s="193"/>
      <c r="BN125" s="193"/>
      <c r="BO125" s="193"/>
      <c r="BP125" s="193"/>
      <c r="BQ125" s="193"/>
      <c r="BR125" s="193"/>
      <c r="BS125" s="193"/>
      <c r="BT125" s="193"/>
      <c r="BU125" s="193"/>
      <c r="BV125" s="193"/>
      <c r="BW125" s="193"/>
      <c r="BX125" s="193"/>
      <c r="BY125" s="193"/>
      <c r="BZ125" s="193"/>
      <c r="CA125" s="193"/>
      <c r="CB125" s="193"/>
      <c r="CC125" s="193"/>
      <c r="CD125" s="193"/>
      <c r="CE125" s="193"/>
      <c r="CF125" s="193"/>
      <c r="CG125" s="193"/>
      <c r="CH125" s="193"/>
      <c r="CI125" s="193"/>
      <c r="CJ125" s="193"/>
      <c r="CK125" s="193"/>
      <c r="CL125" s="193"/>
      <c r="CM125" s="193"/>
      <c r="CN125" s="193"/>
      <c r="CO125" s="193"/>
      <c r="CP125" s="193"/>
      <c r="CQ125" s="193"/>
      <c r="CR125" s="193"/>
      <c r="CS125" s="193"/>
      <c r="CT125" s="193"/>
      <c r="CU125" s="193"/>
      <c r="CV125" s="193"/>
      <c r="CW125" s="193"/>
      <c r="CX125" s="193"/>
      <c r="CY125" s="193"/>
      <c r="CZ125" s="193"/>
      <c r="DA125" s="193"/>
      <c r="DB125" s="193"/>
      <c r="DC125" s="193"/>
      <c r="DD125" s="193"/>
      <c r="DE125" s="193"/>
      <c r="DF125" s="193"/>
      <c r="DG125" s="193"/>
      <c r="DH125" s="193"/>
      <c r="DI125" s="193"/>
      <c r="DJ125" s="193"/>
      <c r="DK125" s="193"/>
      <c r="DL125" s="193"/>
      <c r="DM125" s="193"/>
      <c r="DN125" s="193"/>
      <c r="DO125" s="193"/>
      <c r="DP125" s="193"/>
      <c r="DQ125" s="193"/>
      <c r="DR125" s="193"/>
      <c r="DS125" s="193"/>
      <c r="DT125" s="193"/>
      <c r="DU125" s="193"/>
      <c r="DV125" s="193"/>
      <c r="DW125" s="193"/>
      <c r="DX125" s="193"/>
      <c r="DY125" s="193"/>
      <c r="DZ125" s="193"/>
      <c r="EA125" s="193"/>
      <c r="EB125" s="193"/>
      <c r="EC125" s="193"/>
      <c r="ED125" s="193"/>
      <c r="EE125" s="193"/>
      <c r="EF125" s="193"/>
      <c r="EG125" s="193"/>
      <c r="EH125" s="193"/>
      <c r="EI125" s="193"/>
      <c r="EJ125" s="193"/>
      <c r="EK125" s="193"/>
      <c r="EL125" s="193"/>
      <c r="EM125" s="193"/>
      <c r="EN125" s="193"/>
      <c r="EO125" s="193"/>
      <c r="EP125" s="193"/>
      <c r="EQ125" s="193"/>
      <c r="ER125" s="193"/>
      <c r="ES125" s="193"/>
      <c r="ET125" s="193"/>
      <c r="EU125" s="193"/>
      <c r="EV125" s="193"/>
      <c r="EW125" s="193"/>
      <c r="EX125" s="193"/>
      <c r="EY125" s="193"/>
      <c r="EZ125" s="193"/>
      <c r="FA125" s="193"/>
      <c r="FB125" s="193"/>
      <c r="FC125" s="193"/>
      <c r="FD125" s="193"/>
      <c r="FE125" s="193"/>
      <c r="FF125" s="193"/>
      <c r="FG125" s="193"/>
      <c r="FH125" s="193"/>
      <c r="FI125" s="193"/>
      <c r="FJ125" s="193"/>
      <c r="FK125" s="193"/>
      <c r="FL125" s="193"/>
      <c r="FM125" s="193"/>
      <c r="FN125" s="193"/>
      <c r="FO125" s="193"/>
      <c r="FP125" s="193"/>
      <c r="FQ125" s="193"/>
      <c r="FR125" s="193"/>
      <c r="FS125" s="193"/>
      <c r="FT125" s="193"/>
      <c r="FU125" s="193"/>
      <c r="FV125" s="193"/>
      <c r="FW125" s="193"/>
      <c r="FX125" s="193"/>
      <c r="FY125" s="193"/>
      <c r="FZ125" s="193"/>
      <c r="GA125" s="193"/>
      <c r="GB125" s="193"/>
      <c r="GC125" s="193"/>
      <c r="GD125" s="193"/>
      <c r="GE125" s="193"/>
      <c r="GF125" s="193"/>
      <c r="GG125" s="193"/>
      <c r="GH125" s="193"/>
      <c r="GI125" s="193"/>
      <c r="GJ125" s="193"/>
      <c r="GK125" s="193"/>
      <c r="GL125" s="193"/>
      <c r="GM125" s="193"/>
      <c r="GN125" s="193"/>
      <c r="GO125" s="193"/>
      <c r="GP125" s="193"/>
      <c r="GQ125" s="193"/>
      <c r="GR125" s="193"/>
      <c r="GS125" s="193"/>
      <c r="GT125" s="193"/>
      <c r="GU125" s="193"/>
      <c r="GV125" s="193"/>
      <c r="GW125" s="193"/>
      <c r="GX125" s="193"/>
      <c r="GY125" s="193"/>
      <c r="GZ125" s="193"/>
      <c r="HA125" s="193"/>
      <c r="HB125" s="193"/>
      <c r="HC125" s="193"/>
      <c r="HD125" s="193"/>
      <c r="HE125" s="193"/>
      <c r="HF125" s="193"/>
      <c r="HG125" s="193"/>
      <c r="HH125" s="193"/>
      <c r="HI125" s="193"/>
      <c r="HJ125" s="193"/>
      <c r="HK125" s="193"/>
      <c r="HL125" s="193"/>
      <c r="HM125" s="193"/>
      <c r="HN125" s="193"/>
      <c r="HO125" s="193"/>
      <c r="HP125" s="193"/>
      <c r="HQ125" s="193"/>
      <c r="HR125" s="193"/>
      <c r="HS125" s="193"/>
      <c r="HT125" s="193"/>
      <c r="HU125" s="193"/>
      <c r="HV125" s="193"/>
      <c r="HW125" s="193"/>
      <c r="HX125" s="193"/>
      <c r="HY125" s="193"/>
      <c r="HZ125" s="193"/>
      <c r="IA125" s="193"/>
      <c r="IB125" s="193"/>
      <c r="IC125" s="193"/>
      <c r="ID125" s="193"/>
      <c r="IE125" s="193"/>
      <c r="IF125" s="193"/>
      <c r="IG125" s="193"/>
      <c r="IH125" s="193"/>
      <c r="II125" s="193"/>
      <c r="IJ125" s="193"/>
      <c r="IK125" s="193"/>
      <c r="IL125" s="193"/>
      <c r="IM125" s="193"/>
      <c r="IN125" s="193"/>
      <c r="IO125" s="193"/>
      <c r="IP125" s="193"/>
      <c r="IQ125" s="193"/>
    </row>
    <row r="126" spans="1:251" ht="16.5" customHeight="1">
      <c r="A126" s="2021">
        <v>6</v>
      </c>
      <c r="B126" s="1958" t="s">
        <v>541</v>
      </c>
      <c r="C126" s="1945"/>
      <c r="D126" s="2037">
        <v>1</v>
      </c>
      <c r="E126" s="1026"/>
      <c r="F126" s="1946">
        <f>320000*1.3</f>
        <v>416000</v>
      </c>
      <c r="G126" s="1026">
        <v>12</v>
      </c>
      <c r="H126" s="1942">
        <f t="shared" si="59"/>
        <v>4992000</v>
      </c>
      <c r="I126" s="1026"/>
      <c r="J126" s="1942">
        <f t="shared" si="64"/>
        <v>0</v>
      </c>
      <c r="K126" s="1026"/>
      <c r="L126" s="1942">
        <f t="shared" si="65"/>
        <v>0</v>
      </c>
      <c r="M126" s="1942">
        <f t="shared" si="60"/>
        <v>0</v>
      </c>
      <c r="N126" s="1942">
        <f t="shared" si="66"/>
        <v>4992000</v>
      </c>
      <c r="O126" s="1026">
        <f t="shared" si="72"/>
        <v>832000</v>
      </c>
      <c r="P126" s="1026">
        <f t="shared" si="73"/>
        <v>1664000</v>
      </c>
      <c r="Q126" s="1942">
        <f t="shared" si="67"/>
        <v>7488000</v>
      </c>
      <c r="R126" s="1942">
        <f t="shared" si="68"/>
        <v>748800</v>
      </c>
      <c r="S126" s="1942">
        <f t="shared" si="69"/>
        <v>673920</v>
      </c>
      <c r="T126" s="1942">
        <f t="shared" si="70"/>
        <v>404352</v>
      </c>
      <c r="U126" s="1942">
        <f t="shared" si="71"/>
        <v>336960</v>
      </c>
      <c r="V126" s="3035">
        <f t="shared" si="44"/>
        <v>741312</v>
      </c>
      <c r="W126" s="1942">
        <f>Q126*0.01</f>
        <v>74880</v>
      </c>
      <c r="X126" s="193">
        <v>0.01</v>
      </c>
      <c r="Y126" s="193"/>
      <c r="Z126" s="193"/>
      <c r="AA126" s="193"/>
      <c r="AB126" s="193"/>
      <c r="AC126" s="193"/>
      <c r="AD126" s="193"/>
      <c r="AE126" s="193"/>
      <c r="AF126" s="193"/>
      <c r="AG126" s="193"/>
      <c r="AH126" s="193"/>
      <c r="AI126" s="193"/>
      <c r="AJ126" s="193"/>
      <c r="AK126" s="193"/>
      <c r="AL126" s="193"/>
      <c r="AM126" s="193"/>
      <c r="AN126" s="193"/>
      <c r="AO126" s="193"/>
      <c r="AP126" s="193"/>
      <c r="AQ126" s="193"/>
      <c r="AR126" s="193"/>
      <c r="AS126" s="193"/>
      <c r="AT126" s="193"/>
      <c r="AU126" s="193"/>
      <c r="AV126" s="193"/>
      <c r="AW126" s="193"/>
      <c r="AX126" s="193"/>
      <c r="AY126" s="193"/>
      <c r="AZ126" s="193"/>
      <c r="BA126" s="193"/>
      <c r="BB126" s="193"/>
      <c r="BC126" s="193"/>
      <c r="BD126" s="193"/>
      <c r="BE126" s="193"/>
      <c r="BF126" s="193"/>
      <c r="BG126" s="193"/>
      <c r="BH126" s="193"/>
      <c r="BI126" s="193"/>
      <c r="BJ126" s="193"/>
      <c r="BK126" s="193"/>
      <c r="BL126" s="193"/>
      <c r="BM126" s="193"/>
      <c r="BN126" s="193"/>
      <c r="BO126" s="193"/>
      <c r="BP126" s="193"/>
      <c r="BQ126" s="193"/>
      <c r="BR126" s="193"/>
      <c r="BS126" s="193"/>
      <c r="BT126" s="193"/>
      <c r="BU126" s="193"/>
      <c r="BV126" s="193"/>
      <c r="BW126" s="193"/>
      <c r="BX126" s="193"/>
      <c r="BY126" s="193"/>
      <c r="BZ126" s="193"/>
      <c r="CA126" s="193"/>
      <c r="CB126" s="193"/>
      <c r="CC126" s="193"/>
      <c r="CD126" s="193"/>
      <c r="CE126" s="193"/>
      <c r="CF126" s="193"/>
      <c r="CG126" s="193"/>
      <c r="CH126" s="193"/>
      <c r="CI126" s="193"/>
      <c r="CJ126" s="193"/>
      <c r="CK126" s="193"/>
      <c r="CL126" s="193"/>
      <c r="CM126" s="193"/>
      <c r="CN126" s="193"/>
      <c r="CO126" s="193"/>
      <c r="CP126" s="193"/>
      <c r="CQ126" s="193"/>
      <c r="CR126" s="193"/>
      <c r="CS126" s="193"/>
      <c r="CT126" s="193"/>
      <c r="CU126" s="193"/>
      <c r="CV126" s="193"/>
      <c r="CW126" s="193"/>
      <c r="CX126" s="193"/>
      <c r="CY126" s="193"/>
      <c r="CZ126" s="193"/>
      <c r="DA126" s="193"/>
      <c r="DB126" s="193"/>
      <c r="DC126" s="193"/>
      <c r="DD126" s="193"/>
      <c r="DE126" s="193"/>
      <c r="DF126" s="193"/>
      <c r="DG126" s="193"/>
      <c r="DH126" s="193"/>
      <c r="DI126" s="193"/>
      <c r="DJ126" s="193"/>
      <c r="DK126" s="193"/>
      <c r="DL126" s="193"/>
      <c r="DM126" s="193"/>
      <c r="DN126" s="193"/>
      <c r="DO126" s="193"/>
      <c r="DP126" s="193"/>
      <c r="DQ126" s="193"/>
      <c r="DR126" s="193"/>
      <c r="DS126" s="193"/>
      <c r="DT126" s="193"/>
      <c r="DU126" s="193"/>
      <c r="DV126" s="193"/>
      <c r="DW126" s="193"/>
      <c r="DX126" s="193"/>
      <c r="DY126" s="193"/>
      <c r="DZ126" s="193"/>
      <c r="EA126" s="193"/>
      <c r="EB126" s="193"/>
      <c r="EC126" s="193"/>
      <c r="ED126" s="193"/>
      <c r="EE126" s="193"/>
      <c r="EF126" s="193"/>
      <c r="EG126" s="193"/>
      <c r="EH126" s="193"/>
      <c r="EI126" s="193"/>
      <c r="EJ126" s="193"/>
      <c r="EK126" s="193"/>
      <c r="EL126" s="193"/>
      <c r="EM126" s="193"/>
      <c r="EN126" s="193"/>
      <c r="EO126" s="193"/>
      <c r="EP126" s="193"/>
      <c r="EQ126" s="193"/>
      <c r="ER126" s="193"/>
      <c r="ES126" s="193"/>
      <c r="ET126" s="193"/>
      <c r="EU126" s="193"/>
      <c r="EV126" s="193"/>
      <c r="EW126" s="193"/>
      <c r="EX126" s="193"/>
      <c r="EY126" s="193"/>
      <c r="EZ126" s="193"/>
      <c r="FA126" s="193"/>
      <c r="FB126" s="193"/>
      <c r="FC126" s="193"/>
      <c r="FD126" s="193"/>
      <c r="FE126" s="193"/>
      <c r="FF126" s="193"/>
      <c r="FG126" s="193"/>
      <c r="FH126" s="193"/>
      <c r="FI126" s="193"/>
      <c r="FJ126" s="193"/>
      <c r="FK126" s="193"/>
      <c r="FL126" s="193"/>
      <c r="FM126" s="193"/>
      <c r="FN126" s="193"/>
      <c r="FO126" s="193"/>
      <c r="FP126" s="193"/>
      <c r="FQ126" s="193"/>
      <c r="FR126" s="193"/>
      <c r="FS126" s="193"/>
      <c r="FT126" s="193"/>
      <c r="FU126" s="193"/>
      <c r="FV126" s="193"/>
      <c r="FW126" s="193"/>
      <c r="FX126" s="193"/>
      <c r="FY126" s="193"/>
      <c r="FZ126" s="193"/>
      <c r="GA126" s="193"/>
      <c r="GB126" s="193"/>
      <c r="GC126" s="193"/>
      <c r="GD126" s="193"/>
      <c r="GE126" s="193"/>
      <c r="GF126" s="193"/>
      <c r="GG126" s="193"/>
      <c r="GH126" s="193"/>
      <c r="GI126" s="193"/>
      <c r="GJ126" s="193"/>
      <c r="GK126" s="193"/>
      <c r="GL126" s="193"/>
      <c r="GM126" s="193"/>
      <c r="GN126" s="193"/>
      <c r="GO126" s="193"/>
      <c r="GP126" s="193"/>
      <c r="GQ126" s="193"/>
      <c r="GR126" s="193"/>
      <c r="GS126" s="193"/>
      <c r="GT126" s="193"/>
      <c r="GU126" s="193"/>
      <c r="GV126" s="193"/>
      <c r="GW126" s="193"/>
      <c r="GX126" s="193"/>
      <c r="GY126" s="193"/>
      <c r="GZ126" s="193"/>
      <c r="HA126" s="193"/>
      <c r="HB126" s="193"/>
      <c r="HC126" s="193"/>
      <c r="HD126" s="193"/>
      <c r="HE126" s="193"/>
      <c r="HF126" s="193"/>
      <c r="HG126" s="193"/>
      <c r="HH126" s="193"/>
      <c r="HI126" s="193"/>
      <c r="HJ126" s="193"/>
      <c r="HK126" s="193"/>
      <c r="HL126" s="193"/>
      <c r="HM126" s="193"/>
      <c r="HN126" s="193"/>
      <c r="HO126" s="193"/>
      <c r="HP126" s="193"/>
      <c r="HQ126" s="193"/>
      <c r="HR126" s="193"/>
      <c r="HS126" s="193"/>
      <c r="HT126" s="193"/>
      <c r="HU126" s="193"/>
      <c r="HV126" s="193"/>
      <c r="HW126" s="193"/>
      <c r="HX126" s="193"/>
      <c r="HY126" s="193"/>
      <c r="HZ126" s="193"/>
      <c r="IA126" s="193"/>
      <c r="IB126" s="193"/>
      <c r="IC126" s="193"/>
      <c r="ID126" s="193"/>
      <c r="IE126" s="193"/>
      <c r="IF126" s="193"/>
      <c r="IG126" s="193"/>
      <c r="IH126" s="193"/>
      <c r="II126" s="193"/>
      <c r="IJ126" s="193"/>
      <c r="IK126" s="193"/>
      <c r="IL126" s="193"/>
      <c r="IM126" s="193"/>
      <c r="IN126" s="193"/>
      <c r="IO126" s="193"/>
      <c r="IP126" s="193"/>
      <c r="IQ126" s="193"/>
    </row>
    <row r="127" spans="1:251">
      <c r="A127" s="2021">
        <v>7</v>
      </c>
      <c r="B127" s="1958" t="s">
        <v>544</v>
      </c>
      <c r="C127" s="1945"/>
      <c r="D127" s="2037">
        <v>1</v>
      </c>
      <c r="E127" s="1026"/>
      <c r="F127" s="1946">
        <f>240000*1.3</f>
        <v>312000</v>
      </c>
      <c r="G127" s="1026">
        <v>12</v>
      </c>
      <c r="H127" s="1942">
        <f t="shared" si="59"/>
        <v>3744000</v>
      </c>
      <c r="I127" s="1026"/>
      <c r="J127" s="1942">
        <f t="shared" si="64"/>
        <v>0</v>
      </c>
      <c r="K127" s="1026"/>
      <c r="L127" s="1942">
        <f t="shared" si="65"/>
        <v>0</v>
      </c>
      <c r="M127" s="1942">
        <f t="shared" si="60"/>
        <v>0</v>
      </c>
      <c r="N127" s="1942">
        <f t="shared" si="66"/>
        <v>3744000</v>
      </c>
      <c r="O127" s="1026">
        <f t="shared" si="72"/>
        <v>624000</v>
      </c>
      <c r="P127" s="1026">
        <f t="shared" si="73"/>
        <v>1248000</v>
      </c>
      <c r="Q127" s="1942">
        <f t="shared" si="67"/>
        <v>5616000</v>
      </c>
      <c r="R127" s="1942">
        <f t="shared" si="68"/>
        <v>561600</v>
      </c>
      <c r="S127" s="1942">
        <f t="shared" si="69"/>
        <v>505440</v>
      </c>
      <c r="T127" s="1942">
        <f t="shared" si="70"/>
        <v>303264</v>
      </c>
      <c r="U127" s="1942">
        <f t="shared" si="71"/>
        <v>252720</v>
      </c>
      <c r="V127" s="3035">
        <f t="shared" si="44"/>
        <v>555984</v>
      </c>
      <c r="W127" s="1942">
        <f t="shared" si="63"/>
        <v>56160</v>
      </c>
      <c r="X127" s="193">
        <v>0.01</v>
      </c>
      <c r="Y127" s="193"/>
      <c r="Z127" s="193"/>
      <c r="AA127" s="193"/>
      <c r="AB127" s="193"/>
      <c r="AC127" s="193"/>
      <c r="AD127" s="193"/>
      <c r="AE127" s="193"/>
      <c r="AF127" s="193"/>
      <c r="AG127" s="193"/>
      <c r="AH127" s="193"/>
      <c r="AI127" s="193"/>
      <c r="AJ127" s="193"/>
      <c r="AK127" s="193"/>
      <c r="AL127" s="193"/>
      <c r="AM127" s="193"/>
      <c r="AN127" s="193"/>
      <c r="AO127" s="193"/>
      <c r="AP127" s="193"/>
      <c r="AQ127" s="193"/>
      <c r="AR127" s="193"/>
      <c r="AS127" s="193"/>
      <c r="AT127" s="193"/>
      <c r="AU127" s="193"/>
      <c r="AV127" s="193"/>
      <c r="AW127" s="193"/>
      <c r="AX127" s="193"/>
      <c r="AY127" s="193"/>
      <c r="AZ127" s="193"/>
      <c r="BA127" s="193"/>
      <c r="BB127" s="193"/>
      <c r="BC127" s="193"/>
      <c r="BD127" s="193"/>
      <c r="BE127" s="193"/>
      <c r="BF127" s="193"/>
      <c r="BG127" s="193"/>
      <c r="BH127" s="193"/>
      <c r="BI127" s="193"/>
      <c r="BJ127" s="193"/>
      <c r="BK127" s="193"/>
      <c r="BL127" s="193"/>
      <c r="BM127" s="193"/>
      <c r="BN127" s="193"/>
      <c r="BO127" s="193"/>
      <c r="BP127" s="193"/>
      <c r="BQ127" s="193"/>
      <c r="BR127" s="193"/>
      <c r="BS127" s="193"/>
      <c r="BT127" s="193"/>
      <c r="BU127" s="193"/>
      <c r="BV127" s="193"/>
      <c r="BW127" s="193"/>
      <c r="BX127" s="193"/>
      <c r="BY127" s="193"/>
      <c r="BZ127" s="193"/>
      <c r="CA127" s="193"/>
      <c r="CB127" s="193"/>
      <c r="CC127" s="193"/>
      <c r="CD127" s="193"/>
      <c r="CE127" s="193"/>
      <c r="CF127" s="193"/>
      <c r="CG127" s="193"/>
      <c r="CH127" s="193"/>
      <c r="CI127" s="193"/>
      <c r="CJ127" s="193"/>
      <c r="CK127" s="193"/>
      <c r="CL127" s="193"/>
      <c r="CM127" s="193"/>
      <c r="CN127" s="193"/>
      <c r="CO127" s="193"/>
      <c r="CP127" s="193"/>
      <c r="CQ127" s="193"/>
      <c r="CR127" s="193"/>
      <c r="CS127" s="193"/>
      <c r="CT127" s="193"/>
      <c r="CU127" s="193"/>
      <c r="CV127" s="193"/>
      <c r="CW127" s="193"/>
      <c r="CX127" s="193"/>
      <c r="CY127" s="193"/>
      <c r="CZ127" s="193"/>
      <c r="DA127" s="193"/>
      <c r="DB127" s="193"/>
      <c r="DC127" s="193"/>
      <c r="DD127" s="193"/>
      <c r="DE127" s="193"/>
      <c r="DF127" s="193"/>
      <c r="DG127" s="193"/>
      <c r="DH127" s="193"/>
      <c r="DI127" s="193"/>
      <c r="DJ127" s="193"/>
      <c r="DK127" s="193"/>
      <c r="DL127" s="193"/>
      <c r="DM127" s="193"/>
      <c r="DN127" s="193"/>
      <c r="DO127" s="193"/>
      <c r="DP127" s="193"/>
      <c r="DQ127" s="193"/>
      <c r="DR127" s="193"/>
      <c r="DS127" s="193"/>
      <c r="DT127" s="193"/>
      <c r="DU127" s="193"/>
      <c r="DV127" s="193"/>
      <c r="DW127" s="193"/>
      <c r="DX127" s="193"/>
      <c r="DY127" s="193"/>
      <c r="DZ127" s="193"/>
      <c r="EA127" s="193"/>
      <c r="EB127" s="193"/>
      <c r="EC127" s="193"/>
      <c r="ED127" s="193"/>
      <c r="EE127" s="193"/>
      <c r="EF127" s="193"/>
      <c r="EG127" s="193"/>
      <c r="EH127" s="193"/>
      <c r="EI127" s="193"/>
      <c r="EJ127" s="193"/>
      <c r="EK127" s="193"/>
      <c r="EL127" s="193"/>
      <c r="EM127" s="193"/>
      <c r="EN127" s="193"/>
      <c r="EO127" s="193"/>
      <c r="EP127" s="193"/>
      <c r="EQ127" s="193"/>
      <c r="ER127" s="193"/>
      <c r="ES127" s="193"/>
      <c r="ET127" s="193"/>
      <c r="EU127" s="193"/>
      <c r="EV127" s="193"/>
      <c r="EW127" s="193"/>
      <c r="EX127" s="193"/>
      <c r="EY127" s="193"/>
      <c r="EZ127" s="193"/>
      <c r="FA127" s="193"/>
      <c r="FB127" s="193"/>
      <c r="FC127" s="193"/>
      <c r="FD127" s="193"/>
      <c r="FE127" s="193"/>
      <c r="FF127" s="193"/>
      <c r="FG127" s="193"/>
      <c r="FH127" s="193"/>
      <c r="FI127" s="193"/>
      <c r="FJ127" s="193"/>
      <c r="FK127" s="193"/>
      <c r="FL127" s="193"/>
      <c r="FM127" s="193"/>
      <c r="FN127" s="193"/>
      <c r="FO127" s="193"/>
      <c r="FP127" s="193"/>
      <c r="FQ127" s="193"/>
      <c r="FR127" s="193"/>
      <c r="FS127" s="193"/>
      <c r="FT127" s="193"/>
      <c r="FU127" s="193"/>
      <c r="FV127" s="193"/>
      <c r="FW127" s="193"/>
      <c r="FX127" s="193"/>
      <c r="FY127" s="193"/>
      <c r="FZ127" s="193"/>
      <c r="GA127" s="193"/>
      <c r="GB127" s="193"/>
      <c r="GC127" s="193"/>
      <c r="GD127" s="193"/>
      <c r="GE127" s="193"/>
      <c r="GF127" s="193"/>
      <c r="GG127" s="193"/>
      <c r="GH127" s="193"/>
      <c r="GI127" s="193"/>
      <c r="GJ127" s="193"/>
      <c r="GK127" s="193"/>
      <c r="GL127" s="193"/>
      <c r="GM127" s="193"/>
      <c r="GN127" s="193"/>
      <c r="GO127" s="193"/>
      <c r="GP127" s="193"/>
      <c r="GQ127" s="193"/>
      <c r="GR127" s="193"/>
      <c r="GS127" s="193"/>
      <c r="GT127" s="193"/>
      <c r="GU127" s="193"/>
      <c r="GV127" s="193"/>
      <c r="GW127" s="193"/>
      <c r="GX127" s="193"/>
      <c r="GY127" s="193"/>
      <c r="GZ127" s="193"/>
      <c r="HA127" s="193"/>
      <c r="HB127" s="193"/>
      <c r="HC127" s="193"/>
      <c r="HD127" s="193"/>
      <c r="HE127" s="193"/>
      <c r="HF127" s="193"/>
      <c r="HG127" s="193"/>
      <c r="HH127" s="193"/>
      <c r="HI127" s="193"/>
      <c r="HJ127" s="193"/>
      <c r="HK127" s="193"/>
      <c r="HL127" s="193"/>
      <c r="HM127" s="193"/>
      <c r="HN127" s="193"/>
      <c r="HO127" s="193"/>
      <c r="HP127" s="193"/>
      <c r="HQ127" s="193"/>
      <c r="HR127" s="193"/>
      <c r="HS127" s="193"/>
      <c r="HT127" s="193"/>
      <c r="HU127" s="193"/>
      <c r="HV127" s="193"/>
      <c r="HW127" s="193"/>
      <c r="HX127" s="193"/>
      <c r="HY127" s="193"/>
      <c r="HZ127" s="193"/>
      <c r="IA127" s="193"/>
      <c r="IB127" s="193"/>
      <c r="IC127" s="193"/>
      <c r="ID127" s="193"/>
      <c r="IE127" s="193"/>
      <c r="IF127" s="193"/>
      <c r="IG127" s="193"/>
      <c r="IH127" s="193"/>
      <c r="II127" s="193"/>
      <c r="IJ127" s="193"/>
      <c r="IK127" s="193"/>
      <c r="IL127" s="193"/>
      <c r="IM127" s="193"/>
      <c r="IN127" s="193"/>
      <c r="IO127" s="193"/>
      <c r="IP127" s="193"/>
      <c r="IQ127" s="193"/>
    </row>
    <row r="128" spans="1:251">
      <c r="A128" s="2021">
        <v>8</v>
      </c>
      <c r="B128" s="1958" t="s">
        <v>545</v>
      </c>
      <c r="C128" s="1945"/>
      <c r="D128" s="2037">
        <v>1</v>
      </c>
      <c r="E128" s="1026"/>
      <c r="F128" s="1946">
        <f>(78000+22000)*1.3</f>
        <v>130000</v>
      </c>
      <c r="G128" s="1026">
        <v>12</v>
      </c>
      <c r="H128" s="1942">
        <f t="shared" si="59"/>
        <v>1560000</v>
      </c>
      <c r="I128" s="1026"/>
      <c r="J128" s="1942">
        <f t="shared" si="64"/>
        <v>0</v>
      </c>
      <c r="K128" s="1026"/>
      <c r="L128" s="1942">
        <f t="shared" si="65"/>
        <v>0</v>
      </c>
      <c r="M128" s="1942">
        <f t="shared" si="60"/>
        <v>0</v>
      </c>
      <c r="N128" s="1942">
        <f t="shared" si="66"/>
        <v>1560000</v>
      </c>
      <c r="O128" s="1026">
        <f t="shared" si="72"/>
        <v>260000</v>
      </c>
      <c r="P128" s="1026">
        <f t="shared" si="73"/>
        <v>520000</v>
      </c>
      <c r="Q128" s="1942">
        <f t="shared" si="67"/>
        <v>2340000</v>
      </c>
      <c r="R128" s="1942">
        <f t="shared" si="68"/>
        <v>234000</v>
      </c>
      <c r="S128" s="1942">
        <f t="shared" si="69"/>
        <v>210600</v>
      </c>
      <c r="T128" s="1942">
        <f t="shared" si="70"/>
        <v>126360</v>
      </c>
      <c r="U128" s="1942">
        <f t="shared" si="71"/>
        <v>105300</v>
      </c>
      <c r="V128" s="3035">
        <f t="shared" si="44"/>
        <v>231660</v>
      </c>
      <c r="W128" s="1942">
        <f t="shared" si="63"/>
        <v>23400</v>
      </c>
      <c r="X128" s="193">
        <v>0.01</v>
      </c>
      <c r="Y128" s="193"/>
      <c r="Z128" s="193"/>
      <c r="AA128" s="193"/>
      <c r="AB128" s="193"/>
      <c r="AC128" s="193"/>
      <c r="AD128" s="193"/>
      <c r="AE128" s="193"/>
      <c r="AF128" s="193"/>
      <c r="AG128" s="193"/>
      <c r="AH128" s="193"/>
      <c r="AI128" s="193"/>
      <c r="AJ128" s="193"/>
      <c r="AK128" s="193"/>
      <c r="AL128" s="193"/>
      <c r="AM128" s="193"/>
      <c r="AN128" s="193"/>
      <c r="AO128" s="193"/>
      <c r="AP128" s="193"/>
      <c r="AQ128" s="193"/>
      <c r="AR128" s="193"/>
      <c r="AS128" s="193"/>
      <c r="AT128" s="193"/>
      <c r="AU128" s="193"/>
      <c r="AV128" s="193"/>
      <c r="AW128" s="193"/>
      <c r="AX128" s="193"/>
      <c r="AY128" s="193"/>
      <c r="AZ128" s="193"/>
      <c r="BA128" s="193"/>
      <c r="BB128" s="193"/>
      <c r="BC128" s="193"/>
      <c r="BD128" s="193"/>
      <c r="BE128" s="193"/>
      <c r="BF128" s="193"/>
      <c r="BG128" s="193"/>
      <c r="BH128" s="193"/>
      <c r="BI128" s="193"/>
      <c r="BJ128" s="193"/>
      <c r="BK128" s="193"/>
      <c r="BL128" s="193"/>
      <c r="BM128" s="193"/>
      <c r="BN128" s="193"/>
      <c r="BO128" s="193"/>
      <c r="BP128" s="193"/>
      <c r="BQ128" s="193"/>
      <c r="BR128" s="193"/>
      <c r="BS128" s="193"/>
      <c r="BT128" s="193"/>
      <c r="BU128" s="193"/>
      <c r="BV128" s="193"/>
      <c r="BW128" s="193"/>
      <c r="BX128" s="193"/>
      <c r="BY128" s="193"/>
      <c r="BZ128" s="193"/>
      <c r="CA128" s="193"/>
      <c r="CB128" s="193"/>
      <c r="CC128" s="193"/>
      <c r="CD128" s="193"/>
      <c r="CE128" s="193"/>
      <c r="CF128" s="193"/>
      <c r="CG128" s="193"/>
      <c r="CH128" s="193"/>
      <c r="CI128" s="193"/>
      <c r="CJ128" s="193"/>
      <c r="CK128" s="193"/>
      <c r="CL128" s="193"/>
      <c r="CM128" s="193"/>
      <c r="CN128" s="193"/>
      <c r="CO128" s="193"/>
      <c r="CP128" s="193"/>
      <c r="CQ128" s="193"/>
      <c r="CR128" s="193"/>
      <c r="CS128" s="193"/>
      <c r="CT128" s="193"/>
      <c r="CU128" s="193"/>
      <c r="CV128" s="193"/>
      <c r="CW128" s="193"/>
      <c r="CX128" s="193"/>
      <c r="CY128" s="193"/>
      <c r="CZ128" s="193"/>
      <c r="DA128" s="193"/>
      <c r="DB128" s="193"/>
      <c r="DC128" s="193"/>
      <c r="DD128" s="193"/>
      <c r="DE128" s="193"/>
      <c r="DF128" s="193"/>
      <c r="DG128" s="193"/>
      <c r="DH128" s="193"/>
      <c r="DI128" s="193"/>
      <c r="DJ128" s="193"/>
      <c r="DK128" s="193"/>
      <c r="DL128" s="193"/>
      <c r="DM128" s="193"/>
      <c r="DN128" s="193"/>
      <c r="DO128" s="193"/>
      <c r="DP128" s="193"/>
      <c r="DQ128" s="193"/>
      <c r="DR128" s="193"/>
      <c r="DS128" s="193"/>
      <c r="DT128" s="193"/>
      <c r="DU128" s="193"/>
      <c r="DV128" s="193"/>
      <c r="DW128" s="193"/>
      <c r="DX128" s="193"/>
      <c r="DY128" s="193"/>
      <c r="DZ128" s="193"/>
      <c r="EA128" s="193"/>
      <c r="EB128" s="193"/>
      <c r="EC128" s="193"/>
      <c r="ED128" s="193"/>
      <c r="EE128" s="193"/>
      <c r="EF128" s="193"/>
      <c r="EG128" s="193"/>
      <c r="EH128" s="193"/>
      <c r="EI128" s="193"/>
      <c r="EJ128" s="193"/>
      <c r="EK128" s="193"/>
      <c r="EL128" s="193"/>
      <c r="EM128" s="193"/>
      <c r="EN128" s="193"/>
      <c r="EO128" s="193"/>
      <c r="EP128" s="193"/>
      <c r="EQ128" s="193"/>
      <c r="ER128" s="193"/>
      <c r="ES128" s="193"/>
      <c r="ET128" s="193"/>
      <c r="EU128" s="193"/>
      <c r="EV128" s="193"/>
      <c r="EW128" s="193"/>
      <c r="EX128" s="193"/>
      <c r="EY128" s="193"/>
      <c r="EZ128" s="193"/>
      <c r="FA128" s="193"/>
      <c r="FB128" s="193"/>
      <c r="FC128" s="193"/>
      <c r="FD128" s="193"/>
      <c r="FE128" s="193"/>
      <c r="FF128" s="193"/>
      <c r="FG128" s="193"/>
      <c r="FH128" s="193"/>
      <c r="FI128" s="193"/>
      <c r="FJ128" s="193"/>
      <c r="FK128" s="193"/>
      <c r="FL128" s="193"/>
      <c r="FM128" s="193"/>
      <c r="FN128" s="193"/>
      <c r="FO128" s="193"/>
      <c r="FP128" s="193"/>
      <c r="FQ128" s="193"/>
      <c r="FR128" s="193"/>
      <c r="FS128" s="193"/>
      <c r="FT128" s="193"/>
      <c r="FU128" s="193"/>
      <c r="FV128" s="193"/>
      <c r="FW128" s="193"/>
      <c r="FX128" s="193"/>
      <c r="FY128" s="193"/>
      <c r="FZ128" s="193"/>
      <c r="GA128" s="193"/>
      <c r="GB128" s="193"/>
      <c r="GC128" s="193"/>
      <c r="GD128" s="193"/>
      <c r="GE128" s="193"/>
      <c r="GF128" s="193"/>
      <c r="GG128" s="193"/>
      <c r="GH128" s="193"/>
      <c r="GI128" s="193"/>
      <c r="GJ128" s="193"/>
      <c r="GK128" s="193"/>
      <c r="GL128" s="193"/>
      <c r="GM128" s="193"/>
      <c r="GN128" s="193"/>
      <c r="GO128" s="193"/>
      <c r="GP128" s="193"/>
      <c r="GQ128" s="193"/>
      <c r="GR128" s="193"/>
      <c r="GS128" s="193"/>
      <c r="GT128" s="193"/>
      <c r="GU128" s="193"/>
      <c r="GV128" s="193"/>
      <c r="GW128" s="193"/>
      <c r="GX128" s="193"/>
      <c r="GY128" s="193"/>
      <c r="GZ128" s="193"/>
      <c r="HA128" s="193"/>
      <c r="HB128" s="193"/>
      <c r="HC128" s="193"/>
      <c r="HD128" s="193"/>
      <c r="HE128" s="193"/>
      <c r="HF128" s="193"/>
      <c r="HG128" s="193"/>
      <c r="HH128" s="193"/>
      <c r="HI128" s="193"/>
      <c r="HJ128" s="193"/>
      <c r="HK128" s="193"/>
      <c r="HL128" s="193"/>
      <c r="HM128" s="193"/>
      <c r="HN128" s="193"/>
      <c r="HO128" s="193"/>
      <c r="HP128" s="193"/>
      <c r="HQ128" s="193"/>
      <c r="HR128" s="193"/>
      <c r="HS128" s="193"/>
      <c r="HT128" s="193"/>
      <c r="HU128" s="193"/>
      <c r="HV128" s="193"/>
      <c r="HW128" s="193"/>
      <c r="HX128" s="193"/>
      <c r="HY128" s="193"/>
      <c r="HZ128" s="193"/>
      <c r="IA128" s="193"/>
      <c r="IB128" s="193"/>
      <c r="IC128" s="193"/>
      <c r="ID128" s="193"/>
      <c r="IE128" s="193"/>
      <c r="IF128" s="193"/>
      <c r="IG128" s="193"/>
      <c r="IH128" s="193"/>
      <c r="II128" s="193"/>
      <c r="IJ128" s="193"/>
      <c r="IK128" s="193"/>
      <c r="IL128" s="193"/>
      <c r="IM128" s="193"/>
      <c r="IN128" s="193"/>
      <c r="IO128" s="193"/>
      <c r="IP128" s="193"/>
      <c r="IQ128" s="193"/>
    </row>
    <row r="129" spans="1:251">
      <c r="A129" s="2021">
        <v>9</v>
      </c>
      <c r="B129" s="1958" t="s">
        <v>546</v>
      </c>
      <c r="C129" s="1945"/>
      <c r="D129" s="2037">
        <v>2</v>
      </c>
      <c r="E129" s="1026"/>
      <c r="F129" s="1946">
        <f>(72000+28000)*1.3</f>
        <v>130000</v>
      </c>
      <c r="G129" s="1026">
        <v>12</v>
      </c>
      <c r="H129" s="1942">
        <f t="shared" si="59"/>
        <v>3120000</v>
      </c>
      <c r="I129" s="1026"/>
      <c r="J129" s="1942">
        <f t="shared" si="64"/>
        <v>0</v>
      </c>
      <c r="K129" s="1026"/>
      <c r="L129" s="1942">
        <f t="shared" si="65"/>
        <v>0</v>
      </c>
      <c r="M129" s="1942">
        <f t="shared" si="60"/>
        <v>0</v>
      </c>
      <c r="N129" s="1942">
        <f t="shared" si="66"/>
        <v>3120000</v>
      </c>
      <c r="O129" s="1026">
        <f t="shared" si="72"/>
        <v>520000</v>
      </c>
      <c r="P129" s="1026">
        <f t="shared" si="73"/>
        <v>1040000</v>
      </c>
      <c r="Q129" s="1942">
        <f t="shared" si="67"/>
        <v>4680000</v>
      </c>
      <c r="R129" s="1942">
        <f t="shared" si="68"/>
        <v>468000</v>
      </c>
      <c r="S129" s="1942">
        <f t="shared" si="69"/>
        <v>421200</v>
      </c>
      <c r="T129" s="1942">
        <f t="shared" si="70"/>
        <v>252720</v>
      </c>
      <c r="U129" s="1942">
        <f t="shared" si="71"/>
        <v>210600</v>
      </c>
      <c r="V129" s="3035">
        <f t="shared" si="44"/>
        <v>463320</v>
      </c>
      <c r="W129" s="1942">
        <f t="shared" si="63"/>
        <v>46800</v>
      </c>
      <c r="X129" s="193">
        <v>0.01</v>
      </c>
      <c r="Y129" s="193"/>
      <c r="Z129" s="193"/>
      <c r="AA129" s="193"/>
      <c r="AB129" s="193"/>
      <c r="AC129" s="193"/>
      <c r="AD129" s="193"/>
      <c r="AE129" s="193"/>
      <c r="AF129" s="193"/>
      <c r="AG129" s="193"/>
      <c r="AH129" s="193"/>
      <c r="AI129" s="193"/>
      <c r="AJ129" s="193"/>
      <c r="AK129" s="193"/>
      <c r="AL129" s="193"/>
      <c r="AM129" s="193"/>
      <c r="AN129" s="193"/>
      <c r="AO129" s="193"/>
      <c r="AP129" s="193"/>
      <c r="AQ129" s="193"/>
      <c r="AR129" s="193"/>
      <c r="AS129" s="193"/>
      <c r="AT129" s="193"/>
      <c r="AU129" s="193"/>
      <c r="AV129" s="193"/>
      <c r="AW129" s="193"/>
      <c r="AX129" s="193"/>
      <c r="AY129" s="193"/>
      <c r="AZ129" s="193"/>
      <c r="BA129" s="193"/>
      <c r="BB129" s="193"/>
      <c r="BC129" s="193"/>
      <c r="BD129" s="193"/>
      <c r="BE129" s="193"/>
      <c r="BF129" s="193"/>
      <c r="BG129" s="193"/>
      <c r="BH129" s="193"/>
      <c r="BI129" s="193"/>
      <c r="BJ129" s="193"/>
      <c r="BK129" s="193"/>
      <c r="BL129" s="193"/>
      <c r="BM129" s="193"/>
      <c r="BN129" s="193"/>
      <c r="BO129" s="193"/>
      <c r="BP129" s="193"/>
      <c r="BQ129" s="193"/>
      <c r="BR129" s="193"/>
      <c r="BS129" s="193"/>
      <c r="BT129" s="193"/>
      <c r="BU129" s="193"/>
      <c r="BV129" s="193"/>
      <c r="BW129" s="193"/>
      <c r="BX129" s="193"/>
      <c r="BY129" s="193"/>
      <c r="BZ129" s="193"/>
      <c r="CA129" s="193"/>
      <c r="CB129" s="193"/>
      <c r="CC129" s="193"/>
      <c r="CD129" s="193"/>
      <c r="CE129" s="193"/>
      <c r="CF129" s="193"/>
      <c r="CG129" s="193"/>
      <c r="CH129" s="193"/>
      <c r="CI129" s="193"/>
      <c r="CJ129" s="193"/>
      <c r="CK129" s="193"/>
      <c r="CL129" s="193"/>
      <c r="CM129" s="193"/>
      <c r="CN129" s="193"/>
      <c r="CO129" s="193"/>
      <c r="CP129" s="193"/>
      <c r="CQ129" s="193"/>
      <c r="CR129" s="193"/>
      <c r="CS129" s="193"/>
      <c r="CT129" s="193"/>
      <c r="CU129" s="193"/>
      <c r="CV129" s="193"/>
      <c r="CW129" s="193"/>
      <c r="CX129" s="193"/>
      <c r="CY129" s="193"/>
      <c r="CZ129" s="193"/>
      <c r="DA129" s="193"/>
      <c r="DB129" s="193"/>
      <c r="DC129" s="193"/>
      <c r="DD129" s="193"/>
      <c r="DE129" s="193"/>
      <c r="DF129" s="193"/>
      <c r="DG129" s="193"/>
      <c r="DH129" s="193"/>
      <c r="DI129" s="193"/>
      <c r="DJ129" s="193"/>
      <c r="DK129" s="193"/>
      <c r="DL129" s="193"/>
      <c r="DM129" s="193"/>
      <c r="DN129" s="193"/>
      <c r="DO129" s="193"/>
      <c r="DP129" s="193"/>
      <c r="DQ129" s="193"/>
      <c r="DR129" s="193"/>
      <c r="DS129" s="193"/>
      <c r="DT129" s="193"/>
      <c r="DU129" s="193"/>
      <c r="DV129" s="193"/>
      <c r="DW129" s="193"/>
      <c r="DX129" s="193"/>
      <c r="DY129" s="193"/>
      <c r="DZ129" s="193"/>
      <c r="EA129" s="193"/>
      <c r="EB129" s="193"/>
      <c r="EC129" s="193"/>
      <c r="ED129" s="193"/>
      <c r="EE129" s="193"/>
      <c r="EF129" s="193"/>
      <c r="EG129" s="193"/>
      <c r="EH129" s="193"/>
      <c r="EI129" s="193"/>
      <c r="EJ129" s="193"/>
      <c r="EK129" s="193"/>
      <c r="EL129" s="193"/>
      <c r="EM129" s="193"/>
      <c r="EN129" s="193"/>
      <c r="EO129" s="193"/>
      <c r="EP129" s="193"/>
      <c r="EQ129" s="193"/>
      <c r="ER129" s="193"/>
      <c r="ES129" s="193"/>
      <c r="ET129" s="193"/>
      <c r="EU129" s="193"/>
      <c r="EV129" s="193"/>
      <c r="EW129" s="193"/>
      <c r="EX129" s="193"/>
      <c r="EY129" s="193"/>
      <c r="EZ129" s="193"/>
      <c r="FA129" s="193"/>
      <c r="FB129" s="193"/>
      <c r="FC129" s="193"/>
      <c r="FD129" s="193"/>
      <c r="FE129" s="193"/>
      <c r="FF129" s="193"/>
      <c r="FG129" s="193"/>
      <c r="FH129" s="193"/>
      <c r="FI129" s="193"/>
      <c r="FJ129" s="193"/>
      <c r="FK129" s="193"/>
      <c r="FL129" s="193"/>
      <c r="FM129" s="193"/>
      <c r="FN129" s="193"/>
      <c r="FO129" s="193"/>
      <c r="FP129" s="193"/>
      <c r="FQ129" s="193"/>
      <c r="FR129" s="193"/>
      <c r="FS129" s="193"/>
      <c r="FT129" s="193"/>
      <c r="FU129" s="193"/>
      <c r="FV129" s="193"/>
      <c r="FW129" s="193"/>
      <c r="FX129" s="193"/>
      <c r="FY129" s="193"/>
      <c r="FZ129" s="193"/>
      <c r="GA129" s="193"/>
      <c r="GB129" s="193"/>
      <c r="GC129" s="193"/>
      <c r="GD129" s="193"/>
      <c r="GE129" s="193"/>
      <c r="GF129" s="193"/>
      <c r="GG129" s="193"/>
      <c r="GH129" s="193"/>
      <c r="GI129" s="193"/>
      <c r="GJ129" s="193"/>
      <c r="GK129" s="193"/>
      <c r="GL129" s="193"/>
      <c r="GM129" s="193"/>
      <c r="GN129" s="193"/>
      <c r="GO129" s="193"/>
      <c r="GP129" s="193"/>
      <c r="GQ129" s="193"/>
      <c r="GR129" s="193"/>
      <c r="GS129" s="193"/>
      <c r="GT129" s="193"/>
      <c r="GU129" s="193"/>
      <c r="GV129" s="193"/>
      <c r="GW129" s="193"/>
      <c r="GX129" s="193"/>
      <c r="GY129" s="193"/>
      <c r="GZ129" s="193"/>
      <c r="HA129" s="193"/>
      <c r="HB129" s="193"/>
      <c r="HC129" s="193"/>
      <c r="HD129" s="193"/>
      <c r="HE129" s="193"/>
      <c r="HF129" s="193"/>
      <c r="HG129" s="193"/>
      <c r="HH129" s="193"/>
      <c r="HI129" s="193"/>
      <c r="HJ129" s="193"/>
      <c r="HK129" s="193"/>
      <c r="HL129" s="193"/>
      <c r="HM129" s="193"/>
      <c r="HN129" s="193"/>
      <c r="HO129" s="193"/>
      <c r="HP129" s="193"/>
      <c r="HQ129" s="193"/>
      <c r="HR129" s="193"/>
      <c r="HS129" s="193"/>
      <c r="HT129" s="193"/>
      <c r="HU129" s="193"/>
      <c r="HV129" s="193"/>
      <c r="HW129" s="193"/>
      <c r="HX129" s="193"/>
      <c r="HY129" s="193"/>
      <c r="HZ129" s="193"/>
      <c r="IA129" s="193"/>
      <c r="IB129" s="193"/>
      <c r="IC129" s="193"/>
      <c r="ID129" s="193"/>
      <c r="IE129" s="193"/>
      <c r="IF129" s="193"/>
      <c r="IG129" s="193"/>
      <c r="IH129" s="193"/>
      <c r="II129" s="193"/>
      <c r="IJ129" s="193"/>
      <c r="IK129" s="193"/>
      <c r="IL129" s="193"/>
      <c r="IM129" s="193"/>
      <c r="IN129" s="193"/>
      <c r="IO129" s="193"/>
      <c r="IP129" s="193"/>
      <c r="IQ129" s="193"/>
    </row>
    <row r="130" spans="1:251">
      <c r="A130" s="351"/>
      <c r="B130" s="352"/>
      <c r="C130" s="352"/>
      <c r="D130" s="352"/>
      <c r="E130" s="353"/>
      <c r="F130" s="354"/>
      <c r="G130" s="354"/>
      <c r="H130" s="354"/>
      <c r="I130" s="354"/>
      <c r="J130" s="354"/>
      <c r="K130" s="354"/>
      <c r="L130" s="354"/>
      <c r="M130" s="354"/>
      <c r="N130" s="354"/>
      <c r="O130" s="354"/>
      <c r="P130" s="354"/>
      <c r="Q130" s="354"/>
      <c r="R130" s="193"/>
      <c r="S130" s="193"/>
      <c r="T130" s="193"/>
      <c r="U130" s="193"/>
      <c r="V130" s="193"/>
      <c r="W130" s="1947"/>
      <c r="X130" s="193"/>
      <c r="Y130" s="193"/>
      <c r="Z130" s="193"/>
      <c r="AA130" s="193"/>
      <c r="AB130" s="193"/>
      <c r="AC130" s="193"/>
      <c r="AD130" s="193"/>
      <c r="AE130" s="193"/>
      <c r="AF130" s="193"/>
      <c r="AG130" s="193"/>
      <c r="AH130" s="193"/>
      <c r="AI130" s="193"/>
      <c r="AJ130" s="193"/>
      <c r="AK130" s="193"/>
      <c r="AL130" s="193"/>
      <c r="AM130" s="193"/>
      <c r="AN130" s="193"/>
      <c r="AO130" s="193"/>
      <c r="AP130" s="193"/>
      <c r="AQ130" s="193"/>
      <c r="AR130" s="193"/>
      <c r="AS130" s="193"/>
      <c r="AT130" s="193"/>
      <c r="AU130" s="193"/>
      <c r="AV130" s="193"/>
      <c r="AW130" s="193"/>
      <c r="AX130" s="193"/>
      <c r="AY130" s="193"/>
      <c r="AZ130" s="193"/>
      <c r="BA130" s="193"/>
      <c r="BB130" s="193"/>
      <c r="BC130" s="193"/>
      <c r="BD130" s="193"/>
      <c r="BE130" s="193"/>
      <c r="BF130" s="193"/>
      <c r="BG130" s="193"/>
      <c r="BH130" s="193"/>
      <c r="BI130" s="193"/>
      <c r="BJ130" s="193"/>
      <c r="BK130" s="193"/>
      <c r="BL130" s="193"/>
      <c r="BM130" s="193"/>
      <c r="BN130" s="193"/>
      <c r="BO130" s="193"/>
      <c r="BP130" s="193"/>
      <c r="BQ130" s="193"/>
      <c r="BR130" s="193"/>
      <c r="BS130" s="193"/>
      <c r="BT130" s="193"/>
      <c r="BU130" s="193"/>
      <c r="BV130" s="193"/>
      <c r="BW130" s="193"/>
      <c r="BX130" s="193"/>
      <c r="BY130" s="193"/>
      <c r="BZ130" s="193"/>
      <c r="CA130" s="193"/>
      <c r="CB130" s="193"/>
      <c r="CC130" s="193"/>
      <c r="CD130" s="193"/>
      <c r="CE130" s="193"/>
      <c r="CF130" s="193"/>
      <c r="CG130" s="193"/>
      <c r="CH130" s="193"/>
      <c r="CI130" s="193"/>
      <c r="CJ130" s="193"/>
      <c r="CK130" s="193"/>
      <c r="CL130" s="193"/>
      <c r="CM130" s="193"/>
      <c r="CN130" s="193"/>
      <c r="CO130" s="193"/>
      <c r="CP130" s="193"/>
      <c r="CQ130" s="193"/>
      <c r="CR130" s="193"/>
      <c r="CS130" s="193"/>
      <c r="CT130" s="193"/>
      <c r="CU130" s="193"/>
      <c r="CV130" s="193"/>
      <c r="CW130" s="193"/>
      <c r="CX130" s="193"/>
      <c r="CY130" s="193"/>
      <c r="CZ130" s="193"/>
      <c r="DA130" s="193"/>
      <c r="DB130" s="193"/>
      <c r="DC130" s="193"/>
      <c r="DD130" s="193"/>
      <c r="DE130" s="193"/>
      <c r="DF130" s="193"/>
      <c r="DG130" s="193"/>
      <c r="DH130" s="193"/>
      <c r="DI130" s="193"/>
      <c r="DJ130" s="193"/>
      <c r="DK130" s="193"/>
      <c r="DL130" s="193"/>
      <c r="DM130" s="193"/>
      <c r="DN130" s="193"/>
      <c r="DO130" s="193"/>
      <c r="DP130" s="193"/>
      <c r="DQ130" s="193"/>
      <c r="DR130" s="193"/>
      <c r="DS130" s="193"/>
      <c r="DT130" s="193"/>
      <c r="DU130" s="193"/>
      <c r="DV130" s="193"/>
      <c r="DW130" s="193"/>
      <c r="DX130" s="193"/>
      <c r="DY130" s="193"/>
      <c r="DZ130" s="193"/>
      <c r="EA130" s="193"/>
      <c r="EB130" s="193"/>
      <c r="EC130" s="193"/>
      <c r="ED130" s="193"/>
      <c r="EE130" s="193"/>
      <c r="EF130" s="193"/>
      <c r="EG130" s="193"/>
      <c r="EH130" s="193"/>
      <c r="EI130" s="193"/>
      <c r="EJ130" s="193"/>
      <c r="EK130" s="193"/>
      <c r="EL130" s="193"/>
      <c r="EM130" s="193"/>
      <c r="EN130" s="193"/>
      <c r="EO130" s="193"/>
      <c r="EP130" s="193"/>
      <c r="EQ130" s="193"/>
      <c r="ER130" s="193"/>
      <c r="ES130" s="193"/>
      <c r="ET130" s="193"/>
      <c r="EU130" s="193"/>
      <c r="EV130" s="193"/>
      <c r="EW130" s="193"/>
      <c r="EX130" s="193"/>
      <c r="EY130" s="193"/>
      <c r="EZ130" s="193"/>
      <c r="FA130" s="193"/>
      <c r="FB130" s="193"/>
      <c r="FC130" s="193"/>
      <c r="FD130" s="193"/>
      <c r="FE130" s="193"/>
      <c r="FF130" s="193"/>
      <c r="FG130" s="193"/>
      <c r="FH130" s="193"/>
      <c r="FI130" s="193"/>
      <c r="FJ130" s="193"/>
      <c r="FK130" s="193"/>
      <c r="FL130" s="193"/>
      <c r="FM130" s="193"/>
      <c r="FN130" s="193"/>
      <c r="FO130" s="193"/>
      <c r="FP130" s="193"/>
      <c r="FQ130" s="193"/>
      <c r="FR130" s="193"/>
      <c r="FS130" s="193"/>
      <c r="FT130" s="193"/>
      <c r="FU130" s="193"/>
      <c r="FV130" s="193"/>
      <c r="FW130" s="193"/>
      <c r="FX130" s="193"/>
      <c r="FY130" s="193"/>
      <c r="FZ130" s="193"/>
      <c r="GA130" s="193"/>
      <c r="GB130" s="193"/>
      <c r="GC130" s="193"/>
      <c r="GD130" s="193"/>
      <c r="GE130" s="193"/>
      <c r="GF130" s="193"/>
      <c r="GG130" s="193"/>
      <c r="GH130" s="193"/>
      <c r="GI130" s="193"/>
      <c r="GJ130" s="193"/>
      <c r="GK130" s="193"/>
      <c r="GL130" s="193"/>
      <c r="GM130" s="193"/>
      <c r="GN130" s="193"/>
      <c r="GO130" s="193"/>
      <c r="GP130" s="193"/>
      <c r="GQ130" s="193"/>
      <c r="GR130" s="193"/>
      <c r="GS130" s="193"/>
      <c r="GT130" s="193"/>
      <c r="GU130" s="193"/>
      <c r="GV130" s="193"/>
      <c r="GW130" s="193"/>
      <c r="GX130" s="193"/>
      <c r="GY130" s="193"/>
      <c r="GZ130" s="193"/>
      <c r="HA130" s="193"/>
      <c r="HB130" s="193"/>
      <c r="HC130" s="193"/>
      <c r="HD130" s="193"/>
      <c r="HE130" s="193"/>
      <c r="HF130" s="193"/>
      <c r="HG130" s="193"/>
      <c r="HH130" s="193"/>
      <c r="HI130" s="193"/>
      <c r="HJ130" s="193"/>
      <c r="HK130" s="193"/>
      <c r="HL130" s="193"/>
      <c r="HM130" s="193"/>
      <c r="HN130" s="193"/>
      <c r="HO130" s="193"/>
      <c r="HP130" s="193"/>
      <c r="HQ130" s="193"/>
      <c r="HR130" s="193"/>
      <c r="HS130" s="193"/>
      <c r="HT130" s="193"/>
      <c r="HU130" s="193"/>
      <c r="HV130" s="193"/>
      <c r="HW130" s="193"/>
      <c r="HX130" s="193"/>
      <c r="HY130" s="193"/>
      <c r="HZ130" s="193"/>
      <c r="IA130" s="193"/>
      <c r="IB130" s="193"/>
      <c r="IC130" s="193"/>
      <c r="ID130" s="193"/>
      <c r="IE130" s="193"/>
      <c r="IF130" s="193"/>
      <c r="IG130" s="193"/>
      <c r="IH130" s="193"/>
      <c r="II130" s="193"/>
      <c r="IJ130" s="193"/>
      <c r="IK130" s="193"/>
      <c r="IL130" s="193"/>
      <c r="IM130" s="193"/>
      <c r="IN130" s="193"/>
      <c r="IO130" s="193"/>
      <c r="IP130" s="193"/>
      <c r="IQ130" s="193"/>
    </row>
    <row r="131" spans="1:251" ht="15.75">
      <c r="B131" s="300"/>
      <c r="C131" s="514"/>
      <c r="D131" s="514"/>
      <c r="E131" s="1075"/>
      <c r="F131" s="2475">
        <f>22859*10</f>
        <v>228590</v>
      </c>
      <c r="G131" s="406"/>
      <c r="H131" s="406"/>
      <c r="I131" s="406"/>
      <c r="J131" s="1075"/>
      <c r="K131" s="406"/>
      <c r="L131" s="406"/>
      <c r="M131" s="716"/>
      <c r="N131" s="958"/>
      <c r="O131" s="959"/>
      <c r="P131" s="959"/>
      <c r="Q131" s="959"/>
      <c r="R131" s="949"/>
      <c r="S131" s="949"/>
      <c r="T131" s="949"/>
      <c r="U131" s="949"/>
    </row>
    <row r="132" spans="1:251" ht="15.75">
      <c r="B132" s="2042" t="s">
        <v>368</v>
      </c>
      <c r="C132" s="514"/>
      <c r="D132" s="514"/>
      <c r="E132" s="1075"/>
      <c r="F132" s="419"/>
      <c r="G132" s="406"/>
      <c r="H132" s="406"/>
      <c r="I132" s="406"/>
      <c r="J132" s="1075" t="s">
        <v>369</v>
      </c>
      <c r="K132" s="406"/>
      <c r="L132" s="406"/>
      <c r="M132" s="3804"/>
      <c r="N132" s="3804"/>
      <c r="O132" s="959"/>
      <c r="P132" s="959"/>
      <c r="Q132" s="959"/>
      <c r="R132" s="949"/>
      <c r="S132" s="949"/>
      <c r="T132" s="949"/>
      <c r="U132" s="949"/>
    </row>
    <row r="133" spans="1:251" ht="15.75">
      <c r="B133" s="2042" t="s">
        <v>370</v>
      </c>
      <c r="C133" s="514"/>
      <c r="D133" s="514"/>
      <c r="E133" s="1075"/>
      <c r="F133" s="419"/>
      <c r="G133" s="406"/>
      <c r="H133" s="2042" t="s">
        <v>371</v>
      </c>
      <c r="I133" s="406"/>
      <c r="J133" s="1075"/>
      <c r="K133" s="406"/>
      <c r="L133" s="406"/>
      <c r="M133" s="960"/>
      <c r="N133" s="960"/>
      <c r="O133" s="959"/>
      <c r="P133" s="959"/>
      <c r="Q133" s="959"/>
      <c r="R133" s="949"/>
      <c r="S133" s="949"/>
      <c r="T133" s="949"/>
      <c r="U133" s="949"/>
    </row>
    <row r="134" spans="1:251" ht="15.75">
      <c r="B134" s="2042"/>
      <c r="C134" s="1076"/>
      <c r="D134" s="475"/>
      <c r="E134" s="1077"/>
      <c r="F134" s="419"/>
      <c r="G134" s="406"/>
      <c r="H134" s="2042"/>
      <c r="I134" s="406"/>
      <c r="J134" s="188"/>
      <c r="K134" s="406"/>
      <c r="L134" s="406"/>
      <c r="M134" s="960"/>
      <c r="N134" s="960"/>
      <c r="O134" s="959"/>
      <c r="P134" s="959"/>
      <c r="Q134" s="959"/>
      <c r="R134" s="949"/>
      <c r="S134" s="949"/>
      <c r="T134" s="949"/>
      <c r="U134" s="949"/>
    </row>
    <row r="135" spans="1:251" ht="15.75">
      <c r="B135" s="2042" t="s">
        <v>451</v>
      </c>
      <c r="C135" s="1076"/>
      <c r="D135" s="475"/>
      <c r="E135" s="1077"/>
      <c r="F135" s="419"/>
      <c r="G135" s="406"/>
      <c r="H135" s="2042" t="s">
        <v>452</v>
      </c>
      <c r="I135" s="406"/>
      <c r="J135" s="1074" t="s">
        <v>374</v>
      </c>
      <c r="K135" s="406"/>
      <c r="L135" s="406"/>
      <c r="M135" s="960"/>
      <c r="N135" s="960"/>
      <c r="O135" s="949"/>
      <c r="P135" s="949"/>
      <c r="Q135" s="949"/>
      <c r="R135" s="949"/>
      <c r="S135" s="949"/>
      <c r="T135" s="949"/>
      <c r="U135" s="949"/>
    </row>
    <row r="136" spans="1:251" ht="15.75">
      <c r="B136" s="2042"/>
      <c r="C136" s="1076"/>
      <c r="D136" s="475"/>
      <c r="E136" s="1077"/>
      <c r="F136" s="580"/>
      <c r="G136" s="406"/>
      <c r="H136" s="2042"/>
      <c r="I136" s="406"/>
      <c r="J136" s="1078"/>
      <c r="K136" s="406"/>
      <c r="L136" s="406"/>
    </row>
    <row r="137" spans="1:251" ht="15.75">
      <c r="B137" s="2042" t="s">
        <v>375</v>
      </c>
      <c r="C137" s="1078"/>
      <c r="D137" s="1078"/>
      <c r="E137" s="1078"/>
      <c r="F137" s="580"/>
      <c r="G137" s="406"/>
      <c r="H137" s="2042" t="s">
        <v>377</v>
      </c>
      <c r="I137" s="406"/>
      <c r="J137" s="1074" t="s">
        <v>376</v>
      </c>
      <c r="K137" s="406"/>
      <c r="L137" s="406"/>
    </row>
    <row r="140" spans="1:251">
      <c r="B140" s="2886"/>
    </row>
  </sheetData>
  <sheetProtection formatColumns="0" insertRows="0" deleteRows="0"/>
  <mergeCells count="21">
    <mergeCell ref="W7:W8"/>
    <mergeCell ref="Q7:Q8"/>
    <mergeCell ref="R7:R8"/>
    <mergeCell ref="S7:S8"/>
    <mergeCell ref="T7:T8"/>
    <mergeCell ref="V7:V8"/>
    <mergeCell ref="U7:U8"/>
    <mergeCell ref="O7:O8"/>
    <mergeCell ref="P7:P8"/>
    <mergeCell ref="N7:N8"/>
    <mergeCell ref="A7:A8"/>
    <mergeCell ref="B7:B8"/>
    <mergeCell ref="C7:C8"/>
    <mergeCell ref="D7:D8"/>
    <mergeCell ref="E7:E8"/>
    <mergeCell ref="F7:F8"/>
    <mergeCell ref="G7:G8"/>
    <mergeCell ref="H7:H8"/>
    <mergeCell ref="I7:J7"/>
    <mergeCell ref="K7:L7"/>
    <mergeCell ref="M7:M8"/>
  </mergeCells>
  <pageMargins left="0" right="0" top="0" bottom="0" header="0" footer="0"/>
  <pageSetup paperSize="9" scale="55" fitToHeight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92D050"/>
    <pageSetUpPr fitToPage="1"/>
  </sheetPr>
  <dimension ref="A1:IQ140"/>
  <sheetViews>
    <sheetView workbookViewId="0">
      <pane ySplit="9" topLeftCell="A10" activePane="bottomLeft" state="frozen"/>
      <selection activeCell="O133" sqref="O133"/>
      <selection pane="bottomLeft" activeCell="B130" sqref="B130"/>
    </sheetView>
  </sheetViews>
  <sheetFormatPr defaultColWidth="11.5703125" defaultRowHeight="15"/>
  <cols>
    <col min="1" max="1" width="4.42578125" style="1984" customWidth="1"/>
    <col min="2" max="2" width="29.28515625" style="1984" customWidth="1"/>
    <col min="3" max="3" width="24.28515625" style="1984" hidden="1" customWidth="1"/>
    <col min="4" max="4" width="9.7109375" style="1984" customWidth="1"/>
    <col min="5" max="5" width="10.28515625" style="1984" customWidth="1"/>
    <col min="6" max="6" width="13.7109375" style="1984" customWidth="1"/>
    <col min="7" max="7" width="10.140625" style="1984" customWidth="1"/>
    <col min="8" max="8" width="17.140625" style="1984" customWidth="1"/>
    <col min="9" max="9" width="10.140625" style="1984" hidden="1" customWidth="1"/>
    <col min="10" max="10" width="11.7109375" style="1984" hidden="1" customWidth="1"/>
    <col min="11" max="11" width="8.140625" style="1984" customWidth="1"/>
    <col min="12" max="12" width="11" style="1984" customWidth="1"/>
    <col min="13" max="13" width="15.140625" style="1984" customWidth="1"/>
    <col min="14" max="14" width="16.7109375" style="1984" customWidth="1"/>
    <col min="15" max="15" width="15.28515625" style="1984" customWidth="1"/>
    <col min="16" max="16" width="16.28515625" style="1984" customWidth="1"/>
    <col min="17" max="17" width="16.5703125" style="1984" customWidth="1"/>
    <col min="18" max="18" width="15.28515625" style="1984" customWidth="1"/>
    <col min="19" max="19" width="15.42578125" style="1984" customWidth="1"/>
    <col min="20" max="21" width="15.5703125" style="1984" customWidth="1"/>
    <col min="22" max="244" width="9.140625" style="1984" customWidth="1"/>
    <col min="245" max="245" width="3.7109375" style="1984" customWidth="1"/>
    <col min="246" max="246" width="26.7109375" style="1984" customWidth="1"/>
    <col min="247" max="247" width="19.140625" style="1984" customWidth="1"/>
    <col min="248" max="248" width="7.42578125" style="1984" customWidth="1"/>
    <col min="249" max="249" width="11.85546875" style="1984" customWidth="1"/>
    <col min="250" max="250" width="12.5703125" style="1984" customWidth="1"/>
    <col min="251" max="16384" width="11.5703125" style="1984"/>
  </cols>
  <sheetData>
    <row r="1" spans="1:251" ht="15.75">
      <c r="T1" s="1925" t="s">
        <v>267</v>
      </c>
      <c r="U1" s="1925" t="s">
        <v>268</v>
      </c>
    </row>
    <row r="2" spans="1:251" s="1933" customFormat="1" ht="15.75">
      <c r="A2" s="2017"/>
      <c r="B2" s="1968" t="s">
        <v>499</v>
      </c>
      <c r="C2" s="1932"/>
      <c r="D2" s="1932"/>
      <c r="E2" s="1932"/>
      <c r="F2" s="1932"/>
      <c r="G2" s="1932"/>
      <c r="K2" s="1985"/>
      <c r="L2" s="1985"/>
      <c r="M2" s="1985"/>
      <c r="N2" s="1932"/>
    </row>
    <row r="3" spans="1:251">
      <c r="A3" s="2018"/>
      <c r="K3" s="1986"/>
      <c r="L3" s="1986"/>
      <c r="M3" s="1986"/>
    </row>
    <row r="4" spans="1:251" s="1933" customFormat="1" ht="15.75">
      <c r="A4" s="2019"/>
      <c r="B4" s="2020" t="s">
        <v>984</v>
      </c>
      <c r="N4" s="1932"/>
      <c r="P4" s="2477" t="s">
        <v>501</v>
      </c>
      <c r="Q4" s="2474">
        <v>1852</v>
      </c>
      <c r="R4" s="2474" t="s">
        <v>502</v>
      </c>
    </row>
    <row r="5" spans="1:251" ht="15.75">
      <c r="A5" s="3810"/>
      <c r="B5" s="3811" t="s">
        <v>985</v>
      </c>
      <c r="N5" s="1934"/>
      <c r="P5" s="2478" t="s">
        <v>504</v>
      </c>
      <c r="Q5" s="2474">
        <f>17439*1.1</f>
        <v>19182.900000000001</v>
      </c>
      <c r="R5" s="2474" t="s">
        <v>505</v>
      </c>
    </row>
    <row r="6" spans="1:251">
      <c r="A6" s="1987"/>
      <c r="B6" s="1987"/>
      <c r="C6" s="1987"/>
      <c r="D6" s="1987"/>
      <c r="E6" s="1988">
        <f>12*K9</f>
        <v>0</v>
      </c>
      <c r="F6" s="1987"/>
      <c r="G6" s="1987"/>
      <c r="H6" s="1989"/>
      <c r="I6" s="1989"/>
      <c r="J6" s="1989"/>
      <c r="K6" s="1988">
        <f>E6-(E6*19%)</f>
        <v>0</v>
      </c>
      <c r="L6" s="1989"/>
      <c r="M6" s="1989"/>
      <c r="N6" s="1989"/>
      <c r="O6" s="1990">
        <f>O9*19%</f>
        <v>0</v>
      </c>
      <c r="P6" s="2478" t="s">
        <v>506</v>
      </c>
      <c r="Q6" s="2474">
        <v>19966</v>
      </c>
      <c r="R6" s="2474" t="s">
        <v>502</v>
      </c>
    </row>
    <row r="7" spans="1:251" ht="39.75" customHeight="1">
      <c r="A7" s="3970" t="s">
        <v>34</v>
      </c>
      <c r="B7" s="3970" t="s">
        <v>507</v>
      </c>
      <c r="C7" s="3970" t="s">
        <v>277</v>
      </c>
      <c r="D7" s="3971" t="s">
        <v>508</v>
      </c>
      <c r="E7" s="3973" t="s">
        <v>509</v>
      </c>
      <c r="F7" s="3970" t="s">
        <v>510</v>
      </c>
      <c r="G7" s="3970" t="s">
        <v>511</v>
      </c>
      <c r="H7" s="3971" t="s">
        <v>512</v>
      </c>
      <c r="I7" s="3970" t="s">
        <v>513</v>
      </c>
      <c r="J7" s="3970"/>
      <c r="K7" s="3970" t="s">
        <v>514</v>
      </c>
      <c r="L7" s="3970"/>
      <c r="M7" s="3971" t="s">
        <v>515</v>
      </c>
      <c r="N7" s="3970" t="s">
        <v>516</v>
      </c>
      <c r="O7" s="3975" t="s">
        <v>517</v>
      </c>
      <c r="P7" s="3970" t="s">
        <v>518</v>
      </c>
      <c r="Q7" s="3970" t="s">
        <v>519</v>
      </c>
      <c r="R7" s="3974" t="s">
        <v>313</v>
      </c>
      <c r="S7" s="3974" t="s">
        <v>314</v>
      </c>
      <c r="T7" s="3974" t="s">
        <v>116</v>
      </c>
      <c r="U7" s="3974" t="s">
        <v>315</v>
      </c>
    </row>
    <row r="8" spans="1:251" ht="97.9" customHeight="1">
      <c r="A8" s="3970"/>
      <c r="B8" s="3970"/>
      <c r="C8" s="3970"/>
      <c r="D8" s="3972"/>
      <c r="E8" s="3973"/>
      <c r="F8" s="3970"/>
      <c r="G8" s="3970"/>
      <c r="H8" s="3972"/>
      <c r="I8" s="1939" t="s">
        <v>520</v>
      </c>
      <c r="J8" s="1939" t="s">
        <v>345</v>
      </c>
      <c r="K8" s="1939" t="s">
        <v>520</v>
      </c>
      <c r="L8" s="1939" t="s">
        <v>345</v>
      </c>
      <c r="M8" s="3972"/>
      <c r="N8" s="3970"/>
      <c r="O8" s="3972"/>
      <c r="P8" s="3970"/>
      <c r="Q8" s="3970"/>
      <c r="R8" s="3974"/>
      <c r="S8" s="3974"/>
      <c r="T8" s="3974"/>
      <c r="U8" s="3974"/>
    </row>
    <row r="9" spans="1:251">
      <c r="A9" s="1939"/>
      <c r="B9" s="1939" t="s">
        <v>306</v>
      </c>
      <c r="C9" s="1939"/>
      <c r="D9" s="2033">
        <f>D10+D64+D101+D110</f>
        <v>0</v>
      </c>
      <c r="E9" s="1939"/>
      <c r="F9" s="1939"/>
      <c r="G9" s="1991"/>
      <c r="H9" s="1939">
        <f>H10+H64+H101+H110</f>
        <v>0</v>
      </c>
      <c r="I9" s="1991"/>
      <c r="J9" s="1939"/>
      <c r="K9" s="1991"/>
      <c r="L9" s="1939"/>
      <c r="M9" s="1939">
        <f t="shared" ref="M9:U9" si="0">M10+M64+M101+M110</f>
        <v>0</v>
      </c>
      <c r="N9" s="1939">
        <f t="shared" si="0"/>
        <v>0</v>
      </c>
      <c r="O9" s="1939">
        <f t="shared" si="0"/>
        <v>0</v>
      </c>
      <c r="P9" s="1939">
        <f t="shared" si="0"/>
        <v>0</v>
      </c>
      <c r="Q9" s="1939">
        <f t="shared" si="0"/>
        <v>0</v>
      </c>
      <c r="R9" s="1939">
        <f t="shared" si="0"/>
        <v>0</v>
      </c>
      <c r="S9" s="1939">
        <f t="shared" si="0"/>
        <v>0</v>
      </c>
      <c r="T9" s="1939">
        <f t="shared" si="0"/>
        <v>0</v>
      </c>
      <c r="U9" s="1939">
        <f t="shared" si="0"/>
        <v>0</v>
      </c>
    </row>
    <row r="10" spans="1:251" ht="28.5" hidden="1">
      <c r="A10" s="1940"/>
      <c r="B10" s="1939" t="s">
        <v>521</v>
      </c>
      <c r="C10" s="1940"/>
      <c r="D10" s="3809">
        <f>SUM(D11:D63)</f>
        <v>0</v>
      </c>
      <c r="E10" s="3812"/>
      <c r="F10" s="3812">
        <f>SUM(F11:F63)</f>
        <v>0</v>
      </c>
      <c r="G10" s="1995"/>
      <c r="H10" s="3812">
        <f>SUM(H11:H63)</f>
        <v>0</v>
      </c>
      <c r="I10" s="1995"/>
      <c r="J10" s="3812">
        <f>SUM(J11:J63)</f>
        <v>0</v>
      </c>
      <c r="K10" s="1995"/>
      <c r="L10" s="3812">
        <f t="shared" ref="L10:U10" si="1">SUM(L11:L63)</f>
        <v>0</v>
      </c>
      <c r="M10" s="3812">
        <f t="shared" si="1"/>
        <v>0</v>
      </c>
      <c r="N10" s="3812">
        <f t="shared" si="1"/>
        <v>0</v>
      </c>
      <c r="O10" s="3812">
        <f t="shared" si="1"/>
        <v>0</v>
      </c>
      <c r="P10" s="3812">
        <f t="shared" si="1"/>
        <v>0</v>
      </c>
      <c r="Q10" s="3812">
        <f t="shared" si="1"/>
        <v>0</v>
      </c>
      <c r="R10" s="3812">
        <f t="shared" si="1"/>
        <v>0</v>
      </c>
      <c r="S10" s="3812">
        <f t="shared" si="1"/>
        <v>0</v>
      </c>
      <c r="T10" s="3812">
        <f t="shared" si="1"/>
        <v>0</v>
      </c>
      <c r="U10" s="3812">
        <f t="shared" si="1"/>
        <v>0</v>
      </c>
      <c r="V10" s="1992"/>
      <c r="W10" s="1992"/>
      <c r="X10" s="1992"/>
      <c r="Y10" s="1992"/>
      <c r="Z10" s="1992"/>
      <c r="AA10" s="1992"/>
      <c r="AB10" s="1992"/>
      <c r="AC10" s="1992"/>
      <c r="AD10" s="1992"/>
      <c r="AE10" s="1992"/>
      <c r="AF10" s="1992"/>
      <c r="AG10" s="1992"/>
      <c r="AH10" s="1992"/>
      <c r="AI10" s="1992"/>
      <c r="AJ10" s="1992"/>
      <c r="AK10" s="1992"/>
      <c r="AL10" s="1992"/>
      <c r="AM10" s="1992"/>
      <c r="AN10" s="1992"/>
      <c r="AO10" s="1992"/>
      <c r="AP10" s="1992"/>
      <c r="AQ10" s="1992"/>
      <c r="AR10" s="1992"/>
      <c r="AS10" s="1992"/>
      <c r="AT10" s="1992"/>
      <c r="AU10" s="1992"/>
      <c r="AV10" s="1992"/>
      <c r="AW10" s="1992"/>
      <c r="AX10" s="1992"/>
      <c r="AY10" s="1992"/>
      <c r="AZ10" s="1992"/>
      <c r="BA10" s="1992"/>
      <c r="BB10" s="1992"/>
      <c r="BC10" s="1992"/>
      <c r="BD10" s="1992"/>
      <c r="BE10" s="1992"/>
      <c r="BF10" s="1992"/>
      <c r="BG10" s="1992"/>
      <c r="BH10" s="1992"/>
      <c r="BI10" s="1992"/>
      <c r="BJ10" s="1992"/>
      <c r="BK10" s="1992"/>
      <c r="BL10" s="1992"/>
      <c r="BM10" s="1992"/>
      <c r="BN10" s="1992"/>
      <c r="BO10" s="1992"/>
      <c r="BP10" s="1992"/>
      <c r="BQ10" s="1992"/>
      <c r="BR10" s="1992"/>
      <c r="BS10" s="1992"/>
      <c r="BT10" s="1992"/>
      <c r="BU10" s="1992"/>
      <c r="BV10" s="1992"/>
      <c r="BW10" s="1992"/>
      <c r="BX10" s="1992"/>
      <c r="BY10" s="1992"/>
      <c r="BZ10" s="1992"/>
      <c r="CA10" s="1992"/>
      <c r="CB10" s="1992"/>
      <c r="CC10" s="1992"/>
      <c r="CD10" s="1992"/>
      <c r="CE10" s="1992"/>
      <c r="CF10" s="1992"/>
      <c r="CG10" s="1992"/>
      <c r="CH10" s="1992"/>
      <c r="CI10" s="1992"/>
      <c r="CJ10" s="1992"/>
      <c r="CK10" s="1992"/>
      <c r="CL10" s="1992"/>
      <c r="CM10" s="1992"/>
      <c r="CN10" s="1992"/>
      <c r="CO10" s="1992"/>
      <c r="CP10" s="1992"/>
      <c r="CQ10" s="1992"/>
      <c r="CR10" s="1992"/>
      <c r="CS10" s="1992"/>
      <c r="CT10" s="1992"/>
      <c r="CU10" s="1992"/>
      <c r="CV10" s="1992"/>
      <c r="CW10" s="1992"/>
      <c r="CX10" s="1992"/>
      <c r="CY10" s="1992"/>
      <c r="CZ10" s="1992"/>
      <c r="DA10" s="1992"/>
      <c r="DB10" s="1992"/>
      <c r="DC10" s="1992"/>
      <c r="DD10" s="1992"/>
      <c r="DE10" s="1992"/>
      <c r="DF10" s="1992"/>
      <c r="DG10" s="1992"/>
      <c r="DH10" s="1992"/>
      <c r="DI10" s="1992"/>
      <c r="DJ10" s="1992"/>
      <c r="DK10" s="1992"/>
      <c r="DL10" s="1992"/>
      <c r="DM10" s="1992"/>
      <c r="DN10" s="1992"/>
      <c r="DO10" s="1992"/>
      <c r="DP10" s="1992"/>
      <c r="DQ10" s="1992"/>
      <c r="DR10" s="1992"/>
      <c r="DS10" s="1992"/>
      <c r="DT10" s="1992"/>
      <c r="DU10" s="1992"/>
      <c r="DV10" s="1992"/>
      <c r="DW10" s="1992"/>
      <c r="DX10" s="1992"/>
      <c r="DY10" s="1992"/>
      <c r="DZ10" s="1992"/>
      <c r="EA10" s="1992"/>
      <c r="EB10" s="1992"/>
      <c r="EC10" s="1992"/>
      <c r="ED10" s="1992"/>
      <c r="EE10" s="1992"/>
      <c r="EF10" s="1992"/>
      <c r="EG10" s="1992"/>
      <c r="EH10" s="1992"/>
      <c r="EI10" s="1992"/>
      <c r="EJ10" s="1992"/>
      <c r="EK10" s="1992"/>
      <c r="EL10" s="1992"/>
      <c r="EM10" s="1992"/>
      <c r="EN10" s="1992"/>
      <c r="EO10" s="1992"/>
      <c r="EP10" s="1992"/>
      <c r="EQ10" s="1992"/>
      <c r="ER10" s="1992"/>
      <c r="ES10" s="1992"/>
      <c r="ET10" s="1992"/>
      <c r="EU10" s="1992"/>
      <c r="EV10" s="1992"/>
      <c r="EW10" s="1992"/>
      <c r="EX10" s="1992"/>
      <c r="EY10" s="1992"/>
      <c r="EZ10" s="1992"/>
      <c r="FA10" s="1992"/>
      <c r="FB10" s="1992"/>
      <c r="FC10" s="1992"/>
      <c r="FD10" s="1992"/>
      <c r="FE10" s="1992"/>
      <c r="FF10" s="1992"/>
      <c r="FG10" s="1992"/>
      <c r="FH10" s="1992"/>
      <c r="FI10" s="1992"/>
      <c r="FJ10" s="1992"/>
      <c r="FK10" s="1992"/>
      <c r="FL10" s="1992"/>
      <c r="FM10" s="1992"/>
      <c r="FN10" s="1992"/>
      <c r="FO10" s="1992"/>
      <c r="FP10" s="1992"/>
      <c r="FQ10" s="1992"/>
      <c r="FR10" s="1992"/>
      <c r="FS10" s="1992"/>
      <c r="FT10" s="1992"/>
      <c r="FU10" s="1992"/>
      <c r="FV10" s="1992"/>
      <c r="FW10" s="1992"/>
      <c r="FX10" s="1992"/>
      <c r="FY10" s="1992"/>
      <c r="FZ10" s="1992"/>
      <c r="GA10" s="1992"/>
      <c r="GB10" s="1992"/>
      <c r="GC10" s="1992"/>
      <c r="GD10" s="1992"/>
      <c r="GE10" s="1992"/>
      <c r="GF10" s="1992"/>
      <c r="GG10" s="1992"/>
      <c r="GH10" s="1992"/>
      <c r="GI10" s="1992"/>
      <c r="GJ10" s="1992"/>
      <c r="GK10" s="1992"/>
      <c r="GL10" s="1992"/>
      <c r="GM10" s="1992"/>
      <c r="GN10" s="1992"/>
      <c r="GO10" s="1992"/>
      <c r="GP10" s="1992"/>
      <c r="GQ10" s="1992"/>
      <c r="GR10" s="1992"/>
      <c r="GS10" s="1992"/>
      <c r="GT10" s="1992"/>
      <c r="GU10" s="1992"/>
      <c r="GV10" s="1992"/>
      <c r="GW10" s="1992"/>
      <c r="GX10" s="1992"/>
      <c r="GY10" s="1992"/>
      <c r="GZ10" s="1992"/>
      <c r="HA10" s="1992"/>
      <c r="HB10" s="1992"/>
      <c r="HC10" s="1992"/>
      <c r="HD10" s="1992"/>
      <c r="HE10" s="1992"/>
      <c r="HF10" s="1992"/>
      <c r="HG10" s="1992"/>
      <c r="HH10" s="1992"/>
      <c r="HI10" s="1992"/>
      <c r="HJ10" s="1992"/>
      <c r="HK10" s="1992"/>
      <c r="HL10" s="1992"/>
      <c r="HM10" s="1992"/>
      <c r="HN10" s="1992"/>
      <c r="HO10" s="1992"/>
      <c r="HP10" s="1992"/>
      <c r="HQ10" s="1992"/>
      <c r="HR10" s="1992"/>
      <c r="HS10" s="1992"/>
      <c r="HT10" s="1992"/>
      <c r="HU10" s="1992"/>
      <c r="HV10" s="1992"/>
      <c r="HW10" s="1992"/>
      <c r="HX10" s="1992"/>
      <c r="HY10" s="1992"/>
      <c r="HZ10" s="1992"/>
      <c r="IA10" s="1992"/>
      <c r="IB10" s="1992"/>
      <c r="IC10" s="1992"/>
      <c r="ID10" s="1992"/>
      <c r="IE10" s="1992"/>
      <c r="IF10" s="1992"/>
      <c r="IG10" s="1992"/>
      <c r="IH10" s="1992"/>
      <c r="II10" s="1992"/>
      <c r="IJ10" s="1992"/>
      <c r="IK10" s="1992"/>
      <c r="IL10" s="1992"/>
      <c r="IM10" s="1992"/>
      <c r="IN10" s="1992"/>
      <c r="IO10" s="1992"/>
      <c r="IP10" s="1992"/>
      <c r="IQ10" s="1992"/>
    </row>
    <row r="11" spans="1:251" ht="25.5" hidden="1">
      <c r="A11" s="1993"/>
      <c r="B11" s="1994" t="s">
        <v>522</v>
      </c>
      <c r="C11" s="1995"/>
      <c r="D11" s="2021"/>
      <c r="E11" s="1993"/>
      <c r="F11" s="1996"/>
      <c r="G11" s="1993">
        <v>12</v>
      </c>
      <c r="H11" s="1940">
        <f>D11*F11*G11</f>
        <v>0</v>
      </c>
      <c r="I11" s="1993"/>
      <c r="J11" s="1940">
        <f>I11*$Q$4</f>
        <v>0</v>
      </c>
      <c r="K11" s="1993"/>
      <c r="L11" s="1940">
        <f>K11*F11</f>
        <v>0</v>
      </c>
      <c r="M11" s="1940">
        <f>D11*G11*(J11+L11)</f>
        <v>0</v>
      </c>
      <c r="N11" s="1940">
        <f>H11+M11</f>
        <v>0</v>
      </c>
      <c r="O11" s="1993">
        <f t="shared" ref="O11:O16" si="2">F11*2</f>
        <v>0</v>
      </c>
      <c r="P11" s="1993">
        <f t="shared" ref="P11:P16" si="3">F11*4</f>
        <v>0</v>
      </c>
      <c r="Q11" s="1940">
        <f>N11+O11+P11</f>
        <v>0</v>
      </c>
      <c r="R11" s="1940">
        <f>Q11*10%</f>
        <v>0</v>
      </c>
      <c r="S11" s="1940">
        <f>(Q11-R11)*10%</f>
        <v>0</v>
      </c>
      <c r="T11" s="1940">
        <f>(Q11-R11)*6%</f>
        <v>0</v>
      </c>
      <c r="U11" s="1940">
        <f>(Q11-R11)*5%</f>
        <v>0</v>
      </c>
      <c r="V11" s="1997"/>
      <c r="W11" s="1997"/>
      <c r="X11" s="1997"/>
      <c r="Y11" s="1997"/>
      <c r="Z11" s="1997"/>
      <c r="AA11" s="1997"/>
      <c r="AB11" s="1997"/>
      <c r="AC11" s="1997"/>
      <c r="AD11" s="1997"/>
      <c r="AE11" s="1997"/>
      <c r="AF11" s="1997"/>
      <c r="AG11" s="1997"/>
      <c r="AH11" s="1997"/>
      <c r="AI11" s="1997"/>
      <c r="AJ11" s="1997"/>
      <c r="AK11" s="1997"/>
      <c r="AL11" s="1997"/>
      <c r="AM11" s="1997"/>
      <c r="AN11" s="1997"/>
      <c r="AO11" s="1997"/>
      <c r="AP11" s="1997"/>
      <c r="AQ11" s="1997"/>
      <c r="AR11" s="1997"/>
      <c r="AS11" s="1997"/>
      <c r="AT11" s="1997"/>
      <c r="AU11" s="1997"/>
      <c r="AV11" s="1997"/>
      <c r="AW11" s="1997"/>
      <c r="AX11" s="1997"/>
      <c r="AY11" s="1997"/>
      <c r="AZ11" s="1997"/>
      <c r="BA11" s="1997"/>
      <c r="BB11" s="1997"/>
      <c r="BC11" s="1997"/>
      <c r="BD11" s="1997"/>
      <c r="BE11" s="1997"/>
      <c r="BF11" s="1997"/>
      <c r="BG11" s="1997"/>
      <c r="BH11" s="1997"/>
      <c r="BI11" s="1997"/>
      <c r="BJ11" s="1997"/>
      <c r="BK11" s="1997"/>
      <c r="BL11" s="1997"/>
      <c r="BM11" s="1997"/>
      <c r="BN11" s="1997"/>
      <c r="BO11" s="1997"/>
      <c r="BP11" s="1997"/>
      <c r="BQ11" s="1997"/>
      <c r="BR11" s="1997"/>
      <c r="BS11" s="1997"/>
      <c r="BT11" s="1997"/>
      <c r="BU11" s="1997"/>
      <c r="BV11" s="1997"/>
      <c r="BW11" s="1997"/>
      <c r="BX11" s="1997"/>
      <c r="BY11" s="1997"/>
      <c r="BZ11" s="1997"/>
      <c r="CA11" s="1997"/>
      <c r="CB11" s="1997"/>
      <c r="CC11" s="1997"/>
      <c r="CD11" s="1997"/>
      <c r="CE11" s="1997"/>
      <c r="CF11" s="1997"/>
      <c r="CG11" s="1997"/>
      <c r="CH11" s="1997"/>
      <c r="CI11" s="1997"/>
      <c r="CJ11" s="1997"/>
      <c r="CK11" s="1997"/>
      <c r="CL11" s="1997"/>
      <c r="CM11" s="1997"/>
      <c r="CN11" s="1997"/>
      <c r="CO11" s="1997"/>
      <c r="CP11" s="1997"/>
      <c r="CQ11" s="1997"/>
      <c r="CR11" s="1997"/>
      <c r="CS11" s="1997"/>
      <c r="CT11" s="1997"/>
      <c r="CU11" s="1997"/>
      <c r="CV11" s="1997"/>
      <c r="CW11" s="1997"/>
      <c r="CX11" s="1997"/>
      <c r="CY11" s="1997"/>
      <c r="CZ11" s="1997"/>
      <c r="DA11" s="1997"/>
      <c r="DB11" s="1997"/>
      <c r="DC11" s="1997"/>
      <c r="DD11" s="1997"/>
      <c r="DE11" s="1997"/>
      <c r="DF11" s="1997"/>
      <c r="DG11" s="1997"/>
      <c r="DH11" s="1997"/>
      <c r="DI11" s="1997"/>
      <c r="DJ11" s="1997"/>
      <c r="DK11" s="1997"/>
      <c r="DL11" s="1997"/>
      <c r="DM11" s="1997"/>
      <c r="DN11" s="1997"/>
      <c r="DO11" s="1997"/>
      <c r="DP11" s="1997"/>
      <c r="DQ11" s="1997"/>
      <c r="DR11" s="1997"/>
      <c r="DS11" s="1997"/>
      <c r="DT11" s="1997"/>
      <c r="DU11" s="1997"/>
      <c r="DV11" s="1997"/>
      <c r="DW11" s="1997"/>
      <c r="DX11" s="1997"/>
      <c r="DY11" s="1997"/>
      <c r="DZ11" s="1997"/>
      <c r="EA11" s="1997"/>
      <c r="EB11" s="1997"/>
      <c r="EC11" s="1997"/>
      <c r="ED11" s="1997"/>
      <c r="EE11" s="1997"/>
      <c r="EF11" s="1997"/>
      <c r="EG11" s="1997"/>
      <c r="EH11" s="1997"/>
      <c r="EI11" s="1997"/>
      <c r="EJ11" s="1997"/>
      <c r="EK11" s="1997"/>
      <c r="EL11" s="1997"/>
      <c r="EM11" s="1997"/>
      <c r="EN11" s="1997"/>
      <c r="EO11" s="1997"/>
      <c r="EP11" s="1997"/>
      <c r="EQ11" s="1997"/>
      <c r="ER11" s="1997"/>
      <c r="ES11" s="1997"/>
      <c r="ET11" s="1997"/>
      <c r="EU11" s="1997"/>
      <c r="EV11" s="1997"/>
      <c r="EW11" s="1997"/>
      <c r="EX11" s="1997"/>
      <c r="EY11" s="1997"/>
      <c r="EZ11" s="1997"/>
      <c r="FA11" s="1997"/>
      <c r="FB11" s="1997"/>
      <c r="FC11" s="1997"/>
      <c r="FD11" s="1997"/>
      <c r="FE11" s="1997"/>
      <c r="FF11" s="1997"/>
      <c r="FG11" s="1997"/>
      <c r="FH11" s="1997"/>
      <c r="FI11" s="1997"/>
      <c r="FJ11" s="1997"/>
      <c r="FK11" s="1997"/>
      <c r="FL11" s="1997"/>
      <c r="FM11" s="1997"/>
      <c r="FN11" s="1997"/>
      <c r="FO11" s="1997"/>
      <c r="FP11" s="1997"/>
      <c r="FQ11" s="1997"/>
      <c r="FR11" s="1997"/>
      <c r="FS11" s="1997"/>
      <c r="FT11" s="1997"/>
      <c r="FU11" s="1997"/>
      <c r="FV11" s="1997"/>
      <c r="FW11" s="1997"/>
      <c r="FX11" s="1997"/>
      <c r="FY11" s="1997"/>
      <c r="FZ11" s="1997"/>
      <c r="GA11" s="1997"/>
      <c r="GB11" s="1997"/>
      <c r="GC11" s="1997"/>
      <c r="GD11" s="1997"/>
      <c r="GE11" s="1997"/>
      <c r="GF11" s="1997"/>
      <c r="GG11" s="1997"/>
      <c r="GH11" s="1997"/>
      <c r="GI11" s="1997"/>
      <c r="GJ11" s="1997"/>
      <c r="GK11" s="1997"/>
      <c r="GL11" s="1997"/>
      <c r="GM11" s="1997"/>
      <c r="GN11" s="1997"/>
      <c r="GO11" s="1997"/>
      <c r="GP11" s="1997"/>
      <c r="GQ11" s="1997"/>
      <c r="GR11" s="1997"/>
      <c r="GS11" s="1997"/>
      <c r="GT11" s="1997"/>
      <c r="GU11" s="1997"/>
      <c r="GV11" s="1997"/>
      <c r="GW11" s="1997"/>
      <c r="GX11" s="1997"/>
      <c r="GY11" s="1997"/>
      <c r="GZ11" s="1997"/>
      <c r="HA11" s="1997"/>
      <c r="HB11" s="1997"/>
      <c r="HC11" s="1997"/>
      <c r="HD11" s="1997"/>
      <c r="HE11" s="1997"/>
      <c r="HF11" s="1997"/>
      <c r="HG11" s="1997"/>
      <c r="HH11" s="1997"/>
      <c r="HI11" s="1997"/>
      <c r="HJ11" s="1997"/>
      <c r="HK11" s="1997"/>
      <c r="HL11" s="1997"/>
      <c r="HM11" s="1997"/>
      <c r="HN11" s="1997"/>
      <c r="HO11" s="1997"/>
      <c r="HP11" s="1997"/>
      <c r="HQ11" s="1997"/>
      <c r="HR11" s="1997"/>
      <c r="HS11" s="1997"/>
      <c r="HT11" s="1997"/>
      <c r="HU11" s="1997"/>
      <c r="HV11" s="1997"/>
      <c r="HW11" s="1997"/>
      <c r="HX11" s="1997"/>
      <c r="HY11" s="1997"/>
      <c r="HZ11" s="1997"/>
      <c r="IA11" s="1997"/>
      <c r="IB11" s="1997"/>
      <c r="IC11" s="1997"/>
      <c r="ID11" s="1997"/>
      <c r="IE11" s="1997"/>
      <c r="IF11" s="1997"/>
      <c r="IG11" s="1997"/>
      <c r="IH11" s="1997"/>
      <c r="II11" s="1997"/>
      <c r="IJ11" s="1997"/>
      <c r="IK11" s="1997"/>
      <c r="IL11" s="1997"/>
      <c r="IM11" s="1997"/>
      <c r="IN11" s="1997"/>
      <c r="IO11" s="1997"/>
      <c r="IP11" s="1997"/>
      <c r="IQ11" s="1997"/>
    </row>
    <row r="12" spans="1:251" hidden="1">
      <c r="A12" s="1993"/>
      <c r="B12" s="1994" t="s">
        <v>970</v>
      </c>
      <c r="C12" s="1998"/>
      <c r="D12" s="2034"/>
      <c r="E12" s="1998"/>
      <c r="F12" s="1996"/>
      <c r="G12" s="1993">
        <v>12</v>
      </c>
      <c r="H12" s="1940">
        <f>D12*F12*G12</f>
        <v>0</v>
      </c>
      <c r="I12" s="1993"/>
      <c r="J12" s="1940">
        <f>I12*$Q$4</f>
        <v>0</v>
      </c>
      <c r="K12" s="1993"/>
      <c r="L12" s="1940">
        <f>K12*F12</f>
        <v>0</v>
      </c>
      <c r="M12" s="1940">
        <f>D12*G12*(J12+L12)</f>
        <v>0</v>
      </c>
      <c r="N12" s="1940">
        <f>H12+M12</f>
        <v>0</v>
      </c>
      <c r="O12" s="1993">
        <f t="shared" si="2"/>
        <v>0</v>
      </c>
      <c r="P12" s="1993">
        <f t="shared" si="3"/>
        <v>0</v>
      </c>
      <c r="Q12" s="1940">
        <f>N12+O12+P12</f>
        <v>0</v>
      </c>
      <c r="R12" s="1940">
        <f>Q12*10%</f>
        <v>0</v>
      </c>
      <c r="S12" s="1940">
        <f>(Q12-R12)*10%</f>
        <v>0</v>
      </c>
      <c r="T12" s="1940">
        <f>(Q12-R12)*6%</f>
        <v>0</v>
      </c>
      <c r="U12" s="1940">
        <f>(Q12-R12)*5%</f>
        <v>0</v>
      </c>
      <c r="V12" s="1997"/>
      <c r="W12" s="1997"/>
      <c r="X12" s="1997"/>
      <c r="Y12" s="1997"/>
      <c r="Z12" s="1997"/>
      <c r="AA12" s="1997"/>
      <c r="AB12" s="1997"/>
      <c r="AC12" s="1997"/>
      <c r="AD12" s="1997"/>
      <c r="AE12" s="1997"/>
      <c r="AF12" s="1997"/>
      <c r="AG12" s="1997"/>
      <c r="AH12" s="1997"/>
      <c r="AI12" s="1997"/>
      <c r="AJ12" s="1997"/>
      <c r="AK12" s="1997"/>
      <c r="AL12" s="1997"/>
      <c r="AM12" s="1997"/>
      <c r="AN12" s="1997"/>
      <c r="AO12" s="1997"/>
      <c r="AP12" s="1997"/>
      <c r="AQ12" s="1997"/>
      <c r="AR12" s="1997"/>
      <c r="AS12" s="1997"/>
      <c r="AT12" s="1997"/>
      <c r="AU12" s="1997"/>
      <c r="AV12" s="1997"/>
      <c r="AW12" s="1997"/>
      <c r="AX12" s="1997"/>
      <c r="AY12" s="1997"/>
      <c r="AZ12" s="1997"/>
      <c r="BA12" s="1997"/>
      <c r="BB12" s="1997"/>
      <c r="BC12" s="1997"/>
      <c r="BD12" s="1997"/>
      <c r="BE12" s="1997"/>
      <c r="BF12" s="1997"/>
      <c r="BG12" s="1997"/>
      <c r="BH12" s="1997"/>
      <c r="BI12" s="1997"/>
      <c r="BJ12" s="1997"/>
      <c r="BK12" s="1997"/>
      <c r="BL12" s="1997"/>
      <c r="BM12" s="1997"/>
      <c r="BN12" s="1997"/>
      <c r="BO12" s="1997"/>
      <c r="BP12" s="1997"/>
      <c r="BQ12" s="1997"/>
      <c r="BR12" s="1997"/>
      <c r="BS12" s="1997"/>
      <c r="BT12" s="1997"/>
      <c r="BU12" s="1997"/>
      <c r="BV12" s="1997"/>
      <c r="BW12" s="1997"/>
      <c r="BX12" s="1997"/>
      <c r="BY12" s="1997"/>
      <c r="BZ12" s="1997"/>
      <c r="CA12" s="1997"/>
      <c r="CB12" s="1997"/>
      <c r="CC12" s="1997"/>
      <c r="CD12" s="1997"/>
      <c r="CE12" s="1997"/>
      <c r="CF12" s="1997"/>
      <c r="CG12" s="1997"/>
      <c r="CH12" s="1997"/>
      <c r="CI12" s="1997"/>
      <c r="CJ12" s="1997"/>
      <c r="CK12" s="1997"/>
      <c r="CL12" s="1997"/>
      <c r="CM12" s="1997"/>
      <c r="CN12" s="1997"/>
      <c r="CO12" s="1997"/>
      <c r="CP12" s="1997"/>
      <c r="CQ12" s="1997"/>
      <c r="CR12" s="1997"/>
      <c r="CS12" s="1997"/>
      <c r="CT12" s="1997"/>
      <c r="CU12" s="1997"/>
      <c r="CV12" s="1997"/>
      <c r="CW12" s="1997"/>
      <c r="CX12" s="1997"/>
      <c r="CY12" s="1997"/>
      <c r="CZ12" s="1997"/>
      <c r="DA12" s="1997"/>
      <c r="DB12" s="1997"/>
      <c r="DC12" s="1997"/>
      <c r="DD12" s="1997"/>
      <c r="DE12" s="1997"/>
      <c r="DF12" s="1997"/>
      <c r="DG12" s="1997"/>
      <c r="DH12" s="1997"/>
      <c r="DI12" s="1997"/>
      <c r="DJ12" s="1997"/>
      <c r="DK12" s="1997"/>
      <c r="DL12" s="1997"/>
      <c r="DM12" s="1997"/>
      <c r="DN12" s="1997"/>
      <c r="DO12" s="1997"/>
      <c r="DP12" s="1997"/>
      <c r="DQ12" s="1997"/>
      <c r="DR12" s="1997"/>
      <c r="DS12" s="1997"/>
      <c r="DT12" s="1997"/>
      <c r="DU12" s="1997"/>
      <c r="DV12" s="1997"/>
      <c r="DW12" s="1997"/>
      <c r="DX12" s="1997"/>
      <c r="DY12" s="1997"/>
      <c r="DZ12" s="1997"/>
      <c r="EA12" s="1997"/>
      <c r="EB12" s="1997"/>
      <c r="EC12" s="1997"/>
      <c r="ED12" s="1997"/>
      <c r="EE12" s="1997"/>
      <c r="EF12" s="1997"/>
      <c r="EG12" s="1997"/>
      <c r="EH12" s="1997"/>
      <c r="EI12" s="1997"/>
      <c r="EJ12" s="1997"/>
      <c r="EK12" s="1997"/>
      <c r="EL12" s="1997"/>
      <c r="EM12" s="1997"/>
      <c r="EN12" s="1997"/>
      <c r="EO12" s="1997"/>
      <c r="EP12" s="1997"/>
      <c r="EQ12" s="1997"/>
      <c r="ER12" s="1997"/>
      <c r="ES12" s="1997"/>
      <c r="ET12" s="1997"/>
      <c r="EU12" s="1997"/>
      <c r="EV12" s="1997"/>
      <c r="EW12" s="1997"/>
      <c r="EX12" s="1997"/>
      <c r="EY12" s="1997"/>
      <c r="EZ12" s="1997"/>
      <c r="FA12" s="1997"/>
      <c r="FB12" s="1997"/>
      <c r="FC12" s="1997"/>
      <c r="FD12" s="1997"/>
      <c r="FE12" s="1997"/>
      <c r="FF12" s="1997"/>
      <c r="FG12" s="1997"/>
      <c r="FH12" s="1997"/>
      <c r="FI12" s="1997"/>
      <c r="FJ12" s="1997"/>
      <c r="FK12" s="1997"/>
      <c r="FL12" s="1997"/>
      <c r="FM12" s="1997"/>
      <c r="FN12" s="1997"/>
      <c r="FO12" s="1997"/>
      <c r="FP12" s="1997"/>
      <c r="FQ12" s="1997"/>
      <c r="FR12" s="1997"/>
      <c r="FS12" s="1997"/>
      <c r="FT12" s="1997"/>
      <c r="FU12" s="1997"/>
      <c r="FV12" s="1997"/>
      <c r="FW12" s="1997"/>
      <c r="FX12" s="1997"/>
      <c r="FY12" s="1997"/>
      <c r="FZ12" s="1997"/>
      <c r="GA12" s="1997"/>
      <c r="GB12" s="1997"/>
      <c r="GC12" s="1997"/>
      <c r="GD12" s="1997"/>
      <c r="GE12" s="1997"/>
      <c r="GF12" s="1997"/>
      <c r="GG12" s="1997"/>
      <c r="GH12" s="1997"/>
      <c r="GI12" s="1997"/>
      <c r="GJ12" s="1997"/>
      <c r="GK12" s="1997"/>
      <c r="GL12" s="1997"/>
      <c r="GM12" s="1997"/>
      <c r="GN12" s="1997"/>
      <c r="GO12" s="1997"/>
      <c r="GP12" s="1997"/>
      <c r="GQ12" s="1997"/>
      <c r="GR12" s="1997"/>
      <c r="GS12" s="1997"/>
      <c r="GT12" s="1997"/>
      <c r="GU12" s="1997"/>
      <c r="GV12" s="1997"/>
      <c r="GW12" s="1997"/>
      <c r="GX12" s="1997"/>
      <c r="GY12" s="1997"/>
      <c r="GZ12" s="1997"/>
      <c r="HA12" s="1997"/>
      <c r="HB12" s="1997"/>
      <c r="HC12" s="1997"/>
      <c r="HD12" s="1997"/>
      <c r="HE12" s="1997"/>
      <c r="HF12" s="1997"/>
      <c r="HG12" s="1997"/>
      <c r="HH12" s="1997"/>
      <c r="HI12" s="1997"/>
      <c r="HJ12" s="1997"/>
      <c r="HK12" s="1997"/>
      <c r="HL12" s="1997"/>
      <c r="HM12" s="1997"/>
      <c r="HN12" s="1997"/>
      <c r="HO12" s="1997"/>
      <c r="HP12" s="1997"/>
      <c r="HQ12" s="1997"/>
      <c r="HR12" s="1997"/>
      <c r="HS12" s="1997"/>
      <c r="HT12" s="1997"/>
      <c r="HU12" s="1997"/>
      <c r="HV12" s="1997"/>
      <c r="HW12" s="1997"/>
      <c r="HX12" s="1997"/>
      <c r="HY12" s="1997"/>
      <c r="HZ12" s="1997"/>
      <c r="IA12" s="1997"/>
      <c r="IB12" s="1997"/>
      <c r="IC12" s="1997"/>
      <c r="ID12" s="1997"/>
      <c r="IE12" s="1997"/>
      <c r="IF12" s="1997"/>
      <c r="IG12" s="1997"/>
      <c r="IH12" s="1997"/>
      <c r="II12" s="1997"/>
      <c r="IJ12" s="1997"/>
      <c r="IK12" s="1997"/>
      <c r="IL12" s="1997"/>
      <c r="IM12" s="1997"/>
      <c r="IN12" s="1997"/>
      <c r="IO12" s="1997"/>
      <c r="IP12" s="1997"/>
      <c r="IQ12" s="1997"/>
    </row>
    <row r="13" spans="1:251" ht="25.5" hidden="1">
      <c r="A13" s="1993"/>
      <c r="B13" s="1994" t="s">
        <v>523</v>
      </c>
      <c r="C13" s="1998"/>
      <c r="D13" s="2034"/>
      <c r="E13" s="1998"/>
      <c r="F13" s="1996"/>
      <c r="G13" s="1993">
        <v>12</v>
      </c>
      <c r="H13" s="1940">
        <f>D13*F13*G13</f>
        <v>0</v>
      </c>
      <c r="I13" s="1993"/>
      <c r="J13" s="1940">
        <f>I13*$Q$4</f>
        <v>0</v>
      </c>
      <c r="K13" s="1993"/>
      <c r="L13" s="1940">
        <f>K13*F13</f>
        <v>0</v>
      </c>
      <c r="M13" s="1940">
        <f>D13*G13*(J13+L13)</f>
        <v>0</v>
      </c>
      <c r="N13" s="1940">
        <f>H13+M13</f>
        <v>0</v>
      </c>
      <c r="O13" s="1993">
        <f t="shared" si="2"/>
        <v>0</v>
      </c>
      <c r="P13" s="1993">
        <f t="shared" si="3"/>
        <v>0</v>
      </c>
      <c r="Q13" s="1940">
        <f>N13+O13+P13</f>
        <v>0</v>
      </c>
      <c r="R13" s="1940">
        <f>Q13*10%</f>
        <v>0</v>
      </c>
      <c r="S13" s="1940">
        <f>(Q13-R13)*10%</f>
        <v>0</v>
      </c>
      <c r="T13" s="1940">
        <f>(Q13-R13)*6%</f>
        <v>0</v>
      </c>
      <c r="U13" s="1940">
        <f>(Q13-R13)*5%</f>
        <v>0</v>
      </c>
      <c r="V13" s="1997"/>
      <c r="W13" s="1997"/>
      <c r="X13" s="1997"/>
      <c r="Y13" s="1997"/>
      <c r="Z13" s="1997"/>
      <c r="AA13" s="1997"/>
      <c r="AB13" s="1997"/>
      <c r="AC13" s="1997"/>
      <c r="AD13" s="1997"/>
      <c r="AE13" s="1997"/>
      <c r="AF13" s="1997"/>
      <c r="AG13" s="1997"/>
      <c r="AH13" s="1997"/>
      <c r="AI13" s="1997"/>
      <c r="AJ13" s="1997"/>
      <c r="AK13" s="1997"/>
      <c r="AL13" s="1997"/>
      <c r="AM13" s="1997"/>
      <c r="AN13" s="1997"/>
      <c r="AO13" s="1997"/>
      <c r="AP13" s="1997"/>
      <c r="AQ13" s="1997"/>
      <c r="AR13" s="1997"/>
      <c r="AS13" s="1997"/>
      <c r="AT13" s="1997"/>
      <c r="AU13" s="1997"/>
      <c r="AV13" s="1997"/>
      <c r="AW13" s="1997"/>
      <c r="AX13" s="1997"/>
      <c r="AY13" s="1997"/>
      <c r="AZ13" s="1997"/>
      <c r="BA13" s="1997"/>
      <c r="BB13" s="1997"/>
      <c r="BC13" s="1997"/>
      <c r="BD13" s="1997"/>
      <c r="BE13" s="1997"/>
      <c r="BF13" s="1997"/>
      <c r="BG13" s="1997"/>
      <c r="BH13" s="1997"/>
      <c r="BI13" s="1997"/>
      <c r="BJ13" s="1997"/>
      <c r="BK13" s="1997"/>
      <c r="BL13" s="1997"/>
      <c r="BM13" s="1997"/>
      <c r="BN13" s="1997"/>
      <c r="BO13" s="1997"/>
      <c r="BP13" s="1997"/>
      <c r="BQ13" s="1997"/>
      <c r="BR13" s="1997"/>
      <c r="BS13" s="1997"/>
      <c r="BT13" s="1997"/>
      <c r="BU13" s="1997"/>
      <c r="BV13" s="1997"/>
      <c r="BW13" s="1997"/>
      <c r="BX13" s="1997"/>
      <c r="BY13" s="1997"/>
      <c r="BZ13" s="1997"/>
      <c r="CA13" s="1997"/>
      <c r="CB13" s="1997"/>
      <c r="CC13" s="1997"/>
      <c r="CD13" s="1997"/>
      <c r="CE13" s="1997"/>
      <c r="CF13" s="1997"/>
      <c r="CG13" s="1997"/>
      <c r="CH13" s="1997"/>
      <c r="CI13" s="1997"/>
      <c r="CJ13" s="1997"/>
      <c r="CK13" s="1997"/>
      <c r="CL13" s="1997"/>
      <c r="CM13" s="1997"/>
      <c r="CN13" s="1997"/>
      <c r="CO13" s="1997"/>
      <c r="CP13" s="1997"/>
      <c r="CQ13" s="1997"/>
      <c r="CR13" s="1997"/>
      <c r="CS13" s="1997"/>
      <c r="CT13" s="1997"/>
      <c r="CU13" s="1997"/>
      <c r="CV13" s="1997"/>
      <c r="CW13" s="1997"/>
      <c r="CX13" s="1997"/>
      <c r="CY13" s="1997"/>
      <c r="CZ13" s="1997"/>
      <c r="DA13" s="1997"/>
      <c r="DB13" s="1997"/>
      <c r="DC13" s="1997"/>
      <c r="DD13" s="1997"/>
      <c r="DE13" s="1997"/>
      <c r="DF13" s="1997"/>
      <c r="DG13" s="1997"/>
      <c r="DH13" s="1997"/>
      <c r="DI13" s="1997"/>
      <c r="DJ13" s="1997"/>
      <c r="DK13" s="1997"/>
      <c r="DL13" s="1997"/>
      <c r="DM13" s="1997"/>
      <c r="DN13" s="1997"/>
      <c r="DO13" s="1997"/>
      <c r="DP13" s="1997"/>
      <c r="DQ13" s="1997"/>
      <c r="DR13" s="1997"/>
      <c r="DS13" s="1997"/>
      <c r="DT13" s="1997"/>
      <c r="DU13" s="1997"/>
      <c r="DV13" s="1997"/>
      <c r="DW13" s="1997"/>
      <c r="DX13" s="1997"/>
      <c r="DY13" s="1997"/>
      <c r="DZ13" s="1997"/>
      <c r="EA13" s="1997"/>
      <c r="EB13" s="1997"/>
      <c r="EC13" s="1997"/>
      <c r="ED13" s="1997"/>
      <c r="EE13" s="1997"/>
      <c r="EF13" s="1997"/>
      <c r="EG13" s="1997"/>
      <c r="EH13" s="1997"/>
      <c r="EI13" s="1997"/>
      <c r="EJ13" s="1997"/>
      <c r="EK13" s="1997"/>
      <c r="EL13" s="1997"/>
      <c r="EM13" s="1997"/>
      <c r="EN13" s="1997"/>
      <c r="EO13" s="1997"/>
      <c r="EP13" s="1997"/>
      <c r="EQ13" s="1997"/>
      <c r="ER13" s="1997"/>
      <c r="ES13" s="1997"/>
      <c r="ET13" s="1997"/>
      <c r="EU13" s="1997"/>
      <c r="EV13" s="1997"/>
      <c r="EW13" s="1997"/>
      <c r="EX13" s="1997"/>
      <c r="EY13" s="1997"/>
      <c r="EZ13" s="1997"/>
      <c r="FA13" s="1997"/>
      <c r="FB13" s="1997"/>
      <c r="FC13" s="1997"/>
      <c r="FD13" s="1997"/>
      <c r="FE13" s="1997"/>
      <c r="FF13" s="1997"/>
      <c r="FG13" s="1997"/>
      <c r="FH13" s="1997"/>
      <c r="FI13" s="1997"/>
      <c r="FJ13" s="1997"/>
      <c r="FK13" s="1997"/>
      <c r="FL13" s="1997"/>
      <c r="FM13" s="1997"/>
      <c r="FN13" s="1997"/>
      <c r="FO13" s="1997"/>
      <c r="FP13" s="1997"/>
      <c r="FQ13" s="1997"/>
      <c r="FR13" s="1997"/>
      <c r="FS13" s="1997"/>
      <c r="FT13" s="1997"/>
      <c r="FU13" s="1997"/>
      <c r="FV13" s="1997"/>
      <c r="FW13" s="1997"/>
      <c r="FX13" s="1997"/>
      <c r="FY13" s="1997"/>
      <c r="FZ13" s="1997"/>
      <c r="GA13" s="1997"/>
      <c r="GB13" s="1997"/>
      <c r="GC13" s="1997"/>
      <c r="GD13" s="1997"/>
      <c r="GE13" s="1997"/>
      <c r="GF13" s="1997"/>
      <c r="GG13" s="1997"/>
      <c r="GH13" s="1997"/>
      <c r="GI13" s="1997"/>
      <c r="GJ13" s="1997"/>
      <c r="GK13" s="1997"/>
      <c r="GL13" s="1997"/>
      <c r="GM13" s="1997"/>
      <c r="GN13" s="1997"/>
      <c r="GO13" s="1997"/>
      <c r="GP13" s="1997"/>
      <c r="GQ13" s="1997"/>
      <c r="GR13" s="1997"/>
      <c r="GS13" s="1997"/>
      <c r="GT13" s="1997"/>
      <c r="GU13" s="1997"/>
      <c r="GV13" s="1997"/>
      <c r="GW13" s="1997"/>
      <c r="GX13" s="1997"/>
      <c r="GY13" s="1997"/>
      <c r="GZ13" s="1997"/>
      <c r="HA13" s="1997"/>
      <c r="HB13" s="1997"/>
      <c r="HC13" s="1997"/>
      <c r="HD13" s="1997"/>
      <c r="HE13" s="1997"/>
      <c r="HF13" s="1997"/>
      <c r="HG13" s="1997"/>
      <c r="HH13" s="1997"/>
      <c r="HI13" s="1997"/>
      <c r="HJ13" s="1997"/>
      <c r="HK13" s="1997"/>
      <c r="HL13" s="1997"/>
      <c r="HM13" s="1997"/>
      <c r="HN13" s="1997"/>
      <c r="HO13" s="1997"/>
      <c r="HP13" s="1997"/>
      <c r="HQ13" s="1997"/>
      <c r="HR13" s="1997"/>
      <c r="HS13" s="1997"/>
      <c r="HT13" s="1997"/>
      <c r="HU13" s="1997"/>
      <c r="HV13" s="1997"/>
      <c r="HW13" s="1997"/>
      <c r="HX13" s="1997"/>
      <c r="HY13" s="1997"/>
      <c r="HZ13" s="1997"/>
      <c r="IA13" s="1997"/>
      <c r="IB13" s="1997"/>
      <c r="IC13" s="1997"/>
      <c r="ID13" s="1997"/>
      <c r="IE13" s="1997"/>
      <c r="IF13" s="1997"/>
      <c r="IG13" s="1997"/>
      <c r="IH13" s="1997"/>
      <c r="II13" s="1997"/>
      <c r="IJ13" s="1997"/>
      <c r="IK13" s="1997"/>
      <c r="IL13" s="1997"/>
      <c r="IM13" s="1997"/>
      <c r="IN13" s="1997"/>
      <c r="IO13" s="1997"/>
      <c r="IP13" s="1997"/>
      <c r="IQ13" s="1997"/>
    </row>
    <row r="14" spans="1:251" hidden="1">
      <c r="A14" s="1993"/>
      <c r="B14" s="1994" t="s">
        <v>977</v>
      </c>
      <c r="C14" s="1998"/>
      <c r="D14" s="2034"/>
      <c r="E14" s="1998"/>
      <c r="F14" s="1996"/>
      <c r="G14" s="1993">
        <v>12</v>
      </c>
      <c r="H14" s="1940">
        <f>D14*F14*G14</f>
        <v>0</v>
      </c>
      <c r="I14" s="1993"/>
      <c r="J14" s="1940">
        <f>I14*$Q$4</f>
        <v>0</v>
      </c>
      <c r="K14" s="1993"/>
      <c r="L14" s="1940">
        <f>K14*F14</f>
        <v>0</v>
      </c>
      <c r="M14" s="1940">
        <f>D14*G14*(J14+L14)</f>
        <v>0</v>
      </c>
      <c r="N14" s="1940">
        <f>H14+M14</f>
        <v>0</v>
      </c>
      <c r="O14" s="1993">
        <f t="shared" si="2"/>
        <v>0</v>
      </c>
      <c r="P14" s="1993">
        <f t="shared" si="3"/>
        <v>0</v>
      </c>
      <c r="Q14" s="1940">
        <f>N14+O14+P14</f>
        <v>0</v>
      </c>
      <c r="R14" s="1940">
        <f>Q14*10%</f>
        <v>0</v>
      </c>
      <c r="S14" s="1940">
        <f>(Q14-R14)*10%</f>
        <v>0</v>
      </c>
      <c r="T14" s="1940">
        <f>(Q14-R14)*6%</f>
        <v>0</v>
      </c>
      <c r="U14" s="1940">
        <f>(Q14-R14)*5%</f>
        <v>0</v>
      </c>
      <c r="V14" s="1997"/>
      <c r="W14" s="1997"/>
      <c r="X14" s="1997"/>
      <c r="Y14" s="1997"/>
      <c r="Z14" s="1997"/>
      <c r="AA14" s="1997"/>
      <c r="AB14" s="1997"/>
      <c r="AC14" s="1997"/>
      <c r="AD14" s="1997"/>
      <c r="AE14" s="1997"/>
      <c r="AF14" s="1997"/>
      <c r="AG14" s="1997"/>
      <c r="AH14" s="1997"/>
      <c r="AI14" s="1997"/>
      <c r="AJ14" s="1997"/>
      <c r="AK14" s="1997"/>
      <c r="AL14" s="1997"/>
      <c r="AM14" s="1997"/>
      <c r="AN14" s="1997"/>
      <c r="AO14" s="1997"/>
      <c r="AP14" s="1997"/>
      <c r="AQ14" s="1997"/>
      <c r="AR14" s="1997"/>
      <c r="AS14" s="1997"/>
      <c r="AT14" s="1997"/>
      <c r="AU14" s="1997"/>
      <c r="AV14" s="1997"/>
      <c r="AW14" s="1997"/>
      <c r="AX14" s="1997"/>
      <c r="AY14" s="1997"/>
      <c r="AZ14" s="1997"/>
      <c r="BA14" s="1997"/>
      <c r="BB14" s="1997"/>
      <c r="BC14" s="1997"/>
      <c r="BD14" s="1997"/>
      <c r="BE14" s="1997"/>
      <c r="BF14" s="1997"/>
      <c r="BG14" s="1997"/>
      <c r="BH14" s="1997"/>
      <c r="BI14" s="1997"/>
      <c r="BJ14" s="1997"/>
      <c r="BK14" s="1997"/>
      <c r="BL14" s="1997"/>
      <c r="BM14" s="1997"/>
      <c r="BN14" s="1997"/>
      <c r="BO14" s="1997"/>
      <c r="BP14" s="1997"/>
      <c r="BQ14" s="1997"/>
      <c r="BR14" s="1997"/>
      <c r="BS14" s="1997"/>
      <c r="BT14" s="1997"/>
      <c r="BU14" s="1997"/>
      <c r="BV14" s="1997"/>
      <c r="BW14" s="1997"/>
      <c r="BX14" s="1997"/>
      <c r="BY14" s="1997"/>
      <c r="BZ14" s="1997"/>
      <c r="CA14" s="1997"/>
      <c r="CB14" s="1997"/>
      <c r="CC14" s="1997"/>
      <c r="CD14" s="1997"/>
      <c r="CE14" s="1997"/>
      <c r="CF14" s="1997"/>
      <c r="CG14" s="1997"/>
      <c r="CH14" s="1997"/>
      <c r="CI14" s="1997"/>
      <c r="CJ14" s="1997"/>
      <c r="CK14" s="1997"/>
      <c r="CL14" s="1997"/>
      <c r="CM14" s="1997"/>
      <c r="CN14" s="1997"/>
      <c r="CO14" s="1997"/>
      <c r="CP14" s="1997"/>
      <c r="CQ14" s="1997"/>
      <c r="CR14" s="1997"/>
      <c r="CS14" s="1997"/>
      <c r="CT14" s="1997"/>
      <c r="CU14" s="1997"/>
      <c r="CV14" s="1997"/>
      <c r="CW14" s="1997"/>
      <c r="CX14" s="1997"/>
      <c r="CY14" s="1997"/>
      <c r="CZ14" s="1997"/>
      <c r="DA14" s="1997"/>
      <c r="DB14" s="1997"/>
      <c r="DC14" s="1997"/>
      <c r="DD14" s="1997"/>
      <c r="DE14" s="1997"/>
      <c r="DF14" s="1997"/>
      <c r="DG14" s="1997"/>
      <c r="DH14" s="1997"/>
      <c r="DI14" s="1997"/>
      <c r="DJ14" s="1997"/>
      <c r="DK14" s="1997"/>
      <c r="DL14" s="1997"/>
      <c r="DM14" s="1997"/>
      <c r="DN14" s="1997"/>
      <c r="DO14" s="1997"/>
      <c r="DP14" s="1997"/>
      <c r="DQ14" s="1997"/>
      <c r="DR14" s="1997"/>
      <c r="DS14" s="1997"/>
      <c r="DT14" s="1997"/>
      <c r="DU14" s="1997"/>
      <c r="DV14" s="1997"/>
      <c r="DW14" s="1997"/>
      <c r="DX14" s="1997"/>
      <c r="DY14" s="1997"/>
      <c r="DZ14" s="1997"/>
      <c r="EA14" s="1997"/>
      <c r="EB14" s="1997"/>
      <c r="EC14" s="1997"/>
      <c r="ED14" s="1997"/>
      <c r="EE14" s="1997"/>
      <c r="EF14" s="1997"/>
      <c r="EG14" s="1997"/>
      <c r="EH14" s="1997"/>
      <c r="EI14" s="1997"/>
      <c r="EJ14" s="1997"/>
      <c r="EK14" s="1997"/>
      <c r="EL14" s="1997"/>
      <c r="EM14" s="1997"/>
      <c r="EN14" s="1997"/>
      <c r="EO14" s="1997"/>
      <c r="EP14" s="1997"/>
      <c r="EQ14" s="1997"/>
      <c r="ER14" s="1997"/>
      <c r="ES14" s="1997"/>
      <c r="ET14" s="1997"/>
      <c r="EU14" s="1997"/>
      <c r="EV14" s="1997"/>
      <c r="EW14" s="1997"/>
      <c r="EX14" s="1997"/>
      <c r="EY14" s="1997"/>
      <c r="EZ14" s="1997"/>
      <c r="FA14" s="1997"/>
      <c r="FB14" s="1997"/>
      <c r="FC14" s="1997"/>
      <c r="FD14" s="1997"/>
      <c r="FE14" s="1997"/>
      <c r="FF14" s="1997"/>
      <c r="FG14" s="1997"/>
      <c r="FH14" s="1997"/>
      <c r="FI14" s="1997"/>
      <c r="FJ14" s="1997"/>
      <c r="FK14" s="1997"/>
      <c r="FL14" s="1997"/>
      <c r="FM14" s="1997"/>
      <c r="FN14" s="1997"/>
      <c r="FO14" s="1997"/>
      <c r="FP14" s="1997"/>
      <c r="FQ14" s="1997"/>
      <c r="FR14" s="1997"/>
      <c r="FS14" s="1997"/>
      <c r="FT14" s="1997"/>
      <c r="FU14" s="1997"/>
      <c r="FV14" s="1997"/>
      <c r="FW14" s="1997"/>
      <c r="FX14" s="1997"/>
      <c r="FY14" s="1997"/>
      <c r="FZ14" s="1997"/>
      <c r="GA14" s="1997"/>
      <c r="GB14" s="1997"/>
      <c r="GC14" s="1997"/>
      <c r="GD14" s="1997"/>
      <c r="GE14" s="1997"/>
      <c r="GF14" s="1997"/>
      <c r="GG14" s="1997"/>
      <c r="GH14" s="1997"/>
      <c r="GI14" s="1997"/>
      <c r="GJ14" s="1997"/>
      <c r="GK14" s="1997"/>
      <c r="GL14" s="1997"/>
      <c r="GM14" s="1997"/>
      <c r="GN14" s="1997"/>
      <c r="GO14" s="1997"/>
      <c r="GP14" s="1997"/>
      <c r="GQ14" s="1997"/>
      <c r="GR14" s="1997"/>
      <c r="GS14" s="1997"/>
      <c r="GT14" s="1997"/>
      <c r="GU14" s="1997"/>
      <c r="GV14" s="1997"/>
      <c r="GW14" s="1997"/>
      <c r="GX14" s="1997"/>
      <c r="GY14" s="1997"/>
      <c r="GZ14" s="1997"/>
      <c r="HA14" s="1997"/>
      <c r="HB14" s="1997"/>
      <c r="HC14" s="1997"/>
      <c r="HD14" s="1997"/>
      <c r="HE14" s="1997"/>
      <c r="HF14" s="1997"/>
      <c r="HG14" s="1997"/>
      <c r="HH14" s="1997"/>
      <c r="HI14" s="1997"/>
      <c r="HJ14" s="1997"/>
      <c r="HK14" s="1997"/>
      <c r="HL14" s="1997"/>
      <c r="HM14" s="1997"/>
      <c r="HN14" s="1997"/>
      <c r="HO14" s="1997"/>
      <c r="HP14" s="1997"/>
      <c r="HQ14" s="1997"/>
      <c r="HR14" s="1997"/>
      <c r="HS14" s="1997"/>
      <c r="HT14" s="1997"/>
      <c r="HU14" s="1997"/>
      <c r="HV14" s="1997"/>
      <c r="HW14" s="1997"/>
      <c r="HX14" s="1997"/>
      <c r="HY14" s="1997"/>
      <c r="HZ14" s="1997"/>
      <c r="IA14" s="1997"/>
      <c r="IB14" s="1997"/>
      <c r="IC14" s="1997"/>
      <c r="ID14" s="1997"/>
      <c r="IE14" s="1997"/>
      <c r="IF14" s="1997"/>
      <c r="IG14" s="1997"/>
      <c r="IH14" s="1997"/>
      <c r="II14" s="1997"/>
      <c r="IJ14" s="1997"/>
      <c r="IK14" s="1997"/>
      <c r="IL14" s="1997"/>
      <c r="IM14" s="1997"/>
      <c r="IN14" s="1997"/>
      <c r="IO14" s="1997"/>
      <c r="IP14" s="1997"/>
      <c r="IQ14" s="1997"/>
    </row>
    <row r="15" spans="1:251" hidden="1">
      <c r="A15" s="1993"/>
      <c r="B15" s="1994" t="s">
        <v>978</v>
      </c>
      <c r="C15" s="1998"/>
      <c r="D15" s="2034"/>
      <c r="E15" s="1998"/>
      <c r="F15" s="1996"/>
      <c r="G15" s="1993">
        <v>12</v>
      </c>
      <c r="H15" s="1940">
        <f t="shared" ref="H15:H32" si="4">D15*F15*G15</f>
        <v>0</v>
      </c>
      <c r="I15" s="1993"/>
      <c r="J15" s="1940">
        <f t="shared" ref="J15:J63" si="5">I15*$Q$4</f>
        <v>0</v>
      </c>
      <c r="K15" s="1993"/>
      <c r="L15" s="1940">
        <f t="shared" ref="L15:L32" si="6">K15*F15</f>
        <v>0</v>
      </c>
      <c r="M15" s="1940">
        <f>D15*G15*(J15+L15)</f>
        <v>0</v>
      </c>
      <c r="N15" s="1940">
        <f t="shared" ref="N15:N32" si="7">H15+M15</f>
        <v>0</v>
      </c>
      <c r="O15" s="1993">
        <f t="shared" si="2"/>
        <v>0</v>
      </c>
      <c r="P15" s="1993">
        <f t="shared" si="3"/>
        <v>0</v>
      </c>
      <c r="Q15" s="1940">
        <f t="shared" ref="Q15:Q32" si="8">N15+O15+P15</f>
        <v>0</v>
      </c>
      <c r="R15" s="1940">
        <f t="shared" ref="R15:R63" si="9">Q15*10%</f>
        <v>0</v>
      </c>
      <c r="S15" s="1940">
        <f t="shared" ref="S15:S32" si="10">(Q15-R15)*10%</f>
        <v>0</v>
      </c>
      <c r="T15" s="1940">
        <f t="shared" ref="T15:T32" si="11">(Q15-R15)*6%</f>
        <v>0</v>
      </c>
      <c r="U15" s="1940">
        <f t="shared" ref="U15:U32" si="12">(Q15-R15)*5%</f>
        <v>0</v>
      </c>
      <c r="V15" s="1997"/>
      <c r="W15" s="1997"/>
      <c r="X15" s="1997"/>
      <c r="Y15" s="1997"/>
      <c r="Z15" s="1997"/>
      <c r="AA15" s="1997"/>
      <c r="AB15" s="1997"/>
      <c r="AC15" s="1997"/>
      <c r="AD15" s="1997"/>
      <c r="AE15" s="1997"/>
      <c r="AF15" s="1997"/>
      <c r="AG15" s="1997"/>
      <c r="AH15" s="1997"/>
      <c r="AI15" s="1997"/>
      <c r="AJ15" s="1997"/>
      <c r="AK15" s="1997"/>
      <c r="AL15" s="1997"/>
      <c r="AM15" s="1997"/>
      <c r="AN15" s="1997"/>
      <c r="AO15" s="1997"/>
      <c r="AP15" s="1997"/>
      <c r="AQ15" s="1997"/>
      <c r="AR15" s="1997"/>
      <c r="AS15" s="1997"/>
      <c r="AT15" s="1997"/>
      <c r="AU15" s="1997"/>
      <c r="AV15" s="1997"/>
      <c r="AW15" s="1997"/>
      <c r="AX15" s="1997"/>
      <c r="AY15" s="1997"/>
      <c r="AZ15" s="1997"/>
      <c r="BA15" s="1997"/>
      <c r="BB15" s="1997"/>
      <c r="BC15" s="1997"/>
      <c r="BD15" s="1997"/>
      <c r="BE15" s="1997"/>
      <c r="BF15" s="1997"/>
      <c r="BG15" s="1997"/>
      <c r="BH15" s="1997"/>
      <c r="BI15" s="1997"/>
      <c r="BJ15" s="1997"/>
      <c r="BK15" s="1997"/>
      <c r="BL15" s="1997"/>
      <c r="BM15" s="1997"/>
      <c r="BN15" s="1997"/>
      <c r="BO15" s="1997"/>
      <c r="BP15" s="1997"/>
      <c r="BQ15" s="1997"/>
      <c r="BR15" s="1997"/>
      <c r="BS15" s="1997"/>
      <c r="BT15" s="1997"/>
      <c r="BU15" s="1997"/>
      <c r="BV15" s="1997"/>
      <c r="BW15" s="1997"/>
      <c r="BX15" s="1997"/>
      <c r="BY15" s="1997"/>
      <c r="BZ15" s="1997"/>
      <c r="CA15" s="1997"/>
      <c r="CB15" s="1997"/>
      <c r="CC15" s="1997"/>
      <c r="CD15" s="1997"/>
      <c r="CE15" s="1997"/>
      <c r="CF15" s="1997"/>
      <c r="CG15" s="1997"/>
      <c r="CH15" s="1997"/>
      <c r="CI15" s="1997"/>
      <c r="CJ15" s="1997"/>
      <c r="CK15" s="1997"/>
      <c r="CL15" s="1997"/>
      <c r="CM15" s="1997"/>
      <c r="CN15" s="1997"/>
      <c r="CO15" s="1997"/>
      <c r="CP15" s="1997"/>
      <c r="CQ15" s="1997"/>
      <c r="CR15" s="1997"/>
      <c r="CS15" s="1997"/>
      <c r="CT15" s="1997"/>
      <c r="CU15" s="1997"/>
      <c r="CV15" s="1997"/>
      <c r="CW15" s="1997"/>
      <c r="CX15" s="1997"/>
      <c r="CY15" s="1997"/>
      <c r="CZ15" s="1997"/>
      <c r="DA15" s="1997"/>
      <c r="DB15" s="1997"/>
      <c r="DC15" s="1997"/>
      <c r="DD15" s="1997"/>
      <c r="DE15" s="1997"/>
      <c r="DF15" s="1997"/>
      <c r="DG15" s="1997"/>
      <c r="DH15" s="1997"/>
      <c r="DI15" s="1997"/>
      <c r="DJ15" s="1997"/>
      <c r="DK15" s="1997"/>
      <c r="DL15" s="1997"/>
      <c r="DM15" s="1997"/>
      <c r="DN15" s="1997"/>
      <c r="DO15" s="1997"/>
      <c r="DP15" s="1997"/>
      <c r="DQ15" s="1997"/>
      <c r="DR15" s="1997"/>
      <c r="DS15" s="1997"/>
      <c r="DT15" s="1997"/>
      <c r="DU15" s="1997"/>
      <c r="DV15" s="1997"/>
      <c r="DW15" s="1997"/>
      <c r="DX15" s="1997"/>
      <c r="DY15" s="1997"/>
      <c r="DZ15" s="1997"/>
      <c r="EA15" s="1997"/>
      <c r="EB15" s="1997"/>
      <c r="EC15" s="1997"/>
      <c r="ED15" s="1997"/>
      <c r="EE15" s="1997"/>
      <c r="EF15" s="1997"/>
      <c r="EG15" s="1997"/>
      <c r="EH15" s="1997"/>
      <c r="EI15" s="1997"/>
      <c r="EJ15" s="1997"/>
      <c r="EK15" s="1997"/>
      <c r="EL15" s="1997"/>
      <c r="EM15" s="1997"/>
      <c r="EN15" s="1997"/>
      <c r="EO15" s="1997"/>
      <c r="EP15" s="1997"/>
      <c r="EQ15" s="1997"/>
      <c r="ER15" s="1997"/>
      <c r="ES15" s="1997"/>
      <c r="ET15" s="1997"/>
      <c r="EU15" s="1997"/>
      <c r="EV15" s="1997"/>
      <c r="EW15" s="1997"/>
      <c r="EX15" s="1997"/>
      <c r="EY15" s="1997"/>
      <c r="EZ15" s="1997"/>
      <c r="FA15" s="1997"/>
      <c r="FB15" s="1997"/>
      <c r="FC15" s="1997"/>
      <c r="FD15" s="1997"/>
      <c r="FE15" s="1997"/>
      <c r="FF15" s="1997"/>
      <c r="FG15" s="1997"/>
      <c r="FH15" s="1997"/>
      <c r="FI15" s="1997"/>
      <c r="FJ15" s="1997"/>
      <c r="FK15" s="1997"/>
      <c r="FL15" s="1997"/>
      <c r="FM15" s="1997"/>
      <c r="FN15" s="1997"/>
      <c r="FO15" s="1997"/>
      <c r="FP15" s="1997"/>
      <c r="FQ15" s="1997"/>
      <c r="FR15" s="1997"/>
      <c r="FS15" s="1997"/>
      <c r="FT15" s="1997"/>
      <c r="FU15" s="1997"/>
      <c r="FV15" s="1997"/>
      <c r="FW15" s="1997"/>
      <c r="FX15" s="1997"/>
      <c r="FY15" s="1997"/>
      <c r="FZ15" s="1997"/>
      <c r="GA15" s="1997"/>
      <c r="GB15" s="1997"/>
      <c r="GC15" s="1997"/>
      <c r="GD15" s="1997"/>
      <c r="GE15" s="1997"/>
      <c r="GF15" s="1997"/>
      <c r="GG15" s="1997"/>
      <c r="GH15" s="1997"/>
      <c r="GI15" s="1997"/>
      <c r="GJ15" s="1997"/>
      <c r="GK15" s="1997"/>
      <c r="GL15" s="1997"/>
      <c r="GM15" s="1997"/>
      <c r="GN15" s="1997"/>
      <c r="GO15" s="1997"/>
      <c r="GP15" s="1997"/>
      <c r="GQ15" s="1997"/>
      <c r="GR15" s="1997"/>
      <c r="GS15" s="1997"/>
      <c r="GT15" s="1997"/>
      <c r="GU15" s="1997"/>
      <c r="GV15" s="1997"/>
      <c r="GW15" s="1997"/>
      <c r="GX15" s="1997"/>
      <c r="GY15" s="1997"/>
      <c r="GZ15" s="1997"/>
      <c r="HA15" s="1997"/>
      <c r="HB15" s="1997"/>
      <c r="HC15" s="1997"/>
      <c r="HD15" s="1997"/>
      <c r="HE15" s="1997"/>
      <c r="HF15" s="1997"/>
      <c r="HG15" s="1997"/>
      <c r="HH15" s="1997"/>
      <c r="HI15" s="1997"/>
      <c r="HJ15" s="1997"/>
      <c r="HK15" s="1997"/>
      <c r="HL15" s="1997"/>
      <c r="HM15" s="1997"/>
      <c r="HN15" s="1997"/>
      <c r="HO15" s="1997"/>
      <c r="HP15" s="1997"/>
      <c r="HQ15" s="1997"/>
      <c r="HR15" s="1997"/>
      <c r="HS15" s="1997"/>
      <c r="HT15" s="1997"/>
      <c r="HU15" s="1997"/>
      <c r="HV15" s="1997"/>
      <c r="HW15" s="1997"/>
      <c r="HX15" s="1997"/>
      <c r="HY15" s="1997"/>
      <c r="HZ15" s="1997"/>
      <c r="IA15" s="1997"/>
      <c r="IB15" s="1997"/>
      <c r="IC15" s="1997"/>
      <c r="ID15" s="1997"/>
      <c r="IE15" s="1997"/>
      <c r="IF15" s="1997"/>
      <c r="IG15" s="1997"/>
      <c r="IH15" s="1997"/>
      <c r="II15" s="1997"/>
      <c r="IJ15" s="1997"/>
      <c r="IK15" s="1997"/>
      <c r="IL15" s="1997"/>
      <c r="IM15" s="1997"/>
      <c r="IN15" s="1997"/>
      <c r="IO15" s="1997"/>
      <c r="IP15" s="1997"/>
      <c r="IQ15" s="1997"/>
    </row>
    <row r="16" spans="1:251" hidden="1">
      <c r="A16" s="1993"/>
      <c r="B16" s="1994" t="s">
        <v>524</v>
      </c>
      <c r="C16" s="1998"/>
      <c r="D16" s="2034"/>
      <c r="E16" s="1998"/>
      <c r="F16" s="1996"/>
      <c r="G16" s="1993">
        <v>12</v>
      </c>
      <c r="H16" s="1940">
        <f>D16*F16*G16</f>
        <v>0</v>
      </c>
      <c r="I16" s="1993"/>
      <c r="J16" s="1940">
        <f t="shared" si="5"/>
        <v>0</v>
      </c>
      <c r="K16" s="1993"/>
      <c r="L16" s="1940">
        <f t="shared" si="6"/>
        <v>0</v>
      </c>
      <c r="M16" s="1940">
        <f t="shared" ref="M16:M32" si="13">D16*G16*(J16+L16)</f>
        <v>0</v>
      </c>
      <c r="N16" s="1940">
        <f>H16+M16</f>
        <v>0</v>
      </c>
      <c r="O16" s="1993">
        <f t="shared" si="2"/>
        <v>0</v>
      </c>
      <c r="P16" s="1993">
        <f t="shared" si="3"/>
        <v>0</v>
      </c>
      <c r="Q16" s="1940">
        <f t="shared" si="8"/>
        <v>0</v>
      </c>
      <c r="R16" s="1940">
        <f t="shared" si="9"/>
        <v>0</v>
      </c>
      <c r="S16" s="1940">
        <f t="shared" si="10"/>
        <v>0</v>
      </c>
      <c r="T16" s="1940">
        <f t="shared" si="11"/>
        <v>0</v>
      </c>
      <c r="U16" s="1940">
        <f t="shared" si="12"/>
        <v>0</v>
      </c>
      <c r="V16" s="1997"/>
      <c r="W16" s="1997"/>
      <c r="X16" s="1997"/>
      <c r="Y16" s="1997"/>
      <c r="Z16" s="1997"/>
      <c r="AA16" s="1997"/>
      <c r="AB16" s="1997"/>
      <c r="AC16" s="1997"/>
      <c r="AD16" s="1997"/>
      <c r="AE16" s="1997"/>
      <c r="AF16" s="1997"/>
      <c r="AG16" s="1997"/>
      <c r="AH16" s="1997"/>
      <c r="AI16" s="1997"/>
      <c r="AJ16" s="1997"/>
      <c r="AK16" s="1997"/>
      <c r="AL16" s="1997"/>
      <c r="AM16" s="1997"/>
      <c r="AN16" s="1997"/>
      <c r="AO16" s="1997"/>
      <c r="AP16" s="1997"/>
      <c r="AQ16" s="1997"/>
      <c r="AR16" s="1997"/>
      <c r="AS16" s="1997"/>
      <c r="AT16" s="1997"/>
      <c r="AU16" s="1997"/>
      <c r="AV16" s="1997"/>
      <c r="AW16" s="1997"/>
      <c r="AX16" s="1997"/>
      <c r="AY16" s="1997"/>
      <c r="AZ16" s="1997"/>
      <c r="BA16" s="1997"/>
      <c r="BB16" s="1997"/>
      <c r="BC16" s="1997"/>
      <c r="BD16" s="1997"/>
      <c r="BE16" s="1997"/>
      <c r="BF16" s="1997"/>
      <c r="BG16" s="1997"/>
      <c r="BH16" s="1997"/>
      <c r="BI16" s="1997"/>
      <c r="BJ16" s="1997"/>
      <c r="BK16" s="1997"/>
      <c r="BL16" s="1997"/>
      <c r="BM16" s="1997"/>
      <c r="BN16" s="1997"/>
      <c r="BO16" s="1997"/>
      <c r="BP16" s="1997"/>
      <c r="BQ16" s="1997"/>
      <c r="BR16" s="1997"/>
      <c r="BS16" s="1997"/>
      <c r="BT16" s="1997"/>
      <c r="BU16" s="1997"/>
      <c r="BV16" s="1997"/>
      <c r="BW16" s="1997"/>
      <c r="BX16" s="1997"/>
      <c r="BY16" s="1997"/>
      <c r="BZ16" s="1997"/>
      <c r="CA16" s="1997"/>
      <c r="CB16" s="1997"/>
      <c r="CC16" s="1997"/>
      <c r="CD16" s="1997"/>
      <c r="CE16" s="1997"/>
      <c r="CF16" s="1997"/>
      <c r="CG16" s="1997"/>
      <c r="CH16" s="1997"/>
      <c r="CI16" s="1997"/>
      <c r="CJ16" s="1997"/>
      <c r="CK16" s="1997"/>
      <c r="CL16" s="1997"/>
      <c r="CM16" s="1997"/>
      <c r="CN16" s="1997"/>
      <c r="CO16" s="1997"/>
      <c r="CP16" s="1997"/>
      <c r="CQ16" s="1997"/>
      <c r="CR16" s="1997"/>
      <c r="CS16" s="1997"/>
      <c r="CT16" s="1997"/>
      <c r="CU16" s="1997"/>
      <c r="CV16" s="1997"/>
      <c r="CW16" s="1997"/>
      <c r="CX16" s="1997"/>
      <c r="CY16" s="1997"/>
      <c r="CZ16" s="1997"/>
      <c r="DA16" s="1997"/>
      <c r="DB16" s="1997"/>
      <c r="DC16" s="1997"/>
      <c r="DD16" s="1997"/>
      <c r="DE16" s="1997"/>
      <c r="DF16" s="1997"/>
      <c r="DG16" s="1997"/>
      <c r="DH16" s="1997"/>
      <c r="DI16" s="1997"/>
      <c r="DJ16" s="1997"/>
      <c r="DK16" s="1997"/>
      <c r="DL16" s="1997"/>
      <c r="DM16" s="1997"/>
      <c r="DN16" s="1997"/>
      <c r="DO16" s="1997"/>
      <c r="DP16" s="1997"/>
      <c r="DQ16" s="1997"/>
      <c r="DR16" s="1997"/>
      <c r="DS16" s="1997"/>
      <c r="DT16" s="1997"/>
      <c r="DU16" s="1997"/>
      <c r="DV16" s="1997"/>
      <c r="DW16" s="1997"/>
      <c r="DX16" s="1997"/>
      <c r="DY16" s="1997"/>
      <c r="DZ16" s="1997"/>
      <c r="EA16" s="1997"/>
      <c r="EB16" s="1997"/>
      <c r="EC16" s="1997"/>
      <c r="ED16" s="1997"/>
      <c r="EE16" s="1997"/>
      <c r="EF16" s="1997"/>
      <c r="EG16" s="1997"/>
      <c r="EH16" s="1997"/>
      <c r="EI16" s="1997"/>
      <c r="EJ16" s="1997"/>
      <c r="EK16" s="1997"/>
      <c r="EL16" s="1997"/>
      <c r="EM16" s="1997"/>
      <c r="EN16" s="1997"/>
      <c r="EO16" s="1997"/>
      <c r="EP16" s="1997"/>
      <c r="EQ16" s="1997"/>
      <c r="ER16" s="1997"/>
      <c r="ES16" s="1997"/>
      <c r="ET16" s="1997"/>
      <c r="EU16" s="1997"/>
      <c r="EV16" s="1997"/>
      <c r="EW16" s="1997"/>
      <c r="EX16" s="1997"/>
      <c r="EY16" s="1997"/>
      <c r="EZ16" s="1997"/>
      <c r="FA16" s="1997"/>
      <c r="FB16" s="1997"/>
      <c r="FC16" s="1997"/>
      <c r="FD16" s="1997"/>
      <c r="FE16" s="1997"/>
      <c r="FF16" s="1997"/>
      <c r="FG16" s="1997"/>
      <c r="FH16" s="1997"/>
      <c r="FI16" s="1997"/>
      <c r="FJ16" s="1997"/>
      <c r="FK16" s="1997"/>
      <c r="FL16" s="1997"/>
      <c r="FM16" s="1997"/>
      <c r="FN16" s="1997"/>
      <c r="FO16" s="1997"/>
      <c r="FP16" s="1997"/>
      <c r="FQ16" s="1997"/>
      <c r="FR16" s="1997"/>
      <c r="FS16" s="1997"/>
      <c r="FT16" s="1997"/>
      <c r="FU16" s="1997"/>
      <c r="FV16" s="1997"/>
      <c r="FW16" s="1997"/>
      <c r="FX16" s="1997"/>
      <c r="FY16" s="1997"/>
      <c r="FZ16" s="1997"/>
      <c r="GA16" s="1997"/>
      <c r="GB16" s="1997"/>
      <c r="GC16" s="1997"/>
      <c r="GD16" s="1997"/>
      <c r="GE16" s="1997"/>
      <c r="GF16" s="1997"/>
      <c r="GG16" s="1997"/>
      <c r="GH16" s="1997"/>
      <c r="GI16" s="1997"/>
      <c r="GJ16" s="1997"/>
      <c r="GK16" s="1997"/>
      <c r="GL16" s="1997"/>
      <c r="GM16" s="1997"/>
      <c r="GN16" s="1997"/>
      <c r="GO16" s="1997"/>
      <c r="GP16" s="1997"/>
      <c r="GQ16" s="1997"/>
      <c r="GR16" s="1997"/>
      <c r="GS16" s="1997"/>
      <c r="GT16" s="1997"/>
      <c r="GU16" s="1997"/>
      <c r="GV16" s="1997"/>
      <c r="GW16" s="1997"/>
      <c r="GX16" s="1997"/>
      <c r="GY16" s="1997"/>
      <c r="GZ16" s="1997"/>
      <c r="HA16" s="1997"/>
      <c r="HB16" s="1997"/>
      <c r="HC16" s="1997"/>
      <c r="HD16" s="1997"/>
      <c r="HE16" s="1997"/>
      <c r="HF16" s="1997"/>
      <c r="HG16" s="1997"/>
      <c r="HH16" s="1997"/>
      <c r="HI16" s="1997"/>
      <c r="HJ16" s="1997"/>
      <c r="HK16" s="1997"/>
      <c r="HL16" s="1997"/>
      <c r="HM16" s="1997"/>
      <c r="HN16" s="1997"/>
      <c r="HO16" s="1997"/>
      <c r="HP16" s="1997"/>
      <c r="HQ16" s="1997"/>
      <c r="HR16" s="1997"/>
      <c r="HS16" s="1997"/>
      <c r="HT16" s="1997"/>
      <c r="HU16" s="1997"/>
      <c r="HV16" s="1997"/>
      <c r="HW16" s="1997"/>
      <c r="HX16" s="1997"/>
      <c r="HY16" s="1997"/>
      <c r="HZ16" s="1997"/>
      <c r="IA16" s="1997"/>
      <c r="IB16" s="1997"/>
      <c r="IC16" s="1997"/>
      <c r="ID16" s="1997"/>
      <c r="IE16" s="1997"/>
      <c r="IF16" s="1997"/>
      <c r="IG16" s="1997"/>
      <c r="IH16" s="1997"/>
      <c r="II16" s="1997"/>
      <c r="IJ16" s="1997"/>
      <c r="IK16" s="1997"/>
      <c r="IL16" s="1997"/>
      <c r="IM16" s="1997"/>
      <c r="IN16" s="1997"/>
      <c r="IO16" s="1997"/>
      <c r="IP16" s="1997"/>
      <c r="IQ16" s="1997"/>
    </row>
    <row r="17" spans="1:251" hidden="1">
      <c r="A17" s="1993"/>
      <c r="B17" s="1998"/>
      <c r="C17" s="1998"/>
      <c r="D17" s="2034"/>
      <c r="E17" s="1998"/>
      <c r="F17" s="1940">
        <f t="shared" ref="F17:F63" si="14">ROUNDUP((E17*$Q$5),-3)</f>
        <v>0</v>
      </c>
      <c r="G17" s="1993"/>
      <c r="H17" s="1940">
        <f t="shared" si="4"/>
        <v>0</v>
      </c>
      <c r="I17" s="1993"/>
      <c r="J17" s="1940">
        <f t="shared" si="5"/>
        <v>0</v>
      </c>
      <c r="K17" s="1993"/>
      <c r="L17" s="1940">
        <f t="shared" si="6"/>
        <v>0</v>
      </c>
      <c r="M17" s="1940">
        <f t="shared" si="13"/>
        <v>0</v>
      </c>
      <c r="N17" s="1940">
        <f t="shared" si="7"/>
        <v>0</v>
      </c>
      <c r="O17" s="1993"/>
      <c r="P17" s="1993"/>
      <c r="Q17" s="1940">
        <f t="shared" si="8"/>
        <v>0</v>
      </c>
      <c r="R17" s="1940">
        <f t="shared" si="9"/>
        <v>0</v>
      </c>
      <c r="S17" s="1940">
        <f t="shared" si="10"/>
        <v>0</v>
      </c>
      <c r="T17" s="1940">
        <f t="shared" si="11"/>
        <v>0</v>
      </c>
      <c r="U17" s="1940">
        <f t="shared" si="12"/>
        <v>0</v>
      </c>
      <c r="V17" s="1997"/>
      <c r="W17" s="1997"/>
      <c r="X17" s="1997"/>
      <c r="Y17" s="1997"/>
      <c r="Z17" s="1997"/>
      <c r="AA17" s="1997"/>
      <c r="AB17" s="1997"/>
      <c r="AC17" s="1997"/>
      <c r="AD17" s="1997"/>
      <c r="AE17" s="1997"/>
      <c r="AF17" s="1997"/>
      <c r="AG17" s="1997"/>
      <c r="AH17" s="1997"/>
      <c r="AI17" s="1997"/>
      <c r="AJ17" s="1997"/>
      <c r="AK17" s="1997"/>
      <c r="AL17" s="1997"/>
      <c r="AM17" s="1997"/>
      <c r="AN17" s="1997"/>
      <c r="AO17" s="1997"/>
      <c r="AP17" s="1997"/>
      <c r="AQ17" s="1997"/>
      <c r="AR17" s="1997"/>
      <c r="AS17" s="1997"/>
      <c r="AT17" s="1997"/>
      <c r="AU17" s="1997"/>
      <c r="AV17" s="1997"/>
      <c r="AW17" s="1997"/>
      <c r="AX17" s="1997"/>
      <c r="AY17" s="1997"/>
      <c r="AZ17" s="1997"/>
      <c r="BA17" s="1997"/>
      <c r="BB17" s="1997"/>
      <c r="BC17" s="1997"/>
      <c r="BD17" s="1997"/>
      <c r="BE17" s="1997"/>
      <c r="BF17" s="1997"/>
      <c r="BG17" s="1997"/>
      <c r="BH17" s="1997"/>
      <c r="BI17" s="1997"/>
      <c r="BJ17" s="1997"/>
      <c r="BK17" s="1997"/>
      <c r="BL17" s="1997"/>
      <c r="BM17" s="1997"/>
      <c r="BN17" s="1997"/>
      <c r="BO17" s="1997"/>
      <c r="BP17" s="1997"/>
      <c r="BQ17" s="1997"/>
      <c r="BR17" s="1997"/>
      <c r="BS17" s="1997"/>
      <c r="BT17" s="1997"/>
      <c r="BU17" s="1997"/>
      <c r="BV17" s="1997"/>
      <c r="BW17" s="1997"/>
      <c r="BX17" s="1997"/>
      <c r="BY17" s="1997"/>
      <c r="BZ17" s="1997"/>
      <c r="CA17" s="1997"/>
      <c r="CB17" s="1997"/>
      <c r="CC17" s="1997"/>
      <c r="CD17" s="1997"/>
      <c r="CE17" s="1997"/>
      <c r="CF17" s="1997"/>
      <c r="CG17" s="1997"/>
      <c r="CH17" s="1997"/>
      <c r="CI17" s="1997"/>
      <c r="CJ17" s="1997"/>
      <c r="CK17" s="1997"/>
      <c r="CL17" s="1997"/>
      <c r="CM17" s="1997"/>
      <c r="CN17" s="1997"/>
      <c r="CO17" s="1997"/>
      <c r="CP17" s="1997"/>
      <c r="CQ17" s="1997"/>
      <c r="CR17" s="1997"/>
      <c r="CS17" s="1997"/>
      <c r="CT17" s="1997"/>
      <c r="CU17" s="1997"/>
      <c r="CV17" s="1997"/>
      <c r="CW17" s="1997"/>
      <c r="CX17" s="1997"/>
      <c r="CY17" s="1997"/>
      <c r="CZ17" s="1997"/>
      <c r="DA17" s="1997"/>
      <c r="DB17" s="1997"/>
      <c r="DC17" s="1997"/>
      <c r="DD17" s="1997"/>
      <c r="DE17" s="1997"/>
      <c r="DF17" s="1997"/>
      <c r="DG17" s="1997"/>
      <c r="DH17" s="1997"/>
      <c r="DI17" s="1997"/>
      <c r="DJ17" s="1997"/>
      <c r="DK17" s="1997"/>
      <c r="DL17" s="1997"/>
      <c r="DM17" s="1997"/>
      <c r="DN17" s="1997"/>
      <c r="DO17" s="1997"/>
      <c r="DP17" s="1997"/>
      <c r="DQ17" s="1997"/>
      <c r="DR17" s="1997"/>
      <c r="DS17" s="1997"/>
      <c r="DT17" s="1997"/>
      <c r="DU17" s="1997"/>
      <c r="DV17" s="1997"/>
      <c r="DW17" s="1997"/>
      <c r="DX17" s="1997"/>
      <c r="DY17" s="1997"/>
      <c r="DZ17" s="1997"/>
      <c r="EA17" s="1997"/>
      <c r="EB17" s="1997"/>
      <c r="EC17" s="1997"/>
      <c r="ED17" s="1997"/>
      <c r="EE17" s="1997"/>
      <c r="EF17" s="1997"/>
      <c r="EG17" s="1997"/>
      <c r="EH17" s="1997"/>
      <c r="EI17" s="1997"/>
      <c r="EJ17" s="1997"/>
      <c r="EK17" s="1997"/>
      <c r="EL17" s="1997"/>
      <c r="EM17" s="1997"/>
      <c r="EN17" s="1997"/>
      <c r="EO17" s="1997"/>
      <c r="EP17" s="1997"/>
      <c r="EQ17" s="1997"/>
      <c r="ER17" s="1997"/>
      <c r="ES17" s="1997"/>
      <c r="ET17" s="1997"/>
      <c r="EU17" s="1997"/>
      <c r="EV17" s="1997"/>
      <c r="EW17" s="1997"/>
      <c r="EX17" s="1997"/>
      <c r="EY17" s="1997"/>
      <c r="EZ17" s="1997"/>
      <c r="FA17" s="1997"/>
      <c r="FB17" s="1997"/>
      <c r="FC17" s="1997"/>
      <c r="FD17" s="1997"/>
      <c r="FE17" s="1997"/>
      <c r="FF17" s="1997"/>
      <c r="FG17" s="1997"/>
      <c r="FH17" s="1997"/>
      <c r="FI17" s="1997"/>
      <c r="FJ17" s="1997"/>
      <c r="FK17" s="1997"/>
      <c r="FL17" s="1997"/>
      <c r="FM17" s="1997"/>
      <c r="FN17" s="1997"/>
      <c r="FO17" s="1997"/>
      <c r="FP17" s="1997"/>
      <c r="FQ17" s="1997"/>
      <c r="FR17" s="1997"/>
      <c r="FS17" s="1997"/>
      <c r="FT17" s="1997"/>
      <c r="FU17" s="1997"/>
      <c r="FV17" s="1997"/>
      <c r="FW17" s="1997"/>
      <c r="FX17" s="1997"/>
      <c r="FY17" s="1997"/>
      <c r="FZ17" s="1997"/>
      <c r="GA17" s="1997"/>
      <c r="GB17" s="1997"/>
      <c r="GC17" s="1997"/>
      <c r="GD17" s="1997"/>
      <c r="GE17" s="1997"/>
      <c r="GF17" s="1997"/>
      <c r="GG17" s="1997"/>
      <c r="GH17" s="1997"/>
      <c r="GI17" s="1997"/>
      <c r="GJ17" s="1997"/>
      <c r="GK17" s="1997"/>
      <c r="GL17" s="1997"/>
      <c r="GM17" s="1997"/>
      <c r="GN17" s="1997"/>
      <c r="GO17" s="1997"/>
      <c r="GP17" s="1997"/>
      <c r="GQ17" s="1997"/>
      <c r="GR17" s="1997"/>
      <c r="GS17" s="1997"/>
      <c r="GT17" s="1997"/>
      <c r="GU17" s="1997"/>
      <c r="GV17" s="1997"/>
      <c r="GW17" s="1997"/>
      <c r="GX17" s="1997"/>
      <c r="GY17" s="1997"/>
      <c r="GZ17" s="1997"/>
      <c r="HA17" s="1997"/>
      <c r="HB17" s="1997"/>
      <c r="HC17" s="1997"/>
      <c r="HD17" s="1997"/>
      <c r="HE17" s="1997"/>
      <c r="HF17" s="1997"/>
      <c r="HG17" s="1997"/>
      <c r="HH17" s="1997"/>
      <c r="HI17" s="1997"/>
      <c r="HJ17" s="1997"/>
      <c r="HK17" s="1997"/>
      <c r="HL17" s="1997"/>
      <c r="HM17" s="1997"/>
      <c r="HN17" s="1997"/>
      <c r="HO17" s="1997"/>
      <c r="HP17" s="1997"/>
      <c r="HQ17" s="1997"/>
      <c r="HR17" s="1997"/>
      <c r="HS17" s="1997"/>
      <c r="HT17" s="1997"/>
      <c r="HU17" s="1997"/>
      <c r="HV17" s="1997"/>
      <c r="HW17" s="1997"/>
      <c r="HX17" s="1997"/>
      <c r="HY17" s="1997"/>
      <c r="HZ17" s="1997"/>
      <c r="IA17" s="1997"/>
      <c r="IB17" s="1997"/>
      <c r="IC17" s="1997"/>
      <c r="ID17" s="1997"/>
      <c r="IE17" s="1997"/>
      <c r="IF17" s="1997"/>
      <c r="IG17" s="1997"/>
      <c r="IH17" s="1997"/>
      <c r="II17" s="1997"/>
      <c r="IJ17" s="1997"/>
      <c r="IK17" s="1997"/>
      <c r="IL17" s="1997"/>
      <c r="IM17" s="1997"/>
      <c r="IN17" s="1997"/>
      <c r="IO17" s="1997"/>
      <c r="IP17" s="1997"/>
      <c r="IQ17" s="1997"/>
    </row>
    <row r="18" spans="1:251" hidden="1">
      <c r="A18" s="1993"/>
      <c r="B18" s="1998"/>
      <c r="C18" s="1998"/>
      <c r="D18" s="2034"/>
      <c r="E18" s="1998"/>
      <c r="F18" s="1940">
        <f t="shared" si="14"/>
        <v>0</v>
      </c>
      <c r="G18" s="1993"/>
      <c r="H18" s="1940">
        <f t="shared" si="4"/>
        <v>0</v>
      </c>
      <c r="I18" s="1993"/>
      <c r="J18" s="1940">
        <f t="shared" si="5"/>
        <v>0</v>
      </c>
      <c r="K18" s="1993"/>
      <c r="L18" s="1940">
        <f t="shared" si="6"/>
        <v>0</v>
      </c>
      <c r="M18" s="1940">
        <f t="shared" si="13"/>
        <v>0</v>
      </c>
      <c r="N18" s="1940">
        <f t="shared" si="7"/>
        <v>0</v>
      </c>
      <c r="O18" s="1993"/>
      <c r="P18" s="1993"/>
      <c r="Q18" s="1940">
        <f t="shared" si="8"/>
        <v>0</v>
      </c>
      <c r="R18" s="1940">
        <f t="shared" si="9"/>
        <v>0</v>
      </c>
      <c r="S18" s="1940">
        <f t="shared" si="10"/>
        <v>0</v>
      </c>
      <c r="T18" s="1940">
        <f t="shared" si="11"/>
        <v>0</v>
      </c>
      <c r="U18" s="1940">
        <f t="shared" si="12"/>
        <v>0</v>
      </c>
      <c r="V18" s="1997"/>
      <c r="W18" s="1997"/>
      <c r="X18" s="1997"/>
      <c r="Y18" s="1997"/>
      <c r="Z18" s="1997"/>
      <c r="AA18" s="1997"/>
      <c r="AB18" s="1997"/>
      <c r="AC18" s="1997"/>
      <c r="AD18" s="1997"/>
      <c r="AE18" s="1997"/>
      <c r="AF18" s="1997"/>
      <c r="AG18" s="1997"/>
      <c r="AH18" s="1997"/>
      <c r="AI18" s="1997"/>
      <c r="AJ18" s="1997"/>
      <c r="AK18" s="1997"/>
      <c r="AL18" s="1997"/>
      <c r="AM18" s="1997"/>
      <c r="AN18" s="1997"/>
      <c r="AO18" s="1997"/>
      <c r="AP18" s="1997"/>
      <c r="AQ18" s="1997"/>
      <c r="AR18" s="1997"/>
      <c r="AS18" s="1997"/>
      <c r="AT18" s="1997"/>
      <c r="AU18" s="1997"/>
      <c r="AV18" s="1997"/>
      <c r="AW18" s="1997"/>
      <c r="AX18" s="1997"/>
      <c r="AY18" s="1997"/>
      <c r="AZ18" s="1997"/>
      <c r="BA18" s="1997"/>
      <c r="BB18" s="1997"/>
      <c r="BC18" s="1997"/>
      <c r="BD18" s="1997"/>
      <c r="BE18" s="1997"/>
      <c r="BF18" s="1997"/>
      <c r="BG18" s="1997"/>
      <c r="BH18" s="1997"/>
      <c r="BI18" s="1997"/>
      <c r="BJ18" s="1997"/>
      <c r="BK18" s="1997"/>
      <c r="BL18" s="1997"/>
      <c r="BM18" s="1997"/>
      <c r="BN18" s="1997"/>
      <c r="BO18" s="1997"/>
      <c r="BP18" s="1997"/>
      <c r="BQ18" s="1997"/>
      <c r="BR18" s="1997"/>
      <c r="BS18" s="1997"/>
      <c r="BT18" s="1997"/>
      <c r="BU18" s="1997"/>
      <c r="BV18" s="1997"/>
      <c r="BW18" s="1997"/>
      <c r="BX18" s="1997"/>
      <c r="BY18" s="1997"/>
      <c r="BZ18" s="1997"/>
      <c r="CA18" s="1997"/>
      <c r="CB18" s="1997"/>
      <c r="CC18" s="1997"/>
      <c r="CD18" s="1997"/>
      <c r="CE18" s="1997"/>
      <c r="CF18" s="1997"/>
      <c r="CG18" s="1997"/>
      <c r="CH18" s="1997"/>
      <c r="CI18" s="1997"/>
      <c r="CJ18" s="1997"/>
      <c r="CK18" s="1997"/>
      <c r="CL18" s="1997"/>
      <c r="CM18" s="1997"/>
      <c r="CN18" s="1997"/>
      <c r="CO18" s="1997"/>
      <c r="CP18" s="1997"/>
      <c r="CQ18" s="1997"/>
      <c r="CR18" s="1997"/>
      <c r="CS18" s="1997"/>
      <c r="CT18" s="1997"/>
      <c r="CU18" s="1997"/>
      <c r="CV18" s="1997"/>
      <c r="CW18" s="1997"/>
      <c r="CX18" s="1997"/>
      <c r="CY18" s="1997"/>
      <c r="CZ18" s="1997"/>
      <c r="DA18" s="1997"/>
      <c r="DB18" s="1997"/>
      <c r="DC18" s="1997"/>
      <c r="DD18" s="1997"/>
      <c r="DE18" s="1997"/>
      <c r="DF18" s="1997"/>
      <c r="DG18" s="1997"/>
      <c r="DH18" s="1997"/>
      <c r="DI18" s="1997"/>
      <c r="DJ18" s="1997"/>
      <c r="DK18" s="1997"/>
      <c r="DL18" s="1997"/>
      <c r="DM18" s="1997"/>
      <c r="DN18" s="1997"/>
      <c r="DO18" s="1997"/>
      <c r="DP18" s="1997"/>
      <c r="DQ18" s="1997"/>
      <c r="DR18" s="1997"/>
      <c r="DS18" s="1997"/>
      <c r="DT18" s="1997"/>
      <c r="DU18" s="1997"/>
      <c r="DV18" s="1997"/>
      <c r="DW18" s="1997"/>
      <c r="DX18" s="1997"/>
      <c r="DY18" s="1997"/>
      <c r="DZ18" s="1997"/>
      <c r="EA18" s="1997"/>
      <c r="EB18" s="1997"/>
      <c r="EC18" s="1997"/>
      <c r="ED18" s="1997"/>
      <c r="EE18" s="1997"/>
      <c r="EF18" s="1997"/>
      <c r="EG18" s="1997"/>
      <c r="EH18" s="1997"/>
      <c r="EI18" s="1997"/>
      <c r="EJ18" s="1997"/>
      <c r="EK18" s="1997"/>
      <c r="EL18" s="1997"/>
      <c r="EM18" s="1997"/>
      <c r="EN18" s="1997"/>
      <c r="EO18" s="1997"/>
      <c r="EP18" s="1997"/>
      <c r="EQ18" s="1997"/>
      <c r="ER18" s="1997"/>
      <c r="ES18" s="1997"/>
      <c r="ET18" s="1997"/>
      <c r="EU18" s="1997"/>
      <c r="EV18" s="1997"/>
      <c r="EW18" s="1997"/>
      <c r="EX18" s="1997"/>
      <c r="EY18" s="1997"/>
      <c r="EZ18" s="1997"/>
      <c r="FA18" s="1997"/>
      <c r="FB18" s="1997"/>
      <c r="FC18" s="1997"/>
      <c r="FD18" s="1997"/>
      <c r="FE18" s="1997"/>
      <c r="FF18" s="1997"/>
      <c r="FG18" s="1997"/>
      <c r="FH18" s="1997"/>
      <c r="FI18" s="1997"/>
      <c r="FJ18" s="1997"/>
      <c r="FK18" s="1997"/>
      <c r="FL18" s="1997"/>
      <c r="FM18" s="1997"/>
      <c r="FN18" s="1997"/>
      <c r="FO18" s="1997"/>
      <c r="FP18" s="1997"/>
      <c r="FQ18" s="1997"/>
      <c r="FR18" s="1997"/>
      <c r="FS18" s="1997"/>
      <c r="FT18" s="1997"/>
      <c r="FU18" s="1997"/>
      <c r="FV18" s="1997"/>
      <c r="FW18" s="1997"/>
      <c r="FX18" s="1997"/>
      <c r="FY18" s="1997"/>
      <c r="FZ18" s="1997"/>
      <c r="GA18" s="1997"/>
      <c r="GB18" s="1997"/>
      <c r="GC18" s="1997"/>
      <c r="GD18" s="1997"/>
      <c r="GE18" s="1997"/>
      <c r="GF18" s="1997"/>
      <c r="GG18" s="1997"/>
      <c r="GH18" s="1997"/>
      <c r="GI18" s="1997"/>
      <c r="GJ18" s="1997"/>
      <c r="GK18" s="1997"/>
      <c r="GL18" s="1997"/>
      <c r="GM18" s="1997"/>
      <c r="GN18" s="1997"/>
      <c r="GO18" s="1997"/>
      <c r="GP18" s="1997"/>
      <c r="GQ18" s="1997"/>
      <c r="GR18" s="1997"/>
      <c r="GS18" s="1997"/>
      <c r="GT18" s="1997"/>
      <c r="GU18" s="1997"/>
      <c r="GV18" s="1997"/>
      <c r="GW18" s="1997"/>
      <c r="GX18" s="1997"/>
      <c r="GY18" s="1997"/>
      <c r="GZ18" s="1997"/>
      <c r="HA18" s="1997"/>
      <c r="HB18" s="1997"/>
      <c r="HC18" s="1997"/>
      <c r="HD18" s="1997"/>
      <c r="HE18" s="1997"/>
      <c r="HF18" s="1997"/>
      <c r="HG18" s="1997"/>
      <c r="HH18" s="1997"/>
      <c r="HI18" s="1997"/>
      <c r="HJ18" s="1997"/>
      <c r="HK18" s="1997"/>
      <c r="HL18" s="1997"/>
      <c r="HM18" s="1997"/>
      <c r="HN18" s="1997"/>
      <c r="HO18" s="1997"/>
      <c r="HP18" s="1997"/>
      <c r="HQ18" s="1997"/>
      <c r="HR18" s="1997"/>
      <c r="HS18" s="1997"/>
      <c r="HT18" s="1997"/>
      <c r="HU18" s="1997"/>
      <c r="HV18" s="1997"/>
      <c r="HW18" s="1997"/>
      <c r="HX18" s="1997"/>
      <c r="HY18" s="1997"/>
      <c r="HZ18" s="1997"/>
      <c r="IA18" s="1997"/>
      <c r="IB18" s="1997"/>
      <c r="IC18" s="1997"/>
      <c r="ID18" s="1997"/>
      <c r="IE18" s="1997"/>
      <c r="IF18" s="1997"/>
      <c r="IG18" s="1997"/>
      <c r="IH18" s="1997"/>
      <c r="II18" s="1997"/>
      <c r="IJ18" s="1997"/>
      <c r="IK18" s="1997"/>
      <c r="IL18" s="1997"/>
      <c r="IM18" s="1997"/>
      <c r="IN18" s="1997"/>
      <c r="IO18" s="1997"/>
      <c r="IP18" s="1997"/>
      <c r="IQ18" s="1997"/>
    </row>
    <row r="19" spans="1:251" hidden="1">
      <c r="A19" s="1993"/>
      <c r="B19" s="1998"/>
      <c r="C19" s="1998"/>
      <c r="D19" s="2034"/>
      <c r="E19" s="1998"/>
      <c r="F19" s="1940">
        <f t="shared" si="14"/>
        <v>0</v>
      </c>
      <c r="G19" s="1993"/>
      <c r="H19" s="1940">
        <f t="shared" si="4"/>
        <v>0</v>
      </c>
      <c r="I19" s="1993"/>
      <c r="J19" s="1940">
        <f t="shared" si="5"/>
        <v>0</v>
      </c>
      <c r="K19" s="1993"/>
      <c r="L19" s="1940">
        <f t="shared" si="6"/>
        <v>0</v>
      </c>
      <c r="M19" s="1940">
        <f t="shared" si="13"/>
        <v>0</v>
      </c>
      <c r="N19" s="1940">
        <f t="shared" si="7"/>
        <v>0</v>
      </c>
      <c r="O19" s="1993"/>
      <c r="P19" s="1993"/>
      <c r="Q19" s="1940">
        <f t="shared" si="8"/>
        <v>0</v>
      </c>
      <c r="R19" s="1940">
        <f t="shared" si="9"/>
        <v>0</v>
      </c>
      <c r="S19" s="1940">
        <f t="shared" si="10"/>
        <v>0</v>
      </c>
      <c r="T19" s="1940">
        <f t="shared" si="11"/>
        <v>0</v>
      </c>
      <c r="U19" s="1940">
        <f t="shared" si="12"/>
        <v>0</v>
      </c>
      <c r="V19" s="1997"/>
      <c r="W19" s="1997"/>
      <c r="X19" s="1997"/>
      <c r="Y19" s="1997"/>
      <c r="Z19" s="1997"/>
      <c r="AA19" s="1997"/>
      <c r="AB19" s="1997"/>
      <c r="AC19" s="1997"/>
      <c r="AD19" s="1997"/>
      <c r="AE19" s="1997"/>
      <c r="AF19" s="1997"/>
      <c r="AG19" s="1997"/>
      <c r="AH19" s="1997"/>
      <c r="AI19" s="1997"/>
      <c r="AJ19" s="1997"/>
      <c r="AK19" s="1997"/>
      <c r="AL19" s="1997"/>
      <c r="AM19" s="1997"/>
      <c r="AN19" s="1997"/>
      <c r="AO19" s="1997"/>
      <c r="AP19" s="1997"/>
      <c r="AQ19" s="1997"/>
      <c r="AR19" s="1997"/>
      <c r="AS19" s="1997"/>
      <c r="AT19" s="1997"/>
      <c r="AU19" s="1997"/>
      <c r="AV19" s="1997"/>
      <c r="AW19" s="1997"/>
      <c r="AX19" s="1997"/>
      <c r="AY19" s="1997"/>
      <c r="AZ19" s="1997"/>
      <c r="BA19" s="1997"/>
      <c r="BB19" s="1997"/>
      <c r="BC19" s="1997"/>
      <c r="BD19" s="1997"/>
      <c r="BE19" s="1997"/>
      <c r="BF19" s="1997"/>
      <c r="BG19" s="1997"/>
      <c r="BH19" s="1997"/>
      <c r="BI19" s="1997"/>
      <c r="BJ19" s="1997"/>
      <c r="BK19" s="1997"/>
      <c r="BL19" s="1997"/>
      <c r="BM19" s="1997"/>
      <c r="BN19" s="1997"/>
      <c r="BO19" s="1997"/>
      <c r="BP19" s="1997"/>
      <c r="BQ19" s="1997"/>
      <c r="BR19" s="1997"/>
      <c r="BS19" s="1997"/>
      <c r="BT19" s="1997"/>
      <c r="BU19" s="1997"/>
      <c r="BV19" s="1997"/>
      <c r="BW19" s="1997"/>
      <c r="BX19" s="1997"/>
      <c r="BY19" s="1997"/>
      <c r="BZ19" s="1997"/>
      <c r="CA19" s="1997"/>
      <c r="CB19" s="1997"/>
      <c r="CC19" s="1997"/>
      <c r="CD19" s="1997"/>
      <c r="CE19" s="1997"/>
      <c r="CF19" s="1997"/>
      <c r="CG19" s="1997"/>
      <c r="CH19" s="1997"/>
      <c r="CI19" s="1997"/>
      <c r="CJ19" s="1997"/>
      <c r="CK19" s="1997"/>
      <c r="CL19" s="1997"/>
      <c r="CM19" s="1997"/>
      <c r="CN19" s="1997"/>
      <c r="CO19" s="1997"/>
      <c r="CP19" s="1997"/>
      <c r="CQ19" s="1997"/>
      <c r="CR19" s="1997"/>
      <c r="CS19" s="1997"/>
      <c r="CT19" s="1997"/>
      <c r="CU19" s="1997"/>
      <c r="CV19" s="1997"/>
      <c r="CW19" s="1997"/>
      <c r="CX19" s="1997"/>
      <c r="CY19" s="1997"/>
      <c r="CZ19" s="1997"/>
      <c r="DA19" s="1997"/>
      <c r="DB19" s="1997"/>
      <c r="DC19" s="1997"/>
      <c r="DD19" s="1997"/>
      <c r="DE19" s="1997"/>
      <c r="DF19" s="1997"/>
      <c r="DG19" s="1997"/>
      <c r="DH19" s="1997"/>
      <c r="DI19" s="1997"/>
      <c r="DJ19" s="1997"/>
      <c r="DK19" s="1997"/>
      <c r="DL19" s="1997"/>
      <c r="DM19" s="1997"/>
      <c r="DN19" s="1997"/>
      <c r="DO19" s="1997"/>
      <c r="DP19" s="1997"/>
      <c r="DQ19" s="1997"/>
      <c r="DR19" s="1997"/>
      <c r="DS19" s="1997"/>
      <c r="DT19" s="1997"/>
      <c r="DU19" s="1997"/>
      <c r="DV19" s="1997"/>
      <c r="DW19" s="1997"/>
      <c r="DX19" s="1997"/>
      <c r="DY19" s="1997"/>
      <c r="DZ19" s="1997"/>
      <c r="EA19" s="1997"/>
      <c r="EB19" s="1997"/>
      <c r="EC19" s="1997"/>
      <c r="ED19" s="1997"/>
      <c r="EE19" s="1997"/>
      <c r="EF19" s="1997"/>
      <c r="EG19" s="1997"/>
      <c r="EH19" s="1997"/>
      <c r="EI19" s="1997"/>
      <c r="EJ19" s="1997"/>
      <c r="EK19" s="1997"/>
      <c r="EL19" s="1997"/>
      <c r="EM19" s="1997"/>
      <c r="EN19" s="1997"/>
      <c r="EO19" s="1997"/>
      <c r="EP19" s="1997"/>
      <c r="EQ19" s="1997"/>
      <c r="ER19" s="1997"/>
      <c r="ES19" s="1997"/>
      <c r="ET19" s="1997"/>
      <c r="EU19" s="1997"/>
      <c r="EV19" s="1997"/>
      <c r="EW19" s="1997"/>
      <c r="EX19" s="1997"/>
      <c r="EY19" s="1997"/>
      <c r="EZ19" s="1997"/>
      <c r="FA19" s="1997"/>
      <c r="FB19" s="1997"/>
      <c r="FC19" s="1997"/>
      <c r="FD19" s="1997"/>
      <c r="FE19" s="1997"/>
      <c r="FF19" s="1997"/>
      <c r="FG19" s="1997"/>
      <c r="FH19" s="1997"/>
      <c r="FI19" s="1997"/>
      <c r="FJ19" s="1997"/>
      <c r="FK19" s="1997"/>
      <c r="FL19" s="1997"/>
      <c r="FM19" s="1997"/>
      <c r="FN19" s="1997"/>
      <c r="FO19" s="1997"/>
      <c r="FP19" s="1997"/>
      <c r="FQ19" s="1997"/>
      <c r="FR19" s="1997"/>
      <c r="FS19" s="1997"/>
      <c r="FT19" s="1997"/>
      <c r="FU19" s="1997"/>
      <c r="FV19" s="1997"/>
      <c r="FW19" s="1997"/>
      <c r="FX19" s="1997"/>
      <c r="FY19" s="1997"/>
      <c r="FZ19" s="1997"/>
      <c r="GA19" s="1997"/>
      <c r="GB19" s="1997"/>
      <c r="GC19" s="1997"/>
      <c r="GD19" s="1997"/>
      <c r="GE19" s="1997"/>
      <c r="GF19" s="1997"/>
      <c r="GG19" s="1997"/>
      <c r="GH19" s="1997"/>
      <c r="GI19" s="1997"/>
      <c r="GJ19" s="1997"/>
      <c r="GK19" s="1997"/>
      <c r="GL19" s="1997"/>
      <c r="GM19" s="1997"/>
      <c r="GN19" s="1997"/>
      <c r="GO19" s="1997"/>
      <c r="GP19" s="1997"/>
      <c r="GQ19" s="1997"/>
      <c r="GR19" s="1997"/>
      <c r="GS19" s="1997"/>
      <c r="GT19" s="1997"/>
      <c r="GU19" s="1997"/>
      <c r="GV19" s="1997"/>
      <c r="GW19" s="1997"/>
      <c r="GX19" s="1997"/>
      <c r="GY19" s="1997"/>
      <c r="GZ19" s="1997"/>
      <c r="HA19" s="1997"/>
      <c r="HB19" s="1997"/>
      <c r="HC19" s="1997"/>
      <c r="HD19" s="1997"/>
      <c r="HE19" s="1997"/>
      <c r="HF19" s="1997"/>
      <c r="HG19" s="1997"/>
      <c r="HH19" s="1997"/>
      <c r="HI19" s="1997"/>
      <c r="HJ19" s="1997"/>
      <c r="HK19" s="1997"/>
      <c r="HL19" s="1997"/>
      <c r="HM19" s="1997"/>
      <c r="HN19" s="1997"/>
      <c r="HO19" s="1997"/>
      <c r="HP19" s="1997"/>
      <c r="HQ19" s="1997"/>
      <c r="HR19" s="1997"/>
      <c r="HS19" s="1997"/>
      <c r="HT19" s="1997"/>
      <c r="HU19" s="1997"/>
      <c r="HV19" s="1997"/>
      <c r="HW19" s="1997"/>
      <c r="HX19" s="1997"/>
      <c r="HY19" s="1997"/>
      <c r="HZ19" s="1997"/>
      <c r="IA19" s="1997"/>
      <c r="IB19" s="1997"/>
      <c r="IC19" s="1997"/>
      <c r="ID19" s="1997"/>
      <c r="IE19" s="1997"/>
      <c r="IF19" s="1997"/>
      <c r="IG19" s="1997"/>
      <c r="IH19" s="1997"/>
      <c r="II19" s="1997"/>
      <c r="IJ19" s="1997"/>
      <c r="IK19" s="1997"/>
      <c r="IL19" s="1997"/>
      <c r="IM19" s="1997"/>
      <c r="IN19" s="1997"/>
      <c r="IO19" s="1997"/>
      <c r="IP19" s="1997"/>
      <c r="IQ19" s="1997"/>
    </row>
    <row r="20" spans="1:251" hidden="1">
      <c r="A20" s="1993"/>
      <c r="B20" s="1998"/>
      <c r="C20" s="1998"/>
      <c r="D20" s="2034"/>
      <c r="E20" s="1998"/>
      <c r="F20" s="1940">
        <f t="shared" si="14"/>
        <v>0</v>
      </c>
      <c r="G20" s="1993"/>
      <c r="H20" s="1940">
        <f t="shared" si="4"/>
        <v>0</v>
      </c>
      <c r="I20" s="1993"/>
      <c r="J20" s="1940">
        <f t="shared" si="5"/>
        <v>0</v>
      </c>
      <c r="K20" s="1993"/>
      <c r="L20" s="1940">
        <f t="shared" si="6"/>
        <v>0</v>
      </c>
      <c r="M20" s="1940">
        <f t="shared" si="13"/>
        <v>0</v>
      </c>
      <c r="N20" s="1940">
        <f t="shared" si="7"/>
        <v>0</v>
      </c>
      <c r="O20" s="1993"/>
      <c r="P20" s="1993"/>
      <c r="Q20" s="1940">
        <f t="shared" si="8"/>
        <v>0</v>
      </c>
      <c r="R20" s="1940">
        <f t="shared" si="9"/>
        <v>0</v>
      </c>
      <c r="S20" s="1940">
        <f t="shared" si="10"/>
        <v>0</v>
      </c>
      <c r="T20" s="1940">
        <f t="shared" si="11"/>
        <v>0</v>
      </c>
      <c r="U20" s="1940">
        <f t="shared" si="12"/>
        <v>0</v>
      </c>
      <c r="V20" s="1997"/>
      <c r="W20" s="1997"/>
      <c r="X20" s="1997"/>
      <c r="Y20" s="1997"/>
      <c r="Z20" s="1997"/>
      <c r="AA20" s="1997"/>
      <c r="AB20" s="1997"/>
      <c r="AC20" s="1997"/>
      <c r="AD20" s="1997"/>
      <c r="AE20" s="1997"/>
      <c r="AF20" s="1997"/>
      <c r="AG20" s="1997"/>
      <c r="AH20" s="1997"/>
      <c r="AI20" s="1997"/>
      <c r="AJ20" s="1997"/>
      <c r="AK20" s="1997"/>
      <c r="AL20" s="1997"/>
      <c r="AM20" s="1997"/>
      <c r="AN20" s="1997"/>
      <c r="AO20" s="1997"/>
      <c r="AP20" s="1997"/>
      <c r="AQ20" s="1997"/>
      <c r="AR20" s="1997"/>
      <c r="AS20" s="1997"/>
      <c r="AT20" s="1997"/>
      <c r="AU20" s="1997"/>
      <c r="AV20" s="1997"/>
      <c r="AW20" s="1997"/>
      <c r="AX20" s="1997"/>
      <c r="AY20" s="1997"/>
      <c r="AZ20" s="1997"/>
      <c r="BA20" s="1997"/>
      <c r="BB20" s="1997"/>
      <c r="BC20" s="1997"/>
      <c r="BD20" s="1997"/>
      <c r="BE20" s="1997"/>
      <c r="BF20" s="1997"/>
      <c r="BG20" s="1997"/>
      <c r="BH20" s="1997"/>
      <c r="BI20" s="1997"/>
      <c r="BJ20" s="1997"/>
      <c r="BK20" s="1997"/>
      <c r="BL20" s="1997"/>
      <c r="BM20" s="1997"/>
      <c r="BN20" s="1997"/>
      <c r="BO20" s="1997"/>
      <c r="BP20" s="1997"/>
      <c r="BQ20" s="1997"/>
      <c r="BR20" s="1997"/>
      <c r="BS20" s="1997"/>
      <c r="BT20" s="1997"/>
      <c r="BU20" s="1997"/>
      <c r="BV20" s="1997"/>
      <c r="BW20" s="1997"/>
      <c r="BX20" s="1997"/>
      <c r="BY20" s="1997"/>
      <c r="BZ20" s="1997"/>
      <c r="CA20" s="1997"/>
      <c r="CB20" s="1997"/>
      <c r="CC20" s="1997"/>
      <c r="CD20" s="1997"/>
      <c r="CE20" s="1997"/>
      <c r="CF20" s="1997"/>
      <c r="CG20" s="1997"/>
      <c r="CH20" s="1997"/>
      <c r="CI20" s="1997"/>
      <c r="CJ20" s="1997"/>
      <c r="CK20" s="1997"/>
      <c r="CL20" s="1997"/>
      <c r="CM20" s="1997"/>
      <c r="CN20" s="1997"/>
      <c r="CO20" s="1997"/>
      <c r="CP20" s="1997"/>
      <c r="CQ20" s="1997"/>
      <c r="CR20" s="1997"/>
      <c r="CS20" s="1997"/>
      <c r="CT20" s="1997"/>
      <c r="CU20" s="1997"/>
      <c r="CV20" s="1997"/>
      <c r="CW20" s="1997"/>
      <c r="CX20" s="1997"/>
      <c r="CY20" s="1997"/>
      <c r="CZ20" s="1997"/>
      <c r="DA20" s="1997"/>
      <c r="DB20" s="1997"/>
      <c r="DC20" s="1997"/>
      <c r="DD20" s="1997"/>
      <c r="DE20" s="1997"/>
      <c r="DF20" s="1997"/>
      <c r="DG20" s="1997"/>
      <c r="DH20" s="1997"/>
      <c r="DI20" s="1997"/>
      <c r="DJ20" s="1997"/>
      <c r="DK20" s="1997"/>
      <c r="DL20" s="1997"/>
      <c r="DM20" s="1997"/>
      <c r="DN20" s="1997"/>
      <c r="DO20" s="1997"/>
      <c r="DP20" s="1997"/>
      <c r="DQ20" s="1997"/>
      <c r="DR20" s="1997"/>
      <c r="DS20" s="1997"/>
      <c r="DT20" s="1997"/>
      <c r="DU20" s="1997"/>
      <c r="DV20" s="1997"/>
      <c r="DW20" s="1997"/>
      <c r="DX20" s="1997"/>
      <c r="DY20" s="1997"/>
      <c r="DZ20" s="1997"/>
      <c r="EA20" s="1997"/>
      <c r="EB20" s="1997"/>
      <c r="EC20" s="1997"/>
      <c r="ED20" s="1997"/>
      <c r="EE20" s="1997"/>
      <c r="EF20" s="1997"/>
      <c r="EG20" s="1997"/>
      <c r="EH20" s="1997"/>
      <c r="EI20" s="1997"/>
      <c r="EJ20" s="1997"/>
      <c r="EK20" s="1997"/>
      <c r="EL20" s="1997"/>
      <c r="EM20" s="1997"/>
      <c r="EN20" s="1997"/>
      <c r="EO20" s="1997"/>
      <c r="EP20" s="1997"/>
      <c r="EQ20" s="1997"/>
      <c r="ER20" s="1997"/>
      <c r="ES20" s="1997"/>
      <c r="ET20" s="1997"/>
      <c r="EU20" s="1997"/>
      <c r="EV20" s="1997"/>
      <c r="EW20" s="1997"/>
      <c r="EX20" s="1997"/>
      <c r="EY20" s="1997"/>
      <c r="EZ20" s="1997"/>
      <c r="FA20" s="1997"/>
      <c r="FB20" s="1997"/>
      <c r="FC20" s="1997"/>
      <c r="FD20" s="1997"/>
      <c r="FE20" s="1997"/>
      <c r="FF20" s="1997"/>
      <c r="FG20" s="1997"/>
      <c r="FH20" s="1997"/>
      <c r="FI20" s="1997"/>
      <c r="FJ20" s="1997"/>
      <c r="FK20" s="1997"/>
      <c r="FL20" s="1997"/>
      <c r="FM20" s="1997"/>
      <c r="FN20" s="1997"/>
      <c r="FO20" s="1997"/>
      <c r="FP20" s="1997"/>
      <c r="FQ20" s="1997"/>
      <c r="FR20" s="1997"/>
      <c r="FS20" s="1997"/>
      <c r="FT20" s="1997"/>
      <c r="FU20" s="1997"/>
      <c r="FV20" s="1997"/>
      <c r="FW20" s="1997"/>
      <c r="FX20" s="1997"/>
      <c r="FY20" s="1997"/>
      <c r="FZ20" s="1997"/>
      <c r="GA20" s="1997"/>
      <c r="GB20" s="1997"/>
      <c r="GC20" s="1997"/>
      <c r="GD20" s="1997"/>
      <c r="GE20" s="1997"/>
      <c r="GF20" s="1997"/>
      <c r="GG20" s="1997"/>
      <c r="GH20" s="1997"/>
      <c r="GI20" s="1997"/>
      <c r="GJ20" s="1997"/>
      <c r="GK20" s="1997"/>
      <c r="GL20" s="1997"/>
      <c r="GM20" s="1997"/>
      <c r="GN20" s="1997"/>
      <c r="GO20" s="1997"/>
      <c r="GP20" s="1997"/>
      <c r="GQ20" s="1997"/>
      <c r="GR20" s="1997"/>
      <c r="GS20" s="1997"/>
      <c r="GT20" s="1997"/>
      <c r="GU20" s="1997"/>
      <c r="GV20" s="1997"/>
      <c r="GW20" s="1997"/>
      <c r="GX20" s="1997"/>
      <c r="GY20" s="1997"/>
      <c r="GZ20" s="1997"/>
      <c r="HA20" s="1997"/>
      <c r="HB20" s="1997"/>
      <c r="HC20" s="1997"/>
      <c r="HD20" s="1997"/>
      <c r="HE20" s="1997"/>
      <c r="HF20" s="1997"/>
      <c r="HG20" s="1997"/>
      <c r="HH20" s="1997"/>
      <c r="HI20" s="1997"/>
      <c r="HJ20" s="1997"/>
      <c r="HK20" s="1997"/>
      <c r="HL20" s="1997"/>
      <c r="HM20" s="1997"/>
      <c r="HN20" s="1997"/>
      <c r="HO20" s="1997"/>
      <c r="HP20" s="1997"/>
      <c r="HQ20" s="1997"/>
      <c r="HR20" s="1997"/>
      <c r="HS20" s="1997"/>
      <c r="HT20" s="1997"/>
      <c r="HU20" s="1997"/>
      <c r="HV20" s="1997"/>
      <c r="HW20" s="1997"/>
      <c r="HX20" s="1997"/>
      <c r="HY20" s="1997"/>
      <c r="HZ20" s="1997"/>
      <c r="IA20" s="1997"/>
      <c r="IB20" s="1997"/>
      <c r="IC20" s="1997"/>
      <c r="ID20" s="1997"/>
      <c r="IE20" s="1997"/>
      <c r="IF20" s="1997"/>
      <c r="IG20" s="1997"/>
      <c r="IH20" s="1997"/>
      <c r="II20" s="1997"/>
      <c r="IJ20" s="1997"/>
      <c r="IK20" s="1997"/>
      <c r="IL20" s="1997"/>
      <c r="IM20" s="1997"/>
      <c r="IN20" s="1997"/>
      <c r="IO20" s="1997"/>
      <c r="IP20" s="1997"/>
      <c r="IQ20" s="1997"/>
    </row>
    <row r="21" spans="1:251" hidden="1">
      <c r="A21" s="1993"/>
      <c r="B21" s="1998"/>
      <c r="C21" s="1998"/>
      <c r="D21" s="2034"/>
      <c r="E21" s="1998"/>
      <c r="F21" s="1940">
        <f t="shared" si="14"/>
        <v>0</v>
      </c>
      <c r="G21" s="1993"/>
      <c r="H21" s="1940">
        <f t="shared" si="4"/>
        <v>0</v>
      </c>
      <c r="I21" s="1993"/>
      <c r="J21" s="1940">
        <f t="shared" si="5"/>
        <v>0</v>
      </c>
      <c r="K21" s="1993"/>
      <c r="L21" s="1940">
        <f t="shared" si="6"/>
        <v>0</v>
      </c>
      <c r="M21" s="1940">
        <f t="shared" si="13"/>
        <v>0</v>
      </c>
      <c r="N21" s="1940">
        <f t="shared" si="7"/>
        <v>0</v>
      </c>
      <c r="O21" s="1993"/>
      <c r="P21" s="1993"/>
      <c r="Q21" s="1940">
        <f t="shared" si="8"/>
        <v>0</v>
      </c>
      <c r="R21" s="1940">
        <f t="shared" si="9"/>
        <v>0</v>
      </c>
      <c r="S21" s="1940">
        <f t="shared" si="10"/>
        <v>0</v>
      </c>
      <c r="T21" s="1940">
        <f t="shared" si="11"/>
        <v>0</v>
      </c>
      <c r="U21" s="1940">
        <f t="shared" si="12"/>
        <v>0</v>
      </c>
      <c r="V21" s="1997"/>
      <c r="W21" s="1997"/>
      <c r="X21" s="1997"/>
      <c r="Y21" s="1997"/>
      <c r="Z21" s="1997"/>
      <c r="AA21" s="1997"/>
      <c r="AB21" s="1997"/>
      <c r="AC21" s="1997"/>
      <c r="AD21" s="1997"/>
      <c r="AE21" s="1997"/>
      <c r="AF21" s="1997"/>
      <c r="AG21" s="1997"/>
      <c r="AH21" s="1997"/>
      <c r="AI21" s="1997"/>
      <c r="AJ21" s="1997"/>
      <c r="AK21" s="1997"/>
      <c r="AL21" s="1997"/>
      <c r="AM21" s="1997"/>
      <c r="AN21" s="1997"/>
      <c r="AO21" s="1997"/>
      <c r="AP21" s="1997"/>
      <c r="AQ21" s="1997"/>
      <c r="AR21" s="1997"/>
      <c r="AS21" s="1997"/>
      <c r="AT21" s="1997"/>
      <c r="AU21" s="1997"/>
      <c r="AV21" s="1997"/>
      <c r="AW21" s="1997"/>
      <c r="AX21" s="1997"/>
      <c r="AY21" s="1997"/>
      <c r="AZ21" s="1997"/>
      <c r="BA21" s="1997"/>
      <c r="BB21" s="1997"/>
      <c r="BC21" s="1997"/>
      <c r="BD21" s="1997"/>
      <c r="BE21" s="1997"/>
      <c r="BF21" s="1997"/>
      <c r="BG21" s="1997"/>
      <c r="BH21" s="1997"/>
      <c r="BI21" s="1997"/>
      <c r="BJ21" s="1997"/>
      <c r="BK21" s="1997"/>
      <c r="BL21" s="1997"/>
      <c r="BM21" s="1997"/>
      <c r="BN21" s="1997"/>
      <c r="BO21" s="1997"/>
      <c r="BP21" s="1997"/>
      <c r="BQ21" s="1997"/>
      <c r="BR21" s="1997"/>
      <c r="BS21" s="1997"/>
      <c r="BT21" s="1997"/>
      <c r="BU21" s="1997"/>
      <c r="BV21" s="1997"/>
      <c r="BW21" s="1997"/>
      <c r="BX21" s="1997"/>
      <c r="BY21" s="1997"/>
      <c r="BZ21" s="1997"/>
      <c r="CA21" s="1997"/>
      <c r="CB21" s="1997"/>
      <c r="CC21" s="1997"/>
      <c r="CD21" s="1997"/>
      <c r="CE21" s="1997"/>
      <c r="CF21" s="1997"/>
      <c r="CG21" s="1997"/>
      <c r="CH21" s="1997"/>
      <c r="CI21" s="1997"/>
      <c r="CJ21" s="1997"/>
      <c r="CK21" s="1997"/>
      <c r="CL21" s="1997"/>
      <c r="CM21" s="1997"/>
      <c r="CN21" s="1997"/>
      <c r="CO21" s="1997"/>
      <c r="CP21" s="1997"/>
      <c r="CQ21" s="1997"/>
      <c r="CR21" s="1997"/>
      <c r="CS21" s="1997"/>
      <c r="CT21" s="1997"/>
      <c r="CU21" s="1997"/>
      <c r="CV21" s="1997"/>
      <c r="CW21" s="1997"/>
      <c r="CX21" s="1997"/>
      <c r="CY21" s="1997"/>
      <c r="CZ21" s="1997"/>
      <c r="DA21" s="1997"/>
      <c r="DB21" s="1997"/>
      <c r="DC21" s="1997"/>
      <c r="DD21" s="1997"/>
      <c r="DE21" s="1997"/>
      <c r="DF21" s="1997"/>
      <c r="DG21" s="1997"/>
      <c r="DH21" s="1997"/>
      <c r="DI21" s="1997"/>
      <c r="DJ21" s="1997"/>
      <c r="DK21" s="1997"/>
      <c r="DL21" s="1997"/>
      <c r="DM21" s="1997"/>
      <c r="DN21" s="1997"/>
      <c r="DO21" s="1997"/>
      <c r="DP21" s="1997"/>
      <c r="DQ21" s="1997"/>
      <c r="DR21" s="1997"/>
      <c r="DS21" s="1997"/>
      <c r="DT21" s="1997"/>
      <c r="DU21" s="1997"/>
      <c r="DV21" s="1997"/>
      <c r="DW21" s="1997"/>
      <c r="DX21" s="1997"/>
      <c r="DY21" s="1997"/>
      <c r="DZ21" s="1997"/>
      <c r="EA21" s="1997"/>
      <c r="EB21" s="1997"/>
      <c r="EC21" s="1997"/>
      <c r="ED21" s="1997"/>
      <c r="EE21" s="1997"/>
      <c r="EF21" s="1997"/>
      <c r="EG21" s="1997"/>
      <c r="EH21" s="1997"/>
      <c r="EI21" s="1997"/>
      <c r="EJ21" s="1997"/>
      <c r="EK21" s="1997"/>
      <c r="EL21" s="1997"/>
      <c r="EM21" s="1997"/>
      <c r="EN21" s="1997"/>
      <c r="EO21" s="1997"/>
      <c r="EP21" s="1997"/>
      <c r="EQ21" s="1997"/>
      <c r="ER21" s="1997"/>
      <c r="ES21" s="1997"/>
      <c r="ET21" s="1997"/>
      <c r="EU21" s="1997"/>
      <c r="EV21" s="1997"/>
      <c r="EW21" s="1997"/>
      <c r="EX21" s="1997"/>
      <c r="EY21" s="1997"/>
      <c r="EZ21" s="1997"/>
      <c r="FA21" s="1997"/>
      <c r="FB21" s="1997"/>
      <c r="FC21" s="1997"/>
      <c r="FD21" s="1997"/>
      <c r="FE21" s="1997"/>
      <c r="FF21" s="1997"/>
      <c r="FG21" s="1997"/>
      <c r="FH21" s="1997"/>
      <c r="FI21" s="1997"/>
      <c r="FJ21" s="1997"/>
      <c r="FK21" s="1997"/>
      <c r="FL21" s="1997"/>
      <c r="FM21" s="1997"/>
      <c r="FN21" s="1997"/>
      <c r="FO21" s="1997"/>
      <c r="FP21" s="1997"/>
      <c r="FQ21" s="1997"/>
      <c r="FR21" s="1997"/>
      <c r="FS21" s="1997"/>
      <c r="FT21" s="1997"/>
      <c r="FU21" s="1997"/>
      <c r="FV21" s="1997"/>
      <c r="FW21" s="1997"/>
      <c r="FX21" s="1997"/>
      <c r="FY21" s="1997"/>
      <c r="FZ21" s="1997"/>
      <c r="GA21" s="1997"/>
      <c r="GB21" s="1997"/>
      <c r="GC21" s="1997"/>
      <c r="GD21" s="1997"/>
      <c r="GE21" s="1997"/>
      <c r="GF21" s="1997"/>
      <c r="GG21" s="1997"/>
      <c r="GH21" s="1997"/>
      <c r="GI21" s="1997"/>
      <c r="GJ21" s="1997"/>
      <c r="GK21" s="1997"/>
      <c r="GL21" s="1997"/>
      <c r="GM21" s="1997"/>
      <c r="GN21" s="1997"/>
      <c r="GO21" s="1997"/>
      <c r="GP21" s="1997"/>
      <c r="GQ21" s="1997"/>
      <c r="GR21" s="1997"/>
      <c r="GS21" s="1997"/>
      <c r="GT21" s="1997"/>
      <c r="GU21" s="1997"/>
      <c r="GV21" s="1997"/>
      <c r="GW21" s="1997"/>
      <c r="GX21" s="1997"/>
      <c r="GY21" s="1997"/>
      <c r="GZ21" s="1997"/>
      <c r="HA21" s="1997"/>
      <c r="HB21" s="1997"/>
      <c r="HC21" s="1997"/>
      <c r="HD21" s="1997"/>
      <c r="HE21" s="1997"/>
      <c r="HF21" s="1997"/>
      <c r="HG21" s="1997"/>
      <c r="HH21" s="1997"/>
      <c r="HI21" s="1997"/>
      <c r="HJ21" s="1997"/>
      <c r="HK21" s="1997"/>
      <c r="HL21" s="1997"/>
      <c r="HM21" s="1997"/>
      <c r="HN21" s="1997"/>
      <c r="HO21" s="1997"/>
      <c r="HP21" s="1997"/>
      <c r="HQ21" s="1997"/>
      <c r="HR21" s="1997"/>
      <c r="HS21" s="1997"/>
      <c r="HT21" s="1997"/>
      <c r="HU21" s="1997"/>
      <c r="HV21" s="1997"/>
      <c r="HW21" s="1997"/>
      <c r="HX21" s="1997"/>
      <c r="HY21" s="1997"/>
      <c r="HZ21" s="1997"/>
      <c r="IA21" s="1997"/>
      <c r="IB21" s="1997"/>
      <c r="IC21" s="1997"/>
      <c r="ID21" s="1997"/>
      <c r="IE21" s="1997"/>
      <c r="IF21" s="1997"/>
      <c r="IG21" s="1997"/>
      <c r="IH21" s="1997"/>
      <c r="II21" s="1997"/>
      <c r="IJ21" s="1997"/>
      <c r="IK21" s="1997"/>
      <c r="IL21" s="1997"/>
      <c r="IM21" s="1997"/>
      <c r="IN21" s="1997"/>
      <c r="IO21" s="1997"/>
      <c r="IP21" s="1997"/>
      <c r="IQ21" s="1997"/>
    </row>
    <row r="22" spans="1:251" hidden="1">
      <c r="A22" s="1993"/>
      <c r="B22" s="1998"/>
      <c r="C22" s="1998"/>
      <c r="D22" s="2034"/>
      <c r="E22" s="1998"/>
      <c r="F22" s="1940">
        <f t="shared" si="14"/>
        <v>0</v>
      </c>
      <c r="G22" s="1993"/>
      <c r="H22" s="1940">
        <f t="shared" si="4"/>
        <v>0</v>
      </c>
      <c r="I22" s="1993"/>
      <c r="J22" s="1940">
        <f t="shared" si="5"/>
        <v>0</v>
      </c>
      <c r="K22" s="1993"/>
      <c r="L22" s="1940">
        <f t="shared" si="6"/>
        <v>0</v>
      </c>
      <c r="M22" s="1940">
        <f t="shared" si="13"/>
        <v>0</v>
      </c>
      <c r="N22" s="1940">
        <f t="shared" si="7"/>
        <v>0</v>
      </c>
      <c r="O22" s="1993"/>
      <c r="P22" s="1993"/>
      <c r="Q22" s="1940">
        <f t="shared" si="8"/>
        <v>0</v>
      </c>
      <c r="R22" s="1940">
        <f t="shared" si="9"/>
        <v>0</v>
      </c>
      <c r="S22" s="1940">
        <f t="shared" si="10"/>
        <v>0</v>
      </c>
      <c r="T22" s="1940">
        <f t="shared" si="11"/>
        <v>0</v>
      </c>
      <c r="U22" s="1940">
        <f t="shared" si="12"/>
        <v>0</v>
      </c>
      <c r="V22" s="1997"/>
      <c r="W22" s="1997"/>
      <c r="X22" s="1997"/>
      <c r="Y22" s="1997"/>
      <c r="Z22" s="1997"/>
      <c r="AA22" s="1997"/>
      <c r="AB22" s="1997"/>
      <c r="AC22" s="1997"/>
      <c r="AD22" s="1997"/>
      <c r="AE22" s="1997"/>
      <c r="AF22" s="1997"/>
      <c r="AG22" s="1997"/>
      <c r="AH22" s="1997"/>
      <c r="AI22" s="1997"/>
      <c r="AJ22" s="1997"/>
      <c r="AK22" s="1997"/>
      <c r="AL22" s="1997"/>
      <c r="AM22" s="1997"/>
      <c r="AN22" s="1997"/>
      <c r="AO22" s="1997"/>
      <c r="AP22" s="1997"/>
      <c r="AQ22" s="1997"/>
      <c r="AR22" s="1997"/>
      <c r="AS22" s="1997"/>
      <c r="AT22" s="1997"/>
      <c r="AU22" s="1997"/>
      <c r="AV22" s="1997"/>
      <c r="AW22" s="1997"/>
      <c r="AX22" s="1997"/>
      <c r="AY22" s="1997"/>
      <c r="AZ22" s="1997"/>
      <c r="BA22" s="1997"/>
      <c r="BB22" s="1997"/>
      <c r="BC22" s="1997"/>
      <c r="BD22" s="1997"/>
      <c r="BE22" s="1997"/>
      <c r="BF22" s="1997"/>
      <c r="BG22" s="1997"/>
      <c r="BH22" s="1997"/>
      <c r="BI22" s="1997"/>
      <c r="BJ22" s="1997"/>
      <c r="BK22" s="1997"/>
      <c r="BL22" s="1997"/>
      <c r="BM22" s="1997"/>
      <c r="BN22" s="1997"/>
      <c r="BO22" s="1997"/>
      <c r="BP22" s="1997"/>
      <c r="BQ22" s="1997"/>
      <c r="BR22" s="1997"/>
      <c r="BS22" s="1997"/>
      <c r="BT22" s="1997"/>
      <c r="BU22" s="1997"/>
      <c r="BV22" s="1997"/>
      <c r="BW22" s="1997"/>
      <c r="BX22" s="1997"/>
      <c r="BY22" s="1997"/>
      <c r="BZ22" s="1997"/>
      <c r="CA22" s="1997"/>
      <c r="CB22" s="1997"/>
      <c r="CC22" s="1997"/>
      <c r="CD22" s="1997"/>
      <c r="CE22" s="1997"/>
      <c r="CF22" s="1997"/>
      <c r="CG22" s="1997"/>
      <c r="CH22" s="1997"/>
      <c r="CI22" s="1997"/>
      <c r="CJ22" s="1997"/>
      <c r="CK22" s="1997"/>
      <c r="CL22" s="1997"/>
      <c r="CM22" s="1997"/>
      <c r="CN22" s="1997"/>
      <c r="CO22" s="1997"/>
      <c r="CP22" s="1997"/>
      <c r="CQ22" s="1997"/>
      <c r="CR22" s="1997"/>
      <c r="CS22" s="1997"/>
      <c r="CT22" s="1997"/>
      <c r="CU22" s="1997"/>
      <c r="CV22" s="1997"/>
      <c r="CW22" s="1997"/>
      <c r="CX22" s="1997"/>
      <c r="CY22" s="1997"/>
      <c r="CZ22" s="1997"/>
      <c r="DA22" s="1997"/>
      <c r="DB22" s="1997"/>
      <c r="DC22" s="1997"/>
      <c r="DD22" s="1997"/>
      <c r="DE22" s="1997"/>
      <c r="DF22" s="1997"/>
      <c r="DG22" s="1997"/>
      <c r="DH22" s="1997"/>
      <c r="DI22" s="1997"/>
      <c r="DJ22" s="1997"/>
      <c r="DK22" s="1997"/>
      <c r="DL22" s="1997"/>
      <c r="DM22" s="1997"/>
      <c r="DN22" s="1997"/>
      <c r="DO22" s="1997"/>
      <c r="DP22" s="1997"/>
      <c r="DQ22" s="1997"/>
      <c r="DR22" s="1997"/>
      <c r="DS22" s="1997"/>
      <c r="DT22" s="1997"/>
      <c r="DU22" s="1997"/>
      <c r="DV22" s="1997"/>
      <c r="DW22" s="1997"/>
      <c r="DX22" s="1997"/>
      <c r="DY22" s="1997"/>
      <c r="DZ22" s="1997"/>
      <c r="EA22" s="1997"/>
      <c r="EB22" s="1997"/>
      <c r="EC22" s="1997"/>
      <c r="ED22" s="1997"/>
      <c r="EE22" s="1997"/>
      <c r="EF22" s="1997"/>
      <c r="EG22" s="1997"/>
      <c r="EH22" s="1997"/>
      <c r="EI22" s="1997"/>
      <c r="EJ22" s="1997"/>
      <c r="EK22" s="1997"/>
      <c r="EL22" s="1997"/>
      <c r="EM22" s="1997"/>
      <c r="EN22" s="1997"/>
      <c r="EO22" s="1997"/>
      <c r="EP22" s="1997"/>
      <c r="EQ22" s="1997"/>
      <c r="ER22" s="1997"/>
      <c r="ES22" s="1997"/>
      <c r="ET22" s="1997"/>
      <c r="EU22" s="1997"/>
      <c r="EV22" s="1997"/>
      <c r="EW22" s="1997"/>
      <c r="EX22" s="1997"/>
      <c r="EY22" s="1997"/>
      <c r="EZ22" s="1997"/>
      <c r="FA22" s="1997"/>
      <c r="FB22" s="1997"/>
      <c r="FC22" s="1997"/>
      <c r="FD22" s="1997"/>
      <c r="FE22" s="1997"/>
      <c r="FF22" s="1997"/>
      <c r="FG22" s="1997"/>
      <c r="FH22" s="1997"/>
      <c r="FI22" s="1997"/>
      <c r="FJ22" s="1997"/>
      <c r="FK22" s="1997"/>
      <c r="FL22" s="1997"/>
      <c r="FM22" s="1997"/>
      <c r="FN22" s="1997"/>
      <c r="FO22" s="1997"/>
      <c r="FP22" s="1997"/>
      <c r="FQ22" s="1997"/>
      <c r="FR22" s="1997"/>
      <c r="FS22" s="1997"/>
      <c r="FT22" s="1997"/>
      <c r="FU22" s="1997"/>
      <c r="FV22" s="1997"/>
      <c r="FW22" s="1997"/>
      <c r="FX22" s="1997"/>
      <c r="FY22" s="1997"/>
      <c r="FZ22" s="1997"/>
      <c r="GA22" s="1997"/>
      <c r="GB22" s="1997"/>
      <c r="GC22" s="1997"/>
      <c r="GD22" s="1997"/>
      <c r="GE22" s="1997"/>
      <c r="GF22" s="1997"/>
      <c r="GG22" s="1997"/>
      <c r="GH22" s="1997"/>
      <c r="GI22" s="1997"/>
      <c r="GJ22" s="1997"/>
      <c r="GK22" s="1997"/>
      <c r="GL22" s="1997"/>
      <c r="GM22" s="1997"/>
      <c r="GN22" s="1997"/>
      <c r="GO22" s="1997"/>
      <c r="GP22" s="1997"/>
      <c r="GQ22" s="1997"/>
      <c r="GR22" s="1997"/>
      <c r="GS22" s="1997"/>
      <c r="GT22" s="1997"/>
      <c r="GU22" s="1997"/>
      <c r="GV22" s="1997"/>
      <c r="GW22" s="1997"/>
      <c r="GX22" s="1997"/>
      <c r="GY22" s="1997"/>
      <c r="GZ22" s="1997"/>
      <c r="HA22" s="1997"/>
      <c r="HB22" s="1997"/>
      <c r="HC22" s="1997"/>
      <c r="HD22" s="1997"/>
      <c r="HE22" s="1997"/>
      <c r="HF22" s="1997"/>
      <c r="HG22" s="1997"/>
      <c r="HH22" s="1997"/>
      <c r="HI22" s="1997"/>
      <c r="HJ22" s="1997"/>
      <c r="HK22" s="1997"/>
      <c r="HL22" s="1997"/>
      <c r="HM22" s="1997"/>
      <c r="HN22" s="1997"/>
      <c r="HO22" s="1997"/>
      <c r="HP22" s="1997"/>
      <c r="HQ22" s="1997"/>
      <c r="HR22" s="1997"/>
      <c r="HS22" s="1997"/>
      <c r="HT22" s="1997"/>
      <c r="HU22" s="1997"/>
      <c r="HV22" s="1997"/>
      <c r="HW22" s="1997"/>
      <c r="HX22" s="1997"/>
      <c r="HY22" s="1997"/>
      <c r="HZ22" s="1997"/>
      <c r="IA22" s="1997"/>
      <c r="IB22" s="1997"/>
      <c r="IC22" s="1997"/>
      <c r="ID22" s="1997"/>
      <c r="IE22" s="1997"/>
      <c r="IF22" s="1997"/>
      <c r="IG22" s="1997"/>
      <c r="IH22" s="1997"/>
      <c r="II22" s="1997"/>
      <c r="IJ22" s="1997"/>
      <c r="IK22" s="1997"/>
      <c r="IL22" s="1997"/>
      <c r="IM22" s="1997"/>
      <c r="IN22" s="1997"/>
      <c r="IO22" s="1997"/>
      <c r="IP22" s="1997"/>
      <c r="IQ22" s="1997"/>
    </row>
    <row r="23" spans="1:251" hidden="1">
      <c r="A23" s="1993"/>
      <c r="B23" s="1998"/>
      <c r="C23" s="1998"/>
      <c r="D23" s="2034"/>
      <c r="E23" s="1998"/>
      <c r="F23" s="1940">
        <f t="shared" si="14"/>
        <v>0</v>
      </c>
      <c r="G23" s="1993"/>
      <c r="H23" s="1940">
        <f t="shared" si="4"/>
        <v>0</v>
      </c>
      <c r="I23" s="1993"/>
      <c r="J23" s="1940">
        <f t="shared" si="5"/>
        <v>0</v>
      </c>
      <c r="K23" s="1993"/>
      <c r="L23" s="1940">
        <f t="shared" si="6"/>
        <v>0</v>
      </c>
      <c r="M23" s="1940">
        <f t="shared" si="13"/>
        <v>0</v>
      </c>
      <c r="N23" s="1940">
        <f t="shared" si="7"/>
        <v>0</v>
      </c>
      <c r="O23" s="1993"/>
      <c r="P23" s="1993"/>
      <c r="Q23" s="1940">
        <f t="shared" si="8"/>
        <v>0</v>
      </c>
      <c r="R23" s="1940">
        <f t="shared" si="9"/>
        <v>0</v>
      </c>
      <c r="S23" s="1940">
        <f t="shared" si="10"/>
        <v>0</v>
      </c>
      <c r="T23" s="1940">
        <f t="shared" si="11"/>
        <v>0</v>
      </c>
      <c r="U23" s="1940">
        <f t="shared" si="12"/>
        <v>0</v>
      </c>
      <c r="V23" s="1997"/>
      <c r="W23" s="1997"/>
      <c r="X23" s="1997"/>
      <c r="Y23" s="1997"/>
      <c r="Z23" s="1997"/>
      <c r="AA23" s="1997"/>
      <c r="AB23" s="1997"/>
      <c r="AC23" s="1997"/>
      <c r="AD23" s="1997"/>
      <c r="AE23" s="1997"/>
      <c r="AF23" s="1997"/>
      <c r="AG23" s="1997"/>
      <c r="AH23" s="1997"/>
      <c r="AI23" s="1997"/>
      <c r="AJ23" s="1997"/>
      <c r="AK23" s="1997"/>
      <c r="AL23" s="1997"/>
      <c r="AM23" s="1997"/>
      <c r="AN23" s="1997"/>
      <c r="AO23" s="1997"/>
      <c r="AP23" s="1997"/>
      <c r="AQ23" s="1997"/>
      <c r="AR23" s="1997"/>
      <c r="AS23" s="1997"/>
      <c r="AT23" s="1997"/>
      <c r="AU23" s="1997"/>
      <c r="AV23" s="1997"/>
      <c r="AW23" s="1997"/>
      <c r="AX23" s="1997"/>
      <c r="AY23" s="1997"/>
      <c r="AZ23" s="1997"/>
      <c r="BA23" s="1997"/>
      <c r="BB23" s="1997"/>
      <c r="BC23" s="1997"/>
      <c r="BD23" s="1997"/>
      <c r="BE23" s="1997"/>
      <c r="BF23" s="1997"/>
      <c r="BG23" s="1997"/>
      <c r="BH23" s="1997"/>
      <c r="BI23" s="1997"/>
      <c r="BJ23" s="1997"/>
      <c r="BK23" s="1997"/>
      <c r="BL23" s="1997"/>
      <c r="BM23" s="1997"/>
      <c r="BN23" s="1997"/>
      <c r="BO23" s="1997"/>
      <c r="BP23" s="1997"/>
      <c r="BQ23" s="1997"/>
      <c r="BR23" s="1997"/>
      <c r="BS23" s="1997"/>
      <c r="BT23" s="1997"/>
      <c r="BU23" s="1997"/>
      <c r="BV23" s="1997"/>
      <c r="BW23" s="1997"/>
      <c r="BX23" s="1997"/>
      <c r="BY23" s="1997"/>
      <c r="BZ23" s="1997"/>
      <c r="CA23" s="1997"/>
      <c r="CB23" s="1997"/>
      <c r="CC23" s="1997"/>
      <c r="CD23" s="1997"/>
      <c r="CE23" s="1997"/>
      <c r="CF23" s="1997"/>
      <c r="CG23" s="1997"/>
      <c r="CH23" s="1997"/>
      <c r="CI23" s="1997"/>
      <c r="CJ23" s="1997"/>
      <c r="CK23" s="1997"/>
      <c r="CL23" s="1997"/>
      <c r="CM23" s="1997"/>
      <c r="CN23" s="1997"/>
      <c r="CO23" s="1997"/>
      <c r="CP23" s="1997"/>
      <c r="CQ23" s="1997"/>
      <c r="CR23" s="1997"/>
      <c r="CS23" s="1997"/>
      <c r="CT23" s="1997"/>
      <c r="CU23" s="1997"/>
      <c r="CV23" s="1997"/>
      <c r="CW23" s="1997"/>
      <c r="CX23" s="1997"/>
      <c r="CY23" s="1997"/>
      <c r="CZ23" s="1997"/>
      <c r="DA23" s="1997"/>
      <c r="DB23" s="1997"/>
      <c r="DC23" s="1997"/>
      <c r="DD23" s="1997"/>
      <c r="DE23" s="1997"/>
      <c r="DF23" s="1997"/>
      <c r="DG23" s="1997"/>
      <c r="DH23" s="1997"/>
      <c r="DI23" s="1997"/>
      <c r="DJ23" s="1997"/>
      <c r="DK23" s="1997"/>
      <c r="DL23" s="1997"/>
      <c r="DM23" s="1997"/>
      <c r="DN23" s="1997"/>
      <c r="DO23" s="1997"/>
      <c r="DP23" s="1997"/>
      <c r="DQ23" s="1997"/>
      <c r="DR23" s="1997"/>
      <c r="DS23" s="1997"/>
      <c r="DT23" s="1997"/>
      <c r="DU23" s="1997"/>
      <c r="DV23" s="1997"/>
      <c r="DW23" s="1997"/>
      <c r="DX23" s="1997"/>
      <c r="DY23" s="1997"/>
      <c r="DZ23" s="1997"/>
      <c r="EA23" s="1997"/>
      <c r="EB23" s="1997"/>
      <c r="EC23" s="1997"/>
      <c r="ED23" s="1997"/>
      <c r="EE23" s="1997"/>
      <c r="EF23" s="1997"/>
      <c r="EG23" s="1997"/>
      <c r="EH23" s="1997"/>
      <c r="EI23" s="1997"/>
      <c r="EJ23" s="1997"/>
      <c r="EK23" s="1997"/>
      <c r="EL23" s="1997"/>
      <c r="EM23" s="1997"/>
      <c r="EN23" s="1997"/>
      <c r="EO23" s="1997"/>
      <c r="EP23" s="1997"/>
      <c r="EQ23" s="1997"/>
      <c r="ER23" s="1997"/>
      <c r="ES23" s="1997"/>
      <c r="ET23" s="1997"/>
      <c r="EU23" s="1997"/>
      <c r="EV23" s="1997"/>
      <c r="EW23" s="1997"/>
      <c r="EX23" s="1997"/>
      <c r="EY23" s="1997"/>
      <c r="EZ23" s="1997"/>
      <c r="FA23" s="1997"/>
      <c r="FB23" s="1997"/>
      <c r="FC23" s="1997"/>
      <c r="FD23" s="1997"/>
      <c r="FE23" s="1997"/>
      <c r="FF23" s="1997"/>
      <c r="FG23" s="1997"/>
      <c r="FH23" s="1997"/>
      <c r="FI23" s="1997"/>
      <c r="FJ23" s="1997"/>
      <c r="FK23" s="1997"/>
      <c r="FL23" s="1997"/>
      <c r="FM23" s="1997"/>
      <c r="FN23" s="1997"/>
      <c r="FO23" s="1997"/>
      <c r="FP23" s="1997"/>
      <c r="FQ23" s="1997"/>
      <c r="FR23" s="1997"/>
      <c r="FS23" s="1997"/>
      <c r="FT23" s="1997"/>
      <c r="FU23" s="1997"/>
      <c r="FV23" s="1997"/>
      <c r="FW23" s="1997"/>
      <c r="FX23" s="1997"/>
      <c r="FY23" s="1997"/>
      <c r="FZ23" s="1997"/>
      <c r="GA23" s="1997"/>
      <c r="GB23" s="1997"/>
      <c r="GC23" s="1997"/>
      <c r="GD23" s="1997"/>
      <c r="GE23" s="1997"/>
      <c r="GF23" s="1997"/>
      <c r="GG23" s="1997"/>
      <c r="GH23" s="1997"/>
      <c r="GI23" s="1997"/>
      <c r="GJ23" s="1997"/>
      <c r="GK23" s="1997"/>
      <c r="GL23" s="1997"/>
      <c r="GM23" s="1997"/>
      <c r="GN23" s="1997"/>
      <c r="GO23" s="1997"/>
      <c r="GP23" s="1997"/>
      <c r="GQ23" s="1997"/>
      <c r="GR23" s="1997"/>
      <c r="GS23" s="1997"/>
      <c r="GT23" s="1997"/>
      <c r="GU23" s="1997"/>
      <c r="GV23" s="1997"/>
      <c r="GW23" s="1997"/>
      <c r="GX23" s="1997"/>
      <c r="GY23" s="1997"/>
      <c r="GZ23" s="1997"/>
      <c r="HA23" s="1997"/>
      <c r="HB23" s="1997"/>
      <c r="HC23" s="1997"/>
      <c r="HD23" s="1997"/>
      <c r="HE23" s="1997"/>
      <c r="HF23" s="1997"/>
      <c r="HG23" s="1997"/>
      <c r="HH23" s="1997"/>
      <c r="HI23" s="1997"/>
      <c r="HJ23" s="1997"/>
      <c r="HK23" s="1997"/>
      <c r="HL23" s="1997"/>
      <c r="HM23" s="1997"/>
      <c r="HN23" s="1997"/>
      <c r="HO23" s="1997"/>
      <c r="HP23" s="1997"/>
      <c r="HQ23" s="1997"/>
      <c r="HR23" s="1997"/>
      <c r="HS23" s="1997"/>
      <c r="HT23" s="1997"/>
      <c r="HU23" s="1997"/>
      <c r="HV23" s="1997"/>
      <c r="HW23" s="1997"/>
      <c r="HX23" s="1997"/>
      <c r="HY23" s="1997"/>
      <c r="HZ23" s="1997"/>
      <c r="IA23" s="1997"/>
      <c r="IB23" s="1997"/>
      <c r="IC23" s="1997"/>
      <c r="ID23" s="1997"/>
      <c r="IE23" s="1997"/>
      <c r="IF23" s="1997"/>
      <c r="IG23" s="1997"/>
      <c r="IH23" s="1997"/>
      <c r="II23" s="1997"/>
      <c r="IJ23" s="1997"/>
      <c r="IK23" s="1997"/>
      <c r="IL23" s="1997"/>
      <c r="IM23" s="1997"/>
      <c r="IN23" s="1997"/>
      <c r="IO23" s="1997"/>
      <c r="IP23" s="1997"/>
      <c r="IQ23" s="1997"/>
    </row>
    <row r="24" spans="1:251" hidden="1">
      <c r="A24" s="1993"/>
      <c r="B24" s="1998"/>
      <c r="C24" s="1998"/>
      <c r="D24" s="2034"/>
      <c r="E24" s="1998"/>
      <c r="F24" s="1940">
        <f t="shared" si="14"/>
        <v>0</v>
      </c>
      <c r="G24" s="1993"/>
      <c r="H24" s="1940">
        <f t="shared" si="4"/>
        <v>0</v>
      </c>
      <c r="I24" s="1993"/>
      <c r="J24" s="1940">
        <f t="shared" si="5"/>
        <v>0</v>
      </c>
      <c r="K24" s="1993"/>
      <c r="L24" s="1940">
        <f t="shared" si="6"/>
        <v>0</v>
      </c>
      <c r="M24" s="1940">
        <f t="shared" si="13"/>
        <v>0</v>
      </c>
      <c r="N24" s="1940">
        <f t="shared" si="7"/>
        <v>0</v>
      </c>
      <c r="O24" s="1993"/>
      <c r="P24" s="1993"/>
      <c r="Q24" s="1940">
        <f t="shared" si="8"/>
        <v>0</v>
      </c>
      <c r="R24" s="1940">
        <f t="shared" si="9"/>
        <v>0</v>
      </c>
      <c r="S24" s="1940">
        <f t="shared" si="10"/>
        <v>0</v>
      </c>
      <c r="T24" s="1940">
        <f t="shared" si="11"/>
        <v>0</v>
      </c>
      <c r="U24" s="1940">
        <f t="shared" si="12"/>
        <v>0</v>
      </c>
      <c r="V24" s="1997"/>
      <c r="W24" s="1997"/>
      <c r="X24" s="1997"/>
      <c r="Y24" s="1997"/>
      <c r="Z24" s="1997"/>
      <c r="AA24" s="1997"/>
      <c r="AB24" s="1997"/>
      <c r="AC24" s="1997"/>
      <c r="AD24" s="1997"/>
      <c r="AE24" s="1997"/>
      <c r="AF24" s="1997"/>
      <c r="AG24" s="1997"/>
      <c r="AH24" s="1997"/>
      <c r="AI24" s="1997"/>
      <c r="AJ24" s="1997"/>
      <c r="AK24" s="1997"/>
      <c r="AL24" s="1997"/>
      <c r="AM24" s="1997"/>
      <c r="AN24" s="1997"/>
      <c r="AO24" s="1997"/>
      <c r="AP24" s="1997"/>
      <c r="AQ24" s="1997"/>
      <c r="AR24" s="1997"/>
      <c r="AS24" s="1997"/>
      <c r="AT24" s="1997"/>
      <c r="AU24" s="1997"/>
      <c r="AV24" s="1997"/>
      <c r="AW24" s="1997"/>
      <c r="AX24" s="1997"/>
      <c r="AY24" s="1997"/>
      <c r="AZ24" s="1997"/>
      <c r="BA24" s="1997"/>
      <c r="BB24" s="1997"/>
      <c r="BC24" s="1997"/>
      <c r="BD24" s="1997"/>
      <c r="BE24" s="1997"/>
      <c r="BF24" s="1997"/>
      <c r="BG24" s="1997"/>
      <c r="BH24" s="1997"/>
      <c r="BI24" s="1997"/>
      <c r="BJ24" s="1997"/>
      <c r="BK24" s="1997"/>
      <c r="BL24" s="1997"/>
      <c r="BM24" s="1997"/>
      <c r="BN24" s="1997"/>
      <c r="BO24" s="1997"/>
      <c r="BP24" s="1997"/>
      <c r="BQ24" s="1997"/>
      <c r="BR24" s="1997"/>
      <c r="BS24" s="1997"/>
      <c r="BT24" s="1997"/>
      <c r="BU24" s="1997"/>
      <c r="BV24" s="1997"/>
      <c r="BW24" s="1997"/>
      <c r="BX24" s="1997"/>
      <c r="BY24" s="1997"/>
      <c r="BZ24" s="1997"/>
      <c r="CA24" s="1997"/>
      <c r="CB24" s="1997"/>
      <c r="CC24" s="1997"/>
      <c r="CD24" s="1997"/>
      <c r="CE24" s="1997"/>
      <c r="CF24" s="1997"/>
      <c r="CG24" s="1997"/>
      <c r="CH24" s="1997"/>
      <c r="CI24" s="1997"/>
      <c r="CJ24" s="1997"/>
      <c r="CK24" s="1997"/>
      <c r="CL24" s="1997"/>
      <c r="CM24" s="1997"/>
      <c r="CN24" s="1997"/>
      <c r="CO24" s="1997"/>
      <c r="CP24" s="1997"/>
      <c r="CQ24" s="1997"/>
      <c r="CR24" s="1997"/>
      <c r="CS24" s="1997"/>
      <c r="CT24" s="1997"/>
      <c r="CU24" s="1997"/>
      <c r="CV24" s="1997"/>
      <c r="CW24" s="1997"/>
      <c r="CX24" s="1997"/>
      <c r="CY24" s="1997"/>
      <c r="CZ24" s="1997"/>
      <c r="DA24" s="1997"/>
      <c r="DB24" s="1997"/>
      <c r="DC24" s="1997"/>
      <c r="DD24" s="1997"/>
      <c r="DE24" s="1997"/>
      <c r="DF24" s="1997"/>
      <c r="DG24" s="1997"/>
      <c r="DH24" s="1997"/>
      <c r="DI24" s="1997"/>
      <c r="DJ24" s="1997"/>
      <c r="DK24" s="1997"/>
      <c r="DL24" s="1997"/>
      <c r="DM24" s="1997"/>
      <c r="DN24" s="1997"/>
      <c r="DO24" s="1997"/>
      <c r="DP24" s="1997"/>
      <c r="DQ24" s="1997"/>
      <c r="DR24" s="1997"/>
      <c r="DS24" s="1997"/>
      <c r="DT24" s="1997"/>
      <c r="DU24" s="1997"/>
      <c r="DV24" s="1997"/>
      <c r="DW24" s="1997"/>
      <c r="DX24" s="1997"/>
      <c r="DY24" s="1997"/>
      <c r="DZ24" s="1997"/>
      <c r="EA24" s="1997"/>
      <c r="EB24" s="1997"/>
      <c r="EC24" s="1997"/>
      <c r="ED24" s="1997"/>
      <c r="EE24" s="1997"/>
      <c r="EF24" s="1997"/>
      <c r="EG24" s="1997"/>
      <c r="EH24" s="1997"/>
      <c r="EI24" s="1997"/>
      <c r="EJ24" s="1997"/>
      <c r="EK24" s="1997"/>
      <c r="EL24" s="1997"/>
      <c r="EM24" s="1997"/>
      <c r="EN24" s="1997"/>
      <c r="EO24" s="1997"/>
      <c r="EP24" s="1997"/>
      <c r="EQ24" s="1997"/>
      <c r="ER24" s="1997"/>
      <c r="ES24" s="1997"/>
      <c r="ET24" s="1997"/>
      <c r="EU24" s="1997"/>
      <c r="EV24" s="1997"/>
      <c r="EW24" s="1997"/>
      <c r="EX24" s="1997"/>
      <c r="EY24" s="1997"/>
      <c r="EZ24" s="1997"/>
      <c r="FA24" s="1997"/>
      <c r="FB24" s="1997"/>
      <c r="FC24" s="1997"/>
      <c r="FD24" s="1997"/>
      <c r="FE24" s="1997"/>
      <c r="FF24" s="1997"/>
      <c r="FG24" s="1997"/>
      <c r="FH24" s="1997"/>
      <c r="FI24" s="1997"/>
      <c r="FJ24" s="1997"/>
      <c r="FK24" s="1997"/>
      <c r="FL24" s="1997"/>
      <c r="FM24" s="1997"/>
      <c r="FN24" s="1997"/>
      <c r="FO24" s="1997"/>
      <c r="FP24" s="1997"/>
      <c r="FQ24" s="1997"/>
      <c r="FR24" s="1997"/>
      <c r="FS24" s="1997"/>
      <c r="FT24" s="1997"/>
      <c r="FU24" s="1997"/>
      <c r="FV24" s="1997"/>
      <c r="FW24" s="1997"/>
      <c r="FX24" s="1997"/>
      <c r="FY24" s="1997"/>
      <c r="FZ24" s="1997"/>
      <c r="GA24" s="1997"/>
      <c r="GB24" s="1997"/>
      <c r="GC24" s="1997"/>
      <c r="GD24" s="1997"/>
      <c r="GE24" s="1997"/>
      <c r="GF24" s="1997"/>
      <c r="GG24" s="1997"/>
      <c r="GH24" s="1997"/>
      <c r="GI24" s="1997"/>
      <c r="GJ24" s="1997"/>
      <c r="GK24" s="1997"/>
      <c r="GL24" s="1997"/>
      <c r="GM24" s="1997"/>
      <c r="GN24" s="1997"/>
      <c r="GO24" s="1997"/>
      <c r="GP24" s="1997"/>
      <c r="GQ24" s="1997"/>
      <c r="GR24" s="1997"/>
      <c r="GS24" s="1997"/>
      <c r="GT24" s="1997"/>
      <c r="GU24" s="1997"/>
      <c r="GV24" s="1997"/>
      <c r="GW24" s="1997"/>
      <c r="GX24" s="1997"/>
      <c r="GY24" s="1997"/>
      <c r="GZ24" s="1997"/>
      <c r="HA24" s="1997"/>
      <c r="HB24" s="1997"/>
      <c r="HC24" s="1997"/>
      <c r="HD24" s="1997"/>
      <c r="HE24" s="1997"/>
      <c r="HF24" s="1997"/>
      <c r="HG24" s="1997"/>
      <c r="HH24" s="1997"/>
      <c r="HI24" s="1997"/>
      <c r="HJ24" s="1997"/>
      <c r="HK24" s="1997"/>
      <c r="HL24" s="1997"/>
      <c r="HM24" s="1997"/>
      <c r="HN24" s="1997"/>
      <c r="HO24" s="1997"/>
      <c r="HP24" s="1997"/>
      <c r="HQ24" s="1997"/>
      <c r="HR24" s="1997"/>
      <c r="HS24" s="1997"/>
      <c r="HT24" s="1997"/>
      <c r="HU24" s="1997"/>
      <c r="HV24" s="1997"/>
      <c r="HW24" s="1997"/>
      <c r="HX24" s="1997"/>
      <c r="HY24" s="1997"/>
      <c r="HZ24" s="1997"/>
      <c r="IA24" s="1997"/>
      <c r="IB24" s="1997"/>
      <c r="IC24" s="1997"/>
      <c r="ID24" s="1997"/>
      <c r="IE24" s="1997"/>
      <c r="IF24" s="1997"/>
      <c r="IG24" s="1997"/>
      <c r="IH24" s="1997"/>
      <c r="II24" s="1997"/>
      <c r="IJ24" s="1997"/>
      <c r="IK24" s="1997"/>
      <c r="IL24" s="1997"/>
      <c r="IM24" s="1997"/>
      <c r="IN24" s="1997"/>
      <c r="IO24" s="1997"/>
      <c r="IP24" s="1997"/>
      <c r="IQ24" s="1997"/>
    </row>
    <row r="25" spans="1:251" hidden="1">
      <c r="A25" s="1993"/>
      <c r="B25" s="1998"/>
      <c r="C25" s="1998"/>
      <c r="D25" s="2034"/>
      <c r="E25" s="1998"/>
      <c r="F25" s="1940">
        <f t="shared" si="14"/>
        <v>0</v>
      </c>
      <c r="G25" s="1993"/>
      <c r="H25" s="1940">
        <f>D25*F25*G25</f>
        <v>0</v>
      </c>
      <c r="I25" s="1993"/>
      <c r="J25" s="1940">
        <f t="shared" si="5"/>
        <v>0</v>
      </c>
      <c r="K25" s="1993"/>
      <c r="L25" s="1940">
        <f t="shared" si="6"/>
        <v>0</v>
      </c>
      <c r="M25" s="1940">
        <f t="shared" si="13"/>
        <v>0</v>
      </c>
      <c r="N25" s="1940">
        <f t="shared" si="7"/>
        <v>0</v>
      </c>
      <c r="O25" s="1993"/>
      <c r="P25" s="1993"/>
      <c r="Q25" s="1940">
        <f t="shared" si="8"/>
        <v>0</v>
      </c>
      <c r="R25" s="1940">
        <f t="shared" si="9"/>
        <v>0</v>
      </c>
      <c r="S25" s="1940">
        <f t="shared" si="10"/>
        <v>0</v>
      </c>
      <c r="T25" s="1940">
        <f t="shared" si="11"/>
        <v>0</v>
      </c>
      <c r="U25" s="1940">
        <f t="shared" si="12"/>
        <v>0</v>
      </c>
      <c r="V25" s="1997"/>
      <c r="W25" s="1997"/>
      <c r="X25" s="1997"/>
      <c r="Y25" s="1997"/>
      <c r="Z25" s="1997"/>
      <c r="AA25" s="1997"/>
      <c r="AB25" s="1997"/>
      <c r="AC25" s="1997"/>
      <c r="AD25" s="1997"/>
      <c r="AE25" s="1997"/>
      <c r="AF25" s="1997"/>
      <c r="AG25" s="1997"/>
      <c r="AH25" s="1997"/>
      <c r="AI25" s="1997"/>
      <c r="AJ25" s="1997"/>
      <c r="AK25" s="1997"/>
      <c r="AL25" s="1997"/>
      <c r="AM25" s="1997"/>
      <c r="AN25" s="1997"/>
      <c r="AO25" s="1997"/>
      <c r="AP25" s="1997"/>
      <c r="AQ25" s="1997"/>
      <c r="AR25" s="1997"/>
      <c r="AS25" s="1997"/>
      <c r="AT25" s="1997"/>
      <c r="AU25" s="1997"/>
      <c r="AV25" s="1997"/>
      <c r="AW25" s="1997"/>
      <c r="AX25" s="1997"/>
      <c r="AY25" s="1997"/>
      <c r="AZ25" s="1997"/>
      <c r="BA25" s="1997"/>
      <c r="BB25" s="1997"/>
      <c r="BC25" s="1997"/>
      <c r="BD25" s="1997"/>
      <c r="BE25" s="1997"/>
      <c r="BF25" s="1997"/>
      <c r="BG25" s="1997"/>
      <c r="BH25" s="1997"/>
      <c r="BI25" s="1997"/>
      <c r="BJ25" s="1997"/>
      <c r="BK25" s="1997"/>
      <c r="BL25" s="1997"/>
      <c r="BM25" s="1997"/>
      <c r="BN25" s="1997"/>
      <c r="BO25" s="1997"/>
      <c r="BP25" s="1997"/>
      <c r="BQ25" s="1997"/>
      <c r="BR25" s="1997"/>
      <c r="BS25" s="1997"/>
      <c r="BT25" s="1997"/>
      <c r="BU25" s="1997"/>
      <c r="BV25" s="1997"/>
      <c r="BW25" s="1997"/>
      <c r="BX25" s="1997"/>
      <c r="BY25" s="1997"/>
      <c r="BZ25" s="1997"/>
      <c r="CA25" s="1997"/>
      <c r="CB25" s="1997"/>
      <c r="CC25" s="1997"/>
      <c r="CD25" s="1997"/>
      <c r="CE25" s="1997"/>
      <c r="CF25" s="1997"/>
      <c r="CG25" s="1997"/>
      <c r="CH25" s="1997"/>
      <c r="CI25" s="1997"/>
      <c r="CJ25" s="1997"/>
      <c r="CK25" s="1997"/>
      <c r="CL25" s="1997"/>
      <c r="CM25" s="1997"/>
      <c r="CN25" s="1997"/>
      <c r="CO25" s="1997"/>
      <c r="CP25" s="1997"/>
      <c r="CQ25" s="1997"/>
      <c r="CR25" s="1997"/>
      <c r="CS25" s="1997"/>
      <c r="CT25" s="1997"/>
      <c r="CU25" s="1997"/>
      <c r="CV25" s="1997"/>
      <c r="CW25" s="1997"/>
      <c r="CX25" s="1997"/>
      <c r="CY25" s="1997"/>
      <c r="CZ25" s="1997"/>
      <c r="DA25" s="1997"/>
      <c r="DB25" s="1997"/>
      <c r="DC25" s="1997"/>
      <c r="DD25" s="1997"/>
      <c r="DE25" s="1997"/>
      <c r="DF25" s="1997"/>
      <c r="DG25" s="1997"/>
      <c r="DH25" s="1997"/>
      <c r="DI25" s="1997"/>
      <c r="DJ25" s="1997"/>
      <c r="DK25" s="1997"/>
      <c r="DL25" s="1997"/>
      <c r="DM25" s="1997"/>
      <c r="DN25" s="1997"/>
      <c r="DO25" s="1997"/>
      <c r="DP25" s="1997"/>
      <c r="DQ25" s="1997"/>
      <c r="DR25" s="1997"/>
      <c r="DS25" s="1997"/>
      <c r="DT25" s="1997"/>
      <c r="DU25" s="1997"/>
      <c r="DV25" s="1997"/>
      <c r="DW25" s="1997"/>
      <c r="DX25" s="1997"/>
      <c r="DY25" s="1997"/>
      <c r="DZ25" s="1997"/>
      <c r="EA25" s="1997"/>
      <c r="EB25" s="1997"/>
      <c r="EC25" s="1997"/>
      <c r="ED25" s="1997"/>
      <c r="EE25" s="1997"/>
      <c r="EF25" s="1997"/>
      <c r="EG25" s="1997"/>
      <c r="EH25" s="1997"/>
      <c r="EI25" s="1997"/>
      <c r="EJ25" s="1997"/>
      <c r="EK25" s="1997"/>
      <c r="EL25" s="1997"/>
      <c r="EM25" s="1997"/>
      <c r="EN25" s="1997"/>
      <c r="EO25" s="1997"/>
      <c r="EP25" s="1997"/>
      <c r="EQ25" s="1997"/>
      <c r="ER25" s="1997"/>
      <c r="ES25" s="1997"/>
      <c r="ET25" s="1997"/>
      <c r="EU25" s="1997"/>
      <c r="EV25" s="1997"/>
      <c r="EW25" s="1997"/>
      <c r="EX25" s="1997"/>
      <c r="EY25" s="1997"/>
      <c r="EZ25" s="1997"/>
      <c r="FA25" s="1997"/>
      <c r="FB25" s="1997"/>
      <c r="FC25" s="1997"/>
      <c r="FD25" s="1997"/>
      <c r="FE25" s="1997"/>
      <c r="FF25" s="1997"/>
      <c r="FG25" s="1997"/>
      <c r="FH25" s="1997"/>
      <c r="FI25" s="1997"/>
      <c r="FJ25" s="1997"/>
      <c r="FK25" s="1997"/>
      <c r="FL25" s="1997"/>
      <c r="FM25" s="1997"/>
      <c r="FN25" s="1997"/>
      <c r="FO25" s="1997"/>
      <c r="FP25" s="1997"/>
      <c r="FQ25" s="1997"/>
      <c r="FR25" s="1997"/>
      <c r="FS25" s="1997"/>
      <c r="FT25" s="1997"/>
      <c r="FU25" s="1997"/>
      <c r="FV25" s="1997"/>
      <c r="FW25" s="1997"/>
      <c r="FX25" s="1997"/>
      <c r="FY25" s="1997"/>
      <c r="FZ25" s="1997"/>
      <c r="GA25" s="1997"/>
      <c r="GB25" s="1997"/>
      <c r="GC25" s="1997"/>
      <c r="GD25" s="1997"/>
      <c r="GE25" s="1997"/>
      <c r="GF25" s="1997"/>
      <c r="GG25" s="1997"/>
      <c r="GH25" s="1997"/>
      <c r="GI25" s="1997"/>
      <c r="GJ25" s="1997"/>
      <c r="GK25" s="1997"/>
      <c r="GL25" s="1997"/>
      <c r="GM25" s="1997"/>
      <c r="GN25" s="1997"/>
      <c r="GO25" s="1997"/>
      <c r="GP25" s="1997"/>
      <c r="GQ25" s="1997"/>
      <c r="GR25" s="1997"/>
      <c r="GS25" s="1997"/>
      <c r="GT25" s="1997"/>
      <c r="GU25" s="1997"/>
      <c r="GV25" s="1997"/>
      <c r="GW25" s="1997"/>
      <c r="GX25" s="1997"/>
      <c r="GY25" s="1997"/>
      <c r="GZ25" s="1997"/>
      <c r="HA25" s="1997"/>
      <c r="HB25" s="1997"/>
      <c r="HC25" s="1997"/>
      <c r="HD25" s="1997"/>
      <c r="HE25" s="1997"/>
      <c r="HF25" s="1997"/>
      <c r="HG25" s="1997"/>
      <c r="HH25" s="1997"/>
      <c r="HI25" s="1997"/>
      <c r="HJ25" s="1997"/>
      <c r="HK25" s="1997"/>
      <c r="HL25" s="1997"/>
      <c r="HM25" s="1997"/>
      <c r="HN25" s="1997"/>
      <c r="HO25" s="1997"/>
      <c r="HP25" s="1997"/>
      <c r="HQ25" s="1997"/>
      <c r="HR25" s="1997"/>
      <c r="HS25" s="1997"/>
      <c r="HT25" s="1997"/>
      <c r="HU25" s="1997"/>
      <c r="HV25" s="1997"/>
      <c r="HW25" s="1997"/>
      <c r="HX25" s="1997"/>
      <c r="HY25" s="1997"/>
      <c r="HZ25" s="1997"/>
      <c r="IA25" s="1997"/>
      <c r="IB25" s="1997"/>
      <c r="IC25" s="1997"/>
      <c r="ID25" s="1997"/>
      <c r="IE25" s="1997"/>
      <c r="IF25" s="1997"/>
      <c r="IG25" s="1997"/>
      <c r="IH25" s="1997"/>
      <c r="II25" s="1997"/>
      <c r="IJ25" s="1997"/>
      <c r="IK25" s="1997"/>
      <c r="IL25" s="1997"/>
      <c r="IM25" s="1997"/>
      <c r="IN25" s="1997"/>
      <c r="IO25" s="1997"/>
      <c r="IP25" s="1997"/>
      <c r="IQ25" s="1997"/>
    </row>
    <row r="26" spans="1:251" ht="12" hidden="1" customHeight="1">
      <c r="A26" s="1993"/>
      <c r="B26" s="1998"/>
      <c r="C26" s="1998"/>
      <c r="D26" s="2034"/>
      <c r="E26" s="1998"/>
      <c r="F26" s="1940">
        <f t="shared" si="14"/>
        <v>0</v>
      </c>
      <c r="G26" s="1993"/>
      <c r="H26" s="1940">
        <f t="shared" si="4"/>
        <v>0</v>
      </c>
      <c r="I26" s="1993"/>
      <c r="J26" s="1940">
        <f t="shared" si="5"/>
        <v>0</v>
      </c>
      <c r="K26" s="1993"/>
      <c r="L26" s="1940">
        <f t="shared" si="6"/>
        <v>0</v>
      </c>
      <c r="M26" s="1940">
        <f t="shared" si="13"/>
        <v>0</v>
      </c>
      <c r="N26" s="1940">
        <f t="shared" si="7"/>
        <v>0</v>
      </c>
      <c r="O26" s="1993"/>
      <c r="P26" s="1993"/>
      <c r="Q26" s="1940">
        <f t="shared" si="8"/>
        <v>0</v>
      </c>
      <c r="R26" s="1940">
        <f t="shared" si="9"/>
        <v>0</v>
      </c>
      <c r="S26" s="1940">
        <f t="shared" si="10"/>
        <v>0</v>
      </c>
      <c r="T26" s="1940">
        <f t="shared" si="11"/>
        <v>0</v>
      </c>
      <c r="U26" s="1940">
        <f t="shared" si="12"/>
        <v>0</v>
      </c>
      <c r="V26" s="1997"/>
      <c r="W26" s="1997"/>
      <c r="X26" s="1997"/>
      <c r="Y26" s="1997"/>
      <c r="Z26" s="1997"/>
      <c r="AA26" s="1997"/>
      <c r="AB26" s="1997"/>
      <c r="AC26" s="1997"/>
      <c r="AD26" s="1997"/>
      <c r="AE26" s="1997"/>
      <c r="AF26" s="1997"/>
      <c r="AG26" s="1997"/>
      <c r="AH26" s="1997"/>
      <c r="AI26" s="1997"/>
      <c r="AJ26" s="1997"/>
      <c r="AK26" s="1997"/>
      <c r="AL26" s="1997"/>
      <c r="AM26" s="1997"/>
      <c r="AN26" s="1997"/>
      <c r="AO26" s="1997"/>
      <c r="AP26" s="1997"/>
      <c r="AQ26" s="1997"/>
      <c r="AR26" s="1997"/>
      <c r="AS26" s="1997"/>
      <c r="AT26" s="1997"/>
      <c r="AU26" s="1997"/>
      <c r="AV26" s="1997"/>
      <c r="AW26" s="1997"/>
      <c r="AX26" s="1997"/>
      <c r="AY26" s="1997"/>
      <c r="AZ26" s="1997"/>
      <c r="BA26" s="1997"/>
      <c r="BB26" s="1997"/>
      <c r="BC26" s="1997"/>
      <c r="BD26" s="1997"/>
      <c r="BE26" s="1997"/>
      <c r="BF26" s="1997"/>
      <c r="BG26" s="1997"/>
      <c r="BH26" s="1997"/>
      <c r="BI26" s="1997"/>
      <c r="BJ26" s="1997"/>
      <c r="BK26" s="1997"/>
      <c r="BL26" s="1997"/>
      <c r="BM26" s="1997"/>
      <c r="BN26" s="1997"/>
      <c r="BO26" s="1997"/>
      <c r="BP26" s="1997"/>
      <c r="BQ26" s="1997"/>
      <c r="BR26" s="1997"/>
      <c r="BS26" s="1997"/>
      <c r="BT26" s="1997"/>
      <c r="BU26" s="1997"/>
      <c r="BV26" s="1997"/>
      <c r="BW26" s="1997"/>
      <c r="BX26" s="1997"/>
      <c r="BY26" s="1997"/>
      <c r="BZ26" s="1997"/>
      <c r="CA26" s="1997"/>
      <c r="CB26" s="1997"/>
      <c r="CC26" s="1997"/>
      <c r="CD26" s="1997"/>
      <c r="CE26" s="1997"/>
      <c r="CF26" s="1997"/>
      <c r="CG26" s="1997"/>
      <c r="CH26" s="1997"/>
      <c r="CI26" s="1997"/>
      <c r="CJ26" s="1997"/>
      <c r="CK26" s="1997"/>
      <c r="CL26" s="1997"/>
      <c r="CM26" s="1997"/>
      <c r="CN26" s="1997"/>
      <c r="CO26" s="1997"/>
      <c r="CP26" s="1997"/>
      <c r="CQ26" s="1997"/>
      <c r="CR26" s="1997"/>
      <c r="CS26" s="1997"/>
      <c r="CT26" s="1997"/>
      <c r="CU26" s="1997"/>
      <c r="CV26" s="1997"/>
      <c r="CW26" s="1997"/>
      <c r="CX26" s="1997"/>
      <c r="CY26" s="1997"/>
      <c r="CZ26" s="1997"/>
      <c r="DA26" s="1997"/>
      <c r="DB26" s="1997"/>
      <c r="DC26" s="1997"/>
      <c r="DD26" s="1997"/>
      <c r="DE26" s="1997"/>
      <c r="DF26" s="1997"/>
      <c r="DG26" s="1997"/>
      <c r="DH26" s="1997"/>
      <c r="DI26" s="1997"/>
      <c r="DJ26" s="1997"/>
      <c r="DK26" s="1997"/>
      <c r="DL26" s="1997"/>
      <c r="DM26" s="1997"/>
      <c r="DN26" s="1997"/>
      <c r="DO26" s="1997"/>
      <c r="DP26" s="1997"/>
      <c r="DQ26" s="1997"/>
      <c r="DR26" s="1997"/>
      <c r="DS26" s="1997"/>
      <c r="DT26" s="1997"/>
      <c r="DU26" s="1997"/>
      <c r="DV26" s="1997"/>
      <c r="DW26" s="1997"/>
      <c r="DX26" s="1997"/>
      <c r="DY26" s="1997"/>
      <c r="DZ26" s="1997"/>
      <c r="EA26" s="1997"/>
      <c r="EB26" s="1997"/>
      <c r="EC26" s="1997"/>
      <c r="ED26" s="1997"/>
      <c r="EE26" s="1997"/>
      <c r="EF26" s="1997"/>
      <c r="EG26" s="1997"/>
      <c r="EH26" s="1997"/>
      <c r="EI26" s="1997"/>
      <c r="EJ26" s="1997"/>
      <c r="EK26" s="1997"/>
      <c r="EL26" s="1997"/>
      <c r="EM26" s="1997"/>
      <c r="EN26" s="1997"/>
      <c r="EO26" s="1997"/>
      <c r="EP26" s="1997"/>
      <c r="EQ26" s="1997"/>
      <c r="ER26" s="1997"/>
      <c r="ES26" s="1997"/>
      <c r="ET26" s="1997"/>
      <c r="EU26" s="1997"/>
      <c r="EV26" s="1997"/>
      <c r="EW26" s="1997"/>
      <c r="EX26" s="1997"/>
      <c r="EY26" s="1997"/>
      <c r="EZ26" s="1997"/>
      <c r="FA26" s="1997"/>
      <c r="FB26" s="1997"/>
      <c r="FC26" s="1997"/>
      <c r="FD26" s="1997"/>
      <c r="FE26" s="1997"/>
      <c r="FF26" s="1997"/>
      <c r="FG26" s="1997"/>
      <c r="FH26" s="1997"/>
      <c r="FI26" s="1997"/>
      <c r="FJ26" s="1997"/>
      <c r="FK26" s="1997"/>
      <c r="FL26" s="1997"/>
      <c r="FM26" s="1997"/>
      <c r="FN26" s="1997"/>
      <c r="FO26" s="1997"/>
      <c r="FP26" s="1997"/>
      <c r="FQ26" s="1997"/>
      <c r="FR26" s="1997"/>
      <c r="FS26" s="1997"/>
      <c r="FT26" s="1997"/>
      <c r="FU26" s="1997"/>
      <c r="FV26" s="1997"/>
      <c r="FW26" s="1997"/>
      <c r="FX26" s="1997"/>
      <c r="FY26" s="1997"/>
      <c r="FZ26" s="1997"/>
      <c r="GA26" s="1997"/>
      <c r="GB26" s="1997"/>
      <c r="GC26" s="1997"/>
      <c r="GD26" s="1997"/>
      <c r="GE26" s="1997"/>
      <c r="GF26" s="1997"/>
      <c r="GG26" s="1997"/>
      <c r="GH26" s="1997"/>
      <c r="GI26" s="1997"/>
      <c r="GJ26" s="1997"/>
      <c r="GK26" s="1997"/>
      <c r="GL26" s="1997"/>
      <c r="GM26" s="1997"/>
      <c r="GN26" s="1997"/>
      <c r="GO26" s="1997"/>
      <c r="GP26" s="1997"/>
      <c r="GQ26" s="1997"/>
      <c r="GR26" s="1997"/>
      <c r="GS26" s="1997"/>
      <c r="GT26" s="1997"/>
      <c r="GU26" s="1997"/>
      <c r="GV26" s="1997"/>
      <c r="GW26" s="1997"/>
      <c r="GX26" s="1997"/>
      <c r="GY26" s="1997"/>
      <c r="GZ26" s="1997"/>
      <c r="HA26" s="1997"/>
      <c r="HB26" s="1997"/>
      <c r="HC26" s="1997"/>
      <c r="HD26" s="1997"/>
      <c r="HE26" s="1997"/>
      <c r="HF26" s="1997"/>
      <c r="HG26" s="1997"/>
      <c r="HH26" s="1997"/>
      <c r="HI26" s="1997"/>
      <c r="HJ26" s="1997"/>
      <c r="HK26" s="1997"/>
      <c r="HL26" s="1997"/>
      <c r="HM26" s="1997"/>
      <c r="HN26" s="1997"/>
      <c r="HO26" s="1997"/>
      <c r="HP26" s="1997"/>
      <c r="HQ26" s="1997"/>
      <c r="HR26" s="1997"/>
      <c r="HS26" s="1997"/>
      <c r="HT26" s="1997"/>
      <c r="HU26" s="1997"/>
      <c r="HV26" s="1997"/>
      <c r="HW26" s="1997"/>
      <c r="HX26" s="1997"/>
      <c r="HY26" s="1997"/>
      <c r="HZ26" s="1997"/>
      <c r="IA26" s="1997"/>
      <c r="IB26" s="1997"/>
      <c r="IC26" s="1997"/>
      <c r="ID26" s="1997"/>
      <c r="IE26" s="1997"/>
      <c r="IF26" s="1997"/>
      <c r="IG26" s="1997"/>
      <c r="IH26" s="1997"/>
      <c r="II26" s="1997"/>
      <c r="IJ26" s="1997"/>
      <c r="IK26" s="1997"/>
      <c r="IL26" s="1997"/>
      <c r="IM26" s="1997"/>
      <c r="IN26" s="1997"/>
      <c r="IO26" s="1997"/>
      <c r="IP26" s="1997"/>
      <c r="IQ26" s="1997"/>
    </row>
    <row r="27" spans="1:251" hidden="1">
      <c r="A27" s="1993"/>
      <c r="B27" s="1998"/>
      <c r="C27" s="1998"/>
      <c r="D27" s="2034"/>
      <c r="E27" s="1998"/>
      <c r="F27" s="1940">
        <f t="shared" si="14"/>
        <v>0</v>
      </c>
      <c r="G27" s="1993"/>
      <c r="H27" s="1940">
        <f t="shared" si="4"/>
        <v>0</v>
      </c>
      <c r="I27" s="1993"/>
      <c r="J27" s="1940">
        <f t="shared" si="5"/>
        <v>0</v>
      </c>
      <c r="K27" s="1993"/>
      <c r="L27" s="1940">
        <f t="shared" si="6"/>
        <v>0</v>
      </c>
      <c r="M27" s="1940">
        <f t="shared" si="13"/>
        <v>0</v>
      </c>
      <c r="N27" s="1940">
        <f t="shared" si="7"/>
        <v>0</v>
      </c>
      <c r="O27" s="1993"/>
      <c r="P27" s="1993"/>
      <c r="Q27" s="1940">
        <f t="shared" si="8"/>
        <v>0</v>
      </c>
      <c r="R27" s="1940">
        <f t="shared" si="9"/>
        <v>0</v>
      </c>
      <c r="S27" s="1940">
        <f t="shared" si="10"/>
        <v>0</v>
      </c>
      <c r="T27" s="1940">
        <f t="shared" si="11"/>
        <v>0</v>
      </c>
      <c r="U27" s="1940">
        <f t="shared" si="12"/>
        <v>0</v>
      </c>
      <c r="V27" s="1997"/>
      <c r="W27" s="1997"/>
      <c r="X27" s="1997"/>
      <c r="Y27" s="1997"/>
      <c r="Z27" s="1997"/>
      <c r="AA27" s="1997"/>
      <c r="AB27" s="1997"/>
      <c r="AC27" s="1997"/>
      <c r="AD27" s="1997"/>
      <c r="AE27" s="1997"/>
      <c r="AF27" s="1997"/>
      <c r="AG27" s="1997"/>
      <c r="AH27" s="1997"/>
      <c r="AI27" s="1997"/>
      <c r="AJ27" s="1997"/>
      <c r="AK27" s="1997"/>
      <c r="AL27" s="1997"/>
      <c r="AM27" s="1997"/>
      <c r="AN27" s="1997"/>
      <c r="AO27" s="1997"/>
      <c r="AP27" s="1997"/>
      <c r="AQ27" s="1997"/>
      <c r="AR27" s="1997"/>
      <c r="AS27" s="1997"/>
      <c r="AT27" s="1997"/>
      <c r="AU27" s="1997"/>
      <c r="AV27" s="1997"/>
      <c r="AW27" s="1997"/>
      <c r="AX27" s="1997"/>
      <c r="AY27" s="1997"/>
      <c r="AZ27" s="1997"/>
      <c r="BA27" s="1997"/>
      <c r="BB27" s="1997"/>
      <c r="BC27" s="1997"/>
      <c r="BD27" s="1997"/>
      <c r="BE27" s="1997"/>
      <c r="BF27" s="1997"/>
      <c r="BG27" s="1997"/>
      <c r="BH27" s="1997"/>
      <c r="BI27" s="1997"/>
      <c r="BJ27" s="1997"/>
      <c r="BK27" s="1997"/>
      <c r="BL27" s="1997"/>
      <c r="BM27" s="1997"/>
      <c r="BN27" s="1997"/>
      <c r="BO27" s="1997"/>
      <c r="BP27" s="1997"/>
      <c r="BQ27" s="1997"/>
      <c r="BR27" s="1997"/>
      <c r="BS27" s="1997"/>
      <c r="BT27" s="1997"/>
      <c r="BU27" s="1997"/>
      <c r="BV27" s="1997"/>
      <c r="BW27" s="1997"/>
      <c r="BX27" s="1997"/>
      <c r="BY27" s="1997"/>
      <c r="BZ27" s="1997"/>
      <c r="CA27" s="1997"/>
      <c r="CB27" s="1997"/>
      <c r="CC27" s="1997"/>
      <c r="CD27" s="1997"/>
      <c r="CE27" s="1997"/>
      <c r="CF27" s="1997"/>
      <c r="CG27" s="1997"/>
      <c r="CH27" s="1997"/>
      <c r="CI27" s="1997"/>
      <c r="CJ27" s="1997"/>
      <c r="CK27" s="1997"/>
      <c r="CL27" s="1997"/>
      <c r="CM27" s="1997"/>
      <c r="CN27" s="1997"/>
      <c r="CO27" s="1997"/>
      <c r="CP27" s="1997"/>
      <c r="CQ27" s="1997"/>
      <c r="CR27" s="1997"/>
      <c r="CS27" s="1997"/>
      <c r="CT27" s="1997"/>
      <c r="CU27" s="1997"/>
      <c r="CV27" s="1997"/>
      <c r="CW27" s="1997"/>
      <c r="CX27" s="1997"/>
      <c r="CY27" s="1997"/>
      <c r="CZ27" s="1997"/>
      <c r="DA27" s="1997"/>
      <c r="DB27" s="1997"/>
      <c r="DC27" s="1997"/>
      <c r="DD27" s="1997"/>
      <c r="DE27" s="1997"/>
      <c r="DF27" s="1997"/>
      <c r="DG27" s="1997"/>
      <c r="DH27" s="1997"/>
      <c r="DI27" s="1997"/>
      <c r="DJ27" s="1997"/>
      <c r="DK27" s="1997"/>
      <c r="DL27" s="1997"/>
      <c r="DM27" s="1997"/>
      <c r="DN27" s="1997"/>
      <c r="DO27" s="1997"/>
      <c r="DP27" s="1997"/>
      <c r="DQ27" s="1997"/>
      <c r="DR27" s="1997"/>
      <c r="DS27" s="1997"/>
      <c r="DT27" s="1997"/>
      <c r="DU27" s="1997"/>
      <c r="DV27" s="1997"/>
      <c r="DW27" s="1997"/>
      <c r="DX27" s="1997"/>
      <c r="DY27" s="1997"/>
      <c r="DZ27" s="1997"/>
      <c r="EA27" s="1997"/>
      <c r="EB27" s="1997"/>
      <c r="EC27" s="1997"/>
      <c r="ED27" s="1997"/>
      <c r="EE27" s="1997"/>
      <c r="EF27" s="1997"/>
      <c r="EG27" s="1997"/>
      <c r="EH27" s="1997"/>
      <c r="EI27" s="1997"/>
      <c r="EJ27" s="1997"/>
      <c r="EK27" s="1997"/>
      <c r="EL27" s="1997"/>
      <c r="EM27" s="1997"/>
      <c r="EN27" s="1997"/>
      <c r="EO27" s="1997"/>
      <c r="EP27" s="1997"/>
      <c r="EQ27" s="1997"/>
      <c r="ER27" s="1997"/>
      <c r="ES27" s="1997"/>
      <c r="ET27" s="1997"/>
      <c r="EU27" s="1997"/>
      <c r="EV27" s="1997"/>
      <c r="EW27" s="1997"/>
      <c r="EX27" s="1997"/>
      <c r="EY27" s="1997"/>
      <c r="EZ27" s="1997"/>
      <c r="FA27" s="1997"/>
      <c r="FB27" s="1997"/>
      <c r="FC27" s="1997"/>
      <c r="FD27" s="1997"/>
      <c r="FE27" s="1997"/>
      <c r="FF27" s="1997"/>
      <c r="FG27" s="1997"/>
      <c r="FH27" s="1997"/>
      <c r="FI27" s="1997"/>
      <c r="FJ27" s="1997"/>
      <c r="FK27" s="1997"/>
      <c r="FL27" s="1997"/>
      <c r="FM27" s="1997"/>
      <c r="FN27" s="1997"/>
      <c r="FO27" s="1997"/>
      <c r="FP27" s="1997"/>
      <c r="FQ27" s="1997"/>
      <c r="FR27" s="1997"/>
      <c r="FS27" s="1997"/>
      <c r="FT27" s="1997"/>
      <c r="FU27" s="1997"/>
      <c r="FV27" s="1997"/>
      <c r="FW27" s="1997"/>
      <c r="FX27" s="1997"/>
      <c r="FY27" s="1997"/>
      <c r="FZ27" s="1997"/>
      <c r="GA27" s="1997"/>
      <c r="GB27" s="1997"/>
      <c r="GC27" s="1997"/>
      <c r="GD27" s="1997"/>
      <c r="GE27" s="1997"/>
      <c r="GF27" s="1997"/>
      <c r="GG27" s="1997"/>
      <c r="GH27" s="1997"/>
      <c r="GI27" s="1997"/>
      <c r="GJ27" s="1997"/>
      <c r="GK27" s="1997"/>
      <c r="GL27" s="1997"/>
      <c r="GM27" s="1997"/>
      <c r="GN27" s="1997"/>
      <c r="GO27" s="1997"/>
      <c r="GP27" s="1997"/>
      <c r="GQ27" s="1997"/>
      <c r="GR27" s="1997"/>
      <c r="GS27" s="1997"/>
      <c r="GT27" s="1997"/>
      <c r="GU27" s="1997"/>
      <c r="GV27" s="1997"/>
      <c r="GW27" s="1997"/>
      <c r="GX27" s="1997"/>
      <c r="GY27" s="1997"/>
      <c r="GZ27" s="1997"/>
      <c r="HA27" s="1997"/>
      <c r="HB27" s="1997"/>
      <c r="HC27" s="1997"/>
      <c r="HD27" s="1997"/>
      <c r="HE27" s="1997"/>
      <c r="HF27" s="1997"/>
      <c r="HG27" s="1997"/>
      <c r="HH27" s="1997"/>
      <c r="HI27" s="1997"/>
      <c r="HJ27" s="1997"/>
      <c r="HK27" s="1997"/>
      <c r="HL27" s="1997"/>
      <c r="HM27" s="1997"/>
      <c r="HN27" s="1997"/>
      <c r="HO27" s="1997"/>
      <c r="HP27" s="1997"/>
      <c r="HQ27" s="1997"/>
      <c r="HR27" s="1997"/>
      <c r="HS27" s="1997"/>
      <c r="HT27" s="1997"/>
      <c r="HU27" s="1997"/>
      <c r="HV27" s="1997"/>
      <c r="HW27" s="1997"/>
      <c r="HX27" s="1997"/>
      <c r="HY27" s="1997"/>
      <c r="HZ27" s="1997"/>
      <c r="IA27" s="1997"/>
      <c r="IB27" s="1997"/>
      <c r="IC27" s="1997"/>
      <c r="ID27" s="1997"/>
      <c r="IE27" s="1997"/>
      <c r="IF27" s="1997"/>
      <c r="IG27" s="1997"/>
      <c r="IH27" s="1997"/>
      <c r="II27" s="1997"/>
      <c r="IJ27" s="1997"/>
      <c r="IK27" s="1997"/>
      <c r="IL27" s="1997"/>
      <c r="IM27" s="1997"/>
      <c r="IN27" s="1997"/>
      <c r="IO27" s="1997"/>
      <c r="IP27" s="1997"/>
      <c r="IQ27" s="1997"/>
    </row>
    <row r="28" spans="1:251" hidden="1">
      <c r="A28" s="1993"/>
      <c r="B28" s="1998"/>
      <c r="C28" s="1998"/>
      <c r="D28" s="2034"/>
      <c r="E28" s="1998"/>
      <c r="F28" s="1940">
        <f t="shared" si="14"/>
        <v>0</v>
      </c>
      <c r="G28" s="1993"/>
      <c r="H28" s="1940">
        <f t="shared" si="4"/>
        <v>0</v>
      </c>
      <c r="I28" s="1993"/>
      <c r="J28" s="1940">
        <f t="shared" si="5"/>
        <v>0</v>
      </c>
      <c r="K28" s="1993"/>
      <c r="L28" s="1940">
        <f t="shared" si="6"/>
        <v>0</v>
      </c>
      <c r="M28" s="1940">
        <f t="shared" si="13"/>
        <v>0</v>
      </c>
      <c r="N28" s="1940">
        <f t="shared" si="7"/>
        <v>0</v>
      </c>
      <c r="O28" s="1993"/>
      <c r="P28" s="1993"/>
      <c r="Q28" s="1940">
        <f t="shared" si="8"/>
        <v>0</v>
      </c>
      <c r="R28" s="1940">
        <f t="shared" si="9"/>
        <v>0</v>
      </c>
      <c r="S28" s="1940">
        <f t="shared" si="10"/>
        <v>0</v>
      </c>
      <c r="T28" s="1940">
        <f t="shared" si="11"/>
        <v>0</v>
      </c>
      <c r="U28" s="1940">
        <f t="shared" si="12"/>
        <v>0</v>
      </c>
      <c r="V28" s="1997"/>
      <c r="W28" s="1997"/>
      <c r="X28" s="1997"/>
      <c r="Y28" s="1997"/>
      <c r="Z28" s="1997"/>
      <c r="AA28" s="1997"/>
      <c r="AB28" s="1997"/>
      <c r="AC28" s="1997"/>
      <c r="AD28" s="1997"/>
      <c r="AE28" s="1997"/>
      <c r="AF28" s="1997"/>
      <c r="AG28" s="1997"/>
      <c r="AH28" s="1997"/>
      <c r="AI28" s="1997"/>
      <c r="AJ28" s="1997"/>
      <c r="AK28" s="1997"/>
      <c r="AL28" s="1997"/>
      <c r="AM28" s="1997"/>
      <c r="AN28" s="1997"/>
      <c r="AO28" s="1997"/>
      <c r="AP28" s="1997"/>
      <c r="AQ28" s="1997"/>
      <c r="AR28" s="1997"/>
      <c r="AS28" s="1997"/>
      <c r="AT28" s="1997"/>
      <c r="AU28" s="1997"/>
      <c r="AV28" s="1997"/>
      <c r="AW28" s="1997"/>
      <c r="AX28" s="1997"/>
      <c r="AY28" s="1997"/>
      <c r="AZ28" s="1997"/>
      <c r="BA28" s="1997"/>
      <c r="BB28" s="1997"/>
      <c r="BC28" s="1997"/>
      <c r="BD28" s="1997"/>
      <c r="BE28" s="1997"/>
      <c r="BF28" s="1997"/>
      <c r="BG28" s="1997"/>
      <c r="BH28" s="1997"/>
      <c r="BI28" s="1997"/>
      <c r="BJ28" s="1997"/>
      <c r="BK28" s="1997"/>
      <c r="BL28" s="1997"/>
      <c r="BM28" s="1997"/>
      <c r="BN28" s="1997"/>
      <c r="BO28" s="1997"/>
      <c r="BP28" s="1997"/>
      <c r="BQ28" s="1997"/>
      <c r="BR28" s="1997"/>
      <c r="BS28" s="1997"/>
      <c r="BT28" s="1997"/>
      <c r="BU28" s="1997"/>
      <c r="BV28" s="1997"/>
      <c r="BW28" s="1997"/>
      <c r="BX28" s="1997"/>
      <c r="BY28" s="1997"/>
      <c r="BZ28" s="1997"/>
      <c r="CA28" s="1997"/>
      <c r="CB28" s="1997"/>
      <c r="CC28" s="1997"/>
      <c r="CD28" s="1997"/>
      <c r="CE28" s="1997"/>
      <c r="CF28" s="1997"/>
      <c r="CG28" s="1997"/>
      <c r="CH28" s="1997"/>
      <c r="CI28" s="1997"/>
      <c r="CJ28" s="1997"/>
      <c r="CK28" s="1997"/>
      <c r="CL28" s="1997"/>
      <c r="CM28" s="1997"/>
      <c r="CN28" s="1997"/>
      <c r="CO28" s="1997"/>
      <c r="CP28" s="1997"/>
      <c r="CQ28" s="1997"/>
      <c r="CR28" s="1997"/>
      <c r="CS28" s="1997"/>
      <c r="CT28" s="1997"/>
      <c r="CU28" s="1997"/>
      <c r="CV28" s="1997"/>
      <c r="CW28" s="1997"/>
      <c r="CX28" s="1997"/>
      <c r="CY28" s="1997"/>
      <c r="CZ28" s="1997"/>
      <c r="DA28" s="1997"/>
      <c r="DB28" s="1997"/>
      <c r="DC28" s="1997"/>
      <c r="DD28" s="1997"/>
      <c r="DE28" s="1997"/>
      <c r="DF28" s="1997"/>
      <c r="DG28" s="1997"/>
      <c r="DH28" s="1997"/>
      <c r="DI28" s="1997"/>
      <c r="DJ28" s="1997"/>
      <c r="DK28" s="1997"/>
      <c r="DL28" s="1997"/>
      <c r="DM28" s="1997"/>
      <c r="DN28" s="1997"/>
      <c r="DO28" s="1997"/>
      <c r="DP28" s="1997"/>
      <c r="DQ28" s="1997"/>
      <c r="DR28" s="1997"/>
      <c r="DS28" s="1997"/>
      <c r="DT28" s="1997"/>
      <c r="DU28" s="1997"/>
      <c r="DV28" s="1997"/>
      <c r="DW28" s="1997"/>
      <c r="DX28" s="1997"/>
      <c r="DY28" s="1997"/>
      <c r="DZ28" s="1997"/>
      <c r="EA28" s="1997"/>
      <c r="EB28" s="1997"/>
      <c r="EC28" s="1997"/>
      <c r="ED28" s="1997"/>
      <c r="EE28" s="1997"/>
      <c r="EF28" s="1997"/>
      <c r="EG28" s="1997"/>
      <c r="EH28" s="1997"/>
      <c r="EI28" s="1997"/>
      <c r="EJ28" s="1997"/>
      <c r="EK28" s="1997"/>
      <c r="EL28" s="1997"/>
      <c r="EM28" s="1997"/>
      <c r="EN28" s="1997"/>
      <c r="EO28" s="1997"/>
      <c r="EP28" s="1997"/>
      <c r="EQ28" s="1997"/>
      <c r="ER28" s="1997"/>
      <c r="ES28" s="1997"/>
      <c r="ET28" s="1997"/>
      <c r="EU28" s="1997"/>
      <c r="EV28" s="1997"/>
      <c r="EW28" s="1997"/>
      <c r="EX28" s="1997"/>
      <c r="EY28" s="1997"/>
      <c r="EZ28" s="1997"/>
      <c r="FA28" s="1997"/>
      <c r="FB28" s="1997"/>
      <c r="FC28" s="1997"/>
      <c r="FD28" s="1997"/>
      <c r="FE28" s="1997"/>
      <c r="FF28" s="1997"/>
      <c r="FG28" s="1997"/>
      <c r="FH28" s="1997"/>
      <c r="FI28" s="1997"/>
      <c r="FJ28" s="1997"/>
      <c r="FK28" s="1997"/>
      <c r="FL28" s="1997"/>
      <c r="FM28" s="1997"/>
      <c r="FN28" s="1997"/>
      <c r="FO28" s="1997"/>
      <c r="FP28" s="1997"/>
      <c r="FQ28" s="1997"/>
      <c r="FR28" s="1997"/>
      <c r="FS28" s="1997"/>
      <c r="FT28" s="1997"/>
      <c r="FU28" s="1997"/>
      <c r="FV28" s="1997"/>
      <c r="FW28" s="1997"/>
      <c r="FX28" s="1997"/>
      <c r="FY28" s="1997"/>
      <c r="FZ28" s="1997"/>
      <c r="GA28" s="1997"/>
      <c r="GB28" s="1997"/>
      <c r="GC28" s="1997"/>
      <c r="GD28" s="1997"/>
      <c r="GE28" s="1997"/>
      <c r="GF28" s="1997"/>
      <c r="GG28" s="1997"/>
      <c r="GH28" s="1997"/>
      <c r="GI28" s="1997"/>
      <c r="GJ28" s="1997"/>
      <c r="GK28" s="1997"/>
      <c r="GL28" s="1997"/>
      <c r="GM28" s="1997"/>
      <c r="GN28" s="1997"/>
      <c r="GO28" s="1997"/>
      <c r="GP28" s="1997"/>
      <c r="GQ28" s="1997"/>
      <c r="GR28" s="1997"/>
      <c r="GS28" s="1997"/>
      <c r="GT28" s="1997"/>
      <c r="GU28" s="1997"/>
      <c r="GV28" s="1997"/>
      <c r="GW28" s="1997"/>
      <c r="GX28" s="1997"/>
      <c r="GY28" s="1997"/>
      <c r="GZ28" s="1997"/>
      <c r="HA28" s="1997"/>
      <c r="HB28" s="1997"/>
      <c r="HC28" s="1997"/>
      <c r="HD28" s="1997"/>
      <c r="HE28" s="1997"/>
      <c r="HF28" s="1997"/>
      <c r="HG28" s="1997"/>
      <c r="HH28" s="1997"/>
      <c r="HI28" s="1997"/>
      <c r="HJ28" s="1997"/>
      <c r="HK28" s="1997"/>
      <c r="HL28" s="1997"/>
      <c r="HM28" s="1997"/>
      <c r="HN28" s="1997"/>
      <c r="HO28" s="1997"/>
      <c r="HP28" s="1997"/>
      <c r="HQ28" s="1997"/>
      <c r="HR28" s="1997"/>
      <c r="HS28" s="1997"/>
      <c r="HT28" s="1997"/>
      <c r="HU28" s="1997"/>
      <c r="HV28" s="1997"/>
      <c r="HW28" s="1997"/>
      <c r="HX28" s="1997"/>
      <c r="HY28" s="1997"/>
      <c r="HZ28" s="1997"/>
      <c r="IA28" s="1997"/>
      <c r="IB28" s="1997"/>
      <c r="IC28" s="1997"/>
      <c r="ID28" s="1997"/>
      <c r="IE28" s="1997"/>
      <c r="IF28" s="1997"/>
      <c r="IG28" s="1997"/>
      <c r="IH28" s="1997"/>
      <c r="II28" s="1997"/>
      <c r="IJ28" s="1997"/>
      <c r="IK28" s="1997"/>
      <c r="IL28" s="1997"/>
      <c r="IM28" s="1997"/>
      <c r="IN28" s="1997"/>
      <c r="IO28" s="1997"/>
      <c r="IP28" s="1997"/>
      <c r="IQ28" s="1997"/>
    </row>
    <row r="29" spans="1:251" hidden="1">
      <c r="A29" s="1993"/>
      <c r="B29" s="1998"/>
      <c r="C29" s="1998"/>
      <c r="D29" s="2034"/>
      <c r="E29" s="1998"/>
      <c r="F29" s="1940">
        <f t="shared" si="14"/>
        <v>0</v>
      </c>
      <c r="G29" s="1993"/>
      <c r="H29" s="1940">
        <f t="shared" si="4"/>
        <v>0</v>
      </c>
      <c r="I29" s="1993"/>
      <c r="J29" s="1940">
        <f t="shared" si="5"/>
        <v>0</v>
      </c>
      <c r="K29" s="1993"/>
      <c r="L29" s="1940">
        <f t="shared" si="6"/>
        <v>0</v>
      </c>
      <c r="M29" s="1940">
        <f t="shared" si="13"/>
        <v>0</v>
      </c>
      <c r="N29" s="1940">
        <f t="shared" si="7"/>
        <v>0</v>
      </c>
      <c r="O29" s="1993"/>
      <c r="P29" s="1993"/>
      <c r="Q29" s="1940">
        <f t="shared" si="8"/>
        <v>0</v>
      </c>
      <c r="R29" s="1940">
        <f t="shared" si="9"/>
        <v>0</v>
      </c>
      <c r="S29" s="1940">
        <f t="shared" si="10"/>
        <v>0</v>
      </c>
      <c r="T29" s="1940">
        <f t="shared" si="11"/>
        <v>0</v>
      </c>
      <c r="U29" s="1940">
        <f t="shared" si="12"/>
        <v>0</v>
      </c>
      <c r="V29" s="1997"/>
      <c r="W29" s="1997"/>
      <c r="X29" s="1997"/>
      <c r="Y29" s="1997"/>
      <c r="Z29" s="1997"/>
      <c r="AA29" s="1997"/>
      <c r="AB29" s="1997"/>
      <c r="AC29" s="1997"/>
      <c r="AD29" s="1997"/>
      <c r="AE29" s="1997"/>
      <c r="AF29" s="1997"/>
      <c r="AG29" s="1997"/>
      <c r="AH29" s="1997"/>
      <c r="AI29" s="1997"/>
      <c r="AJ29" s="1997"/>
      <c r="AK29" s="1997"/>
      <c r="AL29" s="1997"/>
      <c r="AM29" s="1997"/>
      <c r="AN29" s="1997"/>
      <c r="AO29" s="1997"/>
      <c r="AP29" s="1997"/>
      <c r="AQ29" s="1997"/>
      <c r="AR29" s="1997"/>
      <c r="AS29" s="1997"/>
      <c r="AT29" s="1997"/>
      <c r="AU29" s="1997"/>
      <c r="AV29" s="1997"/>
      <c r="AW29" s="1997"/>
      <c r="AX29" s="1997"/>
      <c r="AY29" s="1997"/>
      <c r="AZ29" s="1997"/>
      <c r="BA29" s="1997"/>
      <c r="BB29" s="1997"/>
      <c r="BC29" s="1997"/>
      <c r="BD29" s="1997"/>
      <c r="BE29" s="1997"/>
      <c r="BF29" s="1997"/>
      <c r="BG29" s="1997"/>
      <c r="BH29" s="1997"/>
      <c r="BI29" s="1997"/>
      <c r="BJ29" s="1997"/>
      <c r="BK29" s="1997"/>
      <c r="BL29" s="1997"/>
      <c r="BM29" s="1997"/>
      <c r="BN29" s="1997"/>
      <c r="BO29" s="1997"/>
      <c r="BP29" s="1997"/>
      <c r="BQ29" s="1997"/>
      <c r="BR29" s="1997"/>
      <c r="BS29" s="1997"/>
      <c r="BT29" s="1997"/>
      <c r="BU29" s="1997"/>
      <c r="BV29" s="1997"/>
      <c r="BW29" s="1997"/>
      <c r="BX29" s="1997"/>
      <c r="BY29" s="1997"/>
      <c r="BZ29" s="1997"/>
      <c r="CA29" s="1997"/>
      <c r="CB29" s="1997"/>
      <c r="CC29" s="1997"/>
      <c r="CD29" s="1997"/>
      <c r="CE29" s="1997"/>
      <c r="CF29" s="1997"/>
      <c r="CG29" s="1997"/>
      <c r="CH29" s="1997"/>
      <c r="CI29" s="1997"/>
      <c r="CJ29" s="1997"/>
      <c r="CK29" s="1997"/>
      <c r="CL29" s="1997"/>
      <c r="CM29" s="1997"/>
      <c r="CN29" s="1997"/>
      <c r="CO29" s="1997"/>
      <c r="CP29" s="1997"/>
      <c r="CQ29" s="1997"/>
      <c r="CR29" s="1997"/>
      <c r="CS29" s="1997"/>
      <c r="CT29" s="1997"/>
      <c r="CU29" s="1997"/>
      <c r="CV29" s="1997"/>
      <c r="CW29" s="1997"/>
      <c r="CX29" s="1997"/>
      <c r="CY29" s="1997"/>
      <c r="CZ29" s="1997"/>
      <c r="DA29" s="1997"/>
      <c r="DB29" s="1997"/>
      <c r="DC29" s="1997"/>
      <c r="DD29" s="1997"/>
      <c r="DE29" s="1997"/>
      <c r="DF29" s="1997"/>
      <c r="DG29" s="1997"/>
      <c r="DH29" s="1997"/>
      <c r="DI29" s="1997"/>
      <c r="DJ29" s="1997"/>
      <c r="DK29" s="1997"/>
      <c r="DL29" s="1997"/>
      <c r="DM29" s="1997"/>
      <c r="DN29" s="1997"/>
      <c r="DO29" s="1997"/>
      <c r="DP29" s="1997"/>
      <c r="DQ29" s="1997"/>
      <c r="DR29" s="1997"/>
      <c r="DS29" s="1997"/>
      <c r="DT29" s="1997"/>
      <c r="DU29" s="1997"/>
      <c r="DV29" s="1997"/>
      <c r="DW29" s="1997"/>
      <c r="DX29" s="1997"/>
      <c r="DY29" s="1997"/>
      <c r="DZ29" s="1997"/>
      <c r="EA29" s="1997"/>
      <c r="EB29" s="1997"/>
      <c r="EC29" s="1997"/>
      <c r="ED29" s="1997"/>
      <c r="EE29" s="1997"/>
      <c r="EF29" s="1997"/>
      <c r="EG29" s="1997"/>
      <c r="EH29" s="1997"/>
      <c r="EI29" s="1997"/>
      <c r="EJ29" s="1997"/>
      <c r="EK29" s="1997"/>
      <c r="EL29" s="1997"/>
      <c r="EM29" s="1997"/>
      <c r="EN29" s="1997"/>
      <c r="EO29" s="1997"/>
      <c r="EP29" s="1997"/>
      <c r="EQ29" s="1997"/>
      <c r="ER29" s="1997"/>
      <c r="ES29" s="1997"/>
      <c r="ET29" s="1997"/>
      <c r="EU29" s="1997"/>
      <c r="EV29" s="1997"/>
      <c r="EW29" s="1997"/>
      <c r="EX29" s="1997"/>
      <c r="EY29" s="1997"/>
      <c r="EZ29" s="1997"/>
      <c r="FA29" s="1997"/>
      <c r="FB29" s="1997"/>
      <c r="FC29" s="1997"/>
      <c r="FD29" s="1997"/>
      <c r="FE29" s="1997"/>
      <c r="FF29" s="1997"/>
      <c r="FG29" s="1997"/>
      <c r="FH29" s="1997"/>
      <c r="FI29" s="1997"/>
      <c r="FJ29" s="1997"/>
      <c r="FK29" s="1997"/>
      <c r="FL29" s="1997"/>
      <c r="FM29" s="1997"/>
      <c r="FN29" s="1997"/>
      <c r="FO29" s="1997"/>
      <c r="FP29" s="1997"/>
      <c r="FQ29" s="1997"/>
      <c r="FR29" s="1997"/>
      <c r="FS29" s="1997"/>
      <c r="FT29" s="1997"/>
      <c r="FU29" s="1997"/>
      <c r="FV29" s="1997"/>
      <c r="FW29" s="1997"/>
      <c r="FX29" s="1997"/>
      <c r="FY29" s="1997"/>
      <c r="FZ29" s="1997"/>
      <c r="GA29" s="1997"/>
      <c r="GB29" s="1997"/>
      <c r="GC29" s="1997"/>
      <c r="GD29" s="1997"/>
      <c r="GE29" s="1997"/>
      <c r="GF29" s="1997"/>
      <c r="GG29" s="1997"/>
      <c r="GH29" s="1997"/>
      <c r="GI29" s="1997"/>
      <c r="GJ29" s="1997"/>
      <c r="GK29" s="1997"/>
      <c r="GL29" s="1997"/>
      <c r="GM29" s="1997"/>
      <c r="GN29" s="1997"/>
      <c r="GO29" s="1997"/>
      <c r="GP29" s="1997"/>
      <c r="GQ29" s="1997"/>
      <c r="GR29" s="1997"/>
      <c r="GS29" s="1997"/>
      <c r="GT29" s="1997"/>
      <c r="GU29" s="1997"/>
      <c r="GV29" s="1997"/>
      <c r="GW29" s="1997"/>
      <c r="GX29" s="1997"/>
      <c r="GY29" s="1997"/>
      <c r="GZ29" s="1997"/>
      <c r="HA29" s="1997"/>
      <c r="HB29" s="1997"/>
      <c r="HC29" s="1997"/>
      <c r="HD29" s="1997"/>
      <c r="HE29" s="1997"/>
      <c r="HF29" s="1997"/>
      <c r="HG29" s="1997"/>
      <c r="HH29" s="1997"/>
      <c r="HI29" s="1997"/>
      <c r="HJ29" s="1997"/>
      <c r="HK29" s="1997"/>
      <c r="HL29" s="1997"/>
      <c r="HM29" s="1997"/>
      <c r="HN29" s="1997"/>
      <c r="HO29" s="1997"/>
      <c r="HP29" s="1997"/>
      <c r="HQ29" s="1997"/>
      <c r="HR29" s="1997"/>
      <c r="HS29" s="1997"/>
      <c r="HT29" s="1997"/>
      <c r="HU29" s="1997"/>
      <c r="HV29" s="1997"/>
      <c r="HW29" s="1997"/>
      <c r="HX29" s="1997"/>
      <c r="HY29" s="1997"/>
      <c r="HZ29" s="1997"/>
      <c r="IA29" s="1997"/>
      <c r="IB29" s="1997"/>
      <c r="IC29" s="1997"/>
      <c r="ID29" s="1997"/>
      <c r="IE29" s="1997"/>
      <c r="IF29" s="1997"/>
      <c r="IG29" s="1997"/>
      <c r="IH29" s="1997"/>
      <c r="II29" s="1997"/>
      <c r="IJ29" s="1997"/>
      <c r="IK29" s="1997"/>
      <c r="IL29" s="1997"/>
      <c r="IM29" s="1997"/>
      <c r="IN29" s="1997"/>
      <c r="IO29" s="1997"/>
      <c r="IP29" s="1997"/>
      <c r="IQ29" s="1997"/>
    </row>
    <row r="30" spans="1:251" hidden="1">
      <c r="A30" s="1993"/>
      <c r="B30" s="1998"/>
      <c r="C30" s="1998"/>
      <c r="D30" s="2034"/>
      <c r="E30" s="1998"/>
      <c r="F30" s="1940">
        <f t="shared" si="14"/>
        <v>0</v>
      </c>
      <c r="G30" s="1993"/>
      <c r="H30" s="1940">
        <f t="shared" si="4"/>
        <v>0</v>
      </c>
      <c r="I30" s="1993"/>
      <c r="J30" s="1940">
        <f t="shared" si="5"/>
        <v>0</v>
      </c>
      <c r="K30" s="1993"/>
      <c r="L30" s="1940">
        <f t="shared" si="6"/>
        <v>0</v>
      </c>
      <c r="M30" s="1940">
        <f t="shared" si="13"/>
        <v>0</v>
      </c>
      <c r="N30" s="1940">
        <f t="shared" si="7"/>
        <v>0</v>
      </c>
      <c r="O30" s="1993"/>
      <c r="P30" s="1993"/>
      <c r="Q30" s="1940">
        <f t="shared" si="8"/>
        <v>0</v>
      </c>
      <c r="R30" s="1940">
        <f t="shared" si="9"/>
        <v>0</v>
      </c>
      <c r="S30" s="1940">
        <f t="shared" si="10"/>
        <v>0</v>
      </c>
      <c r="T30" s="1940">
        <f t="shared" si="11"/>
        <v>0</v>
      </c>
      <c r="U30" s="1940">
        <f t="shared" si="12"/>
        <v>0</v>
      </c>
      <c r="V30" s="1997"/>
      <c r="W30" s="1997"/>
      <c r="X30" s="1997"/>
      <c r="Y30" s="1997"/>
      <c r="Z30" s="1997"/>
      <c r="AA30" s="1997"/>
      <c r="AB30" s="1997"/>
      <c r="AC30" s="1997"/>
      <c r="AD30" s="1997"/>
      <c r="AE30" s="1997"/>
      <c r="AF30" s="1997"/>
      <c r="AG30" s="1997"/>
      <c r="AH30" s="1997"/>
      <c r="AI30" s="1997"/>
      <c r="AJ30" s="1997"/>
      <c r="AK30" s="1997"/>
      <c r="AL30" s="1997"/>
      <c r="AM30" s="1997"/>
      <c r="AN30" s="1997"/>
      <c r="AO30" s="1997"/>
      <c r="AP30" s="1997"/>
      <c r="AQ30" s="1997"/>
      <c r="AR30" s="1997"/>
      <c r="AS30" s="1997"/>
      <c r="AT30" s="1997"/>
      <c r="AU30" s="1997"/>
      <c r="AV30" s="1997"/>
      <c r="AW30" s="1997"/>
      <c r="AX30" s="1997"/>
      <c r="AY30" s="1997"/>
      <c r="AZ30" s="1997"/>
      <c r="BA30" s="1997"/>
      <c r="BB30" s="1997"/>
      <c r="BC30" s="1997"/>
      <c r="BD30" s="1997"/>
      <c r="BE30" s="1997"/>
      <c r="BF30" s="1997"/>
      <c r="BG30" s="1997"/>
      <c r="BH30" s="1997"/>
      <c r="BI30" s="1997"/>
      <c r="BJ30" s="1997"/>
      <c r="BK30" s="1997"/>
      <c r="BL30" s="1997"/>
      <c r="BM30" s="1997"/>
      <c r="BN30" s="1997"/>
      <c r="BO30" s="1997"/>
      <c r="BP30" s="1997"/>
      <c r="BQ30" s="1997"/>
      <c r="BR30" s="1997"/>
      <c r="BS30" s="1997"/>
      <c r="BT30" s="1997"/>
      <c r="BU30" s="1997"/>
      <c r="BV30" s="1997"/>
      <c r="BW30" s="1997"/>
      <c r="BX30" s="1997"/>
      <c r="BY30" s="1997"/>
      <c r="BZ30" s="1997"/>
      <c r="CA30" s="1997"/>
      <c r="CB30" s="1997"/>
      <c r="CC30" s="1997"/>
      <c r="CD30" s="1997"/>
      <c r="CE30" s="1997"/>
      <c r="CF30" s="1997"/>
      <c r="CG30" s="1997"/>
      <c r="CH30" s="1997"/>
      <c r="CI30" s="1997"/>
      <c r="CJ30" s="1997"/>
      <c r="CK30" s="1997"/>
      <c r="CL30" s="1997"/>
      <c r="CM30" s="1997"/>
      <c r="CN30" s="1997"/>
      <c r="CO30" s="1997"/>
      <c r="CP30" s="1997"/>
      <c r="CQ30" s="1997"/>
      <c r="CR30" s="1997"/>
      <c r="CS30" s="1997"/>
      <c r="CT30" s="1997"/>
      <c r="CU30" s="1997"/>
      <c r="CV30" s="1997"/>
      <c r="CW30" s="1997"/>
      <c r="CX30" s="1997"/>
      <c r="CY30" s="1997"/>
      <c r="CZ30" s="1997"/>
      <c r="DA30" s="1997"/>
      <c r="DB30" s="1997"/>
      <c r="DC30" s="1997"/>
      <c r="DD30" s="1997"/>
      <c r="DE30" s="1997"/>
      <c r="DF30" s="1997"/>
      <c r="DG30" s="1997"/>
      <c r="DH30" s="1997"/>
      <c r="DI30" s="1997"/>
      <c r="DJ30" s="1997"/>
      <c r="DK30" s="1997"/>
      <c r="DL30" s="1997"/>
      <c r="DM30" s="1997"/>
      <c r="DN30" s="1997"/>
      <c r="DO30" s="1997"/>
      <c r="DP30" s="1997"/>
      <c r="DQ30" s="1997"/>
      <c r="DR30" s="1997"/>
      <c r="DS30" s="1997"/>
      <c r="DT30" s="1997"/>
      <c r="DU30" s="1997"/>
      <c r="DV30" s="1997"/>
      <c r="DW30" s="1997"/>
      <c r="DX30" s="1997"/>
      <c r="DY30" s="1997"/>
      <c r="DZ30" s="1997"/>
      <c r="EA30" s="1997"/>
      <c r="EB30" s="1997"/>
      <c r="EC30" s="1997"/>
      <c r="ED30" s="1997"/>
      <c r="EE30" s="1997"/>
      <c r="EF30" s="1997"/>
      <c r="EG30" s="1997"/>
      <c r="EH30" s="1997"/>
      <c r="EI30" s="1997"/>
      <c r="EJ30" s="1997"/>
      <c r="EK30" s="1997"/>
      <c r="EL30" s="1997"/>
      <c r="EM30" s="1997"/>
      <c r="EN30" s="1997"/>
      <c r="EO30" s="1997"/>
      <c r="EP30" s="1997"/>
      <c r="EQ30" s="1997"/>
      <c r="ER30" s="1997"/>
      <c r="ES30" s="1997"/>
      <c r="ET30" s="1997"/>
      <c r="EU30" s="1997"/>
      <c r="EV30" s="1997"/>
      <c r="EW30" s="1997"/>
      <c r="EX30" s="1997"/>
      <c r="EY30" s="1997"/>
      <c r="EZ30" s="1997"/>
      <c r="FA30" s="1997"/>
      <c r="FB30" s="1997"/>
      <c r="FC30" s="1997"/>
      <c r="FD30" s="1997"/>
      <c r="FE30" s="1997"/>
      <c r="FF30" s="1997"/>
      <c r="FG30" s="1997"/>
      <c r="FH30" s="1997"/>
      <c r="FI30" s="1997"/>
      <c r="FJ30" s="1997"/>
      <c r="FK30" s="1997"/>
      <c r="FL30" s="1997"/>
      <c r="FM30" s="1997"/>
      <c r="FN30" s="1997"/>
      <c r="FO30" s="1997"/>
      <c r="FP30" s="1997"/>
      <c r="FQ30" s="1997"/>
      <c r="FR30" s="1997"/>
      <c r="FS30" s="1997"/>
      <c r="FT30" s="1997"/>
      <c r="FU30" s="1997"/>
      <c r="FV30" s="1997"/>
      <c r="FW30" s="1997"/>
      <c r="FX30" s="1997"/>
      <c r="FY30" s="1997"/>
      <c r="FZ30" s="1997"/>
      <c r="GA30" s="1997"/>
      <c r="GB30" s="1997"/>
      <c r="GC30" s="1997"/>
      <c r="GD30" s="1997"/>
      <c r="GE30" s="1997"/>
      <c r="GF30" s="1997"/>
      <c r="GG30" s="1997"/>
      <c r="GH30" s="1997"/>
      <c r="GI30" s="1997"/>
      <c r="GJ30" s="1997"/>
      <c r="GK30" s="1997"/>
      <c r="GL30" s="1997"/>
      <c r="GM30" s="1997"/>
      <c r="GN30" s="1997"/>
      <c r="GO30" s="1997"/>
      <c r="GP30" s="1997"/>
      <c r="GQ30" s="1997"/>
      <c r="GR30" s="1997"/>
      <c r="GS30" s="1997"/>
      <c r="GT30" s="1997"/>
      <c r="GU30" s="1997"/>
      <c r="GV30" s="1997"/>
      <c r="GW30" s="1997"/>
      <c r="GX30" s="1997"/>
      <c r="GY30" s="1997"/>
      <c r="GZ30" s="1997"/>
      <c r="HA30" s="1997"/>
      <c r="HB30" s="1997"/>
      <c r="HC30" s="1997"/>
      <c r="HD30" s="1997"/>
      <c r="HE30" s="1997"/>
      <c r="HF30" s="1997"/>
      <c r="HG30" s="1997"/>
      <c r="HH30" s="1997"/>
      <c r="HI30" s="1997"/>
      <c r="HJ30" s="1997"/>
      <c r="HK30" s="1997"/>
      <c r="HL30" s="1997"/>
      <c r="HM30" s="1997"/>
      <c r="HN30" s="1997"/>
      <c r="HO30" s="1997"/>
      <c r="HP30" s="1997"/>
      <c r="HQ30" s="1997"/>
      <c r="HR30" s="1997"/>
      <c r="HS30" s="1997"/>
      <c r="HT30" s="1997"/>
      <c r="HU30" s="1997"/>
      <c r="HV30" s="1997"/>
      <c r="HW30" s="1997"/>
      <c r="HX30" s="1997"/>
      <c r="HY30" s="1997"/>
      <c r="HZ30" s="1997"/>
      <c r="IA30" s="1997"/>
      <c r="IB30" s="1997"/>
      <c r="IC30" s="1997"/>
      <c r="ID30" s="1997"/>
      <c r="IE30" s="1997"/>
      <c r="IF30" s="1997"/>
      <c r="IG30" s="1997"/>
      <c r="IH30" s="1997"/>
      <c r="II30" s="1997"/>
      <c r="IJ30" s="1997"/>
      <c r="IK30" s="1997"/>
      <c r="IL30" s="1997"/>
      <c r="IM30" s="1997"/>
      <c r="IN30" s="1997"/>
      <c r="IO30" s="1997"/>
      <c r="IP30" s="1997"/>
      <c r="IQ30" s="1997"/>
    </row>
    <row r="31" spans="1:251" hidden="1">
      <c r="A31" s="1993"/>
      <c r="B31" s="1998"/>
      <c r="C31" s="1998"/>
      <c r="D31" s="2034"/>
      <c r="E31" s="1998"/>
      <c r="F31" s="1940">
        <f t="shared" si="14"/>
        <v>0</v>
      </c>
      <c r="G31" s="1993"/>
      <c r="H31" s="1940">
        <f t="shared" si="4"/>
        <v>0</v>
      </c>
      <c r="I31" s="1993"/>
      <c r="J31" s="1940">
        <f t="shared" si="5"/>
        <v>0</v>
      </c>
      <c r="K31" s="1993"/>
      <c r="L31" s="1940">
        <f t="shared" si="6"/>
        <v>0</v>
      </c>
      <c r="M31" s="1940">
        <f t="shared" si="13"/>
        <v>0</v>
      </c>
      <c r="N31" s="1940">
        <f t="shared" si="7"/>
        <v>0</v>
      </c>
      <c r="O31" s="1993"/>
      <c r="P31" s="1993"/>
      <c r="Q31" s="1940">
        <f t="shared" si="8"/>
        <v>0</v>
      </c>
      <c r="R31" s="1940">
        <f t="shared" si="9"/>
        <v>0</v>
      </c>
      <c r="S31" s="1940">
        <f t="shared" si="10"/>
        <v>0</v>
      </c>
      <c r="T31" s="1940">
        <f t="shared" si="11"/>
        <v>0</v>
      </c>
      <c r="U31" s="1940">
        <f t="shared" si="12"/>
        <v>0</v>
      </c>
      <c r="V31" s="1997"/>
      <c r="W31" s="1997"/>
      <c r="X31" s="1997"/>
      <c r="Y31" s="1997"/>
      <c r="Z31" s="1997"/>
      <c r="AA31" s="1997"/>
      <c r="AB31" s="1997"/>
      <c r="AC31" s="1997"/>
      <c r="AD31" s="1997"/>
      <c r="AE31" s="1997"/>
      <c r="AF31" s="1997"/>
      <c r="AG31" s="1997"/>
      <c r="AH31" s="1997"/>
      <c r="AI31" s="1997"/>
      <c r="AJ31" s="1997"/>
      <c r="AK31" s="1997"/>
      <c r="AL31" s="1997"/>
      <c r="AM31" s="1997"/>
      <c r="AN31" s="1997"/>
      <c r="AO31" s="1997"/>
      <c r="AP31" s="1997"/>
      <c r="AQ31" s="1997"/>
      <c r="AR31" s="1997"/>
      <c r="AS31" s="1997"/>
      <c r="AT31" s="1997"/>
      <c r="AU31" s="1997"/>
      <c r="AV31" s="1997"/>
      <c r="AW31" s="1997"/>
      <c r="AX31" s="1997"/>
      <c r="AY31" s="1997"/>
      <c r="AZ31" s="1997"/>
      <c r="BA31" s="1997"/>
      <c r="BB31" s="1997"/>
      <c r="BC31" s="1997"/>
      <c r="BD31" s="1997"/>
      <c r="BE31" s="1997"/>
      <c r="BF31" s="1997"/>
      <c r="BG31" s="1997"/>
      <c r="BH31" s="1997"/>
      <c r="BI31" s="1997"/>
      <c r="BJ31" s="1997"/>
      <c r="BK31" s="1997"/>
      <c r="BL31" s="1997"/>
      <c r="BM31" s="1997"/>
      <c r="BN31" s="1997"/>
      <c r="BO31" s="1997"/>
      <c r="BP31" s="1997"/>
      <c r="BQ31" s="1997"/>
      <c r="BR31" s="1997"/>
      <c r="BS31" s="1997"/>
      <c r="BT31" s="1997"/>
      <c r="BU31" s="1997"/>
      <c r="BV31" s="1997"/>
      <c r="BW31" s="1997"/>
      <c r="BX31" s="1997"/>
      <c r="BY31" s="1997"/>
      <c r="BZ31" s="1997"/>
      <c r="CA31" s="1997"/>
      <c r="CB31" s="1997"/>
      <c r="CC31" s="1997"/>
      <c r="CD31" s="1997"/>
      <c r="CE31" s="1997"/>
      <c r="CF31" s="1997"/>
      <c r="CG31" s="1997"/>
      <c r="CH31" s="1997"/>
      <c r="CI31" s="1997"/>
      <c r="CJ31" s="1997"/>
      <c r="CK31" s="1997"/>
      <c r="CL31" s="1997"/>
      <c r="CM31" s="1997"/>
      <c r="CN31" s="1997"/>
      <c r="CO31" s="1997"/>
      <c r="CP31" s="1997"/>
      <c r="CQ31" s="1997"/>
      <c r="CR31" s="1997"/>
      <c r="CS31" s="1997"/>
      <c r="CT31" s="1997"/>
      <c r="CU31" s="1997"/>
      <c r="CV31" s="1997"/>
      <c r="CW31" s="1997"/>
      <c r="CX31" s="1997"/>
      <c r="CY31" s="1997"/>
      <c r="CZ31" s="1997"/>
      <c r="DA31" s="1997"/>
      <c r="DB31" s="1997"/>
      <c r="DC31" s="1997"/>
      <c r="DD31" s="1997"/>
      <c r="DE31" s="1997"/>
      <c r="DF31" s="1997"/>
      <c r="DG31" s="1997"/>
      <c r="DH31" s="1997"/>
      <c r="DI31" s="1997"/>
      <c r="DJ31" s="1997"/>
      <c r="DK31" s="1997"/>
      <c r="DL31" s="1997"/>
      <c r="DM31" s="1997"/>
      <c r="DN31" s="1997"/>
      <c r="DO31" s="1997"/>
      <c r="DP31" s="1997"/>
      <c r="DQ31" s="1997"/>
      <c r="DR31" s="1997"/>
      <c r="DS31" s="1997"/>
      <c r="DT31" s="1997"/>
      <c r="DU31" s="1997"/>
      <c r="DV31" s="1997"/>
      <c r="DW31" s="1997"/>
      <c r="DX31" s="1997"/>
      <c r="DY31" s="1997"/>
      <c r="DZ31" s="1997"/>
      <c r="EA31" s="1997"/>
      <c r="EB31" s="1997"/>
      <c r="EC31" s="1997"/>
      <c r="ED31" s="1997"/>
      <c r="EE31" s="1997"/>
      <c r="EF31" s="1997"/>
      <c r="EG31" s="1997"/>
      <c r="EH31" s="1997"/>
      <c r="EI31" s="1997"/>
      <c r="EJ31" s="1997"/>
      <c r="EK31" s="1997"/>
      <c r="EL31" s="1997"/>
      <c r="EM31" s="1997"/>
      <c r="EN31" s="1997"/>
      <c r="EO31" s="1997"/>
      <c r="EP31" s="1997"/>
      <c r="EQ31" s="1997"/>
      <c r="ER31" s="1997"/>
      <c r="ES31" s="1997"/>
      <c r="ET31" s="1997"/>
      <c r="EU31" s="1997"/>
      <c r="EV31" s="1997"/>
      <c r="EW31" s="1997"/>
      <c r="EX31" s="1997"/>
      <c r="EY31" s="1997"/>
      <c r="EZ31" s="1997"/>
      <c r="FA31" s="1997"/>
      <c r="FB31" s="1997"/>
      <c r="FC31" s="1997"/>
      <c r="FD31" s="1997"/>
      <c r="FE31" s="1997"/>
      <c r="FF31" s="1997"/>
      <c r="FG31" s="1997"/>
      <c r="FH31" s="1997"/>
      <c r="FI31" s="1997"/>
      <c r="FJ31" s="1997"/>
      <c r="FK31" s="1997"/>
      <c r="FL31" s="1997"/>
      <c r="FM31" s="1997"/>
      <c r="FN31" s="1997"/>
      <c r="FO31" s="1997"/>
      <c r="FP31" s="1997"/>
      <c r="FQ31" s="1997"/>
      <c r="FR31" s="1997"/>
      <c r="FS31" s="1997"/>
      <c r="FT31" s="1997"/>
      <c r="FU31" s="1997"/>
      <c r="FV31" s="1997"/>
      <c r="FW31" s="1997"/>
      <c r="FX31" s="1997"/>
      <c r="FY31" s="1997"/>
      <c r="FZ31" s="1997"/>
      <c r="GA31" s="1997"/>
      <c r="GB31" s="1997"/>
      <c r="GC31" s="1997"/>
      <c r="GD31" s="1997"/>
      <c r="GE31" s="1997"/>
      <c r="GF31" s="1997"/>
      <c r="GG31" s="1997"/>
      <c r="GH31" s="1997"/>
      <c r="GI31" s="1997"/>
      <c r="GJ31" s="1997"/>
      <c r="GK31" s="1997"/>
      <c r="GL31" s="1997"/>
      <c r="GM31" s="1997"/>
      <c r="GN31" s="1997"/>
      <c r="GO31" s="1997"/>
      <c r="GP31" s="1997"/>
      <c r="GQ31" s="1997"/>
      <c r="GR31" s="1997"/>
      <c r="GS31" s="1997"/>
      <c r="GT31" s="1997"/>
      <c r="GU31" s="1997"/>
      <c r="GV31" s="1997"/>
      <c r="GW31" s="1997"/>
      <c r="GX31" s="1997"/>
      <c r="GY31" s="1997"/>
      <c r="GZ31" s="1997"/>
      <c r="HA31" s="1997"/>
      <c r="HB31" s="1997"/>
      <c r="HC31" s="1997"/>
      <c r="HD31" s="1997"/>
      <c r="HE31" s="1997"/>
      <c r="HF31" s="1997"/>
      <c r="HG31" s="1997"/>
      <c r="HH31" s="1997"/>
      <c r="HI31" s="1997"/>
      <c r="HJ31" s="1997"/>
      <c r="HK31" s="1997"/>
      <c r="HL31" s="1997"/>
      <c r="HM31" s="1997"/>
      <c r="HN31" s="1997"/>
      <c r="HO31" s="1997"/>
      <c r="HP31" s="1997"/>
      <c r="HQ31" s="1997"/>
      <c r="HR31" s="1997"/>
      <c r="HS31" s="1997"/>
      <c r="HT31" s="1997"/>
      <c r="HU31" s="1997"/>
      <c r="HV31" s="1997"/>
      <c r="HW31" s="1997"/>
      <c r="HX31" s="1997"/>
      <c r="HY31" s="1997"/>
      <c r="HZ31" s="1997"/>
      <c r="IA31" s="1997"/>
      <c r="IB31" s="1997"/>
      <c r="IC31" s="1997"/>
      <c r="ID31" s="1997"/>
      <c r="IE31" s="1997"/>
      <c r="IF31" s="1997"/>
      <c r="IG31" s="1997"/>
      <c r="IH31" s="1997"/>
      <c r="II31" s="1997"/>
      <c r="IJ31" s="1997"/>
      <c r="IK31" s="1997"/>
      <c r="IL31" s="1997"/>
      <c r="IM31" s="1997"/>
      <c r="IN31" s="1997"/>
      <c r="IO31" s="1997"/>
      <c r="IP31" s="1997"/>
      <c r="IQ31" s="1997"/>
    </row>
    <row r="32" spans="1:251" hidden="1">
      <c r="A32" s="1993"/>
      <c r="B32" s="1998"/>
      <c r="C32" s="1998"/>
      <c r="D32" s="2034"/>
      <c r="E32" s="1998"/>
      <c r="F32" s="1940">
        <f t="shared" si="14"/>
        <v>0</v>
      </c>
      <c r="G32" s="1993"/>
      <c r="H32" s="1940">
        <f t="shared" si="4"/>
        <v>0</v>
      </c>
      <c r="I32" s="1993"/>
      <c r="J32" s="1940">
        <f t="shared" si="5"/>
        <v>0</v>
      </c>
      <c r="K32" s="1993"/>
      <c r="L32" s="1940">
        <f t="shared" si="6"/>
        <v>0</v>
      </c>
      <c r="M32" s="1940">
        <f t="shared" si="13"/>
        <v>0</v>
      </c>
      <c r="N32" s="1940">
        <f t="shared" si="7"/>
        <v>0</v>
      </c>
      <c r="O32" s="1993"/>
      <c r="P32" s="1993"/>
      <c r="Q32" s="1940">
        <f t="shared" si="8"/>
        <v>0</v>
      </c>
      <c r="R32" s="1940">
        <f t="shared" si="9"/>
        <v>0</v>
      </c>
      <c r="S32" s="1940">
        <f t="shared" si="10"/>
        <v>0</v>
      </c>
      <c r="T32" s="1940">
        <f t="shared" si="11"/>
        <v>0</v>
      </c>
      <c r="U32" s="1940">
        <f t="shared" si="12"/>
        <v>0</v>
      </c>
      <c r="V32" s="1997"/>
      <c r="W32" s="1997"/>
      <c r="X32" s="1997"/>
      <c r="Y32" s="1997"/>
      <c r="Z32" s="1997"/>
      <c r="AA32" s="1997"/>
      <c r="AB32" s="1997"/>
      <c r="AC32" s="1997"/>
      <c r="AD32" s="1997"/>
      <c r="AE32" s="1997"/>
      <c r="AF32" s="1997"/>
      <c r="AG32" s="1997"/>
      <c r="AH32" s="1997"/>
      <c r="AI32" s="1997"/>
      <c r="AJ32" s="1997"/>
      <c r="AK32" s="1997"/>
      <c r="AL32" s="1997"/>
      <c r="AM32" s="1997"/>
      <c r="AN32" s="1997"/>
      <c r="AO32" s="1997"/>
      <c r="AP32" s="1997"/>
      <c r="AQ32" s="1997"/>
      <c r="AR32" s="1997"/>
      <c r="AS32" s="1997"/>
      <c r="AT32" s="1997"/>
      <c r="AU32" s="1997"/>
      <c r="AV32" s="1997"/>
      <c r="AW32" s="1997"/>
      <c r="AX32" s="1997"/>
      <c r="AY32" s="1997"/>
      <c r="AZ32" s="1997"/>
      <c r="BA32" s="1997"/>
      <c r="BB32" s="1997"/>
      <c r="BC32" s="1997"/>
      <c r="BD32" s="1997"/>
      <c r="BE32" s="1997"/>
      <c r="BF32" s="1997"/>
      <c r="BG32" s="1997"/>
      <c r="BH32" s="1997"/>
      <c r="BI32" s="1997"/>
      <c r="BJ32" s="1997"/>
      <c r="BK32" s="1997"/>
      <c r="BL32" s="1997"/>
      <c r="BM32" s="1997"/>
      <c r="BN32" s="1997"/>
      <c r="BO32" s="1997"/>
      <c r="BP32" s="1997"/>
      <c r="BQ32" s="1997"/>
      <c r="BR32" s="1997"/>
      <c r="BS32" s="1997"/>
      <c r="BT32" s="1997"/>
      <c r="BU32" s="1997"/>
      <c r="BV32" s="1997"/>
      <c r="BW32" s="1997"/>
      <c r="BX32" s="1997"/>
      <c r="BY32" s="1997"/>
      <c r="BZ32" s="1997"/>
      <c r="CA32" s="1997"/>
      <c r="CB32" s="1997"/>
      <c r="CC32" s="1997"/>
      <c r="CD32" s="1997"/>
      <c r="CE32" s="1997"/>
      <c r="CF32" s="1997"/>
      <c r="CG32" s="1997"/>
      <c r="CH32" s="1997"/>
      <c r="CI32" s="1997"/>
      <c r="CJ32" s="1997"/>
      <c r="CK32" s="1997"/>
      <c r="CL32" s="1997"/>
      <c r="CM32" s="1997"/>
      <c r="CN32" s="1997"/>
      <c r="CO32" s="1997"/>
      <c r="CP32" s="1997"/>
      <c r="CQ32" s="1997"/>
      <c r="CR32" s="1997"/>
      <c r="CS32" s="1997"/>
      <c r="CT32" s="1997"/>
      <c r="CU32" s="1997"/>
      <c r="CV32" s="1997"/>
      <c r="CW32" s="1997"/>
      <c r="CX32" s="1997"/>
      <c r="CY32" s="1997"/>
      <c r="CZ32" s="1997"/>
      <c r="DA32" s="1997"/>
      <c r="DB32" s="1997"/>
      <c r="DC32" s="1997"/>
      <c r="DD32" s="1997"/>
      <c r="DE32" s="1997"/>
      <c r="DF32" s="1997"/>
      <c r="DG32" s="1997"/>
      <c r="DH32" s="1997"/>
      <c r="DI32" s="1997"/>
      <c r="DJ32" s="1997"/>
      <c r="DK32" s="1997"/>
      <c r="DL32" s="1997"/>
      <c r="DM32" s="1997"/>
      <c r="DN32" s="1997"/>
      <c r="DO32" s="1997"/>
      <c r="DP32" s="1997"/>
      <c r="DQ32" s="1997"/>
      <c r="DR32" s="1997"/>
      <c r="DS32" s="1997"/>
      <c r="DT32" s="1997"/>
      <c r="DU32" s="1997"/>
      <c r="DV32" s="1997"/>
      <c r="DW32" s="1997"/>
      <c r="DX32" s="1997"/>
      <c r="DY32" s="1997"/>
      <c r="DZ32" s="1997"/>
      <c r="EA32" s="1997"/>
      <c r="EB32" s="1997"/>
      <c r="EC32" s="1997"/>
      <c r="ED32" s="1997"/>
      <c r="EE32" s="1997"/>
      <c r="EF32" s="1997"/>
      <c r="EG32" s="1997"/>
      <c r="EH32" s="1997"/>
      <c r="EI32" s="1997"/>
      <c r="EJ32" s="1997"/>
      <c r="EK32" s="1997"/>
      <c r="EL32" s="1997"/>
      <c r="EM32" s="1997"/>
      <c r="EN32" s="1997"/>
      <c r="EO32" s="1997"/>
      <c r="EP32" s="1997"/>
      <c r="EQ32" s="1997"/>
      <c r="ER32" s="1997"/>
      <c r="ES32" s="1997"/>
      <c r="ET32" s="1997"/>
      <c r="EU32" s="1997"/>
      <c r="EV32" s="1997"/>
      <c r="EW32" s="1997"/>
      <c r="EX32" s="1997"/>
      <c r="EY32" s="1997"/>
      <c r="EZ32" s="1997"/>
      <c r="FA32" s="1997"/>
      <c r="FB32" s="1997"/>
      <c r="FC32" s="1997"/>
      <c r="FD32" s="1997"/>
      <c r="FE32" s="1997"/>
      <c r="FF32" s="1997"/>
      <c r="FG32" s="1997"/>
      <c r="FH32" s="1997"/>
      <c r="FI32" s="1997"/>
      <c r="FJ32" s="1997"/>
      <c r="FK32" s="1997"/>
      <c r="FL32" s="1997"/>
      <c r="FM32" s="1997"/>
      <c r="FN32" s="1997"/>
      <c r="FO32" s="1997"/>
      <c r="FP32" s="1997"/>
      <c r="FQ32" s="1997"/>
      <c r="FR32" s="1997"/>
      <c r="FS32" s="1997"/>
      <c r="FT32" s="1997"/>
      <c r="FU32" s="1997"/>
      <c r="FV32" s="1997"/>
      <c r="FW32" s="1997"/>
      <c r="FX32" s="1997"/>
      <c r="FY32" s="1997"/>
      <c r="FZ32" s="1997"/>
      <c r="GA32" s="1997"/>
      <c r="GB32" s="1997"/>
      <c r="GC32" s="1997"/>
      <c r="GD32" s="1997"/>
      <c r="GE32" s="1997"/>
      <c r="GF32" s="1997"/>
      <c r="GG32" s="1997"/>
      <c r="GH32" s="1997"/>
      <c r="GI32" s="1997"/>
      <c r="GJ32" s="1997"/>
      <c r="GK32" s="1997"/>
      <c r="GL32" s="1997"/>
      <c r="GM32" s="1997"/>
      <c r="GN32" s="1997"/>
      <c r="GO32" s="1997"/>
      <c r="GP32" s="1997"/>
      <c r="GQ32" s="1997"/>
      <c r="GR32" s="1997"/>
      <c r="GS32" s="1997"/>
      <c r="GT32" s="1997"/>
      <c r="GU32" s="1997"/>
      <c r="GV32" s="1997"/>
      <c r="GW32" s="1997"/>
      <c r="GX32" s="1997"/>
      <c r="GY32" s="1997"/>
      <c r="GZ32" s="1997"/>
      <c r="HA32" s="1997"/>
      <c r="HB32" s="1997"/>
      <c r="HC32" s="1997"/>
      <c r="HD32" s="1997"/>
      <c r="HE32" s="1997"/>
      <c r="HF32" s="1997"/>
      <c r="HG32" s="1997"/>
      <c r="HH32" s="1997"/>
      <c r="HI32" s="1997"/>
      <c r="HJ32" s="1997"/>
      <c r="HK32" s="1997"/>
      <c r="HL32" s="1997"/>
      <c r="HM32" s="1997"/>
      <c r="HN32" s="1997"/>
      <c r="HO32" s="1997"/>
      <c r="HP32" s="1997"/>
      <c r="HQ32" s="1997"/>
      <c r="HR32" s="1997"/>
      <c r="HS32" s="1997"/>
      <c r="HT32" s="1997"/>
      <c r="HU32" s="1997"/>
      <c r="HV32" s="1997"/>
      <c r="HW32" s="1997"/>
      <c r="HX32" s="1997"/>
      <c r="HY32" s="1997"/>
      <c r="HZ32" s="1997"/>
      <c r="IA32" s="1997"/>
      <c r="IB32" s="1997"/>
      <c r="IC32" s="1997"/>
      <c r="ID32" s="1997"/>
      <c r="IE32" s="1997"/>
      <c r="IF32" s="1997"/>
      <c r="IG32" s="1997"/>
      <c r="IH32" s="1997"/>
      <c r="II32" s="1997"/>
      <c r="IJ32" s="1997"/>
      <c r="IK32" s="1997"/>
      <c r="IL32" s="1997"/>
      <c r="IM32" s="1997"/>
      <c r="IN32" s="1997"/>
      <c r="IO32" s="1997"/>
      <c r="IP32" s="1997"/>
      <c r="IQ32" s="1997"/>
    </row>
    <row r="33" spans="1:251" hidden="1">
      <c r="A33" s="1993"/>
      <c r="B33" s="1998"/>
      <c r="C33" s="1998"/>
      <c r="D33" s="2034"/>
      <c r="E33" s="1998"/>
      <c r="F33" s="1940">
        <f>ROUNDUP((E33*$Q$5),-3)</f>
        <v>0</v>
      </c>
      <c r="G33" s="1993"/>
      <c r="H33" s="1940">
        <f>D33*F33*G33</f>
        <v>0</v>
      </c>
      <c r="I33" s="1993"/>
      <c r="J33" s="1940">
        <f>I33*$Q$4</f>
        <v>0</v>
      </c>
      <c r="K33" s="1993"/>
      <c r="L33" s="1940">
        <f>K33*F33</f>
        <v>0</v>
      </c>
      <c r="M33" s="1940">
        <f>D33*G33*(J33+L33)</f>
        <v>0</v>
      </c>
      <c r="N33" s="1940">
        <f>H33+M33</f>
        <v>0</v>
      </c>
      <c r="O33" s="1993"/>
      <c r="P33" s="1993"/>
      <c r="Q33" s="1940">
        <f>N33+O33+P33</f>
        <v>0</v>
      </c>
      <c r="R33" s="1940">
        <f>Q33*10%</f>
        <v>0</v>
      </c>
      <c r="S33" s="1940">
        <f>(Q33-R33)*10%</f>
        <v>0</v>
      </c>
      <c r="T33" s="1940">
        <f>(Q33-R33)*6%</f>
        <v>0</v>
      </c>
      <c r="U33" s="1940">
        <f>(Q33-R33)*5%</f>
        <v>0</v>
      </c>
      <c r="V33" s="1997"/>
      <c r="W33" s="1997"/>
      <c r="X33" s="1997"/>
      <c r="Y33" s="1997"/>
      <c r="Z33" s="1997"/>
      <c r="AA33" s="1997"/>
      <c r="AB33" s="1997"/>
      <c r="AC33" s="1997"/>
      <c r="AD33" s="1997"/>
      <c r="AE33" s="1997"/>
      <c r="AF33" s="1997"/>
      <c r="AG33" s="1997"/>
      <c r="AH33" s="1997"/>
      <c r="AI33" s="1997"/>
      <c r="AJ33" s="1997"/>
      <c r="AK33" s="1997"/>
      <c r="AL33" s="1997"/>
      <c r="AM33" s="1997"/>
      <c r="AN33" s="1997"/>
      <c r="AO33" s="1997"/>
      <c r="AP33" s="1997"/>
      <c r="AQ33" s="1997"/>
      <c r="AR33" s="1997"/>
      <c r="AS33" s="1997"/>
      <c r="AT33" s="1997"/>
      <c r="AU33" s="1997"/>
      <c r="AV33" s="1997"/>
      <c r="AW33" s="1997"/>
      <c r="AX33" s="1997"/>
      <c r="AY33" s="1997"/>
      <c r="AZ33" s="1997"/>
      <c r="BA33" s="1997"/>
      <c r="BB33" s="1997"/>
      <c r="BC33" s="1997"/>
      <c r="BD33" s="1997"/>
      <c r="BE33" s="1997"/>
      <c r="BF33" s="1997"/>
      <c r="BG33" s="1997"/>
      <c r="BH33" s="1997"/>
      <c r="BI33" s="1997"/>
      <c r="BJ33" s="1997"/>
      <c r="BK33" s="1997"/>
      <c r="BL33" s="1997"/>
      <c r="BM33" s="1997"/>
      <c r="BN33" s="1997"/>
      <c r="BO33" s="1997"/>
      <c r="BP33" s="1997"/>
      <c r="BQ33" s="1997"/>
      <c r="BR33" s="1997"/>
      <c r="BS33" s="1997"/>
      <c r="BT33" s="1997"/>
      <c r="BU33" s="1997"/>
      <c r="BV33" s="1997"/>
      <c r="BW33" s="1997"/>
      <c r="BX33" s="1997"/>
      <c r="BY33" s="1997"/>
      <c r="BZ33" s="1997"/>
      <c r="CA33" s="1997"/>
      <c r="CB33" s="1997"/>
      <c r="CC33" s="1997"/>
      <c r="CD33" s="1997"/>
      <c r="CE33" s="1997"/>
      <c r="CF33" s="1997"/>
      <c r="CG33" s="1997"/>
      <c r="CH33" s="1997"/>
      <c r="CI33" s="1997"/>
      <c r="CJ33" s="1997"/>
      <c r="CK33" s="1997"/>
      <c r="CL33" s="1997"/>
      <c r="CM33" s="1997"/>
      <c r="CN33" s="1997"/>
      <c r="CO33" s="1997"/>
      <c r="CP33" s="1997"/>
      <c r="CQ33" s="1997"/>
      <c r="CR33" s="1997"/>
      <c r="CS33" s="1997"/>
      <c r="CT33" s="1997"/>
      <c r="CU33" s="1997"/>
      <c r="CV33" s="1997"/>
      <c r="CW33" s="1997"/>
      <c r="CX33" s="1997"/>
      <c r="CY33" s="1997"/>
      <c r="CZ33" s="1997"/>
      <c r="DA33" s="1997"/>
      <c r="DB33" s="1997"/>
      <c r="DC33" s="1997"/>
      <c r="DD33" s="1997"/>
      <c r="DE33" s="1997"/>
      <c r="DF33" s="1997"/>
      <c r="DG33" s="1997"/>
      <c r="DH33" s="1997"/>
      <c r="DI33" s="1997"/>
      <c r="DJ33" s="1997"/>
      <c r="DK33" s="1997"/>
      <c r="DL33" s="1997"/>
      <c r="DM33" s="1997"/>
      <c r="DN33" s="1997"/>
      <c r="DO33" s="1997"/>
      <c r="DP33" s="1997"/>
      <c r="DQ33" s="1997"/>
      <c r="DR33" s="1997"/>
      <c r="DS33" s="1997"/>
      <c r="DT33" s="1997"/>
      <c r="DU33" s="1997"/>
      <c r="DV33" s="1997"/>
      <c r="DW33" s="1997"/>
      <c r="DX33" s="1997"/>
      <c r="DY33" s="1997"/>
      <c r="DZ33" s="1997"/>
      <c r="EA33" s="1997"/>
      <c r="EB33" s="1997"/>
      <c r="EC33" s="1997"/>
      <c r="ED33" s="1997"/>
      <c r="EE33" s="1997"/>
      <c r="EF33" s="1997"/>
      <c r="EG33" s="1997"/>
      <c r="EH33" s="1997"/>
      <c r="EI33" s="1997"/>
      <c r="EJ33" s="1997"/>
      <c r="EK33" s="1997"/>
      <c r="EL33" s="1997"/>
      <c r="EM33" s="1997"/>
      <c r="EN33" s="1997"/>
      <c r="EO33" s="1997"/>
      <c r="EP33" s="1997"/>
      <c r="EQ33" s="1997"/>
      <c r="ER33" s="1997"/>
      <c r="ES33" s="1997"/>
      <c r="ET33" s="1997"/>
      <c r="EU33" s="1997"/>
      <c r="EV33" s="1997"/>
      <c r="EW33" s="1997"/>
      <c r="EX33" s="1997"/>
      <c r="EY33" s="1997"/>
      <c r="EZ33" s="1997"/>
      <c r="FA33" s="1997"/>
      <c r="FB33" s="1997"/>
      <c r="FC33" s="1997"/>
      <c r="FD33" s="1997"/>
      <c r="FE33" s="1997"/>
      <c r="FF33" s="1997"/>
      <c r="FG33" s="1997"/>
      <c r="FH33" s="1997"/>
      <c r="FI33" s="1997"/>
      <c r="FJ33" s="1997"/>
      <c r="FK33" s="1997"/>
      <c r="FL33" s="1997"/>
      <c r="FM33" s="1997"/>
      <c r="FN33" s="1997"/>
      <c r="FO33" s="1997"/>
      <c r="FP33" s="1997"/>
      <c r="FQ33" s="1997"/>
      <c r="FR33" s="1997"/>
      <c r="FS33" s="1997"/>
      <c r="FT33" s="1997"/>
      <c r="FU33" s="1997"/>
      <c r="FV33" s="1997"/>
      <c r="FW33" s="1997"/>
      <c r="FX33" s="1997"/>
      <c r="FY33" s="1997"/>
      <c r="FZ33" s="1997"/>
      <c r="GA33" s="1997"/>
      <c r="GB33" s="1997"/>
      <c r="GC33" s="1997"/>
      <c r="GD33" s="1997"/>
      <c r="GE33" s="1997"/>
      <c r="GF33" s="1997"/>
      <c r="GG33" s="1997"/>
      <c r="GH33" s="1997"/>
      <c r="GI33" s="1997"/>
      <c r="GJ33" s="1997"/>
      <c r="GK33" s="1997"/>
      <c r="GL33" s="1997"/>
      <c r="GM33" s="1997"/>
      <c r="GN33" s="1997"/>
      <c r="GO33" s="1997"/>
      <c r="GP33" s="1997"/>
      <c r="GQ33" s="1997"/>
      <c r="GR33" s="1997"/>
      <c r="GS33" s="1997"/>
      <c r="GT33" s="1997"/>
      <c r="GU33" s="1997"/>
      <c r="GV33" s="1997"/>
      <c r="GW33" s="1997"/>
      <c r="GX33" s="1997"/>
      <c r="GY33" s="1997"/>
      <c r="GZ33" s="1997"/>
      <c r="HA33" s="1997"/>
      <c r="HB33" s="1997"/>
      <c r="HC33" s="1997"/>
      <c r="HD33" s="1997"/>
      <c r="HE33" s="1997"/>
      <c r="HF33" s="1997"/>
      <c r="HG33" s="1997"/>
      <c r="HH33" s="1997"/>
      <c r="HI33" s="1997"/>
      <c r="HJ33" s="1997"/>
      <c r="HK33" s="1997"/>
      <c r="HL33" s="1997"/>
      <c r="HM33" s="1997"/>
      <c r="HN33" s="1997"/>
      <c r="HO33" s="1997"/>
      <c r="HP33" s="1997"/>
      <c r="HQ33" s="1997"/>
      <c r="HR33" s="1997"/>
      <c r="HS33" s="1997"/>
      <c r="HT33" s="1997"/>
      <c r="HU33" s="1997"/>
      <c r="HV33" s="1997"/>
      <c r="HW33" s="1997"/>
      <c r="HX33" s="1997"/>
      <c r="HY33" s="1997"/>
      <c r="HZ33" s="1997"/>
      <c r="IA33" s="1997"/>
      <c r="IB33" s="1997"/>
      <c r="IC33" s="1997"/>
      <c r="ID33" s="1997"/>
      <c r="IE33" s="1997"/>
      <c r="IF33" s="1997"/>
      <c r="IG33" s="1997"/>
      <c r="IH33" s="1997"/>
      <c r="II33" s="1997"/>
      <c r="IJ33" s="1997"/>
      <c r="IK33" s="1997"/>
      <c r="IL33" s="1997"/>
      <c r="IM33" s="1997"/>
      <c r="IN33" s="1997"/>
      <c r="IO33" s="1997"/>
      <c r="IP33" s="1997"/>
      <c r="IQ33" s="1997"/>
    </row>
    <row r="34" spans="1:251" hidden="1">
      <c r="A34" s="1993"/>
      <c r="B34" s="1998"/>
      <c r="C34" s="1998"/>
      <c r="D34" s="2034"/>
      <c r="E34" s="1998"/>
      <c r="F34" s="1940">
        <f t="shared" si="14"/>
        <v>0</v>
      </c>
      <c r="G34" s="1993"/>
      <c r="H34" s="1940">
        <f t="shared" ref="H34:H46" si="15">D34*F34*G34</f>
        <v>0</v>
      </c>
      <c r="I34" s="1993"/>
      <c r="J34" s="1940">
        <f t="shared" si="5"/>
        <v>0</v>
      </c>
      <c r="K34" s="1993"/>
      <c r="L34" s="1940">
        <f t="shared" ref="L34:L46" si="16">K34*F34</f>
        <v>0</v>
      </c>
      <c r="M34" s="1940">
        <f t="shared" ref="M34:M46" si="17">D34*G34*(J34+L34)</f>
        <v>0</v>
      </c>
      <c r="N34" s="1940">
        <f t="shared" ref="N34:N46" si="18">H34+M34</f>
        <v>0</v>
      </c>
      <c r="O34" s="1993"/>
      <c r="P34" s="1993"/>
      <c r="Q34" s="1940">
        <f t="shared" ref="Q34:Q46" si="19">N34+O34+P34</f>
        <v>0</v>
      </c>
      <c r="R34" s="1940">
        <f t="shared" si="9"/>
        <v>0</v>
      </c>
      <c r="S34" s="1940">
        <f t="shared" ref="S34:S46" si="20">(Q34-R34)*10%</f>
        <v>0</v>
      </c>
      <c r="T34" s="1940">
        <f t="shared" ref="T34:T46" si="21">(Q34-R34)*6%</f>
        <v>0</v>
      </c>
      <c r="U34" s="1940">
        <f t="shared" ref="U34:U46" si="22">(Q34-R34)*5%</f>
        <v>0</v>
      </c>
      <c r="V34" s="1997"/>
      <c r="W34" s="1997"/>
      <c r="X34" s="1997"/>
      <c r="Y34" s="1997"/>
      <c r="Z34" s="1997"/>
      <c r="AA34" s="1997"/>
      <c r="AB34" s="1997"/>
      <c r="AC34" s="1997"/>
      <c r="AD34" s="1997"/>
      <c r="AE34" s="1997"/>
      <c r="AF34" s="1997"/>
      <c r="AG34" s="1997"/>
      <c r="AH34" s="1997"/>
      <c r="AI34" s="1997"/>
      <c r="AJ34" s="1997"/>
      <c r="AK34" s="1997"/>
      <c r="AL34" s="1997"/>
      <c r="AM34" s="1997"/>
      <c r="AN34" s="1997"/>
      <c r="AO34" s="1997"/>
      <c r="AP34" s="1997"/>
      <c r="AQ34" s="1997"/>
      <c r="AR34" s="1997"/>
      <c r="AS34" s="1997"/>
      <c r="AT34" s="1997"/>
      <c r="AU34" s="1997"/>
      <c r="AV34" s="1997"/>
      <c r="AW34" s="1997"/>
      <c r="AX34" s="1997"/>
      <c r="AY34" s="1997"/>
      <c r="AZ34" s="1997"/>
      <c r="BA34" s="1997"/>
      <c r="BB34" s="1997"/>
      <c r="BC34" s="1997"/>
      <c r="BD34" s="1997"/>
      <c r="BE34" s="1997"/>
      <c r="BF34" s="1997"/>
      <c r="BG34" s="1997"/>
      <c r="BH34" s="1997"/>
      <c r="BI34" s="1997"/>
      <c r="BJ34" s="1997"/>
      <c r="BK34" s="1997"/>
      <c r="BL34" s="1997"/>
      <c r="BM34" s="1997"/>
      <c r="BN34" s="1997"/>
      <c r="BO34" s="1997"/>
      <c r="BP34" s="1997"/>
      <c r="BQ34" s="1997"/>
      <c r="BR34" s="1997"/>
      <c r="BS34" s="1997"/>
      <c r="BT34" s="1997"/>
      <c r="BU34" s="1997"/>
      <c r="BV34" s="1997"/>
      <c r="BW34" s="1997"/>
      <c r="BX34" s="1997"/>
      <c r="BY34" s="1997"/>
      <c r="BZ34" s="1997"/>
      <c r="CA34" s="1997"/>
      <c r="CB34" s="1997"/>
      <c r="CC34" s="1997"/>
      <c r="CD34" s="1997"/>
      <c r="CE34" s="1997"/>
      <c r="CF34" s="1997"/>
      <c r="CG34" s="1997"/>
      <c r="CH34" s="1997"/>
      <c r="CI34" s="1997"/>
      <c r="CJ34" s="1997"/>
      <c r="CK34" s="1997"/>
      <c r="CL34" s="1997"/>
      <c r="CM34" s="1997"/>
      <c r="CN34" s="1997"/>
      <c r="CO34" s="1997"/>
      <c r="CP34" s="1997"/>
      <c r="CQ34" s="1997"/>
      <c r="CR34" s="1997"/>
      <c r="CS34" s="1997"/>
      <c r="CT34" s="1997"/>
      <c r="CU34" s="1997"/>
      <c r="CV34" s="1997"/>
      <c r="CW34" s="1997"/>
      <c r="CX34" s="1997"/>
      <c r="CY34" s="1997"/>
      <c r="CZ34" s="1997"/>
      <c r="DA34" s="1997"/>
      <c r="DB34" s="1997"/>
      <c r="DC34" s="1997"/>
      <c r="DD34" s="1997"/>
      <c r="DE34" s="1997"/>
      <c r="DF34" s="1997"/>
      <c r="DG34" s="1997"/>
      <c r="DH34" s="1997"/>
      <c r="DI34" s="1997"/>
      <c r="DJ34" s="1997"/>
      <c r="DK34" s="1997"/>
      <c r="DL34" s="1997"/>
      <c r="DM34" s="1997"/>
      <c r="DN34" s="1997"/>
      <c r="DO34" s="1997"/>
      <c r="DP34" s="1997"/>
      <c r="DQ34" s="1997"/>
      <c r="DR34" s="1997"/>
      <c r="DS34" s="1997"/>
      <c r="DT34" s="1997"/>
      <c r="DU34" s="1997"/>
      <c r="DV34" s="1997"/>
      <c r="DW34" s="1997"/>
      <c r="DX34" s="1997"/>
      <c r="DY34" s="1997"/>
      <c r="DZ34" s="1997"/>
      <c r="EA34" s="1997"/>
      <c r="EB34" s="1997"/>
      <c r="EC34" s="1997"/>
      <c r="ED34" s="1997"/>
      <c r="EE34" s="1997"/>
      <c r="EF34" s="1997"/>
      <c r="EG34" s="1997"/>
      <c r="EH34" s="1997"/>
      <c r="EI34" s="1997"/>
      <c r="EJ34" s="1997"/>
      <c r="EK34" s="1997"/>
      <c r="EL34" s="1997"/>
      <c r="EM34" s="1997"/>
      <c r="EN34" s="1997"/>
      <c r="EO34" s="1997"/>
      <c r="EP34" s="1997"/>
      <c r="EQ34" s="1997"/>
      <c r="ER34" s="1997"/>
      <c r="ES34" s="1997"/>
      <c r="ET34" s="1997"/>
      <c r="EU34" s="1997"/>
      <c r="EV34" s="1997"/>
      <c r="EW34" s="1997"/>
      <c r="EX34" s="1997"/>
      <c r="EY34" s="1997"/>
      <c r="EZ34" s="1997"/>
      <c r="FA34" s="1997"/>
      <c r="FB34" s="1997"/>
      <c r="FC34" s="1997"/>
      <c r="FD34" s="1997"/>
      <c r="FE34" s="1997"/>
      <c r="FF34" s="1997"/>
      <c r="FG34" s="1997"/>
      <c r="FH34" s="1997"/>
      <c r="FI34" s="1997"/>
      <c r="FJ34" s="1997"/>
      <c r="FK34" s="1997"/>
      <c r="FL34" s="1997"/>
      <c r="FM34" s="1997"/>
      <c r="FN34" s="1997"/>
      <c r="FO34" s="1997"/>
      <c r="FP34" s="1997"/>
      <c r="FQ34" s="1997"/>
      <c r="FR34" s="1997"/>
      <c r="FS34" s="1997"/>
      <c r="FT34" s="1997"/>
      <c r="FU34" s="1997"/>
      <c r="FV34" s="1997"/>
      <c r="FW34" s="1997"/>
      <c r="FX34" s="1997"/>
      <c r="FY34" s="1997"/>
      <c r="FZ34" s="1997"/>
      <c r="GA34" s="1997"/>
      <c r="GB34" s="1997"/>
      <c r="GC34" s="1997"/>
      <c r="GD34" s="1997"/>
      <c r="GE34" s="1997"/>
      <c r="GF34" s="1997"/>
      <c r="GG34" s="1997"/>
      <c r="GH34" s="1997"/>
      <c r="GI34" s="1997"/>
      <c r="GJ34" s="1997"/>
      <c r="GK34" s="1997"/>
      <c r="GL34" s="1997"/>
      <c r="GM34" s="1997"/>
      <c r="GN34" s="1997"/>
      <c r="GO34" s="1997"/>
      <c r="GP34" s="1997"/>
      <c r="GQ34" s="1997"/>
      <c r="GR34" s="1997"/>
      <c r="GS34" s="1997"/>
      <c r="GT34" s="1997"/>
      <c r="GU34" s="1997"/>
      <c r="GV34" s="1997"/>
      <c r="GW34" s="1997"/>
      <c r="GX34" s="1997"/>
      <c r="GY34" s="1997"/>
      <c r="GZ34" s="1997"/>
      <c r="HA34" s="1997"/>
      <c r="HB34" s="1997"/>
      <c r="HC34" s="1997"/>
      <c r="HD34" s="1997"/>
      <c r="HE34" s="1997"/>
      <c r="HF34" s="1997"/>
      <c r="HG34" s="1997"/>
      <c r="HH34" s="1997"/>
      <c r="HI34" s="1997"/>
      <c r="HJ34" s="1997"/>
      <c r="HK34" s="1997"/>
      <c r="HL34" s="1997"/>
      <c r="HM34" s="1997"/>
      <c r="HN34" s="1997"/>
      <c r="HO34" s="1997"/>
      <c r="HP34" s="1997"/>
      <c r="HQ34" s="1997"/>
      <c r="HR34" s="1997"/>
      <c r="HS34" s="1997"/>
      <c r="HT34" s="1997"/>
      <c r="HU34" s="1997"/>
      <c r="HV34" s="1997"/>
      <c r="HW34" s="1997"/>
      <c r="HX34" s="1997"/>
      <c r="HY34" s="1997"/>
      <c r="HZ34" s="1997"/>
      <c r="IA34" s="1997"/>
      <c r="IB34" s="1997"/>
      <c r="IC34" s="1997"/>
      <c r="ID34" s="1997"/>
      <c r="IE34" s="1997"/>
      <c r="IF34" s="1997"/>
      <c r="IG34" s="1997"/>
      <c r="IH34" s="1997"/>
      <c r="II34" s="1997"/>
      <c r="IJ34" s="1997"/>
      <c r="IK34" s="1997"/>
      <c r="IL34" s="1997"/>
      <c r="IM34" s="1997"/>
      <c r="IN34" s="1997"/>
      <c r="IO34" s="1997"/>
      <c r="IP34" s="1997"/>
      <c r="IQ34" s="1997"/>
    </row>
    <row r="35" spans="1:251" hidden="1">
      <c r="A35" s="1993"/>
      <c r="B35" s="1998"/>
      <c r="C35" s="1998"/>
      <c r="D35" s="2034"/>
      <c r="E35" s="1998"/>
      <c r="F35" s="1940">
        <f t="shared" si="14"/>
        <v>0</v>
      </c>
      <c r="G35" s="1993"/>
      <c r="H35" s="1940">
        <f t="shared" si="15"/>
        <v>0</v>
      </c>
      <c r="I35" s="1993"/>
      <c r="J35" s="1940">
        <f t="shared" si="5"/>
        <v>0</v>
      </c>
      <c r="K35" s="1993"/>
      <c r="L35" s="1940">
        <f t="shared" si="16"/>
        <v>0</v>
      </c>
      <c r="M35" s="1940">
        <f t="shared" si="17"/>
        <v>0</v>
      </c>
      <c r="N35" s="1940">
        <f t="shared" si="18"/>
        <v>0</v>
      </c>
      <c r="O35" s="1993"/>
      <c r="P35" s="1993"/>
      <c r="Q35" s="1940">
        <f t="shared" si="19"/>
        <v>0</v>
      </c>
      <c r="R35" s="1940">
        <f t="shared" si="9"/>
        <v>0</v>
      </c>
      <c r="S35" s="1940">
        <f t="shared" si="20"/>
        <v>0</v>
      </c>
      <c r="T35" s="1940">
        <f t="shared" si="21"/>
        <v>0</v>
      </c>
      <c r="U35" s="1940">
        <f t="shared" si="22"/>
        <v>0</v>
      </c>
      <c r="V35" s="1997"/>
      <c r="W35" s="1997"/>
      <c r="X35" s="1997"/>
      <c r="Y35" s="1997"/>
      <c r="Z35" s="1997"/>
      <c r="AA35" s="1997"/>
      <c r="AB35" s="1997"/>
      <c r="AC35" s="1997"/>
      <c r="AD35" s="1997"/>
      <c r="AE35" s="1997"/>
      <c r="AF35" s="1997"/>
      <c r="AG35" s="1997"/>
      <c r="AH35" s="1997"/>
      <c r="AI35" s="1997"/>
      <c r="AJ35" s="1997"/>
      <c r="AK35" s="1997"/>
      <c r="AL35" s="1997"/>
      <c r="AM35" s="1997"/>
      <c r="AN35" s="1997"/>
      <c r="AO35" s="1997"/>
      <c r="AP35" s="1997"/>
      <c r="AQ35" s="1997"/>
      <c r="AR35" s="1997"/>
      <c r="AS35" s="1997"/>
      <c r="AT35" s="1997"/>
      <c r="AU35" s="1997"/>
      <c r="AV35" s="1997"/>
      <c r="AW35" s="1997"/>
      <c r="AX35" s="1997"/>
      <c r="AY35" s="1997"/>
      <c r="AZ35" s="1997"/>
      <c r="BA35" s="1997"/>
      <c r="BB35" s="1997"/>
      <c r="BC35" s="1997"/>
      <c r="BD35" s="1997"/>
      <c r="BE35" s="1997"/>
      <c r="BF35" s="1997"/>
      <c r="BG35" s="1997"/>
      <c r="BH35" s="1997"/>
      <c r="BI35" s="1997"/>
      <c r="BJ35" s="1997"/>
      <c r="BK35" s="1997"/>
      <c r="BL35" s="1997"/>
      <c r="BM35" s="1997"/>
      <c r="BN35" s="1997"/>
      <c r="BO35" s="1997"/>
      <c r="BP35" s="1997"/>
      <c r="BQ35" s="1997"/>
      <c r="BR35" s="1997"/>
      <c r="BS35" s="1997"/>
      <c r="BT35" s="1997"/>
      <c r="BU35" s="1997"/>
      <c r="BV35" s="1997"/>
      <c r="BW35" s="1997"/>
      <c r="BX35" s="1997"/>
      <c r="BY35" s="1997"/>
      <c r="BZ35" s="1997"/>
      <c r="CA35" s="1997"/>
      <c r="CB35" s="1997"/>
      <c r="CC35" s="1997"/>
      <c r="CD35" s="1997"/>
      <c r="CE35" s="1997"/>
      <c r="CF35" s="1997"/>
      <c r="CG35" s="1997"/>
      <c r="CH35" s="1997"/>
      <c r="CI35" s="1997"/>
      <c r="CJ35" s="1997"/>
      <c r="CK35" s="1997"/>
      <c r="CL35" s="1997"/>
      <c r="CM35" s="1997"/>
      <c r="CN35" s="1997"/>
      <c r="CO35" s="1997"/>
      <c r="CP35" s="1997"/>
      <c r="CQ35" s="1997"/>
      <c r="CR35" s="1997"/>
      <c r="CS35" s="1997"/>
      <c r="CT35" s="1997"/>
      <c r="CU35" s="1997"/>
      <c r="CV35" s="1997"/>
      <c r="CW35" s="1997"/>
      <c r="CX35" s="1997"/>
      <c r="CY35" s="1997"/>
      <c r="CZ35" s="1997"/>
      <c r="DA35" s="1997"/>
      <c r="DB35" s="1997"/>
      <c r="DC35" s="1997"/>
      <c r="DD35" s="1997"/>
      <c r="DE35" s="1997"/>
      <c r="DF35" s="1997"/>
      <c r="DG35" s="1997"/>
      <c r="DH35" s="1997"/>
      <c r="DI35" s="1997"/>
      <c r="DJ35" s="1997"/>
      <c r="DK35" s="1997"/>
      <c r="DL35" s="1997"/>
      <c r="DM35" s="1997"/>
      <c r="DN35" s="1997"/>
      <c r="DO35" s="1997"/>
      <c r="DP35" s="1997"/>
      <c r="DQ35" s="1997"/>
      <c r="DR35" s="1997"/>
      <c r="DS35" s="1997"/>
      <c r="DT35" s="1997"/>
      <c r="DU35" s="1997"/>
      <c r="DV35" s="1997"/>
      <c r="DW35" s="1997"/>
      <c r="DX35" s="1997"/>
      <c r="DY35" s="1997"/>
      <c r="DZ35" s="1997"/>
      <c r="EA35" s="1997"/>
      <c r="EB35" s="1997"/>
      <c r="EC35" s="1997"/>
      <c r="ED35" s="1997"/>
      <c r="EE35" s="1997"/>
      <c r="EF35" s="1997"/>
      <c r="EG35" s="1997"/>
      <c r="EH35" s="1997"/>
      <c r="EI35" s="1997"/>
      <c r="EJ35" s="1997"/>
      <c r="EK35" s="1997"/>
      <c r="EL35" s="1997"/>
      <c r="EM35" s="1997"/>
      <c r="EN35" s="1997"/>
      <c r="EO35" s="1997"/>
      <c r="EP35" s="1997"/>
      <c r="EQ35" s="1997"/>
      <c r="ER35" s="1997"/>
      <c r="ES35" s="1997"/>
      <c r="ET35" s="1997"/>
      <c r="EU35" s="1997"/>
      <c r="EV35" s="1997"/>
      <c r="EW35" s="1997"/>
      <c r="EX35" s="1997"/>
      <c r="EY35" s="1997"/>
      <c r="EZ35" s="1997"/>
      <c r="FA35" s="1997"/>
      <c r="FB35" s="1997"/>
      <c r="FC35" s="1997"/>
      <c r="FD35" s="1997"/>
      <c r="FE35" s="1997"/>
      <c r="FF35" s="1997"/>
      <c r="FG35" s="1997"/>
      <c r="FH35" s="1997"/>
      <c r="FI35" s="1997"/>
      <c r="FJ35" s="1997"/>
      <c r="FK35" s="1997"/>
      <c r="FL35" s="1997"/>
      <c r="FM35" s="1997"/>
      <c r="FN35" s="1997"/>
      <c r="FO35" s="1997"/>
      <c r="FP35" s="1997"/>
      <c r="FQ35" s="1997"/>
      <c r="FR35" s="1997"/>
      <c r="FS35" s="1997"/>
      <c r="FT35" s="1997"/>
      <c r="FU35" s="1997"/>
      <c r="FV35" s="1997"/>
      <c r="FW35" s="1997"/>
      <c r="FX35" s="1997"/>
      <c r="FY35" s="1997"/>
      <c r="FZ35" s="1997"/>
      <c r="GA35" s="1997"/>
      <c r="GB35" s="1997"/>
      <c r="GC35" s="1997"/>
      <c r="GD35" s="1997"/>
      <c r="GE35" s="1997"/>
      <c r="GF35" s="1997"/>
      <c r="GG35" s="1997"/>
      <c r="GH35" s="1997"/>
      <c r="GI35" s="1997"/>
      <c r="GJ35" s="1997"/>
      <c r="GK35" s="1997"/>
      <c r="GL35" s="1997"/>
      <c r="GM35" s="1997"/>
      <c r="GN35" s="1997"/>
      <c r="GO35" s="1997"/>
      <c r="GP35" s="1997"/>
      <c r="GQ35" s="1997"/>
      <c r="GR35" s="1997"/>
      <c r="GS35" s="1997"/>
      <c r="GT35" s="1997"/>
      <c r="GU35" s="1997"/>
      <c r="GV35" s="1997"/>
      <c r="GW35" s="1997"/>
      <c r="GX35" s="1997"/>
      <c r="GY35" s="1997"/>
      <c r="GZ35" s="1997"/>
      <c r="HA35" s="1997"/>
      <c r="HB35" s="1997"/>
      <c r="HC35" s="1997"/>
      <c r="HD35" s="1997"/>
      <c r="HE35" s="1997"/>
      <c r="HF35" s="1997"/>
      <c r="HG35" s="1997"/>
      <c r="HH35" s="1997"/>
      <c r="HI35" s="1997"/>
      <c r="HJ35" s="1997"/>
      <c r="HK35" s="1997"/>
      <c r="HL35" s="1997"/>
      <c r="HM35" s="1997"/>
      <c r="HN35" s="1997"/>
      <c r="HO35" s="1997"/>
      <c r="HP35" s="1997"/>
      <c r="HQ35" s="1997"/>
      <c r="HR35" s="1997"/>
      <c r="HS35" s="1997"/>
      <c r="HT35" s="1997"/>
      <c r="HU35" s="1997"/>
      <c r="HV35" s="1997"/>
      <c r="HW35" s="1997"/>
      <c r="HX35" s="1997"/>
      <c r="HY35" s="1997"/>
      <c r="HZ35" s="1997"/>
      <c r="IA35" s="1997"/>
      <c r="IB35" s="1997"/>
      <c r="IC35" s="1997"/>
      <c r="ID35" s="1997"/>
      <c r="IE35" s="1997"/>
      <c r="IF35" s="1997"/>
      <c r="IG35" s="1997"/>
      <c r="IH35" s="1997"/>
      <c r="II35" s="1997"/>
      <c r="IJ35" s="1997"/>
      <c r="IK35" s="1997"/>
      <c r="IL35" s="1997"/>
      <c r="IM35" s="1997"/>
      <c r="IN35" s="1997"/>
      <c r="IO35" s="1997"/>
      <c r="IP35" s="1997"/>
      <c r="IQ35" s="1997"/>
    </row>
    <row r="36" spans="1:251" hidden="1">
      <c r="A36" s="1993"/>
      <c r="B36" s="1998"/>
      <c r="C36" s="1998"/>
      <c r="D36" s="2034"/>
      <c r="E36" s="1998"/>
      <c r="F36" s="1940">
        <f t="shared" si="14"/>
        <v>0</v>
      </c>
      <c r="G36" s="1993"/>
      <c r="H36" s="1940">
        <f t="shared" si="15"/>
        <v>0</v>
      </c>
      <c r="I36" s="1993"/>
      <c r="J36" s="1940">
        <f t="shared" si="5"/>
        <v>0</v>
      </c>
      <c r="K36" s="1993"/>
      <c r="L36" s="1940">
        <f t="shared" si="16"/>
        <v>0</v>
      </c>
      <c r="M36" s="1940">
        <f t="shared" si="17"/>
        <v>0</v>
      </c>
      <c r="N36" s="1940">
        <f t="shared" si="18"/>
        <v>0</v>
      </c>
      <c r="O36" s="1993"/>
      <c r="P36" s="1993"/>
      <c r="Q36" s="1940">
        <f t="shared" si="19"/>
        <v>0</v>
      </c>
      <c r="R36" s="1940">
        <f t="shared" si="9"/>
        <v>0</v>
      </c>
      <c r="S36" s="1940">
        <f t="shared" si="20"/>
        <v>0</v>
      </c>
      <c r="T36" s="1940">
        <f t="shared" si="21"/>
        <v>0</v>
      </c>
      <c r="U36" s="1940">
        <f t="shared" si="22"/>
        <v>0</v>
      </c>
      <c r="V36" s="1997"/>
      <c r="W36" s="1997"/>
      <c r="X36" s="1997"/>
      <c r="Y36" s="1997"/>
      <c r="Z36" s="1997"/>
      <c r="AA36" s="1997"/>
      <c r="AB36" s="1997"/>
      <c r="AC36" s="1997"/>
      <c r="AD36" s="1997"/>
      <c r="AE36" s="1997"/>
      <c r="AF36" s="1997"/>
      <c r="AG36" s="1997"/>
      <c r="AH36" s="1997"/>
      <c r="AI36" s="1997"/>
      <c r="AJ36" s="1997"/>
      <c r="AK36" s="1997"/>
      <c r="AL36" s="1997"/>
      <c r="AM36" s="1997"/>
      <c r="AN36" s="1997"/>
      <c r="AO36" s="1997"/>
      <c r="AP36" s="1997"/>
      <c r="AQ36" s="1997"/>
      <c r="AR36" s="1997"/>
      <c r="AS36" s="1997"/>
      <c r="AT36" s="1997"/>
      <c r="AU36" s="1997"/>
      <c r="AV36" s="1997"/>
      <c r="AW36" s="1997"/>
      <c r="AX36" s="1997"/>
      <c r="AY36" s="1997"/>
      <c r="AZ36" s="1997"/>
      <c r="BA36" s="1997"/>
      <c r="BB36" s="1997"/>
      <c r="BC36" s="1997"/>
      <c r="BD36" s="1997"/>
      <c r="BE36" s="1997"/>
      <c r="BF36" s="1997"/>
      <c r="BG36" s="1997"/>
      <c r="BH36" s="1997"/>
      <c r="BI36" s="1997"/>
      <c r="BJ36" s="1997"/>
      <c r="BK36" s="1997"/>
      <c r="BL36" s="1997"/>
      <c r="BM36" s="1997"/>
      <c r="BN36" s="1997"/>
      <c r="BO36" s="1997"/>
      <c r="BP36" s="1997"/>
      <c r="BQ36" s="1997"/>
      <c r="BR36" s="1997"/>
      <c r="BS36" s="1997"/>
      <c r="BT36" s="1997"/>
      <c r="BU36" s="1997"/>
      <c r="BV36" s="1997"/>
      <c r="BW36" s="1997"/>
      <c r="BX36" s="1997"/>
      <c r="BY36" s="1997"/>
      <c r="BZ36" s="1997"/>
      <c r="CA36" s="1997"/>
      <c r="CB36" s="1997"/>
      <c r="CC36" s="1997"/>
      <c r="CD36" s="1997"/>
      <c r="CE36" s="1997"/>
      <c r="CF36" s="1997"/>
      <c r="CG36" s="1997"/>
      <c r="CH36" s="1997"/>
      <c r="CI36" s="1997"/>
      <c r="CJ36" s="1997"/>
      <c r="CK36" s="1997"/>
      <c r="CL36" s="1997"/>
      <c r="CM36" s="1997"/>
      <c r="CN36" s="1997"/>
      <c r="CO36" s="1997"/>
      <c r="CP36" s="1997"/>
      <c r="CQ36" s="1997"/>
      <c r="CR36" s="1997"/>
      <c r="CS36" s="1997"/>
      <c r="CT36" s="1997"/>
      <c r="CU36" s="1997"/>
      <c r="CV36" s="1997"/>
      <c r="CW36" s="1997"/>
      <c r="CX36" s="1997"/>
      <c r="CY36" s="1997"/>
      <c r="CZ36" s="1997"/>
      <c r="DA36" s="1997"/>
      <c r="DB36" s="1997"/>
      <c r="DC36" s="1997"/>
      <c r="DD36" s="1997"/>
      <c r="DE36" s="1997"/>
      <c r="DF36" s="1997"/>
      <c r="DG36" s="1997"/>
      <c r="DH36" s="1997"/>
      <c r="DI36" s="1997"/>
      <c r="DJ36" s="1997"/>
      <c r="DK36" s="1997"/>
      <c r="DL36" s="1997"/>
      <c r="DM36" s="1997"/>
      <c r="DN36" s="1997"/>
      <c r="DO36" s="1997"/>
      <c r="DP36" s="1997"/>
      <c r="DQ36" s="1997"/>
      <c r="DR36" s="1997"/>
      <c r="DS36" s="1997"/>
      <c r="DT36" s="1997"/>
      <c r="DU36" s="1997"/>
      <c r="DV36" s="1997"/>
      <c r="DW36" s="1997"/>
      <c r="DX36" s="1997"/>
      <c r="DY36" s="1997"/>
      <c r="DZ36" s="1997"/>
      <c r="EA36" s="1997"/>
      <c r="EB36" s="1997"/>
      <c r="EC36" s="1997"/>
      <c r="ED36" s="1997"/>
      <c r="EE36" s="1997"/>
      <c r="EF36" s="1997"/>
      <c r="EG36" s="1997"/>
      <c r="EH36" s="1997"/>
      <c r="EI36" s="1997"/>
      <c r="EJ36" s="1997"/>
      <c r="EK36" s="1997"/>
      <c r="EL36" s="1997"/>
      <c r="EM36" s="1997"/>
      <c r="EN36" s="1997"/>
      <c r="EO36" s="1997"/>
      <c r="EP36" s="1997"/>
      <c r="EQ36" s="1997"/>
      <c r="ER36" s="1997"/>
      <c r="ES36" s="1997"/>
      <c r="ET36" s="1997"/>
      <c r="EU36" s="1997"/>
      <c r="EV36" s="1997"/>
      <c r="EW36" s="1997"/>
      <c r="EX36" s="1997"/>
      <c r="EY36" s="1997"/>
      <c r="EZ36" s="1997"/>
      <c r="FA36" s="1997"/>
      <c r="FB36" s="1997"/>
      <c r="FC36" s="1997"/>
      <c r="FD36" s="1997"/>
      <c r="FE36" s="1997"/>
      <c r="FF36" s="1997"/>
      <c r="FG36" s="1997"/>
      <c r="FH36" s="1997"/>
      <c r="FI36" s="1997"/>
      <c r="FJ36" s="1997"/>
      <c r="FK36" s="1997"/>
      <c r="FL36" s="1997"/>
      <c r="FM36" s="1997"/>
      <c r="FN36" s="1997"/>
      <c r="FO36" s="1997"/>
      <c r="FP36" s="1997"/>
      <c r="FQ36" s="1997"/>
      <c r="FR36" s="1997"/>
      <c r="FS36" s="1997"/>
      <c r="FT36" s="1997"/>
      <c r="FU36" s="1997"/>
      <c r="FV36" s="1997"/>
      <c r="FW36" s="1997"/>
      <c r="FX36" s="1997"/>
      <c r="FY36" s="1997"/>
      <c r="FZ36" s="1997"/>
      <c r="GA36" s="1997"/>
      <c r="GB36" s="1997"/>
      <c r="GC36" s="1997"/>
      <c r="GD36" s="1997"/>
      <c r="GE36" s="1997"/>
      <c r="GF36" s="1997"/>
      <c r="GG36" s="1997"/>
      <c r="GH36" s="1997"/>
      <c r="GI36" s="1997"/>
      <c r="GJ36" s="1997"/>
      <c r="GK36" s="1997"/>
      <c r="GL36" s="1997"/>
      <c r="GM36" s="1997"/>
      <c r="GN36" s="1997"/>
      <c r="GO36" s="1997"/>
      <c r="GP36" s="1997"/>
      <c r="GQ36" s="1997"/>
      <c r="GR36" s="1997"/>
      <c r="GS36" s="1997"/>
      <c r="GT36" s="1997"/>
      <c r="GU36" s="1997"/>
      <c r="GV36" s="1997"/>
      <c r="GW36" s="1997"/>
      <c r="GX36" s="1997"/>
      <c r="GY36" s="1997"/>
      <c r="GZ36" s="1997"/>
      <c r="HA36" s="1997"/>
      <c r="HB36" s="1997"/>
      <c r="HC36" s="1997"/>
      <c r="HD36" s="1997"/>
      <c r="HE36" s="1997"/>
      <c r="HF36" s="1997"/>
      <c r="HG36" s="1997"/>
      <c r="HH36" s="1997"/>
      <c r="HI36" s="1997"/>
      <c r="HJ36" s="1997"/>
      <c r="HK36" s="1997"/>
      <c r="HL36" s="1997"/>
      <c r="HM36" s="1997"/>
      <c r="HN36" s="1997"/>
      <c r="HO36" s="1997"/>
      <c r="HP36" s="1997"/>
      <c r="HQ36" s="1997"/>
      <c r="HR36" s="1997"/>
      <c r="HS36" s="1997"/>
      <c r="HT36" s="1997"/>
      <c r="HU36" s="1997"/>
      <c r="HV36" s="1997"/>
      <c r="HW36" s="1997"/>
      <c r="HX36" s="1997"/>
      <c r="HY36" s="1997"/>
      <c r="HZ36" s="1997"/>
      <c r="IA36" s="1997"/>
      <c r="IB36" s="1997"/>
      <c r="IC36" s="1997"/>
      <c r="ID36" s="1997"/>
      <c r="IE36" s="1997"/>
      <c r="IF36" s="1997"/>
      <c r="IG36" s="1997"/>
      <c r="IH36" s="1997"/>
      <c r="II36" s="1997"/>
      <c r="IJ36" s="1997"/>
      <c r="IK36" s="1997"/>
      <c r="IL36" s="1997"/>
      <c r="IM36" s="1997"/>
      <c r="IN36" s="1997"/>
      <c r="IO36" s="1997"/>
      <c r="IP36" s="1997"/>
      <c r="IQ36" s="1997"/>
    </row>
    <row r="37" spans="1:251" hidden="1">
      <c r="A37" s="1993"/>
      <c r="B37" s="1998"/>
      <c r="C37" s="1998"/>
      <c r="D37" s="2034"/>
      <c r="E37" s="1998"/>
      <c r="F37" s="1940">
        <f t="shared" si="14"/>
        <v>0</v>
      </c>
      <c r="G37" s="1993"/>
      <c r="H37" s="1940">
        <f t="shared" si="15"/>
        <v>0</v>
      </c>
      <c r="I37" s="1993"/>
      <c r="J37" s="1940">
        <f t="shared" si="5"/>
        <v>0</v>
      </c>
      <c r="K37" s="1993"/>
      <c r="L37" s="1940">
        <f t="shared" si="16"/>
        <v>0</v>
      </c>
      <c r="M37" s="1940">
        <f t="shared" si="17"/>
        <v>0</v>
      </c>
      <c r="N37" s="1940">
        <f t="shared" si="18"/>
        <v>0</v>
      </c>
      <c r="O37" s="1993"/>
      <c r="P37" s="1993"/>
      <c r="Q37" s="1940">
        <f t="shared" si="19"/>
        <v>0</v>
      </c>
      <c r="R37" s="1940">
        <f t="shared" si="9"/>
        <v>0</v>
      </c>
      <c r="S37" s="1940">
        <f t="shared" si="20"/>
        <v>0</v>
      </c>
      <c r="T37" s="1940">
        <f t="shared" si="21"/>
        <v>0</v>
      </c>
      <c r="U37" s="1940">
        <f t="shared" si="22"/>
        <v>0</v>
      </c>
      <c r="V37" s="1997"/>
      <c r="W37" s="1997"/>
      <c r="X37" s="1997"/>
      <c r="Y37" s="1997"/>
      <c r="Z37" s="1997"/>
      <c r="AA37" s="1997"/>
      <c r="AB37" s="1997"/>
      <c r="AC37" s="1997"/>
      <c r="AD37" s="1997"/>
      <c r="AE37" s="1997"/>
      <c r="AF37" s="1997"/>
      <c r="AG37" s="1997"/>
      <c r="AH37" s="1997"/>
      <c r="AI37" s="1997"/>
      <c r="AJ37" s="1997"/>
      <c r="AK37" s="1997"/>
      <c r="AL37" s="1997"/>
      <c r="AM37" s="1997"/>
      <c r="AN37" s="1997"/>
      <c r="AO37" s="1997"/>
      <c r="AP37" s="1997"/>
      <c r="AQ37" s="1997"/>
      <c r="AR37" s="1997"/>
      <c r="AS37" s="1997"/>
      <c r="AT37" s="1997"/>
      <c r="AU37" s="1997"/>
      <c r="AV37" s="1997"/>
      <c r="AW37" s="1997"/>
      <c r="AX37" s="1997"/>
      <c r="AY37" s="1997"/>
      <c r="AZ37" s="1997"/>
      <c r="BA37" s="1997"/>
      <c r="BB37" s="1997"/>
      <c r="BC37" s="1997"/>
      <c r="BD37" s="1997"/>
      <c r="BE37" s="1997"/>
      <c r="BF37" s="1997"/>
      <c r="BG37" s="1997"/>
      <c r="BH37" s="1997"/>
      <c r="BI37" s="1997"/>
      <c r="BJ37" s="1997"/>
      <c r="BK37" s="1997"/>
      <c r="BL37" s="1997"/>
      <c r="BM37" s="1997"/>
      <c r="BN37" s="1997"/>
      <c r="BO37" s="1997"/>
      <c r="BP37" s="1997"/>
      <c r="BQ37" s="1997"/>
      <c r="BR37" s="1997"/>
      <c r="BS37" s="1997"/>
      <c r="BT37" s="1997"/>
      <c r="BU37" s="1997"/>
      <c r="BV37" s="1997"/>
      <c r="BW37" s="1997"/>
      <c r="BX37" s="1997"/>
      <c r="BY37" s="1997"/>
      <c r="BZ37" s="1997"/>
      <c r="CA37" s="1997"/>
      <c r="CB37" s="1997"/>
      <c r="CC37" s="1997"/>
      <c r="CD37" s="1997"/>
      <c r="CE37" s="1997"/>
      <c r="CF37" s="1997"/>
      <c r="CG37" s="1997"/>
      <c r="CH37" s="1997"/>
      <c r="CI37" s="1997"/>
      <c r="CJ37" s="1997"/>
      <c r="CK37" s="1997"/>
      <c r="CL37" s="1997"/>
      <c r="CM37" s="1997"/>
      <c r="CN37" s="1997"/>
      <c r="CO37" s="1997"/>
      <c r="CP37" s="1997"/>
      <c r="CQ37" s="1997"/>
      <c r="CR37" s="1997"/>
      <c r="CS37" s="1997"/>
      <c r="CT37" s="1997"/>
      <c r="CU37" s="1997"/>
      <c r="CV37" s="1997"/>
      <c r="CW37" s="1997"/>
      <c r="CX37" s="1997"/>
      <c r="CY37" s="1997"/>
      <c r="CZ37" s="1997"/>
      <c r="DA37" s="1997"/>
      <c r="DB37" s="1997"/>
      <c r="DC37" s="1997"/>
      <c r="DD37" s="1997"/>
      <c r="DE37" s="1997"/>
      <c r="DF37" s="1997"/>
      <c r="DG37" s="1997"/>
      <c r="DH37" s="1997"/>
      <c r="DI37" s="1997"/>
      <c r="DJ37" s="1997"/>
      <c r="DK37" s="1997"/>
      <c r="DL37" s="1997"/>
      <c r="DM37" s="1997"/>
      <c r="DN37" s="1997"/>
      <c r="DO37" s="1997"/>
      <c r="DP37" s="1997"/>
      <c r="DQ37" s="1997"/>
      <c r="DR37" s="1997"/>
      <c r="DS37" s="1997"/>
      <c r="DT37" s="1997"/>
      <c r="DU37" s="1997"/>
      <c r="DV37" s="1997"/>
      <c r="DW37" s="1997"/>
      <c r="DX37" s="1997"/>
      <c r="DY37" s="1997"/>
      <c r="DZ37" s="1997"/>
      <c r="EA37" s="1997"/>
      <c r="EB37" s="1997"/>
      <c r="EC37" s="1997"/>
      <c r="ED37" s="1997"/>
      <c r="EE37" s="1997"/>
      <c r="EF37" s="1997"/>
      <c r="EG37" s="1997"/>
      <c r="EH37" s="1997"/>
      <c r="EI37" s="1997"/>
      <c r="EJ37" s="1997"/>
      <c r="EK37" s="1997"/>
      <c r="EL37" s="1997"/>
      <c r="EM37" s="1997"/>
      <c r="EN37" s="1997"/>
      <c r="EO37" s="1997"/>
      <c r="EP37" s="1997"/>
      <c r="EQ37" s="1997"/>
      <c r="ER37" s="1997"/>
      <c r="ES37" s="1997"/>
      <c r="ET37" s="1997"/>
      <c r="EU37" s="1997"/>
      <c r="EV37" s="1997"/>
      <c r="EW37" s="1997"/>
      <c r="EX37" s="1997"/>
      <c r="EY37" s="1997"/>
      <c r="EZ37" s="1997"/>
      <c r="FA37" s="1997"/>
      <c r="FB37" s="1997"/>
      <c r="FC37" s="1997"/>
      <c r="FD37" s="1997"/>
      <c r="FE37" s="1997"/>
      <c r="FF37" s="1997"/>
      <c r="FG37" s="1997"/>
      <c r="FH37" s="1997"/>
      <c r="FI37" s="1997"/>
      <c r="FJ37" s="1997"/>
      <c r="FK37" s="1997"/>
      <c r="FL37" s="1997"/>
      <c r="FM37" s="1997"/>
      <c r="FN37" s="1997"/>
      <c r="FO37" s="1997"/>
      <c r="FP37" s="1997"/>
      <c r="FQ37" s="1997"/>
      <c r="FR37" s="1997"/>
      <c r="FS37" s="1997"/>
      <c r="FT37" s="1997"/>
      <c r="FU37" s="1997"/>
      <c r="FV37" s="1997"/>
      <c r="FW37" s="1997"/>
      <c r="FX37" s="1997"/>
      <c r="FY37" s="1997"/>
      <c r="FZ37" s="1997"/>
      <c r="GA37" s="1997"/>
      <c r="GB37" s="1997"/>
      <c r="GC37" s="1997"/>
      <c r="GD37" s="1997"/>
      <c r="GE37" s="1997"/>
      <c r="GF37" s="1997"/>
      <c r="GG37" s="1997"/>
      <c r="GH37" s="1997"/>
      <c r="GI37" s="1997"/>
      <c r="GJ37" s="1997"/>
      <c r="GK37" s="1997"/>
      <c r="GL37" s="1997"/>
      <c r="GM37" s="1997"/>
      <c r="GN37" s="1997"/>
      <c r="GO37" s="1997"/>
      <c r="GP37" s="1997"/>
      <c r="GQ37" s="1997"/>
      <c r="GR37" s="1997"/>
      <c r="GS37" s="1997"/>
      <c r="GT37" s="1997"/>
      <c r="GU37" s="1997"/>
      <c r="GV37" s="1997"/>
      <c r="GW37" s="1997"/>
      <c r="GX37" s="1997"/>
      <c r="GY37" s="1997"/>
      <c r="GZ37" s="1997"/>
      <c r="HA37" s="1997"/>
      <c r="HB37" s="1997"/>
      <c r="HC37" s="1997"/>
      <c r="HD37" s="1997"/>
      <c r="HE37" s="1997"/>
      <c r="HF37" s="1997"/>
      <c r="HG37" s="1997"/>
      <c r="HH37" s="1997"/>
      <c r="HI37" s="1997"/>
      <c r="HJ37" s="1997"/>
      <c r="HK37" s="1997"/>
      <c r="HL37" s="1997"/>
      <c r="HM37" s="1997"/>
      <c r="HN37" s="1997"/>
      <c r="HO37" s="1997"/>
      <c r="HP37" s="1997"/>
      <c r="HQ37" s="1997"/>
      <c r="HR37" s="1997"/>
      <c r="HS37" s="1997"/>
      <c r="HT37" s="1997"/>
      <c r="HU37" s="1997"/>
      <c r="HV37" s="1997"/>
      <c r="HW37" s="1997"/>
      <c r="HX37" s="1997"/>
      <c r="HY37" s="1997"/>
      <c r="HZ37" s="1997"/>
      <c r="IA37" s="1997"/>
      <c r="IB37" s="1997"/>
      <c r="IC37" s="1997"/>
      <c r="ID37" s="1997"/>
      <c r="IE37" s="1997"/>
      <c r="IF37" s="1997"/>
      <c r="IG37" s="1997"/>
      <c r="IH37" s="1997"/>
      <c r="II37" s="1997"/>
      <c r="IJ37" s="1997"/>
      <c r="IK37" s="1997"/>
      <c r="IL37" s="1997"/>
      <c r="IM37" s="1997"/>
      <c r="IN37" s="1997"/>
      <c r="IO37" s="1997"/>
      <c r="IP37" s="1997"/>
      <c r="IQ37" s="1997"/>
    </row>
    <row r="38" spans="1:251" hidden="1">
      <c r="A38" s="1993"/>
      <c r="B38" s="1998"/>
      <c r="C38" s="1998"/>
      <c r="D38" s="2034"/>
      <c r="E38" s="1998"/>
      <c r="F38" s="1940">
        <f t="shared" si="14"/>
        <v>0</v>
      </c>
      <c r="G38" s="1993"/>
      <c r="H38" s="1940">
        <f t="shared" si="15"/>
        <v>0</v>
      </c>
      <c r="I38" s="1993"/>
      <c r="J38" s="1940">
        <f t="shared" si="5"/>
        <v>0</v>
      </c>
      <c r="K38" s="1993"/>
      <c r="L38" s="1940">
        <f t="shared" si="16"/>
        <v>0</v>
      </c>
      <c r="M38" s="1940">
        <f t="shared" si="17"/>
        <v>0</v>
      </c>
      <c r="N38" s="1940">
        <f t="shared" si="18"/>
        <v>0</v>
      </c>
      <c r="O38" s="1993"/>
      <c r="P38" s="1993"/>
      <c r="Q38" s="1940">
        <f t="shared" si="19"/>
        <v>0</v>
      </c>
      <c r="R38" s="1940">
        <f t="shared" si="9"/>
        <v>0</v>
      </c>
      <c r="S38" s="1940">
        <f t="shared" si="20"/>
        <v>0</v>
      </c>
      <c r="T38" s="1940">
        <f t="shared" si="21"/>
        <v>0</v>
      </c>
      <c r="U38" s="1940">
        <f t="shared" si="22"/>
        <v>0</v>
      </c>
      <c r="V38" s="1997"/>
      <c r="W38" s="1997"/>
      <c r="X38" s="1997"/>
      <c r="Y38" s="1997"/>
      <c r="Z38" s="1997"/>
      <c r="AA38" s="1997"/>
      <c r="AB38" s="1997"/>
      <c r="AC38" s="1997"/>
      <c r="AD38" s="1997"/>
      <c r="AE38" s="1997"/>
      <c r="AF38" s="1997"/>
      <c r="AG38" s="1997"/>
      <c r="AH38" s="1997"/>
      <c r="AI38" s="1997"/>
      <c r="AJ38" s="1997"/>
      <c r="AK38" s="1997"/>
      <c r="AL38" s="1997"/>
      <c r="AM38" s="1997"/>
      <c r="AN38" s="1997"/>
      <c r="AO38" s="1997"/>
      <c r="AP38" s="1997"/>
      <c r="AQ38" s="1997"/>
      <c r="AR38" s="1997"/>
      <c r="AS38" s="1997"/>
      <c r="AT38" s="1997"/>
      <c r="AU38" s="1997"/>
      <c r="AV38" s="1997"/>
      <c r="AW38" s="1997"/>
      <c r="AX38" s="1997"/>
      <c r="AY38" s="1997"/>
      <c r="AZ38" s="1997"/>
      <c r="BA38" s="1997"/>
      <c r="BB38" s="1997"/>
      <c r="BC38" s="1997"/>
      <c r="BD38" s="1997"/>
      <c r="BE38" s="1997"/>
      <c r="BF38" s="1997"/>
      <c r="BG38" s="1997"/>
      <c r="BH38" s="1997"/>
      <c r="BI38" s="1997"/>
      <c r="BJ38" s="1997"/>
      <c r="BK38" s="1997"/>
      <c r="BL38" s="1997"/>
      <c r="BM38" s="1997"/>
      <c r="BN38" s="1997"/>
      <c r="BO38" s="1997"/>
      <c r="BP38" s="1997"/>
      <c r="BQ38" s="1997"/>
      <c r="BR38" s="1997"/>
      <c r="BS38" s="1997"/>
      <c r="BT38" s="1997"/>
      <c r="BU38" s="1997"/>
      <c r="BV38" s="1997"/>
      <c r="BW38" s="1997"/>
      <c r="BX38" s="1997"/>
      <c r="BY38" s="1997"/>
      <c r="BZ38" s="1997"/>
      <c r="CA38" s="1997"/>
      <c r="CB38" s="1997"/>
      <c r="CC38" s="1997"/>
      <c r="CD38" s="1997"/>
      <c r="CE38" s="1997"/>
      <c r="CF38" s="1997"/>
      <c r="CG38" s="1997"/>
      <c r="CH38" s="1997"/>
      <c r="CI38" s="1997"/>
      <c r="CJ38" s="1997"/>
      <c r="CK38" s="1997"/>
      <c r="CL38" s="1997"/>
      <c r="CM38" s="1997"/>
      <c r="CN38" s="1997"/>
      <c r="CO38" s="1997"/>
      <c r="CP38" s="1997"/>
      <c r="CQ38" s="1997"/>
      <c r="CR38" s="1997"/>
      <c r="CS38" s="1997"/>
      <c r="CT38" s="1997"/>
      <c r="CU38" s="1997"/>
      <c r="CV38" s="1997"/>
      <c r="CW38" s="1997"/>
      <c r="CX38" s="1997"/>
      <c r="CY38" s="1997"/>
      <c r="CZ38" s="1997"/>
      <c r="DA38" s="1997"/>
      <c r="DB38" s="1997"/>
      <c r="DC38" s="1997"/>
      <c r="DD38" s="1997"/>
      <c r="DE38" s="1997"/>
      <c r="DF38" s="1997"/>
      <c r="DG38" s="1997"/>
      <c r="DH38" s="1997"/>
      <c r="DI38" s="1997"/>
      <c r="DJ38" s="1997"/>
      <c r="DK38" s="1997"/>
      <c r="DL38" s="1997"/>
      <c r="DM38" s="1997"/>
      <c r="DN38" s="1997"/>
      <c r="DO38" s="1997"/>
      <c r="DP38" s="1997"/>
      <c r="DQ38" s="1997"/>
      <c r="DR38" s="1997"/>
      <c r="DS38" s="1997"/>
      <c r="DT38" s="1997"/>
      <c r="DU38" s="1997"/>
      <c r="DV38" s="1997"/>
      <c r="DW38" s="1997"/>
      <c r="DX38" s="1997"/>
      <c r="DY38" s="1997"/>
      <c r="DZ38" s="1997"/>
      <c r="EA38" s="1997"/>
      <c r="EB38" s="1997"/>
      <c r="EC38" s="1997"/>
      <c r="ED38" s="1997"/>
      <c r="EE38" s="1997"/>
      <c r="EF38" s="1997"/>
      <c r="EG38" s="1997"/>
      <c r="EH38" s="1997"/>
      <c r="EI38" s="1997"/>
      <c r="EJ38" s="1997"/>
      <c r="EK38" s="1997"/>
      <c r="EL38" s="1997"/>
      <c r="EM38" s="1997"/>
      <c r="EN38" s="1997"/>
      <c r="EO38" s="1997"/>
      <c r="EP38" s="1997"/>
      <c r="EQ38" s="1997"/>
      <c r="ER38" s="1997"/>
      <c r="ES38" s="1997"/>
      <c r="ET38" s="1997"/>
      <c r="EU38" s="1997"/>
      <c r="EV38" s="1997"/>
      <c r="EW38" s="1997"/>
      <c r="EX38" s="1997"/>
      <c r="EY38" s="1997"/>
      <c r="EZ38" s="1997"/>
      <c r="FA38" s="1997"/>
      <c r="FB38" s="1997"/>
      <c r="FC38" s="1997"/>
      <c r="FD38" s="1997"/>
      <c r="FE38" s="1997"/>
      <c r="FF38" s="1997"/>
      <c r="FG38" s="1997"/>
      <c r="FH38" s="1997"/>
      <c r="FI38" s="1997"/>
      <c r="FJ38" s="1997"/>
      <c r="FK38" s="1997"/>
      <c r="FL38" s="1997"/>
      <c r="FM38" s="1997"/>
      <c r="FN38" s="1997"/>
      <c r="FO38" s="1997"/>
      <c r="FP38" s="1997"/>
      <c r="FQ38" s="1997"/>
      <c r="FR38" s="1997"/>
      <c r="FS38" s="1997"/>
      <c r="FT38" s="1997"/>
      <c r="FU38" s="1997"/>
      <c r="FV38" s="1997"/>
      <c r="FW38" s="1997"/>
      <c r="FX38" s="1997"/>
      <c r="FY38" s="1997"/>
      <c r="FZ38" s="1997"/>
      <c r="GA38" s="1997"/>
      <c r="GB38" s="1997"/>
      <c r="GC38" s="1997"/>
      <c r="GD38" s="1997"/>
      <c r="GE38" s="1997"/>
      <c r="GF38" s="1997"/>
      <c r="GG38" s="1997"/>
      <c r="GH38" s="1997"/>
      <c r="GI38" s="1997"/>
      <c r="GJ38" s="1997"/>
      <c r="GK38" s="1997"/>
      <c r="GL38" s="1997"/>
      <c r="GM38" s="1997"/>
      <c r="GN38" s="1997"/>
      <c r="GO38" s="1997"/>
      <c r="GP38" s="1997"/>
      <c r="GQ38" s="1997"/>
      <c r="GR38" s="1997"/>
      <c r="GS38" s="1997"/>
      <c r="GT38" s="1997"/>
      <c r="GU38" s="1997"/>
      <c r="GV38" s="1997"/>
      <c r="GW38" s="1997"/>
      <c r="GX38" s="1997"/>
      <c r="GY38" s="1997"/>
      <c r="GZ38" s="1997"/>
      <c r="HA38" s="1997"/>
      <c r="HB38" s="1997"/>
      <c r="HC38" s="1997"/>
      <c r="HD38" s="1997"/>
      <c r="HE38" s="1997"/>
      <c r="HF38" s="1997"/>
      <c r="HG38" s="1997"/>
      <c r="HH38" s="1997"/>
      <c r="HI38" s="1997"/>
      <c r="HJ38" s="1997"/>
      <c r="HK38" s="1997"/>
      <c r="HL38" s="1997"/>
      <c r="HM38" s="1997"/>
      <c r="HN38" s="1997"/>
      <c r="HO38" s="1997"/>
      <c r="HP38" s="1997"/>
      <c r="HQ38" s="1997"/>
      <c r="HR38" s="1997"/>
      <c r="HS38" s="1997"/>
      <c r="HT38" s="1997"/>
      <c r="HU38" s="1997"/>
      <c r="HV38" s="1997"/>
      <c r="HW38" s="1997"/>
      <c r="HX38" s="1997"/>
      <c r="HY38" s="1997"/>
      <c r="HZ38" s="1997"/>
      <c r="IA38" s="1997"/>
      <c r="IB38" s="1997"/>
      <c r="IC38" s="1997"/>
      <c r="ID38" s="1997"/>
      <c r="IE38" s="1997"/>
      <c r="IF38" s="1997"/>
      <c r="IG38" s="1997"/>
      <c r="IH38" s="1997"/>
      <c r="II38" s="1997"/>
      <c r="IJ38" s="1997"/>
      <c r="IK38" s="1997"/>
      <c r="IL38" s="1997"/>
      <c r="IM38" s="1997"/>
      <c r="IN38" s="1997"/>
      <c r="IO38" s="1997"/>
      <c r="IP38" s="1997"/>
      <c r="IQ38" s="1997"/>
    </row>
    <row r="39" spans="1:251" hidden="1">
      <c r="A39" s="1993"/>
      <c r="B39" s="1998"/>
      <c r="C39" s="1998"/>
      <c r="D39" s="2034"/>
      <c r="E39" s="1998"/>
      <c r="F39" s="1940">
        <f t="shared" si="14"/>
        <v>0</v>
      </c>
      <c r="G39" s="1993"/>
      <c r="H39" s="1940">
        <f t="shared" si="15"/>
        <v>0</v>
      </c>
      <c r="I39" s="1993"/>
      <c r="J39" s="1940">
        <f t="shared" si="5"/>
        <v>0</v>
      </c>
      <c r="K39" s="1993"/>
      <c r="L39" s="1940">
        <f t="shared" si="16"/>
        <v>0</v>
      </c>
      <c r="M39" s="1940">
        <f t="shared" si="17"/>
        <v>0</v>
      </c>
      <c r="N39" s="1940">
        <f t="shared" si="18"/>
        <v>0</v>
      </c>
      <c r="O39" s="1993"/>
      <c r="P39" s="1993"/>
      <c r="Q39" s="1940">
        <f t="shared" si="19"/>
        <v>0</v>
      </c>
      <c r="R39" s="1940">
        <f t="shared" si="9"/>
        <v>0</v>
      </c>
      <c r="S39" s="1940">
        <f t="shared" si="20"/>
        <v>0</v>
      </c>
      <c r="T39" s="1940">
        <f t="shared" si="21"/>
        <v>0</v>
      </c>
      <c r="U39" s="1940">
        <f t="shared" si="22"/>
        <v>0</v>
      </c>
      <c r="V39" s="1997"/>
      <c r="W39" s="1997"/>
      <c r="X39" s="1997"/>
      <c r="Y39" s="1997"/>
      <c r="Z39" s="1997"/>
      <c r="AA39" s="1997"/>
      <c r="AB39" s="1997"/>
      <c r="AC39" s="1997"/>
      <c r="AD39" s="1997"/>
      <c r="AE39" s="1997"/>
      <c r="AF39" s="1997"/>
      <c r="AG39" s="1997"/>
      <c r="AH39" s="1997"/>
      <c r="AI39" s="1997"/>
      <c r="AJ39" s="1997"/>
      <c r="AK39" s="1997"/>
      <c r="AL39" s="1997"/>
      <c r="AM39" s="1997"/>
      <c r="AN39" s="1997"/>
      <c r="AO39" s="1997"/>
      <c r="AP39" s="1997"/>
      <c r="AQ39" s="1997"/>
      <c r="AR39" s="1997"/>
      <c r="AS39" s="1997"/>
      <c r="AT39" s="1997"/>
      <c r="AU39" s="1997"/>
      <c r="AV39" s="1997"/>
      <c r="AW39" s="1997"/>
      <c r="AX39" s="1997"/>
      <c r="AY39" s="1997"/>
      <c r="AZ39" s="1997"/>
      <c r="BA39" s="1997"/>
      <c r="BB39" s="1997"/>
      <c r="BC39" s="1997"/>
      <c r="BD39" s="1997"/>
      <c r="BE39" s="1997"/>
      <c r="BF39" s="1997"/>
      <c r="BG39" s="1997"/>
      <c r="BH39" s="1997"/>
      <c r="BI39" s="1997"/>
      <c r="BJ39" s="1997"/>
      <c r="BK39" s="1997"/>
      <c r="BL39" s="1997"/>
      <c r="BM39" s="1997"/>
      <c r="BN39" s="1997"/>
      <c r="BO39" s="1997"/>
      <c r="BP39" s="1997"/>
      <c r="BQ39" s="1997"/>
      <c r="BR39" s="1997"/>
      <c r="BS39" s="1997"/>
      <c r="BT39" s="1997"/>
      <c r="BU39" s="1997"/>
      <c r="BV39" s="1997"/>
      <c r="BW39" s="1997"/>
      <c r="BX39" s="1997"/>
      <c r="BY39" s="1997"/>
      <c r="BZ39" s="1997"/>
      <c r="CA39" s="1997"/>
      <c r="CB39" s="1997"/>
      <c r="CC39" s="1997"/>
      <c r="CD39" s="1997"/>
      <c r="CE39" s="1997"/>
      <c r="CF39" s="1997"/>
      <c r="CG39" s="1997"/>
      <c r="CH39" s="1997"/>
      <c r="CI39" s="1997"/>
      <c r="CJ39" s="1997"/>
      <c r="CK39" s="1997"/>
      <c r="CL39" s="1997"/>
      <c r="CM39" s="1997"/>
      <c r="CN39" s="1997"/>
      <c r="CO39" s="1997"/>
      <c r="CP39" s="1997"/>
      <c r="CQ39" s="1997"/>
      <c r="CR39" s="1997"/>
      <c r="CS39" s="1997"/>
      <c r="CT39" s="1997"/>
      <c r="CU39" s="1997"/>
      <c r="CV39" s="1997"/>
      <c r="CW39" s="1997"/>
      <c r="CX39" s="1997"/>
      <c r="CY39" s="1997"/>
      <c r="CZ39" s="1997"/>
      <c r="DA39" s="1997"/>
      <c r="DB39" s="1997"/>
      <c r="DC39" s="1997"/>
      <c r="DD39" s="1997"/>
      <c r="DE39" s="1997"/>
      <c r="DF39" s="1997"/>
      <c r="DG39" s="1997"/>
      <c r="DH39" s="1997"/>
      <c r="DI39" s="1997"/>
      <c r="DJ39" s="1997"/>
      <c r="DK39" s="1997"/>
      <c r="DL39" s="1997"/>
      <c r="DM39" s="1997"/>
      <c r="DN39" s="1997"/>
      <c r="DO39" s="1997"/>
      <c r="DP39" s="1997"/>
      <c r="DQ39" s="1997"/>
      <c r="DR39" s="1997"/>
      <c r="DS39" s="1997"/>
      <c r="DT39" s="1997"/>
      <c r="DU39" s="1997"/>
      <c r="DV39" s="1997"/>
      <c r="DW39" s="1997"/>
      <c r="DX39" s="1997"/>
      <c r="DY39" s="1997"/>
      <c r="DZ39" s="1997"/>
      <c r="EA39" s="1997"/>
      <c r="EB39" s="1997"/>
      <c r="EC39" s="1997"/>
      <c r="ED39" s="1997"/>
      <c r="EE39" s="1997"/>
      <c r="EF39" s="1997"/>
      <c r="EG39" s="1997"/>
      <c r="EH39" s="1997"/>
      <c r="EI39" s="1997"/>
      <c r="EJ39" s="1997"/>
      <c r="EK39" s="1997"/>
      <c r="EL39" s="1997"/>
      <c r="EM39" s="1997"/>
      <c r="EN39" s="1997"/>
      <c r="EO39" s="1997"/>
      <c r="EP39" s="1997"/>
      <c r="EQ39" s="1997"/>
      <c r="ER39" s="1997"/>
      <c r="ES39" s="1997"/>
      <c r="ET39" s="1997"/>
      <c r="EU39" s="1997"/>
      <c r="EV39" s="1997"/>
      <c r="EW39" s="1997"/>
      <c r="EX39" s="1997"/>
      <c r="EY39" s="1997"/>
      <c r="EZ39" s="1997"/>
      <c r="FA39" s="1997"/>
      <c r="FB39" s="1997"/>
      <c r="FC39" s="1997"/>
      <c r="FD39" s="1997"/>
      <c r="FE39" s="1997"/>
      <c r="FF39" s="1997"/>
      <c r="FG39" s="1997"/>
      <c r="FH39" s="1997"/>
      <c r="FI39" s="1997"/>
      <c r="FJ39" s="1997"/>
      <c r="FK39" s="1997"/>
      <c r="FL39" s="1997"/>
      <c r="FM39" s="1997"/>
      <c r="FN39" s="1997"/>
      <c r="FO39" s="1997"/>
      <c r="FP39" s="1997"/>
      <c r="FQ39" s="1997"/>
      <c r="FR39" s="1997"/>
      <c r="FS39" s="1997"/>
      <c r="FT39" s="1997"/>
      <c r="FU39" s="1997"/>
      <c r="FV39" s="1997"/>
      <c r="FW39" s="1997"/>
      <c r="FX39" s="1997"/>
      <c r="FY39" s="1997"/>
      <c r="FZ39" s="1997"/>
      <c r="GA39" s="1997"/>
      <c r="GB39" s="1997"/>
      <c r="GC39" s="1997"/>
      <c r="GD39" s="1997"/>
      <c r="GE39" s="1997"/>
      <c r="GF39" s="1997"/>
      <c r="GG39" s="1997"/>
      <c r="GH39" s="1997"/>
      <c r="GI39" s="1997"/>
      <c r="GJ39" s="1997"/>
      <c r="GK39" s="1997"/>
      <c r="GL39" s="1997"/>
      <c r="GM39" s="1997"/>
      <c r="GN39" s="1997"/>
      <c r="GO39" s="1997"/>
      <c r="GP39" s="1997"/>
      <c r="GQ39" s="1997"/>
      <c r="GR39" s="1997"/>
      <c r="GS39" s="1997"/>
      <c r="GT39" s="1997"/>
      <c r="GU39" s="1997"/>
      <c r="GV39" s="1997"/>
      <c r="GW39" s="1997"/>
      <c r="GX39" s="1997"/>
      <c r="GY39" s="1997"/>
      <c r="GZ39" s="1997"/>
      <c r="HA39" s="1997"/>
      <c r="HB39" s="1997"/>
      <c r="HC39" s="1997"/>
      <c r="HD39" s="1997"/>
      <c r="HE39" s="1997"/>
      <c r="HF39" s="1997"/>
      <c r="HG39" s="1997"/>
      <c r="HH39" s="1997"/>
      <c r="HI39" s="1997"/>
      <c r="HJ39" s="1997"/>
      <c r="HK39" s="1997"/>
      <c r="HL39" s="1997"/>
      <c r="HM39" s="1997"/>
      <c r="HN39" s="1997"/>
      <c r="HO39" s="1997"/>
      <c r="HP39" s="1997"/>
      <c r="HQ39" s="1997"/>
      <c r="HR39" s="1997"/>
      <c r="HS39" s="1997"/>
      <c r="HT39" s="1997"/>
      <c r="HU39" s="1997"/>
      <c r="HV39" s="1997"/>
      <c r="HW39" s="1997"/>
      <c r="HX39" s="1997"/>
      <c r="HY39" s="1997"/>
      <c r="HZ39" s="1997"/>
      <c r="IA39" s="1997"/>
      <c r="IB39" s="1997"/>
      <c r="IC39" s="1997"/>
      <c r="ID39" s="1997"/>
      <c r="IE39" s="1997"/>
      <c r="IF39" s="1997"/>
      <c r="IG39" s="1997"/>
      <c r="IH39" s="1997"/>
      <c r="II39" s="1997"/>
      <c r="IJ39" s="1997"/>
      <c r="IK39" s="1997"/>
      <c r="IL39" s="1997"/>
      <c r="IM39" s="1997"/>
      <c r="IN39" s="1997"/>
      <c r="IO39" s="1997"/>
      <c r="IP39" s="1997"/>
      <c r="IQ39" s="1997"/>
    </row>
    <row r="40" spans="1:251" hidden="1">
      <c r="A40" s="1993"/>
      <c r="B40" s="1998"/>
      <c r="C40" s="1998"/>
      <c r="D40" s="2034"/>
      <c r="E40" s="1998"/>
      <c r="F40" s="1940">
        <f t="shared" si="14"/>
        <v>0</v>
      </c>
      <c r="G40" s="1993"/>
      <c r="H40" s="1940">
        <f t="shared" si="15"/>
        <v>0</v>
      </c>
      <c r="I40" s="1993"/>
      <c r="J40" s="1940">
        <f t="shared" si="5"/>
        <v>0</v>
      </c>
      <c r="K40" s="1993"/>
      <c r="L40" s="1940">
        <f t="shared" si="16"/>
        <v>0</v>
      </c>
      <c r="M40" s="1940">
        <f t="shared" si="17"/>
        <v>0</v>
      </c>
      <c r="N40" s="1940">
        <f t="shared" si="18"/>
        <v>0</v>
      </c>
      <c r="O40" s="1993"/>
      <c r="P40" s="1993"/>
      <c r="Q40" s="1940">
        <f t="shared" si="19"/>
        <v>0</v>
      </c>
      <c r="R40" s="1940">
        <f t="shared" si="9"/>
        <v>0</v>
      </c>
      <c r="S40" s="1940">
        <f t="shared" si="20"/>
        <v>0</v>
      </c>
      <c r="T40" s="1940">
        <f t="shared" si="21"/>
        <v>0</v>
      </c>
      <c r="U40" s="1940">
        <f t="shared" si="22"/>
        <v>0</v>
      </c>
      <c r="V40" s="1997"/>
      <c r="W40" s="1997"/>
      <c r="X40" s="1997"/>
      <c r="Y40" s="1997"/>
      <c r="Z40" s="1997"/>
      <c r="AA40" s="1997"/>
      <c r="AB40" s="1997"/>
      <c r="AC40" s="1997"/>
      <c r="AD40" s="1997"/>
      <c r="AE40" s="1997"/>
      <c r="AF40" s="1997"/>
      <c r="AG40" s="1997"/>
      <c r="AH40" s="1997"/>
      <c r="AI40" s="1997"/>
      <c r="AJ40" s="1997"/>
      <c r="AK40" s="1997"/>
      <c r="AL40" s="1997"/>
      <c r="AM40" s="1997"/>
      <c r="AN40" s="1997"/>
      <c r="AO40" s="1997"/>
      <c r="AP40" s="1997"/>
      <c r="AQ40" s="1997"/>
      <c r="AR40" s="1997"/>
      <c r="AS40" s="1997"/>
      <c r="AT40" s="1997"/>
      <c r="AU40" s="1997"/>
      <c r="AV40" s="1997"/>
      <c r="AW40" s="1997"/>
      <c r="AX40" s="1997"/>
      <c r="AY40" s="1997"/>
      <c r="AZ40" s="1997"/>
      <c r="BA40" s="1997"/>
      <c r="BB40" s="1997"/>
      <c r="BC40" s="1997"/>
      <c r="BD40" s="1997"/>
      <c r="BE40" s="1997"/>
      <c r="BF40" s="1997"/>
      <c r="BG40" s="1997"/>
      <c r="BH40" s="1997"/>
      <c r="BI40" s="1997"/>
      <c r="BJ40" s="1997"/>
      <c r="BK40" s="1997"/>
      <c r="BL40" s="1997"/>
      <c r="BM40" s="1997"/>
      <c r="BN40" s="1997"/>
      <c r="BO40" s="1997"/>
      <c r="BP40" s="1997"/>
      <c r="BQ40" s="1997"/>
      <c r="BR40" s="1997"/>
      <c r="BS40" s="1997"/>
      <c r="BT40" s="1997"/>
      <c r="BU40" s="1997"/>
      <c r="BV40" s="1997"/>
      <c r="BW40" s="1997"/>
      <c r="BX40" s="1997"/>
      <c r="BY40" s="1997"/>
      <c r="BZ40" s="1997"/>
      <c r="CA40" s="1997"/>
      <c r="CB40" s="1997"/>
      <c r="CC40" s="1997"/>
      <c r="CD40" s="1997"/>
      <c r="CE40" s="1997"/>
      <c r="CF40" s="1997"/>
      <c r="CG40" s="1997"/>
      <c r="CH40" s="1997"/>
      <c r="CI40" s="1997"/>
      <c r="CJ40" s="1997"/>
      <c r="CK40" s="1997"/>
      <c r="CL40" s="1997"/>
      <c r="CM40" s="1997"/>
      <c r="CN40" s="1997"/>
      <c r="CO40" s="1997"/>
      <c r="CP40" s="1997"/>
      <c r="CQ40" s="1997"/>
      <c r="CR40" s="1997"/>
      <c r="CS40" s="1997"/>
      <c r="CT40" s="1997"/>
      <c r="CU40" s="1997"/>
      <c r="CV40" s="1997"/>
      <c r="CW40" s="1997"/>
      <c r="CX40" s="1997"/>
      <c r="CY40" s="1997"/>
      <c r="CZ40" s="1997"/>
      <c r="DA40" s="1997"/>
      <c r="DB40" s="1997"/>
      <c r="DC40" s="1997"/>
      <c r="DD40" s="1997"/>
      <c r="DE40" s="1997"/>
      <c r="DF40" s="1997"/>
      <c r="DG40" s="1997"/>
      <c r="DH40" s="1997"/>
      <c r="DI40" s="1997"/>
      <c r="DJ40" s="1997"/>
      <c r="DK40" s="1997"/>
      <c r="DL40" s="1997"/>
      <c r="DM40" s="1997"/>
      <c r="DN40" s="1997"/>
      <c r="DO40" s="1997"/>
      <c r="DP40" s="1997"/>
      <c r="DQ40" s="1997"/>
      <c r="DR40" s="1997"/>
      <c r="DS40" s="1997"/>
      <c r="DT40" s="1997"/>
      <c r="DU40" s="1997"/>
      <c r="DV40" s="1997"/>
      <c r="DW40" s="1997"/>
      <c r="DX40" s="1997"/>
      <c r="DY40" s="1997"/>
      <c r="DZ40" s="1997"/>
      <c r="EA40" s="1997"/>
      <c r="EB40" s="1997"/>
      <c r="EC40" s="1997"/>
      <c r="ED40" s="1997"/>
      <c r="EE40" s="1997"/>
      <c r="EF40" s="1997"/>
      <c r="EG40" s="1997"/>
      <c r="EH40" s="1997"/>
      <c r="EI40" s="1997"/>
      <c r="EJ40" s="1997"/>
      <c r="EK40" s="1997"/>
      <c r="EL40" s="1997"/>
      <c r="EM40" s="1997"/>
      <c r="EN40" s="1997"/>
      <c r="EO40" s="1997"/>
      <c r="EP40" s="1997"/>
      <c r="EQ40" s="1997"/>
      <c r="ER40" s="1997"/>
      <c r="ES40" s="1997"/>
      <c r="ET40" s="1997"/>
      <c r="EU40" s="1997"/>
      <c r="EV40" s="1997"/>
      <c r="EW40" s="1997"/>
      <c r="EX40" s="1997"/>
      <c r="EY40" s="1997"/>
      <c r="EZ40" s="1997"/>
      <c r="FA40" s="1997"/>
      <c r="FB40" s="1997"/>
      <c r="FC40" s="1997"/>
      <c r="FD40" s="1997"/>
      <c r="FE40" s="1997"/>
      <c r="FF40" s="1997"/>
      <c r="FG40" s="1997"/>
      <c r="FH40" s="1997"/>
      <c r="FI40" s="1997"/>
      <c r="FJ40" s="1997"/>
      <c r="FK40" s="1997"/>
      <c r="FL40" s="1997"/>
      <c r="FM40" s="1997"/>
      <c r="FN40" s="1997"/>
      <c r="FO40" s="1997"/>
      <c r="FP40" s="1997"/>
      <c r="FQ40" s="1997"/>
      <c r="FR40" s="1997"/>
      <c r="FS40" s="1997"/>
      <c r="FT40" s="1997"/>
      <c r="FU40" s="1997"/>
      <c r="FV40" s="1997"/>
      <c r="FW40" s="1997"/>
      <c r="FX40" s="1997"/>
      <c r="FY40" s="1997"/>
      <c r="FZ40" s="1997"/>
      <c r="GA40" s="1997"/>
      <c r="GB40" s="1997"/>
      <c r="GC40" s="1997"/>
      <c r="GD40" s="1997"/>
      <c r="GE40" s="1997"/>
      <c r="GF40" s="1997"/>
      <c r="GG40" s="1997"/>
      <c r="GH40" s="1997"/>
      <c r="GI40" s="1997"/>
      <c r="GJ40" s="1997"/>
      <c r="GK40" s="1997"/>
      <c r="GL40" s="1997"/>
      <c r="GM40" s="1997"/>
      <c r="GN40" s="1997"/>
      <c r="GO40" s="1997"/>
      <c r="GP40" s="1997"/>
      <c r="GQ40" s="1997"/>
      <c r="GR40" s="1997"/>
      <c r="GS40" s="1997"/>
      <c r="GT40" s="1997"/>
      <c r="GU40" s="1997"/>
      <c r="GV40" s="1997"/>
      <c r="GW40" s="1997"/>
      <c r="GX40" s="1997"/>
      <c r="GY40" s="1997"/>
      <c r="GZ40" s="1997"/>
      <c r="HA40" s="1997"/>
      <c r="HB40" s="1997"/>
      <c r="HC40" s="1997"/>
      <c r="HD40" s="1997"/>
      <c r="HE40" s="1997"/>
      <c r="HF40" s="1997"/>
      <c r="HG40" s="1997"/>
      <c r="HH40" s="1997"/>
      <c r="HI40" s="1997"/>
      <c r="HJ40" s="1997"/>
      <c r="HK40" s="1997"/>
      <c r="HL40" s="1997"/>
      <c r="HM40" s="1997"/>
      <c r="HN40" s="1997"/>
      <c r="HO40" s="1997"/>
      <c r="HP40" s="1997"/>
      <c r="HQ40" s="1997"/>
      <c r="HR40" s="1997"/>
      <c r="HS40" s="1997"/>
      <c r="HT40" s="1997"/>
      <c r="HU40" s="1997"/>
      <c r="HV40" s="1997"/>
      <c r="HW40" s="1997"/>
      <c r="HX40" s="1997"/>
      <c r="HY40" s="1997"/>
      <c r="HZ40" s="1997"/>
      <c r="IA40" s="1997"/>
      <c r="IB40" s="1997"/>
      <c r="IC40" s="1997"/>
      <c r="ID40" s="1997"/>
      <c r="IE40" s="1997"/>
      <c r="IF40" s="1997"/>
      <c r="IG40" s="1997"/>
      <c r="IH40" s="1997"/>
      <c r="II40" s="1997"/>
      <c r="IJ40" s="1997"/>
      <c r="IK40" s="1997"/>
      <c r="IL40" s="1997"/>
      <c r="IM40" s="1997"/>
      <c r="IN40" s="1997"/>
      <c r="IO40" s="1997"/>
      <c r="IP40" s="1997"/>
      <c r="IQ40" s="1997"/>
    </row>
    <row r="41" spans="1:251" hidden="1">
      <c r="A41" s="1993"/>
      <c r="B41" s="1998"/>
      <c r="C41" s="1998"/>
      <c r="D41" s="2034"/>
      <c r="E41" s="1998"/>
      <c r="F41" s="1940">
        <f t="shared" si="14"/>
        <v>0</v>
      </c>
      <c r="G41" s="1993"/>
      <c r="H41" s="1940">
        <f t="shared" si="15"/>
        <v>0</v>
      </c>
      <c r="I41" s="1993"/>
      <c r="J41" s="1940">
        <f t="shared" si="5"/>
        <v>0</v>
      </c>
      <c r="K41" s="1993"/>
      <c r="L41" s="1940">
        <f t="shared" si="16"/>
        <v>0</v>
      </c>
      <c r="M41" s="1940">
        <f t="shared" si="17"/>
        <v>0</v>
      </c>
      <c r="N41" s="1940">
        <f t="shared" si="18"/>
        <v>0</v>
      </c>
      <c r="O41" s="1993"/>
      <c r="P41" s="1993"/>
      <c r="Q41" s="1940">
        <f t="shared" si="19"/>
        <v>0</v>
      </c>
      <c r="R41" s="1940">
        <f t="shared" si="9"/>
        <v>0</v>
      </c>
      <c r="S41" s="1940">
        <f t="shared" si="20"/>
        <v>0</v>
      </c>
      <c r="T41" s="1940">
        <f t="shared" si="21"/>
        <v>0</v>
      </c>
      <c r="U41" s="1940">
        <f t="shared" si="22"/>
        <v>0</v>
      </c>
      <c r="V41" s="1997"/>
      <c r="W41" s="1997"/>
      <c r="X41" s="1997"/>
      <c r="Y41" s="1997"/>
      <c r="Z41" s="1997"/>
      <c r="AA41" s="1997"/>
      <c r="AB41" s="1997"/>
      <c r="AC41" s="1997"/>
      <c r="AD41" s="1997"/>
      <c r="AE41" s="1997"/>
      <c r="AF41" s="1997"/>
      <c r="AG41" s="1997"/>
      <c r="AH41" s="1997"/>
      <c r="AI41" s="1997"/>
      <c r="AJ41" s="1997"/>
      <c r="AK41" s="1997"/>
      <c r="AL41" s="1997"/>
      <c r="AM41" s="1997"/>
      <c r="AN41" s="1997"/>
      <c r="AO41" s="1997"/>
      <c r="AP41" s="1997"/>
      <c r="AQ41" s="1997"/>
      <c r="AR41" s="1997"/>
      <c r="AS41" s="1997"/>
      <c r="AT41" s="1997"/>
      <c r="AU41" s="1997"/>
      <c r="AV41" s="1997"/>
      <c r="AW41" s="1997"/>
      <c r="AX41" s="1997"/>
      <c r="AY41" s="1997"/>
      <c r="AZ41" s="1997"/>
      <c r="BA41" s="1997"/>
      <c r="BB41" s="1997"/>
      <c r="BC41" s="1997"/>
      <c r="BD41" s="1997"/>
      <c r="BE41" s="1997"/>
      <c r="BF41" s="1997"/>
      <c r="BG41" s="1997"/>
      <c r="BH41" s="1997"/>
      <c r="BI41" s="1997"/>
      <c r="BJ41" s="1997"/>
      <c r="BK41" s="1997"/>
      <c r="BL41" s="1997"/>
      <c r="BM41" s="1997"/>
      <c r="BN41" s="1997"/>
      <c r="BO41" s="1997"/>
      <c r="BP41" s="1997"/>
      <c r="BQ41" s="1997"/>
      <c r="BR41" s="1997"/>
      <c r="BS41" s="1997"/>
      <c r="BT41" s="1997"/>
      <c r="BU41" s="1997"/>
      <c r="BV41" s="1997"/>
      <c r="BW41" s="1997"/>
      <c r="BX41" s="1997"/>
      <c r="BY41" s="1997"/>
      <c r="BZ41" s="1997"/>
      <c r="CA41" s="1997"/>
      <c r="CB41" s="1997"/>
      <c r="CC41" s="1997"/>
      <c r="CD41" s="1997"/>
      <c r="CE41" s="1997"/>
      <c r="CF41" s="1997"/>
      <c r="CG41" s="1997"/>
      <c r="CH41" s="1997"/>
      <c r="CI41" s="1997"/>
      <c r="CJ41" s="1997"/>
      <c r="CK41" s="1997"/>
      <c r="CL41" s="1997"/>
      <c r="CM41" s="1997"/>
      <c r="CN41" s="1997"/>
      <c r="CO41" s="1997"/>
      <c r="CP41" s="1997"/>
      <c r="CQ41" s="1997"/>
      <c r="CR41" s="1997"/>
      <c r="CS41" s="1997"/>
      <c r="CT41" s="1997"/>
      <c r="CU41" s="1997"/>
      <c r="CV41" s="1997"/>
      <c r="CW41" s="1997"/>
      <c r="CX41" s="1997"/>
      <c r="CY41" s="1997"/>
      <c r="CZ41" s="1997"/>
      <c r="DA41" s="1997"/>
      <c r="DB41" s="1997"/>
      <c r="DC41" s="1997"/>
      <c r="DD41" s="1997"/>
      <c r="DE41" s="1997"/>
      <c r="DF41" s="1997"/>
      <c r="DG41" s="1997"/>
      <c r="DH41" s="1997"/>
      <c r="DI41" s="1997"/>
      <c r="DJ41" s="1997"/>
      <c r="DK41" s="1997"/>
      <c r="DL41" s="1997"/>
      <c r="DM41" s="1997"/>
      <c r="DN41" s="1997"/>
      <c r="DO41" s="1997"/>
      <c r="DP41" s="1997"/>
      <c r="DQ41" s="1997"/>
      <c r="DR41" s="1997"/>
      <c r="DS41" s="1997"/>
      <c r="DT41" s="1997"/>
      <c r="DU41" s="1997"/>
      <c r="DV41" s="1997"/>
      <c r="DW41" s="1997"/>
      <c r="DX41" s="1997"/>
      <c r="DY41" s="1997"/>
      <c r="DZ41" s="1997"/>
      <c r="EA41" s="1997"/>
      <c r="EB41" s="1997"/>
      <c r="EC41" s="1997"/>
      <c r="ED41" s="1997"/>
      <c r="EE41" s="1997"/>
      <c r="EF41" s="1997"/>
      <c r="EG41" s="1997"/>
      <c r="EH41" s="1997"/>
      <c r="EI41" s="1997"/>
      <c r="EJ41" s="1997"/>
      <c r="EK41" s="1997"/>
      <c r="EL41" s="1997"/>
      <c r="EM41" s="1997"/>
      <c r="EN41" s="1997"/>
      <c r="EO41" s="1997"/>
      <c r="EP41" s="1997"/>
      <c r="EQ41" s="1997"/>
      <c r="ER41" s="1997"/>
      <c r="ES41" s="1997"/>
      <c r="ET41" s="1997"/>
      <c r="EU41" s="1997"/>
      <c r="EV41" s="1997"/>
      <c r="EW41" s="1997"/>
      <c r="EX41" s="1997"/>
      <c r="EY41" s="1997"/>
      <c r="EZ41" s="1997"/>
      <c r="FA41" s="1997"/>
      <c r="FB41" s="1997"/>
      <c r="FC41" s="1997"/>
      <c r="FD41" s="1997"/>
      <c r="FE41" s="1997"/>
      <c r="FF41" s="1997"/>
      <c r="FG41" s="1997"/>
      <c r="FH41" s="1997"/>
      <c r="FI41" s="1997"/>
      <c r="FJ41" s="1997"/>
      <c r="FK41" s="1997"/>
      <c r="FL41" s="1997"/>
      <c r="FM41" s="1997"/>
      <c r="FN41" s="1997"/>
      <c r="FO41" s="1997"/>
      <c r="FP41" s="1997"/>
      <c r="FQ41" s="1997"/>
      <c r="FR41" s="1997"/>
      <c r="FS41" s="1997"/>
      <c r="FT41" s="1997"/>
      <c r="FU41" s="1997"/>
      <c r="FV41" s="1997"/>
      <c r="FW41" s="1997"/>
      <c r="FX41" s="1997"/>
      <c r="FY41" s="1997"/>
      <c r="FZ41" s="1997"/>
      <c r="GA41" s="1997"/>
      <c r="GB41" s="1997"/>
      <c r="GC41" s="1997"/>
      <c r="GD41" s="1997"/>
      <c r="GE41" s="1997"/>
      <c r="GF41" s="1997"/>
      <c r="GG41" s="1997"/>
      <c r="GH41" s="1997"/>
      <c r="GI41" s="1997"/>
      <c r="GJ41" s="1997"/>
      <c r="GK41" s="1997"/>
      <c r="GL41" s="1997"/>
      <c r="GM41" s="1997"/>
      <c r="GN41" s="1997"/>
      <c r="GO41" s="1997"/>
      <c r="GP41" s="1997"/>
      <c r="GQ41" s="1997"/>
      <c r="GR41" s="1997"/>
      <c r="GS41" s="1997"/>
      <c r="GT41" s="1997"/>
      <c r="GU41" s="1997"/>
      <c r="GV41" s="1997"/>
      <c r="GW41" s="1997"/>
      <c r="GX41" s="1997"/>
      <c r="GY41" s="1997"/>
      <c r="GZ41" s="1997"/>
      <c r="HA41" s="1997"/>
      <c r="HB41" s="1997"/>
      <c r="HC41" s="1997"/>
      <c r="HD41" s="1997"/>
      <c r="HE41" s="1997"/>
      <c r="HF41" s="1997"/>
      <c r="HG41" s="1997"/>
      <c r="HH41" s="1997"/>
      <c r="HI41" s="1997"/>
      <c r="HJ41" s="1997"/>
      <c r="HK41" s="1997"/>
      <c r="HL41" s="1997"/>
      <c r="HM41" s="1997"/>
      <c r="HN41" s="1997"/>
      <c r="HO41" s="1997"/>
      <c r="HP41" s="1997"/>
      <c r="HQ41" s="1997"/>
      <c r="HR41" s="1997"/>
      <c r="HS41" s="1997"/>
      <c r="HT41" s="1997"/>
      <c r="HU41" s="1997"/>
      <c r="HV41" s="1997"/>
      <c r="HW41" s="1997"/>
      <c r="HX41" s="1997"/>
      <c r="HY41" s="1997"/>
      <c r="HZ41" s="1997"/>
      <c r="IA41" s="1997"/>
      <c r="IB41" s="1997"/>
      <c r="IC41" s="1997"/>
      <c r="ID41" s="1997"/>
      <c r="IE41" s="1997"/>
      <c r="IF41" s="1997"/>
      <c r="IG41" s="1997"/>
      <c r="IH41" s="1997"/>
      <c r="II41" s="1997"/>
      <c r="IJ41" s="1997"/>
      <c r="IK41" s="1997"/>
      <c r="IL41" s="1997"/>
      <c r="IM41" s="1997"/>
      <c r="IN41" s="1997"/>
      <c r="IO41" s="1997"/>
      <c r="IP41" s="1997"/>
      <c r="IQ41" s="1997"/>
    </row>
    <row r="42" spans="1:251" hidden="1">
      <c r="A42" s="1993"/>
      <c r="B42" s="1998"/>
      <c r="C42" s="1998"/>
      <c r="D42" s="2034"/>
      <c r="E42" s="1998"/>
      <c r="F42" s="1940">
        <f t="shared" si="14"/>
        <v>0</v>
      </c>
      <c r="G42" s="1993"/>
      <c r="H42" s="1940">
        <f t="shared" si="15"/>
        <v>0</v>
      </c>
      <c r="I42" s="1993"/>
      <c r="J42" s="1940">
        <f t="shared" si="5"/>
        <v>0</v>
      </c>
      <c r="K42" s="1993"/>
      <c r="L42" s="1940">
        <f t="shared" si="16"/>
        <v>0</v>
      </c>
      <c r="M42" s="1940">
        <f t="shared" si="17"/>
        <v>0</v>
      </c>
      <c r="N42" s="1940">
        <f t="shared" si="18"/>
        <v>0</v>
      </c>
      <c r="O42" s="1993"/>
      <c r="P42" s="1993"/>
      <c r="Q42" s="1940">
        <f t="shared" si="19"/>
        <v>0</v>
      </c>
      <c r="R42" s="1940">
        <f t="shared" si="9"/>
        <v>0</v>
      </c>
      <c r="S42" s="1940">
        <f t="shared" si="20"/>
        <v>0</v>
      </c>
      <c r="T42" s="1940">
        <f t="shared" si="21"/>
        <v>0</v>
      </c>
      <c r="U42" s="1940">
        <f t="shared" si="22"/>
        <v>0</v>
      </c>
      <c r="V42" s="1997"/>
      <c r="W42" s="1997"/>
      <c r="X42" s="1997"/>
      <c r="Y42" s="1997"/>
      <c r="Z42" s="1997"/>
      <c r="AA42" s="1997"/>
      <c r="AB42" s="1997"/>
      <c r="AC42" s="1997"/>
      <c r="AD42" s="1997"/>
      <c r="AE42" s="1997"/>
      <c r="AF42" s="1997"/>
      <c r="AG42" s="1997"/>
      <c r="AH42" s="1997"/>
      <c r="AI42" s="1997"/>
      <c r="AJ42" s="1997"/>
      <c r="AK42" s="1997"/>
      <c r="AL42" s="1997"/>
      <c r="AM42" s="1997"/>
      <c r="AN42" s="1997"/>
      <c r="AO42" s="1997"/>
      <c r="AP42" s="1997"/>
      <c r="AQ42" s="1997"/>
      <c r="AR42" s="1997"/>
      <c r="AS42" s="1997"/>
      <c r="AT42" s="1997"/>
      <c r="AU42" s="1997"/>
      <c r="AV42" s="1997"/>
      <c r="AW42" s="1997"/>
      <c r="AX42" s="1997"/>
      <c r="AY42" s="1997"/>
      <c r="AZ42" s="1997"/>
      <c r="BA42" s="1997"/>
      <c r="BB42" s="1997"/>
      <c r="BC42" s="1997"/>
      <c r="BD42" s="1997"/>
      <c r="BE42" s="1997"/>
      <c r="BF42" s="1997"/>
      <c r="BG42" s="1997"/>
      <c r="BH42" s="1997"/>
      <c r="BI42" s="1997"/>
      <c r="BJ42" s="1997"/>
      <c r="BK42" s="1997"/>
      <c r="BL42" s="1997"/>
      <c r="BM42" s="1997"/>
      <c r="BN42" s="1997"/>
      <c r="BO42" s="1997"/>
      <c r="BP42" s="1997"/>
      <c r="BQ42" s="1997"/>
      <c r="BR42" s="1997"/>
      <c r="BS42" s="1997"/>
      <c r="BT42" s="1997"/>
      <c r="BU42" s="1997"/>
      <c r="BV42" s="1997"/>
      <c r="BW42" s="1997"/>
      <c r="BX42" s="1997"/>
      <c r="BY42" s="1997"/>
      <c r="BZ42" s="1997"/>
      <c r="CA42" s="1997"/>
      <c r="CB42" s="1997"/>
      <c r="CC42" s="1997"/>
      <c r="CD42" s="1997"/>
      <c r="CE42" s="1997"/>
      <c r="CF42" s="1997"/>
      <c r="CG42" s="1997"/>
      <c r="CH42" s="1997"/>
      <c r="CI42" s="1997"/>
      <c r="CJ42" s="1997"/>
      <c r="CK42" s="1997"/>
      <c r="CL42" s="1997"/>
      <c r="CM42" s="1997"/>
      <c r="CN42" s="1997"/>
      <c r="CO42" s="1997"/>
      <c r="CP42" s="1997"/>
      <c r="CQ42" s="1997"/>
      <c r="CR42" s="1997"/>
      <c r="CS42" s="1997"/>
      <c r="CT42" s="1997"/>
      <c r="CU42" s="1997"/>
      <c r="CV42" s="1997"/>
      <c r="CW42" s="1997"/>
      <c r="CX42" s="1997"/>
      <c r="CY42" s="1997"/>
      <c r="CZ42" s="1997"/>
      <c r="DA42" s="1997"/>
      <c r="DB42" s="1997"/>
      <c r="DC42" s="1997"/>
      <c r="DD42" s="1997"/>
      <c r="DE42" s="1997"/>
      <c r="DF42" s="1997"/>
      <c r="DG42" s="1997"/>
      <c r="DH42" s="1997"/>
      <c r="DI42" s="1997"/>
      <c r="DJ42" s="1997"/>
      <c r="DK42" s="1997"/>
      <c r="DL42" s="1997"/>
      <c r="DM42" s="1997"/>
      <c r="DN42" s="1997"/>
      <c r="DO42" s="1997"/>
      <c r="DP42" s="1997"/>
      <c r="DQ42" s="1997"/>
      <c r="DR42" s="1997"/>
      <c r="DS42" s="1997"/>
      <c r="DT42" s="1997"/>
      <c r="DU42" s="1997"/>
      <c r="DV42" s="1997"/>
      <c r="DW42" s="1997"/>
      <c r="DX42" s="1997"/>
      <c r="DY42" s="1997"/>
      <c r="DZ42" s="1997"/>
      <c r="EA42" s="1997"/>
      <c r="EB42" s="1997"/>
      <c r="EC42" s="1997"/>
      <c r="ED42" s="1997"/>
      <c r="EE42" s="1997"/>
      <c r="EF42" s="1997"/>
      <c r="EG42" s="1997"/>
      <c r="EH42" s="1997"/>
      <c r="EI42" s="1997"/>
      <c r="EJ42" s="1997"/>
      <c r="EK42" s="1997"/>
      <c r="EL42" s="1997"/>
      <c r="EM42" s="1997"/>
      <c r="EN42" s="1997"/>
      <c r="EO42" s="1997"/>
      <c r="EP42" s="1997"/>
      <c r="EQ42" s="1997"/>
      <c r="ER42" s="1997"/>
      <c r="ES42" s="1997"/>
      <c r="ET42" s="1997"/>
      <c r="EU42" s="1997"/>
      <c r="EV42" s="1997"/>
      <c r="EW42" s="1997"/>
      <c r="EX42" s="1997"/>
      <c r="EY42" s="1997"/>
      <c r="EZ42" s="1997"/>
      <c r="FA42" s="1997"/>
      <c r="FB42" s="1997"/>
      <c r="FC42" s="1997"/>
      <c r="FD42" s="1997"/>
      <c r="FE42" s="1997"/>
      <c r="FF42" s="1997"/>
      <c r="FG42" s="1997"/>
      <c r="FH42" s="1997"/>
      <c r="FI42" s="1997"/>
      <c r="FJ42" s="1997"/>
      <c r="FK42" s="1997"/>
      <c r="FL42" s="1997"/>
      <c r="FM42" s="1997"/>
      <c r="FN42" s="1997"/>
      <c r="FO42" s="1997"/>
      <c r="FP42" s="1997"/>
      <c r="FQ42" s="1997"/>
      <c r="FR42" s="1997"/>
      <c r="FS42" s="1997"/>
      <c r="FT42" s="1997"/>
      <c r="FU42" s="1997"/>
      <c r="FV42" s="1997"/>
      <c r="FW42" s="1997"/>
      <c r="FX42" s="1997"/>
      <c r="FY42" s="1997"/>
      <c r="FZ42" s="1997"/>
      <c r="GA42" s="1997"/>
      <c r="GB42" s="1997"/>
      <c r="GC42" s="1997"/>
      <c r="GD42" s="1997"/>
      <c r="GE42" s="1997"/>
      <c r="GF42" s="1997"/>
      <c r="GG42" s="1997"/>
      <c r="GH42" s="1997"/>
      <c r="GI42" s="1997"/>
      <c r="GJ42" s="1997"/>
      <c r="GK42" s="1997"/>
      <c r="GL42" s="1997"/>
      <c r="GM42" s="1997"/>
      <c r="GN42" s="1997"/>
      <c r="GO42" s="1997"/>
      <c r="GP42" s="1997"/>
      <c r="GQ42" s="1997"/>
      <c r="GR42" s="1997"/>
      <c r="GS42" s="1997"/>
      <c r="GT42" s="1997"/>
      <c r="GU42" s="1997"/>
      <c r="GV42" s="1997"/>
      <c r="GW42" s="1997"/>
      <c r="GX42" s="1997"/>
      <c r="GY42" s="1997"/>
      <c r="GZ42" s="1997"/>
      <c r="HA42" s="1997"/>
      <c r="HB42" s="1997"/>
      <c r="HC42" s="1997"/>
      <c r="HD42" s="1997"/>
      <c r="HE42" s="1997"/>
      <c r="HF42" s="1997"/>
      <c r="HG42" s="1997"/>
      <c r="HH42" s="1997"/>
      <c r="HI42" s="1997"/>
      <c r="HJ42" s="1997"/>
      <c r="HK42" s="1997"/>
      <c r="HL42" s="1997"/>
      <c r="HM42" s="1997"/>
      <c r="HN42" s="1997"/>
      <c r="HO42" s="1997"/>
      <c r="HP42" s="1997"/>
      <c r="HQ42" s="1997"/>
      <c r="HR42" s="1997"/>
      <c r="HS42" s="1997"/>
      <c r="HT42" s="1997"/>
      <c r="HU42" s="1997"/>
      <c r="HV42" s="1997"/>
      <c r="HW42" s="1997"/>
      <c r="HX42" s="1997"/>
      <c r="HY42" s="1997"/>
      <c r="HZ42" s="1997"/>
      <c r="IA42" s="1997"/>
      <c r="IB42" s="1997"/>
      <c r="IC42" s="1997"/>
      <c r="ID42" s="1997"/>
      <c r="IE42" s="1997"/>
      <c r="IF42" s="1997"/>
      <c r="IG42" s="1997"/>
      <c r="IH42" s="1997"/>
      <c r="II42" s="1997"/>
      <c r="IJ42" s="1997"/>
      <c r="IK42" s="1997"/>
      <c r="IL42" s="1997"/>
      <c r="IM42" s="1997"/>
      <c r="IN42" s="1997"/>
      <c r="IO42" s="1997"/>
      <c r="IP42" s="1997"/>
      <c r="IQ42" s="1997"/>
    </row>
    <row r="43" spans="1:251" hidden="1">
      <c r="A43" s="1993"/>
      <c r="B43" s="1998"/>
      <c r="C43" s="1998"/>
      <c r="D43" s="2034"/>
      <c r="E43" s="1998"/>
      <c r="F43" s="1940">
        <f t="shared" si="14"/>
        <v>0</v>
      </c>
      <c r="G43" s="1993"/>
      <c r="H43" s="1940">
        <f t="shared" si="15"/>
        <v>0</v>
      </c>
      <c r="I43" s="1993"/>
      <c r="J43" s="1940">
        <f t="shared" si="5"/>
        <v>0</v>
      </c>
      <c r="K43" s="1993"/>
      <c r="L43" s="1940">
        <f t="shared" si="16"/>
        <v>0</v>
      </c>
      <c r="M43" s="1940">
        <f t="shared" si="17"/>
        <v>0</v>
      </c>
      <c r="N43" s="1940">
        <f t="shared" si="18"/>
        <v>0</v>
      </c>
      <c r="O43" s="1993"/>
      <c r="P43" s="1993"/>
      <c r="Q43" s="1940">
        <f t="shared" si="19"/>
        <v>0</v>
      </c>
      <c r="R43" s="1940">
        <f t="shared" si="9"/>
        <v>0</v>
      </c>
      <c r="S43" s="1940">
        <f t="shared" si="20"/>
        <v>0</v>
      </c>
      <c r="T43" s="1940">
        <f t="shared" si="21"/>
        <v>0</v>
      </c>
      <c r="U43" s="1940">
        <f t="shared" si="22"/>
        <v>0</v>
      </c>
      <c r="V43" s="1997"/>
      <c r="W43" s="1997"/>
      <c r="X43" s="1997"/>
      <c r="Y43" s="1997"/>
      <c r="Z43" s="1997"/>
      <c r="AA43" s="1997"/>
      <c r="AB43" s="1997"/>
      <c r="AC43" s="1997"/>
      <c r="AD43" s="1997"/>
      <c r="AE43" s="1997"/>
      <c r="AF43" s="1997"/>
      <c r="AG43" s="1997"/>
      <c r="AH43" s="1997"/>
      <c r="AI43" s="1997"/>
      <c r="AJ43" s="1997"/>
      <c r="AK43" s="1997"/>
      <c r="AL43" s="1997"/>
      <c r="AM43" s="1997"/>
      <c r="AN43" s="1997"/>
      <c r="AO43" s="1997"/>
      <c r="AP43" s="1997"/>
      <c r="AQ43" s="1997"/>
      <c r="AR43" s="1997"/>
      <c r="AS43" s="1997"/>
      <c r="AT43" s="1997"/>
      <c r="AU43" s="1997"/>
      <c r="AV43" s="1997"/>
      <c r="AW43" s="1997"/>
      <c r="AX43" s="1997"/>
      <c r="AY43" s="1997"/>
      <c r="AZ43" s="1997"/>
      <c r="BA43" s="1997"/>
      <c r="BB43" s="1997"/>
      <c r="BC43" s="1997"/>
      <c r="BD43" s="1997"/>
      <c r="BE43" s="1997"/>
      <c r="BF43" s="1997"/>
      <c r="BG43" s="1997"/>
      <c r="BH43" s="1997"/>
      <c r="BI43" s="1997"/>
      <c r="BJ43" s="1997"/>
      <c r="BK43" s="1997"/>
      <c r="BL43" s="1997"/>
      <c r="BM43" s="1997"/>
      <c r="BN43" s="1997"/>
      <c r="BO43" s="1997"/>
      <c r="BP43" s="1997"/>
      <c r="BQ43" s="1997"/>
      <c r="BR43" s="1997"/>
      <c r="BS43" s="1997"/>
      <c r="BT43" s="1997"/>
      <c r="BU43" s="1997"/>
      <c r="BV43" s="1997"/>
      <c r="BW43" s="1997"/>
      <c r="BX43" s="1997"/>
      <c r="BY43" s="1997"/>
      <c r="BZ43" s="1997"/>
      <c r="CA43" s="1997"/>
      <c r="CB43" s="1997"/>
      <c r="CC43" s="1997"/>
      <c r="CD43" s="1997"/>
      <c r="CE43" s="1997"/>
      <c r="CF43" s="1997"/>
      <c r="CG43" s="1997"/>
      <c r="CH43" s="1997"/>
      <c r="CI43" s="1997"/>
      <c r="CJ43" s="1997"/>
      <c r="CK43" s="1997"/>
      <c r="CL43" s="1997"/>
      <c r="CM43" s="1997"/>
      <c r="CN43" s="1997"/>
      <c r="CO43" s="1997"/>
      <c r="CP43" s="1997"/>
      <c r="CQ43" s="1997"/>
      <c r="CR43" s="1997"/>
      <c r="CS43" s="1997"/>
      <c r="CT43" s="1997"/>
      <c r="CU43" s="1997"/>
      <c r="CV43" s="1997"/>
      <c r="CW43" s="1997"/>
      <c r="CX43" s="1997"/>
      <c r="CY43" s="1997"/>
      <c r="CZ43" s="1997"/>
      <c r="DA43" s="1997"/>
      <c r="DB43" s="1997"/>
      <c r="DC43" s="1997"/>
      <c r="DD43" s="1997"/>
      <c r="DE43" s="1997"/>
      <c r="DF43" s="1997"/>
      <c r="DG43" s="1997"/>
      <c r="DH43" s="1997"/>
      <c r="DI43" s="1997"/>
      <c r="DJ43" s="1997"/>
      <c r="DK43" s="1997"/>
      <c r="DL43" s="1997"/>
      <c r="DM43" s="1997"/>
      <c r="DN43" s="1997"/>
      <c r="DO43" s="1997"/>
      <c r="DP43" s="1997"/>
      <c r="DQ43" s="1997"/>
      <c r="DR43" s="1997"/>
      <c r="DS43" s="1997"/>
      <c r="DT43" s="1997"/>
      <c r="DU43" s="1997"/>
      <c r="DV43" s="1997"/>
      <c r="DW43" s="1997"/>
      <c r="DX43" s="1997"/>
      <c r="DY43" s="1997"/>
      <c r="DZ43" s="1997"/>
      <c r="EA43" s="1997"/>
      <c r="EB43" s="1997"/>
      <c r="EC43" s="1997"/>
      <c r="ED43" s="1997"/>
      <c r="EE43" s="1997"/>
      <c r="EF43" s="1997"/>
      <c r="EG43" s="1997"/>
      <c r="EH43" s="1997"/>
      <c r="EI43" s="1997"/>
      <c r="EJ43" s="1997"/>
      <c r="EK43" s="1997"/>
      <c r="EL43" s="1997"/>
      <c r="EM43" s="1997"/>
      <c r="EN43" s="1997"/>
      <c r="EO43" s="1997"/>
      <c r="EP43" s="1997"/>
      <c r="EQ43" s="1997"/>
      <c r="ER43" s="1997"/>
      <c r="ES43" s="1997"/>
      <c r="ET43" s="1997"/>
      <c r="EU43" s="1997"/>
      <c r="EV43" s="1997"/>
      <c r="EW43" s="1997"/>
      <c r="EX43" s="1997"/>
      <c r="EY43" s="1997"/>
      <c r="EZ43" s="1997"/>
      <c r="FA43" s="1997"/>
      <c r="FB43" s="1997"/>
      <c r="FC43" s="1997"/>
      <c r="FD43" s="1997"/>
      <c r="FE43" s="1997"/>
      <c r="FF43" s="1997"/>
      <c r="FG43" s="1997"/>
      <c r="FH43" s="1997"/>
      <c r="FI43" s="1997"/>
      <c r="FJ43" s="1997"/>
      <c r="FK43" s="1997"/>
      <c r="FL43" s="1997"/>
      <c r="FM43" s="1997"/>
      <c r="FN43" s="1997"/>
      <c r="FO43" s="1997"/>
      <c r="FP43" s="1997"/>
      <c r="FQ43" s="1997"/>
      <c r="FR43" s="1997"/>
      <c r="FS43" s="1997"/>
      <c r="FT43" s="1997"/>
      <c r="FU43" s="1997"/>
      <c r="FV43" s="1997"/>
      <c r="FW43" s="1997"/>
      <c r="FX43" s="1997"/>
      <c r="FY43" s="1997"/>
      <c r="FZ43" s="1997"/>
      <c r="GA43" s="1997"/>
      <c r="GB43" s="1997"/>
      <c r="GC43" s="1997"/>
      <c r="GD43" s="1997"/>
      <c r="GE43" s="1997"/>
      <c r="GF43" s="1997"/>
      <c r="GG43" s="1997"/>
      <c r="GH43" s="1997"/>
      <c r="GI43" s="1997"/>
      <c r="GJ43" s="1997"/>
      <c r="GK43" s="1997"/>
      <c r="GL43" s="1997"/>
      <c r="GM43" s="1997"/>
      <c r="GN43" s="1997"/>
      <c r="GO43" s="1997"/>
      <c r="GP43" s="1997"/>
      <c r="GQ43" s="1997"/>
      <c r="GR43" s="1997"/>
      <c r="GS43" s="1997"/>
      <c r="GT43" s="1997"/>
      <c r="GU43" s="1997"/>
      <c r="GV43" s="1997"/>
      <c r="GW43" s="1997"/>
      <c r="GX43" s="1997"/>
      <c r="GY43" s="1997"/>
      <c r="GZ43" s="1997"/>
      <c r="HA43" s="1997"/>
      <c r="HB43" s="1997"/>
      <c r="HC43" s="1997"/>
      <c r="HD43" s="1997"/>
      <c r="HE43" s="1997"/>
      <c r="HF43" s="1997"/>
      <c r="HG43" s="1997"/>
      <c r="HH43" s="1997"/>
      <c r="HI43" s="1997"/>
      <c r="HJ43" s="1997"/>
      <c r="HK43" s="1997"/>
      <c r="HL43" s="1997"/>
      <c r="HM43" s="1997"/>
      <c r="HN43" s="1997"/>
      <c r="HO43" s="1997"/>
      <c r="HP43" s="1997"/>
      <c r="HQ43" s="1997"/>
      <c r="HR43" s="1997"/>
      <c r="HS43" s="1997"/>
      <c r="HT43" s="1997"/>
      <c r="HU43" s="1997"/>
      <c r="HV43" s="1997"/>
      <c r="HW43" s="1997"/>
      <c r="HX43" s="1997"/>
      <c r="HY43" s="1997"/>
      <c r="HZ43" s="1997"/>
      <c r="IA43" s="1997"/>
      <c r="IB43" s="1997"/>
      <c r="IC43" s="1997"/>
      <c r="ID43" s="1997"/>
      <c r="IE43" s="1997"/>
      <c r="IF43" s="1997"/>
      <c r="IG43" s="1997"/>
      <c r="IH43" s="1997"/>
      <c r="II43" s="1997"/>
      <c r="IJ43" s="1997"/>
      <c r="IK43" s="1997"/>
      <c r="IL43" s="1997"/>
      <c r="IM43" s="1997"/>
      <c r="IN43" s="1997"/>
      <c r="IO43" s="1997"/>
      <c r="IP43" s="1997"/>
      <c r="IQ43" s="1997"/>
    </row>
    <row r="44" spans="1:251" hidden="1">
      <c r="A44" s="1993"/>
      <c r="B44" s="1998"/>
      <c r="C44" s="1998"/>
      <c r="D44" s="2034"/>
      <c r="E44" s="1998"/>
      <c r="F44" s="1940">
        <f t="shared" si="14"/>
        <v>0</v>
      </c>
      <c r="G44" s="1993"/>
      <c r="H44" s="1940">
        <f t="shared" si="15"/>
        <v>0</v>
      </c>
      <c r="I44" s="1993"/>
      <c r="J44" s="1940">
        <f t="shared" si="5"/>
        <v>0</v>
      </c>
      <c r="K44" s="1993"/>
      <c r="L44" s="1940">
        <f t="shared" si="16"/>
        <v>0</v>
      </c>
      <c r="M44" s="1940">
        <f t="shared" si="17"/>
        <v>0</v>
      </c>
      <c r="N44" s="1940">
        <f t="shared" si="18"/>
        <v>0</v>
      </c>
      <c r="O44" s="1993"/>
      <c r="P44" s="1993"/>
      <c r="Q44" s="1940">
        <f t="shared" si="19"/>
        <v>0</v>
      </c>
      <c r="R44" s="1940">
        <f t="shared" si="9"/>
        <v>0</v>
      </c>
      <c r="S44" s="1940">
        <f t="shared" si="20"/>
        <v>0</v>
      </c>
      <c r="T44" s="1940">
        <f t="shared" si="21"/>
        <v>0</v>
      </c>
      <c r="U44" s="1940">
        <f t="shared" si="22"/>
        <v>0</v>
      </c>
      <c r="V44" s="1997"/>
      <c r="W44" s="1997"/>
      <c r="X44" s="1997"/>
      <c r="Y44" s="1997"/>
      <c r="Z44" s="1997"/>
      <c r="AA44" s="1997"/>
      <c r="AB44" s="1997"/>
      <c r="AC44" s="1997"/>
      <c r="AD44" s="1997"/>
      <c r="AE44" s="1997"/>
      <c r="AF44" s="1997"/>
      <c r="AG44" s="1997"/>
      <c r="AH44" s="1997"/>
      <c r="AI44" s="1997"/>
      <c r="AJ44" s="1997"/>
      <c r="AK44" s="1997"/>
      <c r="AL44" s="1997"/>
      <c r="AM44" s="1997"/>
      <c r="AN44" s="1997"/>
      <c r="AO44" s="1997"/>
      <c r="AP44" s="1997"/>
      <c r="AQ44" s="1997"/>
      <c r="AR44" s="1997"/>
      <c r="AS44" s="1997"/>
      <c r="AT44" s="1997"/>
      <c r="AU44" s="1997"/>
      <c r="AV44" s="1997"/>
      <c r="AW44" s="1997"/>
      <c r="AX44" s="1997"/>
      <c r="AY44" s="1997"/>
      <c r="AZ44" s="1997"/>
      <c r="BA44" s="1997"/>
      <c r="BB44" s="1997"/>
      <c r="BC44" s="1997"/>
      <c r="BD44" s="1997"/>
      <c r="BE44" s="1997"/>
      <c r="BF44" s="1997"/>
      <c r="BG44" s="1997"/>
      <c r="BH44" s="1997"/>
      <c r="BI44" s="1997"/>
      <c r="BJ44" s="1997"/>
      <c r="BK44" s="1997"/>
      <c r="BL44" s="1997"/>
      <c r="BM44" s="1997"/>
      <c r="BN44" s="1997"/>
      <c r="BO44" s="1997"/>
      <c r="BP44" s="1997"/>
      <c r="BQ44" s="1997"/>
      <c r="BR44" s="1997"/>
      <c r="BS44" s="1997"/>
      <c r="BT44" s="1997"/>
      <c r="BU44" s="1997"/>
      <c r="BV44" s="1997"/>
      <c r="BW44" s="1997"/>
      <c r="BX44" s="1997"/>
      <c r="BY44" s="1997"/>
      <c r="BZ44" s="1997"/>
      <c r="CA44" s="1997"/>
      <c r="CB44" s="1997"/>
      <c r="CC44" s="1997"/>
      <c r="CD44" s="1997"/>
      <c r="CE44" s="1997"/>
      <c r="CF44" s="1997"/>
      <c r="CG44" s="1997"/>
      <c r="CH44" s="1997"/>
      <c r="CI44" s="1997"/>
      <c r="CJ44" s="1997"/>
      <c r="CK44" s="1997"/>
      <c r="CL44" s="1997"/>
      <c r="CM44" s="1997"/>
      <c r="CN44" s="1997"/>
      <c r="CO44" s="1997"/>
      <c r="CP44" s="1997"/>
      <c r="CQ44" s="1997"/>
      <c r="CR44" s="1997"/>
      <c r="CS44" s="1997"/>
      <c r="CT44" s="1997"/>
      <c r="CU44" s="1997"/>
      <c r="CV44" s="1997"/>
      <c r="CW44" s="1997"/>
      <c r="CX44" s="1997"/>
      <c r="CY44" s="1997"/>
      <c r="CZ44" s="1997"/>
      <c r="DA44" s="1997"/>
      <c r="DB44" s="1997"/>
      <c r="DC44" s="1997"/>
      <c r="DD44" s="1997"/>
      <c r="DE44" s="1997"/>
      <c r="DF44" s="1997"/>
      <c r="DG44" s="1997"/>
      <c r="DH44" s="1997"/>
      <c r="DI44" s="1997"/>
      <c r="DJ44" s="1997"/>
      <c r="DK44" s="1997"/>
      <c r="DL44" s="1997"/>
      <c r="DM44" s="1997"/>
      <c r="DN44" s="1997"/>
      <c r="DO44" s="1997"/>
      <c r="DP44" s="1997"/>
      <c r="DQ44" s="1997"/>
      <c r="DR44" s="1997"/>
      <c r="DS44" s="1997"/>
      <c r="DT44" s="1997"/>
      <c r="DU44" s="1997"/>
      <c r="DV44" s="1997"/>
      <c r="DW44" s="1997"/>
      <c r="DX44" s="1997"/>
      <c r="DY44" s="1997"/>
      <c r="DZ44" s="1997"/>
      <c r="EA44" s="1997"/>
      <c r="EB44" s="1997"/>
      <c r="EC44" s="1997"/>
      <c r="ED44" s="1997"/>
      <c r="EE44" s="1997"/>
      <c r="EF44" s="1997"/>
      <c r="EG44" s="1997"/>
      <c r="EH44" s="1997"/>
      <c r="EI44" s="1997"/>
      <c r="EJ44" s="1997"/>
      <c r="EK44" s="1997"/>
      <c r="EL44" s="1997"/>
      <c r="EM44" s="1997"/>
      <c r="EN44" s="1997"/>
      <c r="EO44" s="1997"/>
      <c r="EP44" s="1997"/>
      <c r="EQ44" s="1997"/>
      <c r="ER44" s="1997"/>
      <c r="ES44" s="1997"/>
      <c r="ET44" s="1997"/>
      <c r="EU44" s="1997"/>
      <c r="EV44" s="1997"/>
      <c r="EW44" s="1997"/>
      <c r="EX44" s="1997"/>
      <c r="EY44" s="1997"/>
      <c r="EZ44" s="1997"/>
      <c r="FA44" s="1997"/>
      <c r="FB44" s="1997"/>
      <c r="FC44" s="1997"/>
      <c r="FD44" s="1997"/>
      <c r="FE44" s="1997"/>
      <c r="FF44" s="1997"/>
      <c r="FG44" s="1997"/>
      <c r="FH44" s="1997"/>
      <c r="FI44" s="1997"/>
      <c r="FJ44" s="1997"/>
      <c r="FK44" s="1997"/>
      <c r="FL44" s="1997"/>
      <c r="FM44" s="1997"/>
      <c r="FN44" s="1997"/>
      <c r="FO44" s="1997"/>
      <c r="FP44" s="1997"/>
      <c r="FQ44" s="1997"/>
      <c r="FR44" s="1997"/>
      <c r="FS44" s="1997"/>
      <c r="FT44" s="1997"/>
      <c r="FU44" s="1997"/>
      <c r="FV44" s="1997"/>
      <c r="FW44" s="1997"/>
      <c r="FX44" s="1997"/>
      <c r="FY44" s="1997"/>
      <c r="FZ44" s="1997"/>
      <c r="GA44" s="1997"/>
      <c r="GB44" s="1997"/>
      <c r="GC44" s="1997"/>
      <c r="GD44" s="1997"/>
      <c r="GE44" s="1997"/>
      <c r="GF44" s="1997"/>
      <c r="GG44" s="1997"/>
      <c r="GH44" s="1997"/>
      <c r="GI44" s="1997"/>
      <c r="GJ44" s="1997"/>
      <c r="GK44" s="1997"/>
      <c r="GL44" s="1997"/>
      <c r="GM44" s="1997"/>
      <c r="GN44" s="1997"/>
      <c r="GO44" s="1997"/>
      <c r="GP44" s="1997"/>
      <c r="GQ44" s="1997"/>
      <c r="GR44" s="1997"/>
      <c r="GS44" s="1997"/>
      <c r="GT44" s="1997"/>
      <c r="GU44" s="1997"/>
      <c r="GV44" s="1997"/>
      <c r="GW44" s="1997"/>
      <c r="GX44" s="1997"/>
      <c r="GY44" s="1997"/>
      <c r="GZ44" s="1997"/>
      <c r="HA44" s="1997"/>
      <c r="HB44" s="1997"/>
      <c r="HC44" s="1997"/>
      <c r="HD44" s="1997"/>
      <c r="HE44" s="1997"/>
      <c r="HF44" s="1997"/>
      <c r="HG44" s="1997"/>
      <c r="HH44" s="1997"/>
      <c r="HI44" s="1997"/>
      <c r="HJ44" s="1997"/>
      <c r="HK44" s="1997"/>
      <c r="HL44" s="1997"/>
      <c r="HM44" s="1997"/>
      <c r="HN44" s="1997"/>
      <c r="HO44" s="1997"/>
      <c r="HP44" s="1997"/>
      <c r="HQ44" s="1997"/>
      <c r="HR44" s="1997"/>
      <c r="HS44" s="1997"/>
      <c r="HT44" s="1997"/>
      <c r="HU44" s="1997"/>
      <c r="HV44" s="1997"/>
      <c r="HW44" s="1997"/>
      <c r="HX44" s="1997"/>
      <c r="HY44" s="1997"/>
      <c r="HZ44" s="1997"/>
      <c r="IA44" s="1997"/>
      <c r="IB44" s="1997"/>
      <c r="IC44" s="1997"/>
      <c r="ID44" s="1997"/>
      <c r="IE44" s="1997"/>
      <c r="IF44" s="1997"/>
      <c r="IG44" s="1997"/>
      <c r="IH44" s="1997"/>
      <c r="II44" s="1997"/>
      <c r="IJ44" s="1997"/>
      <c r="IK44" s="1997"/>
      <c r="IL44" s="1997"/>
      <c r="IM44" s="1997"/>
      <c r="IN44" s="1997"/>
      <c r="IO44" s="1997"/>
      <c r="IP44" s="1997"/>
      <c r="IQ44" s="1997"/>
    </row>
    <row r="45" spans="1:251" hidden="1">
      <c r="A45" s="1993"/>
      <c r="B45" s="1998"/>
      <c r="C45" s="1998"/>
      <c r="D45" s="2034"/>
      <c r="E45" s="1998"/>
      <c r="F45" s="1940">
        <f t="shared" si="14"/>
        <v>0</v>
      </c>
      <c r="G45" s="1993"/>
      <c r="H45" s="1940">
        <f t="shared" si="15"/>
        <v>0</v>
      </c>
      <c r="I45" s="1993"/>
      <c r="J45" s="1940">
        <f t="shared" si="5"/>
        <v>0</v>
      </c>
      <c r="K45" s="1993"/>
      <c r="L45" s="1940">
        <f t="shared" si="16"/>
        <v>0</v>
      </c>
      <c r="M45" s="1940">
        <f t="shared" si="17"/>
        <v>0</v>
      </c>
      <c r="N45" s="1940">
        <f t="shared" si="18"/>
        <v>0</v>
      </c>
      <c r="O45" s="1993"/>
      <c r="P45" s="1993"/>
      <c r="Q45" s="1940">
        <f t="shared" si="19"/>
        <v>0</v>
      </c>
      <c r="R45" s="1940">
        <f t="shared" si="9"/>
        <v>0</v>
      </c>
      <c r="S45" s="1940">
        <f t="shared" si="20"/>
        <v>0</v>
      </c>
      <c r="T45" s="1940">
        <f t="shared" si="21"/>
        <v>0</v>
      </c>
      <c r="U45" s="1940">
        <f t="shared" si="22"/>
        <v>0</v>
      </c>
      <c r="V45" s="1997"/>
      <c r="W45" s="1997"/>
      <c r="X45" s="1997"/>
      <c r="Y45" s="1997"/>
      <c r="Z45" s="1997"/>
      <c r="AA45" s="1997"/>
      <c r="AB45" s="1997"/>
      <c r="AC45" s="1997"/>
      <c r="AD45" s="1997"/>
      <c r="AE45" s="1997"/>
      <c r="AF45" s="1997"/>
      <c r="AG45" s="1997"/>
      <c r="AH45" s="1997"/>
      <c r="AI45" s="1997"/>
      <c r="AJ45" s="1997"/>
      <c r="AK45" s="1997"/>
      <c r="AL45" s="1997"/>
      <c r="AM45" s="1997"/>
      <c r="AN45" s="1997"/>
      <c r="AO45" s="1997"/>
      <c r="AP45" s="1997"/>
      <c r="AQ45" s="1997"/>
      <c r="AR45" s="1997"/>
      <c r="AS45" s="1997"/>
      <c r="AT45" s="1997"/>
      <c r="AU45" s="1997"/>
      <c r="AV45" s="1997"/>
      <c r="AW45" s="1997"/>
      <c r="AX45" s="1997"/>
      <c r="AY45" s="1997"/>
      <c r="AZ45" s="1997"/>
      <c r="BA45" s="1997"/>
      <c r="BB45" s="1997"/>
      <c r="BC45" s="1997"/>
      <c r="BD45" s="1997"/>
      <c r="BE45" s="1997"/>
      <c r="BF45" s="1997"/>
      <c r="BG45" s="1997"/>
      <c r="BH45" s="1997"/>
      <c r="BI45" s="1997"/>
      <c r="BJ45" s="1997"/>
      <c r="BK45" s="1997"/>
      <c r="BL45" s="1997"/>
      <c r="BM45" s="1997"/>
      <c r="BN45" s="1997"/>
      <c r="BO45" s="1997"/>
      <c r="BP45" s="1997"/>
      <c r="BQ45" s="1997"/>
      <c r="BR45" s="1997"/>
      <c r="BS45" s="1997"/>
      <c r="BT45" s="1997"/>
      <c r="BU45" s="1997"/>
      <c r="BV45" s="1997"/>
      <c r="BW45" s="1997"/>
      <c r="BX45" s="1997"/>
      <c r="BY45" s="1997"/>
      <c r="BZ45" s="1997"/>
      <c r="CA45" s="1997"/>
      <c r="CB45" s="1997"/>
      <c r="CC45" s="1997"/>
      <c r="CD45" s="1997"/>
      <c r="CE45" s="1997"/>
      <c r="CF45" s="1997"/>
      <c r="CG45" s="1997"/>
      <c r="CH45" s="1997"/>
      <c r="CI45" s="1997"/>
      <c r="CJ45" s="1997"/>
      <c r="CK45" s="1997"/>
      <c r="CL45" s="1997"/>
      <c r="CM45" s="1997"/>
      <c r="CN45" s="1997"/>
      <c r="CO45" s="1997"/>
      <c r="CP45" s="1997"/>
      <c r="CQ45" s="1997"/>
      <c r="CR45" s="1997"/>
      <c r="CS45" s="1997"/>
      <c r="CT45" s="1997"/>
      <c r="CU45" s="1997"/>
      <c r="CV45" s="1997"/>
      <c r="CW45" s="1997"/>
      <c r="CX45" s="1997"/>
      <c r="CY45" s="1997"/>
      <c r="CZ45" s="1997"/>
      <c r="DA45" s="1997"/>
      <c r="DB45" s="1997"/>
      <c r="DC45" s="1997"/>
      <c r="DD45" s="1997"/>
      <c r="DE45" s="1997"/>
      <c r="DF45" s="1997"/>
      <c r="DG45" s="1997"/>
      <c r="DH45" s="1997"/>
      <c r="DI45" s="1997"/>
      <c r="DJ45" s="1997"/>
      <c r="DK45" s="1997"/>
      <c r="DL45" s="1997"/>
      <c r="DM45" s="1997"/>
      <c r="DN45" s="1997"/>
      <c r="DO45" s="1997"/>
      <c r="DP45" s="1997"/>
      <c r="DQ45" s="1997"/>
      <c r="DR45" s="1997"/>
      <c r="DS45" s="1997"/>
      <c r="DT45" s="1997"/>
      <c r="DU45" s="1997"/>
      <c r="DV45" s="1997"/>
      <c r="DW45" s="1997"/>
      <c r="DX45" s="1997"/>
      <c r="DY45" s="1997"/>
      <c r="DZ45" s="1997"/>
      <c r="EA45" s="1997"/>
      <c r="EB45" s="1997"/>
      <c r="EC45" s="1997"/>
      <c r="ED45" s="1997"/>
      <c r="EE45" s="1997"/>
      <c r="EF45" s="1997"/>
      <c r="EG45" s="1997"/>
      <c r="EH45" s="1997"/>
      <c r="EI45" s="1997"/>
      <c r="EJ45" s="1997"/>
      <c r="EK45" s="1997"/>
      <c r="EL45" s="1997"/>
      <c r="EM45" s="1997"/>
      <c r="EN45" s="1997"/>
      <c r="EO45" s="1997"/>
      <c r="EP45" s="1997"/>
      <c r="EQ45" s="1997"/>
      <c r="ER45" s="1997"/>
      <c r="ES45" s="1997"/>
      <c r="ET45" s="1997"/>
      <c r="EU45" s="1997"/>
      <c r="EV45" s="1997"/>
      <c r="EW45" s="1997"/>
      <c r="EX45" s="1997"/>
      <c r="EY45" s="1997"/>
      <c r="EZ45" s="1997"/>
      <c r="FA45" s="1997"/>
      <c r="FB45" s="1997"/>
      <c r="FC45" s="1997"/>
      <c r="FD45" s="1997"/>
      <c r="FE45" s="1997"/>
      <c r="FF45" s="1997"/>
      <c r="FG45" s="1997"/>
      <c r="FH45" s="1997"/>
      <c r="FI45" s="1997"/>
      <c r="FJ45" s="1997"/>
      <c r="FK45" s="1997"/>
      <c r="FL45" s="1997"/>
      <c r="FM45" s="1997"/>
      <c r="FN45" s="1997"/>
      <c r="FO45" s="1997"/>
      <c r="FP45" s="1997"/>
      <c r="FQ45" s="1997"/>
      <c r="FR45" s="1997"/>
      <c r="FS45" s="1997"/>
      <c r="FT45" s="1997"/>
      <c r="FU45" s="1997"/>
      <c r="FV45" s="1997"/>
      <c r="FW45" s="1997"/>
      <c r="FX45" s="1997"/>
      <c r="FY45" s="1997"/>
      <c r="FZ45" s="1997"/>
      <c r="GA45" s="1997"/>
      <c r="GB45" s="1997"/>
      <c r="GC45" s="1997"/>
      <c r="GD45" s="1997"/>
      <c r="GE45" s="1997"/>
      <c r="GF45" s="1997"/>
      <c r="GG45" s="1997"/>
      <c r="GH45" s="1997"/>
      <c r="GI45" s="1997"/>
      <c r="GJ45" s="1997"/>
      <c r="GK45" s="1997"/>
      <c r="GL45" s="1997"/>
      <c r="GM45" s="1997"/>
      <c r="GN45" s="1997"/>
      <c r="GO45" s="1997"/>
      <c r="GP45" s="1997"/>
      <c r="GQ45" s="1997"/>
      <c r="GR45" s="1997"/>
      <c r="GS45" s="1997"/>
      <c r="GT45" s="1997"/>
      <c r="GU45" s="1997"/>
      <c r="GV45" s="1997"/>
      <c r="GW45" s="1997"/>
      <c r="GX45" s="1997"/>
      <c r="GY45" s="1997"/>
      <c r="GZ45" s="1997"/>
      <c r="HA45" s="1997"/>
      <c r="HB45" s="1997"/>
      <c r="HC45" s="1997"/>
      <c r="HD45" s="1997"/>
      <c r="HE45" s="1997"/>
      <c r="HF45" s="1997"/>
      <c r="HG45" s="1997"/>
      <c r="HH45" s="1997"/>
      <c r="HI45" s="1997"/>
      <c r="HJ45" s="1997"/>
      <c r="HK45" s="1997"/>
      <c r="HL45" s="1997"/>
      <c r="HM45" s="1997"/>
      <c r="HN45" s="1997"/>
      <c r="HO45" s="1997"/>
      <c r="HP45" s="1997"/>
      <c r="HQ45" s="1997"/>
      <c r="HR45" s="1997"/>
      <c r="HS45" s="1997"/>
      <c r="HT45" s="1997"/>
      <c r="HU45" s="1997"/>
      <c r="HV45" s="1997"/>
      <c r="HW45" s="1997"/>
      <c r="HX45" s="1997"/>
      <c r="HY45" s="1997"/>
      <c r="HZ45" s="1997"/>
      <c r="IA45" s="1997"/>
      <c r="IB45" s="1997"/>
      <c r="IC45" s="1997"/>
      <c r="ID45" s="1997"/>
      <c r="IE45" s="1997"/>
      <c r="IF45" s="1997"/>
      <c r="IG45" s="1997"/>
      <c r="IH45" s="1997"/>
      <c r="II45" s="1997"/>
      <c r="IJ45" s="1997"/>
      <c r="IK45" s="1997"/>
      <c r="IL45" s="1997"/>
      <c r="IM45" s="1997"/>
      <c r="IN45" s="1997"/>
      <c r="IO45" s="1997"/>
      <c r="IP45" s="1997"/>
      <c r="IQ45" s="1997"/>
    </row>
    <row r="46" spans="1:251" hidden="1">
      <c r="A46" s="1993"/>
      <c r="B46" s="1998"/>
      <c r="C46" s="1998"/>
      <c r="D46" s="2034"/>
      <c r="E46" s="1998"/>
      <c r="F46" s="1940">
        <f t="shared" si="14"/>
        <v>0</v>
      </c>
      <c r="G46" s="1993"/>
      <c r="H46" s="1940">
        <f t="shared" si="15"/>
        <v>0</v>
      </c>
      <c r="I46" s="1993"/>
      <c r="J46" s="1940">
        <f t="shared" si="5"/>
        <v>0</v>
      </c>
      <c r="K46" s="1993"/>
      <c r="L46" s="1940">
        <f t="shared" si="16"/>
        <v>0</v>
      </c>
      <c r="M46" s="1940">
        <f t="shared" si="17"/>
        <v>0</v>
      </c>
      <c r="N46" s="1940">
        <f t="shared" si="18"/>
        <v>0</v>
      </c>
      <c r="O46" s="1993"/>
      <c r="P46" s="1993"/>
      <c r="Q46" s="1940">
        <f t="shared" si="19"/>
        <v>0</v>
      </c>
      <c r="R46" s="1940">
        <f t="shared" si="9"/>
        <v>0</v>
      </c>
      <c r="S46" s="1940">
        <f t="shared" si="20"/>
        <v>0</v>
      </c>
      <c r="T46" s="1940">
        <f t="shared" si="21"/>
        <v>0</v>
      </c>
      <c r="U46" s="1940">
        <f t="shared" si="22"/>
        <v>0</v>
      </c>
      <c r="V46" s="1997"/>
      <c r="W46" s="1997"/>
      <c r="X46" s="1997"/>
      <c r="Y46" s="1997"/>
      <c r="Z46" s="1997"/>
      <c r="AA46" s="1997"/>
      <c r="AB46" s="1997"/>
      <c r="AC46" s="1997"/>
      <c r="AD46" s="1997"/>
      <c r="AE46" s="1997"/>
      <c r="AF46" s="1997"/>
      <c r="AG46" s="1997"/>
      <c r="AH46" s="1997"/>
      <c r="AI46" s="1997"/>
      <c r="AJ46" s="1997"/>
      <c r="AK46" s="1997"/>
      <c r="AL46" s="1997"/>
      <c r="AM46" s="1997"/>
      <c r="AN46" s="1997"/>
      <c r="AO46" s="1997"/>
      <c r="AP46" s="1997"/>
      <c r="AQ46" s="1997"/>
      <c r="AR46" s="1997"/>
      <c r="AS46" s="1997"/>
      <c r="AT46" s="1997"/>
      <c r="AU46" s="1997"/>
      <c r="AV46" s="1997"/>
      <c r="AW46" s="1997"/>
      <c r="AX46" s="1997"/>
      <c r="AY46" s="1997"/>
      <c r="AZ46" s="1997"/>
      <c r="BA46" s="1997"/>
      <c r="BB46" s="1997"/>
      <c r="BC46" s="1997"/>
      <c r="BD46" s="1997"/>
      <c r="BE46" s="1997"/>
      <c r="BF46" s="1997"/>
      <c r="BG46" s="1997"/>
      <c r="BH46" s="1997"/>
      <c r="BI46" s="1997"/>
      <c r="BJ46" s="1997"/>
      <c r="BK46" s="1997"/>
      <c r="BL46" s="1997"/>
      <c r="BM46" s="1997"/>
      <c r="BN46" s="1997"/>
      <c r="BO46" s="1997"/>
      <c r="BP46" s="1997"/>
      <c r="BQ46" s="1997"/>
      <c r="BR46" s="1997"/>
      <c r="BS46" s="1997"/>
      <c r="BT46" s="1997"/>
      <c r="BU46" s="1997"/>
      <c r="BV46" s="1997"/>
      <c r="BW46" s="1997"/>
      <c r="BX46" s="1997"/>
      <c r="BY46" s="1997"/>
      <c r="BZ46" s="1997"/>
      <c r="CA46" s="1997"/>
      <c r="CB46" s="1997"/>
      <c r="CC46" s="1997"/>
      <c r="CD46" s="1997"/>
      <c r="CE46" s="1997"/>
      <c r="CF46" s="1997"/>
      <c r="CG46" s="1997"/>
      <c r="CH46" s="1997"/>
      <c r="CI46" s="1997"/>
      <c r="CJ46" s="1997"/>
      <c r="CK46" s="1997"/>
      <c r="CL46" s="1997"/>
      <c r="CM46" s="1997"/>
      <c r="CN46" s="1997"/>
      <c r="CO46" s="1997"/>
      <c r="CP46" s="1997"/>
      <c r="CQ46" s="1997"/>
      <c r="CR46" s="1997"/>
      <c r="CS46" s="1997"/>
      <c r="CT46" s="1997"/>
      <c r="CU46" s="1997"/>
      <c r="CV46" s="1997"/>
      <c r="CW46" s="1997"/>
      <c r="CX46" s="1997"/>
      <c r="CY46" s="1997"/>
      <c r="CZ46" s="1997"/>
      <c r="DA46" s="1997"/>
      <c r="DB46" s="1997"/>
      <c r="DC46" s="1997"/>
      <c r="DD46" s="1997"/>
      <c r="DE46" s="1997"/>
      <c r="DF46" s="1997"/>
      <c r="DG46" s="1997"/>
      <c r="DH46" s="1997"/>
      <c r="DI46" s="1997"/>
      <c r="DJ46" s="1997"/>
      <c r="DK46" s="1997"/>
      <c r="DL46" s="1997"/>
      <c r="DM46" s="1997"/>
      <c r="DN46" s="1997"/>
      <c r="DO46" s="1997"/>
      <c r="DP46" s="1997"/>
      <c r="DQ46" s="1997"/>
      <c r="DR46" s="1997"/>
      <c r="DS46" s="1997"/>
      <c r="DT46" s="1997"/>
      <c r="DU46" s="1997"/>
      <c r="DV46" s="1997"/>
      <c r="DW46" s="1997"/>
      <c r="DX46" s="1997"/>
      <c r="DY46" s="1997"/>
      <c r="DZ46" s="1997"/>
      <c r="EA46" s="1997"/>
      <c r="EB46" s="1997"/>
      <c r="EC46" s="1997"/>
      <c r="ED46" s="1997"/>
      <c r="EE46" s="1997"/>
      <c r="EF46" s="1997"/>
      <c r="EG46" s="1997"/>
      <c r="EH46" s="1997"/>
      <c r="EI46" s="1997"/>
      <c r="EJ46" s="1997"/>
      <c r="EK46" s="1997"/>
      <c r="EL46" s="1997"/>
      <c r="EM46" s="1997"/>
      <c r="EN46" s="1997"/>
      <c r="EO46" s="1997"/>
      <c r="EP46" s="1997"/>
      <c r="EQ46" s="1997"/>
      <c r="ER46" s="1997"/>
      <c r="ES46" s="1997"/>
      <c r="ET46" s="1997"/>
      <c r="EU46" s="1997"/>
      <c r="EV46" s="1997"/>
      <c r="EW46" s="1997"/>
      <c r="EX46" s="1997"/>
      <c r="EY46" s="1997"/>
      <c r="EZ46" s="1997"/>
      <c r="FA46" s="1997"/>
      <c r="FB46" s="1997"/>
      <c r="FC46" s="1997"/>
      <c r="FD46" s="1997"/>
      <c r="FE46" s="1997"/>
      <c r="FF46" s="1997"/>
      <c r="FG46" s="1997"/>
      <c r="FH46" s="1997"/>
      <c r="FI46" s="1997"/>
      <c r="FJ46" s="1997"/>
      <c r="FK46" s="1997"/>
      <c r="FL46" s="1997"/>
      <c r="FM46" s="1997"/>
      <c r="FN46" s="1997"/>
      <c r="FO46" s="1997"/>
      <c r="FP46" s="1997"/>
      <c r="FQ46" s="1997"/>
      <c r="FR46" s="1997"/>
      <c r="FS46" s="1997"/>
      <c r="FT46" s="1997"/>
      <c r="FU46" s="1997"/>
      <c r="FV46" s="1997"/>
      <c r="FW46" s="1997"/>
      <c r="FX46" s="1997"/>
      <c r="FY46" s="1997"/>
      <c r="FZ46" s="1997"/>
      <c r="GA46" s="1997"/>
      <c r="GB46" s="1997"/>
      <c r="GC46" s="1997"/>
      <c r="GD46" s="1997"/>
      <c r="GE46" s="1997"/>
      <c r="GF46" s="1997"/>
      <c r="GG46" s="1997"/>
      <c r="GH46" s="1997"/>
      <c r="GI46" s="1997"/>
      <c r="GJ46" s="1997"/>
      <c r="GK46" s="1997"/>
      <c r="GL46" s="1997"/>
      <c r="GM46" s="1997"/>
      <c r="GN46" s="1997"/>
      <c r="GO46" s="1997"/>
      <c r="GP46" s="1997"/>
      <c r="GQ46" s="1997"/>
      <c r="GR46" s="1997"/>
      <c r="GS46" s="1997"/>
      <c r="GT46" s="1997"/>
      <c r="GU46" s="1997"/>
      <c r="GV46" s="1997"/>
      <c r="GW46" s="1997"/>
      <c r="GX46" s="1997"/>
      <c r="GY46" s="1997"/>
      <c r="GZ46" s="1997"/>
      <c r="HA46" s="1997"/>
      <c r="HB46" s="1997"/>
      <c r="HC46" s="1997"/>
      <c r="HD46" s="1997"/>
      <c r="HE46" s="1997"/>
      <c r="HF46" s="1997"/>
      <c r="HG46" s="1997"/>
      <c r="HH46" s="1997"/>
      <c r="HI46" s="1997"/>
      <c r="HJ46" s="1997"/>
      <c r="HK46" s="1997"/>
      <c r="HL46" s="1997"/>
      <c r="HM46" s="1997"/>
      <c r="HN46" s="1997"/>
      <c r="HO46" s="1997"/>
      <c r="HP46" s="1997"/>
      <c r="HQ46" s="1997"/>
      <c r="HR46" s="1997"/>
      <c r="HS46" s="1997"/>
      <c r="HT46" s="1997"/>
      <c r="HU46" s="1997"/>
      <c r="HV46" s="1997"/>
      <c r="HW46" s="1997"/>
      <c r="HX46" s="1997"/>
      <c r="HY46" s="1997"/>
      <c r="HZ46" s="1997"/>
      <c r="IA46" s="1997"/>
      <c r="IB46" s="1997"/>
      <c r="IC46" s="1997"/>
      <c r="ID46" s="1997"/>
      <c r="IE46" s="1997"/>
      <c r="IF46" s="1997"/>
      <c r="IG46" s="1997"/>
      <c r="IH46" s="1997"/>
      <c r="II46" s="1997"/>
      <c r="IJ46" s="1997"/>
      <c r="IK46" s="1997"/>
      <c r="IL46" s="1997"/>
      <c r="IM46" s="1997"/>
      <c r="IN46" s="1997"/>
      <c r="IO46" s="1997"/>
      <c r="IP46" s="1997"/>
      <c r="IQ46" s="1997"/>
    </row>
    <row r="47" spans="1:251" hidden="1">
      <c r="A47" s="1993"/>
      <c r="B47" s="1998"/>
      <c r="C47" s="1998"/>
      <c r="D47" s="2034"/>
      <c r="E47" s="1998"/>
      <c r="F47" s="1940">
        <f>ROUNDUP((E47*$Q$5),-3)</f>
        <v>0</v>
      </c>
      <c r="G47" s="1993"/>
      <c r="H47" s="1940">
        <f>D47*F47*G47</f>
        <v>0</v>
      </c>
      <c r="I47" s="1993"/>
      <c r="J47" s="1940">
        <f>I47*$Q$4</f>
        <v>0</v>
      </c>
      <c r="K47" s="1993"/>
      <c r="L47" s="1940">
        <f>K47*F47</f>
        <v>0</v>
      </c>
      <c r="M47" s="1940">
        <f>D47*G47*(J47+L47)</f>
        <v>0</v>
      </c>
      <c r="N47" s="1940">
        <f>H47+M47</f>
        <v>0</v>
      </c>
      <c r="O47" s="1993"/>
      <c r="P47" s="1993"/>
      <c r="Q47" s="1940">
        <f>N47+O47+P47</f>
        <v>0</v>
      </c>
      <c r="R47" s="1940">
        <f>Q47*10%</f>
        <v>0</v>
      </c>
      <c r="S47" s="1940">
        <f>(Q47-R47)*10%</f>
        <v>0</v>
      </c>
      <c r="T47" s="1940">
        <f>(Q47-R47)*6%</f>
        <v>0</v>
      </c>
      <c r="U47" s="1940">
        <f>(Q47-R47)*5%</f>
        <v>0</v>
      </c>
      <c r="V47" s="1997"/>
      <c r="W47" s="1997"/>
      <c r="X47" s="1997"/>
      <c r="Y47" s="1997"/>
      <c r="Z47" s="1997"/>
      <c r="AA47" s="1997"/>
      <c r="AB47" s="1997"/>
      <c r="AC47" s="1997"/>
      <c r="AD47" s="1997"/>
      <c r="AE47" s="1997"/>
      <c r="AF47" s="1997"/>
      <c r="AG47" s="1997"/>
      <c r="AH47" s="1997"/>
      <c r="AI47" s="1997"/>
      <c r="AJ47" s="1997"/>
      <c r="AK47" s="1997"/>
      <c r="AL47" s="1997"/>
      <c r="AM47" s="1997"/>
      <c r="AN47" s="1997"/>
      <c r="AO47" s="1997"/>
      <c r="AP47" s="1997"/>
      <c r="AQ47" s="1997"/>
      <c r="AR47" s="1997"/>
      <c r="AS47" s="1997"/>
      <c r="AT47" s="1997"/>
      <c r="AU47" s="1997"/>
      <c r="AV47" s="1997"/>
      <c r="AW47" s="1997"/>
      <c r="AX47" s="1997"/>
      <c r="AY47" s="1997"/>
      <c r="AZ47" s="1997"/>
      <c r="BA47" s="1997"/>
      <c r="BB47" s="1997"/>
      <c r="BC47" s="1997"/>
      <c r="BD47" s="1997"/>
      <c r="BE47" s="1997"/>
      <c r="BF47" s="1997"/>
      <c r="BG47" s="1997"/>
      <c r="BH47" s="1997"/>
      <c r="BI47" s="1997"/>
      <c r="BJ47" s="1997"/>
      <c r="BK47" s="1997"/>
      <c r="BL47" s="1997"/>
      <c r="BM47" s="1997"/>
      <c r="BN47" s="1997"/>
      <c r="BO47" s="1997"/>
      <c r="BP47" s="1997"/>
      <c r="BQ47" s="1997"/>
      <c r="BR47" s="1997"/>
      <c r="BS47" s="1997"/>
      <c r="BT47" s="1997"/>
      <c r="BU47" s="1997"/>
      <c r="BV47" s="1997"/>
      <c r="BW47" s="1997"/>
      <c r="BX47" s="1997"/>
      <c r="BY47" s="1997"/>
      <c r="BZ47" s="1997"/>
      <c r="CA47" s="1997"/>
      <c r="CB47" s="1997"/>
      <c r="CC47" s="1997"/>
      <c r="CD47" s="1997"/>
      <c r="CE47" s="1997"/>
      <c r="CF47" s="1997"/>
      <c r="CG47" s="1997"/>
      <c r="CH47" s="1997"/>
      <c r="CI47" s="1997"/>
      <c r="CJ47" s="1997"/>
      <c r="CK47" s="1997"/>
      <c r="CL47" s="1997"/>
      <c r="CM47" s="1997"/>
      <c r="CN47" s="1997"/>
      <c r="CO47" s="1997"/>
      <c r="CP47" s="1997"/>
      <c r="CQ47" s="1997"/>
      <c r="CR47" s="1997"/>
      <c r="CS47" s="1997"/>
      <c r="CT47" s="1997"/>
      <c r="CU47" s="1997"/>
      <c r="CV47" s="1997"/>
      <c r="CW47" s="1997"/>
      <c r="CX47" s="1997"/>
      <c r="CY47" s="1997"/>
      <c r="CZ47" s="1997"/>
      <c r="DA47" s="1997"/>
      <c r="DB47" s="1997"/>
      <c r="DC47" s="1997"/>
      <c r="DD47" s="1997"/>
      <c r="DE47" s="1997"/>
      <c r="DF47" s="1997"/>
      <c r="DG47" s="1997"/>
      <c r="DH47" s="1997"/>
      <c r="DI47" s="1997"/>
      <c r="DJ47" s="1997"/>
      <c r="DK47" s="1997"/>
      <c r="DL47" s="1997"/>
      <c r="DM47" s="1997"/>
      <c r="DN47" s="1997"/>
      <c r="DO47" s="1997"/>
      <c r="DP47" s="1997"/>
      <c r="DQ47" s="1997"/>
      <c r="DR47" s="1997"/>
      <c r="DS47" s="1997"/>
      <c r="DT47" s="1997"/>
      <c r="DU47" s="1997"/>
      <c r="DV47" s="1997"/>
      <c r="DW47" s="1997"/>
      <c r="DX47" s="1997"/>
      <c r="DY47" s="1997"/>
      <c r="DZ47" s="1997"/>
      <c r="EA47" s="1997"/>
      <c r="EB47" s="1997"/>
      <c r="EC47" s="1997"/>
      <c r="ED47" s="1997"/>
      <c r="EE47" s="1997"/>
      <c r="EF47" s="1997"/>
      <c r="EG47" s="1997"/>
      <c r="EH47" s="1997"/>
      <c r="EI47" s="1997"/>
      <c r="EJ47" s="1997"/>
      <c r="EK47" s="1997"/>
      <c r="EL47" s="1997"/>
      <c r="EM47" s="1997"/>
      <c r="EN47" s="1997"/>
      <c r="EO47" s="1997"/>
      <c r="EP47" s="1997"/>
      <c r="EQ47" s="1997"/>
      <c r="ER47" s="1997"/>
      <c r="ES47" s="1997"/>
      <c r="ET47" s="1997"/>
      <c r="EU47" s="1997"/>
      <c r="EV47" s="1997"/>
      <c r="EW47" s="1997"/>
      <c r="EX47" s="1997"/>
      <c r="EY47" s="1997"/>
      <c r="EZ47" s="1997"/>
      <c r="FA47" s="1997"/>
      <c r="FB47" s="1997"/>
      <c r="FC47" s="1997"/>
      <c r="FD47" s="1997"/>
      <c r="FE47" s="1997"/>
      <c r="FF47" s="1997"/>
      <c r="FG47" s="1997"/>
      <c r="FH47" s="1997"/>
      <c r="FI47" s="1997"/>
      <c r="FJ47" s="1997"/>
      <c r="FK47" s="1997"/>
      <c r="FL47" s="1997"/>
      <c r="FM47" s="1997"/>
      <c r="FN47" s="1997"/>
      <c r="FO47" s="1997"/>
      <c r="FP47" s="1997"/>
      <c r="FQ47" s="1997"/>
      <c r="FR47" s="1997"/>
      <c r="FS47" s="1997"/>
      <c r="FT47" s="1997"/>
      <c r="FU47" s="1997"/>
      <c r="FV47" s="1997"/>
      <c r="FW47" s="1997"/>
      <c r="FX47" s="1997"/>
      <c r="FY47" s="1997"/>
      <c r="FZ47" s="1997"/>
      <c r="GA47" s="1997"/>
      <c r="GB47" s="1997"/>
      <c r="GC47" s="1997"/>
      <c r="GD47" s="1997"/>
      <c r="GE47" s="1997"/>
      <c r="GF47" s="1997"/>
      <c r="GG47" s="1997"/>
      <c r="GH47" s="1997"/>
      <c r="GI47" s="1997"/>
      <c r="GJ47" s="1997"/>
      <c r="GK47" s="1997"/>
      <c r="GL47" s="1997"/>
      <c r="GM47" s="1997"/>
      <c r="GN47" s="1997"/>
      <c r="GO47" s="1997"/>
      <c r="GP47" s="1997"/>
      <c r="GQ47" s="1997"/>
      <c r="GR47" s="1997"/>
      <c r="GS47" s="1997"/>
      <c r="GT47" s="1997"/>
      <c r="GU47" s="1997"/>
      <c r="GV47" s="1997"/>
      <c r="GW47" s="1997"/>
      <c r="GX47" s="1997"/>
      <c r="GY47" s="1997"/>
      <c r="GZ47" s="1997"/>
      <c r="HA47" s="1997"/>
      <c r="HB47" s="1997"/>
      <c r="HC47" s="1997"/>
      <c r="HD47" s="1997"/>
      <c r="HE47" s="1997"/>
      <c r="HF47" s="1997"/>
      <c r="HG47" s="1997"/>
      <c r="HH47" s="1997"/>
      <c r="HI47" s="1997"/>
      <c r="HJ47" s="1997"/>
      <c r="HK47" s="1997"/>
      <c r="HL47" s="1997"/>
      <c r="HM47" s="1997"/>
      <c r="HN47" s="1997"/>
      <c r="HO47" s="1997"/>
      <c r="HP47" s="1997"/>
      <c r="HQ47" s="1997"/>
      <c r="HR47" s="1997"/>
      <c r="HS47" s="1997"/>
      <c r="HT47" s="1997"/>
      <c r="HU47" s="1997"/>
      <c r="HV47" s="1997"/>
      <c r="HW47" s="1997"/>
      <c r="HX47" s="1997"/>
      <c r="HY47" s="1997"/>
      <c r="HZ47" s="1997"/>
      <c r="IA47" s="1997"/>
      <c r="IB47" s="1997"/>
      <c r="IC47" s="1997"/>
      <c r="ID47" s="1997"/>
      <c r="IE47" s="1997"/>
      <c r="IF47" s="1997"/>
      <c r="IG47" s="1997"/>
      <c r="IH47" s="1997"/>
      <c r="II47" s="1997"/>
      <c r="IJ47" s="1997"/>
      <c r="IK47" s="1997"/>
      <c r="IL47" s="1997"/>
      <c r="IM47" s="1997"/>
      <c r="IN47" s="1997"/>
      <c r="IO47" s="1997"/>
      <c r="IP47" s="1997"/>
      <c r="IQ47" s="1997"/>
    </row>
    <row r="48" spans="1:251" hidden="1">
      <c r="A48" s="1993"/>
      <c r="B48" s="1998"/>
      <c r="C48" s="1998"/>
      <c r="D48" s="2034"/>
      <c r="E48" s="1998"/>
      <c r="F48" s="1940">
        <f t="shared" si="14"/>
        <v>0</v>
      </c>
      <c r="G48" s="1993"/>
      <c r="H48" s="1940">
        <f t="shared" ref="H48:H63" si="23">D48*F48*G48</f>
        <v>0</v>
      </c>
      <c r="I48" s="1993"/>
      <c r="J48" s="1940">
        <f t="shared" si="5"/>
        <v>0</v>
      </c>
      <c r="K48" s="1993"/>
      <c r="L48" s="1940">
        <f t="shared" ref="L48:L63" si="24">K48*F48</f>
        <v>0</v>
      </c>
      <c r="M48" s="1940">
        <f t="shared" ref="M48:M63" si="25">D48*G48*(J48+L48)</f>
        <v>0</v>
      </c>
      <c r="N48" s="1940">
        <f t="shared" ref="N48:N63" si="26">H48+M48</f>
        <v>0</v>
      </c>
      <c r="O48" s="1993"/>
      <c r="P48" s="1993"/>
      <c r="Q48" s="1940">
        <f t="shared" ref="Q48:Q63" si="27">N48+O48+P48</f>
        <v>0</v>
      </c>
      <c r="R48" s="1940">
        <f t="shared" si="9"/>
        <v>0</v>
      </c>
      <c r="S48" s="1940">
        <f t="shared" ref="S48:S63" si="28">(Q48-R48)*10%</f>
        <v>0</v>
      </c>
      <c r="T48" s="1940">
        <f t="shared" ref="T48:T63" si="29">(Q48-R48)*6%</f>
        <v>0</v>
      </c>
      <c r="U48" s="1940">
        <f t="shared" ref="U48:U63" si="30">(Q48-R48)*5%</f>
        <v>0</v>
      </c>
      <c r="V48" s="1997"/>
      <c r="W48" s="1997"/>
      <c r="X48" s="1997"/>
      <c r="Y48" s="1997"/>
      <c r="Z48" s="1997"/>
      <c r="AA48" s="1997"/>
      <c r="AB48" s="1997"/>
      <c r="AC48" s="1997"/>
      <c r="AD48" s="1997"/>
      <c r="AE48" s="1997"/>
      <c r="AF48" s="1997"/>
      <c r="AG48" s="1997"/>
      <c r="AH48" s="1997"/>
      <c r="AI48" s="1997"/>
      <c r="AJ48" s="1997"/>
      <c r="AK48" s="1997"/>
      <c r="AL48" s="1997"/>
      <c r="AM48" s="1997"/>
      <c r="AN48" s="1997"/>
      <c r="AO48" s="1997"/>
      <c r="AP48" s="1997"/>
      <c r="AQ48" s="1997"/>
      <c r="AR48" s="1997"/>
      <c r="AS48" s="1997"/>
      <c r="AT48" s="1997"/>
      <c r="AU48" s="1997"/>
      <c r="AV48" s="1997"/>
      <c r="AW48" s="1997"/>
      <c r="AX48" s="1997"/>
      <c r="AY48" s="1997"/>
      <c r="AZ48" s="1997"/>
      <c r="BA48" s="1997"/>
      <c r="BB48" s="1997"/>
      <c r="BC48" s="1997"/>
      <c r="BD48" s="1997"/>
      <c r="BE48" s="1997"/>
      <c r="BF48" s="1997"/>
      <c r="BG48" s="1997"/>
      <c r="BH48" s="1997"/>
      <c r="BI48" s="1997"/>
      <c r="BJ48" s="1997"/>
      <c r="BK48" s="1997"/>
      <c r="BL48" s="1997"/>
      <c r="BM48" s="1997"/>
      <c r="BN48" s="1997"/>
      <c r="BO48" s="1997"/>
      <c r="BP48" s="1997"/>
      <c r="BQ48" s="1997"/>
      <c r="BR48" s="1997"/>
      <c r="BS48" s="1997"/>
      <c r="BT48" s="1997"/>
      <c r="BU48" s="1997"/>
      <c r="BV48" s="1997"/>
      <c r="BW48" s="1997"/>
      <c r="BX48" s="1997"/>
      <c r="BY48" s="1997"/>
      <c r="BZ48" s="1997"/>
      <c r="CA48" s="1997"/>
      <c r="CB48" s="1997"/>
      <c r="CC48" s="1997"/>
      <c r="CD48" s="1997"/>
      <c r="CE48" s="1997"/>
      <c r="CF48" s="1997"/>
      <c r="CG48" s="1997"/>
      <c r="CH48" s="1997"/>
      <c r="CI48" s="1997"/>
      <c r="CJ48" s="1997"/>
      <c r="CK48" s="1997"/>
      <c r="CL48" s="1997"/>
      <c r="CM48" s="1997"/>
      <c r="CN48" s="1997"/>
      <c r="CO48" s="1997"/>
      <c r="CP48" s="1997"/>
      <c r="CQ48" s="1997"/>
      <c r="CR48" s="1997"/>
      <c r="CS48" s="1997"/>
      <c r="CT48" s="1997"/>
      <c r="CU48" s="1997"/>
      <c r="CV48" s="1997"/>
      <c r="CW48" s="1997"/>
      <c r="CX48" s="1997"/>
      <c r="CY48" s="1997"/>
      <c r="CZ48" s="1997"/>
      <c r="DA48" s="1997"/>
      <c r="DB48" s="1997"/>
      <c r="DC48" s="1997"/>
      <c r="DD48" s="1997"/>
      <c r="DE48" s="1997"/>
      <c r="DF48" s="1997"/>
      <c r="DG48" s="1997"/>
      <c r="DH48" s="1997"/>
      <c r="DI48" s="1997"/>
      <c r="DJ48" s="1997"/>
      <c r="DK48" s="1997"/>
      <c r="DL48" s="1997"/>
      <c r="DM48" s="1997"/>
      <c r="DN48" s="1997"/>
      <c r="DO48" s="1997"/>
      <c r="DP48" s="1997"/>
      <c r="DQ48" s="1997"/>
      <c r="DR48" s="1997"/>
      <c r="DS48" s="1997"/>
      <c r="DT48" s="1997"/>
      <c r="DU48" s="1997"/>
      <c r="DV48" s="1997"/>
      <c r="DW48" s="1997"/>
      <c r="DX48" s="1997"/>
      <c r="DY48" s="1997"/>
      <c r="DZ48" s="1997"/>
      <c r="EA48" s="1997"/>
      <c r="EB48" s="1997"/>
      <c r="EC48" s="1997"/>
      <c r="ED48" s="1997"/>
      <c r="EE48" s="1997"/>
      <c r="EF48" s="1997"/>
      <c r="EG48" s="1997"/>
      <c r="EH48" s="1997"/>
      <c r="EI48" s="1997"/>
      <c r="EJ48" s="1997"/>
      <c r="EK48" s="1997"/>
      <c r="EL48" s="1997"/>
      <c r="EM48" s="1997"/>
      <c r="EN48" s="1997"/>
      <c r="EO48" s="1997"/>
      <c r="EP48" s="1997"/>
      <c r="EQ48" s="1997"/>
      <c r="ER48" s="1997"/>
      <c r="ES48" s="1997"/>
      <c r="ET48" s="1997"/>
      <c r="EU48" s="1997"/>
      <c r="EV48" s="1997"/>
      <c r="EW48" s="1997"/>
      <c r="EX48" s="1997"/>
      <c r="EY48" s="1997"/>
      <c r="EZ48" s="1997"/>
      <c r="FA48" s="1997"/>
      <c r="FB48" s="1997"/>
      <c r="FC48" s="1997"/>
      <c r="FD48" s="1997"/>
      <c r="FE48" s="1997"/>
      <c r="FF48" s="1997"/>
      <c r="FG48" s="1997"/>
      <c r="FH48" s="1997"/>
      <c r="FI48" s="1997"/>
      <c r="FJ48" s="1997"/>
      <c r="FK48" s="1997"/>
      <c r="FL48" s="1997"/>
      <c r="FM48" s="1997"/>
      <c r="FN48" s="1997"/>
      <c r="FO48" s="1997"/>
      <c r="FP48" s="1997"/>
      <c r="FQ48" s="1997"/>
      <c r="FR48" s="1997"/>
      <c r="FS48" s="1997"/>
      <c r="FT48" s="1997"/>
      <c r="FU48" s="1997"/>
      <c r="FV48" s="1997"/>
      <c r="FW48" s="1997"/>
      <c r="FX48" s="1997"/>
      <c r="FY48" s="1997"/>
      <c r="FZ48" s="1997"/>
      <c r="GA48" s="1997"/>
      <c r="GB48" s="1997"/>
      <c r="GC48" s="1997"/>
      <c r="GD48" s="1997"/>
      <c r="GE48" s="1997"/>
      <c r="GF48" s="1997"/>
      <c r="GG48" s="1997"/>
      <c r="GH48" s="1997"/>
      <c r="GI48" s="1997"/>
      <c r="GJ48" s="1997"/>
      <c r="GK48" s="1997"/>
      <c r="GL48" s="1997"/>
      <c r="GM48" s="1997"/>
      <c r="GN48" s="1997"/>
      <c r="GO48" s="1997"/>
      <c r="GP48" s="1997"/>
      <c r="GQ48" s="1997"/>
      <c r="GR48" s="1997"/>
      <c r="GS48" s="1997"/>
      <c r="GT48" s="1997"/>
      <c r="GU48" s="1997"/>
      <c r="GV48" s="1997"/>
      <c r="GW48" s="1997"/>
      <c r="GX48" s="1997"/>
      <c r="GY48" s="1997"/>
      <c r="GZ48" s="1997"/>
      <c r="HA48" s="1997"/>
      <c r="HB48" s="1997"/>
      <c r="HC48" s="1997"/>
      <c r="HD48" s="1997"/>
      <c r="HE48" s="1997"/>
      <c r="HF48" s="1997"/>
      <c r="HG48" s="1997"/>
      <c r="HH48" s="1997"/>
      <c r="HI48" s="1997"/>
      <c r="HJ48" s="1997"/>
      <c r="HK48" s="1997"/>
      <c r="HL48" s="1997"/>
      <c r="HM48" s="1997"/>
      <c r="HN48" s="1997"/>
      <c r="HO48" s="1997"/>
      <c r="HP48" s="1997"/>
      <c r="HQ48" s="1997"/>
      <c r="HR48" s="1997"/>
      <c r="HS48" s="1997"/>
      <c r="HT48" s="1997"/>
      <c r="HU48" s="1997"/>
      <c r="HV48" s="1997"/>
      <c r="HW48" s="1997"/>
      <c r="HX48" s="1997"/>
      <c r="HY48" s="1997"/>
      <c r="HZ48" s="1997"/>
      <c r="IA48" s="1997"/>
      <c r="IB48" s="1997"/>
      <c r="IC48" s="1997"/>
      <c r="ID48" s="1997"/>
      <c r="IE48" s="1997"/>
      <c r="IF48" s="1997"/>
      <c r="IG48" s="1997"/>
      <c r="IH48" s="1997"/>
      <c r="II48" s="1997"/>
      <c r="IJ48" s="1997"/>
      <c r="IK48" s="1997"/>
      <c r="IL48" s="1997"/>
      <c r="IM48" s="1997"/>
      <c r="IN48" s="1997"/>
      <c r="IO48" s="1997"/>
      <c r="IP48" s="1997"/>
      <c r="IQ48" s="1997"/>
    </row>
    <row r="49" spans="1:251" hidden="1">
      <c r="A49" s="1993"/>
      <c r="B49" s="1998"/>
      <c r="C49" s="1998"/>
      <c r="D49" s="2034"/>
      <c r="E49" s="1998"/>
      <c r="F49" s="1940">
        <f t="shared" si="14"/>
        <v>0</v>
      </c>
      <c r="G49" s="1993"/>
      <c r="H49" s="1940">
        <f t="shared" si="23"/>
        <v>0</v>
      </c>
      <c r="I49" s="1993"/>
      <c r="J49" s="1940">
        <f t="shared" si="5"/>
        <v>0</v>
      </c>
      <c r="K49" s="1993"/>
      <c r="L49" s="1940">
        <f t="shared" si="24"/>
        <v>0</v>
      </c>
      <c r="M49" s="1940">
        <f t="shared" si="25"/>
        <v>0</v>
      </c>
      <c r="N49" s="1940">
        <f t="shared" si="26"/>
        <v>0</v>
      </c>
      <c r="O49" s="1993"/>
      <c r="P49" s="1993"/>
      <c r="Q49" s="1940">
        <f t="shared" si="27"/>
        <v>0</v>
      </c>
      <c r="R49" s="1940">
        <f t="shared" si="9"/>
        <v>0</v>
      </c>
      <c r="S49" s="1940">
        <f t="shared" si="28"/>
        <v>0</v>
      </c>
      <c r="T49" s="1940">
        <f t="shared" si="29"/>
        <v>0</v>
      </c>
      <c r="U49" s="1940">
        <f t="shared" si="30"/>
        <v>0</v>
      </c>
      <c r="V49" s="1997"/>
      <c r="W49" s="1997"/>
      <c r="X49" s="1997"/>
      <c r="Y49" s="1997"/>
      <c r="Z49" s="1997"/>
      <c r="AA49" s="1997"/>
      <c r="AB49" s="1997"/>
      <c r="AC49" s="1997"/>
      <c r="AD49" s="1997"/>
      <c r="AE49" s="1997"/>
      <c r="AF49" s="1997"/>
      <c r="AG49" s="1997"/>
      <c r="AH49" s="1997"/>
      <c r="AI49" s="1997"/>
      <c r="AJ49" s="1997"/>
      <c r="AK49" s="1997"/>
      <c r="AL49" s="1997"/>
      <c r="AM49" s="1997"/>
      <c r="AN49" s="1997"/>
      <c r="AO49" s="1997"/>
      <c r="AP49" s="1997"/>
      <c r="AQ49" s="1997"/>
      <c r="AR49" s="1997"/>
      <c r="AS49" s="1997"/>
      <c r="AT49" s="1997"/>
      <c r="AU49" s="1997"/>
      <c r="AV49" s="1997"/>
      <c r="AW49" s="1997"/>
      <c r="AX49" s="1997"/>
      <c r="AY49" s="1997"/>
      <c r="AZ49" s="1997"/>
      <c r="BA49" s="1997"/>
      <c r="BB49" s="1997"/>
      <c r="BC49" s="1997"/>
      <c r="BD49" s="1997"/>
      <c r="BE49" s="1997"/>
      <c r="BF49" s="1997"/>
      <c r="BG49" s="1997"/>
      <c r="BH49" s="1997"/>
      <c r="BI49" s="1997"/>
      <c r="BJ49" s="1997"/>
      <c r="BK49" s="1997"/>
      <c r="BL49" s="1997"/>
      <c r="BM49" s="1997"/>
      <c r="BN49" s="1997"/>
      <c r="BO49" s="1997"/>
      <c r="BP49" s="1997"/>
      <c r="BQ49" s="1997"/>
      <c r="BR49" s="1997"/>
      <c r="BS49" s="1997"/>
      <c r="BT49" s="1997"/>
      <c r="BU49" s="1997"/>
      <c r="BV49" s="1997"/>
      <c r="BW49" s="1997"/>
      <c r="BX49" s="1997"/>
      <c r="BY49" s="1997"/>
      <c r="BZ49" s="1997"/>
      <c r="CA49" s="1997"/>
      <c r="CB49" s="1997"/>
      <c r="CC49" s="1997"/>
      <c r="CD49" s="1997"/>
      <c r="CE49" s="1997"/>
      <c r="CF49" s="1997"/>
      <c r="CG49" s="1997"/>
      <c r="CH49" s="1997"/>
      <c r="CI49" s="1997"/>
      <c r="CJ49" s="1997"/>
      <c r="CK49" s="1997"/>
      <c r="CL49" s="1997"/>
      <c r="CM49" s="1997"/>
      <c r="CN49" s="1997"/>
      <c r="CO49" s="1997"/>
      <c r="CP49" s="1997"/>
      <c r="CQ49" s="1997"/>
      <c r="CR49" s="1997"/>
      <c r="CS49" s="1997"/>
      <c r="CT49" s="1997"/>
      <c r="CU49" s="1997"/>
      <c r="CV49" s="1997"/>
      <c r="CW49" s="1997"/>
      <c r="CX49" s="1997"/>
      <c r="CY49" s="1997"/>
      <c r="CZ49" s="1997"/>
      <c r="DA49" s="1997"/>
      <c r="DB49" s="1997"/>
      <c r="DC49" s="1997"/>
      <c r="DD49" s="1997"/>
      <c r="DE49" s="1997"/>
      <c r="DF49" s="1997"/>
      <c r="DG49" s="1997"/>
      <c r="DH49" s="1997"/>
      <c r="DI49" s="1997"/>
      <c r="DJ49" s="1997"/>
      <c r="DK49" s="1997"/>
      <c r="DL49" s="1997"/>
      <c r="DM49" s="1997"/>
      <c r="DN49" s="1997"/>
      <c r="DO49" s="1997"/>
      <c r="DP49" s="1997"/>
      <c r="DQ49" s="1997"/>
      <c r="DR49" s="1997"/>
      <c r="DS49" s="1997"/>
      <c r="DT49" s="1997"/>
      <c r="DU49" s="1997"/>
      <c r="DV49" s="1997"/>
      <c r="DW49" s="1997"/>
      <c r="DX49" s="1997"/>
      <c r="DY49" s="1997"/>
      <c r="DZ49" s="1997"/>
      <c r="EA49" s="1997"/>
      <c r="EB49" s="1997"/>
      <c r="EC49" s="1997"/>
      <c r="ED49" s="1997"/>
      <c r="EE49" s="1997"/>
      <c r="EF49" s="1997"/>
      <c r="EG49" s="1997"/>
      <c r="EH49" s="1997"/>
      <c r="EI49" s="1997"/>
      <c r="EJ49" s="1997"/>
      <c r="EK49" s="1997"/>
      <c r="EL49" s="1997"/>
      <c r="EM49" s="1997"/>
      <c r="EN49" s="1997"/>
      <c r="EO49" s="1997"/>
      <c r="EP49" s="1997"/>
      <c r="EQ49" s="1997"/>
      <c r="ER49" s="1997"/>
      <c r="ES49" s="1997"/>
      <c r="ET49" s="1997"/>
      <c r="EU49" s="1997"/>
      <c r="EV49" s="1997"/>
      <c r="EW49" s="1997"/>
      <c r="EX49" s="1997"/>
      <c r="EY49" s="1997"/>
      <c r="EZ49" s="1997"/>
      <c r="FA49" s="1997"/>
      <c r="FB49" s="1997"/>
      <c r="FC49" s="1997"/>
      <c r="FD49" s="1997"/>
      <c r="FE49" s="1997"/>
      <c r="FF49" s="1997"/>
      <c r="FG49" s="1997"/>
      <c r="FH49" s="1997"/>
      <c r="FI49" s="1997"/>
      <c r="FJ49" s="1997"/>
      <c r="FK49" s="1997"/>
      <c r="FL49" s="1997"/>
      <c r="FM49" s="1997"/>
      <c r="FN49" s="1997"/>
      <c r="FO49" s="1997"/>
      <c r="FP49" s="1997"/>
      <c r="FQ49" s="1997"/>
      <c r="FR49" s="1997"/>
      <c r="FS49" s="1997"/>
      <c r="FT49" s="1997"/>
      <c r="FU49" s="1997"/>
      <c r="FV49" s="1997"/>
      <c r="FW49" s="1997"/>
      <c r="FX49" s="1997"/>
      <c r="FY49" s="1997"/>
      <c r="FZ49" s="1997"/>
      <c r="GA49" s="1997"/>
      <c r="GB49" s="1997"/>
      <c r="GC49" s="1997"/>
      <c r="GD49" s="1997"/>
      <c r="GE49" s="1997"/>
      <c r="GF49" s="1997"/>
      <c r="GG49" s="1997"/>
      <c r="GH49" s="1997"/>
      <c r="GI49" s="1997"/>
      <c r="GJ49" s="1997"/>
      <c r="GK49" s="1997"/>
      <c r="GL49" s="1997"/>
      <c r="GM49" s="1997"/>
      <c r="GN49" s="1997"/>
      <c r="GO49" s="1997"/>
      <c r="GP49" s="1997"/>
      <c r="GQ49" s="1997"/>
      <c r="GR49" s="1997"/>
      <c r="GS49" s="1997"/>
      <c r="GT49" s="1997"/>
      <c r="GU49" s="1997"/>
      <c r="GV49" s="1997"/>
      <c r="GW49" s="1997"/>
      <c r="GX49" s="1997"/>
      <c r="GY49" s="1997"/>
      <c r="GZ49" s="1997"/>
      <c r="HA49" s="1997"/>
      <c r="HB49" s="1997"/>
      <c r="HC49" s="1997"/>
      <c r="HD49" s="1997"/>
      <c r="HE49" s="1997"/>
      <c r="HF49" s="1997"/>
      <c r="HG49" s="1997"/>
      <c r="HH49" s="1997"/>
      <c r="HI49" s="1997"/>
      <c r="HJ49" s="1997"/>
      <c r="HK49" s="1997"/>
      <c r="HL49" s="1997"/>
      <c r="HM49" s="1997"/>
      <c r="HN49" s="1997"/>
      <c r="HO49" s="1997"/>
      <c r="HP49" s="1997"/>
      <c r="HQ49" s="1997"/>
      <c r="HR49" s="1997"/>
      <c r="HS49" s="1997"/>
      <c r="HT49" s="1997"/>
      <c r="HU49" s="1997"/>
      <c r="HV49" s="1997"/>
      <c r="HW49" s="1997"/>
      <c r="HX49" s="1997"/>
      <c r="HY49" s="1997"/>
      <c r="HZ49" s="1997"/>
      <c r="IA49" s="1997"/>
      <c r="IB49" s="1997"/>
      <c r="IC49" s="1997"/>
      <c r="ID49" s="1997"/>
      <c r="IE49" s="1997"/>
      <c r="IF49" s="1997"/>
      <c r="IG49" s="1997"/>
      <c r="IH49" s="1997"/>
      <c r="II49" s="1997"/>
      <c r="IJ49" s="1997"/>
      <c r="IK49" s="1997"/>
      <c r="IL49" s="1997"/>
      <c r="IM49" s="1997"/>
      <c r="IN49" s="1997"/>
      <c r="IO49" s="1997"/>
      <c r="IP49" s="1997"/>
      <c r="IQ49" s="1997"/>
    </row>
    <row r="50" spans="1:251" hidden="1">
      <c r="A50" s="1993"/>
      <c r="B50" s="1998"/>
      <c r="C50" s="1998"/>
      <c r="D50" s="2034"/>
      <c r="E50" s="1998"/>
      <c r="F50" s="1940">
        <f t="shared" si="14"/>
        <v>0</v>
      </c>
      <c r="G50" s="1993"/>
      <c r="H50" s="1940">
        <f t="shared" si="23"/>
        <v>0</v>
      </c>
      <c r="I50" s="1993"/>
      <c r="J50" s="1940">
        <f t="shared" si="5"/>
        <v>0</v>
      </c>
      <c r="K50" s="1993"/>
      <c r="L50" s="1940">
        <f t="shared" si="24"/>
        <v>0</v>
      </c>
      <c r="M50" s="1940">
        <f t="shared" si="25"/>
        <v>0</v>
      </c>
      <c r="N50" s="1940">
        <f t="shared" si="26"/>
        <v>0</v>
      </c>
      <c r="O50" s="1993"/>
      <c r="P50" s="1993"/>
      <c r="Q50" s="1940">
        <f t="shared" si="27"/>
        <v>0</v>
      </c>
      <c r="R50" s="1940">
        <f t="shared" si="9"/>
        <v>0</v>
      </c>
      <c r="S50" s="1940">
        <f t="shared" si="28"/>
        <v>0</v>
      </c>
      <c r="T50" s="1940">
        <f t="shared" si="29"/>
        <v>0</v>
      </c>
      <c r="U50" s="1940">
        <f t="shared" si="30"/>
        <v>0</v>
      </c>
      <c r="V50" s="1997"/>
      <c r="W50" s="1997"/>
      <c r="X50" s="1997"/>
      <c r="Y50" s="1997"/>
      <c r="Z50" s="1997"/>
      <c r="AA50" s="1997"/>
      <c r="AB50" s="1997"/>
      <c r="AC50" s="1997"/>
      <c r="AD50" s="1997"/>
      <c r="AE50" s="1997"/>
      <c r="AF50" s="1997"/>
      <c r="AG50" s="1997"/>
      <c r="AH50" s="1997"/>
      <c r="AI50" s="1997"/>
      <c r="AJ50" s="1997"/>
      <c r="AK50" s="1997"/>
      <c r="AL50" s="1997"/>
      <c r="AM50" s="1997"/>
      <c r="AN50" s="1997"/>
      <c r="AO50" s="1997"/>
      <c r="AP50" s="1997"/>
      <c r="AQ50" s="1997"/>
      <c r="AR50" s="1997"/>
      <c r="AS50" s="1997"/>
      <c r="AT50" s="1997"/>
      <c r="AU50" s="1997"/>
      <c r="AV50" s="1997"/>
      <c r="AW50" s="1997"/>
      <c r="AX50" s="1997"/>
      <c r="AY50" s="1997"/>
      <c r="AZ50" s="1997"/>
      <c r="BA50" s="1997"/>
      <c r="BB50" s="1997"/>
      <c r="BC50" s="1997"/>
      <c r="BD50" s="1997"/>
      <c r="BE50" s="1997"/>
      <c r="BF50" s="1997"/>
      <c r="BG50" s="1997"/>
      <c r="BH50" s="1997"/>
      <c r="BI50" s="1997"/>
      <c r="BJ50" s="1997"/>
      <c r="BK50" s="1997"/>
      <c r="BL50" s="1997"/>
      <c r="BM50" s="1997"/>
      <c r="BN50" s="1997"/>
      <c r="BO50" s="1997"/>
      <c r="BP50" s="1997"/>
      <c r="BQ50" s="1997"/>
      <c r="BR50" s="1997"/>
      <c r="BS50" s="1997"/>
      <c r="BT50" s="1997"/>
      <c r="BU50" s="1997"/>
      <c r="BV50" s="1997"/>
      <c r="BW50" s="1997"/>
      <c r="BX50" s="1997"/>
      <c r="BY50" s="1997"/>
      <c r="BZ50" s="1997"/>
      <c r="CA50" s="1997"/>
      <c r="CB50" s="1997"/>
      <c r="CC50" s="1997"/>
      <c r="CD50" s="1997"/>
      <c r="CE50" s="1997"/>
      <c r="CF50" s="1997"/>
      <c r="CG50" s="1997"/>
      <c r="CH50" s="1997"/>
      <c r="CI50" s="1997"/>
      <c r="CJ50" s="1997"/>
      <c r="CK50" s="1997"/>
      <c r="CL50" s="1997"/>
      <c r="CM50" s="1997"/>
      <c r="CN50" s="1997"/>
      <c r="CO50" s="1997"/>
      <c r="CP50" s="1997"/>
      <c r="CQ50" s="1997"/>
      <c r="CR50" s="1997"/>
      <c r="CS50" s="1997"/>
      <c r="CT50" s="1997"/>
      <c r="CU50" s="1997"/>
      <c r="CV50" s="1997"/>
      <c r="CW50" s="1997"/>
      <c r="CX50" s="1997"/>
      <c r="CY50" s="1997"/>
      <c r="CZ50" s="1997"/>
      <c r="DA50" s="1997"/>
      <c r="DB50" s="1997"/>
      <c r="DC50" s="1997"/>
      <c r="DD50" s="1997"/>
      <c r="DE50" s="1997"/>
      <c r="DF50" s="1997"/>
      <c r="DG50" s="1997"/>
      <c r="DH50" s="1997"/>
      <c r="DI50" s="1997"/>
      <c r="DJ50" s="1997"/>
      <c r="DK50" s="1997"/>
      <c r="DL50" s="1997"/>
      <c r="DM50" s="1997"/>
      <c r="DN50" s="1997"/>
      <c r="DO50" s="1997"/>
      <c r="DP50" s="1997"/>
      <c r="DQ50" s="1997"/>
      <c r="DR50" s="1997"/>
      <c r="DS50" s="1997"/>
      <c r="DT50" s="1997"/>
      <c r="DU50" s="1997"/>
      <c r="DV50" s="1997"/>
      <c r="DW50" s="1997"/>
      <c r="DX50" s="1997"/>
      <c r="DY50" s="1997"/>
      <c r="DZ50" s="1997"/>
      <c r="EA50" s="1997"/>
      <c r="EB50" s="1997"/>
      <c r="EC50" s="1997"/>
      <c r="ED50" s="1997"/>
      <c r="EE50" s="1997"/>
      <c r="EF50" s="1997"/>
      <c r="EG50" s="1997"/>
      <c r="EH50" s="1997"/>
      <c r="EI50" s="1997"/>
      <c r="EJ50" s="1997"/>
      <c r="EK50" s="1997"/>
      <c r="EL50" s="1997"/>
      <c r="EM50" s="1997"/>
      <c r="EN50" s="1997"/>
      <c r="EO50" s="1997"/>
      <c r="EP50" s="1997"/>
      <c r="EQ50" s="1997"/>
      <c r="ER50" s="1997"/>
      <c r="ES50" s="1997"/>
      <c r="ET50" s="1997"/>
      <c r="EU50" s="1997"/>
      <c r="EV50" s="1997"/>
      <c r="EW50" s="1997"/>
      <c r="EX50" s="1997"/>
      <c r="EY50" s="1997"/>
      <c r="EZ50" s="1997"/>
      <c r="FA50" s="1997"/>
      <c r="FB50" s="1997"/>
      <c r="FC50" s="1997"/>
      <c r="FD50" s="1997"/>
      <c r="FE50" s="1997"/>
      <c r="FF50" s="1997"/>
      <c r="FG50" s="1997"/>
      <c r="FH50" s="1997"/>
      <c r="FI50" s="1997"/>
      <c r="FJ50" s="1997"/>
      <c r="FK50" s="1997"/>
      <c r="FL50" s="1997"/>
      <c r="FM50" s="1997"/>
      <c r="FN50" s="1997"/>
      <c r="FO50" s="1997"/>
      <c r="FP50" s="1997"/>
      <c r="FQ50" s="1997"/>
      <c r="FR50" s="1997"/>
      <c r="FS50" s="1997"/>
      <c r="FT50" s="1997"/>
      <c r="FU50" s="1997"/>
      <c r="FV50" s="1997"/>
      <c r="FW50" s="1997"/>
      <c r="FX50" s="1997"/>
      <c r="FY50" s="1997"/>
      <c r="FZ50" s="1997"/>
      <c r="GA50" s="1997"/>
      <c r="GB50" s="1997"/>
      <c r="GC50" s="1997"/>
      <c r="GD50" s="1997"/>
      <c r="GE50" s="1997"/>
      <c r="GF50" s="1997"/>
      <c r="GG50" s="1997"/>
      <c r="GH50" s="1997"/>
      <c r="GI50" s="1997"/>
      <c r="GJ50" s="1997"/>
      <c r="GK50" s="1997"/>
      <c r="GL50" s="1997"/>
      <c r="GM50" s="1997"/>
      <c r="GN50" s="1997"/>
      <c r="GO50" s="1997"/>
      <c r="GP50" s="1997"/>
      <c r="GQ50" s="1997"/>
      <c r="GR50" s="1997"/>
      <c r="GS50" s="1997"/>
      <c r="GT50" s="1997"/>
      <c r="GU50" s="1997"/>
      <c r="GV50" s="1997"/>
      <c r="GW50" s="1997"/>
      <c r="GX50" s="1997"/>
      <c r="GY50" s="1997"/>
      <c r="GZ50" s="1997"/>
      <c r="HA50" s="1997"/>
      <c r="HB50" s="1997"/>
      <c r="HC50" s="1997"/>
      <c r="HD50" s="1997"/>
      <c r="HE50" s="1997"/>
      <c r="HF50" s="1997"/>
      <c r="HG50" s="1997"/>
      <c r="HH50" s="1997"/>
      <c r="HI50" s="1997"/>
      <c r="HJ50" s="1997"/>
      <c r="HK50" s="1997"/>
      <c r="HL50" s="1997"/>
      <c r="HM50" s="1997"/>
      <c r="HN50" s="1997"/>
      <c r="HO50" s="1997"/>
      <c r="HP50" s="1997"/>
      <c r="HQ50" s="1997"/>
      <c r="HR50" s="1997"/>
      <c r="HS50" s="1997"/>
      <c r="HT50" s="1997"/>
      <c r="HU50" s="1997"/>
      <c r="HV50" s="1997"/>
      <c r="HW50" s="1997"/>
      <c r="HX50" s="1997"/>
      <c r="HY50" s="1997"/>
      <c r="HZ50" s="1997"/>
      <c r="IA50" s="1997"/>
      <c r="IB50" s="1997"/>
      <c r="IC50" s="1997"/>
      <c r="ID50" s="1997"/>
      <c r="IE50" s="1997"/>
      <c r="IF50" s="1997"/>
      <c r="IG50" s="1997"/>
      <c r="IH50" s="1997"/>
      <c r="II50" s="1997"/>
      <c r="IJ50" s="1997"/>
      <c r="IK50" s="1997"/>
      <c r="IL50" s="1997"/>
      <c r="IM50" s="1997"/>
      <c r="IN50" s="1997"/>
      <c r="IO50" s="1997"/>
      <c r="IP50" s="1997"/>
      <c r="IQ50" s="1997"/>
    </row>
    <row r="51" spans="1:251" hidden="1">
      <c r="A51" s="1993"/>
      <c r="B51" s="1998"/>
      <c r="C51" s="1998"/>
      <c r="D51" s="2034"/>
      <c r="E51" s="1998"/>
      <c r="F51" s="1940">
        <f t="shared" si="14"/>
        <v>0</v>
      </c>
      <c r="G51" s="1993"/>
      <c r="H51" s="1940">
        <f t="shared" si="23"/>
        <v>0</v>
      </c>
      <c r="I51" s="1993"/>
      <c r="J51" s="1940">
        <f t="shared" si="5"/>
        <v>0</v>
      </c>
      <c r="K51" s="1993"/>
      <c r="L51" s="1940">
        <f t="shared" si="24"/>
        <v>0</v>
      </c>
      <c r="M51" s="1940">
        <f t="shared" si="25"/>
        <v>0</v>
      </c>
      <c r="N51" s="1940">
        <f t="shared" si="26"/>
        <v>0</v>
      </c>
      <c r="O51" s="1993"/>
      <c r="P51" s="1993"/>
      <c r="Q51" s="1940">
        <f t="shared" si="27"/>
        <v>0</v>
      </c>
      <c r="R51" s="1940">
        <f t="shared" si="9"/>
        <v>0</v>
      </c>
      <c r="S51" s="1940">
        <f t="shared" si="28"/>
        <v>0</v>
      </c>
      <c r="T51" s="1940">
        <f t="shared" si="29"/>
        <v>0</v>
      </c>
      <c r="U51" s="1940">
        <f t="shared" si="30"/>
        <v>0</v>
      </c>
      <c r="V51" s="1997"/>
      <c r="W51" s="1997"/>
      <c r="X51" s="1997"/>
      <c r="Y51" s="1997"/>
      <c r="Z51" s="1997"/>
      <c r="AA51" s="1997"/>
      <c r="AB51" s="1997"/>
      <c r="AC51" s="1997"/>
      <c r="AD51" s="1997"/>
      <c r="AE51" s="1997"/>
      <c r="AF51" s="1997"/>
      <c r="AG51" s="1997"/>
      <c r="AH51" s="1997"/>
      <c r="AI51" s="1997"/>
      <c r="AJ51" s="1997"/>
      <c r="AK51" s="1997"/>
      <c r="AL51" s="1997"/>
      <c r="AM51" s="1997"/>
      <c r="AN51" s="1997"/>
      <c r="AO51" s="1997"/>
      <c r="AP51" s="1997"/>
      <c r="AQ51" s="1997"/>
      <c r="AR51" s="1997"/>
      <c r="AS51" s="1997"/>
      <c r="AT51" s="1997"/>
      <c r="AU51" s="1997"/>
      <c r="AV51" s="1997"/>
      <c r="AW51" s="1997"/>
      <c r="AX51" s="1997"/>
      <c r="AY51" s="1997"/>
      <c r="AZ51" s="1997"/>
      <c r="BA51" s="1997"/>
      <c r="BB51" s="1997"/>
      <c r="BC51" s="1997"/>
      <c r="BD51" s="1997"/>
      <c r="BE51" s="1997"/>
      <c r="BF51" s="1997"/>
      <c r="BG51" s="1997"/>
      <c r="BH51" s="1997"/>
      <c r="BI51" s="1997"/>
      <c r="BJ51" s="1997"/>
      <c r="BK51" s="1997"/>
      <c r="BL51" s="1997"/>
      <c r="BM51" s="1997"/>
      <c r="BN51" s="1997"/>
      <c r="BO51" s="1997"/>
      <c r="BP51" s="1997"/>
      <c r="BQ51" s="1997"/>
      <c r="BR51" s="1997"/>
      <c r="BS51" s="1997"/>
      <c r="BT51" s="1997"/>
      <c r="BU51" s="1997"/>
      <c r="BV51" s="1997"/>
      <c r="BW51" s="1997"/>
      <c r="BX51" s="1997"/>
      <c r="BY51" s="1997"/>
      <c r="BZ51" s="1997"/>
      <c r="CA51" s="1997"/>
      <c r="CB51" s="1997"/>
      <c r="CC51" s="1997"/>
      <c r="CD51" s="1997"/>
      <c r="CE51" s="1997"/>
      <c r="CF51" s="1997"/>
      <c r="CG51" s="1997"/>
      <c r="CH51" s="1997"/>
      <c r="CI51" s="1997"/>
      <c r="CJ51" s="1997"/>
      <c r="CK51" s="1997"/>
      <c r="CL51" s="1997"/>
      <c r="CM51" s="1997"/>
      <c r="CN51" s="1997"/>
      <c r="CO51" s="1997"/>
      <c r="CP51" s="1997"/>
      <c r="CQ51" s="1997"/>
      <c r="CR51" s="1997"/>
      <c r="CS51" s="1997"/>
      <c r="CT51" s="1997"/>
      <c r="CU51" s="1997"/>
      <c r="CV51" s="1997"/>
      <c r="CW51" s="1997"/>
      <c r="CX51" s="1997"/>
      <c r="CY51" s="1997"/>
      <c r="CZ51" s="1997"/>
      <c r="DA51" s="1997"/>
      <c r="DB51" s="1997"/>
      <c r="DC51" s="1997"/>
      <c r="DD51" s="1997"/>
      <c r="DE51" s="1997"/>
      <c r="DF51" s="1997"/>
      <c r="DG51" s="1997"/>
      <c r="DH51" s="1997"/>
      <c r="DI51" s="1997"/>
      <c r="DJ51" s="1997"/>
      <c r="DK51" s="1997"/>
      <c r="DL51" s="1997"/>
      <c r="DM51" s="1997"/>
      <c r="DN51" s="1997"/>
      <c r="DO51" s="1997"/>
      <c r="DP51" s="1997"/>
      <c r="DQ51" s="1997"/>
      <c r="DR51" s="1997"/>
      <c r="DS51" s="1997"/>
      <c r="DT51" s="1997"/>
      <c r="DU51" s="1997"/>
      <c r="DV51" s="1997"/>
      <c r="DW51" s="1997"/>
      <c r="DX51" s="1997"/>
      <c r="DY51" s="1997"/>
      <c r="DZ51" s="1997"/>
      <c r="EA51" s="1997"/>
      <c r="EB51" s="1997"/>
      <c r="EC51" s="1997"/>
      <c r="ED51" s="1997"/>
      <c r="EE51" s="1997"/>
      <c r="EF51" s="1997"/>
      <c r="EG51" s="1997"/>
      <c r="EH51" s="1997"/>
      <c r="EI51" s="1997"/>
      <c r="EJ51" s="1997"/>
      <c r="EK51" s="1997"/>
      <c r="EL51" s="1997"/>
      <c r="EM51" s="1997"/>
      <c r="EN51" s="1997"/>
      <c r="EO51" s="1997"/>
      <c r="EP51" s="1997"/>
      <c r="EQ51" s="1997"/>
      <c r="ER51" s="1997"/>
      <c r="ES51" s="1997"/>
      <c r="ET51" s="1997"/>
      <c r="EU51" s="1997"/>
      <c r="EV51" s="1997"/>
      <c r="EW51" s="1997"/>
      <c r="EX51" s="1997"/>
      <c r="EY51" s="1997"/>
      <c r="EZ51" s="1997"/>
      <c r="FA51" s="1997"/>
      <c r="FB51" s="1997"/>
      <c r="FC51" s="1997"/>
      <c r="FD51" s="1997"/>
      <c r="FE51" s="1997"/>
      <c r="FF51" s="1997"/>
      <c r="FG51" s="1997"/>
      <c r="FH51" s="1997"/>
      <c r="FI51" s="1997"/>
      <c r="FJ51" s="1997"/>
      <c r="FK51" s="1997"/>
      <c r="FL51" s="1997"/>
      <c r="FM51" s="1997"/>
      <c r="FN51" s="1997"/>
      <c r="FO51" s="1997"/>
      <c r="FP51" s="1997"/>
      <c r="FQ51" s="1997"/>
      <c r="FR51" s="1997"/>
      <c r="FS51" s="1997"/>
      <c r="FT51" s="1997"/>
      <c r="FU51" s="1997"/>
      <c r="FV51" s="1997"/>
      <c r="FW51" s="1997"/>
      <c r="FX51" s="1997"/>
      <c r="FY51" s="1997"/>
      <c r="FZ51" s="1997"/>
      <c r="GA51" s="1997"/>
      <c r="GB51" s="1997"/>
      <c r="GC51" s="1997"/>
      <c r="GD51" s="1997"/>
      <c r="GE51" s="1997"/>
      <c r="GF51" s="1997"/>
      <c r="GG51" s="1997"/>
      <c r="GH51" s="1997"/>
      <c r="GI51" s="1997"/>
      <c r="GJ51" s="1997"/>
      <c r="GK51" s="1997"/>
      <c r="GL51" s="1997"/>
      <c r="GM51" s="1997"/>
      <c r="GN51" s="1997"/>
      <c r="GO51" s="1997"/>
      <c r="GP51" s="1997"/>
      <c r="GQ51" s="1997"/>
      <c r="GR51" s="1997"/>
      <c r="GS51" s="1997"/>
      <c r="GT51" s="1997"/>
      <c r="GU51" s="1997"/>
      <c r="GV51" s="1997"/>
      <c r="GW51" s="1997"/>
      <c r="GX51" s="1997"/>
      <c r="GY51" s="1997"/>
      <c r="GZ51" s="1997"/>
      <c r="HA51" s="1997"/>
      <c r="HB51" s="1997"/>
      <c r="HC51" s="1997"/>
      <c r="HD51" s="1997"/>
      <c r="HE51" s="1997"/>
      <c r="HF51" s="1997"/>
      <c r="HG51" s="1997"/>
      <c r="HH51" s="1997"/>
      <c r="HI51" s="1997"/>
      <c r="HJ51" s="1997"/>
      <c r="HK51" s="1997"/>
      <c r="HL51" s="1997"/>
      <c r="HM51" s="1997"/>
      <c r="HN51" s="1997"/>
      <c r="HO51" s="1997"/>
      <c r="HP51" s="1997"/>
      <c r="HQ51" s="1997"/>
      <c r="HR51" s="1997"/>
      <c r="HS51" s="1997"/>
      <c r="HT51" s="1997"/>
      <c r="HU51" s="1997"/>
      <c r="HV51" s="1997"/>
      <c r="HW51" s="1997"/>
      <c r="HX51" s="1997"/>
      <c r="HY51" s="1997"/>
      <c r="HZ51" s="1997"/>
      <c r="IA51" s="1997"/>
      <c r="IB51" s="1997"/>
      <c r="IC51" s="1997"/>
      <c r="ID51" s="1997"/>
      <c r="IE51" s="1997"/>
      <c r="IF51" s="1997"/>
      <c r="IG51" s="1997"/>
      <c r="IH51" s="1997"/>
      <c r="II51" s="1997"/>
      <c r="IJ51" s="1997"/>
      <c r="IK51" s="1997"/>
      <c r="IL51" s="1997"/>
      <c r="IM51" s="1997"/>
      <c r="IN51" s="1997"/>
      <c r="IO51" s="1997"/>
      <c r="IP51" s="1997"/>
      <c r="IQ51" s="1997"/>
    </row>
    <row r="52" spans="1:251" hidden="1">
      <c r="A52" s="1993"/>
      <c r="B52" s="1998"/>
      <c r="C52" s="1998"/>
      <c r="D52" s="2034"/>
      <c r="E52" s="1998"/>
      <c r="F52" s="1940">
        <f t="shared" si="14"/>
        <v>0</v>
      </c>
      <c r="G52" s="1993"/>
      <c r="H52" s="1940">
        <f t="shared" si="23"/>
        <v>0</v>
      </c>
      <c r="I52" s="1993"/>
      <c r="J52" s="1940">
        <f t="shared" si="5"/>
        <v>0</v>
      </c>
      <c r="K52" s="1993"/>
      <c r="L52" s="1940">
        <f t="shared" si="24"/>
        <v>0</v>
      </c>
      <c r="M52" s="1940">
        <f t="shared" si="25"/>
        <v>0</v>
      </c>
      <c r="N52" s="1940">
        <f t="shared" si="26"/>
        <v>0</v>
      </c>
      <c r="O52" s="1993"/>
      <c r="P52" s="1993"/>
      <c r="Q52" s="1940">
        <f t="shared" si="27"/>
        <v>0</v>
      </c>
      <c r="R52" s="1940">
        <f t="shared" si="9"/>
        <v>0</v>
      </c>
      <c r="S52" s="1940">
        <f t="shared" si="28"/>
        <v>0</v>
      </c>
      <c r="T52" s="1940">
        <f t="shared" si="29"/>
        <v>0</v>
      </c>
      <c r="U52" s="1940">
        <f t="shared" si="30"/>
        <v>0</v>
      </c>
      <c r="V52" s="1997"/>
      <c r="W52" s="1997"/>
      <c r="X52" s="1997"/>
      <c r="Y52" s="1997"/>
      <c r="Z52" s="1997"/>
      <c r="AA52" s="1997"/>
      <c r="AB52" s="1997"/>
      <c r="AC52" s="1997"/>
      <c r="AD52" s="1997"/>
      <c r="AE52" s="1997"/>
      <c r="AF52" s="1997"/>
      <c r="AG52" s="1997"/>
      <c r="AH52" s="1997"/>
      <c r="AI52" s="1997"/>
      <c r="AJ52" s="1997"/>
      <c r="AK52" s="1997"/>
      <c r="AL52" s="1997"/>
      <c r="AM52" s="1997"/>
      <c r="AN52" s="1997"/>
      <c r="AO52" s="1997"/>
      <c r="AP52" s="1997"/>
      <c r="AQ52" s="1997"/>
      <c r="AR52" s="1997"/>
      <c r="AS52" s="1997"/>
      <c r="AT52" s="1997"/>
      <c r="AU52" s="1997"/>
      <c r="AV52" s="1997"/>
      <c r="AW52" s="1997"/>
      <c r="AX52" s="1997"/>
      <c r="AY52" s="1997"/>
      <c r="AZ52" s="1997"/>
      <c r="BA52" s="1997"/>
      <c r="BB52" s="1997"/>
      <c r="BC52" s="1997"/>
      <c r="BD52" s="1997"/>
      <c r="BE52" s="1997"/>
      <c r="BF52" s="1997"/>
      <c r="BG52" s="1997"/>
      <c r="BH52" s="1997"/>
      <c r="BI52" s="1997"/>
      <c r="BJ52" s="1997"/>
      <c r="BK52" s="1997"/>
      <c r="BL52" s="1997"/>
      <c r="BM52" s="1997"/>
      <c r="BN52" s="1997"/>
      <c r="BO52" s="1997"/>
      <c r="BP52" s="1997"/>
      <c r="BQ52" s="1997"/>
      <c r="BR52" s="1997"/>
      <c r="BS52" s="1997"/>
      <c r="BT52" s="1997"/>
      <c r="BU52" s="1997"/>
      <c r="BV52" s="1997"/>
      <c r="BW52" s="1997"/>
      <c r="BX52" s="1997"/>
      <c r="BY52" s="1997"/>
      <c r="BZ52" s="1997"/>
      <c r="CA52" s="1997"/>
      <c r="CB52" s="1997"/>
      <c r="CC52" s="1997"/>
      <c r="CD52" s="1997"/>
      <c r="CE52" s="1997"/>
      <c r="CF52" s="1997"/>
      <c r="CG52" s="1997"/>
      <c r="CH52" s="1997"/>
      <c r="CI52" s="1997"/>
      <c r="CJ52" s="1997"/>
      <c r="CK52" s="1997"/>
      <c r="CL52" s="1997"/>
      <c r="CM52" s="1997"/>
      <c r="CN52" s="1997"/>
      <c r="CO52" s="1997"/>
      <c r="CP52" s="1997"/>
      <c r="CQ52" s="1997"/>
      <c r="CR52" s="1997"/>
      <c r="CS52" s="1997"/>
      <c r="CT52" s="1997"/>
      <c r="CU52" s="1997"/>
      <c r="CV52" s="1997"/>
      <c r="CW52" s="1997"/>
      <c r="CX52" s="1997"/>
      <c r="CY52" s="1997"/>
      <c r="CZ52" s="1997"/>
      <c r="DA52" s="1997"/>
      <c r="DB52" s="1997"/>
      <c r="DC52" s="1997"/>
      <c r="DD52" s="1997"/>
      <c r="DE52" s="1997"/>
      <c r="DF52" s="1997"/>
      <c r="DG52" s="1997"/>
      <c r="DH52" s="1997"/>
      <c r="DI52" s="1997"/>
      <c r="DJ52" s="1997"/>
      <c r="DK52" s="1997"/>
      <c r="DL52" s="1997"/>
      <c r="DM52" s="1997"/>
      <c r="DN52" s="1997"/>
      <c r="DO52" s="1997"/>
      <c r="DP52" s="1997"/>
      <c r="DQ52" s="1997"/>
      <c r="DR52" s="1997"/>
      <c r="DS52" s="1997"/>
      <c r="DT52" s="1997"/>
      <c r="DU52" s="1997"/>
      <c r="DV52" s="1997"/>
      <c r="DW52" s="1997"/>
      <c r="DX52" s="1997"/>
      <c r="DY52" s="1997"/>
      <c r="DZ52" s="1997"/>
      <c r="EA52" s="1997"/>
      <c r="EB52" s="1997"/>
      <c r="EC52" s="1997"/>
      <c r="ED52" s="1997"/>
      <c r="EE52" s="1997"/>
      <c r="EF52" s="1997"/>
      <c r="EG52" s="1997"/>
      <c r="EH52" s="1997"/>
      <c r="EI52" s="1997"/>
      <c r="EJ52" s="1997"/>
      <c r="EK52" s="1997"/>
      <c r="EL52" s="1997"/>
      <c r="EM52" s="1997"/>
      <c r="EN52" s="1997"/>
      <c r="EO52" s="1997"/>
      <c r="EP52" s="1997"/>
      <c r="EQ52" s="1997"/>
      <c r="ER52" s="1997"/>
      <c r="ES52" s="1997"/>
      <c r="ET52" s="1997"/>
      <c r="EU52" s="1997"/>
      <c r="EV52" s="1997"/>
      <c r="EW52" s="1997"/>
      <c r="EX52" s="1997"/>
      <c r="EY52" s="1997"/>
      <c r="EZ52" s="1997"/>
      <c r="FA52" s="1997"/>
      <c r="FB52" s="1997"/>
      <c r="FC52" s="1997"/>
      <c r="FD52" s="1997"/>
      <c r="FE52" s="1997"/>
      <c r="FF52" s="1997"/>
      <c r="FG52" s="1997"/>
      <c r="FH52" s="1997"/>
      <c r="FI52" s="1997"/>
      <c r="FJ52" s="1997"/>
      <c r="FK52" s="1997"/>
      <c r="FL52" s="1997"/>
      <c r="FM52" s="1997"/>
      <c r="FN52" s="1997"/>
      <c r="FO52" s="1997"/>
      <c r="FP52" s="1997"/>
      <c r="FQ52" s="1997"/>
      <c r="FR52" s="1997"/>
      <c r="FS52" s="1997"/>
      <c r="FT52" s="1997"/>
      <c r="FU52" s="1997"/>
      <c r="FV52" s="1997"/>
      <c r="FW52" s="1997"/>
      <c r="FX52" s="1997"/>
      <c r="FY52" s="1997"/>
      <c r="FZ52" s="1997"/>
      <c r="GA52" s="1997"/>
      <c r="GB52" s="1997"/>
      <c r="GC52" s="1997"/>
      <c r="GD52" s="1997"/>
      <c r="GE52" s="1997"/>
      <c r="GF52" s="1997"/>
      <c r="GG52" s="1997"/>
      <c r="GH52" s="1997"/>
      <c r="GI52" s="1997"/>
      <c r="GJ52" s="1997"/>
      <c r="GK52" s="1997"/>
      <c r="GL52" s="1997"/>
      <c r="GM52" s="1997"/>
      <c r="GN52" s="1997"/>
      <c r="GO52" s="1997"/>
      <c r="GP52" s="1997"/>
      <c r="GQ52" s="1997"/>
      <c r="GR52" s="1997"/>
      <c r="GS52" s="1997"/>
      <c r="GT52" s="1997"/>
      <c r="GU52" s="1997"/>
      <c r="GV52" s="1997"/>
      <c r="GW52" s="1997"/>
      <c r="GX52" s="1997"/>
      <c r="GY52" s="1997"/>
      <c r="GZ52" s="1997"/>
      <c r="HA52" s="1997"/>
      <c r="HB52" s="1997"/>
      <c r="HC52" s="1997"/>
      <c r="HD52" s="1997"/>
      <c r="HE52" s="1997"/>
      <c r="HF52" s="1997"/>
      <c r="HG52" s="1997"/>
      <c r="HH52" s="1997"/>
      <c r="HI52" s="1997"/>
      <c r="HJ52" s="1997"/>
      <c r="HK52" s="1997"/>
      <c r="HL52" s="1997"/>
      <c r="HM52" s="1997"/>
      <c r="HN52" s="1997"/>
      <c r="HO52" s="1997"/>
      <c r="HP52" s="1997"/>
      <c r="HQ52" s="1997"/>
      <c r="HR52" s="1997"/>
      <c r="HS52" s="1997"/>
      <c r="HT52" s="1997"/>
      <c r="HU52" s="1997"/>
      <c r="HV52" s="1997"/>
      <c r="HW52" s="1997"/>
      <c r="HX52" s="1997"/>
      <c r="HY52" s="1997"/>
      <c r="HZ52" s="1997"/>
      <c r="IA52" s="1997"/>
      <c r="IB52" s="1997"/>
      <c r="IC52" s="1997"/>
      <c r="ID52" s="1997"/>
      <c r="IE52" s="1997"/>
      <c r="IF52" s="1997"/>
      <c r="IG52" s="1997"/>
      <c r="IH52" s="1997"/>
      <c r="II52" s="1997"/>
      <c r="IJ52" s="1997"/>
      <c r="IK52" s="1997"/>
      <c r="IL52" s="1997"/>
      <c r="IM52" s="1997"/>
      <c r="IN52" s="1997"/>
      <c r="IO52" s="1997"/>
      <c r="IP52" s="1997"/>
      <c r="IQ52" s="1997"/>
    </row>
    <row r="53" spans="1:251" hidden="1">
      <c r="A53" s="1993"/>
      <c r="B53" s="1998"/>
      <c r="C53" s="1998"/>
      <c r="D53" s="2034"/>
      <c r="E53" s="1998"/>
      <c r="F53" s="1940">
        <f t="shared" si="14"/>
        <v>0</v>
      </c>
      <c r="G53" s="1993"/>
      <c r="H53" s="1940">
        <f t="shared" si="23"/>
        <v>0</v>
      </c>
      <c r="I53" s="1993"/>
      <c r="J53" s="1940">
        <f t="shared" si="5"/>
        <v>0</v>
      </c>
      <c r="K53" s="1993"/>
      <c r="L53" s="1940">
        <f t="shared" si="24"/>
        <v>0</v>
      </c>
      <c r="M53" s="1940">
        <f t="shared" si="25"/>
        <v>0</v>
      </c>
      <c r="N53" s="1940">
        <f t="shared" si="26"/>
        <v>0</v>
      </c>
      <c r="O53" s="1993"/>
      <c r="P53" s="1993"/>
      <c r="Q53" s="1940">
        <f t="shared" si="27"/>
        <v>0</v>
      </c>
      <c r="R53" s="1940">
        <f t="shared" si="9"/>
        <v>0</v>
      </c>
      <c r="S53" s="1940">
        <f t="shared" si="28"/>
        <v>0</v>
      </c>
      <c r="T53" s="1940">
        <f t="shared" si="29"/>
        <v>0</v>
      </c>
      <c r="U53" s="1940">
        <f t="shared" si="30"/>
        <v>0</v>
      </c>
      <c r="V53" s="1997"/>
      <c r="W53" s="1997"/>
      <c r="X53" s="1997"/>
      <c r="Y53" s="1997"/>
      <c r="Z53" s="1997"/>
      <c r="AA53" s="1997"/>
      <c r="AB53" s="1997"/>
      <c r="AC53" s="1997"/>
      <c r="AD53" s="1997"/>
      <c r="AE53" s="1997"/>
      <c r="AF53" s="1997"/>
      <c r="AG53" s="1997"/>
      <c r="AH53" s="1997"/>
      <c r="AI53" s="1997"/>
      <c r="AJ53" s="1997"/>
      <c r="AK53" s="1997"/>
      <c r="AL53" s="1997"/>
      <c r="AM53" s="1997"/>
      <c r="AN53" s="1997"/>
      <c r="AO53" s="1997"/>
      <c r="AP53" s="1997"/>
      <c r="AQ53" s="1997"/>
      <c r="AR53" s="1997"/>
      <c r="AS53" s="1997"/>
      <c r="AT53" s="1997"/>
      <c r="AU53" s="1997"/>
      <c r="AV53" s="1997"/>
      <c r="AW53" s="1997"/>
      <c r="AX53" s="1997"/>
      <c r="AY53" s="1997"/>
      <c r="AZ53" s="1997"/>
      <c r="BA53" s="1997"/>
      <c r="BB53" s="1997"/>
      <c r="BC53" s="1997"/>
      <c r="BD53" s="1997"/>
      <c r="BE53" s="1997"/>
      <c r="BF53" s="1997"/>
      <c r="BG53" s="1997"/>
      <c r="BH53" s="1997"/>
      <c r="BI53" s="1997"/>
      <c r="BJ53" s="1997"/>
      <c r="BK53" s="1997"/>
      <c r="BL53" s="1997"/>
      <c r="BM53" s="1997"/>
      <c r="BN53" s="1997"/>
      <c r="BO53" s="1997"/>
      <c r="BP53" s="1997"/>
      <c r="BQ53" s="1997"/>
      <c r="BR53" s="1997"/>
      <c r="BS53" s="1997"/>
      <c r="BT53" s="1997"/>
      <c r="BU53" s="1997"/>
      <c r="BV53" s="1997"/>
      <c r="BW53" s="1997"/>
      <c r="BX53" s="1997"/>
      <c r="BY53" s="1997"/>
      <c r="BZ53" s="1997"/>
      <c r="CA53" s="1997"/>
      <c r="CB53" s="1997"/>
      <c r="CC53" s="1997"/>
      <c r="CD53" s="1997"/>
      <c r="CE53" s="1997"/>
      <c r="CF53" s="1997"/>
      <c r="CG53" s="1997"/>
      <c r="CH53" s="1997"/>
      <c r="CI53" s="1997"/>
      <c r="CJ53" s="1997"/>
      <c r="CK53" s="1997"/>
      <c r="CL53" s="1997"/>
      <c r="CM53" s="1997"/>
      <c r="CN53" s="1997"/>
      <c r="CO53" s="1997"/>
      <c r="CP53" s="1997"/>
      <c r="CQ53" s="1997"/>
      <c r="CR53" s="1997"/>
      <c r="CS53" s="1997"/>
      <c r="CT53" s="1997"/>
      <c r="CU53" s="1997"/>
      <c r="CV53" s="1997"/>
      <c r="CW53" s="1997"/>
      <c r="CX53" s="1997"/>
      <c r="CY53" s="1997"/>
      <c r="CZ53" s="1997"/>
      <c r="DA53" s="1997"/>
      <c r="DB53" s="1997"/>
      <c r="DC53" s="1997"/>
      <c r="DD53" s="1997"/>
      <c r="DE53" s="1997"/>
      <c r="DF53" s="1997"/>
      <c r="DG53" s="1997"/>
      <c r="DH53" s="1997"/>
      <c r="DI53" s="1997"/>
      <c r="DJ53" s="1997"/>
      <c r="DK53" s="1997"/>
      <c r="DL53" s="1997"/>
      <c r="DM53" s="1997"/>
      <c r="DN53" s="1997"/>
      <c r="DO53" s="1997"/>
      <c r="DP53" s="1997"/>
      <c r="DQ53" s="1997"/>
      <c r="DR53" s="1997"/>
      <c r="DS53" s="1997"/>
      <c r="DT53" s="1997"/>
      <c r="DU53" s="1997"/>
      <c r="DV53" s="1997"/>
      <c r="DW53" s="1997"/>
      <c r="DX53" s="1997"/>
      <c r="DY53" s="1997"/>
      <c r="DZ53" s="1997"/>
      <c r="EA53" s="1997"/>
      <c r="EB53" s="1997"/>
      <c r="EC53" s="1997"/>
      <c r="ED53" s="1997"/>
      <c r="EE53" s="1997"/>
      <c r="EF53" s="1997"/>
      <c r="EG53" s="1997"/>
      <c r="EH53" s="1997"/>
      <c r="EI53" s="1997"/>
      <c r="EJ53" s="1997"/>
      <c r="EK53" s="1997"/>
      <c r="EL53" s="1997"/>
      <c r="EM53" s="1997"/>
      <c r="EN53" s="1997"/>
      <c r="EO53" s="1997"/>
      <c r="EP53" s="1997"/>
      <c r="EQ53" s="1997"/>
      <c r="ER53" s="1997"/>
      <c r="ES53" s="1997"/>
      <c r="ET53" s="1997"/>
      <c r="EU53" s="1997"/>
      <c r="EV53" s="1997"/>
      <c r="EW53" s="1997"/>
      <c r="EX53" s="1997"/>
      <c r="EY53" s="1997"/>
      <c r="EZ53" s="1997"/>
      <c r="FA53" s="1997"/>
      <c r="FB53" s="1997"/>
      <c r="FC53" s="1997"/>
      <c r="FD53" s="1997"/>
      <c r="FE53" s="1997"/>
      <c r="FF53" s="1997"/>
      <c r="FG53" s="1997"/>
      <c r="FH53" s="1997"/>
      <c r="FI53" s="1997"/>
      <c r="FJ53" s="1997"/>
      <c r="FK53" s="1997"/>
      <c r="FL53" s="1997"/>
      <c r="FM53" s="1997"/>
      <c r="FN53" s="1997"/>
      <c r="FO53" s="1997"/>
      <c r="FP53" s="1997"/>
      <c r="FQ53" s="1997"/>
      <c r="FR53" s="1997"/>
      <c r="FS53" s="1997"/>
      <c r="FT53" s="1997"/>
      <c r="FU53" s="1997"/>
      <c r="FV53" s="1997"/>
      <c r="FW53" s="1997"/>
      <c r="FX53" s="1997"/>
      <c r="FY53" s="1997"/>
      <c r="FZ53" s="1997"/>
      <c r="GA53" s="1997"/>
      <c r="GB53" s="1997"/>
      <c r="GC53" s="1997"/>
      <c r="GD53" s="1997"/>
      <c r="GE53" s="1997"/>
      <c r="GF53" s="1997"/>
      <c r="GG53" s="1997"/>
      <c r="GH53" s="1997"/>
      <c r="GI53" s="1997"/>
      <c r="GJ53" s="1997"/>
      <c r="GK53" s="1997"/>
      <c r="GL53" s="1997"/>
      <c r="GM53" s="1997"/>
      <c r="GN53" s="1997"/>
      <c r="GO53" s="1997"/>
      <c r="GP53" s="1997"/>
      <c r="GQ53" s="1997"/>
      <c r="GR53" s="1997"/>
      <c r="GS53" s="1997"/>
      <c r="GT53" s="1997"/>
      <c r="GU53" s="1997"/>
      <c r="GV53" s="1997"/>
      <c r="GW53" s="1997"/>
      <c r="GX53" s="1997"/>
      <c r="GY53" s="1997"/>
      <c r="GZ53" s="1997"/>
      <c r="HA53" s="1997"/>
      <c r="HB53" s="1997"/>
      <c r="HC53" s="1997"/>
      <c r="HD53" s="1997"/>
      <c r="HE53" s="1997"/>
      <c r="HF53" s="1997"/>
      <c r="HG53" s="1997"/>
      <c r="HH53" s="1997"/>
      <c r="HI53" s="1997"/>
      <c r="HJ53" s="1997"/>
      <c r="HK53" s="1997"/>
      <c r="HL53" s="1997"/>
      <c r="HM53" s="1997"/>
      <c r="HN53" s="1997"/>
      <c r="HO53" s="1997"/>
      <c r="HP53" s="1997"/>
      <c r="HQ53" s="1997"/>
      <c r="HR53" s="1997"/>
      <c r="HS53" s="1997"/>
      <c r="HT53" s="1997"/>
      <c r="HU53" s="1997"/>
      <c r="HV53" s="1997"/>
      <c r="HW53" s="1997"/>
      <c r="HX53" s="1997"/>
      <c r="HY53" s="1997"/>
      <c r="HZ53" s="1997"/>
      <c r="IA53" s="1997"/>
      <c r="IB53" s="1997"/>
      <c r="IC53" s="1997"/>
      <c r="ID53" s="1997"/>
      <c r="IE53" s="1997"/>
      <c r="IF53" s="1997"/>
      <c r="IG53" s="1997"/>
      <c r="IH53" s="1997"/>
      <c r="II53" s="1997"/>
      <c r="IJ53" s="1997"/>
      <c r="IK53" s="1997"/>
      <c r="IL53" s="1997"/>
      <c r="IM53" s="1997"/>
      <c r="IN53" s="1997"/>
      <c r="IO53" s="1997"/>
      <c r="IP53" s="1997"/>
      <c r="IQ53" s="1997"/>
    </row>
    <row r="54" spans="1:251" hidden="1">
      <c r="A54" s="1993"/>
      <c r="B54" s="1998"/>
      <c r="C54" s="1998"/>
      <c r="D54" s="2034"/>
      <c r="E54" s="1998"/>
      <c r="F54" s="1940">
        <f t="shared" si="14"/>
        <v>0</v>
      </c>
      <c r="G54" s="1993"/>
      <c r="H54" s="1940">
        <f t="shared" si="23"/>
        <v>0</v>
      </c>
      <c r="I54" s="1993"/>
      <c r="J54" s="1940">
        <f t="shared" si="5"/>
        <v>0</v>
      </c>
      <c r="K54" s="1993"/>
      <c r="L54" s="1940">
        <f t="shared" si="24"/>
        <v>0</v>
      </c>
      <c r="M54" s="1940">
        <f t="shared" si="25"/>
        <v>0</v>
      </c>
      <c r="N54" s="1940">
        <f t="shared" si="26"/>
        <v>0</v>
      </c>
      <c r="O54" s="1993"/>
      <c r="P54" s="1993"/>
      <c r="Q54" s="1940">
        <f t="shared" si="27"/>
        <v>0</v>
      </c>
      <c r="R54" s="1940">
        <f t="shared" si="9"/>
        <v>0</v>
      </c>
      <c r="S54" s="1940">
        <f t="shared" si="28"/>
        <v>0</v>
      </c>
      <c r="T54" s="1940">
        <f t="shared" si="29"/>
        <v>0</v>
      </c>
      <c r="U54" s="1940">
        <f t="shared" si="30"/>
        <v>0</v>
      </c>
      <c r="V54" s="1997"/>
      <c r="W54" s="1997"/>
      <c r="X54" s="1997"/>
      <c r="Y54" s="1997"/>
      <c r="Z54" s="1997"/>
      <c r="AA54" s="1997"/>
      <c r="AB54" s="1997"/>
      <c r="AC54" s="1997"/>
      <c r="AD54" s="1997"/>
      <c r="AE54" s="1997"/>
      <c r="AF54" s="1997"/>
      <c r="AG54" s="1997"/>
      <c r="AH54" s="1997"/>
      <c r="AI54" s="1997"/>
      <c r="AJ54" s="1997"/>
      <c r="AK54" s="1997"/>
      <c r="AL54" s="1997"/>
      <c r="AM54" s="1997"/>
      <c r="AN54" s="1997"/>
      <c r="AO54" s="1997"/>
      <c r="AP54" s="1997"/>
      <c r="AQ54" s="1997"/>
      <c r="AR54" s="1997"/>
      <c r="AS54" s="1997"/>
      <c r="AT54" s="1997"/>
      <c r="AU54" s="1997"/>
      <c r="AV54" s="1997"/>
      <c r="AW54" s="1997"/>
      <c r="AX54" s="1997"/>
      <c r="AY54" s="1997"/>
      <c r="AZ54" s="1997"/>
      <c r="BA54" s="1997"/>
      <c r="BB54" s="1997"/>
      <c r="BC54" s="1997"/>
      <c r="BD54" s="1997"/>
      <c r="BE54" s="1997"/>
      <c r="BF54" s="1997"/>
      <c r="BG54" s="1997"/>
      <c r="BH54" s="1997"/>
      <c r="BI54" s="1997"/>
      <c r="BJ54" s="1997"/>
      <c r="BK54" s="1997"/>
      <c r="BL54" s="1997"/>
      <c r="BM54" s="1997"/>
      <c r="BN54" s="1997"/>
      <c r="BO54" s="1997"/>
      <c r="BP54" s="1997"/>
      <c r="BQ54" s="1997"/>
      <c r="BR54" s="1997"/>
      <c r="BS54" s="1997"/>
      <c r="BT54" s="1997"/>
      <c r="BU54" s="1997"/>
      <c r="BV54" s="1997"/>
      <c r="BW54" s="1997"/>
      <c r="BX54" s="1997"/>
      <c r="BY54" s="1997"/>
      <c r="BZ54" s="1997"/>
      <c r="CA54" s="1997"/>
      <c r="CB54" s="1997"/>
      <c r="CC54" s="1997"/>
      <c r="CD54" s="1997"/>
      <c r="CE54" s="1997"/>
      <c r="CF54" s="1997"/>
      <c r="CG54" s="1997"/>
      <c r="CH54" s="1997"/>
      <c r="CI54" s="1997"/>
      <c r="CJ54" s="1997"/>
      <c r="CK54" s="1997"/>
      <c r="CL54" s="1997"/>
      <c r="CM54" s="1997"/>
      <c r="CN54" s="1997"/>
      <c r="CO54" s="1997"/>
      <c r="CP54" s="1997"/>
      <c r="CQ54" s="1997"/>
      <c r="CR54" s="1997"/>
      <c r="CS54" s="1997"/>
      <c r="CT54" s="1997"/>
      <c r="CU54" s="1997"/>
      <c r="CV54" s="1997"/>
      <c r="CW54" s="1997"/>
      <c r="CX54" s="1997"/>
      <c r="CY54" s="1997"/>
      <c r="CZ54" s="1997"/>
      <c r="DA54" s="1997"/>
      <c r="DB54" s="1997"/>
      <c r="DC54" s="1997"/>
      <c r="DD54" s="1997"/>
      <c r="DE54" s="1997"/>
      <c r="DF54" s="1997"/>
      <c r="DG54" s="1997"/>
      <c r="DH54" s="1997"/>
      <c r="DI54" s="1997"/>
      <c r="DJ54" s="1997"/>
      <c r="DK54" s="1997"/>
      <c r="DL54" s="1997"/>
      <c r="DM54" s="1997"/>
      <c r="DN54" s="1997"/>
      <c r="DO54" s="1997"/>
      <c r="DP54" s="1997"/>
      <c r="DQ54" s="1997"/>
      <c r="DR54" s="1997"/>
      <c r="DS54" s="1997"/>
      <c r="DT54" s="1997"/>
      <c r="DU54" s="1997"/>
      <c r="DV54" s="1997"/>
      <c r="DW54" s="1997"/>
      <c r="DX54" s="1997"/>
      <c r="DY54" s="1997"/>
      <c r="DZ54" s="1997"/>
      <c r="EA54" s="1997"/>
      <c r="EB54" s="1997"/>
      <c r="EC54" s="1997"/>
      <c r="ED54" s="1997"/>
      <c r="EE54" s="1997"/>
      <c r="EF54" s="1997"/>
      <c r="EG54" s="1997"/>
      <c r="EH54" s="1997"/>
      <c r="EI54" s="1997"/>
      <c r="EJ54" s="1997"/>
      <c r="EK54" s="1997"/>
      <c r="EL54" s="1997"/>
      <c r="EM54" s="1997"/>
      <c r="EN54" s="1997"/>
      <c r="EO54" s="1997"/>
      <c r="EP54" s="1997"/>
      <c r="EQ54" s="1997"/>
      <c r="ER54" s="1997"/>
      <c r="ES54" s="1997"/>
      <c r="ET54" s="1997"/>
      <c r="EU54" s="1997"/>
      <c r="EV54" s="1997"/>
      <c r="EW54" s="1997"/>
      <c r="EX54" s="1997"/>
      <c r="EY54" s="1997"/>
      <c r="EZ54" s="1997"/>
      <c r="FA54" s="1997"/>
      <c r="FB54" s="1997"/>
      <c r="FC54" s="1997"/>
      <c r="FD54" s="1997"/>
      <c r="FE54" s="1997"/>
      <c r="FF54" s="1997"/>
      <c r="FG54" s="1997"/>
      <c r="FH54" s="1997"/>
      <c r="FI54" s="1997"/>
      <c r="FJ54" s="1997"/>
      <c r="FK54" s="1997"/>
      <c r="FL54" s="1997"/>
      <c r="FM54" s="1997"/>
      <c r="FN54" s="1997"/>
      <c r="FO54" s="1997"/>
      <c r="FP54" s="1997"/>
      <c r="FQ54" s="1997"/>
      <c r="FR54" s="1997"/>
      <c r="FS54" s="1997"/>
      <c r="FT54" s="1997"/>
      <c r="FU54" s="1997"/>
      <c r="FV54" s="1997"/>
      <c r="FW54" s="1997"/>
      <c r="FX54" s="1997"/>
      <c r="FY54" s="1997"/>
      <c r="FZ54" s="1997"/>
      <c r="GA54" s="1997"/>
      <c r="GB54" s="1997"/>
      <c r="GC54" s="1997"/>
      <c r="GD54" s="1997"/>
      <c r="GE54" s="1997"/>
      <c r="GF54" s="1997"/>
      <c r="GG54" s="1997"/>
      <c r="GH54" s="1997"/>
      <c r="GI54" s="1997"/>
      <c r="GJ54" s="1997"/>
      <c r="GK54" s="1997"/>
      <c r="GL54" s="1997"/>
      <c r="GM54" s="1997"/>
      <c r="GN54" s="1997"/>
      <c r="GO54" s="1997"/>
      <c r="GP54" s="1997"/>
      <c r="GQ54" s="1997"/>
      <c r="GR54" s="1997"/>
      <c r="GS54" s="1997"/>
      <c r="GT54" s="1997"/>
      <c r="GU54" s="1997"/>
      <c r="GV54" s="1997"/>
      <c r="GW54" s="1997"/>
      <c r="GX54" s="1997"/>
      <c r="GY54" s="1997"/>
      <c r="GZ54" s="1997"/>
      <c r="HA54" s="1997"/>
      <c r="HB54" s="1997"/>
      <c r="HC54" s="1997"/>
      <c r="HD54" s="1997"/>
      <c r="HE54" s="1997"/>
      <c r="HF54" s="1997"/>
      <c r="HG54" s="1997"/>
      <c r="HH54" s="1997"/>
      <c r="HI54" s="1997"/>
      <c r="HJ54" s="1997"/>
      <c r="HK54" s="1997"/>
      <c r="HL54" s="1997"/>
      <c r="HM54" s="1997"/>
      <c r="HN54" s="1997"/>
      <c r="HO54" s="1997"/>
      <c r="HP54" s="1997"/>
      <c r="HQ54" s="1997"/>
      <c r="HR54" s="1997"/>
      <c r="HS54" s="1997"/>
      <c r="HT54" s="1997"/>
      <c r="HU54" s="1997"/>
      <c r="HV54" s="1997"/>
      <c r="HW54" s="1997"/>
      <c r="HX54" s="1997"/>
      <c r="HY54" s="1997"/>
      <c r="HZ54" s="1997"/>
      <c r="IA54" s="1997"/>
      <c r="IB54" s="1997"/>
      <c r="IC54" s="1997"/>
      <c r="ID54" s="1997"/>
      <c r="IE54" s="1997"/>
      <c r="IF54" s="1997"/>
      <c r="IG54" s="1997"/>
      <c r="IH54" s="1997"/>
      <c r="II54" s="1997"/>
      <c r="IJ54" s="1997"/>
      <c r="IK54" s="1997"/>
      <c r="IL54" s="1997"/>
      <c r="IM54" s="1997"/>
      <c r="IN54" s="1997"/>
      <c r="IO54" s="1997"/>
      <c r="IP54" s="1997"/>
      <c r="IQ54" s="1997"/>
    </row>
    <row r="55" spans="1:251" hidden="1">
      <c r="A55" s="1993"/>
      <c r="B55" s="1998"/>
      <c r="C55" s="1998"/>
      <c r="D55" s="2034"/>
      <c r="E55" s="1998"/>
      <c r="F55" s="1940">
        <f t="shared" si="14"/>
        <v>0</v>
      </c>
      <c r="G55" s="1993"/>
      <c r="H55" s="1940">
        <f t="shared" si="23"/>
        <v>0</v>
      </c>
      <c r="I55" s="1993"/>
      <c r="J55" s="1940">
        <f t="shared" si="5"/>
        <v>0</v>
      </c>
      <c r="K55" s="1993"/>
      <c r="L55" s="1940">
        <f t="shared" si="24"/>
        <v>0</v>
      </c>
      <c r="M55" s="1940">
        <f t="shared" si="25"/>
        <v>0</v>
      </c>
      <c r="N55" s="1940">
        <f t="shared" si="26"/>
        <v>0</v>
      </c>
      <c r="O55" s="1993"/>
      <c r="P55" s="1993"/>
      <c r="Q55" s="1940">
        <f t="shared" si="27"/>
        <v>0</v>
      </c>
      <c r="R55" s="1940">
        <f t="shared" si="9"/>
        <v>0</v>
      </c>
      <c r="S55" s="1940">
        <f t="shared" si="28"/>
        <v>0</v>
      </c>
      <c r="T55" s="1940">
        <f t="shared" si="29"/>
        <v>0</v>
      </c>
      <c r="U55" s="1940">
        <f t="shared" si="30"/>
        <v>0</v>
      </c>
      <c r="V55" s="1997"/>
      <c r="W55" s="1997"/>
      <c r="X55" s="1997"/>
      <c r="Y55" s="1997"/>
      <c r="Z55" s="1997"/>
      <c r="AA55" s="1997"/>
      <c r="AB55" s="1997"/>
      <c r="AC55" s="1997"/>
      <c r="AD55" s="1997"/>
      <c r="AE55" s="1997"/>
      <c r="AF55" s="1997"/>
      <c r="AG55" s="1997"/>
      <c r="AH55" s="1997"/>
      <c r="AI55" s="1997"/>
      <c r="AJ55" s="1997"/>
      <c r="AK55" s="1997"/>
      <c r="AL55" s="1997"/>
      <c r="AM55" s="1997"/>
      <c r="AN55" s="1997"/>
      <c r="AO55" s="1997"/>
      <c r="AP55" s="1997"/>
      <c r="AQ55" s="1997"/>
      <c r="AR55" s="1997"/>
      <c r="AS55" s="1997"/>
      <c r="AT55" s="1997"/>
      <c r="AU55" s="1997"/>
      <c r="AV55" s="1997"/>
      <c r="AW55" s="1997"/>
      <c r="AX55" s="1997"/>
      <c r="AY55" s="1997"/>
      <c r="AZ55" s="1997"/>
      <c r="BA55" s="1997"/>
      <c r="BB55" s="1997"/>
      <c r="BC55" s="1997"/>
      <c r="BD55" s="1997"/>
      <c r="BE55" s="1997"/>
      <c r="BF55" s="1997"/>
      <c r="BG55" s="1997"/>
      <c r="BH55" s="1997"/>
      <c r="BI55" s="1997"/>
      <c r="BJ55" s="1997"/>
      <c r="BK55" s="1997"/>
      <c r="BL55" s="1997"/>
      <c r="BM55" s="1997"/>
      <c r="BN55" s="1997"/>
      <c r="BO55" s="1997"/>
      <c r="BP55" s="1997"/>
      <c r="BQ55" s="1997"/>
      <c r="BR55" s="1997"/>
      <c r="BS55" s="1997"/>
      <c r="BT55" s="1997"/>
      <c r="BU55" s="1997"/>
      <c r="BV55" s="1997"/>
      <c r="BW55" s="1997"/>
      <c r="BX55" s="1997"/>
      <c r="BY55" s="1997"/>
      <c r="BZ55" s="1997"/>
      <c r="CA55" s="1997"/>
      <c r="CB55" s="1997"/>
      <c r="CC55" s="1997"/>
      <c r="CD55" s="1997"/>
      <c r="CE55" s="1997"/>
      <c r="CF55" s="1997"/>
      <c r="CG55" s="1997"/>
      <c r="CH55" s="1997"/>
      <c r="CI55" s="1997"/>
      <c r="CJ55" s="1997"/>
      <c r="CK55" s="1997"/>
      <c r="CL55" s="1997"/>
      <c r="CM55" s="1997"/>
      <c r="CN55" s="1997"/>
      <c r="CO55" s="1997"/>
      <c r="CP55" s="1997"/>
      <c r="CQ55" s="1997"/>
      <c r="CR55" s="1997"/>
      <c r="CS55" s="1997"/>
      <c r="CT55" s="1997"/>
      <c r="CU55" s="1997"/>
      <c r="CV55" s="1997"/>
      <c r="CW55" s="1997"/>
      <c r="CX55" s="1997"/>
      <c r="CY55" s="1997"/>
      <c r="CZ55" s="1997"/>
      <c r="DA55" s="1997"/>
      <c r="DB55" s="1997"/>
      <c r="DC55" s="1997"/>
      <c r="DD55" s="1997"/>
      <c r="DE55" s="1997"/>
      <c r="DF55" s="1997"/>
      <c r="DG55" s="1997"/>
      <c r="DH55" s="1997"/>
      <c r="DI55" s="1997"/>
      <c r="DJ55" s="1997"/>
      <c r="DK55" s="1997"/>
      <c r="DL55" s="1997"/>
      <c r="DM55" s="1997"/>
      <c r="DN55" s="1997"/>
      <c r="DO55" s="1997"/>
      <c r="DP55" s="1997"/>
      <c r="DQ55" s="1997"/>
      <c r="DR55" s="1997"/>
      <c r="DS55" s="1997"/>
      <c r="DT55" s="1997"/>
      <c r="DU55" s="1997"/>
      <c r="DV55" s="1997"/>
      <c r="DW55" s="1997"/>
      <c r="DX55" s="1997"/>
      <c r="DY55" s="1997"/>
      <c r="DZ55" s="1997"/>
      <c r="EA55" s="1997"/>
      <c r="EB55" s="1997"/>
      <c r="EC55" s="1997"/>
      <c r="ED55" s="1997"/>
      <c r="EE55" s="1997"/>
      <c r="EF55" s="1997"/>
      <c r="EG55" s="1997"/>
      <c r="EH55" s="1997"/>
      <c r="EI55" s="1997"/>
      <c r="EJ55" s="1997"/>
      <c r="EK55" s="1997"/>
      <c r="EL55" s="1997"/>
      <c r="EM55" s="1997"/>
      <c r="EN55" s="1997"/>
      <c r="EO55" s="1997"/>
      <c r="EP55" s="1997"/>
      <c r="EQ55" s="1997"/>
      <c r="ER55" s="1997"/>
      <c r="ES55" s="1997"/>
      <c r="ET55" s="1997"/>
      <c r="EU55" s="1997"/>
      <c r="EV55" s="1997"/>
      <c r="EW55" s="1997"/>
      <c r="EX55" s="1997"/>
      <c r="EY55" s="1997"/>
      <c r="EZ55" s="1997"/>
      <c r="FA55" s="1997"/>
      <c r="FB55" s="1997"/>
      <c r="FC55" s="1997"/>
      <c r="FD55" s="1997"/>
      <c r="FE55" s="1997"/>
      <c r="FF55" s="1997"/>
      <c r="FG55" s="1997"/>
      <c r="FH55" s="1997"/>
      <c r="FI55" s="1997"/>
      <c r="FJ55" s="1997"/>
      <c r="FK55" s="1997"/>
      <c r="FL55" s="1997"/>
      <c r="FM55" s="1997"/>
      <c r="FN55" s="1997"/>
      <c r="FO55" s="1997"/>
      <c r="FP55" s="1997"/>
      <c r="FQ55" s="1997"/>
      <c r="FR55" s="1997"/>
      <c r="FS55" s="1997"/>
      <c r="FT55" s="1997"/>
      <c r="FU55" s="1997"/>
      <c r="FV55" s="1997"/>
      <c r="FW55" s="1997"/>
      <c r="FX55" s="1997"/>
      <c r="FY55" s="1997"/>
      <c r="FZ55" s="1997"/>
      <c r="GA55" s="1997"/>
      <c r="GB55" s="1997"/>
      <c r="GC55" s="1997"/>
      <c r="GD55" s="1997"/>
      <c r="GE55" s="1997"/>
      <c r="GF55" s="1997"/>
      <c r="GG55" s="1997"/>
      <c r="GH55" s="1997"/>
      <c r="GI55" s="1997"/>
      <c r="GJ55" s="1997"/>
      <c r="GK55" s="1997"/>
      <c r="GL55" s="1997"/>
      <c r="GM55" s="1997"/>
      <c r="GN55" s="1997"/>
      <c r="GO55" s="1997"/>
      <c r="GP55" s="1997"/>
      <c r="GQ55" s="1997"/>
      <c r="GR55" s="1997"/>
      <c r="GS55" s="1997"/>
      <c r="GT55" s="1997"/>
      <c r="GU55" s="1997"/>
      <c r="GV55" s="1997"/>
      <c r="GW55" s="1997"/>
      <c r="GX55" s="1997"/>
      <c r="GY55" s="1997"/>
      <c r="GZ55" s="1997"/>
      <c r="HA55" s="1997"/>
      <c r="HB55" s="1997"/>
      <c r="HC55" s="1997"/>
      <c r="HD55" s="1997"/>
      <c r="HE55" s="1997"/>
      <c r="HF55" s="1997"/>
      <c r="HG55" s="1997"/>
      <c r="HH55" s="1997"/>
      <c r="HI55" s="1997"/>
      <c r="HJ55" s="1997"/>
      <c r="HK55" s="1997"/>
      <c r="HL55" s="1997"/>
      <c r="HM55" s="1997"/>
      <c r="HN55" s="1997"/>
      <c r="HO55" s="1997"/>
      <c r="HP55" s="1997"/>
      <c r="HQ55" s="1997"/>
      <c r="HR55" s="1997"/>
      <c r="HS55" s="1997"/>
      <c r="HT55" s="1997"/>
      <c r="HU55" s="1997"/>
      <c r="HV55" s="1997"/>
      <c r="HW55" s="1997"/>
      <c r="HX55" s="1997"/>
      <c r="HY55" s="1997"/>
      <c r="HZ55" s="1997"/>
      <c r="IA55" s="1997"/>
      <c r="IB55" s="1997"/>
      <c r="IC55" s="1997"/>
      <c r="ID55" s="1997"/>
      <c r="IE55" s="1997"/>
      <c r="IF55" s="1997"/>
      <c r="IG55" s="1997"/>
      <c r="IH55" s="1997"/>
      <c r="II55" s="1997"/>
      <c r="IJ55" s="1997"/>
      <c r="IK55" s="1997"/>
      <c r="IL55" s="1997"/>
      <c r="IM55" s="1997"/>
      <c r="IN55" s="1997"/>
      <c r="IO55" s="1997"/>
      <c r="IP55" s="1997"/>
      <c r="IQ55" s="1997"/>
    </row>
    <row r="56" spans="1:251" hidden="1">
      <c r="A56" s="1993"/>
      <c r="B56" s="1998"/>
      <c r="C56" s="1998"/>
      <c r="D56" s="2034"/>
      <c r="E56" s="1998"/>
      <c r="F56" s="1940">
        <f t="shared" si="14"/>
        <v>0</v>
      </c>
      <c r="G56" s="1993"/>
      <c r="H56" s="1940">
        <f t="shared" si="23"/>
        <v>0</v>
      </c>
      <c r="I56" s="1993"/>
      <c r="J56" s="1940">
        <f t="shared" si="5"/>
        <v>0</v>
      </c>
      <c r="K56" s="1993"/>
      <c r="L56" s="1940">
        <f t="shared" si="24"/>
        <v>0</v>
      </c>
      <c r="M56" s="1940">
        <f t="shared" si="25"/>
        <v>0</v>
      </c>
      <c r="N56" s="1940">
        <f t="shared" si="26"/>
        <v>0</v>
      </c>
      <c r="O56" s="1993"/>
      <c r="P56" s="1993"/>
      <c r="Q56" s="1940">
        <f t="shared" si="27"/>
        <v>0</v>
      </c>
      <c r="R56" s="1940">
        <f t="shared" si="9"/>
        <v>0</v>
      </c>
      <c r="S56" s="1940">
        <f t="shared" si="28"/>
        <v>0</v>
      </c>
      <c r="T56" s="1940">
        <f t="shared" si="29"/>
        <v>0</v>
      </c>
      <c r="U56" s="1940">
        <f t="shared" si="30"/>
        <v>0</v>
      </c>
      <c r="V56" s="1997"/>
      <c r="W56" s="1997"/>
      <c r="X56" s="1997"/>
      <c r="Y56" s="1997"/>
      <c r="Z56" s="1997"/>
      <c r="AA56" s="1997"/>
      <c r="AB56" s="1997"/>
      <c r="AC56" s="1997"/>
      <c r="AD56" s="1997"/>
      <c r="AE56" s="1997"/>
      <c r="AF56" s="1997"/>
      <c r="AG56" s="1997"/>
      <c r="AH56" s="1997"/>
      <c r="AI56" s="1997"/>
      <c r="AJ56" s="1997"/>
      <c r="AK56" s="1997"/>
      <c r="AL56" s="1997"/>
      <c r="AM56" s="1997"/>
      <c r="AN56" s="1997"/>
      <c r="AO56" s="1997"/>
      <c r="AP56" s="1997"/>
      <c r="AQ56" s="1997"/>
      <c r="AR56" s="1997"/>
      <c r="AS56" s="1997"/>
      <c r="AT56" s="1997"/>
      <c r="AU56" s="1997"/>
      <c r="AV56" s="1997"/>
      <c r="AW56" s="1997"/>
      <c r="AX56" s="1997"/>
      <c r="AY56" s="1997"/>
      <c r="AZ56" s="1997"/>
      <c r="BA56" s="1997"/>
      <c r="BB56" s="1997"/>
      <c r="BC56" s="1997"/>
      <c r="BD56" s="1997"/>
      <c r="BE56" s="1997"/>
      <c r="BF56" s="1997"/>
      <c r="BG56" s="1997"/>
      <c r="BH56" s="1997"/>
      <c r="BI56" s="1997"/>
      <c r="BJ56" s="1997"/>
      <c r="BK56" s="1997"/>
      <c r="BL56" s="1997"/>
      <c r="BM56" s="1997"/>
      <c r="BN56" s="1997"/>
      <c r="BO56" s="1997"/>
      <c r="BP56" s="1997"/>
      <c r="BQ56" s="1997"/>
      <c r="BR56" s="1997"/>
      <c r="BS56" s="1997"/>
      <c r="BT56" s="1997"/>
      <c r="BU56" s="1997"/>
      <c r="BV56" s="1997"/>
      <c r="BW56" s="1997"/>
      <c r="BX56" s="1997"/>
      <c r="BY56" s="1997"/>
      <c r="BZ56" s="1997"/>
      <c r="CA56" s="1997"/>
      <c r="CB56" s="1997"/>
      <c r="CC56" s="1997"/>
      <c r="CD56" s="1997"/>
      <c r="CE56" s="1997"/>
      <c r="CF56" s="1997"/>
      <c r="CG56" s="1997"/>
      <c r="CH56" s="1997"/>
      <c r="CI56" s="1997"/>
      <c r="CJ56" s="1997"/>
      <c r="CK56" s="1997"/>
      <c r="CL56" s="1997"/>
      <c r="CM56" s="1997"/>
      <c r="CN56" s="1997"/>
      <c r="CO56" s="1997"/>
      <c r="CP56" s="1997"/>
      <c r="CQ56" s="1997"/>
      <c r="CR56" s="1997"/>
      <c r="CS56" s="1997"/>
      <c r="CT56" s="1997"/>
      <c r="CU56" s="1997"/>
      <c r="CV56" s="1997"/>
      <c r="CW56" s="1997"/>
      <c r="CX56" s="1997"/>
      <c r="CY56" s="1997"/>
      <c r="CZ56" s="1997"/>
      <c r="DA56" s="1997"/>
      <c r="DB56" s="1997"/>
      <c r="DC56" s="1997"/>
      <c r="DD56" s="1997"/>
      <c r="DE56" s="1997"/>
      <c r="DF56" s="1997"/>
      <c r="DG56" s="1997"/>
      <c r="DH56" s="1997"/>
      <c r="DI56" s="1997"/>
      <c r="DJ56" s="1997"/>
      <c r="DK56" s="1997"/>
      <c r="DL56" s="1997"/>
      <c r="DM56" s="1997"/>
      <c r="DN56" s="1997"/>
      <c r="DO56" s="1997"/>
      <c r="DP56" s="1997"/>
      <c r="DQ56" s="1997"/>
      <c r="DR56" s="1997"/>
      <c r="DS56" s="1997"/>
      <c r="DT56" s="1997"/>
      <c r="DU56" s="1997"/>
      <c r="DV56" s="1997"/>
      <c r="DW56" s="1997"/>
      <c r="DX56" s="1997"/>
      <c r="DY56" s="1997"/>
      <c r="DZ56" s="1997"/>
      <c r="EA56" s="1997"/>
      <c r="EB56" s="1997"/>
      <c r="EC56" s="1997"/>
      <c r="ED56" s="1997"/>
      <c r="EE56" s="1997"/>
      <c r="EF56" s="1997"/>
      <c r="EG56" s="1997"/>
      <c r="EH56" s="1997"/>
      <c r="EI56" s="1997"/>
      <c r="EJ56" s="1997"/>
      <c r="EK56" s="1997"/>
      <c r="EL56" s="1997"/>
      <c r="EM56" s="1997"/>
      <c r="EN56" s="1997"/>
      <c r="EO56" s="1997"/>
      <c r="EP56" s="1997"/>
      <c r="EQ56" s="1997"/>
      <c r="ER56" s="1997"/>
      <c r="ES56" s="1997"/>
      <c r="ET56" s="1997"/>
      <c r="EU56" s="1997"/>
      <c r="EV56" s="1997"/>
      <c r="EW56" s="1997"/>
      <c r="EX56" s="1997"/>
      <c r="EY56" s="1997"/>
      <c r="EZ56" s="1997"/>
      <c r="FA56" s="1997"/>
      <c r="FB56" s="1997"/>
      <c r="FC56" s="1997"/>
      <c r="FD56" s="1997"/>
      <c r="FE56" s="1997"/>
      <c r="FF56" s="1997"/>
      <c r="FG56" s="1997"/>
      <c r="FH56" s="1997"/>
      <c r="FI56" s="1997"/>
      <c r="FJ56" s="1997"/>
      <c r="FK56" s="1997"/>
      <c r="FL56" s="1997"/>
      <c r="FM56" s="1997"/>
      <c r="FN56" s="1997"/>
      <c r="FO56" s="1997"/>
      <c r="FP56" s="1997"/>
      <c r="FQ56" s="1997"/>
      <c r="FR56" s="1997"/>
      <c r="FS56" s="1997"/>
      <c r="FT56" s="1997"/>
      <c r="FU56" s="1997"/>
      <c r="FV56" s="1997"/>
      <c r="FW56" s="1997"/>
      <c r="FX56" s="1997"/>
      <c r="FY56" s="1997"/>
      <c r="FZ56" s="1997"/>
      <c r="GA56" s="1997"/>
      <c r="GB56" s="1997"/>
      <c r="GC56" s="1997"/>
      <c r="GD56" s="1997"/>
      <c r="GE56" s="1997"/>
      <c r="GF56" s="1997"/>
      <c r="GG56" s="1997"/>
      <c r="GH56" s="1997"/>
      <c r="GI56" s="1997"/>
      <c r="GJ56" s="1997"/>
      <c r="GK56" s="1997"/>
      <c r="GL56" s="1997"/>
      <c r="GM56" s="1997"/>
      <c r="GN56" s="1997"/>
      <c r="GO56" s="1997"/>
      <c r="GP56" s="1997"/>
      <c r="GQ56" s="1997"/>
      <c r="GR56" s="1997"/>
      <c r="GS56" s="1997"/>
      <c r="GT56" s="1997"/>
      <c r="GU56" s="1997"/>
      <c r="GV56" s="1997"/>
      <c r="GW56" s="1997"/>
      <c r="GX56" s="1997"/>
      <c r="GY56" s="1997"/>
      <c r="GZ56" s="1997"/>
      <c r="HA56" s="1997"/>
      <c r="HB56" s="1997"/>
      <c r="HC56" s="1997"/>
      <c r="HD56" s="1997"/>
      <c r="HE56" s="1997"/>
      <c r="HF56" s="1997"/>
      <c r="HG56" s="1997"/>
      <c r="HH56" s="1997"/>
      <c r="HI56" s="1997"/>
      <c r="HJ56" s="1997"/>
      <c r="HK56" s="1997"/>
      <c r="HL56" s="1997"/>
      <c r="HM56" s="1997"/>
      <c r="HN56" s="1997"/>
      <c r="HO56" s="1997"/>
      <c r="HP56" s="1997"/>
      <c r="HQ56" s="1997"/>
      <c r="HR56" s="1997"/>
      <c r="HS56" s="1997"/>
      <c r="HT56" s="1997"/>
      <c r="HU56" s="1997"/>
      <c r="HV56" s="1997"/>
      <c r="HW56" s="1997"/>
      <c r="HX56" s="1997"/>
      <c r="HY56" s="1997"/>
      <c r="HZ56" s="1997"/>
      <c r="IA56" s="1997"/>
      <c r="IB56" s="1997"/>
      <c r="IC56" s="1997"/>
      <c r="ID56" s="1997"/>
      <c r="IE56" s="1997"/>
      <c r="IF56" s="1997"/>
      <c r="IG56" s="1997"/>
      <c r="IH56" s="1997"/>
      <c r="II56" s="1997"/>
      <c r="IJ56" s="1997"/>
      <c r="IK56" s="1997"/>
      <c r="IL56" s="1997"/>
      <c r="IM56" s="1997"/>
      <c r="IN56" s="1997"/>
      <c r="IO56" s="1997"/>
      <c r="IP56" s="1997"/>
      <c r="IQ56" s="1997"/>
    </row>
    <row r="57" spans="1:251" hidden="1">
      <c r="A57" s="1993"/>
      <c r="B57" s="1998"/>
      <c r="C57" s="1998"/>
      <c r="D57" s="2034"/>
      <c r="E57" s="1998"/>
      <c r="F57" s="1940">
        <f t="shared" si="14"/>
        <v>0</v>
      </c>
      <c r="G57" s="1993"/>
      <c r="H57" s="1940">
        <f t="shared" si="23"/>
        <v>0</v>
      </c>
      <c r="I57" s="1993"/>
      <c r="J57" s="1940">
        <f t="shared" si="5"/>
        <v>0</v>
      </c>
      <c r="K57" s="1993"/>
      <c r="L57" s="1940">
        <f t="shared" si="24"/>
        <v>0</v>
      </c>
      <c r="M57" s="1940">
        <f t="shared" si="25"/>
        <v>0</v>
      </c>
      <c r="N57" s="1940">
        <f t="shared" si="26"/>
        <v>0</v>
      </c>
      <c r="O57" s="1993"/>
      <c r="P57" s="1993"/>
      <c r="Q57" s="1940">
        <f t="shared" si="27"/>
        <v>0</v>
      </c>
      <c r="R57" s="1940">
        <f t="shared" si="9"/>
        <v>0</v>
      </c>
      <c r="S57" s="1940">
        <f t="shared" si="28"/>
        <v>0</v>
      </c>
      <c r="T57" s="1940">
        <f t="shared" si="29"/>
        <v>0</v>
      </c>
      <c r="U57" s="1940">
        <f t="shared" si="30"/>
        <v>0</v>
      </c>
      <c r="V57" s="1997"/>
      <c r="W57" s="1997"/>
      <c r="X57" s="1997"/>
      <c r="Y57" s="1997"/>
      <c r="Z57" s="1997"/>
      <c r="AA57" s="1997"/>
      <c r="AB57" s="1997"/>
      <c r="AC57" s="1997"/>
      <c r="AD57" s="1997"/>
      <c r="AE57" s="1997"/>
      <c r="AF57" s="1997"/>
      <c r="AG57" s="1997"/>
      <c r="AH57" s="1997"/>
      <c r="AI57" s="1997"/>
      <c r="AJ57" s="1997"/>
      <c r="AK57" s="1997"/>
      <c r="AL57" s="1997"/>
      <c r="AM57" s="1997"/>
      <c r="AN57" s="1997"/>
      <c r="AO57" s="1997"/>
      <c r="AP57" s="1997"/>
      <c r="AQ57" s="1997"/>
      <c r="AR57" s="1997"/>
      <c r="AS57" s="1997"/>
      <c r="AT57" s="1997"/>
      <c r="AU57" s="1997"/>
      <c r="AV57" s="1997"/>
      <c r="AW57" s="1997"/>
      <c r="AX57" s="1997"/>
      <c r="AY57" s="1997"/>
      <c r="AZ57" s="1997"/>
      <c r="BA57" s="1997"/>
      <c r="BB57" s="1997"/>
      <c r="BC57" s="1997"/>
      <c r="BD57" s="1997"/>
      <c r="BE57" s="1997"/>
      <c r="BF57" s="1997"/>
      <c r="BG57" s="1997"/>
      <c r="BH57" s="1997"/>
      <c r="BI57" s="1997"/>
      <c r="BJ57" s="1997"/>
      <c r="BK57" s="1997"/>
      <c r="BL57" s="1997"/>
      <c r="BM57" s="1997"/>
      <c r="BN57" s="1997"/>
      <c r="BO57" s="1997"/>
      <c r="BP57" s="1997"/>
      <c r="BQ57" s="1997"/>
      <c r="BR57" s="1997"/>
      <c r="BS57" s="1997"/>
      <c r="BT57" s="1997"/>
      <c r="BU57" s="1997"/>
      <c r="BV57" s="1997"/>
      <c r="BW57" s="1997"/>
      <c r="BX57" s="1997"/>
      <c r="BY57" s="1997"/>
      <c r="BZ57" s="1997"/>
      <c r="CA57" s="1997"/>
      <c r="CB57" s="1997"/>
      <c r="CC57" s="1997"/>
      <c r="CD57" s="1997"/>
      <c r="CE57" s="1997"/>
      <c r="CF57" s="1997"/>
      <c r="CG57" s="1997"/>
      <c r="CH57" s="1997"/>
      <c r="CI57" s="1997"/>
      <c r="CJ57" s="1997"/>
      <c r="CK57" s="1997"/>
      <c r="CL57" s="1997"/>
      <c r="CM57" s="1997"/>
      <c r="CN57" s="1997"/>
      <c r="CO57" s="1997"/>
      <c r="CP57" s="1997"/>
      <c r="CQ57" s="1997"/>
      <c r="CR57" s="1997"/>
      <c r="CS57" s="1997"/>
      <c r="CT57" s="1997"/>
      <c r="CU57" s="1997"/>
      <c r="CV57" s="1997"/>
      <c r="CW57" s="1997"/>
      <c r="CX57" s="1997"/>
      <c r="CY57" s="1997"/>
      <c r="CZ57" s="1997"/>
      <c r="DA57" s="1997"/>
      <c r="DB57" s="1997"/>
      <c r="DC57" s="1997"/>
      <c r="DD57" s="1997"/>
      <c r="DE57" s="1997"/>
      <c r="DF57" s="1997"/>
      <c r="DG57" s="1997"/>
      <c r="DH57" s="1997"/>
      <c r="DI57" s="1997"/>
      <c r="DJ57" s="1997"/>
      <c r="DK57" s="1997"/>
      <c r="DL57" s="1997"/>
      <c r="DM57" s="1997"/>
      <c r="DN57" s="1997"/>
      <c r="DO57" s="1997"/>
      <c r="DP57" s="1997"/>
      <c r="DQ57" s="1997"/>
      <c r="DR57" s="1997"/>
      <c r="DS57" s="1997"/>
      <c r="DT57" s="1997"/>
      <c r="DU57" s="1997"/>
      <c r="DV57" s="1997"/>
      <c r="DW57" s="1997"/>
      <c r="DX57" s="1997"/>
      <c r="DY57" s="1997"/>
      <c r="DZ57" s="1997"/>
      <c r="EA57" s="1997"/>
      <c r="EB57" s="1997"/>
      <c r="EC57" s="1997"/>
      <c r="ED57" s="1997"/>
      <c r="EE57" s="1997"/>
      <c r="EF57" s="1997"/>
      <c r="EG57" s="1997"/>
      <c r="EH57" s="1997"/>
      <c r="EI57" s="1997"/>
      <c r="EJ57" s="1997"/>
      <c r="EK57" s="1997"/>
      <c r="EL57" s="1997"/>
      <c r="EM57" s="1997"/>
      <c r="EN57" s="1997"/>
      <c r="EO57" s="1997"/>
      <c r="EP57" s="1997"/>
      <c r="EQ57" s="1997"/>
      <c r="ER57" s="1997"/>
      <c r="ES57" s="1997"/>
      <c r="ET57" s="1997"/>
      <c r="EU57" s="1997"/>
      <c r="EV57" s="1997"/>
      <c r="EW57" s="1997"/>
      <c r="EX57" s="1997"/>
      <c r="EY57" s="1997"/>
      <c r="EZ57" s="1997"/>
      <c r="FA57" s="1997"/>
      <c r="FB57" s="1997"/>
      <c r="FC57" s="1997"/>
      <c r="FD57" s="1997"/>
      <c r="FE57" s="1997"/>
      <c r="FF57" s="1997"/>
      <c r="FG57" s="1997"/>
      <c r="FH57" s="1997"/>
      <c r="FI57" s="1997"/>
      <c r="FJ57" s="1997"/>
      <c r="FK57" s="1997"/>
      <c r="FL57" s="1997"/>
      <c r="FM57" s="1997"/>
      <c r="FN57" s="1997"/>
      <c r="FO57" s="1997"/>
      <c r="FP57" s="1997"/>
      <c r="FQ57" s="1997"/>
      <c r="FR57" s="1997"/>
      <c r="FS57" s="1997"/>
      <c r="FT57" s="1997"/>
      <c r="FU57" s="1997"/>
      <c r="FV57" s="1997"/>
      <c r="FW57" s="1997"/>
      <c r="FX57" s="1997"/>
      <c r="FY57" s="1997"/>
      <c r="FZ57" s="1997"/>
      <c r="GA57" s="1997"/>
      <c r="GB57" s="1997"/>
      <c r="GC57" s="1997"/>
      <c r="GD57" s="1997"/>
      <c r="GE57" s="1997"/>
      <c r="GF57" s="1997"/>
      <c r="GG57" s="1997"/>
      <c r="GH57" s="1997"/>
      <c r="GI57" s="1997"/>
      <c r="GJ57" s="1997"/>
      <c r="GK57" s="1997"/>
      <c r="GL57" s="1997"/>
      <c r="GM57" s="1997"/>
      <c r="GN57" s="1997"/>
      <c r="GO57" s="1997"/>
      <c r="GP57" s="1997"/>
      <c r="GQ57" s="1997"/>
      <c r="GR57" s="1997"/>
      <c r="GS57" s="1997"/>
      <c r="GT57" s="1997"/>
      <c r="GU57" s="1997"/>
      <c r="GV57" s="1997"/>
      <c r="GW57" s="1997"/>
      <c r="GX57" s="1997"/>
      <c r="GY57" s="1997"/>
      <c r="GZ57" s="1997"/>
      <c r="HA57" s="1997"/>
      <c r="HB57" s="1997"/>
      <c r="HC57" s="1997"/>
      <c r="HD57" s="1997"/>
      <c r="HE57" s="1997"/>
      <c r="HF57" s="1997"/>
      <c r="HG57" s="1997"/>
      <c r="HH57" s="1997"/>
      <c r="HI57" s="1997"/>
      <c r="HJ57" s="1997"/>
      <c r="HK57" s="1997"/>
      <c r="HL57" s="1997"/>
      <c r="HM57" s="1997"/>
      <c r="HN57" s="1997"/>
      <c r="HO57" s="1997"/>
      <c r="HP57" s="1997"/>
      <c r="HQ57" s="1997"/>
      <c r="HR57" s="1997"/>
      <c r="HS57" s="1997"/>
      <c r="HT57" s="1997"/>
      <c r="HU57" s="1997"/>
      <c r="HV57" s="1997"/>
      <c r="HW57" s="1997"/>
      <c r="HX57" s="1997"/>
      <c r="HY57" s="1997"/>
      <c r="HZ57" s="1997"/>
      <c r="IA57" s="1997"/>
      <c r="IB57" s="1997"/>
      <c r="IC57" s="1997"/>
      <c r="ID57" s="1997"/>
      <c r="IE57" s="1997"/>
      <c r="IF57" s="1997"/>
      <c r="IG57" s="1997"/>
      <c r="IH57" s="1997"/>
      <c r="II57" s="1997"/>
      <c r="IJ57" s="1997"/>
      <c r="IK57" s="1997"/>
      <c r="IL57" s="1997"/>
      <c r="IM57" s="1997"/>
      <c r="IN57" s="1997"/>
      <c r="IO57" s="1997"/>
      <c r="IP57" s="1997"/>
      <c r="IQ57" s="1997"/>
    </row>
    <row r="58" spans="1:251" hidden="1">
      <c r="A58" s="1993"/>
      <c r="B58" s="1998"/>
      <c r="C58" s="1998"/>
      <c r="D58" s="2034"/>
      <c r="E58" s="1998"/>
      <c r="F58" s="1940">
        <f t="shared" si="14"/>
        <v>0</v>
      </c>
      <c r="G58" s="1993"/>
      <c r="H58" s="1940">
        <f t="shared" si="23"/>
        <v>0</v>
      </c>
      <c r="I58" s="1993"/>
      <c r="J58" s="1940">
        <f t="shared" si="5"/>
        <v>0</v>
      </c>
      <c r="K58" s="1993"/>
      <c r="L58" s="1940">
        <f t="shared" si="24"/>
        <v>0</v>
      </c>
      <c r="M58" s="1940">
        <f t="shared" si="25"/>
        <v>0</v>
      </c>
      <c r="N58" s="1940">
        <f t="shared" si="26"/>
        <v>0</v>
      </c>
      <c r="O58" s="1993"/>
      <c r="P58" s="1993"/>
      <c r="Q58" s="1940">
        <f t="shared" si="27"/>
        <v>0</v>
      </c>
      <c r="R58" s="1940">
        <f t="shared" si="9"/>
        <v>0</v>
      </c>
      <c r="S58" s="1940">
        <f t="shared" si="28"/>
        <v>0</v>
      </c>
      <c r="T58" s="1940">
        <f t="shared" si="29"/>
        <v>0</v>
      </c>
      <c r="U58" s="1940">
        <f t="shared" si="30"/>
        <v>0</v>
      </c>
      <c r="V58" s="1997"/>
      <c r="W58" s="1997"/>
      <c r="X58" s="1997"/>
      <c r="Y58" s="1997"/>
      <c r="Z58" s="1997"/>
      <c r="AA58" s="1997"/>
      <c r="AB58" s="1997"/>
      <c r="AC58" s="1997"/>
      <c r="AD58" s="1997"/>
      <c r="AE58" s="1997"/>
      <c r="AF58" s="1997"/>
      <c r="AG58" s="1997"/>
      <c r="AH58" s="1997"/>
      <c r="AI58" s="1997"/>
      <c r="AJ58" s="1997"/>
      <c r="AK58" s="1997"/>
      <c r="AL58" s="1997"/>
      <c r="AM58" s="1997"/>
      <c r="AN58" s="1997"/>
      <c r="AO58" s="1997"/>
      <c r="AP58" s="1997"/>
      <c r="AQ58" s="1997"/>
      <c r="AR58" s="1997"/>
      <c r="AS58" s="1997"/>
      <c r="AT58" s="1997"/>
      <c r="AU58" s="1997"/>
      <c r="AV58" s="1997"/>
      <c r="AW58" s="1997"/>
      <c r="AX58" s="1997"/>
      <c r="AY58" s="1997"/>
      <c r="AZ58" s="1997"/>
      <c r="BA58" s="1997"/>
      <c r="BB58" s="1997"/>
      <c r="BC58" s="1997"/>
      <c r="BD58" s="1997"/>
      <c r="BE58" s="1997"/>
      <c r="BF58" s="1997"/>
      <c r="BG58" s="1997"/>
      <c r="BH58" s="1997"/>
      <c r="BI58" s="1997"/>
      <c r="BJ58" s="1997"/>
      <c r="BK58" s="1997"/>
      <c r="BL58" s="1997"/>
      <c r="BM58" s="1997"/>
      <c r="BN58" s="1997"/>
      <c r="BO58" s="1997"/>
      <c r="BP58" s="1997"/>
      <c r="BQ58" s="1997"/>
      <c r="BR58" s="1997"/>
      <c r="BS58" s="1997"/>
      <c r="BT58" s="1997"/>
      <c r="BU58" s="1997"/>
      <c r="BV58" s="1997"/>
      <c r="BW58" s="1997"/>
      <c r="BX58" s="1997"/>
      <c r="BY58" s="1997"/>
      <c r="BZ58" s="1997"/>
      <c r="CA58" s="1997"/>
      <c r="CB58" s="1997"/>
      <c r="CC58" s="1997"/>
      <c r="CD58" s="1997"/>
      <c r="CE58" s="1997"/>
      <c r="CF58" s="1997"/>
      <c r="CG58" s="1997"/>
      <c r="CH58" s="1997"/>
      <c r="CI58" s="1997"/>
      <c r="CJ58" s="1997"/>
      <c r="CK58" s="1997"/>
      <c r="CL58" s="1997"/>
      <c r="CM58" s="1997"/>
      <c r="CN58" s="1997"/>
      <c r="CO58" s="1997"/>
      <c r="CP58" s="1997"/>
      <c r="CQ58" s="1997"/>
      <c r="CR58" s="1997"/>
      <c r="CS58" s="1997"/>
      <c r="CT58" s="1997"/>
      <c r="CU58" s="1997"/>
      <c r="CV58" s="1997"/>
      <c r="CW58" s="1997"/>
      <c r="CX58" s="1997"/>
      <c r="CY58" s="1997"/>
      <c r="CZ58" s="1997"/>
      <c r="DA58" s="1997"/>
      <c r="DB58" s="1997"/>
      <c r="DC58" s="1997"/>
      <c r="DD58" s="1997"/>
      <c r="DE58" s="1997"/>
      <c r="DF58" s="1997"/>
      <c r="DG58" s="1997"/>
      <c r="DH58" s="1997"/>
      <c r="DI58" s="1997"/>
      <c r="DJ58" s="1997"/>
      <c r="DK58" s="1997"/>
      <c r="DL58" s="1997"/>
      <c r="DM58" s="1997"/>
      <c r="DN58" s="1997"/>
      <c r="DO58" s="1997"/>
      <c r="DP58" s="1997"/>
      <c r="DQ58" s="1997"/>
      <c r="DR58" s="1997"/>
      <c r="DS58" s="1997"/>
      <c r="DT58" s="1997"/>
      <c r="DU58" s="1997"/>
      <c r="DV58" s="1997"/>
      <c r="DW58" s="1997"/>
      <c r="DX58" s="1997"/>
      <c r="DY58" s="1997"/>
      <c r="DZ58" s="1997"/>
      <c r="EA58" s="1997"/>
      <c r="EB58" s="1997"/>
      <c r="EC58" s="1997"/>
      <c r="ED58" s="1997"/>
      <c r="EE58" s="1997"/>
      <c r="EF58" s="1997"/>
      <c r="EG58" s="1997"/>
      <c r="EH58" s="1997"/>
      <c r="EI58" s="1997"/>
      <c r="EJ58" s="1997"/>
      <c r="EK58" s="1997"/>
      <c r="EL58" s="1997"/>
      <c r="EM58" s="1997"/>
      <c r="EN58" s="1997"/>
      <c r="EO58" s="1997"/>
      <c r="EP58" s="1997"/>
      <c r="EQ58" s="1997"/>
      <c r="ER58" s="1997"/>
      <c r="ES58" s="1997"/>
      <c r="ET58" s="1997"/>
      <c r="EU58" s="1997"/>
      <c r="EV58" s="1997"/>
      <c r="EW58" s="1997"/>
      <c r="EX58" s="1997"/>
      <c r="EY58" s="1997"/>
      <c r="EZ58" s="1997"/>
      <c r="FA58" s="1997"/>
      <c r="FB58" s="1997"/>
      <c r="FC58" s="1997"/>
      <c r="FD58" s="1997"/>
      <c r="FE58" s="1997"/>
      <c r="FF58" s="1997"/>
      <c r="FG58" s="1997"/>
      <c r="FH58" s="1997"/>
      <c r="FI58" s="1997"/>
      <c r="FJ58" s="1997"/>
      <c r="FK58" s="1997"/>
      <c r="FL58" s="1997"/>
      <c r="FM58" s="1997"/>
      <c r="FN58" s="1997"/>
      <c r="FO58" s="1997"/>
      <c r="FP58" s="1997"/>
      <c r="FQ58" s="1997"/>
      <c r="FR58" s="1997"/>
      <c r="FS58" s="1997"/>
      <c r="FT58" s="1997"/>
      <c r="FU58" s="1997"/>
      <c r="FV58" s="1997"/>
      <c r="FW58" s="1997"/>
      <c r="FX58" s="1997"/>
      <c r="FY58" s="1997"/>
      <c r="FZ58" s="1997"/>
      <c r="GA58" s="1997"/>
      <c r="GB58" s="1997"/>
      <c r="GC58" s="1997"/>
      <c r="GD58" s="1997"/>
      <c r="GE58" s="1997"/>
      <c r="GF58" s="1997"/>
      <c r="GG58" s="1997"/>
      <c r="GH58" s="1997"/>
      <c r="GI58" s="1997"/>
      <c r="GJ58" s="1997"/>
      <c r="GK58" s="1997"/>
      <c r="GL58" s="1997"/>
      <c r="GM58" s="1997"/>
      <c r="GN58" s="1997"/>
      <c r="GO58" s="1997"/>
      <c r="GP58" s="1997"/>
      <c r="GQ58" s="1997"/>
      <c r="GR58" s="1997"/>
      <c r="GS58" s="1997"/>
      <c r="GT58" s="1997"/>
      <c r="GU58" s="1997"/>
      <c r="GV58" s="1997"/>
      <c r="GW58" s="1997"/>
      <c r="GX58" s="1997"/>
      <c r="GY58" s="1997"/>
      <c r="GZ58" s="1997"/>
      <c r="HA58" s="1997"/>
      <c r="HB58" s="1997"/>
      <c r="HC58" s="1997"/>
      <c r="HD58" s="1997"/>
      <c r="HE58" s="1997"/>
      <c r="HF58" s="1997"/>
      <c r="HG58" s="1997"/>
      <c r="HH58" s="1997"/>
      <c r="HI58" s="1997"/>
      <c r="HJ58" s="1997"/>
      <c r="HK58" s="1997"/>
      <c r="HL58" s="1997"/>
      <c r="HM58" s="1997"/>
      <c r="HN58" s="1997"/>
      <c r="HO58" s="1997"/>
      <c r="HP58" s="1997"/>
      <c r="HQ58" s="1997"/>
      <c r="HR58" s="1997"/>
      <c r="HS58" s="1997"/>
      <c r="HT58" s="1997"/>
      <c r="HU58" s="1997"/>
      <c r="HV58" s="1997"/>
      <c r="HW58" s="1997"/>
      <c r="HX58" s="1997"/>
      <c r="HY58" s="1997"/>
      <c r="HZ58" s="1997"/>
      <c r="IA58" s="1997"/>
      <c r="IB58" s="1997"/>
      <c r="IC58" s="1997"/>
      <c r="ID58" s="1997"/>
      <c r="IE58" s="1997"/>
      <c r="IF58" s="1997"/>
      <c r="IG58" s="1997"/>
      <c r="IH58" s="1997"/>
      <c r="II58" s="1997"/>
      <c r="IJ58" s="1997"/>
      <c r="IK58" s="1997"/>
      <c r="IL58" s="1997"/>
      <c r="IM58" s="1997"/>
      <c r="IN58" s="1997"/>
      <c r="IO58" s="1997"/>
      <c r="IP58" s="1997"/>
      <c r="IQ58" s="1997"/>
    </row>
    <row r="59" spans="1:251" hidden="1">
      <c r="A59" s="1993"/>
      <c r="B59" s="1998"/>
      <c r="C59" s="1998"/>
      <c r="D59" s="2034"/>
      <c r="E59" s="1998"/>
      <c r="F59" s="1940">
        <f t="shared" si="14"/>
        <v>0</v>
      </c>
      <c r="G59" s="1993"/>
      <c r="H59" s="1940">
        <f t="shared" si="23"/>
        <v>0</v>
      </c>
      <c r="I59" s="1993"/>
      <c r="J59" s="1940">
        <f t="shared" si="5"/>
        <v>0</v>
      </c>
      <c r="K59" s="1993"/>
      <c r="L59" s="1940">
        <f t="shared" si="24"/>
        <v>0</v>
      </c>
      <c r="M59" s="1940">
        <f t="shared" si="25"/>
        <v>0</v>
      </c>
      <c r="N59" s="1940">
        <f t="shared" si="26"/>
        <v>0</v>
      </c>
      <c r="O59" s="1993"/>
      <c r="P59" s="1993"/>
      <c r="Q59" s="1940">
        <f t="shared" si="27"/>
        <v>0</v>
      </c>
      <c r="R59" s="1940">
        <f t="shared" si="9"/>
        <v>0</v>
      </c>
      <c r="S59" s="1940">
        <f t="shared" si="28"/>
        <v>0</v>
      </c>
      <c r="T59" s="1940">
        <f t="shared" si="29"/>
        <v>0</v>
      </c>
      <c r="U59" s="1940">
        <f t="shared" si="30"/>
        <v>0</v>
      </c>
      <c r="V59" s="1997"/>
      <c r="W59" s="1997"/>
      <c r="X59" s="1997"/>
      <c r="Y59" s="1997"/>
      <c r="Z59" s="1997"/>
      <c r="AA59" s="1997"/>
      <c r="AB59" s="1997"/>
      <c r="AC59" s="1997"/>
      <c r="AD59" s="1997"/>
      <c r="AE59" s="1997"/>
      <c r="AF59" s="1997"/>
      <c r="AG59" s="1997"/>
      <c r="AH59" s="1997"/>
      <c r="AI59" s="1997"/>
      <c r="AJ59" s="1997"/>
      <c r="AK59" s="1997"/>
      <c r="AL59" s="1997"/>
      <c r="AM59" s="1997"/>
      <c r="AN59" s="1997"/>
      <c r="AO59" s="1997"/>
      <c r="AP59" s="1997"/>
      <c r="AQ59" s="1997"/>
      <c r="AR59" s="1997"/>
      <c r="AS59" s="1997"/>
      <c r="AT59" s="1997"/>
      <c r="AU59" s="1997"/>
      <c r="AV59" s="1997"/>
      <c r="AW59" s="1997"/>
      <c r="AX59" s="1997"/>
      <c r="AY59" s="1997"/>
      <c r="AZ59" s="1997"/>
      <c r="BA59" s="1997"/>
      <c r="BB59" s="1997"/>
      <c r="BC59" s="1997"/>
      <c r="BD59" s="1997"/>
      <c r="BE59" s="1997"/>
      <c r="BF59" s="1997"/>
      <c r="BG59" s="1997"/>
      <c r="BH59" s="1997"/>
      <c r="BI59" s="1997"/>
      <c r="BJ59" s="1997"/>
      <c r="BK59" s="1997"/>
      <c r="BL59" s="1997"/>
      <c r="BM59" s="1997"/>
      <c r="BN59" s="1997"/>
      <c r="BO59" s="1997"/>
      <c r="BP59" s="1997"/>
      <c r="BQ59" s="1997"/>
      <c r="BR59" s="1997"/>
      <c r="BS59" s="1997"/>
      <c r="BT59" s="1997"/>
      <c r="BU59" s="1997"/>
      <c r="BV59" s="1997"/>
      <c r="BW59" s="1997"/>
      <c r="BX59" s="1997"/>
      <c r="BY59" s="1997"/>
      <c r="BZ59" s="1997"/>
      <c r="CA59" s="1997"/>
      <c r="CB59" s="1997"/>
      <c r="CC59" s="1997"/>
      <c r="CD59" s="1997"/>
      <c r="CE59" s="1997"/>
      <c r="CF59" s="1997"/>
      <c r="CG59" s="1997"/>
      <c r="CH59" s="1997"/>
      <c r="CI59" s="1997"/>
      <c r="CJ59" s="1997"/>
      <c r="CK59" s="1997"/>
      <c r="CL59" s="1997"/>
      <c r="CM59" s="1997"/>
      <c r="CN59" s="1997"/>
      <c r="CO59" s="1997"/>
      <c r="CP59" s="1997"/>
      <c r="CQ59" s="1997"/>
      <c r="CR59" s="1997"/>
      <c r="CS59" s="1997"/>
      <c r="CT59" s="1997"/>
      <c r="CU59" s="1997"/>
      <c r="CV59" s="1997"/>
      <c r="CW59" s="1997"/>
      <c r="CX59" s="1997"/>
      <c r="CY59" s="1997"/>
      <c r="CZ59" s="1997"/>
      <c r="DA59" s="1997"/>
      <c r="DB59" s="1997"/>
      <c r="DC59" s="1997"/>
      <c r="DD59" s="1997"/>
      <c r="DE59" s="1997"/>
      <c r="DF59" s="1997"/>
      <c r="DG59" s="1997"/>
      <c r="DH59" s="1997"/>
      <c r="DI59" s="1997"/>
      <c r="DJ59" s="1997"/>
      <c r="DK59" s="1997"/>
      <c r="DL59" s="1997"/>
      <c r="DM59" s="1997"/>
      <c r="DN59" s="1997"/>
      <c r="DO59" s="1997"/>
      <c r="DP59" s="1997"/>
      <c r="DQ59" s="1997"/>
      <c r="DR59" s="1997"/>
      <c r="DS59" s="1997"/>
      <c r="DT59" s="1997"/>
      <c r="DU59" s="1997"/>
      <c r="DV59" s="1997"/>
      <c r="DW59" s="1997"/>
      <c r="DX59" s="1997"/>
      <c r="DY59" s="1997"/>
      <c r="DZ59" s="1997"/>
      <c r="EA59" s="1997"/>
      <c r="EB59" s="1997"/>
      <c r="EC59" s="1997"/>
      <c r="ED59" s="1997"/>
      <c r="EE59" s="1997"/>
      <c r="EF59" s="1997"/>
      <c r="EG59" s="1997"/>
      <c r="EH59" s="1997"/>
      <c r="EI59" s="1997"/>
      <c r="EJ59" s="1997"/>
      <c r="EK59" s="1997"/>
      <c r="EL59" s="1997"/>
      <c r="EM59" s="1997"/>
      <c r="EN59" s="1997"/>
      <c r="EO59" s="1997"/>
      <c r="EP59" s="1997"/>
      <c r="EQ59" s="1997"/>
      <c r="ER59" s="1997"/>
      <c r="ES59" s="1997"/>
      <c r="ET59" s="1997"/>
      <c r="EU59" s="1997"/>
      <c r="EV59" s="1997"/>
      <c r="EW59" s="1997"/>
      <c r="EX59" s="1997"/>
      <c r="EY59" s="1997"/>
      <c r="EZ59" s="1997"/>
      <c r="FA59" s="1997"/>
      <c r="FB59" s="1997"/>
      <c r="FC59" s="1997"/>
      <c r="FD59" s="1997"/>
      <c r="FE59" s="1997"/>
      <c r="FF59" s="1997"/>
      <c r="FG59" s="1997"/>
      <c r="FH59" s="1997"/>
      <c r="FI59" s="1997"/>
      <c r="FJ59" s="1997"/>
      <c r="FK59" s="1997"/>
      <c r="FL59" s="1997"/>
      <c r="FM59" s="1997"/>
      <c r="FN59" s="1997"/>
      <c r="FO59" s="1997"/>
      <c r="FP59" s="1997"/>
      <c r="FQ59" s="1997"/>
      <c r="FR59" s="1997"/>
      <c r="FS59" s="1997"/>
      <c r="FT59" s="1997"/>
      <c r="FU59" s="1997"/>
      <c r="FV59" s="1997"/>
      <c r="FW59" s="1997"/>
      <c r="FX59" s="1997"/>
      <c r="FY59" s="1997"/>
      <c r="FZ59" s="1997"/>
      <c r="GA59" s="1997"/>
      <c r="GB59" s="1997"/>
      <c r="GC59" s="1997"/>
      <c r="GD59" s="1997"/>
      <c r="GE59" s="1997"/>
      <c r="GF59" s="1997"/>
      <c r="GG59" s="1997"/>
      <c r="GH59" s="1997"/>
      <c r="GI59" s="1997"/>
      <c r="GJ59" s="1997"/>
      <c r="GK59" s="1997"/>
      <c r="GL59" s="1997"/>
      <c r="GM59" s="1997"/>
      <c r="GN59" s="1997"/>
      <c r="GO59" s="1997"/>
      <c r="GP59" s="1997"/>
      <c r="GQ59" s="1997"/>
      <c r="GR59" s="1997"/>
      <c r="GS59" s="1997"/>
      <c r="GT59" s="1997"/>
      <c r="GU59" s="1997"/>
      <c r="GV59" s="1997"/>
      <c r="GW59" s="1997"/>
      <c r="GX59" s="1997"/>
      <c r="GY59" s="1997"/>
      <c r="GZ59" s="1997"/>
      <c r="HA59" s="1997"/>
      <c r="HB59" s="1997"/>
      <c r="HC59" s="1997"/>
      <c r="HD59" s="1997"/>
      <c r="HE59" s="1997"/>
      <c r="HF59" s="1997"/>
      <c r="HG59" s="1997"/>
      <c r="HH59" s="1997"/>
      <c r="HI59" s="1997"/>
      <c r="HJ59" s="1997"/>
      <c r="HK59" s="1997"/>
      <c r="HL59" s="1997"/>
      <c r="HM59" s="1997"/>
      <c r="HN59" s="1997"/>
      <c r="HO59" s="1997"/>
      <c r="HP59" s="1997"/>
      <c r="HQ59" s="1997"/>
      <c r="HR59" s="1997"/>
      <c r="HS59" s="1997"/>
      <c r="HT59" s="1997"/>
      <c r="HU59" s="1997"/>
      <c r="HV59" s="1997"/>
      <c r="HW59" s="1997"/>
      <c r="HX59" s="1997"/>
      <c r="HY59" s="1997"/>
      <c r="HZ59" s="1997"/>
      <c r="IA59" s="1997"/>
      <c r="IB59" s="1997"/>
      <c r="IC59" s="1997"/>
      <c r="ID59" s="1997"/>
      <c r="IE59" s="1997"/>
      <c r="IF59" s="1997"/>
      <c r="IG59" s="1997"/>
      <c r="IH59" s="1997"/>
      <c r="II59" s="1997"/>
      <c r="IJ59" s="1997"/>
      <c r="IK59" s="1997"/>
      <c r="IL59" s="1997"/>
      <c r="IM59" s="1997"/>
      <c r="IN59" s="1997"/>
      <c r="IO59" s="1997"/>
      <c r="IP59" s="1997"/>
      <c r="IQ59" s="1997"/>
    </row>
    <row r="60" spans="1:251" hidden="1">
      <c r="A60" s="1993"/>
      <c r="B60" s="1998"/>
      <c r="C60" s="1998"/>
      <c r="D60" s="2034"/>
      <c r="E60" s="1998"/>
      <c r="F60" s="1940">
        <f t="shared" si="14"/>
        <v>0</v>
      </c>
      <c r="G60" s="1993"/>
      <c r="H60" s="1940">
        <f t="shared" si="23"/>
        <v>0</v>
      </c>
      <c r="I60" s="1993"/>
      <c r="J60" s="1940">
        <f t="shared" si="5"/>
        <v>0</v>
      </c>
      <c r="K60" s="1993"/>
      <c r="L60" s="1940">
        <f t="shared" si="24"/>
        <v>0</v>
      </c>
      <c r="M60" s="1940">
        <f t="shared" si="25"/>
        <v>0</v>
      </c>
      <c r="N60" s="1940">
        <f t="shared" si="26"/>
        <v>0</v>
      </c>
      <c r="O60" s="1993"/>
      <c r="P60" s="1993"/>
      <c r="Q60" s="1940">
        <f t="shared" si="27"/>
        <v>0</v>
      </c>
      <c r="R60" s="1940">
        <f t="shared" si="9"/>
        <v>0</v>
      </c>
      <c r="S60" s="1940">
        <f t="shared" si="28"/>
        <v>0</v>
      </c>
      <c r="T60" s="1940">
        <f t="shared" si="29"/>
        <v>0</v>
      </c>
      <c r="U60" s="1940">
        <f t="shared" si="30"/>
        <v>0</v>
      </c>
      <c r="V60" s="1997"/>
      <c r="W60" s="1997"/>
      <c r="X60" s="1997"/>
      <c r="Y60" s="1997"/>
      <c r="Z60" s="1997"/>
      <c r="AA60" s="1997"/>
      <c r="AB60" s="1997"/>
      <c r="AC60" s="1997"/>
      <c r="AD60" s="1997"/>
      <c r="AE60" s="1997"/>
      <c r="AF60" s="1997"/>
      <c r="AG60" s="1997"/>
      <c r="AH60" s="1997"/>
      <c r="AI60" s="1997"/>
      <c r="AJ60" s="1997"/>
      <c r="AK60" s="1997"/>
      <c r="AL60" s="1997"/>
      <c r="AM60" s="1997"/>
      <c r="AN60" s="1997"/>
      <c r="AO60" s="1997"/>
      <c r="AP60" s="1997"/>
      <c r="AQ60" s="1997"/>
      <c r="AR60" s="1997"/>
      <c r="AS60" s="1997"/>
      <c r="AT60" s="1997"/>
      <c r="AU60" s="1997"/>
      <c r="AV60" s="1997"/>
      <c r="AW60" s="1997"/>
      <c r="AX60" s="1997"/>
      <c r="AY60" s="1997"/>
      <c r="AZ60" s="1997"/>
      <c r="BA60" s="1997"/>
      <c r="BB60" s="1997"/>
      <c r="BC60" s="1997"/>
      <c r="BD60" s="1997"/>
      <c r="BE60" s="1997"/>
      <c r="BF60" s="1997"/>
      <c r="BG60" s="1997"/>
      <c r="BH60" s="1997"/>
      <c r="BI60" s="1997"/>
      <c r="BJ60" s="1997"/>
      <c r="BK60" s="1997"/>
      <c r="BL60" s="1997"/>
      <c r="BM60" s="1997"/>
      <c r="BN60" s="1997"/>
      <c r="BO60" s="1997"/>
      <c r="BP60" s="1997"/>
      <c r="BQ60" s="1997"/>
      <c r="BR60" s="1997"/>
      <c r="BS60" s="1997"/>
      <c r="BT60" s="1997"/>
      <c r="BU60" s="1997"/>
      <c r="BV60" s="1997"/>
      <c r="BW60" s="1997"/>
      <c r="BX60" s="1997"/>
      <c r="BY60" s="1997"/>
      <c r="BZ60" s="1997"/>
      <c r="CA60" s="1997"/>
      <c r="CB60" s="1997"/>
      <c r="CC60" s="1997"/>
      <c r="CD60" s="1997"/>
      <c r="CE60" s="1997"/>
      <c r="CF60" s="1997"/>
      <c r="CG60" s="1997"/>
      <c r="CH60" s="1997"/>
      <c r="CI60" s="1997"/>
      <c r="CJ60" s="1997"/>
      <c r="CK60" s="1997"/>
      <c r="CL60" s="1997"/>
      <c r="CM60" s="1997"/>
      <c r="CN60" s="1997"/>
      <c r="CO60" s="1997"/>
      <c r="CP60" s="1997"/>
      <c r="CQ60" s="1997"/>
      <c r="CR60" s="1997"/>
      <c r="CS60" s="1997"/>
      <c r="CT60" s="1997"/>
      <c r="CU60" s="1997"/>
      <c r="CV60" s="1997"/>
      <c r="CW60" s="1997"/>
      <c r="CX60" s="1997"/>
      <c r="CY60" s="1997"/>
      <c r="CZ60" s="1997"/>
      <c r="DA60" s="1997"/>
      <c r="DB60" s="1997"/>
      <c r="DC60" s="1997"/>
      <c r="DD60" s="1997"/>
      <c r="DE60" s="1997"/>
      <c r="DF60" s="1997"/>
      <c r="DG60" s="1997"/>
      <c r="DH60" s="1997"/>
      <c r="DI60" s="1997"/>
      <c r="DJ60" s="1997"/>
      <c r="DK60" s="1997"/>
      <c r="DL60" s="1997"/>
      <c r="DM60" s="1997"/>
      <c r="DN60" s="1997"/>
      <c r="DO60" s="1997"/>
      <c r="DP60" s="1997"/>
      <c r="DQ60" s="1997"/>
      <c r="DR60" s="1997"/>
      <c r="DS60" s="1997"/>
      <c r="DT60" s="1997"/>
      <c r="DU60" s="1997"/>
      <c r="DV60" s="1997"/>
      <c r="DW60" s="1997"/>
      <c r="DX60" s="1997"/>
      <c r="DY60" s="1997"/>
      <c r="DZ60" s="1997"/>
      <c r="EA60" s="1997"/>
      <c r="EB60" s="1997"/>
      <c r="EC60" s="1997"/>
      <c r="ED60" s="1997"/>
      <c r="EE60" s="1997"/>
      <c r="EF60" s="1997"/>
      <c r="EG60" s="1997"/>
      <c r="EH60" s="1997"/>
      <c r="EI60" s="1997"/>
      <c r="EJ60" s="1997"/>
      <c r="EK60" s="1997"/>
      <c r="EL60" s="1997"/>
      <c r="EM60" s="1997"/>
      <c r="EN60" s="1997"/>
      <c r="EO60" s="1997"/>
      <c r="EP60" s="1997"/>
      <c r="EQ60" s="1997"/>
      <c r="ER60" s="1997"/>
      <c r="ES60" s="1997"/>
      <c r="ET60" s="1997"/>
      <c r="EU60" s="1997"/>
      <c r="EV60" s="1997"/>
      <c r="EW60" s="1997"/>
      <c r="EX60" s="1997"/>
      <c r="EY60" s="1997"/>
      <c r="EZ60" s="1997"/>
      <c r="FA60" s="1997"/>
      <c r="FB60" s="1997"/>
      <c r="FC60" s="1997"/>
      <c r="FD60" s="1997"/>
      <c r="FE60" s="1997"/>
      <c r="FF60" s="1997"/>
      <c r="FG60" s="1997"/>
      <c r="FH60" s="1997"/>
      <c r="FI60" s="1997"/>
      <c r="FJ60" s="1997"/>
      <c r="FK60" s="1997"/>
      <c r="FL60" s="1997"/>
      <c r="FM60" s="1997"/>
      <c r="FN60" s="1997"/>
      <c r="FO60" s="1997"/>
      <c r="FP60" s="1997"/>
      <c r="FQ60" s="1997"/>
      <c r="FR60" s="1997"/>
      <c r="FS60" s="1997"/>
      <c r="FT60" s="1997"/>
      <c r="FU60" s="1997"/>
      <c r="FV60" s="1997"/>
      <c r="FW60" s="1997"/>
      <c r="FX60" s="1997"/>
      <c r="FY60" s="1997"/>
      <c r="FZ60" s="1997"/>
      <c r="GA60" s="1997"/>
      <c r="GB60" s="1997"/>
      <c r="GC60" s="1997"/>
      <c r="GD60" s="1997"/>
      <c r="GE60" s="1997"/>
      <c r="GF60" s="1997"/>
      <c r="GG60" s="1997"/>
      <c r="GH60" s="1997"/>
      <c r="GI60" s="1997"/>
      <c r="GJ60" s="1997"/>
      <c r="GK60" s="1997"/>
      <c r="GL60" s="1997"/>
      <c r="GM60" s="1997"/>
      <c r="GN60" s="1997"/>
      <c r="GO60" s="1997"/>
      <c r="GP60" s="1997"/>
      <c r="GQ60" s="1997"/>
      <c r="GR60" s="1997"/>
      <c r="GS60" s="1997"/>
      <c r="GT60" s="1997"/>
      <c r="GU60" s="1997"/>
      <c r="GV60" s="1997"/>
      <c r="GW60" s="1997"/>
      <c r="GX60" s="1997"/>
      <c r="GY60" s="1997"/>
      <c r="GZ60" s="1997"/>
      <c r="HA60" s="1997"/>
      <c r="HB60" s="1997"/>
      <c r="HC60" s="1997"/>
      <c r="HD60" s="1997"/>
      <c r="HE60" s="1997"/>
      <c r="HF60" s="1997"/>
      <c r="HG60" s="1997"/>
      <c r="HH60" s="1997"/>
      <c r="HI60" s="1997"/>
      <c r="HJ60" s="1997"/>
      <c r="HK60" s="1997"/>
      <c r="HL60" s="1997"/>
      <c r="HM60" s="1997"/>
      <c r="HN60" s="1997"/>
      <c r="HO60" s="1997"/>
      <c r="HP60" s="1997"/>
      <c r="HQ60" s="1997"/>
      <c r="HR60" s="1997"/>
      <c r="HS60" s="1997"/>
      <c r="HT60" s="1997"/>
      <c r="HU60" s="1997"/>
      <c r="HV60" s="1997"/>
      <c r="HW60" s="1997"/>
      <c r="HX60" s="1997"/>
      <c r="HY60" s="1997"/>
      <c r="HZ60" s="1997"/>
      <c r="IA60" s="1997"/>
      <c r="IB60" s="1997"/>
      <c r="IC60" s="1997"/>
      <c r="ID60" s="1997"/>
      <c r="IE60" s="1997"/>
      <c r="IF60" s="1997"/>
      <c r="IG60" s="1997"/>
      <c r="IH60" s="1997"/>
      <c r="II60" s="1997"/>
      <c r="IJ60" s="1997"/>
      <c r="IK60" s="1997"/>
      <c r="IL60" s="1997"/>
      <c r="IM60" s="1997"/>
      <c r="IN60" s="1997"/>
      <c r="IO60" s="1997"/>
      <c r="IP60" s="1997"/>
      <c r="IQ60" s="1997"/>
    </row>
    <row r="61" spans="1:251" hidden="1">
      <c r="A61" s="1993"/>
      <c r="B61" s="1998"/>
      <c r="C61" s="1998"/>
      <c r="D61" s="2034"/>
      <c r="E61" s="1998"/>
      <c r="F61" s="1940">
        <f t="shared" si="14"/>
        <v>0</v>
      </c>
      <c r="G61" s="1993"/>
      <c r="H61" s="1940">
        <f t="shared" si="23"/>
        <v>0</v>
      </c>
      <c r="I61" s="1993"/>
      <c r="J61" s="1940">
        <f t="shared" si="5"/>
        <v>0</v>
      </c>
      <c r="K61" s="1993"/>
      <c r="L61" s="1940">
        <f t="shared" si="24"/>
        <v>0</v>
      </c>
      <c r="M61" s="1940">
        <f t="shared" si="25"/>
        <v>0</v>
      </c>
      <c r="N61" s="1940">
        <f t="shared" si="26"/>
        <v>0</v>
      </c>
      <c r="O61" s="1993"/>
      <c r="P61" s="1993"/>
      <c r="Q61" s="1940">
        <f t="shared" si="27"/>
        <v>0</v>
      </c>
      <c r="R61" s="1940">
        <f t="shared" si="9"/>
        <v>0</v>
      </c>
      <c r="S61" s="1940">
        <f t="shared" si="28"/>
        <v>0</v>
      </c>
      <c r="T61" s="1940">
        <f t="shared" si="29"/>
        <v>0</v>
      </c>
      <c r="U61" s="1940">
        <f t="shared" si="30"/>
        <v>0</v>
      </c>
      <c r="V61" s="1997"/>
      <c r="W61" s="1997"/>
      <c r="X61" s="1997"/>
      <c r="Y61" s="1997"/>
      <c r="Z61" s="1997"/>
      <c r="AA61" s="1997"/>
      <c r="AB61" s="1997"/>
      <c r="AC61" s="1997"/>
      <c r="AD61" s="1997"/>
      <c r="AE61" s="1997"/>
      <c r="AF61" s="1997"/>
      <c r="AG61" s="1997"/>
      <c r="AH61" s="1997"/>
      <c r="AI61" s="1997"/>
      <c r="AJ61" s="1997"/>
      <c r="AK61" s="1997"/>
      <c r="AL61" s="1997"/>
      <c r="AM61" s="1997"/>
      <c r="AN61" s="1997"/>
      <c r="AO61" s="1997"/>
      <c r="AP61" s="1997"/>
      <c r="AQ61" s="1997"/>
      <c r="AR61" s="1997"/>
      <c r="AS61" s="1997"/>
      <c r="AT61" s="1997"/>
      <c r="AU61" s="1997"/>
      <c r="AV61" s="1997"/>
      <c r="AW61" s="1997"/>
      <c r="AX61" s="1997"/>
      <c r="AY61" s="1997"/>
      <c r="AZ61" s="1997"/>
      <c r="BA61" s="1997"/>
      <c r="BB61" s="1997"/>
      <c r="BC61" s="1997"/>
      <c r="BD61" s="1997"/>
      <c r="BE61" s="1997"/>
      <c r="BF61" s="1997"/>
      <c r="BG61" s="1997"/>
      <c r="BH61" s="1997"/>
      <c r="BI61" s="1997"/>
      <c r="BJ61" s="1997"/>
      <c r="BK61" s="1997"/>
      <c r="BL61" s="1997"/>
      <c r="BM61" s="1997"/>
      <c r="BN61" s="1997"/>
      <c r="BO61" s="1997"/>
      <c r="BP61" s="1997"/>
      <c r="BQ61" s="1997"/>
      <c r="BR61" s="1997"/>
      <c r="BS61" s="1997"/>
      <c r="BT61" s="1997"/>
      <c r="BU61" s="1997"/>
      <c r="BV61" s="1997"/>
      <c r="BW61" s="1997"/>
      <c r="BX61" s="1997"/>
      <c r="BY61" s="1997"/>
      <c r="BZ61" s="1997"/>
      <c r="CA61" s="1997"/>
      <c r="CB61" s="1997"/>
      <c r="CC61" s="1997"/>
      <c r="CD61" s="1997"/>
      <c r="CE61" s="1997"/>
      <c r="CF61" s="1997"/>
      <c r="CG61" s="1997"/>
      <c r="CH61" s="1997"/>
      <c r="CI61" s="1997"/>
      <c r="CJ61" s="1997"/>
      <c r="CK61" s="1997"/>
      <c r="CL61" s="1997"/>
      <c r="CM61" s="1997"/>
      <c r="CN61" s="1997"/>
      <c r="CO61" s="1997"/>
      <c r="CP61" s="1997"/>
      <c r="CQ61" s="1997"/>
      <c r="CR61" s="1997"/>
      <c r="CS61" s="1997"/>
      <c r="CT61" s="1997"/>
      <c r="CU61" s="1997"/>
      <c r="CV61" s="1997"/>
      <c r="CW61" s="1997"/>
      <c r="CX61" s="1997"/>
      <c r="CY61" s="1997"/>
      <c r="CZ61" s="1997"/>
      <c r="DA61" s="1997"/>
      <c r="DB61" s="1997"/>
      <c r="DC61" s="1997"/>
      <c r="DD61" s="1997"/>
      <c r="DE61" s="1997"/>
      <c r="DF61" s="1997"/>
      <c r="DG61" s="1997"/>
      <c r="DH61" s="1997"/>
      <c r="DI61" s="1997"/>
      <c r="DJ61" s="1997"/>
      <c r="DK61" s="1997"/>
      <c r="DL61" s="1997"/>
      <c r="DM61" s="1997"/>
      <c r="DN61" s="1997"/>
      <c r="DO61" s="1997"/>
      <c r="DP61" s="1997"/>
      <c r="DQ61" s="1997"/>
      <c r="DR61" s="1997"/>
      <c r="DS61" s="1997"/>
      <c r="DT61" s="1997"/>
      <c r="DU61" s="1997"/>
      <c r="DV61" s="1997"/>
      <c r="DW61" s="1997"/>
      <c r="DX61" s="1997"/>
      <c r="DY61" s="1997"/>
      <c r="DZ61" s="1997"/>
      <c r="EA61" s="1997"/>
      <c r="EB61" s="1997"/>
      <c r="EC61" s="1997"/>
      <c r="ED61" s="1997"/>
      <c r="EE61" s="1997"/>
      <c r="EF61" s="1997"/>
      <c r="EG61" s="1997"/>
      <c r="EH61" s="1997"/>
      <c r="EI61" s="1997"/>
      <c r="EJ61" s="1997"/>
      <c r="EK61" s="1997"/>
      <c r="EL61" s="1997"/>
      <c r="EM61" s="1997"/>
      <c r="EN61" s="1997"/>
      <c r="EO61" s="1997"/>
      <c r="EP61" s="1997"/>
      <c r="EQ61" s="1997"/>
      <c r="ER61" s="1997"/>
      <c r="ES61" s="1997"/>
      <c r="ET61" s="1997"/>
      <c r="EU61" s="1997"/>
      <c r="EV61" s="1997"/>
      <c r="EW61" s="1997"/>
      <c r="EX61" s="1997"/>
      <c r="EY61" s="1997"/>
      <c r="EZ61" s="1997"/>
      <c r="FA61" s="1997"/>
      <c r="FB61" s="1997"/>
      <c r="FC61" s="1997"/>
      <c r="FD61" s="1997"/>
      <c r="FE61" s="1997"/>
      <c r="FF61" s="1997"/>
      <c r="FG61" s="1997"/>
      <c r="FH61" s="1997"/>
      <c r="FI61" s="1997"/>
      <c r="FJ61" s="1997"/>
      <c r="FK61" s="1997"/>
      <c r="FL61" s="1997"/>
      <c r="FM61" s="1997"/>
      <c r="FN61" s="1997"/>
      <c r="FO61" s="1997"/>
      <c r="FP61" s="1997"/>
      <c r="FQ61" s="1997"/>
      <c r="FR61" s="1997"/>
      <c r="FS61" s="1997"/>
      <c r="FT61" s="1997"/>
      <c r="FU61" s="1997"/>
      <c r="FV61" s="1997"/>
      <c r="FW61" s="1997"/>
      <c r="FX61" s="1997"/>
      <c r="FY61" s="1997"/>
      <c r="FZ61" s="1997"/>
      <c r="GA61" s="1997"/>
      <c r="GB61" s="1997"/>
      <c r="GC61" s="1997"/>
      <c r="GD61" s="1997"/>
      <c r="GE61" s="1997"/>
      <c r="GF61" s="1997"/>
      <c r="GG61" s="1997"/>
      <c r="GH61" s="1997"/>
      <c r="GI61" s="1997"/>
      <c r="GJ61" s="1997"/>
      <c r="GK61" s="1997"/>
      <c r="GL61" s="1997"/>
      <c r="GM61" s="1997"/>
      <c r="GN61" s="1997"/>
      <c r="GO61" s="1997"/>
      <c r="GP61" s="1997"/>
      <c r="GQ61" s="1997"/>
      <c r="GR61" s="1997"/>
      <c r="GS61" s="1997"/>
      <c r="GT61" s="1997"/>
      <c r="GU61" s="1997"/>
      <c r="GV61" s="1997"/>
      <c r="GW61" s="1997"/>
      <c r="GX61" s="1997"/>
      <c r="GY61" s="1997"/>
      <c r="GZ61" s="1997"/>
      <c r="HA61" s="1997"/>
      <c r="HB61" s="1997"/>
      <c r="HC61" s="1997"/>
      <c r="HD61" s="1997"/>
      <c r="HE61" s="1997"/>
      <c r="HF61" s="1997"/>
      <c r="HG61" s="1997"/>
      <c r="HH61" s="1997"/>
      <c r="HI61" s="1997"/>
      <c r="HJ61" s="1997"/>
      <c r="HK61" s="1997"/>
      <c r="HL61" s="1997"/>
      <c r="HM61" s="1997"/>
      <c r="HN61" s="1997"/>
      <c r="HO61" s="1997"/>
      <c r="HP61" s="1997"/>
      <c r="HQ61" s="1997"/>
      <c r="HR61" s="1997"/>
      <c r="HS61" s="1997"/>
      <c r="HT61" s="1997"/>
      <c r="HU61" s="1997"/>
      <c r="HV61" s="1997"/>
      <c r="HW61" s="1997"/>
      <c r="HX61" s="1997"/>
      <c r="HY61" s="1997"/>
      <c r="HZ61" s="1997"/>
      <c r="IA61" s="1997"/>
      <c r="IB61" s="1997"/>
      <c r="IC61" s="1997"/>
      <c r="ID61" s="1997"/>
      <c r="IE61" s="1997"/>
      <c r="IF61" s="1997"/>
      <c r="IG61" s="1997"/>
      <c r="IH61" s="1997"/>
      <c r="II61" s="1997"/>
      <c r="IJ61" s="1997"/>
      <c r="IK61" s="1997"/>
      <c r="IL61" s="1997"/>
      <c r="IM61" s="1997"/>
      <c r="IN61" s="1997"/>
      <c r="IO61" s="1997"/>
      <c r="IP61" s="1997"/>
      <c r="IQ61" s="1997"/>
    </row>
    <row r="62" spans="1:251" hidden="1">
      <c r="A62" s="1993"/>
      <c r="B62" s="1998"/>
      <c r="C62" s="1998"/>
      <c r="D62" s="2034"/>
      <c r="E62" s="1998"/>
      <c r="F62" s="1940">
        <f t="shared" si="14"/>
        <v>0</v>
      </c>
      <c r="G62" s="1993"/>
      <c r="H62" s="1940">
        <f t="shared" si="23"/>
        <v>0</v>
      </c>
      <c r="I62" s="1993"/>
      <c r="J62" s="1940">
        <f t="shared" si="5"/>
        <v>0</v>
      </c>
      <c r="K62" s="1993"/>
      <c r="L62" s="1940">
        <f t="shared" si="24"/>
        <v>0</v>
      </c>
      <c r="M62" s="1940">
        <f t="shared" si="25"/>
        <v>0</v>
      </c>
      <c r="N62" s="1940">
        <f t="shared" si="26"/>
        <v>0</v>
      </c>
      <c r="O62" s="1993"/>
      <c r="P62" s="1993"/>
      <c r="Q62" s="1940">
        <f t="shared" si="27"/>
        <v>0</v>
      </c>
      <c r="R62" s="1940">
        <f t="shared" si="9"/>
        <v>0</v>
      </c>
      <c r="S62" s="1940">
        <f t="shared" si="28"/>
        <v>0</v>
      </c>
      <c r="T62" s="1940">
        <f t="shared" si="29"/>
        <v>0</v>
      </c>
      <c r="U62" s="1940">
        <f t="shared" si="30"/>
        <v>0</v>
      </c>
      <c r="V62" s="1997"/>
      <c r="W62" s="1997"/>
      <c r="X62" s="1997"/>
      <c r="Y62" s="1997"/>
      <c r="Z62" s="1997"/>
      <c r="AA62" s="1997"/>
      <c r="AB62" s="1997"/>
      <c r="AC62" s="1997"/>
      <c r="AD62" s="1997"/>
      <c r="AE62" s="1997"/>
      <c r="AF62" s="1997"/>
      <c r="AG62" s="1997"/>
      <c r="AH62" s="1997"/>
      <c r="AI62" s="1997"/>
      <c r="AJ62" s="1997"/>
      <c r="AK62" s="1997"/>
      <c r="AL62" s="1997"/>
      <c r="AM62" s="1997"/>
      <c r="AN62" s="1997"/>
      <c r="AO62" s="1997"/>
      <c r="AP62" s="1997"/>
      <c r="AQ62" s="1997"/>
      <c r="AR62" s="1997"/>
      <c r="AS62" s="1997"/>
      <c r="AT62" s="1997"/>
      <c r="AU62" s="1997"/>
      <c r="AV62" s="1997"/>
      <c r="AW62" s="1997"/>
      <c r="AX62" s="1997"/>
      <c r="AY62" s="1997"/>
      <c r="AZ62" s="1997"/>
      <c r="BA62" s="1997"/>
      <c r="BB62" s="1997"/>
      <c r="BC62" s="1997"/>
      <c r="BD62" s="1997"/>
      <c r="BE62" s="1997"/>
      <c r="BF62" s="1997"/>
      <c r="BG62" s="1997"/>
      <c r="BH62" s="1997"/>
      <c r="BI62" s="1997"/>
      <c r="BJ62" s="1997"/>
      <c r="BK62" s="1997"/>
      <c r="BL62" s="1997"/>
      <c r="BM62" s="1997"/>
      <c r="BN62" s="1997"/>
      <c r="BO62" s="1997"/>
      <c r="BP62" s="1997"/>
      <c r="BQ62" s="1997"/>
      <c r="BR62" s="1997"/>
      <c r="BS62" s="1997"/>
      <c r="BT62" s="1997"/>
      <c r="BU62" s="1997"/>
      <c r="BV62" s="1997"/>
      <c r="BW62" s="1997"/>
      <c r="BX62" s="1997"/>
      <c r="BY62" s="1997"/>
      <c r="BZ62" s="1997"/>
      <c r="CA62" s="1997"/>
      <c r="CB62" s="1997"/>
      <c r="CC62" s="1997"/>
      <c r="CD62" s="1997"/>
      <c r="CE62" s="1997"/>
      <c r="CF62" s="1997"/>
      <c r="CG62" s="1997"/>
      <c r="CH62" s="1997"/>
      <c r="CI62" s="1997"/>
      <c r="CJ62" s="1997"/>
      <c r="CK62" s="1997"/>
      <c r="CL62" s="1997"/>
      <c r="CM62" s="1997"/>
      <c r="CN62" s="1997"/>
      <c r="CO62" s="1997"/>
      <c r="CP62" s="1997"/>
      <c r="CQ62" s="1997"/>
      <c r="CR62" s="1997"/>
      <c r="CS62" s="1997"/>
      <c r="CT62" s="1997"/>
      <c r="CU62" s="1997"/>
      <c r="CV62" s="1997"/>
      <c r="CW62" s="1997"/>
      <c r="CX62" s="1997"/>
      <c r="CY62" s="1997"/>
      <c r="CZ62" s="1997"/>
      <c r="DA62" s="1997"/>
      <c r="DB62" s="1997"/>
      <c r="DC62" s="1997"/>
      <c r="DD62" s="1997"/>
      <c r="DE62" s="1997"/>
      <c r="DF62" s="1997"/>
      <c r="DG62" s="1997"/>
      <c r="DH62" s="1997"/>
      <c r="DI62" s="1997"/>
      <c r="DJ62" s="1997"/>
      <c r="DK62" s="1997"/>
      <c r="DL62" s="1997"/>
      <c r="DM62" s="1997"/>
      <c r="DN62" s="1997"/>
      <c r="DO62" s="1997"/>
      <c r="DP62" s="1997"/>
      <c r="DQ62" s="1997"/>
      <c r="DR62" s="1997"/>
      <c r="DS62" s="1997"/>
      <c r="DT62" s="1997"/>
      <c r="DU62" s="1997"/>
      <c r="DV62" s="1997"/>
      <c r="DW62" s="1997"/>
      <c r="DX62" s="1997"/>
      <c r="DY62" s="1997"/>
      <c r="DZ62" s="1997"/>
      <c r="EA62" s="1997"/>
      <c r="EB62" s="1997"/>
      <c r="EC62" s="1997"/>
      <c r="ED62" s="1997"/>
      <c r="EE62" s="1997"/>
      <c r="EF62" s="1997"/>
      <c r="EG62" s="1997"/>
      <c r="EH62" s="1997"/>
      <c r="EI62" s="1997"/>
      <c r="EJ62" s="1997"/>
      <c r="EK62" s="1997"/>
      <c r="EL62" s="1997"/>
      <c r="EM62" s="1997"/>
      <c r="EN62" s="1997"/>
      <c r="EO62" s="1997"/>
      <c r="EP62" s="1997"/>
      <c r="EQ62" s="1997"/>
      <c r="ER62" s="1997"/>
      <c r="ES62" s="1997"/>
      <c r="ET62" s="1997"/>
      <c r="EU62" s="1997"/>
      <c r="EV62" s="1997"/>
      <c r="EW62" s="1997"/>
      <c r="EX62" s="1997"/>
      <c r="EY62" s="1997"/>
      <c r="EZ62" s="1997"/>
      <c r="FA62" s="1997"/>
      <c r="FB62" s="1997"/>
      <c r="FC62" s="1997"/>
      <c r="FD62" s="1997"/>
      <c r="FE62" s="1997"/>
      <c r="FF62" s="1997"/>
      <c r="FG62" s="1997"/>
      <c r="FH62" s="1997"/>
      <c r="FI62" s="1997"/>
      <c r="FJ62" s="1997"/>
      <c r="FK62" s="1997"/>
      <c r="FL62" s="1997"/>
      <c r="FM62" s="1997"/>
      <c r="FN62" s="1997"/>
      <c r="FO62" s="1997"/>
      <c r="FP62" s="1997"/>
      <c r="FQ62" s="1997"/>
      <c r="FR62" s="1997"/>
      <c r="FS62" s="1997"/>
      <c r="FT62" s="1997"/>
      <c r="FU62" s="1997"/>
      <c r="FV62" s="1997"/>
      <c r="FW62" s="1997"/>
      <c r="FX62" s="1997"/>
      <c r="FY62" s="1997"/>
      <c r="FZ62" s="1997"/>
      <c r="GA62" s="1997"/>
      <c r="GB62" s="1997"/>
      <c r="GC62" s="1997"/>
      <c r="GD62" s="1997"/>
      <c r="GE62" s="1997"/>
      <c r="GF62" s="1997"/>
      <c r="GG62" s="1997"/>
      <c r="GH62" s="1997"/>
      <c r="GI62" s="1997"/>
      <c r="GJ62" s="1997"/>
      <c r="GK62" s="1997"/>
      <c r="GL62" s="1997"/>
      <c r="GM62" s="1997"/>
      <c r="GN62" s="1997"/>
      <c r="GO62" s="1997"/>
      <c r="GP62" s="1997"/>
      <c r="GQ62" s="1997"/>
      <c r="GR62" s="1997"/>
      <c r="GS62" s="1997"/>
      <c r="GT62" s="1997"/>
      <c r="GU62" s="1997"/>
      <c r="GV62" s="1997"/>
      <c r="GW62" s="1997"/>
      <c r="GX62" s="1997"/>
      <c r="GY62" s="1997"/>
      <c r="GZ62" s="1997"/>
      <c r="HA62" s="1997"/>
      <c r="HB62" s="1997"/>
      <c r="HC62" s="1997"/>
      <c r="HD62" s="1997"/>
      <c r="HE62" s="1997"/>
      <c r="HF62" s="1997"/>
      <c r="HG62" s="1997"/>
      <c r="HH62" s="1997"/>
      <c r="HI62" s="1997"/>
      <c r="HJ62" s="1997"/>
      <c r="HK62" s="1997"/>
      <c r="HL62" s="1997"/>
      <c r="HM62" s="1997"/>
      <c r="HN62" s="1997"/>
      <c r="HO62" s="1997"/>
      <c r="HP62" s="1997"/>
      <c r="HQ62" s="1997"/>
      <c r="HR62" s="1997"/>
      <c r="HS62" s="1997"/>
      <c r="HT62" s="1997"/>
      <c r="HU62" s="1997"/>
      <c r="HV62" s="1997"/>
      <c r="HW62" s="1997"/>
      <c r="HX62" s="1997"/>
      <c r="HY62" s="1997"/>
      <c r="HZ62" s="1997"/>
      <c r="IA62" s="1997"/>
      <c r="IB62" s="1997"/>
      <c r="IC62" s="1997"/>
      <c r="ID62" s="1997"/>
      <c r="IE62" s="1997"/>
      <c r="IF62" s="1997"/>
      <c r="IG62" s="1997"/>
      <c r="IH62" s="1997"/>
      <c r="II62" s="1997"/>
      <c r="IJ62" s="1997"/>
      <c r="IK62" s="1997"/>
      <c r="IL62" s="1997"/>
      <c r="IM62" s="1997"/>
      <c r="IN62" s="1997"/>
      <c r="IO62" s="1997"/>
      <c r="IP62" s="1997"/>
      <c r="IQ62" s="1997"/>
    </row>
    <row r="63" spans="1:251" hidden="1">
      <c r="A63" s="1993"/>
      <c r="B63" s="1998"/>
      <c r="C63" s="1998"/>
      <c r="D63" s="2034"/>
      <c r="E63" s="1998"/>
      <c r="F63" s="1940">
        <f t="shared" si="14"/>
        <v>0</v>
      </c>
      <c r="G63" s="1993"/>
      <c r="H63" s="1940">
        <f t="shared" si="23"/>
        <v>0</v>
      </c>
      <c r="I63" s="1993"/>
      <c r="J63" s="1940">
        <f t="shared" si="5"/>
        <v>0</v>
      </c>
      <c r="K63" s="1993"/>
      <c r="L63" s="1940">
        <f t="shared" si="24"/>
        <v>0</v>
      </c>
      <c r="M63" s="1940">
        <f t="shared" si="25"/>
        <v>0</v>
      </c>
      <c r="N63" s="1940">
        <f t="shared" si="26"/>
        <v>0</v>
      </c>
      <c r="O63" s="1993"/>
      <c r="P63" s="1993"/>
      <c r="Q63" s="1940">
        <f t="shared" si="27"/>
        <v>0</v>
      </c>
      <c r="R63" s="1940">
        <f t="shared" si="9"/>
        <v>0</v>
      </c>
      <c r="S63" s="1940">
        <f t="shared" si="28"/>
        <v>0</v>
      </c>
      <c r="T63" s="1940">
        <f t="shared" si="29"/>
        <v>0</v>
      </c>
      <c r="U63" s="1940">
        <f t="shared" si="30"/>
        <v>0</v>
      </c>
      <c r="V63" s="1997"/>
      <c r="W63" s="1997"/>
      <c r="X63" s="1997"/>
      <c r="Y63" s="1997"/>
      <c r="Z63" s="1997"/>
      <c r="AA63" s="1997"/>
      <c r="AB63" s="1997"/>
      <c r="AC63" s="1997"/>
      <c r="AD63" s="1997"/>
      <c r="AE63" s="1997"/>
      <c r="AF63" s="1997"/>
      <c r="AG63" s="1997"/>
      <c r="AH63" s="1997"/>
      <c r="AI63" s="1997"/>
      <c r="AJ63" s="1997"/>
      <c r="AK63" s="1997"/>
      <c r="AL63" s="1997"/>
      <c r="AM63" s="1997"/>
      <c r="AN63" s="1997"/>
      <c r="AO63" s="1997"/>
      <c r="AP63" s="1997"/>
      <c r="AQ63" s="1997"/>
      <c r="AR63" s="1997"/>
      <c r="AS63" s="1997"/>
      <c r="AT63" s="1997"/>
      <c r="AU63" s="1997"/>
      <c r="AV63" s="1997"/>
      <c r="AW63" s="1997"/>
      <c r="AX63" s="1997"/>
      <c r="AY63" s="1997"/>
      <c r="AZ63" s="1997"/>
      <c r="BA63" s="1997"/>
      <c r="BB63" s="1997"/>
      <c r="BC63" s="1997"/>
      <c r="BD63" s="1997"/>
      <c r="BE63" s="1997"/>
      <c r="BF63" s="1997"/>
      <c r="BG63" s="1997"/>
      <c r="BH63" s="1997"/>
      <c r="BI63" s="1997"/>
      <c r="BJ63" s="1997"/>
      <c r="BK63" s="1997"/>
      <c r="BL63" s="1997"/>
      <c r="BM63" s="1997"/>
      <c r="BN63" s="1997"/>
      <c r="BO63" s="1997"/>
      <c r="BP63" s="1997"/>
      <c r="BQ63" s="1997"/>
      <c r="BR63" s="1997"/>
      <c r="BS63" s="1997"/>
      <c r="BT63" s="1997"/>
      <c r="BU63" s="1997"/>
      <c r="BV63" s="1997"/>
      <c r="BW63" s="1997"/>
      <c r="BX63" s="1997"/>
      <c r="BY63" s="1997"/>
      <c r="BZ63" s="1997"/>
      <c r="CA63" s="1997"/>
      <c r="CB63" s="1997"/>
      <c r="CC63" s="1997"/>
      <c r="CD63" s="1997"/>
      <c r="CE63" s="1997"/>
      <c r="CF63" s="1997"/>
      <c r="CG63" s="1997"/>
      <c r="CH63" s="1997"/>
      <c r="CI63" s="1997"/>
      <c r="CJ63" s="1997"/>
      <c r="CK63" s="1997"/>
      <c r="CL63" s="1997"/>
      <c r="CM63" s="1997"/>
      <c r="CN63" s="1997"/>
      <c r="CO63" s="1997"/>
      <c r="CP63" s="1997"/>
      <c r="CQ63" s="1997"/>
      <c r="CR63" s="1997"/>
      <c r="CS63" s="1997"/>
      <c r="CT63" s="1997"/>
      <c r="CU63" s="1997"/>
      <c r="CV63" s="1997"/>
      <c r="CW63" s="1997"/>
      <c r="CX63" s="1997"/>
      <c r="CY63" s="1997"/>
      <c r="CZ63" s="1997"/>
      <c r="DA63" s="1997"/>
      <c r="DB63" s="1997"/>
      <c r="DC63" s="1997"/>
      <c r="DD63" s="1997"/>
      <c r="DE63" s="1997"/>
      <c r="DF63" s="1997"/>
      <c r="DG63" s="1997"/>
      <c r="DH63" s="1997"/>
      <c r="DI63" s="1997"/>
      <c r="DJ63" s="1997"/>
      <c r="DK63" s="1997"/>
      <c r="DL63" s="1997"/>
      <c r="DM63" s="1997"/>
      <c r="DN63" s="1997"/>
      <c r="DO63" s="1997"/>
      <c r="DP63" s="1997"/>
      <c r="DQ63" s="1997"/>
      <c r="DR63" s="1997"/>
      <c r="DS63" s="1997"/>
      <c r="DT63" s="1997"/>
      <c r="DU63" s="1997"/>
      <c r="DV63" s="1997"/>
      <c r="DW63" s="1997"/>
      <c r="DX63" s="1997"/>
      <c r="DY63" s="1997"/>
      <c r="DZ63" s="1997"/>
      <c r="EA63" s="1997"/>
      <c r="EB63" s="1997"/>
      <c r="EC63" s="1997"/>
      <c r="ED63" s="1997"/>
      <c r="EE63" s="1997"/>
      <c r="EF63" s="1997"/>
      <c r="EG63" s="1997"/>
      <c r="EH63" s="1997"/>
      <c r="EI63" s="1997"/>
      <c r="EJ63" s="1997"/>
      <c r="EK63" s="1997"/>
      <c r="EL63" s="1997"/>
      <c r="EM63" s="1997"/>
      <c r="EN63" s="1997"/>
      <c r="EO63" s="1997"/>
      <c r="EP63" s="1997"/>
      <c r="EQ63" s="1997"/>
      <c r="ER63" s="1997"/>
      <c r="ES63" s="1997"/>
      <c r="ET63" s="1997"/>
      <c r="EU63" s="1997"/>
      <c r="EV63" s="1997"/>
      <c r="EW63" s="1997"/>
      <c r="EX63" s="1997"/>
      <c r="EY63" s="1997"/>
      <c r="EZ63" s="1997"/>
      <c r="FA63" s="1997"/>
      <c r="FB63" s="1997"/>
      <c r="FC63" s="1997"/>
      <c r="FD63" s="1997"/>
      <c r="FE63" s="1997"/>
      <c r="FF63" s="1997"/>
      <c r="FG63" s="1997"/>
      <c r="FH63" s="1997"/>
      <c r="FI63" s="1997"/>
      <c r="FJ63" s="1997"/>
      <c r="FK63" s="1997"/>
      <c r="FL63" s="1997"/>
      <c r="FM63" s="1997"/>
      <c r="FN63" s="1997"/>
      <c r="FO63" s="1997"/>
      <c r="FP63" s="1997"/>
      <c r="FQ63" s="1997"/>
      <c r="FR63" s="1997"/>
      <c r="FS63" s="1997"/>
      <c r="FT63" s="1997"/>
      <c r="FU63" s="1997"/>
      <c r="FV63" s="1997"/>
      <c r="FW63" s="1997"/>
      <c r="FX63" s="1997"/>
      <c r="FY63" s="1997"/>
      <c r="FZ63" s="1997"/>
      <c r="GA63" s="1997"/>
      <c r="GB63" s="1997"/>
      <c r="GC63" s="1997"/>
      <c r="GD63" s="1997"/>
      <c r="GE63" s="1997"/>
      <c r="GF63" s="1997"/>
      <c r="GG63" s="1997"/>
      <c r="GH63" s="1997"/>
      <c r="GI63" s="1997"/>
      <c r="GJ63" s="1997"/>
      <c r="GK63" s="1997"/>
      <c r="GL63" s="1997"/>
      <c r="GM63" s="1997"/>
      <c r="GN63" s="1997"/>
      <c r="GO63" s="1997"/>
      <c r="GP63" s="1997"/>
      <c r="GQ63" s="1997"/>
      <c r="GR63" s="1997"/>
      <c r="GS63" s="1997"/>
      <c r="GT63" s="1997"/>
      <c r="GU63" s="1997"/>
      <c r="GV63" s="1997"/>
      <c r="GW63" s="1997"/>
      <c r="GX63" s="1997"/>
      <c r="GY63" s="1997"/>
      <c r="GZ63" s="1997"/>
      <c r="HA63" s="1997"/>
      <c r="HB63" s="1997"/>
      <c r="HC63" s="1997"/>
      <c r="HD63" s="1997"/>
      <c r="HE63" s="1997"/>
      <c r="HF63" s="1997"/>
      <c r="HG63" s="1997"/>
      <c r="HH63" s="1997"/>
      <c r="HI63" s="1997"/>
      <c r="HJ63" s="1997"/>
      <c r="HK63" s="1997"/>
      <c r="HL63" s="1997"/>
      <c r="HM63" s="1997"/>
      <c r="HN63" s="1997"/>
      <c r="HO63" s="1997"/>
      <c r="HP63" s="1997"/>
      <c r="HQ63" s="1997"/>
      <c r="HR63" s="1997"/>
      <c r="HS63" s="1997"/>
      <c r="HT63" s="1997"/>
      <c r="HU63" s="1997"/>
      <c r="HV63" s="1997"/>
      <c r="HW63" s="1997"/>
      <c r="HX63" s="1997"/>
      <c r="HY63" s="1997"/>
      <c r="HZ63" s="1997"/>
      <c r="IA63" s="1997"/>
      <c r="IB63" s="1997"/>
      <c r="IC63" s="1997"/>
      <c r="ID63" s="1997"/>
      <c r="IE63" s="1997"/>
      <c r="IF63" s="1997"/>
      <c r="IG63" s="1997"/>
      <c r="IH63" s="1997"/>
      <c r="II63" s="1997"/>
      <c r="IJ63" s="1997"/>
      <c r="IK63" s="1997"/>
      <c r="IL63" s="1997"/>
      <c r="IM63" s="1997"/>
      <c r="IN63" s="1997"/>
      <c r="IO63" s="1997"/>
      <c r="IP63" s="1997"/>
      <c r="IQ63" s="1997"/>
    </row>
    <row r="64" spans="1:251" ht="30" hidden="1">
      <c r="A64" s="1993"/>
      <c r="B64" s="1993" t="s">
        <v>525</v>
      </c>
      <c r="C64" s="1993"/>
      <c r="D64" s="2021">
        <f>SUM(D65:D100)</f>
        <v>0</v>
      </c>
      <c r="E64" s="1993"/>
      <c r="F64" s="1940">
        <f>SUM(F65:F100)</f>
        <v>0</v>
      </c>
      <c r="G64" s="1993"/>
      <c r="H64" s="1940">
        <f>SUM(H65:H100)</f>
        <v>0</v>
      </c>
      <c r="I64" s="1993"/>
      <c r="J64" s="1940">
        <f>SUM(J65:J100)</f>
        <v>0</v>
      </c>
      <c r="K64" s="1993"/>
      <c r="L64" s="1940">
        <f t="shared" ref="L64:U64" si="31">SUM(L65:L100)</f>
        <v>0</v>
      </c>
      <c r="M64" s="1940">
        <f t="shared" si="31"/>
        <v>0</v>
      </c>
      <c r="N64" s="1940">
        <f t="shared" si="31"/>
        <v>0</v>
      </c>
      <c r="O64" s="1940">
        <f t="shared" si="31"/>
        <v>0</v>
      </c>
      <c r="P64" s="1940">
        <f t="shared" si="31"/>
        <v>0</v>
      </c>
      <c r="Q64" s="1940">
        <f t="shared" si="31"/>
        <v>0</v>
      </c>
      <c r="R64" s="1940">
        <f t="shared" si="31"/>
        <v>0</v>
      </c>
      <c r="S64" s="1940">
        <f t="shared" si="31"/>
        <v>0</v>
      </c>
      <c r="T64" s="1940">
        <f t="shared" si="31"/>
        <v>0</v>
      </c>
      <c r="U64" s="1940">
        <f t="shared" si="31"/>
        <v>0</v>
      </c>
      <c r="V64" s="1992"/>
      <c r="W64" s="1992"/>
      <c r="X64" s="1992"/>
      <c r="Y64" s="1992"/>
      <c r="Z64" s="1992"/>
      <c r="AA64" s="1992"/>
      <c r="AB64" s="1992"/>
      <c r="AC64" s="1992"/>
      <c r="AD64" s="1992"/>
      <c r="AE64" s="1992"/>
      <c r="AF64" s="1992"/>
      <c r="AG64" s="1992"/>
      <c r="AH64" s="1992"/>
      <c r="AI64" s="1992"/>
      <c r="AJ64" s="1992"/>
      <c r="AK64" s="1992"/>
      <c r="AL64" s="1992"/>
      <c r="AM64" s="1992"/>
      <c r="AN64" s="1992"/>
      <c r="AO64" s="1992"/>
      <c r="AP64" s="1992"/>
      <c r="AQ64" s="1992"/>
      <c r="AR64" s="1992"/>
      <c r="AS64" s="1992"/>
      <c r="AT64" s="1992"/>
      <c r="AU64" s="1992"/>
      <c r="AV64" s="1992"/>
      <c r="AW64" s="1992"/>
      <c r="AX64" s="1992"/>
      <c r="AY64" s="1992"/>
      <c r="AZ64" s="1992"/>
      <c r="BA64" s="1992"/>
      <c r="BB64" s="1992"/>
      <c r="BC64" s="1992"/>
      <c r="BD64" s="1992"/>
      <c r="BE64" s="1992"/>
      <c r="BF64" s="1992"/>
      <c r="BG64" s="1992"/>
      <c r="BH64" s="1992"/>
      <c r="BI64" s="1992"/>
      <c r="BJ64" s="1992"/>
      <c r="BK64" s="1992"/>
      <c r="BL64" s="1992"/>
      <c r="BM64" s="1992"/>
      <c r="BN64" s="1992"/>
      <c r="BO64" s="1992"/>
      <c r="BP64" s="1992"/>
      <c r="BQ64" s="1992"/>
      <c r="BR64" s="1992"/>
      <c r="BS64" s="1992"/>
      <c r="BT64" s="1992"/>
      <c r="BU64" s="1992"/>
      <c r="BV64" s="1992"/>
      <c r="BW64" s="1992"/>
      <c r="BX64" s="1992"/>
      <c r="BY64" s="1992"/>
      <c r="BZ64" s="1992"/>
      <c r="CA64" s="1992"/>
      <c r="CB64" s="1992"/>
      <c r="CC64" s="1992"/>
      <c r="CD64" s="1992"/>
      <c r="CE64" s="1992"/>
      <c r="CF64" s="1992"/>
      <c r="CG64" s="1992"/>
      <c r="CH64" s="1992"/>
      <c r="CI64" s="1992"/>
      <c r="CJ64" s="1992"/>
      <c r="CK64" s="1992"/>
      <c r="CL64" s="1992"/>
      <c r="CM64" s="1992"/>
      <c r="CN64" s="1992"/>
      <c r="CO64" s="1992"/>
      <c r="CP64" s="1992"/>
      <c r="CQ64" s="1992"/>
      <c r="CR64" s="1992"/>
      <c r="CS64" s="1992"/>
      <c r="CT64" s="1992"/>
      <c r="CU64" s="1992"/>
      <c r="CV64" s="1992"/>
      <c r="CW64" s="1992"/>
      <c r="CX64" s="1992"/>
      <c r="CY64" s="1992"/>
      <c r="CZ64" s="1992"/>
      <c r="DA64" s="1992"/>
      <c r="DB64" s="1992"/>
      <c r="DC64" s="1992"/>
      <c r="DD64" s="1992"/>
      <c r="DE64" s="1992"/>
      <c r="DF64" s="1992"/>
      <c r="DG64" s="1992"/>
      <c r="DH64" s="1992"/>
      <c r="DI64" s="1992"/>
      <c r="DJ64" s="1992"/>
      <c r="DK64" s="1992"/>
      <c r="DL64" s="1992"/>
      <c r="DM64" s="1992"/>
      <c r="DN64" s="1992"/>
      <c r="DO64" s="1992"/>
      <c r="DP64" s="1992"/>
      <c r="DQ64" s="1992"/>
      <c r="DR64" s="1992"/>
      <c r="DS64" s="1992"/>
      <c r="DT64" s="1992"/>
      <c r="DU64" s="1992"/>
      <c r="DV64" s="1992"/>
      <c r="DW64" s="1992"/>
      <c r="DX64" s="1992"/>
      <c r="DY64" s="1992"/>
      <c r="DZ64" s="1992"/>
      <c r="EA64" s="1992"/>
      <c r="EB64" s="1992"/>
      <c r="EC64" s="1992"/>
      <c r="ED64" s="1992"/>
      <c r="EE64" s="1992"/>
      <c r="EF64" s="1992"/>
      <c r="EG64" s="1992"/>
      <c r="EH64" s="1992"/>
      <c r="EI64" s="1992"/>
      <c r="EJ64" s="1992"/>
      <c r="EK64" s="1992"/>
      <c r="EL64" s="1992"/>
      <c r="EM64" s="1992"/>
      <c r="EN64" s="1992"/>
      <c r="EO64" s="1992"/>
      <c r="EP64" s="1992"/>
      <c r="EQ64" s="1992"/>
      <c r="ER64" s="1992"/>
      <c r="ES64" s="1992"/>
      <c r="ET64" s="1992"/>
      <c r="EU64" s="1992"/>
      <c r="EV64" s="1992"/>
      <c r="EW64" s="1992"/>
      <c r="EX64" s="1992"/>
      <c r="EY64" s="1992"/>
      <c r="EZ64" s="1992"/>
      <c r="FA64" s="1992"/>
      <c r="FB64" s="1992"/>
      <c r="FC64" s="1992"/>
      <c r="FD64" s="1992"/>
      <c r="FE64" s="1992"/>
      <c r="FF64" s="1992"/>
      <c r="FG64" s="1992"/>
      <c r="FH64" s="1992"/>
      <c r="FI64" s="1992"/>
      <c r="FJ64" s="1992"/>
      <c r="FK64" s="1992"/>
      <c r="FL64" s="1992"/>
      <c r="FM64" s="1992"/>
      <c r="FN64" s="1992"/>
      <c r="FO64" s="1992"/>
      <c r="FP64" s="1992"/>
      <c r="FQ64" s="1992"/>
      <c r="FR64" s="1992"/>
      <c r="FS64" s="1992"/>
      <c r="FT64" s="1992"/>
      <c r="FU64" s="1992"/>
      <c r="FV64" s="1992"/>
      <c r="FW64" s="1992"/>
      <c r="FX64" s="1992"/>
      <c r="FY64" s="1992"/>
      <c r="FZ64" s="1992"/>
      <c r="GA64" s="1992"/>
      <c r="GB64" s="1992"/>
      <c r="GC64" s="1992"/>
      <c r="GD64" s="1992"/>
      <c r="GE64" s="1992"/>
      <c r="GF64" s="1992"/>
      <c r="GG64" s="1992"/>
      <c r="GH64" s="1992"/>
      <c r="GI64" s="1992"/>
      <c r="GJ64" s="1992"/>
      <c r="GK64" s="1992"/>
      <c r="GL64" s="1992"/>
      <c r="GM64" s="1992"/>
      <c r="GN64" s="1992"/>
      <c r="GO64" s="1992"/>
      <c r="GP64" s="1992"/>
      <c r="GQ64" s="1992"/>
      <c r="GR64" s="1992"/>
      <c r="GS64" s="1992"/>
      <c r="GT64" s="1992"/>
      <c r="GU64" s="1992"/>
      <c r="GV64" s="1992"/>
      <c r="GW64" s="1992"/>
      <c r="GX64" s="1992"/>
      <c r="GY64" s="1992"/>
      <c r="GZ64" s="1992"/>
      <c r="HA64" s="1992"/>
      <c r="HB64" s="1992"/>
      <c r="HC64" s="1992"/>
      <c r="HD64" s="1992"/>
      <c r="HE64" s="1992"/>
      <c r="HF64" s="1992"/>
      <c r="HG64" s="1992"/>
      <c r="HH64" s="1992"/>
      <c r="HI64" s="1992"/>
      <c r="HJ64" s="1992"/>
      <c r="HK64" s="1992"/>
      <c r="HL64" s="1992"/>
      <c r="HM64" s="1992"/>
      <c r="HN64" s="1992"/>
      <c r="HO64" s="1992"/>
      <c r="HP64" s="1992"/>
      <c r="HQ64" s="1992"/>
      <c r="HR64" s="1992"/>
      <c r="HS64" s="1992"/>
      <c r="HT64" s="1992"/>
      <c r="HU64" s="1992"/>
      <c r="HV64" s="1992"/>
      <c r="HW64" s="1992"/>
      <c r="HX64" s="1992"/>
      <c r="HY64" s="1992"/>
      <c r="HZ64" s="1992"/>
      <c r="IA64" s="1992"/>
      <c r="IB64" s="1992"/>
      <c r="IC64" s="1992"/>
      <c r="ID64" s="1992"/>
      <c r="IE64" s="1992"/>
      <c r="IF64" s="1992"/>
      <c r="IG64" s="1992"/>
      <c r="IH64" s="1992"/>
      <c r="II64" s="1992"/>
      <c r="IJ64" s="1992"/>
      <c r="IK64" s="1992"/>
      <c r="IL64" s="1992"/>
      <c r="IM64" s="1992"/>
      <c r="IN64" s="1992"/>
      <c r="IO64" s="1992"/>
      <c r="IP64" s="1992"/>
      <c r="IQ64" s="1992"/>
    </row>
    <row r="65" spans="1:251" hidden="1">
      <c r="A65" s="1993"/>
      <c r="B65" s="1998" t="s">
        <v>526</v>
      </c>
      <c r="C65" s="1998"/>
      <c r="D65" s="2034"/>
      <c r="E65" s="1998"/>
      <c r="F65" s="1940">
        <f>ROUNDUP((E65*$Q$5),-3)</f>
        <v>0</v>
      </c>
      <c r="G65" s="1993"/>
      <c r="H65" s="1940">
        <f>D65*F65*G65</f>
        <v>0</v>
      </c>
      <c r="I65" s="1993"/>
      <c r="J65" s="1940">
        <f>I65*$Q$4</f>
        <v>0</v>
      </c>
      <c r="K65" s="1993"/>
      <c r="L65" s="1940">
        <f>K65*F65</f>
        <v>0</v>
      </c>
      <c r="M65" s="1940">
        <f>D65*G65*(J65+L65)</f>
        <v>0</v>
      </c>
      <c r="N65" s="1940">
        <f>H65+M65</f>
        <v>0</v>
      </c>
      <c r="O65" s="1993"/>
      <c r="P65" s="1993"/>
      <c r="Q65" s="1940">
        <f>N65+O65+P65</f>
        <v>0</v>
      </c>
      <c r="R65" s="1940">
        <f>Q65*10%</f>
        <v>0</v>
      </c>
      <c r="S65" s="1940">
        <f>(Q65-R65)*10%</f>
        <v>0</v>
      </c>
      <c r="T65" s="1940">
        <f>(Q65-R65)*6%</f>
        <v>0</v>
      </c>
      <c r="U65" s="1940">
        <f>(Q65-R65)*5%</f>
        <v>0</v>
      </c>
      <c r="V65" s="1997"/>
      <c r="W65" s="1997"/>
      <c r="X65" s="1997"/>
      <c r="Y65" s="1997"/>
      <c r="Z65" s="1997"/>
      <c r="AA65" s="1997"/>
      <c r="AB65" s="1997"/>
      <c r="AC65" s="1997"/>
      <c r="AD65" s="1997"/>
      <c r="AE65" s="1997"/>
      <c r="AF65" s="1997"/>
      <c r="AG65" s="1997"/>
      <c r="AH65" s="1997"/>
      <c r="AI65" s="1997"/>
      <c r="AJ65" s="1997"/>
      <c r="AK65" s="1997"/>
      <c r="AL65" s="1997"/>
      <c r="AM65" s="1997"/>
      <c r="AN65" s="1997"/>
      <c r="AO65" s="1997"/>
      <c r="AP65" s="1997"/>
      <c r="AQ65" s="1997"/>
      <c r="AR65" s="1997"/>
      <c r="AS65" s="1997"/>
      <c r="AT65" s="1997"/>
      <c r="AU65" s="1997"/>
      <c r="AV65" s="1997"/>
      <c r="AW65" s="1997"/>
      <c r="AX65" s="1997"/>
      <c r="AY65" s="1997"/>
      <c r="AZ65" s="1997"/>
      <c r="BA65" s="1997"/>
      <c r="BB65" s="1997"/>
      <c r="BC65" s="1997"/>
      <c r="BD65" s="1997"/>
      <c r="BE65" s="1997"/>
      <c r="BF65" s="1997"/>
      <c r="BG65" s="1997"/>
      <c r="BH65" s="1997"/>
      <c r="BI65" s="1997"/>
      <c r="BJ65" s="1997"/>
      <c r="BK65" s="1997"/>
      <c r="BL65" s="1997"/>
      <c r="BM65" s="1997"/>
      <c r="BN65" s="1997"/>
      <c r="BO65" s="1997"/>
      <c r="BP65" s="1997"/>
      <c r="BQ65" s="1997"/>
      <c r="BR65" s="1997"/>
      <c r="BS65" s="1997"/>
      <c r="BT65" s="1997"/>
      <c r="BU65" s="1997"/>
      <c r="BV65" s="1997"/>
      <c r="BW65" s="1997"/>
      <c r="BX65" s="1997"/>
      <c r="BY65" s="1997"/>
      <c r="BZ65" s="1997"/>
      <c r="CA65" s="1997"/>
      <c r="CB65" s="1997"/>
      <c r="CC65" s="1997"/>
      <c r="CD65" s="1997"/>
      <c r="CE65" s="1997"/>
      <c r="CF65" s="1997"/>
      <c r="CG65" s="1997"/>
      <c r="CH65" s="1997"/>
      <c r="CI65" s="1997"/>
      <c r="CJ65" s="1997"/>
      <c r="CK65" s="1997"/>
      <c r="CL65" s="1997"/>
      <c r="CM65" s="1997"/>
      <c r="CN65" s="1997"/>
      <c r="CO65" s="1997"/>
      <c r="CP65" s="1997"/>
      <c r="CQ65" s="1997"/>
      <c r="CR65" s="1997"/>
      <c r="CS65" s="1997"/>
      <c r="CT65" s="1997"/>
      <c r="CU65" s="1997"/>
      <c r="CV65" s="1997"/>
      <c r="CW65" s="1997"/>
      <c r="CX65" s="1997"/>
      <c r="CY65" s="1997"/>
      <c r="CZ65" s="1997"/>
      <c r="DA65" s="1997"/>
      <c r="DB65" s="1997"/>
      <c r="DC65" s="1997"/>
      <c r="DD65" s="1997"/>
      <c r="DE65" s="1997"/>
      <c r="DF65" s="1997"/>
      <c r="DG65" s="1997"/>
      <c r="DH65" s="1997"/>
      <c r="DI65" s="1997"/>
      <c r="DJ65" s="1997"/>
      <c r="DK65" s="1997"/>
      <c r="DL65" s="1997"/>
      <c r="DM65" s="1997"/>
      <c r="DN65" s="1997"/>
      <c r="DO65" s="1997"/>
      <c r="DP65" s="1997"/>
      <c r="DQ65" s="1997"/>
      <c r="DR65" s="1997"/>
      <c r="DS65" s="1997"/>
      <c r="DT65" s="1997"/>
      <c r="DU65" s="1997"/>
      <c r="DV65" s="1997"/>
      <c r="DW65" s="1997"/>
      <c r="DX65" s="1997"/>
      <c r="DY65" s="1997"/>
      <c r="DZ65" s="1997"/>
      <c r="EA65" s="1997"/>
      <c r="EB65" s="1997"/>
      <c r="EC65" s="1997"/>
      <c r="ED65" s="1997"/>
      <c r="EE65" s="1997"/>
      <c r="EF65" s="1997"/>
      <c r="EG65" s="1997"/>
      <c r="EH65" s="1997"/>
      <c r="EI65" s="1997"/>
      <c r="EJ65" s="1997"/>
      <c r="EK65" s="1997"/>
      <c r="EL65" s="1997"/>
      <c r="EM65" s="1997"/>
      <c r="EN65" s="1997"/>
      <c r="EO65" s="1997"/>
      <c r="EP65" s="1997"/>
      <c r="EQ65" s="1997"/>
      <c r="ER65" s="1997"/>
      <c r="ES65" s="1997"/>
      <c r="ET65" s="1997"/>
      <c r="EU65" s="1997"/>
      <c r="EV65" s="1997"/>
      <c r="EW65" s="1997"/>
      <c r="EX65" s="1997"/>
      <c r="EY65" s="1997"/>
      <c r="EZ65" s="1997"/>
      <c r="FA65" s="1997"/>
      <c r="FB65" s="1997"/>
      <c r="FC65" s="1997"/>
      <c r="FD65" s="1997"/>
      <c r="FE65" s="1997"/>
      <c r="FF65" s="1997"/>
      <c r="FG65" s="1997"/>
      <c r="FH65" s="1997"/>
      <c r="FI65" s="1997"/>
      <c r="FJ65" s="1997"/>
      <c r="FK65" s="1997"/>
      <c r="FL65" s="1997"/>
      <c r="FM65" s="1997"/>
      <c r="FN65" s="1997"/>
      <c r="FO65" s="1997"/>
      <c r="FP65" s="1997"/>
      <c r="FQ65" s="1997"/>
      <c r="FR65" s="1997"/>
      <c r="FS65" s="1997"/>
      <c r="FT65" s="1997"/>
      <c r="FU65" s="1997"/>
      <c r="FV65" s="1997"/>
      <c r="FW65" s="1997"/>
      <c r="FX65" s="1997"/>
      <c r="FY65" s="1997"/>
      <c r="FZ65" s="1997"/>
      <c r="GA65" s="1997"/>
      <c r="GB65" s="1997"/>
      <c r="GC65" s="1997"/>
      <c r="GD65" s="1997"/>
      <c r="GE65" s="1997"/>
      <c r="GF65" s="1997"/>
      <c r="GG65" s="1997"/>
      <c r="GH65" s="1997"/>
      <c r="GI65" s="1997"/>
      <c r="GJ65" s="1997"/>
      <c r="GK65" s="1997"/>
      <c r="GL65" s="1997"/>
      <c r="GM65" s="1997"/>
      <c r="GN65" s="1997"/>
      <c r="GO65" s="1997"/>
      <c r="GP65" s="1997"/>
      <c r="GQ65" s="1997"/>
      <c r="GR65" s="1997"/>
      <c r="GS65" s="1997"/>
      <c r="GT65" s="1997"/>
      <c r="GU65" s="1997"/>
      <c r="GV65" s="1997"/>
      <c r="GW65" s="1997"/>
      <c r="GX65" s="1997"/>
      <c r="GY65" s="1997"/>
      <c r="GZ65" s="1997"/>
      <c r="HA65" s="1997"/>
      <c r="HB65" s="1997"/>
      <c r="HC65" s="1997"/>
      <c r="HD65" s="1997"/>
      <c r="HE65" s="1997"/>
      <c r="HF65" s="1997"/>
      <c r="HG65" s="1997"/>
      <c r="HH65" s="1997"/>
      <c r="HI65" s="1997"/>
      <c r="HJ65" s="1997"/>
      <c r="HK65" s="1997"/>
      <c r="HL65" s="1997"/>
      <c r="HM65" s="1997"/>
      <c r="HN65" s="1997"/>
      <c r="HO65" s="1997"/>
      <c r="HP65" s="1997"/>
      <c r="HQ65" s="1997"/>
      <c r="HR65" s="1997"/>
      <c r="HS65" s="1997"/>
      <c r="HT65" s="1997"/>
      <c r="HU65" s="1997"/>
      <c r="HV65" s="1997"/>
      <c r="HW65" s="1997"/>
      <c r="HX65" s="1997"/>
      <c r="HY65" s="1997"/>
      <c r="HZ65" s="1997"/>
      <c r="IA65" s="1997"/>
      <c r="IB65" s="1997"/>
      <c r="IC65" s="1997"/>
      <c r="ID65" s="1997"/>
      <c r="IE65" s="1997"/>
      <c r="IF65" s="1997"/>
      <c r="IG65" s="1997"/>
      <c r="IH65" s="1997"/>
      <c r="II65" s="1997"/>
      <c r="IJ65" s="1997"/>
      <c r="IK65" s="1997"/>
      <c r="IL65" s="1997"/>
      <c r="IM65" s="1997"/>
      <c r="IN65" s="1997"/>
      <c r="IO65" s="1997"/>
      <c r="IP65" s="1997"/>
      <c r="IQ65" s="1997"/>
    </row>
    <row r="66" spans="1:251" hidden="1">
      <c r="A66" s="1993"/>
      <c r="B66" s="1993"/>
      <c r="C66" s="1998"/>
      <c r="D66" s="2034"/>
      <c r="E66" s="1998"/>
      <c r="F66" s="1940">
        <f>ROUNDUP((E66*$Q$5),-3)</f>
        <v>0</v>
      </c>
      <c r="G66" s="1993"/>
      <c r="H66" s="1940">
        <f>D66*F66*G66</f>
        <v>0</v>
      </c>
      <c r="I66" s="1993"/>
      <c r="J66" s="1940">
        <f>I66*$Q$4</f>
        <v>0</v>
      </c>
      <c r="K66" s="1993"/>
      <c r="L66" s="1940">
        <f>K66*F66</f>
        <v>0</v>
      </c>
      <c r="M66" s="1940">
        <f>D66*G66*(J66+L66)</f>
        <v>0</v>
      </c>
      <c r="N66" s="1940">
        <f>H66+M66</f>
        <v>0</v>
      </c>
      <c r="O66" s="1993"/>
      <c r="P66" s="1993"/>
      <c r="Q66" s="1940">
        <f>N66+O66+P66</f>
        <v>0</v>
      </c>
      <c r="R66" s="1940">
        <f>Q66*10%</f>
        <v>0</v>
      </c>
      <c r="S66" s="1940">
        <f>(Q66-R66)*10%</f>
        <v>0</v>
      </c>
      <c r="T66" s="1940">
        <f>(Q66-R66)*6%</f>
        <v>0</v>
      </c>
      <c r="U66" s="1940">
        <f>(Q66-R66)*5%</f>
        <v>0</v>
      </c>
      <c r="V66" s="1997"/>
      <c r="W66" s="1997"/>
      <c r="X66" s="1997"/>
      <c r="Y66" s="1997"/>
      <c r="Z66" s="1997"/>
      <c r="AA66" s="1997"/>
      <c r="AB66" s="1997"/>
      <c r="AC66" s="1997"/>
      <c r="AD66" s="1997"/>
      <c r="AE66" s="1997"/>
      <c r="AF66" s="1997"/>
      <c r="AG66" s="1997"/>
      <c r="AH66" s="1997"/>
      <c r="AI66" s="1997"/>
      <c r="AJ66" s="1997"/>
      <c r="AK66" s="1997"/>
      <c r="AL66" s="1997"/>
      <c r="AM66" s="1997"/>
      <c r="AN66" s="1997"/>
      <c r="AO66" s="1997"/>
      <c r="AP66" s="1997"/>
      <c r="AQ66" s="1997"/>
      <c r="AR66" s="1997"/>
      <c r="AS66" s="1997"/>
      <c r="AT66" s="1997"/>
      <c r="AU66" s="1997"/>
      <c r="AV66" s="1997"/>
      <c r="AW66" s="1997"/>
      <c r="AX66" s="1997"/>
      <c r="AY66" s="1997"/>
      <c r="AZ66" s="1997"/>
      <c r="BA66" s="1997"/>
      <c r="BB66" s="1997"/>
      <c r="BC66" s="1997"/>
      <c r="BD66" s="1997"/>
      <c r="BE66" s="1997"/>
      <c r="BF66" s="1997"/>
      <c r="BG66" s="1997"/>
      <c r="BH66" s="1997"/>
      <c r="BI66" s="1997"/>
      <c r="BJ66" s="1997"/>
      <c r="BK66" s="1997"/>
      <c r="BL66" s="1997"/>
      <c r="BM66" s="1997"/>
      <c r="BN66" s="1997"/>
      <c r="BO66" s="1997"/>
      <c r="BP66" s="1997"/>
      <c r="BQ66" s="1997"/>
      <c r="BR66" s="1997"/>
      <c r="BS66" s="1997"/>
      <c r="BT66" s="1997"/>
      <c r="BU66" s="1997"/>
      <c r="BV66" s="1997"/>
      <c r="BW66" s="1997"/>
      <c r="BX66" s="1997"/>
      <c r="BY66" s="1997"/>
      <c r="BZ66" s="1997"/>
      <c r="CA66" s="1997"/>
      <c r="CB66" s="1997"/>
      <c r="CC66" s="1997"/>
      <c r="CD66" s="1997"/>
      <c r="CE66" s="1997"/>
      <c r="CF66" s="1997"/>
      <c r="CG66" s="1997"/>
      <c r="CH66" s="1997"/>
      <c r="CI66" s="1997"/>
      <c r="CJ66" s="1997"/>
      <c r="CK66" s="1997"/>
      <c r="CL66" s="1997"/>
      <c r="CM66" s="1997"/>
      <c r="CN66" s="1997"/>
      <c r="CO66" s="1997"/>
      <c r="CP66" s="1997"/>
      <c r="CQ66" s="1997"/>
      <c r="CR66" s="1997"/>
      <c r="CS66" s="1997"/>
      <c r="CT66" s="1997"/>
      <c r="CU66" s="1997"/>
      <c r="CV66" s="1997"/>
      <c r="CW66" s="1997"/>
      <c r="CX66" s="1997"/>
      <c r="CY66" s="1997"/>
      <c r="CZ66" s="1997"/>
      <c r="DA66" s="1997"/>
      <c r="DB66" s="1997"/>
      <c r="DC66" s="1997"/>
      <c r="DD66" s="1997"/>
      <c r="DE66" s="1997"/>
      <c r="DF66" s="1997"/>
      <c r="DG66" s="1997"/>
      <c r="DH66" s="1997"/>
      <c r="DI66" s="1997"/>
      <c r="DJ66" s="1997"/>
      <c r="DK66" s="1997"/>
      <c r="DL66" s="1997"/>
      <c r="DM66" s="1997"/>
      <c r="DN66" s="1997"/>
      <c r="DO66" s="1997"/>
      <c r="DP66" s="1997"/>
      <c r="DQ66" s="1997"/>
      <c r="DR66" s="1997"/>
      <c r="DS66" s="1997"/>
      <c r="DT66" s="1997"/>
      <c r="DU66" s="1997"/>
      <c r="DV66" s="1997"/>
      <c r="DW66" s="1997"/>
      <c r="DX66" s="1997"/>
      <c r="DY66" s="1997"/>
      <c r="DZ66" s="1997"/>
      <c r="EA66" s="1997"/>
      <c r="EB66" s="1997"/>
      <c r="EC66" s="1997"/>
      <c r="ED66" s="1997"/>
      <c r="EE66" s="1997"/>
      <c r="EF66" s="1997"/>
      <c r="EG66" s="1997"/>
      <c r="EH66" s="1997"/>
      <c r="EI66" s="1997"/>
      <c r="EJ66" s="1997"/>
      <c r="EK66" s="1997"/>
      <c r="EL66" s="1997"/>
      <c r="EM66" s="1997"/>
      <c r="EN66" s="1997"/>
      <c r="EO66" s="1997"/>
      <c r="EP66" s="1997"/>
      <c r="EQ66" s="1997"/>
      <c r="ER66" s="1997"/>
      <c r="ES66" s="1997"/>
      <c r="ET66" s="1997"/>
      <c r="EU66" s="1997"/>
      <c r="EV66" s="1997"/>
      <c r="EW66" s="1997"/>
      <c r="EX66" s="1997"/>
      <c r="EY66" s="1997"/>
      <c r="EZ66" s="1997"/>
      <c r="FA66" s="1997"/>
      <c r="FB66" s="1997"/>
      <c r="FC66" s="1997"/>
      <c r="FD66" s="1997"/>
      <c r="FE66" s="1997"/>
      <c r="FF66" s="1997"/>
      <c r="FG66" s="1997"/>
      <c r="FH66" s="1997"/>
      <c r="FI66" s="1997"/>
      <c r="FJ66" s="1997"/>
      <c r="FK66" s="1997"/>
      <c r="FL66" s="1997"/>
      <c r="FM66" s="1997"/>
      <c r="FN66" s="1997"/>
      <c r="FO66" s="1997"/>
      <c r="FP66" s="1997"/>
      <c r="FQ66" s="1997"/>
      <c r="FR66" s="1997"/>
      <c r="FS66" s="1997"/>
      <c r="FT66" s="1997"/>
      <c r="FU66" s="1997"/>
      <c r="FV66" s="1997"/>
      <c r="FW66" s="1997"/>
      <c r="FX66" s="1997"/>
      <c r="FY66" s="1997"/>
      <c r="FZ66" s="1997"/>
      <c r="GA66" s="1997"/>
      <c r="GB66" s="1997"/>
      <c r="GC66" s="1997"/>
      <c r="GD66" s="1997"/>
      <c r="GE66" s="1997"/>
      <c r="GF66" s="1997"/>
      <c r="GG66" s="1997"/>
      <c r="GH66" s="1997"/>
      <c r="GI66" s="1997"/>
      <c r="GJ66" s="1997"/>
      <c r="GK66" s="1997"/>
      <c r="GL66" s="1997"/>
      <c r="GM66" s="1997"/>
      <c r="GN66" s="1997"/>
      <c r="GO66" s="1997"/>
      <c r="GP66" s="1997"/>
      <c r="GQ66" s="1997"/>
      <c r="GR66" s="1997"/>
      <c r="GS66" s="1997"/>
      <c r="GT66" s="1997"/>
      <c r="GU66" s="1997"/>
      <c r="GV66" s="1997"/>
      <c r="GW66" s="1997"/>
      <c r="GX66" s="1997"/>
      <c r="GY66" s="1997"/>
      <c r="GZ66" s="1997"/>
      <c r="HA66" s="1997"/>
      <c r="HB66" s="1997"/>
      <c r="HC66" s="1997"/>
      <c r="HD66" s="1997"/>
      <c r="HE66" s="1997"/>
      <c r="HF66" s="1997"/>
      <c r="HG66" s="1997"/>
      <c r="HH66" s="1997"/>
      <c r="HI66" s="1997"/>
      <c r="HJ66" s="1997"/>
      <c r="HK66" s="1997"/>
      <c r="HL66" s="1997"/>
      <c r="HM66" s="1997"/>
      <c r="HN66" s="1997"/>
      <c r="HO66" s="1997"/>
      <c r="HP66" s="1997"/>
      <c r="HQ66" s="1997"/>
      <c r="HR66" s="1997"/>
      <c r="HS66" s="1997"/>
      <c r="HT66" s="1997"/>
      <c r="HU66" s="1997"/>
      <c r="HV66" s="1997"/>
      <c r="HW66" s="1997"/>
      <c r="HX66" s="1997"/>
      <c r="HY66" s="1997"/>
      <c r="HZ66" s="1997"/>
      <c r="IA66" s="1997"/>
      <c r="IB66" s="1997"/>
      <c r="IC66" s="1997"/>
      <c r="ID66" s="1997"/>
      <c r="IE66" s="1997"/>
      <c r="IF66" s="1997"/>
      <c r="IG66" s="1997"/>
      <c r="IH66" s="1997"/>
      <c r="II66" s="1997"/>
      <c r="IJ66" s="1997"/>
      <c r="IK66" s="1997"/>
      <c r="IL66" s="1997"/>
      <c r="IM66" s="1997"/>
      <c r="IN66" s="1997"/>
      <c r="IO66" s="1997"/>
      <c r="IP66" s="1997"/>
      <c r="IQ66" s="1997"/>
    </row>
    <row r="67" spans="1:251" hidden="1">
      <c r="A67" s="1993"/>
      <c r="B67" s="1998"/>
      <c r="C67" s="1998"/>
      <c r="D67" s="2034"/>
      <c r="E67" s="1998"/>
      <c r="F67" s="1940">
        <f>ROUNDUP((E67*$Q$5),-3)</f>
        <v>0</v>
      </c>
      <c r="G67" s="1993"/>
      <c r="H67" s="1940">
        <f>D67*F67*G67</f>
        <v>0</v>
      </c>
      <c r="I67" s="1993"/>
      <c r="J67" s="1940">
        <f>I67*$Q$4</f>
        <v>0</v>
      </c>
      <c r="K67" s="1993"/>
      <c r="L67" s="1940">
        <f>K67*F67</f>
        <v>0</v>
      </c>
      <c r="M67" s="1940">
        <f>D67*G67*(J67+L67)</f>
        <v>0</v>
      </c>
      <c r="N67" s="1940">
        <f>H67+M67</f>
        <v>0</v>
      </c>
      <c r="O67" s="1993"/>
      <c r="P67" s="1993"/>
      <c r="Q67" s="1940">
        <f>N67+O67+P67</f>
        <v>0</v>
      </c>
      <c r="R67" s="1940">
        <f>Q67*10%</f>
        <v>0</v>
      </c>
      <c r="S67" s="1940">
        <f>(Q67-R67)*10%</f>
        <v>0</v>
      </c>
      <c r="T67" s="1940">
        <f>(Q67-R67)*6%</f>
        <v>0</v>
      </c>
      <c r="U67" s="1940">
        <f>(Q67-R67)*5%</f>
        <v>0</v>
      </c>
      <c r="V67" s="1997"/>
      <c r="W67" s="1997"/>
      <c r="X67" s="1997"/>
      <c r="Y67" s="1997"/>
      <c r="Z67" s="1997"/>
      <c r="AA67" s="1997"/>
      <c r="AB67" s="1997"/>
      <c r="AC67" s="1997"/>
      <c r="AD67" s="1997"/>
      <c r="AE67" s="1997"/>
      <c r="AF67" s="1997"/>
      <c r="AG67" s="1997"/>
      <c r="AH67" s="1997"/>
      <c r="AI67" s="1997"/>
      <c r="AJ67" s="1997"/>
      <c r="AK67" s="1997"/>
      <c r="AL67" s="1997"/>
      <c r="AM67" s="1997"/>
      <c r="AN67" s="1997"/>
      <c r="AO67" s="1997"/>
      <c r="AP67" s="1997"/>
      <c r="AQ67" s="1997"/>
      <c r="AR67" s="1997"/>
      <c r="AS67" s="1997"/>
      <c r="AT67" s="1997"/>
      <c r="AU67" s="1997"/>
      <c r="AV67" s="1997"/>
      <c r="AW67" s="1997"/>
      <c r="AX67" s="1997"/>
      <c r="AY67" s="1997"/>
      <c r="AZ67" s="1997"/>
      <c r="BA67" s="1997"/>
      <c r="BB67" s="1997"/>
      <c r="BC67" s="1997"/>
      <c r="BD67" s="1997"/>
      <c r="BE67" s="1997"/>
      <c r="BF67" s="1997"/>
      <c r="BG67" s="1997"/>
      <c r="BH67" s="1997"/>
      <c r="BI67" s="1997"/>
      <c r="BJ67" s="1997"/>
      <c r="BK67" s="1997"/>
      <c r="BL67" s="1997"/>
      <c r="BM67" s="1997"/>
      <c r="BN67" s="1997"/>
      <c r="BO67" s="1997"/>
      <c r="BP67" s="1997"/>
      <c r="BQ67" s="1997"/>
      <c r="BR67" s="1997"/>
      <c r="BS67" s="1997"/>
      <c r="BT67" s="1997"/>
      <c r="BU67" s="1997"/>
      <c r="BV67" s="1997"/>
      <c r="BW67" s="1997"/>
      <c r="BX67" s="1997"/>
      <c r="BY67" s="1997"/>
      <c r="BZ67" s="1997"/>
      <c r="CA67" s="1997"/>
      <c r="CB67" s="1997"/>
      <c r="CC67" s="1997"/>
      <c r="CD67" s="1997"/>
      <c r="CE67" s="1997"/>
      <c r="CF67" s="1997"/>
      <c r="CG67" s="1997"/>
      <c r="CH67" s="1997"/>
      <c r="CI67" s="1997"/>
      <c r="CJ67" s="1997"/>
      <c r="CK67" s="1997"/>
      <c r="CL67" s="1997"/>
      <c r="CM67" s="1997"/>
      <c r="CN67" s="1997"/>
      <c r="CO67" s="1997"/>
      <c r="CP67" s="1997"/>
      <c r="CQ67" s="1997"/>
      <c r="CR67" s="1997"/>
      <c r="CS67" s="1997"/>
      <c r="CT67" s="1997"/>
      <c r="CU67" s="1997"/>
      <c r="CV67" s="1997"/>
      <c r="CW67" s="1997"/>
      <c r="CX67" s="1997"/>
      <c r="CY67" s="1997"/>
      <c r="CZ67" s="1997"/>
      <c r="DA67" s="1997"/>
      <c r="DB67" s="1997"/>
      <c r="DC67" s="1997"/>
      <c r="DD67" s="1997"/>
      <c r="DE67" s="1997"/>
      <c r="DF67" s="1997"/>
      <c r="DG67" s="1997"/>
      <c r="DH67" s="1997"/>
      <c r="DI67" s="1997"/>
      <c r="DJ67" s="1997"/>
      <c r="DK67" s="1997"/>
      <c r="DL67" s="1997"/>
      <c r="DM67" s="1997"/>
      <c r="DN67" s="1997"/>
      <c r="DO67" s="1997"/>
      <c r="DP67" s="1997"/>
      <c r="DQ67" s="1997"/>
      <c r="DR67" s="1997"/>
      <c r="DS67" s="1997"/>
      <c r="DT67" s="1997"/>
      <c r="DU67" s="1997"/>
      <c r="DV67" s="1997"/>
      <c r="DW67" s="1997"/>
      <c r="DX67" s="1997"/>
      <c r="DY67" s="1997"/>
      <c r="DZ67" s="1997"/>
      <c r="EA67" s="1997"/>
      <c r="EB67" s="1997"/>
      <c r="EC67" s="1997"/>
      <c r="ED67" s="1997"/>
      <c r="EE67" s="1997"/>
      <c r="EF67" s="1997"/>
      <c r="EG67" s="1997"/>
      <c r="EH67" s="1997"/>
      <c r="EI67" s="1997"/>
      <c r="EJ67" s="1997"/>
      <c r="EK67" s="1997"/>
      <c r="EL67" s="1997"/>
      <c r="EM67" s="1997"/>
      <c r="EN67" s="1997"/>
      <c r="EO67" s="1997"/>
      <c r="EP67" s="1997"/>
      <c r="EQ67" s="1997"/>
      <c r="ER67" s="1997"/>
      <c r="ES67" s="1997"/>
      <c r="ET67" s="1997"/>
      <c r="EU67" s="1997"/>
      <c r="EV67" s="1997"/>
      <c r="EW67" s="1997"/>
      <c r="EX67" s="1997"/>
      <c r="EY67" s="1997"/>
      <c r="EZ67" s="1997"/>
      <c r="FA67" s="1997"/>
      <c r="FB67" s="1997"/>
      <c r="FC67" s="1997"/>
      <c r="FD67" s="1997"/>
      <c r="FE67" s="1997"/>
      <c r="FF67" s="1997"/>
      <c r="FG67" s="1997"/>
      <c r="FH67" s="1997"/>
      <c r="FI67" s="1997"/>
      <c r="FJ67" s="1997"/>
      <c r="FK67" s="1997"/>
      <c r="FL67" s="1997"/>
      <c r="FM67" s="1997"/>
      <c r="FN67" s="1997"/>
      <c r="FO67" s="1997"/>
      <c r="FP67" s="1997"/>
      <c r="FQ67" s="1997"/>
      <c r="FR67" s="1997"/>
      <c r="FS67" s="1997"/>
      <c r="FT67" s="1997"/>
      <c r="FU67" s="1997"/>
      <c r="FV67" s="1997"/>
      <c r="FW67" s="1997"/>
      <c r="FX67" s="1997"/>
      <c r="FY67" s="1997"/>
      <c r="FZ67" s="1997"/>
      <c r="GA67" s="1997"/>
      <c r="GB67" s="1997"/>
      <c r="GC67" s="1997"/>
      <c r="GD67" s="1997"/>
      <c r="GE67" s="1997"/>
      <c r="GF67" s="1997"/>
      <c r="GG67" s="1997"/>
      <c r="GH67" s="1997"/>
      <c r="GI67" s="1997"/>
      <c r="GJ67" s="1997"/>
      <c r="GK67" s="1997"/>
      <c r="GL67" s="1997"/>
      <c r="GM67" s="1997"/>
      <c r="GN67" s="1997"/>
      <c r="GO67" s="1997"/>
      <c r="GP67" s="1997"/>
      <c r="GQ67" s="1997"/>
      <c r="GR67" s="1997"/>
      <c r="GS67" s="1997"/>
      <c r="GT67" s="1997"/>
      <c r="GU67" s="1997"/>
      <c r="GV67" s="1997"/>
      <c r="GW67" s="1997"/>
      <c r="GX67" s="1997"/>
      <c r="GY67" s="1997"/>
      <c r="GZ67" s="1997"/>
      <c r="HA67" s="1997"/>
      <c r="HB67" s="1997"/>
      <c r="HC67" s="1997"/>
      <c r="HD67" s="1997"/>
      <c r="HE67" s="1997"/>
      <c r="HF67" s="1997"/>
      <c r="HG67" s="1997"/>
      <c r="HH67" s="1997"/>
      <c r="HI67" s="1997"/>
      <c r="HJ67" s="1997"/>
      <c r="HK67" s="1997"/>
      <c r="HL67" s="1997"/>
      <c r="HM67" s="1997"/>
      <c r="HN67" s="1997"/>
      <c r="HO67" s="1997"/>
      <c r="HP67" s="1997"/>
      <c r="HQ67" s="1997"/>
      <c r="HR67" s="1997"/>
      <c r="HS67" s="1997"/>
      <c r="HT67" s="1997"/>
      <c r="HU67" s="1997"/>
      <c r="HV67" s="1997"/>
      <c r="HW67" s="1997"/>
      <c r="HX67" s="1997"/>
      <c r="HY67" s="1997"/>
      <c r="HZ67" s="1997"/>
      <c r="IA67" s="1997"/>
      <c r="IB67" s="1997"/>
      <c r="IC67" s="1997"/>
      <c r="ID67" s="1997"/>
      <c r="IE67" s="1997"/>
      <c r="IF67" s="1997"/>
      <c r="IG67" s="1997"/>
      <c r="IH67" s="1997"/>
      <c r="II67" s="1997"/>
      <c r="IJ67" s="1997"/>
      <c r="IK67" s="1997"/>
      <c r="IL67" s="1997"/>
      <c r="IM67" s="1997"/>
      <c r="IN67" s="1997"/>
      <c r="IO67" s="1997"/>
      <c r="IP67" s="1997"/>
      <c r="IQ67" s="1997"/>
    </row>
    <row r="68" spans="1:251" hidden="1">
      <c r="A68" s="1993"/>
      <c r="B68" s="1998"/>
      <c r="C68" s="1998"/>
      <c r="D68" s="2034"/>
      <c r="E68" s="1998"/>
      <c r="F68" s="1940">
        <f>ROUNDUP((E68*$Q$5),-3)</f>
        <v>0</v>
      </c>
      <c r="G68" s="1993"/>
      <c r="H68" s="1940">
        <f>D68*F68*G68</f>
        <v>0</v>
      </c>
      <c r="I68" s="1993"/>
      <c r="J68" s="1940">
        <f>I68*$Q$4</f>
        <v>0</v>
      </c>
      <c r="K68" s="1993"/>
      <c r="L68" s="1940">
        <f>K68*F68</f>
        <v>0</v>
      </c>
      <c r="M68" s="1940">
        <f>D68*G68*(J68+L68)</f>
        <v>0</v>
      </c>
      <c r="N68" s="1940">
        <f>H68+M68</f>
        <v>0</v>
      </c>
      <c r="O68" s="1993"/>
      <c r="P68" s="1993"/>
      <c r="Q68" s="1940">
        <f>N68+O68+P68</f>
        <v>0</v>
      </c>
      <c r="R68" s="1940">
        <f>Q68*10%</f>
        <v>0</v>
      </c>
      <c r="S68" s="1940">
        <f>(Q68-R68)*10%</f>
        <v>0</v>
      </c>
      <c r="T68" s="1940">
        <f>(Q68-R68)*6%</f>
        <v>0</v>
      </c>
      <c r="U68" s="1940">
        <f>(Q68-R68)*5%</f>
        <v>0</v>
      </c>
      <c r="V68" s="1997"/>
      <c r="W68" s="1997"/>
      <c r="X68" s="1997"/>
      <c r="Y68" s="1997"/>
      <c r="Z68" s="1997"/>
      <c r="AA68" s="1997"/>
      <c r="AB68" s="1997"/>
      <c r="AC68" s="1997"/>
      <c r="AD68" s="1997"/>
      <c r="AE68" s="1997"/>
      <c r="AF68" s="1997"/>
      <c r="AG68" s="1997"/>
      <c r="AH68" s="1997"/>
      <c r="AI68" s="1997"/>
      <c r="AJ68" s="1997"/>
      <c r="AK68" s="1997"/>
      <c r="AL68" s="1997"/>
      <c r="AM68" s="1997"/>
      <c r="AN68" s="1997"/>
      <c r="AO68" s="1997"/>
      <c r="AP68" s="1997"/>
      <c r="AQ68" s="1997"/>
      <c r="AR68" s="1997"/>
      <c r="AS68" s="1997"/>
      <c r="AT68" s="1997"/>
      <c r="AU68" s="1997"/>
      <c r="AV68" s="1997"/>
      <c r="AW68" s="1997"/>
      <c r="AX68" s="1997"/>
      <c r="AY68" s="1997"/>
      <c r="AZ68" s="1997"/>
      <c r="BA68" s="1997"/>
      <c r="BB68" s="1997"/>
      <c r="BC68" s="1997"/>
      <c r="BD68" s="1997"/>
      <c r="BE68" s="1997"/>
      <c r="BF68" s="1997"/>
      <c r="BG68" s="1997"/>
      <c r="BH68" s="1997"/>
      <c r="BI68" s="1997"/>
      <c r="BJ68" s="1997"/>
      <c r="BK68" s="1997"/>
      <c r="BL68" s="1997"/>
      <c r="BM68" s="1997"/>
      <c r="BN68" s="1997"/>
      <c r="BO68" s="1997"/>
      <c r="BP68" s="1997"/>
      <c r="BQ68" s="1997"/>
      <c r="BR68" s="1997"/>
      <c r="BS68" s="1997"/>
      <c r="BT68" s="1997"/>
      <c r="BU68" s="1997"/>
      <c r="BV68" s="1997"/>
      <c r="BW68" s="1997"/>
      <c r="BX68" s="1997"/>
      <c r="BY68" s="1997"/>
      <c r="BZ68" s="1997"/>
      <c r="CA68" s="1997"/>
      <c r="CB68" s="1997"/>
      <c r="CC68" s="1997"/>
      <c r="CD68" s="1997"/>
      <c r="CE68" s="1997"/>
      <c r="CF68" s="1997"/>
      <c r="CG68" s="1997"/>
      <c r="CH68" s="1997"/>
      <c r="CI68" s="1997"/>
      <c r="CJ68" s="1997"/>
      <c r="CK68" s="1997"/>
      <c r="CL68" s="1997"/>
      <c r="CM68" s="1997"/>
      <c r="CN68" s="1997"/>
      <c r="CO68" s="1997"/>
      <c r="CP68" s="1997"/>
      <c r="CQ68" s="1997"/>
      <c r="CR68" s="1997"/>
      <c r="CS68" s="1997"/>
      <c r="CT68" s="1997"/>
      <c r="CU68" s="1997"/>
      <c r="CV68" s="1997"/>
      <c r="CW68" s="1997"/>
      <c r="CX68" s="1997"/>
      <c r="CY68" s="1997"/>
      <c r="CZ68" s="1997"/>
      <c r="DA68" s="1997"/>
      <c r="DB68" s="1997"/>
      <c r="DC68" s="1997"/>
      <c r="DD68" s="1997"/>
      <c r="DE68" s="1997"/>
      <c r="DF68" s="1997"/>
      <c r="DG68" s="1997"/>
      <c r="DH68" s="1997"/>
      <c r="DI68" s="1997"/>
      <c r="DJ68" s="1997"/>
      <c r="DK68" s="1997"/>
      <c r="DL68" s="1997"/>
      <c r="DM68" s="1997"/>
      <c r="DN68" s="1997"/>
      <c r="DO68" s="1997"/>
      <c r="DP68" s="1997"/>
      <c r="DQ68" s="1997"/>
      <c r="DR68" s="1997"/>
      <c r="DS68" s="1997"/>
      <c r="DT68" s="1997"/>
      <c r="DU68" s="1997"/>
      <c r="DV68" s="1997"/>
      <c r="DW68" s="1997"/>
      <c r="DX68" s="1997"/>
      <c r="DY68" s="1997"/>
      <c r="DZ68" s="1997"/>
      <c r="EA68" s="1997"/>
      <c r="EB68" s="1997"/>
      <c r="EC68" s="1997"/>
      <c r="ED68" s="1997"/>
      <c r="EE68" s="1997"/>
      <c r="EF68" s="1997"/>
      <c r="EG68" s="1997"/>
      <c r="EH68" s="1997"/>
      <c r="EI68" s="1997"/>
      <c r="EJ68" s="1997"/>
      <c r="EK68" s="1997"/>
      <c r="EL68" s="1997"/>
      <c r="EM68" s="1997"/>
      <c r="EN68" s="1997"/>
      <c r="EO68" s="1997"/>
      <c r="EP68" s="1997"/>
      <c r="EQ68" s="1997"/>
      <c r="ER68" s="1997"/>
      <c r="ES68" s="1997"/>
      <c r="ET68" s="1997"/>
      <c r="EU68" s="1997"/>
      <c r="EV68" s="1997"/>
      <c r="EW68" s="1997"/>
      <c r="EX68" s="1997"/>
      <c r="EY68" s="1997"/>
      <c r="EZ68" s="1997"/>
      <c r="FA68" s="1997"/>
      <c r="FB68" s="1997"/>
      <c r="FC68" s="1997"/>
      <c r="FD68" s="1997"/>
      <c r="FE68" s="1997"/>
      <c r="FF68" s="1997"/>
      <c r="FG68" s="1997"/>
      <c r="FH68" s="1997"/>
      <c r="FI68" s="1997"/>
      <c r="FJ68" s="1997"/>
      <c r="FK68" s="1997"/>
      <c r="FL68" s="1997"/>
      <c r="FM68" s="1997"/>
      <c r="FN68" s="1997"/>
      <c r="FO68" s="1997"/>
      <c r="FP68" s="1997"/>
      <c r="FQ68" s="1997"/>
      <c r="FR68" s="1997"/>
      <c r="FS68" s="1997"/>
      <c r="FT68" s="1997"/>
      <c r="FU68" s="1997"/>
      <c r="FV68" s="1997"/>
      <c r="FW68" s="1997"/>
      <c r="FX68" s="1997"/>
      <c r="FY68" s="1997"/>
      <c r="FZ68" s="1997"/>
      <c r="GA68" s="1997"/>
      <c r="GB68" s="1997"/>
      <c r="GC68" s="1997"/>
      <c r="GD68" s="1997"/>
      <c r="GE68" s="1997"/>
      <c r="GF68" s="1997"/>
      <c r="GG68" s="1997"/>
      <c r="GH68" s="1997"/>
      <c r="GI68" s="1997"/>
      <c r="GJ68" s="1997"/>
      <c r="GK68" s="1997"/>
      <c r="GL68" s="1997"/>
      <c r="GM68" s="1997"/>
      <c r="GN68" s="1997"/>
      <c r="GO68" s="1997"/>
      <c r="GP68" s="1997"/>
      <c r="GQ68" s="1997"/>
      <c r="GR68" s="1997"/>
      <c r="GS68" s="1997"/>
      <c r="GT68" s="1997"/>
      <c r="GU68" s="1997"/>
      <c r="GV68" s="1997"/>
      <c r="GW68" s="1997"/>
      <c r="GX68" s="1997"/>
      <c r="GY68" s="1997"/>
      <c r="GZ68" s="1997"/>
      <c r="HA68" s="1997"/>
      <c r="HB68" s="1997"/>
      <c r="HC68" s="1997"/>
      <c r="HD68" s="1997"/>
      <c r="HE68" s="1997"/>
      <c r="HF68" s="1997"/>
      <c r="HG68" s="1997"/>
      <c r="HH68" s="1997"/>
      <c r="HI68" s="1997"/>
      <c r="HJ68" s="1997"/>
      <c r="HK68" s="1997"/>
      <c r="HL68" s="1997"/>
      <c r="HM68" s="1997"/>
      <c r="HN68" s="1997"/>
      <c r="HO68" s="1997"/>
      <c r="HP68" s="1997"/>
      <c r="HQ68" s="1997"/>
      <c r="HR68" s="1997"/>
      <c r="HS68" s="1997"/>
      <c r="HT68" s="1997"/>
      <c r="HU68" s="1997"/>
      <c r="HV68" s="1997"/>
      <c r="HW68" s="1997"/>
      <c r="HX68" s="1997"/>
      <c r="HY68" s="1997"/>
      <c r="HZ68" s="1997"/>
      <c r="IA68" s="1997"/>
      <c r="IB68" s="1997"/>
      <c r="IC68" s="1997"/>
      <c r="ID68" s="1997"/>
      <c r="IE68" s="1997"/>
      <c r="IF68" s="1997"/>
      <c r="IG68" s="1997"/>
      <c r="IH68" s="1997"/>
      <c r="II68" s="1997"/>
      <c r="IJ68" s="1997"/>
      <c r="IK68" s="1997"/>
      <c r="IL68" s="1997"/>
      <c r="IM68" s="1997"/>
      <c r="IN68" s="1997"/>
      <c r="IO68" s="1997"/>
      <c r="IP68" s="1997"/>
      <c r="IQ68" s="1997"/>
    </row>
    <row r="69" spans="1:251" hidden="1">
      <c r="A69" s="1993"/>
      <c r="B69" s="1998"/>
      <c r="C69" s="1998"/>
      <c r="D69" s="2034"/>
      <c r="E69" s="1998"/>
      <c r="F69" s="1940">
        <f>ROUNDUP((E69*$Q$5),-3)</f>
        <v>0</v>
      </c>
      <c r="G69" s="1993"/>
      <c r="H69" s="1940">
        <f>D69*F69*G69</f>
        <v>0</v>
      </c>
      <c r="I69" s="1993"/>
      <c r="J69" s="1940">
        <f>I69*$Q$4</f>
        <v>0</v>
      </c>
      <c r="K69" s="1993"/>
      <c r="L69" s="1940">
        <f>K69*F69</f>
        <v>0</v>
      </c>
      <c r="M69" s="1940">
        <f>D69*G69*(J69+L69)</f>
        <v>0</v>
      </c>
      <c r="N69" s="1940">
        <f>H69+M69</f>
        <v>0</v>
      </c>
      <c r="O69" s="1993"/>
      <c r="P69" s="1993"/>
      <c r="Q69" s="1940">
        <f>N69+O69+P69</f>
        <v>0</v>
      </c>
      <c r="R69" s="1940">
        <f>Q69*10%</f>
        <v>0</v>
      </c>
      <c r="S69" s="1940">
        <f>(Q69-R69)*10%</f>
        <v>0</v>
      </c>
      <c r="T69" s="1940">
        <f>(Q69-R69)*6%</f>
        <v>0</v>
      </c>
      <c r="U69" s="1940">
        <f>(Q69-R69)*5%</f>
        <v>0</v>
      </c>
      <c r="V69" s="1997"/>
      <c r="W69" s="1997"/>
      <c r="X69" s="1997"/>
      <c r="Y69" s="1997"/>
      <c r="Z69" s="1997"/>
      <c r="AA69" s="1997"/>
      <c r="AB69" s="1997"/>
      <c r="AC69" s="1997"/>
      <c r="AD69" s="1997"/>
      <c r="AE69" s="1997"/>
      <c r="AF69" s="1997"/>
      <c r="AG69" s="1997"/>
      <c r="AH69" s="1997"/>
      <c r="AI69" s="1997"/>
      <c r="AJ69" s="1997"/>
      <c r="AK69" s="1997"/>
      <c r="AL69" s="1997"/>
      <c r="AM69" s="1997"/>
      <c r="AN69" s="1997"/>
      <c r="AO69" s="1997"/>
      <c r="AP69" s="1997"/>
      <c r="AQ69" s="1997"/>
      <c r="AR69" s="1997"/>
      <c r="AS69" s="1997"/>
      <c r="AT69" s="1997"/>
      <c r="AU69" s="1997"/>
      <c r="AV69" s="1997"/>
      <c r="AW69" s="1997"/>
      <c r="AX69" s="1997"/>
      <c r="AY69" s="1997"/>
      <c r="AZ69" s="1997"/>
      <c r="BA69" s="1997"/>
      <c r="BB69" s="1997"/>
      <c r="BC69" s="1997"/>
      <c r="BD69" s="1997"/>
      <c r="BE69" s="1997"/>
      <c r="BF69" s="1997"/>
      <c r="BG69" s="1997"/>
      <c r="BH69" s="1997"/>
      <c r="BI69" s="1997"/>
      <c r="BJ69" s="1997"/>
      <c r="BK69" s="1997"/>
      <c r="BL69" s="1997"/>
      <c r="BM69" s="1997"/>
      <c r="BN69" s="1997"/>
      <c r="BO69" s="1997"/>
      <c r="BP69" s="1997"/>
      <c r="BQ69" s="1997"/>
      <c r="BR69" s="1997"/>
      <c r="BS69" s="1997"/>
      <c r="BT69" s="1997"/>
      <c r="BU69" s="1997"/>
      <c r="BV69" s="1997"/>
      <c r="BW69" s="1997"/>
      <c r="BX69" s="1997"/>
      <c r="BY69" s="1997"/>
      <c r="BZ69" s="1997"/>
      <c r="CA69" s="1997"/>
      <c r="CB69" s="1997"/>
      <c r="CC69" s="1997"/>
      <c r="CD69" s="1997"/>
      <c r="CE69" s="1997"/>
      <c r="CF69" s="1997"/>
      <c r="CG69" s="1997"/>
      <c r="CH69" s="1997"/>
      <c r="CI69" s="1997"/>
      <c r="CJ69" s="1997"/>
      <c r="CK69" s="1997"/>
      <c r="CL69" s="1997"/>
      <c r="CM69" s="1997"/>
      <c r="CN69" s="1997"/>
      <c r="CO69" s="1997"/>
      <c r="CP69" s="1997"/>
      <c r="CQ69" s="1997"/>
      <c r="CR69" s="1997"/>
      <c r="CS69" s="1997"/>
      <c r="CT69" s="1997"/>
      <c r="CU69" s="1997"/>
      <c r="CV69" s="1997"/>
      <c r="CW69" s="1997"/>
      <c r="CX69" s="1997"/>
      <c r="CY69" s="1997"/>
      <c r="CZ69" s="1997"/>
      <c r="DA69" s="1997"/>
      <c r="DB69" s="1997"/>
      <c r="DC69" s="1997"/>
      <c r="DD69" s="1997"/>
      <c r="DE69" s="1997"/>
      <c r="DF69" s="1997"/>
      <c r="DG69" s="1997"/>
      <c r="DH69" s="1997"/>
      <c r="DI69" s="1997"/>
      <c r="DJ69" s="1997"/>
      <c r="DK69" s="1997"/>
      <c r="DL69" s="1997"/>
      <c r="DM69" s="1997"/>
      <c r="DN69" s="1997"/>
      <c r="DO69" s="1997"/>
      <c r="DP69" s="1997"/>
      <c r="DQ69" s="1997"/>
      <c r="DR69" s="1997"/>
      <c r="DS69" s="1997"/>
      <c r="DT69" s="1997"/>
      <c r="DU69" s="1997"/>
      <c r="DV69" s="1997"/>
      <c r="DW69" s="1997"/>
      <c r="DX69" s="1997"/>
      <c r="DY69" s="1997"/>
      <c r="DZ69" s="1997"/>
      <c r="EA69" s="1997"/>
      <c r="EB69" s="1997"/>
      <c r="EC69" s="1997"/>
      <c r="ED69" s="1997"/>
      <c r="EE69" s="1997"/>
      <c r="EF69" s="1997"/>
      <c r="EG69" s="1997"/>
      <c r="EH69" s="1997"/>
      <c r="EI69" s="1997"/>
      <c r="EJ69" s="1997"/>
      <c r="EK69" s="1997"/>
      <c r="EL69" s="1997"/>
      <c r="EM69" s="1997"/>
      <c r="EN69" s="1997"/>
      <c r="EO69" s="1997"/>
      <c r="EP69" s="1997"/>
      <c r="EQ69" s="1997"/>
      <c r="ER69" s="1997"/>
      <c r="ES69" s="1997"/>
      <c r="ET69" s="1997"/>
      <c r="EU69" s="1997"/>
      <c r="EV69" s="1997"/>
      <c r="EW69" s="1997"/>
      <c r="EX69" s="1997"/>
      <c r="EY69" s="1997"/>
      <c r="EZ69" s="1997"/>
      <c r="FA69" s="1997"/>
      <c r="FB69" s="1997"/>
      <c r="FC69" s="1997"/>
      <c r="FD69" s="1997"/>
      <c r="FE69" s="1997"/>
      <c r="FF69" s="1997"/>
      <c r="FG69" s="1997"/>
      <c r="FH69" s="1997"/>
      <c r="FI69" s="1997"/>
      <c r="FJ69" s="1997"/>
      <c r="FK69" s="1997"/>
      <c r="FL69" s="1997"/>
      <c r="FM69" s="1997"/>
      <c r="FN69" s="1997"/>
      <c r="FO69" s="1997"/>
      <c r="FP69" s="1997"/>
      <c r="FQ69" s="1997"/>
      <c r="FR69" s="1997"/>
      <c r="FS69" s="1997"/>
      <c r="FT69" s="1997"/>
      <c r="FU69" s="1997"/>
      <c r="FV69" s="1997"/>
      <c r="FW69" s="1997"/>
      <c r="FX69" s="1997"/>
      <c r="FY69" s="1997"/>
      <c r="FZ69" s="1997"/>
      <c r="GA69" s="1997"/>
      <c r="GB69" s="1997"/>
      <c r="GC69" s="1997"/>
      <c r="GD69" s="1997"/>
      <c r="GE69" s="1997"/>
      <c r="GF69" s="1997"/>
      <c r="GG69" s="1997"/>
      <c r="GH69" s="1997"/>
      <c r="GI69" s="1997"/>
      <c r="GJ69" s="1997"/>
      <c r="GK69" s="1997"/>
      <c r="GL69" s="1997"/>
      <c r="GM69" s="1997"/>
      <c r="GN69" s="1997"/>
      <c r="GO69" s="1997"/>
      <c r="GP69" s="1997"/>
      <c r="GQ69" s="1997"/>
      <c r="GR69" s="1997"/>
      <c r="GS69" s="1997"/>
      <c r="GT69" s="1997"/>
      <c r="GU69" s="1997"/>
      <c r="GV69" s="1997"/>
      <c r="GW69" s="1997"/>
      <c r="GX69" s="1997"/>
      <c r="GY69" s="1997"/>
      <c r="GZ69" s="1997"/>
      <c r="HA69" s="1997"/>
      <c r="HB69" s="1997"/>
      <c r="HC69" s="1997"/>
      <c r="HD69" s="1997"/>
      <c r="HE69" s="1997"/>
      <c r="HF69" s="1997"/>
      <c r="HG69" s="1997"/>
      <c r="HH69" s="1997"/>
      <c r="HI69" s="1997"/>
      <c r="HJ69" s="1997"/>
      <c r="HK69" s="1997"/>
      <c r="HL69" s="1997"/>
      <c r="HM69" s="1997"/>
      <c r="HN69" s="1997"/>
      <c r="HO69" s="1997"/>
      <c r="HP69" s="1997"/>
      <c r="HQ69" s="1997"/>
      <c r="HR69" s="1997"/>
      <c r="HS69" s="1997"/>
      <c r="HT69" s="1997"/>
      <c r="HU69" s="1997"/>
      <c r="HV69" s="1997"/>
      <c r="HW69" s="1997"/>
      <c r="HX69" s="1997"/>
      <c r="HY69" s="1997"/>
      <c r="HZ69" s="1997"/>
      <c r="IA69" s="1997"/>
      <c r="IB69" s="1997"/>
      <c r="IC69" s="1997"/>
      <c r="ID69" s="1997"/>
      <c r="IE69" s="1997"/>
      <c r="IF69" s="1997"/>
      <c r="IG69" s="1997"/>
      <c r="IH69" s="1997"/>
      <c r="II69" s="1997"/>
      <c r="IJ69" s="1997"/>
      <c r="IK69" s="1997"/>
      <c r="IL69" s="1997"/>
      <c r="IM69" s="1997"/>
      <c r="IN69" s="1997"/>
      <c r="IO69" s="1997"/>
      <c r="IP69" s="1997"/>
      <c r="IQ69" s="1997"/>
    </row>
    <row r="70" spans="1:251" hidden="1">
      <c r="A70" s="1993"/>
      <c r="B70" s="1998"/>
      <c r="C70" s="1998"/>
      <c r="D70" s="2034"/>
      <c r="E70" s="1998"/>
      <c r="F70" s="1940">
        <f t="shared" ref="F70:F100" si="32">ROUNDUP((E70*$Q$5),-3)</f>
        <v>0</v>
      </c>
      <c r="G70" s="1993"/>
      <c r="H70" s="1940">
        <f t="shared" ref="H70:H100" si="33">D70*F70*G70</f>
        <v>0</v>
      </c>
      <c r="I70" s="1993"/>
      <c r="J70" s="1940">
        <f t="shared" ref="J70:J100" si="34">I70*$Q$4</f>
        <v>0</v>
      </c>
      <c r="K70" s="1993"/>
      <c r="L70" s="1940">
        <f t="shared" ref="L70:L100" si="35">K70*F70</f>
        <v>0</v>
      </c>
      <c r="M70" s="1940">
        <f t="shared" ref="M70:M100" si="36">D70*G70*(J70+L70)</f>
        <v>0</v>
      </c>
      <c r="N70" s="1940">
        <f t="shared" ref="N70:N100" si="37">H70+M70</f>
        <v>0</v>
      </c>
      <c r="O70" s="1993"/>
      <c r="P70" s="1993"/>
      <c r="Q70" s="1940">
        <f t="shared" ref="Q70:Q100" si="38">N70+O70+P70</f>
        <v>0</v>
      </c>
      <c r="R70" s="1940">
        <f t="shared" ref="R70:R100" si="39">Q70*10%</f>
        <v>0</v>
      </c>
      <c r="S70" s="1940">
        <f t="shared" ref="S70:S100" si="40">(Q70-R70)*10%</f>
        <v>0</v>
      </c>
      <c r="T70" s="1940">
        <f t="shared" ref="T70:T100" si="41">(Q70-R70)*6%</f>
        <v>0</v>
      </c>
      <c r="U70" s="1940">
        <f t="shared" ref="U70:U100" si="42">(Q70-R70)*5%</f>
        <v>0</v>
      </c>
      <c r="V70" s="1997"/>
      <c r="W70" s="1997"/>
      <c r="X70" s="1997"/>
      <c r="Y70" s="1997"/>
      <c r="Z70" s="1997"/>
      <c r="AA70" s="1997"/>
      <c r="AB70" s="1997"/>
      <c r="AC70" s="1997"/>
      <c r="AD70" s="1997"/>
      <c r="AE70" s="1997"/>
      <c r="AF70" s="1997"/>
      <c r="AG70" s="1997"/>
      <c r="AH70" s="1997"/>
      <c r="AI70" s="1997"/>
      <c r="AJ70" s="1997"/>
      <c r="AK70" s="1997"/>
      <c r="AL70" s="1997"/>
      <c r="AM70" s="1997"/>
      <c r="AN70" s="1997"/>
      <c r="AO70" s="1997"/>
      <c r="AP70" s="1997"/>
      <c r="AQ70" s="1997"/>
      <c r="AR70" s="1997"/>
      <c r="AS70" s="1997"/>
      <c r="AT70" s="1997"/>
      <c r="AU70" s="1997"/>
      <c r="AV70" s="1997"/>
      <c r="AW70" s="1997"/>
      <c r="AX70" s="1997"/>
      <c r="AY70" s="1997"/>
      <c r="AZ70" s="1997"/>
      <c r="BA70" s="1997"/>
      <c r="BB70" s="1997"/>
      <c r="BC70" s="1997"/>
      <c r="BD70" s="1997"/>
      <c r="BE70" s="1997"/>
      <c r="BF70" s="1997"/>
      <c r="BG70" s="1997"/>
      <c r="BH70" s="1997"/>
      <c r="BI70" s="1997"/>
      <c r="BJ70" s="1997"/>
      <c r="BK70" s="1997"/>
      <c r="BL70" s="1997"/>
      <c r="BM70" s="1997"/>
      <c r="BN70" s="1997"/>
      <c r="BO70" s="1997"/>
      <c r="BP70" s="1997"/>
      <c r="BQ70" s="1997"/>
      <c r="BR70" s="1997"/>
      <c r="BS70" s="1997"/>
      <c r="BT70" s="1997"/>
      <c r="BU70" s="1997"/>
      <c r="BV70" s="1997"/>
      <c r="BW70" s="1997"/>
      <c r="BX70" s="1997"/>
      <c r="BY70" s="1997"/>
      <c r="BZ70" s="1997"/>
      <c r="CA70" s="1997"/>
      <c r="CB70" s="1997"/>
      <c r="CC70" s="1997"/>
      <c r="CD70" s="1997"/>
      <c r="CE70" s="1997"/>
      <c r="CF70" s="1997"/>
      <c r="CG70" s="1997"/>
      <c r="CH70" s="1997"/>
      <c r="CI70" s="1997"/>
      <c r="CJ70" s="1997"/>
      <c r="CK70" s="1997"/>
      <c r="CL70" s="1997"/>
      <c r="CM70" s="1997"/>
      <c r="CN70" s="1997"/>
      <c r="CO70" s="1997"/>
      <c r="CP70" s="1997"/>
      <c r="CQ70" s="1997"/>
      <c r="CR70" s="1997"/>
      <c r="CS70" s="1997"/>
      <c r="CT70" s="1997"/>
      <c r="CU70" s="1997"/>
      <c r="CV70" s="1997"/>
      <c r="CW70" s="1997"/>
      <c r="CX70" s="1997"/>
      <c r="CY70" s="1997"/>
      <c r="CZ70" s="1997"/>
      <c r="DA70" s="1997"/>
      <c r="DB70" s="1997"/>
      <c r="DC70" s="1997"/>
      <c r="DD70" s="1997"/>
      <c r="DE70" s="1997"/>
      <c r="DF70" s="1997"/>
      <c r="DG70" s="1997"/>
      <c r="DH70" s="1997"/>
      <c r="DI70" s="1997"/>
      <c r="DJ70" s="1997"/>
      <c r="DK70" s="1997"/>
      <c r="DL70" s="1997"/>
      <c r="DM70" s="1997"/>
      <c r="DN70" s="1997"/>
      <c r="DO70" s="1997"/>
      <c r="DP70" s="1997"/>
      <c r="DQ70" s="1997"/>
      <c r="DR70" s="1997"/>
      <c r="DS70" s="1997"/>
      <c r="DT70" s="1997"/>
      <c r="DU70" s="1997"/>
      <c r="DV70" s="1997"/>
      <c r="DW70" s="1997"/>
      <c r="DX70" s="1997"/>
      <c r="DY70" s="1997"/>
      <c r="DZ70" s="1997"/>
      <c r="EA70" s="1997"/>
      <c r="EB70" s="1997"/>
      <c r="EC70" s="1997"/>
      <c r="ED70" s="1997"/>
      <c r="EE70" s="1997"/>
      <c r="EF70" s="1997"/>
      <c r="EG70" s="1997"/>
      <c r="EH70" s="1997"/>
      <c r="EI70" s="1997"/>
      <c r="EJ70" s="1997"/>
      <c r="EK70" s="1997"/>
      <c r="EL70" s="1997"/>
      <c r="EM70" s="1997"/>
      <c r="EN70" s="1997"/>
      <c r="EO70" s="1997"/>
      <c r="EP70" s="1997"/>
      <c r="EQ70" s="1997"/>
      <c r="ER70" s="1997"/>
      <c r="ES70" s="1997"/>
      <c r="ET70" s="1997"/>
      <c r="EU70" s="1997"/>
      <c r="EV70" s="1997"/>
      <c r="EW70" s="1997"/>
      <c r="EX70" s="1997"/>
      <c r="EY70" s="1997"/>
      <c r="EZ70" s="1997"/>
      <c r="FA70" s="1997"/>
      <c r="FB70" s="1997"/>
      <c r="FC70" s="1997"/>
      <c r="FD70" s="1997"/>
      <c r="FE70" s="1997"/>
      <c r="FF70" s="1997"/>
      <c r="FG70" s="1997"/>
      <c r="FH70" s="1997"/>
      <c r="FI70" s="1997"/>
      <c r="FJ70" s="1997"/>
      <c r="FK70" s="1997"/>
      <c r="FL70" s="1997"/>
      <c r="FM70" s="1997"/>
      <c r="FN70" s="1997"/>
      <c r="FO70" s="1997"/>
      <c r="FP70" s="1997"/>
      <c r="FQ70" s="1997"/>
      <c r="FR70" s="1997"/>
      <c r="FS70" s="1997"/>
      <c r="FT70" s="1997"/>
      <c r="FU70" s="1997"/>
      <c r="FV70" s="1997"/>
      <c r="FW70" s="1997"/>
      <c r="FX70" s="1997"/>
      <c r="FY70" s="1997"/>
      <c r="FZ70" s="1997"/>
      <c r="GA70" s="1997"/>
      <c r="GB70" s="1997"/>
      <c r="GC70" s="1997"/>
      <c r="GD70" s="1997"/>
      <c r="GE70" s="1997"/>
      <c r="GF70" s="1997"/>
      <c r="GG70" s="1997"/>
      <c r="GH70" s="1997"/>
      <c r="GI70" s="1997"/>
      <c r="GJ70" s="1997"/>
      <c r="GK70" s="1997"/>
      <c r="GL70" s="1997"/>
      <c r="GM70" s="1997"/>
      <c r="GN70" s="1997"/>
      <c r="GO70" s="1997"/>
      <c r="GP70" s="1997"/>
      <c r="GQ70" s="1997"/>
      <c r="GR70" s="1997"/>
      <c r="GS70" s="1997"/>
      <c r="GT70" s="1997"/>
      <c r="GU70" s="1997"/>
      <c r="GV70" s="1997"/>
      <c r="GW70" s="1997"/>
      <c r="GX70" s="1997"/>
      <c r="GY70" s="1997"/>
      <c r="GZ70" s="1997"/>
      <c r="HA70" s="1997"/>
      <c r="HB70" s="1997"/>
      <c r="HC70" s="1997"/>
      <c r="HD70" s="1997"/>
      <c r="HE70" s="1997"/>
      <c r="HF70" s="1997"/>
      <c r="HG70" s="1997"/>
      <c r="HH70" s="1997"/>
      <c r="HI70" s="1997"/>
      <c r="HJ70" s="1997"/>
      <c r="HK70" s="1997"/>
      <c r="HL70" s="1997"/>
      <c r="HM70" s="1997"/>
      <c r="HN70" s="1997"/>
      <c r="HO70" s="1997"/>
      <c r="HP70" s="1997"/>
      <c r="HQ70" s="1997"/>
      <c r="HR70" s="1997"/>
      <c r="HS70" s="1997"/>
      <c r="HT70" s="1997"/>
      <c r="HU70" s="1997"/>
      <c r="HV70" s="1997"/>
      <c r="HW70" s="1997"/>
      <c r="HX70" s="1997"/>
      <c r="HY70" s="1997"/>
      <c r="HZ70" s="1997"/>
      <c r="IA70" s="1997"/>
      <c r="IB70" s="1997"/>
      <c r="IC70" s="1997"/>
      <c r="ID70" s="1997"/>
      <c r="IE70" s="1997"/>
      <c r="IF70" s="1997"/>
      <c r="IG70" s="1997"/>
      <c r="IH70" s="1997"/>
      <c r="II70" s="1997"/>
      <c r="IJ70" s="1997"/>
      <c r="IK70" s="1997"/>
      <c r="IL70" s="1997"/>
      <c r="IM70" s="1997"/>
      <c r="IN70" s="1997"/>
      <c r="IO70" s="1997"/>
      <c r="IP70" s="1997"/>
      <c r="IQ70" s="1997"/>
    </row>
    <row r="71" spans="1:251" hidden="1">
      <c r="A71" s="1993"/>
      <c r="B71" s="1998"/>
      <c r="C71" s="1998"/>
      <c r="D71" s="2034"/>
      <c r="E71" s="1998"/>
      <c r="F71" s="1940">
        <f t="shared" si="32"/>
        <v>0</v>
      </c>
      <c r="G71" s="1993"/>
      <c r="H71" s="1940">
        <f t="shared" si="33"/>
        <v>0</v>
      </c>
      <c r="I71" s="1993"/>
      <c r="J71" s="1940">
        <f t="shared" si="34"/>
        <v>0</v>
      </c>
      <c r="K71" s="1993"/>
      <c r="L71" s="1940">
        <f t="shared" si="35"/>
        <v>0</v>
      </c>
      <c r="M71" s="1940">
        <f t="shared" si="36"/>
        <v>0</v>
      </c>
      <c r="N71" s="1940">
        <f t="shared" si="37"/>
        <v>0</v>
      </c>
      <c r="O71" s="1993"/>
      <c r="P71" s="1993"/>
      <c r="Q71" s="1940">
        <f t="shared" si="38"/>
        <v>0</v>
      </c>
      <c r="R71" s="1940">
        <f t="shared" si="39"/>
        <v>0</v>
      </c>
      <c r="S71" s="1940">
        <f t="shared" si="40"/>
        <v>0</v>
      </c>
      <c r="T71" s="1940">
        <f t="shared" si="41"/>
        <v>0</v>
      </c>
      <c r="U71" s="1940">
        <f t="shared" si="42"/>
        <v>0</v>
      </c>
      <c r="V71" s="1997"/>
      <c r="W71" s="1997"/>
      <c r="X71" s="1997"/>
      <c r="Y71" s="1997"/>
      <c r="Z71" s="1997"/>
      <c r="AA71" s="1997"/>
      <c r="AB71" s="1997"/>
      <c r="AC71" s="1997"/>
      <c r="AD71" s="1997"/>
      <c r="AE71" s="1997"/>
      <c r="AF71" s="1997"/>
      <c r="AG71" s="1997"/>
      <c r="AH71" s="1997"/>
      <c r="AI71" s="1997"/>
      <c r="AJ71" s="1997"/>
      <c r="AK71" s="1997"/>
      <c r="AL71" s="1997"/>
      <c r="AM71" s="1997"/>
      <c r="AN71" s="1997"/>
      <c r="AO71" s="1997"/>
      <c r="AP71" s="1997"/>
      <c r="AQ71" s="1997"/>
      <c r="AR71" s="1997"/>
      <c r="AS71" s="1997"/>
      <c r="AT71" s="1997"/>
      <c r="AU71" s="1997"/>
      <c r="AV71" s="1997"/>
      <c r="AW71" s="1997"/>
      <c r="AX71" s="1997"/>
      <c r="AY71" s="1997"/>
      <c r="AZ71" s="1997"/>
      <c r="BA71" s="1997"/>
      <c r="BB71" s="1997"/>
      <c r="BC71" s="1997"/>
      <c r="BD71" s="1997"/>
      <c r="BE71" s="1997"/>
      <c r="BF71" s="1997"/>
      <c r="BG71" s="1997"/>
      <c r="BH71" s="1997"/>
      <c r="BI71" s="1997"/>
      <c r="BJ71" s="1997"/>
      <c r="BK71" s="1997"/>
      <c r="BL71" s="1997"/>
      <c r="BM71" s="1997"/>
      <c r="BN71" s="1997"/>
      <c r="BO71" s="1997"/>
      <c r="BP71" s="1997"/>
      <c r="BQ71" s="1997"/>
      <c r="BR71" s="1997"/>
      <c r="BS71" s="1997"/>
      <c r="BT71" s="1997"/>
      <c r="BU71" s="1997"/>
      <c r="BV71" s="1997"/>
      <c r="BW71" s="1997"/>
      <c r="BX71" s="1997"/>
      <c r="BY71" s="1997"/>
      <c r="BZ71" s="1997"/>
      <c r="CA71" s="1997"/>
      <c r="CB71" s="1997"/>
      <c r="CC71" s="1997"/>
      <c r="CD71" s="1997"/>
      <c r="CE71" s="1997"/>
      <c r="CF71" s="1997"/>
      <c r="CG71" s="1997"/>
      <c r="CH71" s="1997"/>
      <c r="CI71" s="1997"/>
      <c r="CJ71" s="1997"/>
      <c r="CK71" s="1997"/>
      <c r="CL71" s="1997"/>
      <c r="CM71" s="1997"/>
      <c r="CN71" s="1997"/>
      <c r="CO71" s="1997"/>
      <c r="CP71" s="1997"/>
      <c r="CQ71" s="1997"/>
      <c r="CR71" s="1997"/>
      <c r="CS71" s="1997"/>
      <c r="CT71" s="1997"/>
      <c r="CU71" s="1997"/>
      <c r="CV71" s="1997"/>
      <c r="CW71" s="1997"/>
      <c r="CX71" s="1997"/>
      <c r="CY71" s="1997"/>
      <c r="CZ71" s="1997"/>
      <c r="DA71" s="1997"/>
      <c r="DB71" s="1997"/>
      <c r="DC71" s="1997"/>
      <c r="DD71" s="1997"/>
      <c r="DE71" s="1997"/>
      <c r="DF71" s="1997"/>
      <c r="DG71" s="1997"/>
      <c r="DH71" s="1997"/>
      <c r="DI71" s="1997"/>
      <c r="DJ71" s="1997"/>
      <c r="DK71" s="1997"/>
      <c r="DL71" s="1997"/>
      <c r="DM71" s="1997"/>
      <c r="DN71" s="1997"/>
      <c r="DO71" s="1997"/>
      <c r="DP71" s="1997"/>
      <c r="DQ71" s="1997"/>
      <c r="DR71" s="1997"/>
      <c r="DS71" s="1997"/>
      <c r="DT71" s="1997"/>
      <c r="DU71" s="1997"/>
      <c r="DV71" s="1997"/>
      <c r="DW71" s="1997"/>
      <c r="DX71" s="1997"/>
      <c r="DY71" s="1997"/>
      <c r="DZ71" s="1997"/>
      <c r="EA71" s="1997"/>
      <c r="EB71" s="1997"/>
      <c r="EC71" s="1997"/>
      <c r="ED71" s="1997"/>
      <c r="EE71" s="1997"/>
      <c r="EF71" s="1997"/>
      <c r="EG71" s="1997"/>
      <c r="EH71" s="1997"/>
      <c r="EI71" s="1997"/>
      <c r="EJ71" s="1997"/>
      <c r="EK71" s="1997"/>
      <c r="EL71" s="1997"/>
      <c r="EM71" s="1997"/>
      <c r="EN71" s="1997"/>
      <c r="EO71" s="1997"/>
      <c r="EP71" s="1997"/>
      <c r="EQ71" s="1997"/>
      <c r="ER71" s="1997"/>
      <c r="ES71" s="1997"/>
      <c r="ET71" s="1997"/>
      <c r="EU71" s="1997"/>
      <c r="EV71" s="1997"/>
      <c r="EW71" s="1997"/>
      <c r="EX71" s="1997"/>
      <c r="EY71" s="1997"/>
      <c r="EZ71" s="1997"/>
      <c r="FA71" s="1997"/>
      <c r="FB71" s="1997"/>
      <c r="FC71" s="1997"/>
      <c r="FD71" s="1997"/>
      <c r="FE71" s="1997"/>
      <c r="FF71" s="1997"/>
      <c r="FG71" s="1997"/>
      <c r="FH71" s="1997"/>
      <c r="FI71" s="1997"/>
      <c r="FJ71" s="1997"/>
      <c r="FK71" s="1997"/>
      <c r="FL71" s="1997"/>
      <c r="FM71" s="1997"/>
      <c r="FN71" s="1997"/>
      <c r="FO71" s="1997"/>
      <c r="FP71" s="1997"/>
      <c r="FQ71" s="1997"/>
      <c r="FR71" s="1997"/>
      <c r="FS71" s="1997"/>
      <c r="FT71" s="1997"/>
      <c r="FU71" s="1997"/>
      <c r="FV71" s="1997"/>
      <c r="FW71" s="1997"/>
      <c r="FX71" s="1997"/>
      <c r="FY71" s="1997"/>
      <c r="FZ71" s="1997"/>
      <c r="GA71" s="1997"/>
      <c r="GB71" s="1997"/>
      <c r="GC71" s="1997"/>
      <c r="GD71" s="1997"/>
      <c r="GE71" s="1997"/>
      <c r="GF71" s="1997"/>
      <c r="GG71" s="1997"/>
      <c r="GH71" s="1997"/>
      <c r="GI71" s="1997"/>
      <c r="GJ71" s="1997"/>
      <c r="GK71" s="1997"/>
      <c r="GL71" s="1997"/>
      <c r="GM71" s="1997"/>
      <c r="GN71" s="1997"/>
      <c r="GO71" s="1997"/>
      <c r="GP71" s="1997"/>
      <c r="GQ71" s="1997"/>
      <c r="GR71" s="1997"/>
      <c r="GS71" s="1997"/>
      <c r="GT71" s="1997"/>
      <c r="GU71" s="1997"/>
      <c r="GV71" s="1997"/>
      <c r="GW71" s="1997"/>
      <c r="GX71" s="1997"/>
      <c r="GY71" s="1997"/>
      <c r="GZ71" s="1997"/>
      <c r="HA71" s="1997"/>
      <c r="HB71" s="1997"/>
      <c r="HC71" s="1997"/>
      <c r="HD71" s="1997"/>
      <c r="HE71" s="1997"/>
      <c r="HF71" s="1997"/>
      <c r="HG71" s="1997"/>
      <c r="HH71" s="1997"/>
      <c r="HI71" s="1997"/>
      <c r="HJ71" s="1997"/>
      <c r="HK71" s="1997"/>
      <c r="HL71" s="1997"/>
      <c r="HM71" s="1997"/>
      <c r="HN71" s="1997"/>
      <c r="HO71" s="1997"/>
      <c r="HP71" s="1997"/>
      <c r="HQ71" s="1997"/>
      <c r="HR71" s="1997"/>
      <c r="HS71" s="1997"/>
      <c r="HT71" s="1997"/>
      <c r="HU71" s="1997"/>
      <c r="HV71" s="1997"/>
      <c r="HW71" s="1997"/>
      <c r="HX71" s="1997"/>
      <c r="HY71" s="1997"/>
      <c r="HZ71" s="1997"/>
      <c r="IA71" s="1997"/>
      <c r="IB71" s="1997"/>
      <c r="IC71" s="1997"/>
      <c r="ID71" s="1997"/>
      <c r="IE71" s="1997"/>
      <c r="IF71" s="1997"/>
      <c r="IG71" s="1997"/>
      <c r="IH71" s="1997"/>
      <c r="II71" s="1997"/>
      <c r="IJ71" s="1997"/>
      <c r="IK71" s="1997"/>
      <c r="IL71" s="1997"/>
      <c r="IM71" s="1997"/>
      <c r="IN71" s="1997"/>
      <c r="IO71" s="1997"/>
      <c r="IP71" s="1997"/>
      <c r="IQ71" s="1997"/>
    </row>
    <row r="72" spans="1:251" hidden="1">
      <c r="A72" s="1993"/>
      <c r="B72" s="1998"/>
      <c r="C72" s="1998"/>
      <c r="D72" s="2034"/>
      <c r="E72" s="1998"/>
      <c r="F72" s="1940">
        <f t="shared" si="32"/>
        <v>0</v>
      </c>
      <c r="G72" s="1993"/>
      <c r="H72" s="1940">
        <f t="shared" si="33"/>
        <v>0</v>
      </c>
      <c r="I72" s="1993"/>
      <c r="J72" s="1940">
        <f t="shared" si="34"/>
        <v>0</v>
      </c>
      <c r="K72" s="1993"/>
      <c r="L72" s="1940">
        <f t="shared" si="35"/>
        <v>0</v>
      </c>
      <c r="M72" s="1940">
        <f t="shared" si="36"/>
        <v>0</v>
      </c>
      <c r="N72" s="1940">
        <f t="shared" si="37"/>
        <v>0</v>
      </c>
      <c r="O72" s="1993"/>
      <c r="P72" s="1993"/>
      <c r="Q72" s="1940">
        <f t="shared" si="38"/>
        <v>0</v>
      </c>
      <c r="R72" s="1940">
        <f t="shared" si="39"/>
        <v>0</v>
      </c>
      <c r="S72" s="1940">
        <f t="shared" si="40"/>
        <v>0</v>
      </c>
      <c r="T72" s="1940">
        <f t="shared" si="41"/>
        <v>0</v>
      </c>
      <c r="U72" s="1940">
        <f t="shared" si="42"/>
        <v>0</v>
      </c>
      <c r="V72" s="1997"/>
      <c r="W72" s="1997"/>
      <c r="X72" s="1997"/>
      <c r="Y72" s="1997"/>
      <c r="Z72" s="1997"/>
      <c r="AA72" s="1997"/>
      <c r="AB72" s="1997"/>
      <c r="AC72" s="1997"/>
      <c r="AD72" s="1997"/>
      <c r="AE72" s="1997"/>
      <c r="AF72" s="1997"/>
      <c r="AG72" s="1997"/>
      <c r="AH72" s="1997"/>
      <c r="AI72" s="1997"/>
      <c r="AJ72" s="1997"/>
      <c r="AK72" s="1997"/>
      <c r="AL72" s="1997"/>
      <c r="AM72" s="1997"/>
      <c r="AN72" s="1997"/>
      <c r="AO72" s="1997"/>
      <c r="AP72" s="1997"/>
      <c r="AQ72" s="1997"/>
      <c r="AR72" s="1997"/>
      <c r="AS72" s="1997"/>
      <c r="AT72" s="1997"/>
      <c r="AU72" s="1997"/>
      <c r="AV72" s="1997"/>
      <c r="AW72" s="1997"/>
      <c r="AX72" s="1997"/>
      <c r="AY72" s="1997"/>
      <c r="AZ72" s="1997"/>
      <c r="BA72" s="1997"/>
      <c r="BB72" s="1997"/>
      <c r="BC72" s="1997"/>
      <c r="BD72" s="1997"/>
      <c r="BE72" s="1997"/>
      <c r="BF72" s="1997"/>
      <c r="BG72" s="1997"/>
      <c r="BH72" s="1997"/>
      <c r="BI72" s="1997"/>
      <c r="BJ72" s="1997"/>
      <c r="BK72" s="1997"/>
      <c r="BL72" s="1997"/>
      <c r="BM72" s="1997"/>
      <c r="BN72" s="1997"/>
      <c r="BO72" s="1997"/>
      <c r="BP72" s="1997"/>
      <c r="BQ72" s="1997"/>
      <c r="BR72" s="1997"/>
      <c r="BS72" s="1997"/>
      <c r="BT72" s="1997"/>
      <c r="BU72" s="1997"/>
      <c r="BV72" s="1997"/>
      <c r="BW72" s="1997"/>
      <c r="BX72" s="1997"/>
      <c r="BY72" s="1997"/>
      <c r="BZ72" s="1997"/>
      <c r="CA72" s="1997"/>
      <c r="CB72" s="1997"/>
      <c r="CC72" s="1997"/>
      <c r="CD72" s="1997"/>
      <c r="CE72" s="1997"/>
      <c r="CF72" s="1997"/>
      <c r="CG72" s="1997"/>
      <c r="CH72" s="1997"/>
      <c r="CI72" s="1997"/>
      <c r="CJ72" s="1997"/>
      <c r="CK72" s="1997"/>
      <c r="CL72" s="1997"/>
      <c r="CM72" s="1997"/>
      <c r="CN72" s="1997"/>
      <c r="CO72" s="1997"/>
      <c r="CP72" s="1997"/>
      <c r="CQ72" s="1997"/>
      <c r="CR72" s="1997"/>
      <c r="CS72" s="1997"/>
      <c r="CT72" s="1997"/>
      <c r="CU72" s="1997"/>
      <c r="CV72" s="1997"/>
      <c r="CW72" s="1997"/>
      <c r="CX72" s="1997"/>
      <c r="CY72" s="1997"/>
      <c r="CZ72" s="1997"/>
      <c r="DA72" s="1997"/>
      <c r="DB72" s="1997"/>
      <c r="DC72" s="1997"/>
      <c r="DD72" s="1997"/>
      <c r="DE72" s="1997"/>
      <c r="DF72" s="1997"/>
      <c r="DG72" s="1997"/>
      <c r="DH72" s="1997"/>
      <c r="DI72" s="1997"/>
      <c r="DJ72" s="1997"/>
      <c r="DK72" s="1997"/>
      <c r="DL72" s="1997"/>
      <c r="DM72" s="1997"/>
      <c r="DN72" s="1997"/>
      <c r="DO72" s="1997"/>
      <c r="DP72" s="1997"/>
      <c r="DQ72" s="1997"/>
      <c r="DR72" s="1997"/>
      <c r="DS72" s="1997"/>
      <c r="DT72" s="1997"/>
      <c r="DU72" s="1997"/>
      <c r="DV72" s="1997"/>
      <c r="DW72" s="1997"/>
      <c r="DX72" s="1997"/>
      <c r="DY72" s="1997"/>
      <c r="DZ72" s="1997"/>
      <c r="EA72" s="1997"/>
      <c r="EB72" s="1997"/>
      <c r="EC72" s="1997"/>
      <c r="ED72" s="1997"/>
      <c r="EE72" s="1997"/>
      <c r="EF72" s="1997"/>
      <c r="EG72" s="1997"/>
      <c r="EH72" s="1997"/>
      <c r="EI72" s="1997"/>
      <c r="EJ72" s="1997"/>
      <c r="EK72" s="1997"/>
      <c r="EL72" s="1997"/>
      <c r="EM72" s="1997"/>
      <c r="EN72" s="1997"/>
      <c r="EO72" s="1997"/>
      <c r="EP72" s="1997"/>
      <c r="EQ72" s="1997"/>
      <c r="ER72" s="1997"/>
      <c r="ES72" s="1997"/>
      <c r="ET72" s="1997"/>
      <c r="EU72" s="1997"/>
      <c r="EV72" s="1997"/>
      <c r="EW72" s="1997"/>
      <c r="EX72" s="1997"/>
      <c r="EY72" s="1997"/>
      <c r="EZ72" s="1997"/>
      <c r="FA72" s="1997"/>
      <c r="FB72" s="1997"/>
      <c r="FC72" s="1997"/>
      <c r="FD72" s="1997"/>
      <c r="FE72" s="1997"/>
      <c r="FF72" s="1997"/>
      <c r="FG72" s="1997"/>
      <c r="FH72" s="1997"/>
      <c r="FI72" s="1997"/>
      <c r="FJ72" s="1997"/>
      <c r="FK72" s="1997"/>
      <c r="FL72" s="1997"/>
      <c r="FM72" s="1997"/>
      <c r="FN72" s="1997"/>
      <c r="FO72" s="1997"/>
      <c r="FP72" s="1997"/>
      <c r="FQ72" s="1997"/>
      <c r="FR72" s="1997"/>
      <c r="FS72" s="1997"/>
      <c r="FT72" s="1997"/>
      <c r="FU72" s="1997"/>
      <c r="FV72" s="1997"/>
      <c r="FW72" s="1997"/>
      <c r="FX72" s="1997"/>
      <c r="FY72" s="1997"/>
      <c r="FZ72" s="1997"/>
      <c r="GA72" s="1997"/>
      <c r="GB72" s="1997"/>
      <c r="GC72" s="1997"/>
      <c r="GD72" s="1997"/>
      <c r="GE72" s="1997"/>
      <c r="GF72" s="1997"/>
      <c r="GG72" s="1997"/>
      <c r="GH72" s="1997"/>
      <c r="GI72" s="1997"/>
      <c r="GJ72" s="1997"/>
      <c r="GK72" s="1997"/>
      <c r="GL72" s="1997"/>
      <c r="GM72" s="1997"/>
      <c r="GN72" s="1997"/>
      <c r="GO72" s="1997"/>
      <c r="GP72" s="1997"/>
      <c r="GQ72" s="1997"/>
      <c r="GR72" s="1997"/>
      <c r="GS72" s="1997"/>
      <c r="GT72" s="1997"/>
      <c r="GU72" s="1997"/>
      <c r="GV72" s="1997"/>
      <c r="GW72" s="1997"/>
      <c r="GX72" s="1997"/>
      <c r="GY72" s="1997"/>
      <c r="GZ72" s="1997"/>
      <c r="HA72" s="1997"/>
      <c r="HB72" s="1997"/>
      <c r="HC72" s="1997"/>
      <c r="HD72" s="1997"/>
      <c r="HE72" s="1997"/>
      <c r="HF72" s="1997"/>
      <c r="HG72" s="1997"/>
      <c r="HH72" s="1997"/>
      <c r="HI72" s="1997"/>
      <c r="HJ72" s="1997"/>
      <c r="HK72" s="1997"/>
      <c r="HL72" s="1997"/>
      <c r="HM72" s="1997"/>
      <c r="HN72" s="1997"/>
      <c r="HO72" s="1997"/>
      <c r="HP72" s="1997"/>
      <c r="HQ72" s="1997"/>
      <c r="HR72" s="1997"/>
      <c r="HS72" s="1997"/>
      <c r="HT72" s="1997"/>
      <c r="HU72" s="1997"/>
      <c r="HV72" s="1997"/>
      <c r="HW72" s="1997"/>
      <c r="HX72" s="1997"/>
      <c r="HY72" s="1997"/>
      <c r="HZ72" s="1997"/>
      <c r="IA72" s="1997"/>
      <c r="IB72" s="1997"/>
      <c r="IC72" s="1997"/>
      <c r="ID72" s="1997"/>
      <c r="IE72" s="1997"/>
      <c r="IF72" s="1997"/>
      <c r="IG72" s="1997"/>
      <c r="IH72" s="1997"/>
      <c r="II72" s="1997"/>
      <c r="IJ72" s="1997"/>
      <c r="IK72" s="1997"/>
      <c r="IL72" s="1997"/>
      <c r="IM72" s="1997"/>
      <c r="IN72" s="1997"/>
      <c r="IO72" s="1997"/>
      <c r="IP72" s="1997"/>
      <c r="IQ72" s="1997"/>
    </row>
    <row r="73" spans="1:251" hidden="1">
      <c r="A73" s="1993"/>
      <c r="B73" s="1998"/>
      <c r="C73" s="1998"/>
      <c r="D73" s="2034"/>
      <c r="E73" s="1998"/>
      <c r="F73" s="1940">
        <f t="shared" si="32"/>
        <v>0</v>
      </c>
      <c r="G73" s="1993"/>
      <c r="H73" s="1940">
        <f t="shared" si="33"/>
        <v>0</v>
      </c>
      <c r="I73" s="1993"/>
      <c r="J73" s="1940">
        <f t="shared" si="34"/>
        <v>0</v>
      </c>
      <c r="K73" s="1993"/>
      <c r="L73" s="1940">
        <f t="shared" si="35"/>
        <v>0</v>
      </c>
      <c r="M73" s="1940">
        <f t="shared" si="36"/>
        <v>0</v>
      </c>
      <c r="N73" s="1940">
        <f t="shared" si="37"/>
        <v>0</v>
      </c>
      <c r="O73" s="1993"/>
      <c r="P73" s="1993"/>
      <c r="Q73" s="1940">
        <f t="shared" si="38"/>
        <v>0</v>
      </c>
      <c r="R73" s="1940">
        <f t="shared" si="39"/>
        <v>0</v>
      </c>
      <c r="S73" s="1940">
        <f t="shared" si="40"/>
        <v>0</v>
      </c>
      <c r="T73" s="1940">
        <f t="shared" si="41"/>
        <v>0</v>
      </c>
      <c r="U73" s="1940">
        <f t="shared" si="42"/>
        <v>0</v>
      </c>
      <c r="V73" s="1997"/>
      <c r="W73" s="1997"/>
      <c r="X73" s="1997"/>
      <c r="Y73" s="1997"/>
      <c r="Z73" s="1997"/>
      <c r="AA73" s="1997"/>
      <c r="AB73" s="1997"/>
      <c r="AC73" s="1997"/>
      <c r="AD73" s="1997"/>
      <c r="AE73" s="1997"/>
      <c r="AF73" s="1997"/>
      <c r="AG73" s="1997"/>
      <c r="AH73" s="1997"/>
      <c r="AI73" s="1997"/>
      <c r="AJ73" s="1997"/>
      <c r="AK73" s="1997"/>
      <c r="AL73" s="1997"/>
      <c r="AM73" s="1997"/>
      <c r="AN73" s="1997"/>
      <c r="AO73" s="1997"/>
      <c r="AP73" s="1997"/>
      <c r="AQ73" s="1997"/>
      <c r="AR73" s="1997"/>
      <c r="AS73" s="1997"/>
      <c r="AT73" s="1997"/>
      <c r="AU73" s="1997"/>
      <c r="AV73" s="1997"/>
      <c r="AW73" s="1997"/>
      <c r="AX73" s="1997"/>
      <c r="AY73" s="1997"/>
      <c r="AZ73" s="1997"/>
      <c r="BA73" s="1997"/>
      <c r="BB73" s="1997"/>
      <c r="BC73" s="1997"/>
      <c r="BD73" s="1997"/>
      <c r="BE73" s="1997"/>
      <c r="BF73" s="1997"/>
      <c r="BG73" s="1997"/>
      <c r="BH73" s="1997"/>
      <c r="BI73" s="1997"/>
      <c r="BJ73" s="1997"/>
      <c r="BK73" s="1997"/>
      <c r="BL73" s="1997"/>
      <c r="BM73" s="1997"/>
      <c r="BN73" s="1997"/>
      <c r="BO73" s="1997"/>
      <c r="BP73" s="1997"/>
      <c r="BQ73" s="1997"/>
      <c r="BR73" s="1997"/>
      <c r="BS73" s="1997"/>
      <c r="BT73" s="1997"/>
      <c r="BU73" s="1997"/>
      <c r="BV73" s="1997"/>
      <c r="BW73" s="1997"/>
      <c r="BX73" s="1997"/>
      <c r="BY73" s="1997"/>
      <c r="BZ73" s="1997"/>
      <c r="CA73" s="1997"/>
      <c r="CB73" s="1997"/>
      <c r="CC73" s="1997"/>
      <c r="CD73" s="1997"/>
      <c r="CE73" s="1997"/>
      <c r="CF73" s="1997"/>
      <c r="CG73" s="1997"/>
      <c r="CH73" s="1997"/>
      <c r="CI73" s="1997"/>
      <c r="CJ73" s="1997"/>
      <c r="CK73" s="1997"/>
      <c r="CL73" s="1997"/>
      <c r="CM73" s="1997"/>
      <c r="CN73" s="1997"/>
      <c r="CO73" s="1997"/>
      <c r="CP73" s="1997"/>
      <c r="CQ73" s="1997"/>
      <c r="CR73" s="1997"/>
      <c r="CS73" s="1997"/>
      <c r="CT73" s="1997"/>
      <c r="CU73" s="1997"/>
      <c r="CV73" s="1997"/>
      <c r="CW73" s="1997"/>
      <c r="CX73" s="1997"/>
      <c r="CY73" s="1997"/>
      <c r="CZ73" s="1997"/>
      <c r="DA73" s="1997"/>
      <c r="DB73" s="1997"/>
      <c r="DC73" s="1997"/>
      <c r="DD73" s="1997"/>
      <c r="DE73" s="1997"/>
      <c r="DF73" s="1997"/>
      <c r="DG73" s="1997"/>
      <c r="DH73" s="1997"/>
      <c r="DI73" s="1997"/>
      <c r="DJ73" s="1997"/>
      <c r="DK73" s="1997"/>
      <c r="DL73" s="1997"/>
      <c r="DM73" s="1997"/>
      <c r="DN73" s="1997"/>
      <c r="DO73" s="1997"/>
      <c r="DP73" s="1997"/>
      <c r="DQ73" s="1997"/>
      <c r="DR73" s="1997"/>
      <c r="DS73" s="1997"/>
      <c r="DT73" s="1997"/>
      <c r="DU73" s="1997"/>
      <c r="DV73" s="1997"/>
      <c r="DW73" s="1997"/>
      <c r="DX73" s="1997"/>
      <c r="DY73" s="1997"/>
      <c r="DZ73" s="1997"/>
      <c r="EA73" s="1997"/>
      <c r="EB73" s="1997"/>
      <c r="EC73" s="1997"/>
      <c r="ED73" s="1997"/>
      <c r="EE73" s="1997"/>
      <c r="EF73" s="1997"/>
      <c r="EG73" s="1997"/>
      <c r="EH73" s="1997"/>
      <c r="EI73" s="1997"/>
      <c r="EJ73" s="1997"/>
      <c r="EK73" s="1997"/>
      <c r="EL73" s="1997"/>
      <c r="EM73" s="1997"/>
      <c r="EN73" s="1997"/>
      <c r="EO73" s="1997"/>
      <c r="EP73" s="1997"/>
      <c r="EQ73" s="1997"/>
      <c r="ER73" s="1997"/>
      <c r="ES73" s="1997"/>
      <c r="ET73" s="1997"/>
      <c r="EU73" s="1997"/>
      <c r="EV73" s="1997"/>
      <c r="EW73" s="1997"/>
      <c r="EX73" s="1997"/>
      <c r="EY73" s="1997"/>
      <c r="EZ73" s="1997"/>
      <c r="FA73" s="1997"/>
      <c r="FB73" s="1997"/>
      <c r="FC73" s="1997"/>
      <c r="FD73" s="1997"/>
      <c r="FE73" s="1997"/>
      <c r="FF73" s="1997"/>
      <c r="FG73" s="1997"/>
      <c r="FH73" s="1997"/>
      <c r="FI73" s="1997"/>
      <c r="FJ73" s="1997"/>
      <c r="FK73" s="1997"/>
      <c r="FL73" s="1997"/>
      <c r="FM73" s="1997"/>
      <c r="FN73" s="1997"/>
      <c r="FO73" s="1997"/>
      <c r="FP73" s="1997"/>
      <c r="FQ73" s="1997"/>
      <c r="FR73" s="1997"/>
      <c r="FS73" s="1997"/>
      <c r="FT73" s="1997"/>
      <c r="FU73" s="1997"/>
      <c r="FV73" s="1997"/>
      <c r="FW73" s="1997"/>
      <c r="FX73" s="1997"/>
      <c r="FY73" s="1997"/>
      <c r="FZ73" s="1997"/>
      <c r="GA73" s="1997"/>
      <c r="GB73" s="1997"/>
      <c r="GC73" s="1997"/>
      <c r="GD73" s="1997"/>
      <c r="GE73" s="1997"/>
      <c r="GF73" s="1997"/>
      <c r="GG73" s="1997"/>
      <c r="GH73" s="1997"/>
      <c r="GI73" s="1997"/>
      <c r="GJ73" s="1997"/>
      <c r="GK73" s="1997"/>
      <c r="GL73" s="1997"/>
      <c r="GM73" s="1997"/>
      <c r="GN73" s="1997"/>
      <c r="GO73" s="1997"/>
      <c r="GP73" s="1997"/>
      <c r="GQ73" s="1997"/>
      <c r="GR73" s="1997"/>
      <c r="GS73" s="1997"/>
      <c r="GT73" s="1997"/>
      <c r="GU73" s="1997"/>
      <c r="GV73" s="1997"/>
      <c r="GW73" s="1997"/>
      <c r="GX73" s="1997"/>
      <c r="GY73" s="1997"/>
      <c r="GZ73" s="1997"/>
      <c r="HA73" s="1997"/>
      <c r="HB73" s="1997"/>
      <c r="HC73" s="1997"/>
      <c r="HD73" s="1997"/>
      <c r="HE73" s="1997"/>
      <c r="HF73" s="1997"/>
      <c r="HG73" s="1997"/>
      <c r="HH73" s="1997"/>
      <c r="HI73" s="1997"/>
      <c r="HJ73" s="1997"/>
      <c r="HK73" s="1997"/>
      <c r="HL73" s="1997"/>
      <c r="HM73" s="1997"/>
      <c r="HN73" s="1997"/>
      <c r="HO73" s="1997"/>
      <c r="HP73" s="1997"/>
      <c r="HQ73" s="1997"/>
      <c r="HR73" s="1997"/>
      <c r="HS73" s="1997"/>
      <c r="HT73" s="1997"/>
      <c r="HU73" s="1997"/>
      <c r="HV73" s="1997"/>
      <c r="HW73" s="1997"/>
      <c r="HX73" s="1997"/>
      <c r="HY73" s="1997"/>
      <c r="HZ73" s="1997"/>
      <c r="IA73" s="1997"/>
      <c r="IB73" s="1997"/>
      <c r="IC73" s="1997"/>
      <c r="ID73" s="1997"/>
      <c r="IE73" s="1997"/>
      <c r="IF73" s="1997"/>
      <c r="IG73" s="1997"/>
      <c r="IH73" s="1997"/>
      <c r="II73" s="1997"/>
      <c r="IJ73" s="1997"/>
      <c r="IK73" s="1997"/>
      <c r="IL73" s="1997"/>
      <c r="IM73" s="1997"/>
      <c r="IN73" s="1997"/>
      <c r="IO73" s="1997"/>
      <c r="IP73" s="1997"/>
      <c r="IQ73" s="1997"/>
    </row>
    <row r="74" spans="1:251" hidden="1">
      <c r="A74" s="1993"/>
      <c r="B74" s="1998"/>
      <c r="C74" s="1998"/>
      <c r="D74" s="2034"/>
      <c r="E74" s="1998"/>
      <c r="F74" s="1940">
        <f t="shared" si="32"/>
        <v>0</v>
      </c>
      <c r="G74" s="1993"/>
      <c r="H74" s="1940">
        <f t="shared" si="33"/>
        <v>0</v>
      </c>
      <c r="I74" s="1993"/>
      <c r="J74" s="1940">
        <f t="shared" si="34"/>
        <v>0</v>
      </c>
      <c r="K74" s="1993"/>
      <c r="L74" s="1940">
        <f t="shared" si="35"/>
        <v>0</v>
      </c>
      <c r="M74" s="1940">
        <f t="shared" si="36"/>
        <v>0</v>
      </c>
      <c r="N74" s="1940">
        <f t="shared" si="37"/>
        <v>0</v>
      </c>
      <c r="O74" s="1993"/>
      <c r="P74" s="1993"/>
      <c r="Q74" s="1940">
        <f t="shared" si="38"/>
        <v>0</v>
      </c>
      <c r="R74" s="1940">
        <f t="shared" si="39"/>
        <v>0</v>
      </c>
      <c r="S74" s="1940">
        <f t="shared" si="40"/>
        <v>0</v>
      </c>
      <c r="T74" s="1940">
        <f t="shared" si="41"/>
        <v>0</v>
      </c>
      <c r="U74" s="1940">
        <f t="shared" si="42"/>
        <v>0</v>
      </c>
      <c r="V74" s="1997"/>
      <c r="W74" s="1997"/>
      <c r="X74" s="1997"/>
      <c r="Y74" s="1997"/>
      <c r="Z74" s="1997"/>
      <c r="AA74" s="1997"/>
      <c r="AB74" s="1997"/>
      <c r="AC74" s="1997"/>
      <c r="AD74" s="1997"/>
      <c r="AE74" s="1997"/>
      <c r="AF74" s="1997"/>
      <c r="AG74" s="1997"/>
      <c r="AH74" s="1997"/>
      <c r="AI74" s="1997"/>
      <c r="AJ74" s="1997"/>
      <c r="AK74" s="1997"/>
      <c r="AL74" s="1997"/>
      <c r="AM74" s="1997"/>
      <c r="AN74" s="1997"/>
      <c r="AO74" s="1997"/>
      <c r="AP74" s="1997"/>
      <c r="AQ74" s="1997"/>
      <c r="AR74" s="1997"/>
      <c r="AS74" s="1997"/>
      <c r="AT74" s="1997"/>
      <c r="AU74" s="1997"/>
      <c r="AV74" s="1997"/>
      <c r="AW74" s="1997"/>
      <c r="AX74" s="1997"/>
      <c r="AY74" s="1997"/>
      <c r="AZ74" s="1997"/>
      <c r="BA74" s="1997"/>
      <c r="BB74" s="1997"/>
      <c r="BC74" s="1997"/>
      <c r="BD74" s="1997"/>
      <c r="BE74" s="1997"/>
      <c r="BF74" s="1997"/>
      <c r="BG74" s="1997"/>
      <c r="BH74" s="1997"/>
      <c r="BI74" s="1997"/>
      <c r="BJ74" s="1997"/>
      <c r="BK74" s="1997"/>
      <c r="BL74" s="1997"/>
      <c r="BM74" s="1997"/>
      <c r="BN74" s="1997"/>
      <c r="BO74" s="1997"/>
      <c r="BP74" s="1997"/>
      <c r="BQ74" s="1997"/>
      <c r="BR74" s="1997"/>
      <c r="BS74" s="1997"/>
      <c r="BT74" s="1997"/>
      <c r="BU74" s="1997"/>
      <c r="BV74" s="1997"/>
      <c r="BW74" s="1997"/>
      <c r="BX74" s="1997"/>
      <c r="BY74" s="1997"/>
      <c r="BZ74" s="1997"/>
      <c r="CA74" s="1997"/>
      <c r="CB74" s="1997"/>
      <c r="CC74" s="1997"/>
      <c r="CD74" s="1997"/>
      <c r="CE74" s="1997"/>
      <c r="CF74" s="1997"/>
      <c r="CG74" s="1997"/>
      <c r="CH74" s="1997"/>
      <c r="CI74" s="1997"/>
      <c r="CJ74" s="1997"/>
      <c r="CK74" s="1997"/>
      <c r="CL74" s="1997"/>
      <c r="CM74" s="1997"/>
      <c r="CN74" s="1997"/>
      <c r="CO74" s="1997"/>
      <c r="CP74" s="1997"/>
      <c r="CQ74" s="1997"/>
      <c r="CR74" s="1997"/>
      <c r="CS74" s="1997"/>
      <c r="CT74" s="1997"/>
      <c r="CU74" s="1997"/>
      <c r="CV74" s="1997"/>
      <c r="CW74" s="1997"/>
      <c r="CX74" s="1997"/>
      <c r="CY74" s="1997"/>
      <c r="CZ74" s="1997"/>
      <c r="DA74" s="1997"/>
      <c r="DB74" s="1997"/>
      <c r="DC74" s="1997"/>
      <c r="DD74" s="1997"/>
      <c r="DE74" s="1997"/>
      <c r="DF74" s="1997"/>
      <c r="DG74" s="1997"/>
      <c r="DH74" s="1997"/>
      <c r="DI74" s="1997"/>
      <c r="DJ74" s="1997"/>
      <c r="DK74" s="1997"/>
      <c r="DL74" s="1997"/>
      <c r="DM74" s="1997"/>
      <c r="DN74" s="1997"/>
      <c r="DO74" s="1997"/>
      <c r="DP74" s="1997"/>
      <c r="DQ74" s="1997"/>
      <c r="DR74" s="1997"/>
      <c r="DS74" s="1997"/>
      <c r="DT74" s="1997"/>
      <c r="DU74" s="1997"/>
      <c r="DV74" s="1997"/>
      <c r="DW74" s="1997"/>
      <c r="DX74" s="1997"/>
      <c r="DY74" s="1997"/>
      <c r="DZ74" s="1997"/>
      <c r="EA74" s="1997"/>
      <c r="EB74" s="1997"/>
      <c r="EC74" s="1997"/>
      <c r="ED74" s="1997"/>
      <c r="EE74" s="1997"/>
      <c r="EF74" s="1997"/>
      <c r="EG74" s="1997"/>
      <c r="EH74" s="1997"/>
      <c r="EI74" s="1997"/>
      <c r="EJ74" s="1997"/>
      <c r="EK74" s="1997"/>
      <c r="EL74" s="1997"/>
      <c r="EM74" s="1997"/>
      <c r="EN74" s="1997"/>
      <c r="EO74" s="1997"/>
      <c r="EP74" s="1997"/>
      <c r="EQ74" s="1997"/>
      <c r="ER74" s="1997"/>
      <c r="ES74" s="1997"/>
      <c r="ET74" s="1997"/>
      <c r="EU74" s="1997"/>
      <c r="EV74" s="1997"/>
      <c r="EW74" s="1997"/>
      <c r="EX74" s="1997"/>
      <c r="EY74" s="1997"/>
      <c r="EZ74" s="1997"/>
      <c r="FA74" s="1997"/>
      <c r="FB74" s="1997"/>
      <c r="FC74" s="1997"/>
      <c r="FD74" s="1997"/>
      <c r="FE74" s="1997"/>
      <c r="FF74" s="1997"/>
      <c r="FG74" s="1997"/>
      <c r="FH74" s="1997"/>
      <c r="FI74" s="1997"/>
      <c r="FJ74" s="1997"/>
      <c r="FK74" s="1997"/>
      <c r="FL74" s="1997"/>
      <c r="FM74" s="1997"/>
      <c r="FN74" s="1997"/>
      <c r="FO74" s="1997"/>
      <c r="FP74" s="1997"/>
      <c r="FQ74" s="1997"/>
      <c r="FR74" s="1997"/>
      <c r="FS74" s="1997"/>
      <c r="FT74" s="1997"/>
      <c r="FU74" s="1997"/>
      <c r="FV74" s="1997"/>
      <c r="FW74" s="1997"/>
      <c r="FX74" s="1997"/>
      <c r="FY74" s="1997"/>
      <c r="FZ74" s="1997"/>
      <c r="GA74" s="1997"/>
      <c r="GB74" s="1997"/>
      <c r="GC74" s="1997"/>
      <c r="GD74" s="1997"/>
      <c r="GE74" s="1997"/>
      <c r="GF74" s="1997"/>
      <c r="GG74" s="1997"/>
      <c r="GH74" s="1997"/>
      <c r="GI74" s="1997"/>
      <c r="GJ74" s="1997"/>
      <c r="GK74" s="1997"/>
      <c r="GL74" s="1997"/>
      <c r="GM74" s="1997"/>
      <c r="GN74" s="1997"/>
      <c r="GO74" s="1997"/>
      <c r="GP74" s="1997"/>
      <c r="GQ74" s="1997"/>
      <c r="GR74" s="1997"/>
      <c r="GS74" s="1997"/>
      <c r="GT74" s="1997"/>
      <c r="GU74" s="1997"/>
      <c r="GV74" s="1997"/>
      <c r="GW74" s="1997"/>
      <c r="GX74" s="1997"/>
      <c r="GY74" s="1997"/>
      <c r="GZ74" s="1997"/>
      <c r="HA74" s="1997"/>
      <c r="HB74" s="1997"/>
      <c r="HC74" s="1997"/>
      <c r="HD74" s="1997"/>
      <c r="HE74" s="1997"/>
      <c r="HF74" s="1997"/>
      <c r="HG74" s="1997"/>
      <c r="HH74" s="1997"/>
      <c r="HI74" s="1997"/>
      <c r="HJ74" s="1997"/>
      <c r="HK74" s="1997"/>
      <c r="HL74" s="1997"/>
      <c r="HM74" s="1997"/>
      <c r="HN74" s="1997"/>
      <c r="HO74" s="1997"/>
      <c r="HP74" s="1997"/>
      <c r="HQ74" s="1997"/>
      <c r="HR74" s="1997"/>
      <c r="HS74" s="1997"/>
      <c r="HT74" s="1997"/>
      <c r="HU74" s="1997"/>
      <c r="HV74" s="1997"/>
      <c r="HW74" s="1997"/>
      <c r="HX74" s="1997"/>
      <c r="HY74" s="1997"/>
      <c r="HZ74" s="1997"/>
      <c r="IA74" s="1997"/>
      <c r="IB74" s="1997"/>
      <c r="IC74" s="1997"/>
      <c r="ID74" s="1997"/>
      <c r="IE74" s="1997"/>
      <c r="IF74" s="1997"/>
      <c r="IG74" s="1997"/>
      <c r="IH74" s="1997"/>
      <c r="II74" s="1997"/>
      <c r="IJ74" s="1997"/>
      <c r="IK74" s="1997"/>
      <c r="IL74" s="1997"/>
      <c r="IM74" s="1997"/>
      <c r="IN74" s="1997"/>
      <c r="IO74" s="1997"/>
      <c r="IP74" s="1997"/>
      <c r="IQ74" s="1997"/>
    </row>
    <row r="75" spans="1:251" hidden="1">
      <c r="A75" s="1993"/>
      <c r="B75" s="1998"/>
      <c r="C75" s="1998"/>
      <c r="D75" s="2034"/>
      <c r="E75" s="1998"/>
      <c r="F75" s="1940">
        <f t="shared" si="32"/>
        <v>0</v>
      </c>
      <c r="G75" s="1993"/>
      <c r="H75" s="1940">
        <f t="shared" si="33"/>
        <v>0</v>
      </c>
      <c r="I75" s="1993"/>
      <c r="J75" s="1940">
        <f t="shared" si="34"/>
        <v>0</v>
      </c>
      <c r="K75" s="1993"/>
      <c r="L75" s="1940">
        <f t="shared" si="35"/>
        <v>0</v>
      </c>
      <c r="M75" s="1940">
        <f t="shared" si="36"/>
        <v>0</v>
      </c>
      <c r="N75" s="1940">
        <f t="shared" si="37"/>
        <v>0</v>
      </c>
      <c r="O75" s="1993"/>
      <c r="P75" s="1993"/>
      <c r="Q75" s="1940">
        <f t="shared" si="38"/>
        <v>0</v>
      </c>
      <c r="R75" s="1940">
        <f t="shared" si="39"/>
        <v>0</v>
      </c>
      <c r="S75" s="1940">
        <f t="shared" si="40"/>
        <v>0</v>
      </c>
      <c r="T75" s="1940">
        <f t="shared" si="41"/>
        <v>0</v>
      </c>
      <c r="U75" s="1940">
        <f t="shared" si="42"/>
        <v>0</v>
      </c>
      <c r="V75" s="1997"/>
      <c r="W75" s="1997"/>
      <c r="X75" s="1997"/>
      <c r="Y75" s="1997"/>
      <c r="Z75" s="1997"/>
      <c r="AA75" s="1997"/>
      <c r="AB75" s="1997"/>
      <c r="AC75" s="1997"/>
      <c r="AD75" s="1997"/>
      <c r="AE75" s="1997"/>
      <c r="AF75" s="1997"/>
      <c r="AG75" s="1997"/>
      <c r="AH75" s="1997"/>
      <c r="AI75" s="1997"/>
      <c r="AJ75" s="1997"/>
      <c r="AK75" s="1997"/>
      <c r="AL75" s="1997"/>
      <c r="AM75" s="1997"/>
      <c r="AN75" s="1997"/>
      <c r="AO75" s="1997"/>
      <c r="AP75" s="1997"/>
      <c r="AQ75" s="1997"/>
      <c r="AR75" s="1997"/>
      <c r="AS75" s="1997"/>
      <c r="AT75" s="1997"/>
      <c r="AU75" s="1997"/>
      <c r="AV75" s="1997"/>
      <c r="AW75" s="1997"/>
      <c r="AX75" s="1997"/>
      <c r="AY75" s="1997"/>
      <c r="AZ75" s="1997"/>
      <c r="BA75" s="1997"/>
      <c r="BB75" s="1997"/>
      <c r="BC75" s="1997"/>
      <c r="BD75" s="1997"/>
      <c r="BE75" s="1997"/>
      <c r="BF75" s="1997"/>
      <c r="BG75" s="1997"/>
      <c r="BH75" s="1997"/>
      <c r="BI75" s="1997"/>
      <c r="BJ75" s="1997"/>
      <c r="BK75" s="1997"/>
      <c r="BL75" s="1997"/>
      <c r="BM75" s="1997"/>
      <c r="BN75" s="1997"/>
      <c r="BO75" s="1997"/>
      <c r="BP75" s="1997"/>
      <c r="BQ75" s="1997"/>
      <c r="BR75" s="1997"/>
      <c r="BS75" s="1997"/>
      <c r="BT75" s="1997"/>
      <c r="BU75" s="1997"/>
      <c r="BV75" s="1997"/>
      <c r="BW75" s="1997"/>
      <c r="BX75" s="1997"/>
      <c r="BY75" s="1997"/>
      <c r="BZ75" s="1997"/>
      <c r="CA75" s="1997"/>
      <c r="CB75" s="1997"/>
      <c r="CC75" s="1997"/>
      <c r="CD75" s="1997"/>
      <c r="CE75" s="1997"/>
      <c r="CF75" s="1997"/>
      <c r="CG75" s="1997"/>
      <c r="CH75" s="1997"/>
      <c r="CI75" s="1997"/>
      <c r="CJ75" s="1997"/>
      <c r="CK75" s="1997"/>
      <c r="CL75" s="1997"/>
      <c r="CM75" s="1997"/>
      <c r="CN75" s="1997"/>
      <c r="CO75" s="1997"/>
      <c r="CP75" s="1997"/>
      <c r="CQ75" s="1997"/>
      <c r="CR75" s="1997"/>
      <c r="CS75" s="1997"/>
      <c r="CT75" s="1997"/>
      <c r="CU75" s="1997"/>
      <c r="CV75" s="1997"/>
      <c r="CW75" s="1997"/>
      <c r="CX75" s="1997"/>
      <c r="CY75" s="1997"/>
      <c r="CZ75" s="1997"/>
      <c r="DA75" s="1997"/>
      <c r="DB75" s="1997"/>
      <c r="DC75" s="1997"/>
      <c r="DD75" s="1997"/>
      <c r="DE75" s="1997"/>
      <c r="DF75" s="1997"/>
      <c r="DG75" s="1997"/>
      <c r="DH75" s="1997"/>
      <c r="DI75" s="1997"/>
      <c r="DJ75" s="1997"/>
      <c r="DK75" s="1997"/>
      <c r="DL75" s="1997"/>
      <c r="DM75" s="1997"/>
      <c r="DN75" s="1997"/>
      <c r="DO75" s="1997"/>
      <c r="DP75" s="1997"/>
      <c r="DQ75" s="1997"/>
      <c r="DR75" s="1997"/>
      <c r="DS75" s="1997"/>
      <c r="DT75" s="1997"/>
      <c r="DU75" s="1997"/>
      <c r="DV75" s="1997"/>
      <c r="DW75" s="1997"/>
      <c r="DX75" s="1997"/>
      <c r="DY75" s="1997"/>
      <c r="DZ75" s="1997"/>
      <c r="EA75" s="1997"/>
      <c r="EB75" s="1997"/>
      <c r="EC75" s="1997"/>
      <c r="ED75" s="1997"/>
      <c r="EE75" s="1997"/>
      <c r="EF75" s="1997"/>
      <c r="EG75" s="1997"/>
      <c r="EH75" s="1997"/>
      <c r="EI75" s="1997"/>
      <c r="EJ75" s="1997"/>
      <c r="EK75" s="1997"/>
      <c r="EL75" s="1997"/>
      <c r="EM75" s="1997"/>
      <c r="EN75" s="1997"/>
      <c r="EO75" s="1997"/>
      <c r="EP75" s="1997"/>
      <c r="EQ75" s="1997"/>
      <c r="ER75" s="1997"/>
      <c r="ES75" s="1997"/>
      <c r="ET75" s="1997"/>
      <c r="EU75" s="1997"/>
      <c r="EV75" s="1997"/>
      <c r="EW75" s="1997"/>
      <c r="EX75" s="1997"/>
      <c r="EY75" s="1997"/>
      <c r="EZ75" s="1997"/>
      <c r="FA75" s="1997"/>
      <c r="FB75" s="1997"/>
      <c r="FC75" s="1997"/>
      <c r="FD75" s="1997"/>
      <c r="FE75" s="1997"/>
      <c r="FF75" s="1997"/>
      <c r="FG75" s="1997"/>
      <c r="FH75" s="1997"/>
      <c r="FI75" s="1997"/>
      <c r="FJ75" s="1997"/>
      <c r="FK75" s="1997"/>
      <c r="FL75" s="1997"/>
      <c r="FM75" s="1997"/>
      <c r="FN75" s="1997"/>
      <c r="FO75" s="1997"/>
      <c r="FP75" s="1997"/>
      <c r="FQ75" s="1997"/>
      <c r="FR75" s="1997"/>
      <c r="FS75" s="1997"/>
      <c r="FT75" s="1997"/>
      <c r="FU75" s="1997"/>
      <c r="FV75" s="1997"/>
      <c r="FW75" s="1997"/>
      <c r="FX75" s="1997"/>
      <c r="FY75" s="1997"/>
      <c r="FZ75" s="1997"/>
      <c r="GA75" s="1997"/>
      <c r="GB75" s="1997"/>
      <c r="GC75" s="1997"/>
      <c r="GD75" s="1997"/>
      <c r="GE75" s="1997"/>
      <c r="GF75" s="1997"/>
      <c r="GG75" s="1997"/>
      <c r="GH75" s="1997"/>
      <c r="GI75" s="1997"/>
      <c r="GJ75" s="1997"/>
      <c r="GK75" s="1997"/>
      <c r="GL75" s="1997"/>
      <c r="GM75" s="1997"/>
      <c r="GN75" s="1997"/>
      <c r="GO75" s="1997"/>
      <c r="GP75" s="1997"/>
      <c r="GQ75" s="1997"/>
      <c r="GR75" s="1997"/>
      <c r="GS75" s="1997"/>
      <c r="GT75" s="1997"/>
      <c r="GU75" s="1997"/>
      <c r="GV75" s="1997"/>
      <c r="GW75" s="1997"/>
      <c r="GX75" s="1997"/>
      <c r="GY75" s="1997"/>
      <c r="GZ75" s="1997"/>
      <c r="HA75" s="1997"/>
      <c r="HB75" s="1997"/>
      <c r="HC75" s="1997"/>
      <c r="HD75" s="1997"/>
      <c r="HE75" s="1997"/>
      <c r="HF75" s="1997"/>
      <c r="HG75" s="1997"/>
      <c r="HH75" s="1997"/>
      <c r="HI75" s="1997"/>
      <c r="HJ75" s="1997"/>
      <c r="HK75" s="1997"/>
      <c r="HL75" s="1997"/>
      <c r="HM75" s="1997"/>
      <c r="HN75" s="1997"/>
      <c r="HO75" s="1997"/>
      <c r="HP75" s="1997"/>
      <c r="HQ75" s="1997"/>
      <c r="HR75" s="1997"/>
      <c r="HS75" s="1997"/>
      <c r="HT75" s="1997"/>
      <c r="HU75" s="1997"/>
      <c r="HV75" s="1997"/>
      <c r="HW75" s="1997"/>
      <c r="HX75" s="1997"/>
      <c r="HY75" s="1997"/>
      <c r="HZ75" s="1997"/>
      <c r="IA75" s="1997"/>
      <c r="IB75" s="1997"/>
      <c r="IC75" s="1997"/>
      <c r="ID75" s="1997"/>
      <c r="IE75" s="1997"/>
      <c r="IF75" s="1997"/>
      <c r="IG75" s="1997"/>
      <c r="IH75" s="1997"/>
      <c r="II75" s="1997"/>
      <c r="IJ75" s="1997"/>
      <c r="IK75" s="1997"/>
      <c r="IL75" s="1997"/>
      <c r="IM75" s="1997"/>
      <c r="IN75" s="1997"/>
      <c r="IO75" s="1997"/>
      <c r="IP75" s="1997"/>
      <c r="IQ75" s="1997"/>
    </row>
    <row r="76" spans="1:251" hidden="1">
      <c r="A76" s="1993"/>
      <c r="B76" s="1998"/>
      <c r="C76" s="1998"/>
      <c r="D76" s="2034"/>
      <c r="E76" s="1998"/>
      <c r="F76" s="1940">
        <f t="shared" si="32"/>
        <v>0</v>
      </c>
      <c r="G76" s="1993"/>
      <c r="H76" s="1940">
        <f t="shared" si="33"/>
        <v>0</v>
      </c>
      <c r="I76" s="1993"/>
      <c r="J76" s="1940">
        <f t="shared" si="34"/>
        <v>0</v>
      </c>
      <c r="K76" s="1993"/>
      <c r="L76" s="1940">
        <f t="shared" si="35"/>
        <v>0</v>
      </c>
      <c r="M76" s="1940">
        <f t="shared" si="36"/>
        <v>0</v>
      </c>
      <c r="N76" s="1940">
        <f t="shared" si="37"/>
        <v>0</v>
      </c>
      <c r="O76" s="1993"/>
      <c r="P76" s="1993"/>
      <c r="Q76" s="1940">
        <f t="shared" si="38"/>
        <v>0</v>
      </c>
      <c r="R76" s="1940">
        <f t="shared" si="39"/>
        <v>0</v>
      </c>
      <c r="S76" s="1940">
        <f t="shared" si="40"/>
        <v>0</v>
      </c>
      <c r="T76" s="1940">
        <f t="shared" si="41"/>
        <v>0</v>
      </c>
      <c r="U76" s="1940">
        <f t="shared" si="42"/>
        <v>0</v>
      </c>
      <c r="V76" s="1997"/>
      <c r="W76" s="1997"/>
      <c r="X76" s="1997"/>
      <c r="Y76" s="1997"/>
      <c r="Z76" s="1997"/>
      <c r="AA76" s="1997"/>
      <c r="AB76" s="1997"/>
      <c r="AC76" s="1997"/>
      <c r="AD76" s="1997"/>
      <c r="AE76" s="1997"/>
      <c r="AF76" s="1997"/>
      <c r="AG76" s="1997"/>
      <c r="AH76" s="1997"/>
      <c r="AI76" s="1997"/>
      <c r="AJ76" s="1997"/>
      <c r="AK76" s="1997"/>
      <c r="AL76" s="1997"/>
      <c r="AM76" s="1997"/>
      <c r="AN76" s="1997"/>
      <c r="AO76" s="1997"/>
      <c r="AP76" s="1997"/>
      <c r="AQ76" s="1997"/>
      <c r="AR76" s="1997"/>
      <c r="AS76" s="1997"/>
      <c r="AT76" s="1997"/>
      <c r="AU76" s="1997"/>
      <c r="AV76" s="1997"/>
      <c r="AW76" s="1997"/>
      <c r="AX76" s="1997"/>
      <c r="AY76" s="1997"/>
      <c r="AZ76" s="1997"/>
      <c r="BA76" s="1997"/>
      <c r="BB76" s="1997"/>
      <c r="BC76" s="1997"/>
      <c r="BD76" s="1997"/>
      <c r="BE76" s="1997"/>
      <c r="BF76" s="1997"/>
      <c r="BG76" s="1997"/>
      <c r="BH76" s="1997"/>
      <c r="BI76" s="1997"/>
      <c r="BJ76" s="1997"/>
      <c r="BK76" s="1997"/>
      <c r="BL76" s="1997"/>
      <c r="BM76" s="1997"/>
      <c r="BN76" s="1997"/>
      <c r="BO76" s="1997"/>
      <c r="BP76" s="1997"/>
      <c r="BQ76" s="1997"/>
      <c r="BR76" s="1997"/>
      <c r="BS76" s="1997"/>
      <c r="BT76" s="1997"/>
      <c r="BU76" s="1997"/>
      <c r="BV76" s="1997"/>
      <c r="BW76" s="1997"/>
      <c r="BX76" s="1997"/>
      <c r="BY76" s="1997"/>
      <c r="BZ76" s="1997"/>
      <c r="CA76" s="1997"/>
      <c r="CB76" s="1997"/>
      <c r="CC76" s="1997"/>
      <c r="CD76" s="1997"/>
      <c r="CE76" s="1997"/>
      <c r="CF76" s="1997"/>
      <c r="CG76" s="1997"/>
      <c r="CH76" s="1997"/>
      <c r="CI76" s="1997"/>
      <c r="CJ76" s="1997"/>
      <c r="CK76" s="1997"/>
      <c r="CL76" s="1997"/>
      <c r="CM76" s="1997"/>
      <c r="CN76" s="1997"/>
      <c r="CO76" s="1997"/>
      <c r="CP76" s="1997"/>
      <c r="CQ76" s="1997"/>
      <c r="CR76" s="1997"/>
      <c r="CS76" s="1997"/>
      <c r="CT76" s="1997"/>
      <c r="CU76" s="1997"/>
      <c r="CV76" s="1997"/>
      <c r="CW76" s="1997"/>
      <c r="CX76" s="1997"/>
      <c r="CY76" s="1997"/>
      <c r="CZ76" s="1997"/>
      <c r="DA76" s="1997"/>
      <c r="DB76" s="1997"/>
      <c r="DC76" s="1997"/>
      <c r="DD76" s="1997"/>
      <c r="DE76" s="1997"/>
      <c r="DF76" s="1997"/>
      <c r="DG76" s="1997"/>
      <c r="DH76" s="1997"/>
      <c r="DI76" s="1997"/>
      <c r="DJ76" s="1997"/>
      <c r="DK76" s="1997"/>
      <c r="DL76" s="1997"/>
      <c r="DM76" s="1997"/>
      <c r="DN76" s="1997"/>
      <c r="DO76" s="1997"/>
      <c r="DP76" s="1997"/>
      <c r="DQ76" s="1997"/>
      <c r="DR76" s="1997"/>
      <c r="DS76" s="1997"/>
      <c r="DT76" s="1997"/>
      <c r="DU76" s="1997"/>
      <c r="DV76" s="1997"/>
      <c r="DW76" s="1997"/>
      <c r="DX76" s="1997"/>
      <c r="DY76" s="1997"/>
      <c r="DZ76" s="1997"/>
      <c r="EA76" s="1997"/>
      <c r="EB76" s="1997"/>
      <c r="EC76" s="1997"/>
      <c r="ED76" s="1997"/>
      <c r="EE76" s="1997"/>
      <c r="EF76" s="1997"/>
      <c r="EG76" s="1997"/>
      <c r="EH76" s="1997"/>
      <c r="EI76" s="1997"/>
      <c r="EJ76" s="1997"/>
      <c r="EK76" s="1997"/>
      <c r="EL76" s="1997"/>
      <c r="EM76" s="1997"/>
      <c r="EN76" s="1997"/>
      <c r="EO76" s="1997"/>
      <c r="EP76" s="1997"/>
      <c r="EQ76" s="1997"/>
      <c r="ER76" s="1997"/>
      <c r="ES76" s="1997"/>
      <c r="ET76" s="1997"/>
      <c r="EU76" s="1997"/>
      <c r="EV76" s="1997"/>
      <c r="EW76" s="1997"/>
      <c r="EX76" s="1997"/>
      <c r="EY76" s="1997"/>
      <c r="EZ76" s="1997"/>
      <c r="FA76" s="1997"/>
      <c r="FB76" s="1997"/>
      <c r="FC76" s="1997"/>
      <c r="FD76" s="1997"/>
      <c r="FE76" s="1997"/>
      <c r="FF76" s="1997"/>
      <c r="FG76" s="1997"/>
      <c r="FH76" s="1997"/>
      <c r="FI76" s="1997"/>
      <c r="FJ76" s="1997"/>
      <c r="FK76" s="1997"/>
      <c r="FL76" s="1997"/>
      <c r="FM76" s="1997"/>
      <c r="FN76" s="1997"/>
      <c r="FO76" s="1997"/>
      <c r="FP76" s="1997"/>
      <c r="FQ76" s="1997"/>
      <c r="FR76" s="1997"/>
      <c r="FS76" s="1997"/>
      <c r="FT76" s="1997"/>
      <c r="FU76" s="1997"/>
      <c r="FV76" s="1997"/>
      <c r="FW76" s="1997"/>
      <c r="FX76" s="1997"/>
      <c r="FY76" s="1997"/>
      <c r="FZ76" s="1997"/>
      <c r="GA76" s="1997"/>
      <c r="GB76" s="1997"/>
      <c r="GC76" s="1997"/>
      <c r="GD76" s="1997"/>
      <c r="GE76" s="1997"/>
      <c r="GF76" s="1997"/>
      <c r="GG76" s="1997"/>
      <c r="GH76" s="1997"/>
      <c r="GI76" s="1997"/>
      <c r="GJ76" s="1997"/>
      <c r="GK76" s="1997"/>
      <c r="GL76" s="1997"/>
      <c r="GM76" s="1997"/>
      <c r="GN76" s="1997"/>
      <c r="GO76" s="1997"/>
      <c r="GP76" s="1997"/>
      <c r="GQ76" s="1997"/>
      <c r="GR76" s="1997"/>
      <c r="GS76" s="1997"/>
      <c r="GT76" s="1997"/>
      <c r="GU76" s="1997"/>
      <c r="GV76" s="1997"/>
      <c r="GW76" s="1997"/>
      <c r="GX76" s="1997"/>
      <c r="GY76" s="1997"/>
      <c r="GZ76" s="1997"/>
      <c r="HA76" s="1997"/>
      <c r="HB76" s="1997"/>
      <c r="HC76" s="1997"/>
      <c r="HD76" s="1997"/>
      <c r="HE76" s="1997"/>
      <c r="HF76" s="1997"/>
      <c r="HG76" s="1997"/>
      <c r="HH76" s="1997"/>
      <c r="HI76" s="1997"/>
      <c r="HJ76" s="1997"/>
      <c r="HK76" s="1997"/>
      <c r="HL76" s="1997"/>
      <c r="HM76" s="1997"/>
      <c r="HN76" s="1997"/>
      <c r="HO76" s="1997"/>
      <c r="HP76" s="1997"/>
      <c r="HQ76" s="1997"/>
      <c r="HR76" s="1997"/>
      <c r="HS76" s="1997"/>
      <c r="HT76" s="1997"/>
      <c r="HU76" s="1997"/>
      <c r="HV76" s="1997"/>
      <c r="HW76" s="1997"/>
      <c r="HX76" s="1997"/>
      <c r="HY76" s="1997"/>
      <c r="HZ76" s="1997"/>
      <c r="IA76" s="1997"/>
      <c r="IB76" s="1997"/>
      <c r="IC76" s="1997"/>
      <c r="ID76" s="1997"/>
      <c r="IE76" s="1997"/>
      <c r="IF76" s="1997"/>
      <c r="IG76" s="1997"/>
      <c r="IH76" s="1997"/>
      <c r="II76" s="1997"/>
      <c r="IJ76" s="1997"/>
      <c r="IK76" s="1997"/>
      <c r="IL76" s="1997"/>
      <c r="IM76" s="1997"/>
      <c r="IN76" s="1997"/>
      <c r="IO76" s="1997"/>
      <c r="IP76" s="1997"/>
      <c r="IQ76" s="1997"/>
    </row>
    <row r="77" spans="1:251" hidden="1">
      <c r="A77" s="1993"/>
      <c r="B77" s="1998"/>
      <c r="C77" s="1998"/>
      <c r="D77" s="2034"/>
      <c r="E77" s="1998"/>
      <c r="F77" s="1940">
        <f t="shared" si="32"/>
        <v>0</v>
      </c>
      <c r="G77" s="1993"/>
      <c r="H77" s="1940">
        <f t="shared" si="33"/>
        <v>0</v>
      </c>
      <c r="I77" s="1993"/>
      <c r="J77" s="1940">
        <f t="shared" si="34"/>
        <v>0</v>
      </c>
      <c r="K77" s="1993"/>
      <c r="L77" s="1940">
        <f t="shared" si="35"/>
        <v>0</v>
      </c>
      <c r="M77" s="1940">
        <f t="shared" si="36"/>
        <v>0</v>
      </c>
      <c r="N77" s="1940">
        <f t="shared" si="37"/>
        <v>0</v>
      </c>
      <c r="O77" s="1993"/>
      <c r="P77" s="1993"/>
      <c r="Q77" s="1940">
        <f t="shared" si="38"/>
        <v>0</v>
      </c>
      <c r="R77" s="1940">
        <f t="shared" si="39"/>
        <v>0</v>
      </c>
      <c r="S77" s="1940">
        <f t="shared" si="40"/>
        <v>0</v>
      </c>
      <c r="T77" s="1940">
        <f t="shared" si="41"/>
        <v>0</v>
      </c>
      <c r="U77" s="1940">
        <f t="shared" si="42"/>
        <v>0</v>
      </c>
      <c r="V77" s="1997"/>
      <c r="W77" s="1997"/>
      <c r="X77" s="1997"/>
      <c r="Y77" s="1997"/>
      <c r="Z77" s="1997"/>
      <c r="AA77" s="1997"/>
      <c r="AB77" s="1997"/>
      <c r="AC77" s="1997"/>
      <c r="AD77" s="1997"/>
      <c r="AE77" s="1997"/>
      <c r="AF77" s="1997"/>
      <c r="AG77" s="1997"/>
      <c r="AH77" s="1997"/>
      <c r="AI77" s="1997"/>
      <c r="AJ77" s="1997"/>
      <c r="AK77" s="1997"/>
      <c r="AL77" s="1997"/>
      <c r="AM77" s="1997"/>
      <c r="AN77" s="1997"/>
      <c r="AO77" s="1997"/>
      <c r="AP77" s="1997"/>
      <c r="AQ77" s="1997"/>
      <c r="AR77" s="1997"/>
      <c r="AS77" s="1997"/>
      <c r="AT77" s="1997"/>
      <c r="AU77" s="1997"/>
      <c r="AV77" s="1997"/>
      <c r="AW77" s="1997"/>
      <c r="AX77" s="1997"/>
      <c r="AY77" s="1997"/>
      <c r="AZ77" s="1997"/>
      <c r="BA77" s="1997"/>
      <c r="BB77" s="1997"/>
      <c r="BC77" s="1997"/>
      <c r="BD77" s="1997"/>
      <c r="BE77" s="1997"/>
      <c r="BF77" s="1997"/>
      <c r="BG77" s="1997"/>
      <c r="BH77" s="1997"/>
      <c r="BI77" s="1997"/>
      <c r="BJ77" s="1997"/>
      <c r="BK77" s="1997"/>
      <c r="BL77" s="1997"/>
      <c r="BM77" s="1997"/>
      <c r="BN77" s="1997"/>
      <c r="BO77" s="1997"/>
      <c r="BP77" s="1997"/>
      <c r="BQ77" s="1997"/>
      <c r="BR77" s="1997"/>
      <c r="BS77" s="1997"/>
      <c r="BT77" s="1997"/>
      <c r="BU77" s="1997"/>
      <c r="BV77" s="1997"/>
      <c r="BW77" s="1997"/>
      <c r="BX77" s="1997"/>
      <c r="BY77" s="1997"/>
      <c r="BZ77" s="1997"/>
      <c r="CA77" s="1997"/>
      <c r="CB77" s="1997"/>
      <c r="CC77" s="1997"/>
      <c r="CD77" s="1997"/>
      <c r="CE77" s="1997"/>
      <c r="CF77" s="1997"/>
      <c r="CG77" s="1997"/>
      <c r="CH77" s="1997"/>
      <c r="CI77" s="1997"/>
      <c r="CJ77" s="1997"/>
      <c r="CK77" s="1997"/>
      <c r="CL77" s="1997"/>
      <c r="CM77" s="1997"/>
      <c r="CN77" s="1997"/>
      <c r="CO77" s="1997"/>
      <c r="CP77" s="1997"/>
      <c r="CQ77" s="1997"/>
      <c r="CR77" s="1997"/>
      <c r="CS77" s="1997"/>
      <c r="CT77" s="1997"/>
      <c r="CU77" s="1997"/>
      <c r="CV77" s="1997"/>
      <c r="CW77" s="1997"/>
      <c r="CX77" s="1997"/>
      <c r="CY77" s="1997"/>
      <c r="CZ77" s="1997"/>
      <c r="DA77" s="1997"/>
      <c r="DB77" s="1997"/>
      <c r="DC77" s="1997"/>
      <c r="DD77" s="1997"/>
      <c r="DE77" s="1997"/>
      <c r="DF77" s="1997"/>
      <c r="DG77" s="1997"/>
      <c r="DH77" s="1997"/>
      <c r="DI77" s="1997"/>
      <c r="DJ77" s="1997"/>
      <c r="DK77" s="1997"/>
      <c r="DL77" s="1997"/>
      <c r="DM77" s="1997"/>
      <c r="DN77" s="1997"/>
      <c r="DO77" s="1997"/>
      <c r="DP77" s="1997"/>
      <c r="DQ77" s="1997"/>
      <c r="DR77" s="1997"/>
      <c r="DS77" s="1997"/>
      <c r="DT77" s="1997"/>
      <c r="DU77" s="1997"/>
      <c r="DV77" s="1997"/>
      <c r="DW77" s="1997"/>
      <c r="DX77" s="1997"/>
      <c r="DY77" s="1997"/>
      <c r="DZ77" s="1997"/>
      <c r="EA77" s="1997"/>
      <c r="EB77" s="1997"/>
      <c r="EC77" s="1997"/>
      <c r="ED77" s="1997"/>
      <c r="EE77" s="1997"/>
      <c r="EF77" s="1997"/>
      <c r="EG77" s="1997"/>
      <c r="EH77" s="1997"/>
      <c r="EI77" s="1997"/>
      <c r="EJ77" s="1997"/>
      <c r="EK77" s="1997"/>
      <c r="EL77" s="1997"/>
      <c r="EM77" s="1997"/>
      <c r="EN77" s="1997"/>
      <c r="EO77" s="1997"/>
      <c r="EP77" s="1997"/>
      <c r="EQ77" s="1997"/>
      <c r="ER77" s="1997"/>
      <c r="ES77" s="1997"/>
      <c r="ET77" s="1997"/>
      <c r="EU77" s="1997"/>
      <c r="EV77" s="1997"/>
      <c r="EW77" s="1997"/>
      <c r="EX77" s="1997"/>
      <c r="EY77" s="1997"/>
      <c r="EZ77" s="1997"/>
      <c r="FA77" s="1997"/>
      <c r="FB77" s="1997"/>
      <c r="FC77" s="1997"/>
      <c r="FD77" s="1997"/>
      <c r="FE77" s="1997"/>
      <c r="FF77" s="1997"/>
      <c r="FG77" s="1997"/>
      <c r="FH77" s="1997"/>
      <c r="FI77" s="1997"/>
      <c r="FJ77" s="1997"/>
      <c r="FK77" s="1997"/>
      <c r="FL77" s="1997"/>
      <c r="FM77" s="1997"/>
      <c r="FN77" s="1997"/>
      <c r="FO77" s="1997"/>
      <c r="FP77" s="1997"/>
      <c r="FQ77" s="1997"/>
      <c r="FR77" s="1997"/>
      <c r="FS77" s="1997"/>
      <c r="FT77" s="1997"/>
      <c r="FU77" s="1997"/>
      <c r="FV77" s="1997"/>
      <c r="FW77" s="1997"/>
      <c r="FX77" s="1997"/>
      <c r="FY77" s="1997"/>
      <c r="FZ77" s="1997"/>
      <c r="GA77" s="1997"/>
      <c r="GB77" s="1997"/>
      <c r="GC77" s="1997"/>
      <c r="GD77" s="1997"/>
      <c r="GE77" s="1997"/>
      <c r="GF77" s="1997"/>
      <c r="GG77" s="1997"/>
      <c r="GH77" s="1997"/>
      <c r="GI77" s="1997"/>
      <c r="GJ77" s="1997"/>
      <c r="GK77" s="1997"/>
      <c r="GL77" s="1997"/>
      <c r="GM77" s="1997"/>
      <c r="GN77" s="1997"/>
      <c r="GO77" s="1997"/>
      <c r="GP77" s="1997"/>
      <c r="GQ77" s="1997"/>
      <c r="GR77" s="1997"/>
      <c r="GS77" s="1997"/>
      <c r="GT77" s="1997"/>
      <c r="GU77" s="1997"/>
      <c r="GV77" s="1997"/>
      <c r="GW77" s="1997"/>
      <c r="GX77" s="1997"/>
      <c r="GY77" s="1997"/>
      <c r="GZ77" s="1997"/>
      <c r="HA77" s="1997"/>
      <c r="HB77" s="1997"/>
      <c r="HC77" s="1997"/>
      <c r="HD77" s="1997"/>
      <c r="HE77" s="1997"/>
      <c r="HF77" s="1997"/>
      <c r="HG77" s="1997"/>
      <c r="HH77" s="1997"/>
      <c r="HI77" s="1997"/>
      <c r="HJ77" s="1997"/>
      <c r="HK77" s="1997"/>
      <c r="HL77" s="1997"/>
      <c r="HM77" s="1997"/>
      <c r="HN77" s="1997"/>
      <c r="HO77" s="1997"/>
      <c r="HP77" s="1997"/>
      <c r="HQ77" s="1997"/>
      <c r="HR77" s="1997"/>
      <c r="HS77" s="1997"/>
      <c r="HT77" s="1997"/>
      <c r="HU77" s="1997"/>
      <c r="HV77" s="1997"/>
      <c r="HW77" s="1997"/>
      <c r="HX77" s="1997"/>
      <c r="HY77" s="1997"/>
      <c r="HZ77" s="1997"/>
      <c r="IA77" s="1997"/>
      <c r="IB77" s="1997"/>
      <c r="IC77" s="1997"/>
      <c r="ID77" s="1997"/>
      <c r="IE77" s="1997"/>
      <c r="IF77" s="1997"/>
      <c r="IG77" s="1997"/>
      <c r="IH77" s="1997"/>
      <c r="II77" s="1997"/>
      <c r="IJ77" s="1997"/>
      <c r="IK77" s="1997"/>
      <c r="IL77" s="1997"/>
      <c r="IM77" s="1997"/>
      <c r="IN77" s="1997"/>
      <c r="IO77" s="1997"/>
      <c r="IP77" s="1997"/>
      <c r="IQ77" s="1997"/>
    </row>
    <row r="78" spans="1:251" hidden="1">
      <c r="A78" s="1993"/>
      <c r="B78" s="1998"/>
      <c r="C78" s="1998"/>
      <c r="D78" s="2034"/>
      <c r="E78" s="1998"/>
      <c r="F78" s="1940">
        <f t="shared" si="32"/>
        <v>0</v>
      </c>
      <c r="G78" s="1993"/>
      <c r="H78" s="1940">
        <f t="shared" si="33"/>
        <v>0</v>
      </c>
      <c r="I78" s="1993"/>
      <c r="J78" s="1940">
        <f t="shared" si="34"/>
        <v>0</v>
      </c>
      <c r="K78" s="1993"/>
      <c r="L78" s="1940">
        <f t="shared" si="35"/>
        <v>0</v>
      </c>
      <c r="M78" s="1940">
        <f t="shared" si="36"/>
        <v>0</v>
      </c>
      <c r="N78" s="1940">
        <f t="shared" si="37"/>
        <v>0</v>
      </c>
      <c r="O78" s="1993"/>
      <c r="P78" s="1993"/>
      <c r="Q78" s="1940">
        <f t="shared" si="38"/>
        <v>0</v>
      </c>
      <c r="R78" s="1940">
        <f t="shared" si="39"/>
        <v>0</v>
      </c>
      <c r="S78" s="1940">
        <f t="shared" si="40"/>
        <v>0</v>
      </c>
      <c r="T78" s="1940">
        <f t="shared" si="41"/>
        <v>0</v>
      </c>
      <c r="U78" s="1940">
        <f t="shared" si="42"/>
        <v>0</v>
      </c>
      <c r="V78" s="1997"/>
      <c r="W78" s="1997"/>
      <c r="X78" s="1997"/>
      <c r="Y78" s="1997"/>
      <c r="Z78" s="1997"/>
      <c r="AA78" s="1997"/>
      <c r="AB78" s="1997"/>
      <c r="AC78" s="1997"/>
      <c r="AD78" s="1997"/>
      <c r="AE78" s="1997"/>
      <c r="AF78" s="1997"/>
      <c r="AG78" s="1997"/>
      <c r="AH78" s="1997"/>
      <c r="AI78" s="1997"/>
      <c r="AJ78" s="1997"/>
      <c r="AK78" s="1997"/>
      <c r="AL78" s="1997"/>
      <c r="AM78" s="1997"/>
      <c r="AN78" s="1997"/>
      <c r="AO78" s="1997"/>
      <c r="AP78" s="1997"/>
      <c r="AQ78" s="1997"/>
      <c r="AR78" s="1997"/>
      <c r="AS78" s="1997"/>
      <c r="AT78" s="1997"/>
      <c r="AU78" s="1997"/>
      <c r="AV78" s="1997"/>
      <c r="AW78" s="1997"/>
      <c r="AX78" s="1997"/>
      <c r="AY78" s="1997"/>
      <c r="AZ78" s="1997"/>
      <c r="BA78" s="1997"/>
      <c r="BB78" s="1997"/>
      <c r="BC78" s="1997"/>
      <c r="BD78" s="1997"/>
      <c r="BE78" s="1997"/>
      <c r="BF78" s="1997"/>
      <c r="BG78" s="1997"/>
      <c r="BH78" s="1997"/>
      <c r="BI78" s="1997"/>
      <c r="BJ78" s="1997"/>
      <c r="BK78" s="1997"/>
      <c r="BL78" s="1997"/>
      <c r="BM78" s="1997"/>
      <c r="BN78" s="1997"/>
      <c r="BO78" s="1997"/>
      <c r="BP78" s="1997"/>
      <c r="BQ78" s="1997"/>
      <c r="BR78" s="1997"/>
      <c r="BS78" s="1997"/>
      <c r="BT78" s="1997"/>
      <c r="BU78" s="1997"/>
      <c r="BV78" s="1997"/>
      <c r="BW78" s="1997"/>
      <c r="BX78" s="1997"/>
      <c r="BY78" s="1997"/>
      <c r="BZ78" s="1997"/>
      <c r="CA78" s="1997"/>
      <c r="CB78" s="1997"/>
      <c r="CC78" s="1997"/>
      <c r="CD78" s="1997"/>
      <c r="CE78" s="1997"/>
      <c r="CF78" s="1997"/>
      <c r="CG78" s="1997"/>
      <c r="CH78" s="1997"/>
      <c r="CI78" s="1997"/>
      <c r="CJ78" s="1997"/>
      <c r="CK78" s="1997"/>
      <c r="CL78" s="1997"/>
      <c r="CM78" s="1997"/>
      <c r="CN78" s="1997"/>
      <c r="CO78" s="1997"/>
      <c r="CP78" s="1997"/>
      <c r="CQ78" s="1997"/>
      <c r="CR78" s="1997"/>
      <c r="CS78" s="1997"/>
      <c r="CT78" s="1997"/>
      <c r="CU78" s="1997"/>
      <c r="CV78" s="1997"/>
      <c r="CW78" s="1997"/>
      <c r="CX78" s="1997"/>
      <c r="CY78" s="1997"/>
      <c r="CZ78" s="1997"/>
      <c r="DA78" s="1997"/>
      <c r="DB78" s="1997"/>
      <c r="DC78" s="1997"/>
      <c r="DD78" s="1997"/>
      <c r="DE78" s="1997"/>
      <c r="DF78" s="1997"/>
      <c r="DG78" s="1997"/>
      <c r="DH78" s="1997"/>
      <c r="DI78" s="1997"/>
      <c r="DJ78" s="1997"/>
      <c r="DK78" s="1997"/>
      <c r="DL78" s="1997"/>
      <c r="DM78" s="1997"/>
      <c r="DN78" s="1997"/>
      <c r="DO78" s="1997"/>
      <c r="DP78" s="1997"/>
      <c r="DQ78" s="1997"/>
      <c r="DR78" s="1997"/>
      <c r="DS78" s="1997"/>
      <c r="DT78" s="1997"/>
      <c r="DU78" s="1997"/>
      <c r="DV78" s="1997"/>
      <c r="DW78" s="1997"/>
      <c r="DX78" s="1997"/>
      <c r="DY78" s="1997"/>
      <c r="DZ78" s="1997"/>
      <c r="EA78" s="1997"/>
      <c r="EB78" s="1997"/>
      <c r="EC78" s="1997"/>
      <c r="ED78" s="1997"/>
      <c r="EE78" s="1997"/>
      <c r="EF78" s="1997"/>
      <c r="EG78" s="1997"/>
      <c r="EH78" s="1997"/>
      <c r="EI78" s="1997"/>
      <c r="EJ78" s="1997"/>
      <c r="EK78" s="1997"/>
      <c r="EL78" s="1997"/>
      <c r="EM78" s="1997"/>
      <c r="EN78" s="1997"/>
      <c r="EO78" s="1997"/>
      <c r="EP78" s="1997"/>
      <c r="EQ78" s="1997"/>
      <c r="ER78" s="1997"/>
      <c r="ES78" s="1997"/>
      <c r="ET78" s="1997"/>
      <c r="EU78" s="1997"/>
      <c r="EV78" s="1997"/>
      <c r="EW78" s="1997"/>
      <c r="EX78" s="1997"/>
      <c r="EY78" s="1997"/>
      <c r="EZ78" s="1997"/>
      <c r="FA78" s="1997"/>
      <c r="FB78" s="1997"/>
      <c r="FC78" s="1997"/>
      <c r="FD78" s="1997"/>
      <c r="FE78" s="1997"/>
      <c r="FF78" s="1997"/>
      <c r="FG78" s="1997"/>
      <c r="FH78" s="1997"/>
      <c r="FI78" s="1997"/>
      <c r="FJ78" s="1997"/>
      <c r="FK78" s="1997"/>
      <c r="FL78" s="1997"/>
      <c r="FM78" s="1997"/>
      <c r="FN78" s="1997"/>
      <c r="FO78" s="1997"/>
      <c r="FP78" s="1997"/>
      <c r="FQ78" s="1997"/>
      <c r="FR78" s="1997"/>
      <c r="FS78" s="1997"/>
      <c r="FT78" s="1997"/>
      <c r="FU78" s="1997"/>
      <c r="FV78" s="1997"/>
      <c r="FW78" s="1997"/>
      <c r="FX78" s="1997"/>
      <c r="FY78" s="1997"/>
      <c r="FZ78" s="1997"/>
      <c r="GA78" s="1997"/>
      <c r="GB78" s="1997"/>
      <c r="GC78" s="1997"/>
      <c r="GD78" s="1997"/>
      <c r="GE78" s="1997"/>
      <c r="GF78" s="1997"/>
      <c r="GG78" s="1997"/>
      <c r="GH78" s="1997"/>
      <c r="GI78" s="1997"/>
      <c r="GJ78" s="1997"/>
      <c r="GK78" s="1997"/>
      <c r="GL78" s="1997"/>
      <c r="GM78" s="1997"/>
      <c r="GN78" s="1997"/>
      <c r="GO78" s="1997"/>
      <c r="GP78" s="1997"/>
      <c r="GQ78" s="1997"/>
      <c r="GR78" s="1997"/>
      <c r="GS78" s="1997"/>
      <c r="GT78" s="1997"/>
      <c r="GU78" s="1997"/>
      <c r="GV78" s="1997"/>
      <c r="GW78" s="1997"/>
      <c r="GX78" s="1997"/>
      <c r="GY78" s="1997"/>
      <c r="GZ78" s="1997"/>
      <c r="HA78" s="1997"/>
      <c r="HB78" s="1997"/>
      <c r="HC78" s="1997"/>
      <c r="HD78" s="1997"/>
      <c r="HE78" s="1997"/>
      <c r="HF78" s="1997"/>
      <c r="HG78" s="1997"/>
      <c r="HH78" s="1997"/>
      <c r="HI78" s="1997"/>
      <c r="HJ78" s="1997"/>
      <c r="HK78" s="1997"/>
      <c r="HL78" s="1997"/>
      <c r="HM78" s="1997"/>
      <c r="HN78" s="1997"/>
      <c r="HO78" s="1997"/>
      <c r="HP78" s="1997"/>
      <c r="HQ78" s="1997"/>
      <c r="HR78" s="1997"/>
      <c r="HS78" s="1997"/>
      <c r="HT78" s="1997"/>
      <c r="HU78" s="1997"/>
      <c r="HV78" s="1997"/>
      <c r="HW78" s="1997"/>
      <c r="HX78" s="1997"/>
      <c r="HY78" s="1997"/>
      <c r="HZ78" s="1997"/>
      <c r="IA78" s="1997"/>
      <c r="IB78" s="1997"/>
      <c r="IC78" s="1997"/>
      <c r="ID78" s="1997"/>
      <c r="IE78" s="1997"/>
      <c r="IF78" s="1997"/>
      <c r="IG78" s="1997"/>
      <c r="IH78" s="1997"/>
      <c r="II78" s="1997"/>
      <c r="IJ78" s="1997"/>
      <c r="IK78" s="1997"/>
      <c r="IL78" s="1997"/>
      <c r="IM78" s="1997"/>
      <c r="IN78" s="1997"/>
      <c r="IO78" s="1997"/>
      <c r="IP78" s="1997"/>
      <c r="IQ78" s="1997"/>
    </row>
    <row r="79" spans="1:251" hidden="1">
      <c r="A79" s="1993"/>
      <c r="B79" s="1998"/>
      <c r="C79" s="1998"/>
      <c r="D79" s="2034"/>
      <c r="E79" s="1998"/>
      <c r="F79" s="1940">
        <f t="shared" si="32"/>
        <v>0</v>
      </c>
      <c r="G79" s="1993"/>
      <c r="H79" s="1940">
        <f t="shared" si="33"/>
        <v>0</v>
      </c>
      <c r="I79" s="1993"/>
      <c r="J79" s="1940">
        <f t="shared" si="34"/>
        <v>0</v>
      </c>
      <c r="K79" s="1993"/>
      <c r="L79" s="1940">
        <f t="shared" si="35"/>
        <v>0</v>
      </c>
      <c r="M79" s="1940">
        <f t="shared" si="36"/>
        <v>0</v>
      </c>
      <c r="N79" s="1940">
        <f t="shared" si="37"/>
        <v>0</v>
      </c>
      <c r="O79" s="1993"/>
      <c r="P79" s="1993"/>
      <c r="Q79" s="1940">
        <f t="shared" si="38"/>
        <v>0</v>
      </c>
      <c r="R79" s="1940">
        <f t="shared" si="39"/>
        <v>0</v>
      </c>
      <c r="S79" s="1940">
        <f t="shared" si="40"/>
        <v>0</v>
      </c>
      <c r="T79" s="1940">
        <f t="shared" si="41"/>
        <v>0</v>
      </c>
      <c r="U79" s="1940">
        <f t="shared" si="42"/>
        <v>0</v>
      </c>
      <c r="V79" s="1997"/>
      <c r="W79" s="1997"/>
      <c r="X79" s="1997"/>
      <c r="Y79" s="1997"/>
      <c r="Z79" s="1997"/>
      <c r="AA79" s="1997"/>
      <c r="AB79" s="1997"/>
      <c r="AC79" s="1997"/>
      <c r="AD79" s="1997"/>
      <c r="AE79" s="1997"/>
      <c r="AF79" s="1997"/>
      <c r="AG79" s="1997"/>
      <c r="AH79" s="1997"/>
      <c r="AI79" s="1997"/>
      <c r="AJ79" s="1997"/>
      <c r="AK79" s="1997"/>
      <c r="AL79" s="1997"/>
      <c r="AM79" s="1997"/>
      <c r="AN79" s="1997"/>
      <c r="AO79" s="1997"/>
      <c r="AP79" s="1997"/>
      <c r="AQ79" s="1997"/>
      <c r="AR79" s="1997"/>
      <c r="AS79" s="1997"/>
      <c r="AT79" s="1997"/>
      <c r="AU79" s="1997"/>
      <c r="AV79" s="1997"/>
      <c r="AW79" s="1997"/>
      <c r="AX79" s="1997"/>
      <c r="AY79" s="1997"/>
      <c r="AZ79" s="1997"/>
      <c r="BA79" s="1997"/>
      <c r="BB79" s="1997"/>
      <c r="BC79" s="1997"/>
      <c r="BD79" s="1997"/>
      <c r="BE79" s="1997"/>
      <c r="BF79" s="1997"/>
      <c r="BG79" s="1997"/>
      <c r="BH79" s="1997"/>
      <c r="BI79" s="1997"/>
      <c r="BJ79" s="1997"/>
      <c r="BK79" s="1997"/>
      <c r="BL79" s="1997"/>
      <c r="BM79" s="1997"/>
      <c r="BN79" s="1997"/>
      <c r="BO79" s="1997"/>
      <c r="BP79" s="1997"/>
      <c r="BQ79" s="1997"/>
      <c r="BR79" s="1997"/>
      <c r="BS79" s="1997"/>
      <c r="BT79" s="1997"/>
      <c r="BU79" s="1997"/>
      <c r="BV79" s="1997"/>
      <c r="BW79" s="1997"/>
      <c r="BX79" s="1997"/>
      <c r="BY79" s="1997"/>
      <c r="BZ79" s="1997"/>
      <c r="CA79" s="1997"/>
      <c r="CB79" s="1997"/>
      <c r="CC79" s="1997"/>
      <c r="CD79" s="1997"/>
      <c r="CE79" s="1997"/>
      <c r="CF79" s="1997"/>
      <c r="CG79" s="1997"/>
      <c r="CH79" s="1997"/>
      <c r="CI79" s="1997"/>
      <c r="CJ79" s="1997"/>
      <c r="CK79" s="1997"/>
      <c r="CL79" s="1997"/>
      <c r="CM79" s="1997"/>
      <c r="CN79" s="1997"/>
      <c r="CO79" s="1997"/>
      <c r="CP79" s="1997"/>
      <c r="CQ79" s="1997"/>
      <c r="CR79" s="1997"/>
      <c r="CS79" s="1997"/>
      <c r="CT79" s="1997"/>
      <c r="CU79" s="1997"/>
      <c r="CV79" s="1997"/>
      <c r="CW79" s="1997"/>
      <c r="CX79" s="1997"/>
      <c r="CY79" s="1997"/>
      <c r="CZ79" s="1997"/>
      <c r="DA79" s="1997"/>
      <c r="DB79" s="1997"/>
      <c r="DC79" s="1997"/>
      <c r="DD79" s="1997"/>
      <c r="DE79" s="1997"/>
      <c r="DF79" s="1997"/>
      <c r="DG79" s="1997"/>
      <c r="DH79" s="1997"/>
      <c r="DI79" s="1997"/>
      <c r="DJ79" s="1997"/>
      <c r="DK79" s="1997"/>
      <c r="DL79" s="1997"/>
      <c r="DM79" s="1997"/>
      <c r="DN79" s="1997"/>
      <c r="DO79" s="1997"/>
      <c r="DP79" s="1997"/>
      <c r="DQ79" s="1997"/>
      <c r="DR79" s="1997"/>
      <c r="DS79" s="1997"/>
      <c r="DT79" s="1997"/>
      <c r="DU79" s="1997"/>
      <c r="DV79" s="1997"/>
      <c r="DW79" s="1997"/>
      <c r="DX79" s="1997"/>
      <c r="DY79" s="1997"/>
      <c r="DZ79" s="1997"/>
      <c r="EA79" s="1997"/>
      <c r="EB79" s="1997"/>
      <c r="EC79" s="1997"/>
      <c r="ED79" s="1997"/>
      <c r="EE79" s="1997"/>
      <c r="EF79" s="1997"/>
      <c r="EG79" s="1997"/>
      <c r="EH79" s="1997"/>
      <c r="EI79" s="1997"/>
      <c r="EJ79" s="1997"/>
      <c r="EK79" s="1997"/>
      <c r="EL79" s="1997"/>
      <c r="EM79" s="1997"/>
      <c r="EN79" s="1997"/>
      <c r="EO79" s="1997"/>
      <c r="EP79" s="1997"/>
      <c r="EQ79" s="1997"/>
      <c r="ER79" s="1997"/>
      <c r="ES79" s="1997"/>
      <c r="ET79" s="1997"/>
      <c r="EU79" s="1997"/>
      <c r="EV79" s="1997"/>
      <c r="EW79" s="1997"/>
      <c r="EX79" s="1997"/>
      <c r="EY79" s="1997"/>
      <c r="EZ79" s="1997"/>
      <c r="FA79" s="1997"/>
      <c r="FB79" s="1997"/>
      <c r="FC79" s="1997"/>
      <c r="FD79" s="1997"/>
      <c r="FE79" s="1997"/>
      <c r="FF79" s="1997"/>
      <c r="FG79" s="1997"/>
      <c r="FH79" s="1997"/>
      <c r="FI79" s="1997"/>
      <c r="FJ79" s="1997"/>
      <c r="FK79" s="1997"/>
      <c r="FL79" s="1997"/>
      <c r="FM79" s="1997"/>
      <c r="FN79" s="1997"/>
      <c r="FO79" s="1997"/>
      <c r="FP79" s="1997"/>
      <c r="FQ79" s="1997"/>
      <c r="FR79" s="1997"/>
      <c r="FS79" s="1997"/>
      <c r="FT79" s="1997"/>
      <c r="FU79" s="1997"/>
      <c r="FV79" s="1997"/>
      <c r="FW79" s="1997"/>
      <c r="FX79" s="1997"/>
      <c r="FY79" s="1997"/>
      <c r="FZ79" s="1997"/>
      <c r="GA79" s="1997"/>
      <c r="GB79" s="1997"/>
      <c r="GC79" s="1997"/>
      <c r="GD79" s="1997"/>
      <c r="GE79" s="1997"/>
      <c r="GF79" s="1997"/>
      <c r="GG79" s="1997"/>
      <c r="GH79" s="1997"/>
      <c r="GI79" s="1997"/>
      <c r="GJ79" s="1997"/>
      <c r="GK79" s="1997"/>
      <c r="GL79" s="1997"/>
      <c r="GM79" s="1997"/>
      <c r="GN79" s="1997"/>
      <c r="GO79" s="1997"/>
      <c r="GP79" s="1997"/>
      <c r="GQ79" s="1997"/>
      <c r="GR79" s="1997"/>
      <c r="GS79" s="1997"/>
      <c r="GT79" s="1997"/>
      <c r="GU79" s="1997"/>
      <c r="GV79" s="1997"/>
      <c r="GW79" s="1997"/>
      <c r="GX79" s="1997"/>
      <c r="GY79" s="1997"/>
      <c r="GZ79" s="1997"/>
      <c r="HA79" s="1997"/>
      <c r="HB79" s="1997"/>
      <c r="HC79" s="1997"/>
      <c r="HD79" s="1997"/>
      <c r="HE79" s="1997"/>
      <c r="HF79" s="1997"/>
      <c r="HG79" s="1997"/>
      <c r="HH79" s="1997"/>
      <c r="HI79" s="1997"/>
      <c r="HJ79" s="1997"/>
      <c r="HK79" s="1997"/>
      <c r="HL79" s="1997"/>
      <c r="HM79" s="1997"/>
      <c r="HN79" s="1997"/>
      <c r="HO79" s="1997"/>
      <c r="HP79" s="1997"/>
      <c r="HQ79" s="1997"/>
      <c r="HR79" s="1997"/>
      <c r="HS79" s="1997"/>
      <c r="HT79" s="1997"/>
      <c r="HU79" s="1997"/>
      <c r="HV79" s="1997"/>
      <c r="HW79" s="1997"/>
      <c r="HX79" s="1997"/>
      <c r="HY79" s="1997"/>
      <c r="HZ79" s="1997"/>
      <c r="IA79" s="1997"/>
      <c r="IB79" s="1997"/>
      <c r="IC79" s="1997"/>
      <c r="ID79" s="1997"/>
      <c r="IE79" s="1997"/>
      <c r="IF79" s="1997"/>
      <c r="IG79" s="1997"/>
      <c r="IH79" s="1997"/>
      <c r="II79" s="1997"/>
      <c r="IJ79" s="1997"/>
      <c r="IK79" s="1997"/>
      <c r="IL79" s="1997"/>
      <c r="IM79" s="1997"/>
      <c r="IN79" s="1997"/>
      <c r="IO79" s="1997"/>
      <c r="IP79" s="1997"/>
      <c r="IQ79" s="1997"/>
    </row>
    <row r="80" spans="1:251" hidden="1">
      <c r="A80" s="1993"/>
      <c r="B80" s="1998"/>
      <c r="C80" s="1998"/>
      <c r="D80" s="2034"/>
      <c r="E80" s="1998"/>
      <c r="F80" s="1940">
        <f t="shared" si="32"/>
        <v>0</v>
      </c>
      <c r="G80" s="1993"/>
      <c r="H80" s="1940">
        <f t="shared" si="33"/>
        <v>0</v>
      </c>
      <c r="I80" s="1993"/>
      <c r="J80" s="1940">
        <f t="shared" si="34"/>
        <v>0</v>
      </c>
      <c r="K80" s="1993"/>
      <c r="L80" s="1940">
        <f t="shared" si="35"/>
        <v>0</v>
      </c>
      <c r="M80" s="1940">
        <f t="shared" si="36"/>
        <v>0</v>
      </c>
      <c r="N80" s="1940">
        <f t="shared" si="37"/>
        <v>0</v>
      </c>
      <c r="O80" s="1993"/>
      <c r="P80" s="1993"/>
      <c r="Q80" s="1940">
        <f t="shared" si="38"/>
        <v>0</v>
      </c>
      <c r="R80" s="1940">
        <f t="shared" si="39"/>
        <v>0</v>
      </c>
      <c r="S80" s="1940">
        <f t="shared" si="40"/>
        <v>0</v>
      </c>
      <c r="T80" s="1940">
        <f t="shared" si="41"/>
        <v>0</v>
      </c>
      <c r="U80" s="1940">
        <f t="shared" si="42"/>
        <v>0</v>
      </c>
      <c r="V80" s="1997"/>
      <c r="W80" s="1997"/>
      <c r="X80" s="1997"/>
      <c r="Y80" s="1997"/>
      <c r="Z80" s="1997"/>
      <c r="AA80" s="1997"/>
      <c r="AB80" s="1997"/>
      <c r="AC80" s="1997"/>
      <c r="AD80" s="1997"/>
      <c r="AE80" s="1997"/>
      <c r="AF80" s="1997"/>
      <c r="AG80" s="1997"/>
      <c r="AH80" s="1997"/>
      <c r="AI80" s="1997"/>
      <c r="AJ80" s="1997"/>
      <c r="AK80" s="1997"/>
      <c r="AL80" s="1997"/>
      <c r="AM80" s="1997"/>
      <c r="AN80" s="1997"/>
      <c r="AO80" s="1997"/>
      <c r="AP80" s="1997"/>
      <c r="AQ80" s="1997"/>
      <c r="AR80" s="1997"/>
      <c r="AS80" s="1997"/>
      <c r="AT80" s="1997"/>
      <c r="AU80" s="1997"/>
      <c r="AV80" s="1997"/>
      <c r="AW80" s="1997"/>
      <c r="AX80" s="1997"/>
      <c r="AY80" s="1997"/>
      <c r="AZ80" s="1997"/>
      <c r="BA80" s="1997"/>
      <c r="BB80" s="1997"/>
      <c r="BC80" s="1997"/>
      <c r="BD80" s="1997"/>
      <c r="BE80" s="1997"/>
      <c r="BF80" s="1997"/>
      <c r="BG80" s="1997"/>
      <c r="BH80" s="1997"/>
      <c r="BI80" s="1997"/>
      <c r="BJ80" s="1997"/>
      <c r="BK80" s="1997"/>
      <c r="BL80" s="1997"/>
      <c r="BM80" s="1997"/>
      <c r="BN80" s="1997"/>
      <c r="BO80" s="1997"/>
      <c r="BP80" s="1997"/>
      <c r="BQ80" s="1997"/>
      <c r="BR80" s="1997"/>
      <c r="BS80" s="1997"/>
      <c r="BT80" s="1997"/>
      <c r="BU80" s="1997"/>
      <c r="BV80" s="1997"/>
      <c r="BW80" s="1997"/>
      <c r="BX80" s="1997"/>
      <c r="BY80" s="1997"/>
      <c r="BZ80" s="1997"/>
      <c r="CA80" s="1997"/>
      <c r="CB80" s="1997"/>
      <c r="CC80" s="1997"/>
      <c r="CD80" s="1997"/>
      <c r="CE80" s="1997"/>
      <c r="CF80" s="1997"/>
      <c r="CG80" s="1997"/>
      <c r="CH80" s="1997"/>
      <c r="CI80" s="1997"/>
      <c r="CJ80" s="1997"/>
      <c r="CK80" s="1997"/>
      <c r="CL80" s="1997"/>
      <c r="CM80" s="1997"/>
      <c r="CN80" s="1997"/>
      <c r="CO80" s="1997"/>
      <c r="CP80" s="1997"/>
      <c r="CQ80" s="1997"/>
      <c r="CR80" s="1997"/>
      <c r="CS80" s="1997"/>
      <c r="CT80" s="1997"/>
      <c r="CU80" s="1997"/>
      <c r="CV80" s="1997"/>
      <c r="CW80" s="1997"/>
      <c r="CX80" s="1997"/>
      <c r="CY80" s="1997"/>
      <c r="CZ80" s="1997"/>
      <c r="DA80" s="1997"/>
      <c r="DB80" s="1997"/>
      <c r="DC80" s="1997"/>
      <c r="DD80" s="1997"/>
      <c r="DE80" s="1997"/>
      <c r="DF80" s="1997"/>
      <c r="DG80" s="1997"/>
      <c r="DH80" s="1997"/>
      <c r="DI80" s="1997"/>
      <c r="DJ80" s="1997"/>
      <c r="DK80" s="1997"/>
      <c r="DL80" s="1997"/>
      <c r="DM80" s="1997"/>
      <c r="DN80" s="1997"/>
      <c r="DO80" s="1997"/>
      <c r="DP80" s="1997"/>
      <c r="DQ80" s="1997"/>
      <c r="DR80" s="1997"/>
      <c r="DS80" s="1997"/>
      <c r="DT80" s="1997"/>
      <c r="DU80" s="1997"/>
      <c r="DV80" s="1997"/>
      <c r="DW80" s="1997"/>
      <c r="DX80" s="1997"/>
      <c r="DY80" s="1997"/>
      <c r="DZ80" s="1997"/>
      <c r="EA80" s="1997"/>
      <c r="EB80" s="1997"/>
      <c r="EC80" s="1997"/>
      <c r="ED80" s="1997"/>
      <c r="EE80" s="1997"/>
      <c r="EF80" s="1997"/>
      <c r="EG80" s="1997"/>
      <c r="EH80" s="1997"/>
      <c r="EI80" s="1997"/>
      <c r="EJ80" s="1997"/>
      <c r="EK80" s="1997"/>
      <c r="EL80" s="1997"/>
      <c r="EM80" s="1997"/>
      <c r="EN80" s="1997"/>
      <c r="EO80" s="1997"/>
      <c r="EP80" s="1997"/>
      <c r="EQ80" s="1997"/>
      <c r="ER80" s="1997"/>
      <c r="ES80" s="1997"/>
      <c r="ET80" s="1997"/>
      <c r="EU80" s="1997"/>
      <c r="EV80" s="1997"/>
      <c r="EW80" s="1997"/>
      <c r="EX80" s="1997"/>
      <c r="EY80" s="1997"/>
      <c r="EZ80" s="1997"/>
      <c r="FA80" s="1997"/>
      <c r="FB80" s="1997"/>
      <c r="FC80" s="1997"/>
      <c r="FD80" s="1997"/>
      <c r="FE80" s="1997"/>
      <c r="FF80" s="1997"/>
      <c r="FG80" s="1997"/>
      <c r="FH80" s="1997"/>
      <c r="FI80" s="1997"/>
      <c r="FJ80" s="1997"/>
      <c r="FK80" s="1997"/>
      <c r="FL80" s="1997"/>
      <c r="FM80" s="1997"/>
      <c r="FN80" s="1997"/>
      <c r="FO80" s="1997"/>
      <c r="FP80" s="1997"/>
      <c r="FQ80" s="1997"/>
      <c r="FR80" s="1997"/>
      <c r="FS80" s="1997"/>
      <c r="FT80" s="1997"/>
      <c r="FU80" s="1997"/>
      <c r="FV80" s="1997"/>
      <c r="FW80" s="1997"/>
      <c r="FX80" s="1997"/>
      <c r="FY80" s="1997"/>
      <c r="FZ80" s="1997"/>
      <c r="GA80" s="1997"/>
      <c r="GB80" s="1997"/>
      <c r="GC80" s="1997"/>
      <c r="GD80" s="1997"/>
      <c r="GE80" s="1997"/>
      <c r="GF80" s="1997"/>
      <c r="GG80" s="1997"/>
      <c r="GH80" s="1997"/>
      <c r="GI80" s="1997"/>
      <c r="GJ80" s="1997"/>
      <c r="GK80" s="1997"/>
      <c r="GL80" s="1997"/>
      <c r="GM80" s="1997"/>
      <c r="GN80" s="1997"/>
      <c r="GO80" s="1997"/>
      <c r="GP80" s="1997"/>
      <c r="GQ80" s="1997"/>
      <c r="GR80" s="1997"/>
      <c r="GS80" s="1997"/>
      <c r="GT80" s="1997"/>
      <c r="GU80" s="1997"/>
      <c r="GV80" s="1997"/>
      <c r="GW80" s="1997"/>
      <c r="GX80" s="1997"/>
      <c r="GY80" s="1997"/>
      <c r="GZ80" s="1997"/>
      <c r="HA80" s="1997"/>
      <c r="HB80" s="1997"/>
      <c r="HC80" s="1997"/>
      <c r="HD80" s="1997"/>
      <c r="HE80" s="1997"/>
      <c r="HF80" s="1997"/>
      <c r="HG80" s="1997"/>
      <c r="HH80" s="1997"/>
      <c r="HI80" s="1997"/>
      <c r="HJ80" s="1997"/>
      <c r="HK80" s="1997"/>
      <c r="HL80" s="1997"/>
      <c r="HM80" s="1997"/>
      <c r="HN80" s="1997"/>
      <c r="HO80" s="1997"/>
      <c r="HP80" s="1997"/>
      <c r="HQ80" s="1997"/>
      <c r="HR80" s="1997"/>
      <c r="HS80" s="1997"/>
      <c r="HT80" s="1997"/>
      <c r="HU80" s="1997"/>
      <c r="HV80" s="1997"/>
      <c r="HW80" s="1997"/>
      <c r="HX80" s="1997"/>
      <c r="HY80" s="1997"/>
      <c r="HZ80" s="1997"/>
      <c r="IA80" s="1997"/>
      <c r="IB80" s="1997"/>
      <c r="IC80" s="1997"/>
      <c r="ID80" s="1997"/>
      <c r="IE80" s="1997"/>
      <c r="IF80" s="1997"/>
      <c r="IG80" s="1997"/>
      <c r="IH80" s="1997"/>
      <c r="II80" s="1997"/>
      <c r="IJ80" s="1997"/>
      <c r="IK80" s="1997"/>
      <c r="IL80" s="1997"/>
      <c r="IM80" s="1997"/>
      <c r="IN80" s="1997"/>
      <c r="IO80" s="1997"/>
      <c r="IP80" s="1997"/>
      <c r="IQ80" s="1997"/>
    </row>
    <row r="81" spans="1:251" hidden="1">
      <c r="A81" s="1993"/>
      <c r="B81" s="1998"/>
      <c r="C81" s="1998"/>
      <c r="D81" s="2034"/>
      <c r="E81" s="1998"/>
      <c r="F81" s="1940">
        <f t="shared" si="32"/>
        <v>0</v>
      </c>
      <c r="G81" s="1993"/>
      <c r="H81" s="1940">
        <f t="shared" si="33"/>
        <v>0</v>
      </c>
      <c r="I81" s="1993"/>
      <c r="J81" s="1940">
        <f t="shared" si="34"/>
        <v>0</v>
      </c>
      <c r="K81" s="1993"/>
      <c r="L81" s="1940">
        <f t="shared" si="35"/>
        <v>0</v>
      </c>
      <c r="M81" s="1940">
        <f t="shared" si="36"/>
        <v>0</v>
      </c>
      <c r="N81" s="1940">
        <f t="shared" si="37"/>
        <v>0</v>
      </c>
      <c r="O81" s="1993"/>
      <c r="P81" s="1993"/>
      <c r="Q81" s="1940">
        <f t="shared" si="38"/>
        <v>0</v>
      </c>
      <c r="R81" s="1940">
        <f t="shared" si="39"/>
        <v>0</v>
      </c>
      <c r="S81" s="1940">
        <f t="shared" si="40"/>
        <v>0</v>
      </c>
      <c r="T81" s="1940">
        <f t="shared" si="41"/>
        <v>0</v>
      </c>
      <c r="U81" s="1940">
        <f t="shared" si="42"/>
        <v>0</v>
      </c>
      <c r="V81" s="1997"/>
      <c r="W81" s="1997"/>
      <c r="X81" s="1997"/>
      <c r="Y81" s="1997"/>
      <c r="Z81" s="1997"/>
      <c r="AA81" s="1997"/>
      <c r="AB81" s="1997"/>
      <c r="AC81" s="1997"/>
      <c r="AD81" s="1997"/>
      <c r="AE81" s="1997"/>
      <c r="AF81" s="1997"/>
      <c r="AG81" s="1997"/>
      <c r="AH81" s="1997"/>
      <c r="AI81" s="1997"/>
      <c r="AJ81" s="1997"/>
      <c r="AK81" s="1997"/>
      <c r="AL81" s="1997"/>
      <c r="AM81" s="1997"/>
      <c r="AN81" s="1997"/>
      <c r="AO81" s="1997"/>
      <c r="AP81" s="1997"/>
      <c r="AQ81" s="1997"/>
      <c r="AR81" s="1997"/>
      <c r="AS81" s="1997"/>
      <c r="AT81" s="1997"/>
      <c r="AU81" s="1997"/>
      <c r="AV81" s="1997"/>
      <c r="AW81" s="1997"/>
      <c r="AX81" s="1997"/>
      <c r="AY81" s="1997"/>
      <c r="AZ81" s="1997"/>
      <c r="BA81" s="1997"/>
      <c r="BB81" s="1997"/>
      <c r="BC81" s="1997"/>
      <c r="BD81" s="1997"/>
      <c r="BE81" s="1997"/>
      <c r="BF81" s="1997"/>
      <c r="BG81" s="1997"/>
      <c r="BH81" s="1997"/>
      <c r="BI81" s="1997"/>
      <c r="BJ81" s="1997"/>
      <c r="BK81" s="1997"/>
      <c r="BL81" s="1997"/>
      <c r="BM81" s="1997"/>
      <c r="BN81" s="1997"/>
      <c r="BO81" s="1997"/>
      <c r="BP81" s="1997"/>
      <c r="BQ81" s="1997"/>
      <c r="BR81" s="1997"/>
      <c r="BS81" s="1997"/>
      <c r="BT81" s="1997"/>
      <c r="BU81" s="1997"/>
      <c r="BV81" s="1997"/>
      <c r="BW81" s="1997"/>
      <c r="BX81" s="1997"/>
      <c r="BY81" s="1997"/>
      <c r="BZ81" s="1997"/>
      <c r="CA81" s="1997"/>
      <c r="CB81" s="1997"/>
      <c r="CC81" s="1997"/>
      <c r="CD81" s="1997"/>
      <c r="CE81" s="1997"/>
      <c r="CF81" s="1997"/>
      <c r="CG81" s="1997"/>
      <c r="CH81" s="1997"/>
      <c r="CI81" s="1997"/>
      <c r="CJ81" s="1997"/>
      <c r="CK81" s="1997"/>
      <c r="CL81" s="1997"/>
      <c r="CM81" s="1997"/>
      <c r="CN81" s="1997"/>
      <c r="CO81" s="1997"/>
      <c r="CP81" s="1997"/>
      <c r="CQ81" s="1997"/>
      <c r="CR81" s="1997"/>
      <c r="CS81" s="1997"/>
      <c r="CT81" s="1997"/>
      <c r="CU81" s="1997"/>
      <c r="CV81" s="1997"/>
      <c r="CW81" s="1997"/>
      <c r="CX81" s="1997"/>
      <c r="CY81" s="1997"/>
      <c r="CZ81" s="1997"/>
      <c r="DA81" s="1997"/>
      <c r="DB81" s="1997"/>
      <c r="DC81" s="1997"/>
      <c r="DD81" s="1997"/>
      <c r="DE81" s="1997"/>
      <c r="DF81" s="1997"/>
      <c r="DG81" s="1997"/>
      <c r="DH81" s="1997"/>
      <c r="DI81" s="1997"/>
      <c r="DJ81" s="1997"/>
      <c r="DK81" s="1997"/>
      <c r="DL81" s="1997"/>
      <c r="DM81" s="1997"/>
      <c r="DN81" s="1997"/>
      <c r="DO81" s="1997"/>
      <c r="DP81" s="1997"/>
      <c r="DQ81" s="1997"/>
      <c r="DR81" s="1997"/>
      <c r="DS81" s="1997"/>
      <c r="DT81" s="1997"/>
      <c r="DU81" s="1997"/>
      <c r="DV81" s="1997"/>
      <c r="DW81" s="1997"/>
      <c r="DX81" s="1997"/>
      <c r="DY81" s="1997"/>
      <c r="DZ81" s="1997"/>
      <c r="EA81" s="1997"/>
      <c r="EB81" s="1997"/>
      <c r="EC81" s="1997"/>
      <c r="ED81" s="1997"/>
      <c r="EE81" s="1997"/>
      <c r="EF81" s="1997"/>
      <c r="EG81" s="1997"/>
      <c r="EH81" s="1997"/>
      <c r="EI81" s="1997"/>
      <c r="EJ81" s="1997"/>
      <c r="EK81" s="1997"/>
      <c r="EL81" s="1997"/>
      <c r="EM81" s="1997"/>
      <c r="EN81" s="1997"/>
      <c r="EO81" s="1997"/>
      <c r="EP81" s="1997"/>
      <c r="EQ81" s="1997"/>
      <c r="ER81" s="1997"/>
      <c r="ES81" s="1997"/>
      <c r="ET81" s="1997"/>
      <c r="EU81" s="1997"/>
      <c r="EV81" s="1997"/>
      <c r="EW81" s="1997"/>
      <c r="EX81" s="1997"/>
      <c r="EY81" s="1997"/>
      <c r="EZ81" s="1997"/>
      <c r="FA81" s="1997"/>
      <c r="FB81" s="1997"/>
      <c r="FC81" s="1997"/>
      <c r="FD81" s="1997"/>
      <c r="FE81" s="1997"/>
      <c r="FF81" s="1997"/>
      <c r="FG81" s="1997"/>
      <c r="FH81" s="1997"/>
      <c r="FI81" s="1997"/>
      <c r="FJ81" s="1997"/>
      <c r="FK81" s="1997"/>
      <c r="FL81" s="1997"/>
      <c r="FM81" s="1997"/>
      <c r="FN81" s="1997"/>
      <c r="FO81" s="1997"/>
      <c r="FP81" s="1997"/>
      <c r="FQ81" s="1997"/>
      <c r="FR81" s="1997"/>
      <c r="FS81" s="1997"/>
      <c r="FT81" s="1997"/>
      <c r="FU81" s="1997"/>
      <c r="FV81" s="1997"/>
      <c r="FW81" s="1997"/>
      <c r="FX81" s="1997"/>
      <c r="FY81" s="1997"/>
      <c r="FZ81" s="1997"/>
      <c r="GA81" s="1997"/>
      <c r="GB81" s="1997"/>
      <c r="GC81" s="1997"/>
      <c r="GD81" s="1997"/>
      <c r="GE81" s="1997"/>
      <c r="GF81" s="1997"/>
      <c r="GG81" s="1997"/>
      <c r="GH81" s="1997"/>
      <c r="GI81" s="1997"/>
      <c r="GJ81" s="1997"/>
      <c r="GK81" s="1997"/>
      <c r="GL81" s="1997"/>
      <c r="GM81" s="1997"/>
      <c r="GN81" s="1997"/>
      <c r="GO81" s="1997"/>
      <c r="GP81" s="1997"/>
      <c r="GQ81" s="1997"/>
      <c r="GR81" s="1997"/>
      <c r="GS81" s="1997"/>
      <c r="GT81" s="1997"/>
      <c r="GU81" s="1997"/>
      <c r="GV81" s="1997"/>
      <c r="GW81" s="1997"/>
      <c r="GX81" s="1997"/>
      <c r="GY81" s="1997"/>
      <c r="GZ81" s="1997"/>
      <c r="HA81" s="1997"/>
      <c r="HB81" s="1997"/>
      <c r="HC81" s="1997"/>
      <c r="HD81" s="1997"/>
      <c r="HE81" s="1997"/>
      <c r="HF81" s="1997"/>
      <c r="HG81" s="1997"/>
      <c r="HH81" s="1997"/>
      <c r="HI81" s="1997"/>
      <c r="HJ81" s="1997"/>
      <c r="HK81" s="1997"/>
      <c r="HL81" s="1997"/>
      <c r="HM81" s="1997"/>
      <c r="HN81" s="1997"/>
      <c r="HO81" s="1997"/>
      <c r="HP81" s="1997"/>
      <c r="HQ81" s="1997"/>
      <c r="HR81" s="1997"/>
      <c r="HS81" s="1997"/>
      <c r="HT81" s="1997"/>
      <c r="HU81" s="1997"/>
      <c r="HV81" s="1997"/>
      <c r="HW81" s="1997"/>
      <c r="HX81" s="1997"/>
      <c r="HY81" s="1997"/>
      <c r="HZ81" s="1997"/>
      <c r="IA81" s="1997"/>
      <c r="IB81" s="1997"/>
      <c r="IC81" s="1997"/>
      <c r="ID81" s="1997"/>
      <c r="IE81" s="1997"/>
      <c r="IF81" s="1997"/>
      <c r="IG81" s="1997"/>
      <c r="IH81" s="1997"/>
      <c r="II81" s="1997"/>
      <c r="IJ81" s="1997"/>
      <c r="IK81" s="1997"/>
      <c r="IL81" s="1997"/>
      <c r="IM81" s="1997"/>
      <c r="IN81" s="1997"/>
      <c r="IO81" s="1997"/>
      <c r="IP81" s="1997"/>
      <c r="IQ81" s="1997"/>
    </row>
    <row r="82" spans="1:251" hidden="1">
      <c r="A82" s="1993"/>
      <c r="B82" s="1998"/>
      <c r="C82" s="1998"/>
      <c r="D82" s="2034"/>
      <c r="E82" s="1998"/>
      <c r="F82" s="1940">
        <f t="shared" si="32"/>
        <v>0</v>
      </c>
      <c r="G82" s="1993"/>
      <c r="H82" s="1940">
        <f t="shared" si="33"/>
        <v>0</v>
      </c>
      <c r="I82" s="1993"/>
      <c r="J82" s="1940">
        <f t="shared" si="34"/>
        <v>0</v>
      </c>
      <c r="K82" s="1993"/>
      <c r="L82" s="1940">
        <f t="shared" si="35"/>
        <v>0</v>
      </c>
      <c r="M82" s="1940">
        <f t="shared" si="36"/>
        <v>0</v>
      </c>
      <c r="N82" s="1940">
        <f t="shared" si="37"/>
        <v>0</v>
      </c>
      <c r="O82" s="1993"/>
      <c r="P82" s="1993"/>
      <c r="Q82" s="1940">
        <f t="shared" si="38"/>
        <v>0</v>
      </c>
      <c r="R82" s="1940">
        <f t="shared" si="39"/>
        <v>0</v>
      </c>
      <c r="S82" s="1940">
        <f t="shared" si="40"/>
        <v>0</v>
      </c>
      <c r="T82" s="1940">
        <f t="shared" si="41"/>
        <v>0</v>
      </c>
      <c r="U82" s="1940">
        <f t="shared" si="42"/>
        <v>0</v>
      </c>
      <c r="V82" s="1997"/>
      <c r="W82" s="1997"/>
      <c r="X82" s="1997"/>
      <c r="Y82" s="1997"/>
      <c r="Z82" s="1997"/>
      <c r="AA82" s="1997"/>
      <c r="AB82" s="1997"/>
      <c r="AC82" s="1997"/>
      <c r="AD82" s="1997"/>
      <c r="AE82" s="1997"/>
      <c r="AF82" s="1997"/>
      <c r="AG82" s="1997"/>
      <c r="AH82" s="1997"/>
      <c r="AI82" s="1997"/>
      <c r="AJ82" s="1997"/>
      <c r="AK82" s="1997"/>
      <c r="AL82" s="1997"/>
      <c r="AM82" s="1997"/>
      <c r="AN82" s="1997"/>
      <c r="AO82" s="1997"/>
      <c r="AP82" s="1997"/>
      <c r="AQ82" s="1997"/>
      <c r="AR82" s="1997"/>
      <c r="AS82" s="1997"/>
      <c r="AT82" s="1997"/>
      <c r="AU82" s="1997"/>
      <c r="AV82" s="1997"/>
      <c r="AW82" s="1997"/>
      <c r="AX82" s="1997"/>
      <c r="AY82" s="1997"/>
      <c r="AZ82" s="1997"/>
      <c r="BA82" s="1997"/>
      <c r="BB82" s="1997"/>
      <c r="BC82" s="1997"/>
      <c r="BD82" s="1997"/>
      <c r="BE82" s="1997"/>
      <c r="BF82" s="1997"/>
      <c r="BG82" s="1997"/>
      <c r="BH82" s="1997"/>
      <c r="BI82" s="1997"/>
      <c r="BJ82" s="1997"/>
      <c r="BK82" s="1997"/>
      <c r="BL82" s="1997"/>
      <c r="BM82" s="1997"/>
      <c r="BN82" s="1997"/>
      <c r="BO82" s="1997"/>
      <c r="BP82" s="1997"/>
      <c r="BQ82" s="1997"/>
      <c r="BR82" s="1997"/>
      <c r="BS82" s="1997"/>
      <c r="BT82" s="1997"/>
      <c r="BU82" s="1997"/>
      <c r="BV82" s="1997"/>
      <c r="BW82" s="1997"/>
      <c r="BX82" s="1997"/>
      <c r="BY82" s="1997"/>
      <c r="BZ82" s="1997"/>
      <c r="CA82" s="1997"/>
      <c r="CB82" s="1997"/>
      <c r="CC82" s="1997"/>
      <c r="CD82" s="1997"/>
      <c r="CE82" s="1997"/>
      <c r="CF82" s="1997"/>
      <c r="CG82" s="1997"/>
      <c r="CH82" s="1997"/>
      <c r="CI82" s="1997"/>
      <c r="CJ82" s="1997"/>
      <c r="CK82" s="1997"/>
      <c r="CL82" s="1997"/>
      <c r="CM82" s="1997"/>
      <c r="CN82" s="1997"/>
      <c r="CO82" s="1997"/>
      <c r="CP82" s="1997"/>
      <c r="CQ82" s="1997"/>
      <c r="CR82" s="1997"/>
      <c r="CS82" s="1997"/>
      <c r="CT82" s="1997"/>
      <c r="CU82" s="1997"/>
      <c r="CV82" s="1997"/>
      <c r="CW82" s="1997"/>
      <c r="CX82" s="1997"/>
      <c r="CY82" s="1997"/>
      <c r="CZ82" s="1997"/>
      <c r="DA82" s="1997"/>
      <c r="DB82" s="1997"/>
      <c r="DC82" s="1997"/>
      <c r="DD82" s="1997"/>
      <c r="DE82" s="1997"/>
      <c r="DF82" s="1997"/>
      <c r="DG82" s="1997"/>
      <c r="DH82" s="1997"/>
      <c r="DI82" s="1997"/>
      <c r="DJ82" s="1997"/>
      <c r="DK82" s="1997"/>
      <c r="DL82" s="1997"/>
      <c r="DM82" s="1997"/>
      <c r="DN82" s="1997"/>
      <c r="DO82" s="1997"/>
      <c r="DP82" s="1997"/>
      <c r="DQ82" s="1997"/>
      <c r="DR82" s="1997"/>
      <c r="DS82" s="1997"/>
      <c r="DT82" s="1997"/>
      <c r="DU82" s="1997"/>
      <c r="DV82" s="1997"/>
      <c r="DW82" s="1997"/>
      <c r="DX82" s="1997"/>
      <c r="DY82" s="1997"/>
      <c r="DZ82" s="1997"/>
      <c r="EA82" s="1997"/>
      <c r="EB82" s="1997"/>
      <c r="EC82" s="1997"/>
      <c r="ED82" s="1997"/>
      <c r="EE82" s="1997"/>
      <c r="EF82" s="1997"/>
      <c r="EG82" s="1997"/>
      <c r="EH82" s="1997"/>
      <c r="EI82" s="1997"/>
      <c r="EJ82" s="1997"/>
      <c r="EK82" s="1997"/>
      <c r="EL82" s="1997"/>
      <c r="EM82" s="1997"/>
      <c r="EN82" s="1997"/>
      <c r="EO82" s="1997"/>
      <c r="EP82" s="1997"/>
      <c r="EQ82" s="1997"/>
      <c r="ER82" s="1997"/>
      <c r="ES82" s="1997"/>
      <c r="ET82" s="1997"/>
      <c r="EU82" s="1997"/>
      <c r="EV82" s="1997"/>
      <c r="EW82" s="1997"/>
      <c r="EX82" s="1997"/>
      <c r="EY82" s="1997"/>
      <c r="EZ82" s="1997"/>
      <c r="FA82" s="1997"/>
      <c r="FB82" s="1997"/>
      <c r="FC82" s="1997"/>
      <c r="FD82" s="1997"/>
      <c r="FE82" s="1997"/>
      <c r="FF82" s="1997"/>
      <c r="FG82" s="1997"/>
      <c r="FH82" s="1997"/>
      <c r="FI82" s="1997"/>
      <c r="FJ82" s="1997"/>
      <c r="FK82" s="1997"/>
      <c r="FL82" s="1997"/>
      <c r="FM82" s="1997"/>
      <c r="FN82" s="1997"/>
      <c r="FO82" s="1997"/>
      <c r="FP82" s="1997"/>
      <c r="FQ82" s="1997"/>
      <c r="FR82" s="1997"/>
      <c r="FS82" s="1997"/>
      <c r="FT82" s="1997"/>
      <c r="FU82" s="1997"/>
      <c r="FV82" s="1997"/>
      <c r="FW82" s="1997"/>
      <c r="FX82" s="1997"/>
      <c r="FY82" s="1997"/>
      <c r="FZ82" s="1997"/>
      <c r="GA82" s="1997"/>
      <c r="GB82" s="1997"/>
      <c r="GC82" s="1997"/>
      <c r="GD82" s="1997"/>
      <c r="GE82" s="1997"/>
      <c r="GF82" s="1997"/>
      <c r="GG82" s="1997"/>
      <c r="GH82" s="1997"/>
      <c r="GI82" s="1997"/>
      <c r="GJ82" s="1997"/>
      <c r="GK82" s="1997"/>
      <c r="GL82" s="1997"/>
      <c r="GM82" s="1997"/>
      <c r="GN82" s="1997"/>
      <c r="GO82" s="1997"/>
      <c r="GP82" s="1997"/>
      <c r="GQ82" s="1997"/>
      <c r="GR82" s="1997"/>
      <c r="GS82" s="1997"/>
      <c r="GT82" s="1997"/>
      <c r="GU82" s="1997"/>
      <c r="GV82" s="1997"/>
      <c r="GW82" s="1997"/>
      <c r="GX82" s="1997"/>
      <c r="GY82" s="1997"/>
      <c r="GZ82" s="1997"/>
      <c r="HA82" s="1997"/>
      <c r="HB82" s="1997"/>
      <c r="HC82" s="1997"/>
      <c r="HD82" s="1997"/>
      <c r="HE82" s="1997"/>
      <c r="HF82" s="1997"/>
      <c r="HG82" s="1997"/>
      <c r="HH82" s="1997"/>
      <c r="HI82" s="1997"/>
      <c r="HJ82" s="1997"/>
      <c r="HK82" s="1997"/>
      <c r="HL82" s="1997"/>
      <c r="HM82" s="1997"/>
      <c r="HN82" s="1997"/>
      <c r="HO82" s="1997"/>
      <c r="HP82" s="1997"/>
      <c r="HQ82" s="1997"/>
      <c r="HR82" s="1997"/>
      <c r="HS82" s="1997"/>
      <c r="HT82" s="1997"/>
      <c r="HU82" s="1997"/>
      <c r="HV82" s="1997"/>
      <c r="HW82" s="1997"/>
      <c r="HX82" s="1997"/>
      <c r="HY82" s="1997"/>
      <c r="HZ82" s="1997"/>
      <c r="IA82" s="1997"/>
      <c r="IB82" s="1997"/>
      <c r="IC82" s="1997"/>
      <c r="ID82" s="1997"/>
      <c r="IE82" s="1997"/>
      <c r="IF82" s="1997"/>
      <c r="IG82" s="1997"/>
      <c r="IH82" s="1997"/>
      <c r="II82" s="1997"/>
      <c r="IJ82" s="1997"/>
      <c r="IK82" s="1997"/>
      <c r="IL82" s="1997"/>
      <c r="IM82" s="1997"/>
      <c r="IN82" s="1997"/>
      <c r="IO82" s="1997"/>
      <c r="IP82" s="1997"/>
      <c r="IQ82" s="1997"/>
    </row>
    <row r="83" spans="1:251" hidden="1">
      <c r="A83" s="1993"/>
      <c r="B83" s="1998"/>
      <c r="C83" s="1998"/>
      <c r="D83" s="2034"/>
      <c r="E83" s="1998"/>
      <c r="F83" s="1940">
        <f t="shared" si="32"/>
        <v>0</v>
      </c>
      <c r="G83" s="1993"/>
      <c r="H83" s="1940">
        <f t="shared" si="33"/>
        <v>0</v>
      </c>
      <c r="I83" s="1993"/>
      <c r="J83" s="1940">
        <f t="shared" si="34"/>
        <v>0</v>
      </c>
      <c r="K83" s="1993"/>
      <c r="L83" s="1940">
        <f t="shared" si="35"/>
        <v>0</v>
      </c>
      <c r="M83" s="1940">
        <f t="shared" si="36"/>
        <v>0</v>
      </c>
      <c r="N83" s="1940">
        <f t="shared" si="37"/>
        <v>0</v>
      </c>
      <c r="O83" s="1993"/>
      <c r="P83" s="1993"/>
      <c r="Q83" s="1940">
        <f t="shared" si="38"/>
        <v>0</v>
      </c>
      <c r="R83" s="1940">
        <f t="shared" si="39"/>
        <v>0</v>
      </c>
      <c r="S83" s="1940">
        <f t="shared" si="40"/>
        <v>0</v>
      </c>
      <c r="T83" s="1940">
        <f t="shared" si="41"/>
        <v>0</v>
      </c>
      <c r="U83" s="1940">
        <f t="shared" si="42"/>
        <v>0</v>
      </c>
      <c r="V83" s="1997"/>
      <c r="W83" s="1997"/>
      <c r="X83" s="1997"/>
      <c r="Y83" s="1997"/>
      <c r="Z83" s="1997"/>
      <c r="AA83" s="1997"/>
      <c r="AB83" s="1997"/>
      <c r="AC83" s="1997"/>
      <c r="AD83" s="1997"/>
      <c r="AE83" s="1997"/>
      <c r="AF83" s="1997"/>
      <c r="AG83" s="1997"/>
      <c r="AH83" s="1997"/>
      <c r="AI83" s="1997"/>
      <c r="AJ83" s="1997"/>
      <c r="AK83" s="1997"/>
      <c r="AL83" s="1997"/>
      <c r="AM83" s="1997"/>
      <c r="AN83" s="1997"/>
      <c r="AO83" s="1997"/>
      <c r="AP83" s="1997"/>
      <c r="AQ83" s="1997"/>
      <c r="AR83" s="1997"/>
      <c r="AS83" s="1997"/>
      <c r="AT83" s="1997"/>
      <c r="AU83" s="1997"/>
      <c r="AV83" s="1997"/>
      <c r="AW83" s="1997"/>
      <c r="AX83" s="1997"/>
      <c r="AY83" s="1997"/>
      <c r="AZ83" s="1997"/>
      <c r="BA83" s="1997"/>
      <c r="BB83" s="1997"/>
      <c r="BC83" s="1997"/>
      <c r="BD83" s="1997"/>
      <c r="BE83" s="1997"/>
      <c r="BF83" s="1997"/>
      <c r="BG83" s="1997"/>
      <c r="BH83" s="1997"/>
      <c r="BI83" s="1997"/>
      <c r="BJ83" s="1997"/>
      <c r="BK83" s="1997"/>
      <c r="BL83" s="1997"/>
      <c r="BM83" s="1997"/>
      <c r="BN83" s="1997"/>
      <c r="BO83" s="1997"/>
      <c r="BP83" s="1997"/>
      <c r="BQ83" s="1997"/>
      <c r="BR83" s="1997"/>
      <c r="BS83" s="1997"/>
      <c r="BT83" s="1997"/>
      <c r="BU83" s="1997"/>
      <c r="BV83" s="1997"/>
      <c r="BW83" s="1997"/>
      <c r="BX83" s="1997"/>
      <c r="BY83" s="1997"/>
      <c r="BZ83" s="1997"/>
      <c r="CA83" s="1997"/>
      <c r="CB83" s="1997"/>
      <c r="CC83" s="1997"/>
      <c r="CD83" s="1997"/>
      <c r="CE83" s="1997"/>
      <c r="CF83" s="1997"/>
      <c r="CG83" s="1997"/>
      <c r="CH83" s="1997"/>
      <c r="CI83" s="1997"/>
      <c r="CJ83" s="1997"/>
      <c r="CK83" s="1997"/>
      <c r="CL83" s="1997"/>
      <c r="CM83" s="1997"/>
      <c r="CN83" s="1997"/>
      <c r="CO83" s="1997"/>
      <c r="CP83" s="1997"/>
      <c r="CQ83" s="1997"/>
      <c r="CR83" s="1997"/>
      <c r="CS83" s="1997"/>
      <c r="CT83" s="1997"/>
      <c r="CU83" s="1997"/>
      <c r="CV83" s="1997"/>
      <c r="CW83" s="1997"/>
      <c r="CX83" s="1997"/>
      <c r="CY83" s="1997"/>
      <c r="CZ83" s="1997"/>
      <c r="DA83" s="1997"/>
      <c r="DB83" s="1997"/>
      <c r="DC83" s="1997"/>
      <c r="DD83" s="1997"/>
      <c r="DE83" s="1997"/>
      <c r="DF83" s="1997"/>
      <c r="DG83" s="1997"/>
      <c r="DH83" s="1997"/>
      <c r="DI83" s="1997"/>
      <c r="DJ83" s="1997"/>
      <c r="DK83" s="1997"/>
      <c r="DL83" s="1997"/>
      <c r="DM83" s="1997"/>
      <c r="DN83" s="1997"/>
      <c r="DO83" s="1997"/>
      <c r="DP83" s="1997"/>
      <c r="DQ83" s="1997"/>
      <c r="DR83" s="1997"/>
      <c r="DS83" s="1997"/>
      <c r="DT83" s="1997"/>
      <c r="DU83" s="1997"/>
      <c r="DV83" s="1997"/>
      <c r="DW83" s="1997"/>
      <c r="DX83" s="1997"/>
      <c r="DY83" s="1997"/>
      <c r="DZ83" s="1997"/>
      <c r="EA83" s="1997"/>
      <c r="EB83" s="1997"/>
      <c r="EC83" s="1997"/>
      <c r="ED83" s="1997"/>
      <c r="EE83" s="1997"/>
      <c r="EF83" s="1997"/>
      <c r="EG83" s="1997"/>
      <c r="EH83" s="1997"/>
      <c r="EI83" s="1997"/>
      <c r="EJ83" s="1997"/>
      <c r="EK83" s="1997"/>
      <c r="EL83" s="1997"/>
      <c r="EM83" s="1997"/>
      <c r="EN83" s="1997"/>
      <c r="EO83" s="1997"/>
      <c r="EP83" s="1997"/>
      <c r="EQ83" s="1997"/>
      <c r="ER83" s="1997"/>
      <c r="ES83" s="1997"/>
      <c r="ET83" s="1997"/>
      <c r="EU83" s="1997"/>
      <c r="EV83" s="1997"/>
      <c r="EW83" s="1997"/>
      <c r="EX83" s="1997"/>
      <c r="EY83" s="1997"/>
      <c r="EZ83" s="1997"/>
      <c r="FA83" s="1997"/>
      <c r="FB83" s="1997"/>
      <c r="FC83" s="1997"/>
      <c r="FD83" s="1997"/>
      <c r="FE83" s="1997"/>
      <c r="FF83" s="1997"/>
      <c r="FG83" s="1997"/>
      <c r="FH83" s="1997"/>
      <c r="FI83" s="1997"/>
      <c r="FJ83" s="1997"/>
      <c r="FK83" s="1997"/>
      <c r="FL83" s="1997"/>
      <c r="FM83" s="1997"/>
      <c r="FN83" s="1997"/>
      <c r="FO83" s="1997"/>
      <c r="FP83" s="1997"/>
      <c r="FQ83" s="1997"/>
      <c r="FR83" s="1997"/>
      <c r="FS83" s="1997"/>
      <c r="FT83" s="1997"/>
      <c r="FU83" s="1997"/>
      <c r="FV83" s="1997"/>
      <c r="FW83" s="1997"/>
      <c r="FX83" s="1997"/>
      <c r="FY83" s="1997"/>
      <c r="FZ83" s="1997"/>
      <c r="GA83" s="1997"/>
      <c r="GB83" s="1997"/>
      <c r="GC83" s="1997"/>
      <c r="GD83" s="1997"/>
      <c r="GE83" s="1997"/>
      <c r="GF83" s="1997"/>
      <c r="GG83" s="1997"/>
      <c r="GH83" s="1997"/>
      <c r="GI83" s="1997"/>
      <c r="GJ83" s="1997"/>
      <c r="GK83" s="1997"/>
      <c r="GL83" s="1997"/>
      <c r="GM83" s="1997"/>
      <c r="GN83" s="1997"/>
      <c r="GO83" s="1997"/>
      <c r="GP83" s="1997"/>
      <c r="GQ83" s="1997"/>
      <c r="GR83" s="1997"/>
      <c r="GS83" s="1997"/>
      <c r="GT83" s="1997"/>
      <c r="GU83" s="1997"/>
      <c r="GV83" s="1997"/>
      <c r="GW83" s="1997"/>
      <c r="GX83" s="1997"/>
      <c r="GY83" s="1997"/>
      <c r="GZ83" s="1997"/>
      <c r="HA83" s="1997"/>
      <c r="HB83" s="1997"/>
      <c r="HC83" s="1997"/>
      <c r="HD83" s="1997"/>
      <c r="HE83" s="1997"/>
      <c r="HF83" s="1997"/>
      <c r="HG83" s="1997"/>
      <c r="HH83" s="1997"/>
      <c r="HI83" s="1997"/>
      <c r="HJ83" s="1997"/>
      <c r="HK83" s="1997"/>
      <c r="HL83" s="1997"/>
      <c r="HM83" s="1997"/>
      <c r="HN83" s="1997"/>
      <c r="HO83" s="1997"/>
      <c r="HP83" s="1997"/>
      <c r="HQ83" s="1997"/>
      <c r="HR83" s="1997"/>
      <c r="HS83" s="1997"/>
      <c r="HT83" s="1997"/>
      <c r="HU83" s="1997"/>
      <c r="HV83" s="1997"/>
      <c r="HW83" s="1997"/>
      <c r="HX83" s="1997"/>
      <c r="HY83" s="1997"/>
      <c r="HZ83" s="1997"/>
      <c r="IA83" s="1997"/>
      <c r="IB83" s="1997"/>
      <c r="IC83" s="1997"/>
      <c r="ID83" s="1997"/>
      <c r="IE83" s="1997"/>
      <c r="IF83" s="1997"/>
      <c r="IG83" s="1997"/>
      <c r="IH83" s="1997"/>
      <c r="II83" s="1997"/>
      <c r="IJ83" s="1997"/>
      <c r="IK83" s="1997"/>
      <c r="IL83" s="1997"/>
      <c r="IM83" s="1997"/>
      <c r="IN83" s="1997"/>
      <c r="IO83" s="1997"/>
      <c r="IP83" s="1997"/>
      <c r="IQ83" s="1997"/>
    </row>
    <row r="84" spans="1:251" hidden="1">
      <c r="A84" s="1993"/>
      <c r="B84" s="1998"/>
      <c r="C84" s="1998"/>
      <c r="D84" s="2034"/>
      <c r="E84" s="1998"/>
      <c r="F84" s="1940">
        <f t="shared" si="32"/>
        <v>0</v>
      </c>
      <c r="G84" s="1993"/>
      <c r="H84" s="1940">
        <f t="shared" si="33"/>
        <v>0</v>
      </c>
      <c r="I84" s="1993"/>
      <c r="J84" s="1940">
        <f t="shared" si="34"/>
        <v>0</v>
      </c>
      <c r="K84" s="1993"/>
      <c r="L84" s="1940">
        <f t="shared" si="35"/>
        <v>0</v>
      </c>
      <c r="M84" s="1940">
        <f t="shared" si="36"/>
        <v>0</v>
      </c>
      <c r="N84" s="1940">
        <f t="shared" si="37"/>
        <v>0</v>
      </c>
      <c r="O84" s="1993"/>
      <c r="P84" s="1993"/>
      <c r="Q84" s="1940">
        <f t="shared" si="38"/>
        <v>0</v>
      </c>
      <c r="R84" s="1940">
        <f t="shared" si="39"/>
        <v>0</v>
      </c>
      <c r="S84" s="1940">
        <f t="shared" si="40"/>
        <v>0</v>
      </c>
      <c r="T84" s="1940">
        <f t="shared" si="41"/>
        <v>0</v>
      </c>
      <c r="U84" s="1940">
        <f t="shared" si="42"/>
        <v>0</v>
      </c>
      <c r="V84" s="1997"/>
      <c r="W84" s="1997"/>
      <c r="X84" s="1997"/>
      <c r="Y84" s="1997"/>
      <c r="Z84" s="1997"/>
      <c r="AA84" s="1997"/>
      <c r="AB84" s="1997"/>
      <c r="AC84" s="1997"/>
      <c r="AD84" s="1997"/>
      <c r="AE84" s="1997"/>
      <c r="AF84" s="1997"/>
      <c r="AG84" s="1997"/>
      <c r="AH84" s="1997"/>
      <c r="AI84" s="1997"/>
      <c r="AJ84" s="1997"/>
      <c r="AK84" s="1997"/>
      <c r="AL84" s="1997"/>
      <c r="AM84" s="1997"/>
      <c r="AN84" s="1997"/>
      <c r="AO84" s="1997"/>
      <c r="AP84" s="1997"/>
      <c r="AQ84" s="1997"/>
      <c r="AR84" s="1997"/>
      <c r="AS84" s="1997"/>
      <c r="AT84" s="1997"/>
      <c r="AU84" s="1997"/>
      <c r="AV84" s="1997"/>
      <c r="AW84" s="1997"/>
      <c r="AX84" s="1997"/>
      <c r="AY84" s="1997"/>
      <c r="AZ84" s="1997"/>
      <c r="BA84" s="1997"/>
      <c r="BB84" s="1997"/>
      <c r="BC84" s="1997"/>
      <c r="BD84" s="1997"/>
      <c r="BE84" s="1997"/>
      <c r="BF84" s="1997"/>
      <c r="BG84" s="1997"/>
      <c r="BH84" s="1997"/>
      <c r="BI84" s="1997"/>
      <c r="BJ84" s="1997"/>
      <c r="BK84" s="1997"/>
      <c r="BL84" s="1997"/>
      <c r="BM84" s="1997"/>
      <c r="BN84" s="1997"/>
      <c r="BO84" s="1997"/>
      <c r="BP84" s="1997"/>
      <c r="BQ84" s="1997"/>
      <c r="BR84" s="1997"/>
      <c r="BS84" s="1997"/>
      <c r="BT84" s="1997"/>
      <c r="BU84" s="1997"/>
      <c r="BV84" s="1997"/>
      <c r="BW84" s="1997"/>
      <c r="BX84" s="1997"/>
      <c r="BY84" s="1997"/>
      <c r="BZ84" s="1997"/>
      <c r="CA84" s="1997"/>
      <c r="CB84" s="1997"/>
      <c r="CC84" s="1997"/>
      <c r="CD84" s="1997"/>
      <c r="CE84" s="1997"/>
      <c r="CF84" s="1997"/>
      <c r="CG84" s="1997"/>
      <c r="CH84" s="1997"/>
      <c r="CI84" s="1997"/>
      <c r="CJ84" s="1997"/>
      <c r="CK84" s="1997"/>
      <c r="CL84" s="1997"/>
      <c r="CM84" s="1997"/>
      <c r="CN84" s="1997"/>
      <c r="CO84" s="1997"/>
      <c r="CP84" s="1997"/>
      <c r="CQ84" s="1997"/>
      <c r="CR84" s="1997"/>
      <c r="CS84" s="1997"/>
      <c r="CT84" s="1997"/>
      <c r="CU84" s="1997"/>
      <c r="CV84" s="1997"/>
      <c r="CW84" s="1997"/>
      <c r="CX84" s="1997"/>
      <c r="CY84" s="1997"/>
      <c r="CZ84" s="1997"/>
      <c r="DA84" s="1997"/>
      <c r="DB84" s="1997"/>
      <c r="DC84" s="1997"/>
      <c r="DD84" s="1997"/>
      <c r="DE84" s="1997"/>
      <c r="DF84" s="1997"/>
      <c r="DG84" s="1997"/>
      <c r="DH84" s="1997"/>
      <c r="DI84" s="1997"/>
      <c r="DJ84" s="1997"/>
      <c r="DK84" s="1997"/>
      <c r="DL84" s="1997"/>
      <c r="DM84" s="1997"/>
      <c r="DN84" s="1997"/>
      <c r="DO84" s="1997"/>
      <c r="DP84" s="1997"/>
      <c r="DQ84" s="1997"/>
      <c r="DR84" s="1997"/>
      <c r="DS84" s="1997"/>
      <c r="DT84" s="1997"/>
      <c r="DU84" s="1997"/>
      <c r="DV84" s="1997"/>
      <c r="DW84" s="1997"/>
      <c r="DX84" s="1997"/>
      <c r="DY84" s="1997"/>
      <c r="DZ84" s="1997"/>
      <c r="EA84" s="1997"/>
      <c r="EB84" s="1997"/>
      <c r="EC84" s="1997"/>
      <c r="ED84" s="1997"/>
      <c r="EE84" s="1997"/>
      <c r="EF84" s="1997"/>
      <c r="EG84" s="1997"/>
      <c r="EH84" s="1997"/>
      <c r="EI84" s="1997"/>
      <c r="EJ84" s="1997"/>
      <c r="EK84" s="1997"/>
      <c r="EL84" s="1997"/>
      <c r="EM84" s="1997"/>
      <c r="EN84" s="1997"/>
      <c r="EO84" s="1997"/>
      <c r="EP84" s="1997"/>
      <c r="EQ84" s="1997"/>
      <c r="ER84" s="1997"/>
      <c r="ES84" s="1997"/>
      <c r="ET84" s="1997"/>
      <c r="EU84" s="1997"/>
      <c r="EV84" s="1997"/>
      <c r="EW84" s="1997"/>
      <c r="EX84" s="1997"/>
      <c r="EY84" s="1997"/>
      <c r="EZ84" s="1997"/>
      <c r="FA84" s="1997"/>
      <c r="FB84" s="1997"/>
      <c r="FC84" s="1997"/>
      <c r="FD84" s="1997"/>
      <c r="FE84" s="1997"/>
      <c r="FF84" s="1997"/>
      <c r="FG84" s="1997"/>
      <c r="FH84" s="1997"/>
      <c r="FI84" s="1997"/>
      <c r="FJ84" s="1997"/>
      <c r="FK84" s="1997"/>
      <c r="FL84" s="1997"/>
      <c r="FM84" s="1997"/>
      <c r="FN84" s="1997"/>
      <c r="FO84" s="1997"/>
      <c r="FP84" s="1997"/>
      <c r="FQ84" s="1997"/>
      <c r="FR84" s="1997"/>
      <c r="FS84" s="1997"/>
      <c r="FT84" s="1997"/>
      <c r="FU84" s="1997"/>
      <c r="FV84" s="1997"/>
      <c r="FW84" s="1997"/>
      <c r="FX84" s="1997"/>
      <c r="FY84" s="1997"/>
      <c r="FZ84" s="1997"/>
      <c r="GA84" s="1997"/>
      <c r="GB84" s="1997"/>
      <c r="GC84" s="1997"/>
      <c r="GD84" s="1997"/>
      <c r="GE84" s="1997"/>
      <c r="GF84" s="1997"/>
      <c r="GG84" s="1997"/>
      <c r="GH84" s="1997"/>
      <c r="GI84" s="1997"/>
      <c r="GJ84" s="1997"/>
      <c r="GK84" s="1997"/>
      <c r="GL84" s="1997"/>
      <c r="GM84" s="1997"/>
      <c r="GN84" s="1997"/>
      <c r="GO84" s="1997"/>
      <c r="GP84" s="1997"/>
      <c r="GQ84" s="1997"/>
      <c r="GR84" s="1997"/>
      <c r="GS84" s="1997"/>
      <c r="GT84" s="1997"/>
      <c r="GU84" s="1997"/>
      <c r="GV84" s="1997"/>
      <c r="GW84" s="1997"/>
      <c r="GX84" s="1997"/>
      <c r="GY84" s="1997"/>
      <c r="GZ84" s="1997"/>
      <c r="HA84" s="1997"/>
      <c r="HB84" s="1997"/>
      <c r="HC84" s="1997"/>
      <c r="HD84" s="1997"/>
      <c r="HE84" s="1997"/>
      <c r="HF84" s="1997"/>
      <c r="HG84" s="1997"/>
      <c r="HH84" s="1997"/>
      <c r="HI84" s="1997"/>
      <c r="HJ84" s="1997"/>
      <c r="HK84" s="1997"/>
      <c r="HL84" s="1997"/>
      <c r="HM84" s="1997"/>
      <c r="HN84" s="1997"/>
      <c r="HO84" s="1997"/>
      <c r="HP84" s="1997"/>
      <c r="HQ84" s="1997"/>
      <c r="HR84" s="1997"/>
      <c r="HS84" s="1997"/>
      <c r="HT84" s="1997"/>
      <c r="HU84" s="1997"/>
      <c r="HV84" s="1997"/>
      <c r="HW84" s="1997"/>
      <c r="HX84" s="1997"/>
      <c r="HY84" s="1997"/>
      <c r="HZ84" s="1997"/>
      <c r="IA84" s="1997"/>
      <c r="IB84" s="1997"/>
      <c r="IC84" s="1997"/>
      <c r="ID84" s="1997"/>
      <c r="IE84" s="1997"/>
      <c r="IF84" s="1997"/>
      <c r="IG84" s="1997"/>
      <c r="IH84" s="1997"/>
      <c r="II84" s="1997"/>
      <c r="IJ84" s="1997"/>
      <c r="IK84" s="1997"/>
      <c r="IL84" s="1997"/>
      <c r="IM84" s="1997"/>
      <c r="IN84" s="1997"/>
      <c r="IO84" s="1997"/>
      <c r="IP84" s="1997"/>
      <c r="IQ84" s="1997"/>
    </row>
    <row r="85" spans="1:251" hidden="1">
      <c r="A85" s="1993"/>
      <c r="B85" s="1998"/>
      <c r="C85" s="1998"/>
      <c r="D85" s="2034"/>
      <c r="E85" s="1998"/>
      <c r="F85" s="1940">
        <f t="shared" si="32"/>
        <v>0</v>
      </c>
      <c r="G85" s="1993"/>
      <c r="H85" s="1940">
        <f t="shared" si="33"/>
        <v>0</v>
      </c>
      <c r="I85" s="1993"/>
      <c r="J85" s="1940">
        <f t="shared" si="34"/>
        <v>0</v>
      </c>
      <c r="K85" s="1993"/>
      <c r="L85" s="1940">
        <f t="shared" si="35"/>
        <v>0</v>
      </c>
      <c r="M85" s="1940">
        <f t="shared" si="36"/>
        <v>0</v>
      </c>
      <c r="N85" s="1940">
        <f t="shared" si="37"/>
        <v>0</v>
      </c>
      <c r="O85" s="1993"/>
      <c r="P85" s="1993"/>
      <c r="Q85" s="1940">
        <f t="shared" si="38"/>
        <v>0</v>
      </c>
      <c r="R85" s="1940">
        <f t="shared" si="39"/>
        <v>0</v>
      </c>
      <c r="S85" s="1940">
        <f t="shared" si="40"/>
        <v>0</v>
      </c>
      <c r="T85" s="1940">
        <f t="shared" si="41"/>
        <v>0</v>
      </c>
      <c r="U85" s="1940">
        <f t="shared" si="42"/>
        <v>0</v>
      </c>
      <c r="V85" s="1997"/>
      <c r="W85" s="1997"/>
      <c r="X85" s="1997"/>
      <c r="Y85" s="1997"/>
      <c r="Z85" s="1997"/>
      <c r="AA85" s="1997"/>
      <c r="AB85" s="1997"/>
      <c r="AC85" s="1997"/>
      <c r="AD85" s="1997"/>
      <c r="AE85" s="1997"/>
      <c r="AF85" s="1997"/>
      <c r="AG85" s="1997"/>
      <c r="AH85" s="1997"/>
      <c r="AI85" s="1997"/>
      <c r="AJ85" s="1997"/>
      <c r="AK85" s="1997"/>
      <c r="AL85" s="1997"/>
      <c r="AM85" s="1997"/>
      <c r="AN85" s="1997"/>
      <c r="AO85" s="1997"/>
      <c r="AP85" s="1997"/>
      <c r="AQ85" s="1997"/>
      <c r="AR85" s="1997"/>
      <c r="AS85" s="1997"/>
      <c r="AT85" s="1997"/>
      <c r="AU85" s="1997"/>
      <c r="AV85" s="1997"/>
      <c r="AW85" s="1997"/>
      <c r="AX85" s="1997"/>
      <c r="AY85" s="1997"/>
      <c r="AZ85" s="1997"/>
      <c r="BA85" s="1997"/>
      <c r="BB85" s="1997"/>
      <c r="BC85" s="1997"/>
      <c r="BD85" s="1997"/>
      <c r="BE85" s="1997"/>
      <c r="BF85" s="1997"/>
      <c r="BG85" s="1997"/>
      <c r="BH85" s="1997"/>
      <c r="BI85" s="1997"/>
      <c r="BJ85" s="1997"/>
      <c r="BK85" s="1997"/>
      <c r="BL85" s="1997"/>
      <c r="BM85" s="1997"/>
      <c r="BN85" s="1997"/>
      <c r="BO85" s="1997"/>
      <c r="BP85" s="1997"/>
      <c r="BQ85" s="1997"/>
      <c r="BR85" s="1997"/>
      <c r="BS85" s="1997"/>
      <c r="BT85" s="1997"/>
      <c r="BU85" s="1997"/>
      <c r="BV85" s="1997"/>
      <c r="BW85" s="1997"/>
      <c r="BX85" s="1997"/>
      <c r="BY85" s="1997"/>
      <c r="BZ85" s="1997"/>
      <c r="CA85" s="1997"/>
      <c r="CB85" s="1997"/>
      <c r="CC85" s="1997"/>
      <c r="CD85" s="1997"/>
      <c r="CE85" s="1997"/>
      <c r="CF85" s="1997"/>
      <c r="CG85" s="1997"/>
      <c r="CH85" s="1997"/>
      <c r="CI85" s="1997"/>
      <c r="CJ85" s="1997"/>
      <c r="CK85" s="1997"/>
      <c r="CL85" s="1997"/>
      <c r="CM85" s="1997"/>
      <c r="CN85" s="1997"/>
      <c r="CO85" s="1997"/>
      <c r="CP85" s="1997"/>
      <c r="CQ85" s="1997"/>
      <c r="CR85" s="1997"/>
      <c r="CS85" s="1997"/>
      <c r="CT85" s="1997"/>
      <c r="CU85" s="1997"/>
      <c r="CV85" s="1997"/>
      <c r="CW85" s="1997"/>
      <c r="CX85" s="1997"/>
      <c r="CY85" s="1997"/>
      <c r="CZ85" s="1997"/>
      <c r="DA85" s="1997"/>
      <c r="DB85" s="1997"/>
      <c r="DC85" s="1997"/>
      <c r="DD85" s="1997"/>
      <c r="DE85" s="1997"/>
      <c r="DF85" s="1997"/>
      <c r="DG85" s="1997"/>
      <c r="DH85" s="1997"/>
      <c r="DI85" s="1997"/>
      <c r="DJ85" s="1997"/>
      <c r="DK85" s="1997"/>
      <c r="DL85" s="1997"/>
      <c r="DM85" s="1997"/>
      <c r="DN85" s="1997"/>
      <c r="DO85" s="1997"/>
      <c r="DP85" s="1997"/>
      <c r="DQ85" s="1997"/>
      <c r="DR85" s="1997"/>
      <c r="DS85" s="1997"/>
      <c r="DT85" s="1997"/>
      <c r="DU85" s="1997"/>
      <c r="DV85" s="1997"/>
      <c r="DW85" s="1997"/>
      <c r="DX85" s="1997"/>
      <c r="DY85" s="1997"/>
      <c r="DZ85" s="1997"/>
      <c r="EA85" s="1997"/>
      <c r="EB85" s="1997"/>
      <c r="EC85" s="1997"/>
      <c r="ED85" s="1997"/>
      <c r="EE85" s="1997"/>
      <c r="EF85" s="1997"/>
      <c r="EG85" s="1997"/>
      <c r="EH85" s="1997"/>
      <c r="EI85" s="1997"/>
      <c r="EJ85" s="1997"/>
      <c r="EK85" s="1997"/>
      <c r="EL85" s="1997"/>
      <c r="EM85" s="1997"/>
      <c r="EN85" s="1997"/>
      <c r="EO85" s="1997"/>
      <c r="EP85" s="1997"/>
      <c r="EQ85" s="1997"/>
      <c r="ER85" s="1997"/>
      <c r="ES85" s="1997"/>
      <c r="ET85" s="1997"/>
      <c r="EU85" s="1997"/>
      <c r="EV85" s="1997"/>
      <c r="EW85" s="1997"/>
      <c r="EX85" s="1997"/>
      <c r="EY85" s="1997"/>
      <c r="EZ85" s="1997"/>
      <c r="FA85" s="1997"/>
      <c r="FB85" s="1997"/>
      <c r="FC85" s="1997"/>
      <c r="FD85" s="1997"/>
      <c r="FE85" s="1997"/>
      <c r="FF85" s="1997"/>
      <c r="FG85" s="1997"/>
      <c r="FH85" s="1997"/>
      <c r="FI85" s="1997"/>
      <c r="FJ85" s="1997"/>
      <c r="FK85" s="1997"/>
      <c r="FL85" s="1997"/>
      <c r="FM85" s="1997"/>
      <c r="FN85" s="1997"/>
      <c r="FO85" s="1997"/>
      <c r="FP85" s="1997"/>
      <c r="FQ85" s="1997"/>
      <c r="FR85" s="1997"/>
      <c r="FS85" s="1997"/>
      <c r="FT85" s="1997"/>
      <c r="FU85" s="1997"/>
      <c r="FV85" s="1997"/>
      <c r="FW85" s="1997"/>
      <c r="FX85" s="1997"/>
      <c r="FY85" s="1997"/>
      <c r="FZ85" s="1997"/>
      <c r="GA85" s="1997"/>
      <c r="GB85" s="1997"/>
      <c r="GC85" s="1997"/>
      <c r="GD85" s="1997"/>
      <c r="GE85" s="1997"/>
      <c r="GF85" s="1997"/>
      <c r="GG85" s="1997"/>
      <c r="GH85" s="1997"/>
      <c r="GI85" s="1997"/>
      <c r="GJ85" s="1997"/>
      <c r="GK85" s="1997"/>
      <c r="GL85" s="1997"/>
      <c r="GM85" s="1997"/>
      <c r="GN85" s="1997"/>
      <c r="GO85" s="1997"/>
      <c r="GP85" s="1997"/>
      <c r="GQ85" s="1997"/>
      <c r="GR85" s="1997"/>
      <c r="GS85" s="1997"/>
      <c r="GT85" s="1997"/>
      <c r="GU85" s="1997"/>
      <c r="GV85" s="1997"/>
      <c r="GW85" s="1997"/>
      <c r="GX85" s="1997"/>
      <c r="GY85" s="1997"/>
      <c r="GZ85" s="1997"/>
      <c r="HA85" s="1997"/>
      <c r="HB85" s="1997"/>
      <c r="HC85" s="1997"/>
      <c r="HD85" s="1997"/>
      <c r="HE85" s="1997"/>
      <c r="HF85" s="1997"/>
      <c r="HG85" s="1997"/>
      <c r="HH85" s="1997"/>
      <c r="HI85" s="1997"/>
      <c r="HJ85" s="1997"/>
      <c r="HK85" s="1997"/>
      <c r="HL85" s="1997"/>
      <c r="HM85" s="1997"/>
      <c r="HN85" s="1997"/>
      <c r="HO85" s="1997"/>
      <c r="HP85" s="1997"/>
      <c r="HQ85" s="1997"/>
      <c r="HR85" s="1997"/>
      <c r="HS85" s="1997"/>
      <c r="HT85" s="1997"/>
      <c r="HU85" s="1997"/>
      <c r="HV85" s="1997"/>
      <c r="HW85" s="1997"/>
      <c r="HX85" s="1997"/>
      <c r="HY85" s="1997"/>
      <c r="HZ85" s="1997"/>
      <c r="IA85" s="1997"/>
      <c r="IB85" s="1997"/>
      <c r="IC85" s="1997"/>
      <c r="ID85" s="1997"/>
      <c r="IE85" s="1997"/>
      <c r="IF85" s="1997"/>
      <c r="IG85" s="1997"/>
      <c r="IH85" s="1997"/>
      <c r="II85" s="1997"/>
      <c r="IJ85" s="1997"/>
      <c r="IK85" s="1997"/>
      <c r="IL85" s="1997"/>
      <c r="IM85" s="1997"/>
      <c r="IN85" s="1997"/>
      <c r="IO85" s="1997"/>
      <c r="IP85" s="1997"/>
      <c r="IQ85" s="1997"/>
    </row>
    <row r="86" spans="1:251" hidden="1">
      <c r="A86" s="1993"/>
      <c r="B86" s="1998"/>
      <c r="C86" s="1998"/>
      <c r="D86" s="2034"/>
      <c r="E86" s="1998"/>
      <c r="F86" s="1940">
        <f t="shared" si="32"/>
        <v>0</v>
      </c>
      <c r="G86" s="1993"/>
      <c r="H86" s="1940">
        <f t="shared" si="33"/>
        <v>0</v>
      </c>
      <c r="I86" s="1993"/>
      <c r="J86" s="1940">
        <f t="shared" si="34"/>
        <v>0</v>
      </c>
      <c r="K86" s="1993"/>
      <c r="L86" s="1940">
        <f t="shared" si="35"/>
        <v>0</v>
      </c>
      <c r="M86" s="1940">
        <f t="shared" si="36"/>
        <v>0</v>
      </c>
      <c r="N86" s="1940">
        <f t="shared" si="37"/>
        <v>0</v>
      </c>
      <c r="O86" s="1993"/>
      <c r="P86" s="1993"/>
      <c r="Q86" s="1940">
        <f t="shared" si="38"/>
        <v>0</v>
      </c>
      <c r="R86" s="1940">
        <f t="shared" si="39"/>
        <v>0</v>
      </c>
      <c r="S86" s="1940">
        <f t="shared" si="40"/>
        <v>0</v>
      </c>
      <c r="T86" s="1940">
        <f t="shared" si="41"/>
        <v>0</v>
      </c>
      <c r="U86" s="1940">
        <f t="shared" si="42"/>
        <v>0</v>
      </c>
      <c r="V86" s="1997"/>
      <c r="W86" s="1997"/>
      <c r="X86" s="1997"/>
      <c r="Y86" s="1997"/>
      <c r="Z86" s="1997"/>
      <c r="AA86" s="1997"/>
      <c r="AB86" s="1997"/>
      <c r="AC86" s="1997"/>
      <c r="AD86" s="1997"/>
      <c r="AE86" s="1997"/>
      <c r="AF86" s="1997"/>
      <c r="AG86" s="1997"/>
      <c r="AH86" s="1997"/>
      <c r="AI86" s="1997"/>
      <c r="AJ86" s="1997"/>
      <c r="AK86" s="1997"/>
      <c r="AL86" s="1997"/>
      <c r="AM86" s="1997"/>
      <c r="AN86" s="1997"/>
      <c r="AO86" s="1997"/>
      <c r="AP86" s="1997"/>
      <c r="AQ86" s="1997"/>
      <c r="AR86" s="1997"/>
      <c r="AS86" s="1997"/>
      <c r="AT86" s="1997"/>
      <c r="AU86" s="1997"/>
      <c r="AV86" s="1997"/>
      <c r="AW86" s="1997"/>
      <c r="AX86" s="1997"/>
      <c r="AY86" s="1997"/>
      <c r="AZ86" s="1997"/>
      <c r="BA86" s="1997"/>
      <c r="BB86" s="1997"/>
      <c r="BC86" s="1997"/>
      <c r="BD86" s="1997"/>
      <c r="BE86" s="1997"/>
      <c r="BF86" s="1997"/>
      <c r="BG86" s="1997"/>
      <c r="BH86" s="1997"/>
      <c r="BI86" s="1997"/>
      <c r="BJ86" s="1997"/>
      <c r="BK86" s="1997"/>
      <c r="BL86" s="1997"/>
      <c r="BM86" s="1997"/>
      <c r="BN86" s="1997"/>
      <c r="BO86" s="1997"/>
      <c r="BP86" s="1997"/>
      <c r="BQ86" s="1997"/>
      <c r="BR86" s="1997"/>
      <c r="BS86" s="1997"/>
      <c r="BT86" s="1997"/>
      <c r="BU86" s="1997"/>
      <c r="BV86" s="1997"/>
      <c r="BW86" s="1997"/>
      <c r="BX86" s="1997"/>
      <c r="BY86" s="1997"/>
      <c r="BZ86" s="1997"/>
      <c r="CA86" s="1997"/>
      <c r="CB86" s="1997"/>
      <c r="CC86" s="1997"/>
      <c r="CD86" s="1997"/>
      <c r="CE86" s="1997"/>
      <c r="CF86" s="1997"/>
      <c r="CG86" s="1997"/>
      <c r="CH86" s="1997"/>
      <c r="CI86" s="1997"/>
      <c r="CJ86" s="1997"/>
      <c r="CK86" s="1997"/>
      <c r="CL86" s="1997"/>
      <c r="CM86" s="1997"/>
      <c r="CN86" s="1997"/>
      <c r="CO86" s="1997"/>
      <c r="CP86" s="1997"/>
      <c r="CQ86" s="1997"/>
      <c r="CR86" s="1997"/>
      <c r="CS86" s="1997"/>
      <c r="CT86" s="1997"/>
      <c r="CU86" s="1997"/>
      <c r="CV86" s="1997"/>
      <c r="CW86" s="1997"/>
      <c r="CX86" s="1997"/>
      <c r="CY86" s="1997"/>
      <c r="CZ86" s="1997"/>
      <c r="DA86" s="1997"/>
      <c r="DB86" s="1997"/>
      <c r="DC86" s="1997"/>
      <c r="DD86" s="1997"/>
      <c r="DE86" s="1997"/>
      <c r="DF86" s="1997"/>
      <c r="DG86" s="1997"/>
      <c r="DH86" s="1997"/>
      <c r="DI86" s="1997"/>
      <c r="DJ86" s="1997"/>
      <c r="DK86" s="1997"/>
      <c r="DL86" s="1997"/>
      <c r="DM86" s="1997"/>
      <c r="DN86" s="1997"/>
      <c r="DO86" s="1997"/>
      <c r="DP86" s="1997"/>
      <c r="DQ86" s="1997"/>
      <c r="DR86" s="1997"/>
      <c r="DS86" s="1997"/>
      <c r="DT86" s="1997"/>
      <c r="DU86" s="1997"/>
      <c r="DV86" s="1997"/>
      <c r="DW86" s="1997"/>
      <c r="DX86" s="1997"/>
      <c r="DY86" s="1997"/>
      <c r="DZ86" s="1997"/>
      <c r="EA86" s="1997"/>
      <c r="EB86" s="1997"/>
      <c r="EC86" s="1997"/>
      <c r="ED86" s="1997"/>
      <c r="EE86" s="1997"/>
      <c r="EF86" s="1997"/>
      <c r="EG86" s="1997"/>
      <c r="EH86" s="1997"/>
      <c r="EI86" s="1997"/>
      <c r="EJ86" s="1997"/>
      <c r="EK86" s="1997"/>
      <c r="EL86" s="1997"/>
      <c r="EM86" s="1997"/>
      <c r="EN86" s="1997"/>
      <c r="EO86" s="1997"/>
      <c r="EP86" s="1997"/>
      <c r="EQ86" s="1997"/>
      <c r="ER86" s="1997"/>
      <c r="ES86" s="1997"/>
      <c r="ET86" s="1997"/>
      <c r="EU86" s="1997"/>
      <c r="EV86" s="1997"/>
      <c r="EW86" s="1997"/>
      <c r="EX86" s="1997"/>
      <c r="EY86" s="1997"/>
      <c r="EZ86" s="1997"/>
      <c r="FA86" s="1997"/>
      <c r="FB86" s="1997"/>
      <c r="FC86" s="1997"/>
      <c r="FD86" s="1997"/>
      <c r="FE86" s="1997"/>
      <c r="FF86" s="1997"/>
      <c r="FG86" s="1997"/>
      <c r="FH86" s="1997"/>
      <c r="FI86" s="1997"/>
      <c r="FJ86" s="1997"/>
      <c r="FK86" s="1997"/>
      <c r="FL86" s="1997"/>
      <c r="FM86" s="1997"/>
      <c r="FN86" s="1997"/>
      <c r="FO86" s="1997"/>
      <c r="FP86" s="1997"/>
      <c r="FQ86" s="1997"/>
      <c r="FR86" s="1997"/>
      <c r="FS86" s="1997"/>
      <c r="FT86" s="1997"/>
      <c r="FU86" s="1997"/>
      <c r="FV86" s="1997"/>
      <c r="FW86" s="1997"/>
      <c r="FX86" s="1997"/>
      <c r="FY86" s="1997"/>
      <c r="FZ86" s="1997"/>
      <c r="GA86" s="1997"/>
      <c r="GB86" s="1997"/>
      <c r="GC86" s="1997"/>
      <c r="GD86" s="1997"/>
      <c r="GE86" s="1997"/>
      <c r="GF86" s="1997"/>
      <c r="GG86" s="1997"/>
      <c r="GH86" s="1997"/>
      <c r="GI86" s="1997"/>
      <c r="GJ86" s="1997"/>
      <c r="GK86" s="1997"/>
      <c r="GL86" s="1997"/>
      <c r="GM86" s="1997"/>
      <c r="GN86" s="1997"/>
      <c r="GO86" s="1997"/>
      <c r="GP86" s="1997"/>
      <c r="GQ86" s="1997"/>
      <c r="GR86" s="1997"/>
      <c r="GS86" s="1997"/>
      <c r="GT86" s="1997"/>
      <c r="GU86" s="1997"/>
      <c r="GV86" s="1997"/>
      <c r="GW86" s="1997"/>
      <c r="GX86" s="1997"/>
      <c r="GY86" s="1997"/>
      <c r="GZ86" s="1997"/>
      <c r="HA86" s="1997"/>
      <c r="HB86" s="1997"/>
      <c r="HC86" s="1997"/>
      <c r="HD86" s="1997"/>
      <c r="HE86" s="1997"/>
      <c r="HF86" s="1997"/>
      <c r="HG86" s="1997"/>
      <c r="HH86" s="1997"/>
      <c r="HI86" s="1997"/>
      <c r="HJ86" s="1997"/>
      <c r="HK86" s="1997"/>
      <c r="HL86" s="1997"/>
      <c r="HM86" s="1997"/>
      <c r="HN86" s="1997"/>
      <c r="HO86" s="1997"/>
      <c r="HP86" s="1997"/>
      <c r="HQ86" s="1997"/>
      <c r="HR86" s="1997"/>
      <c r="HS86" s="1997"/>
      <c r="HT86" s="1997"/>
      <c r="HU86" s="1997"/>
      <c r="HV86" s="1997"/>
      <c r="HW86" s="1997"/>
      <c r="HX86" s="1997"/>
      <c r="HY86" s="1997"/>
      <c r="HZ86" s="1997"/>
      <c r="IA86" s="1997"/>
      <c r="IB86" s="1997"/>
      <c r="IC86" s="1997"/>
      <c r="ID86" s="1997"/>
      <c r="IE86" s="1997"/>
      <c r="IF86" s="1997"/>
      <c r="IG86" s="1997"/>
      <c r="IH86" s="1997"/>
      <c r="II86" s="1997"/>
      <c r="IJ86" s="1997"/>
      <c r="IK86" s="1997"/>
      <c r="IL86" s="1997"/>
      <c r="IM86" s="1997"/>
      <c r="IN86" s="1997"/>
      <c r="IO86" s="1997"/>
      <c r="IP86" s="1997"/>
      <c r="IQ86" s="1997"/>
    </row>
    <row r="87" spans="1:251" hidden="1">
      <c r="A87" s="1993"/>
      <c r="B87" s="1998"/>
      <c r="C87" s="1998"/>
      <c r="D87" s="2034"/>
      <c r="E87" s="1998"/>
      <c r="F87" s="1940">
        <f t="shared" si="32"/>
        <v>0</v>
      </c>
      <c r="G87" s="1993"/>
      <c r="H87" s="1940">
        <f t="shared" si="33"/>
        <v>0</v>
      </c>
      <c r="I87" s="1993"/>
      <c r="J87" s="1940">
        <f t="shared" si="34"/>
        <v>0</v>
      </c>
      <c r="K87" s="1993"/>
      <c r="L87" s="1940">
        <f t="shared" si="35"/>
        <v>0</v>
      </c>
      <c r="M87" s="1940">
        <f t="shared" si="36"/>
        <v>0</v>
      </c>
      <c r="N87" s="1940">
        <f t="shared" si="37"/>
        <v>0</v>
      </c>
      <c r="O87" s="1993"/>
      <c r="P87" s="1993"/>
      <c r="Q87" s="1940">
        <f t="shared" si="38"/>
        <v>0</v>
      </c>
      <c r="R87" s="1940">
        <f t="shared" si="39"/>
        <v>0</v>
      </c>
      <c r="S87" s="1940">
        <f t="shared" si="40"/>
        <v>0</v>
      </c>
      <c r="T87" s="1940">
        <f t="shared" si="41"/>
        <v>0</v>
      </c>
      <c r="U87" s="1940">
        <f t="shared" si="42"/>
        <v>0</v>
      </c>
      <c r="V87" s="1997"/>
      <c r="W87" s="1997"/>
      <c r="X87" s="1997"/>
      <c r="Y87" s="1997"/>
      <c r="Z87" s="1997"/>
      <c r="AA87" s="1997"/>
      <c r="AB87" s="1997"/>
      <c r="AC87" s="1997"/>
      <c r="AD87" s="1997"/>
      <c r="AE87" s="1997"/>
      <c r="AF87" s="1997"/>
      <c r="AG87" s="1997"/>
      <c r="AH87" s="1997"/>
      <c r="AI87" s="1997"/>
      <c r="AJ87" s="1997"/>
      <c r="AK87" s="1997"/>
      <c r="AL87" s="1997"/>
      <c r="AM87" s="1997"/>
      <c r="AN87" s="1997"/>
      <c r="AO87" s="1997"/>
      <c r="AP87" s="1997"/>
      <c r="AQ87" s="1997"/>
      <c r="AR87" s="1997"/>
      <c r="AS87" s="1997"/>
      <c r="AT87" s="1997"/>
      <c r="AU87" s="1997"/>
      <c r="AV87" s="1997"/>
      <c r="AW87" s="1997"/>
      <c r="AX87" s="1997"/>
      <c r="AY87" s="1997"/>
      <c r="AZ87" s="1997"/>
      <c r="BA87" s="1997"/>
      <c r="BB87" s="1997"/>
      <c r="BC87" s="1997"/>
      <c r="BD87" s="1997"/>
      <c r="BE87" s="1997"/>
      <c r="BF87" s="1997"/>
      <c r="BG87" s="1997"/>
      <c r="BH87" s="1997"/>
      <c r="BI87" s="1997"/>
      <c r="BJ87" s="1997"/>
      <c r="BK87" s="1997"/>
      <c r="BL87" s="1997"/>
      <c r="BM87" s="1997"/>
      <c r="BN87" s="1997"/>
      <c r="BO87" s="1997"/>
      <c r="BP87" s="1997"/>
      <c r="BQ87" s="1997"/>
      <c r="BR87" s="1997"/>
      <c r="BS87" s="1997"/>
      <c r="BT87" s="1997"/>
      <c r="BU87" s="1997"/>
      <c r="BV87" s="1997"/>
      <c r="BW87" s="1997"/>
      <c r="BX87" s="1997"/>
      <c r="BY87" s="1997"/>
      <c r="BZ87" s="1997"/>
      <c r="CA87" s="1997"/>
      <c r="CB87" s="1997"/>
      <c r="CC87" s="1997"/>
      <c r="CD87" s="1997"/>
      <c r="CE87" s="1997"/>
      <c r="CF87" s="1997"/>
      <c r="CG87" s="1997"/>
      <c r="CH87" s="1997"/>
      <c r="CI87" s="1997"/>
      <c r="CJ87" s="1997"/>
      <c r="CK87" s="1997"/>
      <c r="CL87" s="1997"/>
      <c r="CM87" s="1997"/>
      <c r="CN87" s="1997"/>
      <c r="CO87" s="1997"/>
      <c r="CP87" s="1997"/>
      <c r="CQ87" s="1997"/>
      <c r="CR87" s="1997"/>
      <c r="CS87" s="1997"/>
      <c r="CT87" s="1997"/>
      <c r="CU87" s="1997"/>
      <c r="CV87" s="1997"/>
      <c r="CW87" s="1997"/>
      <c r="CX87" s="1997"/>
      <c r="CY87" s="1997"/>
      <c r="CZ87" s="1997"/>
      <c r="DA87" s="1997"/>
      <c r="DB87" s="1997"/>
      <c r="DC87" s="1997"/>
      <c r="DD87" s="1997"/>
      <c r="DE87" s="1997"/>
      <c r="DF87" s="1997"/>
      <c r="DG87" s="1997"/>
      <c r="DH87" s="1997"/>
      <c r="DI87" s="1997"/>
      <c r="DJ87" s="1997"/>
      <c r="DK87" s="1997"/>
      <c r="DL87" s="1997"/>
      <c r="DM87" s="1997"/>
      <c r="DN87" s="1997"/>
      <c r="DO87" s="1997"/>
      <c r="DP87" s="1997"/>
      <c r="DQ87" s="1997"/>
      <c r="DR87" s="1997"/>
      <c r="DS87" s="1997"/>
      <c r="DT87" s="1997"/>
      <c r="DU87" s="1997"/>
      <c r="DV87" s="1997"/>
      <c r="DW87" s="1997"/>
      <c r="DX87" s="1997"/>
      <c r="DY87" s="1997"/>
      <c r="DZ87" s="1997"/>
      <c r="EA87" s="1997"/>
      <c r="EB87" s="1997"/>
      <c r="EC87" s="1997"/>
      <c r="ED87" s="1997"/>
      <c r="EE87" s="1997"/>
      <c r="EF87" s="1997"/>
      <c r="EG87" s="1997"/>
      <c r="EH87" s="1997"/>
      <c r="EI87" s="1997"/>
      <c r="EJ87" s="1997"/>
      <c r="EK87" s="1997"/>
      <c r="EL87" s="1997"/>
      <c r="EM87" s="1997"/>
      <c r="EN87" s="1997"/>
      <c r="EO87" s="1997"/>
      <c r="EP87" s="1997"/>
      <c r="EQ87" s="1997"/>
      <c r="ER87" s="1997"/>
      <c r="ES87" s="1997"/>
      <c r="ET87" s="1997"/>
      <c r="EU87" s="1997"/>
      <c r="EV87" s="1997"/>
      <c r="EW87" s="1997"/>
      <c r="EX87" s="1997"/>
      <c r="EY87" s="1997"/>
      <c r="EZ87" s="1997"/>
      <c r="FA87" s="1997"/>
      <c r="FB87" s="1997"/>
      <c r="FC87" s="1997"/>
      <c r="FD87" s="1997"/>
      <c r="FE87" s="1997"/>
      <c r="FF87" s="1997"/>
      <c r="FG87" s="1997"/>
      <c r="FH87" s="1997"/>
      <c r="FI87" s="1997"/>
      <c r="FJ87" s="1997"/>
      <c r="FK87" s="1997"/>
      <c r="FL87" s="1997"/>
      <c r="FM87" s="1997"/>
      <c r="FN87" s="1997"/>
      <c r="FO87" s="1997"/>
      <c r="FP87" s="1997"/>
      <c r="FQ87" s="1997"/>
      <c r="FR87" s="1997"/>
      <c r="FS87" s="1997"/>
      <c r="FT87" s="1997"/>
      <c r="FU87" s="1997"/>
      <c r="FV87" s="1997"/>
      <c r="FW87" s="1997"/>
      <c r="FX87" s="1997"/>
      <c r="FY87" s="1997"/>
      <c r="FZ87" s="1997"/>
      <c r="GA87" s="1997"/>
      <c r="GB87" s="1997"/>
      <c r="GC87" s="1997"/>
      <c r="GD87" s="1997"/>
      <c r="GE87" s="1997"/>
      <c r="GF87" s="1997"/>
      <c r="GG87" s="1997"/>
      <c r="GH87" s="1997"/>
      <c r="GI87" s="1997"/>
      <c r="GJ87" s="1997"/>
      <c r="GK87" s="1997"/>
      <c r="GL87" s="1997"/>
      <c r="GM87" s="1997"/>
      <c r="GN87" s="1997"/>
      <c r="GO87" s="1997"/>
      <c r="GP87" s="1997"/>
      <c r="GQ87" s="1997"/>
      <c r="GR87" s="1997"/>
      <c r="GS87" s="1997"/>
      <c r="GT87" s="1997"/>
      <c r="GU87" s="1997"/>
      <c r="GV87" s="1997"/>
      <c r="GW87" s="1997"/>
      <c r="GX87" s="1997"/>
      <c r="GY87" s="1997"/>
      <c r="GZ87" s="1997"/>
      <c r="HA87" s="1997"/>
      <c r="HB87" s="1997"/>
      <c r="HC87" s="1997"/>
      <c r="HD87" s="1997"/>
      <c r="HE87" s="1997"/>
      <c r="HF87" s="1997"/>
      <c r="HG87" s="1997"/>
      <c r="HH87" s="1997"/>
      <c r="HI87" s="1997"/>
      <c r="HJ87" s="1997"/>
      <c r="HK87" s="1997"/>
      <c r="HL87" s="1997"/>
      <c r="HM87" s="1997"/>
      <c r="HN87" s="1997"/>
      <c r="HO87" s="1997"/>
      <c r="HP87" s="1997"/>
      <c r="HQ87" s="1997"/>
      <c r="HR87" s="1997"/>
      <c r="HS87" s="1997"/>
      <c r="HT87" s="1997"/>
      <c r="HU87" s="1997"/>
      <c r="HV87" s="1997"/>
      <c r="HW87" s="1997"/>
      <c r="HX87" s="1997"/>
      <c r="HY87" s="1997"/>
      <c r="HZ87" s="1997"/>
      <c r="IA87" s="1997"/>
      <c r="IB87" s="1997"/>
      <c r="IC87" s="1997"/>
      <c r="ID87" s="1997"/>
      <c r="IE87" s="1997"/>
      <c r="IF87" s="1997"/>
      <c r="IG87" s="1997"/>
      <c r="IH87" s="1997"/>
      <c r="II87" s="1997"/>
      <c r="IJ87" s="1997"/>
      <c r="IK87" s="1997"/>
      <c r="IL87" s="1997"/>
      <c r="IM87" s="1997"/>
      <c r="IN87" s="1997"/>
      <c r="IO87" s="1997"/>
      <c r="IP87" s="1997"/>
      <c r="IQ87" s="1997"/>
    </row>
    <row r="88" spans="1:251" hidden="1">
      <c r="A88" s="1993"/>
      <c r="B88" s="1998"/>
      <c r="C88" s="1998"/>
      <c r="D88" s="2034"/>
      <c r="E88" s="1998"/>
      <c r="F88" s="1940">
        <f t="shared" si="32"/>
        <v>0</v>
      </c>
      <c r="G88" s="1993"/>
      <c r="H88" s="1940">
        <f t="shared" si="33"/>
        <v>0</v>
      </c>
      <c r="I88" s="1993"/>
      <c r="J88" s="1940">
        <f t="shared" si="34"/>
        <v>0</v>
      </c>
      <c r="K88" s="1993"/>
      <c r="L88" s="1940">
        <f t="shared" si="35"/>
        <v>0</v>
      </c>
      <c r="M88" s="1940">
        <f t="shared" si="36"/>
        <v>0</v>
      </c>
      <c r="N88" s="1940">
        <f t="shared" si="37"/>
        <v>0</v>
      </c>
      <c r="O88" s="1993"/>
      <c r="P88" s="1993"/>
      <c r="Q88" s="1940">
        <f t="shared" si="38"/>
        <v>0</v>
      </c>
      <c r="R88" s="1940">
        <f t="shared" si="39"/>
        <v>0</v>
      </c>
      <c r="S88" s="1940">
        <f t="shared" si="40"/>
        <v>0</v>
      </c>
      <c r="T88" s="1940">
        <f t="shared" si="41"/>
        <v>0</v>
      </c>
      <c r="U88" s="1940">
        <f t="shared" si="42"/>
        <v>0</v>
      </c>
      <c r="V88" s="1997"/>
      <c r="W88" s="1997"/>
      <c r="X88" s="1997"/>
      <c r="Y88" s="1997"/>
      <c r="Z88" s="1997"/>
      <c r="AA88" s="1997"/>
      <c r="AB88" s="1997"/>
      <c r="AC88" s="1997"/>
      <c r="AD88" s="1997"/>
      <c r="AE88" s="1997"/>
      <c r="AF88" s="1997"/>
      <c r="AG88" s="1997"/>
      <c r="AH88" s="1997"/>
      <c r="AI88" s="1997"/>
      <c r="AJ88" s="1997"/>
      <c r="AK88" s="1997"/>
      <c r="AL88" s="1997"/>
      <c r="AM88" s="1997"/>
      <c r="AN88" s="1997"/>
      <c r="AO88" s="1997"/>
      <c r="AP88" s="1997"/>
      <c r="AQ88" s="1997"/>
      <c r="AR88" s="1997"/>
      <c r="AS88" s="1997"/>
      <c r="AT88" s="1997"/>
      <c r="AU88" s="1997"/>
      <c r="AV88" s="1997"/>
      <c r="AW88" s="1997"/>
      <c r="AX88" s="1997"/>
      <c r="AY88" s="1997"/>
      <c r="AZ88" s="1997"/>
      <c r="BA88" s="1997"/>
      <c r="BB88" s="1997"/>
      <c r="BC88" s="1997"/>
      <c r="BD88" s="1997"/>
      <c r="BE88" s="1997"/>
      <c r="BF88" s="1997"/>
      <c r="BG88" s="1997"/>
      <c r="BH88" s="1997"/>
      <c r="BI88" s="1997"/>
      <c r="BJ88" s="1997"/>
      <c r="BK88" s="1997"/>
      <c r="BL88" s="1997"/>
      <c r="BM88" s="1997"/>
      <c r="BN88" s="1997"/>
      <c r="BO88" s="1997"/>
      <c r="BP88" s="1997"/>
      <c r="BQ88" s="1997"/>
      <c r="BR88" s="1997"/>
      <c r="BS88" s="1997"/>
      <c r="BT88" s="1997"/>
      <c r="BU88" s="1997"/>
      <c r="BV88" s="1997"/>
      <c r="BW88" s="1997"/>
      <c r="BX88" s="1997"/>
      <c r="BY88" s="1997"/>
      <c r="BZ88" s="1997"/>
      <c r="CA88" s="1997"/>
      <c r="CB88" s="1997"/>
      <c r="CC88" s="1997"/>
      <c r="CD88" s="1997"/>
      <c r="CE88" s="1997"/>
      <c r="CF88" s="1997"/>
      <c r="CG88" s="1997"/>
      <c r="CH88" s="1997"/>
      <c r="CI88" s="1997"/>
      <c r="CJ88" s="1997"/>
      <c r="CK88" s="1997"/>
      <c r="CL88" s="1997"/>
      <c r="CM88" s="1997"/>
      <c r="CN88" s="1997"/>
      <c r="CO88" s="1997"/>
      <c r="CP88" s="1997"/>
      <c r="CQ88" s="1997"/>
      <c r="CR88" s="1997"/>
      <c r="CS88" s="1997"/>
      <c r="CT88" s="1997"/>
      <c r="CU88" s="1997"/>
      <c r="CV88" s="1997"/>
      <c r="CW88" s="1997"/>
      <c r="CX88" s="1997"/>
      <c r="CY88" s="1997"/>
      <c r="CZ88" s="1997"/>
      <c r="DA88" s="1997"/>
      <c r="DB88" s="1997"/>
      <c r="DC88" s="1997"/>
      <c r="DD88" s="1997"/>
      <c r="DE88" s="1997"/>
      <c r="DF88" s="1997"/>
      <c r="DG88" s="1997"/>
      <c r="DH88" s="1997"/>
      <c r="DI88" s="1997"/>
      <c r="DJ88" s="1997"/>
      <c r="DK88" s="1997"/>
      <c r="DL88" s="1997"/>
      <c r="DM88" s="1997"/>
      <c r="DN88" s="1997"/>
      <c r="DO88" s="1997"/>
      <c r="DP88" s="1997"/>
      <c r="DQ88" s="1997"/>
      <c r="DR88" s="1997"/>
      <c r="DS88" s="1997"/>
      <c r="DT88" s="1997"/>
      <c r="DU88" s="1997"/>
      <c r="DV88" s="1997"/>
      <c r="DW88" s="1997"/>
      <c r="DX88" s="1997"/>
      <c r="DY88" s="1997"/>
      <c r="DZ88" s="1997"/>
      <c r="EA88" s="1997"/>
      <c r="EB88" s="1997"/>
      <c r="EC88" s="1997"/>
      <c r="ED88" s="1997"/>
      <c r="EE88" s="1997"/>
      <c r="EF88" s="1997"/>
      <c r="EG88" s="1997"/>
      <c r="EH88" s="1997"/>
      <c r="EI88" s="1997"/>
      <c r="EJ88" s="1997"/>
      <c r="EK88" s="1997"/>
      <c r="EL88" s="1997"/>
      <c r="EM88" s="1997"/>
      <c r="EN88" s="1997"/>
      <c r="EO88" s="1997"/>
      <c r="EP88" s="1997"/>
      <c r="EQ88" s="1997"/>
      <c r="ER88" s="1997"/>
      <c r="ES88" s="1997"/>
      <c r="ET88" s="1997"/>
      <c r="EU88" s="1997"/>
      <c r="EV88" s="1997"/>
      <c r="EW88" s="1997"/>
      <c r="EX88" s="1997"/>
      <c r="EY88" s="1997"/>
      <c r="EZ88" s="1997"/>
      <c r="FA88" s="1997"/>
      <c r="FB88" s="1997"/>
      <c r="FC88" s="1997"/>
      <c r="FD88" s="1997"/>
      <c r="FE88" s="1997"/>
      <c r="FF88" s="1997"/>
      <c r="FG88" s="1997"/>
      <c r="FH88" s="1997"/>
      <c r="FI88" s="1997"/>
      <c r="FJ88" s="1997"/>
      <c r="FK88" s="1997"/>
      <c r="FL88" s="1997"/>
      <c r="FM88" s="1997"/>
      <c r="FN88" s="1997"/>
      <c r="FO88" s="1997"/>
      <c r="FP88" s="1997"/>
      <c r="FQ88" s="1997"/>
      <c r="FR88" s="1997"/>
      <c r="FS88" s="1997"/>
      <c r="FT88" s="1997"/>
      <c r="FU88" s="1997"/>
      <c r="FV88" s="1997"/>
      <c r="FW88" s="1997"/>
      <c r="FX88" s="1997"/>
      <c r="FY88" s="1997"/>
      <c r="FZ88" s="1997"/>
      <c r="GA88" s="1997"/>
      <c r="GB88" s="1997"/>
      <c r="GC88" s="1997"/>
      <c r="GD88" s="1997"/>
      <c r="GE88" s="1997"/>
      <c r="GF88" s="1997"/>
      <c r="GG88" s="1997"/>
      <c r="GH88" s="1997"/>
      <c r="GI88" s="1997"/>
      <c r="GJ88" s="1997"/>
      <c r="GK88" s="1997"/>
      <c r="GL88" s="1997"/>
      <c r="GM88" s="1997"/>
      <c r="GN88" s="1997"/>
      <c r="GO88" s="1997"/>
      <c r="GP88" s="1997"/>
      <c r="GQ88" s="1997"/>
      <c r="GR88" s="1997"/>
      <c r="GS88" s="1997"/>
      <c r="GT88" s="1997"/>
      <c r="GU88" s="1997"/>
      <c r="GV88" s="1997"/>
      <c r="GW88" s="1997"/>
      <c r="GX88" s="1997"/>
      <c r="GY88" s="1997"/>
      <c r="GZ88" s="1997"/>
      <c r="HA88" s="1997"/>
      <c r="HB88" s="1997"/>
      <c r="HC88" s="1997"/>
      <c r="HD88" s="1997"/>
      <c r="HE88" s="1997"/>
      <c r="HF88" s="1997"/>
      <c r="HG88" s="1997"/>
      <c r="HH88" s="1997"/>
      <c r="HI88" s="1997"/>
      <c r="HJ88" s="1997"/>
      <c r="HK88" s="1997"/>
      <c r="HL88" s="1997"/>
      <c r="HM88" s="1997"/>
      <c r="HN88" s="1997"/>
      <c r="HO88" s="1997"/>
      <c r="HP88" s="1997"/>
      <c r="HQ88" s="1997"/>
      <c r="HR88" s="1997"/>
      <c r="HS88" s="1997"/>
      <c r="HT88" s="1997"/>
      <c r="HU88" s="1997"/>
      <c r="HV88" s="1997"/>
      <c r="HW88" s="1997"/>
      <c r="HX88" s="1997"/>
      <c r="HY88" s="1997"/>
      <c r="HZ88" s="1997"/>
      <c r="IA88" s="1997"/>
      <c r="IB88" s="1997"/>
      <c r="IC88" s="1997"/>
      <c r="ID88" s="1997"/>
      <c r="IE88" s="1997"/>
      <c r="IF88" s="1997"/>
      <c r="IG88" s="1997"/>
      <c r="IH88" s="1997"/>
      <c r="II88" s="1997"/>
      <c r="IJ88" s="1997"/>
      <c r="IK88" s="1997"/>
      <c r="IL88" s="1997"/>
      <c r="IM88" s="1997"/>
      <c r="IN88" s="1997"/>
      <c r="IO88" s="1997"/>
      <c r="IP88" s="1997"/>
      <c r="IQ88" s="1997"/>
    </row>
    <row r="89" spans="1:251" hidden="1">
      <c r="A89" s="1993"/>
      <c r="B89" s="1998"/>
      <c r="C89" s="1998"/>
      <c r="D89" s="2034"/>
      <c r="E89" s="1998"/>
      <c r="F89" s="1940">
        <f t="shared" si="32"/>
        <v>0</v>
      </c>
      <c r="G89" s="1993"/>
      <c r="H89" s="1940">
        <f t="shared" si="33"/>
        <v>0</v>
      </c>
      <c r="I89" s="1993"/>
      <c r="J89" s="1940">
        <f t="shared" si="34"/>
        <v>0</v>
      </c>
      <c r="K89" s="1993"/>
      <c r="L89" s="1940">
        <f t="shared" si="35"/>
        <v>0</v>
      </c>
      <c r="M89" s="1940">
        <f t="shared" si="36"/>
        <v>0</v>
      </c>
      <c r="N89" s="1940">
        <f t="shared" si="37"/>
        <v>0</v>
      </c>
      <c r="O89" s="1993"/>
      <c r="P89" s="1993"/>
      <c r="Q89" s="1940">
        <f t="shared" si="38"/>
        <v>0</v>
      </c>
      <c r="R89" s="1940">
        <f t="shared" si="39"/>
        <v>0</v>
      </c>
      <c r="S89" s="1940">
        <f t="shared" si="40"/>
        <v>0</v>
      </c>
      <c r="T89" s="1940">
        <f t="shared" si="41"/>
        <v>0</v>
      </c>
      <c r="U89" s="1940">
        <f t="shared" si="42"/>
        <v>0</v>
      </c>
      <c r="V89" s="1997"/>
      <c r="W89" s="1997"/>
      <c r="X89" s="1997"/>
      <c r="Y89" s="1997"/>
      <c r="Z89" s="1997"/>
      <c r="AA89" s="1997"/>
      <c r="AB89" s="1997"/>
      <c r="AC89" s="1997"/>
      <c r="AD89" s="1997"/>
      <c r="AE89" s="1997"/>
      <c r="AF89" s="1997"/>
      <c r="AG89" s="1997"/>
      <c r="AH89" s="1997"/>
      <c r="AI89" s="1997"/>
      <c r="AJ89" s="1997"/>
      <c r="AK89" s="1997"/>
      <c r="AL89" s="1997"/>
      <c r="AM89" s="1997"/>
      <c r="AN89" s="1997"/>
      <c r="AO89" s="1997"/>
      <c r="AP89" s="1997"/>
      <c r="AQ89" s="1997"/>
      <c r="AR89" s="1997"/>
      <c r="AS89" s="1997"/>
      <c r="AT89" s="1997"/>
      <c r="AU89" s="1997"/>
      <c r="AV89" s="1997"/>
      <c r="AW89" s="1997"/>
      <c r="AX89" s="1997"/>
      <c r="AY89" s="1997"/>
      <c r="AZ89" s="1997"/>
      <c r="BA89" s="1997"/>
      <c r="BB89" s="1997"/>
      <c r="BC89" s="1997"/>
      <c r="BD89" s="1997"/>
      <c r="BE89" s="1997"/>
      <c r="BF89" s="1997"/>
      <c r="BG89" s="1997"/>
      <c r="BH89" s="1997"/>
      <c r="BI89" s="1997"/>
      <c r="BJ89" s="1997"/>
      <c r="BK89" s="1997"/>
      <c r="BL89" s="1997"/>
      <c r="BM89" s="1997"/>
      <c r="BN89" s="1997"/>
      <c r="BO89" s="1997"/>
      <c r="BP89" s="1997"/>
      <c r="BQ89" s="1997"/>
      <c r="BR89" s="1997"/>
      <c r="BS89" s="1997"/>
      <c r="BT89" s="1997"/>
      <c r="BU89" s="1997"/>
      <c r="BV89" s="1997"/>
      <c r="BW89" s="1997"/>
      <c r="BX89" s="1997"/>
      <c r="BY89" s="1997"/>
      <c r="BZ89" s="1997"/>
      <c r="CA89" s="1997"/>
      <c r="CB89" s="1997"/>
      <c r="CC89" s="1997"/>
      <c r="CD89" s="1997"/>
      <c r="CE89" s="1997"/>
      <c r="CF89" s="1997"/>
      <c r="CG89" s="1997"/>
      <c r="CH89" s="1997"/>
      <c r="CI89" s="1997"/>
      <c r="CJ89" s="1997"/>
      <c r="CK89" s="1997"/>
      <c r="CL89" s="1997"/>
      <c r="CM89" s="1997"/>
      <c r="CN89" s="1997"/>
      <c r="CO89" s="1997"/>
      <c r="CP89" s="1997"/>
      <c r="CQ89" s="1997"/>
      <c r="CR89" s="1997"/>
      <c r="CS89" s="1997"/>
      <c r="CT89" s="1997"/>
      <c r="CU89" s="1997"/>
      <c r="CV89" s="1997"/>
      <c r="CW89" s="1997"/>
      <c r="CX89" s="1997"/>
      <c r="CY89" s="1997"/>
      <c r="CZ89" s="1997"/>
      <c r="DA89" s="1997"/>
      <c r="DB89" s="1997"/>
      <c r="DC89" s="1997"/>
      <c r="DD89" s="1997"/>
      <c r="DE89" s="1997"/>
      <c r="DF89" s="1997"/>
      <c r="DG89" s="1997"/>
      <c r="DH89" s="1997"/>
      <c r="DI89" s="1997"/>
      <c r="DJ89" s="1997"/>
      <c r="DK89" s="1997"/>
      <c r="DL89" s="1997"/>
      <c r="DM89" s="1997"/>
      <c r="DN89" s="1997"/>
      <c r="DO89" s="1997"/>
      <c r="DP89" s="1997"/>
      <c r="DQ89" s="1997"/>
      <c r="DR89" s="1997"/>
      <c r="DS89" s="1997"/>
      <c r="DT89" s="1997"/>
      <c r="DU89" s="1997"/>
      <c r="DV89" s="1997"/>
      <c r="DW89" s="1997"/>
      <c r="DX89" s="1997"/>
      <c r="DY89" s="1997"/>
      <c r="DZ89" s="1997"/>
      <c r="EA89" s="1997"/>
      <c r="EB89" s="1997"/>
      <c r="EC89" s="1997"/>
      <c r="ED89" s="1997"/>
      <c r="EE89" s="1997"/>
      <c r="EF89" s="1997"/>
      <c r="EG89" s="1997"/>
      <c r="EH89" s="1997"/>
      <c r="EI89" s="1997"/>
      <c r="EJ89" s="1997"/>
      <c r="EK89" s="1997"/>
      <c r="EL89" s="1997"/>
      <c r="EM89" s="1997"/>
      <c r="EN89" s="1997"/>
      <c r="EO89" s="1997"/>
      <c r="EP89" s="1997"/>
      <c r="EQ89" s="1997"/>
      <c r="ER89" s="1997"/>
      <c r="ES89" s="1997"/>
      <c r="ET89" s="1997"/>
      <c r="EU89" s="1997"/>
      <c r="EV89" s="1997"/>
      <c r="EW89" s="1997"/>
      <c r="EX89" s="1997"/>
      <c r="EY89" s="1997"/>
      <c r="EZ89" s="1997"/>
      <c r="FA89" s="1997"/>
      <c r="FB89" s="1997"/>
      <c r="FC89" s="1997"/>
      <c r="FD89" s="1997"/>
      <c r="FE89" s="1997"/>
      <c r="FF89" s="1997"/>
      <c r="FG89" s="1997"/>
      <c r="FH89" s="1997"/>
      <c r="FI89" s="1997"/>
      <c r="FJ89" s="1997"/>
      <c r="FK89" s="1997"/>
      <c r="FL89" s="1997"/>
      <c r="FM89" s="1997"/>
      <c r="FN89" s="1997"/>
      <c r="FO89" s="1997"/>
      <c r="FP89" s="1997"/>
      <c r="FQ89" s="1997"/>
      <c r="FR89" s="1997"/>
      <c r="FS89" s="1997"/>
      <c r="FT89" s="1997"/>
      <c r="FU89" s="1997"/>
      <c r="FV89" s="1997"/>
      <c r="FW89" s="1997"/>
      <c r="FX89" s="1997"/>
      <c r="FY89" s="1997"/>
      <c r="FZ89" s="1997"/>
      <c r="GA89" s="1997"/>
      <c r="GB89" s="1997"/>
      <c r="GC89" s="1997"/>
      <c r="GD89" s="1997"/>
      <c r="GE89" s="1997"/>
      <c r="GF89" s="1997"/>
      <c r="GG89" s="1997"/>
      <c r="GH89" s="1997"/>
      <c r="GI89" s="1997"/>
      <c r="GJ89" s="1997"/>
      <c r="GK89" s="1997"/>
      <c r="GL89" s="1997"/>
      <c r="GM89" s="1997"/>
      <c r="GN89" s="1997"/>
      <c r="GO89" s="1997"/>
      <c r="GP89" s="1997"/>
      <c r="GQ89" s="1997"/>
      <c r="GR89" s="1997"/>
      <c r="GS89" s="1997"/>
      <c r="GT89" s="1997"/>
      <c r="GU89" s="1997"/>
      <c r="GV89" s="1997"/>
      <c r="GW89" s="1997"/>
      <c r="GX89" s="1997"/>
      <c r="GY89" s="1997"/>
      <c r="GZ89" s="1997"/>
      <c r="HA89" s="1997"/>
      <c r="HB89" s="1997"/>
      <c r="HC89" s="1997"/>
      <c r="HD89" s="1997"/>
      <c r="HE89" s="1997"/>
      <c r="HF89" s="1997"/>
      <c r="HG89" s="1997"/>
      <c r="HH89" s="1997"/>
      <c r="HI89" s="1997"/>
      <c r="HJ89" s="1997"/>
      <c r="HK89" s="1997"/>
      <c r="HL89" s="1997"/>
      <c r="HM89" s="1997"/>
      <c r="HN89" s="1997"/>
      <c r="HO89" s="1997"/>
      <c r="HP89" s="1997"/>
      <c r="HQ89" s="1997"/>
      <c r="HR89" s="1997"/>
      <c r="HS89" s="1997"/>
      <c r="HT89" s="1997"/>
      <c r="HU89" s="1997"/>
      <c r="HV89" s="1997"/>
      <c r="HW89" s="1997"/>
      <c r="HX89" s="1997"/>
      <c r="HY89" s="1997"/>
      <c r="HZ89" s="1997"/>
      <c r="IA89" s="1997"/>
      <c r="IB89" s="1997"/>
      <c r="IC89" s="1997"/>
      <c r="ID89" s="1997"/>
      <c r="IE89" s="1997"/>
      <c r="IF89" s="1997"/>
      <c r="IG89" s="1997"/>
      <c r="IH89" s="1997"/>
      <c r="II89" s="1997"/>
      <c r="IJ89" s="1997"/>
      <c r="IK89" s="1997"/>
      <c r="IL89" s="1997"/>
      <c r="IM89" s="1997"/>
      <c r="IN89" s="1997"/>
      <c r="IO89" s="1997"/>
      <c r="IP89" s="1997"/>
      <c r="IQ89" s="1997"/>
    </row>
    <row r="90" spans="1:251" hidden="1">
      <c r="A90" s="1993"/>
      <c r="B90" s="1998"/>
      <c r="C90" s="1998"/>
      <c r="D90" s="2034"/>
      <c r="E90" s="1998"/>
      <c r="F90" s="1940">
        <f t="shared" si="32"/>
        <v>0</v>
      </c>
      <c r="G90" s="1993"/>
      <c r="H90" s="1940">
        <f t="shared" si="33"/>
        <v>0</v>
      </c>
      <c r="I90" s="1993"/>
      <c r="J90" s="1940">
        <f t="shared" si="34"/>
        <v>0</v>
      </c>
      <c r="K90" s="1993"/>
      <c r="L90" s="1940">
        <f t="shared" si="35"/>
        <v>0</v>
      </c>
      <c r="M90" s="1940">
        <f t="shared" si="36"/>
        <v>0</v>
      </c>
      <c r="N90" s="1940">
        <f t="shared" si="37"/>
        <v>0</v>
      </c>
      <c r="O90" s="1993"/>
      <c r="P90" s="1993"/>
      <c r="Q90" s="1940">
        <f t="shared" si="38"/>
        <v>0</v>
      </c>
      <c r="R90" s="1940">
        <f t="shared" si="39"/>
        <v>0</v>
      </c>
      <c r="S90" s="1940">
        <f t="shared" si="40"/>
        <v>0</v>
      </c>
      <c r="T90" s="1940">
        <f t="shared" si="41"/>
        <v>0</v>
      </c>
      <c r="U90" s="1940">
        <f t="shared" si="42"/>
        <v>0</v>
      </c>
      <c r="V90" s="1997"/>
      <c r="W90" s="1997"/>
      <c r="X90" s="1997"/>
      <c r="Y90" s="1997"/>
      <c r="Z90" s="1997"/>
      <c r="AA90" s="1997"/>
      <c r="AB90" s="1997"/>
      <c r="AC90" s="1997"/>
      <c r="AD90" s="1997"/>
      <c r="AE90" s="1997"/>
      <c r="AF90" s="1997"/>
      <c r="AG90" s="1997"/>
      <c r="AH90" s="1997"/>
      <c r="AI90" s="1997"/>
      <c r="AJ90" s="1997"/>
      <c r="AK90" s="1997"/>
      <c r="AL90" s="1997"/>
      <c r="AM90" s="1997"/>
      <c r="AN90" s="1997"/>
      <c r="AO90" s="1997"/>
      <c r="AP90" s="1997"/>
      <c r="AQ90" s="1997"/>
      <c r="AR90" s="1997"/>
      <c r="AS90" s="1997"/>
      <c r="AT90" s="1997"/>
      <c r="AU90" s="1997"/>
      <c r="AV90" s="1997"/>
      <c r="AW90" s="1997"/>
      <c r="AX90" s="1997"/>
      <c r="AY90" s="1997"/>
      <c r="AZ90" s="1997"/>
      <c r="BA90" s="1997"/>
      <c r="BB90" s="1997"/>
      <c r="BC90" s="1997"/>
      <c r="BD90" s="1997"/>
      <c r="BE90" s="1997"/>
      <c r="BF90" s="1997"/>
      <c r="BG90" s="1997"/>
      <c r="BH90" s="1997"/>
      <c r="BI90" s="1997"/>
      <c r="BJ90" s="1997"/>
      <c r="BK90" s="1997"/>
      <c r="BL90" s="1997"/>
      <c r="BM90" s="1997"/>
      <c r="BN90" s="1997"/>
      <c r="BO90" s="1997"/>
      <c r="BP90" s="1997"/>
      <c r="BQ90" s="1997"/>
      <c r="BR90" s="1997"/>
      <c r="BS90" s="1997"/>
      <c r="BT90" s="1997"/>
      <c r="BU90" s="1997"/>
      <c r="BV90" s="1997"/>
      <c r="BW90" s="1997"/>
      <c r="BX90" s="1997"/>
      <c r="BY90" s="1997"/>
      <c r="BZ90" s="1997"/>
      <c r="CA90" s="1997"/>
      <c r="CB90" s="1997"/>
      <c r="CC90" s="1997"/>
      <c r="CD90" s="1997"/>
      <c r="CE90" s="1997"/>
      <c r="CF90" s="1997"/>
      <c r="CG90" s="1997"/>
      <c r="CH90" s="1997"/>
      <c r="CI90" s="1997"/>
      <c r="CJ90" s="1997"/>
      <c r="CK90" s="1997"/>
      <c r="CL90" s="1997"/>
      <c r="CM90" s="1997"/>
      <c r="CN90" s="1997"/>
      <c r="CO90" s="1997"/>
      <c r="CP90" s="1997"/>
      <c r="CQ90" s="1997"/>
      <c r="CR90" s="1997"/>
      <c r="CS90" s="1997"/>
      <c r="CT90" s="1997"/>
      <c r="CU90" s="1997"/>
      <c r="CV90" s="1997"/>
      <c r="CW90" s="1997"/>
      <c r="CX90" s="1997"/>
      <c r="CY90" s="1997"/>
      <c r="CZ90" s="1997"/>
      <c r="DA90" s="1997"/>
      <c r="DB90" s="1997"/>
      <c r="DC90" s="1997"/>
      <c r="DD90" s="1997"/>
      <c r="DE90" s="1997"/>
      <c r="DF90" s="1997"/>
      <c r="DG90" s="1997"/>
      <c r="DH90" s="1997"/>
      <c r="DI90" s="1997"/>
      <c r="DJ90" s="1997"/>
      <c r="DK90" s="1997"/>
      <c r="DL90" s="1997"/>
      <c r="DM90" s="1997"/>
      <c r="DN90" s="1997"/>
      <c r="DO90" s="1997"/>
      <c r="DP90" s="1997"/>
      <c r="DQ90" s="1997"/>
      <c r="DR90" s="1997"/>
      <c r="DS90" s="1997"/>
      <c r="DT90" s="1997"/>
      <c r="DU90" s="1997"/>
      <c r="DV90" s="1997"/>
      <c r="DW90" s="1997"/>
      <c r="DX90" s="1997"/>
      <c r="DY90" s="1997"/>
      <c r="DZ90" s="1997"/>
      <c r="EA90" s="1997"/>
      <c r="EB90" s="1997"/>
      <c r="EC90" s="1997"/>
      <c r="ED90" s="1997"/>
      <c r="EE90" s="1997"/>
      <c r="EF90" s="1997"/>
      <c r="EG90" s="1997"/>
      <c r="EH90" s="1997"/>
      <c r="EI90" s="1997"/>
      <c r="EJ90" s="1997"/>
      <c r="EK90" s="1997"/>
      <c r="EL90" s="1997"/>
      <c r="EM90" s="1997"/>
      <c r="EN90" s="1997"/>
      <c r="EO90" s="1997"/>
      <c r="EP90" s="1997"/>
      <c r="EQ90" s="1997"/>
      <c r="ER90" s="1997"/>
      <c r="ES90" s="1997"/>
      <c r="ET90" s="1997"/>
      <c r="EU90" s="1997"/>
      <c r="EV90" s="1997"/>
      <c r="EW90" s="1997"/>
      <c r="EX90" s="1997"/>
      <c r="EY90" s="1997"/>
      <c r="EZ90" s="1997"/>
      <c r="FA90" s="1997"/>
      <c r="FB90" s="1997"/>
      <c r="FC90" s="1997"/>
      <c r="FD90" s="1997"/>
      <c r="FE90" s="1997"/>
      <c r="FF90" s="1997"/>
      <c r="FG90" s="1997"/>
      <c r="FH90" s="1997"/>
      <c r="FI90" s="1997"/>
      <c r="FJ90" s="1997"/>
      <c r="FK90" s="1997"/>
      <c r="FL90" s="1997"/>
      <c r="FM90" s="1997"/>
      <c r="FN90" s="1997"/>
      <c r="FO90" s="1997"/>
      <c r="FP90" s="1997"/>
      <c r="FQ90" s="1997"/>
      <c r="FR90" s="1997"/>
      <c r="FS90" s="1997"/>
      <c r="FT90" s="1997"/>
      <c r="FU90" s="1997"/>
      <c r="FV90" s="1997"/>
      <c r="FW90" s="1997"/>
      <c r="FX90" s="1997"/>
      <c r="FY90" s="1997"/>
      <c r="FZ90" s="1997"/>
      <c r="GA90" s="1997"/>
      <c r="GB90" s="1997"/>
      <c r="GC90" s="1997"/>
      <c r="GD90" s="1997"/>
      <c r="GE90" s="1997"/>
      <c r="GF90" s="1997"/>
      <c r="GG90" s="1997"/>
      <c r="GH90" s="1997"/>
      <c r="GI90" s="1997"/>
      <c r="GJ90" s="1997"/>
      <c r="GK90" s="1997"/>
      <c r="GL90" s="1997"/>
      <c r="GM90" s="1997"/>
      <c r="GN90" s="1997"/>
      <c r="GO90" s="1997"/>
      <c r="GP90" s="1997"/>
      <c r="GQ90" s="1997"/>
      <c r="GR90" s="1997"/>
      <c r="GS90" s="1997"/>
      <c r="GT90" s="1997"/>
      <c r="GU90" s="1997"/>
      <c r="GV90" s="1997"/>
      <c r="GW90" s="1997"/>
      <c r="GX90" s="1997"/>
      <c r="GY90" s="1997"/>
      <c r="GZ90" s="1997"/>
      <c r="HA90" s="1997"/>
      <c r="HB90" s="1997"/>
      <c r="HC90" s="1997"/>
      <c r="HD90" s="1997"/>
      <c r="HE90" s="1997"/>
      <c r="HF90" s="1997"/>
      <c r="HG90" s="1997"/>
      <c r="HH90" s="1997"/>
      <c r="HI90" s="1997"/>
      <c r="HJ90" s="1997"/>
      <c r="HK90" s="1997"/>
      <c r="HL90" s="1997"/>
      <c r="HM90" s="1997"/>
      <c r="HN90" s="1997"/>
      <c r="HO90" s="1997"/>
      <c r="HP90" s="1997"/>
      <c r="HQ90" s="1997"/>
      <c r="HR90" s="1997"/>
      <c r="HS90" s="1997"/>
      <c r="HT90" s="1997"/>
      <c r="HU90" s="1997"/>
      <c r="HV90" s="1997"/>
      <c r="HW90" s="1997"/>
      <c r="HX90" s="1997"/>
      <c r="HY90" s="1997"/>
      <c r="HZ90" s="1997"/>
      <c r="IA90" s="1997"/>
      <c r="IB90" s="1997"/>
      <c r="IC90" s="1997"/>
      <c r="ID90" s="1997"/>
      <c r="IE90" s="1997"/>
      <c r="IF90" s="1997"/>
      <c r="IG90" s="1997"/>
      <c r="IH90" s="1997"/>
      <c r="II90" s="1997"/>
      <c r="IJ90" s="1997"/>
      <c r="IK90" s="1997"/>
      <c r="IL90" s="1997"/>
      <c r="IM90" s="1997"/>
      <c r="IN90" s="1997"/>
      <c r="IO90" s="1997"/>
      <c r="IP90" s="1997"/>
      <c r="IQ90" s="1997"/>
    </row>
    <row r="91" spans="1:251" hidden="1">
      <c r="A91" s="1993"/>
      <c r="B91" s="1998"/>
      <c r="C91" s="1998"/>
      <c r="D91" s="2034"/>
      <c r="E91" s="1998"/>
      <c r="F91" s="1940">
        <f t="shared" si="32"/>
        <v>0</v>
      </c>
      <c r="G91" s="1993"/>
      <c r="H91" s="1940">
        <f t="shared" si="33"/>
        <v>0</v>
      </c>
      <c r="I91" s="1993"/>
      <c r="J91" s="1940">
        <f t="shared" si="34"/>
        <v>0</v>
      </c>
      <c r="K91" s="1993"/>
      <c r="L91" s="1940">
        <f t="shared" si="35"/>
        <v>0</v>
      </c>
      <c r="M91" s="1940">
        <f t="shared" si="36"/>
        <v>0</v>
      </c>
      <c r="N91" s="1940">
        <f t="shared" si="37"/>
        <v>0</v>
      </c>
      <c r="O91" s="1993"/>
      <c r="P91" s="1993"/>
      <c r="Q91" s="1940">
        <f t="shared" si="38"/>
        <v>0</v>
      </c>
      <c r="R91" s="1940">
        <f t="shared" si="39"/>
        <v>0</v>
      </c>
      <c r="S91" s="1940">
        <f t="shared" si="40"/>
        <v>0</v>
      </c>
      <c r="T91" s="1940">
        <f t="shared" si="41"/>
        <v>0</v>
      </c>
      <c r="U91" s="1940">
        <f t="shared" si="42"/>
        <v>0</v>
      </c>
      <c r="V91" s="1997"/>
      <c r="W91" s="1997"/>
      <c r="X91" s="1997"/>
      <c r="Y91" s="1997"/>
      <c r="Z91" s="1997"/>
      <c r="AA91" s="1997"/>
      <c r="AB91" s="1997"/>
      <c r="AC91" s="1997"/>
      <c r="AD91" s="1997"/>
      <c r="AE91" s="1997"/>
      <c r="AF91" s="1997"/>
      <c r="AG91" s="1997"/>
      <c r="AH91" s="1997"/>
      <c r="AI91" s="1997"/>
      <c r="AJ91" s="1997"/>
      <c r="AK91" s="1997"/>
      <c r="AL91" s="1997"/>
      <c r="AM91" s="1997"/>
      <c r="AN91" s="1997"/>
      <c r="AO91" s="1997"/>
      <c r="AP91" s="1997"/>
      <c r="AQ91" s="1997"/>
      <c r="AR91" s="1997"/>
      <c r="AS91" s="1997"/>
      <c r="AT91" s="1997"/>
      <c r="AU91" s="1997"/>
      <c r="AV91" s="1997"/>
      <c r="AW91" s="1997"/>
      <c r="AX91" s="1997"/>
      <c r="AY91" s="1997"/>
      <c r="AZ91" s="1997"/>
      <c r="BA91" s="1997"/>
      <c r="BB91" s="1997"/>
      <c r="BC91" s="1997"/>
      <c r="BD91" s="1997"/>
      <c r="BE91" s="1997"/>
      <c r="BF91" s="1997"/>
      <c r="BG91" s="1997"/>
      <c r="BH91" s="1997"/>
      <c r="BI91" s="1997"/>
      <c r="BJ91" s="1997"/>
      <c r="BK91" s="1997"/>
      <c r="BL91" s="1997"/>
      <c r="BM91" s="1997"/>
      <c r="BN91" s="1997"/>
      <c r="BO91" s="1997"/>
      <c r="BP91" s="1997"/>
      <c r="BQ91" s="1997"/>
      <c r="BR91" s="1997"/>
      <c r="BS91" s="1997"/>
      <c r="BT91" s="1997"/>
      <c r="BU91" s="1997"/>
      <c r="BV91" s="1997"/>
      <c r="BW91" s="1997"/>
      <c r="BX91" s="1997"/>
      <c r="BY91" s="1997"/>
      <c r="BZ91" s="1997"/>
      <c r="CA91" s="1997"/>
      <c r="CB91" s="1997"/>
      <c r="CC91" s="1997"/>
      <c r="CD91" s="1997"/>
      <c r="CE91" s="1997"/>
      <c r="CF91" s="1997"/>
      <c r="CG91" s="1997"/>
      <c r="CH91" s="1997"/>
      <c r="CI91" s="1997"/>
      <c r="CJ91" s="1997"/>
      <c r="CK91" s="1997"/>
      <c r="CL91" s="1997"/>
      <c r="CM91" s="1997"/>
      <c r="CN91" s="1997"/>
      <c r="CO91" s="1997"/>
      <c r="CP91" s="1997"/>
      <c r="CQ91" s="1997"/>
      <c r="CR91" s="1997"/>
      <c r="CS91" s="1997"/>
      <c r="CT91" s="1997"/>
      <c r="CU91" s="1997"/>
      <c r="CV91" s="1997"/>
      <c r="CW91" s="1997"/>
      <c r="CX91" s="1997"/>
      <c r="CY91" s="1997"/>
      <c r="CZ91" s="1997"/>
      <c r="DA91" s="1997"/>
      <c r="DB91" s="1997"/>
      <c r="DC91" s="1997"/>
      <c r="DD91" s="1997"/>
      <c r="DE91" s="1997"/>
      <c r="DF91" s="1997"/>
      <c r="DG91" s="1997"/>
      <c r="DH91" s="1997"/>
      <c r="DI91" s="1997"/>
      <c r="DJ91" s="1997"/>
      <c r="DK91" s="1997"/>
      <c r="DL91" s="1997"/>
      <c r="DM91" s="1997"/>
      <c r="DN91" s="1997"/>
      <c r="DO91" s="1997"/>
      <c r="DP91" s="1997"/>
      <c r="DQ91" s="1997"/>
      <c r="DR91" s="1997"/>
      <c r="DS91" s="1997"/>
      <c r="DT91" s="1997"/>
      <c r="DU91" s="1997"/>
      <c r="DV91" s="1997"/>
      <c r="DW91" s="1997"/>
      <c r="DX91" s="1997"/>
      <c r="DY91" s="1997"/>
      <c r="DZ91" s="1997"/>
      <c r="EA91" s="1997"/>
      <c r="EB91" s="1997"/>
      <c r="EC91" s="1997"/>
      <c r="ED91" s="1997"/>
      <c r="EE91" s="1997"/>
      <c r="EF91" s="1997"/>
      <c r="EG91" s="1997"/>
      <c r="EH91" s="1997"/>
      <c r="EI91" s="1997"/>
      <c r="EJ91" s="1997"/>
      <c r="EK91" s="1997"/>
      <c r="EL91" s="1997"/>
      <c r="EM91" s="1997"/>
      <c r="EN91" s="1997"/>
      <c r="EO91" s="1997"/>
      <c r="EP91" s="1997"/>
      <c r="EQ91" s="1997"/>
      <c r="ER91" s="1997"/>
      <c r="ES91" s="1997"/>
      <c r="ET91" s="1997"/>
      <c r="EU91" s="1997"/>
      <c r="EV91" s="1997"/>
      <c r="EW91" s="1997"/>
      <c r="EX91" s="1997"/>
      <c r="EY91" s="1997"/>
      <c r="EZ91" s="1997"/>
      <c r="FA91" s="1997"/>
      <c r="FB91" s="1997"/>
      <c r="FC91" s="1997"/>
      <c r="FD91" s="1997"/>
      <c r="FE91" s="1997"/>
      <c r="FF91" s="1997"/>
      <c r="FG91" s="1997"/>
      <c r="FH91" s="1997"/>
      <c r="FI91" s="1997"/>
      <c r="FJ91" s="1997"/>
      <c r="FK91" s="1997"/>
      <c r="FL91" s="1997"/>
      <c r="FM91" s="1997"/>
      <c r="FN91" s="1997"/>
      <c r="FO91" s="1997"/>
      <c r="FP91" s="1997"/>
      <c r="FQ91" s="1997"/>
      <c r="FR91" s="1997"/>
      <c r="FS91" s="1997"/>
      <c r="FT91" s="1997"/>
      <c r="FU91" s="1997"/>
      <c r="FV91" s="1997"/>
      <c r="FW91" s="1997"/>
      <c r="FX91" s="1997"/>
      <c r="FY91" s="1997"/>
      <c r="FZ91" s="1997"/>
      <c r="GA91" s="1997"/>
      <c r="GB91" s="1997"/>
      <c r="GC91" s="1997"/>
      <c r="GD91" s="1997"/>
      <c r="GE91" s="1997"/>
      <c r="GF91" s="1997"/>
      <c r="GG91" s="1997"/>
      <c r="GH91" s="1997"/>
      <c r="GI91" s="1997"/>
      <c r="GJ91" s="1997"/>
      <c r="GK91" s="1997"/>
      <c r="GL91" s="1997"/>
      <c r="GM91" s="1997"/>
      <c r="GN91" s="1997"/>
      <c r="GO91" s="1997"/>
      <c r="GP91" s="1997"/>
      <c r="GQ91" s="1997"/>
      <c r="GR91" s="1997"/>
      <c r="GS91" s="1997"/>
      <c r="GT91" s="1997"/>
      <c r="GU91" s="1997"/>
      <c r="GV91" s="1997"/>
      <c r="GW91" s="1997"/>
      <c r="GX91" s="1997"/>
      <c r="GY91" s="1997"/>
      <c r="GZ91" s="1997"/>
      <c r="HA91" s="1997"/>
      <c r="HB91" s="1997"/>
      <c r="HC91" s="1997"/>
      <c r="HD91" s="1997"/>
      <c r="HE91" s="1997"/>
      <c r="HF91" s="1997"/>
      <c r="HG91" s="1997"/>
      <c r="HH91" s="1997"/>
      <c r="HI91" s="1997"/>
      <c r="HJ91" s="1997"/>
      <c r="HK91" s="1997"/>
      <c r="HL91" s="1997"/>
      <c r="HM91" s="1997"/>
      <c r="HN91" s="1997"/>
      <c r="HO91" s="1997"/>
      <c r="HP91" s="1997"/>
      <c r="HQ91" s="1997"/>
      <c r="HR91" s="1997"/>
      <c r="HS91" s="1997"/>
      <c r="HT91" s="1997"/>
      <c r="HU91" s="1997"/>
      <c r="HV91" s="1997"/>
      <c r="HW91" s="1997"/>
      <c r="HX91" s="1997"/>
      <c r="HY91" s="1997"/>
      <c r="HZ91" s="1997"/>
      <c r="IA91" s="1997"/>
      <c r="IB91" s="1997"/>
      <c r="IC91" s="1997"/>
      <c r="ID91" s="1997"/>
      <c r="IE91" s="1997"/>
      <c r="IF91" s="1997"/>
      <c r="IG91" s="1997"/>
      <c r="IH91" s="1997"/>
      <c r="II91" s="1997"/>
      <c r="IJ91" s="1997"/>
      <c r="IK91" s="1997"/>
      <c r="IL91" s="1997"/>
      <c r="IM91" s="1997"/>
      <c r="IN91" s="1997"/>
      <c r="IO91" s="1997"/>
      <c r="IP91" s="1997"/>
      <c r="IQ91" s="1997"/>
    </row>
    <row r="92" spans="1:251" hidden="1">
      <c r="A92" s="1993"/>
      <c r="B92" s="1998"/>
      <c r="C92" s="1998"/>
      <c r="D92" s="2034"/>
      <c r="E92" s="1998"/>
      <c r="F92" s="1940">
        <f t="shared" si="32"/>
        <v>0</v>
      </c>
      <c r="G92" s="1993"/>
      <c r="H92" s="1940">
        <f t="shared" si="33"/>
        <v>0</v>
      </c>
      <c r="I92" s="1993"/>
      <c r="J92" s="1940">
        <f t="shared" si="34"/>
        <v>0</v>
      </c>
      <c r="K92" s="1993"/>
      <c r="L92" s="1940">
        <f t="shared" si="35"/>
        <v>0</v>
      </c>
      <c r="M92" s="1940">
        <f t="shared" si="36"/>
        <v>0</v>
      </c>
      <c r="N92" s="1940">
        <f t="shared" si="37"/>
        <v>0</v>
      </c>
      <c r="O92" s="1993"/>
      <c r="P92" s="1993"/>
      <c r="Q92" s="1940">
        <f t="shared" si="38"/>
        <v>0</v>
      </c>
      <c r="R92" s="1940">
        <f t="shared" si="39"/>
        <v>0</v>
      </c>
      <c r="S92" s="1940">
        <f t="shared" si="40"/>
        <v>0</v>
      </c>
      <c r="T92" s="1940">
        <f t="shared" si="41"/>
        <v>0</v>
      </c>
      <c r="U92" s="1940">
        <f t="shared" si="42"/>
        <v>0</v>
      </c>
      <c r="V92" s="1997"/>
      <c r="W92" s="1997"/>
      <c r="X92" s="1997"/>
      <c r="Y92" s="1997"/>
      <c r="Z92" s="1997"/>
      <c r="AA92" s="1997"/>
      <c r="AB92" s="1997"/>
      <c r="AC92" s="1997"/>
      <c r="AD92" s="1997"/>
      <c r="AE92" s="1997"/>
      <c r="AF92" s="1997"/>
      <c r="AG92" s="1997"/>
      <c r="AH92" s="1997"/>
      <c r="AI92" s="1997"/>
      <c r="AJ92" s="1997"/>
      <c r="AK92" s="1997"/>
      <c r="AL92" s="1997"/>
      <c r="AM92" s="1997"/>
      <c r="AN92" s="1997"/>
      <c r="AO92" s="1997"/>
      <c r="AP92" s="1997"/>
      <c r="AQ92" s="1997"/>
      <c r="AR92" s="1997"/>
      <c r="AS92" s="1997"/>
      <c r="AT92" s="1997"/>
      <c r="AU92" s="1997"/>
      <c r="AV92" s="1997"/>
      <c r="AW92" s="1997"/>
      <c r="AX92" s="1997"/>
      <c r="AY92" s="1997"/>
      <c r="AZ92" s="1997"/>
      <c r="BA92" s="1997"/>
      <c r="BB92" s="1997"/>
      <c r="BC92" s="1997"/>
      <c r="BD92" s="1997"/>
      <c r="BE92" s="1997"/>
      <c r="BF92" s="1997"/>
      <c r="BG92" s="1997"/>
      <c r="BH92" s="1997"/>
      <c r="BI92" s="1997"/>
      <c r="BJ92" s="1997"/>
      <c r="BK92" s="1997"/>
      <c r="BL92" s="1997"/>
      <c r="BM92" s="1997"/>
      <c r="BN92" s="1997"/>
      <c r="BO92" s="1997"/>
      <c r="BP92" s="1997"/>
      <c r="BQ92" s="1997"/>
      <c r="BR92" s="1997"/>
      <c r="BS92" s="1997"/>
      <c r="BT92" s="1997"/>
      <c r="BU92" s="1997"/>
      <c r="BV92" s="1997"/>
      <c r="BW92" s="1997"/>
      <c r="BX92" s="1997"/>
      <c r="BY92" s="1997"/>
      <c r="BZ92" s="1997"/>
      <c r="CA92" s="1997"/>
      <c r="CB92" s="1997"/>
      <c r="CC92" s="1997"/>
      <c r="CD92" s="1997"/>
      <c r="CE92" s="1997"/>
      <c r="CF92" s="1997"/>
      <c r="CG92" s="1997"/>
      <c r="CH92" s="1997"/>
      <c r="CI92" s="1997"/>
      <c r="CJ92" s="1997"/>
      <c r="CK92" s="1997"/>
      <c r="CL92" s="1997"/>
      <c r="CM92" s="1997"/>
      <c r="CN92" s="1997"/>
      <c r="CO92" s="1997"/>
      <c r="CP92" s="1997"/>
      <c r="CQ92" s="1997"/>
      <c r="CR92" s="1997"/>
      <c r="CS92" s="1997"/>
      <c r="CT92" s="1997"/>
      <c r="CU92" s="1997"/>
      <c r="CV92" s="1997"/>
      <c r="CW92" s="1997"/>
      <c r="CX92" s="1997"/>
      <c r="CY92" s="1997"/>
      <c r="CZ92" s="1997"/>
      <c r="DA92" s="1997"/>
      <c r="DB92" s="1997"/>
      <c r="DC92" s="1997"/>
      <c r="DD92" s="1997"/>
      <c r="DE92" s="1997"/>
      <c r="DF92" s="1997"/>
      <c r="DG92" s="1997"/>
      <c r="DH92" s="1997"/>
      <c r="DI92" s="1997"/>
      <c r="DJ92" s="1997"/>
      <c r="DK92" s="1997"/>
      <c r="DL92" s="1997"/>
      <c r="DM92" s="1997"/>
      <c r="DN92" s="1997"/>
      <c r="DO92" s="1997"/>
      <c r="DP92" s="1997"/>
      <c r="DQ92" s="1997"/>
      <c r="DR92" s="1997"/>
      <c r="DS92" s="1997"/>
      <c r="DT92" s="1997"/>
      <c r="DU92" s="1997"/>
      <c r="DV92" s="1997"/>
      <c r="DW92" s="1997"/>
      <c r="DX92" s="1997"/>
      <c r="DY92" s="1997"/>
      <c r="DZ92" s="1997"/>
      <c r="EA92" s="1997"/>
      <c r="EB92" s="1997"/>
      <c r="EC92" s="1997"/>
      <c r="ED92" s="1997"/>
      <c r="EE92" s="1997"/>
      <c r="EF92" s="1997"/>
      <c r="EG92" s="1997"/>
      <c r="EH92" s="1997"/>
      <c r="EI92" s="1997"/>
      <c r="EJ92" s="1997"/>
      <c r="EK92" s="1997"/>
      <c r="EL92" s="1997"/>
      <c r="EM92" s="1997"/>
      <c r="EN92" s="1997"/>
      <c r="EO92" s="1997"/>
      <c r="EP92" s="1997"/>
      <c r="EQ92" s="1997"/>
      <c r="ER92" s="1997"/>
      <c r="ES92" s="1997"/>
      <c r="ET92" s="1997"/>
      <c r="EU92" s="1997"/>
      <c r="EV92" s="1997"/>
      <c r="EW92" s="1997"/>
      <c r="EX92" s="1997"/>
      <c r="EY92" s="1997"/>
      <c r="EZ92" s="1997"/>
      <c r="FA92" s="1997"/>
      <c r="FB92" s="1997"/>
      <c r="FC92" s="1997"/>
      <c r="FD92" s="1997"/>
      <c r="FE92" s="1997"/>
      <c r="FF92" s="1997"/>
      <c r="FG92" s="1997"/>
      <c r="FH92" s="1997"/>
      <c r="FI92" s="1997"/>
      <c r="FJ92" s="1997"/>
      <c r="FK92" s="1997"/>
      <c r="FL92" s="1997"/>
      <c r="FM92" s="1997"/>
      <c r="FN92" s="1997"/>
      <c r="FO92" s="1997"/>
      <c r="FP92" s="1997"/>
      <c r="FQ92" s="1997"/>
      <c r="FR92" s="1997"/>
      <c r="FS92" s="1997"/>
      <c r="FT92" s="1997"/>
      <c r="FU92" s="1997"/>
      <c r="FV92" s="1997"/>
      <c r="FW92" s="1997"/>
      <c r="FX92" s="1997"/>
      <c r="FY92" s="1997"/>
      <c r="FZ92" s="1997"/>
      <c r="GA92" s="1997"/>
      <c r="GB92" s="1997"/>
      <c r="GC92" s="1997"/>
      <c r="GD92" s="1997"/>
      <c r="GE92" s="1997"/>
      <c r="GF92" s="1997"/>
      <c r="GG92" s="1997"/>
      <c r="GH92" s="1997"/>
      <c r="GI92" s="1997"/>
      <c r="GJ92" s="1997"/>
      <c r="GK92" s="1997"/>
      <c r="GL92" s="1997"/>
      <c r="GM92" s="1997"/>
      <c r="GN92" s="1997"/>
      <c r="GO92" s="1997"/>
      <c r="GP92" s="1997"/>
      <c r="GQ92" s="1997"/>
      <c r="GR92" s="1997"/>
      <c r="GS92" s="1997"/>
      <c r="GT92" s="1997"/>
      <c r="GU92" s="1997"/>
      <c r="GV92" s="1997"/>
      <c r="GW92" s="1997"/>
      <c r="GX92" s="1997"/>
      <c r="GY92" s="1997"/>
      <c r="GZ92" s="1997"/>
      <c r="HA92" s="1997"/>
      <c r="HB92" s="1997"/>
      <c r="HC92" s="1997"/>
      <c r="HD92" s="1997"/>
      <c r="HE92" s="1997"/>
      <c r="HF92" s="1997"/>
      <c r="HG92" s="1997"/>
      <c r="HH92" s="1997"/>
      <c r="HI92" s="1997"/>
      <c r="HJ92" s="1997"/>
      <c r="HK92" s="1997"/>
      <c r="HL92" s="1997"/>
      <c r="HM92" s="1997"/>
      <c r="HN92" s="1997"/>
      <c r="HO92" s="1997"/>
      <c r="HP92" s="1997"/>
      <c r="HQ92" s="1997"/>
      <c r="HR92" s="1997"/>
      <c r="HS92" s="1997"/>
      <c r="HT92" s="1997"/>
      <c r="HU92" s="1997"/>
      <c r="HV92" s="1997"/>
      <c r="HW92" s="1997"/>
      <c r="HX92" s="1997"/>
      <c r="HY92" s="1997"/>
      <c r="HZ92" s="1997"/>
      <c r="IA92" s="1997"/>
      <c r="IB92" s="1997"/>
      <c r="IC92" s="1997"/>
      <c r="ID92" s="1997"/>
      <c r="IE92" s="1997"/>
      <c r="IF92" s="1997"/>
      <c r="IG92" s="1997"/>
      <c r="IH92" s="1997"/>
      <c r="II92" s="1997"/>
      <c r="IJ92" s="1997"/>
      <c r="IK92" s="1997"/>
      <c r="IL92" s="1997"/>
      <c r="IM92" s="1997"/>
      <c r="IN92" s="1997"/>
      <c r="IO92" s="1997"/>
      <c r="IP92" s="1997"/>
      <c r="IQ92" s="1997"/>
    </row>
    <row r="93" spans="1:251" hidden="1">
      <c r="A93" s="1993"/>
      <c r="B93" s="1998"/>
      <c r="C93" s="1998"/>
      <c r="D93" s="2034"/>
      <c r="E93" s="1998"/>
      <c r="F93" s="1940">
        <f t="shared" si="32"/>
        <v>0</v>
      </c>
      <c r="G93" s="1993"/>
      <c r="H93" s="1940">
        <f t="shared" si="33"/>
        <v>0</v>
      </c>
      <c r="I93" s="1993"/>
      <c r="J93" s="1940">
        <f t="shared" si="34"/>
        <v>0</v>
      </c>
      <c r="K93" s="1993"/>
      <c r="L93" s="1940">
        <f t="shared" si="35"/>
        <v>0</v>
      </c>
      <c r="M93" s="1940">
        <f t="shared" si="36"/>
        <v>0</v>
      </c>
      <c r="N93" s="1940">
        <f t="shared" si="37"/>
        <v>0</v>
      </c>
      <c r="O93" s="1993"/>
      <c r="P93" s="1993"/>
      <c r="Q93" s="1940">
        <f t="shared" si="38"/>
        <v>0</v>
      </c>
      <c r="R93" s="1940">
        <f t="shared" si="39"/>
        <v>0</v>
      </c>
      <c r="S93" s="1940">
        <f t="shared" si="40"/>
        <v>0</v>
      </c>
      <c r="T93" s="1940">
        <f t="shared" si="41"/>
        <v>0</v>
      </c>
      <c r="U93" s="1940">
        <f t="shared" si="42"/>
        <v>0</v>
      </c>
      <c r="V93" s="1997"/>
      <c r="W93" s="1997"/>
      <c r="X93" s="1997"/>
      <c r="Y93" s="1997"/>
      <c r="Z93" s="1997"/>
      <c r="AA93" s="1997"/>
      <c r="AB93" s="1997"/>
      <c r="AC93" s="1997"/>
      <c r="AD93" s="1997"/>
      <c r="AE93" s="1997"/>
      <c r="AF93" s="1997"/>
      <c r="AG93" s="1997"/>
      <c r="AH93" s="1997"/>
      <c r="AI93" s="1997"/>
      <c r="AJ93" s="1997"/>
      <c r="AK93" s="1997"/>
      <c r="AL93" s="1997"/>
      <c r="AM93" s="1997"/>
      <c r="AN93" s="1997"/>
      <c r="AO93" s="1997"/>
      <c r="AP93" s="1997"/>
      <c r="AQ93" s="1997"/>
      <c r="AR93" s="1997"/>
      <c r="AS93" s="1997"/>
      <c r="AT93" s="1997"/>
      <c r="AU93" s="1997"/>
      <c r="AV93" s="1997"/>
      <c r="AW93" s="1997"/>
      <c r="AX93" s="1997"/>
      <c r="AY93" s="1997"/>
      <c r="AZ93" s="1997"/>
      <c r="BA93" s="1997"/>
      <c r="BB93" s="1997"/>
      <c r="BC93" s="1997"/>
      <c r="BD93" s="1997"/>
      <c r="BE93" s="1997"/>
      <c r="BF93" s="1997"/>
      <c r="BG93" s="1997"/>
      <c r="BH93" s="1997"/>
      <c r="BI93" s="1997"/>
      <c r="BJ93" s="1997"/>
      <c r="BK93" s="1997"/>
      <c r="BL93" s="1997"/>
      <c r="BM93" s="1997"/>
      <c r="BN93" s="1997"/>
      <c r="BO93" s="1997"/>
      <c r="BP93" s="1997"/>
      <c r="BQ93" s="1997"/>
      <c r="BR93" s="1997"/>
      <c r="BS93" s="1997"/>
      <c r="BT93" s="1997"/>
      <c r="BU93" s="1997"/>
      <c r="BV93" s="1997"/>
      <c r="BW93" s="1997"/>
      <c r="BX93" s="1997"/>
      <c r="BY93" s="1997"/>
      <c r="BZ93" s="1997"/>
      <c r="CA93" s="1997"/>
      <c r="CB93" s="1997"/>
      <c r="CC93" s="1997"/>
      <c r="CD93" s="1997"/>
      <c r="CE93" s="1997"/>
      <c r="CF93" s="1997"/>
      <c r="CG93" s="1997"/>
      <c r="CH93" s="1997"/>
      <c r="CI93" s="1997"/>
      <c r="CJ93" s="1997"/>
      <c r="CK93" s="1997"/>
      <c r="CL93" s="1997"/>
      <c r="CM93" s="1997"/>
      <c r="CN93" s="1997"/>
      <c r="CO93" s="1997"/>
      <c r="CP93" s="1997"/>
      <c r="CQ93" s="1997"/>
      <c r="CR93" s="1997"/>
      <c r="CS93" s="1997"/>
      <c r="CT93" s="1997"/>
      <c r="CU93" s="1997"/>
      <c r="CV93" s="1997"/>
      <c r="CW93" s="1997"/>
      <c r="CX93" s="1997"/>
      <c r="CY93" s="1997"/>
      <c r="CZ93" s="1997"/>
      <c r="DA93" s="1997"/>
      <c r="DB93" s="1997"/>
      <c r="DC93" s="1997"/>
      <c r="DD93" s="1997"/>
      <c r="DE93" s="1997"/>
      <c r="DF93" s="1997"/>
      <c r="DG93" s="1997"/>
      <c r="DH93" s="1997"/>
      <c r="DI93" s="1997"/>
      <c r="DJ93" s="1997"/>
      <c r="DK93" s="1997"/>
      <c r="DL93" s="1997"/>
      <c r="DM93" s="1997"/>
      <c r="DN93" s="1997"/>
      <c r="DO93" s="1997"/>
      <c r="DP93" s="1997"/>
      <c r="DQ93" s="1997"/>
      <c r="DR93" s="1997"/>
      <c r="DS93" s="1997"/>
      <c r="DT93" s="1997"/>
      <c r="DU93" s="1997"/>
      <c r="DV93" s="1997"/>
      <c r="DW93" s="1997"/>
      <c r="DX93" s="1997"/>
      <c r="DY93" s="1997"/>
      <c r="DZ93" s="1997"/>
      <c r="EA93" s="1997"/>
      <c r="EB93" s="1997"/>
      <c r="EC93" s="1997"/>
      <c r="ED93" s="1997"/>
      <c r="EE93" s="1997"/>
      <c r="EF93" s="1997"/>
      <c r="EG93" s="1997"/>
      <c r="EH93" s="1997"/>
      <c r="EI93" s="1997"/>
      <c r="EJ93" s="1997"/>
      <c r="EK93" s="1997"/>
      <c r="EL93" s="1997"/>
      <c r="EM93" s="1997"/>
      <c r="EN93" s="1997"/>
      <c r="EO93" s="1997"/>
      <c r="EP93" s="1997"/>
      <c r="EQ93" s="1997"/>
      <c r="ER93" s="1997"/>
      <c r="ES93" s="1997"/>
      <c r="ET93" s="1997"/>
      <c r="EU93" s="1997"/>
      <c r="EV93" s="1997"/>
      <c r="EW93" s="1997"/>
      <c r="EX93" s="1997"/>
      <c r="EY93" s="1997"/>
      <c r="EZ93" s="1997"/>
      <c r="FA93" s="1997"/>
      <c r="FB93" s="1997"/>
      <c r="FC93" s="1997"/>
      <c r="FD93" s="1997"/>
      <c r="FE93" s="1997"/>
      <c r="FF93" s="1997"/>
      <c r="FG93" s="1997"/>
      <c r="FH93" s="1997"/>
      <c r="FI93" s="1997"/>
      <c r="FJ93" s="1997"/>
      <c r="FK93" s="1997"/>
      <c r="FL93" s="1997"/>
      <c r="FM93" s="1997"/>
      <c r="FN93" s="1997"/>
      <c r="FO93" s="1997"/>
      <c r="FP93" s="1997"/>
      <c r="FQ93" s="1997"/>
      <c r="FR93" s="1997"/>
      <c r="FS93" s="1997"/>
      <c r="FT93" s="1997"/>
      <c r="FU93" s="1997"/>
      <c r="FV93" s="1997"/>
      <c r="FW93" s="1997"/>
      <c r="FX93" s="1997"/>
      <c r="FY93" s="1997"/>
      <c r="FZ93" s="1997"/>
      <c r="GA93" s="1997"/>
      <c r="GB93" s="1997"/>
      <c r="GC93" s="1997"/>
      <c r="GD93" s="1997"/>
      <c r="GE93" s="1997"/>
      <c r="GF93" s="1997"/>
      <c r="GG93" s="1997"/>
      <c r="GH93" s="1997"/>
      <c r="GI93" s="1997"/>
      <c r="GJ93" s="1997"/>
      <c r="GK93" s="1997"/>
      <c r="GL93" s="1997"/>
      <c r="GM93" s="1997"/>
      <c r="GN93" s="1997"/>
      <c r="GO93" s="1997"/>
      <c r="GP93" s="1997"/>
      <c r="GQ93" s="1997"/>
      <c r="GR93" s="1997"/>
      <c r="GS93" s="1997"/>
      <c r="GT93" s="1997"/>
      <c r="GU93" s="1997"/>
      <c r="GV93" s="1997"/>
      <c r="GW93" s="1997"/>
      <c r="GX93" s="1997"/>
      <c r="GY93" s="1997"/>
      <c r="GZ93" s="1997"/>
      <c r="HA93" s="1997"/>
      <c r="HB93" s="1997"/>
      <c r="HC93" s="1997"/>
      <c r="HD93" s="1997"/>
      <c r="HE93" s="1997"/>
      <c r="HF93" s="1997"/>
      <c r="HG93" s="1997"/>
      <c r="HH93" s="1997"/>
      <c r="HI93" s="1997"/>
      <c r="HJ93" s="1997"/>
      <c r="HK93" s="1997"/>
      <c r="HL93" s="1997"/>
      <c r="HM93" s="1997"/>
      <c r="HN93" s="1997"/>
      <c r="HO93" s="1997"/>
      <c r="HP93" s="1997"/>
      <c r="HQ93" s="1997"/>
      <c r="HR93" s="1997"/>
      <c r="HS93" s="1997"/>
      <c r="HT93" s="1997"/>
      <c r="HU93" s="1997"/>
      <c r="HV93" s="1997"/>
      <c r="HW93" s="1997"/>
      <c r="HX93" s="1997"/>
      <c r="HY93" s="1997"/>
      <c r="HZ93" s="1997"/>
      <c r="IA93" s="1997"/>
      <c r="IB93" s="1997"/>
      <c r="IC93" s="1997"/>
      <c r="ID93" s="1997"/>
      <c r="IE93" s="1997"/>
      <c r="IF93" s="1997"/>
      <c r="IG93" s="1997"/>
      <c r="IH93" s="1997"/>
      <c r="II93" s="1997"/>
      <c r="IJ93" s="1997"/>
      <c r="IK93" s="1997"/>
      <c r="IL93" s="1997"/>
      <c r="IM93" s="1997"/>
      <c r="IN93" s="1997"/>
      <c r="IO93" s="1997"/>
      <c r="IP93" s="1997"/>
      <c r="IQ93" s="1997"/>
    </row>
    <row r="94" spans="1:251" hidden="1">
      <c r="A94" s="1993"/>
      <c r="B94" s="1998"/>
      <c r="C94" s="1998"/>
      <c r="D94" s="2034"/>
      <c r="E94" s="1998"/>
      <c r="F94" s="1940">
        <f t="shared" si="32"/>
        <v>0</v>
      </c>
      <c r="G94" s="1993"/>
      <c r="H94" s="1940">
        <f t="shared" si="33"/>
        <v>0</v>
      </c>
      <c r="I94" s="1993"/>
      <c r="J94" s="1940">
        <f t="shared" si="34"/>
        <v>0</v>
      </c>
      <c r="K94" s="1993"/>
      <c r="L94" s="1940">
        <f t="shared" si="35"/>
        <v>0</v>
      </c>
      <c r="M94" s="1940">
        <f t="shared" si="36"/>
        <v>0</v>
      </c>
      <c r="N94" s="1940">
        <f t="shared" si="37"/>
        <v>0</v>
      </c>
      <c r="O94" s="1993"/>
      <c r="P94" s="1993"/>
      <c r="Q94" s="1940">
        <f t="shared" si="38"/>
        <v>0</v>
      </c>
      <c r="R94" s="1940">
        <f t="shared" si="39"/>
        <v>0</v>
      </c>
      <c r="S94" s="1940">
        <f t="shared" si="40"/>
        <v>0</v>
      </c>
      <c r="T94" s="1940">
        <f t="shared" si="41"/>
        <v>0</v>
      </c>
      <c r="U94" s="1940">
        <f t="shared" si="42"/>
        <v>0</v>
      </c>
      <c r="V94" s="1997"/>
      <c r="W94" s="1997"/>
      <c r="X94" s="1997"/>
      <c r="Y94" s="1997"/>
      <c r="Z94" s="1997"/>
      <c r="AA94" s="1997"/>
      <c r="AB94" s="1997"/>
      <c r="AC94" s="1997"/>
      <c r="AD94" s="1997"/>
      <c r="AE94" s="1997"/>
      <c r="AF94" s="1997"/>
      <c r="AG94" s="1997"/>
      <c r="AH94" s="1997"/>
      <c r="AI94" s="1997"/>
      <c r="AJ94" s="1997"/>
      <c r="AK94" s="1997"/>
      <c r="AL94" s="1997"/>
      <c r="AM94" s="1997"/>
      <c r="AN94" s="1997"/>
      <c r="AO94" s="1997"/>
      <c r="AP94" s="1997"/>
      <c r="AQ94" s="1997"/>
      <c r="AR94" s="1997"/>
      <c r="AS94" s="1997"/>
      <c r="AT94" s="1997"/>
      <c r="AU94" s="1997"/>
      <c r="AV94" s="1997"/>
      <c r="AW94" s="1997"/>
      <c r="AX94" s="1997"/>
      <c r="AY94" s="1997"/>
      <c r="AZ94" s="1997"/>
      <c r="BA94" s="1997"/>
      <c r="BB94" s="1997"/>
      <c r="BC94" s="1997"/>
      <c r="BD94" s="1997"/>
      <c r="BE94" s="1997"/>
      <c r="BF94" s="1997"/>
      <c r="BG94" s="1997"/>
      <c r="BH94" s="1997"/>
      <c r="BI94" s="1997"/>
      <c r="BJ94" s="1997"/>
      <c r="BK94" s="1997"/>
      <c r="BL94" s="1997"/>
      <c r="BM94" s="1997"/>
      <c r="BN94" s="1997"/>
      <c r="BO94" s="1997"/>
      <c r="BP94" s="1997"/>
      <c r="BQ94" s="1997"/>
      <c r="BR94" s="1997"/>
      <c r="BS94" s="1997"/>
      <c r="BT94" s="1997"/>
      <c r="BU94" s="1997"/>
      <c r="BV94" s="1997"/>
      <c r="BW94" s="1997"/>
      <c r="BX94" s="1997"/>
      <c r="BY94" s="1997"/>
      <c r="BZ94" s="1997"/>
      <c r="CA94" s="1997"/>
      <c r="CB94" s="1997"/>
      <c r="CC94" s="1997"/>
      <c r="CD94" s="1997"/>
      <c r="CE94" s="1997"/>
      <c r="CF94" s="1997"/>
      <c r="CG94" s="1997"/>
      <c r="CH94" s="1997"/>
      <c r="CI94" s="1997"/>
      <c r="CJ94" s="1997"/>
      <c r="CK94" s="1997"/>
      <c r="CL94" s="1997"/>
      <c r="CM94" s="1997"/>
      <c r="CN94" s="1997"/>
      <c r="CO94" s="1997"/>
      <c r="CP94" s="1997"/>
      <c r="CQ94" s="1997"/>
      <c r="CR94" s="1997"/>
      <c r="CS94" s="1997"/>
      <c r="CT94" s="1997"/>
      <c r="CU94" s="1997"/>
      <c r="CV94" s="1997"/>
      <c r="CW94" s="1997"/>
      <c r="CX94" s="1997"/>
      <c r="CY94" s="1997"/>
      <c r="CZ94" s="1997"/>
      <c r="DA94" s="1997"/>
      <c r="DB94" s="1997"/>
      <c r="DC94" s="1997"/>
      <c r="DD94" s="1997"/>
      <c r="DE94" s="1997"/>
      <c r="DF94" s="1997"/>
      <c r="DG94" s="1997"/>
      <c r="DH94" s="1997"/>
      <c r="DI94" s="1997"/>
      <c r="DJ94" s="1997"/>
      <c r="DK94" s="1997"/>
      <c r="DL94" s="1997"/>
      <c r="DM94" s="1997"/>
      <c r="DN94" s="1997"/>
      <c r="DO94" s="1997"/>
      <c r="DP94" s="1997"/>
      <c r="DQ94" s="1997"/>
      <c r="DR94" s="1997"/>
      <c r="DS94" s="1997"/>
      <c r="DT94" s="1997"/>
      <c r="DU94" s="1997"/>
      <c r="DV94" s="1997"/>
      <c r="DW94" s="1997"/>
      <c r="DX94" s="1997"/>
      <c r="DY94" s="1997"/>
      <c r="DZ94" s="1997"/>
      <c r="EA94" s="1997"/>
      <c r="EB94" s="1997"/>
      <c r="EC94" s="1997"/>
      <c r="ED94" s="1997"/>
      <c r="EE94" s="1997"/>
      <c r="EF94" s="1997"/>
      <c r="EG94" s="1997"/>
      <c r="EH94" s="1997"/>
      <c r="EI94" s="1997"/>
      <c r="EJ94" s="1997"/>
      <c r="EK94" s="1997"/>
      <c r="EL94" s="1997"/>
      <c r="EM94" s="1997"/>
      <c r="EN94" s="1997"/>
      <c r="EO94" s="1997"/>
      <c r="EP94" s="1997"/>
      <c r="EQ94" s="1997"/>
      <c r="ER94" s="1997"/>
      <c r="ES94" s="1997"/>
      <c r="ET94" s="1997"/>
      <c r="EU94" s="1997"/>
      <c r="EV94" s="1997"/>
      <c r="EW94" s="1997"/>
      <c r="EX94" s="1997"/>
      <c r="EY94" s="1997"/>
      <c r="EZ94" s="1997"/>
      <c r="FA94" s="1997"/>
      <c r="FB94" s="1997"/>
      <c r="FC94" s="1997"/>
      <c r="FD94" s="1997"/>
      <c r="FE94" s="1997"/>
      <c r="FF94" s="1997"/>
      <c r="FG94" s="1997"/>
      <c r="FH94" s="1997"/>
      <c r="FI94" s="1997"/>
      <c r="FJ94" s="1997"/>
      <c r="FK94" s="1997"/>
      <c r="FL94" s="1997"/>
      <c r="FM94" s="1997"/>
      <c r="FN94" s="1997"/>
      <c r="FO94" s="1997"/>
      <c r="FP94" s="1997"/>
      <c r="FQ94" s="1997"/>
      <c r="FR94" s="1997"/>
      <c r="FS94" s="1997"/>
      <c r="FT94" s="1997"/>
      <c r="FU94" s="1997"/>
      <c r="FV94" s="1997"/>
      <c r="FW94" s="1997"/>
      <c r="FX94" s="1997"/>
      <c r="FY94" s="1997"/>
      <c r="FZ94" s="1997"/>
      <c r="GA94" s="1997"/>
      <c r="GB94" s="1997"/>
      <c r="GC94" s="1997"/>
      <c r="GD94" s="1997"/>
      <c r="GE94" s="1997"/>
      <c r="GF94" s="1997"/>
      <c r="GG94" s="1997"/>
      <c r="GH94" s="1997"/>
      <c r="GI94" s="1997"/>
      <c r="GJ94" s="1997"/>
      <c r="GK94" s="1997"/>
      <c r="GL94" s="1997"/>
      <c r="GM94" s="1997"/>
      <c r="GN94" s="1997"/>
      <c r="GO94" s="1997"/>
      <c r="GP94" s="1997"/>
      <c r="GQ94" s="1997"/>
      <c r="GR94" s="1997"/>
      <c r="GS94" s="1997"/>
      <c r="GT94" s="1997"/>
      <c r="GU94" s="1997"/>
      <c r="GV94" s="1997"/>
      <c r="GW94" s="1997"/>
      <c r="GX94" s="1997"/>
      <c r="GY94" s="1997"/>
      <c r="GZ94" s="1997"/>
      <c r="HA94" s="1997"/>
      <c r="HB94" s="1997"/>
      <c r="HC94" s="1997"/>
      <c r="HD94" s="1997"/>
      <c r="HE94" s="1997"/>
      <c r="HF94" s="1997"/>
      <c r="HG94" s="1997"/>
      <c r="HH94" s="1997"/>
      <c r="HI94" s="1997"/>
      <c r="HJ94" s="1997"/>
      <c r="HK94" s="1997"/>
      <c r="HL94" s="1997"/>
      <c r="HM94" s="1997"/>
      <c r="HN94" s="1997"/>
      <c r="HO94" s="1997"/>
      <c r="HP94" s="1997"/>
      <c r="HQ94" s="1997"/>
      <c r="HR94" s="1997"/>
      <c r="HS94" s="1997"/>
      <c r="HT94" s="1997"/>
      <c r="HU94" s="1997"/>
      <c r="HV94" s="1997"/>
      <c r="HW94" s="1997"/>
      <c r="HX94" s="1997"/>
      <c r="HY94" s="1997"/>
      <c r="HZ94" s="1997"/>
      <c r="IA94" s="1997"/>
      <c r="IB94" s="1997"/>
      <c r="IC94" s="1997"/>
      <c r="ID94" s="1997"/>
      <c r="IE94" s="1997"/>
      <c r="IF94" s="1997"/>
      <c r="IG94" s="1997"/>
      <c r="IH94" s="1997"/>
      <c r="II94" s="1997"/>
      <c r="IJ94" s="1997"/>
      <c r="IK94" s="1997"/>
      <c r="IL94" s="1997"/>
      <c r="IM94" s="1997"/>
      <c r="IN94" s="1997"/>
      <c r="IO94" s="1997"/>
      <c r="IP94" s="1997"/>
      <c r="IQ94" s="1997"/>
    </row>
    <row r="95" spans="1:251" hidden="1">
      <c r="A95" s="1993"/>
      <c r="B95" s="1998"/>
      <c r="C95" s="1998"/>
      <c r="D95" s="2034"/>
      <c r="E95" s="1998"/>
      <c r="F95" s="1940">
        <f t="shared" si="32"/>
        <v>0</v>
      </c>
      <c r="G95" s="1993"/>
      <c r="H95" s="1940">
        <f t="shared" si="33"/>
        <v>0</v>
      </c>
      <c r="I95" s="1993"/>
      <c r="J95" s="1940">
        <f t="shared" si="34"/>
        <v>0</v>
      </c>
      <c r="K95" s="1993"/>
      <c r="L95" s="1940">
        <f t="shared" si="35"/>
        <v>0</v>
      </c>
      <c r="M95" s="1940">
        <f t="shared" si="36"/>
        <v>0</v>
      </c>
      <c r="N95" s="1940">
        <f t="shared" si="37"/>
        <v>0</v>
      </c>
      <c r="O95" s="1993"/>
      <c r="P95" s="1993"/>
      <c r="Q95" s="1940">
        <f t="shared" si="38"/>
        <v>0</v>
      </c>
      <c r="R95" s="1940">
        <f t="shared" si="39"/>
        <v>0</v>
      </c>
      <c r="S95" s="1940">
        <f t="shared" si="40"/>
        <v>0</v>
      </c>
      <c r="T95" s="1940">
        <f t="shared" si="41"/>
        <v>0</v>
      </c>
      <c r="U95" s="1940">
        <f t="shared" si="42"/>
        <v>0</v>
      </c>
      <c r="V95" s="1997"/>
      <c r="W95" s="1997"/>
      <c r="X95" s="1997"/>
      <c r="Y95" s="1997"/>
      <c r="Z95" s="1997"/>
      <c r="AA95" s="1997"/>
      <c r="AB95" s="1997"/>
      <c r="AC95" s="1997"/>
      <c r="AD95" s="1997"/>
      <c r="AE95" s="1997"/>
      <c r="AF95" s="1997"/>
      <c r="AG95" s="1997"/>
      <c r="AH95" s="1997"/>
      <c r="AI95" s="1997"/>
      <c r="AJ95" s="1997"/>
      <c r="AK95" s="1997"/>
      <c r="AL95" s="1997"/>
      <c r="AM95" s="1997"/>
      <c r="AN95" s="1997"/>
      <c r="AO95" s="1997"/>
      <c r="AP95" s="1997"/>
      <c r="AQ95" s="1997"/>
      <c r="AR95" s="1997"/>
      <c r="AS95" s="1997"/>
      <c r="AT95" s="1997"/>
      <c r="AU95" s="1997"/>
      <c r="AV95" s="1997"/>
      <c r="AW95" s="1997"/>
      <c r="AX95" s="1997"/>
      <c r="AY95" s="1997"/>
      <c r="AZ95" s="1997"/>
      <c r="BA95" s="1997"/>
      <c r="BB95" s="1997"/>
      <c r="BC95" s="1997"/>
      <c r="BD95" s="1997"/>
      <c r="BE95" s="1997"/>
      <c r="BF95" s="1997"/>
      <c r="BG95" s="1997"/>
      <c r="BH95" s="1997"/>
      <c r="BI95" s="1997"/>
      <c r="BJ95" s="1997"/>
      <c r="BK95" s="1997"/>
      <c r="BL95" s="1997"/>
      <c r="BM95" s="1997"/>
      <c r="BN95" s="1997"/>
      <c r="BO95" s="1997"/>
      <c r="BP95" s="1997"/>
      <c r="BQ95" s="1997"/>
      <c r="BR95" s="1997"/>
      <c r="BS95" s="1997"/>
      <c r="BT95" s="1997"/>
      <c r="BU95" s="1997"/>
      <c r="BV95" s="1997"/>
      <c r="BW95" s="1997"/>
      <c r="BX95" s="1997"/>
      <c r="BY95" s="1997"/>
      <c r="BZ95" s="1997"/>
      <c r="CA95" s="1997"/>
      <c r="CB95" s="1997"/>
      <c r="CC95" s="1997"/>
      <c r="CD95" s="1997"/>
      <c r="CE95" s="1997"/>
      <c r="CF95" s="1997"/>
      <c r="CG95" s="1997"/>
      <c r="CH95" s="1997"/>
      <c r="CI95" s="1997"/>
      <c r="CJ95" s="1997"/>
      <c r="CK95" s="1997"/>
      <c r="CL95" s="1997"/>
      <c r="CM95" s="1997"/>
      <c r="CN95" s="1997"/>
      <c r="CO95" s="1997"/>
      <c r="CP95" s="1997"/>
      <c r="CQ95" s="1997"/>
      <c r="CR95" s="1997"/>
      <c r="CS95" s="1997"/>
      <c r="CT95" s="1997"/>
      <c r="CU95" s="1997"/>
      <c r="CV95" s="1997"/>
      <c r="CW95" s="1997"/>
      <c r="CX95" s="1997"/>
      <c r="CY95" s="1997"/>
      <c r="CZ95" s="1997"/>
      <c r="DA95" s="1997"/>
      <c r="DB95" s="1997"/>
      <c r="DC95" s="1997"/>
      <c r="DD95" s="1997"/>
      <c r="DE95" s="1997"/>
      <c r="DF95" s="1997"/>
      <c r="DG95" s="1997"/>
      <c r="DH95" s="1997"/>
      <c r="DI95" s="1997"/>
      <c r="DJ95" s="1997"/>
      <c r="DK95" s="1997"/>
      <c r="DL95" s="1997"/>
      <c r="DM95" s="1997"/>
      <c r="DN95" s="1997"/>
      <c r="DO95" s="1997"/>
      <c r="DP95" s="1997"/>
      <c r="DQ95" s="1997"/>
      <c r="DR95" s="1997"/>
      <c r="DS95" s="1997"/>
      <c r="DT95" s="1997"/>
      <c r="DU95" s="1997"/>
      <c r="DV95" s="1997"/>
      <c r="DW95" s="1997"/>
      <c r="DX95" s="1997"/>
      <c r="DY95" s="1997"/>
      <c r="DZ95" s="1997"/>
      <c r="EA95" s="1997"/>
      <c r="EB95" s="1997"/>
      <c r="EC95" s="1997"/>
      <c r="ED95" s="1997"/>
      <c r="EE95" s="1997"/>
      <c r="EF95" s="1997"/>
      <c r="EG95" s="1997"/>
      <c r="EH95" s="1997"/>
      <c r="EI95" s="1997"/>
      <c r="EJ95" s="1997"/>
      <c r="EK95" s="1997"/>
      <c r="EL95" s="1997"/>
      <c r="EM95" s="1997"/>
      <c r="EN95" s="1997"/>
      <c r="EO95" s="1997"/>
      <c r="EP95" s="1997"/>
      <c r="EQ95" s="1997"/>
      <c r="ER95" s="1997"/>
      <c r="ES95" s="1997"/>
      <c r="ET95" s="1997"/>
      <c r="EU95" s="1997"/>
      <c r="EV95" s="1997"/>
      <c r="EW95" s="1997"/>
      <c r="EX95" s="1997"/>
      <c r="EY95" s="1997"/>
      <c r="EZ95" s="1997"/>
      <c r="FA95" s="1997"/>
      <c r="FB95" s="1997"/>
      <c r="FC95" s="1997"/>
      <c r="FD95" s="1997"/>
      <c r="FE95" s="1997"/>
      <c r="FF95" s="1997"/>
      <c r="FG95" s="1997"/>
      <c r="FH95" s="1997"/>
      <c r="FI95" s="1997"/>
      <c r="FJ95" s="1997"/>
      <c r="FK95" s="1997"/>
      <c r="FL95" s="1997"/>
      <c r="FM95" s="1997"/>
      <c r="FN95" s="1997"/>
      <c r="FO95" s="1997"/>
      <c r="FP95" s="1997"/>
      <c r="FQ95" s="1997"/>
      <c r="FR95" s="1997"/>
      <c r="FS95" s="1997"/>
      <c r="FT95" s="1997"/>
      <c r="FU95" s="1997"/>
      <c r="FV95" s="1997"/>
      <c r="FW95" s="1997"/>
      <c r="FX95" s="1997"/>
      <c r="FY95" s="1997"/>
      <c r="FZ95" s="1997"/>
      <c r="GA95" s="1997"/>
      <c r="GB95" s="1997"/>
      <c r="GC95" s="1997"/>
      <c r="GD95" s="1997"/>
      <c r="GE95" s="1997"/>
      <c r="GF95" s="1997"/>
      <c r="GG95" s="1997"/>
      <c r="GH95" s="1997"/>
      <c r="GI95" s="1997"/>
      <c r="GJ95" s="1997"/>
      <c r="GK95" s="1997"/>
      <c r="GL95" s="1997"/>
      <c r="GM95" s="1997"/>
      <c r="GN95" s="1997"/>
      <c r="GO95" s="1997"/>
      <c r="GP95" s="1997"/>
      <c r="GQ95" s="1997"/>
      <c r="GR95" s="1997"/>
      <c r="GS95" s="1997"/>
      <c r="GT95" s="1997"/>
      <c r="GU95" s="1997"/>
      <c r="GV95" s="1997"/>
      <c r="GW95" s="1997"/>
      <c r="GX95" s="1997"/>
      <c r="GY95" s="1997"/>
      <c r="GZ95" s="1997"/>
      <c r="HA95" s="1997"/>
      <c r="HB95" s="1997"/>
      <c r="HC95" s="1997"/>
      <c r="HD95" s="1997"/>
      <c r="HE95" s="1997"/>
      <c r="HF95" s="1997"/>
      <c r="HG95" s="1997"/>
      <c r="HH95" s="1997"/>
      <c r="HI95" s="1997"/>
      <c r="HJ95" s="1997"/>
      <c r="HK95" s="1997"/>
      <c r="HL95" s="1997"/>
      <c r="HM95" s="1997"/>
      <c r="HN95" s="1997"/>
      <c r="HO95" s="1997"/>
      <c r="HP95" s="1997"/>
      <c r="HQ95" s="1997"/>
      <c r="HR95" s="1997"/>
      <c r="HS95" s="1997"/>
      <c r="HT95" s="1997"/>
      <c r="HU95" s="1997"/>
      <c r="HV95" s="1997"/>
      <c r="HW95" s="1997"/>
      <c r="HX95" s="1997"/>
      <c r="HY95" s="1997"/>
      <c r="HZ95" s="1997"/>
      <c r="IA95" s="1997"/>
      <c r="IB95" s="1997"/>
      <c r="IC95" s="1997"/>
      <c r="ID95" s="1997"/>
      <c r="IE95" s="1997"/>
      <c r="IF95" s="1997"/>
      <c r="IG95" s="1997"/>
      <c r="IH95" s="1997"/>
      <c r="II95" s="1997"/>
      <c r="IJ95" s="1997"/>
      <c r="IK95" s="1997"/>
      <c r="IL95" s="1997"/>
      <c r="IM95" s="1997"/>
      <c r="IN95" s="1997"/>
      <c r="IO95" s="1997"/>
      <c r="IP95" s="1997"/>
      <c r="IQ95" s="1997"/>
    </row>
    <row r="96" spans="1:251" hidden="1">
      <c r="A96" s="1993"/>
      <c r="B96" s="1998"/>
      <c r="C96" s="1998"/>
      <c r="D96" s="2034"/>
      <c r="E96" s="1998"/>
      <c r="F96" s="1940">
        <f t="shared" si="32"/>
        <v>0</v>
      </c>
      <c r="G96" s="1993"/>
      <c r="H96" s="1940">
        <f t="shared" si="33"/>
        <v>0</v>
      </c>
      <c r="I96" s="1993"/>
      <c r="J96" s="1940">
        <f t="shared" si="34"/>
        <v>0</v>
      </c>
      <c r="K96" s="1993"/>
      <c r="L96" s="1940">
        <f t="shared" si="35"/>
        <v>0</v>
      </c>
      <c r="M96" s="1940">
        <f t="shared" si="36"/>
        <v>0</v>
      </c>
      <c r="N96" s="1940">
        <f t="shared" si="37"/>
        <v>0</v>
      </c>
      <c r="O96" s="1993"/>
      <c r="P96" s="1993"/>
      <c r="Q96" s="1940">
        <f t="shared" si="38"/>
        <v>0</v>
      </c>
      <c r="R96" s="1940">
        <f t="shared" si="39"/>
        <v>0</v>
      </c>
      <c r="S96" s="1940">
        <f t="shared" si="40"/>
        <v>0</v>
      </c>
      <c r="T96" s="1940">
        <f t="shared" si="41"/>
        <v>0</v>
      </c>
      <c r="U96" s="1940">
        <f t="shared" si="42"/>
        <v>0</v>
      </c>
      <c r="V96" s="1997"/>
      <c r="W96" s="1997"/>
      <c r="X96" s="1997"/>
      <c r="Y96" s="1997"/>
      <c r="Z96" s="1997"/>
      <c r="AA96" s="1997"/>
      <c r="AB96" s="1997"/>
      <c r="AC96" s="1997"/>
      <c r="AD96" s="1997"/>
      <c r="AE96" s="1997"/>
      <c r="AF96" s="1997"/>
      <c r="AG96" s="1997"/>
      <c r="AH96" s="1997"/>
      <c r="AI96" s="1997"/>
      <c r="AJ96" s="1997"/>
      <c r="AK96" s="1997"/>
      <c r="AL96" s="1997"/>
      <c r="AM96" s="1997"/>
      <c r="AN96" s="1997"/>
      <c r="AO96" s="1997"/>
      <c r="AP96" s="1997"/>
      <c r="AQ96" s="1997"/>
      <c r="AR96" s="1997"/>
      <c r="AS96" s="1997"/>
      <c r="AT96" s="1997"/>
      <c r="AU96" s="1997"/>
      <c r="AV96" s="1997"/>
      <c r="AW96" s="1997"/>
      <c r="AX96" s="1997"/>
      <c r="AY96" s="1997"/>
      <c r="AZ96" s="1997"/>
      <c r="BA96" s="1997"/>
      <c r="BB96" s="1997"/>
      <c r="BC96" s="1997"/>
      <c r="BD96" s="1997"/>
      <c r="BE96" s="1997"/>
      <c r="BF96" s="1997"/>
      <c r="BG96" s="1997"/>
      <c r="BH96" s="1997"/>
      <c r="BI96" s="1997"/>
      <c r="BJ96" s="1997"/>
      <c r="BK96" s="1997"/>
      <c r="BL96" s="1997"/>
      <c r="BM96" s="1997"/>
      <c r="BN96" s="1997"/>
      <c r="BO96" s="1997"/>
      <c r="BP96" s="1997"/>
      <c r="BQ96" s="1997"/>
      <c r="BR96" s="1997"/>
      <c r="BS96" s="1997"/>
      <c r="BT96" s="1997"/>
      <c r="BU96" s="1997"/>
      <c r="BV96" s="1997"/>
      <c r="BW96" s="1997"/>
      <c r="BX96" s="1997"/>
      <c r="BY96" s="1997"/>
      <c r="BZ96" s="1997"/>
      <c r="CA96" s="1997"/>
      <c r="CB96" s="1997"/>
      <c r="CC96" s="1997"/>
      <c r="CD96" s="1997"/>
      <c r="CE96" s="1997"/>
      <c r="CF96" s="1997"/>
      <c r="CG96" s="1997"/>
      <c r="CH96" s="1997"/>
      <c r="CI96" s="1997"/>
      <c r="CJ96" s="1997"/>
      <c r="CK96" s="1997"/>
      <c r="CL96" s="1997"/>
      <c r="CM96" s="1997"/>
      <c r="CN96" s="1997"/>
      <c r="CO96" s="1997"/>
      <c r="CP96" s="1997"/>
      <c r="CQ96" s="1997"/>
      <c r="CR96" s="1997"/>
      <c r="CS96" s="1997"/>
      <c r="CT96" s="1997"/>
      <c r="CU96" s="1997"/>
      <c r="CV96" s="1997"/>
      <c r="CW96" s="1997"/>
      <c r="CX96" s="1997"/>
      <c r="CY96" s="1997"/>
      <c r="CZ96" s="1997"/>
      <c r="DA96" s="1997"/>
      <c r="DB96" s="1997"/>
      <c r="DC96" s="1997"/>
      <c r="DD96" s="1997"/>
      <c r="DE96" s="1997"/>
      <c r="DF96" s="1997"/>
      <c r="DG96" s="1997"/>
      <c r="DH96" s="1997"/>
      <c r="DI96" s="1997"/>
      <c r="DJ96" s="1997"/>
      <c r="DK96" s="1997"/>
      <c r="DL96" s="1997"/>
      <c r="DM96" s="1997"/>
      <c r="DN96" s="1997"/>
      <c r="DO96" s="1997"/>
      <c r="DP96" s="1997"/>
      <c r="DQ96" s="1997"/>
      <c r="DR96" s="1997"/>
      <c r="DS96" s="1997"/>
      <c r="DT96" s="1997"/>
      <c r="DU96" s="1997"/>
      <c r="DV96" s="1997"/>
      <c r="DW96" s="1997"/>
      <c r="DX96" s="1997"/>
      <c r="DY96" s="1997"/>
      <c r="DZ96" s="1997"/>
      <c r="EA96" s="1997"/>
      <c r="EB96" s="1997"/>
      <c r="EC96" s="1997"/>
      <c r="ED96" s="1997"/>
      <c r="EE96" s="1997"/>
      <c r="EF96" s="1997"/>
      <c r="EG96" s="1997"/>
      <c r="EH96" s="1997"/>
      <c r="EI96" s="1997"/>
      <c r="EJ96" s="1997"/>
      <c r="EK96" s="1997"/>
      <c r="EL96" s="1997"/>
      <c r="EM96" s="1997"/>
      <c r="EN96" s="1997"/>
      <c r="EO96" s="1997"/>
      <c r="EP96" s="1997"/>
      <c r="EQ96" s="1997"/>
      <c r="ER96" s="1997"/>
      <c r="ES96" s="1997"/>
      <c r="ET96" s="1997"/>
      <c r="EU96" s="1997"/>
      <c r="EV96" s="1997"/>
      <c r="EW96" s="1997"/>
      <c r="EX96" s="1997"/>
      <c r="EY96" s="1997"/>
      <c r="EZ96" s="1997"/>
      <c r="FA96" s="1997"/>
      <c r="FB96" s="1997"/>
      <c r="FC96" s="1997"/>
      <c r="FD96" s="1997"/>
      <c r="FE96" s="1997"/>
      <c r="FF96" s="1997"/>
      <c r="FG96" s="1997"/>
      <c r="FH96" s="1997"/>
      <c r="FI96" s="1997"/>
      <c r="FJ96" s="1997"/>
      <c r="FK96" s="1997"/>
      <c r="FL96" s="1997"/>
      <c r="FM96" s="1997"/>
      <c r="FN96" s="1997"/>
      <c r="FO96" s="1997"/>
      <c r="FP96" s="1997"/>
      <c r="FQ96" s="1997"/>
      <c r="FR96" s="1997"/>
      <c r="FS96" s="1997"/>
      <c r="FT96" s="1997"/>
      <c r="FU96" s="1997"/>
      <c r="FV96" s="1997"/>
      <c r="FW96" s="1997"/>
      <c r="FX96" s="1997"/>
      <c r="FY96" s="1997"/>
      <c r="FZ96" s="1997"/>
      <c r="GA96" s="1997"/>
      <c r="GB96" s="1997"/>
      <c r="GC96" s="1997"/>
      <c r="GD96" s="1997"/>
      <c r="GE96" s="1997"/>
      <c r="GF96" s="1997"/>
      <c r="GG96" s="1997"/>
      <c r="GH96" s="1997"/>
      <c r="GI96" s="1997"/>
      <c r="GJ96" s="1997"/>
      <c r="GK96" s="1997"/>
      <c r="GL96" s="1997"/>
      <c r="GM96" s="1997"/>
      <c r="GN96" s="1997"/>
      <c r="GO96" s="1997"/>
      <c r="GP96" s="1997"/>
      <c r="GQ96" s="1997"/>
      <c r="GR96" s="1997"/>
      <c r="GS96" s="1997"/>
      <c r="GT96" s="1997"/>
      <c r="GU96" s="1997"/>
      <c r="GV96" s="1997"/>
      <c r="GW96" s="1997"/>
      <c r="GX96" s="1997"/>
      <c r="GY96" s="1997"/>
      <c r="GZ96" s="1997"/>
      <c r="HA96" s="1997"/>
      <c r="HB96" s="1997"/>
      <c r="HC96" s="1997"/>
      <c r="HD96" s="1997"/>
      <c r="HE96" s="1997"/>
      <c r="HF96" s="1997"/>
      <c r="HG96" s="1997"/>
      <c r="HH96" s="1997"/>
      <c r="HI96" s="1997"/>
      <c r="HJ96" s="1997"/>
      <c r="HK96" s="1997"/>
      <c r="HL96" s="1997"/>
      <c r="HM96" s="1997"/>
      <c r="HN96" s="1997"/>
      <c r="HO96" s="1997"/>
      <c r="HP96" s="1997"/>
      <c r="HQ96" s="1997"/>
      <c r="HR96" s="1997"/>
      <c r="HS96" s="1997"/>
      <c r="HT96" s="1997"/>
      <c r="HU96" s="1997"/>
      <c r="HV96" s="1997"/>
      <c r="HW96" s="1997"/>
      <c r="HX96" s="1997"/>
      <c r="HY96" s="1997"/>
      <c r="HZ96" s="1997"/>
      <c r="IA96" s="1997"/>
      <c r="IB96" s="1997"/>
      <c r="IC96" s="1997"/>
      <c r="ID96" s="1997"/>
      <c r="IE96" s="1997"/>
      <c r="IF96" s="1997"/>
      <c r="IG96" s="1997"/>
      <c r="IH96" s="1997"/>
      <c r="II96" s="1997"/>
      <c r="IJ96" s="1997"/>
      <c r="IK96" s="1997"/>
      <c r="IL96" s="1997"/>
      <c r="IM96" s="1997"/>
      <c r="IN96" s="1997"/>
      <c r="IO96" s="1997"/>
      <c r="IP96" s="1997"/>
      <c r="IQ96" s="1997"/>
    </row>
    <row r="97" spans="1:251" hidden="1">
      <c r="A97" s="1993"/>
      <c r="B97" s="1998"/>
      <c r="C97" s="1998"/>
      <c r="D97" s="2034"/>
      <c r="E97" s="1998"/>
      <c r="F97" s="1940">
        <f t="shared" si="32"/>
        <v>0</v>
      </c>
      <c r="G97" s="1993"/>
      <c r="H97" s="1940">
        <f t="shared" si="33"/>
        <v>0</v>
      </c>
      <c r="I97" s="1993"/>
      <c r="J97" s="1940">
        <f t="shared" si="34"/>
        <v>0</v>
      </c>
      <c r="K97" s="1993"/>
      <c r="L97" s="1940">
        <f t="shared" si="35"/>
        <v>0</v>
      </c>
      <c r="M97" s="1940">
        <f t="shared" si="36"/>
        <v>0</v>
      </c>
      <c r="N97" s="1940">
        <f t="shared" si="37"/>
        <v>0</v>
      </c>
      <c r="O97" s="1993"/>
      <c r="P97" s="1993"/>
      <c r="Q97" s="1940">
        <f t="shared" si="38"/>
        <v>0</v>
      </c>
      <c r="R97" s="1940">
        <f t="shared" si="39"/>
        <v>0</v>
      </c>
      <c r="S97" s="1940">
        <f t="shared" si="40"/>
        <v>0</v>
      </c>
      <c r="T97" s="1940">
        <f t="shared" si="41"/>
        <v>0</v>
      </c>
      <c r="U97" s="1940">
        <f t="shared" si="42"/>
        <v>0</v>
      </c>
      <c r="V97" s="1997"/>
      <c r="W97" s="1997"/>
      <c r="X97" s="1997"/>
      <c r="Y97" s="1997"/>
      <c r="Z97" s="1997"/>
      <c r="AA97" s="1997"/>
      <c r="AB97" s="1997"/>
      <c r="AC97" s="1997"/>
      <c r="AD97" s="1997"/>
      <c r="AE97" s="1997"/>
      <c r="AF97" s="1997"/>
      <c r="AG97" s="1997"/>
      <c r="AH97" s="1997"/>
      <c r="AI97" s="1997"/>
      <c r="AJ97" s="1997"/>
      <c r="AK97" s="1997"/>
      <c r="AL97" s="1997"/>
      <c r="AM97" s="1997"/>
      <c r="AN97" s="1997"/>
      <c r="AO97" s="1997"/>
      <c r="AP97" s="1997"/>
      <c r="AQ97" s="1997"/>
      <c r="AR97" s="1997"/>
      <c r="AS97" s="1997"/>
      <c r="AT97" s="1997"/>
      <c r="AU97" s="1997"/>
      <c r="AV97" s="1997"/>
      <c r="AW97" s="1997"/>
      <c r="AX97" s="1997"/>
      <c r="AY97" s="1997"/>
      <c r="AZ97" s="1997"/>
      <c r="BA97" s="1997"/>
      <c r="BB97" s="1997"/>
      <c r="BC97" s="1997"/>
      <c r="BD97" s="1997"/>
      <c r="BE97" s="1997"/>
      <c r="BF97" s="1997"/>
      <c r="BG97" s="1997"/>
      <c r="BH97" s="1997"/>
      <c r="BI97" s="1997"/>
      <c r="BJ97" s="1997"/>
      <c r="BK97" s="1997"/>
      <c r="BL97" s="1997"/>
      <c r="BM97" s="1997"/>
      <c r="BN97" s="1997"/>
      <c r="BO97" s="1997"/>
      <c r="BP97" s="1997"/>
      <c r="BQ97" s="1997"/>
      <c r="BR97" s="1997"/>
      <c r="BS97" s="1997"/>
      <c r="BT97" s="1997"/>
      <c r="BU97" s="1997"/>
      <c r="BV97" s="1997"/>
      <c r="BW97" s="1997"/>
      <c r="BX97" s="1997"/>
      <c r="BY97" s="1997"/>
      <c r="BZ97" s="1997"/>
      <c r="CA97" s="1997"/>
      <c r="CB97" s="1997"/>
      <c r="CC97" s="1997"/>
      <c r="CD97" s="1997"/>
      <c r="CE97" s="1997"/>
      <c r="CF97" s="1997"/>
      <c r="CG97" s="1997"/>
      <c r="CH97" s="1997"/>
      <c r="CI97" s="1997"/>
      <c r="CJ97" s="1997"/>
      <c r="CK97" s="1997"/>
      <c r="CL97" s="1997"/>
      <c r="CM97" s="1997"/>
      <c r="CN97" s="1997"/>
      <c r="CO97" s="1997"/>
      <c r="CP97" s="1997"/>
      <c r="CQ97" s="1997"/>
      <c r="CR97" s="1997"/>
      <c r="CS97" s="1997"/>
      <c r="CT97" s="1997"/>
      <c r="CU97" s="1997"/>
      <c r="CV97" s="1997"/>
      <c r="CW97" s="1997"/>
      <c r="CX97" s="1997"/>
      <c r="CY97" s="1997"/>
      <c r="CZ97" s="1997"/>
      <c r="DA97" s="1997"/>
      <c r="DB97" s="1997"/>
      <c r="DC97" s="1997"/>
      <c r="DD97" s="1997"/>
      <c r="DE97" s="1997"/>
      <c r="DF97" s="1997"/>
      <c r="DG97" s="1997"/>
      <c r="DH97" s="1997"/>
      <c r="DI97" s="1997"/>
      <c r="DJ97" s="1997"/>
      <c r="DK97" s="1997"/>
      <c r="DL97" s="1997"/>
      <c r="DM97" s="1997"/>
      <c r="DN97" s="1997"/>
      <c r="DO97" s="1997"/>
      <c r="DP97" s="1997"/>
      <c r="DQ97" s="1997"/>
      <c r="DR97" s="1997"/>
      <c r="DS97" s="1997"/>
      <c r="DT97" s="1997"/>
      <c r="DU97" s="1997"/>
      <c r="DV97" s="1997"/>
      <c r="DW97" s="1997"/>
      <c r="DX97" s="1997"/>
      <c r="DY97" s="1997"/>
      <c r="DZ97" s="1997"/>
      <c r="EA97" s="1997"/>
      <c r="EB97" s="1997"/>
      <c r="EC97" s="1997"/>
      <c r="ED97" s="1997"/>
      <c r="EE97" s="1997"/>
      <c r="EF97" s="1997"/>
      <c r="EG97" s="1997"/>
      <c r="EH97" s="1997"/>
      <c r="EI97" s="1997"/>
      <c r="EJ97" s="1997"/>
      <c r="EK97" s="1997"/>
      <c r="EL97" s="1997"/>
      <c r="EM97" s="1997"/>
      <c r="EN97" s="1997"/>
      <c r="EO97" s="1997"/>
      <c r="EP97" s="1997"/>
      <c r="EQ97" s="1997"/>
      <c r="ER97" s="1997"/>
      <c r="ES97" s="1997"/>
      <c r="ET97" s="1997"/>
      <c r="EU97" s="1997"/>
      <c r="EV97" s="1997"/>
      <c r="EW97" s="1997"/>
      <c r="EX97" s="1997"/>
      <c r="EY97" s="1997"/>
      <c r="EZ97" s="1997"/>
      <c r="FA97" s="1997"/>
      <c r="FB97" s="1997"/>
      <c r="FC97" s="1997"/>
      <c r="FD97" s="1997"/>
      <c r="FE97" s="1997"/>
      <c r="FF97" s="1997"/>
      <c r="FG97" s="1997"/>
      <c r="FH97" s="1997"/>
      <c r="FI97" s="1997"/>
      <c r="FJ97" s="1997"/>
      <c r="FK97" s="1997"/>
      <c r="FL97" s="1997"/>
      <c r="FM97" s="1997"/>
      <c r="FN97" s="1997"/>
      <c r="FO97" s="1997"/>
      <c r="FP97" s="1997"/>
      <c r="FQ97" s="1997"/>
      <c r="FR97" s="1997"/>
      <c r="FS97" s="1997"/>
      <c r="FT97" s="1997"/>
      <c r="FU97" s="1997"/>
      <c r="FV97" s="1997"/>
      <c r="FW97" s="1997"/>
      <c r="FX97" s="1997"/>
      <c r="FY97" s="1997"/>
      <c r="FZ97" s="1997"/>
      <c r="GA97" s="1997"/>
      <c r="GB97" s="1997"/>
      <c r="GC97" s="1997"/>
      <c r="GD97" s="1997"/>
      <c r="GE97" s="1997"/>
      <c r="GF97" s="1997"/>
      <c r="GG97" s="1997"/>
      <c r="GH97" s="1997"/>
      <c r="GI97" s="1997"/>
      <c r="GJ97" s="1997"/>
      <c r="GK97" s="1997"/>
      <c r="GL97" s="1997"/>
      <c r="GM97" s="1997"/>
      <c r="GN97" s="1997"/>
      <c r="GO97" s="1997"/>
      <c r="GP97" s="1997"/>
      <c r="GQ97" s="1997"/>
      <c r="GR97" s="1997"/>
      <c r="GS97" s="1997"/>
      <c r="GT97" s="1997"/>
      <c r="GU97" s="1997"/>
      <c r="GV97" s="1997"/>
      <c r="GW97" s="1997"/>
      <c r="GX97" s="1997"/>
      <c r="GY97" s="1997"/>
      <c r="GZ97" s="1997"/>
      <c r="HA97" s="1997"/>
      <c r="HB97" s="1997"/>
      <c r="HC97" s="1997"/>
      <c r="HD97" s="1997"/>
      <c r="HE97" s="1997"/>
      <c r="HF97" s="1997"/>
      <c r="HG97" s="1997"/>
      <c r="HH97" s="1997"/>
      <c r="HI97" s="1997"/>
      <c r="HJ97" s="1997"/>
      <c r="HK97" s="1997"/>
      <c r="HL97" s="1997"/>
      <c r="HM97" s="1997"/>
      <c r="HN97" s="1997"/>
      <c r="HO97" s="1997"/>
      <c r="HP97" s="1997"/>
      <c r="HQ97" s="1997"/>
      <c r="HR97" s="1997"/>
      <c r="HS97" s="1997"/>
      <c r="HT97" s="1997"/>
      <c r="HU97" s="1997"/>
      <c r="HV97" s="1997"/>
      <c r="HW97" s="1997"/>
      <c r="HX97" s="1997"/>
      <c r="HY97" s="1997"/>
      <c r="HZ97" s="1997"/>
      <c r="IA97" s="1997"/>
      <c r="IB97" s="1997"/>
      <c r="IC97" s="1997"/>
      <c r="ID97" s="1997"/>
      <c r="IE97" s="1997"/>
      <c r="IF97" s="1997"/>
      <c r="IG97" s="1997"/>
      <c r="IH97" s="1997"/>
      <c r="II97" s="1997"/>
      <c r="IJ97" s="1997"/>
      <c r="IK97" s="1997"/>
      <c r="IL97" s="1997"/>
      <c r="IM97" s="1997"/>
      <c r="IN97" s="1997"/>
      <c r="IO97" s="1997"/>
      <c r="IP97" s="1997"/>
      <c r="IQ97" s="1997"/>
    </row>
    <row r="98" spans="1:251" hidden="1">
      <c r="A98" s="1993"/>
      <c r="B98" s="1998"/>
      <c r="C98" s="1998"/>
      <c r="D98" s="2034"/>
      <c r="E98" s="1998"/>
      <c r="F98" s="1940">
        <f t="shared" si="32"/>
        <v>0</v>
      </c>
      <c r="G98" s="1993"/>
      <c r="H98" s="1940">
        <f t="shared" si="33"/>
        <v>0</v>
      </c>
      <c r="I98" s="1993"/>
      <c r="J98" s="1940">
        <f t="shared" si="34"/>
        <v>0</v>
      </c>
      <c r="K98" s="1993"/>
      <c r="L98" s="1940">
        <f t="shared" si="35"/>
        <v>0</v>
      </c>
      <c r="M98" s="1940">
        <f t="shared" si="36"/>
        <v>0</v>
      </c>
      <c r="N98" s="1940">
        <f t="shared" si="37"/>
        <v>0</v>
      </c>
      <c r="O98" s="1993"/>
      <c r="P98" s="1993"/>
      <c r="Q98" s="1940">
        <f t="shared" si="38"/>
        <v>0</v>
      </c>
      <c r="R98" s="1940">
        <f t="shared" si="39"/>
        <v>0</v>
      </c>
      <c r="S98" s="1940">
        <f t="shared" si="40"/>
        <v>0</v>
      </c>
      <c r="T98" s="1940">
        <f t="shared" si="41"/>
        <v>0</v>
      </c>
      <c r="U98" s="1940">
        <f t="shared" si="42"/>
        <v>0</v>
      </c>
      <c r="V98" s="1997"/>
      <c r="W98" s="1997"/>
      <c r="X98" s="1997"/>
      <c r="Y98" s="1997"/>
      <c r="Z98" s="1997"/>
      <c r="AA98" s="1997"/>
      <c r="AB98" s="1997"/>
      <c r="AC98" s="1997"/>
      <c r="AD98" s="1997"/>
      <c r="AE98" s="1997"/>
      <c r="AF98" s="1997"/>
      <c r="AG98" s="1997"/>
      <c r="AH98" s="1997"/>
      <c r="AI98" s="1997"/>
      <c r="AJ98" s="1997"/>
      <c r="AK98" s="1997"/>
      <c r="AL98" s="1997"/>
      <c r="AM98" s="1997"/>
      <c r="AN98" s="1997"/>
      <c r="AO98" s="1997"/>
      <c r="AP98" s="1997"/>
      <c r="AQ98" s="1997"/>
      <c r="AR98" s="1997"/>
      <c r="AS98" s="1997"/>
      <c r="AT98" s="1997"/>
      <c r="AU98" s="1997"/>
      <c r="AV98" s="1997"/>
      <c r="AW98" s="1997"/>
      <c r="AX98" s="1997"/>
      <c r="AY98" s="1997"/>
      <c r="AZ98" s="1997"/>
      <c r="BA98" s="1997"/>
      <c r="BB98" s="1997"/>
      <c r="BC98" s="1997"/>
      <c r="BD98" s="1997"/>
      <c r="BE98" s="1997"/>
      <c r="BF98" s="1997"/>
      <c r="BG98" s="1997"/>
      <c r="BH98" s="1997"/>
      <c r="BI98" s="1997"/>
      <c r="BJ98" s="1997"/>
      <c r="BK98" s="1997"/>
      <c r="BL98" s="1997"/>
      <c r="BM98" s="1997"/>
      <c r="BN98" s="1997"/>
      <c r="BO98" s="1997"/>
      <c r="BP98" s="1997"/>
      <c r="BQ98" s="1997"/>
      <c r="BR98" s="1997"/>
      <c r="BS98" s="1997"/>
      <c r="BT98" s="1997"/>
      <c r="BU98" s="1997"/>
      <c r="BV98" s="1997"/>
      <c r="BW98" s="1997"/>
      <c r="BX98" s="1997"/>
      <c r="BY98" s="1997"/>
      <c r="BZ98" s="1997"/>
      <c r="CA98" s="1997"/>
      <c r="CB98" s="1997"/>
      <c r="CC98" s="1997"/>
      <c r="CD98" s="1997"/>
      <c r="CE98" s="1997"/>
      <c r="CF98" s="1997"/>
      <c r="CG98" s="1997"/>
      <c r="CH98" s="1997"/>
      <c r="CI98" s="1997"/>
      <c r="CJ98" s="1997"/>
      <c r="CK98" s="1997"/>
      <c r="CL98" s="1997"/>
      <c r="CM98" s="1997"/>
      <c r="CN98" s="1997"/>
      <c r="CO98" s="1997"/>
      <c r="CP98" s="1997"/>
      <c r="CQ98" s="1997"/>
      <c r="CR98" s="1997"/>
      <c r="CS98" s="1997"/>
      <c r="CT98" s="1997"/>
      <c r="CU98" s="1997"/>
      <c r="CV98" s="1997"/>
      <c r="CW98" s="1997"/>
      <c r="CX98" s="1997"/>
      <c r="CY98" s="1997"/>
      <c r="CZ98" s="1997"/>
      <c r="DA98" s="1997"/>
      <c r="DB98" s="1997"/>
      <c r="DC98" s="1997"/>
      <c r="DD98" s="1997"/>
      <c r="DE98" s="1997"/>
      <c r="DF98" s="1997"/>
      <c r="DG98" s="1997"/>
      <c r="DH98" s="1997"/>
      <c r="DI98" s="1997"/>
      <c r="DJ98" s="1997"/>
      <c r="DK98" s="1997"/>
      <c r="DL98" s="1997"/>
      <c r="DM98" s="1997"/>
      <c r="DN98" s="1997"/>
      <c r="DO98" s="1997"/>
      <c r="DP98" s="1997"/>
      <c r="DQ98" s="1997"/>
      <c r="DR98" s="1997"/>
      <c r="DS98" s="1997"/>
      <c r="DT98" s="1997"/>
      <c r="DU98" s="1997"/>
      <c r="DV98" s="1997"/>
      <c r="DW98" s="1997"/>
      <c r="DX98" s="1997"/>
      <c r="DY98" s="1997"/>
      <c r="DZ98" s="1997"/>
      <c r="EA98" s="1997"/>
      <c r="EB98" s="1997"/>
      <c r="EC98" s="1997"/>
      <c r="ED98" s="1997"/>
      <c r="EE98" s="1997"/>
      <c r="EF98" s="1997"/>
      <c r="EG98" s="1997"/>
      <c r="EH98" s="1997"/>
      <c r="EI98" s="1997"/>
      <c r="EJ98" s="1997"/>
      <c r="EK98" s="1997"/>
      <c r="EL98" s="1997"/>
      <c r="EM98" s="1997"/>
      <c r="EN98" s="1997"/>
      <c r="EO98" s="1997"/>
      <c r="EP98" s="1997"/>
      <c r="EQ98" s="1997"/>
      <c r="ER98" s="1997"/>
      <c r="ES98" s="1997"/>
      <c r="ET98" s="1997"/>
      <c r="EU98" s="1997"/>
      <c r="EV98" s="1997"/>
      <c r="EW98" s="1997"/>
      <c r="EX98" s="1997"/>
      <c r="EY98" s="1997"/>
      <c r="EZ98" s="1997"/>
      <c r="FA98" s="1997"/>
      <c r="FB98" s="1997"/>
      <c r="FC98" s="1997"/>
      <c r="FD98" s="1997"/>
      <c r="FE98" s="1997"/>
      <c r="FF98" s="1997"/>
      <c r="FG98" s="1997"/>
      <c r="FH98" s="1997"/>
      <c r="FI98" s="1997"/>
      <c r="FJ98" s="1997"/>
      <c r="FK98" s="1997"/>
      <c r="FL98" s="1997"/>
      <c r="FM98" s="1997"/>
      <c r="FN98" s="1997"/>
      <c r="FO98" s="1997"/>
      <c r="FP98" s="1997"/>
      <c r="FQ98" s="1997"/>
      <c r="FR98" s="1997"/>
      <c r="FS98" s="1997"/>
      <c r="FT98" s="1997"/>
      <c r="FU98" s="1997"/>
      <c r="FV98" s="1997"/>
      <c r="FW98" s="1997"/>
      <c r="FX98" s="1997"/>
      <c r="FY98" s="1997"/>
      <c r="FZ98" s="1997"/>
      <c r="GA98" s="1997"/>
      <c r="GB98" s="1997"/>
      <c r="GC98" s="1997"/>
      <c r="GD98" s="1997"/>
      <c r="GE98" s="1997"/>
      <c r="GF98" s="1997"/>
      <c r="GG98" s="1997"/>
      <c r="GH98" s="1997"/>
      <c r="GI98" s="1997"/>
      <c r="GJ98" s="1997"/>
      <c r="GK98" s="1997"/>
      <c r="GL98" s="1997"/>
      <c r="GM98" s="1997"/>
      <c r="GN98" s="1997"/>
      <c r="GO98" s="1997"/>
      <c r="GP98" s="1997"/>
      <c r="GQ98" s="1997"/>
      <c r="GR98" s="1997"/>
      <c r="GS98" s="1997"/>
      <c r="GT98" s="1997"/>
      <c r="GU98" s="1997"/>
      <c r="GV98" s="1997"/>
      <c r="GW98" s="1997"/>
      <c r="GX98" s="1997"/>
      <c r="GY98" s="1997"/>
      <c r="GZ98" s="1997"/>
      <c r="HA98" s="1997"/>
      <c r="HB98" s="1997"/>
      <c r="HC98" s="1997"/>
      <c r="HD98" s="1997"/>
      <c r="HE98" s="1997"/>
      <c r="HF98" s="1997"/>
      <c r="HG98" s="1997"/>
      <c r="HH98" s="1997"/>
      <c r="HI98" s="1997"/>
      <c r="HJ98" s="1997"/>
      <c r="HK98" s="1997"/>
      <c r="HL98" s="1997"/>
      <c r="HM98" s="1997"/>
      <c r="HN98" s="1997"/>
      <c r="HO98" s="1997"/>
      <c r="HP98" s="1997"/>
      <c r="HQ98" s="1997"/>
      <c r="HR98" s="1997"/>
      <c r="HS98" s="1997"/>
      <c r="HT98" s="1997"/>
      <c r="HU98" s="1997"/>
      <c r="HV98" s="1997"/>
      <c r="HW98" s="1997"/>
      <c r="HX98" s="1997"/>
      <c r="HY98" s="1997"/>
      <c r="HZ98" s="1997"/>
      <c r="IA98" s="1997"/>
      <c r="IB98" s="1997"/>
      <c r="IC98" s="1997"/>
      <c r="ID98" s="1997"/>
      <c r="IE98" s="1997"/>
      <c r="IF98" s="1997"/>
      <c r="IG98" s="1997"/>
      <c r="IH98" s="1997"/>
      <c r="II98" s="1997"/>
      <c r="IJ98" s="1997"/>
      <c r="IK98" s="1997"/>
      <c r="IL98" s="1997"/>
      <c r="IM98" s="1997"/>
      <c r="IN98" s="1997"/>
      <c r="IO98" s="1997"/>
      <c r="IP98" s="1997"/>
      <c r="IQ98" s="1997"/>
    </row>
    <row r="99" spans="1:251" hidden="1">
      <c r="A99" s="1993"/>
      <c r="B99" s="1998"/>
      <c r="C99" s="1998"/>
      <c r="D99" s="2034"/>
      <c r="E99" s="1998"/>
      <c r="F99" s="1940">
        <f t="shared" si="32"/>
        <v>0</v>
      </c>
      <c r="G99" s="1993"/>
      <c r="H99" s="1940">
        <f t="shared" si="33"/>
        <v>0</v>
      </c>
      <c r="I99" s="1993"/>
      <c r="J99" s="1940">
        <f t="shared" si="34"/>
        <v>0</v>
      </c>
      <c r="K99" s="1993"/>
      <c r="L99" s="1940">
        <f t="shared" si="35"/>
        <v>0</v>
      </c>
      <c r="M99" s="1940">
        <f t="shared" si="36"/>
        <v>0</v>
      </c>
      <c r="N99" s="1940">
        <f t="shared" si="37"/>
        <v>0</v>
      </c>
      <c r="O99" s="1993"/>
      <c r="P99" s="1993"/>
      <c r="Q99" s="1940">
        <f t="shared" si="38"/>
        <v>0</v>
      </c>
      <c r="R99" s="1940">
        <f t="shared" si="39"/>
        <v>0</v>
      </c>
      <c r="S99" s="1940">
        <f t="shared" si="40"/>
        <v>0</v>
      </c>
      <c r="T99" s="1940">
        <f t="shared" si="41"/>
        <v>0</v>
      </c>
      <c r="U99" s="1940">
        <f t="shared" si="42"/>
        <v>0</v>
      </c>
      <c r="V99" s="1997"/>
      <c r="W99" s="1997"/>
      <c r="X99" s="1997"/>
      <c r="Y99" s="1997"/>
      <c r="Z99" s="1997"/>
      <c r="AA99" s="1997"/>
      <c r="AB99" s="1997"/>
      <c r="AC99" s="1997"/>
      <c r="AD99" s="1997"/>
      <c r="AE99" s="1997"/>
      <c r="AF99" s="1997"/>
      <c r="AG99" s="1997"/>
      <c r="AH99" s="1997"/>
      <c r="AI99" s="1997"/>
      <c r="AJ99" s="1997"/>
      <c r="AK99" s="1997"/>
      <c r="AL99" s="1997"/>
      <c r="AM99" s="1997"/>
      <c r="AN99" s="1997"/>
      <c r="AO99" s="1997"/>
      <c r="AP99" s="1997"/>
      <c r="AQ99" s="1997"/>
      <c r="AR99" s="1997"/>
      <c r="AS99" s="1997"/>
      <c r="AT99" s="1997"/>
      <c r="AU99" s="1997"/>
      <c r="AV99" s="1997"/>
      <c r="AW99" s="1997"/>
      <c r="AX99" s="1997"/>
      <c r="AY99" s="1997"/>
      <c r="AZ99" s="1997"/>
      <c r="BA99" s="1997"/>
      <c r="BB99" s="1997"/>
      <c r="BC99" s="1997"/>
      <c r="BD99" s="1997"/>
      <c r="BE99" s="1997"/>
      <c r="BF99" s="1997"/>
      <c r="BG99" s="1997"/>
      <c r="BH99" s="1997"/>
      <c r="BI99" s="1997"/>
      <c r="BJ99" s="1997"/>
      <c r="BK99" s="1997"/>
      <c r="BL99" s="1997"/>
      <c r="BM99" s="1997"/>
      <c r="BN99" s="1997"/>
      <c r="BO99" s="1997"/>
      <c r="BP99" s="1997"/>
      <c r="BQ99" s="1997"/>
      <c r="BR99" s="1997"/>
      <c r="BS99" s="1997"/>
      <c r="BT99" s="1997"/>
      <c r="BU99" s="1997"/>
      <c r="BV99" s="1997"/>
      <c r="BW99" s="1997"/>
      <c r="BX99" s="1997"/>
      <c r="BY99" s="1997"/>
      <c r="BZ99" s="1997"/>
      <c r="CA99" s="1997"/>
      <c r="CB99" s="1997"/>
      <c r="CC99" s="1997"/>
      <c r="CD99" s="1997"/>
      <c r="CE99" s="1997"/>
      <c r="CF99" s="1997"/>
      <c r="CG99" s="1997"/>
      <c r="CH99" s="1997"/>
      <c r="CI99" s="1997"/>
      <c r="CJ99" s="1997"/>
      <c r="CK99" s="1997"/>
      <c r="CL99" s="1997"/>
      <c r="CM99" s="1997"/>
      <c r="CN99" s="1997"/>
      <c r="CO99" s="1997"/>
      <c r="CP99" s="1997"/>
      <c r="CQ99" s="1997"/>
      <c r="CR99" s="1997"/>
      <c r="CS99" s="1997"/>
      <c r="CT99" s="1997"/>
      <c r="CU99" s="1997"/>
      <c r="CV99" s="1997"/>
      <c r="CW99" s="1997"/>
      <c r="CX99" s="1997"/>
      <c r="CY99" s="1997"/>
      <c r="CZ99" s="1997"/>
      <c r="DA99" s="1997"/>
      <c r="DB99" s="1997"/>
      <c r="DC99" s="1997"/>
      <c r="DD99" s="1997"/>
      <c r="DE99" s="1997"/>
      <c r="DF99" s="1997"/>
      <c r="DG99" s="1997"/>
      <c r="DH99" s="1997"/>
      <c r="DI99" s="1997"/>
      <c r="DJ99" s="1997"/>
      <c r="DK99" s="1997"/>
      <c r="DL99" s="1997"/>
      <c r="DM99" s="1997"/>
      <c r="DN99" s="1997"/>
      <c r="DO99" s="1997"/>
      <c r="DP99" s="1997"/>
      <c r="DQ99" s="1997"/>
      <c r="DR99" s="1997"/>
      <c r="DS99" s="1997"/>
      <c r="DT99" s="1997"/>
      <c r="DU99" s="1997"/>
      <c r="DV99" s="1997"/>
      <c r="DW99" s="1997"/>
      <c r="DX99" s="1997"/>
      <c r="DY99" s="1997"/>
      <c r="DZ99" s="1997"/>
      <c r="EA99" s="1997"/>
      <c r="EB99" s="1997"/>
      <c r="EC99" s="1997"/>
      <c r="ED99" s="1997"/>
      <c r="EE99" s="1997"/>
      <c r="EF99" s="1997"/>
      <c r="EG99" s="1997"/>
      <c r="EH99" s="1997"/>
      <c r="EI99" s="1997"/>
      <c r="EJ99" s="1997"/>
      <c r="EK99" s="1997"/>
      <c r="EL99" s="1997"/>
      <c r="EM99" s="1997"/>
      <c r="EN99" s="1997"/>
      <c r="EO99" s="1997"/>
      <c r="EP99" s="1997"/>
      <c r="EQ99" s="1997"/>
      <c r="ER99" s="1997"/>
      <c r="ES99" s="1997"/>
      <c r="ET99" s="1997"/>
      <c r="EU99" s="1997"/>
      <c r="EV99" s="1997"/>
      <c r="EW99" s="1997"/>
      <c r="EX99" s="1997"/>
      <c r="EY99" s="1997"/>
      <c r="EZ99" s="1997"/>
      <c r="FA99" s="1997"/>
      <c r="FB99" s="1997"/>
      <c r="FC99" s="1997"/>
      <c r="FD99" s="1997"/>
      <c r="FE99" s="1997"/>
      <c r="FF99" s="1997"/>
      <c r="FG99" s="1997"/>
      <c r="FH99" s="1997"/>
      <c r="FI99" s="1997"/>
      <c r="FJ99" s="1997"/>
      <c r="FK99" s="1997"/>
      <c r="FL99" s="1997"/>
      <c r="FM99" s="1997"/>
      <c r="FN99" s="1997"/>
      <c r="FO99" s="1997"/>
      <c r="FP99" s="1997"/>
      <c r="FQ99" s="1997"/>
      <c r="FR99" s="1997"/>
      <c r="FS99" s="1997"/>
      <c r="FT99" s="1997"/>
      <c r="FU99" s="1997"/>
      <c r="FV99" s="1997"/>
      <c r="FW99" s="1997"/>
      <c r="FX99" s="1997"/>
      <c r="FY99" s="1997"/>
      <c r="FZ99" s="1997"/>
      <c r="GA99" s="1997"/>
      <c r="GB99" s="1997"/>
      <c r="GC99" s="1997"/>
      <c r="GD99" s="1997"/>
      <c r="GE99" s="1997"/>
      <c r="GF99" s="1997"/>
      <c r="GG99" s="1997"/>
      <c r="GH99" s="1997"/>
      <c r="GI99" s="1997"/>
      <c r="GJ99" s="1997"/>
      <c r="GK99" s="1997"/>
      <c r="GL99" s="1997"/>
      <c r="GM99" s="1997"/>
      <c r="GN99" s="1997"/>
      <c r="GO99" s="1997"/>
      <c r="GP99" s="1997"/>
      <c r="GQ99" s="1997"/>
      <c r="GR99" s="1997"/>
      <c r="GS99" s="1997"/>
      <c r="GT99" s="1997"/>
      <c r="GU99" s="1997"/>
      <c r="GV99" s="1997"/>
      <c r="GW99" s="1997"/>
      <c r="GX99" s="1997"/>
      <c r="GY99" s="1997"/>
      <c r="GZ99" s="1997"/>
      <c r="HA99" s="1997"/>
      <c r="HB99" s="1997"/>
      <c r="HC99" s="1997"/>
      <c r="HD99" s="1997"/>
      <c r="HE99" s="1997"/>
      <c r="HF99" s="1997"/>
      <c r="HG99" s="1997"/>
      <c r="HH99" s="1997"/>
      <c r="HI99" s="1997"/>
      <c r="HJ99" s="1997"/>
      <c r="HK99" s="1997"/>
      <c r="HL99" s="1997"/>
      <c r="HM99" s="1997"/>
      <c r="HN99" s="1997"/>
      <c r="HO99" s="1997"/>
      <c r="HP99" s="1997"/>
      <c r="HQ99" s="1997"/>
      <c r="HR99" s="1997"/>
      <c r="HS99" s="1997"/>
      <c r="HT99" s="1997"/>
      <c r="HU99" s="1997"/>
      <c r="HV99" s="1997"/>
      <c r="HW99" s="1997"/>
      <c r="HX99" s="1997"/>
      <c r="HY99" s="1997"/>
      <c r="HZ99" s="1997"/>
      <c r="IA99" s="1997"/>
      <c r="IB99" s="1997"/>
      <c r="IC99" s="1997"/>
      <c r="ID99" s="1997"/>
      <c r="IE99" s="1997"/>
      <c r="IF99" s="1997"/>
      <c r="IG99" s="1997"/>
      <c r="IH99" s="1997"/>
      <c r="II99" s="1997"/>
      <c r="IJ99" s="1997"/>
      <c r="IK99" s="1997"/>
      <c r="IL99" s="1997"/>
      <c r="IM99" s="1997"/>
      <c r="IN99" s="1997"/>
      <c r="IO99" s="1997"/>
      <c r="IP99" s="1997"/>
      <c r="IQ99" s="1997"/>
    </row>
    <row r="100" spans="1:251" hidden="1">
      <c r="A100" s="1993"/>
      <c r="B100" s="1998"/>
      <c r="C100" s="1998"/>
      <c r="D100" s="2034"/>
      <c r="E100" s="1998"/>
      <c r="F100" s="1940">
        <f t="shared" si="32"/>
        <v>0</v>
      </c>
      <c r="G100" s="1993"/>
      <c r="H100" s="1940">
        <f t="shared" si="33"/>
        <v>0</v>
      </c>
      <c r="I100" s="1993"/>
      <c r="J100" s="1940">
        <f t="shared" si="34"/>
        <v>0</v>
      </c>
      <c r="K100" s="1993"/>
      <c r="L100" s="1940">
        <f t="shared" si="35"/>
        <v>0</v>
      </c>
      <c r="M100" s="1940">
        <f t="shared" si="36"/>
        <v>0</v>
      </c>
      <c r="N100" s="1940">
        <f t="shared" si="37"/>
        <v>0</v>
      </c>
      <c r="O100" s="1993"/>
      <c r="P100" s="1993"/>
      <c r="Q100" s="1940">
        <f t="shared" si="38"/>
        <v>0</v>
      </c>
      <c r="R100" s="1940">
        <f t="shared" si="39"/>
        <v>0</v>
      </c>
      <c r="S100" s="1940">
        <f t="shared" si="40"/>
        <v>0</v>
      </c>
      <c r="T100" s="1940">
        <f t="shared" si="41"/>
        <v>0</v>
      </c>
      <c r="U100" s="1940">
        <f t="shared" si="42"/>
        <v>0</v>
      </c>
      <c r="V100" s="1997"/>
      <c r="W100" s="1997"/>
      <c r="X100" s="1997"/>
      <c r="Y100" s="1997"/>
      <c r="Z100" s="1997"/>
      <c r="AA100" s="1997"/>
      <c r="AB100" s="1997"/>
      <c r="AC100" s="1997"/>
      <c r="AD100" s="1997"/>
      <c r="AE100" s="1997"/>
      <c r="AF100" s="1997"/>
      <c r="AG100" s="1997"/>
      <c r="AH100" s="1997"/>
      <c r="AI100" s="1997"/>
      <c r="AJ100" s="1997"/>
      <c r="AK100" s="1997"/>
      <c r="AL100" s="1997"/>
      <c r="AM100" s="1997"/>
      <c r="AN100" s="1997"/>
      <c r="AO100" s="1997"/>
      <c r="AP100" s="1997"/>
      <c r="AQ100" s="1997"/>
      <c r="AR100" s="1997"/>
      <c r="AS100" s="1997"/>
      <c r="AT100" s="1997"/>
      <c r="AU100" s="1997"/>
      <c r="AV100" s="1997"/>
      <c r="AW100" s="1997"/>
      <c r="AX100" s="1997"/>
      <c r="AY100" s="1997"/>
      <c r="AZ100" s="1997"/>
      <c r="BA100" s="1997"/>
      <c r="BB100" s="1997"/>
      <c r="BC100" s="1997"/>
      <c r="BD100" s="1997"/>
      <c r="BE100" s="1997"/>
      <c r="BF100" s="1997"/>
      <c r="BG100" s="1997"/>
      <c r="BH100" s="1997"/>
      <c r="BI100" s="1997"/>
      <c r="BJ100" s="1997"/>
      <c r="BK100" s="1997"/>
      <c r="BL100" s="1997"/>
      <c r="BM100" s="1997"/>
      <c r="BN100" s="1997"/>
      <c r="BO100" s="1997"/>
      <c r="BP100" s="1997"/>
      <c r="BQ100" s="1997"/>
      <c r="BR100" s="1997"/>
      <c r="BS100" s="1997"/>
      <c r="BT100" s="1997"/>
      <c r="BU100" s="1997"/>
      <c r="BV100" s="1997"/>
      <c r="BW100" s="1997"/>
      <c r="BX100" s="1997"/>
      <c r="BY100" s="1997"/>
      <c r="BZ100" s="1997"/>
      <c r="CA100" s="1997"/>
      <c r="CB100" s="1997"/>
      <c r="CC100" s="1997"/>
      <c r="CD100" s="1997"/>
      <c r="CE100" s="1997"/>
      <c r="CF100" s="1997"/>
      <c r="CG100" s="1997"/>
      <c r="CH100" s="1997"/>
      <c r="CI100" s="1997"/>
      <c r="CJ100" s="1997"/>
      <c r="CK100" s="1997"/>
      <c r="CL100" s="1997"/>
      <c r="CM100" s="1997"/>
      <c r="CN100" s="1997"/>
      <c r="CO100" s="1997"/>
      <c r="CP100" s="1997"/>
      <c r="CQ100" s="1997"/>
      <c r="CR100" s="1997"/>
      <c r="CS100" s="1997"/>
      <c r="CT100" s="1997"/>
      <c r="CU100" s="1997"/>
      <c r="CV100" s="1997"/>
      <c r="CW100" s="1997"/>
      <c r="CX100" s="1997"/>
      <c r="CY100" s="1997"/>
      <c r="CZ100" s="1997"/>
      <c r="DA100" s="1997"/>
      <c r="DB100" s="1997"/>
      <c r="DC100" s="1997"/>
      <c r="DD100" s="1997"/>
      <c r="DE100" s="1997"/>
      <c r="DF100" s="1997"/>
      <c r="DG100" s="1997"/>
      <c r="DH100" s="1997"/>
      <c r="DI100" s="1997"/>
      <c r="DJ100" s="1997"/>
      <c r="DK100" s="1997"/>
      <c r="DL100" s="1997"/>
      <c r="DM100" s="1997"/>
      <c r="DN100" s="1997"/>
      <c r="DO100" s="1997"/>
      <c r="DP100" s="1997"/>
      <c r="DQ100" s="1997"/>
      <c r="DR100" s="1997"/>
      <c r="DS100" s="1997"/>
      <c r="DT100" s="1997"/>
      <c r="DU100" s="1997"/>
      <c r="DV100" s="1997"/>
      <c r="DW100" s="1997"/>
      <c r="DX100" s="1997"/>
      <c r="DY100" s="1997"/>
      <c r="DZ100" s="1997"/>
      <c r="EA100" s="1997"/>
      <c r="EB100" s="1997"/>
      <c r="EC100" s="1997"/>
      <c r="ED100" s="1997"/>
      <c r="EE100" s="1997"/>
      <c r="EF100" s="1997"/>
      <c r="EG100" s="1997"/>
      <c r="EH100" s="1997"/>
      <c r="EI100" s="1997"/>
      <c r="EJ100" s="1997"/>
      <c r="EK100" s="1997"/>
      <c r="EL100" s="1997"/>
      <c r="EM100" s="1997"/>
      <c r="EN100" s="1997"/>
      <c r="EO100" s="1997"/>
      <c r="EP100" s="1997"/>
      <c r="EQ100" s="1997"/>
      <c r="ER100" s="1997"/>
      <c r="ES100" s="1997"/>
      <c r="ET100" s="1997"/>
      <c r="EU100" s="1997"/>
      <c r="EV100" s="1997"/>
      <c r="EW100" s="1997"/>
      <c r="EX100" s="1997"/>
      <c r="EY100" s="1997"/>
      <c r="EZ100" s="1997"/>
      <c r="FA100" s="1997"/>
      <c r="FB100" s="1997"/>
      <c r="FC100" s="1997"/>
      <c r="FD100" s="1997"/>
      <c r="FE100" s="1997"/>
      <c r="FF100" s="1997"/>
      <c r="FG100" s="1997"/>
      <c r="FH100" s="1997"/>
      <c r="FI100" s="1997"/>
      <c r="FJ100" s="1997"/>
      <c r="FK100" s="1997"/>
      <c r="FL100" s="1997"/>
      <c r="FM100" s="1997"/>
      <c r="FN100" s="1997"/>
      <c r="FO100" s="1997"/>
      <c r="FP100" s="1997"/>
      <c r="FQ100" s="1997"/>
      <c r="FR100" s="1997"/>
      <c r="FS100" s="1997"/>
      <c r="FT100" s="1997"/>
      <c r="FU100" s="1997"/>
      <c r="FV100" s="1997"/>
      <c r="FW100" s="1997"/>
      <c r="FX100" s="1997"/>
      <c r="FY100" s="1997"/>
      <c r="FZ100" s="1997"/>
      <c r="GA100" s="1997"/>
      <c r="GB100" s="1997"/>
      <c r="GC100" s="1997"/>
      <c r="GD100" s="1997"/>
      <c r="GE100" s="1997"/>
      <c r="GF100" s="1997"/>
      <c r="GG100" s="1997"/>
      <c r="GH100" s="1997"/>
      <c r="GI100" s="1997"/>
      <c r="GJ100" s="1997"/>
      <c r="GK100" s="1997"/>
      <c r="GL100" s="1997"/>
      <c r="GM100" s="1997"/>
      <c r="GN100" s="1997"/>
      <c r="GO100" s="1997"/>
      <c r="GP100" s="1997"/>
      <c r="GQ100" s="1997"/>
      <c r="GR100" s="1997"/>
      <c r="GS100" s="1997"/>
      <c r="GT100" s="1997"/>
      <c r="GU100" s="1997"/>
      <c r="GV100" s="1997"/>
      <c r="GW100" s="1997"/>
      <c r="GX100" s="1997"/>
      <c r="GY100" s="1997"/>
      <c r="GZ100" s="1997"/>
      <c r="HA100" s="1997"/>
      <c r="HB100" s="1997"/>
      <c r="HC100" s="1997"/>
      <c r="HD100" s="1997"/>
      <c r="HE100" s="1997"/>
      <c r="HF100" s="1997"/>
      <c r="HG100" s="1997"/>
      <c r="HH100" s="1997"/>
      <c r="HI100" s="1997"/>
      <c r="HJ100" s="1997"/>
      <c r="HK100" s="1997"/>
      <c r="HL100" s="1997"/>
      <c r="HM100" s="1997"/>
      <c r="HN100" s="1997"/>
      <c r="HO100" s="1997"/>
      <c r="HP100" s="1997"/>
      <c r="HQ100" s="1997"/>
      <c r="HR100" s="1997"/>
      <c r="HS100" s="1997"/>
      <c r="HT100" s="1997"/>
      <c r="HU100" s="1997"/>
      <c r="HV100" s="1997"/>
      <c r="HW100" s="1997"/>
      <c r="HX100" s="1997"/>
      <c r="HY100" s="1997"/>
      <c r="HZ100" s="1997"/>
      <c r="IA100" s="1997"/>
      <c r="IB100" s="1997"/>
      <c r="IC100" s="1997"/>
      <c r="ID100" s="1997"/>
      <c r="IE100" s="1997"/>
      <c r="IF100" s="1997"/>
      <c r="IG100" s="1997"/>
      <c r="IH100" s="1997"/>
      <c r="II100" s="1997"/>
      <c r="IJ100" s="1997"/>
      <c r="IK100" s="1997"/>
      <c r="IL100" s="1997"/>
      <c r="IM100" s="1997"/>
      <c r="IN100" s="1997"/>
      <c r="IO100" s="1997"/>
      <c r="IP100" s="1997"/>
      <c r="IQ100" s="1997"/>
    </row>
    <row r="101" spans="1:251" hidden="1">
      <c r="A101" s="1993"/>
      <c r="B101" s="1993" t="s">
        <v>527</v>
      </c>
      <c r="C101" s="1993"/>
      <c r="D101" s="2021">
        <f>SUM(D102:D109)</f>
        <v>0</v>
      </c>
      <c r="E101" s="1993"/>
      <c r="F101" s="1940">
        <f>SUM(F102:F109)</f>
        <v>0</v>
      </c>
      <c r="G101" s="1993"/>
      <c r="H101" s="1940">
        <f t="shared" ref="H101:U101" si="43">SUM(H102:H109)</f>
        <v>0</v>
      </c>
      <c r="I101" s="1993"/>
      <c r="J101" s="1940">
        <f t="shared" si="43"/>
        <v>0</v>
      </c>
      <c r="K101" s="1993"/>
      <c r="L101" s="1940">
        <f t="shared" si="43"/>
        <v>0</v>
      </c>
      <c r="M101" s="1940">
        <f t="shared" si="43"/>
        <v>0</v>
      </c>
      <c r="N101" s="1940">
        <f t="shared" si="43"/>
        <v>0</v>
      </c>
      <c r="O101" s="1940">
        <f t="shared" si="43"/>
        <v>0</v>
      </c>
      <c r="P101" s="1940">
        <f>SUM(P102:P109)</f>
        <v>0</v>
      </c>
      <c r="Q101" s="1940">
        <f t="shared" si="43"/>
        <v>0</v>
      </c>
      <c r="R101" s="1940">
        <f t="shared" si="43"/>
        <v>0</v>
      </c>
      <c r="S101" s="1940">
        <f t="shared" si="43"/>
        <v>0</v>
      </c>
      <c r="T101" s="1940">
        <f t="shared" si="43"/>
        <v>0</v>
      </c>
      <c r="U101" s="1940">
        <f t="shared" si="43"/>
        <v>0</v>
      </c>
      <c r="V101" s="1992"/>
      <c r="W101" s="1992"/>
      <c r="X101" s="1992"/>
      <c r="Y101" s="1992"/>
      <c r="Z101" s="1992"/>
      <c r="AA101" s="1992"/>
      <c r="AB101" s="1992"/>
      <c r="AC101" s="1992"/>
      <c r="AD101" s="1992"/>
      <c r="AE101" s="1992"/>
      <c r="AF101" s="1992"/>
      <c r="AG101" s="1992"/>
      <c r="AH101" s="1992"/>
      <c r="AI101" s="1992"/>
      <c r="AJ101" s="1992"/>
      <c r="AK101" s="1992"/>
      <c r="AL101" s="1992"/>
      <c r="AM101" s="1992"/>
      <c r="AN101" s="1992"/>
      <c r="AO101" s="1992"/>
      <c r="AP101" s="1992"/>
      <c r="AQ101" s="1992"/>
      <c r="AR101" s="1992"/>
      <c r="AS101" s="1992"/>
      <c r="AT101" s="1992"/>
      <c r="AU101" s="1992"/>
      <c r="AV101" s="1992"/>
      <c r="AW101" s="1992"/>
      <c r="AX101" s="1992"/>
      <c r="AY101" s="1992"/>
      <c r="AZ101" s="1992"/>
      <c r="BA101" s="1992"/>
      <c r="BB101" s="1992"/>
      <c r="BC101" s="1992"/>
      <c r="BD101" s="1992"/>
      <c r="BE101" s="1992"/>
      <c r="BF101" s="1992"/>
      <c r="BG101" s="1992"/>
      <c r="BH101" s="1992"/>
      <c r="BI101" s="1992"/>
      <c r="BJ101" s="1992"/>
      <c r="BK101" s="1992"/>
      <c r="BL101" s="1992"/>
      <c r="BM101" s="1992"/>
      <c r="BN101" s="1992"/>
      <c r="BO101" s="1992"/>
      <c r="BP101" s="1992"/>
      <c r="BQ101" s="1992"/>
      <c r="BR101" s="1992"/>
      <c r="BS101" s="1992"/>
      <c r="BT101" s="1992"/>
      <c r="BU101" s="1992"/>
      <c r="BV101" s="1992"/>
      <c r="BW101" s="1992"/>
      <c r="BX101" s="1992"/>
      <c r="BY101" s="1992"/>
      <c r="BZ101" s="1992"/>
      <c r="CA101" s="1992"/>
      <c r="CB101" s="1992"/>
      <c r="CC101" s="1992"/>
      <c r="CD101" s="1992"/>
      <c r="CE101" s="1992"/>
      <c r="CF101" s="1992"/>
      <c r="CG101" s="1992"/>
      <c r="CH101" s="1992"/>
      <c r="CI101" s="1992"/>
      <c r="CJ101" s="1992"/>
      <c r="CK101" s="1992"/>
      <c r="CL101" s="1992"/>
      <c r="CM101" s="1992"/>
      <c r="CN101" s="1992"/>
      <c r="CO101" s="1992"/>
      <c r="CP101" s="1992"/>
      <c r="CQ101" s="1992"/>
      <c r="CR101" s="1992"/>
      <c r="CS101" s="1992"/>
      <c r="CT101" s="1992"/>
      <c r="CU101" s="1992"/>
      <c r="CV101" s="1992"/>
      <c r="CW101" s="1992"/>
      <c r="CX101" s="1992"/>
      <c r="CY101" s="1992"/>
      <c r="CZ101" s="1992"/>
      <c r="DA101" s="1992"/>
      <c r="DB101" s="1992"/>
      <c r="DC101" s="1992"/>
      <c r="DD101" s="1992"/>
      <c r="DE101" s="1992"/>
      <c r="DF101" s="1992"/>
      <c r="DG101" s="1992"/>
      <c r="DH101" s="1992"/>
      <c r="DI101" s="1992"/>
      <c r="DJ101" s="1992"/>
      <c r="DK101" s="1992"/>
      <c r="DL101" s="1992"/>
      <c r="DM101" s="1992"/>
      <c r="DN101" s="1992"/>
      <c r="DO101" s="1992"/>
      <c r="DP101" s="1992"/>
      <c r="DQ101" s="1992"/>
      <c r="DR101" s="1992"/>
      <c r="DS101" s="1992"/>
      <c r="DT101" s="1992"/>
      <c r="DU101" s="1992"/>
      <c r="DV101" s="1992"/>
      <c r="DW101" s="1992"/>
      <c r="DX101" s="1992"/>
      <c r="DY101" s="1992"/>
      <c r="DZ101" s="1992"/>
      <c r="EA101" s="1992"/>
      <c r="EB101" s="1992"/>
      <c r="EC101" s="1992"/>
      <c r="ED101" s="1992"/>
      <c r="EE101" s="1992"/>
      <c r="EF101" s="1992"/>
      <c r="EG101" s="1992"/>
      <c r="EH101" s="1992"/>
      <c r="EI101" s="1992"/>
      <c r="EJ101" s="1992"/>
      <c r="EK101" s="1992"/>
      <c r="EL101" s="1992"/>
      <c r="EM101" s="1992"/>
      <c r="EN101" s="1992"/>
      <c r="EO101" s="1992"/>
      <c r="EP101" s="1992"/>
      <c r="EQ101" s="1992"/>
      <c r="ER101" s="1992"/>
      <c r="ES101" s="1992"/>
      <c r="ET101" s="1992"/>
      <c r="EU101" s="1992"/>
      <c r="EV101" s="1992"/>
      <c r="EW101" s="1992"/>
      <c r="EX101" s="1992"/>
      <c r="EY101" s="1992"/>
      <c r="EZ101" s="1992"/>
      <c r="FA101" s="1992"/>
      <c r="FB101" s="1992"/>
      <c r="FC101" s="1992"/>
      <c r="FD101" s="1992"/>
      <c r="FE101" s="1992"/>
      <c r="FF101" s="1992"/>
      <c r="FG101" s="1992"/>
      <c r="FH101" s="1992"/>
      <c r="FI101" s="1992"/>
      <c r="FJ101" s="1992"/>
      <c r="FK101" s="1992"/>
      <c r="FL101" s="1992"/>
      <c r="FM101" s="1992"/>
      <c r="FN101" s="1992"/>
      <c r="FO101" s="1992"/>
      <c r="FP101" s="1992"/>
      <c r="FQ101" s="1992"/>
      <c r="FR101" s="1992"/>
      <c r="FS101" s="1992"/>
      <c r="FT101" s="1992"/>
      <c r="FU101" s="1992"/>
      <c r="FV101" s="1992"/>
      <c r="FW101" s="1992"/>
      <c r="FX101" s="1992"/>
      <c r="FY101" s="1992"/>
      <c r="FZ101" s="1992"/>
      <c r="GA101" s="1992"/>
      <c r="GB101" s="1992"/>
      <c r="GC101" s="1992"/>
      <c r="GD101" s="1992"/>
      <c r="GE101" s="1992"/>
      <c r="GF101" s="1992"/>
      <c r="GG101" s="1992"/>
      <c r="GH101" s="1992"/>
      <c r="GI101" s="1992"/>
      <c r="GJ101" s="1992"/>
      <c r="GK101" s="1992"/>
      <c r="GL101" s="1992"/>
      <c r="GM101" s="1992"/>
      <c r="GN101" s="1992"/>
      <c r="GO101" s="1992"/>
      <c r="GP101" s="1992"/>
      <c r="GQ101" s="1992"/>
      <c r="GR101" s="1992"/>
      <c r="GS101" s="1992"/>
      <c r="GT101" s="1992"/>
      <c r="GU101" s="1992"/>
      <c r="GV101" s="1992"/>
      <c r="GW101" s="1992"/>
      <c r="GX101" s="1992"/>
      <c r="GY101" s="1992"/>
      <c r="GZ101" s="1992"/>
      <c r="HA101" s="1992"/>
      <c r="HB101" s="1992"/>
      <c r="HC101" s="1992"/>
      <c r="HD101" s="1992"/>
      <c r="HE101" s="1992"/>
      <c r="HF101" s="1992"/>
      <c r="HG101" s="1992"/>
      <c r="HH101" s="1992"/>
      <c r="HI101" s="1992"/>
      <c r="HJ101" s="1992"/>
      <c r="HK101" s="1992"/>
      <c r="HL101" s="1992"/>
      <c r="HM101" s="1992"/>
      <c r="HN101" s="1992"/>
      <c r="HO101" s="1992"/>
      <c r="HP101" s="1992"/>
      <c r="HQ101" s="1992"/>
      <c r="HR101" s="1992"/>
      <c r="HS101" s="1992"/>
      <c r="HT101" s="1992"/>
      <c r="HU101" s="1992"/>
      <c r="HV101" s="1992"/>
      <c r="HW101" s="1992"/>
      <c r="HX101" s="1992"/>
      <c r="HY101" s="1992"/>
      <c r="HZ101" s="1992"/>
      <c r="IA101" s="1992"/>
      <c r="IB101" s="1992"/>
      <c r="IC101" s="1992"/>
      <c r="ID101" s="1992"/>
      <c r="IE101" s="1992"/>
      <c r="IF101" s="1992"/>
      <c r="IG101" s="1992"/>
      <c r="IH101" s="1992"/>
      <c r="II101" s="1992"/>
      <c r="IJ101" s="1992"/>
      <c r="IK101" s="1992"/>
      <c r="IL101" s="1992"/>
      <c r="IM101" s="1992"/>
      <c r="IN101" s="1992"/>
      <c r="IO101" s="1992"/>
      <c r="IP101" s="1992"/>
      <c r="IQ101" s="1992"/>
    </row>
    <row r="102" spans="1:251" hidden="1">
      <c r="A102" s="1993"/>
      <c r="B102" s="1993" t="s">
        <v>327</v>
      </c>
      <c r="C102" s="1993"/>
      <c r="D102" s="2021"/>
      <c r="E102" s="1993"/>
      <c r="F102" s="1940">
        <f t="shared" ref="F102:F109" si="44">ROUNDUP((E102*$Q$5),-3)</f>
        <v>0</v>
      </c>
      <c r="G102" s="1993"/>
      <c r="H102" s="1940">
        <f t="shared" ref="H102:H109" si="45">D102*F102*G102</f>
        <v>0</v>
      </c>
      <c r="I102" s="1993"/>
      <c r="J102" s="1940">
        <f t="shared" ref="J102:J109" si="46">I102*$Q$4</f>
        <v>0</v>
      </c>
      <c r="K102" s="1993"/>
      <c r="L102" s="1940">
        <f t="shared" ref="L102:L109" si="47">K102*F102</f>
        <v>0</v>
      </c>
      <c r="M102" s="1940">
        <f t="shared" ref="M102:M109" si="48">D102*G102*(J102+L102)</f>
        <v>0</v>
      </c>
      <c r="N102" s="1940">
        <f t="shared" ref="N102:N109" si="49">H102+M102</f>
        <v>0</v>
      </c>
      <c r="O102" s="1993"/>
      <c r="P102" s="1993"/>
      <c r="Q102" s="1940">
        <f t="shared" ref="Q102:Q109" si="50">N102+O102+P102</f>
        <v>0</v>
      </c>
      <c r="R102" s="1940">
        <f t="shared" ref="R102:R109" si="51">Q102*10%</f>
        <v>0</v>
      </c>
      <c r="S102" s="1940">
        <f t="shared" ref="S102:S109" si="52">(Q102-R102)*10%</f>
        <v>0</v>
      </c>
      <c r="T102" s="1940">
        <f t="shared" ref="T102:T109" si="53">(Q102-R102)*6%</f>
        <v>0</v>
      </c>
      <c r="U102" s="1940">
        <f t="shared" ref="U102:U109" si="54">(Q102-R102)*5%</f>
        <v>0</v>
      </c>
      <c r="V102" s="1992"/>
      <c r="W102" s="1992"/>
      <c r="X102" s="1992"/>
      <c r="Y102" s="1992"/>
      <c r="Z102" s="1992"/>
      <c r="AA102" s="1992"/>
      <c r="AB102" s="1992"/>
      <c r="AC102" s="1992"/>
      <c r="AD102" s="1992"/>
      <c r="AE102" s="1992"/>
      <c r="AF102" s="1992"/>
      <c r="AG102" s="1992"/>
      <c r="AH102" s="1992"/>
      <c r="AI102" s="1992"/>
      <c r="AJ102" s="1992"/>
      <c r="AK102" s="1992"/>
      <c r="AL102" s="1992"/>
      <c r="AM102" s="1992"/>
      <c r="AN102" s="1992"/>
      <c r="AO102" s="1992"/>
      <c r="AP102" s="1992"/>
      <c r="AQ102" s="1992"/>
      <c r="AR102" s="1992"/>
      <c r="AS102" s="1992"/>
      <c r="AT102" s="1992"/>
      <c r="AU102" s="1992"/>
      <c r="AV102" s="1992"/>
      <c r="AW102" s="1992"/>
      <c r="AX102" s="1992"/>
      <c r="AY102" s="1992"/>
      <c r="AZ102" s="1992"/>
      <c r="BA102" s="1992"/>
      <c r="BB102" s="1992"/>
      <c r="BC102" s="1992"/>
      <c r="BD102" s="1992"/>
      <c r="BE102" s="1992"/>
      <c r="BF102" s="1992"/>
      <c r="BG102" s="1992"/>
      <c r="BH102" s="1992"/>
      <c r="BI102" s="1992"/>
      <c r="BJ102" s="1992"/>
      <c r="BK102" s="1992"/>
      <c r="BL102" s="1992"/>
      <c r="BM102" s="1992"/>
      <c r="BN102" s="1992"/>
      <c r="BO102" s="1992"/>
      <c r="BP102" s="1992"/>
      <c r="BQ102" s="1992"/>
      <c r="BR102" s="1992"/>
      <c r="BS102" s="1992"/>
      <c r="BT102" s="1992"/>
      <c r="BU102" s="1992"/>
      <c r="BV102" s="1992"/>
      <c r="BW102" s="1992"/>
      <c r="BX102" s="1992"/>
      <c r="BY102" s="1992"/>
      <c r="BZ102" s="1992"/>
      <c r="CA102" s="1992"/>
      <c r="CB102" s="1992"/>
      <c r="CC102" s="1992"/>
      <c r="CD102" s="1992"/>
      <c r="CE102" s="1992"/>
      <c r="CF102" s="1992"/>
      <c r="CG102" s="1992"/>
      <c r="CH102" s="1992"/>
      <c r="CI102" s="1992"/>
      <c r="CJ102" s="1992"/>
      <c r="CK102" s="1992"/>
      <c r="CL102" s="1992"/>
      <c r="CM102" s="1992"/>
      <c r="CN102" s="1992"/>
      <c r="CO102" s="1992"/>
      <c r="CP102" s="1992"/>
      <c r="CQ102" s="1992"/>
      <c r="CR102" s="1992"/>
      <c r="CS102" s="1992"/>
      <c r="CT102" s="1992"/>
      <c r="CU102" s="1992"/>
      <c r="CV102" s="1992"/>
      <c r="CW102" s="1992"/>
      <c r="CX102" s="1992"/>
      <c r="CY102" s="1992"/>
      <c r="CZ102" s="1992"/>
      <c r="DA102" s="1992"/>
      <c r="DB102" s="1992"/>
      <c r="DC102" s="1992"/>
      <c r="DD102" s="1992"/>
      <c r="DE102" s="1992"/>
      <c r="DF102" s="1992"/>
      <c r="DG102" s="1992"/>
      <c r="DH102" s="1992"/>
      <c r="DI102" s="1992"/>
      <c r="DJ102" s="1992"/>
      <c r="DK102" s="1992"/>
      <c r="DL102" s="1992"/>
      <c r="DM102" s="1992"/>
      <c r="DN102" s="1992"/>
      <c r="DO102" s="1992"/>
      <c r="DP102" s="1992"/>
      <c r="DQ102" s="1992"/>
      <c r="DR102" s="1992"/>
      <c r="DS102" s="1992"/>
      <c r="DT102" s="1992"/>
      <c r="DU102" s="1992"/>
      <c r="DV102" s="1992"/>
      <c r="DW102" s="1992"/>
      <c r="DX102" s="1992"/>
      <c r="DY102" s="1992"/>
      <c r="DZ102" s="1992"/>
      <c r="EA102" s="1992"/>
      <c r="EB102" s="1992"/>
      <c r="EC102" s="1992"/>
      <c r="ED102" s="1992"/>
      <c r="EE102" s="1992"/>
      <c r="EF102" s="1992"/>
      <c r="EG102" s="1992"/>
      <c r="EH102" s="1992"/>
      <c r="EI102" s="1992"/>
      <c r="EJ102" s="1992"/>
      <c r="EK102" s="1992"/>
      <c r="EL102" s="1992"/>
      <c r="EM102" s="1992"/>
      <c r="EN102" s="1992"/>
      <c r="EO102" s="1992"/>
      <c r="EP102" s="1992"/>
      <c r="EQ102" s="1992"/>
      <c r="ER102" s="1992"/>
      <c r="ES102" s="1992"/>
      <c r="ET102" s="1992"/>
      <c r="EU102" s="1992"/>
      <c r="EV102" s="1992"/>
      <c r="EW102" s="1992"/>
      <c r="EX102" s="1992"/>
      <c r="EY102" s="1992"/>
      <c r="EZ102" s="1992"/>
      <c r="FA102" s="1992"/>
      <c r="FB102" s="1992"/>
      <c r="FC102" s="1992"/>
      <c r="FD102" s="1992"/>
      <c r="FE102" s="1992"/>
      <c r="FF102" s="1992"/>
      <c r="FG102" s="1992"/>
      <c r="FH102" s="1992"/>
      <c r="FI102" s="1992"/>
      <c r="FJ102" s="1992"/>
      <c r="FK102" s="1992"/>
      <c r="FL102" s="1992"/>
      <c r="FM102" s="1992"/>
      <c r="FN102" s="1992"/>
      <c r="FO102" s="1992"/>
      <c r="FP102" s="1992"/>
      <c r="FQ102" s="1992"/>
      <c r="FR102" s="1992"/>
      <c r="FS102" s="1992"/>
      <c r="FT102" s="1992"/>
      <c r="FU102" s="1992"/>
      <c r="FV102" s="1992"/>
      <c r="FW102" s="1992"/>
      <c r="FX102" s="1992"/>
      <c r="FY102" s="1992"/>
      <c r="FZ102" s="1992"/>
      <c r="GA102" s="1992"/>
      <c r="GB102" s="1992"/>
      <c r="GC102" s="1992"/>
      <c r="GD102" s="1992"/>
      <c r="GE102" s="1992"/>
      <c r="GF102" s="1992"/>
      <c r="GG102" s="1992"/>
      <c r="GH102" s="1992"/>
      <c r="GI102" s="1992"/>
      <c r="GJ102" s="1992"/>
      <c r="GK102" s="1992"/>
      <c r="GL102" s="1992"/>
      <c r="GM102" s="1992"/>
      <c r="GN102" s="1992"/>
      <c r="GO102" s="1992"/>
      <c r="GP102" s="1992"/>
      <c r="GQ102" s="1992"/>
      <c r="GR102" s="1992"/>
      <c r="GS102" s="1992"/>
      <c r="GT102" s="1992"/>
      <c r="GU102" s="1992"/>
      <c r="GV102" s="1992"/>
      <c r="GW102" s="1992"/>
      <c r="GX102" s="1992"/>
      <c r="GY102" s="1992"/>
      <c r="GZ102" s="1992"/>
      <c r="HA102" s="1992"/>
      <c r="HB102" s="1992"/>
      <c r="HC102" s="1992"/>
      <c r="HD102" s="1992"/>
      <c r="HE102" s="1992"/>
      <c r="HF102" s="1992"/>
      <c r="HG102" s="1992"/>
      <c r="HH102" s="1992"/>
      <c r="HI102" s="1992"/>
      <c r="HJ102" s="1992"/>
      <c r="HK102" s="1992"/>
      <c r="HL102" s="1992"/>
      <c r="HM102" s="1992"/>
      <c r="HN102" s="1992"/>
      <c r="HO102" s="1992"/>
      <c r="HP102" s="1992"/>
      <c r="HQ102" s="1992"/>
      <c r="HR102" s="1992"/>
      <c r="HS102" s="1992"/>
      <c r="HT102" s="1992"/>
      <c r="HU102" s="1992"/>
      <c r="HV102" s="1992"/>
      <c r="HW102" s="1992"/>
      <c r="HX102" s="1992"/>
      <c r="HY102" s="1992"/>
      <c r="HZ102" s="1992"/>
      <c r="IA102" s="1992"/>
      <c r="IB102" s="1992"/>
      <c r="IC102" s="1992"/>
      <c r="ID102" s="1992"/>
      <c r="IE102" s="1992"/>
      <c r="IF102" s="1992"/>
      <c r="IG102" s="1992"/>
      <c r="IH102" s="1992"/>
      <c r="II102" s="1992"/>
      <c r="IJ102" s="1992"/>
      <c r="IK102" s="1992"/>
      <c r="IL102" s="1992"/>
      <c r="IM102" s="1992"/>
      <c r="IN102" s="1992"/>
      <c r="IO102" s="1992"/>
      <c r="IP102" s="1992"/>
      <c r="IQ102" s="1992"/>
    </row>
    <row r="103" spans="1:251" hidden="1">
      <c r="A103" s="1993"/>
      <c r="B103" s="1993"/>
      <c r="C103" s="1993"/>
      <c r="D103" s="2021"/>
      <c r="E103" s="1993"/>
      <c r="F103" s="1940">
        <f t="shared" si="44"/>
        <v>0</v>
      </c>
      <c r="G103" s="1993"/>
      <c r="H103" s="1940">
        <f t="shared" si="45"/>
        <v>0</v>
      </c>
      <c r="I103" s="1993"/>
      <c r="J103" s="1940">
        <f t="shared" si="46"/>
        <v>0</v>
      </c>
      <c r="K103" s="1993"/>
      <c r="L103" s="1940">
        <f t="shared" si="47"/>
        <v>0</v>
      </c>
      <c r="M103" s="1940">
        <f t="shared" si="48"/>
        <v>0</v>
      </c>
      <c r="N103" s="1940">
        <f t="shared" si="49"/>
        <v>0</v>
      </c>
      <c r="O103" s="1993"/>
      <c r="P103" s="1993"/>
      <c r="Q103" s="1940">
        <f t="shared" si="50"/>
        <v>0</v>
      </c>
      <c r="R103" s="1940">
        <f t="shared" si="51"/>
        <v>0</v>
      </c>
      <c r="S103" s="1940">
        <f t="shared" si="52"/>
        <v>0</v>
      </c>
      <c r="T103" s="1940">
        <f t="shared" si="53"/>
        <v>0</v>
      </c>
      <c r="U103" s="1940">
        <f t="shared" si="54"/>
        <v>0</v>
      </c>
      <c r="V103" s="1992"/>
      <c r="W103" s="1992"/>
      <c r="X103" s="1992"/>
      <c r="Y103" s="1992"/>
      <c r="Z103" s="1992"/>
      <c r="AA103" s="1992"/>
      <c r="AB103" s="1992"/>
      <c r="AC103" s="1992"/>
      <c r="AD103" s="1992"/>
      <c r="AE103" s="1992"/>
      <c r="AF103" s="1992"/>
      <c r="AG103" s="1992"/>
      <c r="AH103" s="1992"/>
      <c r="AI103" s="1992"/>
      <c r="AJ103" s="1992"/>
      <c r="AK103" s="1992"/>
      <c r="AL103" s="1992"/>
      <c r="AM103" s="1992"/>
      <c r="AN103" s="1992"/>
      <c r="AO103" s="1992"/>
      <c r="AP103" s="1992"/>
      <c r="AQ103" s="1992"/>
      <c r="AR103" s="1992"/>
      <c r="AS103" s="1992"/>
      <c r="AT103" s="1992"/>
      <c r="AU103" s="1992"/>
      <c r="AV103" s="1992"/>
      <c r="AW103" s="1992"/>
      <c r="AX103" s="1992"/>
      <c r="AY103" s="1992"/>
      <c r="AZ103" s="1992"/>
      <c r="BA103" s="1992"/>
      <c r="BB103" s="1992"/>
      <c r="BC103" s="1992"/>
      <c r="BD103" s="1992"/>
      <c r="BE103" s="1992"/>
      <c r="BF103" s="1992"/>
      <c r="BG103" s="1992"/>
      <c r="BH103" s="1992"/>
      <c r="BI103" s="1992"/>
      <c r="BJ103" s="1992"/>
      <c r="BK103" s="1992"/>
      <c r="BL103" s="1992"/>
      <c r="BM103" s="1992"/>
      <c r="BN103" s="1992"/>
      <c r="BO103" s="1992"/>
      <c r="BP103" s="1992"/>
      <c r="BQ103" s="1992"/>
      <c r="BR103" s="1992"/>
      <c r="BS103" s="1992"/>
      <c r="BT103" s="1992"/>
      <c r="BU103" s="1992"/>
      <c r="BV103" s="1992"/>
      <c r="BW103" s="1992"/>
      <c r="BX103" s="1992"/>
      <c r="BY103" s="1992"/>
      <c r="BZ103" s="1992"/>
      <c r="CA103" s="1992"/>
      <c r="CB103" s="1992"/>
      <c r="CC103" s="1992"/>
      <c r="CD103" s="1992"/>
      <c r="CE103" s="1992"/>
      <c r="CF103" s="1992"/>
      <c r="CG103" s="1992"/>
      <c r="CH103" s="1992"/>
      <c r="CI103" s="1992"/>
      <c r="CJ103" s="1992"/>
      <c r="CK103" s="1992"/>
      <c r="CL103" s="1992"/>
      <c r="CM103" s="1992"/>
      <c r="CN103" s="1992"/>
      <c r="CO103" s="1992"/>
      <c r="CP103" s="1992"/>
      <c r="CQ103" s="1992"/>
      <c r="CR103" s="1992"/>
      <c r="CS103" s="1992"/>
      <c r="CT103" s="1992"/>
      <c r="CU103" s="1992"/>
      <c r="CV103" s="1992"/>
      <c r="CW103" s="1992"/>
      <c r="CX103" s="1992"/>
      <c r="CY103" s="1992"/>
      <c r="CZ103" s="1992"/>
      <c r="DA103" s="1992"/>
      <c r="DB103" s="1992"/>
      <c r="DC103" s="1992"/>
      <c r="DD103" s="1992"/>
      <c r="DE103" s="1992"/>
      <c r="DF103" s="1992"/>
      <c r="DG103" s="1992"/>
      <c r="DH103" s="1992"/>
      <c r="DI103" s="1992"/>
      <c r="DJ103" s="1992"/>
      <c r="DK103" s="1992"/>
      <c r="DL103" s="1992"/>
      <c r="DM103" s="1992"/>
      <c r="DN103" s="1992"/>
      <c r="DO103" s="1992"/>
      <c r="DP103" s="1992"/>
      <c r="DQ103" s="1992"/>
      <c r="DR103" s="1992"/>
      <c r="DS103" s="1992"/>
      <c r="DT103" s="1992"/>
      <c r="DU103" s="1992"/>
      <c r="DV103" s="1992"/>
      <c r="DW103" s="1992"/>
      <c r="DX103" s="1992"/>
      <c r="DY103" s="1992"/>
      <c r="DZ103" s="1992"/>
      <c r="EA103" s="1992"/>
      <c r="EB103" s="1992"/>
      <c r="EC103" s="1992"/>
      <c r="ED103" s="1992"/>
      <c r="EE103" s="1992"/>
      <c r="EF103" s="1992"/>
      <c r="EG103" s="1992"/>
      <c r="EH103" s="1992"/>
      <c r="EI103" s="1992"/>
      <c r="EJ103" s="1992"/>
      <c r="EK103" s="1992"/>
      <c r="EL103" s="1992"/>
      <c r="EM103" s="1992"/>
      <c r="EN103" s="1992"/>
      <c r="EO103" s="1992"/>
      <c r="EP103" s="1992"/>
      <c r="EQ103" s="1992"/>
      <c r="ER103" s="1992"/>
      <c r="ES103" s="1992"/>
      <c r="ET103" s="1992"/>
      <c r="EU103" s="1992"/>
      <c r="EV103" s="1992"/>
      <c r="EW103" s="1992"/>
      <c r="EX103" s="1992"/>
      <c r="EY103" s="1992"/>
      <c r="EZ103" s="1992"/>
      <c r="FA103" s="1992"/>
      <c r="FB103" s="1992"/>
      <c r="FC103" s="1992"/>
      <c r="FD103" s="1992"/>
      <c r="FE103" s="1992"/>
      <c r="FF103" s="1992"/>
      <c r="FG103" s="1992"/>
      <c r="FH103" s="1992"/>
      <c r="FI103" s="1992"/>
      <c r="FJ103" s="1992"/>
      <c r="FK103" s="1992"/>
      <c r="FL103" s="1992"/>
      <c r="FM103" s="1992"/>
      <c r="FN103" s="1992"/>
      <c r="FO103" s="1992"/>
      <c r="FP103" s="1992"/>
      <c r="FQ103" s="1992"/>
      <c r="FR103" s="1992"/>
      <c r="FS103" s="1992"/>
      <c r="FT103" s="1992"/>
      <c r="FU103" s="1992"/>
      <c r="FV103" s="1992"/>
      <c r="FW103" s="1992"/>
      <c r="FX103" s="1992"/>
      <c r="FY103" s="1992"/>
      <c r="FZ103" s="1992"/>
      <c r="GA103" s="1992"/>
      <c r="GB103" s="1992"/>
      <c r="GC103" s="1992"/>
      <c r="GD103" s="1992"/>
      <c r="GE103" s="1992"/>
      <c r="GF103" s="1992"/>
      <c r="GG103" s="1992"/>
      <c r="GH103" s="1992"/>
      <c r="GI103" s="1992"/>
      <c r="GJ103" s="1992"/>
      <c r="GK103" s="1992"/>
      <c r="GL103" s="1992"/>
      <c r="GM103" s="1992"/>
      <c r="GN103" s="1992"/>
      <c r="GO103" s="1992"/>
      <c r="GP103" s="1992"/>
      <c r="GQ103" s="1992"/>
      <c r="GR103" s="1992"/>
      <c r="GS103" s="1992"/>
      <c r="GT103" s="1992"/>
      <c r="GU103" s="1992"/>
      <c r="GV103" s="1992"/>
      <c r="GW103" s="1992"/>
      <c r="GX103" s="1992"/>
      <c r="GY103" s="1992"/>
      <c r="GZ103" s="1992"/>
      <c r="HA103" s="1992"/>
      <c r="HB103" s="1992"/>
      <c r="HC103" s="1992"/>
      <c r="HD103" s="1992"/>
      <c r="HE103" s="1992"/>
      <c r="HF103" s="1992"/>
      <c r="HG103" s="1992"/>
      <c r="HH103" s="1992"/>
      <c r="HI103" s="1992"/>
      <c r="HJ103" s="1992"/>
      <c r="HK103" s="1992"/>
      <c r="HL103" s="1992"/>
      <c r="HM103" s="1992"/>
      <c r="HN103" s="1992"/>
      <c r="HO103" s="1992"/>
      <c r="HP103" s="1992"/>
      <c r="HQ103" s="1992"/>
      <c r="HR103" s="1992"/>
      <c r="HS103" s="1992"/>
      <c r="HT103" s="1992"/>
      <c r="HU103" s="1992"/>
      <c r="HV103" s="1992"/>
      <c r="HW103" s="1992"/>
      <c r="HX103" s="1992"/>
      <c r="HY103" s="1992"/>
      <c r="HZ103" s="1992"/>
      <c r="IA103" s="1992"/>
      <c r="IB103" s="1992"/>
      <c r="IC103" s="1992"/>
      <c r="ID103" s="1992"/>
      <c r="IE103" s="1992"/>
      <c r="IF103" s="1992"/>
      <c r="IG103" s="1992"/>
      <c r="IH103" s="1992"/>
      <c r="II103" s="1992"/>
      <c r="IJ103" s="1992"/>
      <c r="IK103" s="1992"/>
      <c r="IL103" s="1992"/>
      <c r="IM103" s="1992"/>
      <c r="IN103" s="1992"/>
      <c r="IO103" s="1992"/>
      <c r="IP103" s="1992"/>
      <c r="IQ103" s="1992"/>
    </row>
    <row r="104" spans="1:251" hidden="1">
      <c r="A104" s="1993"/>
      <c r="B104" s="1993"/>
      <c r="C104" s="1993"/>
      <c r="D104" s="2021"/>
      <c r="E104" s="1993"/>
      <c r="F104" s="1940">
        <f t="shared" si="44"/>
        <v>0</v>
      </c>
      <c r="G104" s="1993"/>
      <c r="H104" s="1940">
        <f t="shared" si="45"/>
        <v>0</v>
      </c>
      <c r="I104" s="1993"/>
      <c r="J104" s="1940">
        <f t="shared" si="46"/>
        <v>0</v>
      </c>
      <c r="K104" s="1993"/>
      <c r="L104" s="1940">
        <f t="shared" si="47"/>
        <v>0</v>
      </c>
      <c r="M104" s="1940">
        <f t="shared" si="48"/>
        <v>0</v>
      </c>
      <c r="N104" s="1940">
        <f t="shared" si="49"/>
        <v>0</v>
      </c>
      <c r="O104" s="1993"/>
      <c r="P104" s="1993"/>
      <c r="Q104" s="1940">
        <f t="shared" si="50"/>
        <v>0</v>
      </c>
      <c r="R104" s="1940">
        <f t="shared" si="51"/>
        <v>0</v>
      </c>
      <c r="S104" s="1940">
        <f t="shared" si="52"/>
        <v>0</v>
      </c>
      <c r="T104" s="1940">
        <f t="shared" si="53"/>
        <v>0</v>
      </c>
      <c r="U104" s="1940">
        <f t="shared" si="54"/>
        <v>0</v>
      </c>
      <c r="V104" s="1997"/>
      <c r="W104" s="1997"/>
      <c r="X104" s="1997"/>
      <c r="Y104" s="1997"/>
      <c r="Z104" s="1997"/>
      <c r="AA104" s="1997"/>
      <c r="AB104" s="1997"/>
      <c r="AC104" s="1997"/>
      <c r="AD104" s="1997"/>
      <c r="AE104" s="1997"/>
      <c r="AF104" s="1997"/>
      <c r="AG104" s="1997"/>
      <c r="AH104" s="1997"/>
      <c r="AI104" s="1997"/>
      <c r="AJ104" s="1997"/>
      <c r="AK104" s="1997"/>
      <c r="AL104" s="1997"/>
      <c r="AM104" s="1997"/>
      <c r="AN104" s="1997"/>
      <c r="AO104" s="1997"/>
      <c r="AP104" s="1997"/>
      <c r="AQ104" s="1997"/>
      <c r="AR104" s="1997"/>
      <c r="AS104" s="1997"/>
      <c r="AT104" s="1997"/>
      <c r="AU104" s="1997"/>
      <c r="AV104" s="1997"/>
      <c r="AW104" s="1997"/>
      <c r="AX104" s="1997"/>
      <c r="AY104" s="1997"/>
      <c r="AZ104" s="1997"/>
      <c r="BA104" s="1997"/>
      <c r="BB104" s="1997"/>
      <c r="BC104" s="1997"/>
      <c r="BD104" s="1997"/>
      <c r="BE104" s="1997"/>
      <c r="BF104" s="1997"/>
      <c r="BG104" s="1997"/>
      <c r="BH104" s="1997"/>
      <c r="BI104" s="1997"/>
      <c r="BJ104" s="1997"/>
      <c r="BK104" s="1997"/>
      <c r="BL104" s="1997"/>
      <c r="BM104" s="1997"/>
      <c r="BN104" s="1997"/>
      <c r="BO104" s="1997"/>
      <c r="BP104" s="1997"/>
      <c r="BQ104" s="1997"/>
      <c r="BR104" s="1997"/>
      <c r="BS104" s="1997"/>
      <c r="BT104" s="1997"/>
      <c r="BU104" s="1997"/>
      <c r="BV104" s="1997"/>
      <c r="BW104" s="1997"/>
      <c r="BX104" s="1997"/>
      <c r="BY104" s="1997"/>
      <c r="BZ104" s="1997"/>
      <c r="CA104" s="1997"/>
      <c r="CB104" s="1997"/>
      <c r="CC104" s="1997"/>
      <c r="CD104" s="1997"/>
      <c r="CE104" s="1997"/>
      <c r="CF104" s="1997"/>
      <c r="CG104" s="1997"/>
      <c r="CH104" s="1997"/>
      <c r="CI104" s="1997"/>
      <c r="CJ104" s="1997"/>
      <c r="CK104" s="1997"/>
      <c r="CL104" s="1997"/>
      <c r="CM104" s="1997"/>
      <c r="CN104" s="1997"/>
      <c r="CO104" s="1997"/>
      <c r="CP104" s="1997"/>
      <c r="CQ104" s="1997"/>
      <c r="CR104" s="1997"/>
      <c r="CS104" s="1997"/>
      <c r="CT104" s="1997"/>
      <c r="CU104" s="1997"/>
      <c r="CV104" s="1997"/>
      <c r="CW104" s="1997"/>
      <c r="CX104" s="1997"/>
      <c r="CY104" s="1997"/>
      <c r="CZ104" s="1997"/>
      <c r="DA104" s="1997"/>
      <c r="DB104" s="1997"/>
      <c r="DC104" s="1997"/>
      <c r="DD104" s="1997"/>
      <c r="DE104" s="1997"/>
      <c r="DF104" s="1997"/>
      <c r="DG104" s="1997"/>
      <c r="DH104" s="1997"/>
      <c r="DI104" s="1997"/>
      <c r="DJ104" s="1997"/>
      <c r="DK104" s="1997"/>
      <c r="DL104" s="1997"/>
      <c r="DM104" s="1997"/>
      <c r="DN104" s="1997"/>
      <c r="DO104" s="1997"/>
      <c r="DP104" s="1997"/>
      <c r="DQ104" s="1997"/>
      <c r="DR104" s="1997"/>
      <c r="DS104" s="1997"/>
      <c r="DT104" s="1997"/>
      <c r="DU104" s="1997"/>
      <c r="DV104" s="1997"/>
      <c r="DW104" s="1997"/>
      <c r="DX104" s="1997"/>
      <c r="DY104" s="1997"/>
      <c r="DZ104" s="1997"/>
      <c r="EA104" s="1997"/>
      <c r="EB104" s="1997"/>
      <c r="EC104" s="1997"/>
      <c r="ED104" s="1997"/>
      <c r="EE104" s="1997"/>
      <c r="EF104" s="1997"/>
      <c r="EG104" s="1997"/>
      <c r="EH104" s="1997"/>
      <c r="EI104" s="1997"/>
      <c r="EJ104" s="1997"/>
      <c r="EK104" s="1997"/>
      <c r="EL104" s="1997"/>
      <c r="EM104" s="1997"/>
      <c r="EN104" s="1997"/>
      <c r="EO104" s="1997"/>
      <c r="EP104" s="1997"/>
      <c r="EQ104" s="1997"/>
      <c r="ER104" s="1997"/>
      <c r="ES104" s="1997"/>
      <c r="ET104" s="1997"/>
      <c r="EU104" s="1997"/>
      <c r="EV104" s="1997"/>
      <c r="EW104" s="1997"/>
      <c r="EX104" s="1997"/>
      <c r="EY104" s="1997"/>
      <c r="EZ104" s="1997"/>
      <c r="FA104" s="1997"/>
      <c r="FB104" s="1997"/>
      <c r="FC104" s="1997"/>
      <c r="FD104" s="1997"/>
      <c r="FE104" s="1997"/>
      <c r="FF104" s="1997"/>
      <c r="FG104" s="1997"/>
      <c r="FH104" s="1997"/>
      <c r="FI104" s="1997"/>
      <c r="FJ104" s="1997"/>
      <c r="FK104" s="1997"/>
      <c r="FL104" s="1997"/>
      <c r="FM104" s="1997"/>
      <c r="FN104" s="1997"/>
      <c r="FO104" s="1997"/>
      <c r="FP104" s="1997"/>
      <c r="FQ104" s="1997"/>
      <c r="FR104" s="1997"/>
      <c r="FS104" s="1997"/>
      <c r="FT104" s="1997"/>
      <c r="FU104" s="1997"/>
      <c r="FV104" s="1997"/>
      <c r="FW104" s="1997"/>
      <c r="FX104" s="1997"/>
      <c r="FY104" s="1997"/>
      <c r="FZ104" s="1997"/>
      <c r="GA104" s="1997"/>
      <c r="GB104" s="1997"/>
      <c r="GC104" s="1997"/>
      <c r="GD104" s="1997"/>
      <c r="GE104" s="1997"/>
      <c r="GF104" s="1997"/>
      <c r="GG104" s="1997"/>
      <c r="GH104" s="1997"/>
      <c r="GI104" s="1997"/>
      <c r="GJ104" s="1997"/>
      <c r="GK104" s="1997"/>
      <c r="GL104" s="1997"/>
      <c r="GM104" s="1997"/>
      <c r="GN104" s="1997"/>
      <c r="GO104" s="1997"/>
      <c r="GP104" s="1997"/>
      <c r="GQ104" s="1997"/>
      <c r="GR104" s="1997"/>
      <c r="GS104" s="1997"/>
      <c r="GT104" s="1997"/>
      <c r="GU104" s="1997"/>
      <c r="GV104" s="1997"/>
      <c r="GW104" s="1997"/>
      <c r="GX104" s="1997"/>
      <c r="GY104" s="1997"/>
      <c r="GZ104" s="1997"/>
      <c r="HA104" s="1997"/>
      <c r="HB104" s="1997"/>
      <c r="HC104" s="1997"/>
      <c r="HD104" s="1997"/>
      <c r="HE104" s="1997"/>
      <c r="HF104" s="1997"/>
      <c r="HG104" s="1997"/>
      <c r="HH104" s="1997"/>
      <c r="HI104" s="1997"/>
      <c r="HJ104" s="1997"/>
      <c r="HK104" s="1997"/>
      <c r="HL104" s="1997"/>
      <c r="HM104" s="1997"/>
      <c r="HN104" s="1997"/>
      <c r="HO104" s="1997"/>
      <c r="HP104" s="1997"/>
      <c r="HQ104" s="1997"/>
      <c r="HR104" s="1997"/>
      <c r="HS104" s="1997"/>
      <c r="HT104" s="1997"/>
      <c r="HU104" s="1997"/>
      <c r="HV104" s="1997"/>
      <c r="HW104" s="1997"/>
      <c r="HX104" s="1997"/>
      <c r="HY104" s="1997"/>
      <c r="HZ104" s="1997"/>
      <c r="IA104" s="1997"/>
      <c r="IB104" s="1997"/>
      <c r="IC104" s="1997"/>
      <c r="ID104" s="1997"/>
      <c r="IE104" s="1997"/>
      <c r="IF104" s="1997"/>
      <c r="IG104" s="1997"/>
      <c r="IH104" s="1997"/>
      <c r="II104" s="1997"/>
      <c r="IJ104" s="1997"/>
      <c r="IK104" s="1997"/>
      <c r="IL104" s="1997"/>
      <c r="IM104" s="1997"/>
      <c r="IN104" s="1997"/>
      <c r="IO104" s="1997"/>
      <c r="IP104" s="1997"/>
      <c r="IQ104" s="1997"/>
    </row>
    <row r="105" spans="1:251" hidden="1">
      <c r="A105" s="1993"/>
      <c r="B105" s="1993"/>
      <c r="C105" s="1993"/>
      <c r="D105" s="2021"/>
      <c r="E105" s="1993"/>
      <c r="F105" s="1940">
        <f t="shared" si="44"/>
        <v>0</v>
      </c>
      <c r="G105" s="1993"/>
      <c r="H105" s="1940">
        <f t="shared" si="45"/>
        <v>0</v>
      </c>
      <c r="I105" s="1993"/>
      <c r="J105" s="1940">
        <f t="shared" si="46"/>
        <v>0</v>
      </c>
      <c r="K105" s="1993"/>
      <c r="L105" s="1940">
        <f t="shared" si="47"/>
        <v>0</v>
      </c>
      <c r="M105" s="1940">
        <f t="shared" si="48"/>
        <v>0</v>
      </c>
      <c r="N105" s="1940">
        <f t="shared" si="49"/>
        <v>0</v>
      </c>
      <c r="O105" s="1993"/>
      <c r="P105" s="1993"/>
      <c r="Q105" s="1940">
        <f t="shared" si="50"/>
        <v>0</v>
      </c>
      <c r="R105" s="1940">
        <f t="shared" si="51"/>
        <v>0</v>
      </c>
      <c r="S105" s="1940">
        <f t="shared" si="52"/>
        <v>0</v>
      </c>
      <c r="T105" s="1940">
        <f t="shared" si="53"/>
        <v>0</v>
      </c>
      <c r="U105" s="1940">
        <f t="shared" si="54"/>
        <v>0</v>
      </c>
      <c r="V105" s="1997"/>
      <c r="W105" s="1997"/>
      <c r="X105" s="1997"/>
      <c r="Y105" s="1997"/>
      <c r="Z105" s="1997"/>
      <c r="AA105" s="1997"/>
      <c r="AB105" s="1997"/>
      <c r="AC105" s="1997"/>
      <c r="AD105" s="1997"/>
      <c r="AE105" s="1997"/>
      <c r="AF105" s="1997"/>
      <c r="AG105" s="1997"/>
      <c r="AH105" s="1997"/>
      <c r="AI105" s="1997"/>
      <c r="AJ105" s="1997"/>
      <c r="AK105" s="1997"/>
      <c r="AL105" s="1997"/>
      <c r="AM105" s="1997"/>
      <c r="AN105" s="1997"/>
      <c r="AO105" s="1997"/>
      <c r="AP105" s="1997"/>
      <c r="AQ105" s="1997"/>
      <c r="AR105" s="1997"/>
      <c r="AS105" s="1997"/>
      <c r="AT105" s="1997"/>
      <c r="AU105" s="1997"/>
      <c r="AV105" s="1997"/>
      <c r="AW105" s="1997"/>
      <c r="AX105" s="1997"/>
      <c r="AY105" s="1997"/>
      <c r="AZ105" s="1997"/>
      <c r="BA105" s="1997"/>
      <c r="BB105" s="1997"/>
      <c r="BC105" s="1997"/>
      <c r="BD105" s="1997"/>
      <c r="BE105" s="1997"/>
      <c r="BF105" s="1997"/>
      <c r="BG105" s="1997"/>
      <c r="BH105" s="1997"/>
      <c r="BI105" s="1997"/>
      <c r="BJ105" s="1997"/>
      <c r="BK105" s="1997"/>
      <c r="BL105" s="1997"/>
      <c r="BM105" s="1997"/>
      <c r="BN105" s="1997"/>
      <c r="BO105" s="1997"/>
      <c r="BP105" s="1997"/>
      <c r="BQ105" s="1997"/>
      <c r="BR105" s="1997"/>
      <c r="BS105" s="1997"/>
      <c r="BT105" s="1997"/>
      <c r="BU105" s="1997"/>
      <c r="BV105" s="1997"/>
      <c r="BW105" s="1997"/>
      <c r="BX105" s="1997"/>
      <c r="BY105" s="1997"/>
      <c r="BZ105" s="1997"/>
      <c r="CA105" s="1997"/>
      <c r="CB105" s="1997"/>
      <c r="CC105" s="1997"/>
      <c r="CD105" s="1997"/>
      <c r="CE105" s="1997"/>
      <c r="CF105" s="1997"/>
      <c r="CG105" s="1997"/>
      <c r="CH105" s="1997"/>
      <c r="CI105" s="1997"/>
      <c r="CJ105" s="1997"/>
      <c r="CK105" s="1997"/>
      <c r="CL105" s="1997"/>
      <c r="CM105" s="1997"/>
      <c r="CN105" s="1997"/>
      <c r="CO105" s="1997"/>
      <c r="CP105" s="1997"/>
      <c r="CQ105" s="1997"/>
      <c r="CR105" s="1997"/>
      <c r="CS105" s="1997"/>
      <c r="CT105" s="1997"/>
      <c r="CU105" s="1997"/>
      <c r="CV105" s="1997"/>
      <c r="CW105" s="1997"/>
      <c r="CX105" s="1997"/>
      <c r="CY105" s="1997"/>
      <c r="CZ105" s="1997"/>
      <c r="DA105" s="1997"/>
      <c r="DB105" s="1997"/>
      <c r="DC105" s="1997"/>
      <c r="DD105" s="1997"/>
      <c r="DE105" s="1997"/>
      <c r="DF105" s="1997"/>
      <c r="DG105" s="1997"/>
      <c r="DH105" s="1997"/>
      <c r="DI105" s="1997"/>
      <c r="DJ105" s="1997"/>
      <c r="DK105" s="1997"/>
      <c r="DL105" s="1997"/>
      <c r="DM105" s="1997"/>
      <c r="DN105" s="1997"/>
      <c r="DO105" s="1997"/>
      <c r="DP105" s="1997"/>
      <c r="DQ105" s="1997"/>
      <c r="DR105" s="1997"/>
      <c r="DS105" s="1997"/>
      <c r="DT105" s="1997"/>
      <c r="DU105" s="1997"/>
      <c r="DV105" s="1997"/>
      <c r="DW105" s="1997"/>
      <c r="DX105" s="1997"/>
      <c r="DY105" s="1997"/>
      <c r="DZ105" s="1997"/>
      <c r="EA105" s="1997"/>
      <c r="EB105" s="1997"/>
      <c r="EC105" s="1997"/>
      <c r="ED105" s="1997"/>
      <c r="EE105" s="1997"/>
      <c r="EF105" s="1997"/>
      <c r="EG105" s="1997"/>
      <c r="EH105" s="1997"/>
      <c r="EI105" s="1997"/>
      <c r="EJ105" s="1997"/>
      <c r="EK105" s="1997"/>
      <c r="EL105" s="1997"/>
      <c r="EM105" s="1997"/>
      <c r="EN105" s="1997"/>
      <c r="EO105" s="1997"/>
      <c r="EP105" s="1997"/>
      <c r="EQ105" s="1997"/>
      <c r="ER105" s="1997"/>
      <c r="ES105" s="1997"/>
      <c r="ET105" s="1997"/>
      <c r="EU105" s="1997"/>
      <c r="EV105" s="1997"/>
      <c r="EW105" s="1997"/>
      <c r="EX105" s="1997"/>
      <c r="EY105" s="1997"/>
      <c r="EZ105" s="1997"/>
      <c r="FA105" s="1997"/>
      <c r="FB105" s="1997"/>
      <c r="FC105" s="1997"/>
      <c r="FD105" s="1997"/>
      <c r="FE105" s="1997"/>
      <c r="FF105" s="1997"/>
      <c r="FG105" s="1997"/>
      <c r="FH105" s="1997"/>
      <c r="FI105" s="1997"/>
      <c r="FJ105" s="1997"/>
      <c r="FK105" s="1997"/>
      <c r="FL105" s="1997"/>
      <c r="FM105" s="1997"/>
      <c r="FN105" s="1997"/>
      <c r="FO105" s="1997"/>
      <c r="FP105" s="1997"/>
      <c r="FQ105" s="1997"/>
      <c r="FR105" s="1997"/>
      <c r="FS105" s="1997"/>
      <c r="FT105" s="1997"/>
      <c r="FU105" s="1997"/>
      <c r="FV105" s="1997"/>
      <c r="FW105" s="1997"/>
      <c r="FX105" s="1997"/>
      <c r="FY105" s="1997"/>
      <c r="FZ105" s="1997"/>
      <c r="GA105" s="1997"/>
      <c r="GB105" s="1997"/>
      <c r="GC105" s="1997"/>
      <c r="GD105" s="1997"/>
      <c r="GE105" s="1997"/>
      <c r="GF105" s="1997"/>
      <c r="GG105" s="1997"/>
      <c r="GH105" s="1997"/>
      <c r="GI105" s="1997"/>
      <c r="GJ105" s="1997"/>
      <c r="GK105" s="1997"/>
      <c r="GL105" s="1997"/>
      <c r="GM105" s="1997"/>
      <c r="GN105" s="1997"/>
      <c r="GO105" s="1997"/>
      <c r="GP105" s="1997"/>
      <c r="GQ105" s="1997"/>
      <c r="GR105" s="1997"/>
      <c r="GS105" s="1997"/>
      <c r="GT105" s="1997"/>
      <c r="GU105" s="1997"/>
      <c r="GV105" s="1997"/>
      <c r="GW105" s="1997"/>
      <c r="GX105" s="1997"/>
      <c r="GY105" s="1997"/>
      <c r="GZ105" s="1997"/>
      <c r="HA105" s="1997"/>
      <c r="HB105" s="1997"/>
      <c r="HC105" s="1997"/>
      <c r="HD105" s="1997"/>
      <c r="HE105" s="1997"/>
      <c r="HF105" s="1997"/>
      <c r="HG105" s="1997"/>
      <c r="HH105" s="1997"/>
      <c r="HI105" s="1997"/>
      <c r="HJ105" s="1997"/>
      <c r="HK105" s="1997"/>
      <c r="HL105" s="1997"/>
      <c r="HM105" s="1997"/>
      <c r="HN105" s="1997"/>
      <c r="HO105" s="1997"/>
      <c r="HP105" s="1997"/>
      <c r="HQ105" s="1997"/>
      <c r="HR105" s="1997"/>
      <c r="HS105" s="1997"/>
      <c r="HT105" s="1997"/>
      <c r="HU105" s="1997"/>
      <c r="HV105" s="1997"/>
      <c r="HW105" s="1997"/>
      <c r="HX105" s="1997"/>
      <c r="HY105" s="1997"/>
      <c r="HZ105" s="1997"/>
      <c r="IA105" s="1997"/>
      <c r="IB105" s="1997"/>
      <c r="IC105" s="1997"/>
      <c r="ID105" s="1997"/>
      <c r="IE105" s="1997"/>
      <c r="IF105" s="1997"/>
      <c r="IG105" s="1997"/>
      <c r="IH105" s="1997"/>
      <c r="II105" s="1997"/>
      <c r="IJ105" s="1997"/>
      <c r="IK105" s="1997"/>
      <c r="IL105" s="1997"/>
      <c r="IM105" s="1997"/>
      <c r="IN105" s="1997"/>
      <c r="IO105" s="1997"/>
      <c r="IP105" s="1997"/>
      <c r="IQ105" s="1997"/>
    </row>
    <row r="106" spans="1:251" hidden="1">
      <c r="A106" s="1993"/>
      <c r="B106" s="1993"/>
      <c r="C106" s="1993"/>
      <c r="D106" s="2021"/>
      <c r="E106" s="1993"/>
      <c r="F106" s="1940">
        <f t="shared" si="44"/>
        <v>0</v>
      </c>
      <c r="G106" s="1993"/>
      <c r="H106" s="1940">
        <f t="shared" si="45"/>
        <v>0</v>
      </c>
      <c r="I106" s="1993"/>
      <c r="J106" s="1940">
        <f t="shared" si="46"/>
        <v>0</v>
      </c>
      <c r="K106" s="1993"/>
      <c r="L106" s="1940">
        <f t="shared" si="47"/>
        <v>0</v>
      </c>
      <c r="M106" s="1940">
        <f t="shared" si="48"/>
        <v>0</v>
      </c>
      <c r="N106" s="1940">
        <f t="shared" si="49"/>
        <v>0</v>
      </c>
      <c r="O106" s="1993"/>
      <c r="P106" s="1993"/>
      <c r="Q106" s="1940">
        <f t="shared" si="50"/>
        <v>0</v>
      </c>
      <c r="R106" s="1940">
        <f t="shared" si="51"/>
        <v>0</v>
      </c>
      <c r="S106" s="1940">
        <f t="shared" si="52"/>
        <v>0</v>
      </c>
      <c r="T106" s="1940">
        <f t="shared" si="53"/>
        <v>0</v>
      </c>
      <c r="U106" s="1940">
        <f t="shared" si="54"/>
        <v>0</v>
      </c>
      <c r="V106" s="1997"/>
      <c r="W106" s="1997"/>
      <c r="X106" s="1997"/>
      <c r="Y106" s="1997"/>
      <c r="Z106" s="1997"/>
      <c r="AA106" s="1997"/>
      <c r="AB106" s="1997"/>
      <c r="AC106" s="1997"/>
      <c r="AD106" s="1997"/>
      <c r="AE106" s="1997"/>
      <c r="AF106" s="1997"/>
      <c r="AG106" s="1997"/>
      <c r="AH106" s="1997"/>
      <c r="AI106" s="1997"/>
      <c r="AJ106" s="1997"/>
      <c r="AK106" s="1997"/>
      <c r="AL106" s="1997"/>
      <c r="AM106" s="1997"/>
      <c r="AN106" s="1997"/>
      <c r="AO106" s="1997"/>
      <c r="AP106" s="1997"/>
      <c r="AQ106" s="1997"/>
      <c r="AR106" s="1997"/>
      <c r="AS106" s="1997"/>
      <c r="AT106" s="1997"/>
      <c r="AU106" s="1997"/>
      <c r="AV106" s="1997"/>
      <c r="AW106" s="1997"/>
      <c r="AX106" s="1997"/>
      <c r="AY106" s="1997"/>
      <c r="AZ106" s="1997"/>
      <c r="BA106" s="1997"/>
      <c r="BB106" s="1997"/>
      <c r="BC106" s="1997"/>
      <c r="BD106" s="1997"/>
      <c r="BE106" s="1997"/>
      <c r="BF106" s="1997"/>
      <c r="BG106" s="1997"/>
      <c r="BH106" s="1997"/>
      <c r="BI106" s="1997"/>
      <c r="BJ106" s="1997"/>
      <c r="BK106" s="1997"/>
      <c r="BL106" s="1997"/>
      <c r="BM106" s="1997"/>
      <c r="BN106" s="1997"/>
      <c r="BO106" s="1997"/>
      <c r="BP106" s="1997"/>
      <c r="BQ106" s="1997"/>
      <c r="BR106" s="1997"/>
      <c r="BS106" s="1997"/>
      <c r="BT106" s="1997"/>
      <c r="BU106" s="1997"/>
      <c r="BV106" s="1997"/>
      <c r="BW106" s="1997"/>
      <c r="BX106" s="1997"/>
      <c r="BY106" s="1997"/>
      <c r="BZ106" s="1997"/>
      <c r="CA106" s="1997"/>
      <c r="CB106" s="1997"/>
      <c r="CC106" s="1997"/>
      <c r="CD106" s="1997"/>
      <c r="CE106" s="1997"/>
      <c r="CF106" s="1997"/>
      <c r="CG106" s="1997"/>
      <c r="CH106" s="1997"/>
      <c r="CI106" s="1997"/>
      <c r="CJ106" s="1997"/>
      <c r="CK106" s="1997"/>
      <c r="CL106" s="1997"/>
      <c r="CM106" s="1997"/>
      <c r="CN106" s="1997"/>
      <c r="CO106" s="1997"/>
      <c r="CP106" s="1997"/>
      <c r="CQ106" s="1997"/>
      <c r="CR106" s="1997"/>
      <c r="CS106" s="1997"/>
      <c r="CT106" s="1997"/>
      <c r="CU106" s="1997"/>
      <c r="CV106" s="1997"/>
      <c r="CW106" s="1997"/>
      <c r="CX106" s="1997"/>
      <c r="CY106" s="1997"/>
      <c r="CZ106" s="1997"/>
      <c r="DA106" s="1997"/>
      <c r="DB106" s="1997"/>
      <c r="DC106" s="1997"/>
      <c r="DD106" s="1997"/>
      <c r="DE106" s="1997"/>
      <c r="DF106" s="1997"/>
      <c r="DG106" s="1997"/>
      <c r="DH106" s="1997"/>
      <c r="DI106" s="1997"/>
      <c r="DJ106" s="1997"/>
      <c r="DK106" s="1997"/>
      <c r="DL106" s="1997"/>
      <c r="DM106" s="1997"/>
      <c r="DN106" s="1997"/>
      <c r="DO106" s="1997"/>
      <c r="DP106" s="1997"/>
      <c r="DQ106" s="1997"/>
      <c r="DR106" s="1997"/>
      <c r="DS106" s="1997"/>
      <c r="DT106" s="1997"/>
      <c r="DU106" s="1997"/>
      <c r="DV106" s="1997"/>
      <c r="DW106" s="1997"/>
      <c r="DX106" s="1997"/>
      <c r="DY106" s="1997"/>
      <c r="DZ106" s="1997"/>
      <c r="EA106" s="1997"/>
      <c r="EB106" s="1997"/>
      <c r="EC106" s="1997"/>
      <c r="ED106" s="1997"/>
      <c r="EE106" s="1997"/>
      <c r="EF106" s="1997"/>
      <c r="EG106" s="1997"/>
      <c r="EH106" s="1997"/>
      <c r="EI106" s="1997"/>
      <c r="EJ106" s="1997"/>
      <c r="EK106" s="1997"/>
      <c r="EL106" s="1997"/>
      <c r="EM106" s="1997"/>
      <c r="EN106" s="1997"/>
      <c r="EO106" s="1997"/>
      <c r="EP106" s="1997"/>
      <c r="EQ106" s="1997"/>
      <c r="ER106" s="1997"/>
      <c r="ES106" s="1997"/>
      <c r="ET106" s="1997"/>
      <c r="EU106" s="1997"/>
      <c r="EV106" s="1997"/>
      <c r="EW106" s="1997"/>
      <c r="EX106" s="1997"/>
      <c r="EY106" s="1997"/>
      <c r="EZ106" s="1997"/>
      <c r="FA106" s="1997"/>
      <c r="FB106" s="1997"/>
      <c r="FC106" s="1997"/>
      <c r="FD106" s="1997"/>
      <c r="FE106" s="1997"/>
      <c r="FF106" s="1997"/>
      <c r="FG106" s="1997"/>
      <c r="FH106" s="1997"/>
      <c r="FI106" s="1997"/>
      <c r="FJ106" s="1997"/>
      <c r="FK106" s="1997"/>
      <c r="FL106" s="1997"/>
      <c r="FM106" s="1997"/>
      <c r="FN106" s="1997"/>
      <c r="FO106" s="1997"/>
      <c r="FP106" s="1997"/>
      <c r="FQ106" s="1997"/>
      <c r="FR106" s="1997"/>
      <c r="FS106" s="1997"/>
      <c r="FT106" s="1997"/>
      <c r="FU106" s="1997"/>
      <c r="FV106" s="1997"/>
      <c r="FW106" s="1997"/>
      <c r="FX106" s="1997"/>
      <c r="FY106" s="1997"/>
      <c r="FZ106" s="1997"/>
      <c r="GA106" s="1997"/>
      <c r="GB106" s="1997"/>
      <c r="GC106" s="1997"/>
      <c r="GD106" s="1997"/>
      <c r="GE106" s="1997"/>
      <c r="GF106" s="1997"/>
      <c r="GG106" s="1997"/>
      <c r="GH106" s="1997"/>
      <c r="GI106" s="1997"/>
      <c r="GJ106" s="1997"/>
      <c r="GK106" s="1997"/>
      <c r="GL106" s="1997"/>
      <c r="GM106" s="1997"/>
      <c r="GN106" s="1997"/>
      <c r="GO106" s="1997"/>
      <c r="GP106" s="1997"/>
      <c r="GQ106" s="1997"/>
      <c r="GR106" s="1997"/>
      <c r="GS106" s="1997"/>
      <c r="GT106" s="1997"/>
      <c r="GU106" s="1997"/>
      <c r="GV106" s="1997"/>
      <c r="GW106" s="1997"/>
      <c r="GX106" s="1997"/>
      <c r="GY106" s="1997"/>
      <c r="GZ106" s="1997"/>
      <c r="HA106" s="1997"/>
      <c r="HB106" s="1997"/>
      <c r="HC106" s="1997"/>
      <c r="HD106" s="1997"/>
      <c r="HE106" s="1997"/>
      <c r="HF106" s="1997"/>
      <c r="HG106" s="1997"/>
      <c r="HH106" s="1997"/>
      <c r="HI106" s="1997"/>
      <c r="HJ106" s="1997"/>
      <c r="HK106" s="1997"/>
      <c r="HL106" s="1997"/>
      <c r="HM106" s="1997"/>
      <c r="HN106" s="1997"/>
      <c r="HO106" s="1997"/>
      <c r="HP106" s="1997"/>
      <c r="HQ106" s="1997"/>
      <c r="HR106" s="1997"/>
      <c r="HS106" s="1997"/>
      <c r="HT106" s="1997"/>
      <c r="HU106" s="1997"/>
      <c r="HV106" s="1997"/>
      <c r="HW106" s="1997"/>
      <c r="HX106" s="1997"/>
      <c r="HY106" s="1997"/>
      <c r="HZ106" s="1997"/>
      <c r="IA106" s="1997"/>
      <c r="IB106" s="1997"/>
      <c r="IC106" s="1997"/>
      <c r="ID106" s="1997"/>
      <c r="IE106" s="1997"/>
      <c r="IF106" s="1997"/>
      <c r="IG106" s="1997"/>
      <c r="IH106" s="1997"/>
      <c r="II106" s="1997"/>
      <c r="IJ106" s="1997"/>
      <c r="IK106" s="1997"/>
      <c r="IL106" s="1997"/>
      <c r="IM106" s="1997"/>
      <c r="IN106" s="1997"/>
      <c r="IO106" s="1997"/>
      <c r="IP106" s="1997"/>
      <c r="IQ106" s="1997"/>
    </row>
    <row r="107" spans="1:251" hidden="1">
      <c r="A107" s="1993"/>
      <c r="B107" s="1993"/>
      <c r="C107" s="1993"/>
      <c r="D107" s="2021"/>
      <c r="E107" s="1993"/>
      <c r="F107" s="1940">
        <f t="shared" si="44"/>
        <v>0</v>
      </c>
      <c r="G107" s="1993"/>
      <c r="H107" s="1940">
        <f t="shared" si="45"/>
        <v>0</v>
      </c>
      <c r="I107" s="1993"/>
      <c r="J107" s="1940">
        <f t="shared" si="46"/>
        <v>0</v>
      </c>
      <c r="K107" s="1993"/>
      <c r="L107" s="1940">
        <f t="shared" si="47"/>
        <v>0</v>
      </c>
      <c r="M107" s="1940">
        <f t="shared" si="48"/>
        <v>0</v>
      </c>
      <c r="N107" s="1940">
        <f t="shared" si="49"/>
        <v>0</v>
      </c>
      <c r="O107" s="1993"/>
      <c r="P107" s="1993"/>
      <c r="Q107" s="1940">
        <f t="shared" si="50"/>
        <v>0</v>
      </c>
      <c r="R107" s="1940">
        <f t="shared" si="51"/>
        <v>0</v>
      </c>
      <c r="S107" s="1940">
        <f t="shared" si="52"/>
        <v>0</v>
      </c>
      <c r="T107" s="1940">
        <f t="shared" si="53"/>
        <v>0</v>
      </c>
      <c r="U107" s="1940">
        <f t="shared" si="54"/>
        <v>0</v>
      </c>
      <c r="V107" s="1997"/>
      <c r="W107" s="1997"/>
      <c r="X107" s="1997"/>
      <c r="Y107" s="1997"/>
      <c r="Z107" s="1997"/>
      <c r="AA107" s="1997"/>
      <c r="AB107" s="1997"/>
      <c r="AC107" s="1997"/>
      <c r="AD107" s="1997"/>
      <c r="AE107" s="1997"/>
      <c r="AF107" s="1997"/>
      <c r="AG107" s="1997"/>
      <c r="AH107" s="1997"/>
      <c r="AI107" s="1997"/>
      <c r="AJ107" s="1997"/>
      <c r="AK107" s="1997"/>
      <c r="AL107" s="1997"/>
      <c r="AM107" s="1997"/>
      <c r="AN107" s="1997"/>
      <c r="AO107" s="1997"/>
      <c r="AP107" s="1997"/>
      <c r="AQ107" s="1997"/>
      <c r="AR107" s="1997"/>
      <c r="AS107" s="1997"/>
      <c r="AT107" s="1997"/>
      <c r="AU107" s="1997"/>
      <c r="AV107" s="1997"/>
      <c r="AW107" s="1997"/>
      <c r="AX107" s="1997"/>
      <c r="AY107" s="1997"/>
      <c r="AZ107" s="1997"/>
      <c r="BA107" s="1997"/>
      <c r="BB107" s="1997"/>
      <c r="BC107" s="1997"/>
      <c r="BD107" s="1997"/>
      <c r="BE107" s="1997"/>
      <c r="BF107" s="1997"/>
      <c r="BG107" s="1997"/>
      <c r="BH107" s="1997"/>
      <c r="BI107" s="1997"/>
      <c r="BJ107" s="1997"/>
      <c r="BK107" s="1997"/>
      <c r="BL107" s="1997"/>
      <c r="BM107" s="1997"/>
      <c r="BN107" s="1997"/>
      <c r="BO107" s="1997"/>
      <c r="BP107" s="1997"/>
      <c r="BQ107" s="1997"/>
      <c r="BR107" s="1997"/>
      <c r="BS107" s="1997"/>
      <c r="BT107" s="1997"/>
      <c r="BU107" s="1997"/>
      <c r="BV107" s="1997"/>
      <c r="BW107" s="1997"/>
      <c r="BX107" s="1997"/>
      <c r="BY107" s="1997"/>
      <c r="BZ107" s="1997"/>
      <c r="CA107" s="1997"/>
      <c r="CB107" s="1997"/>
      <c r="CC107" s="1997"/>
      <c r="CD107" s="1997"/>
      <c r="CE107" s="1997"/>
      <c r="CF107" s="1997"/>
      <c r="CG107" s="1997"/>
      <c r="CH107" s="1997"/>
      <c r="CI107" s="1997"/>
      <c r="CJ107" s="1997"/>
      <c r="CK107" s="1997"/>
      <c r="CL107" s="1997"/>
      <c r="CM107" s="1997"/>
      <c r="CN107" s="1997"/>
      <c r="CO107" s="1997"/>
      <c r="CP107" s="1997"/>
      <c r="CQ107" s="1997"/>
      <c r="CR107" s="1997"/>
      <c r="CS107" s="1997"/>
      <c r="CT107" s="1997"/>
      <c r="CU107" s="1997"/>
      <c r="CV107" s="1997"/>
      <c r="CW107" s="1997"/>
      <c r="CX107" s="1997"/>
      <c r="CY107" s="1997"/>
      <c r="CZ107" s="1997"/>
      <c r="DA107" s="1997"/>
      <c r="DB107" s="1997"/>
      <c r="DC107" s="1997"/>
      <c r="DD107" s="1997"/>
      <c r="DE107" s="1997"/>
      <c r="DF107" s="1997"/>
      <c r="DG107" s="1997"/>
      <c r="DH107" s="1997"/>
      <c r="DI107" s="1997"/>
      <c r="DJ107" s="1997"/>
      <c r="DK107" s="1997"/>
      <c r="DL107" s="1997"/>
      <c r="DM107" s="1997"/>
      <c r="DN107" s="1997"/>
      <c r="DO107" s="1997"/>
      <c r="DP107" s="1997"/>
      <c r="DQ107" s="1997"/>
      <c r="DR107" s="1997"/>
      <c r="DS107" s="1997"/>
      <c r="DT107" s="1997"/>
      <c r="DU107" s="1997"/>
      <c r="DV107" s="1997"/>
      <c r="DW107" s="1997"/>
      <c r="DX107" s="1997"/>
      <c r="DY107" s="1997"/>
      <c r="DZ107" s="1997"/>
      <c r="EA107" s="1997"/>
      <c r="EB107" s="1997"/>
      <c r="EC107" s="1997"/>
      <c r="ED107" s="1997"/>
      <c r="EE107" s="1997"/>
      <c r="EF107" s="1997"/>
      <c r="EG107" s="1997"/>
      <c r="EH107" s="1997"/>
      <c r="EI107" s="1997"/>
      <c r="EJ107" s="1997"/>
      <c r="EK107" s="1997"/>
      <c r="EL107" s="1997"/>
      <c r="EM107" s="1997"/>
      <c r="EN107" s="1997"/>
      <c r="EO107" s="1997"/>
      <c r="EP107" s="1997"/>
      <c r="EQ107" s="1997"/>
      <c r="ER107" s="1997"/>
      <c r="ES107" s="1997"/>
      <c r="ET107" s="1997"/>
      <c r="EU107" s="1997"/>
      <c r="EV107" s="1997"/>
      <c r="EW107" s="1997"/>
      <c r="EX107" s="1997"/>
      <c r="EY107" s="1997"/>
      <c r="EZ107" s="1997"/>
      <c r="FA107" s="1997"/>
      <c r="FB107" s="1997"/>
      <c r="FC107" s="1997"/>
      <c r="FD107" s="1997"/>
      <c r="FE107" s="1997"/>
      <c r="FF107" s="1997"/>
      <c r="FG107" s="1997"/>
      <c r="FH107" s="1997"/>
      <c r="FI107" s="1997"/>
      <c r="FJ107" s="1997"/>
      <c r="FK107" s="1997"/>
      <c r="FL107" s="1997"/>
      <c r="FM107" s="1997"/>
      <c r="FN107" s="1997"/>
      <c r="FO107" s="1997"/>
      <c r="FP107" s="1997"/>
      <c r="FQ107" s="1997"/>
      <c r="FR107" s="1997"/>
      <c r="FS107" s="1997"/>
      <c r="FT107" s="1997"/>
      <c r="FU107" s="1997"/>
      <c r="FV107" s="1997"/>
      <c r="FW107" s="1997"/>
      <c r="FX107" s="1997"/>
      <c r="FY107" s="1997"/>
      <c r="FZ107" s="1997"/>
      <c r="GA107" s="1997"/>
      <c r="GB107" s="1997"/>
      <c r="GC107" s="1997"/>
      <c r="GD107" s="1997"/>
      <c r="GE107" s="1997"/>
      <c r="GF107" s="1997"/>
      <c r="GG107" s="1997"/>
      <c r="GH107" s="1997"/>
      <c r="GI107" s="1997"/>
      <c r="GJ107" s="1997"/>
      <c r="GK107" s="1997"/>
      <c r="GL107" s="1997"/>
      <c r="GM107" s="1997"/>
      <c r="GN107" s="1997"/>
      <c r="GO107" s="1997"/>
      <c r="GP107" s="1997"/>
      <c r="GQ107" s="1997"/>
      <c r="GR107" s="1997"/>
      <c r="GS107" s="1997"/>
      <c r="GT107" s="1997"/>
      <c r="GU107" s="1997"/>
      <c r="GV107" s="1997"/>
      <c r="GW107" s="1997"/>
      <c r="GX107" s="1997"/>
      <c r="GY107" s="1997"/>
      <c r="GZ107" s="1997"/>
      <c r="HA107" s="1997"/>
      <c r="HB107" s="1997"/>
      <c r="HC107" s="1997"/>
      <c r="HD107" s="1997"/>
      <c r="HE107" s="1997"/>
      <c r="HF107" s="1997"/>
      <c r="HG107" s="1997"/>
      <c r="HH107" s="1997"/>
      <c r="HI107" s="1997"/>
      <c r="HJ107" s="1997"/>
      <c r="HK107" s="1997"/>
      <c r="HL107" s="1997"/>
      <c r="HM107" s="1997"/>
      <c r="HN107" s="1997"/>
      <c r="HO107" s="1997"/>
      <c r="HP107" s="1997"/>
      <c r="HQ107" s="1997"/>
      <c r="HR107" s="1997"/>
      <c r="HS107" s="1997"/>
      <c r="HT107" s="1997"/>
      <c r="HU107" s="1997"/>
      <c r="HV107" s="1997"/>
      <c r="HW107" s="1997"/>
      <c r="HX107" s="1997"/>
      <c r="HY107" s="1997"/>
      <c r="HZ107" s="1997"/>
      <c r="IA107" s="1997"/>
      <c r="IB107" s="1997"/>
      <c r="IC107" s="1997"/>
      <c r="ID107" s="1997"/>
      <c r="IE107" s="1997"/>
      <c r="IF107" s="1997"/>
      <c r="IG107" s="1997"/>
      <c r="IH107" s="1997"/>
      <c r="II107" s="1997"/>
      <c r="IJ107" s="1997"/>
      <c r="IK107" s="1997"/>
      <c r="IL107" s="1997"/>
      <c r="IM107" s="1997"/>
      <c r="IN107" s="1997"/>
      <c r="IO107" s="1997"/>
      <c r="IP107" s="1997"/>
      <c r="IQ107" s="1997"/>
    </row>
    <row r="108" spans="1:251" hidden="1">
      <c r="A108" s="1993"/>
      <c r="B108" s="1993"/>
      <c r="C108" s="1993"/>
      <c r="D108" s="2021"/>
      <c r="E108" s="1993"/>
      <c r="F108" s="1940">
        <f t="shared" si="44"/>
        <v>0</v>
      </c>
      <c r="G108" s="1993"/>
      <c r="H108" s="1940">
        <f t="shared" si="45"/>
        <v>0</v>
      </c>
      <c r="I108" s="1993"/>
      <c r="J108" s="1940">
        <f t="shared" si="46"/>
        <v>0</v>
      </c>
      <c r="K108" s="1993"/>
      <c r="L108" s="1940">
        <f t="shared" si="47"/>
        <v>0</v>
      </c>
      <c r="M108" s="1940">
        <f t="shared" si="48"/>
        <v>0</v>
      </c>
      <c r="N108" s="1940">
        <f t="shared" si="49"/>
        <v>0</v>
      </c>
      <c r="O108" s="1993"/>
      <c r="P108" s="1993"/>
      <c r="Q108" s="1940">
        <f t="shared" si="50"/>
        <v>0</v>
      </c>
      <c r="R108" s="1940">
        <f t="shared" si="51"/>
        <v>0</v>
      </c>
      <c r="S108" s="1940">
        <f t="shared" si="52"/>
        <v>0</v>
      </c>
      <c r="T108" s="1940">
        <f t="shared" si="53"/>
        <v>0</v>
      </c>
      <c r="U108" s="1940">
        <f t="shared" si="54"/>
        <v>0</v>
      </c>
      <c r="V108" s="1997"/>
      <c r="W108" s="1997"/>
      <c r="X108" s="1997"/>
      <c r="Y108" s="1997"/>
      <c r="Z108" s="1997"/>
      <c r="AA108" s="1997"/>
      <c r="AB108" s="1997"/>
      <c r="AC108" s="1997"/>
      <c r="AD108" s="1997"/>
      <c r="AE108" s="1997"/>
      <c r="AF108" s="1997"/>
      <c r="AG108" s="1997"/>
      <c r="AH108" s="1997"/>
      <c r="AI108" s="1997"/>
      <c r="AJ108" s="1997"/>
      <c r="AK108" s="1997"/>
      <c r="AL108" s="1997"/>
      <c r="AM108" s="1997"/>
      <c r="AN108" s="1997"/>
      <c r="AO108" s="1997"/>
      <c r="AP108" s="1997"/>
      <c r="AQ108" s="1997"/>
      <c r="AR108" s="1997"/>
      <c r="AS108" s="1997"/>
      <c r="AT108" s="1997"/>
      <c r="AU108" s="1997"/>
      <c r="AV108" s="1997"/>
      <c r="AW108" s="1997"/>
      <c r="AX108" s="1997"/>
      <c r="AY108" s="1997"/>
      <c r="AZ108" s="1997"/>
      <c r="BA108" s="1997"/>
      <c r="BB108" s="1997"/>
      <c r="BC108" s="1997"/>
      <c r="BD108" s="1997"/>
      <c r="BE108" s="1997"/>
      <c r="BF108" s="1997"/>
      <c r="BG108" s="1997"/>
      <c r="BH108" s="1997"/>
      <c r="BI108" s="1997"/>
      <c r="BJ108" s="1997"/>
      <c r="BK108" s="1997"/>
      <c r="BL108" s="1997"/>
      <c r="BM108" s="1997"/>
      <c r="BN108" s="1997"/>
      <c r="BO108" s="1997"/>
      <c r="BP108" s="1997"/>
      <c r="BQ108" s="1997"/>
      <c r="BR108" s="1997"/>
      <c r="BS108" s="1997"/>
      <c r="BT108" s="1997"/>
      <c r="BU108" s="1997"/>
      <c r="BV108" s="1997"/>
      <c r="BW108" s="1997"/>
      <c r="BX108" s="1997"/>
      <c r="BY108" s="1997"/>
      <c r="BZ108" s="1997"/>
      <c r="CA108" s="1997"/>
      <c r="CB108" s="1997"/>
      <c r="CC108" s="1997"/>
      <c r="CD108" s="1997"/>
      <c r="CE108" s="1997"/>
      <c r="CF108" s="1997"/>
      <c r="CG108" s="1997"/>
      <c r="CH108" s="1997"/>
      <c r="CI108" s="1997"/>
      <c r="CJ108" s="1997"/>
      <c r="CK108" s="1997"/>
      <c r="CL108" s="1997"/>
      <c r="CM108" s="1997"/>
      <c r="CN108" s="1997"/>
      <c r="CO108" s="1997"/>
      <c r="CP108" s="1997"/>
      <c r="CQ108" s="1997"/>
      <c r="CR108" s="1997"/>
      <c r="CS108" s="1997"/>
      <c r="CT108" s="1997"/>
      <c r="CU108" s="1997"/>
      <c r="CV108" s="1997"/>
      <c r="CW108" s="1997"/>
      <c r="CX108" s="1997"/>
      <c r="CY108" s="1997"/>
      <c r="CZ108" s="1997"/>
      <c r="DA108" s="1997"/>
      <c r="DB108" s="1997"/>
      <c r="DC108" s="1997"/>
      <c r="DD108" s="1997"/>
      <c r="DE108" s="1997"/>
      <c r="DF108" s="1997"/>
      <c r="DG108" s="1997"/>
      <c r="DH108" s="1997"/>
      <c r="DI108" s="1997"/>
      <c r="DJ108" s="1997"/>
      <c r="DK108" s="1997"/>
      <c r="DL108" s="1997"/>
      <c r="DM108" s="1997"/>
      <c r="DN108" s="1997"/>
      <c r="DO108" s="1997"/>
      <c r="DP108" s="1997"/>
      <c r="DQ108" s="1997"/>
      <c r="DR108" s="1997"/>
      <c r="DS108" s="1997"/>
      <c r="DT108" s="1997"/>
      <c r="DU108" s="1997"/>
      <c r="DV108" s="1997"/>
      <c r="DW108" s="1997"/>
      <c r="DX108" s="1997"/>
      <c r="DY108" s="1997"/>
      <c r="DZ108" s="1997"/>
      <c r="EA108" s="1997"/>
      <c r="EB108" s="1997"/>
      <c r="EC108" s="1997"/>
      <c r="ED108" s="1997"/>
      <c r="EE108" s="1997"/>
      <c r="EF108" s="1997"/>
      <c r="EG108" s="1997"/>
      <c r="EH108" s="1997"/>
      <c r="EI108" s="1997"/>
      <c r="EJ108" s="1997"/>
      <c r="EK108" s="1997"/>
      <c r="EL108" s="1997"/>
      <c r="EM108" s="1997"/>
      <c r="EN108" s="1997"/>
      <c r="EO108" s="1997"/>
      <c r="EP108" s="1997"/>
      <c r="EQ108" s="1997"/>
      <c r="ER108" s="1997"/>
      <c r="ES108" s="1997"/>
      <c r="ET108" s="1997"/>
      <c r="EU108" s="1997"/>
      <c r="EV108" s="1997"/>
      <c r="EW108" s="1997"/>
      <c r="EX108" s="1997"/>
      <c r="EY108" s="1997"/>
      <c r="EZ108" s="1997"/>
      <c r="FA108" s="1997"/>
      <c r="FB108" s="1997"/>
      <c r="FC108" s="1997"/>
      <c r="FD108" s="1997"/>
      <c r="FE108" s="1997"/>
      <c r="FF108" s="1997"/>
      <c r="FG108" s="1997"/>
      <c r="FH108" s="1997"/>
      <c r="FI108" s="1997"/>
      <c r="FJ108" s="1997"/>
      <c r="FK108" s="1997"/>
      <c r="FL108" s="1997"/>
      <c r="FM108" s="1997"/>
      <c r="FN108" s="1997"/>
      <c r="FO108" s="1997"/>
      <c r="FP108" s="1997"/>
      <c r="FQ108" s="1997"/>
      <c r="FR108" s="1997"/>
      <c r="FS108" s="1997"/>
      <c r="FT108" s="1997"/>
      <c r="FU108" s="1997"/>
      <c r="FV108" s="1997"/>
      <c r="FW108" s="1997"/>
      <c r="FX108" s="1997"/>
      <c r="FY108" s="1997"/>
      <c r="FZ108" s="1997"/>
      <c r="GA108" s="1997"/>
      <c r="GB108" s="1997"/>
      <c r="GC108" s="1997"/>
      <c r="GD108" s="1997"/>
      <c r="GE108" s="1997"/>
      <c r="GF108" s="1997"/>
      <c r="GG108" s="1997"/>
      <c r="GH108" s="1997"/>
      <c r="GI108" s="1997"/>
      <c r="GJ108" s="1997"/>
      <c r="GK108" s="1997"/>
      <c r="GL108" s="1997"/>
      <c r="GM108" s="1997"/>
      <c r="GN108" s="1997"/>
      <c r="GO108" s="1997"/>
      <c r="GP108" s="1997"/>
      <c r="GQ108" s="1997"/>
      <c r="GR108" s="1997"/>
      <c r="GS108" s="1997"/>
      <c r="GT108" s="1997"/>
      <c r="GU108" s="1997"/>
      <c r="GV108" s="1997"/>
      <c r="GW108" s="1997"/>
      <c r="GX108" s="1997"/>
      <c r="GY108" s="1997"/>
      <c r="GZ108" s="1997"/>
      <c r="HA108" s="1997"/>
      <c r="HB108" s="1997"/>
      <c r="HC108" s="1997"/>
      <c r="HD108" s="1997"/>
      <c r="HE108" s="1997"/>
      <c r="HF108" s="1997"/>
      <c r="HG108" s="1997"/>
      <c r="HH108" s="1997"/>
      <c r="HI108" s="1997"/>
      <c r="HJ108" s="1997"/>
      <c r="HK108" s="1997"/>
      <c r="HL108" s="1997"/>
      <c r="HM108" s="1997"/>
      <c r="HN108" s="1997"/>
      <c r="HO108" s="1997"/>
      <c r="HP108" s="1997"/>
      <c r="HQ108" s="1997"/>
      <c r="HR108" s="1997"/>
      <c r="HS108" s="1997"/>
      <c r="HT108" s="1997"/>
      <c r="HU108" s="1997"/>
      <c r="HV108" s="1997"/>
      <c r="HW108" s="1997"/>
      <c r="HX108" s="1997"/>
      <c r="HY108" s="1997"/>
      <c r="HZ108" s="1997"/>
      <c r="IA108" s="1997"/>
      <c r="IB108" s="1997"/>
      <c r="IC108" s="1997"/>
      <c r="ID108" s="1997"/>
      <c r="IE108" s="1997"/>
      <c r="IF108" s="1997"/>
      <c r="IG108" s="1997"/>
      <c r="IH108" s="1997"/>
      <c r="II108" s="1997"/>
      <c r="IJ108" s="1997"/>
      <c r="IK108" s="1997"/>
      <c r="IL108" s="1997"/>
      <c r="IM108" s="1997"/>
      <c r="IN108" s="1997"/>
      <c r="IO108" s="1997"/>
      <c r="IP108" s="1997"/>
      <c r="IQ108" s="1997"/>
    </row>
    <row r="109" spans="1:251" ht="14.25" hidden="1" customHeight="1">
      <c r="A109" s="1993"/>
      <c r="B109" s="1993"/>
      <c r="C109" s="1993"/>
      <c r="D109" s="2021"/>
      <c r="E109" s="1993"/>
      <c r="F109" s="1940">
        <f t="shared" si="44"/>
        <v>0</v>
      </c>
      <c r="G109" s="1993"/>
      <c r="H109" s="1940">
        <f t="shared" si="45"/>
        <v>0</v>
      </c>
      <c r="I109" s="1993"/>
      <c r="J109" s="1940">
        <f t="shared" si="46"/>
        <v>0</v>
      </c>
      <c r="K109" s="1993"/>
      <c r="L109" s="1940">
        <f t="shared" si="47"/>
        <v>0</v>
      </c>
      <c r="M109" s="1940">
        <f t="shared" si="48"/>
        <v>0</v>
      </c>
      <c r="N109" s="1940">
        <f t="shared" si="49"/>
        <v>0</v>
      </c>
      <c r="O109" s="1993"/>
      <c r="P109" s="1993"/>
      <c r="Q109" s="1940">
        <f t="shared" si="50"/>
        <v>0</v>
      </c>
      <c r="R109" s="1940">
        <f t="shared" si="51"/>
        <v>0</v>
      </c>
      <c r="S109" s="1940">
        <f t="shared" si="52"/>
        <v>0</v>
      </c>
      <c r="T109" s="1940">
        <f t="shared" si="53"/>
        <v>0</v>
      </c>
      <c r="U109" s="1940">
        <f t="shared" si="54"/>
        <v>0</v>
      </c>
      <c r="V109" s="1997"/>
      <c r="W109" s="1997"/>
      <c r="X109" s="1997"/>
      <c r="Y109" s="1997"/>
      <c r="Z109" s="1997"/>
      <c r="AA109" s="1997"/>
      <c r="AB109" s="1997"/>
      <c r="AC109" s="1997"/>
      <c r="AD109" s="1997"/>
      <c r="AE109" s="1997"/>
      <c r="AF109" s="1997"/>
      <c r="AG109" s="1997"/>
      <c r="AH109" s="1997"/>
      <c r="AI109" s="1997"/>
      <c r="AJ109" s="1997"/>
      <c r="AK109" s="1997"/>
      <c r="AL109" s="1997"/>
      <c r="AM109" s="1997"/>
      <c r="AN109" s="1997"/>
      <c r="AO109" s="1997"/>
      <c r="AP109" s="1997"/>
      <c r="AQ109" s="1997"/>
      <c r="AR109" s="1997"/>
      <c r="AS109" s="1997"/>
      <c r="AT109" s="1997"/>
      <c r="AU109" s="1997"/>
      <c r="AV109" s="1997"/>
      <c r="AW109" s="1997"/>
      <c r="AX109" s="1997"/>
      <c r="AY109" s="1997"/>
      <c r="AZ109" s="1997"/>
      <c r="BA109" s="1997"/>
      <c r="BB109" s="1997"/>
      <c r="BC109" s="1997"/>
      <c r="BD109" s="1997"/>
      <c r="BE109" s="1997"/>
      <c r="BF109" s="1997"/>
      <c r="BG109" s="1997"/>
      <c r="BH109" s="1997"/>
      <c r="BI109" s="1997"/>
      <c r="BJ109" s="1997"/>
      <c r="BK109" s="1997"/>
      <c r="BL109" s="1997"/>
      <c r="BM109" s="1997"/>
      <c r="BN109" s="1997"/>
      <c r="BO109" s="1997"/>
      <c r="BP109" s="1997"/>
      <c r="BQ109" s="1997"/>
      <c r="BR109" s="1997"/>
      <c r="BS109" s="1997"/>
      <c r="BT109" s="1997"/>
      <c r="BU109" s="1997"/>
      <c r="BV109" s="1997"/>
      <c r="BW109" s="1997"/>
      <c r="BX109" s="1997"/>
      <c r="BY109" s="1997"/>
      <c r="BZ109" s="1997"/>
      <c r="CA109" s="1997"/>
      <c r="CB109" s="1997"/>
      <c r="CC109" s="1997"/>
      <c r="CD109" s="1997"/>
      <c r="CE109" s="1997"/>
      <c r="CF109" s="1997"/>
      <c r="CG109" s="1997"/>
      <c r="CH109" s="1997"/>
      <c r="CI109" s="1997"/>
      <c r="CJ109" s="1997"/>
      <c r="CK109" s="1997"/>
      <c r="CL109" s="1997"/>
      <c r="CM109" s="1997"/>
      <c r="CN109" s="1997"/>
      <c r="CO109" s="1997"/>
      <c r="CP109" s="1997"/>
      <c r="CQ109" s="1997"/>
      <c r="CR109" s="1997"/>
      <c r="CS109" s="1997"/>
      <c r="CT109" s="1997"/>
      <c r="CU109" s="1997"/>
      <c r="CV109" s="1997"/>
      <c r="CW109" s="1997"/>
      <c r="CX109" s="1997"/>
      <c r="CY109" s="1997"/>
      <c r="CZ109" s="1997"/>
      <c r="DA109" s="1997"/>
      <c r="DB109" s="1997"/>
      <c r="DC109" s="1997"/>
      <c r="DD109" s="1997"/>
      <c r="DE109" s="1997"/>
      <c r="DF109" s="1997"/>
      <c r="DG109" s="1997"/>
      <c r="DH109" s="1997"/>
      <c r="DI109" s="1997"/>
      <c r="DJ109" s="1997"/>
      <c r="DK109" s="1997"/>
      <c r="DL109" s="1997"/>
      <c r="DM109" s="1997"/>
      <c r="DN109" s="1997"/>
      <c r="DO109" s="1997"/>
      <c r="DP109" s="1997"/>
      <c r="DQ109" s="1997"/>
      <c r="DR109" s="1997"/>
      <c r="DS109" s="1997"/>
      <c r="DT109" s="1997"/>
      <c r="DU109" s="1997"/>
      <c r="DV109" s="1997"/>
      <c r="DW109" s="1997"/>
      <c r="DX109" s="1997"/>
      <c r="DY109" s="1997"/>
      <c r="DZ109" s="1997"/>
      <c r="EA109" s="1997"/>
      <c r="EB109" s="1997"/>
      <c r="EC109" s="1997"/>
      <c r="ED109" s="1997"/>
      <c r="EE109" s="1997"/>
      <c r="EF109" s="1997"/>
      <c r="EG109" s="1997"/>
      <c r="EH109" s="1997"/>
      <c r="EI109" s="1997"/>
      <c r="EJ109" s="1997"/>
      <c r="EK109" s="1997"/>
      <c r="EL109" s="1997"/>
      <c r="EM109" s="1997"/>
      <c r="EN109" s="1997"/>
      <c r="EO109" s="1997"/>
      <c r="EP109" s="1997"/>
      <c r="EQ109" s="1997"/>
      <c r="ER109" s="1997"/>
      <c r="ES109" s="1997"/>
      <c r="ET109" s="1997"/>
      <c r="EU109" s="1997"/>
      <c r="EV109" s="1997"/>
      <c r="EW109" s="1997"/>
      <c r="EX109" s="1997"/>
      <c r="EY109" s="1997"/>
      <c r="EZ109" s="1997"/>
      <c r="FA109" s="1997"/>
      <c r="FB109" s="1997"/>
      <c r="FC109" s="1997"/>
      <c r="FD109" s="1997"/>
      <c r="FE109" s="1997"/>
      <c r="FF109" s="1997"/>
      <c r="FG109" s="1997"/>
      <c r="FH109" s="1997"/>
      <c r="FI109" s="1997"/>
      <c r="FJ109" s="1997"/>
      <c r="FK109" s="1997"/>
      <c r="FL109" s="1997"/>
      <c r="FM109" s="1997"/>
      <c r="FN109" s="1997"/>
      <c r="FO109" s="1997"/>
      <c r="FP109" s="1997"/>
      <c r="FQ109" s="1997"/>
      <c r="FR109" s="1997"/>
      <c r="FS109" s="1997"/>
      <c r="FT109" s="1997"/>
      <c r="FU109" s="1997"/>
      <c r="FV109" s="1997"/>
      <c r="FW109" s="1997"/>
      <c r="FX109" s="1997"/>
      <c r="FY109" s="1997"/>
      <c r="FZ109" s="1997"/>
      <c r="GA109" s="1997"/>
      <c r="GB109" s="1997"/>
      <c r="GC109" s="1997"/>
      <c r="GD109" s="1997"/>
      <c r="GE109" s="1997"/>
      <c r="GF109" s="1997"/>
      <c r="GG109" s="1997"/>
      <c r="GH109" s="1997"/>
      <c r="GI109" s="1997"/>
      <c r="GJ109" s="1997"/>
      <c r="GK109" s="1997"/>
      <c r="GL109" s="1997"/>
      <c r="GM109" s="1997"/>
      <c r="GN109" s="1997"/>
      <c r="GO109" s="1997"/>
      <c r="GP109" s="1997"/>
      <c r="GQ109" s="1997"/>
      <c r="GR109" s="1997"/>
      <c r="GS109" s="1997"/>
      <c r="GT109" s="1997"/>
      <c r="GU109" s="1997"/>
      <c r="GV109" s="1997"/>
      <c r="GW109" s="1997"/>
      <c r="GX109" s="1997"/>
      <c r="GY109" s="1997"/>
      <c r="GZ109" s="1997"/>
      <c r="HA109" s="1997"/>
      <c r="HB109" s="1997"/>
      <c r="HC109" s="1997"/>
      <c r="HD109" s="1997"/>
      <c r="HE109" s="1997"/>
      <c r="HF109" s="1997"/>
      <c r="HG109" s="1997"/>
      <c r="HH109" s="1997"/>
      <c r="HI109" s="1997"/>
      <c r="HJ109" s="1997"/>
      <c r="HK109" s="1997"/>
      <c r="HL109" s="1997"/>
      <c r="HM109" s="1997"/>
      <c r="HN109" s="1997"/>
      <c r="HO109" s="1997"/>
      <c r="HP109" s="1997"/>
      <c r="HQ109" s="1997"/>
      <c r="HR109" s="1997"/>
      <c r="HS109" s="1997"/>
      <c r="HT109" s="1997"/>
      <c r="HU109" s="1997"/>
      <c r="HV109" s="1997"/>
      <c r="HW109" s="1997"/>
      <c r="HX109" s="1997"/>
      <c r="HY109" s="1997"/>
      <c r="HZ109" s="1997"/>
      <c r="IA109" s="1997"/>
      <c r="IB109" s="1997"/>
      <c r="IC109" s="1997"/>
      <c r="ID109" s="1997"/>
      <c r="IE109" s="1997"/>
      <c r="IF109" s="1997"/>
      <c r="IG109" s="1997"/>
      <c r="IH109" s="1997"/>
      <c r="II109" s="1997"/>
      <c r="IJ109" s="1997"/>
      <c r="IK109" s="1997"/>
      <c r="IL109" s="1997"/>
      <c r="IM109" s="1997"/>
      <c r="IN109" s="1997"/>
      <c r="IO109" s="1997"/>
      <c r="IP109" s="1997"/>
      <c r="IQ109" s="1997"/>
    </row>
    <row r="110" spans="1:251">
      <c r="A110" s="1993"/>
      <c r="B110" s="2014" t="s">
        <v>528</v>
      </c>
      <c r="C110" s="1993"/>
      <c r="D110" s="2021">
        <f>SUM(D112:D130)</f>
        <v>0</v>
      </c>
      <c r="E110" s="1993"/>
      <c r="F110" s="1940">
        <f>SUM(F112:F130)</f>
        <v>856000</v>
      </c>
      <c r="G110" s="1993"/>
      <c r="H110" s="1940">
        <f>SUM(H112:H130)</f>
        <v>0</v>
      </c>
      <c r="I110" s="1993"/>
      <c r="J110" s="1940">
        <f>SUM(J112:J130)</f>
        <v>0</v>
      </c>
      <c r="K110" s="1993"/>
      <c r="L110" s="1940">
        <f t="shared" ref="L110:U110" si="55">SUM(L112:L130)</f>
        <v>7600</v>
      </c>
      <c r="M110" s="1940">
        <f t="shared" si="55"/>
        <v>0</v>
      </c>
      <c r="N110" s="1940">
        <f t="shared" si="55"/>
        <v>0</v>
      </c>
      <c r="O110" s="1940">
        <f t="shared" si="55"/>
        <v>0</v>
      </c>
      <c r="P110" s="1940">
        <f t="shared" si="55"/>
        <v>0</v>
      </c>
      <c r="Q110" s="1940">
        <f t="shared" si="55"/>
        <v>0</v>
      </c>
      <c r="R110" s="1940">
        <f t="shared" si="55"/>
        <v>0</v>
      </c>
      <c r="S110" s="1940">
        <f t="shared" si="55"/>
        <v>0</v>
      </c>
      <c r="T110" s="1940">
        <f t="shared" si="55"/>
        <v>0</v>
      </c>
      <c r="U110" s="1940">
        <f t="shared" si="55"/>
        <v>0</v>
      </c>
      <c r="V110" s="1997"/>
      <c r="W110" s="1997"/>
      <c r="X110" s="1997"/>
      <c r="Y110" s="1997"/>
      <c r="Z110" s="1997"/>
      <c r="AA110" s="1997"/>
      <c r="AB110" s="1997"/>
      <c r="AC110" s="1997"/>
      <c r="AD110" s="1997"/>
      <c r="AE110" s="1997"/>
      <c r="AF110" s="1997"/>
      <c r="AG110" s="1997"/>
      <c r="AH110" s="1997"/>
      <c r="AI110" s="1997"/>
      <c r="AJ110" s="1997"/>
      <c r="AK110" s="1997"/>
      <c r="AL110" s="1997"/>
      <c r="AM110" s="1997"/>
      <c r="AN110" s="1997"/>
      <c r="AO110" s="1997"/>
      <c r="AP110" s="1997"/>
      <c r="AQ110" s="1997"/>
      <c r="AR110" s="1997"/>
      <c r="AS110" s="1997"/>
      <c r="AT110" s="1997"/>
      <c r="AU110" s="1997"/>
      <c r="AV110" s="1997"/>
      <c r="AW110" s="1997"/>
      <c r="AX110" s="1997"/>
      <c r="AY110" s="1997"/>
      <c r="AZ110" s="1997"/>
      <c r="BA110" s="1997"/>
      <c r="BB110" s="1997"/>
      <c r="BC110" s="1997"/>
      <c r="BD110" s="1997"/>
      <c r="BE110" s="1997"/>
      <c r="BF110" s="1997"/>
      <c r="BG110" s="1997"/>
      <c r="BH110" s="1997"/>
      <c r="BI110" s="1997"/>
      <c r="BJ110" s="1997"/>
      <c r="BK110" s="1997"/>
      <c r="BL110" s="1997"/>
      <c r="BM110" s="1997"/>
      <c r="BN110" s="1997"/>
      <c r="BO110" s="1997"/>
      <c r="BP110" s="1997"/>
      <c r="BQ110" s="1997"/>
      <c r="BR110" s="1997"/>
      <c r="BS110" s="1997"/>
      <c r="BT110" s="1997"/>
      <c r="BU110" s="1997"/>
      <c r="BV110" s="1997"/>
      <c r="BW110" s="1997"/>
      <c r="BX110" s="1997"/>
      <c r="BY110" s="1997"/>
      <c r="BZ110" s="1997"/>
      <c r="CA110" s="1997"/>
      <c r="CB110" s="1997"/>
      <c r="CC110" s="1997"/>
      <c r="CD110" s="1997"/>
      <c r="CE110" s="1997"/>
      <c r="CF110" s="1997"/>
      <c r="CG110" s="1997"/>
      <c r="CH110" s="1997"/>
      <c r="CI110" s="1997"/>
      <c r="CJ110" s="1997"/>
      <c r="CK110" s="1997"/>
      <c r="CL110" s="1997"/>
      <c r="CM110" s="1997"/>
      <c r="CN110" s="1997"/>
      <c r="CO110" s="1997"/>
      <c r="CP110" s="1997"/>
      <c r="CQ110" s="1997"/>
      <c r="CR110" s="1997"/>
      <c r="CS110" s="1997"/>
      <c r="CT110" s="1997"/>
      <c r="CU110" s="1997"/>
      <c r="CV110" s="1997"/>
      <c r="CW110" s="1997"/>
      <c r="CX110" s="1997"/>
      <c r="CY110" s="1997"/>
      <c r="CZ110" s="1997"/>
      <c r="DA110" s="1997"/>
      <c r="DB110" s="1997"/>
      <c r="DC110" s="1997"/>
      <c r="DD110" s="1997"/>
      <c r="DE110" s="1997"/>
      <c r="DF110" s="1997"/>
      <c r="DG110" s="1997"/>
      <c r="DH110" s="1997"/>
      <c r="DI110" s="1997"/>
      <c r="DJ110" s="1997"/>
      <c r="DK110" s="1997"/>
      <c r="DL110" s="1997"/>
      <c r="DM110" s="1997"/>
      <c r="DN110" s="1997"/>
      <c r="DO110" s="1997"/>
      <c r="DP110" s="1997"/>
      <c r="DQ110" s="1997"/>
      <c r="DR110" s="1997"/>
      <c r="DS110" s="1997"/>
      <c r="DT110" s="1997"/>
      <c r="DU110" s="1997"/>
      <c r="DV110" s="1997"/>
      <c r="DW110" s="1997"/>
      <c r="DX110" s="1997"/>
      <c r="DY110" s="1997"/>
      <c r="DZ110" s="1997"/>
      <c r="EA110" s="1997"/>
      <c r="EB110" s="1997"/>
      <c r="EC110" s="1997"/>
      <c r="ED110" s="1997"/>
      <c r="EE110" s="1997"/>
      <c r="EF110" s="1997"/>
      <c r="EG110" s="1997"/>
      <c r="EH110" s="1997"/>
      <c r="EI110" s="1997"/>
      <c r="EJ110" s="1997"/>
      <c r="EK110" s="1997"/>
      <c r="EL110" s="1997"/>
      <c r="EM110" s="1997"/>
      <c r="EN110" s="1997"/>
      <c r="EO110" s="1997"/>
      <c r="EP110" s="1997"/>
      <c r="EQ110" s="1997"/>
      <c r="ER110" s="1997"/>
      <c r="ES110" s="1997"/>
      <c r="ET110" s="1997"/>
      <c r="EU110" s="1997"/>
      <c r="EV110" s="1997"/>
      <c r="EW110" s="1997"/>
      <c r="EX110" s="1997"/>
      <c r="EY110" s="1997"/>
      <c r="EZ110" s="1997"/>
      <c r="FA110" s="1997"/>
      <c r="FB110" s="1997"/>
      <c r="FC110" s="1997"/>
      <c r="FD110" s="1997"/>
      <c r="FE110" s="1997"/>
      <c r="FF110" s="1997"/>
      <c r="FG110" s="1997"/>
      <c r="FH110" s="1997"/>
      <c r="FI110" s="1997"/>
      <c r="FJ110" s="1997"/>
      <c r="FK110" s="1997"/>
      <c r="FL110" s="1997"/>
      <c r="FM110" s="1997"/>
      <c r="FN110" s="1997"/>
      <c r="FO110" s="1997"/>
      <c r="FP110" s="1997"/>
      <c r="FQ110" s="1997"/>
      <c r="FR110" s="1997"/>
      <c r="FS110" s="1997"/>
      <c r="FT110" s="1997"/>
      <c r="FU110" s="1997"/>
      <c r="FV110" s="1997"/>
      <c r="FW110" s="1997"/>
      <c r="FX110" s="1997"/>
      <c r="FY110" s="1997"/>
      <c r="FZ110" s="1997"/>
      <c r="GA110" s="1997"/>
      <c r="GB110" s="1997"/>
      <c r="GC110" s="1997"/>
      <c r="GD110" s="1997"/>
      <c r="GE110" s="1997"/>
      <c r="GF110" s="1997"/>
      <c r="GG110" s="1997"/>
      <c r="GH110" s="1997"/>
      <c r="GI110" s="1997"/>
      <c r="GJ110" s="1997"/>
      <c r="GK110" s="1997"/>
      <c r="GL110" s="1997"/>
      <c r="GM110" s="1997"/>
      <c r="GN110" s="1997"/>
      <c r="GO110" s="1997"/>
      <c r="GP110" s="1997"/>
      <c r="GQ110" s="1997"/>
      <c r="GR110" s="1997"/>
      <c r="GS110" s="1997"/>
      <c r="GT110" s="1997"/>
      <c r="GU110" s="1997"/>
      <c r="GV110" s="1997"/>
      <c r="GW110" s="1997"/>
      <c r="GX110" s="1997"/>
      <c r="GY110" s="1997"/>
      <c r="GZ110" s="1997"/>
      <c r="HA110" s="1997"/>
      <c r="HB110" s="1997"/>
      <c r="HC110" s="1997"/>
      <c r="HD110" s="1997"/>
      <c r="HE110" s="1997"/>
      <c r="HF110" s="1997"/>
      <c r="HG110" s="1997"/>
      <c r="HH110" s="1997"/>
      <c r="HI110" s="1997"/>
      <c r="HJ110" s="1997"/>
      <c r="HK110" s="1997"/>
      <c r="HL110" s="1997"/>
      <c r="HM110" s="1997"/>
      <c r="HN110" s="1997"/>
      <c r="HO110" s="1997"/>
      <c r="HP110" s="1997"/>
      <c r="HQ110" s="1997"/>
      <c r="HR110" s="1997"/>
      <c r="HS110" s="1997"/>
      <c r="HT110" s="1997"/>
      <c r="HU110" s="1997"/>
      <c r="HV110" s="1997"/>
      <c r="HW110" s="1997"/>
      <c r="HX110" s="1997"/>
      <c r="HY110" s="1997"/>
      <c r="HZ110" s="1997"/>
      <c r="IA110" s="1997"/>
      <c r="IB110" s="1997"/>
      <c r="IC110" s="1997"/>
      <c r="ID110" s="1997"/>
      <c r="IE110" s="1997"/>
      <c r="IF110" s="1997"/>
      <c r="IG110" s="1997"/>
      <c r="IH110" s="1997"/>
      <c r="II110" s="1997"/>
      <c r="IJ110" s="1997"/>
      <c r="IK110" s="1997"/>
      <c r="IL110" s="1997"/>
      <c r="IM110" s="1997"/>
      <c r="IN110" s="1997"/>
      <c r="IO110" s="1997"/>
      <c r="IP110" s="1997"/>
      <c r="IQ110" s="1997"/>
    </row>
    <row r="111" spans="1:251">
      <c r="A111" s="1993"/>
      <c r="B111" s="2014" t="s">
        <v>529</v>
      </c>
      <c r="C111" s="1993"/>
      <c r="D111" s="2021"/>
      <c r="E111" s="1993"/>
      <c r="F111" s="1940"/>
      <c r="G111" s="1993"/>
      <c r="H111" s="1940"/>
      <c r="I111" s="1993"/>
      <c r="J111" s="1940"/>
      <c r="K111" s="1993"/>
      <c r="L111" s="1940"/>
      <c r="M111" s="1940"/>
      <c r="N111" s="1940"/>
      <c r="O111" s="1940"/>
      <c r="P111" s="1940"/>
      <c r="Q111" s="1940"/>
      <c r="R111" s="1940"/>
      <c r="S111" s="1940"/>
      <c r="T111" s="1940"/>
      <c r="U111" s="1940"/>
      <c r="V111" s="1997"/>
      <c r="W111" s="1997"/>
      <c r="X111" s="1997"/>
      <c r="Y111" s="1997"/>
      <c r="Z111" s="1997"/>
      <c r="AA111" s="1997"/>
      <c r="AB111" s="1997"/>
      <c r="AC111" s="1997"/>
      <c r="AD111" s="1997"/>
      <c r="AE111" s="1997"/>
      <c r="AF111" s="1997"/>
      <c r="AG111" s="1997"/>
      <c r="AH111" s="1997"/>
      <c r="AI111" s="1997"/>
      <c r="AJ111" s="1997"/>
      <c r="AK111" s="1997"/>
      <c r="AL111" s="1997"/>
      <c r="AM111" s="1997"/>
      <c r="AN111" s="1997"/>
      <c r="AO111" s="1997"/>
      <c r="AP111" s="1997"/>
      <c r="AQ111" s="1997"/>
      <c r="AR111" s="1997"/>
      <c r="AS111" s="1997"/>
      <c r="AT111" s="1997"/>
      <c r="AU111" s="1997"/>
      <c r="AV111" s="1997"/>
      <c r="AW111" s="1997"/>
      <c r="AX111" s="1997"/>
      <c r="AY111" s="1997"/>
      <c r="AZ111" s="1997"/>
      <c r="BA111" s="1997"/>
      <c r="BB111" s="1997"/>
      <c r="BC111" s="1997"/>
      <c r="BD111" s="1997"/>
      <c r="BE111" s="1997"/>
      <c r="BF111" s="1997"/>
      <c r="BG111" s="1997"/>
      <c r="BH111" s="1997"/>
      <c r="BI111" s="1997"/>
      <c r="BJ111" s="1997"/>
      <c r="BK111" s="1997"/>
      <c r="BL111" s="1997"/>
      <c r="BM111" s="1997"/>
      <c r="BN111" s="1997"/>
      <c r="BO111" s="1997"/>
      <c r="BP111" s="1997"/>
      <c r="BQ111" s="1997"/>
      <c r="BR111" s="1997"/>
      <c r="BS111" s="1997"/>
      <c r="BT111" s="1997"/>
      <c r="BU111" s="1997"/>
      <c r="BV111" s="1997"/>
      <c r="BW111" s="1997"/>
      <c r="BX111" s="1997"/>
      <c r="BY111" s="1997"/>
      <c r="BZ111" s="1997"/>
      <c r="CA111" s="1997"/>
      <c r="CB111" s="1997"/>
      <c r="CC111" s="1997"/>
      <c r="CD111" s="1997"/>
      <c r="CE111" s="1997"/>
      <c r="CF111" s="1997"/>
      <c r="CG111" s="1997"/>
      <c r="CH111" s="1997"/>
      <c r="CI111" s="1997"/>
      <c r="CJ111" s="1997"/>
      <c r="CK111" s="1997"/>
      <c r="CL111" s="1997"/>
      <c r="CM111" s="1997"/>
      <c r="CN111" s="1997"/>
      <c r="CO111" s="1997"/>
      <c r="CP111" s="1997"/>
      <c r="CQ111" s="1997"/>
      <c r="CR111" s="1997"/>
      <c r="CS111" s="1997"/>
      <c r="CT111" s="1997"/>
      <c r="CU111" s="1997"/>
      <c r="CV111" s="1997"/>
      <c r="CW111" s="1997"/>
      <c r="CX111" s="1997"/>
      <c r="CY111" s="1997"/>
      <c r="CZ111" s="1997"/>
      <c r="DA111" s="1997"/>
      <c r="DB111" s="1997"/>
      <c r="DC111" s="1997"/>
      <c r="DD111" s="1997"/>
      <c r="DE111" s="1997"/>
      <c r="DF111" s="1997"/>
      <c r="DG111" s="1997"/>
      <c r="DH111" s="1997"/>
      <c r="DI111" s="1997"/>
      <c r="DJ111" s="1997"/>
      <c r="DK111" s="1997"/>
      <c r="DL111" s="1997"/>
      <c r="DM111" s="1997"/>
      <c r="DN111" s="1997"/>
      <c r="DO111" s="1997"/>
      <c r="DP111" s="1997"/>
      <c r="DQ111" s="1997"/>
      <c r="DR111" s="1997"/>
      <c r="DS111" s="1997"/>
      <c r="DT111" s="1997"/>
      <c r="DU111" s="1997"/>
      <c r="DV111" s="1997"/>
      <c r="DW111" s="1997"/>
      <c r="DX111" s="1997"/>
      <c r="DY111" s="1997"/>
      <c r="DZ111" s="1997"/>
      <c r="EA111" s="1997"/>
      <c r="EB111" s="1997"/>
      <c r="EC111" s="1997"/>
      <c r="ED111" s="1997"/>
      <c r="EE111" s="1997"/>
      <c r="EF111" s="1997"/>
      <c r="EG111" s="1997"/>
      <c r="EH111" s="1997"/>
      <c r="EI111" s="1997"/>
      <c r="EJ111" s="1997"/>
      <c r="EK111" s="1997"/>
      <c r="EL111" s="1997"/>
      <c r="EM111" s="1997"/>
      <c r="EN111" s="1997"/>
      <c r="EO111" s="1997"/>
      <c r="EP111" s="1997"/>
      <c r="EQ111" s="1997"/>
      <c r="ER111" s="1997"/>
      <c r="ES111" s="1997"/>
      <c r="ET111" s="1997"/>
      <c r="EU111" s="1997"/>
      <c r="EV111" s="1997"/>
      <c r="EW111" s="1997"/>
      <c r="EX111" s="1997"/>
      <c r="EY111" s="1997"/>
      <c r="EZ111" s="1997"/>
      <c r="FA111" s="1997"/>
      <c r="FB111" s="1997"/>
      <c r="FC111" s="1997"/>
      <c r="FD111" s="1997"/>
      <c r="FE111" s="1997"/>
      <c r="FF111" s="1997"/>
      <c r="FG111" s="1997"/>
      <c r="FH111" s="1997"/>
      <c r="FI111" s="1997"/>
      <c r="FJ111" s="1997"/>
      <c r="FK111" s="1997"/>
      <c r="FL111" s="1997"/>
      <c r="FM111" s="1997"/>
      <c r="FN111" s="1997"/>
      <c r="FO111" s="1997"/>
      <c r="FP111" s="1997"/>
      <c r="FQ111" s="1997"/>
      <c r="FR111" s="1997"/>
      <c r="FS111" s="1997"/>
      <c r="FT111" s="1997"/>
      <c r="FU111" s="1997"/>
      <c r="FV111" s="1997"/>
      <c r="FW111" s="1997"/>
      <c r="FX111" s="1997"/>
      <c r="FY111" s="1997"/>
      <c r="FZ111" s="1997"/>
      <c r="GA111" s="1997"/>
      <c r="GB111" s="1997"/>
      <c r="GC111" s="1997"/>
      <c r="GD111" s="1997"/>
      <c r="GE111" s="1997"/>
      <c r="GF111" s="1997"/>
      <c r="GG111" s="1997"/>
      <c r="GH111" s="1997"/>
      <c r="GI111" s="1997"/>
      <c r="GJ111" s="1997"/>
      <c r="GK111" s="1997"/>
      <c r="GL111" s="1997"/>
      <c r="GM111" s="1997"/>
      <c r="GN111" s="1997"/>
      <c r="GO111" s="1997"/>
      <c r="GP111" s="1997"/>
      <c r="GQ111" s="1997"/>
      <c r="GR111" s="1997"/>
      <c r="GS111" s="1997"/>
      <c r="GT111" s="1997"/>
      <c r="GU111" s="1997"/>
      <c r="GV111" s="1997"/>
      <c r="GW111" s="1997"/>
      <c r="GX111" s="1997"/>
      <c r="GY111" s="1997"/>
      <c r="GZ111" s="1997"/>
      <c r="HA111" s="1997"/>
      <c r="HB111" s="1997"/>
      <c r="HC111" s="1997"/>
      <c r="HD111" s="1997"/>
      <c r="HE111" s="1997"/>
      <c r="HF111" s="1997"/>
      <c r="HG111" s="1997"/>
      <c r="HH111" s="1997"/>
      <c r="HI111" s="1997"/>
      <c r="HJ111" s="1997"/>
      <c r="HK111" s="1997"/>
      <c r="HL111" s="1997"/>
      <c r="HM111" s="1997"/>
      <c r="HN111" s="1997"/>
      <c r="HO111" s="1997"/>
      <c r="HP111" s="1997"/>
      <c r="HQ111" s="1997"/>
      <c r="HR111" s="1997"/>
      <c r="HS111" s="1997"/>
      <c r="HT111" s="1997"/>
      <c r="HU111" s="1997"/>
      <c r="HV111" s="1997"/>
      <c r="HW111" s="1997"/>
      <c r="HX111" s="1997"/>
      <c r="HY111" s="1997"/>
      <c r="HZ111" s="1997"/>
      <c r="IA111" s="1997"/>
      <c r="IB111" s="1997"/>
      <c r="IC111" s="1997"/>
      <c r="ID111" s="1997"/>
      <c r="IE111" s="1997"/>
      <c r="IF111" s="1997"/>
      <c r="IG111" s="1997"/>
      <c r="IH111" s="1997"/>
      <c r="II111" s="1997"/>
      <c r="IJ111" s="1997"/>
      <c r="IK111" s="1997"/>
      <c r="IL111" s="1997"/>
      <c r="IM111" s="1997"/>
      <c r="IN111" s="1997"/>
      <c r="IO111" s="1997"/>
      <c r="IP111" s="1997"/>
      <c r="IQ111" s="1997"/>
    </row>
    <row r="112" spans="1:251" ht="27" customHeight="1">
      <c r="A112" s="2021">
        <v>1</v>
      </c>
      <c r="B112" s="2955" t="s">
        <v>530</v>
      </c>
      <c r="C112" s="1995"/>
      <c r="D112" s="2035"/>
      <c r="E112" s="1993"/>
      <c r="F112" s="1996">
        <f>72000+10000</f>
        <v>82000</v>
      </c>
      <c r="G112" s="1993">
        <v>12</v>
      </c>
      <c r="H112" s="1940">
        <f>D112*F112*G112</f>
        <v>0</v>
      </c>
      <c r="I112" s="1993"/>
      <c r="J112" s="1940">
        <f>I112*$Q$4</f>
        <v>0</v>
      </c>
      <c r="K112" s="1993"/>
      <c r="L112" s="1940">
        <f>K112*F112</f>
        <v>0</v>
      </c>
      <c r="M112" s="1940">
        <f>D112*G112*(J112+L112)</f>
        <v>0</v>
      </c>
      <c r="N112" s="1940">
        <f>H112+M112</f>
        <v>0</v>
      </c>
      <c r="O112" s="1993">
        <f>F112*D112*2</f>
        <v>0</v>
      </c>
      <c r="P112" s="1993">
        <f>F112*D112*2</f>
        <v>0</v>
      </c>
      <c r="Q112" s="1940">
        <f>N112+O112+P112</f>
        <v>0</v>
      </c>
      <c r="R112" s="1940">
        <f>Q112*10%</f>
        <v>0</v>
      </c>
      <c r="S112" s="1940">
        <f>(Q112-R112)*10%</f>
        <v>0</v>
      </c>
      <c r="T112" s="1940">
        <f>(Q112-R112)*6%</f>
        <v>0</v>
      </c>
      <c r="U112" s="1940">
        <f>(Q112-R112)*5%</f>
        <v>0</v>
      </c>
      <c r="V112" s="1997"/>
      <c r="W112" s="1997"/>
      <c r="X112" s="1997"/>
      <c r="Y112" s="1997"/>
      <c r="Z112" s="1997"/>
      <c r="AA112" s="1997"/>
      <c r="AB112" s="1997"/>
      <c r="AC112" s="1997"/>
      <c r="AD112" s="1997"/>
      <c r="AE112" s="1997"/>
      <c r="AF112" s="1997"/>
      <c r="AG112" s="1997"/>
      <c r="AH112" s="1997"/>
      <c r="AI112" s="1997"/>
      <c r="AJ112" s="1997"/>
      <c r="AK112" s="1997"/>
      <c r="AL112" s="1997"/>
      <c r="AM112" s="1997"/>
      <c r="AN112" s="1997"/>
      <c r="AO112" s="1997"/>
      <c r="AP112" s="1997"/>
      <c r="AQ112" s="1997"/>
      <c r="AR112" s="1997"/>
      <c r="AS112" s="1997"/>
      <c r="AT112" s="1997"/>
      <c r="AU112" s="1997"/>
      <c r="AV112" s="1997"/>
      <c r="AW112" s="1997"/>
      <c r="AX112" s="1997"/>
      <c r="AY112" s="1997"/>
      <c r="AZ112" s="1997"/>
      <c r="BA112" s="1997"/>
      <c r="BB112" s="1997"/>
      <c r="BC112" s="1997"/>
      <c r="BD112" s="1997"/>
      <c r="BE112" s="1997"/>
      <c r="BF112" s="1997"/>
      <c r="BG112" s="1997"/>
      <c r="BH112" s="1997"/>
      <c r="BI112" s="1997"/>
      <c r="BJ112" s="1997"/>
      <c r="BK112" s="1997"/>
      <c r="BL112" s="1997"/>
      <c r="BM112" s="1997"/>
      <c r="BN112" s="1997"/>
      <c r="BO112" s="1997"/>
      <c r="BP112" s="1997"/>
      <c r="BQ112" s="1997"/>
      <c r="BR112" s="1997"/>
      <c r="BS112" s="1997"/>
      <c r="BT112" s="1997"/>
      <c r="BU112" s="1997"/>
      <c r="BV112" s="1997"/>
      <c r="BW112" s="1997"/>
      <c r="BX112" s="1997"/>
      <c r="BY112" s="1997"/>
      <c r="BZ112" s="1997"/>
      <c r="CA112" s="1997"/>
      <c r="CB112" s="1997"/>
      <c r="CC112" s="1997"/>
      <c r="CD112" s="1997"/>
      <c r="CE112" s="1997"/>
      <c r="CF112" s="1997"/>
      <c r="CG112" s="1997"/>
      <c r="CH112" s="1997"/>
      <c r="CI112" s="1997"/>
      <c r="CJ112" s="1997"/>
      <c r="CK112" s="1997"/>
      <c r="CL112" s="1997"/>
      <c r="CM112" s="1997"/>
      <c r="CN112" s="1997"/>
      <c r="CO112" s="1997"/>
      <c r="CP112" s="1997"/>
      <c r="CQ112" s="1997"/>
      <c r="CR112" s="1997"/>
      <c r="CS112" s="1997"/>
      <c r="CT112" s="1997"/>
      <c r="CU112" s="1997"/>
      <c r="CV112" s="1997"/>
      <c r="CW112" s="1997"/>
      <c r="CX112" s="1997"/>
      <c r="CY112" s="1997"/>
      <c r="CZ112" s="1997"/>
      <c r="DA112" s="1997"/>
      <c r="DB112" s="1997"/>
      <c r="DC112" s="1997"/>
      <c r="DD112" s="1997"/>
      <c r="DE112" s="1997"/>
      <c r="DF112" s="1997"/>
      <c r="DG112" s="1997"/>
      <c r="DH112" s="1997"/>
      <c r="DI112" s="1997"/>
      <c r="DJ112" s="1997"/>
      <c r="DK112" s="1997"/>
      <c r="DL112" s="1997"/>
      <c r="DM112" s="1997"/>
      <c r="DN112" s="1997"/>
      <c r="DO112" s="1997"/>
      <c r="DP112" s="1997"/>
      <c r="DQ112" s="1997"/>
      <c r="DR112" s="1997"/>
      <c r="DS112" s="1997"/>
      <c r="DT112" s="1997"/>
      <c r="DU112" s="1997"/>
      <c r="DV112" s="1997"/>
      <c r="DW112" s="1997"/>
      <c r="DX112" s="1997"/>
      <c r="DY112" s="1997"/>
      <c r="DZ112" s="1997"/>
      <c r="EA112" s="1997"/>
      <c r="EB112" s="1997"/>
      <c r="EC112" s="1997"/>
      <c r="ED112" s="1997"/>
      <c r="EE112" s="1997"/>
      <c r="EF112" s="1997"/>
      <c r="EG112" s="1997"/>
      <c r="EH112" s="1997"/>
      <c r="EI112" s="1997"/>
      <c r="EJ112" s="1997"/>
      <c r="EK112" s="1997"/>
      <c r="EL112" s="1997"/>
      <c r="EM112" s="1997"/>
      <c r="EN112" s="1997"/>
      <c r="EO112" s="1997"/>
      <c r="EP112" s="1997"/>
      <c r="EQ112" s="1997"/>
      <c r="ER112" s="1997"/>
      <c r="ES112" s="1997"/>
      <c r="ET112" s="1997"/>
      <c r="EU112" s="1997"/>
      <c r="EV112" s="1997"/>
      <c r="EW112" s="1997"/>
      <c r="EX112" s="1997"/>
      <c r="EY112" s="1997"/>
      <c r="EZ112" s="1997"/>
      <c r="FA112" s="1997"/>
      <c r="FB112" s="1997"/>
      <c r="FC112" s="1997"/>
      <c r="FD112" s="1997"/>
      <c r="FE112" s="1997"/>
      <c r="FF112" s="1997"/>
      <c r="FG112" s="1997"/>
      <c r="FH112" s="1997"/>
      <c r="FI112" s="1997"/>
      <c r="FJ112" s="1997"/>
      <c r="FK112" s="1997"/>
      <c r="FL112" s="1997"/>
      <c r="FM112" s="1997"/>
      <c r="FN112" s="1997"/>
      <c r="FO112" s="1997"/>
      <c r="FP112" s="1997"/>
      <c r="FQ112" s="1997"/>
      <c r="FR112" s="1997"/>
      <c r="FS112" s="1997"/>
      <c r="FT112" s="1997"/>
      <c r="FU112" s="1997"/>
      <c r="FV112" s="1997"/>
      <c r="FW112" s="1997"/>
      <c r="FX112" s="1997"/>
      <c r="FY112" s="1997"/>
      <c r="FZ112" s="1997"/>
      <c r="GA112" s="1997"/>
      <c r="GB112" s="1997"/>
      <c r="GC112" s="1997"/>
      <c r="GD112" s="1997"/>
      <c r="GE112" s="1997"/>
      <c r="GF112" s="1997"/>
      <c r="GG112" s="1997"/>
      <c r="GH112" s="1997"/>
      <c r="GI112" s="1997"/>
      <c r="GJ112" s="1997"/>
      <c r="GK112" s="1997"/>
      <c r="GL112" s="1997"/>
      <c r="GM112" s="1997"/>
      <c r="GN112" s="1997"/>
      <c r="GO112" s="1997"/>
      <c r="GP112" s="1997"/>
      <c r="GQ112" s="1997"/>
      <c r="GR112" s="1997"/>
      <c r="GS112" s="1997"/>
      <c r="GT112" s="1997"/>
      <c r="GU112" s="1997"/>
      <c r="GV112" s="1997"/>
      <c r="GW112" s="1997"/>
      <c r="GX112" s="1997"/>
      <c r="GY112" s="1997"/>
      <c r="GZ112" s="1997"/>
      <c r="HA112" s="1997"/>
      <c r="HB112" s="1997"/>
      <c r="HC112" s="1997"/>
      <c r="HD112" s="1997"/>
      <c r="HE112" s="1997"/>
      <c r="HF112" s="1997"/>
      <c r="HG112" s="1997"/>
      <c r="HH112" s="1997"/>
      <c r="HI112" s="1997"/>
      <c r="HJ112" s="1997"/>
      <c r="HK112" s="1997"/>
      <c r="HL112" s="1997"/>
      <c r="HM112" s="1997"/>
      <c r="HN112" s="1997"/>
      <c r="HO112" s="1997"/>
      <c r="HP112" s="1997"/>
      <c r="HQ112" s="1997"/>
      <c r="HR112" s="1997"/>
      <c r="HS112" s="1997"/>
      <c r="HT112" s="1997"/>
      <c r="HU112" s="1997"/>
      <c r="HV112" s="1997"/>
      <c r="HW112" s="1997"/>
      <c r="HX112" s="1997"/>
      <c r="HY112" s="1997"/>
      <c r="HZ112" s="1997"/>
      <c r="IA112" s="1997"/>
      <c r="IB112" s="1997"/>
      <c r="IC112" s="1997"/>
      <c r="ID112" s="1997"/>
      <c r="IE112" s="1997"/>
      <c r="IF112" s="1997"/>
      <c r="IG112" s="1997"/>
      <c r="IH112" s="1997"/>
      <c r="II112" s="1997"/>
      <c r="IJ112" s="1997"/>
      <c r="IK112" s="1997"/>
      <c r="IL112" s="1997"/>
      <c r="IM112" s="1997"/>
      <c r="IN112" s="1997"/>
      <c r="IO112" s="1997"/>
      <c r="IP112" s="1997"/>
      <c r="IQ112" s="1997"/>
    </row>
    <row r="113" spans="1:251">
      <c r="A113" s="2021">
        <v>2</v>
      </c>
      <c r="B113" s="2955" t="s">
        <v>531</v>
      </c>
      <c r="C113" s="1995"/>
      <c r="D113" s="2035"/>
      <c r="E113" s="1993"/>
      <c r="F113" s="1996">
        <f>66000+10000</f>
        <v>76000</v>
      </c>
      <c r="G113" s="1993">
        <v>12</v>
      </c>
      <c r="H113" s="1940">
        <f>D113*F113*G113</f>
        <v>0</v>
      </c>
      <c r="I113" s="1993"/>
      <c r="J113" s="1940">
        <f>I113*$Q$4</f>
        <v>0</v>
      </c>
      <c r="K113" s="1993">
        <v>0.1</v>
      </c>
      <c r="L113" s="1940">
        <f>K113*F113</f>
        <v>7600</v>
      </c>
      <c r="M113" s="1940">
        <f>D113*G113*(J113+L113)</f>
        <v>0</v>
      </c>
      <c r="N113" s="1940">
        <f>H113+M113</f>
        <v>0</v>
      </c>
      <c r="O113" s="1993">
        <f>F113*D113*2</f>
        <v>0</v>
      </c>
      <c r="P113" s="1993">
        <f t="shared" ref="P113:P116" si="56">F113*D113*2</f>
        <v>0</v>
      </c>
      <c r="Q113" s="1940">
        <f>N113+O113+P113</f>
        <v>0</v>
      </c>
      <c r="R113" s="1940">
        <f>Q113*10%</f>
        <v>0</v>
      </c>
      <c r="S113" s="1940">
        <f>(Q113-R113)*10%</f>
        <v>0</v>
      </c>
      <c r="T113" s="1940">
        <f>(Q113-R113)*6%</f>
        <v>0</v>
      </c>
      <c r="U113" s="1940">
        <f>(Q113-R113)*5%</f>
        <v>0</v>
      </c>
      <c r="V113" s="1997"/>
      <c r="W113" s="1997"/>
      <c r="X113" s="1997"/>
      <c r="Y113" s="1997"/>
      <c r="Z113" s="1997"/>
      <c r="AA113" s="1997"/>
      <c r="AB113" s="1997"/>
      <c r="AC113" s="1997"/>
      <c r="AD113" s="1997"/>
      <c r="AE113" s="1997"/>
      <c r="AF113" s="1997"/>
      <c r="AG113" s="1997"/>
      <c r="AH113" s="1997"/>
      <c r="AI113" s="1997"/>
      <c r="AJ113" s="1997"/>
      <c r="AK113" s="1997"/>
      <c r="AL113" s="1997"/>
      <c r="AM113" s="1997"/>
      <c r="AN113" s="1997"/>
      <c r="AO113" s="1997"/>
      <c r="AP113" s="1997"/>
      <c r="AQ113" s="1997"/>
      <c r="AR113" s="1997"/>
      <c r="AS113" s="1997"/>
      <c r="AT113" s="1997"/>
      <c r="AU113" s="1997"/>
      <c r="AV113" s="1997"/>
      <c r="AW113" s="1997"/>
      <c r="AX113" s="1997"/>
      <c r="AY113" s="1997"/>
      <c r="AZ113" s="1997"/>
      <c r="BA113" s="1997"/>
      <c r="BB113" s="1997"/>
      <c r="BC113" s="1997"/>
      <c r="BD113" s="1997"/>
      <c r="BE113" s="1997"/>
      <c r="BF113" s="1997"/>
      <c r="BG113" s="1997"/>
      <c r="BH113" s="1997"/>
      <c r="BI113" s="1997"/>
      <c r="BJ113" s="1997"/>
      <c r="BK113" s="1997"/>
      <c r="BL113" s="1997"/>
      <c r="BM113" s="1997"/>
      <c r="BN113" s="1997"/>
      <c r="BO113" s="1997"/>
      <c r="BP113" s="1997"/>
      <c r="BQ113" s="1997"/>
      <c r="BR113" s="1997"/>
      <c r="BS113" s="1997"/>
      <c r="BT113" s="1997"/>
      <c r="BU113" s="1997"/>
      <c r="BV113" s="1997"/>
      <c r="BW113" s="1997"/>
      <c r="BX113" s="1997"/>
      <c r="BY113" s="1997"/>
      <c r="BZ113" s="1997"/>
      <c r="CA113" s="1997"/>
      <c r="CB113" s="1997"/>
      <c r="CC113" s="1997"/>
      <c r="CD113" s="1997"/>
      <c r="CE113" s="1997"/>
      <c r="CF113" s="1997"/>
      <c r="CG113" s="1997"/>
      <c r="CH113" s="1997"/>
      <c r="CI113" s="1997"/>
      <c r="CJ113" s="1997"/>
      <c r="CK113" s="1997"/>
      <c r="CL113" s="1997"/>
      <c r="CM113" s="1997"/>
      <c r="CN113" s="1997"/>
      <c r="CO113" s="1997"/>
      <c r="CP113" s="1997"/>
      <c r="CQ113" s="1997"/>
      <c r="CR113" s="1997"/>
      <c r="CS113" s="1997"/>
      <c r="CT113" s="1997"/>
      <c r="CU113" s="1997"/>
      <c r="CV113" s="1997"/>
      <c r="CW113" s="1997"/>
      <c r="CX113" s="1997"/>
      <c r="CY113" s="1997"/>
      <c r="CZ113" s="1997"/>
      <c r="DA113" s="1997"/>
      <c r="DB113" s="1997"/>
      <c r="DC113" s="1997"/>
      <c r="DD113" s="1997"/>
      <c r="DE113" s="1997"/>
      <c r="DF113" s="1997"/>
      <c r="DG113" s="1997"/>
      <c r="DH113" s="1997"/>
      <c r="DI113" s="1997"/>
      <c r="DJ113" s="1997"/>
      <c r="DK113" s="1997"/>
      <c r="DL113" s="1997"/>
      <c r="DM113" s="1997"/>
      <c r="DN113" s="1997"/>
      <c r="DO113" s="1997"/>
      <c r="DP113" s="1997"/>
      <c r="DQ113" s="1997"/>
      <c r="DR113" s="1997"/>
      <c r="DS113" s="1997"/>
      <c r="DT113" s="1997"/>
      <c r="DU113" s="1997"/>
      <c r="DV113" s="1997"/>
      <c r="DW113" s="1997"/>
      <c r="DX113" s="1997"/>
      <c r="DY113" s="1997"/>
      <c r="DZ113" s="1997"/>
      <c r="EA113" s="1997"/>
      <c r="EB113" s="1997"/>
      <c r="EC113" s="1997"/>
      <c r="ED113" s="1997"/>
      <c r="EE113" s="1997"/>
      <c r="EF113" s="1997"/>
      <c r="EG113" s="1997"/>
      <c r="EH113" s="1997"/>
      <c r="EI113" s="1997"/>
      <c r="EJ113" s="1997"/>
      <c r="EK113" s="1997"/>
      <c r="EL113" s="1997"/>
      <c r="EM113" s="1997"/>
      <c r="EN113" s="1997"/>
      <c r="EO113" s="1997"/>
      <c r="EP113" s="1997"/>
      <c r="EQ113" s="1997"/>
      <c r="ER113" s="1997"/>
      <c r="ES113" s="1997"/>
      <c r="ET113" s="1997"/>
      <c r="EU113" s="1997"/>
      <c r="EV113" s="1997"/>
      <c r="EW113" s="1997"/>
      <c r="EX113" s="1997"/>
      <c r="EY113" s="1997"/>
      <c r="EZ113" s="1997"/>
      <c r="FA113" s="1997"/>
      <c r="FB113" s="1997"/>
      <c r="FC113" s="1997"/>
      <c r="FD113" s="1997"/>
      <c r="FE113" s="1997"/>
      <c r="FF113" s="1997"/>
      <c r="FG113" s="1997"/>
      <c r="FH113" s="1997"/>
      <c r="FI113" s="1997"/>
      <c r="FJ113" s="1997"/>
      <c r="FK113" s="1997"/>
      <c r="FL113" s="1997"/>
      <c r="FM113" s="1997"/>
      <c r="FN113" s="1997"/>
      <c r="FO113" s="1997"/>
      <c r="FP113" s="1997"/>
      <c r="FQ113" s="1997"/>
      <c r="FR113" s="1997"/>
      <c r="FS113" s="1997"/>
      <c r="FT113" s="1997"/>
      <c r="FU113" s="1997"/>
      <c r="FV113" s="1997"/>
      <c r="FW113" s="1997"/>
      <c r="FX113" s="1997"/>
      <c r="FY113" s="1997"/>
      <c r="FZ113" s="1997"/>
      <c r="GA113" s="1997"/>
      <c r="GB113" s="1997"/>
      <c r="GC113" s="1997"/>
      <c r="GD113" s="1997"/>
      <c r="GE113" s="1997"/>
      <c r="GF113" s="1997"/>
      <c r="GG113" s="1997"/>
      <c r="GH113" s="1997"/>
      <c r="GI113" s="1997"/>
      <c r="GJ113" s="1997"/>
      <c r="GK113" s="1997"/>
      <c r="GL113" s="1997"/>
      <c r="GM113" s="1997"/>
      <c r="GN113" s="1997"/>
      <c r="GO113" s="1997"/>
      <c r="GP113" s="1997"/>
      <c r="GQ113" s="1997"/>
      <c r="GR113" s="1997"/>
      <c r="GS113" s="1997"/>
      <c r="GT113" s="1997"/>
      <c r="GU113" s="1997"/>
      <c r="GV113" s="1997"/>
      <c r="GW113" s="1997"/>
      <c r="GX113" s="1997"/>
      <c r="GY113" s="1997"/>
      <c r="GZ113" s="1997"/>
      <c r="HA113" s="1997"/>
      <c r="HB113" s="1997"/>
      <c r="HC113" s="1997"/>
      <c r="HD113" s="1997"/>
      <c r="HE113" s="1997"/>
      <c r="HF113" s="1997"/>
      <c r="HG113" s="1997"/>
      <c r="HH113" s="1997"/>
      <c r="HI113" s="1997"/>
      <c r="HJ113" s="1997"/>
      <c r="HK113" s="1997"/>
      <c r="HL113" s="1997"/>
      <c r="HM113" s="1997"/>
      <c r="HN113" s="1997"/>
      <c r="HO113" s="1997"/>
      <c r="HP113" s="1997"/>
      <c r="HQ113" s="1997"/>
      <c r="HR113" s="1997"/>
      <c r="HS113" s="1997"/>
      <c r="HT113" s="1997"/>
      <c r="HU113" s="1997"/>
      <c r="HV113" s="1997"/>
      <c r="HW113" s="1997"/>
      <c r="HX113" s="1997"/>
      <c r="HY113" s="1997"/>
      <c r="HZ113" s="1997"/>
      <c r="IA113" s="1997"/>
      <c r="IB113" s="1997"/>
      <c r="IC113" s="1997"/>
      <c r="ID113" s="1997"/>
      <c r="IE113" s="1997"/>
      <c r="IF113" s="1997"/>
      <c r="IG113" s="1997"/>
      <c r="IH113" s="1997"/>
      <c r="II113" s="1997"/>
      <c r="IJ113" s="1997"/>
      <c r="IK113" s="1997"/>
      <c r="IL113" s="1997"/>
      <c r="IM113" s="1997"/>
      <c r="IN113" s="1997"/>
      <c r="IO113" s="1997"/>
      <c r="IP113" s="1997"/>
      <c r="IQ113" s="1997"/>
    </row>
    <row r="114" spans="1:251">
      <c r="A114" s="2021">
        <v>3</v>
      </c>
      <c r="B114" s="2955" t="s">
        <v>532</v>
      </c>
      <c r="C114" s="1995"/>
      <c r="D114" s="2035"/>
      <c r="E114" s="1993"/>
      <c r="F114" s="1996">
        <f>66000+10000</f>
        <v>76000</v>
      </c>
      <c r="G114" s="1993">
        <v>12</v>
      </c>
      <c r="H114" s="1940">
        <f t="shared" ref="H114:H130" si="57">D114*F114*G114</f>
        <v>0</v>
      </c>
      <c r="I114" s="1993"/>
      <c r="J114" s="1940">
        <f t="shared" ref="J114:J130" si="58">I114*$Q$4</f>
        <v>0</v>
      </c>
      <c r="K114" s="1993"/>
      <c r="L114" s="1940">
        <f t="shared" ref="L114:L130" si="59">K114*F114</f>
        <v>0</v>
      </c>
      <c r="M114" s="1940">
        <f t="shared" ref="M114:M130" si="60">D114*G114*(J114+L114)</f>
        <v>0</v>
      </c>
      <c r="N114" s="1940">
        <f t="shared" ref="N114:N130" si="61">H114+M114</f>
        <v>0</v>
      </c>
      <c r="O114" s="1993">
        <f>F114*D114*2</f>
        <v>0</v>
      </c>
      <c r="P114" s="1993">
        <f t="shared" si="56"/>
        <v>0</v>
      </c>
      <c r="Q114" s="1940">
        <f t="shared" ref="Q114:Q130" si="62">N114+O114+P114</f>
        <v>0</v>
      </c>
      <c r="R114" s="1940">
        <f t="shared" ref="R114:R130" si="63">Q114*10%</f>
        <v>0</v>
      </c>
      <c r="S114" s="1940">
        <f t="shared" ref="S114:S130" si="64">(Q114-R114)*10%</f>
        <v>0</v>
      </c>
      <c r="T114" s="1940">
        <f t="shared" ref="T114:T130" si="65">(Q114-R114)*6%</f>
        <v>0</v>
      </c>
      <c r="U114" s="1940">
        <f t="shared" ref="U114:U130" si="66">(Q114-R114)*5%</f>
        <v>0</v>
      </c>
      <c r="V114" s="1997"/>
      <c r="W114" s="1997"/>
      <c r="X114" s="1997"/>
      <c r="Y114" s="1997"/>
      <c r="Z114" s="1997"/>
      <c r="AA114" s="1997"/>
      <c r="AB114" s="1997"/>
      <c r="AC114" s="1997"/>
      <c r="AD114" s="1997"/>
      <c r="AE114" s="1997"/>
      <c r="AF114" s="1997"/>
      <c r="AG114" s="1997"/>
      <c r="AH114" s="1997"/>
      <c r="AI114" s="1997"/>
      <c r="AJ114" s="1997"/>
      <c r="AK114" s="1997"/>
      <c r="AL114" s="1997"/>
      <c r="AM114" s="1997"/>
      <c r="AN114" s="1997"/>
      <c r="AO114" s="1997"/>
      <c r="AP114" s="1997"/>
      <c r="AQ114" s="1997"/>
      <c r="AR114" s="1997"/>
      <c r="AS114" s="1997"/>
      <c r="AT114" s="1997"/>
      <c r="AU114" s="1997"/>
      <c r="AV114" s="1997"/>
      <c r="AW114" s="1997"/>
      <c r="AX114" s="1997"/>
      <c r="AY114" s="1997"/>
      <c r="AZ114" s="1997"/>
      <c r="BA114" s="1997"/>
      <c r="BB114" s="1997"/>
      <c r="BC114" s="1997"/>
      <c r="BD114" s="1997"/>
      <c r="BE114" s="1997"/>
      <c r="BF114" s="1997"/>
      <c r="BG114" s="1997"/>
      <c r="BH114" s="1997"/>
      <c r="BI114" s="1997"/>
      <c r="BJ114" s="1997"/>
      <c r="BK114" s="1997"/>
      <c r="BL114" s="1997"/>
      <c r="BM114" s="1997"/>
      <c r="BN114" s="1997"/>
      <c r="BO114" s="1997"/>
      <c r="BP114" s="1997"/>
      <c r="BQ114" s="1997"/>
      <c r="BR114" s="1997"/>
      <c r="BS114" s="1997"/>
      <c r="BT114" s="1997"/>
      <c r="BU114" s="1997"/>
      <c r="BV114" s="1997"/>
      <c r="BW114" s="1997"/>
      <c r="BX114" s="1997"/>
      <c r="BY114" s="1997"/>
      <c r="BZ114" s="1997"/>
      <c r="CA114" s="1997"/>
      <c r="CB114" s="1997"/>
      <c r="CC114" s="1997"/>
      <c r="CD114" s="1997"/>
      <c r="CE114" s="1997"/>
      <c r="CF114" s="1997"/>
      <c r="CG114" s="1997"/>
      <c r="CH114" s="1997"/>
      <c r="CI114" s="1997"/>
      <c r="CJ114" s="1997"/>
      <c r="CK114" s="1997"/>
      <c r="CL114" s="1997"/>
      <c r="CM114" s="1997"/>
      <c r="CN114" s="1997"/>
      <c r="CO114" s="1997"/>
      <c r="CP114" s="1997"/>
      <c r="CQ114" s="1997"/>
      <c r="CR114" s="1997"/>
      <c r="CS114" s="1997"/>
      <c r="CT114" s="1997"/>
      <c r="CU114" s="1997"/>
      <c r="CV114" s="1997"/>
      <c r="CW114" s="1997"/>
      <c r="CX114" s="1997"/>
      <c r="CY114" s="1997"/>
      <c r="CZ114" s="1997"/>
      <c r="DA114" s="1997"/>
      <c r="DB114" s="1997"/>
      <c r="DC114" s="1997"/>
      <c r="DD114" s="1997"/>
      <c r="DE114" s="1997"/>
      <c r="DF114" s="1997"/>
      <c r="DG114" s="1997"/>
      <c r="DH114" s="1997"/>
      <c r="DI114" s="1997"/>
      <c r="DJ114" s="1997"/>
      <c r="DK114" s="1997"/>
      <c r="DL114" s="1997"/>
      <c r="DM114" s="1997"/>
      <c r="DN114" s="1997"/>
      <c r="DO114" s="1997"/>
      <c r="DP114" s="1997"/>
      <c r="DQ114" s="1997"/>
      <c r="DR114" s="1997"/>
      <c r="DS114" s="1997"/>
      <c r="DT114" s="1997"/>
      <c r="DU114" s="1997"/>
      <c r="DV114" s="1997"/>
      <c r="DW114" s="1997"/>
      <c r="DX114" s="1997"/>
      <c r="DY114" s="1997"/>
      <c r="DZ114" s="1997"/>
      <c r="EA114" s="1997"/>
      <c r="EB114" s="1997"/>
      <c r="EC114" s="1997"/>
      <c r="ED114" s="1997"/>
      <c r="EE114" s="1997"/>
      <c r="EF114" s="1997"/>
      <c r="EG114" s="1997"/>
      <c r="EH114" s="1997"/>
      <c r="EI114" s="1997"/>
      <c r="EJ114" s="1997"/>
      <c r="EK114" s="1997"/>
      <c r="EL114" s="1997"/>
      <c r="EM114" s="1997"/>
      <c r="EN114" s="1997"/>
      <c r="EO114" s="1997"/>
      <c r="EP114" s="1997"/>
      <c r="EQ114" s="1997"/>
      <c r="ER114" s="1997"/>
      <c r="ES114" s="1997"/>
      <c r="ET114" s="1997"/>
      <c r="EU114" s="1997"/>
      <c r="EV114" s="1997"/>
      <c r="EW114" s="1997"/>
      <c r="EX114" s="1997"/>
      <c r="EY114" s="1997"/>
      <c r="EZ114" s="1997"/>
      <c r="FA114" s="1997"/>
      <c r="FB114" s="1997"/>
      <c r="FC114" s="1997"/>
      <c r="FD114" s="1997"/>
      <c r="FE114" s="1997"/>
      <c r="FF114" s="1997"/>
      <c r="FG114" s="1997"/>
      <c r="FH114" s="1997"/>
      <c r="FI114" s="1997"/>
      <c r="FJ114" s="1997"/>
      <c r="FK114" s="1997"/>
      <c r="FL114" s="1997"/>
      <c r="FM114" s="1997"/>
      <c r="FN114" s="1997"/>
      <c r="FO114" s="1997"/>
      <c r="FP114" s="1997"/>
      <c r="FQ114" s="1997"/>
      <c r="FR114" s="1997"/>
      <c r="FS114" s="1997"/>
      <c r="FT114" s="1997"/>
      <c r="FU114" s="1997"/>
      <c r="FV114" s="1997"/>
      <c r="FW114" s="1997"/>
      <c r="FX114" s="1997"/>
      <c r="FY114" s="1997"/>
      <c r="FZ114" s="1997"/>
      <c r="GA114" s="1997"/>
      <c r="GB114" s="1997"/>
      <c r="GC114" s="1997"/>
      <c r="GD114" s="1997"/>
      <c r="GE114" s="1997"/>
      <c r="GF114" s="1997"/>
      <c r="GG114" s="1997"/>
      <c r="GH114" s="1997"/>
      <c r="GI114" s="1997"/>
      <c r="GJ114" s="1997"/>
      <c r="GK114" s="1997"/>
      <c r="GL114" s="1997"/>
      <c r="GM114" s="1997"/>
      <c r="GN114" s="1997"/>
      <c r="GO114" s="1997"/>
      <c r="GP114" s="1997"/>
      <c r="GQ114" s="1997"/>
      <c r="GR114" s="1997"/>
      <c r="GS114" s="1997"/>
      <c r="GT114" s="1997"/>
      <c r="GU114" s="1997"/>
      <c r="GV114" s="1997"/>
      <c r="GW114" s="1997"/>
      <c r="GX114" s="1997"/>
      <c r="GY114" s="1997"/>
      <c r="GZ114" s="1997"/>
      <c r="HA114" s="1997"/>
      <c r="HB114" s="1997"/>
      <c r="HC114" s="1997"/>
      <c r="HD114" s="1997"/>
      <c r="HE114" s="1997"/>
      <c r="HF114" s="1997"/>
      <c r="HG114" s="1997"/>
      <c r="HH114" s="1997"/>
      <c r="HI114" s="1997"/>
      <c r="HJ114" s="1997"/>
      <c r="HK114" s="1997"/>
      <c r="HL114" s="1997"/>
      <c r="HM114" s="1997"/>
      <c r="HN114" s="1997"/>
      <c r="HO114" s="1997"/>
      <c r="HP114" s="1997"/>
      <c r="HQ114" s="1997"/>
      <c r="HR114" s="1997"/>
      <c r="HS114" s="1997"/>
      <c r="HT114" s="1997"/>
      <c r="HU114" s="1997"/>
      <c r="HV114" s="1997"/>
      <c r="HW114" s="1997"/>
      <c r="HX114" s="1997"/>
      <c r="HY114" s="1997"/>
      <c r="HZ114" s="1997"/>
      <c r="IA114" s="1997"/>
      <c r="IB114" s="1997"/>
      <c r="IC114" s="1997"/>
      <c r="ID114" s="1997"/>
      <c r="IE114" s="1997"/>
      <c r="IF114" s="1997"/>
      <c r="IG114" s="1997"/>
      <c r="IH114" s="1997"/>
      <c r="II114" s="1997"/>
      <c r="IJ114" s="1997"/>
      <c r="IK114" s="1997"/>
      <c r="IL114" s="1997"/>
      <c r="IM114" s="1997"/>
      <c r="IN114" s="1997"/>
      <c r="IO114" s="1997"/>
      <c r="IP114" s="1997"/>
      <c r="IQ114" s="1997"/>
    </row>
    <row r="115" spans="1:251">
      <c r="A115" s="2021">
        <v>4</v>
      </c>
      <c r="B115" s="2955" t="s">
        <v>533</v>
      </c>
      <c r="C115" s="1995"/>
      <c r="D115" s="2035"/>
      <c r="E115" s="1993"/>
      <c r="F115" s="1996">
        <f>72000+10000</f>
        <v>82000</v>
      </c>
      <c r="G115" s="1993">
        <v>12</v>
      </c>
      <c r="H115" s="1940">
        <f t="shared" si="57"/>
        <v>0</v>
      </c>
      <c r="I115" s="1993"/>
      <c r="J115" s="1940">
        <f t="shared" si="58"/>
        <v>0</v>
      </c>
      <c r="K115" s="1993"/>
      <c r="L115" s="1940">
        <f t="shared" si="59"/>
        <v>0</v>
      </c>
      <c r="M115" s="1940">
        <f t="shared" si="60"/>
        <v>0</v>
      </c>
      <c r="N115" s="1940">
        <f t="shared" si="61"/>
        <v>0</v>
      </c>
      <c r="O115" s="1993">
        <f t="shared" ref="O115:O121" si="67">F115*D115*2</f>
        <v>0</v>
      </c>
      <c r="P115" s="1993">
        <f t="shared" si="56"/>
        <v>0</v>
      </c>
      <c r="Q115" s="1940">
        <f t="shared" si="62"/>
        <v>0</v>
      </c>
      <c r="R115" s="1940">
        <f t="shared" si="63"/>
        <v>0</v>
      </c>
      <c r="S115" s="1940">
        <f t="shared" si="64"/>
        <v>0</v>
      </c>
      <c r="T115" s="1940">
        <f t="shared" si="65"/>
        <v>0</v>
      </c>
      <c r="U115" s="1940">
        <f t="shared" si="66"/>
        <v>0</v>
      </c>
      <c r="V115" s="1997"/>
      <c r="W115" s="1997"/>
      <c r="X115" s="1997"/>
      <c r="Y115" s="1997"/>
      <c r="Z115" s="1997"/>
      <c r="AA115" s="1997"/>
      <c r="AB115" s="1997"/>
      <c r="AC115" s="1997"/>
      <c r="AD115" s="1997"/>
      <c r="AE115" s="1997"/>
      <c r="AF115" s="1997"/>
      <c r="AG115" s="1997"/>
      <c r="AH115" s="1997"/>
      <c r="AI115" s="1997"/>
      <c r="AJ115" s="1997"/>
      <c r="AK115" s="1997"/>
      <c r="AL115" s="1997"/>
      <c r="AM115" s="1997"/>
      <c r="AN115" s="1997"/>
      <c r="AO115" s="1997"/>
      <c r="AP115" s="1997"/>
      <c r="AQ115" s="1997"/>
      <c r="AR115" s="1997"/>
      <c r="AS115" s="1997"/>
      <c r="AT115" s="1997"/>
      <c r="AU115" s="1997"/>
      <c r="AV115" s="1997"/>
      <c r="AW115" s="1997"/>
      <c r="AX115" s="1997"/>
      <c r="AY115" s="1997"/>
      <c r="AZ115" s="1997"/>
      <c r="BA115" s="1997"/>
      <c r="BB115" s="1997"/>
      <c r="BC115" s="1997"/>
      <c r="BD115" s="1997"/>
      <c r="BE115" s="1997"/>
      <c r="BF115" s="1997"/>
      <c r="BG115" s="1997"/>
      <c r="BH115" s="1997"/>
      <c r="BI115" s="1997"/>
      <c r="BJ115" s="1997"/>
      <c r="BK115" s="1997"/>
      <c r="BL115" s="1997"/>
      <c r="BM115" s="1997"/>
      <c r="BN115" s="1997"/>
      <c r="BO115" s="1997"/>
      <c r="BP115" s="1997"/>
      <c r="BQ115" s="1997"/>
      <c r="BR115" s="1997"/>
      <c r="BS115" s="1997"/>
      <c r="BT115" s="1997"/>
      <c r="BU115" s="1997"/>
      <c r="BV115" s="1997"/>
      <c r="BW115" s="1997"/>
      <c r="BX115" s="1997"/>
      <c r="BY115" s="1997"/>
      <c r="BZ115" s="1997"/>
      <c r="CA115" s="1997"/>
      <c r="CB115" s="1997"/>
      <c r="CC115" s="1997"/>
      <c r="CD115" s="1997"/>
      <c r="CE115" s="1997"/>
      <c r="CF115" s="1997"/>
      <c r="CG115" s="1997"/>
      <c r="CH115" s="1997"/>
      <c r="CI115" s="1997"/>
      <c r="CJ115" s="1997"/>
      <c r="CK115" s="1997"/>
      <c r="CL115" s="1997"/>
      <c r="CM115" s="1997"/>
      <c r="CN115" s="1997"/>
      <c r="CO115" s="1997"/>
      <c r="CP115" s="1997"/>
      <c r="CQ115" s="1997"/>
      <c r="CR115" s="1997"/>
      <c r="CS115" s="1997"/>
      <c r="CT115" s="1997"/>
      <c r="CU115" s="1997"/>
      <c r="CV115" s="1997"/>
      <c r="CW115" s="1997"/>
      <c r="CX115" s="1997"/>
      <c r="CY115" s="1997"/>
      <c r="CZ115" s="1997"/>
      <c r="DA115" s="1997"/>
      <c r="DB115" s="1997"/>
      <c r="DC115" s="1997"/>
      <c r="DD115" s="1997"/>
      <c r="DE115" s="1997"/>
      <c r="DF115" s="1997"/>
      <c r="DG115" s="1997"/>
      <c r="DH115" s="1997"/>
      <c r="DI115" s="1997"/>
      <c r="DJ115" s="1997"/>
      <c r="DK115" s="1997"/>
      <c r="DL115" s="1997"/>
      <c r="DM115" s="1997"/>
      <c r="DN115" s="1997"/>
      <c r="DO115" s="1997"/>
      <c r="DP115" s="1997"/>
      <c r="DQ115" s="1997"/>
      <c r="DR115" s="1997"/>
      <c r="DS115" s="1997"/>
      <c r="DT115" s="1997"/>
      <c r="DU115" s="1997"/>
      <c r="DV115" s="1997"/>
      <c r="DW115" s="1997"/>
      <c r="DX115" s="1997"/>
      <c r="DY115" s="1997"/>
      <c r="DZ115" s="1997"/>
      <c r="EA115" s="1997"/>
      <c r="EB115" s="1997"/>
      <c r="EC115" s="1997"/>
      <c r="ED115" s="1997"/>
      <c r="EE115" s="1997"/>
      <c r="EF115" s="1997"/>
      <c r="EG115" s="1997"/>
      <c r="EH115" s="1997"/>
      <c r="EI115" s="1997"/>
      <c r="EJ115" s="1997"/>
      <c r="EK115" s="1997"/>
      <c r="EL115" s="1997"/>
      <c r="EM115" s="1997"/>
      <c r="EN115" s="1997"/>
      <c r="EO115" s="1997"/>
      <c r="EP115" s="1997"/>
      <c r="EQ115" s="1997"/>
      <c r="ER115" s="1997"/>
      <c r="ES115" s="1997"/>
      <c r="ET115" s="1997"/>
      <c r="EU115" s="1997"/>
      <c r="EV115" s="1997"/>
      <c r="EW115" s="1997"/>
      <c r="EX115" s="1997"/>
      <c r="EY115" s="1997"/>
      <c r="EZ115" s="1997"/>
      <c r="FA115" s="1997"/>
      <c r="FB115" s="1997"/>
      <c r="FC115" s="1997"/>
      <c r="FD115" s="1997"/>
      <c r="FE115" s="1997"/>
      <c r="FF115" s="1997"/>
      <c r="FG115" s="1997"/>
      <c r="FH115" s="1997"/>
      <c r="FI115" s="1997"/>
      <c r="FJ115" s="1997"/>
      <c r="FK115" s="1997"/>
      <c r="FL115" s="1997"/>
      <c r="FM115" s="1997"/>
      <c r="FN115" s="1997"/>
      <c r="FO115" s="1997"/>
      <c r="FP115" s="1997"/>
      <c r="FQ115" s="1997"/>
      <c r="FR115" s="1997"/>
      <c r="FS115" s="1997"/>
      <c r="FT115" s="1997"/>
      <c r="FU115" s="1997"/>
      <c r="FV115" s="1997"/>
      <c r="FW115" s="1997"/>
      <c r="FX115" s="1997"/>
      <c r="FY115" s="1997"/>
      <c r="FZ115" s="1997"/>
      <c r="GA115" s="1997"/>
      <c r="GB115" s="1997"/>
      <c r="GC115" s="1997"/>
      <c r="GD115" s="1997"/>
      <c r="GE115" s="1997"/>
      <c r="GF115" s="1997"/>
      <c r="GG115" s="1997"/>
      <c r="GH115" s="1997"/>
      <c r="GI115" s="1997"/>
      <c r="GJ115" s="1997"/>
      <c r="GK115" s="1997"/>
      <c r="GL115" s="1997"/>
      <c r="GM115" s="1997"/>
      <c r="GN115" s="1997"/>
      <c r="GO115" s="1997"/>
      <c r="GP115" s="1997"/>
      <c r="GQ115" s="1997"/>
      <c r="GR115" s="1997"/>
      <c r="GS115" s="1997"/>
      <c r="GT115" s="1997"/>
      <c r="GU115" s="1997"/>
      <c r="GV115" s="1997"/>
      <c r="GW115" s="1997"/>
      <c r="GX115" s="1997"/>
      <c r="GY115" s="1997"/>
      <c r="GZ115" s="1997"/>
      <c r="HA115" s="1997"/>
      <c r="HB115" s="1997"/>
      <c r="HC115" s="1997"/>
      <c r="HD115" s="1997"/>
      <c r="HE115" s="1997"/>
      <c r="HF115" s="1997"/>
      <c r="HG115" s="1997"/>
      <c r="HH115" s="1997"/>
      <c r="HI115" s="1997"/>
      <c r="HJ115" s="1997"/>
      <c r="HK115" s="1997"/>
      <c r="HL115" s="1997"/>
      <c r="HM115" s="1997"/>
      <c r="HN115" s="1997"/>
      <c r="HO115" s="1997"/>
      <c r="HP115" s="1997"/>
      <c r="HQ115" s="1997"/>
      <c r="HR115" s="1997"/>
      <c r="HS115" s="1997"/>
      <c r="HT115" s="1997"/>
      <c r="HU115" s="1997"/>
      <c r="HV115" s="1997"/>
      <c r="HW115" s="1997"/>
      <c r="HX115" s="1997"/>
      <c r="HY115" s="1997"/>
      <c r="HZ115" s="1997"/>
      <c r="IA115" s="1997"/>
      <c r="IB115" s="1997"/>
      <c r="IC115" s="1997"/>
      <c r="ID115" s="1997"/>
      <c r="IE115" s="1997"/>
      <c r="IF115" s="1997"/>
      <c r="IG115" s="1997"/>
      <c r="IH115" s="1997"/>
      <c r="II115" s="1997"/>
      <c r="IJ115" s="1997"/>
      <c r="IK115" s="1997"/>
      <c r="IL115" s="1997"/>
      <c r="IM115" s="1997"/>
      <c r="IN115" s="1997"/>
      <c r="IO115" s="1997"/>
      <c r="IP115" s="1997"/>
      <c r="IQ115" s="1997"/>
    </row>
    <row r="116" spans="1:251">
      <c r="A116" s="2021">
        <v>5</v>
      </c>
      <c r="B116" s="2955" t="s">
        <v>534</v>
      </c>
      <c r="C116" s="1995"/>
      <c r="D116" s="2035"/>
      <c r="E116" s="1993"/>
      <c r="F116" s="1996">
        <f>72000+28000</f>
        <v>100000</v>
      </c>
      <c r="G116" s="1993">
        <v>12</v>
      </c>
      <c r="H116" s="1940">
        <f t="shared" si="57"/>
        <v>0</v>
      </c>
      <c r="I116" s="1993"/>
      <c r="J116" s="1940">
        <f t="shared" si="58"/>
        <v>0</v>
      </c>
      <c r="K116" s="1993"/>
      <c r="L116" s="1940">
        <f t="shared" si="59"/>
        <v>0</v>
      </c>
      <c r="M116" s="1940">
        <f t="shared" si="60"/>
        <v>0</v>
      </c>
      <c r="N116" s="1940">
        <f t="shared" si="61"/>
        <v>0</v>
      </c>
      <c r="O116" s="1993">
        <f t="shared" si="67"/>
        <v>0</v>
      </c>
      <c r="P116" s="1993">
        <f t="shared" si="56"/>
        <v>0</v>
      </c>
      <c r="Q116" s="1940">
        <f t="shared" si="62"/>
        <v>0</v>
      </c>
      <c r="R116" s="1940">
        <f t="shared" si="63"/>
        <v>0</v>
      </c>
      <c r="S116" s="1940">
        <f t="shared" si="64"/>
        <v>0</v>
      </c>
      <c r="T116" s="1940">
        <f t="shared" si="65"/>
        <v>0</v>
      </c>
      <c r="U116" s="1940">
        <f t="shared" si="66"/>
        <v>0</v>
      </c>
      <c r="V116" s="1997"/>
      <c r="W116" s="1997"/>
      <c r="X116" s="1997"/>
      <c r="Y116" s="1997"/>
      <c r="Z116" s="1997"/>
      <c r="AA116" s="1997"/>
      <c r="AB116" s="1997"/>
      <c r="AC116" s="1997"/>
      <c r="AD116" s="1997"/>
      <c r="AE116" s="1997"/>
      <c r="AF116" s="1997"/>
      <c r="AG116" s="1997"/>
      <c r="AH116" s="1997"/>
      <c r="AI116" s="1997"/>
      <c r="AJ116" s="1997"/>
      <c r="AK116" s="1997"/>
      <c r="AL116" s="1997"/>
      <c r="AM116" s="1997"/>
      <c r="AN116" s="1997"/>
      <c r="AO116" s="1997"/>
      <c r="AP116" s="1997"/>
      <c r="AQ116" s="1997"/>
      <c r="AR116" s="1997"/>
      <c r="AS116" s="1997"/>
      <c r="AT116" s="1997"/>
      <c r="AU116" s="1997"/>
      <c r="AV116" s="1997"/>
      <c r="AW116" s="1997"/>
      <c r="AX116" s="1997"/>
      <c r="AY116" s="1997"/>
      <c r="AZ116" s="1997"/>
      <c r="BA116" s="1997"/>
      <c r="BB116" s="1997"/>
      <c r="BC116" s="1997"/>
      <c r="BD116" s="1997"/>
      <c r="BE116" s="1997"/>
      <c r="BF116" s="1997"/>
      <c r="BG116" s="1997"/>
      <c r="BH116" s="1997"/>
      <c r="BI116" s="1997"/>
      <c r="BJ116" s="1997"/>
      <c r="BK116" s="1997"/>
      <c r="BL116" s="1997"/>
      <c r="BM116" s="1997"/>
      <c r="BN116" s="1997"/>
      <c r="BO116" s="1997"/>
      <c r="BP116" s="1997"/>
      <c r="BQ116" s="1997"/>
      <c r="BR116" s="1997"/>
      <c r="BS116" s="1997"/>
      <c r="BT116" s="1997"/>
      <c r="BU116" s="1997"/>
      <c r="BV116" s="1997"/>
      <c r="BW116" s="1997"/>
      <c r="BX116" s="1997"/>
      <c r="BY116" s="1997"/>
      <c r="BZ116" s="1997"/>
      <c r="CA116" s="1997"/>
      <c r="CB116" s="1997"/>
      <c r="CC116" s="1997"/>
      <c r="CD116" s="1997"/>
      <c r="CE116" s="1997"/>
      <c r="CF116" s="1997"/>
      <c r="CG116" s="1997"/>
      <c r="CH116" s="1997"/>
      <c r="CI116" s="1997"/>
      <c r="CJ116" s="1997"/>
      <c r="CK116" s="1997"/>
      <c r="CL116" s="1997"/>
      <c r="CM116" s="1997"/>
      <c r="CN116" s="1997"/>
      <c r="CO116" s="1997"/>
      <c r="CP116" s="1997"/>
      <c r="CQ116" s="1997"/>
      <c r="CR116" s="1997"/>
      <c r="CS116" s="1997"/>
      <c r="CT116" s="1997"/>
      <c r="CU116" s="1997"/>
      <c r="CV116" s="1997"/>
      <c r="CW116" s="1997"/>
      <c r="CX116" s="1997"/>
      <c r="CY116" s="1997"/>
      <c r="CZ116" s="1997"/>
      <c r="DA116" s="1997"/>
      <c r="DB116" s="1997"/>
      <c r="DC116" s="1997"/>
      <c r="DD116" s="1997"/>
      <c r="DE116" s="1997"/>
      <c r="DF116" s="1997"/>
      <c r="DG116" s="1997"/>
      <c r="DH116" s="1997"/>
      <c r="DI116" s="1997"/>
      <c r="DJ116" s="1997"/>
      <c r="DK116" s="1997"/>
      <c r="DL116" s="1997"/>
      <c r="DM116" s="1997"/>
      <c r="DN116" s="1997"/>
      <c r="DO116" s="1997"/>
      <c r="DP116" s="1997"/>
      <c r="DQ116" s="1997"/>
      <c r="DR116" s="1997"/>
      <c r="DS116" s="1997"/>
      <c r="DT116" s="1997"/>
      <c r="DU116" s="1997"/>
      <c r="DV116" s="1997"/>
      <c r="DW116" s="1997"/>
      <c r="DX116" s="1997"/>
      <c r="DY116" s="1997"/>
      <c r="DZ116" s="1997"/>
      <c r="EA116" s="1997"/>
      <c r="EB116" s="1997"/>
      <c r="EC116" s="1997"/>
      <c r="ED116" s="1997"/>
      <c r="EE116" s="1997"/>
      <c r="EF116" s="1997"/>
      <c r="EG116" s="1997"/>
      <c r="EH116" s="1997"/>
      <c r="EI116" s="1997"/>
      <c r="EJ116" s="1997"/>
      <c r="EK116" s="1997"/>
      <c r="EL116" s="1997"/>
      <c r="EM116" s="1997"/>
      <c r="EN116" s="1997"/>
      <c r="EO116" s="1997"/>
      <c r="EP116" s="1997"/>
      <c r="EQ116" s="1997"/>
      <c r="ER116" s="1997"/>
      <c r="ES116" s="1997"/>
      <c r="ET116" s="1997"/>
      <c r="EU116" s="1997"/>
      <c r="EV116" s="1997"/>
      <c r="EW116" s="1997"/>
      <c r="EX116" s="1997"/>
      <c r="EY116" s="1997"/>
      <c r="EZ116" s="1997"/>
      <c r="FA116" s="1997"/>
      <c r="FB116" s="1997"/>
      <c r="FC116" s="1997"/>
      <c r="FD116" s="1997"/>
      <c r="FE116" s="1997"/>
      <c r="FF116" s="1997"/>
      <c r="FG116" s="1997"/>
      <c r="FH116" s="1997"/>
      <c r="FI116" s="1997"/>
      <c r="FJ116" s="1997"/>
      <c r="FK116" s="1997"/>
      <c r="FL116" s="1997"/>
      <c r="FM116" s="1997"/>
      <c r="FN116" s="1997"/>
      <c r="FO116" s="1997"/>
      <c r="FP116" s="1997"/>
      <c r="FQ116" s="1997"/>
      <c r="FR116" s="1997"/>
      <c r="FS116" s="1997"/>
      <c r="FT116" s="1997"/>
      <c r="FU116" s="1997"/>
      <c r="FV116" s="1997"/>
      <c r="FW116" s="1997"/>
      <c r="FX116" s="1997"/>
      <c r="FY116" s="1997"/>
      <c r="FZ116" s="1997"/>
      <c r="GA116" s="1997"/>
      <c r="GB116" s="1997"/>
      <c r="GC116" s="1997"/>
      <c r="GD116" s="1997"/>
      <c r="GE116" s="1997"/>
      <c r="GF116" s="1997"/>
      <c r="GG116" s="1997"/>
      <c r="GH116" s="1997"/>
      <c r="GI116" s="1997"/>
      <c r="GJ116" s="1997"/>
      <c r="GK116" s="1997"/>
      <c r="GL116" s="1997"/>
      <c r="GM116" s="1997"/>
      <c r="GN116" s="1997"/>
      <c r="GO116" s="1997"/>
      <c r="GP116" s="1997"/>
      <c r="GQ116" s="1997"/>
      <c r="GR116" s="1997"/>
      <c r="GS116" s="1997"/>
      <c r="GT116" s="1997"/>
      <c r="GU116" s="1997"/>
      <c r="GV116" s="1997"/>
      <c r="GW116" s="1997"/>
      <c r="GX116" s="1997"/>
      <c r="GY116" s="1997"/>
      <c r="GZ116" s="1997"/>
      <c r="HA116" s="1997"/>
      <c r="HB116" s="1997"/>
      <c r="HC116" s="1997"/>
      <c r="HD116" s="1997"/>
      <c r="HE116" s="1997"/>
      <c r="HF116" s="1997"/>
      <c r="HG116" s="1997"/>
      <c r="HH116" s="1997"/>
      <c r="HI116" s="1997"/>
      <c r="HJ116" s="1997"/>
      <c r="HK116" s="1997"/>
      <c r="HL116" s="1997"/>
      <c r="HM116" s="1997"/>
      <c r="HN116" s="1997"/>
      <c r="HO116" s="1997"/>
      <c r="HP116" s="1997"/>
      <c r="HQ116" s="1997"/>
      <c r="HR116" s="1997"/>
      <c r="HS116" s="1997"/>
      <c r="HT116" s="1997"/>
      <c r="HU116" s="1997"/>
      <c r="HV116" s="1997"/>
      <c r="HW116" s="1997"/>
      <c r="HX116" s="1997"/>
      <c r="HY116" s="1997"/>
      <c r="HZ116" s="1997"/>
      <c r="IA116" s="1997"/>
      <c r="IB116" s="1997"/>
      <c r="IC116" s="1997"/>
      <c r="ID116" s="1997"/>
      <c r="IE116" s="1997"/>
      <c r="IF116" s="1997"/>
      <c r="IG116" s="1997"/>
      <c r="IH116" s="1997"/>
      <c r="II116" s="1997"/>
      <c r="IJ116" s="1997"/>
      <c r="IK116" s="1997"/>
      <c r="IL116" s="1997"/>
      <c r="IM116" s="1997"/>
      <c r="IN116" s="1997"/>
      <c r="IO116" s="1997"/>
      <c r="IP116" s="1997"/>
      <c r="IQ116" s="1997"/>
    </row>
    <row r="117" spans="1:251" hidden="1">
      <c r="A117" s="2021"/>
      <c r="B117" s="2012" t="s">
        <v>980</v>
      </c>
      <c r="C117" s="1995"/>
      <c r="D117" s="2035"/>
      <c r="E117" s="1993"/>
      <c r="F117" s="1996"/>
      <c r="G117" s="1993">
        <v>12</v>
      </c>
      <c r="H117" s="1940">
        <f t="shared" si="57"/>
        <v>0</v>
      </c>
      <c r="I117" s="1993"/>
      <c r="J117" s="1940">
        <f t="shared" si="58"/>
        <v>0</v>
      </c>
      <c r="K117" s="1993"/>
      <c r="L117" s="1940">
        <f t="shared" si="59"/>
        <v>0</v>
      </c>
      <c r="M117" s="1940">
        <f t="shared" si="60"/>
        <v>0</v>
      </c>
      <c r="N117" s="1940">
        <f t="shared" si="61"/>
        <v>0</v>
      </c>
      <c r="O117" s="1993">
        <f t="shared" si="67"/>
        <v>0</v>
      </c>
      <c r="P117" s="1993">
        <f t="shared" ref="P117:P121" si="68">F117*D117*4</f>
        <v>0</v>
      </c>
      <c r="Q117" s="1940">
        <f t="shared" si="62"/>
        <v>0</v>
      </c>
      <c r="R117" s="1940">
        <f t="shared" si="63"/>
        <v>0</v>
      </c>
      <c r="S117" s="1940">
        <f t="shared" si="64"/>
        <v>0</v>
      </c>
      <c r="T117" s="1940">
        <f t="shared" si="65"/>
        <v>0</v>
      </c>
      <c r="U117" s="1940">
        <f t="shared" si="66"/>
        <v>0</v>
      </c>
      <c r="V117" s="1997"/>
      <c r="W117" s="1997"/>
      <c r="X117" s="1997"/>
      <c r="Y117" s="1997"/>
      <c r="Z117" s="1997"/>
      <c r="AA117" s="1997"/>
      <c r="AB117" s="1997"/>
      <c r="AC117" s="1997"/>
      <c r="AD117" s="1997"/>
      <c r="AE117" s="1997"/>
      <c r="AF117" s="1997"/>
      <c r="AG117" s="1997"/>
      <c r="AH117" s="1997"/>
      <c r="AI117" s="1997"/>
      <c r="AJ117" s="1997"/>
      <c r="AK117" s="1997"/>
      <c r="AL117" s="1997"/>
      <c r="AM117" s="1997"/>
      <c r="AN117" s="1997"/>
      <c r="AO117" s="1997"/>
      <c r="AP117" s="1997"/>
      <c r="AQ117" s="1997"/>
      <c r="AR117" s="1997"/>
      <c r="AS117" s="1997"/>
      <c r="AT117" s="1997"/>
      <c r="AU117" s="1997"/>
      <c r="AV117" s="1997"/>
      <c r="AW117" s="1997"/>
      <c r="AX117" s="1997"/>
      <c r="AY117" s="1997"/>
      <c r="AZ117" s="1997"/>
      <c r="BA117" s="1997"/>
      <c r="BB117" s="1997"/>
      <c r="BC117" s="1997"/>
      <c r="BD117" s="1997"/>
      <c r="BE117" s="1997"/>
      <c r="BF117" s="1997"/>
      <c r="BG117" s="1997"/>
      <c r="BH117" s="1997"/>
      <c r="BI117" s="1997"/>
      <c r="BJ117" s="1997"/>
      <c r="BK117" s="1997"/>
      <c r="BL117" s="1997"/>
      <c r="BM117" s="1997"/>
      <c r="BN117" s="1997"/>
      <c r="BO117" s="1997"/>
      <c r="BP117" s="1997"/>
      <c r="BQ117" s="1997"/>
      <c r="BR117" s="1997"/>
      <c r="BS117" s="1997"/>
      <c r="BT117" s="1997"/>
      <c r="BU117" s="1997"/>
      <c r="BV117" s="1997"/>
      <c r="BW117" s="1997"/>
      <c r="BX117" s="1997"/>
      <c r="BY117" s="1997"/>
      <c r="BZ117" s="1997"/>
      <c r="CA117" s="1997"/>
      <c r="CB117" s="1997"/>
      <c r="CC117" s="1997"/>
      <c r="CD117" s="1997"/>
      <c r="CE117" s="1997"/>
      <c r="CF117" s="1997"/>
      <c r="CG117" s="1997"/>
      <c r="CH117" s="1997"/>
      <c r="CI117" s="1997"/>
      <c r="CJ117" s="1997"/>
      <c r="CK117" s="1997"/>
      <c r="CL117" s="1997"/>
      <c r="CM117" s="1997"/>
      <c r="CN117" s="1997"/>
      <c r="CO117" s="1997"/>
      <c r="CP117" s="1997"/>
      <c r="CQ117" s="1997"/>
      <c r="CR117" s="1997"/>
      <c r="CS117" s="1997"/>
      <c r="CT117" s="1997"/>
      <c r="CU117" s="1997"/>
      <c r="CV117" s="1997"/>
      <c r="CW117" s="1997"/>
      <c r="CX117" s="1997"/>
      <c r="CY117" s="1997"/>
      <c r="CZ117" s="1997"/>
      <c r="DA117" s="1997"/>
      <c r="DB117" s="1997"/>
      <c r="DC117" s="1997"/>
      <c r="DD117" s="1997"/>
      <c r="DE117" s="1997"/>
      <c r="DF117" s="1997"/>
      <c r="DG117" s="1997"/>
      <c r="DH117" s="1997"/>
      <c r="DI117" s="1997"/>
      <c r="DJ117" s="1997"/>
      <c r="DK117" s="1997"/>
      <c r="DL117" s="1997"/>
      <c r="DM117" s="1997"/>
      <c r="DN117" s="1997"/>
      <c r="DO117" s="1997"/>
      <c r="DP117" s="1997"/>
      <c r="DQ117" s="1997"/>
      <c r="DR117" s="1997"/>
      <c r="DS117" s="1997"/>
      <c r="DT117" s="1997"/>
      <c r="DU117" s="1997"/>
      <c r="DV117" s="1997"/>
      <c r="DW117" s="1997"/>
      <c r="DX117" s="1997"/>
      <c r="DY117" s="1997"/>
      <c r="DZ117" s="1997"/>
      <c r="EA117" s="1997"/>
      <c r="EB117" s="1997"/>
      <c r="EC117" s="1997"/>
      <c r="ED117" s="1997"/>
      <c r="EE117" s="1997"/>
      <c r="EF117" s="1997"/>
      <c r="EG117" s="1997"/>
      <c r="EH117" s="1997"/>
      <c r="EI117" s="1997"/>
      <c r="EJ117" s="1997"/>
      <c r="EK117" s="1997"/>
      <c r="EL117" s="1997"/>
      <c r="EM117" s="1997"/>
      <c r="EN117" s="1997"/>
      <c r="EO117" s="1997"/>
      <c r="EP117" s="1997"/>
      <c r="EQ117" s="1997"/>
      <c r="ER117" s="1997"/>
      <c r="ES117" s="1997"/>
      <c r="ET117" s="1997"/>
      <c r="EU117" s="1997"/>
      <c r="EV117" s="1997"/>
      <c r="EW117" s="1997"/>
      <c r="EX117" s="1997"/>
      <c r="EY117" s="1997"/>
      <c r="EZ117" s="1997"/>
      <c r="FA117" s="1997"/>
      <c r="FB117" s="1997"/>
      <c r="FC117" s="1997"/>
      <c r="FD117" s="1997"/>
      <c r="FE117" s="1997"/>
      <c r="FF117" s="1997"/>
      <c r="FG117" s="1997"/>
      <c r="FH117" s="1997"/>
      <c r="FI117" s="1997"/>
      <c r="FJ117" s="1997"/>
      <c r="FK117" s="1997"/>
      <c r="FL117" s="1997"/>
      <c r="FM117" s="1997"/>
      <c r="FN117" s="1997"/>
      <c r="FO117" s="1997"/>
      <c r="FP117" s="1997"/>
      <c r="FQ117" s="1997"/>
      <c r="FR117" s="1997"/>
      <c r="FS117" s="1997"/>
      <c r="FT117" s="1997"/>
      <c r="FU117" s="1997"/>
      <c r="FV117" s="1997"/>
      <c r="FW117" s="1997"/>
      <c r="FX117" s="1997"/>
      <c r="FY117" s="1997"/>
      <c r="FZ117" s="1997"/>
      <c r="GA117" s="1997"/>
      <c r="GB117" s="1997"/>
      <c r="GC117" s="1997"/>
      <c r="GD117" s="1997"/>
      <c r="GE117" s="1997"/>
      <c r="GF117" s="1997"/>
      <c r="GG117" s="1997"/>
      <c r="GH117" s="1997"/>
      <c r="GI117" s="1997"/>
      <c r="GJ117" s="1997"/>
      <c r="GK117" s="1997"/>
      <c r="GL117" s="1997"/>
      <c r="GM117" s="1997"/>
      <c r="GN117" s="1997"/>
      <c r="GO117" s="1997"/>
      <c r="GP117" s="1997"/>
      <c r="GQ117" s="1997"/>
      <c r="GR117" s="1997"/>
      <c r="GS117" s="1997"/>
      <c r="GT117" s="1997"/>
      <c r="GU117" s="1997"/>
      <c r="GV117" s="1997"/>
      <c r="GW117" s="1997"/>
      <c r="GX117" s="1997"/>
      <c r="GY117" s="1997"/>
      <c r="GZ117" s="1997"/>
      <c r="HA117" s="1997"/>
      <c r="HB117" s="1997"/>
      <c r="HC117" s="1997"/>
      <c r="HD117" s="1997"/>
      <c r="HE117" s="1997"/>
      <c r="HF117" s="1997"/>
      <c r="HG117" s="1997"/>
      <c r="HH117" s="1997"/>
      <c r="HI117" s="1997"/>
      <c r="HJ117" s="1997"/>
      <c r="HK117" s="1997"/>
      <c r="HL117" s="1997"/>
      <c r="HM117" s="1997"/>
      <c r="HN117" s="1997"/>
      <c r="HO117" s="1997"/>
      <c r="HP117" s="1997"/>
      <c r="HQ117" s="1997"/>
      <c r="HR117" s="1997"/>
      <c r="HS117" s="1997"/>
      <c r="HT117" s="1997"/>
      <c r="HU117" s="1997"/>
      <c r="HV117" s="1997"/>
      <c r="HW117" s="1997"/>
      <c r="HX117" s="1997"/>
      <c r="HY117" s="1997"/>
      <c r="HZ117" s="1997"/>
      <c r="IA117" s="1997"/>
      <c r="IB117" s="1997"/>
      <c r="IC117" s="1997"/>
      <c r="ID117" s="1997"/>
      <c r="IE117" s="1997"/>
      <c r="IF117" s="1997"/>
      <c r="IG117" s="1997"/>
      <c r="IH117" s="1997"/>
      <c r="II117" s="1997"/>
      <c r="IJ117" s="1997"/>
      <c r="IK117" s="1997"/>
      <c r="IL117" s="1997"/>
      <c r="IM117" s="1997"/>
      <c r="IN117" s="1997"/>
      <c r="IO117" s="1997"/>
      <c r="IP117" s="1997"/>
      <c r="IQ117" s="1997"/>
    </row>
    <row r="118" spans="1:251" hidden="1">
      <c r="A118" s="2021"/>
      <c r="B118" s="2012" t="s">
        <v>536</v>
      </c>
      <c r="C118" s="1995"/>
      <c r="D118" s="2035"/>
      <c r="E118" s="1993"/>
      <c r="F118" s="1996"/>
      <c r="G118" s="1993">
        <v>12</v>
      </c>
      <c r="H118" s="1940">
        <f t="shared" si="57"/>
        <v>0</v>
      </c>
      <c r="I118" s="1993"/>
      <c r="J118" s="1940">
        <f t="shared" si="58"/>
        <v>0</v>
      </c>
      <c r="K118" s="1993"/>
      <c r="L118" s="1940">
        <f t="shared" si="59"/>
        <v>0</v>
      </c>
      <c r="M118" s="1940">
        <f t="shared" si="60"/>
        <v>0</v>
      </c>
      <c r="N118" s="1940">
        <f t="shared" si="61"/>
        <v>0</v>
      </c>
      <c r="O118" s="1993">
        <f t="shared" si="67"/>
        <v>0</v>
      </c>
      <c r="P118" s="1993">
        <f t="shared" si="68"/>
        <v>0</v>
      </c>
      <c r="Q118" s="1940">
        <f t="shared" si="62"/>
        <v>0</v>
      </c>
      <c r="R118" s="1940">
        <f t="shared" si="63"/>
        <v>0</v>
      </c>
      <c r="S118" s="1940">
        <f t="shared" si="64"/>
        <v>0</v>
      </c>
      <c r="T118" s="1940">
        <f t="shared" si="65"/>
        <v>0</v>
      </c>
      <c r="U118" s="1940">
        <f t="shared" si="66"/>
        <v>0</v>
      </c>
      <c r="V118" s="1997"/>
      <c r="W118" s="1997"/>
      <c r="X118" s="1997"/>
      <c r="Y118" s="1997"/>
      <c r="Z118" s="1997"/>
      <c r="AA118" s="1997"/>
      <c r="AB118" s="1997"/>
      <c r="AC118" s="1997"/>
      <c r="AD118" s="1997"/>
      <c r="AE118" s="1997"/>
      <c r="AF118" s="1997"/>
      <c r="AG118" s="1997"/>
      <c r="AH118" s="1997"/>
      <c r="AI118" s="1997"/>
      <c r="AJ118" s="1997"/>
      <c r="AK118" s="1997"/>
      <c r="AL118" s="1997"/>
      <c r="AM118" s="1997"/>
      <c r="AN118" s="1997"/>
      <c r="AO118" s="1997"/>
      <c r="AP118" s="1997"/>
      <c r="AQ118" s="1997"/>
      <c r="AR118" s="1997"/>
      <c r="AS118" s="1997"/>
      <c r="AT118" s="1997"/>
      <c r="AU118" s="1997"/>
      <c r="AV118" s="1997"/>
      <c r="AW118" s="1997"/>
      <c r="AX118" s="1997"/>
      <c r="AY118" s="1997"/>
      <c r="AZ118" s="1997"/>
      <c r="BA118" s="1997"/>
      <c r="BB118" s="1997"/>
      <c r="BC118" s="1997"/>
      <c r="BD118" s="1997"/>
      <c r="BE118" s="1997"/>
      <c r="BF118" s="1997"/>
      <c r="BG118" s="1997"/>
      <c r="BH118" s="1997"/>
      <c r="BI118" s="1997"/>
      <c r="BJ118" s="1997"/>
      <c r="BK118" s="1997"/>
      <c r="BL118" s="1997"/>
      <c r="BM118" s="1997"/>
      <c r="BN118" s="1997"/>
      <c r="BO118" s="1997"/>
      <c r="BP118" s="1997"/>
      <c r="BQ118" s="1997"/>
      <c r="BR118" s="1997"/>
      <c r="BS118" s="1997"/>
      <c r="BT118" s="1997"/>
      <c r="BU118" s="1997"/>
      <c r="BV118" s="1997"/>
      <c r="BW118" s="1997"/>
      <c r="BX118" s="1997"/>
      <c r="BY118" s="1997"/>
      <c r="BZ118" s="1997"/>
      <c r="CA118" s="1997"/>
      <c r="CB118" s="1997"/>
      <c r="CC118" s="1997"/>
      <c r="CD118" s="1997"/>
      <c r="CE118" s="1997"/>
      <c r="CF118" s="1997"/>
      <c r="CG118" s="1997"/>
      <c r="CH118" s="1997"/>
      <c r="CI118" s="1997"/>
      <c r="CJ118" s="1997"/>
      <c r="CK118" s="1997"/>
      <c r="CL118" s="1997"/>
      <c r="CM118" s="1997"/>
      <c r="CN118" s="1997"/>
      <c r="CO118" s="1997"/>
      <c r="CP118" s="1997"/>
      <c r="CQ118" s="1997"/>
      <c r="CR118" s="1997"/>
      <c r="CS118" s="1997"/>
      <c r="CT118" s="1997"/>
      <c r="CU118" s="1997"/>
      <c r="CV118" s="1997"/>
      <c r="CW118" s="1997"/>
      <c r="CX118" s="1997"/>
      <c r="CY118" s="1997"/>
      <c r="CZ118" s="1997"/>
      <c r="DA118" s="1997"/>
      <c r="DB118" s="1997"/>
      <c r="DC118" s="1997"/>
      <c r="DD118" s="1997"/>
      <c r="DE118" s="1997"/>
      <c r="DF118" s="1997"/>
      <c r="DG118" s="1997"/>
      <c r="DH118" s="1997"/>
      <c r="DI118" s="1997"/>
      <c r="DJ118" s="1997"/>
      <c r="DK118" s="1997"/>
      <c r="DL118" s="1997"/>
      <c r="DM118" s="1997"/>
      <c r="DN118" s="1997"/>
      <c r="DO118" s="1997"/>
      <c r="DP118" s="1997"/>
      <c r="DQ118" s="1997"/>
      <c r="DR118" s="1997"/>
      <c r="DS118" s="1997"/>
      <c r="DT118" s="1997"/>
      <c r="DU118" s="1997"/>
      <c r="DV118" s="1997"/>
      <c r="DW118" s="1997"/>
      <c r="DX118" s="1997"/>
      <c r="DY118" s="1997"/>
      <c r="DZ118" s="1997"/>
      <c r="EA118" s="1997"/>
      <c r="EB118" s="1997"/>
      <c r="EC118" s="1997"/>
      <c r="ED118" s="1997"/>
      <c r="EE118" s="1997"/>
      <c r="EF118" s="1997"/>
      <c r="EG118" s="1997"/>
      <c r="EH118" s="1997"/>
      <c r="EI118" s="1997"/>
      <c r="EJ118" s="1997"/>
      <c r="EK118" s="1997"/>
      <c r="EL118" s="1997"/>
      <c r="EM118" s="1997"/>
      <c r="EN118" s="1997"/>
      <c r="EO118" s="1997"/>
      <c r="EP118" s="1997"/>
      <c r="EQ118" s="1997"/>
      <c r="ER118" s="1997"/>
      <c r="ES118" s="1997"/>
      <c r="ET118" s="1997"/>
      <c r="EU118" s="1997"/>
      <c r="EV118" s="1997"/>
      <c r="EW118" s="1997"/>
      <c r="EX118" s="1997"/>
      <c r="EY118" s="1997"/>
      <c r="EZ118" s="1997"/>
      <c r="FA118" s="1997"/>
      <c r="FB118" s="1997"/>
      <c r="FC118" s="1997"/>
      <c r="FD118" s="1997"/>
      <c r="FE118" s="1997"/>
      <c r="FF118" s="1997"/>
      <c r="FG118" s="1997"/>
      <c r="FH118" s="1997"/>
      <c r="FI118" s="1997"/>
      <c r="FJ118" s="1997"/>
      <c r="FK118" s="1997"/>
      <c r="FL118" s="1997"/>
      <c r="FM118" s="1997"/>
      <c r="FN118" s="1997"/>
      <c r="FO118" s="1997"/>
      <c r="FP118" s="1997"/>
      <c r="FQ118" s="1997"/>
      <c r="FR118" s="1997"/>
      <c r="FS118" s="1997"/>
      <c r="FT118" s="1997"/>
      <c r="FU118" s="1997"/>
      <c r="FV118" s="1997"/>
      <c r="FW118" s="1997"/>
      <c r="FX118" s="1997"/>
      <c r="FY118" s="1997"/>
      <c r="FZ118" s="1997"/>
      <c r="GA118" s="1997"/>
      <c r="GB118" s="1997"/>
      <c r="GC118" s="1997"/>
      <c r="GD118" s="1997"/>
      <c r="GE118" s="1997"/>
      <c r="GF118" s="1997"/>
      <c r="GG118" s="1997"/>
      <c r="GH118" s="1997"/>
      <c r="GI118" s="1997"/>
      <c r="GJ118" s="1997"/>
      <c r="GK118" s="1997"/>
      <c r="GL118" s="1997"/>
      <c r="GM118" s="1997"/>
      <c r="GN118" s="1997"/>
      <c r="GO118" s="1997"/>
      <c r="GP118" s="1997"/>
      <c r="GQ118" s="1997"/>
      <c r="GR118" s="1997"/>
      <c r="GS118" s="1997"/>
      <c r="GT118" s="1997"/>
      <c r="GU118" s="1997"/>
      <c r="GV118" s="1997"/>
      <c r="GW118" s="1997"/>
      <c r="GX118" s="1997"/>
      <c r="GY118" s="1997"/>
      <c r="GZ118" s="1997"/>
      <c r="HA118" s="1997"/>
      <c r="HB118" s="1997"/>
      <c r="HC118" s="1997"/>
      <c r="HD118" s="1997"/>
      <c r="HE118" s="1997"/>
      <c r="HF118" s="1997"/>
      <c r="HG118" s="1997"/>
      <c r="HH118" s="1997"/>
      <c r="HI118" s="1997"/>
      <c r="HJ118" s="1997"/>
      <c r="HK118" s="1997"/>
      <c r="HL118" s="1997"/>
      <c r="HM118" s="1997"/>
      <c r="HN118" s="1997"/>
      <c r="HO118" s="1997"/>
      <c r="HP118" s="1997"/>
      <c r="HQ118" s="1997"/>
      <c r="HR118" s="1997"/>
      <c r="HS118" s="1997"/>
      <c r="HT118" s="1997"/>
      <c r="HU118" s="1997"/>
      <c r="HV118" s="1997"/>
      <c r="HW118" s="1997"/>
      <c r="HX118" s="1997"/>
      <c r="HY118" s="1997"/>
      <c r="HZ118" s="1997"/>
      <c r="IA118" s="1997"/>
      <c r="IB118" s="1997"/>
      <c r="IC118" s="1997"/>
      <c r="ID118" s="1997"/>
      <c r="IE118" s="1997"/>
      <c r="IF118" s="1997"/>
      <c r="IG118" s="1997"/>
      <c r="IH118" s="1997"/>
      <c r="II118" s="1997"/>
      <c r="IJ118" s="1997"/>
      <c r="IK118" s="1997"/>
      <c r="IL118" s="1997"/>
      <c r="IM118" s="1997"/>
      <c r="IN118" s="1997"/>
      <c r="IO118" s="1997"/>
      <c r="IP118" s="1997"/>
      <c r="IQ118" s="1997"/>
    </row>
    <row r="119" spans="1:251" hidden="1">
      <c r="A119" s="2021"/>
      <c r="B119" s="2012" t="s">
        <v>537</v>
      </c>
      <c r="C119" s="1995"/>
      <c r="D119" s="2035"/>
      <c r="E119" s="1993"/>
      <c r="F119" s="1996"/>
      <c r="G119" s="1993">
        <v>12</v>
      </c>
      <c r="H119" s="1940">
        <f t="shared" si="57"/>
        <v>0</v>
      </c>
      <c r="I119" s="1993"/>
      <c r="J119" s="1940">
        <f t="shared" si="58"/>
        <v>0</v>
      </c>
      <c r="K119" s="1993"/>
      <c r="L119" s="1940">
        <f t="shared" si="59"/>
        <v>0</v>
      </c>
      <c r="M119" s="1940">
        <f t="shared" si="60"/>
        <v>0</v>
      </c>
      <c r="N119" s="1940">
        <f t="shared" si="61"/>
        <v>0</v>
      </c>
      <c r="O119" s="1993">
        <f t="shared" si="67"/>
        <v>0</v>
      </c>
      <c r="P119" s="1993">
        <f t="shared" si="68"/>
        <v>0</v>
      </c>
      <c r="Q119" s="1940">
        <f t="shared" si="62"/>
        <v>0</v>
      </c>
      <c r="R119" s="1940">
        <f t="shared" si="63"/>
        <v>0</v>
      </c>
      <c r="S119" s="1940">
        <f t="shared" si="64"/>
        <v>0</v>
      </c>
      <c r="T119" s="1940">
        <f t="shared" si="65"/>
        <v>0</v>
      </c>
      <c r="U119" s="1940">
        <f t="shared" si="66"/>
        <v>0</v>
      </c>
      <c r="V119" s="1997"/>
      <c r="W119" s="1997"/>
      <c r="X119" s="1997"/>
      <c r="Y119" s="1997"/>
      <c r="Z119" s="1997"/>
      <c r="AA119" s="1997"/>
      <c r="AB119" s="1997"/>
      <c r="AC119" s="1997"/>
      <c r="AD119" s="1997"/>
      <c r="AE119" s="1997"/>
      <c r="AF119" s="1997"/>
      <c r="AG119" s="1997"/>
      <c r="AH119" s="1997"/>
      <c r="AI119" s="1997"/>
      <c r="AJ119" s="1997"/>
      <c r="AK119" s="1997"/>
      <c r="AL119" s="1997"/>
      <c r="AM119" s="1997"/>
      <c r="AN119" s="1997"/>
      <c r="AO119" s="1997"/>
      <c r="AP119" s="1997"/>
      <c r="AQ119" s="1997"/>
      <c r="AR119" s="1997"/>
      <c r="AS119" s="1997"/>
      <c r="AT119" s="1997"/>
      <c r="AU119" s="1997"/>
      <c r="AV119" s="1997"/>
      <c r="AW119" s="1997"/>
      <c r="AX119" s="1997"/>
      <c r="AY119" s="1997"/>
      <c r="AZ119" s="1997"/>
      <c r="BA119" s="1997"/>
      <c r="BB119" s="1997"/>
      <c r="BC119" s="1997"/>
      <c r="BD119" s="1997"/>
      <c r="BE119" s="1997"/>
      <c r="BF119" s="1997"/>
      <c r="BG119" s="1997"/>
      <c r="BH119" s="1997"/>
      <c r="BI119" s="1997"/>
      <c r="BJ119" s="1997"/>
      <c r="BK119" s="1997"/>
      <c r="BL119" s="1997"/>
      <c r="BM119" s="1997"/>
      <c r="BN119" s="1997"/>
      <c r="BO119" s="1997"/>
      <c r="BP119" s="1997"/>
      <c r="BQ119" s="1997"/>
      <c r="BR119" s="1997"/>
      <c r="BS119" s="1997"/>
      <c r="BT119" s="1997"/>
      <c r="BU119" s="1997"/>
      <c r="BV119" s="1997"/>
      <c r="BW119" s="1997"/>
      <c r="BX119" s="1997"/>
      <c r="BY119" s="1997"/>
      <c r="BZ119" s="1997"/>
      <c r="CA119" s="1997"/>
      <c r="CB119" s="1997"/>
      <c r="CC119" s="1997"/>
      <c r="CD119" s="1997"/>
      <c r="CE119" s="1997"/>
      <c r="CF119" s="1997"/>
      <c r="CG119" s="1997"/>
      <c r="CH119" s="1997"/>
      <c r="CI119" s="1997"/>
      <c r="CJ119" s="1997"/>
      <c r="CK119" s="1997"/>
      <c r="CL119" s="1997"/>
      <c r="CM119" s="1997"/>
      <c r="CN119" s="1997"/>
      <c r="CO119" s="1997"/>
      <c r="CP119" s="1997"/>
      <c r="CQ119" s="1997"/>
      <c r="CR119" s="1997"/>
      <c r="CS119" s="1997"/>
      <c r="CT119" s="1997"/>
      <c r="CU119" s="1997"/>
      <c r="CV119" s="1997"/>
      <c r="CW119" s="1997"/>
      <c r="CX119" s="1997"/>
      <c r="CY119" s="1997"/>
      <c r="CZ119" s="1997"/>
      <c r="DA119" s="1997"/>
      <c r="DB119" s="1997"/>
      <c r="DC119" s="1997"/>
      <c r="DD119" s="1997"/>
      <c r="DE119" s="1997"/>
      <c r="DF119" s="1997"/>
      <c r="DG119" s="1997"/>
      <c r="DH119" s="1997"/>
      <c r="DI119" s="1997"/>
      <c r="DJ119" s="1997"/>
      <c r="DK119" s="1997"/>
      <c r="DL119" s="1997"/>
      <c r="DM119" s="1997"/>
      <c r="DN119" s="1997"/>
      <c r="DO119" s="1997"/>
      <c r="DP119" s="1997"/>
      <c r="DQ119" s="1997"/>
      <c r="DR119" s="1997"/>
      <c r="DS119" s="1997"/>
      <c r="DT119" s="1997"/>
      <c r="DU119" s="1997"/>
      <c r="DV119" s="1997"/>
      <c r="DW119" s="1997"/>
      <c r="DX119" s="1997"/>
      <c r="DY119" s="1997"/>
      <c r="DZ119" s="1997"/>
      <c r="EA119" s="1997"/>
      <c r="EB119" s="1997"/>
      <c r="EC119" s="1997"/>
      <c r="ED119" s="1997"/>
      <c r="EE119" s="1997"/>
      <c r="EF119" s="1997"/>
      <c r="EG119" s="1997"/>
      <c r="EH119" s="1997"/>
      <c r="EI119" s="1997"/>
      <c r="EJ119" s="1997"/>
      <c r="EK119" s="1997"/>
      <c r="EL119" s="1997"/>
      <c r="EM119" s="1997"/>
      <c r="EN119" s="1997"/>
      <c r="EO119" s="1997"/>
      <c r="EP119" s="1997"/>
      <c r="EQ119" s="1997"/>
      <c r="ER119" s="1997"/>
      <c r="ES119" s="1997"/>
      <c r="ET119" s="1997"/>
      <c r="EU119" s="1997"/>
      <c r="EV119" s="1997"/>
      <c r="EW119" s="1997"/>
      <c r="EX119" s="1997"/>
      <c r="EY119" s="1997"/>
      <c r="EZ119" s="1997"/>
      <c r="FA119" s="1997"/>
      <c r="FB119" s="1997"/>
      <c r="FC119" s="1997"/>
      <c r="FD119" s="1997"/>
      <c r="FE119" s="1997"/>
      <c r="FF119" s="1997"/>
      <c r="FG119" s="1997"/>
      <c r="FH119" s="1997"/>
      <c r="FI119" s="1997"/>
      <c r="FJ119" s="1997"/>
      <c r="FK119" s="1997"/>
      <c r="FL119" s="1997"/>
      <c r="FM119" s="1997"/>
      <c r="FN119" s="1997"/>
      <c r="FO119" s="1997"/>
      <c r="FP119" s="1997"/>
      <c r="FQ119" s="1997"/>
      <c r="FR119" s="1997"/>
      <c r="FS119" s="1997"/>
      <c r="FT119" s="1997"/>
      <c r="FU119" s="1997"/>
      <c r="FV119" s="1997"/>
      <c r="FW119" s="1997"/>
      <c r="FX119" s="1997"/>
      <c r="FY119" s="1997"/>
      <c r="FZ119" s="1997"/>
      <c r="GA119" s="1997"/>
      <c r="GB119" s="1997"/>
      <c r="GC119" s="1997"/>
      <c r="GD119" s="1997"/>
      <c r="GE119" s="1997"/>
      <c r="GF119" s="1997"/>
      <c r="GG119" s="1997"/>
      <c r="GH119" s="1997"/>
      <c r="GI119" s="1997"/>
      <c r="GJ119" s="1997"/>
      <c r="GK119" s="1997"/>
      <c r="GL119" s="1997"/>
      <c r="GM119" s="1997"/>
      <c r="GN119" s="1997"/>
      <c r="GO119" s="1997"/>
      <c r="GP119" s="1997"/>
      <c r="GQ119" s="1997"/>
      <c r="GR119" s="1997"/>
      <c r="GS119" s="1997"/>
      <c r="GT119" s="1997"/>
      <c r="GU119" s="1997"/>
      <c r="GV119" s="1997"/>
      <c r="GW119" s="1997"/>
      <c r="GX119" s="1997"/>
      <c r="GY119" s="1997"/>
      <c r="GZ119" s="1997"/>
      <c r="HA119" s="1997"/>
      <c r="HB119" s="1997"/>
      <c r="HC119" s="1997"/>
      <c r="HD119" s="1997"/>
      <c r="HE119" s="1997"/>
      <c r="HF119" s="1997"/>
      <c r="HG119" s="1997"/>
      <c r="HH119" s="1997"/>
      <c r="HI119" s="1997"/>
      <c r="HJ119" s="1997"/>
      <c r="HK119" s="1997"/>
      <c r="HL119" s="1997"/>
      <c r="HM119" s="1997"/>
      <c r="HN119" s="1997"/>
      <c r="HO119" s="1997"/>
      <c r="HP119" s="1997"/>
      <c r="HQ119" s="1997"/>
      <c r="HR119" s="1997"/>
      <c r="HS119" s="1997"/>
      <c r="HT119" s="1997"/>
      <c r="HU119" s="1997"/>
      <c r="HV119" s="1997"/>
      <c r="HW119" s="1997"/>
      <c r="HX119" s="1997"/>
      <c r="HY119" s="1997"/>
      <c r="HZ119" s="1997"/>
      <c r="IA119" s="1997"/>
      <c r="IB119" s="1997"/>
      <c r="IC119" s="1997"/>
      <c r="ID119" s="1997"/>
      <c r="IE119" s="1997"/>
      <c r="IF119" s="1997"/>
      <c r="IG119" s="1997"/>
      <c r="IH119" s="1997"/>
      <c r="II119" s="1997"/>
      <c r="IJ119" s="1997"/>
      <c r="IK119" s="1997"/>
      <c r="IL119" s="1997"/>
      <c r="IM119" s="1997"/>
      <c r="IN119" s="1997"/>
      <c r="IO119" s="1997"/>
      <c r="IP119" s="1997"/>
      <c r="IQ119" s="1997"/>
    </row>
    <row r="120" spans="1:251" hidden="1">
      <c r="A120" s="2021"/>
      <c r="B120" s="1625" t="s">
        <v>538</v>
      </c>
      <c r="C120" s="1995"/>
      <c r="D120" s="2036"/>
      <c r="E120" s="1993"/>
      <c r="F120" s="1959"/>
      <c r="G120" s="1993">
        <v>12</v>
      </c>
      <c r="H120" s="1940">
        <f t="shared" si="57"/>
        <v>0</v>
      </c>
      <c r="I120" s="1993"/>
      <c r="J120" s="1940">
        <f t="shared" si="58"/>
        <v>0</v>
      </c>
      <c r="K120" s="1993"/>
      <c r="L120" s="1940">
        <f t="shared" si="59"/>
        <v>0</v>
      </c>
      <c r="M120" s="1940">
        <f t="shared" si="60"/>
        <v>0</v>
      </c>
      <c r="N120" s="1940">
        <f t="shared" si="61"/>
        <v>0</v>
      </c>
      <c r="O120" s="1993">
        <f t="shared" si="67"/>
        <v>0</v>
      </c>
      <c r="P120" s="1993">
        <f t="shared" si="68"/>
        <v>0</v>
      </c>
      <c r="Q120" s="1940">
        <f t="shared" si="62"/>
        <v>0</v>
      </c>
      <c r="R120" s="1940">
        <f t="shared" si="63"/>
        <v>0</v>
      </c>
      <c r="S120" s="1940">
        <f t="shared" si="64"/>
        <v>0</v>
      </c>
      <c r="T120" s="1940">
        <f t="shared" si="65"/>
        <v>0</v>
      </c>
      <c r="U120" s="1940">
        <f t="shared" si="66"/>
        <v>0</v>
      </c>
      <c r="V120" s="1997"/>
      <c r="W120" s="1997"/>
      <c r="X120" s="1997"/>
      <c r="Y120" s="1997"/>
      <c r="Z120" s="1997"/>
      <c r="AA120" s="1997"/>
      <c r="AB120" s="1997"/>
      <c r="AC120" s="1997"/>
      <c r="AD120" s="1997"/>
      <c r="AE120" s="1997"/>
      <c r="AF120" s="1997"/>
      <c r="AG120" s="1997"/>
      <c r="AH120" s="1997"/>
      <c r="AI120" s="1997"/>
      <c r="AJ120" s="1997"/>
      <c r="AK120" s="1997"/>
      <c r="AL120" s="1997"/>
      <c r="AM120" s="1997"/>
      <c r="AN120" s="1997"/>
      <c r="AO120" s="1997"/>
      <c r="AP120" s="1997"/>
      <c r="AQ120" s="1997"/>
      <c r="AR120" s="1997"/>
      <c r="AS120" s="1997"/>
      <c r="AT120" s="1997"/>
      <c r="AU120" s="1997"/>
      <c r="AV120" s="1997"/>
      <c r="AW120" s="1997"/>
      <c r="AX120" s="1997"/>
      <c r="AY120" s="1997"/>
      <c r="AZ120" s="1997"/>
      <c r="BA120" s="1997"/>
      <c r="BB120" s="1997"/>
      <c r="BC120" s="1997"/>
      <c r="BD120" s="1997"/>
      <c r="BE120" s="1997"/>
      <c r="BF120" s="1997"/>
      <c r="BG120" s="1997"/>
      <c r="BH120" s="1997"/>
      <c r="BI120" s="1997"/>
      <c r="BJ120" s="1997"/>
      <c r="BK120" s="1997"/>
      <c r="BL120" s="1997"/>
      <c r="BM120" s="1997"/>
      <c r="BN120" s="1997"/>
      <c r="BO120" s="1997"/>
      <c r="BP120" s="1997"/>
      <c r="BQ120" s="1997"/>
      <c r="BR120" s="1997"/>
      <c r="BS120" s="1997"/>
      <c r="BT120" s="1997"/>
      <c r="BU120" s="1997"/>
      <c r="BV120" s="1997"/>
      <c r="BW120" s="1997"/>
      <c r="BX120" s="1997"/>
      <c r="BY120" s="1997"/>
      <c r="BZ120" s="1997"/>
      <c r="CA120" s="1997"/>
      <c r="CB120" s="1997"/>
      <c r="CC120" s="1997"/>
      <c r="CD120" s="1997"/>
      <c r="CE120" s="1997"/>
      <c r="CF120" s="1997"/>
      <c r="CG120" s="1997"/>
      <c r="CH120" s="1997"/>
      <c r="CI120" s="1997"/>
      <c r="CJ120" s="1997"/>
      <c r="CK120" s="1997"/>
      <c r="CL120" s="1997"/>
      <c r="CM120" s="1997"/>
      <c r="CN120" s="1997"/>
      <c r="CO120" s="1997"/>
      <c r="CP120" s="1997"/>
      <c r="CQ120" s="1997"/>
      <c r="CR120" s="1997"/>
      <c r="CS120" s="1997"/>
      <c r="CT120" s="1997"/>
      <c r="CU120" s="1997"/>
      <c r="CV120" s="1997"/>
      <c r="CW120" s="1997"/>
      <c r="CX120" s="1997"/>
      <c r="CY120" s="1997"/>
      <c r="CZ120" s="1997"/>
      <c r="DA120" s="1997"/>
      <c r="DB120" s="1997"/>
      <c r="DC120" s="1997"/>
      <c r="DD120" s="1997"/>
      <c r="DE120" s="1997"/>
      <c r="DF120" s="1997"/>
      <c r="DG120" s="1997"/>
      <c r="DH120" s="1997"/>
      <c r="DI120" s="1997"/>
      <c r="DJ120" s="1997"/>
      <c r="DK120" s="1997"/>
      <c r="DL120" s="1997"/>
      <c r="DM120" s="1997"/>
      <c r="DN120" s="1997"/>
      <c r="DO120" s="1997"/>
      <c r="DP120" s="1997"/>
      <c r="DQ120" s="1997"/>
      <c r="DR120" s="1997"/>
      <c r="DS120" s="1997"/>
      <c r="DT120" s="1997"/>
      <c r="DU120" s="1997"/>
      <c r="DV120" s="1997"/>
      <c r="DW120" s="1997"/>
      <c r="DX120" s="1997"/>
      <c r="DY120" s="1997"/>
      <c r="DZ120" s="1997"/>
      <c r="EA120" s="1997"/>
      <c r="EB120" s="1997"/>
      <c r="EC120" s="1997"/>
      <c r="ED120" s="1997"/>
      <c r="EE120" s="1997"/>
      <c r="EF120" s="1997"/>
      <c r="EG120" s="1997"/>
      <c r="EH120" s="1997"/>
      <c r="EI120" s="1997"/>
      <c r="EJ120" s="1997"/>
      <c r="EK120" s="1997"/>
      <c r="EL120" s="1997"/>
      <c r="EM120" s="1997"/>
      <c r="EN120" s="1997"/>
      <c r="EO120" s="1997"/>
      <c r="EP120" s="1997"/>
      <c r="EQ120" s="1997"/>
      <c r="ER120" s="1997"/>
      <c r="ES120" s="1997"/>
      <c r="ET120" s="1997"/>
      <c r="EU120" s="1997"/>
      <c r="EV120" s="1997"/>
      <c r="EW120" s="1997"/>
      <c r="EX120" s="1997"/>
      <c r="EY120" s="1997"/>
      <c r="EZ120" s="1997"/>
      <c r="FA120" s="1997"/>
      <c r="FB120" s="1997"/>
      <c r="FC120" s="1997"/>
      <c r="FD120" s="1997"/>
      <c r="FE120" s="1997"/>
      <c r="FF120" s="1997"/>
      <c r="FG120" s="1997"/>
      <c r="FH120" s="1997"/>
      <c r="FI120" s="1997"/>
      <c r="FJ120" s="1997"/>
      <c r="FK120" s="1997"/>
      <c r="FL120" s="1997"/>
      <c r="FM120" s="1997"/>
      <c r="FN120" s="1997"/>
      <c r="FO120" s="1997"/>
      <c r="FP120" s="1997"/>
      <c r="FQ120" s="1997"/>
      <c r="FR120" s="1997"/>
      <c r="FS120" s="1997"/>
      <c r="FT120" s="1997"/>
      <c r="FU120" s="1997"/>
      <c r="FV120" s="1997"/>
      <c r="FW120" s="1997"/>
      <c r="FX120" s="1997"/>
      <c r="FY120" s="1997"/>
      <c r="FZ120" s="1997"/>
      <c r="GA120" s="1997"/>
      <c r="GB120" s="1997"/>
      <c r="GC120" s="1997"/>
      <c r="GD120" s="1997"/>
      <c r="GE120" s="1997"/>
      <c r="GF120" s="1997"/>
      <c r="GG120" s="1997"/>
      <c r="GH120" s="1997"/>
      <c r="GI120" s="1997"/>
      <c r="GJ120" s="1997"/>
      <c r="GK120" s="1997"/>
      <c r="GL120" s="1997"/>
      <c r="GM120" s="1997"/>
      <c r="GN120" s="1997"/>
      <c r="GO120" s="1997"/>
      <c r="GP120" s="1997"/>
      <c r="GQ120" s="1997"/>
      <c r="GR120" s="1997"/>
      <c r="GS120" s="1997"/>
      <c r="GT120" s="1997"/>
      <c r="GU120" s="1997"/>
      <c r="GV120" s="1997"/>
      <c r="GW120" s="1997"/>
      <c r="GX120" s="1997"/>
      <c r="GY120" s="1997"/>
      <c r="GZ120" s="1997"/>
      <c r="HA120" s="1997"/>
      <c r="HB120" s="1997"/>
      <c r="HC120" s="1997"/>
      <c r="HD120" s="1997"/>
      <c r="HE120" s="1997"/>
      <c r="HF120" s="1997"/>
      <c r="HG120" s="1997"/>
      <c r="HH120" s="1997"/>
      <c r="HI120" s="1997"/>
      <c r="HJ120" s="1997"/>
      <c r="HK120" s="1997"/>
      <c r="HL120" s="1997"/>
      <c r="HM120" s="1997"/>
      <c r="HN120" s="1997"/>
      <c r="HO120" s="1997"/>
      <c r="HP120" s="1997"/>
      <c r="HQ120" s="1997"/>
      <c r="HR120" s="1997"/>
      <c r="HS120" s="1997"/>
      <c r="HT120" s="1997"/>
      <c r="HU120" s="1997"/>
      <c r="HV120" s="1997"/>
      <c r="HW120" s="1997"/>
      <c r="HX120" s="1997"/>
      <c r="HY120" s="1997"/>
      <c r="HZ120" s="1997"/>
      <c r="IA120" s="1997"/>
      <c r="IB120" s="1997"/>
      <c r="IC120" s="1997"/>
      <c r="ID120" s="1997"/>
      <c r="IE120" s="1997"/>
      <c r="IF120" s="1997"/>
      <c r="IG120" s="1997"/>
      <c r="IH120" s="1997"/>
      <c r="II120" s="1997"/>
      <c r="IJ120" s="1997"/>
      <c r="IK120" s="1997"/>
      <c r="IL120" s="1997"/>
      <c r="IM120" s="1997"/>
      <c r="IN120" s="1997"/>
      <c r="IO120" s="1997"/>
      <c r="IP120" s="1997"/>
      <c r="IQ120" s="1997"/>
    </row>
    <row r="121" spans="1:251" hidden="1">
      <c r="A121" s="2021"/>
      <c r="B121" s="1625" t="s">
        <v>539</v>
      </c>
      <c r="C121" s="1995"/>
      <c r="D121" s="2036"/>
      <c r="E121" s="1993"/>
      <c r="F121" s="1959"/>
      <c r="G121" s="1993">
        <v>12</v>
      </c>
      <c r="H121" s="1940">
        <f t="shared" si="57"/>
        <v>0</v>
      </c>
      <c r="I121" s="1993"/>
      <c r="J121" s="1940">
        <f t="shared" si="58"/>
        <v>0</v>
      </c>
      <c r="K121" s="1993"/>
      <c r="L121" s="1940">
        <f t="shared" si="59"/>
        <v>0</v>
      </c>
      <c r="M121" s="1940">
        <f t="shared" si="60"/>
        <v>0</v>
      </c>
      <c r="N121" s="1940">
        <f t="shared" si="61"/>
        <v>0</v>
      </c>
      <c r="O121" s="1993">
        <f t="shared" si="67"/>
        <v>0</v>
      </c>
      <c r="P121" s="1993">
        <f t="shared" si="68"/>
        <v>0</v>
      </c>
      <c r="Q121" s="1940">
        <f t="shared" si="62"/>
        <v>0</v>
      </c>
      <c r="R121" s="1940">
        <f t="shared" si="63"/>
        <v>0</v>
      </c>
      <c r="S121" s="1940">
        <f t="shared" si="64"/>
        <v>0</v>
      </c>
      <c r="T121" s="1940">
        <f t="shared" si="65"/>
        <v>0</v>
      </c>
      <c r="U121" s="1940">
        <f t="shared" si="66"/>
        <v>0</v>
      </c>
      <c r="V121" s="1997"/>
      <c r="W121" s="1997"/>
      <c r="X121" s="1997"/>
      <c r="Y121" s="1997"/>
      <c r="Z121" s="1997"/>
      <c r="AA121" s="1997"/>
      <c r="AB121" s="1997"/>
      <c r="AC121" s="1997"/>
      <c r="AD121" s="1997"/>
      <c r="AE121" s="1997"/>
      <c r="AF121" s="1997"/>
      <c r="AG121" s="1997"/>
      <c r="AH121" s="1997"/>
      <c r="AI121" s="1997"/>
      <c r="AJ121" s="1997"/>
      <c r="AK121" s="1997"/>
      <c r="AL121" s="1997"/>
      <c r="AM121" s="1997"/>
      <c r="AN121" s="1997"/>
      <c r="AO121" s="1997"/>
      <c r="AP121" s="1997"/>
      <c r="AQ121" s="1997"/>
      <c r="AR121" s="1997"/>
      <c r="AS121" s="1997"/>
      <c r="AT121" s="1997"/>
      <c r="AU121" s="1997"/>
      <c r="AV121" s="1997"/>
      <c r="AW121" s="1997"/>
      <c r="AX121" s="1997"/>
      <c r="AY121" s="1997"/>
      <c r="AZ121" s="1997"/>
      <c r="BA121" s="1997"/>
      <c r="BB121" s="1997"/>
      <c r="BC121" s="1997"/>
      <c r="BD121" s="1997"/>
      <c r="BE121" s="1997"/>
      <c r="BF121" s="1997"/>
      <c r="BG121" s="1997"/>
      <c r="BH121" s="1997"/>
      <c r="BI121" s="1997"/>
      <c r="BJ121" s="1997"/>
      <c r="BK121" s="1997"/>
      <c r="BL121" s="1997"/>
      <c r="BM121" s="1997"/>
      <c r="BN121" s="1997"/>
      <c r="BO121" s="1997"/>
      <c r="BP121" s="1997"/>
      <c r="BQ121" s="1997"/>
      <c r="BR121" s="1997"/>
      <c r="BS121" s="1997"/>
      <c r="BT121" s="1997"/>
      <c r="BU121" s="1997"/>
      <c r="BV121" s="1997"/>
      <c r="BW121" s="1997"/>
      <c r="BX121" s="1997"/>
      <c r="BY121" s="1997"/>
      <c r="BZ121" s="1997"/>
      <c r="CA121" s="1997"/>
      <c r="CB121" s="1997"/>
      <c r="CC121" s="1997"/>
      <c r="CD121" s="1997"/>
      <c r="CE121" s="1997"/>
      <c r="CF121" s="1997"/>
      <c r="CG121" s="1997"/>
      <c r="CH121" s="1997"/>
      <c r="CI121" s="1997"/>
      <c r="CJ121" s="1997"/>
      <c r="CK121" s="1997"/>
      <c r="CL121" s="1997"/>
      <c r="CM121" s="1997"/>
      <c r="CN121" s="1997"/>
      <c r="CO121" s="1997"/>
      <c r="CP121" s="1997"/>
      <c r="CQ121" s="1997"/>
      <c r="CR121" s="1997"/>
      <c r="CS121" s="1997"/>
      <c r="CT121" s="1997"/>
      <c r="CU121" s="1997"/>
      <c r="CV121" s="1997"/>
      <c r="CW121" s="1997"/>
      <c r="CX121" s="1997"/>
      <c r="CY121" s="1997"/>
      <c r="CZ121" s="1997"/>
      <c r="DA121" s="1997"/>
      <c r="DB121" s="1997"/>
      <c r="DC121" s="1997"/>
      <c r="DD121" s="1997"/>
      <c r="DE121" s="1997"/>
      <c r="DF121" s="1997"/>
      <c r="DG121" s="1997"/>
      <c r="DH121" s="1997"/>
      <c r="DI121" s="1997"/>
      <c r="DJ121" s="1997"/>
      <c r="DK121" s="1997"/>
      <c r="DL121" s="1997"/>
      <c r="DM121" s="1997"/>
      <c r="DN121" s="1997"/>
      <c r="DO121" s="1997"/>
      <c r="DP121" s="1997"/>
      <c r="DQ121" s="1997"/>
      <c r="DR121" s="1997"/>
      <c r="DS121" s="1997"/>
      <c r="DT121" s="1997"/>
      <c r="DU121" s="1997"/>
      <c r="DV121" s="1997"/>
      <c r="DW121" s="1997"/>
      <c r="DX121" s="1997"/>
      <c r="DY121" s="1997"/>
      <c r="DZ121" s="1997"/>
      <c r="EA121" s="1997"/>
      <c r="EB121" s="1997"/>
      <c r="EC121" s="1997"/>
      <c r="ED121" s="1997"/>
      <c r="EE121" s="1997"/>
      <c r="EF121" s="1997"/>
      <c r="EG121" s="1997"/>
      <c r="EH121" s="1997"/>
      <c r="EI121" s="1997"/>
      <c r="EJ121" s="1997"/>
      <c r="EK121" s="1997"/>
      <c r="EL121" s="1997"/>
      <c r="EM121" s="1997"/>
      <c r="EN121" s="1997"/>
      <c r="EO121" s="1997"/>
      <c r="EP121" s="1997"/>
      <c r="EQ121" s="1997"/>
      <c r="ER121" s="1997"/>
      <c r="ES121" s="1997"/>
      <c r="ET121" s="1997"/>
      <c r="EU121" s="1997"/>
      <c r="EV121" s="1997"/>
      <c r="EW121" s="1997"/>
      <c r="EX121" s="1997"/>
      <c r="EY121" s="1997"/>
      <c r="EZ121" s="1997"/>
      <c r="FA121" s="1997"/>
      <c r="FB121" s="1997"/>
      <c r="FC121" s="1997"/>
      <c r="FD121" s="1997"/>
      <c r="FE121" s="1997"/>
      <c r="FF121" s="1997"/>
      <c r="FG121" s="1997"/>
      <c r="FH121" s="1997"/>
      <c r="FI121" s="1997"/>
      <c r="FJ121" s="1997"/>
      <c r="FK121" s="1997"/>
      <c r="FL121" s="1997"/>
      <c r="FM121" s="1997"/>
      <c r="FN121" s="1997"/>
      <c r="FO121" s="1997"/>
      <c r="FP121" s="1997"/>
      <c r="FQ121" s="1997"/>
      <c r="FR121" s="1997"/>
      <c r="FS121" s="1997"/>
      <c r="FT121" s="1997"/>
      <c r="FU121" s="1997"/>
      <c r="FV121" s="1997"/>
      <c r="FW121" s="1997"/>
      <c r="FX121" s="1997"/>
      <c r="FY121" s="1997"/>
      <c r="FZ121" s="1997"/>
      <c r="GA121" s="1997"/>
      <c r="GB121" s="1997"/>
      <c r="GC121" s="1997"/>
      <c r="GD121" s="1997"/>
      <c r="GE121" s="1997"/>
      <c r="GF121" s="1997"/>
      <c r="GG121" s="1997"/>
      <c r="GH121" s="1997"/>
      <c r="GI121" s="1997"/>
      <c r="GJ121" s="1997"/>
      <c r="GK121" s="1997"/>
      <c r="GL121" s="1997"/>
      <c r="GM121" s="1997"/>
      <c r="GN121" s="1997"/>
      <c r="GO121" s="1997"/>
      <c r="GP121" s="1997"/>
      <c r="GQ121" s="1997"/>
      <c r="GR121" s="1997"/>
      <c r="GS121" s="1997"/>
      <c r="GT121" s="1997"/>
      <c r="GU121" s="1997"/>
      <c r="GV121" s="1997"/>
      <c r="GW121" s="1997"/>
      <c r="GX121" s="1997"/>
      <c r="GY121" s="1997"/>
      <c r="GZ121" s="1997"/>
      <c r="HA121" s="1997"/>
      <c r="HB121" s="1997"/>
      <c r="HC121" s="1997"/>
      <c r="HD121" s="1997"/>
      <c r="HE121" s="1997"/>
      <c r="HF121" s="1997"/>
      <c r="HG121" s="1997"/>
      <c r="HH121" s="1997"/>
      <c r="HI121" s="1997"/>
      <c r="HJ121" s="1997"/>
      <c r="HK121" s="1997"/>
      <c r="HL121" s="1997"/>
      <c r="HM121" s="1997"/>
      <c r="HN121" s="1997"/>
      <c r="HO121" s="1997"/>
      <c r="HP121" s="1997"/>
      <c r="HQ121" s="1997"/>
      <c r="HR121" s="1997"/>
      <c r="HS121" s="1997"/>
      <c r="HT121" s="1997"/>
      <c r="HU121" s="1997"/>
      <c r="HV121" s="1997"/>
      <c r="HW121" s="1997"/>
      <c r="HX121" s="1997"/>
      <c r="HY121" s="1997"/>
      <c r="HZ121" s="1997"/>
      <c r="IA121" s="1997"/>
      <c r="IB121" s="1997"/>
      <c r="IC121" s="1997"/>
      <c r="ID121" s="1997"/>
      <c r="IE121" s="1997"/>
      <c r="IF121" s="1997"/>
      <c r="IG121" s="1997"/>
      <c r="IH121" s="1997"/>
      <c r="II121" s="1997"/>
      <c r="IJ121" s="1997"/>
      <c r="IK121" s="1997"/>
      <c r="IL121" s="1997"/>
      <c r="IM121" s="1997"/>
      <c r="IN121" s="1997"/>
      <c r="IO121" s="1997"/>
      <c r="IP121" s="1997"/>
      <c r="IQ121" s="1997"/>
    </row>
    <row r="122" spans="1:251" hidden="1">
      <c r="A122" s="2021"/>
      <c r="B122" s="1625" t="s">
        <v>531</v>
      </c>
      <c r="C122" s="1995"/>
      <c r="D122" s="2036"/>
      <c r="E122" s="1993"/>
      <c r="F122" s="1959"/>
      <c r="G122" s="1993"/>
      <c r="H122" s="1940">
        <f t="shared" si="57"/>
        <v>0</v>
      </c>
      <c r="I122" s="1993"/>
      <c r="J122" s="1940">
        <f t="shared" si="58"/>
        <v>0</v>
      </c>
      <c r="K122" s="1993">
        <v>0.1</v>
      </c>
      <c r="L122" s="1940">
        <f t="shared" si="59"/>
        <v>0</v>
      </c>
      <c r="M122" s="1940">
        <f t="shared" si="60"/>
        <v>0</v>
      </c>
      <c r="N122" s="1940">
        <f t="shared" si="61"/>
        <v>0</v>
      </c>
      <c r="O122" s="1993"/>
      <c r="P122" s="1993">
        <f>D122*F122</f>
        <v>0</v>
      </c>
      <c r="Q122" s="1940">
        <f t="shared" si="62"/>
        <v>0</v>
      </c>
      <c r="R122" s="1940">
        <f t="shared" si="63"/>
        <v>0</v>
      </c>
      <c r="S122" s="1940">
        <f t="shared" si="64"/>
        <v>0</v>
      </c>
      <c r="T122" s="1940">
        <f t="shared" si="65"/>
        <v>0</v>
      </c>
      <c r="U122" s="1940">
        <f t="shared" si="66"/>
        <v>0</v>
      </c>
      <c r="V122" s="1997"/>
      <c r="W122" s="1997"/>
      <c r="X122" s="1997"/>
      <c r="Y122" s="1997"/>
      <c r="Z122" s="1997"/>
      <c r="AA122" s="1997"/>
      <c r="AB122" s="1997"/>
      <c r="AC122" s="1997"/>
      <c r="AD122" s="1997"/>
      <c r="AE122" s="1997"/>
      <c r="AF122" s="1997"/>
      <c r="AG122" s="1997"/>
      <c r="AH122" s="1997"/>
      <c r="AI122" s="1997"/>
      <c r="AJ122" s="1997"/>
      <c r="AK122" s="1997"/>
      <c r="AL122" s="1997"/>
      <c r="AM122" s="1997"/>
      <c r="AN122" s="1997"/>
      <c r="AO122" s="1997"/>
      <c r="AP122" s="1997"/>
      <c r="AQ122" s="1997"/>
      <c r="AR122" s="1997"/>
      <c r="AS122" s="1997"/>
      <c r="AT122" s="1997"/>
      <c r="AU122" s="1997"/>
      <c r="AV122" s="1997"/>
      <c r="AW122" s="1997"/>
      <c r="AX122" s="1997"/>
      <c r="AY122" s="1997"/>
      <c r="AZ122" s="1997"/>
      <c r="BA122" s="1997"/>
      <c r="BB122" s="1997"/>
      <c r="BC122" s="1997"/>
      <c r="BD122" s="1997"/>
      <c r="BE122" s="1997"/>
      <c r="BF122" s="1997"/>
      <c r="BG122" s="1997"/>
      <c r="BH122" s="1997"/>
      <c r="BI122" s="1997"/>
      <c r="BJ122" s="1997"/>
      <c r="BK122" s="1997"/>
      <c r="BL122" s="1997"/>
      <c r="BM122" s="1997"/>
      <c r="BN122" s="1997"/>
      <c r="BO122" s="1997"/>
      <c r="BP122" s="1997"/>
      <c r="BQ122" s="1997"/>
      <c r="BR122" s="1997"/>
      <c r="BS122" s="1997"/>
      <c r="BT122" s="1997"/>
      <c r="BU122" s="1997"/>
      <c r="BV122" s="1997"/>
      <c r="BW122" s="1997"/>
      <c r="BX122" s="1997"/>
      <c r="BY122" s="1997"/>
      <c r="BZ122" s="1997"/>
      <c r="CA122" s="1997"/>
      <c r="CB122" s="1997"/>
      <c r="CC122" s="1997"/>
      <c r="CD122" s="1997"/>
      <c r="CE122" s="1997"/>
      <c r="CF122" s="1997"/>
      <c r="CG122" s="1997"/>
      <c r="CH122" s="1997"/>
      <c r="CI122" s="1997"/>
      <c r="CJ122" s="1997"/>
      <c r="CK122" s="1997"/>
      <c r="CL122" s="1997"/>
      <c r="CM122" s="1997"/>
      <c r="CN122" s="1997"/>
      <c r="CO122" s="1997"/>
      <c r="CP122" s="1997"/>
      <c r="CQ122" s="1997"/>
      <c r="CR122" s="1997"/>
      <c r="CS122" s="1997"/>
      <c r="CT122" s="1997"/>
      <c r="CU122" s="1997"/>
      <c r="CV122" s="1997"/>
      <c r="CW122" s="1997"/>
      <c r="CX122" s="1997"/>
      <c r="CY122" s="1997"/>
      <c r="CZ122" s="1997"/>
      <c r="DA122" s="1997"/>
      <c r="DB122" s="1997"/>
      <c r="DC122" s="1997"/>
      <c r="DD122" s="1997"/>
      <c r="DE122" s="1997"/>
      <c r="DF122" s="1997"/>
      <c r="DG122" s="1997"/>
      <c r="DH122" s="1997"/>
      <c r="DI122" s="1997"/>
      <c r="DJ122" s="1997"/>
      <c r="DK122" s="1997"/>
      <c r="DL122" s="1997"/>
      <c r="DM122" s="1997"/>
      <c r="DN122" s="1997"/>
      <c r="DO122" s="1997"/>
      <c r="DP122" s="1997"/>
      <c r="DQ122" s="1997"/>
      <c r="DR122" s="1997"/>
      <c r="DS122" s="1997"/>
      <c r="DT122" s="1997"/>
      <c r="DU122" s="1997"/>
      <c r="DV122" s="1997"/>
      <c r="DW122" s="1997"/>
      <c r="DX122" s="1997"/>
      <c r="DY122" s="1997"/>
      <c r="DZ122" s="1997"/>
      <c r="EA122" s="1997"/>
      <c r="EB122" s="1997"/>
      <c r="EC122" s="1997"/>
      <c r="ED122" s="1997"/>
      <c r="EE122" s="1997"/>
      <c r="EF122" s="1997"/>
      <c r="EG122" s="1997"/>
      <c r="EH122" s="1997"/>
      <c r="EI122" s="1997"/>
      <c r="EJ122" s="1997"/>
      <c r="EK122" s="1997"/>
      <c r="EL122" s="1997"/>
      <c r="EM122" s="1997"/>
      <c r="EN122" s="1997"/>
      <c r="EO122" s="1997"/>
      <c r="EP122" s="1997"/>
      <c r="EQ122" s="1997"/>
      <c r="ER122" s="1997"/>
      <c r="ES122" s="1997"/>
      <c r="ET122" s="1997"/>
      <c r="EU122" s="1997"/>
      <c r="EV122" s="1997"/>
      <c r="EW122" s="1997"/>
      <c r="EX122" s="1997"/>
      <c r="EY122" s="1997"/>
      <c r="EZ122" s="1997"/>
      <c r="FA122" s="1997"/>
      <c r="FB122" s="1997"/>
      <c r="FC122" s="1997"/>
      <c r="FD122" s="1997"/>
      <c r="FE122" s="1997"/>
      <c r="FF122" s="1997"/>
      <c r="FG122" s="1997"/>
      <c r="FH122" s="1997"/>
      <c r="FI122" s="1997"/>
      <c r="FJ122" s="1997"/>
      <c r="FK122" s="1997"/>
      <c r="FL122" s="1997"/>
      <c r="FM122" s="1997"/>
      <c r="FN122" s="1997"/>
      <c r="FO122" s="1997"/>
      <c r="FP122" s="1997"/>
      <c r="FQ122" s="1997"/>
      <c r="FR122" s="1997"/>
      <c r="FS122" s="1997"/>
      <c r="FT122" s="1997"/>
      <c r="FU122" s="1997"/>
      <c r="FV122" s="1997"/>
      <c r="FW122" s="1997"/>
      <c r="FX122" s="1997"/>
      <c r="FY122" s="1997"/>
      <c r="FZ122" s="1997"/>
      <c r="GA122" s="1997"/>
      <c r="GB122" s="1997"/>
      <c r="GC122" s="1997"/>
      <c r="GD122" s="1997"/>
      <c r="GE122" s="1997"/>
      <c r="GF122" s="1997"/>
      <c r="GG122" s="1997"/>
      <c r="GH122" s="1997"/>
      <c r="GI122" s="1997"/>
      <c r="GJ122" s="1997"/>
      <c r="GK122" s="1997"/>
      <c r="GL122" s="1997"/>
      <c r="GM122" s="1997"/>
      <c r="GN122" s="1997"/>
      <c r="GO122" s="1997"/>
      <c r="GP122" s="1997"/>
      <c r="GQ122" s="1997"/>
      <c r="GR122" s="1997"/>
      <c r="GS122" s="1997"/>
      <c r="GT122" s="1997"/>
      <c r="GU122" s="1997"/>
      <c r="GV122" s="1997"/>
      <c r="GW122" s="1997"/>
      <c r="GX122" s="1997"/>
      <c r="GY122" s="1997"/>
      <c r="GZ122" s="1997"/>
      <c r="HA122" s="1997"/>
      <c r="HB122" s="1997"/>
      <c r="HC122" s="1997"/>
      <c r="HD122" s="1997"/>
      <c r="HE122" s="1997"/>
      <c r="HF122" s="1997"/>
      <c r="HG122" s="1997"/>
      <c r="HH122" s="1997"/>
      <c r="HI122" s="1997"/>
      <c r="HJ122" s="1997"/>
      <c r="HK122" s="1997"/>
      <c r="HL122" s="1997"/>
      <c r="HM122" s="1997"/>
      <c r="HN122" s="1997"/>
      <c r="HO122" s="1997"/>
      <c r="HP122" s="1997"/>
      <c r="HQ122" s="1997"/>
      <c r="HR122" s="1997"/>
      <c r="HS122" s="1997"/>
      <c r="HT122" s="1997"/>
      <c r="HU122" s="1997"/>
      <c r="HV122" s="1997"/>
      <c r="HW122" s="1997"/>
      <c r="HX122" s="1997"/>
      <c r="HY122" s="1997"/>
      <c r="HZ122" s="1997"/>
      <c r="IA122" s="1997"/>
      <c r="IB122" s="1997"/>
      <c r="IC122" s="1997"/>
      <c r="ID122" s="1997"/>
      <c r="IE122" s="1997"/>
      <c r="IF122" s="1997"/>
      <c r="IG122" s="1997"/>
      <c r="IH122" s="1997"/>
      <c r="II122" s="1997"/>
      <c r="IJ122" s="1997"/>
      <c r="IK122" s="1997"/>
      <c r="IL122" s="1997"/>
      <c r="IM122" s="1997"/>
      <c r="IN122" s="1997"/>
      <c r="IO122" s="1997"/>
      <c r="IP122" s="1997"/>
      <c r="IQ122" s="1997"/>
    </row>
    <row r="123" spans="1:251" ht="27">
      <c r="A123" s="2021"/>
      <c r="B123" s="2013" t="s">
        <v>540</v>
      </c>
      <c r="C123" s="1995"/>
      <c r="D123" s="2037"/>
      <c r="E123" s="1993"/>
      <c r="F123" s="1940">
        <f>ROUNDUP((E123*$Q$5),-3)</f>
        <v>0</v>
      </c>
      <c r="G123" s="1993"/>
      <c r="H123" s="1940">
        <f t="shared" si="57"/>
        <v>0</v>
      </c>
      <c r="I123" s="1993"/>
      <c r="J123" s="1940">
        <f t="shared" si="58"/>
        <v>0</v>
      </c>
      <c r="K123" s="1993"/>
      <c r="L123" s="1940">
        <f t="shared" si="59"/>
        <v>0</v>
      </c>
      <c r="M123" s="1940">
        <f t="shared" si="60"/>
        <v>0</v>
      </c>
      <c r="N123" s="1940">
        <f t="shared" si="61"/>
        <v>0</v>
      </c>
      <c r="O123" s="1993"/>
      <c r="P123" s="1993"/>
      <c r="Q123" s="1940">
        <f t="shared" si="62"/>
        <v>0</v>
      </c>
      <c r="R123" s="1940">
        <f t="shared" si="63"/>
        <v>0</v>
      </c>
      <c r="S123" s="1940">
        <f t="shared" si="64"/>
        <v>0</v>
      </c>
      <c r="T123" s="1940">
        <f t="shared" si="65"/>
        <v>0</v>
      </c>
      <c r="U123" s="1940">
        <f t="shared" si="66"/>
        <v>0</v>
      </c>
      <c r="V123" s="1997"/>
      <c r="W123" s="1997"/>
      <c r="X123" s="1997"/>
      <c r="Y123" s="1997"/>
      <c r="Z123" s="1997"/>
      <c r="AA123" s="1997"/>
      <c r="AB123" s="1997"/>
      <c r="AC123" s="1997"/>
      <c r="AD123" s="1997"/>
      <c r="AE123" s="1997"/>
      <c r="AF123" s="1997"/>
      <c r="AG123" s="1997"/>
      <c r="AH123" s="1997"/>
      <c r="AI123" s="1997"/>
      <c r="AJ123" s="1997"/>
      <c r="AK123" s="1997"/>
      <c r="AL123" s="1997"/>
      <c r="AM123" s="1997"/>
      <c r="AN123" s="1997"/>
      <c r="AO123" s="1997"/>
      <c r="AP123" s="1997"/>
      <c r="AQ123" s="1997"/>
      <c r="AR123" s="1997"/>
      <c r="AS123" s="1997"/>
      <c r="AT123" s="1997"/>
      <c r="AU123" s="1997"/>
      <c r="AV123" s="1997"/>
      <c r="AW123" s="1997"/>
      <c r="AX123" s="1997"/>
      <c r="AY123" s="1997"/>
      <c r="AZ123" s="1997"/>
      <c r="BA123" s="1997"/>
      <c r="BB123" s="1997"/>
      <c r="BC123" s="1997"/>
      <c r="BD123" s="1997"/>
      <c r="BE123" s="1997"/>
      <c r="BF123" s="1997"/>
      <c r="BG123" s="1997"/>
      <c r="BH123" s="1997"/>
      <c r="BI123" s="1997"/>
      <c r="BJ123" s="1997"/>
      <c r="BK123" s="1997"/>
      <c r="BL123" s="1997"/>
      <c r="BM123" s="1997"/>
      <c r="BN123" s="1997"/>
      <c r="BO123" s="1997"/>
      <c r="BP123" s="1997"/>
      <c r="BQ123" s="1997"/>
      <c r="BR123" s="1997"/>
      <c r="BS123" s="1997"/>
      <c r="BT123" s="1997"/>
      <c r="BU123" s="1997"/>
      <c r="BV123" s="1997"/>
      <c r="BW123" s="1997"/>
      <c r="BX123" s="1997"/>
      <c r="BY123" s="1997"/>
      <c r="BZ123" s="1997"/>
      <c r="CA123" s="1997"/>
      <c r="CB123" s="1997"/>
      <c r="CC123" s="1997"/>
      <c r="CD123" s="1997"/>
      <c r="CE123" s="1997"/>
      <c r="CF123" s="1997"/>
      <c r="CG123" s="1997"/>
      <c r="CH123" s="1997"/>
      <c r="CI123" s="1997"/>
      <c r="CJ123" s="1997"/>
      <c r="CK123" s="1997"/>
      <c r="CL123" s="1997"/>
      <c r="CM123" s="1997"/>
      <c r="CN123" s="1997"/>
      <c r="CO123" s="1997"/>
      <c r="CP123" s="1997"/>
      <c r="CQ123" s="1997"/>
      <c r="CR123" s="1997"/>
      <c r="CS123" s="1997"/>
      <c r="CT123" s="1997"/>
      <c r="CU123" s="1997"/>
      <c r="CV123" s="1997"/>
      <c r="CW123" s="1997"/>
      <c r="CX123" s="1997"/>
      <c r="CY123" s="1997"/>
      <c r="CZ123" s="1997"/>
      <c r="DA123" s="1997"/>
      <c r="DB123" s="1997"/>
      <c r="DC123" s="1997"/>
      <c r="DD123" s="1997"/>
      <c r="DE123" s="1997"/>
      <c r="DF123" s="1997"/>
      <c r="DG123" s="1997"/>
      <c r="DH123" s="1997"/>
      <c r="DI123" s="1997"/>
      <c r="DJ123" s="1997"/>
      <c r="DK123" s="1997"/>
      <c r="DL123" s="1997"/>
      <c r="DM123" s="1997"/>
      <c r="DN123" s="1997"/>
      <c r="DO123" s="1997"/>
      <c r="DP123" s="1997"/>
      <c r="DQ123" s="1997"/>
      <c r="DR123" s="1997"/>
      <c r="DS123" s="1997"/>
      <c r="DT123" s="1997"/>
      <c r="DU123" s="1997"/>
      <c r="DV123" s="1997"/>
      <c r="DW123" s="1997"/>
      <c r="DX123" s="1997"/>
      <c r="DY123" s="1997"/>
      <c r="DZ123" s="1997"/>
      <c r="EA123" s="1997"/>
      <c r="EB123" s="1997"/>
      <c r="EC123" s="1997"/>
      <c r="ED123" s="1997"/>
      <c r="EE123" s="1997"/>
      <c r="EF123" s="1997"/>
      <c r="EG123" s="1997"/>
      <c r="EH123" s="1997"/>
      <c r="EI123" s="1997"/>
      <c r="EJ123" s="1997"/>
      <c r="EK123" s="1997"/>
      <c r="EL123" s="1997"/>
      <c r="EM123" s="1997"/>
      <c r="EN123" s="1997"/>
      <c r="EO123" s="1997"/>
      <c r="EP123" s="1997"/>
      <c r="EQ123" s="1997"/>
      <c r="ER123" s="1997"/>
      <c r="ES123" s="1997"/>
      <c r="ET123" s="1997"/>
      <c r="EU123" s="1997"/>
      <c r="EV123" s="1997"/>
      <c r="EW123" s="1997"/>
      <c r="EX123" s="1997"/>
      <c r="EY123" s="1997"/>
      <c r="EZ123" s="1997"/>
      <c r="FA123" s="1997"/>
      <c r="FB123" s="1997"/>
      <c r="FC123" s="1997"/>
      <c r="FD123" s="1997"/>
      <c r="FE123" s="1997"/>
      <c r="FF123" s="1997"/>
      <c r="FG123" s="1997"/>
      <c r="FH123" s="1997"/>
      <c r="FI123" s="1997"/>
      <c r="FJ123" s="1997"/>
      <c r="FK123" s="1997"/>
      <c r="FL123" s="1997"/>
      <c r="FM123" s="1997"/>
      <c r="FN123" s="1997"/>
      <c r="FO123" s="1997"/>
      <c r="FP123" s="1997"/>
      <c r="FQ123" s="1997"/>
      <c r="FR123" s="1997"/>
      <c r="FS123" s="1997"/>
      <c r="FT123" s="1997"/>
      <c r="FU123" s="1997"/>
      <c r="FV123" s="1997"/>
      <c r="FW123" s="1997"/>
      <c r="FX123" s="1997"/>
      <c r="FY123" s="1997"/>
      <c r="FZ123" s="1997"/>
      <c r="GA123" s="1997"/>
      <c r="GB123" s="1997"/>
      <c r="GC123" s="1997"/>
      <c r="GD123" s="1997"/>
      <c r="GE123" s="1997"/>
      <c r="GF123" s="1997"/>
      <c r="GG123" s="1997"/>
      <c r="GH123" s="1997"/>
      <c r="GI123" s="1997"/>
      <c r="GJ123" s="1997"/>
      <c r="GK123" s="1997"/>
      <c r="GL123" s="1997"/>
      <c r="GM123" s="1997"/>
      <c r="GN123" s="1997"/>
      <c r="GO123" s="1997"/>
      <c r="GP123" s="1997"/>
      <c r="GQ123" s="1997"/>
      <c r="GR123" s="1997"/>
      <c r="GS123" s="1997"/>
      <c r="GT123" s="1997"/>
      <c r="GU123" s="1997"/>
      <c r="GV123" s="1997"/>
      <c r="GW123" s="1997"/>
      <c r="GX123" s="1997"/>
      <c r="GY123" s="1997"/>
      <c r="GZ123" s="1997"/>
      <c r="HA123" s="1997"/>
      <c r="HB123" s="1997"/>
      <c r="HC123" s="1997"/>
      <c r="HD123" s="1997"/>
      <c r="HE123" s="1997"/>
      <c r="HF123" s="1997"/>
      <c r="HG123" s="1997"/>
      <c r="HH123" s="1997"/>
      <c r="HI123" s="1997"/>
      <c r="HJ123" s="1997"/>
      <c r="HK123" s="1997"/>
      <c r="HL123" s="1997"/>
      <c r="HM123" s="1997"/>
      <c r="HN123" s="1997"/>
      <c r="HO123" s="1997"/>
      <c r="HP123" s="1997"/>
      <c r="HQ123" s="1997"/>
      <c r="HR123" s="1997"/>
      <c r="HS123" s="1997"/>
      <c r="HT123" s="1997"/>
      <c r="HU123" s="1997"/>
      <c r="HV123" s="1997"/>
      <c r="HW123" s="1997"/>
      <c r="HX123" s="1997"/>
      <c r="HY123" s="1997"/>
      <c r="HZ123" s="1997"/>
      <c r="IA123" s="1997"/>
      <c r="IB123" s="1997"/>
      <c r="IC123" s="1997"/>
      <c r="ID123" s="1997"/>
      <c r="IE123" s="1997"/>
      <c r="IF123" s="1997"/>
      <c r="IG123" s="1997"/>
      <c r="IH123" s="1997"/>
      <c r="II123" s="1997"/>
      <c r="IJ123" s="1997"/>
      <c r="IK123" s="1997"/>
      <c r="IL123" s="1997"/>
      <c r="IM123" s="1997"/>
      <c r="IN123" s="1997"/>
      <c r="IO123" s="1997"/>
      <c r="IP123" s="1997"/>
      <c r="IQ123" s="1997"/>
    </row>
    <row r="124" spans="1:251" hidden="1">
      <c r="A124" s="2021"/>
      <c r="B124" s="2012" t="s">
        <v>541</v>
      </c>
      <c r="C124" s="1995"/>
      <c r="D124" s="2037"/>
      <c r="E124" s="1993"/>
      <c r="F124" s="1996"/>
      <c r="G124" s="1993">
        <v>12</v>
      </c>
      <c r="H124" s="1940">
        <f t="shared" si="57"/>
        <v>0</v>
      </c>
      <c r="I124" s="1993"/>
      <c r="J124" s="1940">
        <f t="shared" si="58"/>
        <v>0</v>
      </c>
      <c r="K124" s="1993"/>
      <c r="L124" s="1940">
        <f t="shared" si="59"/>
        <v>0</v>
      </c>
      <c r="M124" s="1940">
        <f t="shared" si="60"/>
        <v>0</v>
      </c>
      <c r="N124" s="1940">
        <f t="shared" si="61"/>
        <v>0</v>
      </c>
      <c r="O124" s="1993">
        <f>F124*D124*2</f>
        <v>0</v>
      </c>
      <c r="P124" s="1993">
        <f>F124*D124*4</f>
        <v>0</v>
      </c>
      <c r="Q124" s="1940">
        <f t="shared" si="62"/>
        <v>0</v>
      </c>
      <c r="R124" s="1940">
        <f t="shared" si="63"/>
        <v>0</v>
      </c>
      <c r="S124" s="1940">
        <f t="shared" si="64"/>
        <v>0</v>
      </c>
      <c r="T124" s="1940">
        <f t="shared" si="65"/>
        <v>0</v>
      </c>
      <c r="U124" s="1940">
        <f t="shared" si="66"/>
        <v>0</v>
      </c>
      <c r="V124" s="1997"/>
      <c r="W124" s="1997"/>
      <c r="X124" s="1997"/>
      <c r="Y124" s="1997"/>
      <c r="Z124" s="1997"/>
      <c r="AA124" s="1997"/>
      <c r="AB124" s="1997"/>
      <c r="AC124" s="1997"/>
      <c r="AD124" s="1997"/>
      <c r="AE124" s="1997"/>
      <c r="AF124" s="1997"/>
      <c r="AG124" s="1997"/>
      <c r="AH124" s="1997"/>
      <c r="AI124" s="1997"/>
      <c r="AJ124" s="1997"/>
      <c r="AK124" s="1997"/>
      <c r="AL124" s="1997"/>
      <c r="AM124" s="1997"/>
      <c r="AN124" s="1997"/>
      <c r="AO124" s="1997"/>
      <c r="AP124" s="1997"/>
      <c r="AQ124" s="1997"/>
      <c r="AR124" s="1997"/>
      <c r="AS124" s="1997"/>
      <c r="AT124" s="1997"/>
      <c r="AU124" s="1997"/>
      <c r="AV124" s="1997"/>
      <c r="AW124" s="1997"/>
      <c r="AX124" s="1997"/>
      <c r="AY124" s="1997"/>
      <c r="AZ124" s="1997"/>
      <c r="BA124" s="1997"/>
      <c r="BB124" s="1997"/>
      <c r="BC124" s="1997"/>
      <c r="BD124" s="1997"/>
      <c r="BE124" s="1997"/>
      <c r="BF124" s="1997"/>
      <c r="BG124" s="1997"/>
      <c r="BH124" s="1997"/>
      <c r="BI124" s="1997"/>
      <c r="BJ124" s="1997"/>
      <c r="BK124" s="1997"/>
      <c r="BL124" s="1997"/>
      <c r="BM124" s="1997"/>
      <c r="BN124" s="1997"/>
      <c r="BO124" s="1997"/>
      <c r="BP124" s="1997"/>
      <c r="BQ124" s="1997"/>
      <c r="BR124" s="1997"/>
      <c r="BS124" s="1997"/>
      <c r="BT124" s="1997"/>
      <c r="BU124" s="1997"/>
      <c r="BV124" s="1997"/>
      <c r="BW124" s="1997"/>
      <c r="BX124" s="1997"/>
      <c r="BY124" s="1997"/>
      <c r="BZ124" s="1997"/>
      <c r="CA124" s="1997"/>
      <c r="CB124" s="1997"/>
      <c r="CC124" s="1997"/>
      <c r="CD124" s="1997"/>
      <c r="CE124" s="1997"/>
      <c r="CF124" s="1997"/>
      <c r="CG124" s="1997"/>
      <c r="CH124" s="1997"/>
      <c r="CI124" s="1997"/>
      <c r="CJ124" s="1997"/>
      <c r="CK124" s="1997"/>
      <c r="CL124" s="1997"/>
      <c r="CM124" s="1997"/>
      <c r="CN124" s="1997"/>
      <c r="CO124" s="1997"/>
      <c r="CP124" s="1997"/>
      <c r="CQ124" s="1997"/>
      <c r="CR124" s="1997"/>
      <c r="CS124" s="1997"/>
      <c r="CT124" s="1997"/>
      <c r="CU124" s="1997"/>
      <c r="CV124" s="1997"/>
      <c r="CW124" s="1997"/>
      <c r="CX124" s="1997"/>
      <c r="CY124" s="1997"/>
      <c r="CZ124" s="1997"/>
      <c r="DA124" s="1997"/>
      <c r="DB124" s="1997"/>
      <c r="DC124" s="1997"/>
      <c r="DD124" s="1997"/>
      <c r="DE124" s="1997"/>
      <c r="DF124" s="1997"/>
      <c r="DG124" s="1997"/>
      <c r="DH124" s="1997"/>
      <c r="DI124" s="1997"/>
      <c r="DJ124" s="1997"/>
      <c r="DK124" s="1997"/>
      <c r="DL124" s="1997"/>
      <c r="DM124" s="1997"/>
      <c r="DN124" s="1997"/>
      <c r="DO124" s="1997"/>
      <c r="DP124" s="1997"/>
      <c r="DQ124" s="1997"/>
      <c r="DR124" s="1997"/>
      <c r="DS124" s="1997"/>
      <c r="DT124" s="1997"/>
      <c r="DU124" s="1997"/>
      <c r="DV124" s="1997"/>
      <c r="DW124" s="1997"/>
      <c r="DX124" s="1997"/>
      <c r="DY124" s="1997"/>
      <c r="DZ124" s="1997"/>
      <c r="EA124" s="1997"/>
      <c r="EB124" s="1997"/>
      <c r="EC124" s="1997"/>
      <c r="ED124" s="1997"/>
      <c r="EE124" s="1997"/>
      <c r="EF124" s="1997"/>
      <c r="EG124" s="1997"/>
      <c r="EH124" s="1997"/>
      <c r="EI124" s="1997"/>
      <c r="EJ124" s="1997"/>
      <c r="EK124" s="1997"/>
      <c r="EL124" s="1997"/>
      <c r="EM124" s="1997"/>
      <c r="EN124" s="1997"/>
      <c r="EO124" s="1997"/>
      <c r="EP124" s="1997"/>
      <c r="EQ124" s="1997"/>
      <c r="ER124" s="1997"/>
      <c r="ES124" s="1997"/>
      <c r="ET124" s="1997"/>
      <c r="EU124" s="1997"/>
      <c r="EV124" s="1997"/>
      <c r="EW124" s="1997"/>
      <c r="EX124" s="1997"/>
      <c r="EY124" s="1997"/>
      <c r="EZ124" s="1997"/>
      <c r="FA124" s="1997"/>
      <c r="FB124" s="1997"/>
      <c r="FC124" s="1997"/>
      <c r="FD124" s="1997"/>
      <c r="FE124" s="1997"/>
      <c r="FF124" s="1997"/>
      <c r="FG124" s="1997"/>
      <c r="FH124" s="1997"/>
      <c r="FI124" s="1997"/>
      <c r="FJ124" s="1997"/>
      <c r="FK124" s="1997"/>
      <c r="FL124" s="1997"/>
      <c r="FM124" s="1997"/>
      <c r="FN124" s="1997"/>
      <c r="FO124" s="1997"/>
      <c r="FP124" s="1997"/>
      <c r="FQ124" s="1997"/>
      <c r="FR124" s="1997"/>
      <c r="FS124" s="1997"/>
      <c r="FT124" s="1997"/>
      <c r="FU124" s="1997"/>
      <c r="FV124" s="1997"/>
      <c r="FW124" s="1997"/>
      <c r="FX124" s="1997"/>
      <c r="FY124" s="1997"/>
      <c r="FZ124" s="1997"/>
      <c r="GA124" s="1997"/>
      <c r="GB124" s="1997"/>
      <c r="GC124" s="1997"/>
      <c r="GD124" s="1997"/>
      <c r="GE124" s="1997"/>
      <c r="GF124" s="1997"/>
      <c r="GG124" s="1997"/>
      <c r="GH124" s="1997"/>
      <c r="GI124" s="1997"/>
      <c r="GJ124" s="1997"/>
      <c r="GK124" s="1997"/>
      <c r="GL124" s="1997"/>
      <c r="GM124" s="1997"/>
      <c r="GN124" s="1997"/>
      <c r="GO124" s="1997"/>
      <c r="GP124" s="1997"/>
      <c r="GQ124" s="1997"/>
      <c r="GR124" s="1997"/>
      <c r="GS124" s="1997"/>
      <c r="GT124" s="1997"/>
      <c r="GU124" s="1997"/>
      <c r="GV124" s="1997"/>
      <c r="GW124" s="1997"/>
      <c r="GX124" s="1997"/>
      <c r="GY124" s="1997"/>
      <c r="GZ124" s="1997"/>
      <c r="HA124" s="1997"/>
      <c r="HB124" s="1997"/>
      <c r="HC124" s="1997"/>
      <c r="HD124" s="1997"/>
      <c r="HE124" s="1997"/>
      <c r="HF124" s="1997"/>
      <c r="HG124" s="1997"/>
      <c r="HH124" s="1997"/>
      <c r="HI124" s="1997"/>
      <c r="HJ124" s="1997"/>
      <c r="HK124" s="1997"/>
      <c r="HL124" s="1997"/>
      <c r="HM124" s="1997"/>
      <c r="HN124" s="1997"/>
      <c r="HO124" s="1997"/>
      <c r="HP124" s="1997"/>
      <c r="HQ124" s="1997"/>
      <c r="HR124" s="1997"/>
      <c r="HS124" s="1997"/>
      <c r="HT124" s="1997"/>
      <c r="HU124" s="1997"/>
      <c r="HV124" s="1997"/>
      <c r="HW124" s="1997"/>
      <c r="HX124" s="1997"/>
      <c r="HY124" s="1997"/>
      <c r="HZ124" s="1997"/>
      <c r="IA124" s="1997"/>
      <c r="IB124" s="1997"/>
      <c r="IC124" s="1997"/>
      <c r="ID124" s="1997"/>
      <c r="IE124" s="1997"/>
      <c r="IF124" s="1997"/>
      <c r="IG124" s="1997"/>
      <c r="IH124" s="1997"/>
      <c r="II124" s="1997"/>
      <c r="IJ124" s="1997"/>
      <c r="IK124" s="1997"/>
      <c r="IL124" s="1997"/>
      <c r="IM124" s="1997"/>
      <c r="IN124" s="1997"/>
      <c r="IO124" s="1997"/>
      <c r="IP124" s="1997"/>
      <c r="IQ124" s="1997"/>
    </row>
    <row r="125" spans="1:251" hidden="1">
      <c r="A125" s="2021"/>
      <c r="B125" s="2012" t="s">
        <v>542</v>
      </c>
      <c r="C125" s="1995"/>
      <c r="D125" s="2037"/>
      <c r="E125" s="1993"/>
      <c r="F125" s="1996"/>
      <c r="G125" s="1993">
        <v>12</v>
      </c>
      <c r="H125" s="1940">
        <f t="shared" si="57"/>
        <v>0</v>
      </c>
      <c r="I125" s="1993"/>
      <c r="J125" s="1940">
        <f t="shared" si="58"/>
        <v>0</v>
      </c>
      <c r="K125" s="1993"/>
      <c r="L125" s="1940">
        <f t="shared" si="59"/>
        <v>0</v>
      </c>
      <c r="M125" s="1940">
        <f t="shared" si="60"/>
        <v>0</v>
      </c>
      <c r="N125" s="1940">
        <f t="shared" si="61"/>
        <v>0</v>
      </c>
      <c r="O125" s="1993">
        <f t="shared" ref="O125:O130" si="69">F125*D125*2</f>
        <v>0</v>
      </c>
      <c r="P125" s="1993">
        <f t="shared" ref="P125:P126" si="70">F125*D125*4</f>
        <v>0</v>
      </c>
      <c r="Q125" s="1940">
        <f t="shared" si="62"/>
        <v>0</v>
      </c>
      <c r="R125" s="1940">
        <f t="shared" si="63"/>
        <v>0</v>
      </c>
      <c r="S125" s="1940">
        <f t="shared" si="64"/>
        <v>0</v>
      </c>
      <c r="T125" s="1940">
        <f t="shared" si="65"/>
        <v>0</v>
      </c>
      <c r="U125" s="1940">
        <f t="shared" si="66"/>
        <v>0</v>
      </c>
      <c r="V125" s="1997"/>
      <c r="W125" s="1997"/>
      <c r="X125" s="1997"/>
      <c r="Y125" s="1997"/>
      <c r="Z125" s="1997"/>
      <c r="AA125" s="1997"/>
      <c r="AB125" s="1997"/>
      <c r="AC125" s="1997"/>
      <c r="AD125" s="1997"/>
      <c r="AE125" s="1997"/>
      <c r="AF125" s="1997"/>
      <c r="AG125" s="1997"/>
      <c r="AH125" s="1997"/>
      <c r="AI125" s="1997"/>
      <c r="AJ125" s="1997"/>
      <c r="AK125" s="1997"/>
      <c r="AL125" s="1997"/>
      <c r="AM125" s="1997"/>
      <c r="AN125" s="1997"/>
      <c r="AO125" s="1997"/>
      <c r="AP125" s="1997"/>
      <c r="AQ125" s="1997"/>
      <c r="AR125" s="1997"/>
      <c r="AS125" s="1997"/>
      <c r="AT125" s="1997"/>
      <c r="AU125" s="1997"/>
      <c r="AV125" s="1997"/>
      <c r="AW125" s="1997"/>
      <c r="AX125" s="1997"/>
      <c r="AY125" s="1997"/>
      <c r="AZ125" s="1997"/>
      <c r="BA125" s="1997"/>
      <c r="BB125" s="1997"/>
      <c r="BC125" s="1997"/>
      <c r="BD125" s="1997"/>
      <c r="BE125" s="1997"/>
      <c r="BF125" s="1997"/>
      <c r="BG125" s="1997"/>
      <c r="BH125" s="1997"/>
      <c r="BI125" s="1997"/>
      <c r="BJ125" s="1997"/>
      <c r="BK125" s="1997"/>
      <c r="BL125" s="1997"/>
      <c r="BM125" s="1997"/>
      <c r="BN125" s="1997"/>
      <c r="BO125" s="1997"/>
      <c r="BP125" s="1997"/>
      <c r="BQ125" s="1997"/>
      <c r="BR125" s="1997"/>
      <c r="BS125" s="1997"/>
      <c r="BT125" s="1997"/>
      <c r="BU125" s="1997"/>
      <c r="BV125" s="1997"/>
      <c r="BW125" s="1997"/>
      <c r="BX125" s="1997"/>
      <c r="BY125" s="1997"/>
      <c r="BZ125" s="1997"/>
      <c r="CA125" s="1997"/>
      <c r="CB125" s="1997"/>
      <c r="CC125" s="1997"/>
      <c r="CD125" s="1997"/>
      <c r="CE125" s="1997"/>
      <c r="CF125" s="1997"/>
      <c r="CG125" s="1997"/>
      <c r="CH125" s="1997"/>
      <c r="CI125" s="1997"/>
      <c r="CJ125" s="1997"/>
      <c r="CK125" s="1997"/>
      <c r="CL125" s="1997"/>
      <c r="CM125" s="1997"/>
      <c r="CN125" s="1997"/>
      <c r="CO125" s="1997"/>
      <c r="CP125" s="1997"/>
      <c r="CQ125" s="1997"/>
      <c r="CR125" s="1997"/>
      <c r="CS125" s="1997"/>
      <c r="CT125" s="1997"/>
      <c r="CU125" s="1997"/>
      <c r="CV125" s="1997"/>
      <c r="CW125" s="1997"/>
      <c r="CX125" s="1997"/>
      <c r="CY125" s="1997"/>
      <c r="CZ125" s="1997"/>
      <c r="DA125" s="1997"/>
      <c r="DB125" s="1997"/>
      <c r="DC125" s="1997"/>
      <c r="DD125" s="1997"/>
      <c r="DE125" s="1997"/>
      <c r="DF125" s="1997"/>
      <c r="DG125" s="1997"/>
      <c r="DH125" s="1997"/>
      <c r="DI125" s="1997"/>
      <c r="DJ125" s="1997"/>
      <c r="DK125" s="1997"/>
      <c r="DL125" s="1997"/>
      <c r="DM125" s="1997"/>
      <c r="DN125" s="1997"/>
      <c r="DO125" s="1997"/>
      <c r="DP125" s="1997"/>
      <c r="DQ125" s="1997"/>
      <c r="DR125" s="1997"/>
      <c r="DS125" s="1997"/>
      <c r="DT125" s="1997"/>
      <c r="DU125" s="1997"/>
      <c r="DV125" s="1997"/>
      <c r="DW125" s="1997"/>
      <c r="DX125" s="1997"/>
      <c r="DY125" s="1997"/>
      <c r="DZ125" s="1997"/>
      <c r="EA125" s="1997"/>
      <c r="EB125" s="1997"/>
      <c r="EC125" s="1997"/>
      <c r="ED125" s="1997"/>
      <c r="EE125" s="1997"/>
      <c r="EF125" s="1997"/>
      <c r="EG125" s="1997"/>
      <c r="EH125" s="1997"/>
      <c r="EI125" s="1997"/>
      <c r="EJ125" s="1997"/>
      <c r="EK125" s="1997"/>
      <c r="EL125" s="1997"/>
      <c r="EM125" s="1997"/>
      <c r="EN125" s="1997"/>
      <c r="EO125" s="1997"/>
      <c r="EP125" s="1997"/>
      <c r="EQ125" s="1997"/>
      <c r="ER125" s="1997"/>
      <c r="ES125" s="1997"/>
      <c r="ET125" s="1997"/>
      <c r="EU125" s="1997"/>
      <c r="EV125" s="1997"/>
      <c r="EW125" s="1997"/>
      <c r="EX125" s="1997"/>
      <c r="EY125" s="1997"/>
      <c r="EZ125" s="1997"/>
      <c r="FA125" s="1997"/>
      <c r="FB125" s="1997"/>
      <c r="FC125" s="1997"/>
      <c r="FD125" s="1997"/>
      <c r="FE125" s="1997"/>
      <c r="FF125" s="1997"/>
      <c r="FG125" s="1997"/>
      <c r="FH125" s="1997"/>
      <c r="FI125" s="1997"/>
      <c r="FJ125" s="1997"/>
      <c r="FK125" s="1997"/>
      <c r="FL125" s="1997"/>
      <c r="FM125" s="1997"/>
      <c r="FN125" s="1997"/>
      <c r="FO125" s="1997"/>
      <c r="FP125" s="1997"/>
      <c r="FQ125" s="1997"/>
      <c r="FR125" s="1997"/>
      <c r="FS125" s="1997"/>
      <c r="FT125" s="1997"/>
      <c r="FU125" s="1997"/>
      <c r="FV125" s="1997"/>
      <c r="FW125" s="1997"/>
      <c r="FX125" s="1997"/>
      <c r="FY125" s="1997"/>
      <c r="FZ125" s="1997"/>
      <c r="GA125" s="1997"/>
      <c r="GB125" s="1997"/>
      <c r="GC125" s="1997"/>
      <c r="GD125" s="1997"/>
      <c r="GE125" s="1997"/>
      <c r="GF125" s="1997"/>
      <c r="GG125" s="1997"/>
      <c r="GH125" s="1997"/>
      <c r="GI125" s="1997"/>
      <c r="GJ125" s="1997"/>
      <c r="GK125" s="1997"/>
      <c r="GL125" s="1997"/>
      <c r="GM125" s="1997"/>
      <c r="GN125" s="1997"/>
      <c r="GO125" s="1997"/>
      <c r="GP125" s="1997"/>
      <c r="GQ125" s="1997"/>
      <c r="GR125" s="1997"/>
      <c r="GS125" s="1997"/>
      <c r="GT125" s="1997"/>
      <c r="GU125" s="1997"/>
      <c r="GV125" s="1997"/>
      <c r="GW125" s="1997"/>
      <c r="GX125" s="1997"/>
      <c r="GY125" s="1997"/>
      <c r="GZ125" s="1997"/>
      <c r="HA125" s="1997"/>
      <c r="HB125" s="1997"/>
      <c r="HC125" s="1997"/>
      <c r="HD125" s="1997"/>
      <c r="HE125" s="1997"/>
      <c r="HF125" s="1997"/>
      <c r="HG125" s="1997"/>
      <c r="HH125" s="1997"/>
      <c r="HI125" s="1997"/>
      <c r="HJ125" s="1997"/>
      <c r="HK125" s="1997"/>
      <c r="HL125" s="1997"/>
      <c r="HM125" s="1997"/>
      <c r="HN125" s="1997"/>
      <c r="HO125" s="1997"/>
      <c r="HP125" s="1997"/>
      <c r="HQ125" s="1997"/>
      <c r="HR125" s="1997"/>
      <c r="HS125" s="1997"/>
      <c r="HT125" s="1997"/>
      <c r="HU125" s="1997"/>
      <c r="HV125" s="1997"/>
      <c r="HW125" s="1997"/>
      <c r="HX125" s="1997"/>
      <c r="HY125" s="1997"/>
      <c r="HZ125" s="1997"/>
      <c r="IA125" s="1997"/>
      <c r="IB125" s="1997"/>
      <c r="IC125" s="1997"/>
      <c r="ID125" s="1997"/>
      <c r="IE125" s="1997"/>
      <c r="IF125" s="1997"/>
      <c r="IG125" s="1997"/>
      <c r="IH125" s="1997"/>
      <c r="II125" s="1997"/>
      <c r="IJ125" s="1997"/>
      <c r="IK125" s="1997"/>
      <c r="IL125" s="1997"/>
      <c r="IM125" s="1997"/>
      <c r="IN125" s="1997"/>
      <c r="IO125" s="1997"/>
      <c r="IP125" s="1997"/>
      <c r="IQ125" s="1997"/>
    </row>
    <row r="126" spans="1:251" hidden="1">
      <c r="A126" s="2021"/>
      <c r="B126" s="2012" t="s">
        <v>543</v>
      </c>
      <c r="C126" s="1995"/>
      <c r="D126" s="2037"/>
      <c r="E126" s="1993"/>
      <c r="F126" s="1996"/>
      <c r="G126" s="1993">
        <v>12</v>
      </c>
      <c r="H126" s="1940">
        <f t="shared" si="57"/>
        <v>0</v>
      </c>
      <c r="I126" s="1993"/>
      <c r="J126" s="1940">
        <f t="shared" si="58"/>
        <v>0</v>
      </c>
      <c r="K126" s="1993"/>
      <c r="L126" s="1940">
        <f t="shared" si="59"/>
        <v>0</v>
      </c>
      <c r="M126" s="1940">
        <f t="shared" si="60"/>
        <v>0</v>
      </c>
      <c r="N126" s="1940">
        <f t="shared" si="61"/>
        <v>0</v>
      </c>
      <c r="O126" s="1993">
        <f t="shared" si="69"/>
        <v>0</v>
      </c>
      <c r="P126" s="1993">
        <f t="shared" si="70"/>
        <v>0</v>
      </c>
      <c r="Q126" s="1940">
        <f t="shared" si="62"/>
        <v>0</v>
      </c>
      <c r="R126" s="1940">
        <f t="shared" si="63"/>
        <v>0</v>
      </c>
      <c r="S126" s="1940">
        <f t="shared" si="64"/>
        <v>0</v>
      </c>
      <c r="T126" s="1940">
        <f t="shared" si="65"/>
        <v>0</v>
      </c>
      <c r="U126" s="1940">
        <f t="shared" si="66"/>
        <v>0</v>
      </c>
      <c r="V126" s="1997"/>
      <c r="W126" s="1997"/>
      <c r="X126" s="1997"/>
      <c r="Y126" s="1997"/>
      <c r="Z126" s="1997"/>
      <c r="AA126" s="1997"/>
      <c r="AB126" s="1997"/>
      <c r="AC126" s="1997"/>
      <c r="AD126" s="1997"/>
      <c r="AE126" s="1997"/>
      <c r="AF126" s="1997"/>
      <c r="AG126" s="1997"/>
      <c r="AH126" s="1997"/>
      <c r="AI126" s="1997"/>
      <c r="AJ126" s="1997"/>
      <c r="AK126" s="1997"/>
      <c r="AL126" s="1997"/>
      <c r="AM126" s="1997"/>
      <c r="AN126" s="1997"/>
      <c r="AO126" s="1997"/>
      <c r="AP126" s="1997"/>
      <c r="AQ126" s="1997"/>
      <c r="AR126" s="1997"/>
      <c r="AS126" s="1997"/>
      <c r="AT126" s="1997"/>
      <c r="AU126" s="1997"/>
      <c r="AV126" s="1997"/>
      <c r="AW126" s="1997"/>
      <c r="AX126" s="1997"/>
      <c r="AY126" s="1997"/>
      <c r="AZ126" s="1997"/>
      <c r="BA126" s="1997"/>
      <c r="BB126" s="1997"/>
      <c r="BC126" s="1997"/>
      <c r="BD126" s="1997"/>
      <c r="BE126" s="1997"/>
      <c r="BF126" s="1997"/>
      <c r="BG126" s="1997"/>
      <c r="BH126" s="1997"/>
      <c r="BI126" s="1997"/>
      <c r="BJ126" s="1997"/>
      <c r="BK126" s="1997"/>
      <c r="BL126" s="1997"/>
      <c r="BM126" s="1997"/>
      <c r="BN126" s="1997"/>
      <c r="BO126" s="1997"/>
      <c r="BP126" s="1997"/>
      <c r="BQ126" s="1997"/>
      <c r="BR126" s="1997"/>
      <c r="BS126" s="1997"/>
      <c r="BT126" s="1997"/>
      <c r="BU126" s="1997"/>
      <c r="BV126" s="1997"/>
      <c r="BW126" s="1997"/>
      <c r="BX126" s="1997"/>
      <c r="BY126" s="1997"/>
      <c r="BZ126" s="1997"/>
      <c r="CA126" s="1997"/>
      <c r="CB126" s="1997"/>
      <c r="CC126" s="1997"/>
      <c r="CD126" s="1997"/>
      <c r="CE126" s="1997"/>
      <c r="CF126" s="1997"/>
      <c r="CG126" s="1997"/>
      <c r="CH126" s="1997"/>
      <c r="CI126" s="1997"/>
      <c r="CJ126" s="1997"/>
      <c r="CK126" s="1997"/>
      <c r="CL126" s="1997"/>
      <c r="CM126" s="1997"/>
      <c r="CN126" s="1997"/>
      <c r="CO126" s="1997"/>
      <c r="CP126" s="1997"/>
      <c r="CQ126" s="1997"/>
      <c r="CR126" s="1997"/>
      <c r="CS126" s="1997"/>
      <c r="CT126" s="1997"/>
      <c r="CU126" s="1997"/>
      <c r="CV126" s="1997"/>
      <c r="CW126" s="1997"/>
      <c r="CX126" s="1997"/>
      <c r="CY126" s="1997"/>
      <c r="CZ126" s="1997"/>
      <c r="DA126" s="1997"/>
      <c r="DB126" s="1997"/>
      <c r="DC126" s="1997"/>
      <c r="DD126" s="1997"/>
      <c r="DE126" s="1997"/>
      <c r="DF126" s="1997"/>
      <c r="DG126" s="1997"/>
      <c r="DH126" s="1997"/>
      <c r="DI126" s="1997"/>
      <c r="DJ126" s="1997"/>
      <c r="DK126" s="1997"/>
      <c r="DL126" s="1997"/>
      <c r="DM126" s="1997"/>
      <c r="DN126" s="1997"/>
      <c r="DO126" s="1997"/>
      <c r="DP126" s="1997"/>
      <c r="DQ126" s="1997"/>
      <c r="DR126" s="1997"/>
      <c r="DS126" s="1997"/>
      <c r="DT126" s="1997"/>
      <c r="DU126" s="1997"/>
      <c r="DV126" s="1997"/>
      <c r="DW126" s="1997"/>
      <c r="DX126" s="1997"/>
      <c r="DY126" s="1997"/>
      <c r="DZ126" s="1997"/>
      <c r="EA126" s="1997"/>
      <c r="EB126" s="1997"/>
      <c r="EC126" s="1997"/>
      <c r="ED126" s="1997"/>
      <c r="EE126" s="1997"/>
      <c r="EF126" s="1997"/>
      <c r="EG126" s="1997"/>
      <c r="EH126" s="1997"/>
      <c r="EI126" s="1997"/>
      <c r="EJ126" s="1997"/>
      <c r="EK126" s="1997"/>
      <c r="EL126" s="1997"/>
      <c r="EM126" s="1997"/>
      <c r="EN126" s="1997"/>
      <c r="EO126" s="1997"/>
      <c r="EP126" s="1997"/>
      <c r="EQ126" s="1997"/>
      <c r="ER126" s="1997"/>
      <c r="ES126" s="1997"/>
      <c r="ET126" s="1997"/>
      <c r="EU126" s="1997"/>
      <c r="EV126" s="1997"/>
      <c r="EW126" s="1997"/>
      <c r="EX126" s="1997"/>
      <c r="EY126" s="1997"/>
      <c r="EZ126" s="1997"/>
      <c r="FA126" s="1997"/>
      <c r="FB126" s="1997"/>
      <c r="FC126" s="1997"/>
      <c r="FD126" s="1997"/>
      <c r="FE126" s="1997"/>
      <c r="FF126" s="1997"/>
      <c r="FG126" s="1997"/>
      <c r="FH126" s="1997"/>
      <c r="FI126" s="1997"/>
      <c r="FJ126" s="1997"/>
      <c r="FK126" s="1997"/>
      <c r="FL126" s="1997"/>
      <c r="FM126" s="1997"/>
      <c r="FN126" s="1997"/>
      <c r="FO126" s="1997"/>
      <c r="FP126" s="1997"/>
      <c r="FQ126" s="1997"/>
      <c r="FR126" s="1997"/>
      <c r="FS126" s="1997"/>
      <c r="FT126" s="1997"/>
      <c r="FU126" s="1997"/>
      <c r="FV126" s="1997"/>
      <c r="FW126" s="1997"/>
      <c r="FX126" s="1997"/>
      <c r="FY126" s="1997"/>
      <c r="FZ126" s="1997"/>
      <c r="GA126" s="1997"/>
      <c r="GB126" s="1997"/>
      <c r="GC126" s="1997"/>
      <c r="GD126" s="1997"/>
      <c r="GE126" s="1997"/>
      <c r="GF126" s="1997"/>
      <c r="GG126" s="1997"/>
      <c r="GH126" s="1997"/>
      <c r="GI126" s="1997"/>
      <c r="GJ126" s="1997"/>
      <c r="GK126" s="1997"/>
      <c r="GL126" s="1997"/>
      <c r="GM126" s="1997"/>
      <c r="GN126" s="1997"/>
      <c r="GO126" s="1997"/>
      <c r="GP126" s="1997"/>
      <c r="GQ126" s="1997"/>
      <c r="GR126" s="1997"/>
      <c r="GS126" s="1997"/>
      <c r="GT126" s="1997"/>
      <c r="GU126" s="1997"/>
      <c r="GV126" s="1997"/>
      <c r="GW126" s="1997"/>
      <c r="GX126" s="1997"/>
      <c r="GY126" s="1997"/>
      <c r="GZ126" s="1997"/>
      <c r="HA126" s="1997"/>
      <c r="HB126" s="1997"/>
      <c r="HC126" s="1997"/>
      <c r="HD126" s="1997"/>
      <c r="HE126" s="1997"/>
      <c r="HF126" s="1997"/>
      <c r="HG126" s="1997"/>
      <c r="HH126" s="1997"/>
      <c r="HI126" s="1997"/>
      <c r="HJ126" s="1997"/>
      <c r="HK126" s="1997"/>
      <c r="HL126" s="1997"/>
      <c r="HM126" s="1997"/>
      <c r="HN126" s="1997"/>
      <c r="HO126" s="1997"/>
      <c r="HP126" s="1997"/>
      <c r="HQ126" s="1997"/>
      <c r="HR126" s="1997"/>
      <c r="HS126" s="1997"/>
      <c r="HT126" s="1997"/>
      <c r="HU126" s="1997"/>
      <c r="HV126" s="1997"/>
      <c r="HW126" s="1997"/>
      <c r="HX126" s="1997"/>
      <c r="HY126" s="1997"/>
      <c r="HZ126" s="1997"/>
      <c r="IA126" s="1997"/>
      <c r="IB126" s="1997"/>
      <c r="IC126" s="1997"/>
      <c r="ID126" s="1997"/>
      <c r="IE126" s="1997"/>
      <c r="IF126" s="1997"/>
      <c r="IG126" s="1997"/>
      <c r="IH126" s="1997"/>
      <c r="II126" s="1997"/>
      <c r="IJ126" s="1997"/>
      <c r="IK126" s="1997"/>
      <c r="IL126" s="1997"/>
      <c r="IM126" s="1997"/>
      <c r="IN126" s="1997"/>
      <c r="IO126" s="1997"/>
      <c r="IP126" s="1997"/>
      <c r="IQ126" s="1997"/>
    </row>
    <row r="127" spans="1:251">
      <c r="A127" s="2021">
        <v>6</v>
      </c>
      <c r="B127" s="2955" t="s">
        <v>544</v>
      </c>
      <c r="C127" s="1995"/>
      <c r="D127" s="2037"/>
      <c r="E127" s="1993"/>
      <c r="F127" s="1996">
        <v>240000</v>
      </c>
      <c r="G127" s="1993">
        <v>12</v>
      </c>
      <c r="H127" s="1940">
        <f t="shared" si="57"/>
        <v>0</v>
      </c>
      <c r="I127" s="1993"/>
      <c r="J127" s="1940">
        <f t="shared" si="58"/>
        <v>0</v>
      </c>
      <c r="K127" s="1993"/>
      <c r="L127" s="1940">
        <f t="shared" si="59"/>
        <v>0</v>
      </c>
      <c r="M127" s="1940">
        <f t="shared" si="60"/>
        <v>0</v>
      </c>
      <c r="N127" s="1940">
        <f t="shared" si="61"/>
        <v>0</v>
      </c>
      <c r="O127" s="1993">
        <f t="shared" si="69"/>
        <v>0</v>
      </c>
      <c r="P127" s="1993">
        <f>F127*D127*2</f>
        <v>0</v>
      </c>
      <c r="Q127" s="1940">
        <f t="shared" si="62"/>
        <v>0</v>
      </c>
      <c r="R127" s="1940">
        <f t="shared" si="63"/>
        <v>0</v>
      </c>
      <c r="S127" s="1940">
        <f t="shared" si="64"/>
        <v>0</v>
      </c>
      <c r="T127" s="1940">
        <f t="shared" si="65"/>
        <v>0</v>
      </c>
      <c r="U127" s="1940">
        <f t="shared" si="66"/>
        <v>0</v>
      </c>
      <c r="V127" s="1997"/>
      <c r="W127" s="1997"/>
      <c r="X127" s="1997"/>
      <c r="Y127" s="1997"/>
      <c r="Z127" s="1997"/>
      <c r="AA127" s="1997"/>
      <c r="AB127" s="1997"/>
      <c r="AC127" s="1997"/>
      <c r="AD127" s="1997"/>
      <c r="AE127" s="1997"/>
      <c r="AF127" s="1997"/>
      <c r="AG127" s="1997"/>
      <c r="AH127" s="1997"/>
      <c r="AI127" s="1997"/>
      <c r="AJ127" s="1997"/>
      <c r="AK127" s="1997"/>
      <c r="AL127" s="1997"/>
      <c r="AM127" s="1997"/>
      <c r="AN127" s="1997"/>
      <c r="AO127" s="1997"/>
      <c r="AP127" s="1997"/>
      <c r="AQ127" s="1997"/>
      <c r="AR127" s="1997"/>
      <c r="AS127" s="1997"/>
      <c r="AT127" s="1997"/>
      <c r="AU127" s="1997"/>
      <c r="AV127" s="1997"/>
      <c r="AW127" s="1997"/>
      <c r="AX127" s="1997"/>
      <c r="AY127" s="1997"/>
      <c r="AZ127" s="1997"/>
      <c r="BA127" s="1997"/>
      <c r="BB127" s="1997"/>
      <c r="BC127" s="1997"/>
      <c r="BD127" s="1997"/>
      <c r="BE127" s="1997"/>
      <c r="BF127" s="1997"/>
      <c r="BG127" s="1997"/>
      <c r="BH127" s="1997"/>
      <c r="BI127" s="1997"/>
      <c r="BJ127" s="1997"/>
      <c r="BK127" s="1997"/>
      <c r="BL127" s="1997"/>
      <c r="BM127" s="1997"/>
      <c r="BN127" s="1997"/>
      <c r="BO127" s="1997"/>
      <c r="BP127" s="1997"/>
      <c r="BQ127" s="1997"/>
      <c r="BR127" s="1997"/>
      <c r="BS127" s="1997"/>
      <c r="BT127" s="1997"/>
      <c r="BU127" s="1997"/>
      <c r="BV127" s="1997"/>
      <c r="BW127" s="1997"/>
      <c r="BX127" s="1997"/>
      <c r="BY127" s="1997"/>
      <c r="BZ127" s="1997"/>
      <c r="CA127" s="1997"/>
      <c r="CB127" s="1997"/>
      <c r="CC127" s="1997"/>
      <c r="CD127" s="1997"/>
      <c r="CE127" s="1997"/>
      <c r="CF127" s="1997"/>
      <c r="CG127" s="1997"/>
      <c r="CH127" s="1997"/>
      <c r="CI127" s="1997"/>
      <c r="CJ127" s="1997"/>
      <c r="CK127" s="1997"/>
      <c r="CL127" s="1997"/>
      <c r="CM127" s="1997"/>
      <c r="CN127" s="1997"/>
      <c r="CO127" s="1997"/>
      <c r="CP127" s="1997"/>
      <c r="CQ127" s="1997"/>
      <c r="CR127" s="1997"/>
      <c r="CS127" s="1997"/>
      <c r="CT127" s="1997"/>
      <c r="CU127" s="1997"/>
      <c r="CV127" s="1997"/>
      <c r="CW127" s="1997"/>
      <c r="CX127" s="1997"/>
      <c r="CY127" s="1997"/>
      <c r="CZ127" s="1997"/>
      <c r="DA127" s="1997"/>
      <c r="DB127" s="1997"/>
      <c r="DC127" s="1997"/>
      <c r="DD127" s="1997"/>
      <c r="DE127" s="1997"/>
      <c r="DF127" s="1997"/>
      <c r="DG127" s="1997"/>
      <c r="DH127" s="1997"/>
      <c r="DI127" s="1997"/>
      <c r="DJ127" s="1997"/>
      <c r="DK127" s="1997"/>
      <c r="DL127" s="1997"/>
      <c r="DM127" s="1997"/>
      <c r="DN127" s="1997"/>
      <c r="DO127" s="1997"/>
      <c r="DP127" s="1997"/>
      <c r="DQ127" s="1997"/>
      <c r="DR127" s="1997"/>
      <c r="DS127" s="1997"/>
      <c r="DT127" s="1997"/>
      <c r="DU127" s="1997"/>
      <c r="DV127" s="1997"/>
      <c r="DW127" s="1997"/>
      <c r="DX127" s="1997"/>
      <c r="DY127" s="1997"/>
      <c r="DZ127" s="1997"/>
      <c r="EA127" s="1997"/>
      <c r="EB127" s="1997"/>
      <c r="EC127" s="1997"/>
      <c r="ED127" s="1997"/>
      <c r="EE127" s="1997"/>
      <c r="EF127" s="1997"/>
      <c r="EG127" s="1997"/>
      <c r="EH127" s="1997"/>
      <c r="EI127" s="1997"/>
      <c r="EJ127" s="1997"/>
      <c r="EK127" s="1997"/>
      <c r="EL127" s="1997"/>
      <c r="EM127" s="1997"/>
      <c r="EN127" s="1997"/>
      <c r="EO127" s="1997"/>
      <c r="EP127" s="1997"/>
      <c r="EQ127" s="1997"/>
      <c r="ER127" s="1997"/>
      <c r="ES127" s="1997"/>
      <c r="ET127" s="1997"/>
      <c r="EU127" s="1997"/>
      <c r="EV127" s="1997"/>
      <c r="EW127" s="1997"/>
      <c r="EX127" s="1997"/>
      <c r="EY127" s="1997"/>
      <c r="EZ127" s="1997"/>
      <c r="FA127" s="1997"/>
      <c r="FB127" s="1997"/>
      <c r="FC127" s="1997"/>
      <c r="FD127" s="1997"/>
      <c r="FE127" s="1997"/>
      <c r="FF127" s="1997"/>
      <c r="FG127" s="1997"/>
      <c r="FH127" s="1997"/>
      <c r="FI127" s="1997"/>
      <c r="FJ127" s="1997"/>
      <c r="FK127" s="1997"/>
      <c r="FL127" s="1997"/>
      <c r="FM127" s="1997"/>
      <c r="FN127" s="1997"/>
      <c r="FO127" s="1997"/>
      <c r="FP127" s="1997"/>
      <c r="FQ127" s="1997"/>
      <c r="FR127" s="1997"/>
      <c r="FS127" s="1997"/>
      <c r="FT127" s="1997"/>
      <c r="FU127" s="1997"/>
      <c r="FV127" s="1997"/>
      <c r="FW127" s="1997"/>
      <c r="FX127" s="1997"/>
      <c r="FY127" s="1997"/>
      <c r="FZ127" s="1997"/>
      <c r="GA127" s="1997"/>
      <c r="GB127" s="1997"/>
      <c r="GC127" s="1997"/>
      <c r="GD127" s="1997"/>
      <c r="GE127" s="1997"/>
      <c r="GF127" s="1997"/>
      <c r="GG127" s="1997"/>
      <c r="GH127" s="1997"/>
      <c r="GI127" s="1997"/>
      <c r="GJ127" s="1997"/>
      <c r="GK127" s="1997"/>
      <c r="GL127" s="1997"/>
      <c r="GM127" s="1997"/>
      <c r="GN127" s="1997"/>
      <c r="GO127" s="1997"/>
      <c r="GP127" s="1997"/>
      <c r="GQ127" s="1997"/>
      <c r="GR127" s="1997"/>
      <c r="GS127" s="1997"/>
      <c r="GT127" s="1997"/>
      <c r="GU127" s="1997"/>
      <c r="GV127" s="1997"/>
      <c r="GW127" s="1997"/>
      <c r="GX127" s="1997"/>
      <c r="GY127" s="1997"/>
      <c r="GZ127" s="1997"/>
      <c r="HA127" s="1997"/>
      <c r="HB127" s="1997"/>
      <c r="HC127" s="1997"/>
      <c r="HD127" s="1997"/>
      <c r="HE127" s="1997"/>
      <c r="HF127" s="1997"/>
      <c r="HG127" s="1997"/>
      <c r="HH127" s="1997"/>
      <c r="HI127" s="1997"/>
      <c r="HJ127" s="1997"/>
      <c r="HK127" s="1997"/>
      <c r="HL127" s="1997"/>
      <c r="HM127" s="1997"/>
      <c r="HN127" s="1997"/>
      <c r="HO127" s="1997"/>
      <c r="HP127" s="1997"/>
      <c r="HQ127" s="1997"/>
      <c r="HR127" s="1997"/>
      <c r="HS127" s="1997"/>
      <c r="HT127" s="1997"/>
      <c r="HU127" s="1997"/>
      <c r="HV127" s="1997"/>
      <c r="HW127" s="1997"/>
      <c r="HX127" s="1997"/>
      <c r="HY127" s="1997"/>
      <c r="HZ127" s="1997"/>
      <c r="IA127" s="1997"/>
      <c r="IB127" s="1997"/>
      <c r="IC127" s="1997"/>
      <c r="ID127" s="1997"/>
      <c r="IE127" s="1997"/>
      <c r="IF127" s="1997"/>
      <c r="IG127" s="1997"/>
      <c r="IH127" s="1997"/>
      <c r="II127" s="1997"/>
      <c r="IJ127" s="1997"/>
      <c r="IK127" s="1997"/>
      <c r="IL127" s="1997"/>
      <c r="IM127" s="1997"/>
      <c r="IN127" s="1997"/>
      <c r="IO127" s="1997"/>
      <c r="IP127" s="1997"/>
      <c r="IQ127" s="1997"/>
    </row>
    <row r="128" spans="1:251">
      <c r="A128" s="2021">
        <v>7</v>
      </c>
      <c r="B128" s="2955" t="s">
        <v>545</v>
      </c>
      <c r="C128" s="1995"/>
      <c r="D128" s="2037"/>
      <c r="E128" s="1993"/>
      <c r="F128" s="1996">
        <f>78000+22000</f>
        <v>100000</v>
      </c>
      <c r="G128" s="1993">
        <v>12</v>
      </c>
      <c r="H128" s="1940">
        <f t="shared" si="57"/>
        <v>0</v>
      </c>
      <c r="I128" s="1993"/>
      <c r="J128" s="1940">
        <f t="shared" si="58"/>
        <v>0</v>
      </c>
      <c r="K128" s="1993"/>
      <c r="L128" s="1940">
        <f t="shared" si="59"/>
        <v>0</v>
      </c>
      <c r="M128" s="1940">
        <f t="shared" si="60"/>
        <v>0</v>
      </c>
      <c r="N128" s="1940">
        <f t="shared" si="61"/>
        <v>0</v>
      </c>
      <c r="O128" s="1993">
        <f t="shared" si="69"/>
        <v>0</v>
      </c>
      <c r="P128" s="1993">
        <f t="shared" ref="P128:P130" si="71">F128*D128*2</f>
        <v>0</v>
      </c>
      <c r="Q128" s="1940">
        <f t="shared" si="62"/>
        <v>0</v>
      </c>
      <c r="R128" s="1940">
        <f t="shared" si="63"/>
        <v>0</v>
      </c>
      <c r="S128" s="1940">
        <f t="shared" si="64"/>
        <v>0</v>
      </c>
      <c r="T128" s="1940">
        <f t="shared" si="65"/>
        <v>0</v>
      </c>
      <c r="U128" s="1940">
        <f t="shared" si="66"/>
        <v>0</v>
      </c>
      <c r="V128" s="1997"/>
      <c r="W128" s="1997"/>
      <c r="X128" s="1997"/>
      <c r="Y128" s="1997"/>
      <c r="Z128" s="1997"/>
      <c r="AA128" s="1997"/>
      <c r="AB128" s="1997"/>
      <c r="AC128" s="1997"/>
      <c r="AD128" s="1997"/>
      <c r="AE128" s="1997"/>
      <c r="AF128" s="1997"/>
      <c r="AG128" s="1997"/>
      <c r="AH128" s="1997"/>
      <c r="AI128" s="1997"/>
      <c r="AJ128" s="1997"/>
      <c r="AK128" s="1997"/>
      <c r="AL128" s="1997"/>
      <c r="AM128" s="1997"/>
      <c r="AN128" s="1997"/>
      <c r="AO128" s="1997"/>
      <c r="AP128" s="1997"/>
      <c r="AQ128" s="1997"/>
      <c r="AR128" s="1997"/>
      <c r="AS128" s="1997"/>
      <c r="AT128" s="1997"/>
      <c r="AU128" s="1997"/>
      <c r="AV128" s="1997"/>
      <c r="AW128" s="1997"/>
      <c r="AX128" s="1997"/>
      <c r="AY128" s="1997"/>
      <c r="AZ128" s="1997"/>
      <c r="BA128" s="1997"/>
      <c r="BB128" s="1997"/>
      <c r="BC128" s="1997"/>
      <c r="BD128" s="1997"/>
      <c r="BE128" s="1997"/>
      <c r="BF128" s="1997"/>
      <c r="BG128" s="1997"/>
      <c r="BH128" s="1997"/>
      <c r="BI128" s="1997"/>
      <c r="BJ128" s="1997"/>
      <c r="BK128" s="1997"/>
      <c r="BL128" s="1997"/>
      <c r="BM128" s="1997"/>
      <c r="BN128" s="1997"/>
      <c r="BO128" s="1997"/>
      <c r="BP128" s="1997"/>
      <c r="BQ128" s="1997"/>
      <c r="BR128" s="1997"/>
      <c r="BS128" s="1997"/>
      <c r="BT128" s="1997"/>
      <c r="BU128" s="1997"/>
      <c r="BV128" s="1997"/>
      <c r="BW128" s="1997"/>
      <c r="BX128" s="1997"/>
      <c r="BY128" s="1997"/>
      <c r="BZ128" s="1997"/>
      <c r="CA128" s="1997"/>
      <c r="CB128" s="1997"/>
      <c r="CC128" s="1997"/>
      <c r="CD128" s="1997"/>
      <c r="CE128" s="1997"/>
      <c r="CF128" s="1997"/>
      <c r="CG128" s="1997"/>
      <c r="CH128" s="1997"/>
      <c r="CI128" s="1997"/>
      <c r="CJ128" s="1997"/>
      <c r="CK128" s="1997"/>
      <c r="CL128" s="1997"/>
      <c r="CM128" s="1997"/>
      <c r="CN128" s="1997"/>
      <c r="CO128" s="1997"/>
      <c r="CP128" s="1997"/>
      <c r="CQ128" s="1997"/>
      <c r="CR128" s="1997"/>
      <c r="CS128" s="1997"/>
      <c r="CT128" s="1997"/>
      <c r="CU128" s="1997"/>
      <c r="CV128" s="1997"/>
      <c r="CW128" s="1997"/>
      <c r="CX128" s="1997"/>
      <c r="CY128" s="1997"/>
      <c r="CZ128" s="1997"/>
      <c r="DA128" s="1997"/>
      <c r="DB128" s="1997"/>
      <c r="DC128" s="1997"/>
      <c r="DD128" s="1997"/>
      <c r="DE128" s="1997"/>
      <c r="DF128" s="1997"/>
      <c r="DG128" s="1997"/>
      <c r="DH128" s="1997"/>
      <c r="DI128" s="1997"/>
      <c r="DJ128" s="1997"/>
      <c r="DK128" s="1997"/>
      <c r="DL128" s="1997"/>
      <c r="DM128" s="1997"/>
      <c r="DN128" s="1997"/>
      <c r="DO128" s="1997"/>
      <c r="DP128" s="1997"/>
      <c r="DQ128" s="1997"/>
      <c r="DR128" s="1997"/>
      <c r="DS128" s="1997"/>
      <c r="DT128" s="1997"/>
      <c r="DU128" s="1997"/>
      <c r="DV128" s="1997"/>
      <c r="DW128" s="1997"/>
      <c r="DX128" s="1997"/>
      <c r="DY128" s="1997"/>
      <c r="DZ128" s="1997"/>
      <c r="EA128" s="1997"/>
      <c r="EB128" s="1997"/>
      <c r="EC128" s="1997"/>
      <c r="ED128" s="1997"/>
      <c r="EE128" s="1997"/>
      <c r="EF128" s="1997"/>
      <c r="EG128" s="1997"/>
      <c r="EH128" s="1997"/>
      <c r="EI128" s="1997"/>
      <c r="EJ128" s="1997"/>
      <c r="EK128" s="1997"/>
      <c r="EL128" s="1997"/>
      <c r="EM128" s="1997"/>
      <c r="EN128" s="1997"/>
      <c r="EO128" s="1997"/>
      <c r="EP128" s="1997"/>
      <c r="EQ128" s="1997"/>
      <c r="ER128" s="1997"/>
      <c r="ES128" s="1997"/>
      <c r="ET128" s="1997"/>
      <c r="EU128" s="1997"/>
      <c r="EV128" s="1997"/>
      <c r="EW128" s="1997"/>
      <c r="EX128" s="1997"/>
      <c r="EY128" s="1997"/>
      <c r="EZ128" s="1997"/>
      <c r="FA128" s="1997"/>
      <c r="FB128" s="1997"/>
      <c r="FC128" s="1997"/>
      <c r="FD128" s="1997"/>
      <c r="FE128" s="1997"/>
      <c r="FF128" s="1997"/>
      <c r="FG128" s="1997"/>
      <c r="FH128" s="1997"/>
      <c r="FI128" s="1997"/>
      <c r="FJ128" s="1997"/>
      <c r="FK128" s="1997"/>
      <c r="FL128" s="1997"/>
      <c r="FM128" s="1997"/>
      <c r="FN128" s="1997"/>
      <c r="FO128" s="1997"/>
      <c r="FP128" s="1997"/>
      <c r="FQ128" s="1997"/>
      <c r="FR128" s="1997"/>
      <c r="FS128" s="1997"/>
      <c r="FT128" s="1997"/>
      <c r="FU128" s="1997"/>
      <c r="FV128" s="1997"/>
      <c r="FW128" s="1997"/>
      <c r="FX128" s="1997"/>
      <c r="FY128" s="1997"/>
      <c r="FZ128" s="1997"/>
      <c r="GA128" s="1997"/>
      <c r="GB128" s="1997"/>
      <c r="GC128" s="1997"/>
      <c r="GD128" s="1997"/>
      <c r="GE128" s="1997"/>
      <c r="GF128" s="1997"/>
      <c r="GG128" s="1997"/>
      <c r="GH128" s="1997"/>
      <c r="GI128" s="1997"/>
      <c r="GJ128" s="1997"/>
      <c r="GK128" s="1997"/>
      <c r="GL128" s="1997"/>
      <c r="GM128" s="1997"/>
      <c r="GN128" s="1997"/>
      <c r="GO128" s="1997"/>
      <c r="GP128" s="1997"/>
      <c r="GQ128" s="1997"/>
      <c r="GR128" s="1997"/>
      <c r="GS128" s="1997"/>
      <c r="GT128" s="1997"/>
      <c r="GU128" s="1997"/>
      <c r="GV128" s="1997"/>
      <c r="GW128" s="1997"/>
      <c r="GX128" s="1997"/>
      <c r="GY128" s="1997"/>
      <c r="GZ128" s="1997"/>
      <c r="HA128" s="1997"/>
      <c r="HB128" s="1997"/>
      <c r="HC128" s="1997"/>
      <c r="HD128" s="1997"/>
      <c r="HE128" s="1997"/>
      <c r="HF128" s="1997"/>
      <c r="HG128" s="1997"/>
      <c r="HH128" s="1997"/>
      <c r="HI128" s="1997"/>
      <c r="HJ128" s="1997"/>
      <c r="HK128" s="1997"/>
      <c r="HL128" s="1997"/>
      <c r="HM128" s="1997"/>
      <c r="HN128" s="1997"/>
      <c r="HO128" s="1997"/>
      <c r="HP128" s="1997"/>
      <c r="HQ128" s="1997"/>
      <c r="HR128" s="1997"/>
      <c r="HS128" s="1997"/>
      <c r="HT128" s="1997"/>
      <c r="HU128" s="1997"/>
      <c r="HV128" s="1997"/>
      <c r="HW128" s="1997"/>
      <c r="HX128" s="1997"/>
      <c r="HY128" s="1997"/>
      <c r="HZ128" s="1997"/>
      <c r="IA128" s="1997"/>
      <c r="IB128" s="1997"/>
      <c r="IC128" s="1997"/>
      <c r="ID128" s="1997"/>
      <c r="IE128" s="1997"/>
      <c r="IF128" s="1997"/>
      <c r="IG128" s="1997"/>
      <c r="IH128" s="1997"/>
      <c r="II128" s="1997"/>
      <c r="IJ128" s="1997"/>
      <c r="IK128" s="1997"/>
      <c r="IL128" s="1997"/>
      <c r="IM128" s="1997"/>
      <c r="IN128" s="1997"/>
      <c r="IO128" s="1997"/>
      <c r="IP128" s="1997"/>
      <c r="IQ128" s="1997"/>
    </row>
    <row r="129" spans="1:251" hidden="1">
      <c r="A129" s="2021"/>
      <c r="B129" s="2012" t="s">
        <v>986</v>
      </c>
      <c r="C129" s="1995"/>
      <c r="D129" s="2037"/>
      <c r="E129" s="1993"/>
      <c r="F129" s="1996"/>
      <c r="G129" s="1993">
        <v>12</v>
      </c>
      <c r="H129" s="1940">
        <f t="shared" si="57"/>
        <v>0</v>
      </c>
      <c r="I129" s="1993"/>
      <c r="J129" s="1940">
        <f t="shared" si="58"/>
        <v>0</v>
      </c>
      <c r="K129" s="1993"/>
      <c r="L129" s="1940">
        <f t="shared" si="59"/>
        <v>0</v>
      </c>
      <c r="M129" s="1940">
        <f t="shared" si="60"/>
        <v>0</v>
      </c>
      <c r="N129" s="1940">
        <f t="shared" si="61"/>
        <v>0</v>
      </c>
      <c r="O129" s="1993">
        <f t="shared" si="69"/>
        <v>0</v>
      </c>
      <c r="P129" s="1993">
        <f t="shared" si="71"/>
        <v>0</v>
      </c>
      <c r="Q129" s="1940">
        <f t="shared" si="62"/>
        <v>0</v>
      </c>
      <c r="R129" s="1940">
        <f t="shared" si="63"/>
        <v>0</v>
      </c>
      <c r="S129" s="1940">
        <f t="shared" si="64"/>
        <v>0</v>
      </c>
      <c r="T129" s="1940">
        <f t="shared" si="65"/>
        <v>0</v>
      </c>
      <c r="U129" s="1940">
        <f t="shared" si="66"/>
        <v>0</v>
      </c>
      <c r="V129" s="1997"/>
      <c r="W129" s="1997"/>
      <c r="X129" s="1997"/>
      <c r="Y129" s="1997"/>
      <c r="Z129" s="1997"/>
      <c r="AA129" s="1997"/>
      <c r="AB129" s="1997"/>
      <c r="AC129" s="1997"/>
      <c r="AD129" s="1997"/>
      <c r="AE129" s="1997"/>
      <c r="AF129" s="1997"/>
      <c r="AG129" s="1997"/>
      <c r="AH129" s="1997"/>
      <c r="AI129" s="1997"/>
      <c r="AJ129" s="1997"/>
      <c r="AK129" s="1997"/>
      <c r="AL129" s="1997"/>
      <c r="AM129" s="1997"/>
      <c r="AN129" s="1997"/>
      <c r="AO129" s="1997"/>
      <c r="AP129" s="1997"/>
      <c r="AQ129" s="1997"/>
      <c r="AR129" s="1997"/>
      <c r="AS129" s="1997"/>
      <c r="AT129" s="1997"/>
      <c r="AU129" s="1997"/>
      <c r="AV129" s="1997"/>
      <c r="AW129" s="1997"/>
      <c r="AX129" s="1997"/>
      <c r="AY129" s="1997"/>
      <c r="AZ129" s="1997"/>
      <c r="BA129" s="1997"/>
      <c r="BB129" s="1997"/>
      <c r="BC129" s="1997"/>
      <c r="BD129" s="1997"/>
      <c r="BE129" s="1997"/>
      <c r="BF129" s="1997"/>
      <c r="BG129" s="1997"/>
      <c r="BH129" s="1997"/>
      <c r="BI129" s="1997"/>
      <c r="BJ129" s="1997"/>
      <c r="BK129" s="1997"/>
      <c r="BL129" s="1997"/>
      <c r="BM129" s="1997"/>
      <c r="BN129" s="1997"/>
      <c r="BO129" s="1997"/>
      <c r="BP129" s="1997"/>
      <c r="BQ129" s="1997"/>
      <c r="BR129" s="1997"/>
      <c r="BS129" s="1997"/>
      <c r="BT129" s="1997"/>
      <c r="BU129" s="1997"/>
      <c r="BV129" s="1997"/>
      <c r="BW129" s="1997"/>
      <c r="BX129" s="1997"/>
      <c r="BY129" s="1997"/>
      <c r="BZ129" s="1997"/>
      <c r="CA129" s="1997"/>
      <c r="CB129" s="1997"/>
      <c r="CC129" s="1997"/>
      <c r="CD129" s="1997"/>
      <c r="CE129" s="1997"/>
      <c r="CF129" s="1997"/>
      <c r="CG129" s="1997"/>
      <c r="CH129" s="1997"/>
      <c r="CI129" s="1997"/>
      <c r="CJ129" s="1997"/>
      <c r="CK129" s="1997"/>
      <c r="CL129" s="1997"/>
      <c r="CM129" s="1997"/>
      <c r="CN129" s="1997"/>
      <c r="CO129" s="1997"/>
      <c r="CP129" s="1997"/>
      <c r="CQ129" s="1997"/>
      <c r="CR129" s="1997"/>
      <c r="CS129" s="1997"/>
      <c r="CT129" s="1997"/>
      <c r="CU129" s="1997"/>
      <c r="CV129" s="1997"/>
      <c r="CW129" s="1997"/>
      <c r="CX129" s="1997"/>
      <c r="CY129" s="1997"/>
      <c r="CZ129" s="1997"/>
      <c r="DA129" s="1997"/>
      <c r="DB129" s="1997"/>
      <c r="DC129" s="1997"/>
      <c r="DD129" s="1997"/>
      <c r="DE129" s="1997"/>
      <c r="DF129" s="1997"/>
      <c r="DG129" s="1997"/>
      <c r="DH129" s="1997"/>
      <c r="DI129" s="1997"/>
      <c r="DJ129" s="1997"/>
      <c r="DK129" s="1997"/>
      <c r="DL129" s="1997"/>
      <c r="DM129" s="1997"/>
      <c r="DN129" s="1997"/>
      <c r="DO129" s="1997"/>
      <c r="DP129" s="1997"/>
      <c r="DQ129" s="1997"/>
      <c r="DR129" s="1997"/>
      <c r="DS129" s="1997"/>
      <c r="DT129" s="1997"/>
      <c r="DU129" s="1997"/>
      <c r="DV129" s="1997"/>
      <c r="DW129" s="1997"/>
      <c r="DX129" s="1997"/>
      <c r="DY129" s="1997"/>
      <c r="DZ129" s="1997"/>
      <c r="EA129" s="1997"/>
      <c r="EB129" s="1997"/>
      <c r="EC129" s="1997"/>
      <c r="ED129" s="1997"/>
      <c r="EE129" s="1997"/>
      <c r="EF129" s="1997"/>
      <c r="EG129" s="1997"/>
      <c r="EH129" s="1997"/>
      <c r="EI129" s="1997"/>
      <c r="EJ129" s="1997"/>
      <c r="EK129" s="1997"/>
      <c r="EL129" s="1997"/>
      <c r="EM129" s="1997"/>
      <c r="EN129" s="1997"/>
      <c r="EO129" s="1997"/>
      <c r="EP129" s="1997"/>
      <c r="EQ129" s="1997"/>
      <c r="ER129" s="1997"/>
      <c r="ES129" s="1997"/>
      <c r="ET129" s="1997"/>
      <c r="EU129" s="1997"/>
      <c r="EV129" s="1997"/>
      <c r="EW129" s="1997"/>
      <c r="EX129" s="1997"/>
      <c r="EY129" s="1997"/>
      <c r="EZ129" s="1997"/>
      <c r="FA129" s="1997"/>
      <c r="FB129" s="1997"/>
      <c r="FC129" s="1997"/>
      <c r="FD129" s="1997"/>
      <c r="FE129" s="1997"/>
      <c r="FF129" s="1997"/>
      <c r="FG129" s="1997"/>
      <c r="FH129" s="1997"/>
      <c r="FI129" s="1997"/>
      <c r="FJ129" s="1997"/>
      <c r="FK129" s="1997"/>
      <c r="FL129" s="1997"/>
      <c r="FM129" s="1997"/>
      <c r="FN129" s="1997"/>
      <c r="FO129" s="1997"/>
      <c r="FP129" s="1997"/>
      <c r="FQ129" s="1997"/>
      <c r="FR129" s="1997"/>
      <c r="FS129" s="1997"/>
      <c r="FT129" s="1997"/>
      <c r="FU129" s="1997"/>
      <c r="FV129" s="1997"/>
      <c r="FW129" s="1997"/>
      <c r="FX129" s="1997"/>
      <c r="FY129" s="1997"/>
      <c r="FZ129" s="1997"/>
      <c r="GA129" s="1997"/>
      <c r="GB129" s="1997"/>
      <c r="GC129" s="1997"/>
      <c r="GD129" s="1997"/>
      <c r="GE129" s="1997"/>
      <c r="GF129" s="1997"/>
      <c r="GG129" s="1997"/>
      <c r="GH129" s="1997"/>
      <c r="GI129" s="1997"/>
      <c r="GJ129" s="1997"/>
      <c r="GK129" s="1997"/>
      <c r="GL129" s="1997"/>
      <c r="GM129" s="1997"/>
      <c r="GN129" s="1997"/>
      <c r="GO129" s="1997"/>
      <c r="GP129" s="1997"/>
      <c r="GQ129" s="1997"/>
      <c r="GR129" s="1997"/>
      <c r="GS129" s="1997"/>
      <c r="GT129" s="1997"/>
      <c r="GU129" s="1997"/>
      <c r="GV129" s="1997"/>
      <c r="GW129" s="1997"/>
      <c r="GX129" s="1997"/>
      <c r="GY129" s="1997"/>
      <c r="GZ129" s="1997"/>
      <c r="HA129" s="1997"/>
      <c r="HB129" s="1997"/>
      <c r="HC129" s="1997"/>
      <c r="HD129" s="1997"/>
      <c r="HE129" s="1997"/>
      <c r="HF129" s="1997"/>
      <c r="HG129" s="1997"/>
      <c r="HH129" s="1997"/>
      <c r="HI129" s="1997"/>
      <c r="HJ129" s="1997"/>
      <c r="HK129" s="1997"/>
      <c r="HL129" s="1997"/>
      <c r="HM129" s="1997"/>
      <c r="HN129" s="1997"/>
      <c r="HO129" s="1997"/>
      <c r="HP129" s="1997"/>
      <c r="HQ129" s="1997"/>
      <c r="HR129" s="1997"/>
      <c r="HS129" s="1997"/>
      <c r="HT129" s="1997"/>
      <c r="HU129" s="1997"/>
      <c r="HV129" s="1997"/>
      <c r="HW129" s="1997"/>
      <c r="HX129" s="1997"/>
      <c r="HY129" s="1997"/>
      <c r="HZ129" s="1997"/>
      <c r="IA129" s="1997"/>
      <c r="IB129" s="1997"/>
      <c r="IC129" s="1997"/>
      <c r="ID129" s="1997"/>
      <c r="IE129" s="1997"/>
      <c r="IF129" s="1997"/>
      <c r="IG129" s="1997"/>
      <c r="IH129" s="1997"/>
      <c r="II129" s="1997"/>
      <c r="IJ129" s="1997"/>
      <c r="IK129" s="1997"/>
      <c r="IL129" s="1997"/>
      <c r="IM129" s="1997"/>
      <c r="IN129" s="1997"/>
      <c r="IO129" s="1997"/>
      <c r="IP129" s="1997"/>
      <c r="IQ129" s="1997"/>
    </row>
    <row r="130" spans="1:251">
      <c r="A130" s="2021">
        <v>8</v>
      </c>
      <c r="B130" s="2012" t="s">
        <v>546</v>
      </c>
      <c r="C130" s="1995"/>
      <c r="D130" s="2037"/>
      <c r="E130" s="1993"/>
      <c r="F130" s="1996">
        <f>72000+28000</f>
        <v>100000</v>
      </c>
      <c r="G130" s="1993">
        <v>12</v>
      </c>
      <c r="H130" s="1940">
        <f t="shared" si="57"/>
        <v>0</v>
      </c>
      <c r="I130" s="1993"/>
      <c r="J130" s="1940">
        <f t="shared" si="58"/>
        <v>0</v>
      </c>
      <c r="K130" s="1993"/>
      <c r="L130" s="1940">
        <f t="shared" si="59"/>
        <v>0</v>
      </c>
      <c r="M130" s="1940">
        <f t="shared" si="60"/>
        <v>0</v>
      </c>
      <c r="N130" s="1940">
        <f t="shared" si="61"/>
        <v>0</v>
      </c>
      <c r="O130" s="1993">
        <f t="shared" si="69"/>
        <v>0</v>
      </c>
      <c r="P130" s="1993">
        <f t="shared" si="71"/>
        <v>0</v>
      </c>
      <c r="Q130" s="1940">
        <f t="shared" si="62"/>
        <v>0</v>
      </c>
      <c r="R130" s="1940">
        <f t="shared" si="63"/>
        <v>0</v>
      </c>
      <c r="S130" s="1940">
        <f t="shared" si="64"/>
        <v>0</v>
      </c>
      <c r="T130" s="1940">
        <f t="shared" si="65"/>
        <v>0</v>
      </c>
      <c r="U130" s="1940">
        <f t="shared" si="66"/>
        <v>0</v>
      </c>
      <c r="V130" s="1997"/>
      <c r="W130" s="1997"/>
      <c r="X130" s="1997"/>
      <c r="Y130" s="1997"/>
      <c r="Z130" s="1997"/>
      <c r="AA130" s="1997"/>
      <c r="AB130" s="1997"/>
      <c r="AC130" s="1997"/>
      <c r="AD130" s="1997"/>
      <c r="AE130" s="1997"/>
      <c r="AF130" s="1997"/>
      <c r="AG130" s="1997"/>
      <c r="AH130" s="1997"/>
      <c r="AI130" s="1997"/>
      <c r="AJ130" s="1997"/>
      <c r="AK130" s="1997"/>
      <c r="AL130" s="1997"/>
      <c r="AM130" s="1997"/>
      <c r="AN130" s="1997"/>
      <c r="AO130" s="1997"/>
      <c r="AP130" s="1997"/>
      <c r="AQ130" s="1997"/>
      <c r="AR130" s="1997"/>
      <c r="AS130" s="1997"/>
      <c r="AT130" s="1997"/>
      <c r="AU130" s="1997"/>
      <c r="AV130" s="1997"/>
      <c r="AW130" s="1997"/>
      <c r="AX130" s="1997"/>
      <c r="AY130" s="1997"/>
      <c r="AZ130" s="1997"/>
      <c r="BA130" s="1997"/>
      <c r="BB130" s="1997"/>
      <c r="BC130" s="1997"/>
      <c r="BD130" s="1997"/>
      <c r="BE130" s="1997"/>
      <c r="BF130" s="1997"/>
      <c r="BG130" s="1997"/>
      <c r="BH130" s="1997"/>
      <c r="BI130" s="1997"/>
      <c r="BJ130" s="1997"/>
      <c r="BK130" s="1997"/>
      <c r="BL130" s="1997"/>
      <c r="BM130" s="1997"/>
      <c r="BN130" s="1997"/>
      <c r="BO130" s="1997"/>
      <c r="BP130" s="1997"/>
      <c r="BQ130" s="1997"/>
      <c r="BR130" s="1997"/>
      <c r="BS130" s="1997"/>
      <c r="BT130" s="1997"/>
      <c r="BU130" s="1997"/>
      <c r="BV130" s="1997"/>
      <c r="BW130" s="1997"/>
      <c r="BX130" s="1997"/>
      <c r="BY130" s="1997"/>
      <c r="BZ130" s="1997"/>
      <c r="CA130" s="1997"/>
      <c r="CB130" s="1997"/>
      <c r="CC130" s="1997"/>
      <c r="CD130" s="1997"/>
      <c r="CE130" s="1997"/>
      <c r="CF130" s="1997"/>
      <c r="CG130" s="1997"/>
      <c r="CH130" s="1997"/>
      <c r="CI130" s="1997"/>
      <c r="CJ130" s="1997"/>
      <c r="CK130" s="1997"/>
      <c r="CL130" s="1997"/>
      <c r="CM130" s="1997"/>
      <c r="CN130" s="1997"/>
      <c r="CO130" s="1997"/>
      <c r="CP130" s="1997"/>
      <c r="CQ130" s="1997"/>
      <c r="CR130" s="1997"/>
      <c r="CS130" s="1997"/>
      <c r="CT130" s="1997"/>
      <c r="CU130" s="1997"/>
      <c r="CV130" s="1997"/>
      <c r="CW130" s="1997"/>
      <c r="CX130" s="1997"/>
      <c r="CY130" s="1997"/>
      <c r="CZ130" s="1997"/>
      <c r="DA130" s="1997"/>
      <c r="DB130" s="1997"/>
      <c r="DC130" s="1997"/>
      <c r="DD130" s="1997"/>
      <c r="DE130" s="1997"/>
      <c r="DF130" s="1997"/>
      <c r="DG130" s="1997"/>
      <c r="DH130" s="1997"/>
      <c r="DI130" s="1997"/>
      <c r="DJ130" s="1997"/>
      <c r="DK130" s="1997"/>
      <c r="DL130" s="1997"/>
      <c r="DM130" s="1997"/>
      <c r="DN130" s="1997"/>
      <c r="DO130" s="1997"/>
      <c r="DP130" s="1997"/>
      <c r="DQ130" s="1997"/>
      <c r="DR130" s="1997"/>
      <c r="DS130" s="1997"/>
      <c r="DT130" s="1997"/>
      <c r="DU130" s="1997"/>
      <c r="DV130" s="1997"/>
      <c r="DW130" s="1997"/>
      <c r="DX130" s="1997"/>
      <c r="DY130" s="1997"/>
      <c r="DZ130" s="1997"/>
      <c r="EA130" s="1997"/>
      <c r="EB130" s="1997"/>
      <c r="EC130" s="1997"/>
      <c r="ED130" s="1997"/>
      <c r="EE130" s="1997"/>
      <c r="EF130" s="1997"/>
      <c r="EG130" s="1997"/>
      <c r="EH130" s="1997"/>
      <c r="EI130" s="1997"/>
      <c r="EJ130" s="1997"/>
      <c r="EK130" s="1997"/>
      <c r="EL130" s="1997"/>
      <c r="EM130" s="1997"/>
      <c r="EN130" s="1997"/>
      <c r="EO130" s="1997"/>
      <c r="EP130" s="1997"/>
      <c r="EQ130" s="1997"/>
      <c r="ER130" s="1997"/>
      <c r="ES130" s="1997"/>
      <c r="ET130" s="1997"/>
      <c r="EU130" s="1997"/>
      <c r="EV130" s="1997"/>
      <c r="EW130" s="1997"/>
      <c r="EX130" s="1997"/>
      <c r="EY130" s="1997"/>
      <c r="EZ130" s="1997"/>
      <c r="FA130" s="1997"/>
      <c r="FB130" s="1997"/>
      <c r="FC130" s="1997"/>
      <c r="FD130" s="1997"/>
      <c r="FE130" s="1997"/>
      <c r="FF130" s="1997"/>
      <c r="FG130" s="1997"/>
      <c r="FH130" s="1997"/>
      <c r="FI130" s="1997"/>
      <c r="FJ130" s="1997"/>
      <c r="FK130" s="1997"/>
      <c r="FL130" s="1997"/>
      <c r="FM130" s="1997"/>
      <c r="FN130" s="1997"/>
      <c r="FO130" s="1997"/>
      <c r="FP130" s="1997"/>
      <c r="FQ130" s="1997"/>
      <c r="FR130" s="1997"/>
      <c r="FS130" s="1997"/>
      <c r="FT130" s="1997"/>
      <c r="FU130" s="1997"/>
      <c r="FV130" s="1997"/>
      <c r="FW130" s="1997"/>
      <c r="FX130" s="1997"/>
      <c r="FY130" s="1997"/>
      <c r="FZ130" s="1997"/>
      <c r="GA130" s="1997"/>
      <c r="GB130" s="1997"/>
      <c r="GC130" s="1997"/>
      <c r="GD130" s="1997"/>
      <c r="GE130" s="1997"/>
      <c r="GF130" s="1997"/>
      <c r="GG130" s="1997"/>
      <c r="GH130" s="1997"/>
      <c r="GI130" s="1997"/>
      <c r="GJ130" s="1997"/>
      <c r="GK130" s="1997"/>
      <c r="GL130" s="1997"/>
      <c r="GM130" s="1997"/>
      <c r="GN130" s="1997"/>
      <c r="GO130" s="1997"/>
      <c r="GP130" s="1997"/>
      <c r="GQ130" s="1997"/>
      <c r="GR130" s="1997"/>
      <c r="GS130" s="1997"/>
      <c r="GT130" s="1997"/>
      <c r="GU130" s="1997"/>
      <c r="GV130" s="1997"/>
      <c r="GW130" s="1997"/>
      <c r="GX130" s="1997"/>
      <c r="GY130" s="1997"/>
      <c r="GZ130" s="1997"/>
      <c r="HA130" s="1997"/>
      <c r="HB130" s="1997"/>
      <c r="HC130" s="1997"/>
      <c r="HD130" s="1997"/>
      <c r="HE130" s="1997"/>
      <c r="HF130" s="1997"/>
      <c r="HG130" s="1997"/>
      <c r="HH130" s="1997"/>
      <c r="HI130" s="1997"/>
      <c r="HJ130" s="1997"/>
      <c r="HK130" s="1997"/>
      <c r="HL130" s="1997"/>
      <c r="HM130" s="1997"/>
      <c r="HN130" s="1997"/>
      <c r="HO130" s="1997"/>
      <c r="HP130" s="1997"/>
      <c r="HQ130" s="1997"/>
      <c r="HR130" s="1997"/>
      <c r="HS130" s="1997"/>
      <c r="HT130" s="1997"/>
      <c r="HU130" s="1997"/>
      <c r="HV130" s="1997"/>
      <c r="HW130" s="1997"/>
      <c r="HX130" s="1997"/>
      <c r="HY130" s="1997"/>
      <c r="HZ130" s="1997"/>
      <c r="IA130" s="1997"/>
      <c r="IB130" s="1997"/>
      <c r="IC130" s="1997"/>
      <c r="ID130" s="1997"/>
      <c r="IE130" s="1997"/>
      <c r="IF130" s="1997"/>
      <c r="IG130" s="1997"/>
      <c r="IH130" s="1997"/>
      <c r="II130" s="1997"/>
      <c r="IJ130" s="1997"/>
      <c r="IK130" s="1997"/>
      <c r="IL130" s="1997"/>
      <c r="IM130" s="1997"/>
      <c r="IN130" s="1997"/>
      <c r="IO130" s="1997"/>
      <c r="IP130" s="1997"/>
      <c r="IQ130" s="1997"/>
    </row>
    <row r="131" spans="1:251">
      <c r="A131" s="1999"/>
      <c r="B131" s="2000"/>
      <c r="C131" s="2000"/>
      <c r="D131" s="2000"/>
      <c r="E131" s="1999"/>
      <c r="F131" s="1926">
        <f>22859*10</f>
        <v>228590</v>
      </c>
      <c r="G131" s="1999"/>
      <c r="H131" s="1999"/>
      <c r="I131" s="1999"/>
      <c r="J131" s="1999"/>
      <c r="K131" s="1999"/>
      <c r="L131" s="1999"/>
      <c r="M131" s="1999"/>
      <c r="N131" s="1999"/>
      <c r="O131" s="1999"/>
      <c r="P131" s="1999"/>
      <c r="Q131" s="1999"/>
      <c r="R131" s="1997"/>
      <c r="S131" s="1997"/>
      <c r="T131" s="1997"/>
      <c r="U131" s="1997"/>
      <c r="V131" s="1997"/>
      <c r="W131" s="1997"/>
      <c r="X131" s="1997"/>
      <c r="Y131" s="1997"/>
      <c r="Z131" s="1997"/>
      <c r="AA131" s="1997"/>
      <c r="AB131" s="1997"/>
      <c r="AC131" s="1997"/>
      <c r="AD131" s="1997"/>
      <c r="AE131" s="1997"/>
      <c r="AF131" s="1997"/>
      <c r="AG131" s="1997"/>
      <c r="AH131" s="1997"/>
      <c r="AI131" s="1997"/>
      <c r="AJ131" s="1997"/>
      <c r="AK131" s="1997"/>
      <c r="AL131" s="1997"/>
      <c r="AM131" s="1997"/>
      <c r="AN131" s="1997"/>
      <c r="AO131" s="1997"/>
      <c r="AP131" s="1997"/>
      <c r="AQ131" s="1997"/>
      <c r="AR131" s="1997"/>
      <c r="AS131" s="1997"/>
      <c r="AT131" s="1997"/>
      <c r="AU131" s="1997"/>
      <c r="AV131" s="1997"/>
      <c r="AW131" s="1997"/>
      <c r="AX131" s="1997"/>
      <c r="AY131" s="1997"/>
      <c r="AZ131" s="1997"/>
      <c r="BA131" s="1997"/>
      <c r="BB131" s="1997"/>
      <c r="BC131" s="1997"/>
      <c r="BD131" s="1997"/>
      <c r="BE131" s="1997"/>
      <c r="BF131" s="1997"/>
      <c r="BG131" s="1997"/>
      <c r="BH131" s="1997"/>
      <c r="BI131" s="1997"/>
      <c r="BJ131" s="1997"/>
      <c r="BK131" s="1997"/>
      <c r="BL131" s="1997"/>
      <c r="BM131" s="1997"/>
      <c r="BN131" s="1997"/>
      <c r="BO131" s="1997"/>
      <c r="BP131" s="1997"/>
      <c r="BQ131" s="1997"/>
      <c r="BR131" s="1997"/>
      <c r="BS131" s="1997"/>
      <c r="BT131" s="1997"/>
      <c r="BU131" s="1997"/>
      <c r="BV131" s="1997"/>
      <c r="BW131" s="1997"/>
      <c r="BX131" s="1997"/>
      <c r="BY131" s="1997"/>
      <c r="BZ131" s="1997"/>
      <c r="CA131" s="1997"/>
      <c r="CB131" s="1997"/>
      <c r="CC131" s="1997"/>
      <c r="CD131" s="1997"/>
      <c r="CE131" s="1997"/>
      <c r="CF131" s="1997"/>
      <c r="CG131" s="1997"/>
      <c r="CH131" s="1997"/>
      <c r="CI131" s="1997"/>
      <c r="CJ131" s="1997"/>
      <c r="CK131" s="1997"/>
      <c r="CL131" s="1997"/>
      <c r="CM131" s="1997"/>
      <c r="CN131" s="1997"/>
      <c r="CO131" s="1997"/>
      <c r="CP131" s="1997"/>
      <c r="CQ131" s="1997"/>
      <c r="CR131" s="1997"/>
      <c r="CS131" s="1997"/>
      <c r="CT131" s="1997"/>
      <c r="CU131" s="1997"/>
      <c r="CV131" s="1997"/>
      <c r="CW131" s="1997"/>
      <c r="CX131" s="1997"/>
      <c r="CY131" s="1997"/>
      <c r="CZ131" s="1997"/>
      <c r="DA131" s="1997"/>
      <c r="DB131" s="1997"/>
      <c r="DC131" s="1997"/>
      <c r="DD131" s="1997"/>
      <c r="DE131" s="1997"/>
      <c r="DF131" s="1997"/>
      <c r="DG131" s="1997"/>
      <c r="DH131" s="1997"/>
      <c r="DI131" s="1997"/>
      <c r="DJ131" s="1997"/>
      <c r="DK131" s="1997"/>
      <c r="DL131" s="1997"/>
      <c r="DM131" s="1997"/>
      <c r="DN131" s="1997"/>
      <c r="DO131" s="1997"/>
      <c r="DP131" s="1997"/>
      <c r="DQ131" s="1997"/>
      <c r="DR131" s="1997"/>
      <c r="DS131" s="1997"/>
      <c r="DT131" s="1997"/>
      <c r="DU131" s="1997"/>
      <c r="DV131" s="1997"/>
      <c r="DW131" s="1997"/>
      <c r="DX131" s="1997"/>
      <c r="DY131" s="1997"/>
      <c r="DZ131" s="1997"/>
      <c r="EA131" s="1997"/>
      <c r="EB131" s="1997"/>
      <c r="EC131" s="1997"/>
      <c r="ED131" s="1997"/>
      <c r="EE131" s="1997"/>
      <c r="EF131" s="1997"/>
      <c r="EG131" s="1997"/>
      <c r="EH131" s="1997"/>
      <c r="EI131" s="1997"/>
      <c r="EJ131" s="1997"/>
      <c r="EK131" s="1997"/>
      <c r="EL131" s="1997"/>
      <c r="EM131" s="1997"/>
      <c r="EN131" s="1997"/>
      <c r="EO131" s="1997"/>
      <c r="EP131" s="1997"/>
      <c r="EQ131" s="1997"/>
      <c r="ER131" s="1997"/>
      <c r="ES131" s="1997"/>
      <c r="ET131" s="1997"/>
      <c r="EU131" s="1997"/>
      <c r="EV131" s="1997"/>
      <c r="EW131" s="1997"/>
      <c r="EX131" s="1997"/>
      <c r="EY131" s="1997"/>
      <c r="EZ131" s="1997"/>
      <c r="FA131" s="1997"/>
      <c r="FB131" s="1997"/>
      <c r="FC131" s="1997"/>
      <c r="FD131" s="1997"/>
      <c r="FE131" s="1997"/>
      <c r="FF131" s="1997"/>
      <c r="FG131" s="1997"/>
      <c r="FH131" s="1997"/>
      <c r="FI131" s="1997"/>
      <c r="FJ131" s="1997"/>
      <c r="FK131" s="1997"/>
      <c r="FL131" s="1997"/>
      <c r="FM131" s="1997"/>
      <c r="FN131" s="1997"/>
      <c r="FO131" s="1997"/>
      <c r="FP131" s="1997"/>
      <c r="FQ131" s="1997"/>
      <c r="FR131" s="1997"/>
      <c r="FS131" s="1997"/>
      <c r="FT131" s="1997"/>
      <c r="FU131" s="1997"/>
      <c r="FV131" s="1997"/>
      <c r="FW131" s="1997"/>
      <c r="FX131" s="1997"/>
      <c r="FY131" s="1997"/>
      <c r="FZ131" s="1997"/>
      <c r="GA131" s="1997"/>
      <c r="GB131" s="1997"/>
      <c r="GC131" s="1997"/>
      <c r="GD131" s="1997"/>
      <c r="GE131" s="1997"/>
      <c r="GF131" s="1997"/>
      <c r="GG131" s="1997"/>
      <c r="GH131" s="1997"/>
      <c r="GI131" s="1997"/>
      <c r="GJ131" s="1997"/>
      <c r="GK131" s="1997"/>
      <c r="GL131" s="1997"/>
      <c r="GM131" s="1997"/>
      <c r="GN131" s="1997"/>
      <c r="GO131" s="1997"/>
      <c r="GP131" s="1997"/>
      <c r="GQ131" s="1997"/>
      <c r="GR131" s="1997"/>
      <c r="GS131" s="1997"/>
      <c r="GT131" s="1997"/>
      <c r="GU131" s="1997"/>
      <c r="GV131" s="1997"/>
      <c r="GW131" s="1997"/>
      <c r="GX131" s="1997"/>
      <c r="GY131" s="1997"/>
      <c r="GZ131" s="1997"/>
      <c r="HA131" s="1997"/>
      <c r="HB131" s="1997"/>
      <c r="HC131" s="1997"/>
      <c r="HD131" s="1997"/>
      <c r="HE131" s="1997"/>
      <c r="HF131" s="1997"/>
      <c r="HG131" s="1997"/>
      <c r="HH131" s="1997"/>
      <c r="HI131" s="1997"/>
      <c r="HJ131" s="1997"/>
      <c r="HK131" s="1997"/>
      <c r="HL131" s="1997"/>
      <c r="HM131" s="1997"/>
      <c r="HN131" s="1997"/>
      <c r="HO131" s="1997"/>
      <c r="HP131" s="1997"/>
      <c r="HQ131" s="1997"/>
      <c r="HR131" s="1997"/>
      <c r="HS131" s="1997"/>
      <c r="HT131" s="1997"/>
      <c r="HU131" s="1997"/>
      <c r="HV131" s="1997"/>
      <c r="HW131" s="1997"/>
      <c r="HX131" s="1997"/>
      <c r="HY131" s="1997"/>
      <c r="HZ131" s="1997"/>
      <c r="IA131" s="1997"/>
      <c r="IB131" s="1997"/>
      <c r="IC131" s="1997"/>
      <c r="ID131" s="1997"/>
      <c r="IE131" s="1997"/>
      <c r="IF131" s="1997"/>
      <c r="IG131" s="1997"/>
      <c r="IH131" s="1997"/>
      <c r="II131" s="1997"/>
      <c r="IJ131" s="1997"/>
      <c r="IK131" s="1997"/>
      <c r="IL131" s="1997"/>
      <c r="IM131" s="1997"/>
      <c r="IN131" s="1997"/>
      <c r="IO131" s="1997"/>
      <c r="IP131" s="1997"/>
      <c r="IQ131" s="1997"/>
    </row>
    <row r="132" spans="1:251" ht="15.75">
      <c r="B132" s="2042" t="s">
        <v>368</v>
      </c>
      <c r="C132" s="2002"/>
      <c r="D132" s="2002"/>
      <c r="E132" s="2003"/>
      <c r="F132" s="2004"/>
      <c r="G132" s="2005"/>
      <c r="H132" s="2005"/>
      <c r="I132" s="2005"/>
      <c r="J132" s="2003" t="s">
        <v>369</v>
      </c>
      <c r="K132" s="2005"/>
      <c r="L132" s="2005"/>
      <c r="M132" s="3813"/>
      <c r="N132" s="3813"/>
      <c r="O132" s="2006"/>
      <c r="P132" s="2006"/>
      <c r="Q132" s="2006"/>
      <c r="R132" s="1933"/>
      <c r="S132" s="1933"/>
      <c r="T132" s="1933"/>
      <c r="U132" s="1933"/>
    </row>
    <row r="133" spans="1:251" ht="15.75">
      <c r="B133" s="2042" t="s">
        <v>370</v>
      </c>
      <c r="C133" s="2002"/>
      <c r="D133" s="2002"/>
      <c r="E133" s="2003"/>
      <c r="F133" s="2004"/>
      <c r="G133" s="2005"/>
      <c r="H133" s="2042" t="s">
        <v>371</v>
      </c>
      <c r="I133" s="2005"/>
      <c r="J133" s="2003"/>
      <c r="K133" s="2005"/>
      <c r="L133" s="2005"/>
      <c r="M133" s="1932"/>
      <c r="N133" s="1932"/>
      <c r="O133" s="2006"/>
      <c r="P133" s="2006"/>
      <c r="Q133" s="2006"/>
      <c r="R133" s="1933"/>
      <c r="S133" s="1933"/>
      <c r="T133" s="1933"/>
      <c r="U133" s="1933"/>
    </row>
    <row r="134" spans="1:251" ht="15.75">
      <c r="B134" s="2042"/>
      <c r="C134" s="2008"/>
      <c r="D134" s="2009"/>
      <c r="E134" s="2007"/>
      <c r="F134" s="2004"/>
      <c r="G134" s="2005"/>
      <c r="H134" s="2042"/>
      <c r="I134" s="2005"/>
      <c r="K134" s="2005"/>
      <c r="L134" s="2005"/>
      <c r="M134" s="1932"/>
      <c r="N134" s="1932"/>
      <c r="O134" s="2006"/>
      <c r="P134" s="2006"/>
      <c r="Q134" s="2006"/>
      <c r="R134" s="1933"/>
      <c r="S134" s="1933"/>
      <c r="T134" s="1933"/>
      <c r="U134" s="1933"/>
    </row>
    <row r="135" spans="1:251" ht="15.75">
      <c r="B135" s="2042" t="s">
        <v>372</v>
      </c>
      <c r="C135" s="2008"/>
      <c r="D135" s="2009"/>
      <c r="E135" s="2007"/>
      <c r="F135" s="2004"/>
      <c r="G135" s="2005"/>
      <c r="H135" s="2042" t="s">
        <v>373</v>
      </c>
      <c r="I135" s="2005"/>
      <c r="J135" s="2007" t="s">
        <v>374</v>
      </c>
      <c r="K135" s="2005"/>
      <c r="L135" s="2005"/>
      <c r="M135" s="1932"/>
      <c r="N135" s="1932"/>
      <c r="O135" s="1933"/>
      <c r="P135" s="1933"/>
      <c r="Q135" s="1933"/>
      <c r="R135" s="1933"/>
      <c r="S135" s="1933"/>
      <c r="T135" s="1933"/>
      <c r="U135" s="1933"/>
    </row>
    <row r="136" spans="1:251" ht="15.75">
      <c r="B136" s="2042"/>
      <c r="C136" s="2008"/>
      <c r="D136" s="2009"/>
      <c r="E136" s="2007"/>
      <c r="F136" s="2010"/>
      <c r="G136" s="2005"/>
      <c r="H136" s="2042"/>
      <c r="I136" s="2005"/>
      <c r="J136" s="2011"/>
      <c r="K136" s="2005"/>
      <c r="L136" s="2005"/>
    </row>
    <row r="137" spans="1:251" ht="15.75">
      <c r="B137" s="2042" t="s">
        <v>375</v>
      </c>
      <c r="C137" s="2011"/>
      <c r="D137" s="2011"/>
      <c r="E137" s="2011"/>
      <c r="F137" s="2010"/>
      <c r="G137" s="2005"/>
      <c r="H137" s="2042" t="s">
        <v>377</v>
      </c>
      <c r="I137" s="2005"/>
      <c r="J137" s="2007" t="s">
        <v>376</v>
      </c>
      <c r="K137" s="2005"/>
      <c r="L137" s="2005"/>
    </row>
    <row r="140" spans="1:251">
      <c r="B140" s="2925"/>
    </row>
  </sheetData>
  <sheetProtection formatColumns="0" insertRows="0" deleteRows="0"/>
  <mergeCells count="19">
    <mergeCell ref="U7:U8"/>
    <mergeCell ref="O7:O8"/>
    <mergeCell ref="P7:P8"/>
    <mergeCell ref="Q7:Q8"/>
    <mergeCell ref="R7:R8"/>
    <mergeCell ref="S7:S8"/>
    <mergeCell ref="T7:T8"/>
    <mergeCell ref="N7:N8"/>
    <mergeCell ref="A7:A8"/>
    <mergeCell ref="B7:B8"/>
    <mergeCell ref="C7:C8"/>
    <mergeCell ref="D7:D8"/>
    <mergeCell ref="E7:E8"/>
    <mergeCell ref="F7:F8"/>
    <mergeCell ref="G7:G8"/>
    <mergeCell ref="H7:H8"/>
    <mergeCell ref="I7:J7"/>
    <mergeCell ref="K7:L7"/>
    <mergeCell ref="M7:M8"/>
  </mergeCells>
  <pageMargins left="0" right="0" top="0" bottom="0" header="0" footer="0"/>
  <pageSetup paperSize="9" scale="56" fitToHeight="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92D050"/>
    <pageSetUpPr fitToPage="1"/>
  </sheetPr>
  <dimension ref="A1:IQ140"/>
  <sheetViews>
    <sheetView workbookViewId="0">
      <pane ySplit="9" topLeftCell="A10" activePane="bottomLeft" state="frozen"/>
      <selection activeCell="U22" sqref="U22"/>
      <selection pane="bottomLeft" activeCell="G112" sqref="G112"/>
    </sheetView>
  </sheetViews>
  <sheetFormatPr defaultColWidth="11.5703125" defaultRowHeight="15"/>
  <cols>
    <col min="1" max="1" width="4.42578125" style="1984" customWidth="1"/>
    <col min="2" max="2" width="29.28515625" style="1984" customWidth="1"/>
    <col min="3" max="3" width="24.28515625" style="1984" hidden="1" customWidth="1"/>
    <col min="4" max="4" width="9.7109375" style="1984" customWidth="1"/>
    <col min="5" max="5" width="10.28515625" style="1984" customWidth="1"/>
    <col min="6" max="6" width="12.28515625" style="1984" bestFit="1" customWidth="1"/>
    <col min="7" max="7" width="10.140625" style="1984" customWidth="1"/>
    <col min="8" max="8" width="17.140625" style="1984" customWidth="1"/>
    <col min="9" max="9" width="10.140625" style="1984" hidden="1" customWidth="1"/>
    <col min="10" max="10" width="11.7109375" style="1984" hidden="1" customWidth="1"/>
    <col min="11" max="11" width="8.140625" style="1984" customWidth="1"/>
    <col min="12" max="12" width="11" style="1984" customWidth="1"/>
    <col min="13" max="13" width="15.140625" style="1984" customWidth="1"/>
    <col min="14" max="14" width="16.7109375" style="1984" customWidth="1"/>
    <col min="15" max="15" width="12.42578125" style="1984" customWidth="1"/>
    <col min="16" max="16" width="16.28515625" style="1984" customWidth="1"/>
    <col min="17" max="17" width="17.85546875" style="1984" bestFit="1" customWidth="1"/>
    <col min="18" max="18" width="16.5703125" style="1984" bestFit="1" customWidth="1"/>
    <col min="19" max="19" width="15.42578125" style="1984" customWidth="1"/>
    <col min="20" max="21" width="15.5703125" style="1984" customWidth="1"/>
    <col min="22" max="244" width="9.140625" style="1984" customWidth="1"/>
    <col min="245" max="245" width="3.7109375" style="1984" customWidth="1"/>
    <col min="246" max="246" width="26.7109375" style="1984" customWidth="1"/>
    <col min="247" max="247" width="19.140625" style="1984" customWidth="1"/>
    <col min="248" max="248" width="7.42578125" style="1984" customWidth="1"/>
    <col min="249" max="249" width="11.85546875" style="1984" customWidth="1"/>
    <col min="250" max="250" width="12.5703125" style="1984" customWidth="1"/>
    <col min="251" max="16384" width="11.5703125" style="1984"/>
  </cols>
  <sheetData>
    <row r="1" spans="1:251" ht="15.75">
      <c r="T1" s="1925" t="s">
        <v>267</v>
      </c>
      <c r="U1" s="1925" t="s">
        <v>268</v>
      </c>
    </row>
    <row r="2" spans="1:251" s="1933" customFormat="1" ht="15.75">
      <c r="A2" s="2017"/>
      <c r="B2" s="1968" t="s">
        <v>499</v>
      </c>
      <c r="C2" s="1932"/>
      <c r="D2" s="1932"/>
      <c r="E2" s="1932"/>
      <c r="F2" s="1932"/>
      <c r="G2" s="1932"/>
      <c r="K2" s="1985"/>
      <c r="L2" s="1985"/>
      <c r="M2" s="1985"/>
      <c r="N2" s="1932"/>
    </row>
    <row r="3" spans="1:251">
      <c r="A3" s="2018"/>
      <c r="K3" s="1986"/>
      <c r="L3" s="1986"/>
      <c r="M3" s="1986"/>
    </row>
    <row r="4" spans="1:251" s="1933" customFormat="1" ht="15.75">
      <c r="A4" s="2019"/>
      <c r="B4" s="2020" t="s">
        <v>987</v>
      </c>
      <c r="N4" s="1932"/>
      <c r="P4" s="2477" t="s">
        <v>501</v>
      </c>
      <c r="Q4" s="2474">
        <v>1852</v>
      </c>
      <c r="R4" s="2474" t="s">
        <v>502</v>
      </c>
    </row>
    <row r="5" spans="1:251" ht="15.75">
      <c r="A5" s="3810"/>
      <c r="B5" s="3811" t="s">
        <v>988</v>
      </c>
      <c r="N5" s="1934"/>
      <c r="P5" s="2478" t="s">
        <v>504</v>
      </c>
      <c r="Q5" s="2474">
        <f>17439*1.1</f>
        <v>19182.900000000001</v>
      </c>
      <c r="R5" s="2474" t="s">
        <v>505</v>
      </c>
    </row>
    <row r="6" spans="1:251">
      <c r="A6" s="1987"/>
      <c r="B6" s="1987"/>
      <c r="C6" s="1987"/>
      <c r="D6" s="1987"/>
      <c r="E6" s="1988">
        <f>12*K9</f>
        <v>0</v>
      </c>
      <c r="F6" s="1987"/>
      <c r="G6" s="1987"/>
      <c r="I6" s="1989"/>
      <c r="J6" s="1989"/>
      <c r="K6" s="1988">
        <f>E6-(E6*19%)</f>
        <v>0</v>
      </c>
      <c r="L6" s="1989"/>
      <c r="M6" s="1989"/>
      <c r="N6" s="1989"/>
      <c r="O6" s="1990">
        <f>O9*19%</f>
        <v>0</v>
      </c>
      <c r="P6" s="2478" t="s">
        <v>506</v>
      </c>
      <c r="Q6" s="2474">
        <v>19966</v>
      </c>
      <c r="R6" s="2474" t="s">
        <v>502</v>
      </c>
    </row>
    <row r="7" spans="1:251" ht="39.75" customHeight="1">
      <c r="A7" s="3970" t="s">
        <v>34</v>
      </c>
      <c r="B7" s="3970" t="s">
        <v>507</v>
      </c>
      <c r="C7" s="3970" t="s">
        <v>277</v>
      </c>
      <c r="D7" s="3971" t="s">
        <v>508</v>
      </c>
      <c r="E7" s="3973" t="s">
        <v>509</v>
      </c>
      <c r="F7" s="3970" t="s">
        <v>510</v>
      </c>
      <c r="G7" s="3970" t="s">
        <v>511</v>
      </c>
      <c r="H7" s="3971" t="s">
        <v>512</v>
      </c>
      <c r="I7" s="3970" t="s">
        <v>513</v>
      </c>
      <c r="J7" s="3970"/>
      <c r="K7" s="3970" t="s">
        <v>514</v>
      </c>
      <c r="L7" s="3970"/>
      <c r="M7" s="3971" t="s">
        <v>515</v>
      </c>
      <c r="N7" s="3970" t="s">
        <v>516</v>
      </c>
      <c r="O7" s="3975" t="s">
        <v>517</v>
      </c>
      <c r="P7" s="3970" t="s">
        <v>518</v>
      </c>
      <c r="Q7" s="3970" t="s">
        <v>519</v>
      </c>
      <c r="R7" s="3974" t="s">
        <v>313</v>
      </c>
      <c r="S7" s="3974" t="s">
        <v>314</v>
      </c>
      <c r="T7" s="3974" t="s">
        <v>116</v>
      </c>
      <c r="U7" s="3974" t="s">
        <v>315</v>
      </c>
    </row>
    <row r="8" spans="1:251" ht="97.9" customHeight="1">
      <c r="A8" s="3970"/>
      <c r="B8" s="3970"/>
      <c r="C8" s="3970"/>
      <c r="D8" s="3972"/>
      <c r="E8" s="3973"/>
      <c r="F8" s="3970"/>
      <c r="G8" s="3970"/>
      <c r="H8" s="3972"/>
      <c r="I8" s="1939" t="s">
        <v>520</v>
      </c>
      <c r="J8" s="1939" t="s">
        <v>345</v>
      </c>
      <c r="K8" s="1939" t="s">
        <v>520</v>
      </c>
      <c r="L8" s="1939" t="s">
        <v>345</v>
      </c>
      <c r="M8" s="3972"/>
      <c r="N8" s="3970"/>
      <c r="O8" s="3972"/>
      <c r="P8" s="3970"/>
      <c r="Q8" s="3970"/>
      <c r="R8" s="3974"/>
      <c r="S8" s="3974"/>
      <c r="T8" s="3974"/>
      <c r="U8" s="3974"/>
    </row>
    <row r="9" spans="1:251">
      <c r="A9" s="1939"/>
      <c r="B9" s="1939" t="s">
        <v>306</v>
      </c>
      <c r="C9" s="1939"/>
      <c r="D9" s="2033">
        <f>D10+D64+D101+D110</f>
        <v>59</v>
      </c>
      <c r="E9" s="1939"/>
      <c r="F9" s="1939"/>
      <c r="G9" s="1991"/>
      <c r="H9" s="1939">
        <f>H10+H64+H101+H110</f>
        <v>17936000</v>
      </c>
      <c r="I9" s="1991"/>
      <c r="J9" s="1939"/>
      <c r="K9" s="1991"/>
      <c r="L9" s="1939"/>
      <c r="M9" s="1939">
        <f t="shared" ref="M9:U9" si="0">M10+M64+M101+M110</f>
        <v>1793600</v>
      </c>
      <c r="N9" s="1939">
        <f t="shared" si="0"/>
        <v>19729600</v>
      </c>
      <c r="O9" s="1939">
        <f t="shared" si="0"/>
        <v>0</v>
      </c>
      <c r="P9" s="1939">
        <f t="shared" si="0"/>
        <v>4484000</v>
      </c>
      <c r="Q9" s="1939">
        <f t="shared" si="0"/>
        <v>24213600</v>
      </c>
      <c r="R9" s="1939">
        <f t="shared" si="0"/>
        <v>2421360</v>
      </c>
      <c r="S9" s="1939">
        <f t="shared" si="0"/>
        <v>2179224</v>
      </c>
      <c r="T9" s="1939">
        <f t="shared" si="0"/>
        <v>1307534.3999999999</v>
      </c>
      <c r="U9" s="1939">
        <f t="shared" si="0"/>
        <v>1089612</v>
      </c>
    </row>
    <row r="10" spans="1:251" ht="28.5" hidden="1">
      <c r="A10" s="1940"/>
      <c r="B10" s="1939" t="s">
        <v>521</v>
      </c>
      <c r="C10" s="1940"/>
      <c r="D10" s="3809">
        <f>SUM(D11:D63)</f>
        <v>0</v>
      </c>
      <c r="E10" s="3812"/>
      <c r="F10" s="3812">
        <f>SUM(F11:F63)</f>
        <v>0</v>
      </c>
      <c r="G10" s="1995"/>
      <c r="H10" s="3812">
        <f>SUM(H11:H63)</f>
        <v>0</v>
      </c>
      <c r="I10" s="1995"/>
      <c r="J10" s="3812">
        <f>SUM(J11:J63)</f>
        <v>0</v>
      </c>
      <c r="K10" s="1995"/>
      <c r="L10" s="3812">
        <f t="shared" ref="L10:U10" si="1">SUM(L11:L63)</f>
        <v>0</v>
      </c>
      <c r="M10" s="3812">
        <f t="shared" si="1"/>
        <v>0</v>
      </c>
      <c r="N10" s="3812">
        <f t="shared" si="1"/>
        <v>0</v>
      </c>
      <c r="O10" s="3812">
        <f t="shared" si="1"/>
        <v>0</v>
      </c>
      <c r="P10" s="3812">
        <f t="shared" si="1"/>
        <v>0</v>
      </c>
      <c r="Q10" s="3812">
        <f t="shared" si="1"/>
        <v>0</v>
      </c>
      <c r="R10" s="3812">
        <f t="shared" si="1"/>
        <v>0</v>
      </c>
      <c r="S10" s="3812">
        <f t="shared" si="1"/>
        <v>0</v>
      </c>
      <c r="T10" s="3812">
        <f t="shared" si="1"/>
        <v>0</v>
      </c>
      <c r="U10" s="3812">
        <f t="shared" si="1"/>
        <v>0</v>
      </c>
      <c r="V10" s="1992"/>
      <c r="W10" s="1992"/>
      <c r="X10" s="1992"/>
      <c r="Y10" s="1992"/>
      <c r="Z10" s="1992"/>
      <c r="AA10" s="1992"/>
      <c r="AB10" s="1992"/>
      <c r="AC10" s="1992"/>
      <c r="AD10" s="1992"/>
      <c r="AE10" s="1992"/>
      <c r="AF10" s="1992"/>
      <c r="AG10" s="1992"/>
      <c r="AH10" s="1992"/>
      <c r="AI10" s="1992"/>
      <c r="AJ10" s="1992"/>
      <c r="AK10" s="1992"/>
      <c r="AL10" s="1992"/>
      <c r="AM10" s="1992"/>
      <c r="AN10" s="1992"/>
      <c r="AO10" s="1992"/>
      <c r="AP10" s="1992"/>
      <c r="AQ10" s="1992"/>
      <c r="AR10" s="1992"/>
      <c r="AS10" s="1992"/>
      <c r="AT10" s="1992"/>
      <c r="AU10" s="1992"/>
      <c r="AV10" s="1992"/>
      <c r="AW10" s="1992"/>
      <c r="AX10" s="1992"/>
      <c r="AY10" s="1992"/>
      <c r="AZ10" s="1992"/>
      <c r="BA10" s="1992"/>
      <c r="BB10" s="1992"/>
      <c r="BC10" s="1992"/>
      <c r="BD10" s="1992"/>
      <c r="BE10" s="1992"/>
      <c r="BF10" s="1992"/>
      <c r="BG10" s="1992"/>
      <c r="BH10" s="1992"/>
      <c r="BI10" s="1992"/>
      <c r="BJ10" s="1992"/>
      <c r="BK10" s="1992"/>
      <c r="BL10" s="1992"/>
      <c r="BM10" s="1992"/>
      <c r="BN10" s="1992"/>
      <c r="BO10" s="1992"/>
      <c r="BP10" s="1992"/>
      <c r="BQ10" s="1992"/>
      <c r="BR10" s="1992"/>
      <c r="BS10" s="1992"/>
      <c r="BT10" s="1992"/>
      <c r="BU10" s="1992"/>
      <c r="BV10" s="1992"/>
      <c r="BW10" s="1992"/>
      <c r="BX10" s="1992"/>
      <c r="BY10" s="1992"/>
      <c r="BZ10" s="1992"/>
      <c r="CA10" s="1992"/>
      <c r="CB10" s="1992"/>
      <c r="CC10" s="1992"/>
      <c r="CD10" s="1992"/>
      <c r="CE10" s="1992"/>
      <c r="CF10" s="1992"/>
      <c r="CG10" s="1992"/>
      <c r="CH10" s="1992"/>
      <c r="CI10" s="1992"/>
      <c r="CJ10" s="1992"/>
      <c r="CK10" s="1992"/>
      <c r="CL10" s="1992"/>
      <c r="CM10" s="1992"/>
      <c r="CN10" s="1992"/>
      <c r="CO10" s="1992"/>
      <c r="CP10" s="1992"/>
      <c r="CQ10" s="1992"/>
      <c r="CR10" s="1992"/>
      <c r="CS10" s="1992"/>
      <c r="CT10" s="1992"/>
      <c r="CU10" s="1992"/>
      <c r="CV10" s="1992"/>
      <c r="CW10" s="1992"/>
      <c r="CX10" s="1992"/>
      <c r="CY10" s="1992"/>
      <c r="CZ10" s="1992"/>
      <c r="DA10" s="1992"/>
      <c r="DB10" s="1992"/>
      <c r="DC10" s="1992"/>
      <c r="DD10" s="1992"/>
      <c r="DE10" s="1992"/>
      <c r="DF10" s="1992"/>
      <c r="DG10" s="1992"/>
      <c r="DH10" s="1992"/>
      <c r="DI10" s="1992"/>
      <c r="DJ10" s="1992"/>
      <c r="DK10" s="1992"/>
      <c r="DL10" s="1992"/>
      <c r="DM10" s="1992"/>
      <c r="DN10" s="1992"/>
      <c r="DO10" s="1992"/>
      <c r="DP10" s="1992"/>
      <c r="DQ10" s="1992"/>
      <c r="DR10" s="1992"/>
      <c r="DS10" s="1992"/>
      <c r="DT10" s="1992"/>
      <c r="DU10" s="1992"/>
      <c r="DV10" s="1992"/>
      <c r="DW10" s="1992"/>
      <c r="DX10" s="1992"/>
      <c r="DY10" s="1992"/>
      <c r="DZ10" s="1992"/>
      <c r="EA10" s="1992"/>
      <c r="EB10" s="1992"/>
      <c r="EC10" s="1992"/>
      <c r="ED10" s="1992"/>
      <c r="EE10" s="1992"/>
      <c r="EF10" s="1992"/>
      <c r="EG10" s="1992"/>
      <c r="EH10" s="1992"/>
      <c r="EI10" s="1992"/>
      <c r="EJ10" s="1992"/>
      <c r="EK10" s="1992"/>
      <c r="EL10" s="1992"/>
      <c r="EM10" s="1992"/>
      <c r="EN10" s="1992"/>
      <c r="EO10" s="1992"/>
      <c r="EP10" s="1992"/>
      <c r="EQ10" s="1992"/>
      <c r="ER10" s="1992"/>
      <c r="ES10" s="1992"/>
      <c r="ET10" s="1992"/>
      <c r="EU10" s="1992"/>
      <c r="EV10" s="1992"/>
      <c r="EW10" s="1992"/>
      <c r="EX10" s="1992"/>
      <c r="EY10" s="1992"/>
      <c r="EZ10" s="1992"/>
      <c r="FA10" s="1992"/>
      <c r="FB10" s="1992"/>
      <c r="FC10" s="1992"/>
      <c r="FD10" s="1992"/>
      <c r="FE10" s="1992"/>
      <c r="FF10" s="1992"/>
      <c r="FG10" s="1992"/>
      <c r="FH10" s="1992"/>
      <c r="FI10" s="1992"/>
      <c r="FJ10" s="1992"/>
      <c r="FK10" s="1992"/>
      <c r="FL10" s="1992"/>
      <c r="FM10" s="1992"/>
      <c r="FN10" s="1992"/>
      <c r="FO10" s="1992"/>
      <c r="FP10" s="1992"/>
      <c r="FQ10" s="1992"/>
      <c r="FR10" s="1992"/>
      <c r="FS10" s="1992"/>
      <c r="FT10" s="1992"/>
      <c r="FU10" s="1992"/>
      <c r="FV10" s="1992"/>
      <c r="FW10" s="1992"/>
      <c r="FX10" s="1992"/>
      <c r="FY10" s="1992"/>
      <c r="FZ10" s="1992"/>
      <c r="GA10" s="1992"/>
      <c r="GB10" s="1992"/>
      <c r="GC10" s="1992"/>
      <c r="GD10" s="1992"/>
      <c r="GE10" s="1992"/>
      <c r="GF10" s="1992"/>
      <c r="GG10" s="1992"/>
      <c r="GH10" s="1992"/>
      <c r="GI10" s="1992"/>
      <c r="GJ10" s="1992"/>
      <c r="GK10" s="1992"/>
      <c r="GL10" s="1992"/>
      <c r="GM10" s="1992"/>
      <c r="GN10" s="1992"/>
      <c r="GO10" s="1992"/>
      <c r="GP10" s="1992"/>
      <c r="GQ10" s="1992"/>
      <c r="GR10" s="1992"/>
      <c r="GS10" s="1992"/>
      <c r="GT10" s="1992"/>
      <c r="GU10" s="1992"/>
      <c r="GV10" s="1992"/>
      <c r="GW10" s="1992"/>
      <c r="GX10" s="1992"/>
      <c r="GY10" s="1992"/>
      <c r="GZ10" s="1992"/>
      <c r="HA10" s="1992"/>
      <c r="HB10" s="1992"/>
      <c r="HC10" s="1992"/>
      <c r="HD10" s="1992"/>
      <c r="HE10" s="1992"/>
      <c r="HF10" s="1992"/>
      <c r="HG10" s="1992"/>
      <c r="HH10" s="1992"/>
      <c r="HI10" s="1992"/>
      <c r="HJ10" s="1992"/>
      <c r="HK10" s="1992"/>
      <c r="HL10" s="1992"/>
      <c r="HM10" s="1992"/>
      <c r="HN10" s="1992"/>
      <c r="HO10" s="1992"/>
      <c r="HP10" s="1992"/>
      <c r="HQ10" s="1992"/>
      <c r="HR10" s="1992"/>
      <c r="HS10" s="1992"/>
      <c r="HT10" s="1992"/>
      <c r="HU10" s="1992"/>
      <c r="HV10" s="1992"/>
      <c r="HW10" s="1992"/>
      <c r="HX10" s="1992"/>
      <c r="HY10" s="1992"/>
      <c r="HZ10" s="1992"/>
      <c r="IA10" s="1992"/>
      <c r="IB10" s="1992"/>
      <c r="IC10" s="1992"/>
      <c r="ID10" s="1992"/>
      <c r="IE10" s="1992"/>
      <c r="IF10" s="1992"/>
      <c r="IG10" s="1992"/>
      <c r="IH10" s="1992"/>
      <c r="II10" s="1992"/>
      <c r="IJ10" s="1992"/>
      <c r="IK10" s="1992"/>
      <c r="IL10" s="1992"/>
      <c r="IM10" s="1992"/>
      <c r="IN10" s="1992"/>
      <c r="IO10" s="1992"/>
      <c r="IP10" s="1992"/>
      <c r="IQ10" s="1992"/>
    </row>
    <row r="11" spans="1:251" ht="25.5" hidden="1">
      <c r="A11" s="1993"/>
      <c r="B11" s="1994" t="s">
        <v>522</v>
      </c>
      <c r="C11" s="1995"/>
      <c r="D11" s="2021"/>
      <c r="E11" s="1993"/>
      <c r="F11" s="1996"/>
      <c r="G11" s="1993">
        <v>12</v>
      </c>
      <c r="H11" s="1940">
        <f>D11*F11*G11</f>
        <v>0</v>
      </c>
      <c r="I11" s="1993"/>
      <c r="J11" s="1940">
        <f>I11*$Q$4</f>
        <v>0</v>
      </c>
      <c r="K11" s="1993"/>
      <c r="L11" s="1940">
        <f>K11*F11</f>
        <v>0</v>
      </c>
      <c r="M11" s="1940">
        <f>D11*G11*(J11+L11)</f>
        <v>0</v>
      </c>
      <c r="N11" s="1940">
        <f>H11+M11</f>
        <v>0</v>
      </c>
      <c r="O11" s="1993">
        <f t="shared" ref="O11:O16" si="2">F11*2</f>
        <v>0</v>
      </c>
      <c r="P11" s="1993">
        <f t="shared" ref="P11:P16" si="3">F11*4</f>
        <v>0</v>
      </c>
      <c r="Q11" s="1940">
        <f>N11+O11+P11</f>
        <v>0</v>
      </c>
      <c r="R11" s="1940">
        <f>Q11*10%</f>
        <v>0</v>
      </c>
      <c r="S11" s="1940">
        <f>(Q11-R11)*10%</f>
        <v>0</v>
      </c>
      <c r="T11" s="1940">
        <f>(Q11-R11)*6%</f>
        <v>0</v>
      </c>
      <c r="U11" s="1940">
        <f>(Q11-R11)*5%</f>
        <v>0</v>
      </c>
      <c r="V11" s="1997"/>
      <c r="W11" s="1997"/>
      <c r="X11" s="1997"/>
      <c r="Y11" s="1997"/>
      <c r="Z11" s="1997"/>
      <c r="AA11" s="1997"/>
      <c r="AB11" s="1997"/>
      <c r="AC11" s="1997"/>
      <c r="AD11" s="1997"/>
      <c r="AE11" s="1997"/>
      <c r="AF11" s="1997"/>
      <c r="AG11" s="1997"/>
      <c r="AH11" s="1997"/>
      <c r="AI11" s="1997"/>
      <c r="AJ11" s="1997"/>
      <c r="AK11" s="1997"/>
      <c r="AL11" s="1997"/>
      <c r="AM11" s="1997"/>
      <c r="AN11" s="1997"/>
      <c r="AO11" s="1997"/>
      <c r="AP11" s="1997"/>
      <c r="AQ11" s="1997"/>
      <c r="AR11" s="1997"/>
      <c r="AS11" s="1997"/>
      <c r="AT11" s="1997"/>
      <c r="AU11" s="1997"/>
      <c r="AV11" s="1997"/>
      <c r="AW11" s="1997"/>
      <c r="AX11" s="1997"/>
      <c r="AY11" s="1997"/>
      <c r="AZ11" s="1997"/>
      <c r="BA11" s="1997"/>
      <c r="BB11" s="1997"/>
      <c r="BC11" s="1997"/>
      <c r="BD11" s="1997"/>
      <c r="BE11" s="1997"/>
      <c r="BF11" s="1997"/>
      <c r="BG11" s="1997"/>
      <c r="BH11" s="1997"/>
      <c r="BI11" s="1997"/>
      <c r="BJ11" s="1997"/>
      <c r="BK11" s="1997"/>
      <c r="BL11" s="1997"/>
      <c r="BM11" s="1997"/>
      <c r="BN11" s="1997"/>
      <c r="BO11" s="1997"/>
      <c r="BP11" s="1997"/>
      <c r="BQ11" s="1997"/>
      <c r="BR11" s="1997"/>
      <c r="BS11" s="1997"/>
      <c r="BT11" s="1997"/>
      <c r="BU11" s="1997"/>
      <c r="BV11" s="1997"/>
      <c r="BW11" s="1997"/>
      <c r="BX11" s="1997"/>
      <c r="BY11" s="1997"/>
      <c r="BZ11" s="1997"/>
      <c r="CA11" s="1997"/>
      <c r="CB11" s="1997"/>
      <c r="CC11" s="1997"/>
      <c r="CD11" s="1997"/>
      <c r="CE11" s="1997"/>
      <c r="CF11" s="1997"/>
      <c r="CG11" s="1997"/>
      <c r="CH11" s="1997"/>
      <c r="CI11" s="1997"/>
      <c r="CJ11" s="1997"/>
      <c r="CK11" s="1997"/>
      <c r="CL11" s="1997"/>
      <c r="CM11" s="1997"/>
      <c r="CN11" s="1997"/>
      <c r="CO11" s="1997"/>
      <c r="CP11" s="1997"/>
      <c r="CQ11" s="1997"/>
      <c r="CR11" s="1997"/>
      <c r="CS11" s="1997"/>
      <c r="CT11" s="1997"/>
      <c r="CU11" s="1997"/>
      <c r="CV11" s="1997"/>
      <c r="CW11" s="1997"/>
      <c r="CX11" s="1997"/>
      <c r="CY11" s="1997"/>
      <c r="CZ11" s="1997"/>
      <c r="DA11" s="1997"/>
      <c r="DB11" s="1997"/>
      <c r="DC11" s="1997"/>
      <c r="DD11" s="1997"/>
      <c r="DE11" s="1997"/>
      <c r="DF11" s="1997"/>
      <c r="DG11" s="1997"/>
      <c r="DH11" s="1997"/>
      <c r="DI11" s="1997"/>
      <c r="DJ11" s="1997"/>
      <c r="DK11" s="1997"/>
      <c r="DL11" s="1997"/>
      <c r="DM11" s="1997"/>
      <c r="DN11" s="1997"/>
      <c r="DO11" s="1997"/>
      <c r="DP11" s="1997"/>
      <c r="DQ11" s="1997"/>
      <c r="DR11" s="1997"/>
      <c r="DS11" s="1997"/>
      <c r="DT11" s="1997"/>
      <c r="DU11" s="1997"/>
      <c r="DV11" s="1997"/>
      <c r="DW11" s="1997"/>
      <c r="DX11" s="1997"/>
      <c r="DY11" s="1997"/>
      <c r="DZ11" s="1997"/>
      <c r="EA11" s="1997"/>
      <c r="EB11" s="1997"/>
      <c r="EC11" s="1997"/>
      <c r="ED11" s="1997"/>
      <c r="EE11" s="1997"/>
      <c r="EF11" s="1997"/>
      <c r="EG11" s="1997"/>
      <c r="EH11" s="1997"/>
      <c r="EI11" s="1997"/>
      <c r="EJ11" s="1997"/>
      <c r="EK11" s="1997"/>
      <c r="EL11" s="1997"/>
      <c r="EM11" s="1997"/>
      <c r="EN11" s="1997"/>
      <c r="EO11" s="1997"/>
      <c r="EP11" s="1997"/>
      <c r="EQ11" s="1997"/>
      <c r="ER11" s="1997"/>
      <c r="ES11" s="1997"/>
      <c r="ET11" s="1997"/>
      <c r="EU11" s="1997"/>
      <c r="EV11" s="1997"/>
      <c r="EW11" s="1997"/>
      <c r="EX11" s="1997"/>
      <c r="EY11" s="1997"/>
      <c r="EZ11" s="1997"/>
      <c r="FA11" s="1997"/>
      <c r="FB11" s="1997"/>
      <c r="FC11" s="1997"/>
      <c r="FD11" s="1997"/>
      <c r="FE11" s="1997"/>
      <c r="FF11" s="1997"/>
      <c r="FG11" s="1997"/>
      <c r="FH11" s="1997"/>
      <c r="FI11" s="1997"/>
      <c r="FJ11" s="1997"/>
      <c r="FK11" s="1997"/>
      <c r="FL11" s="1997"/>
      <c r="FM11" s="1997"/>
      <c r="FN11" s="1997"/>
      <c r="FO11" s="1997"/>
      <c r="FP11" s="1997"/>
      <c r="FQ11" s="1997"/>
      <c r="FR11" s="1997"/>
      <c r="FS11" s="1997"/>
      <c r="FT11" s="1997"/>
      <c r="FU11" s="1997"/>
      <c r="FV11" s="1997"/>
      <c r="FW11" s="1997"/>
      <c r="FX11" s="1997"/>
      <c r="FY11" s="1997"/>
      <c r="FZ11" s="1997"/>
      <c r="GA11" s="1997"/>
      <c r="GB11" s="1997"/>
      <c r="GC11" s="1997"/>
      <c r="GD11" s="1997"/>
      <c r="GE11" s="1997"/>
      <c r="GF11" s="1997"/>
      <c r="GG11" s="1997"/>
      <c r="GH11" s="1997"/>
      <c r="GI11" s="1997"/>
      <c r="GJ11" s="1997"/>
      <c r="GK11" s="1997"/>
      <c r="GL11" s="1997"/>
      <c r="GM11" s="1997"/>
      <c r="GN11" s="1997"/>
      <c r="GO11" s="1997"/>
      <c r="GP11" s="1997"/>
      <c r="GQ11" s="1997"/>
      <c r="GR11" s="1997"/>
      <c r="GS11" s="1997"/>
      <c r="GT11" s="1997"/>
      <c r="GU11" s="1997"/>
      <c r="GV11" s="1997"/>
      <c r="GW11" s="1997"/>
      <c r="GX11" s="1997"/>
      <c r="GY11" s="1997"/>
      <c r="GZ11" s="1997"/>
      <c r="HA11" s="1997"/>
      <c r="HB11" s="1997"/>
      <c r="HC11" s="1997"/>
      <c r="HD11" s="1997"/>
      <c r="HE11" s="1997"/>
      <c r="HF11" s="1997"/>
      <c r="HG11" s="1997"/>
      <c r="HH11" s="1997"/>
      <c r="HI11" s="1997"/>
      <c r="HJ11" s="1997"/>
      <c r="HK11" s="1997"/>
      <c r="HL11" s="1997"/>
      <c r="HM11" s="1997"/>
      <c r="HN11" s="1997"/>
      <c r="HO11" s="1997"/>
      <c r="HP11" s="1997"/>
      <c r="HQ11" s="1997"/>
      <c r="HR11" s="1997"/>
      <c r="HS11" s="1997"/>
      <c r="HT11" s="1997"/>
      <c r="HU11" s="1997"/>
      <c r="HV11" s="1997"/>
      <c r="HW11" s="1997"/>
      <c r="HX11" s="1997"/>
      <c r="HY11" s="1997"/>
      <c r="HZ11" s="1997"/>
      <c r="IA11" s="1997"/>
      <c r="IB11" s="1997"/>
      <c r="IC11" s="1997"/>
      <c r="ID11" s="1997"/>
      <c r="IE11" s="1997"/>
      <c r="IF11" s="1997"/>
      <c r="IG11" s="1997"/>
      <c r="IH11" s="1997"/>
      <c r="II11" s="1997"/>
      <c r="IJ11" s="1997"/>
      <c r="IK11" s="1997"/>
      <c r="IL11" s="1997"/>
      <c r="IM11" s="1997"/>
      <c r="IN11" s="1997"/>
      <c r="IO11" s="1997"/>
      <c r="IP11" s="1997"/>
      <c r="IQ11" s="1997"/>
    </row>
    <row r="12" spans="1:251" hidden="1">
      <c r="A12" s="1993"/>
      <c r="B12" s="1994" t="s">
        <v>970</v>
      </c>
      <c r="C12" s="1998"/>
      <c r="D12" s="2034"/>
      <c r="E12" s="1998"/>
      <c r="F12" s="1996"/>
      <c r="G12" s="1993">
        <v>12</v>
      </c>
      <c r="H12" s="1940">
        <f>D12*F12*G12</f>
        <v>0</v>
      </c>
      <c r="I12" s="1993"/>
      <c r="J12" s="1940">
        <f>I12*$Q$4</f>
        <v>0</v>
      </c>
      <c r="K12" s="1993"/>
      <c r="L12" s="1940">
        <f>K12*F12</f>
        <v>0</v>
      </c>
      <c r="M12" s="1940">
        <f>D12*G12*(J12+L12)</f>
        <v>0</v>
      </c>
      <c r="N12" s="1940">
        <f>H12+M12</f>
        <v>0</v>
      </c>
      <c r="O12" s="1993">
        <f t="shared" si="2"/>
        <v>0</v>
      </c>
      <c r="P12" s="1993">
        <f t="shared" si="3"/>
        <v>0</v>
      </c>
      <c r="Q12" s="1940">
        <f>N12+O12+P12</f>
        <v>0</v>
      </c>
      <c r="R12" s="1940">
        <f>Q12*10%</f>
        <v>0</v>
      </c>
      <c r="S12" s="1940">
        <f>(Q12-R12)*10%</f>
        <v>0</v>
      </c>
      <c r="T12" s="1940">
        <f>(Q12-R12)*6%</f>
        <v>0</v>
      </c>
      <c r="U12" s="1940">
        <f>(Q12-R12)*5%</f>
        <v>0</v>
      </c>
      <c r="V12" s="1997"/>
      <c r="W12" s="1997"/>
      <c r="X12" s="1997"/>
      <c r="Y12" s="1997"/>
      <c r="Z12" s="1997"/>
      <c r="AA12" s="1997"/>
      <c r="AB12" s="1997"/>
      <c r="AC12" s="1997"/>
      <c r="AD12" s="1997"/>
      <c r="AE12" s="1997"/>
      <c r="AF12" s="1997"/>
      <c r="AG12" s="1997"/>
      <c r="AH12" s="1997"/>
      <c r="AI12" s="1997"/>
      <c r="AJ12" s="1997"/>
      <c r="AK12" s="1997"/>
      <c r="AL12" s="1997"/>
      <c r="AM12" s="1997"/>
      <c r="AN12" s="1997"/>
      <c r="AO12" s="1997"/>
      <c r="AP12" s="1997"/>
      <c r="AQ12" s="1997"/>
      <c r="AR12" s="1997"/>
      <c r="AS12" s="1997"/>
      <c r="AT12" s="1997"/>
      <c r="AU12" s="1997"/>
      <c r="AV12" s="1997"/>
      <c r="AW12" s="1997"/>
      <c r="AX12" s="1997"/>
      <c r="AY12" s="1997"/>
      <c r="AZ12" s="1997"/>
      <c r="BA12" s="1997"/>
      <c r="BB12" s="1997"/>
      <c r="BC12" s="1997"/>
      <c r="BD12" s="1997"/>
      <c r="BE12" s="1997"/>
      <c r="BF12" s="1997"/>
      <c r="BG12" s="1997"/>
      <c r="BH12" s="1997"/>
      <c r="BI12" s="1997"/>
      <c r="BJ12" s="1997"/>
      <c r="BK12" s="1997"/>
      <c r="BL12" s="1997"/>
      <c r="BM12" s="1997"/>
      <c r="BN12" s="1997"/>
      <c r="BO12" s="1997"/>
      <c r="BP12" s="1997"/>
      <c r="BQ12" s="1997"/>
      <c r="BR12" s="1997"/>
      <c r="BS12" s="1997"/>
      <c r="BT12" s="1997"/>
      <c r="BU12" s="1997"/>
      <c r="BV12" s="1997"/>
      <c r="BW12" s="1997"/>
      <c r="BX12" s="1997"/>
      <c r="BY12" s="1997"/>
      <c r="BZ12" s="1997"/>
      <c r="CA12" s="1997"/>
      <c r="CB12" s="1997"/>
      <c r="CC12" s="1997"/>
      <c r="CD12" s="1997"/>
      <c r="CE12" s="1997"/>
      <c r="CF12" s="1997"/>
      <c r="CG12" s="1997"/>
      <c r="CH12" s="1997"/>
      <c r="CI12" s="1997"/>
      <c r="CJ12" s="1997"/>
      <c r="CK12" s="1997"/>
      <c r="CL12" s="1997"/>
      <c r="CM12" s="1997"/>
      <c r="CN12" s="1997"/>
      <c r="CO12" s="1997"/>
      <c r="CP12" s="1997"/>
      <c r="CQ12" s="1997"/>
      <c r="CR12" s="1997"/>
      <c r="CS12" s="1997"/>
      <c r="CT12" s="1997"/>
      <c r="CU12" s="1997"/>
      <c r="CV12" s="1997"/>
      <c r="CW12" s="1997"/>
      <c r="CX12" s="1997"/>
      <c r="CY12" s="1997"/>
      <c r="CZ12" s="1997"/>
      <c r="DA12" s="1997"/>
      <c r="DB12" s="1997"/>
      <c r="DC12" s="1997"/>
      <c r="DD12" s="1997"/>
      <c r="DE12" s="1997"/>
      <c r="DF12" s="1997"/>
      <c r="DG12" s="1997"/>
      <c r="DH12" s="1997"/>
      <c r="DI12" s="1997"/>
      <c r="DJ12" s="1997"/>
      <c r="DK12" s="1997"/>
      <c r="DL12" s="1997"/>
      <c r="DM12" s="1997"/>
      <c r="DN12" s="1997"/>
      <c r="DO12" s="1997"/>
      <c r="DP12" s="1997"/>
      <c r="DQ12" s="1997"/>
      <c r="DR12" s="1997"/>
      <c r="DS12" s="1997"/>
      <c r="DT12" s="1997"/>
      <c r="DU12" s="1997"/>
      <c r="DV12" s="1997"/>
      <c r="DW12" s="1997"/>
      <c r="DX12" s="1997"/>
      <c r="DY12" s="1997"/>
      <c r="DZ12" s="1997"/>
      <c r="EA12" s="1997"/>
      <c r="EB12" s="1997"/>
      <c r="EC12" s="1997"/>
      <c r="ED12" s="1997"/>
      <c r="EE12" s="1997"/>
      <c r="EF12" s="1997"/>
      <c r="EG12" s="1997"/>
      <c r="EH12" s="1997"/>
      <c r="EI12" s="1997"/>
      <c r="EJ12" s="1997"/>
      <c r="EK12" s="1997"/>
      <c r="EL12" s="1997"/>
      <c r="EM12" s="1997"/>
      <c r="EN12" s="1997"/>
      <c r="EO12" s="1997"/>
      <c r="EP12" s="1997"/>
      <c r="EQ12" s="1997"/>
      <c r="ER12" s="1997"/>
      <c r="ES12" s="1997"/>
      <c r="ET12" s="1997"/>
      <c r="EU12" s="1997"/>
      <c r="EV12" s="1997"/>
      <c r="EW12" s="1997"/>
      <c r="EX12" s="1997"/>
      <c r="EY12" s="1997"/>
      <c r="EZ12" s="1997"/>
      <c r="FA12" s="1997"/>
      <c r="FB12" s="1997"/>
      <c r="FC12" s="1997"/>
      <c r="FD12" s="1997"/>
      <c r="FE12" s="1997"/>
      <c r="FF12" s="1997"/>
      <c r="FG12" s="1997"/>
      <c r="FH12" s="1997"/>
      <c r="FI12" s="1997"/>
      <c r="FJ12" s="1997"/>
      <c r="FK12" s="1997"/>
      <c r="FL12" s="1997"/>
      <c r="FM12" s="1997"/>
      <c r="FN12" s="1997"/>
      <c r="FO12" s="1997"/>
      <c r="FP12" s="1997"/>
      <c r="FQ12" s="1997"/>
      <c r="FR12" s="1997"/>
      <c r="FS12" s="1997"/>
      <c r="FT12" s="1997"/>
      <c r="FU12" s="1997"/>
      <c r="FV12" s="1997"/>
      <c r="FW12" s="1997"/>
      <c r="FX12" s="1997"/>
      <c r="FY12" s="1997"/>
      <c r="FZ12" s="1997"/>
      <c r="GA12" s="1997"/>
      <c r="GB12" s="1997"/>
      <c r="GC12" s="1997"/>
      <c r="GD12" s="1997"/>
      <c r="GE12" s="1997"/>
      <c r="GF12" s="1997"/>
      <c r="GG12" s="1997"/>
      <c r="GH12" s="1997"/>
      <c r="GI12" s="1997"/>
      <c r="GJ12" s="1997"/>
      <c r="GK12" s="1997"/>
      <c r="GL12" s="1997"/>
      <c r="GM12" s="1997"/>
      <c r="GN12" s="1997"/>
      <c r="GO12" s="1997"/>
      <c r="GP12" s="1997"/>
      <c r="GQ12" s="1997"/>
      <c r="GR12" s="1997"/>
      <c r="GS12" s="1997"/>
      <c r="GT12" s="1997"/>
      <c r="GU12" s="1997"/>
      <c r="GV12" s="1997"/>
      <c r="GW12" s="1997"/>
      <c r="GX12" s="1997"/>
      <c r="GY12" s="1997"/>
      <c r="GZ12" s="1997"/>
      <c r="HA12" s="1997"/>
      <c r="HB12" s="1997"/>
      <c r="HC12" s="1997"/>
      <c r="HD12" s="1997"/>
      <c r="HE12" s="1997"/>
      <c r="HF12" s="1997"/>
      <c r="HG12" s="1997"/>
      <c r="HH12" s="1997"/>
      <c r="HI12" s="1997"/>
      <c r="HJ12" s="1997"/>
      <c r="HK12" s="1997"/>
      <c r="HL12" s="1997"/>
      <c r="HM12" s="1997"/>
      <c r="HN12" s="1997"/>
      <c r="HO12" s="1997"/>
      <c r="HP12" s="1997"/>
      <c r="HQ12" s="1997"/>
      <c r="HR12" s="1997"/>
      <c r="HS12" s="1997"/>
      <c r="HT12" s="1997"/>
      <c r="HU12" s="1997"/>
      <c r="HV12" s="1997"/>
      <c r="HW12" s="1997"/>
      <c r="HX12" s="1997"/>
      <c r="HY12" s="1997"/>
      <c r="HZ12" s="1997"/>
      <c r="IA12" s="1997"/>
      <c r="IB12" s="1997"/>
      <c r="IC12" s="1997"/>
      <c r="ID12" s="1997"/>
      <c r="IE12" s="1997"/>
      <c r="IF12" s="1997"/>
      <c r="IG12" s="1997"/>
      <c r="IH12" s="1997"/>
      <c r="II12" s="1997"/>
      <c r="IJ12" s="1997"/>
      <c r="IK12" s="1997"/>
      <c r="IL12" s="1997"/>
      <c r="IM12" s="1997"/>
      <c r="IN12" s="1997"/>
      <c r="IO12" s="1997"/>
      <c r="IP12" s="1997"/>
      <c r="IQ12" s="1997"/>
    </row>
    <row r="13" spans="1:251" ht="25.5" hidden="1">
      <c r="A13" s="1993"/>
      <c r="B13" s="1994" t="s">
        <v>523</v>
      </c>
      <c r="C13" s="1998"/>
      <c r="D13" s="2034"/>
      <c r="E13" s="1998"/>
      <c r="F13" s="1996"/>
      <c r="G13" s="1993">
        <v>12</v>
      </c>
      <c r="H13" s="1940">
        <f>D13*F13*G13</f>
        <v>0</v>
      </c>
      <c r="I13" s="1993"/>
      <c r="J13" s="1940">
        <f>I13*$Q$4</f>
        <v>0</v>
      </c>
      <c r="K13" s="1993"/>
      <c r="L13" s="1940">
        <f>K13*F13</f>
        <v>0</v>
      </c>
      <c r="M13" s="1940">
        <f>D13*G13*(J13+L13)</f>
        <v>0</v>
      </c>
      <c r="N13" s="1940">
        <f>H13+M13</f>
        <v>0</v>
      </c>
      <c r="O13" s="1993">
        <f t="shared" si="2"/>
        <v>0</v>
      </c>
      <c r="P13" s="1993">
        <f t="shared" si="3"/>
        <v>0</v>
      </c>
      <c r="Q13" s="1940">
        <f>N13+O13+P13</f>
        <v>0</v>
      </c>
      <c r="R13" s="1940">
        <f>Q13*10%</f>
        <v>0</v>
      </c>
      <c r="S13" s="1940">
        <f>(Q13-R13)*10%</f>
        <v>0</v>
      </c>
      <c r="T13" s="1940">
        <f>(Q13-R13)*6%</f>
        <v>0</v>
      </c>
      <c r="U13" s="1940">
        <f>(Q13-R13)*5%</f>
        <v>0</v>
      </c>
      <c r="V13" s="1997"/>
      <c r="W13" s="1997"/>
      <c r="X13" s="1997"/>
      <c r="Y13" s="1997"/>
      <c r="Z13" s="1997"/>
      <c r="AA13" s="1997"/>
      <c r="AB13" s="1997"/>
      <c r="AC13" s="1997"/>
      <c r="AD13" s="1997"/>
      <c r="AE13" s="1997"/>
      <c r="AF13" s="1997"/>
      <c r="AG13" s="1997"/>
      <c r="AH13" s="1997"/>
      <c r="AI13" s="1997"/>
      <c r="AJ13" s="1997"/>
      <c r="AK13" s="1997"/>
      <c r="AL13" s="1997"/>
      <c r="AM13" s="1997"/>
      <c r="AN13" s="1997"/>
      <c r="AO13" s="1997"/>
      <c r="AP13" s="1997"/>
      <c r="AQ13" s="1997"/>
      <c r="AR13" s="1997"/>
      <c r="AS13" s="1997"/>
      <c r="AT13" s="1997"/>
      <c r="AU13" s="1997"/>
      <c r="AV13" s="1997"/>
      <c r="AW13" s="1997"/>
      <c r="AX13" s="1997"/>
      <c r="AY13" s="1997"/>
      <c r="AZ13" s="1997"/>
      <c r="BA13" s="1997"/>
      <c r="BB13" s="1997"/>
      <c r="BC13" s="1997"/>
      <c r="BD13" s="1997"/>
      <c r="BE13" s="1997"/>
      <c r="BF13" s="1997"/>
      <c r="BG13" s="1997"/>
      <c r="BH13" s="1997"/>
      <c r="BI13" s="1997"/>
      <c r="BJ13" s="1997"/>
      <c r="BK13" s="1997"/>
      <c r="BL13" s="1997"/>
      <c r="BM13" s="1997"/>
      <c r="BN13" s="1997"/>
      <c r="BO13" s="1997"/>
      <c r="BP13" s="1997"/>
      <c r="BQ13" s="1997"/>
      <c r="BR13" s="1997"/>
      <c r="BS13" s="1997"/>
      <c r="BT13" s="1997"/>
      <c r="BU13" s="1997"/>
      <c r="BV13" s="1997"/>
      <c r="BW13" s="1997"/>
      <c r="BX13" s="1997"/>
      <c r="BY13" s="1997"/>
      <c r="BZ13" s="1997"/>
      <c r="CA13" s="1997"/>
      <c r="CB13" s="1997"/>
      <c r="CC13" s="1997"/>
      <c r="CD13" s="1997"/>
      <c r="CE13" s="1997"/>
      <c r="CF13" s="1997"/>
      <c r="CG13" s="1997"/>
      <c r="CH13" s="1997"/>
      <c r="CI13" s="1997"/>
      <c r="CJ13" s="1997"/>
      <c r="CK13" s="1997"/>
      <c r="CL13" s="1997"/>
      <c r="CM13" s="1997"/>
      <c r="CN13" s="1997"/>
      <c r="CO13" s="1997"/>
      <c r="CP13" s="1997"/>
      <c r="CQ13" s="1997"/>
      <c r="CR13" s="1997"/>
      <c r="CS13" s="1997"/>
      <c r="CT13" s="1997"/>
      <c r="CU13" s="1997"/>
      <c r="CV13" s="1997"/>
      <c r="CW13" s="1997"/>
      <c r="CX13" s="1997"/>
      <c r="CY13" s="1997"/>
      <c r="CZ13" s="1997"/>
      <c r="DA13" s="1997"/>
      <c r="DB13" s="1997"/>
      <c r="DC13" s="1997"/>
      <c r="DD13" s="1997"/>
      <c r="DE13" s="1997"/>
      <c r="DF13" s="1997"/>
      <c r="DG13" s="1997"/>
      <c r="DH13" s="1997"/>
      <c r="DI13" s="1997"/>
      <c r="DJ13" s="1997"/>
      <c r="DK13" s="1997"/>
      <c r="DL13" s="1997"/>
      <c r="DM13" s="1997"/>
      <c r="DN13" s="1997"/>
      <c r="DO13" s="1997"/>
      <c r="DP13" s="1997"/>
      <c r="DQ13" s="1997"/>
      <c r="DR13" s="1997"/>
      <c r="DS13" s="1997"/>
      <c r="DT13" s="1997"/>
      <c r="DU13" s="1997"/>
      <c r="DV13" s="1997"/>
      <c r="DW13" s="1997"/>
      <c r="DX13" s="1997"/>
      <c r="DY13" s="1997"/>
      <c r="DZ13" s="1997"/>
      <c r="EA13" s="1997"/>
      <c r="EB13" s="1997"/>
      <c r="EC13" s="1997"/>
      <c r="ED13" s="1997"/>
      <c r="EE13" s="1997"/>
      <c r="EF13" s="1997"/>
      <c r="EG13" s="1997"/>
      <c r="EH13" s="1997"/>
      <c r="EI13" s="1997"/>
      <c r="EJ13" s="1997"/>
      <c r="EK13" s="1997"/>
      <c r="EL13" s="1997"/>
      <c r="EM13" s="1997"/>
      <c r="EN13" s="1997"/>
      <c r="EO13" s="1997"/>
      <c r="EP13" s="1997"/>
      <c r="EQ13" s="1997"/>
      <c r="ER13" s="1997"/>
      <c r="ES13" s="1997"/>
      <c r="ET13" s="1997"/>
      <c r="EU13" s="1997"/>
      <c r="EV13" s="1997"/>
      <c r="EW13" s="1997"/>
      <c r="EX13" s="1997"/>
      <c r="EY13" s="1997"/>
      <c r="EZ13" s="1997"/>
      <c r="FA13" s="1997"/>
      <c r="FB13" s="1997"/>
      <c r="FC13" s="1997"/>
      <c r="FD13" s="1997"/>
      <c r="FE13" s="1997"/>
      <c r="FF13" s="1997"/>
      <c r="FG13" s="1997"/>
      <c r="FH13" s="1997"/>
      <c r="FI13" s="1997"/>
      <c r="FJ13" s="1997"/>
      <c r="FK13" s="1997"/>
      <c r="FL13" s="1997"/>
      <c r="FM13" s="1997"/>
      <c r="FN13" s="1997"/>
      <c r="FO13" s="1997"/>
      <c r="FP13" s="1997"/>
      <c r="FQ13" s="1997"/>
      <c r="FR13" s="1997"/>
      <c r="FS13" s="1997"/>
      <c r="FT13" s="1997"/>
      <c r="FU13" s="1997"/>
      <c r="FV13" s="1997"/>
      <c r="FW13" s="1997"/>
      <c r="FX13" s="1997"/>
      <c r="FY13" s="1997"/>
      <c r="FZ13" s="1997"/>
      <c r="GA13" s="1997"/>
      <c r="GB13" s="1997"/>
      <c r="GC13" s="1997"/>
      <c r="GD13" s="1997"/>
      <c r="GE13" s="1997"/>
      <c r="GF13" s="1997"/>
      <c r="GG13" s="1997"/>
      <c r="GH13" s="1997"/>
      <c r="GI13" s="1997"/>
      <c r="GJ13" s="1997"/>
      <c r="GK13" s="1997"/>
      <c r="GL13" s="1997"/>
      <c r="GM13" s="1997"/>
      <c r="GN13" s="1997"/>
      <c r="GO13" s="1997"/>
      <c r="GP13" s="1997"/>
      <c r="GQ13" s="1997"/>
      <c r="GR13" s="1997"/>
      <c r="GS13" s="1997"/>
      <c r="GT13" s="1997"/>
      <c r="GU13" s="1997"/>
      <c r="GV13" s="1997"/>
      <c r="GW13" s="1997"/>
      <c r="GX13" s="1997"/>
      <c r="GY13" s="1997"/>
      <c r="GZ13" s="1997"/>
      <c r="HA13" s="1997"/>
      <c r="HB13" s="1997"/>
      <c r="HC13" s="1997"/>
      <c r="HD13" s="1997"/>
      <c r="HE13" s="1997"/>
      <c r="HF13" s="1997"/>
      <c r="HG13" s="1997"/>
      <c r="HH13" s="1997"/>
      <c r="HI13" s="1997"/>
      <c r="HJ13" s="1997"/>
      <c r="HK13" s="1997"/>
      <c r="HL13" s="1997"/>
      <c r="HM13" s="1997"/>
      <c r="HN13" s="1997"/>
      <c r="HO13" s="1997"/>
      <c r="HP13" s="1997"/>
      <c r="HQ13" s="1997"/>
      <c r="HR13" s="1997"/>
      <c r="HS13" s="1997"/>
      <c r="HT13" s="1997"/>
      <c r="HU13" s="1997"/>
      <c r="HV13" s="1997"/>
      <c r="HW13" s="1997"/>
      <c r="HX13" s="1997"/>
      <c r="HY13" s="1997"/>
      <c r="HZ13" s="1997"/>
      <c r="IA13" s="1997"/>
      <c r="IB13" s="1997"/>
      <c r="IC13" s="1997"/>
      <c r="ID13" s="1997"/>
      <c r="IE13" s="1997"/>
      <c r="IF13" s="1997"/>
      <c r="IG13" s="1997"/>
      <c r="IH13" s="1997"/>
      <c r="II13" s="1997"/>
      <c r="IJ13" s="1997"/>
      <c r="IK13" s="1997"/>
      <c r="IL13" s="1997"/>
      <c r="IM13" s="1997"/>
      <c r="IN13" s="1997"/>
      <c r="IO13" s="1997"/>
      <c r="IP13" s="1997"/>
      <c r="IQ13" s="1997"/>
    </row>
    <row r="14" spans="1:251" hidden="1">
      <c r="A14" s="1993"/>
      <c r="B14" s="1994" t="s">
        <v>977</v>
      </c>
      <c r="C14" s="1998"/>
      <c r="D14" s="2034"/>
      <c r="E14" s="1998"/>
      <c r="F14" s="1996"/>
      <c r="G14" s="1993">
        <v>12</v>
      </c>
      <c r="H14" s="1940">
        <f>D14*F14*G14</f>
        <v>0</v>
      </c>
      <c r="I14" s="1993"/>
      <c r="J14" s="1940">
        <f>I14*$Q$4</f>
        <v>0</v>
      </c>
      <c r="K14" s="1993"/>
      <c r="L14" s="1940">
        <f>K14*F14</f>
        <v>0</v>
      </c>
      <c r="M14" s="1940">
        <f>D14*G14*(J14+L14)</f>
        <v>0</v>
      </c>
      <c r="N14" s="1940">
        <f>H14+M14</f>
        <v>0</v>
      </c>
      <c r="O14" s="1993">
        <f t="shared" si="2"/>
        <v>0</v>
      </c>
      <c r="P14" s="1993">
        <f t="shared" si="3"/>
        <v>0</v>
      </c>
      <c r="Q14" s="1940">
        <f>N14+O14+P14</f>
        <v>0</v>
      </c>
      <c r="R14" s="1940">
        <f>Q14*10%</f>
        <v>0</v>
      </c>
      <c r="S14" s="1940">
        <f>(Q14-R14)*10%</f>
        <v>0</v>
      </c>
      <c r="T14" s="1940">
        <f>(Q14-R14)*6%</f>
        <v>0</v>
      </c>
      <c r="U14" s="1940">
        <f>(Q14-R14)*5%</f>
        <v>0</v>
      </c>
      <c r="V14" s="1997"/>
      <c r="W14" s="1997"/>
      <c r="X14" s="1997"/>
      <c r="Y14" s="1997"/>
      <c r="Z14" s="1997"/>
      <c r="AA14" s="1997"/>
      <c r="AB14" s="1997"/>
      <c r="AC14" s="1997"/>
      <c r="AD14" s="1997"/>
      <c r="AE14" s="1997"/>
      <c r="AF14" s="1997"/>
      <c r="AG14" s="1997"/>
      <c r="AH14" s="1997"/>
      <c r="AI14" s="1997"/>
      <c r="AJ14" s="1997"/>
      <c r="AK14" s="1997"/>
      <c r="AL14" s="1997"/>
      <c r="AM14" s="1997"/>
      <c r="AN14" s="1997"/>
      <c r="AO14" s="1997"/>
      <c r="AP14" s="1997"/>
      <c r="AQ14" s="1997"/>
      <c r="AR14" s="1997"/>
      <c r="AS14" s="1997"/>
      <c r="AT14" s="1997"/>
      <c r="AU14" s="1997"/>
      <c r="AV14" s="1997"/>
      <c r="AW14" s="1997"/>
      <c r="AX14" s="1997"/>
      <c r="AY14" s="1997"/>
      <c r="AZ14" s="1997"/>
      <c r="BA14" s="1997"/>
      <c r="BB14" s="1997"/>
      <c r="BC14" s="1997"/>
      <c r="BD14" s="1997"/>
      <c r="BE14" s="1997"/>
      <c r="BF14" s="1997"/>
      <c r="BG14" s="1997"/>
      <c r="BH14" s="1997"/>
      <c r="BI14" s="1997"/>
      <c r="BJ14" s="1997"/>
      <c r="BK14" s="1997"/>
      <c r="BL14" s="1997"/>
      <c r="BM14" s="1997"/>
      <c r="BN14" s="1997"/>
      <c r="BO14" s="1997"/>
      <c r="BP14" s="1997"/>
      <c r="BQ14" s="1997"/>
      <c r="BR14" s="1997"/>
      <c r="BS14" s="1997"/>
      <c r="BT14" s="1997"/>
      <c r="BU14" s="1997"/>
      <c r="BV14" s="1997"/>
      <c r="BW14" s="1997"/>
      <c r="BX14" s="1997"/>
      <c r="BY14" s="1997"/>
      <c r="BZ14" s="1997"/>
      <c r="CA14" s="1997"/>
      <c r="CB14" s="1997"/>
      <c r="CC14" s="1997"/>
      <c r="CD14" s="1997"/>
      <c r="CE14" s="1997"/>
      <c r="CF14" s="1997"/>
      <c r="CG14" s="1997"/>
      <c r="CH14" s="1997"/>
      <c r="CI14" s="1997"/>
      <c r="CJ14" s="1997"/>
      <c r="CK14" s="1997"/>
      <c r="CL14" s="1997"/>
      <c r="CM14" s="1997"/>
      <c r="CN14" s="1997"/>
      <c r="CO14" s="1997"/>
      <c r="CP14" s="1997"/>
      <c r="CQ14" s="1997"/>
      <c r="CR14" s="1997"/>
      <c r="CS14" s="1997"/>
      <c r="CT14" s="1997"/>
      <c r="CU14" s="1997"/>
      <c r="CV14" s="1997"/>
      <c r="CW14" s="1997"/>
      <c r="CX14" s="1997"/>
      <c r="CY14" s="1997"/>
      <c r="CZ14" s="1997"/>
      <c r="DA14" s="1997"/>
      <c r="DB14" s="1997"/>
      <c r="DC14" s="1997"/>
      <c r="DD14" s="1997"/>
      <c r="DE14" s="1997"/>
      <c r="DF14" s="1997"/>
      <c r="DG14" s="1997"/>
      <c r="DH14" s="1997"/>
      <c r="DI14" s="1997"/>
      <c r="DJ14" s="1997"/>
      <c r="DK14" s="1997"/>
      <c r="DL14" s="1997"/>
      <c r="DM14" s="1997"/>
      <c r="DN14" s="1997"/>
      <c r="DO14" s="1997"/>
      <c r="DP14" s="1997"/>
      <c r="DQ14" s="1997"/>
      <c r="DR14" s="1997"/>
      <c r="DS14" s="1997"/>
      <c r="DT14" s="1997"/>
      <c r="DU14" s="1997"/>
      <c r="DV14" s="1997"/>
      <c r="DW14" s="1997"/>
      <c r="DX14" s="1997"/>
      <c r="DY14" s="1997"/>
      <c r="DZ14" s="1997"/>
      <c r="EA14" s="1997"/>
      <c r="EB14" s="1997"/>
      <c r="EC14" s="1997"/>
      <c r="ED14" s="1997"/>
      <c r="EE14" s="1997"/>
      <c r="EF14" s="1997"/>
      <c r="EG14" s="1997"/>
      <c r="EH14" s="1997"/>
      <c r="EI14" s="1997"/>
      <c r="EJ14" s="1997"/>
      <c r="EK14" s="1997"/>
      <c r="EL14" s="1997"/>
      <c r="EM14" s="1997"/>
      <c r="EN14" s="1997"/>
      <c r="EO14" s="1997"/>
      <c r="EP14" s="1997"/>
      <c r="EQ14" s="1997"/>
      <c r="ER14" s="1997"/>
      <c r="ES14" s="1997"/>
      <c r="ET14" s="1997"/>
      <c r="EU14" s="1997"/>
      <c r="EV14" s="1997"/>
      <c r="EW14" s="1997"/>
      <c r="EX14" s="1997"/>
      <c r="EY14" s="1997"/>
      <c r="EZ14" s="1997"/>
      <c r="FA14" s="1997"/>
      <c r="FB14" s="1997"/>
      <c r="FC14" s="1997"/>
      <c r="FD14" s="1997"/>
      <c r="FE14" s="1997"/>
      <c r="FF14" s="1997"/>
      <c r="FG14" s="1997"/>
      <c r="FH14" s="1997"/>
      <c r="FI14" s="1997"/>
      <c r="FJ14" s="1997"/>
      <c r="FK14" s="1997"/>
      <c r="FL14" s="1997"/>
      <c r="FM14" s="1997"/>
      <c r="FN14" s="1997"/>
      <c r="FO14" s="1997"/>
      <c r="FP14" s="1997"/>
      <c r="FQ14" s="1997"/>
      <c r="FR14" s="1997"/>
      <c r="FS14" s="1997"/>
      <c r="FT14" s="1997"/>
      <c r="FU14" s="1997"/>
      <c r="FV14" s="1997"/>
      <c r="FW14" s="1997"/>
      <c r="FX14" s="1997"/>
      <c r="FY14" s="1997"/>
      <c r="FZ14" s="1997"/>
      <c r="GA14" s="1997"/>
      <c r="GB14" s="1997"/>
      <c r="GC14" s="1997"/>
      <c r="GD14" s="1997"/>
      <c r="GE14" s="1997"/>
      <c r="GF14" s="1997"/>
      <c r="GG14" s="1997"/>
      <c r="GH14" s="1997"/>
      <c r="GI14" s="1997"/>
      <c r="GJ14" s="1997"/>
      <c r="GK14" s="1997"/>
      <c r="GL14" s="1997"/>
      <c r="GM14" s="1997"/>
      <c r="GN14" s="1997"/>
      <c r="GO14" s="1997"/>
      <c r="GP14" s="1997"/>
      <c r="GQ14" s="1997"/>
      <c r="GR14" s="1997"/>
      <c r="GS14" s="1997"/>
      <c r="GT14" s="1997"/>
      <c r="GU14" s="1997"/>
      <c r="GV14" s="1997"/>
      <c r="GW14" s="1997"/>
      <c r="GX14" s="1997"/>
      <c r="GY14" s="1997"/>
      <c r="GZ14" s="1997"/>
      <c r="HA14" s="1997"/>
      <c r="HB14" s="1997"/>
      <c r="HC14" s="1997"/>
      <c r="HD14" s="1997"/>
      <c r="HE14" s="1997"/>
      <c r="HF14" s="1997"/>
      <c r="HG14" s="1997"/>
      <c r="HH14" s="1997"/>
      <c r="HI14" s="1997"/>
      <c r="HJ14" s="1997"/>
      <c r="HK14" s="1997"/>
      <c r="HL14" s="1997"/>
      <c r="HM14" s="1997"/>
      <c r="HN14" s="1997"/>
      <c r="HO14" s="1997"/>
      <c r="HP14" s="1997"/>
      <c r="HQ14" s="1997"/>
      <c r="HR14" s="1997"/>
      <c r="HS14" s="1997"/>
      <c r="HT14" s="1997"/>
      <c r="HU14" s="1997"/>
      <c r="HV14" s="1997"/>
      <c r="HW14" s="1997"/>
      <c r="HX14" s="1997"/>
      <c r="HY14" s="1997"/>
      <c r="HZ14" s="1997"/>
      <c r="IA14" s="1997"/>
      <c r="IB14" s="1997"/>
      <c r="IC14" s="1997"/>
      <c r="ID14" s="1997"/>
      <c r="IE14" s="1997"/>
      <c r="IF14" s="1997"/>
      <c r="IG14" s="1997"/>
      <c r="IH14" s="1997"/>
      <c r="II14" s="1997"/>
      <c r="IJ14" s="1997"/>
      <c r="IK14" s="1997"/>
      <c r="IL14" s="1997"/>
      <c r="IM14" s="1997"/>
      <c r="IN14" s="1997"/>
      <c r="IO14" s="1997"/>
      <c r="IP14" s="1997"/>
      <c r="IQ14" s="1997"/>
    </row>
    <row r="15" spans="1:251" hidden="1">
      <c r="A15" s="1993"/>
      <c r="B15" s="1994" t="s">
        <v>978</v>
      </c>
      <c r="C15" s="1998"/>
      <c r="D15" s="2034"/>
      <c r="E15" s="1998"/>
      <c r="F15" s="1996"/>
      <c r="G15" s="1993">
        <v>12</v>
      </c>
      <c r="H15" s="1940">
        <f t="shared" ref="H15:H32" si="4">D15*F15*G15</f>
        <v>0</v>
      </c>
      <c r="I15" s="1993"/>
      <c r="J15" s="1940">
        <f t="shared" ref="J15:J63" si="5">I15*$Q$4</f>
        <v>0</v>
      </c>
      <c r="K15" s="1993"/>
      <c r="L15" s="1940">
        <f t="shared" ref="L15:L32" si="6">K15*F15</f>
        <v>0</v>
      </c>
      <c r="M15" s="1940">
        <f>D15*G15*(J15+L15)</f>
        <v>0</v>
      </c>
      <c r="N15" s="1940">
        <f t="shared" ref="N15:N32" si="7">H15+M15</f>
        <v>0</v>
      </c>
      <c r="O15" s="1993">
        <f t="shared" si="2"/>
        <v>0</v>
      </c>
      <c r="P15" s="1993">
        <f t="shared" si="3"/>
        <v>0</v>
      </c>
      <c r="Q15" s="1940">
        <f t="shared" ref="Q15:Q32" si="8">N15+O15+P15</f>
        <v>0</v>
      </c>
      <c r="R15" s="1940">
        <f t="shared" ref="R15:R63" si="9">Q15*10%</f>
        <v>0</v>
      </c>
      <c r="S15" s="1940">
        <f t="shared" ref="S15:S32" si="10">(Q15-R15)*10%</f>
        <v>0</v>
      </c>
      <c r="T15" s="1940">
        <f t="shared" ref="T15:T32" si="11">(Q15-R15)*6%</f>
        <v>0</v>
      </c>
      <c r="U15" s="1940">
        <f t="shared" ref="U15:U32" si="12">(Q15-R15)*5%</f>
        <v>0</v>
      </c>
      <c r="V15" s="1997"/>
      <c r="W15" s="1997"/>
      <c r="X15" s="1997"/>
      <c r="Y15" s="1997"/>
      <c r="Z15" s="1997"/>
      <c r="AA15" s="1997"/>
      <c r="AB15" s="1997"/>
      <c r="AC15" s="1997"/>
      <c r="AD15" s="1997"/>
      <c r="AE15" s="1997"/>
      <c r="AF15" s="1997"/>
      <c r="AG15" s="1997"/>
      <c r="AH15" s="1997"/>
      <c r="AI15" s="1997"/>
      <c r="AJ15" s="1997"/>
      <c r="AK15" s="1997"/>
      <c r="AL15" s="1997"/>
      <c r="AM15" s="1997"/>
      <c r="AN15" s="1997"/>
      <c r="AO15" s="1997"/>
      <c r="AP15" s="1997"/>
      <c r="AQ15" s="1997"/>
      <c r="AR15" s="1997"/>
      <c r="AS15" s="1997"/>
      <c r="AT15" s="1997"/>
      <c r="AU15" s="1997"/>
      <c r="AV15" s="1997"/>
      <c r="AW15" s="1997"/>
      <c r="AX15" s="1997"/>
      <c r="AY15" s="1997"/>
      <c r="AZ15" s="1997"/>
      <c r="BA15" s="1997"/>
      <c r="BB15" s="1997"/>
      <c r="BC15" s="1997"/>
      <c r="BD15" s="1997"/>
      <c r="BE15" s="1997"/>
      <c r="BF15" s="1997"/>
      <c r="BG15" s="1997"/>
      <c r="BH15" s="1997"/>
      <c r="BI15" s="1997"/>
      <c r="BJ15" s="1997"/>
      <c r="BK15" s="1997"/>
      <c r="BL15" s="1997"/>
      <c r="BM15" s="1997"/>
      <c r="BN15" s="1997"/>
      <c r="BO15" s="1997"/>
      <c r="BP15" s="1997"/>
      <c r="BQ15" s="1997"/>
      <c r="BR15" s="1997"/>
      <c r="BS15" s="1997"/>
      <c r="BT15" s="1997"/>
      <c r="BU15" s="1997"/>
      <c r="BV15" s="1997"/>
      <c r="BW15" s="1997"/>
      <c r="BX15" s="1997"/>
      <c r="BY15" s="1997"/>
      <c r="BZ15" s="1997"/>
      <c r="CA15" s="1997"/>
      <c r="CB15" s="1997"/>
      <c r="CC15" s="1997"/>
      <c r="CD15" s="1997"/>
      <c r="CE15" s="1997"/>
      <c r="CF15" s="1997"/>
      <c r="CG15" s="1997"/>
      <c r="CH15" s="1997"/>
      <c r="CI15" s="1997"/>
      <c r="CJ15" s="1997"/>
      <c r="CK15" s="1997"/>
      <c r="CL15" s="1997"/>
      <c r="CM15" s="1997"/>
      <c r="CN15" s="1997"/>
      <c r="CO15" s="1997"/>
      <c r="CP15" s="1997"/>
      <c r="CQ15" s="1997"/>
      <c r="CR15" s="1997"/>
      <c r="CS15" s="1997"/>
      <c r="CT15" s="1997"/>
      <c r="CU15" s="1997"/>
      <c r="CV15" s="1997"/>
      <c r="CW15" s="1997"/>
      <c r="CX15" s="1997"/>
      <c r="CY15" s="1997"/>
      <c r="CZ15" s="1997"/>
      <c r="DA15" s="1997"/>
      <c r="DB15" s="1997"/>
      <c r="DC15" s="1997"/>
      <c r="DD15" s="1997"/>
      <c r="DE15" s="1997"/>
      <c r="DF15" s="1997"/>
      <c r="DG15" s="1997"/>
      <c r="DH15" s="1997"/>
      <c r="DI15" s="1997"/>
      <c r="DJ15" s="1997"/>
      <c r="DK15" s="1997"/>
      <c r="DL15" s="1997"/>
      <c r="DM15" s="1997"/>
      <c r="DN15" s="1997"/>
      <c r="DO15" s="1997"/>
      <c r="DP15" s="1997"/>
      <c r="DQ15" s="1997"/>
      <c r="DR15" s="1997"/>
      <c r="DS15" s="1997"/>
      <c r="DT15" s="1997"/>
      <c r="DU15" s="1997"/>
      <c r="DV15" s="1997"/>
      <c r="DW15" s="1997"/>
      <c r="DX15" s="1997"/>
      <c r="DY15" s="1997"/>
      <c r="DZ15" s="1997"/>
      <c r="EA15" s="1997"/>
      <c r="EB15" s="1997"/>
      <c r="EC15" s="1997"/>
      <c r="ED15" s="1997"/>
      <c r="EE15" s="1997"/>
      <c r="EF15" s="1997"/>
      <c r="EG15" s="1997"/>
      <c r="EH15" s="1997"/>
      <c r="EI15" s="1997"/>
      <c r="EJ15" s="1997"/>
      <c r="EK15" s="1997"/>
      <c r="EL15" s="1997"/>
      <c r="EM15" s="1997"/>
      <c r="EN15" s="1997"/>
      <c r="EO15" s="1997"/>
      <c r="EP15" s="1997"/>
      <c r="EQ15" s="1997"/>
      <c r="ER15" s="1997"/>
      <c r="ES15" s="1997"/>
      <c r="ET15" s="1997"/>
      <c r="EU15" s="1997"/>
      <c r="EV15" s="1997"/>
      <c r="EW15" s="1997"/>
      <c r="EX15" s="1997"/>
      <c r="EY15" s="1997"/>
      <c r="EZ15" s="1997"/>
      <c r="FA15" s="1997"/>
      <c r="FB15" s="1997"/>
      <c r="FC15" s="1997"/>
      <c r="FD15" s="1997"/>
      <c r="FE15" s="1997"/>
      <c r="FF15" s="1997"/>
      <c r="FG15" s="1997"/>
      <c r="FH15" s="1997"/>
      <c r="FI15" s="1997"/>
      <c r="FJ15" s="1997"/>
      <c r="FK15" s="1997"/>
      <c r="FL15" s="1997"/>
      <c r="FM15" s="1997"/>
      <c r="FN15" s="1997"/>
      <c r="FO15" s="1997"/>
      <c r="FP15" s="1997"/>
      <c r="FQ15" s="1997"/>
      <c r="FR15" s="1997"/>
      <c r="FS15" s="1997"/>
      <c r="FT15" s="1997"/>
      <c r="FU15" s="1997"/>
      <c r="FV15" s="1997"/>
      <c r="FW15" s="1997"/>
      <c r="FX15" s="1997"/>
      <c r="FY15" s="1997"/>
      <c r="FZ15" s="1997"/>
      <c r="GA15" s="1997"/>
      <c r="GB15" s="1997"/>
      <c r="GC15" s="1997"/>
      <c r="GD15" s="1997"/>
      <c r="GE15" s="1997"/>
      <c r="GF15" s="1997"/>
      <c r="GG15" s="1997"/>
      <c r="GH15" s="1997"/>
      <c r="GI15" s="1997"/>
      <c r="GJ15" s="1997"/>
      <c r="GK15" s="1997"/>
      <c r="GL15" s="1997"/>
      <c r="GM15" s="1997"/>
      <c r="GN15" s="1997"/>
      <c r="GO15" s="1997"/>
      <c r="GP15" s="1997"/>
      <c r="GQ15" s="1997"/>
      <c r="GR15" s="1997"/>
      <c r="GS15" s="1997"/>
      <c r="GT15" s="1997"/>
      <c r="GU15" s="1997"/>
      <c r="GV15" s="1997"/>
      <c r="GW15" s="1997"/>
      <c r="GX15" s="1997"/>
      <c r="GY15" s="1997"/>
      <c r="GZ15" s="1997"/>
      <c r="HA15" s="1997"/>
      <c r="HB15" s="1997"/>
      <c r="HC15" s="1997"/>
      <c r="HD15" s="1997"/>
      <c r="HE15" s="1997"/>
      <c r="HF15" s="1997"/>
      <c r="HG15" s="1997"/>
      <c r="HH15" s="1997"/>
      <c r="HI15" s="1997"/>
      <c r="HJ15" s="1997"/>
      <c r="HK15" s="1997"/>
      <c r="HL15" s="1997"/>
      <c r="HM15" s="1997"/>
      <c r="HN15" s="1997"/>
      <c r="HO15" s="1997"/>
      <c r="HP15" s="1997"/>
      <c r="HQ15" s="1997"/>
      <c r="HR15" s="1997"/>
      <c r="HS15" s="1997"/>
      <c r="HT15" s="1997"/>
      <c r="HU15" s="1997"/>
      <c r="HV15" s="1997"/>
      <c r="HW15" s="1997"/>
      <c r="HX15" s="1997"/>
      <c r="HY15" s="1997"/>
      <c r="HZ15" s="1997"/>
      <c r="IA15" s="1997"/>
      <c r="IB15" s="1997"/>
      <c r="IC15" s="1997"/>
      <c r="ID15" s="1997"/>
      <c r="IE15" s="1997"/>
      <c r="IF15" s="1997"/>
      <c r="IG15" s="1997"/>
      <c r="IH15" s="1997"/>
      <c r="II15" s="1997"/>
      <c r="IJ15" s="1997"/>
      <c r="IK15" s="1997"/>
      <c r="IL15" s="1997"/>
      <c r="IM15" s="1997"/>
      <c r="IN15" s="1997"/>
      <c r="IO15" s="1997"/>
      <c r="IP15" s="1997"/>
      <c r="IQ15" s="1997"/>
    </row>
    <row r="16" spans="1:251" hidden="1">
      <c r="A16" s="1993"/>
      <c r="B16" s="1994" t="s">
        <v>524</v>
      </c>
      <c r="C16" s="1998"/>
      <c r="D16" s="2034"/>
      <c r="E16" s="1998"/>
      <c r="F16" s="1996"/>
      <c r="G16" s="1993">
        <v>12</v>
      </c>
      <c r="H16" s="1940">
        <f>D16*F16*G16</f>
        <v>0</v>
      </c>
      <c r="I16" s="1993"/>
      <c r="J16" s="1940">
        <f t="shared" si="5"/>
        <v>0</v>
      </c>
      <c r="K16" s="1993"/>
      <c r="L16" s="1940">
        <f t="shared" si="6"/>
        <v>0</v>
      </c>
      <c r="M16" s="1940">
        <f t="shared" ref="M16:M32" si="13">D16*G16*(J16+L16)</f>
        <v>0</v>
      </c>
      <c r="N16" s="1940">
        <f>H16+M16</f>
        <v>0</v>
      </c>
      <c r="O16" s="1993">
        <f t="shared" si="2"/>
        <v>0</v>
      </c>
      <c r="P16" s="1993">
        <f t="shared" si="3"/>
        <v>0</v>
      </c>
      <c r="Q16" s="1940">
        <f t="shared" si="8"/>
        <v>0</v>
      </c>
      <c r="R16" s="1940">
        <f t="shared" si="9"/>
        <v>0</v>
      </c>
      <c r="S16" s="1940">
        <f t="shared" si="10"/>
        <v>0</v>
      </c>
      <c r="T16" s="1940">
        <f t="shared" si="11"/>
        <v>0</v>
      </c>
      <c r="U16" s="1940">
        <f t="shared" si="12"/>
        <v>0</v>
      </c>
      <c r="V16" s="1997"/>
      <c r="W16" s="1997"/>
      <c r="X16" s="1997"/>
      <c r="Y16" s="1997"/>
      <c r="Z16" s="1997"/>
      <c r="AA16" s="1997"/>
      <c r="AB16" s="1997"/>
      <c r="AC16" s="1997"/>
      <c r="AD16" s="1997"/>
      <c r="AE16" s="1997"/>
      <c r="AF16" s="1997"/>
      <c r="AG16" s="1997"/>
      <c r="AH16" s="1997"/>
      <c r="AI16" s="1997"/>
      <c r="AJ16" s="1997"/>
      <c r="AK16" s="1997"/>
      <c r="AL16" s="1997"/>
      <c r="AM16" s="1997"/>
      <c r="AN16" s="1997"/>
      <c r="AO16" s="1997"/>
      <c r="AP16" s="1997"/>
      <c r="AQ16" s="1997"/>
      <c r="AR16" s="1997"/>
      <c r="AS16" s="1997"/>
      <c r="AT16" s="1997"/>
      <c r="AU16" s="1997"/>
      <c r="AV16" s="1997"/>
      <c r="AW16" s="1997"/>
      <c r="AX16" s="1997"/>
      <c r="AY16" s="1997"/>
      <c r="AZ16" s="1997"/>
      <c r="BA16" s="1997"/>
      <c r="BB16" s="1997"/>
      <c r="BC16" s="1997"/>
      <c r="BD16" s="1997"/>
      <c r="BE16" s="1997"/>
      <c r="BF16" s="1997"/>
      <c r="BG16" s="1997"/>
      <c r="BH16" s="1997"/>
      <c r="BI16" s="1997"/>
      <c r="BJ16" s="1997"/>
      <c r="BK16" s="1997"/>
      <c r="BL16" s="1997"/>
      <c r="BM16" s="1997"/>
      <c r="BN16" s="1997"/>
      <c r="BO16" s="1997"/>
      <c r="BP16" s="1997"/>
      <c r="BQ16" s="1997"/>
      <c r="BR16" s="1997"/>
      <c r="BS16" s="1997"/>
      <c r="BT16" s="1997"/>
      <c r="BU16" s="1997"/>
      <c r="BV16" s="1997"/>
      <c r="BW16" s="1997"/>
      <c r="BX16" s="1997"/>
      <c r="BY16" s="1997"/>
      <c r="BZ16" s="1997"/>
      <c r="CA16" s="1997"/>
      <c r="CB16" s="1997"/>
      <c r="CC16" s="1997"/>
      <c r="CD16" s="1997"/>
      <c r="CE16" s="1997"/>
      <c r="CF16" s="1997"/>
      <c r="CG16" s="1997"/>
      <c r="CH16" s="1997"/>
      <c r="CI16" s="1997"/>
      <c r="CJ16" s="1997"/>
      <c r="CK16" s="1997"/>
      <c r="CL16" s="1997"/>
      <c r="CM16" s="1997"/>
      <c r="CN16" s="1997"/>
      <c r="CO16" s="1997"/>
      <c r="CP16" s="1997"/>
      <c r="CQ16" s="1997"/>
      <c r="CR16" s="1997"/>
      <c r="CS16" s="1997"/>
      <c r="CT16" s="1997"/>
      <c r="CU16" s="1997"/>
      <c r="CV16" s="1997"/>
      <c r="CW16" s="1997"/>
      <c r="CX16" s="1997"/>
      <c r="CY16" s="1997"/>
      <c r="CZ16" s="1997"/>
      <c r="DA16" s="1997"/>
      <c r="DB16" s="1997"/>
      <c r="DC16" s="1997"/>
      <c r="DD16" s="1997"/>
      <c r="DE16" s="1997"/>
      <c r="DF16" s="1997"/>
      <c r="DG16" s="1997"/>
      <c r="DH16" s="1997"/>
      <c r="DI16" s="1997"/>
      <c r="DJ16" s="1997"/>
      <c r="DK16" s="1997"/>
      <c r="DL16" s="1997"/>
      <c r="DM16" s="1997"/>
      <c r="DN16" s="1997"/>
      <c r="DO16" s="1997"/>
      <c r="DP16" s="1997"/>
      <c r="DQ16" s="1997"/>
      <c r="DR16" s="1997"/>
      <c r="DS16" s="1997"/>
      <c r="DT16" s="1997"/>
      <c r="DU16" s="1997"/>
      <c r="DV16" s="1997"/>
      <c r="DW16" s="1997"/>
      <c r="DX16" s="1997"/>
      <c r="DY16" s="1997"/>
      <c r="DZ16" s="1997"/>
      <c r="EA16" s="1997"/>
      <c r="EB16" s="1997"/>
      <c r="EC16" s="1997"/>
      <c r="ED16" s="1997"/>
      <c r="EE16" s="1997"/>
      <c r="EF16" s="1997"/>
      <c r="EG16" s="1997"/>
      <c r="EH16" s="1997"/>
      <c r="EI16" s="1997"/>
      <c r="EJ16" s="1997"/>
      <c r="EK16" s="1997"/>
      <c r="EL16" s="1997"/>
      <c r="EM16" s="1997"/>
      <c r="EN16" s="1997"/>
      <c r="EO16" s="1997"/>
      <c r="EP16" s="1997"/>
      <c r="EQ16" s="1997"/>
      <c r="ER16" s="1997"/>
      <c r="ES16" s="1997"/>
      <c r="ET16" s="1997"/>
      <c r="EU16" s="1997"/>
      <c r="EV16" s="1997"/>
      <c r="EW16" s="1997"/>
      <c r="EX16" s="1997"/>
      <c r="EY16" s="1997"/>
      <c r="EZ16" s="1997"/>
      <c r="FA16" s="1997"/>
      <c r="FB16" s="1997"/>
      <c r="FC16" s="1997"/>
      <c r="FD16" s="1997"/>
      <c r="FE16" s="1997"/>
      <c r="FF16" s="1997"/>
      <c r="FG16" s="1997"/>
      <c r="FH16" s="1997"/>
      <c r="FI16" s="1997"/>
      <c r="FJ16" s="1997"/>
      <c r="FK16" s="1997"/>
      <c r="FL16" s="1997"/>
      <c r="FM16" s="1997"/>
      <c r="FN16" s="1997"/>
      <c r="FO16" s="1997"/>
      <c r="FP16" s="1997"/>
      <c r="FQ16" s="1997"/>
      <c r="FR16" s="1997"/>
      <c r="FS16" s="1997"/>
      <c r="FT16" s="1997"/>
      <c r="FU16" s="1997"/>
      <c r="FV16" s="1997"/>
      <c r="FW16" s="1997"/>
      <c r="FX16" s="1997"/>
      <c r="FY16" s="1997"/>
      <c r="FZ16" s="1997"/>
      <c r="GA16" s="1997"/>
      <c r="GB16" s="1997"/>
      <c r="GC16" s="1997"/>
      <c r="GD16" s="1997"/>
      <c r="GE16" s="1997"/>
      <c r="GF16" s="1997"/>
      <c r="GG16" s="1997"/>
      <c r="GH16" s="1997"/>
      <c r="GI16" s="1997"/>
      <c r="GJ16" s="1997"/>
      <c r="GK16" s="1997"/>
      <c r="GL16" s="1997"/>
      <c r="GM16" s="1997"/>
      <c r="GN16" s="1997"/>
      <c r="GO16" s="1997"/>
      <c r="GP16" s="1997"/>
      <c r="GQ16" s="1997"/>
      <c r="GR16" s="1997"/>
      <c r="GS16" s="1997"/>
      <c r="GT16" s="1997"/>
      <c r="GU16" s="1997"/>
      <c r="GV16" s="1997"/>
      <c r="GW16" s="1997"/>
      <c r="GX16" s="1997"/>
      <c r="GY16" s="1997"/>
      <c r="GZ16" s="1997"/>
      <c r="HA16" s="1997"/>
      <c r="HB16" s="1997"/>
      <c r="HC16" s="1997"/>
      <c r="HD16" s="1997"/>
      <c r="HE16" s="1997"/>
      <c r="HF16" s="1997"/>
      <c r="HG16" s="1997"/>
      <c r="HH16" s="1997"/>
      <c r="HI16" s="1997"/>
      <c r="HJ16" s="1997"/>
      <c r="HK16" s="1997"/>
      <c r="HL16" s="1997"/>
      <c r="HM16" s="1997"/>
      <c r="HN16" s="1997"/>
      <c r="HO16" s="1997"/>
      <c r="HP16" s="1997"/>
      <c r="HQ16" s="1997"/>
      <c r="HR16" s="1997"/>
      <c r="HS16" s="1997"/>
      <c r="HT16" s="1997"/>
      <c r="HU16" s="1997"/>
      <c r="HV16" s="1997"/>
      <c r="HW16" s="1997"/>
      <c r="HX16" s="1997"/>
      <c r="HY16" s="1997"/>
      <c r="HZ16" s="1997"/>
      <c r="IA16" s="1997"/>
      <c r="IB16" s="1997"/>
      <c r="IC16" s="1997"/>
      <c r="ID16" s="1997"/>
      <c r="IE16" s="1997"/>
      <c r="IF16" s="1997"/>
      <c r="IG16" s="1997"/>
      <c r="IH16" s="1997"/>
      <c r="II16" s="1997"/>
      <c r="IJ16" s="1997"/>
      <c r="IK16" s="1997"/>
      <c r="IL16" s="1997"/>
      <c r="IM16" s="1997"/>
      <c r="IN16" s="1997"/>
      <c r="IO16" s="1997"/>
      <c r="IP16" s="1997"/>
      <c r="IQ16" s="1997"/>
    </row>
    <row r="17" spans="1:251" hidden="1">
      <c r="A17" s="1993"/>
      <c r="B17" s="1998"/>
      <c r="C17" s="1998"/>
      <c r="D17" s="2034"/>
      <c r="E17" s="1998"/>
      <c r="F17" s="1940">
        <f t="shared" ref="F17:F63" si="14">ROUNDUP((E17*$Q$5),-3)</f>
        <v>0</v>
      </c>
      <c r="G17" s="1993"/>
      <c r="H17" s="1940">
        <f t="shared" si="4"/>
        <v>0</v>
      </c>
      <c r="I17" s="1993"/>
      <c r="J17" s="1940">
        <f t="shared" si="5"/>
        <v>0</v>
      </c>
      <c r="K17" s="1993"/>
      <c r="L17" s="1940">
        <f t="shared" si="6"/>
        <v>0</v>
      </c>
      <c r="M17" s="1940">
        <f t="shared" si="13"/>
        <v>0</v>
      </c>
      <c r="N17" s="1940">
        <f t="shared" si="7"/>
        <v>0</v>
      </c>
      <c r="O17" s="1993"/>
      <c r="P17" s="1993"/>
      <c r="Q17" s="1940">
        <f t="shared" si="8"/>
        <v>0</v>
      </c>
      <c r="R17" s="1940">
        <f t="shared" si="9"/>
        <v>0</v>
      </c>
      <c r="S17" s="1940">
        <f t="shared" si="10"/>
        <v>0</v>
      </c>
      <c r="T17" s="1940">
        <f t="shared" si="11"/>
        <v>0</v>
      </c>
      <c r="U17" s="1940">
        <f t="shared" si="12"/>
        <v>0</v>
      </c>
      <c r="V17" s="1997"/>
      <c r="W17" s="1997"/>
      <c r="X17" s="1997"/>
      <c r="Y17" s="1997"/>
      <c r="Z17" s="1997"/>
      <c r="AA17" s="1997"/>
      <c r="AB17" s="1997"/>
      <c r="AC17" s="1997"/>
      <c r="AD17" s="1997"/>
      <c r="AE17" s="1997"/>
      <c r="AF17" s="1997"/>
      <c r="AG17" s="1997"/>
      <c r="AH17" s="1997"/>
      <c r="AI17" s="1997"/>
      <c r="AJ17" s="1997"/>
      <c r="AK17" s="1997"/>
      <c r="AL17" s="1997"/>
      <c r="AM17" s="1997"/>
      <c r="AN17" s="1997"/>
      <c r="AO17" s="1997"/>
      <c r="AP17" s="1997"/>
      <c r="AQ17" s="1997"/>
      <c r="AR17" s="1997"/>
      <c r="AS17" s="1997"/>
      <c r="AT17" s="1997"/>
      <c r="AU17" s="1997"/>
      <c r="AV17" s="1997"/>
      <c r="AW17" s="1997"/>
      <c r="AX17" s="1997"/>
      <c r="AY17" s="1997"/>
      <c r="AZ17" s="1997"/>
      <c r="BA17" s="1997"/>
      <c r="BB17" s="1997"/>
      <c r="BC17" s="1997"/>
      <c r="BD17" s="1997"/>
      <c r="BE17" s="1997"/>
      <c r="BF17" s="1997"/>
      <c r="BG17" s="1997"/>
      <c r="BH17" s="1997"/>
      <c r="BI17" s="1997"/>
      <c r="BJ17" s="1997"/>
      <c r="BK17" s="1997"/>
      <c r="BL17" s="1997"/>
      <c r="BM17" s="1997"/>
      <c r="BN17" s="1997"/>
      <c r="BO17" s="1997"/>
      <c r="BP17" s="1997"/>
      <c r="BQ17" s="1997"/>
      <c r="BR17" s="1997"/>
      <c r="BS17" s="1997"/>
      <c r="BT17" s="1997"/>
      <c r="BU17" s="1997"/>
      <c r="BV17" s="1997"/>
      <c r="BW17" s="1997"/>
      <c r="BX17" s="1997"/>
      <c r="BY17" s="1997"/>
      <c r="BZ17" s="1997"/>
      <c r="CA17" s="1997"/>
      <c r="CB17" s="1997"/>
      <c r="CC17" s="1997"/>
      <c r="CD17" s="1997"/>
      <c r="CE17" s="1997"/>
      <c r="CF17" s="1997"/>
      <c r="CG17" s="1997"/>
      <c r="CH17" s="1997"/>
      <c r="CI17" s="1997"/>
      <c r="CJ17" s="1997"/>
      <c r="CK17" s="1997"/>
      <c r="CL17" s="1997"/>
      <c r="CM17" s="1997"/>
      <c r="CN17" s="1997"/>
      <c r="CO17" s="1997"/>
      <c r="CP17" s="1997"/>
      <c r="CQ17" s="1997"/>
      <c r="CR17" s="1997"/>
      <c r="CS17" s="1997"/>
      <c r="CT17" s="1997"/>
      <c r="CU17" s="1997"/>
      <c r="CV17" s="1997"/>
      <c r="CW17" s="1997"/>
      <c r="CX17" s="1997"/>
      <c r="CY17" s="1997"/>
      <c r="CZ17" s="1997"/>
      <c r="DA17" s="1997"/>
      <c r="DB17" s="1997"/>
      <c r="DC17" s="1997"/>
      <c r="DD17" s="1997"/>
      <c r="DE17" s="1997"/>
      <c r="DF17" s="1997"/>
      <c r="DG17" s="1997"/>
      <c r="DH17" s="1997"/>
      <c r="DI17" s="1997"/>
      <c r="DJ17" s="1997"/>
      <c r="DK17" s="1997"/>
      <c r="DL17" s="1997"/>
      <c r="DM17" s="1997"/>
      <c r="DN17" s="1997"/>
      <c r="DO17" s="1997"/>
      <c r="DP17" s="1997"/>
      <c r="DQ17" s="1997"/>
      <c r="DR17" s="1997"/>
      <c r="DS17" s="1997"/>
      <c r="DT17" s="1997"/>
      <c r="DU17" s="1997"/>
      <c r="DV17" s="1997"/>
      <c r="DW17" s="1997"/>
      <c r="DX17" s="1997"/>
      <c r="DY17" s="1997"/>
      <c r="DZ17" s="1997"/>
      <c r="EA17" s="1997"/>
      <c r="EB17" s="1997"/>
      <c r="EC17" s="1997"/>
      <c r="ED17" s="1997"/>
      <c r="EE17" s="1997"/>
      <c r="EF17" s="1997"/>
      <c r="EG17" s="1997"/>
      <c r="EH17" s="1997"/>
      <c r="EI17" s="1997"/>
      <c r="EJ17" s="1997"/>
      <c r="EK17" s="1997"/>
      <c r="EL17" s="1997"/>
      <c r="EM17" s="1997"/>
      <c r="EN17" s="1997"/>
      <c r="EO17" s="1997"/>
      <c r="EP17" s="1997"/>
      <c r="EQ17" s="1997"/>
      <c r="ER17" s="1997"/>
      <c r="ES17" s="1997"/>
      <c r="ET17" s="1997"/>
      <c r="EU17" s="1997"/>
      <c r="EV17" s="1997"/>
      <c r="EW17" s="1997"/>
      <c r="EX17" s="1997"/>
      <c r="EY17" s="1997"/>
      <c r="EZ17" s="1997"/>
      <c r="FA17" s="1997"/>
      <c r="FB17" s="1997"/>
      <c r="FC17" s="1997"/>
      <c r="FD17" s="1997"/>
      <c r="FE17" s="1997"/>
      <c r="FF17" s="1997"/>
      <c r="FG17" s="1997"/>
      <c r="FH17" s="1997"/>
      <c r="FI17" s="1997"/>
      <c r="FJ17" s="1997"/>
      <c r="FK17" s="1997"/>
      <c r="FL17" s="1997"/>
      <c r="FM17" s="1997"/>
      <c r="FN17" s="1997"/>
      <c r="FO17" s="1997"/>
      <c r="FP17" s="1997"/>
      <c r="FQ17" s="1997"/>
      <c r="FR17" s="1997"/>
      <c r="FS17" s="1997"/>
      <c r="FT17" s="1997"/>
      <c r="FU17" s="1997"/>
      <c r="FV17" s="1997"/>
      <c r="FW17" s="1997"/>
      <c r="FX17" s="1997"/>
      <c r="FY17" s="1997"/>
      <c r="FZ17" s="1997"/>
      <c r="GA17" s="1997"/>
      <c r="GB17" s="1997"/>
      <c r="GC17" s="1997"/>
      <c r="GD17" s="1997"/>
      <c r="GE17" s="1997"/>
      <c r="GF17" s="1997"/>
      <c r="GG17" s="1997"/>
      <c r="GH17" s="1997"/>
      <c r="GI17" s="1997"/>
      <c r="GJ17" s="1997"/>
      <c r="GK17" s="1997"/>
      <c r="GL17" s="1997"/>
      <c r="GM17" s="1997"/>
      <c r="GN17" s="1997"/>
      <c r="GO17" s="1997"/>
      <c r="GP17" s="1997"/>
      <c r="GQ17" s="1997"/>
      <c r="GR17" s="1997"/>
      <c r="GS17" s="1997"/>
      <c r="GT17" s="1997"/>
      <c r="GU17" s="1997"/>
      <c r="GV17" s="1997"/>
      <c r="GW17" s="1997"/>
      <c r="GX17" s="1997"/>
      <c r="GY17" s="1997"/>
      <c r="GZ17" s="1997"/>
      <c r="HA17" s="1997"/>
      <c r="HB17" s="1997"/>
      <c r="HC17" s="1997"/>
      <c r="HD17" s="1997"/>
      <c r="HE17" s="1997"/>
      <c r="HF17" s="1997"/>
      <c r="HG17" s="1997"/>
      <c r="HH17" s="1997"/>
      <c r="HI17" s="1997"/>
      <c r="HJ17" s="1997"/>
      <c r="HK17" s="1997"/>
      <c r="HL17" s="1997"/>
      <c r="HM17" s="1997"/>
      <c r="HN17" s="1997"/>
      <c r="HO17" s="1997"/>
      <c r="HP17" s="1997"/>
      <c r="HQ17" s="1997"/>
      <c r="HR17" s="1997"/>
      <c r="HS17" s="1997"/>
      <c r="HT17" s="1997"/>
      <c r="HU17" s="1997"/>
      <c r="HV17" s="1997"/>
      <c r="HW17" s="1997"/>
      <c r="HX17" s="1997"/>
      <c r="HY17" s="1997"/>
      <c r="HZ17" s="1997"/>
      <c r="IA17" s="1997"/>
      <c r="IB17" s="1997"/>
      <c r="IC17" s="1997"/>
      <c r="ID17" s="1997"/>
      <c r="IE17" s="1997"/>
      <c r="IF17" s="1997"/>
      <c r="IG17" s="1997"/>
      <c r="IH17" s="1997"/>
      <c r="II17" s="1997"/>
      <c r="IJ17" s="1997"/>
      <c r="IK17" s="1997"/>
      <c r="IL17" s="1997"/>
      <c r="IM17" s="1997"/>
      <c r="IN17" s="1997"/>
      <c r="IO17" s="1997"/>
      <c r="IP17" s="1997"/>
      <c r="IQ17" s="1997"/>
    </row>
    <row r="18" spans="1:251" hidden="1">
      <c r="A18" s="1993"/>
      <c r="B18" s="1998"/>
      <c r="C18" s="1998"/>
      <c r="D18" s="2034"/>
      <c r="E18" s="1998"/>
      <c r="F18" s="1940">
        <f t="shared" si="14"/>
        <v>0</v>
      </c>
      <c r="G18" s="1993"/>
      <c r="H18" s="1940">
        <f t="shared" si="4"/>
        <v>0</v>
      </c>
      <c r="I18" s="1993"/>
      <c r="J18" s="1940">
        <f t="shared" si="5"/>
        <v>0</v>
      </c>
      <c r="K18" s="1993"/>
      <c r="L18" s="1940">
        <f t="shared" si="6"/>
        <v>0</v>
      </c>
      <c r="M18" s="1940">
        <f t="shared" si="13"/>
        <v>0</v>
      </c>
      <c r="N18" s="1940">
        <f t="shared" si="7"/>
        <v>0</v>
      </c>
      <c r="O18" s="1993"/>
      <c r="P18" s="1993"/>
      <c r="Q18" s="1940">
        <f t="shared" si="8"/>
        <v>0</v>
      </c>
      <c r="R18" s="1940">
        <f t="shared" si="9"/>
        <v>0</v>
      </c>
      <c r="S18" s="1940">
        <f t="shared" si="10"/>
        <v>0</v>
      </c>
      <c r="T18" s="1940">
        <f t="shared" si="11"/>
        <v>0</v>
      </c>
      <c r="U18" s="1940">
        <f t="shared" si="12"/>
        <v>0</v>
      </c>
      <c r="V18" s="1997"/>
      <c r="W18" s="1997"/>
      <c r="X18" s="1997"/>
      <c r="Y18" s="1997"/>
      <c r="Z18" s="1997"/>
      <c r="AA18" s="1997"/>
      <c r="AB18" s="1997"/>
      <c r="AC18" s="1997"/>
      <c r="AD18" s="1997"/>
      <c r="AE18" s="1997"/>
      <c r="AF18" s="1997"/>
      <c r="AG18" s="1997"/>
      <c r="AH18" s="1997"/>
      <c r="AI18" s="1997"/>
      <c r="AJ18" s="1997"/>
      <c r="AK18" s="1997"/>
      <c r="AL18" s="1997"/>
      <c r="AM18" s="1997"/>
      <c r="AN18" s="1997"/>
      <c r="AO18" s="1997"/>
      <c r="AP18" s="1997"/>
      <c r="AQ18" s="1997"/>
      <c r="AR18" s="1997"/>
      <c r="AS18" s="1997"/>
      <c r="AT18" s="1997"/>
      <c r="AU18" s="1997"/>
      <c r="AV18" s="1997"/>
      <c r="AW18" s="1997"/>
      <c r="AX18" s="1997"/>
      <c r="AY18" s="1997"/>
      <c r="AZ18" s="1997"/>
      <c r="BA18" s="1997"/>
      <c r="BB18" s="1997"/>
      <c r="BC18" s="1997"/>
      <c r="BD18" s="1997"/>
      <c r="BE18" s="1997"/>
      <c r="BF18" s="1997"/>
      <c r="BG18" s="1997"/>
      <c r="BH18" s="1997"/>
      <c r="BI18" s="1997"/>
      <c r="BJ18" s="1997"/>
      <c r="BK18" s="1997"/>
      <c r="BL18" s="1997"/>
      <c r="BM18" s="1997"/>
      <c r="BN18" s="1997"/>
      <c r="BO18" s="1997"/>
      <c r="BP18" s="1997"/>
      <c r="BQ18" s="1997"/>
      <c r="BR18" s="1997"/>
      <c r="BS18" s="1997"/>
      <c r="BT18" s="1997"/>
      <c r="BU18" s="1997"/>
      <c r="BV18" s="1997"/>
      <c r="BW18" s="1997"/>
      <c r="BX18" s="1997"/>
      <c r="BY18" s="1997"/>
      <c r="BZ18" s="1997"/>
      <c r="CA18" s="1997"/>
      <c r="CB18" s="1997"/>
      <c r="CC18" s="1997"/>
      <c r="CD18" s="1997"/>
      <c r="CE18" s="1997"/>
      <c r="CF18" s="1997"/>
      <c r="CG18" s="1997"/>
      <c r="CH18" s="1997"/>
      <c r="CI18" s="1997"/>
      <c r="CJ18" s="1997"/>
      <c r="CK18" s="1997"/>
      <c r="CL18" s="1997"/>
      <c r="CM18" s="1997"/>
      <c r="CN18" s="1997"/>
      <c r="CO18" s="1997"/>
      <c r="CP18" s="1997"/>
      <c r="CQ18" s="1997"/>
      <c r="CR18" s="1997"/>
      <c r="CS18" s="1997"/>
      <c r="CT18" s="1997"/>
      <c r="CU18" s="1997"/>
      <c r="CV18" s="1997"/>
      <c r="CW18" s="1997"/>
      <c r="CX18" s="1997"/>
      <c r="CY18" s="1997"/>
      <c r="CZ18" s="1997"/>
      <c r="DA18" s="1997"/>
      <c r="DB18" s="1997"/>
      <c r="DC18" s="1997"/>
      <c r="DD18" s="1997"/>
      <c r="DE18" s="1997"/>
      <c r="DF18" s="1997"/>
      <c r="DG18" s="1997"/>
      <c r="DH18" s="1997"/>
      <c r="DI18" s="1997"/>
      <c r="DJ18" s="1997"/>
      <c r="DK18" s="1997"/>
      <c r="DL18" s="1997"/>
      <c r="DM18" s="1997"/>
      <c r="DN18" s="1997"/>
      <c r="DO18" s="1997"/>
      <c r="DP18" s="1997"/>
      <c r="DQ18" s="1997"/>
      <c r="DR18" s="1997"/>
      <c r="DS18" s="1997"/>
      <c r="DT18" s="1997"/>
      <c r="DU18" s="1997"/>
      <c r="DV18" s="1997"/>
      <c r="DW18" s="1997"/>
      <c r="DX18" s="1997"/>
      <c r="DY18" s="1997"/>
      <c r="DZ18" s="1997"/>
      <c r="EA18" s="1997"/>
      <c r="EB18" s="1997"/>
      <c r="EC18" s="1997"/>
      <c r="ED18" s="1997"/>
      <c r="EE18" s="1997"/>
      <c r="EF18" s="1997"/>
      <c r="EG18" s="1997"/>
      <c r="EH18" s="1997"/>
      <c r="EI18" s="1997"/>
      <c r="EJ18" s="1997"/>
      <c r="EK18" s="1997"/>
      <c r="EL18" s="1997"/>
      <c r="EM18" s="1997"/>
      <c r="EN18" s="1997"/>
      <c r="EO18" s="1997"/>
      <c r="EP18" s="1997"/>
      <c r="EQ18" s="1997"/>
      <c r="ER18" s="1997"/>
      <c r="ES18" s="1997"/>
      <c r="ET18" s="1997"/>
      <c r="EU18" s="1997"/>
      <c r="EV18" s="1997"/>
      <c r="EW18" s="1997"/>
      <c r="EX18" s="1997"/>
      <c r="EY18" s="1997"/>
      <c r="EZ18" s="1997"/>
      <c r="FA18" s="1997"/>
      <c r="FB18" s="1997"/>
      <c r="FC18" s="1997"/>
      <c r="FD18" s="1997"/>
      <c r="FE18" s="1997"/>
      <c r="FF18" s="1997"/>
      <c r="FG18" s="1997"/>
      <c r="FH18" s="1997"/>
      <c r="FI18" s="1997"/>
      <c r="FJ18" s="1997"/>
      <c r="FK18" s="1997"/>
      <c r="FL18" s="1997"/>
      <c r="FM18" s="1997"/>
      <c r="FN18" s="1997"/>
      <c r="FO18" s="1997"/>
      <c r="FP18" s="1997"/>
      <c r="FQ18" s="1997"/>
      <c r="FR18" s="1997"/>
      <c r="FS18" s="1997"/>
      <c r="FT18" s="1997"/>
      <c r="FU18" s="1997"/>
      <c r="FV18" s="1997"/>
      <c r="FW18" s="1997"/>
      <c r="FX18" s="1997"/>
      <c r="FY18" s="1997"/>
      <c r="FZ18" s="1997"/>
      <c r="GA18" s="1997"/>
      <c r="GB18" s="1997"/>
      <c r="GC18" s="1997"/>
      <c r="GD18" s="1997"/>
      <c r="GE18" s="1997"/>
      <c r="GF18" s="1997"/>
      <c r="GG18" s="1997"/>
      <c r="GH18" s="1997"/>
      <c r="GI18" s="1997"/>
      <c r="GJ18" s="1997"/>
      <c r="GK18" s="1997"/>
      <c r="GL18" s="1997"/>
      <c r="GM18" s="1997"/>
      <c r="GN18" s="1997"/>
      <c r="GO18" s="1997"/>
      <c r="GP18" s="1997"/>
      <c r="GQ18" s="1997"/>
      <c r="GR18" s="1997"/>
      <c r="GS18" s="1997"/>
      <c r="GT18" s="1997"/>
      <c r="GU18" s="1997"/>
      <c r="GV18" s="1997"/>
      <c r="GW18" s="1997"/>
      <c r="GX18" s="1997"/>
      <c r="GY18" s="1997"/>
      <c r="GZ18" s="1997"/>
      <c r="HA18" s="1997"/>
      <c r="HB18" s="1997"/>
      <c r="HC18" s="1997"/>
      <c r="HD18" s="1997"/>
      <c r="HE18" s="1997"/>
      <c r="HF18" s="1997"/>
      <c r="HG18" s="1997"/>
      <c r="HH18" s="1997"/>
      <c r="HI18" s="1997"/>
      <c r="HJ18" s="1997"/>
      <c r="HK18" s="1997"/>
      <c r="HL18" s="1997"/>
      <c r="HM18" s="1997"/>
      <c r="HN18" s="1997"/>
      <c r="HO18" s="1997"/>
      <c r="HP18" s="1997"/>
      <c r="HQ18" s="1997"/>
      <c r="HR18" s="1997"/>
      <c r="HS18" s="1997"/>
      <c r="HT18" s="1997"/>
      <c r="HU18" s="1997"/>
      <c r="HV18" s="1997"/>
      <c r="HW18" s="1997"/>
      <c r="HX18" s="1997"/>
      <c r="HY18" s="1997"/>
      <c r="HZ18" s="1997"/>
      <c r="IA18" s="1997"/>
      <c r="IB18" s="1997"/>
      <c r="IC18" s="1997"/>
      <c r="ID18" s="1997"/>
      <c r="IE18" s="1997"/>
      <c r="IF18" s="1997"/>
      <c r="IG18" s="1997"/>
      <c r="IH18" s="1997"/>
      <c r="II18" s="1997"/>
      <c r="IJ18" s="1997"/>
      <c r="IK18" s="1997"/>
      <c r="IL18" s="1997"/>
      <c r="IM18" s="1997"/>
      <c r="IN18" s="1997"/>
      <c r="IO18" s="1997"/>
      <c r="IP18" s="1997"/>
      <c r="IQ18" s="1997"/>
    </row>
    <row r="19" spans="1:251" hidden="1">
      <c r="A19" s="1993"/>
      <c r="B19" s="1998"/>
      <c r="C19" s="1998"/>
      <c r="D19" s="2034"/>
      <c r="E19" s="1998"/>
      <c r="F19" s="1940">
        <f t="shared" si="14"/>
        <v>0</v>
      </c>
      <c r="G19" s="1993"/>
      <c r="H19" s="1940">
        <f t="shared" si="4"/>
        <v>0</v>
      </c>
      <c r="I19" s="1993"/>
      <c r="J19" s="1940">
        <f t="shared" si="5"/>
        <v>0</v>
      </c>
      <c r="K19" s="1993"/>
      <c r="L19" s="1940">
        <f t="shared" si="6"/>
        <v>0</v>
      </c>
      <c r="M19" s="1940">
        <f t="shared" si="13"/>
        <v>0</v>
      </c>
      <c r="N19" s="1940">
        <f t="shared" si="7"/>
        <v>0</v>
      </c>
      <c r="O19" s="1993"/>
      <c r="P19" s="1993"/>
      <c r="Q19" s="1940">
        <f t="shared" si="8"/>
        <v>0</v>
      </c>
      <c r="R19" s="1940">
        <f t="shared" si="9"/>
        <v>0</v>
      </c>
      <c r="S19" s="1940">
        <f t="shared" si="10"/>
        <v>0</v>
      </c>
      <c r="T19" s="1940">
        <f t="shared" si="11"/>
        <v>0</v>
      </c>
      <c r="U19" s="1940">
        <f t="shared" si="12"/>
        <v>0</v>
      </c>
      <c r="V19" s="1997"/>
      <c r="W19" s="1997"/>
      <c r="X19" s="1997"/>
      <c r="Y19" s="1997"/>
      <c r="Z19" s="1997"/>
      <c r="AA19" s="1997"/>
      <c r="AB19" s="1997"/>
      <c r="AC19" s="1997"/>
      <c r="AD19" s="1997"/>
      <c r="AE19" s="1997"/>
      <c r="AF19" s="1997"/>
      <c r="AG19" s="1997"/>
      <c r="AH19" s="1997"/>
      <c r="AI19" s="1997"/>
      <c r="AJ19" s="1997"/>
      <c r="AK19" s="1997"/>
      <c r="AL19" s="1997"/>
      <c r="AM19" s="1997"/>
      <c r="AN19" s="1997"/>
      <c r="AO19" s="1997"/>
      <c r="AP19" s="1997"/>
      <c r="AQ19" s="1997"/>
      <c r="AR19" s="1997"/>
      <c r="AS19" s="1997"/>
      <c r="AT19" s="1997"/>
      <c r="AU19" s="1997"/>
      <c r="AV19" s="1997"/>
      <c r="AW19" s="1997"/>
      <c r="AX19" s="1997"/>
      <c r="AY19" s="1997"/>
      <c r="AZ19" s="1997"/>
      <c r="BA19" s="1997"/>
      <c r="BB19" s="1997"/>
      <c r="BC19" s="1997"/>
      <c r="BD19" s="1997"/>
      <c r="BE19" s="1997"/>
      <c r="BF19" s="1997"/>
      <c r="BG19" s="1997"/>
      <c r="BH19" s="1997"/>
      <c r="BI19" s="1997"/>
      <c r="BJ19" s="1997"/>
      <c r="BK19" s="1997"/>
      <c r="BL19" s="1997"/>
      <c r="BM19" s="1997"/>
      <c r="BN19" s="1997"/>
      <c r="BO19" s="1997"/>
      <c r="BP19" s="1997"/>
      <c r="BQ19" s="1997"/>
      <c r="BR19" s="1997"/>
      <c r="BS19" s="1997"/>
      <c r="BT19" s="1997"/>
      <c r="BU19" s="1997"/>
      <c r="BV19" s="1997"/>
      <c r="BW19" s="1997"/>
      <c r="BX19" s="1997"/>
      <c r="BY19" s="1997"/>
      <c r="BZ19" s="1997"/>
      <c r="CA19" s="1997"/>
      <c r="CB19" s="1997"/>
      <c r="CC19" s="1997"/>
      <c r="CD19" s="1997"/>
      <c r="CE19" s="1997"/>
      <c r="CF19" s="1997"/>
      <c r="CG19" s="1997"/>
      <c r="CH19" s="1997"/>
      <c r="CI19" s="1997"/>
      <c r="CJ19" s="1997"/>
      <c r="CK19" s="1997"/>
      <c r="CL19" s="1997"/>
      <c r="CM19" s="1997"/>
      <c r="CN19" s="1997"/>
      <c r="CO19" s="1997"/>
      <c r="CP19" s="1997"/>
      <c r="CQ19" s="1997"/>
      <c r="CR19" s="1997"/>
      <c r="CS19" s="1997"/>
      <c r="CT19" s="1997"/>
      <c r="CU19" s="1997"/>
      <c r="CV19" s="1997"/>
      <c r="CW19" s="1997"/>
      <c r="CX19" s="1997"/>
      <c r="CY19" s="1997"/>
      <c r="CZ19" s="1997"/>
      <c r="DA19" s="1997"/>
      <c r="DB19" s="1997"/>
      <c r="DC19" s="1997"/>
      <c r="DD19" s="1997"/>
      <c r="DE19" s="1997"/>
      <c r="DF19" s="1997"/>
      <c r="DG19" s="1997"/>
      <c r="DH19" s="1997"/>
      <c r="DI19" s="1997"/>
      <c r="DJ19" s="1997"/>
      <c r="DK19" s="1997"/>
      <c r="DL19" s="1997"/>
      <c r="DM19" s="1997"/>
      <c r="DN19" s="1997"/>
      <c r="DO19" s="1997"/>
      <c r="DP19" s="1997"/>
      <c r="DQ19" s="1997"/>
      <c r="DR19" s="1997"/>
      <c r="DS19" s="1997"/>
      <c r="DT19" s="1997"/>
      <c r="DU19" s="1997"/>
      <c r="DV19" s="1997"/>
      <c r="DW19" s="1997"/>
      <c r="DX19" s="1997"/>
      <c r="DY19" s="1997"/>
      <c r="DZ19" s="1997"/>
      <c r="EA19" s="1997"/>
      <c r="EB19" s="1997"/>
      <c r="EC19" s="1997"/>
      <c r="ED19" s="1997"/>
      <c r="EE19" s="1997"/>
      <c r="EF19" s="1997"/>
      <c r="EG19" s="1997"/>
      <c r="EH19" s="1997"/>
      <c r="EI19" s="1997"/>
      <c r="EJ19" s="1997"/>
      <c r="EK19" s="1997"/>
      <c r="EL19" s="1997"/>
      <c r="EM19" s="1997"/>
      <c r="EN19" s="1997"/>
      <c r="EO19" s="1997"/>
      <c r="EP19" s="1997"/>
      <c r="EQ19" s="1997"/>
      <c r="ER19" s="1997"/>
      <c r="ES19" s="1997"/>
      <c r="ET19" s="1997"/>
      <c r="EU19" s="1997"/>
      <c r="EV19" s="1997"/>
      <c r="EW19" s="1997"/>
      <c r="EX19" s="1997"/>
      <c r="EY19" s="1997"/>
      <c r="EZ19" s="1997"/>
      <c r="FA19" s="1997"/>
      <c r="FB19" s="1997"/>
      <c r="FC19" s="1997"/>
      <c r="FD19" s="1997"/>
      <c r="FE19" s="1997"/>
      <c r="FF19" s="1997"/>
      <c r="FG19" s="1997"/>
      <c r="FH19" s="1997"/>
      <c r="FI19" s="1997"/>
      <c r="FJ19" s="1997"/>
      <c r="FK19" s="1997"/>
      <c r="FL19" s="1997"/>
      <c r="FM19" s="1997"/>
      <c r="FN19" s="1997"/>
      <c r="FO19" s="1997"/>
      <c r="FP19" s="1997"/>
      <c r="FQ19" s="1997"/>
      <c r="FR19" s="1997"/>
      <c r="FS19" s="1997"/>
      <c r="FT19" s="1997"/>
      <c r="FU19" s="1997"/>
      <c r="FV19" s="1997"/>
      <c r="FW19" s="1997"/>
      <c r="FX19" s="1997"/>
      <c r="FY19" s="1997"/>
      <c r="FZ19" s="1997"/>
      <c r="GA19" s="1997"/>
      <c r="GB19" s="1997"/>
      <c r="GC19" s="1997"/>
      <c r="GD19" s="1997"/>
      <c r="GE19" s="1997"/>
      <c r="GF19" s="1997"/>
      <c r="GG19" s="1997"/>
      <c r="GH19" s="1997"/>
      <c r="GI19" s="1997"/>
      <c r="GJ19" s="1997"/>
      <c r="GK19" s="1997"/>
      <c r="GL19" s="1997"/>
      <c r="GM19" s="1997"/>
      <c r="GN19" s="1997"/>
      <c r="GO19" s="1997"/>
      <c r="GP19" s="1997"/>
      <c r="GQ19" s="1997"/>
      <c r="GR19" s="1997"/>
      <c r="GS19" s="1997"/>
      <c r="GT19" s="1997"/>
      <c r="GU19" s="1997"/>
      <c r="GV19" s="1997"/>
      <c r="GW19" s="1997"/>
      <c r="GX19" s="1997"/>
      <c r="GY19" s="1997"/>
      <c r="GZ19" s="1997"/>
      <c r="HA19" s="1997"/>
      <c r="HB19" s="1997"/>
      <c r="HC19" s="1997"/>
      <c r="HD19" s="1997"/>
      <c r="HE19" s="1997"/>
      <c r="HF19" s="1997"/>
      <c r="HG19" s="1997"/>
      <c r="HH19" s="1997"/>
      <c r="HI19" s="1997"/>
      <c r="HJ19" s="1997"/>
      <c r="HK19" s="1997"/>
      <c r="HL19" s="1997"/>
      <c r="HM19" s="1997"/>
      <c r="HN19" s="1997"/>
      <c r="HO19" s="1997"/>
      <c r="HP19" s="1997"/>
      <c r="HQ19" s="1997"/>
      <c r="HR19" s="1997"/>
      <c r="HS19" s="1997"/>
      <c r="HT19" s="1997"/>
      <c r="HU19" s="1997"/>
      <c r="HV19" s="1997"/>
      <c r="HW19" s="1997"/>
      <c r="HX19" s="1997"/>
      <c r="HY19" s="1997"/>
      <c r="HZ19" s="1997"/>
      <c r="IA19" s="1997"/>
      <c r="IB19" s="1997"/>
      <c r="IC19" s="1997"/>
      <c r="ID19" s="1997"/>
      <c r="IE19" s="1997"/>
      <c r="IF19" s="1997"/>
      <c r="IG19" s="1997"/>
      <c r="IH19" s="1997"/>
      <c r="II19" s="1997"/>
      <c r="IJ19" s="1997"/>
      <c r="IK19" s="1997"/>
      <c r="IL19" s="1997"/>
      <c r="IM19" s="1997"/>
      <c r="IN19" s="1997"/>
      <c r="IO19" s="1997"/>
      <c r="IP19" s="1997"/>
      <c r="IQ19" s="1997"/>
    </row>
    <row r="20" spans="1:251" hidden="1">
      <c r="A20" s="1993"/>
      <c r="B20" s="1998"/>
      <c r="C20" s="1998"/>
      <c r="D20" s="2034"/>
      <c r="E20" s="1998"/>
      <c r="F20" s="1940">
        <f t="shared" si="14"/>
        <v>0</v>
      </c>
      <c r="G20" s="1993"/>
      <c r="H20" s="1940">
        <f t="shared" si="4"/>
        <v>0</v>
      </c>
      <c r="I20" s="1993"/>
      <c r="J20" s="1940">
        <f t="shared" si="5"/>
        <v>0</v>
      </c>
      <c r="K20" s="1993"/>
      <c r="L20" s="1940">
        <f t="shared" si="6"/>
        <v>0</v>
      </c>
      <c r="M20" s="1940">
        <f t="shared" si="13"/>
        <v>0</v>
      </c>
      <c r="N20" s="1940">
        <f t="shared" si="7"/>
        <v>0</v>
      </c>
      <c r="O20" s="1993"/>
      <c r="P20" s="1993"/>
      <c r="Q20" s="1940">
        <f t="shared" si="8"/>
        <v>0</v>
      </c>
      <c r="R20" s="1940">
        <f t="shared" si="9"/>
        <v>0</v>
      </c>
      <c r="S20" s="1940">
        <f t="shared" si="10"/>
        <v>0</v>
      </c>
      <c r="T20" s="1940">
        <f t="shared" si="11"/>
        <v>0</v>
      </c>
      <c r="U20" s="1940">
        <f t="shared" si="12"/>
        <v>0</v>
      </c>
      <c r="V20" s="1997"/>
      <c r="W20" s="1997"/>
      <c r="X20" s="1997"/>
      <c r="Y20" s="1997"/>
      <c r="Z20" s="1997"/>
      <c r="AA20" s="1997"/>
      <c r="AB20" s="1997"/>
      <c r="AC20" s="1997"/>
      <c r="AD20" s="1997"/>
      <c r="AE20" s="1997"/>
      <c r="AF20" s="1997"/>
      <c r="AG20" s="1997"/>
      <c r="AH20" s="1997"/>
      <c r="AI20" s="1997"/>
      <c r="AJ20" s="1997"/>
      <c r="AK20" s="1997"/>
      <c r="AL20" s="1997"/>
      <c r="AM20" s="1997"/>
      <c r="AN20" s="1997"/>
      <c r="AO20" s="1997"/>
      <c r="AP20" s="1997"/>
      <c r="AQ20" s="1997"/>
      <c r="AR20" s="1997"/>
      <c r="AS20" s="1997"/>
      <c r="AT20" s="1997"/>
      <c r="AU20" s="1997"/>
      <c r="AV20" s="1997"/>
      <c r="AW20" s="1997"/>
      <c r="AX20" s="1997"/>
      <c r="AY20" s="1997"/>
      <c r="AZ20" s="1997"/>
      <c r="BA20" s="1997"/>
      <c r="BB20" s="1997"/>
      <c r="BC20" s="1997"/>
      <c r="BD20" s="1997"/>
      <c r="BE20" s="1997"/>
      <c r="BF20" s="1997"/>
      <c r="BG20" s="1997"/>
      <c r="BH20" s="1997"/>
      <c r="BI20" s="1997"/>
      <c r="BJ20" s="1997"/>
      <c r="BK20" s="1997"/>
      <c r="BL20" s="1997"/>
      <c r="BM20" s="1997"/>
      <c r="BN20" s="1997"/>
      <c r="BO20" s="1997"/>
      <c r="BP20" s="1997"/>
      <c r="BQ20" s="1997"/>
      <c r="BR20" s="1997"/>
      <c r="BS20" s="1997"/>
      <c r="BT20" s="1997"/>
      <c r="BU20" s="1997"/>
      <c r="BV20" s="1997"/>
      <c r="BW20" s="1997"/>
      <c r="BX20" s="1997"/>
      <c r="BY20" s="1997"/>
      <c r="BZ20" s="1997"/>
      <c r="CA20" s="1997"/>
      <c r="CB20" s="1997"/>
      <c r="CC20" s="1997"/>
      <c r="CD20" s="1997"/>
      <c r="CE20" s="1997"/>
      <c r="CF20" s="1997"/>
      <c r="CG20" s="1997"/>
      <c r="CH20" s="1997"/>
      <c r="CI20" s="1997"/>
      <c r="CJ20" s="1997"/>
      <c r="CK20" s="1997"/>
      <c r="CL20" s="1997"/>
      <c r="CM20" s="1997"/>
      <c r="CN20" s="1997"/>
      <c r="CO20" s="1997"/>
      <c r="CP20" s="1997"/>
      <c r="CQ20" s="1997"/>
      <c r="CR20" s="1997"/>
      <c r="CS20" s="1997"/>
      <c r="CT20" s="1997"/>
      <c r="CU20" s="1997"/>
      <c r="CV20" s="1997"/>
      <c r="CW20" s="1997"/>
      <c r="CX20" s="1997"/>
      <c r="CY20" s="1997"/>
      <c r="CZ20" s="1997"/>
      <c r="DA20" s="1997"/>
      <c r="DB20" s="1997"/>
      <c r="DC20" s="1997"/>
      <c r="DD20" s="1997"/>
      <c r="DE20" s="1997"/>
      <c r="DF20" s="1997"/>
      <c r="DG20" s="1997"/>
      <c r="DH20" s="1997"/>
      <c r="DI20" s="1997"/>
      <c r="DJ20" s="1997"/>
      <c r="DK20" s="1997"/>
      <c r="DL20" s="1997"/>
      <c r="DM20" s="1997"/>
      <c r="DN20" s="1997"/>
      <c r="DO20" s="1997"/>
      <c r="DP20" s="1997"/>
      <c r="DQ20" s="1997"/>
      <c r="DR20" s="1997"/>
      <c r="DS20" s="1997"/>
      <c r="DT20" s="1997"/>
      <c r="DU20" s="1997"/>
      <c r="DV20" s="1997"/>
      <c r="DW20" s="1997"/>
      <c r="DX20" s="1997"/>
      <c r="DY20" s="1997"/>
      <c r="DZ20" s="1997"/>
      <c r="EA20" s="1997"/>
      <c r="EB20" s="1997"/>
      <c r="EC20" s="1997"/>
      <c r="ED20" s="1997"/>
      <c r="EE20" s="1997"/>
      <c r="EF20" s="1997"/>
      <c r="EG20" s="1997"/>
      <c r="EH20" s="1997"/>
      <c r="EI20" s="1997"/>
      <c r="EJ20" s="1997"/>
      <c r="EK20" s="1997"/>
      <c r="EL20" s="1997"/>
      <c r="EM20" s="1997"/>
      <c r="EN20" s="1997"/>
      <c r="EO20" s="1997"/>
      <c r="EP20" s="1997"/>
      <c r="EQ20" s="1997"/>
      <c r="ER20" s="1997"/>
      <c r="ES20" s="1997"/>
      <c r="ET20" s="1997"/>
      <c r="EU20" s="1997"/>
      <c r="EV20" s="1997"/>
      <c r="EW20" s="1997"/>
      <c r="EX20" s="1997"/>
      <c r="EY20" s="1997"/>
      <c r="EZ20" s="1997"/>
      <c r="FA20" s="1997"/>
      <c r="FB20" s="1997"/>
      <c r="FC20" s="1997"/>
      <c r="FD20" s="1997"/>
      <c r="FE20" s="1997"/>
      <c r="FF20" s="1997"/>
      <c r="FG20" s="1997"/>
      <c r="FH20" s="1997"/>
      <c r="FI20" s="1997"/>
      <c r="FJ20" s="1997"/>
      <c r="FK20" s="1997"/>
      <c r="FL20" s="1997"/>
      <c r="FM20" s="1997"/>
      <c r="FN20" s="1997"/>
      <c r="FO20" s="1997"/>
      <c r="FP20" s="1997"/>
      <c r="FQ20" s="1997"/>
      <c r="FR20" s="1997"/>
      <c r="FS20" s="1997"/>
      <c r="FT20" s="1997"/>
      <c r="FU20" s="1997"/>
      <c r="FV20" s="1997"/>
      <c r="FW20" s="1997"/>
      <c r="FX20" s="1997"/>
      <c r="FY20" s="1997"/>
      <c r="FZ20" s="1997"/>
      <c r="GA20" s="1997"/>
      <c r="GB20" s="1997"/>
      <c r="GC20" s="1997"/>
      <c r="GD20" s="1997"/>
      <c r="GE20" s="1997"/>
      <c r="GF20" s="1997"/>
      <c r="GG20" s="1997"/>
      <c r="GH20" s="1997"/>
      <c r="GI20" s="1997"/>
      <c r="GJ20" s="1997"/>
      <c r="GK20" s="1997"/>
      <c r="GL20" s="1997"/>
      <c r="GM20" s="1997"/>
      <c r="GN20" s="1997"/>
      <c r="GO20" s="1997"/>
      <c r="GP20" s="1997"/>
      <c r="GQ20" s="1997"/>
      <c r="GR20" s="1997"/>
      <c r="GS20" s="1997"/>
      <c r="GT20" s="1997"/>
      <c r="GU20" s="1997"/>
      <c r="GV20" s="1997"/>
      <c r="GW20" s="1997"/>
      <c r="GX20" s="1997"/>
      <c r="GY20" s="1997"/>
      <c r="GZ20" s="1997"/>
      <c r="HA20" s="1997"/>
      <c r="HB20" s="1997"/>
      <c r="HC20" s="1997"/>
      <c r="HD20" s="1997"/>
      <c r="HE20" s="1997"/>
      <c r="HF20" s="1997"/>
      <c r="HG20" s="1997"/>
      <c r="HH20" s="1997"/>
      <c r="HI20" s="1997"/>
      <c r="HJ20" s="1997"/>
      <c r="HK20" s="1997"/>
      <c r="HL20" s="1997"/>
      <c r="HM20" s="1997"/>
      <c r="HN20" s="1997"/>
      <c r="HO20" s="1997"/>
      <c r="HP20" s="1997"/>
      <c r="HQ20" s="1997"/>
      <c r="HR20" s="1997"/>
      <c r="HS20" s="1997"/>
      <c r="HT20" s="1997"/>
      <c r="HU20" s="1997"/>
      <c r="HV20" s="1997"/>
      <c r="HW20" s="1997"/>
      <c r="HX20" s="1997"/>
      <c r="HY20" s="1997"/>
      <c r="HZ20" s="1997"/>
      <c r="IA20" s="1997"/>
      <c r="IB20" s="1997"/>
      <c r="IC20" s="1997"/>
      <c r="ID20" s="1997"/>
      <c r="IE20" s="1997"/>
      <c r="IF20" s="1997"/>
      <c r="IG20" s="1997"/>
      <c r="IH20" s="1997"/>
      <c r="II20" s="1997"/>
      <c r="IJ20" s="1997"/>
      <c r="IK20" s="1997"/>
      <c r="IL20" s="1997"/>
      <c r="IM20" s="1997"/>
      <c r="IN20" s="1997"/>
      <c r="IO20" s="1997"/>
      <c r="IP20" s="1997"/>
      <c r="IQ20" s="1997"/>
    </row>
    <row r="21" spans="1:251" hidden="1">
      <c r="A21" s="1993"/>
      <c r="B21" s="1998"/>
      <c r="C21" s="1998"/>
      <c r="D21" s="2034"/>
      <c r="E21" s="1998"/>
      <c r="F21" s="1940">
        <f t="shared" si="14"/>
        <v>0</v>
      </c>
      <c r="G21" s="1993"/>
      <c r="H21" s="1940">
        <f t="shared" si="4"/>
        <v>0</v>
      </c>
      <c r="I21" s="1993"/>
      <c r="J21" s="1940">
        <f t="shared" si="5"/>
        <v>0</v>
      </c>
      <c r="K21" s="1993"/>
      <c r="L21" s="1940">
        <f t="shared" si="6"/>
        <v>0</v>
      </c>
      <c r="M21" s="1940">
        <f t="shared" si="13"/>
        <v>0</v>
      </c>
      <c r="N21" s="1940">
        <f t="shared" si="7"/>
        <v>0</v>
      </c>
      <c r="O21" s="1993"/>
      <c r="P21" s="1993"/>
      <c r="Q21" s="1940">
        <f t="shared" si="8"/>
        <v>0</v>
      </c>
      <c r="R21" s="1940">
        <f t="shared" si="9"/>
        <v>0</v>
      </c>
      <c r="S21" s="1940">
        <f t="shared" si="10"/>
        <v>0</v>
      </c>
      <c r="T21" s="1940">
        <f t="shared" si="11"/>
        <v>0</v>
      </c>
      <c r="U21" s="1940">
        <f t="shared" si="12"/>
        <v>0</v>
      </c>
      <c r="V21" s="1997"/>
      <c r="W21" s="1997"/>
      <c r="X21" s="1997"/>
      <c r="Y21" s="1997"/>
      <c r="Z21" s="1997"/>
      <c r="AA21" s="1997"/>
      <c r="AB21" s="1997"/>
      <c r="AC21" s="1997"/>
      <c r="AD21" s="1997"/>
      <c r="AE21" s="1997"/>
      <c r="AF21" s="1997"/>
      <c r="AG21" s="1997"/>
      <c r="AH21" s="1997"/>
      <c r="AI21" s="1997"/>
      <c r="AJ21" s="1997"/>
      <c r="AK21" s="1997"/>
      <c r="AL21" s="1997"/>
      <c r="AM21" s="1997"/>
      <c r="AN21" s="1997"/>
      <c r="AO21" s="1997"/>
      <c r="AP21" s="1997"/>
      <c r="AQ21" s="1997"/>
      <c r="AR21" s="1997"/>
      <c r="AS21" s="1997"/>
      <c r="AT21" s="1997"/>
      <c r="AU21" s="1997"/>
      <c r="AV21" s="1997"/>
      <c r="AW21" s="1997"/>
      <c r="AX21" s="1997"/>
      <c r="AY21" s="1997"/>
      <c r="AZ21" s="1997"/>
      <c r="BA21" s="1997"/>
      <c r="BB21" s="1997"/>
      <c r="BC21" s="1997"/>
      <c r="BD21" s="1997"/>
      <c r="BE21" s="1997"/>
      <c r="BF21" s="1997"/>
      <c r="BG21" s="1997"/>
      <c r="BH21" s="1997"/>
      <c r="BI21" s="1997"/>
      <c r="BJ21" s="1997"/>
      <c r="BK21" s="1997"/>
      <c r="BL21" s="1997"/>
      <c r="BM21" s="1997"/>
      <c r="BN21" s="1997"/>
      <c r="BO21" s="1997"/>
      <c r="BP21" s="1997"/>
      <c r="BQ21" s="1997"/>
      <c r="BR21" s="1997"/>
      <c r="BS21" s="1997"/>
      <c r="BT21" s="1997"/>
      <c r="BU21" s="1997"/>
      <c r="BV21" s="1997"/>
      <c r="BW21" s="1997"/>
      <c r="BX21" s="1997"/>
      <c r="BY21" s="1997"/>
      <c r="BZ21" s="1997"/>
      <c r="CA21" s="1997"/>
      <c r="CB21" s="1997"/>
      <c r="CC21" s="1997"/>
      <c r="CD21" s="1997"/>
      <c r="CE21" s="1997"/>
      <c r="CF21" s="1997"/>
      <c r="CG21" s="1997"/>
      <c r="CH21" s="1997"/>
      <c r="CI21" s="1997"/>
      <c r="CJ21" s="1997"/>
      <c r="CK21" s="1997"/>
      <c r="CL21" s="1997"/>
      <c r="CM21" s="1997"/>
      <c r="CN21" s="1997"/>
      <c r="CO21" s="1997"/>
      <c r="CP21" s="1997"/>
      <c r="CQ21" s="1997"/>
      <c r="CR21" s="1997"/>
      <c r="CS21" s="1997"/>
      <c r="CT21" s="1997"/>
      <c r="CU21" s="1997"/>
      <c r="CV21" s="1997"/>
      <c r="CW21" s="1997"/>
      <c r="CX21" s="1997"/>
      <c r="CY21" s="1997"/>
      <c r="CZ21" s="1997"/>
      <c r="DA21" s="1997"/>
      <c r="DB21" s="1997"/>
      <c r="DC21" s="1997"/>
      <c r="DD21" s="1997"/>
      <c r="DE21" s="1997"/>
      <c r="DF21" s="1997"/>
      <c r="DG21" s="1997"/>
      <c r="DH21" s="1997"/>
      <c r="DI21" s="1997"/>
      <c r="DJ21" s="1997"/>
      <c r="DK21" s="1997"/>
      <c r="DL21" s="1997"/>
      <c r="DM21" s="1997"/>
      <c r="DN21" s="1997"/>
      <c r="DO21" s="1997"/>
      <c r="DP21" s="1997"/>
      <c r="DQ21" s="1997"/>
      <c r="DR21" s="1997"/>
      <c r="DS21" s="1997"/>
      <c r="DT21" s="1997"/>
      <c r="DU21" s="1997"/>
      <c r="DV21" s="1997"/>
      <c r="DW21" s="1997"/>
      <c r="DX21" s="1997"/>
      <c r="DY21" s="1997"/>
      <c r="DZ21" s="1997"/>
      <c r="EA21" s="1997"/>
      <c r="EB21" s="1997"/>
      <c r="EC21" s="1997"/>
      <c r="ED21" s="1997"/>
      <c r="EE21" s="1997"/>
      <c r="EF21" s="1997"/>
      <c r="EG21" s="1997"/>
      <c r="EH21" s="1997"/>
      <c r="EI21" s="1997"/>
      <c r="EJ21" s="1997"/>
      <c r="EK21" s="1997"/>
      <c r="EL21" s="1997"/>
      <c r="EM21" s="1997"/>
      <c r="EN21" s="1997"/>
      <c r="EO21" s="1997"/>
      <c r="EP21" s="1997"/>
      <c r="EQ21" s="1997"/>
      <c r="ER21" s="1997"/>
      <c r="ES21" s="1997"/>
      <c r="ET21" s="1997"/>
      <c r="EU21" s="1997"/>
      <c r="EV21" s="1997"/>
      <c r="EW21" s="1997"/>
      <c r="EX21" s="1997"/>
      <c r="EY21" s="1997"/>
      <c r="EZ21" s="1997"/>
      <c r="FA21" s="1997"/>
      <c r="FB21" s="1997"/>
      <c r="FC21" s="1997"/>
      <c r="FD21" s="1997"/>
      <c r="FE21" s="1997"/>
      <c r="FF21" s="1997"/>
      <c r="FG21" s="1997"/>
      <c r="FH21" s="1997"/>
      <c r="FI21" s="1997"/>
      <c r="FJ21" s="1997"/>
      <c r="FK21" s="1997"/>
      <c r="FL21" s="1997"/>
      <c r="FM21" s="1997"/>
      <c r="FN21" s="1997"/>
      <c r="FO21" s="1997"/>
      <c r="FP21" s="1997"/>
      <c r="FQ21" s="1997"/>
      <c r="FR21" s="1997"/>
      <c r="FS21" s="1997"/>
      <c r="FT21" s="1997"/>
      <c r="FU21" s="1997"/>
      <c r="FV21" s="1997"/>
      <c r="FW21" s="1997"/>
      <c r="FX21" s="1997"/>
      <c r="FY21" s="1997"/>
      <c r="FZ21" s="1997"/>
      <c r="GA21" s="1997"/>
      <c r="GB21" s="1997"/>
      <c r="GC21" s="1997"/>
      <c r="GD21" s="1997"/>
      <c r="GE21" s="1997"/>
      <c r="GF21" s="1997"/>
      <c r="GG21" s="1997"/>
      <c r="GH21" s="1997"/>
      <c r="GI21" s="1997"/>
      <c r="GJ21" s="1997"/>
      <c r="GK21" s="1997"/>
      <c r="GL21" s="1997"/>
      <c r="GM21" s="1997"/>
      <c r="GN21" s="1997"/>
      <c r="GO21" s="1997"/>
      <c r="GP21" s="1997"/>
      <c r="GQ21" s="1997"/>
      <c r="GR21" s="1997"/>
      <c r="GS21" s="1997"/>
      <c r="GT21" s="1997"/>
      <c r="GU21" s="1997"/>
      <c r="GV21" s="1997"/>
      <c r="GW21" s="1997"/>
      <c r="GX21" s="1997"/>
      <c r="GY21" s="1997"/>
      <c r="GZ21" s="1997"/>
      <c r="HA21" s="1997"/>
      <c r="HB21" s="1997"/>
      <c r="HC21" s="1997"/>
      <c r="HD21" s="1997"/>
      <c r="HE21" s="1997"/>
      <c r="HF21" s="1997"/>
      <c r="HG21" s="1997"/>
      <c r="HH21" s="1997"/>
      <c r="HI21" s="1997"/>
      <c r="HJ21" s="1997"/>
      <c r="HK21" s="1997"/>
      <c r="HL21" s="1997"/>
      <c r="HM21" s="1997"/>
      <c r="HN21" s="1997"/>
      <c r="HO21" s="1997"/>
      <c r="HP21" s="1997"/>
      <c r="HQ21" s="1997"/>
      <c r="HR21" s="1997"/>
      <c r="HS21" s="1997"/>
      <c r="HT21" s="1997"/>
      <c r="HU21" s="1997"/>
      <c r="HV21" s="1997"/>
      <c r="HW21" s="1997"/>
      <c r="HX21" s="1997"/>
      <c r="HY21" s="1997"/>
      <c r="HZ21" s="1997"/>
      <c r="IA21" s="1997"/>
      <c r="IB21" s="1997"/>
      <c r="IC21" s="1997"/>
      <c r="ID21" s="1997"/>
      <c r="IE21" s="1997"/>
      <c r="IF21" s="1997"/>
      <c r="IG21" s="1997"/>
      <c r="IH21" s="1997"/>
      <c r="II21" s="1997"/>
      <c r="IJ21" s="1997"/>
      <c r="IK21" s="1997"/>
      <c r="IL21" s="1997"/>
      <c r="IM21" s="1997"/>
      <c r="IN21" s="1997"/>
      <c r="IO21" s="1997"/>
      <c r="IP21" s="1997"/>
      <c r="IQ21" s="1997"/>
    </row>
    <row r="22" spans="1:251" hidden="1">
      <c r="A22" s="1993"/>
      <c r="B22" s="1998"/>
      <c r="C22" s="1998"/>
      <c r="D22" s="2034"/>
      <c r="E22" s="1998"/>
      <c r="F22" s="1940">
        <f t="shared" si="14"/>
        <v>0</v>
      </c>
      <c r="G22" s="1993"/>
      <c r="H22" s="1940">
        <f t="shared" si="4"/>
        <v>0</v>
      </c>
      <c r="I22" s="1993"/>
      <c r="J22" s="1940">
        <f t="shared" si="5"/>
        <v>0</v>
      </c>
      <c r="K22" s="1993"/>
      <c r="L22" s="1940">
        <f t="shared" si="6"/>
        <v>0</v>
      </c>
      <c r="M22" s="1940">
        <f t="shared" si="13"/>
        <v>0</v>
      </c>
      <c r="N22" s="1940">
        <f t="shared" si="7"/>
        <v>0</v>
      </c>
      <c r="O22" s="1993"/>
      <c r="P22" s="1993"/>
      <c r="Q22" s="1940">
        <f t="shared" si="8"/>
        <v>0</v>
      </c>
      <c r="R22" s="1940">
        <f t="shared" si="9"/>
        <v>0</v>
      </c>
      <c r="S22" s="1940">
        <f t="shared" si="10"/>
        <v>0</v>
      </c>
      <c r="T22" s="1940">
        <f t="shared" si="11"/>
        <v>0</v>
      </c>
      <c r="U22" s="1940">
        <f t="shared" si="12"/>
        <v>0</v>
      </c>
      <c r="V22" s="1997"/>
      <c r="W22" s="1997"/>
      <c r="X22" s="1997"/>
      <c r="Y22" s="1997"/>
      <c r="Z22" s="1997"/>
      <c r="AA22" s="1997"/>
      <c r="AB22" s="1997"/>
      <c r="AC22" s="1997"/>
      <c r="AD22" s="1997"/>
      <c r="AE22" s="1997"/>
      <c r="AF22" s="1997"/>
      <c r="AG22" s="1997"/>
      <c r="AH22" s="1997"/>
      <c r="AI22" s="1997"/>
      <c r="AJ22" s="1997"/>
      <c r="AK22" s="1997"/>
      <c r="AL22" s="1997"/>
      <c r="AM22" s="1997"/>
      <c r="AN22" s="1997"/>
      <c r="AO22" s="1997"/>
      <c r="AP22" s="1997"/>
      <c r="AQ22" s="1997"/>
      <c r="AR22" s="1997"/>
      <c r="AS22" s="1997"/>
      <c r="AT22" s="1997"/>
      <c r="AU22" s="1997"/>
      <c r="AV22" s="1997"/>
      <c r="AW22" s="1997"/>
      <c r="AX22" s="1997"/>
      <c r="AY22" s="1997"/>
      <c r="AZ22" s="1997"/>
      <c r="BA22" s="1997"/>
      <c r="BB22" s="1997"/>
      <c r="BC22" s="1997"/>
      <c r="BD22" s="1997"/>
      <c r="BE22" s="1997"/>
      <c r="BF22" s="1997"/>
      <c r="BG22" s="1997"/>
      <c r="BH22" s="1997"/>
      <c r="BI22" s="1997"/>
      <c r="BJ22" s="1997"/>
      <c r="BK22" s="1997"/>
      <c r="BL22" s="1997"/>
      <c r="BM22" s="1997"/>
      <c r="BN22" s="1997"/>
      <c r="BO22" s="1997"/>
      <c r="BP22" s="1997"/>
      <c r="BQ22" s="1997"/>
      <c r="BR22" s="1997"/>
      <c r="BS22" s="1997"/>
      <c r="BT22" s="1997"/>
      <c r="BU22" s="1997"/>
      <c r="BV22" s="1997"/>
      <c r="BW22" s="1997"/>
      <c r="BX22" s="1997"/>
      <c r="BY22" s="1997"/>
      <c r="BZ22" s="1997"/>
      <c r="CA22" s="1997"/>
      <c r="CB22" s="1997"/>
      <c r="CC22" s="1997"/>
      <c r="CD22" s="1997"/>
      <c r="CE22" s="1997"/>
      <c r="CF22" s="1997"/>
      <c r="CG22" s="1997"/>
      <c r="CH22" s="1997"/>
      <c r="CI22" s="1997"/>
      <c r="CJ22" s="1997"/>
      <c r="CK22" s="1997"/>
      <c r="CL22" s="1997"/>
      <c r="CM22" s="1997"/>
      <c r="CN22" s="1997"/>
      <c r="CO22" s="1997"/>
      <c r="CP22" s="1997"/>
      <c r="CQ22" s="1997"/>
      <c r="CR22" s="1997"/>
      <c r="CS22" s="1997"/>
      <c r="CT22" s="1997"/>
      <c r="CU22" s="1997"/>
      <c r="CV22" s="1997"/>
      <c r="CW22" s="1997"/>
      <c r="CX22" s="1997"/>
      <c r="CY22" s="1997"/>
      <c r="CZ22" s="1997"/>
      <c r="DA22" s="1997"/>
      <c r="DB22" s="1997"/>
      <c r="DC22" s="1997"/>
      <c r="DD22" s="1997"/>
      <c r="DE22" s="1997"/>
      <c r="DF22" s="1997"/>
      <c r="DG22" s="1997"/>
      <c r="DH22" s="1997"/>
      <c r="DI22" s="1997"/>
      <c r="DJ22" s="1997"/>
      <c r="DK22" s="1997"/>
      <c r="DL22" s="1997"/>
      <c r="DM22" s="1997"/>
      <c r="DN22" s="1997"/>
      <c r="DO22" s="1997"/>
      <c r="DP22" s="1997"/>
      <c r="DQ22" s="1997"/>
      <c r="DR22" s="1997"/>
      <c r="DS22" s="1997"/>
      <c r="DT22" s="1997"/>
      <c r="DU22" s="1997"/>
      <c r="DV22" s="1997"/>
      <c r="DW22" s="1997"/>
      <c r="DX22" s="1997"/>
      <c r="DY22" s="1997"/>
      <c r="DZ22" s="1997"/>
      <c r="EA22" s="1997"/>
      <c r="EB22" s="1997"/>
      <c r="EC22" s="1997"/>
      <c r="ED22" s="1997"/>
      <c r="EE22" s="1997"/>
      <c r="EF22" s="1997"/>
      <c r="EG22" s="1997"/>
      <c r="EH22" s="1997"/>
      <c r="EI22" s="1997"/>
      <c r="EJ22" s="1997"/>
      <c r="EK22" s="1997"/>
      <c r="EL22" s="1997"/>
      <c r="EM22" s="1997"/>
      <c r="EN22" s="1997"/>
      <c r="EO22" s="1997"/>
      <c r="EP22" s="1997"/>
      <c r="EQ22" s="1997"/>
      <c r="ER22" s="1997"/>
      <c r="ES22" s="1997"/>
      <c r="ET22" s="1997"/>
      <c r="EU22" s="1997"/>
      <c r="EV22" s="1997"/>
      <c r="EW22" s="1997"/>
      <c r="EX22" s="1997"/>
      <c r="EY22" s="1997"/>
      <c r="EZ22" s="1997"/>
      <c r="FA22" s="1997"/>
      <c r="FB22" s="1997"/>
      <c r="FC22" s="1997"/>
      <c r="FD22" s="1997"/>
      <c r="FE22" s="1997"/>
      <c r="FF22" s="1997"/>
      <c r="FG22" s="1997"/>
      <c r="FH22" s="1997"/>
      <c r="FI22" s="1997"/>
      <c r="FJ22" s="1997"/>
      <c r="FK22" s="1997"/>
      <c r="FL22" s="1997"/>
      <c r="FM22" s="1997"/>
      <c r="FN22" s="1997"/>
      <c r="FO22" s="1997"/>
      <c r="FP22" s="1997"/>
      <c r="FQ22" s="1997"/>
      <c r="FR22" s="1997"/>
      <c r="FS22" s="1997"/>
      <c r="FT22" s="1997"/>
      <c r="FU22" s="1997"/>
      <c r="FV22" s="1997"/>
      <c r="FW22" s="1997"/>
      <c r="FX22" s="1997"/>
      <c r="FY22" s="1997"/>
      <c r="FZ22" s="1997"/>
      <c r="GA22" s="1997"/>
      <c r="GB22" s="1997"/>
      <c r="GC22" s="1997"/>
      <c r="GD22" s="1997"/>
      <c r="GE22" s="1997"/>
      <c r="GF22" s="1997"/>
      <c r="GG22" s="1997"/>
      <c r="GH22" s="1997"/>
      <c r="GI22" s="1997"/>
      <c r="GJ22" s="1997"/>
      <c r="GK22" s="1997"/>
      <c r="GL22" s="1997"/>
      <c r="GM22" s="1997"/>
      <c r="GN22" s="1997"/>
      <c r="GO22" s="1997"/>
      <c r="GP22" s="1997"/>
      <c r="GQ22" s="1997"/>
      <c r="GR22" s="1997"/>
      <c r="GS22" s="1997"/>
      <c r="GT22" s="1997"/>
      <c r="GU22" s="1997"/>
      <c r="GV22" s="1997"/>
      <c r="GW22" s="1997"/>
      <c r="GX22" s="1997"/>
      <c r="GY22" s="1997"/>
      <c r="GZ22" s="1997"/>
      <c r="HA22" s="1997"/>
      <c r="HB22" s="1997"/>
      <c r="HC22" s="1997"/>
      <c r="HD22" s="1997"/>
      <c r="HE22" s="1997"/>
      <c r="HF22" s="1997"/>
      <c r="HG22" s="1997"/>
      <c r="HH22" s="1997"/>
      <c r="HI22" s="1997"/>
      <c r="HJ22" s="1997"/>
      <c r="HK22" s="1997"/>
      <c r="HL22" s="1997"/>
      <c r="HM22" s="1997"/>
      <c r="HN22" s="1997"/>
      <c r="HO22" s="1997"/>
      <c r="HP22" s="1997"/>
      <c r="HQ22" s="1997"/>
      <c r="HR22" s="1997"/>
      <c r="HS22" s="1997"/>
      <c r="HT22" s="1997"/>
      <c r="HU22" s="1997"/>
      <c r="HV22" s="1997"/>
      <c r="HW22" s="1997"/>
      <c r="HX22" s="1997"/>
      <c r="HY22" s="1997"/>
      <c r="HZ22" s="1997"/>
      <c r="IA22" s="1997"/>
      <c r="IB22" s="1997"/>
      <c r="IC22" s="1997"/>
      <c r="ID22" s="1997"/>
      <c r="IE22" s="1997"/>
      <c r="IF22" s="1997"/>
      <c r="IG22" s="1997"/>
      <c r="IH22" s="1997"/>
      <c r="II22" s="1997"/>
      <c r="IJ22" s="1997"/>
      <c r="IK22" s="1997"/>
      <c r="IL22" s="1997"/>
      <c r="IM22" s="1997"/>
      <c r="IN22" s="1997"/>
      <c r="IO22" s="1997"/>
      <c r="IP22" s="1997"/>
      <c r="IQ22" s="1997"/>
    </row>
    <row r="23" spans="1:251" hidden="1">
      <c r="A23" s="1993"/>
      <c r="B23" s="1998"/>
      <c r="C23" s="1998"/>
      <c r="D23" s="2034"/>
      <c r="E23" s="1998"/>
      <c r="F23" s="1940">
        <f t="shared" si="14"/>
        <v>0</v>
      </c>
      <c r="G23" s="1993"/>
      <c r="H23" s="1940">
        <f t="shared" si="4"/>
        <v>0</v>
      </c>
      <c r="I23" s="1993"/>
      <c r="J23" s="1940">
        <f t="shared" si="5"/>
        <v>0</v>
      </c>
      <c r="K23" s="1993"/>
      <c r="L23" s="1940">
        <f t="shared" si="6"/>
        <v>0</v>
      </c>
      <c r="M23" s="1940">
        <f t="shared" si="13"/>
        <v>0</v>
      </c>
      <c r="N23" s="1940">
        <f t="shared" si="7"/>
        <v>0</v>
      </c>
      <c r="O23" s="1993"/>
      <c r="P23" s="1993"/>
      <c r="Q23" s="1940">
        <f t="shared" si="8"/>
        <v>0</v>
      </c>
      <c r="R23" s="1940">
        <f t="shared" si="9"/>
        <v>0</v>
      </c>
      <c r="S23" s="1940">
        <f t="shared" si="10"/>
        <v>0</v>
      </c>
      <c r="T23" s="1940">
        <f t="shared" si="11"/>
        <v>0</v>
      </c>
      <c r="U23" s="1940">
        <f t="shared" si="12"/>
        <v>0</v>
      </c>
      <c r="V23" s="1997"/>
      <c r="W23" s="1997"/>
      <c r="X23" s="1997"/>
      <c r="Y23" s="1997"/>
      <c r="Z23" s="1997"/>
      <c r="AA23" s="1997"/>
      <c r="AB23" s="1997"/>
      <c r="AC23" s="1997"/>
      <c r="AD23" s="1997"/>
      <c r="AE23" s="1997"/>
      <c r="AF23" s="1997"/>
      <c r="AG23" s="1997"/>
      <c r="AH23" s="1997"/>
      <c r="AI23" s="1997"/>
      <c r="AJ23" s="1997"/>
      <c r="AK23" s="1997"/>
      <c r="AL23" s="1997"/>
      <c r="AM23" s="1997"/>
      <c r="AN23" s="1997"/>
      <c r="AO23" s="1997"/>
      <c r="AP23" s="1997"/>
      <c r="AQ23" s="1997"/>
      <c r="AR23" s="1997"/>
      <c r="AS23" s="1997"/>
      <c r="AT23" s="1997"/>
      <c r="AU23" s="1997"/>
      <c r="AV23" s="1997"/>
      <c r="AW23" s="1997"/>
      <c r="AX23" s="1997"/>
      <c r="AY23" s="1997"/>
      <c r="AZ23" s="1997"/>
      <c r="BA23" s="1997"/>
      <c r="BB23" s="1997"/>
      <c r="BC23" s="1997"/>
      <c r="BD23" s="1997"/>
      <c r="BE23" s="1997"/>
      <c r="BF23" s="1997"/>
      <c r="BG23" s="1997"/>
      <c r="BH23" s="1997"/>
      <c r="BI23" s="1997"/>
      <c r="BJ23" s="1997"/>
      <c r="BK23" s="1997"/>
      <c r="BL23" s="1997"/>
      <c r="BM23" s="1997"/>
      <c r="BN23" s="1997"/>
      <c r="BO23" s="1997"/>
      <c r="BP23" s="1997"/>
      <c r="BQ23" s="1997"/>
      <c r="BR23" s="1997"/>
      <c r="BS23" s="1997"/>
      <c r="BT23" s="1997"/>
      <c r="BU23" s="1997"/>
      <c r="BV23" s="1997"/>
      <c r="BW23" s="1997"/>
      <c r="BX23" s="1997"/>
      <c r="BY23" s="1997"/>
      <c r="BZ23" s="1997"/>
      <c r="CA23" s="1997"/>
      <c r="CB23" s="1997"/>
      <c r="CC23" s="1997"/>
      <c r="CD23" s="1997"/>
      <c r="CE23" s="1997"/>
      <c r="CF23" s="1997"/>
      <c r="CG23" s="1997"/>
      <c r="CH23" s="1997"/>
      <c r="CI23" s="1997"/>
      <c r="CJ23" s="1997"/>
      <c r="CK23" s="1997"/>
      <c r="CL23" s="1997"/>
      <c r="CM23" s="1997"/>
      <c r="CN23" s="1997"/>
      <c r="CO23" s="1997"/>
      <c r="CP23" s="1997"/>
      <c r="CQ23" s="1997"/>
      <c r="CR23" s="1997"/>
      <c r="CS23" s="1997"/>
      <c r="CT23" s="1997"/>
      <c r="CU23" s="1997"/>
      <c r="CV23" s="1997"/>
      <c r="CW23" s="1997"/>
      <c r="CX23" s="1997"/>
      <c r="CY23" s="1997"/>
      <c r="CZ23" s="1997"/>
      <c r="DA23" s="1997"/>
      <c r="DB23" s="1997"/>
      <c r="DC23" s="1997"/>
      <c r="DD23" s="1997"/>
      <c r="DE23" s="1997"/>
      <c r="DF23" s="1997"/>
      <c r="DG23" s="1997"/>
      <c r="DH23" s="1997"/>
      <c r="DI23" s="1997"/>
      <c r="DJ23" s="1997"/>
      <c r="DK23" s="1997"/>
      <c r="DL23" s="1997"/>
      <c r="DM23" s="1997"/>
      <c r="DN23" s="1997"/>
      <c r="DO23" s="1997"/>
      <c r="DP23" s="1997"/>
      <c r="DQ23" s="1997"/>
      <c r="DR23" s="1997"/>
      <c r="DS23" s="1997"/>
      <c r="DT23" s="1997"/>
      <c r="DU23" s="1997"/>
      <c r="DV23" s="1997"/>
      <c r="DW23" s="1997"/>
      <c r="DX23" s="1997"/>
      <c r="DY23" s="1997"/>
      <c r="DZ23" s="1997"/>
      <c r="EA23" s="1997"/>
      <c r="EB23" s="1997"/>
      <c r="EC23" s="1997"/>
      <c r="ED23" s="1997"/>
      <c r="EE23" s="1997"/>
      <c r="EF23" s="1997"/>
      <c r="EG23" s="1997"/>
      <c r="EH23" s="1997"/>
      <c r="EI23" s="1997"/>
      <c r="EJ23" s="1997"/>
      <c r="EK23" s="1997"/>
      <c r="EL23" s="1997"/>
      <c r="EM23" s="1997"/>
      <c r="EN23" s="1997"/>
      <c r="EO23" s="1997"/>
      <c r="EP23" s="1997"/>
      <c r="EQ23" s="1997"/>
      <c r="ER23" s="1997"/>
      <c r="ES23" s="1997"/>
      <c r="ET23" s="1997"/>
      <c r="EU23" s="1997"/>
      <c r="EV23" s="1997"/>
      <c r="EW23" s="1997"/>
      <c r="EX23" s="1997"/>
      <c r="EY23" s="1997"/>
      <c r="EZ23" s="1997"/>
      <c r="FA23" s="1997"/>
      <c r="FB23" s="1997"/>
      <c r="FC23" s="1997"/>
      <c r="FD23" s="1997"/>
      <c r="FE23" s="1997"/>
      <c r="FF23" s="1997"/>
      <c r="FG23" s="1997"/>
      <c r="FH23" s="1997"/>
      <c r="FI23" s="1997"/>
      <c r="FJ23" s="1997"/>
      <c r="FK23" s="1997"/>
      <c r="FL23" s="1997"/>
      <c r="FM23" s="1997"/>
      <c r="FN23" s="1997"/>
      <c r="FO23" s="1997"/>
      <c r="FP23" s="1997"/>
      <c r="FQ23" s="1997"/>
      <c r="FR23" s="1997"/>
      <c r="FS23" s="1997"/>
      <c r="FT23" s="1997"/>
      <c r="FU23" s="1997"/>
      <c r="FV23" s="1997"/>
      <c r="FW23" s="1997"/>
      <c r="FX23" s="1997"/>
      <c r="FY23" s="1997"/>
      <c r="FZ23" s="1997"/>
      <c r="GA23" s="1997"/>
      <c r="GB23" s="1997"/>
      <c r="GC23" s="1997"/>
      <c r="GD23" s="1997"/>
      <c r="GE23" s="1997"/>
      <c r="GF23" s="1997"/>
      <c r="GG23" s="1997"/>
      <c r="GH23" s="1997"/>
      <c r="GI23" s="1997"/>
      <c r="GJ23" s="1997"/>
      <c r="GK23" s="1997"/>
      <c r="GL23" s="1997"/>
      <c r="GM23" s="1997"/>
      <c r="GN23" s="1997"/>
      <c r="GO23" s="1997"/>
      <c r="GP23" s="1997"/>
      <c r="GQ23" s="1997"/>
      <c r="GR23" s="1997"/>
      <c r="GS23" s="1997"/>
      <c r="GT23" s="1997"/>
      <c r="GU23" s="1997"/>
      <c r="GV23" s="1997"/>
      <c r="GW23" s="1997"/>
      <c r="GX23" s="1997"/>
      <c r="GY23" s="1997"/>
      <c r="GZ23" s="1997"/>
      <c r="HA23" s="1997"/>
      <c r="HB23" s="1997"/>
      <c r="HC23" s="1997"/>
      <c r="HD23" s="1997"/>
      <c r="HE23" s="1997"/>
      <c r="HF23" s="1997"/>
      <c r="HG23" s="1997"/>
      <c r="HH23" s="1997"/>
      <c r="HI23" s="1997"/>
      <c r="HJ23" s="1997"/>
      <c r="HK23" s="1997"/>
      <c r="HL23" s="1997"/>
      <c r="HM23" s="1997"/>
      <c r="HN23" s="1997"/>
      <c r="HO23" s="1997"/>
      <c r="HP23" s="1997"/>
      <c r="HQ23" s="1997"/>
      <c r="HR23" s="1997"/>
      <c r="HS23" s="1997"/>
      <c r="HT23" s="1997"/>
      <c r="HU23" s="1997"/>
      <c r="HV23" s="1997"/>
      <c r="HW23" s="1997"/>
      <c r="HX23" s="1997"/>
      <c r="HY23" s="1997"/>
      <c r="HZ23" s="1997"/>
      <c r="IA23" s="1997"/>
      <c r="IB23" s="1997"/>
      <c r="IC23" s="1997"/>
      <c r="ID23" s="1997"/>
      <c r="IE23" s="1997"/>
      <c r="IF23" s="1997"/>
      <c r="IG23" s="1997"/>
      <c r="IH23" s="1997"/>
      <c r="II23" s="1997"/>
      <c r="IJ23" s="1997"/>
      <c r="IK23" s="1997"/>
      <c r="IL23" s="1997"/>
      <c r="IM23" s="1997"/>
      <c r="IN23" s="1997"/>
      <c r="IO23" s="1997"/>
      <c r="IP23" s="1997"/>
      <c r="IQ23" s="1997"/>
    </row>
    <row r="24" spans="1:251" hidden="1">
      <c r="A24" s="1993"/>
      <c r="B24" s="1998"/>
      <c r="C24" s="1998"/>
      <c r="D24" s="2034"/>
      <c r="E24" s="1998"/>
      <c r="F24" s="1940">
        <f t="shared" si="14"/>
        <v>0</v>
      </c>
      <c r="G24" s="1993"/>
      <c r="H24" s="1940">
        <f t="shared" si="4"/>
        <v>0</v>
      </c>
      <c r="I24" s="1993"/>
      <c r="J24" s="1940">
        <f t="shared" si="5"/>
        <v>0</v>
      </c>
      <c r="K24" s="1993"/>
      <c r="L24" s="1940">
        <f t="shared" si="6"/>
        <v>0</v>
      </c>
      <c r="M24" s="1940">
        <f t="shared" si="13"/>
        <v>0</v>
      </c>
      <c r="N24" s="1940">
        <f t="shared" si="7"/>
        <v>0</v>
      </c>
      <c r="O24" s="1993"/>
      <c r="P24" s="1993"/>
      <c r="Q24" s="1940">
        <f t="shared" si="8"/>
        <v>0</v>
      </c>
      <c r="R24" s="1940">
        <f t="shared" si="9"/>
        <v>0</v>
      </c>
      <c r="S24" s="1940">
        <f t="shared" si="10"/>
        <v>0</v>
      </c>
      <c r="T24" s="1940">
        <f t="shared" si="11"/>
        <v>0</v>
      </c>
      <c r="U24" s="1940">
        <f t="shared" si="12"/>
        <v>0</v>
      </c>
      <c r="V24" s="1997"/>
      <c r="W24" s="1997"/>
      <c r="X24" s="1997"/>
      <c r="Y24" s="1997"/>
      <c r="Z24" s="1997"/>
      <c r="AA24" s="1997"/>
      <c r="AB24" s="1997"/>
      <c r="AC24" s="1997"/>
      <c r="AD24" s="1997"/>
      <c r="AE24" s="1997"/>
      <c r="AF24" s="1997"/>
      <c r="AG24" s="1997"/>
      <c r="AH24" s="1997"/>
      <c r="AI24" s="1997"/>
      <c r="AJ24" s="1997"/>
      <c r="AK24" s="1997"/>
      <c r="AL24" s="1997"/>
      <c r="AM24" s="1997"/>
      <c r="AN24" s="1997"/>
      <c r="AO24" s="1997"/>
      <c r="AP24" s="1997"/>
      <c r="AQ24" s="1997"/>
      <c r="AR24" s="1997"/>
      <c r="AS24" s="1997"/>
      <c r="AT24" s="1997"/>
      <c r="AU24" s="1997"/>
      <c r="AV24" s="1997"/>
      <c r="AW24" s="1997"/>
      <c r="AX24" s="1997"/>
      <c r="AY24" s="1997"/>
      <c r="AZ24" s="1997"/>
      <c r="BA24" s="1997"/>
      <c r="BB24" s="1997"/>
      <c r="BC24" s="1997"/>
      <c r="BD24" s="1997"/>
      <c r="BE24" s="1997"/>
      <c r="BF24" s="1997"/>
      <c r="BG24" s="1997"/>
      <c r="BH24" s="1997"/>
      <c r="BI24" s="1997"/>
      <c r="BJ24" s="1997"/>
      <c r="BK24" s="1997"/>
      <c r="BL24" s="1997"/>
      <c r="BM24" s="1997"/>
      <c r="BN24" s="1997"/>
      <c r="BO24" s="1997"/>
      <c r="BP24" s="1997"/>
      <c r="BQ24" s="1997"/>
      <c r="BR24" s="1997"/>
      <c r="BS24" s="1997"/>
      <c r="BT24" s="1997"/>
      <c r="BU24" s="1997"/>
      <c r="BV24" s="1997"/>
      <c r="BW24" s="1997"/>
      <c r="BX24" s="1997"/>
      <c r="BY24" s="1997"/>
      <c r="BZ24" s="1997"/>
      <c r="CA24" s="1997"/>
      <c r="CB24" s="1997"/>
      <c r="CC24" s="1997"/>
      <c r="CD24" s="1997"/>
      <c r="CE24" s="1997"/>
      <c r="CF24" s="1997"/>
      <c r="CG24" s="1997"/>
      <c r="CH24" s="1997"/>
      <c r="CI24" s="1997"/>
      <c r="CJ24" s="1997"/>
      <c r="CK24" s="1997"/>
      <c r="CL24" s="1997"/>
      <c r="CM24" s="1997"/>
      <c r="CN24" s="1997"/>
      <c r="CO24" s="1997"/>
      <c r="CP24" s="1997"/>
      <c r="CQ24" s="1997"/>
      <c r="CR24" s="1997"/>
      <c r="CS24" s="1997"/>
      <c r="CT24" s="1997"/>
      <c r="CU24" s="1997"/>
      <c r="CV24" s="1997"/>
      <c r="CW24" s="1997"/>
      <c r="CX24" s="1997"/>
      <c r="CY24" s="1997"/>
      <c r="CZ24" s="1997"/>
      <c r="DA24" s="1997"/>
      <c r="DB24" s="1997"/>
      <c r="DC24" s="1997"/>
      <c r="DD24" s="1997"/>
      <c r="DE24" s="1997"/>
      <c r="DF24" s="1997"/>
      <c r="DG24" s="1997"/>
      <c r="DH24" s="1997"/>
      <c r="DI24" s="1997"/>
      <c r="DJ24" s="1997"/>
      <c r="DK24" s="1997"/>
      <c r="DL24" s="1997"/>
      <c r="DM24" s="1997"/>
      <c r="DN24" s="1997"/>
      <c r="DO24" s="1997"/>
      <c r="DP24" s="1997"/>
      <c r="DQ24" s="1997"/>
      <c r="DR24" s="1997"/>
      <c r="DS24" s="1997"/>
      <c r="DT24" s="1997"/>
      <c r="DU24" s="1997"/>
      <c r="DV24" s="1997"/>
      <c r="DW24" s="1997"/>
      <c r="DX24" s="1997"/>
      <c r="DY24" s="1997"/>
      <c r="DZ24" s="1997"/>
      <c r="EA24" s="1997"/>
      <c r="EB24" s="1997"/>
      <c r="EC24" s="1997"/>
      <c r="ED24" s="1997"/>
      <c r="EE24" s="1997"/>
      <c r="EF24" s="1997"/>
      <c r="EG24" s="1997"/>
      <c r="EH24" s="1997"/>
      <c r="EI24" s="1997"/>
      <c r="EJ24" s="1997"/>
      <c r="EK24" s="1997"/>
      <c r="EL24" s="1997"/>
      <c r="EM24" s="1997"/>
      <c r="EN24" s="1997"/>
      <c r="EO24" s="1997"/>
      <c r="EP24" s="1997"/>
      <c r="EQ24" s="1997"/>
      <c r="ER24" s="1997"/>
      <c r="ES24" s="1997"/>
      <c r="ET24" s="1997"/>
      <c r="EU24" s="1997"/>
      <c r="EV24" s="1997"/>
      <c r="EW24" s="1997"/>
      <c r="EX24" s="1997"/>
      <c r="EY24" s="1997"/>
      <c r="EZ24" s="1997"/>
      <c r="FA24" s="1997"/>
      <c r="FB24" s="1997"/>
      <c r="FC24" s="1997"/>
      <c r="FD24" s="1997"/>
      <c r="FE24" s="1997"/>
      <c r="FF24" s="1997"/>
      <c r="FG24" s="1997"/>
      <c r="FH24" s="1997"/>
      <c r="FI24" s="1997"/>
      <c r="FJ24" s="1997"/>
      <c r="FK24" s="1997"/>
      <c r="FL24" s="1997"/>
      <c r="FM24" s="1997"/>
      <c r="FN24" s="1997"/>
      <c r="FO24" s="1997"/>
      <c r="FP24" s="1997"/>
      <c r="FQ24" s="1997"/>
      <c r="FR24" s="1997"/>
      <c r="FS24" s="1997"/>
      <c r="FT24" s="1997"/>
      <c r="FU24" s="1997"/>
      <c r="FV24" s="1997"/>
      <c r="FW24" s="1997"/>
      <c r="FX24" s="1997"/>
      <c r="FY24" s="1997"/>
      <c r="FZ24" s="1997"/>
      <c r="GA24" s="1997"/>
      <c r="GB24" s="1997"/>
      <c r="GC24" s="1997"/>
      <c r="GD24" s="1997"/>
      <c r="GE24" s="1997"/>
      <c r="GF24" s="1997"/>
      <c r="GG24" s="1997"/>
      <c r="GH24" s="1997"/>
      <c r="GI24" s="1997"/>
      <c r="GJ24" s="1997"/>
      <c r="GK24" s="1997"/>
      <c r="GL24" s="1997"/>
      <c r="GM24" s="1997"/>
      <c r="GN24" s="1997"/>
      <c r="GO24" s="1997"/>
      <c r="GP24" s="1997"/>
      <c r="GQ24" s="1997"/>
      <c r="GR24" s="1997"/>
      <c r="GS24" s="1997"/>
      <c r="GT24" s="1997"/>
      <c r="GU24" s="1997"/>
      <c r="GV24" s="1997"/>
      <c r="GW24" s="1997"/>
      <c r="GX24" s="1997"/>
      <c r="GY24" s="1997"/>
      <c r="GZ24" s="1997"/>
      <c r="HA24" s="1997"/>
      <c r="HB24" s="1997"/>
      <c r="HC24" s="1997"/>
      <c r="HD24" s="1997"/>
      <c r="HE24" s="1997"/>
      <c r="HF24" s="1997"/>
      <c r="HG24" s="1997"/>
      <c r="HH24" s="1997"/>
      <c r="HI24" s="1997"/>
      <c r="HJ24" s="1997"/>
      <c r="HK24" s="1997"/>
      <c r="HL24" s="1997"/>
      <c r="HM24" s="1997"/>
      <c r="HN24" s="1997"/>
      <c r="HO24" s="1997"/>
      <c r="HP24" s="1997"/>
      <c r="HQ24" s="1997"/>
      <c r="HR24" s="1997"/>
      <c r="HS24" s="1997"/>
      <c r="HT24" s="1997"/>
      <c r="HU24" s="1997"/>
      <c r="HV24" s="1997"/>
      <c r="HW24" s="1997"/>
      <c r="HX24" s="1997"/>
      <c r="HY24" s="1997"/>
      <c r="HZ24" s="1997"/>
      <c r="IA24" s="1997"/>
      <c r="IB24" s="1997"/>
      <c r="IC24" s="1997"/>
      <c r="ID24" s="1997"/>
      <c r="IE24" s="1997"/>
      <c r="IF24" s="1997"/>
      <c r="IG24" s="1997"/>
      <c r="IH24" s="1997"/>
      <c r="II24" s="1997"/>
      <c r="IJ24" s="1997"/>
      <c r="IK24" s="1997"/>
      <c r="IL24" s="1997"/>
      <c r="IM24" s="1997"/>
      <c r="IN24" s="1997"/>
      <c r="IO24" s="1997"/>
      <c r="IP24" s="1997"/>
      <c r="IQ24" s="1997"/>
    </row>
    <row r="25" spans="1:251" hidden="1">
      <c r="A25" s="1993"/>
      <c r="B25" s="1998"/>
      <c r="C25" s="1998"/>
      <c r="D25" s="2034"/>
      <c r="E25" s="1998"/>
      <c r="F25" s="1940">
        <f t="shared" si="14"/>
        <v>0</v>
      </c>
      <c r="G25" s="1993"/>
      <c r="H25" s="1940">
        <f>D25*F25*G25</f>
        <v>0</v>
      </c>
      <c r="I25" s="1993"/>
      <c r="J25" s="1940">
        <f t="shared" si="5"/>
        <v>0</v>
      </c>
      <c r="K25" s="1993"/>
      <c r="L25" s="1940">
        <f t="shared" si="6"/>
        <v>0</v>
      </c>
      <c r="M25" s="1940">
        <f t="shared" si="13"/>
        <v>0</v>
      </c>
      <c r="N25" s="1940">
        <f t="shared" si="7"/>
        <v>0</v>
      </c>
      <c r="O25" s="1993"/>
      <c r="P25" s="1993"/>
      <c r="Q25" s="1940">
        <f t="shared" si="8"/>
        <v>0</v>
      </c>
      <c r="R25" s="1940">
        <f t="shared" si="9"/>
        <v>0</v>
      </c>
      <c r="S25" s="1940">
        <f t="shared" si="10"/>
        <v>0</v>
      </c>
      <c r="T25" s="1940">
        <f t="shared" si="11"/>
        <v>0</v>
      </c>
      <c r="U25" s="1940">
        <f t="shared" si="12"/>
        <v>0</v>
      </c>
      <c r="V25" s="1997"/>
      <c r="W25" s="1997"/>
      <c r="X25" s="1997"/>
      <c r="Y25" s="1997"/>
      <c r="Z25" s="1997"/>
      <c r="AA25" s="1997"/>
      <c r="AB25" s="1997"/>
      <c r="AC25" s="1997"/>
      <c r="AD25" s="1997"/>
      <c r="AE25" s="1997"/>
      <c r="AF25" s="1997"/>
      <c r="AG25" s="1997"/>
      <c r="AH25" s="1997"/>
      <c r="AI25" s="1997"/>
      <c r="AJ25" s="1997"/>
      <c r="AK25" s="1997"/>
      <c r="AL25" s="1997"/>
      <c r="AM25" s="1997"/>
      <c r="AN25" s="1997"/>
      <c r="AO25" s="1997"/>
      <c r="AP25" s="1997"/>
      <c r="AQ25" s="1997"/>
      <c r="AR25" s="1997"/>
      <c r="AS25" s="1997"/>
      <c r="AT25" s="1997"/>
      <c r="AU25" s="1997"/>
      <c r="AV25" s="1997"/>
      <c r="AW25" s="1997"/>
      <c r="AX25" s="1997"/>
      <c r="AY25" s="1997"/>
      <c r="AZ25" s="1997"/>
      <c r="BA25" s="1997"/>
      <c r="BB25" s="1997"/>
      <c r="BC25" s="1997"/>
      <c r="BD25" s="1997"/>
      <c r="BE25" s="1997"/>
      <c r="BF25" s="1997"/>
      <c r="BG25" s="1997"/>
      <c r="BH25" s="1997"/>
      <c r="BI25" s="1997"/>
      <c r="BJ25" s="1997"/>
      <c r="BK25" s="1997"/>
      <c r="BL25" s="1997"/>
      <c r="BM25" s="1997"/>
      <c r="BN25" s="1997"/>
      <c r="BO25" s="1997"/>
      <c r="BP25" s="1997"/>
      <c r="BQ25" s="1997"/>
      <c r="BR25" s="1997"/>
      <c r="BS25" s="1997"/>
      <c r="BT25" s="1997"/>
      <c r="BU25" s="1997"/>
      <c r="BV25" s="1997"/>
      <c r="BW25" s="1997"/>
      <c r="BX25" s="1997"/>
      <c r="BY25" s="1997"/>
      <c r="BZ25" s="1997"/>
      <c r="CA25" s="1997"/>
      <c r="CB25" s="1997"/>
      <c r="CC25" s="1997"/>
      <c r="CD25" s="1997"/>
      <c r="CE25" s="1997"/>
      <c r="CF25" s="1997"/>
      <c r="CG25" s="1997"/>
      <c r="CH25" s="1997"/>
      <c r="CI25" s="1997"/>
      <c r="CJ25" s="1997"/>
      <c r="CK25" s="1997"/>
      <c r="CL25" s="1997"/>
      <c r="CM25" s="1997"/>
      <c r="CN25" s="1997"/>
      <c r="CO25" s="1997"/>
      <c r="CP25" s="1997"/>
      <c r="CQ25" s="1997"/>
      <c r="CR25" s="1997"/>
      <c r="CS25" s="1997"/>
      <c r="CT25" s="1997"/>
      <c r="CU25" s="1997"/>
      <c r="CV25" s="1997"/>
      <c r="CW25" s="1997"/>
      <c r="CX25" s="1997"/>
      <c r="CY25" s="1997"/>
      <c r="CZ25" s="1997"/>
      <c r="DA25" s="1997"/>
      <c r="DB25" s="1997"/>
      <c r="DC25" s="1997"/>
      <c r="DD25" s="1997"/>
      <c r="DE25" s="1997"/>
      <c r="DF25" s="1997"/>
      <c r="DG25" s="1997"/>
      <c r="DH25" s="1997"/>
      <c r="DI25" s="1997"/>
      <c r="DJ25" s="1997"/>
      <c r="DK25" s="1997"/>
      <c r="DL25" s="1997"/>
      <c r="DM25" s="1997"/>
      <c r="DN25" s="1997"/>
      <c r="DO25" s="1997"/>
      <c r="DP25" s="1997"/>
      <c r="DQ25" s="1997"/>
      <c r="DR25" s="1997"/>
      <c r="DS25" s="1997"/>
      <c r="DT25" s="1997"/>
      <c r="DU25" s="1997"/>
      <c r="DV25" s="1997"/>
      <c r="DW25" s="1997"/>
      <c r="DX25" s="1997"/>
      <c r="DY25" s="1997"/>
      <c r="DZ25" s="1997"/>
      <c r="EA25" s="1997"/>
      <c r="EB25" s="1997"/>
      <c r="EC25" s="1997"/>
      <c r="ED25" s="1997"/>
      <c r="EE25" s="1997"/>
      <c r="EF25" s="1997"/>
      <c r="EG25" s="1997"/>
      <c r="EH25" s="1997"/>
      <c r="EI25" s="1997"/>
      <c r="EJ25" s="1997"/>
      <c r="EK25" s="1997"/>
      <c r="EL25" s="1997"/>
      <c r="EM25" s="1997"/>
      <c r="EN25" s="1997"/>
      <c r="EO25" s="1997"/>
      <c r="EP25" s="1997"/>
      <c r="EQ25" s="1997"/>
      <c r="ER25" s="1997"/>
      <c r="ES25" s="1997"/>
      <c r="ET25" s="1997"/>
      <c r="EU25" s="1997"/>
      <c r="EV25" s="1997"/>
      <c r="EW25" s="1997"/>
      <c r="EX25" s="1997"/>
      <c r="EY25" s="1997"/>
      <c r="EZ25" s="1997"/>
      <c r="FA25" s="1997"/>
      <c r="FB25" s="1997"/>
      <c r="FC25" s="1997"/>
      <c r="FD25" s="1997"/>
      <c r="FE25" s="1997"/>
      <c r="FF25" s="1997"/>
      <c r="FG25" s="1997"/>
      <c r="FH25" s="1997"/>
      <c r="FI25" s="1997"/>
      <c r="FJ25" s="1997"/>
      <c r="FK25" s="1997"/>
      <c r="FL25" s="1997"/>
      <c r="FM25" s="1997"/>
      <c r="FN25" s="1997"/>
      <c r="FO25" s="1997"/>
      <c r="FP25" s="1997"/>
      <c r="FQ25" s="1997"/>
      <c r="FR25" s="1997"/>
      <c r="FS25" s="1997"/>
      <c r="FT25" s="1997"/>
      <c r="FU25" s="1997"/>
      <c r="FV25" s="1997"/>
      <c r="FW25" s="1997"/>
      <c r="FX25" s="1997"/>
      <c r="FY25" s="1997"/>
      <c r="FZ25" s="1997"/>
      <c r="GA25" s="1997"/>
      <c r="GB25" s="1997"/>
      <c r="GC25" s="1997"/>
      <c r="GD25" s="1997"/>
      <c r="GE25" s="1997"/>
      <c r="GF25" s="1997"/>
      <c r="GG25" s="1997"/>
      <c r="GH25" s="1997"/>
      <c r="GI25" s="1997"/>
      <c r="GJ25" s="1997"/>
      <c r="GK25" s="1997"/>
      <c r="GL25" s="1997"/>
      <c r="GM25" s="1997"/>
      <c r="GN25" s="1997"/>
      <c r="GO25" s="1997"/>
      <c r="GP25" s="1997"/>
      <c r="GQ25" s="1997"/>
      <c r="GR25" s="1997"/>
      <c r="GS25" s="1997"/>
      <c r="GT25" s="1997"/>
      <c r="GU25" s="1997"/>
      <c r="GV25" s="1997"/>
      <c r="GW25" s="1997"/>
      <c r="GX25" s="1997"/>
      <c r="GY25" s="1997"/>
      <c r="GZ25" s="1997"/>
      <c r="HA25" s="1997"/>
      <c r="HB25" s="1997"/>
      <c r="HC25" s="1997"/>
      <c r="HD25" s="1997"/>
      <c r="HE25" s="1997"/>
      <c r="HF25" s="1997"/>
      <c r="HG25" s="1997"/>
      <c r="HH25" s="1997"/>
      <c r="HI25" s="1997"/>
      <c r="HJ25" s="1997"/>
      <c r="HK25" s="1997"/>
      <c r="HL25" s="1997"/>
      <c r="HM25" s="1997"/>
      <c r="HN25" s="1997"/>
      <c r="HO25" s="1997"/>
      <c r="HP25" s="1997"/>
      <c r="HQ25" s="1997"/>
      <c r="HR25" s="1997"/>
      <c r="HS25" s="1997"/>
      <c r="HT25" s="1997"/>
      <c r="HU25" s="1997"/>
      <c r="HV25" s="1997"/>
      <c r="HW25" s="1997"/>
      <c r="HX25" s="1997"/>
      <c r="HY25" s="1997"/>
      <c r="HZ25" s="1997"/>
      <c r="IA25" s="1997"/>
      <c r="IB25" s="1997"/>
      <c r="IC25" s="1997"/>
      <c r="ID25" s="1997"/>
      <c r="IE25" s="1997"/>
      <c r="IF25" s="1997"/>
      <c r="IG25" s="1997"/>
      <c r="IH25" s="1997"/>
      <c r="II25" s="1997"/>
      <c r="IJ25" s="1997"/>
      <c r="IK25" s="1997"/>
      <c r="IL25" s="1997"/>
      <c r="IM25" s="1997"/>
      <c r="IN25" s="1997"/>
      <c r="IO25" s="1997"/>
      <c r="IP25" s="1997"/>
      <c r="IQ25" s="1997"/>
    </row>
    <row r="26" spans="1:251" ht="12" hidden="1" customHeight="1">
      <c r="A26" s="1993"/>
      <c r="B26" s="1998"/>
      <c r="C26" s="1998"/>
      <c r="D26" s="2034"/>
      <c r="E26" s="1998"/>
      <c r="F26" s="1940">
        <f t="shared" si="14"/>
        <v>0</v>
      </c>
      <c r="G26" s="1993"/>
      <c r="H26" s="1940">
        <f t="shared" si="4"/>
        <v>0</v>
      </c>
      <c r="I26" s="1993"/>
      <c r="J26" s="1940">
        <f t="shared" si="5"/>
        <v>0</v>
      </c>
      <c r="K26" s="1993"/>
      <c r="L26" s="1940">
        <f t="shared" si="6"/>
        <v>0</v>
      </c>
      <c r="M26" s="1940">
        <f t="shared" si="13"/>
        <v>0</v>
      </c>
      <c r="N26" s="1940">
        <f t="shared" si="7"/>
        <v>0</v>
      </c>
      <c r="O26" s="1993"/>
      <c r="P26" s="1993"/>
      <c r="Q26" s="1940">
        <f t="shared" si="8"/>
        <v>0</v>
      </c>
      <c r="R26" s="1940">
        <f t="shared" si="9"/>
        <v>0</v>
      </c>
      <c r="S26" s="1940">
        <f t="shared" si="10"/>
        <v>0</v>
      </c>
      <c r="T26" s="1940">
        <f t="shared" si="11"/>
        <v>0</v>
      </c>
      <c r="U26" s="1940">
        <f t="shared" si="12"/>
        <v>0</v>
      </c>
      <c r="V26" s="1997"/>
      <c r="W26" s="1997"/>
      <c r="X26" s="1997"/>
      <c r="Y26" s="1997"/>
      <c r="Z26" s="1997"/>
      <c r="AA26" s="1997"/>
      <c r="AB26" s="1997"/>
      <c r="AC26" s="1997"/>
      <c r="AD26" s="1997"/>
      <c r="AE26" s="1997"/>
      <c r="AF26" s="1997"/>
      <c r="AG26" s="1997"/>
      <c r="AH26" s="1997"/>
      <c r="AI26" s="1997"/>
      <c r="AJ26" s="1997"/>
      <c r="AK26" s="1997"/>
      <c r="AL26" s="1997"/>
      <c r="AM26" s="1997"/>
      <c r="AN26" s="1997"/>
      <c r="AO26" s="1997"/>
      <c r="AP26" s="1997"/>
      <c r="AQ26" s="1997"/>
      <c r="AR26" s="1997"/>
      <c r="AS26" s="1997"/>
      <c r="AT26" s="1997"/>
      <c r="AU26" s="1997"/>
      <c r="AV26" s="1997"/>
      <c r="AW26" s="1997"/>
      <c r="AX26" s="1997"/>
      <c r="AY26" s="1997"/>
      <c r="AZ26" s="1997"/>
      <c r="BA26" s="1997"/>
      <c r="BB26" s="1997"/>
      <c r="BC26" s="1997"/>
      <c r="BD26" s="1997"/>
      <c r="BE26" s="1997"/>
      <c r="BF26" s="1997"/>
      <c r="BG26" s="1997"/>
      <c r="BH26" s="1997"/>
      <c r="BI26" s="1997"/>
      <c r="BJ26" s="1997"/>
      <c r="BK26" s="1997"/>
      <c r="BL26" s="1997"/>
      <c r="BM26" s="1997"/>
      <c r="BN26" s="1997"/>
      <c r="BO26" s="1997"/>
      <c r="BP26" s="1997"/>
      <c r="BQ26" s="1997"/>
      <c r="BR26" s="1997"/>
      <c r="BS26" s="1997"/>
      <c r="BT26" s="1997"/>
      <c r="BU26" s="1997"/>
      <c r="BV26" s="1997"/>
      <c r="BW26" s="1997"/>
      <c r="BX26" s="1997"/>
      <c r="BY26" s="1997"/>
      <c r="BZ26" s="1997"/>
      <c r="CA26" s="1997"/>
      <c r="CB26" s="1997"/>
      <c r="CC26" s="1997"/>
      <c r="CD26" s="1997"/>
      <c r="CE26" s="1997"/>
      <c r="CF26" s="1997"/>
      <c r="CG26" s="1997"/>
      <c r="CH26" s="1997"/>
      <c r="CI26" s="1997"/>
      <c r="CJ26" s="1997"/>
      <c r="CK26" s="1997"/>
      <c r="CL26" s="1997"/>
      <c r="CM26" s="1997"/>
      <c r="CN26" s="1997"/>
      <c r="CO26" s="1997"/>
      <c r="CP26" s="1997"/>
      <c r="CQ26" s="1997"/>
      <c r="CR26" s="1997"/>
      <c r="CS26" s="1997"/>
      <c r="CT26" s="1997"/>
      <c r="CU26" s="1997"/>
      <c r="CV26" s="1997"/>
      <c r="CW26" s="1997"/>
      <c r="CX26" s="1997"/>
      <c r="CY26" s="1997"/>
      <c r="CZ26" s="1997"/>
      <c r="DA26" s="1997"/>
      <c r="DB26" s="1997"/>
      <c r="DC26" s="1997"/>
      <c r="DD26" s="1997"/>
      <c r="DE26" s="1997"/>
      <c r="DF26" s="1997"/>
      <c r="DG26" s="1997"/>
      <c r="DH26" s="1997"/>
      <c r="DI26" s="1997"/>
      <c r="DJ26" s="1997"/>
      <c r="DK26" s="1997"/>
      <c r="DL26" s="1997"/>
      <c r="DM26" s="1997"/>
      <c r="DN26" s="1997"/>
      <c r="DO26" s="1997"/>
      <c r="DP26" s="1997"/>
      <c r="DQ26" s="1997"/>
      <c r="DR26" s="1997"/>
      <c r="DS26" s="1997"/>
      <c r="DT26" s="1997"/>
      <c r="DU26" s="1997"/>
      <c r="DV26" s="1997"/>
      <c r="DW26" s="1997"/>
      <c r="DX26" s="1997"/>
      <c r="DY26" s="1997"/>
      <c r="DZ26" s="1997"/>
      <c r="EA26" s="1997"/>
      <c r="EB26" s="1997"/>
      <c r="EC26" s="1997"/>
      <c r="ED26" s="1997"/>
      <c r="EE26" s="1997"/>
      <c r="EF26" s="1997"/>
      <c r="EG26" s="1997"/>
      <c r="EH26" s="1997"/>
      <c r="EI26" s="1997"/>
      <c r="EJ26" s="1997"/>
      <c r="EK26" s="1997"/>
      <c r="EL26" s="1997"/>
      <c r="EM26" s="1997"/>
      <c r="EN26" s="1997"/>
      <c r="EO26" s="1997"/>
      <c r="EP26" s="1997"/>
      <c r="EQ26" s="1997"/>
      <c r="ER26" s="1997"/>
      <c r="ES26" s="1997"/>
      <c r="ET26" s="1997"/>
      <c r="EU26" s="1997"/>
      <c r="EV26" s="1997"/>
      <c r="EW26" s="1997"/>
      <c r="EX26" s="1997"/>
      <c r="EY26" s="1997"/>
      <c r="EZ26" s="1997"/>
      <c r="FA26" s="1997"/>
      <c r="FB26" s="1997"/>
      <c r="FC26" s="1997"/>
      <c r="FD26" s="1997"/>
      <c r="FE26" s="1997"/>
      <c r="FF26" s="1997"/>
      <c r="FG26" s="1997"/>
      <c r="FH26" s="1997"/>
      <c r="FI26" s="1997"/>
      <c r="FJ26" s="1997"/>
      <c r="FK26" s="1997"/>
      <c r="FL26" s="1997"/>
      <c r="FM26" s="1997"/>
      <c r="FN26" s="1997"/>
      <c r="FO26" s="1997"/>
      <c r="FP26" s="1997"/>
      <c r="FQ26" s="1997"/>
      <c r="FR26" s="1997"/>
      <c r="FS26" s="1997"/>
      <c r="FT26" s="1997"/>
      <c r="FU26" s="1997"/>
      <c r="FV26" s="1997"/>
      <c r="FW26" s="1997"/>
      <c r="FX26" s="1997"/>
      <c r="FY26" s="1997"/>
      <c r="FZ26" s="1997"/>
      <c r="GA26" s="1997"/>
      <c r="GB26" s="1997"/>
      <c r="GC26" s="1997"/>
      <c r="GD26" s="1997"/>
      <c r="GE26" s="1997"/>
      <c r="GF26" s="1997"/>
      <c r="GG26" s="1997"/>
      <c r="GH26" s="1997"/>
      <c r="GI26" s="1997"/>
      <c r="GJ26" s="1997"/>
      <c r="GK26" s="1997"/>
      <c r="GL26" s="1997"/>
      <c r="GM26" s="1997"/>
      <c r="GN26" s="1997"/>
      <c r="GO26" s="1997"/>
      <c r="GP26" s="1997"/>
      <c r="GQ26" s="1997"/>
      <c r="GR26" s="1997"/>
      <c r="GS26" s="1997"/>
      <c r="GT26" s="1997"/>
      <c r="GU26" s="1997"/>
      <c r="GV26" s="1997"/>
      <c r="GW26" s="1997"/>
      <c r="GX26" s="1997"/>
      <c r="GY26" s="1997"/>
      <c r="GZ26" s="1997"/>
      <c r="HA26" s="1997"/>
      <c r="HB26" s="1997"/>
      <c r="HC26" s="1997"/>
      <c r="HD26" s="1997"/>
      <c r="HE26" s="1997"/>
      <c r="HF26" s="1997"/>
      <c r="HG26" s="1997"/>
      <c r="HH26" s="1997"/>
      <c r="HI26" s="1997"/>
      <c r="HJ26" s="1997"/>
      <c r="HK26" s="1997"/>
      <c r="HL26" s="1997"/>
      <c r="HM26" s="1997"/>
      <c r="HN26" s="1997"/>
      <c r="HO26" s="1997"/>
      <c r="HP26" s="1997"/>
      <c r="HQ26" s="1997"/>
      <c r="HR26" s="1997"/>
      <c r="HS26" s="1997"/>
      <c r="HT26" s="1997"/>
      <c r="HU26" s="1997"/>
      <c r="HV26" s="1997"/>
      <c r="HW26" s="1997"/>
      <c r="HX26" s="1997"/>
      <c r="HY26" s="1997"/>
      <c r="HZ26" s="1997"/>
      <c r="IA26" s="1997"/>
      <c r="IB26" s="1997"/>
      <c r="IC26" s="1997"/>
      <c r="ID26" s="1997"/>
      <c r="IE26" s="1997"/>
      <c r="IF26" s="1997"/>
      <c r="IG26" s="1997"/>
      <c r="IH26" s="1997"/>
      <c r="II26" s="1997"/>
      <c r="IJ26" s="1997"/>
      <c r="IK26" s="1997"/>
      <c r="IL26" s="1997"/>
      <c r="IM26" s="1997"/>
      <c r="IN26" s="1997"/>
      <c r="IO26" s="1997"/>
      <c r="IP26" s="1997"/>
      <c r="IQ26" s="1997"/>
    </row>
    <row r="27" spans="1:251" hidden="1">
      <c r="A27" s="1993"/>
      <c r="B27" s="1998"/>
      <c r="C27" s="1998"/>
      <c r="D27" s="2034"/>
      <c r="E27" s="1998"/>
      <c r="F27" s="1940">
        <f t="shared" si="14"/>
        <v>0</v>
      </c>
      <c r="G27" s="1993"/>
      <c r="H27" s="1940">
        <f t="shared" si="4"/>
        <v>0</v>
      </c>
      <c r="I27" s="1993"/>
      <c r="J27" s="1940">
        <f t="shared" si="5"/>
        <v>0</v>
      </c>
      <c r="K27" s="1993"/>
      <c r="L27" s="1940">
        <f t="shared" si="6"/>
        <v>0</v>
      </c>
      <c r="M27" s="1940">
        <f t="shared" si="13"/>
        <v>0</v>
      </c>
      <c r="N27" s="1940">
        <f t="shared" si="7"/>
        <v>0</v>
      </c>
      <c r="O27" s="1993"/>
      <c r="P27" s="1993"/>
      <c r="Q27" s="1940">
        <f t="shared" si="8"/>
        <v>0</v>
      </c>
      <c r="R27" s="1940">
        <f t="shared" si="9"/>
        <v>0</v>
      </c>
      <c r="S27" s="1940">
        <f t="shared" si="10"/>
        <v>0</v>
      </c>
      <c r="T27" s="1940">
        <f t="shared" si="11"/>
        <v>0</v>
      </c>
      <c r="U27" s="1940">
        <f t="shared" si="12"/>
        <v>0</v>
      </c>
      <c r="V27" s="1997"/>
      <c r="W27" s="1997"/>
      <c r="X27" s="1997"/>
      <c r="Y27" s="1997"/>
      <c r="Z27" s="1997"/>
      <c r="AA27" s="1997"/>
      <c r="AB27" s="1997"/>
      <c r="AC27" s="1997"/>
      <c r="AD27" s="1997"/>
      <c r="AE27" s="1997"/>
      <c r="AF27" s="1997"/>
      <c r="AG27" s="1997"/>
      <c r="AH27" s="1997"/>
      <c r="AI27" s="1997"/>
      <c r="AJ27" s="1997"/>
      <c r="AK27" s="1997"/>
      <c r="AL27" s="1997"/>
      <c r="AM27" s="1997"/>
      <c r="AN27" s="1997"/>
      <c r="AO27" s="1997"/>
      <c r="AP27" s="1997"/>
      <c r="AQ27" s="1997"/>
      <c r="AR27" s="1997"/>
      <c r="AS27" s="1997"/>
      <c r="AT27" s="1997"/>
      <c r="AU27" s="1997"/>
      <c r="AV27" s="1997"/>
      <c r="AW27" s="1997"/>
      <c r="AX27" s="1997"/>
      <c r="AY27" s="1997"/>
      <c r="AZ27" s="1997"/>
      <c r="BA27" s="1997"/>
      <c r="BB27" s="1997"/>
      <c r="BC27" s="1997"/>
      <c r="BD27" s="1997"/>
      <c r="BE27" s="1997"/>
      <c r="BF27" s="1997"/>
      <c r="BG27" s="1997"/>
      <c r="BH27" s="1997"/>
      <c r="BI27" s="1997"/>
      <c r="BJ27" s="1997"/>
      <c r="BK27" s="1997"/>
      <c r="BL27" s="1997"/>
      <c r="BM27" s="1997"/>
      <c r="BN27" s="1997"/>
      <c r="BO27" s="1997"/>
      <c r="BP27" s="1997"/>
      <c r="BQ27" s="1997"/>
      <c r="BR27" s="1997"/>
      <c r="BS27" s="1997"/>
      <c r="BT27" s="1997"/>
      <c r="BU27" s="1997"/>
      <c r="BV27" s="1997"/>
      <c r="BW27" s="1997"/>
      <c r="BX27" s="1997"/>
      <c r="BY27" s="1997"/>
      <c r="BZ27" s="1997"/>
      <c r="CA27" s="1997"/>
      <c r="CB27" s="1997"/>
      <c r="CC27" s="1997"/>
      <c r="CD27" s="1997"/>
      <c r="CE27" s="1997"/>
      <c r="CF27" s="1997"/>
      <c r="CG27" s="1997"/>
      <c r="CH27" s="1997"/>
      <c r="CI27" s="1997"/>
      <c r="CJ27" s="1997"/>
      <c r="CK27" s="1997"/>
      <c r="CL27" s="1997"/>
      <c r="CM27" s="1997"/>
      <c r="CN27" s="1997"/>
      <c r="CO27" s="1997"/>
      <c r="CP27" s="1997"/>
      <c r="CQ27" s="1997"/>
      <c r="CR27" s="1997"/>
      <c r="CS27" s="1997"/>
      <c r="CT27" s="1997"/>
      <c r="CU27" s="1997"/>
      <c r="CV27" s="1997"/>
      <c r="CW27" s="1997"/>
      <c r="CX27" s="1997"/>
      <c r="CY27" s="1997"/>
      <c r="CZ27" s="1997"/>
      <c r="DA27" s="1997"/>
      <c r="DB27" s="1997"/>
      <c r="DC27" s="1997"/>
      <c r="DD27" s="1997"/>
      <c r="DE27" s="1997"/>
      <c r="DF27" s="1997"/>
      <c r="DG27" s="1997"/>
      <c r="DH27" s="1997"/>
      <c r="DI27" s="1997"/>
      <c r="DJ27" s="1997"/>
      <c r="DK27" s="1997"/>
      <c r="DL27" s="1997"/>
      <c r="DM27" s="1997"/>
      <c r="DN27" s="1997"/>
      <c r="DO27" s="1997"/>
      <c r="DP27" s="1997"/>
      <c r="DQ27" s="1997"/>
      <c r="DR27" s="1997"/>
      <c r="DS27" s="1997"/>
      <c r="DT27" s="1997"/>
      <c r="DU27" s="1997"/>
      <c r="DV27" s="1997"/>
      <c r="DW27" s="1997"/>
      <c r="DX27" s="1997"/>
      <c r="DY27" s="1997"/>
      <c r="DZ27" s="1997"/>
      <c r="EA27" s="1997"/>
      <c r="EB27" s="1997"/>
      <c r="EC27" s="1997"/>
      <c r="ED27" s="1997"/>
      <c r="EE27" s="1997"/>
      <c r="EF27" s="1997"/>
      <c r="EG27" s="1997"/>
      <c r="EH27" s="1997"/>
      <c r="EI27" s="1997"/>
      <c r="EJ27" s="1997"/>
      <c r="EK27" s="1997"/>
      <c r="EL27" s="1997"/>
      <c r="EM27" s="1997"/>
      <c r="EN27" s="1997"/>
      <c r="EO27" s="1997"/>
      <c r="EP27" s="1997"/>
      <c r="EQ27" s="1997"/>
      <c r="ER27" s="1997"/>
      <c r="ES27" s="1997"/>
      <c r="ET27" s="1997"/>
      <c r="EU27" s="1997"/>
      <c r="EV27" s="1997"/>
      <c r="EW27" s="1997"/>
      <c r="EX27" s="1997"/>
      <c r="EY27" s="1997"/>
      <c r="EZ27" s="1997"/>
      <c r="FA27" s="1997"/>
      <c r="FB27" s="1997"/>
      <c r="FC27" s="1997"/>
      <c r="FD27" s="1997"/>
      <c r="FE27" s="1997"/>
      <c r="FF27" s="1997"/>
      <c r="FG27" s="1997"/>
      <c r="FH27" s="1997"/>
      <c r="FI27" s="1997"/>
      <c r="FJ27" s="1997"/>
      <c r="FK27" s="1997"/>
      <c r="FL27" s="1997"/>
      <c r="FM27" s="1997"/>
      <c r="FN27" s="1997"/>
      <c r="FO27" s="1997"/>
      <c r="FP27" s="1997"/>
      <c r="FQ27" s="1997"/>
      <c r="FR27" s="1997"/>
      <c r="FS27" s="1997"/>
      <c r="FT27" s="1997"/>
      <c r="FU27" s="1997"/>
      <c r="FV27" s="1997"/>
      <c r="FW27" s="1997"/>
      <c r="FX27" s="1997"/>
      <c r="FY27" s="1997"/>
      <c r="FZ27" s="1997"/>
      <c r="GA27" s="1997"/>
      <c r="GB27" s="1997"/>
      <c r="GC27" s="1997"/>
      <c r="GD27" s="1997"/>
      <c r="GE27" s="1997"/>
      <c r="GF27" s="1997"/>
      <c r="GG27" s="1997"/>
      <c r="GH27" s="1997"/>
      <c r="GI27" s="1997"/>
      <c r="GJ27" s="1997"/>
      <c r="GK27" s="1997"/>
      <c r="GL27" s="1997"/>
      <c r="GM27" s="1997"/>
      <c r="GN27" s="1997"/>
      <c r="GO27" s="1997"/>
      <c r="GP27" s="1997"/>
      <c r="GQ27" s="1997"/>
      <c r="GR27" s="1997"/>
      <c r="GS27" s="1997"/>
      <c r="GT27" s="1997"/>
      <c r="GU27" s="1997"/>
      <c r="GV27" s="1997"/>
      <c r="GW27" s="1997"/>
      <c r="GX27" s="1997"/>
      <c r="GY27" s="1997"/>
      <c r="GZ27" s="1997"/>
      <c r="HA27" s="1997"/>
      <c r="HB27" s="1997"/>
      <c r="HC27" s="1997"/>
      <c r="HD27" s="1997"/>
      <c r="HE27" s="1997"/>
      <c r="HF27" s="1997"/>
      <c r="HG27" s="1997"/>
      <c r="HH27" s="1997"/>
      <c r="HI27" s="1997"/>
      <c r="HJ27" s="1997"/>
      <c r="HK27" s="1997"/>
      <c r="HL27" s="1997"/>
      <c r="HM27" s="1997"/>
      <c r="HN27" s="1997"/>
      <c r="HO27" s="1997"/>
      <c r="HP27" s="1997"/>
      <c r="HQ27" s="1997"/>
      <c r="HR27" s="1997"/>
      <c r="HS27" s="1997"/>
      <c r="HT27" s="1997"/>
      <c r="HU27" s="1997"/>
      <c r="HV27" s="1997"/>
      <c r="HW27" s="1997"/>
      <c r="HX27" s="1997"/>
      <c r="HY27" s="1997"/>
      <c r="HZ27" s="1997"/>
      <c r="IA27" s="1997"/>
      <c r="IB27" s="1997"/>
      <c r="IC27" s="1997"/>
      <c r="ID27" s="1997"/>
      <c r="IE27" s="1997"/>
      <c r="IF27" s="1997"/>
      <c r="IG27" s="1997"/>
      <c r="IH27" s="1997"/>
      <c r="II27" s="1997"/>
      <c r="IJ27" s="1997"/>
      <c r="IK27" s="1997"/>
      <c r="IL27" s="1997"/>
      <c r="IM27" s="1997"/>
      <c r="IN27" s="1997"/>
      <c r="IO27" s="1997"/>
      <c r="IP27" s="1997"/>
      <c r="IQ27" s="1997"/>
    </row>
    <row r="28" spans="1:251" hidden="1">
      <c r="A28" s="1993"/>
      <c r="B28" s="1998"/>
      <c r="C28" s="1998"/>
      <c r="D28" s="2034"/>
      <c r="E28" s="1998"/>
      <c r="F28" s="1940">
        <f t="shared" si="14"/>
        <v>0</v>
      </c>
      <c r="G28" s="1993"/>
      <c r="H28" s="1940">
        <f t="shared" si="4"/>
        <v>0</v>
      </c>
      <c r="I28" s="1993"/>
      <c r="J28" s="1940">
        <f t="shared" si="5"/>
        <v>0</v>
      </c>
      <c r="K28" s="1993"/>
      <c r="L28" s="1940">
        <f t="shared" si="6"/>
        <v>0</v>
      </c>
      <c r="M28" s="1940">
        <f t="shared" si="13"/>
        <v>0</v>
      </c>
      <c r="N28" s="1940">
        <f t="shared" si="7"/>
        <v>0</v>
      </c>
      <c r="O28" s="1993"/>
      <c r="P28" s="1993"/>
      <c r="Q28" s="1940">
        <f t="shared" si="8"/>
        <v>0</v>
      </c>
      <c r="R28" s="1940">
        <f t="shared" si="9"/>
        <v>0</v>
      </c>
      <c r="S28" s="1940">
        <f t="shared" si="10"/>
        <v>0</v>
      </c>
      <c r="T28" s="1940">
        <f t="shared" si="11"/>
        <v>0</v>
      </c>
      <c r="U28" s="1940">
        <f t="shared" si="12"/>
        <v>0</v>
      </c>
      <c r="V28" s="1997"/>
      <c r="W28" s="1997"/>
      <c r="X28" s="1997"/>
      <c r="Y28" s="1997"/>
      <c r="Z28" s="1997"/>
      <c r="AA28" s="1997"/>
      <c r="AB28" s="1997"/>
      <c r="AC28" s="1997"/>
      <c r="AD28" s="1997"/>
      <c r="AE28" s="1997"/>
      <c r="AF28" s="1997"/>
      <c r="AG28" s="1997"/>
      <c r="AH28" s="1997"/>
      <c r="AI28" s="1997"/>
      <c r="AJ28" s="1997"/>
      <c r="AK28" s="1997"/>
      <c r="AL28" s="1997"/>
      <c r="AM28" s="1997"/>
      <c r="AN28" s="1997"/>
      <c r="AO28" s="1997"/>
      <c r="AP28" s="1997"/>
      <c r="AQ28" s="1997"/>
      <c r="AR28" s="1997"/>
      <c r="AS28" s="1997"/>
      <c r="AT28" s="1997"/>
      <c r="AU28" s="1997"/>
      <c r="AV28" s="1997"/>
      <c r="AW28" s="1997"/>
      <c r="AX28" s="1997"/>
      <c r="AY28" s="1997"/>
      <c r="AZ28" s="1997"/>
      <c r="BA28" s="1997"/>
      <c r="BB28" s="1997"/>
      <c r="BC28" s="1997"/>
      <c r="BD28" s="1997"/>
      <c r="BE28" s="1997"/>
      <c r="BF28" s="1997"/>
      <c r="BG28" s="1997"/>
      <c r="BH28" s="1997"/>
      <c r="BI28" s="1997"/>
      <c r="BJ28" s="1997"/>
      <c r="BK28" s="1997"/>
      <c r="BL28" s="1997"/>
      <c r="BM28" s="1997"/>
      <c r="BN28" s="1997"/>
      <c r="BO28" s="1997"/>
      <c r="BP28" s="1997"/>
      <c r="BQ28" s="1997"/>
      <c r="BR28" s="1997"/>
      <c r="BS28" s="1997"/>
      <c r="BT28" s="1997"/>
      <c r="BU28" s="1997"/>
      <c r="BV28" s="1997"/>
      <c r="BW28" s="1997"/>
      <c r="BX28" s="1997"/>
      <c r="BY28" s="1997"/>
      <c r="BZ28" s="1997"/>
      <c r="CA28" s="1997"/>
      <c r="CB28" s="1997"/>
      <c r="CC28" s="1997"/>
      <c r="CD28" s="1997"/>
      <c r="CE28" s="1997"/>
      <c r="CF28" s="1997"/>
      <c r="CG28" s="1997"/>
      <c r="CH28" s="1997"/>
      <c r="CI28" s="1997"/>
      <c r="CJ28" s="1997"/>
      <c r="CK28" s="1997"/>
      <c r="CL28" s="1997"/>
      <c r="CM28" s="1997"/>
      <c r="CN28" s="1997"/>
      <c r="CO28" s="1997"/>
      <c r="CP28" s="1997"/>
      <c r="CQ28" s="1997"/>
      <c r="CR28" s="1997"/>
      <c r="CS28" s="1997"/>
      <c r="CT28" s="1997"/>
      <c r="CU28" s="1997"/>
      <c r="CV28" s="1997"/>
      <c r="CW28" s="1997"/>
      <c r="CX28" s="1997"/>
      <c r="CY28" s="1997"/>
      <c r="CZ28" s="1997"/>
      <c r="DA28" s="1997"/>
      <c r="DB28" s="1997"/>
      <c r="DC28" s="1997"/>
      <c r="DD28" s="1997"/>
      <c r="DE28" s="1997"/>
      <c r="DF28" s="1997"/>
      <c r="DG28" s="1997"/>
      <c r="DH28" s="1997"/>
      <c r="DI28" s="1997"/>
      <c r="DJ28" s="1997"/>
      <c r="DK28" s="1997"/>
      <c r="DL28" s="1997"/>
      <c r="DM28" s="1997"/>
      <c r="DN28" s="1997"/>
      <c r="DO28" s="1997"/>
      <c r="DP28" s="1997"/>
      <c r="DQ28" s="1997"/>
      <c r="DR28" s="1997"/>
      <c r="DS28" s="1997"/>
      <c r="DT28" s="1997"/>
      <c r="DU28" s="1997"/>
      <c r="DV28" s="1997"/>
      <c r="DW28" s="1997"/>
      <c r="DX28" s="1997"/>
      <c r="DY28" s="1997"/>
      <c r="DZ28" s="1997"/>
      <c r="EA28" s="1997"/>
      <c r="EB28" s="1997"/>
      <c r="EC28" s="1997"/>
      <c r="ED28" s="1997"/>
      <c r="EE28" s="1997"/>
      <c r="EF28" s="1997"/>
      <c r="EG28" s="1997"/>
      <c r="EH28" s="1997"/>
      <c r="EI28" s="1997"/>
      <c r="EJ28" s="1997"/>
      <c r="EK28" s="1997"/>
      <c r="EL28" s="1997"/>
      <c r="EM28" s="1997"/>
      <c r="EN28" s="1997"/>
      <c r="EO28" s="1997"/>
      <c r="EP28" s="1997"/>
      <c r="EQ28" s="1997"/>
      <c r="ER28" s="1997"/>
      <c r="ES28" s="1997"/>
      <c r="ET28" s="1997"/>
      <c r="EU28" s="1997"/>
      <c r="EV28" s="1997"/>
      <c r="EW28" s="1997"/>
      <c r="EX28" s="1997"/>
      <c r="EY28" s="1997"/>
      <c r="EZ28" s="1997"/>
      <c r="FA28" s="1997"/>
      <c r="FB28" s="1997"/>
      <c r="FC28" s="1997"/>
      <c r="FD28" s="1997"/>
      <c r="FE28" s="1997"/>
      <c r="FF28" s="1997"/>
      <c r="FG28" s="1997"/>
      <c r="FH28" s="1997"/>
      <c r="FI28" s="1997"/>
      <c r="FJ28" s="1997"/>
      <c r="FK28" s="1997"/>
      <c r="FL28" s="1997"/>
      <c r="FM28" s="1997"/>
      <c r="FN28" s="1997"/>
      <c r="FO28" s="1997"/>
      <c r="FP28" s="1997"/>
      <c r="FQ28" s="1997"/>
      <c r="FR28" s="1997"/>
      <c r="FS28" s="1997"/>
      <c r="FT28" s="1997"/>
      <c r="FU28" s="1997"/>
      <c r="FV28" s="1997"/>
      <c r="FW28" s="1997"/>
      <c r="FX28" s="1997"/>
      <c r="FY28" s="1997"/>
      <c r="FZ28" s="1997"/>
      <c r="GA28" s="1997"/>
      <c r="GB28" s="1997"/>
      <c r="GC28" s="1997"/>
      <c r="GD28" s="1997"/>
      <c r="GE28" s="1997"/>
      <c r="GF28" s="1997"/>
      <c r="GG28" s="1997"/>
      <c r="GH28" s="1997"/>
      <c r="GI28" s="1997"/>
      <c r="GJ28" s="1997"/>
      <c r="GK28" s="1997"/>
      <c r="GL28" s="1997"/>
      <c r="GM28" s="1997"/>
      <c r="GN28" s="1997"/>
      <c r="GO28" s="1997"/>
      <c r="GP28" s="1997"/>
      <c r="GQ28" s="1997"/>
      <c r="GR28" s="1997"/>
      <c r="GS28" s="1997"/>
      <c r="GT28" s="1997"/>
      <c r="GU28" s="1997"/>
      <c r="GV28" s="1997"/>
      <c r="GW28" s="1997"/>
      <c r="GX28" s="1997"/>
      <c r="GY28" s="1997"/>
      <c r="GZ28" s="1997"/>
      <c r="HA28" s="1997"/>
      <c r="HB28" s="1997"/>
      <c r="HC28" s="1997"/>
      <c r="HD28" s="1997"/>
      <c r="HE28" s="1997"/>
      <c r="HF28" s="1997"/>
      <c r="HG28" s="1997"/>
      <c r="HH28" s="1997"/>
      <c r="HI28" s="1997"/>
      <c r="HJ28" s="1997"/>
      <c r="HK28" s="1997"/>
      <c r="HL28" s="1997"/>
      <c r="HM28" s="1997"/>
      <c r="HN28" s="1997"/>
      <c r="HO28" s="1997"/>
      <c r="HP28" s="1997"/>
      <c r="HQ28" s="1997"/>
      <c r="HR28" s="1997"/>
      <c r="HS28" s="1997"/>
      <c r="HT28" s="1997"/>
      <c r="HU28" s="1997"/>
      <c r="HV28" s="1997"/>
      <c r="HW28" s="1997"/>
      <c r="HX28" s="1997"/>
      <c r="HY28" s="1997"/>
      <c r="HZ28" s="1997"/>
      <c r="IA28" s="1997"/>
      <c r="IB28" s="1997"/>
      <c r="IC28" s="1997"/>
      <c r="ID28" s="1997"/>
      <c r="IE28" s="1997"/>
      <c r="IF28" s="1997"/>
      <c r="IG28" s="1997"/>
      <c r="IH28" s="1997"/>
      <c r="II28" s="1997"/>
      <c r="IJ28" s="1997"/>
      <c r="IK28" s="1997"/>
      <c r="IL28" s="1997"/>
      <c r="IM28" s="1997"/>
      <c r="IN28" s="1997"/>
      <c r="IO28" s="1997"/>
      <c r="IP28" s="1997"/>
      <c r="IQ28" s="1997"/>
    </row>
    <row r="29" spans="1:251" hidden="1">
      <c r="A29" s="1993"/>
      <c r="B29" s="1998"/>
      <c r="C29" s="1998"/>
      <c r="D29" s="2034"/>
      <c r="E29" s="1998"/>
      <c r="F29" s="1940">
        <f t="shared" si="14"/>
        <v>0</v>
      </c>
      <c r="G29" s="1993"/>
      <c r="H29" s="1940">
        <f t="shared" si="4"/>
        <v>0</v>
      </c>
      <c r="I29" s="1993"/>
      <c r="J29" s="1940">
        <f t="shared" si="5"/>
        <v>0</v>
      </c>
      <c r="K29" s="1993"/>
      <c r="L29" s="1940">
        <f t="shared" si="6"/>
        <v>0</v>
      </c>
      <c r="M29" s="1940">
        <f t="shared" si="13"/>
        <v>0</v>
      </c>
      <c r="N29" s="1940">
        <f t="shared" si="7"/>
        <v>0</v>
      </c>
      <c r="O29" s="1993"/>
      <c r="P29" s="1993"/>
      <c r="Q29" s="1940">
        <f t="shared" si="8"/>
        <v>0</v>
      </c>
      <c r="R29" s="1940">
        <f t="shared" si="9"/>
        <v>0</v>
      </c>
      <c r="S29" s="1940">
        <f t="shared" si="10"/>
        <v>0</v>
      </c>
      <c r="T29" s="1940">
        <f t="shared" si="11"/>
        <v>0</v>
      </c>
      <c r="U29" s="1940">
        <f t="shared" si="12"/>
        <v>0</v>
      </c>
      <c r="V29" s="1997"/>
      <c r="W29" s="1997"/>
      <c r="X29" s="1997"/>
      <c r="Y29" s="1997"/>
      <c r="Z29" s="1997"/>
      <c r="AA29" s="1997"/>
      <c r="AB29" s="1997"/>
      <c r="AC29" s="1997"/>
      <c r="AD29" s="1997"/>
      <c r="AE29" s="1997"/>
      <c r="AF29" s="1997"/>
      <c r="AG29" s="1997"/>
      <c r="AH29" s="1997"/>
      <c r="AI29" s="1997"/>
      <c r="AJ29" s="1997"/>
      <c r="AK29" s="1997"/>
      <c r="AL29" s="1997"/>
      <c r="AM29" s="1997"/>
      <c r="AN29" s="1997"/>
      <c r="AO29" s="1997"/>
      <c r="AP29" s="1997"/>
      <c r="AQ29" s="1997"/>
      <c r="AR29" s="1997"/>
      <c r="AS29" s="1997"/>
      <c r="AT29" s="1997"/>
      <c r="AU29" s="1997"/>
      <c r="AV29" s="1997"/>
      <c r="AW29" s="1997"/>
      <c r="AX29" s="1997"/>
      <c r="AY29" s="1997"/>
      <c r="AZ29" s="1997"/>
      <c r="BA29" s="1997"/>
      <c r="BB29" s="1997"/>
      <c r="BC29" s="1997"/>
      <c r="BD29" s="1997"/>
      <c r="BE29" s="1997"/>
      <c r="BF29" s="1997"/>
      <c r="BG29" s="1997"/>
      <c r="BH29" s="1997"/>
      <c r="BI29" s="1997"/>
      <c r="BJ29" s="1997"/>
      <c r="BK29" s="1997"/>
      <c r="BL29" s="1997"/>
      <c r="BM29" s="1997"/>
      <c r="BN29" s="1997"/>
      <c r="BO29" s="1997"/>
      <c r="BP29" s="1997"/>
      <c r="BQ29" s="1997"/>
      <c r="BR29" s="1997"/>
      <c r="BS29" s="1997"/>
      <c r="BT29" s="1997"/>
      <c r="BU29" s="1997"/>
      <c r="BV29" s="1997"/>
      <c r="BW29" s="1997"/>
      <c r="BX29" s="1997"/>
      <c r="BY29" s="1997"/>
      <c r="BZ29" s="1997"/>
      <c r="CA29" s="1997"/>
      <c r="CB29" s="1997"/>
      <c r="CC29" s="1997"/>
      <c r="CD29" s="1997"/>
      <c r="CE29" s="1997"/>
      <c r="CF29" s="1997"/>
      <c r="CG29" s="1997"/>
      <c r="CH29" s="1997"/>
      <c r="CI29" s="1997"/>
      <c r="CJ29" s="1997"/>
      <c r="CK29" s="1997"/>
      <c r="CL29" s="1997"/>
      <c r="CM29" s="1997"/>
      <c r="CN29" s="1997"/>
      <c r="CO29" s="1997"/>
      <c r="CP29" s="1997"/>
      <c r="CQ29" s="1997"/>
      <c r="CR29" s="1997"/>
      <c r="CS29" s="1997"/>
      <c r="CT29" s="1997"/>
      <c r="CU29" s="1997"/>
      <c r="CV29" s="1997"/>
      <c r="CW29" s="1997"/>
      <c r="CX29" s="1997"/>
      <c r="CY29" s="1997"/>
      <c r="CZ29" s="1997"/>
      <c r="DA29" s="1997"/>
      <c r="DB29" s="1997"/>
      <c r="DC29" s="1997"/>
      <c r="DD29" s="1997"/>
      <c r="DE29" s="1997"/>
      <c r="DF29" s="1997"/>
      <c r="DG29" s="1997"/>
      <c r="DH29" s="1997"/>
      <c r="DI29" s="1997"/>
      <c r="DJ29" s="1997"/>
      <c r="DK29" s="1997"/>
      <c r="DL29" s="1997"/>
      <c r="DM29" s="1997"/>
      <c r="DN29" s="1997"/>
      <c r="DO29" s="1997"/>
      <c r="DP29" s="1997"/>
      <c r="DQ29" s="1997"/>
      <c r="DR29" s="1997"/>
      <c r="DS29" s="1997"/>
      <c r="DT29" s="1997"/>
      <c r="DU29" s="1997"/>
      <c r="DV29" s="1997"/>
      <c r="DW29" s="1997"/>
      <c r="DX29" s="1997"/>
      <c r="DY29" s="1997"/>
      <c r="DZ29" s="1997"/>
      <c r="EA29" s="1997"/>
      <c r="EB29" s="1997"/>
      <c r="EC29" s="1997"/>
      <c r="ED29" s="1997"/>
      <c r="EE29" s="1997"/>
      <c r="EF29" s="1997"/>
      <c r="EG29" s="1997"/>
      <c r="EH29" s="1997"/>
      <c r="EI29" s="1997"/>
      <c r="EJ29" s="1997"/>
      <c r="EK29" s="1997"/>
      <c r="EL29" s="1997"/>
      <c r="EM29" s="1997"/>
      <c r="EN29" s="1997"/>
      <c r="EO29" s="1997"/>
      <c r="EP29" s="1997"/>
      <c r="EQ29" s="1997"/>
      <c r="ER29" s="1997"/>
      <c r="ES29" s="1997"/>
      <c r="ET29" s="1997"/>
      <c r="EU29" s="1997"/>
      <c r="EV29" s="1997"/>
      <c r="EW29" s="1997"/>
      <c r="EX29" s="1997"/>
      <c r="EY29" s="1997"/>
      <c r="EZ29" s="1997"/>
      <c r="FA29" s="1997"/>
      <c r="FB29" s="1997"/>
      <c r="FC29" s="1997"/>
      <c r="FD29" s="1997"/>
      <c r="FE29" s="1997"/>
      <c r="FF29" s="1997"/>
      <c r="FG29" s="1997"/>
      <c r="FH29" s="1997"/>
      <c r="FI29" s="1997"/>
      <c r="FJ29" s="1997"/>
      <c r="FK29" s="1997"/>
      <c r="FL29" s="1997"/>
      <c r="FM29" s="1997"/>
      <c r="FN29" s="1997"/>
      <c r="FO29" s="1997"/>
      <c r="FP29" s="1997"/>
      <c r="FQ29" s="1997"/>
      <c r="FR29" s="1997"/>
      <c r="FS29" s="1997"/>
      <c r="FT29" s="1997"/>
      <c r="FU29" s="1997"/>
      <c r="FV29" s="1997"/>
      <c r="FW29" s="1997"/>
      <c r="FX29" s="1997"/>
      <c r="FY29" s="1997"/>
      <c r="FZ29" s="1997"/>
      <c r="GA29" s="1997"/>
      <c r="GB29" s="1997"/>
      <c r="GC29" s="1997"/>
      <c r="GD29" s="1997"/>
      <c r="GE29" s="1997"/>
      <c r="GF29" s="1997"/>
      <c r="GG29" s="1997"/>
      <c r="GH29" s="1997"/>
      <c r="GI29" s="1997"/>
      <c r="GJ29" s="1997"/>
      <c r="GK29" s="1997"/>
      <c r="GL29" s="1997"/>
      <c r="GM29" s="1997"/>
      <c r="GN29" s="1997"/>
      <c r="GO29" s="1997"/>
      <c r="GP29" s="1997"/>
      <c r="GQ29" s="1997"/>
      <c r="GR29" s="1997"/>
      <c r="GS29" s="1997"/>
      <c r="GT29" s="1997"/>
      <c r="GU29" s="1997"/>
      <c r="GV29" s="1997"/>
      <c r="GW29" s="1997"/>
      <c r="GX29" s="1997"/>
      <c r="GY29" s="1997"/>
      <c r="GZ29" s="1997"/>
      <c r="HA29" s="1997"/>
      <c r="HB29" s="1997"/>
      <c r="HC29" s="1997"/>
      <c r="HD29" s="1997"/>
      <c r="HE29" s="1997"/>
      <c r="HF29" s="1997"/>
      <c r="HG29" s="1997"/>
      <c r="HH29" s="1997"/>
      <c r="HI29" s="1997"/>
      <c r="HJ29" s="1997"/>
      <c r="HK29" s="1997"/>
      <c r="HL29" s="1997"/>
      <c r="HM29" s="1997"/>
      <c r="HN29" s="1997"/>
      <c r="HO29" s="1997"/>
      <c r="HP29" s="1997"/>
      <c r="HQ29" s="1997"/>
      <c r="HR29" s="1997"/>
      <c r="HS29" s="1997"/>
      <c r="HT29" s="1997"/>
      <c r="HU29" s="1997"/>
      <c r="HV29" s="1997"/>
      <c r="HW29" s="1997"/>
      <c r="HX29" s="1997"/>
      <c r="HY29" s="1997"/>
      <c r="HZ29" s="1997"/>
      <c r="IA29" s="1997"/>
      <c r="IB29" s="1997"/>
      <c r="IC29" s="1997"/>
      <c r="ID29" s="1997"/>
      <c r="IE29" s="1997"/>
      <c r="IF29" s="1997"/>
      <c r="IG29" s="1997"/>
      <c r="IH29" s="1997"/>
      <c r="II29" s="1997"/>
      <c r="IJ29" s="1997"/>
      <c r="IK29" s="1997"/>
      <c r="IL29" s="1997"/>
      <c r="IM29" s="1997"/>
      <c r="IN29" s="1997"/>
      <c r="IO29" s="1997"/>
      <c r="IP29" s="1997"/>
      <c r="IQ29" s="1997"/>
    </row>
    <row r="30" spans="1:251" hidden="1">
      <c r="A30" s="1993"/>
      <c r="B30" s="1998"/>
      <c r="C30" s="1998"/>
      <c r="D30" s="2034"/>
      <c r="E30" s="1998"/>
      <c r="F30" s="1940">
        <f t="shared" si="14"/>
        <v>0</v>
      </c>
      <c r="G30" s="1993"/>
      <c r="H30" s="1940">
        <f t="shared" si="4"/>
        <v>0</v>
      </c>
      <c r="I30" s="1993"/>
      <c r="J30" s="1940">
        <f t="shared" si="5"/>
        <v>0</v>
      </c>
      <c r="K30" s="1993"/>
      <c r="L30" s="1940">
        <f t="shared" si="6"/>
        <v>0</v>
      </c>
      <c r="M30" s="1940">
        <f t="shared" si="13"/>
        <v>0</v>
      </c>
      <c r="N30" s="1940">
        <f t="shared" si="7"/>
        <v>0</v>
      </c>
      <c r="O30" s="1993"/>
      <c r="P30" s="1993"/>
      <c r="Q30" s="1940">
        <f t="shared" si="8"/>
        <v>0</v>
      </c>
      <c r="R30" s="1940">
        <f t="shared" si="9"/>
        <v>0</v>
      </c>
      <c r="S30" s="1940">
        <f t="shared" si="10"/>
        <v>0</v>
      </c>
      <c r="T30" s="1940">
        <f t="shared" si="11"/>
        <v>0</v>
      </c>
      <c r="U30" s="1940">
        <f t="shared" si="12"/>
        <v>0</v>
      </c>
      <c r="V30" s="1997"/>
      <c r="W30" s="1997"/>
      <c r="X30" s="1997"/>
      <c r="Y30" s="1997"/>
      <c r="Z30" s="1997"/>
      <c r="AA30" s="1997"/>
      <c r="AB30" s="1997"/>
      <c r="AC30" s="1997"/>
      <c r="AD30" s="1997"/>
      <c r="AE30" s="1997"/>
      <c r="AF30" s="1997"/>
      <c r="AG30" s="1997"/>
      <c r="AH30" s="1997"/>
      <c r="AI30" s="1997"/>
      <c r="AJ30" s="1997"/>
      <c r="AK30" s="1997"/>
      <c r="AL30" s="1997"/>
      <c r="AM30" s="1997"/>
      <c r="AN30" s="1997"/>
      <c r="AO30" s="1997"/>
      <c r="AP30" s="1997"/>
      <c r="AQ30" s="1997"/>
      <c r="AR30" s="1997"/>
      <c r="AS30" s="1997"/>
      <c r="AT30" s="1997"/>
      <c r="AU30" s="1997"/>
      <c r="AV30" s="1997"/>
      <c r="AW30" s="1997"/>
      <c r="AX30" s="1997"/>
      <c r="AY30" s="1997"/>
      <c r="AZ30" s="1997"/>
      <c r="BA30" s="1997"/>
      <c r="BB30" s="1997"/>
      <c r="BC30" s="1997"/>
      <c r="BD30" s="1997"/>
      <c r="BE30" s="1997"/>
      <c r="BF30" s="1997"/>
      <c r="BG30" s="1997"/>
      <c r="BH30" s="1997"/>
      <c r="BI30" s="1997"/>
      <c r="BJ30" s="1997"/>
      <c r="BK30" s="1997"/>
      <c r="BL30" s="1997"/>
      <c r="BM30" s="1997"/>
      <c r="BN30" s="1997"/>
      <c r="BO30" s="1997"/>
      <c r="BP30" s="1997"/>
      <c r="BQ30" s="1997"/>
      <c r="BR30" s="1997"/>
      <c r="BS30" s="1997"/>
      <c r="BT30" s="1997"/>
      <c r="BU30" s="1997"/>
      <c r="BV30" s="1997"/>
      <c r="BW30" s="1997"/>
      <c r="BX30" s="1997"/>
      <c r="BY30" s="1997"/>
      <c r="BZ30" s="1997"/>
      <c r="CA30" s="1997"/>
      <c r="CB30" s="1997"/>
      <c r="CC30" s="1997"/>
      <c r="CD30" s="1997"/>
      <c r="CE30" s="1997"/>
      <c r="CF30" s="1997"/>
      <c r="CG30" s="1997"/>
      <c r="CH30" s="1997"/>
      <c r="CI30" s="1997"/>
      <c r="CJ30" s="1997"/>
      <c r="CK30" s="1997"/>
      <c r="CL30" s="1997"/>
      <c r="CM30" s="1997"/>
      <c r="CN30" s="1997"/>
      <c r="CO30" s="1997"/>
      <c r="CP30" s="1997"/>
      <c r="CQ30" s="1997"/>
      <c r="CR30" s="1997"/>
      <c r="CS30" s="1997"/>
      <c r="CT30" s="1997"/>
      <c r="CU30" s="1997"/>
      <c r="CV30" s="1997"/>
      <c r="CW30" s="1997"/>
      <c r="CX30" s="1997"/>
      <c r="CY30" s="1997"/>
      <c r="CZ30" s="1997"/>
      <c r="DA30" s="1997"/>
      <c r="DB30" s="1997"/>
      <c r="DC30" s="1997"/>
      <c r="DD30" s="1997"/>
      <c r="DE30" s="1997"/>
      <c r="DF30" s="1997"/>
      <c r="DG30" s="1997"/>
      <c r="DH30" s="1997"/>
      <c r="DI30" s="1997"/>
      <c r="DJ30" s="1997"/>
      <c r="DK30" s="1997"/>
      <c r="DL30" s="1997"/>
      <c r="DM30" s="1997"/>
      <c r="DN30" s="1997"/>
      <c r="DO30" s="1997"/>
      <c r="DP30" s="1997"/>
      <c r="DQ30" s="1997"/>
      <c r="DR30" s="1997"/>
      <c r="DS30" s="1997"/>
      <c r="DT30" s="1997"/>
      <c r="DU30" s="1997"/>
      <c r="DV30" s="1997"/>
      <c r="DW30" s="1997"/>
      <c r="DX30" s="1997"/>
      <c r="DY30" s="1997"/>
      <c r="DZ30" s="1997"/>
      <c r="EA30" s="1997"/>
      <c r="EB30" s="1997"/>
      <c r="EC30" s="1997"/>
      <c r="ED30" s="1997"/>
      <c r="EE30" s="1997"/>
      <c r="EF30" s="1997"/>
      <c r="EG30" s="1997"/>
      <c r="EH30" s="1997"/>
      <c r="EI30" s="1997"/>
      <c r="EJ30" s="1997"/>
      <c r="EK30" s="1997"/>
      <c r="EL30" s="1997"/>
      <c r="EM30" s="1997"/>
      <c r="EN30" s="1997"/>
      <c r="EO30" s="1997"/>
      <c r="EP30" s="1997"/>
      <c r="EQ30" s="1997"/>
      <c r="ER30" s="1997"/>
      <c r="ES30" s="1997"/>
      <c r="ET30" s="1997"/>
      <c r="EU30" s="1997"/>
      <c r="EV30" s="1997"/>
      <c r="EW30" s="1997"/>
      <c r="EX30" s="1997"/>
      <c r="EY30" s="1997"/>
      <c r="EZ30" s="1997"/>
      <c r="FA30" s="1997"/>
      <c r="FB30" s="1997"/>
      <c r="FC30" s="1997"/>
      <c r="FD30" s="1997"/>
      <c r="FE30" s="1997"/>
      <c r="FF30" s="1997"/>
      <c r="FG30" s="1997"/>
      <c r="FH30" s="1997"/>
      <c r="FI30" s="1997"/>
      <c r="FJ30" s="1997"/>
      <c r="FK30" s="1997"/>
      <c r="FL30" s="1997"/>
      <c r="FM30" s="1997"/>
      <c r="FN30" s="1997"/>
      <c r="FO30" s="1997"/>
      <c r="FP30" s="1997"/>
      <c r="FQ30" s="1997"/>
      <c r="FR30" s="1997"/>
      <c r="FS30" s="1997"/>
      <c r="FT30" s="1997"/>
      <c r="FU30" s="1997"/>
      <c r="FV30" s="1997"/>
      <c r="FW30" s="1997"/>
      <c r="FX30" s="1997"/>
      <c r="FY30" s="1997"/>
      <c r="FZ30" s="1997"/>
      <c r="GA30" s="1997"/>
      <c r="GB30" s="1997"/>
      <c r="GC30" s="1997"/>
      <c r="GD30" s="1997"/>
      <c r="GE30" s="1997"/>
      <c r="GF30" s="1997"/>
      <c r="GG30" s="1997"/>
      <c r="GH30" s="1997"/>
      <c r="GI30" s="1997"/>
      <c r="GJ30" s="1997"/>
      <c r="GK30" s="1997"/>
      <c r="GL30" s="1997"/>
      <c r="GM30" s="1997"/>
      <c r="GN30" s="1997"/>
      <c r="GO30" s="1997"/>
      <c r="GP30" s="1997"/>
      <c r="GQ30" s="1997"/>
      <c r="GR30" s="1997"/>
      <c r="GS30" s="1997"/>
      <c r="GT30" s="1997"/>
      <c r="GU30" s="1997"/>
      <c r="GV30" s="1997"/>
      <c r="GW30" s="1997"/>
      <c r="GX30" s="1997"/>
      <c r="GY30" s="1997"/>
      <c r="GZ30" s="1997"/>
      <c r="HA30" s="1997"/>
      <c r="HB30" s="1997"/>
      <c r="HC30" s="1997"/>
      <c r="HD30" s="1997"/>
      <c r="HE30" s="1997"/>
      <c r="HF30" s="1997"/>
      <c r="HG30" s="1997"/>
      <c r="HH30" s="1997"/>
      <c r="HI30" s="1997"/>
      <c r="HJ30" s="1997"/>
      <c r="HK30" s="1997"/>
      <c r="HL30" s="1997"/>
      <c r="HM30" s="1997"/>
      <c r="HN30" s="1997"/>
      <c r="HO30" s="1997"/>
      <c r="HP30" s="1997"/>
      <c r="HQ30" s="1997"/>
      <c r="HR30" s="1997"/>
      <c r="HS30" s="1997"/>
      <c r="HT30" s="1997"/>
      <c r="HU30" s="1997"/>
      <c r="HV30" s="1997"/>
      <c r="HW30" s="1997"/>
      <c r="HX30" s="1997"/>
      <c r="HY30" s="1997"/>
      <c r="HZ30" s="1997"/>
      <c r="IA30" s="1997"/>
      <c r="IB30" s="1997"/>
      <c r="IC30" s="1997"/>
      <c r="ID30" s="1997"/>
      <c r="IE30" s="1997"/>
      <c r="IF30" s="1997"/>
      <c r="IG30" s="1997"/>
      <c r="IH30" s="1997"/>
      <c r="II30" s="1997"/>
      <c r="IJ30" s="1997"/>
      <c r="IK30" s="1997"/>
      <c r="IL30" s="1997"/>
      <c r="IM30" s="1997"/>
      <c r="IN30" s="1997"/>
      <c r="IO30" s="1997"/>
      <c r="IP30" s="1997"/>
      <c r="IQ30" s="1997"/>
    </row>
    <row r="31" spans="1:251" hidden="1">
      <c r="A31" s="1993"/>
      <c r="B31" s="1998"/>
      <c r="C31" s="1998"/>
      <c r="D31" s="2034"/>
      <c r="E31" s="1998"/>
      <c r="F31" s="1940">
        <f t="shared" si="14"/>
        <v>0</v>
      </c>
      <c r="G31" s="1993"/>
      <c r="H31" s="1940">
        <f t="shared" si="4"/>
        <v>0</v>
      </c>
      <c r="I31" s="1993"/>
      <c r="J31" s="1940">
        <f t="shared" si="5"/>
        <v>0</v>
      </c>
      <c r="K31" s="1993"/>
      <c r="L31" s="1940">
        <f t="shared" si="6"/>
        <v>0</v>
      </c>
      <c r="M31" s="1940">
        <f t="shared" si="13"/>
        <v>0</v>
      </c>
      <c r="N31" s="1940">
        <f t="shared" si="7"/>
        <v>0</v>
      </c>
      <c r="O31" s="1993"/>
      <c r="P31" s="1993"/>
      <c r="Q31" s="1940">
        <f t="shared" si="8"/>
        <v>0</v>
      </c>
      <c r="R31" s="1940">
        <f t="shared" si="9"/>
        <v>0</v>
      </c>
      <c r="S31" s="1940">
        <f t="shared" si="10"/>
        <v>0</v>
      </c>
      <c r="T31" s="1940">
        <f t="shared" si="11"/>
        <v>0</v>
      </c>
      <c r="U31" s="1940">
        <f t="shared" si="12"/>
        <v>0</v>
      </c>
      <c r="V31" s="1997"/>
      <c r="W31" s="1997"/>
      <c r="X31" s="1997"/>
      <c r="Y31" s="1997"/>
      <c r="Z31" s="1997"/>
      <c r="AA31" s="1997"/>
      <c r="AB31" s="1997"/>
      <c r="AC31" s="1997"/>
      <c r="AD31" s="1997"/>
      <c r="AE31" s="1997"/>
      <c r="AF31" s="1997"/>
      <c r="AG31" s="1997"/>
      <c r="AH31" s="1997"/>
      <c r="AI31" s="1997"/>
      <c r="AJ31" s="1997"/>
      <c r="AK31" s="1997"/>
      <c r="AL31" s="1997"/>
      <c r="AM31" s="1997"/>
      <c r="AN31" s="1997"/>
      <c r="AO31" s="1997"/>
      <c r="AP31" s="1997"/>
      <c r="AQ31" s="1997"/>
      <c r="AR31" s="1997"/>
      <c r="AS31" s="1997"/>
      <c r="AT31" s="1997"/>
      <c r="AU31" s="1997"/>
      <c r="AV31" s="1997"/>
      <c r="AW31" s="1997"/>
      <c r="AX31" s="1997"/>
      <c r="AY31" s="1997"/>
      <c r="AZ31" s="1997"/>
      <c r="BA31" s="1997"/>
      <c r="BB31" s="1997"/>
      <c r="BC31" s="1997"/>
      <c r="BD31" s="1997"/>
      <c r="BE31" s="1997"/>
      <c r="BF31" s="1997"/>
      <c r="BG31" s="1997"/>
      <c r="BH31" s="1997"/>
      <c r="BI31" s="1997"/>
      <c r="BJ31" s="1997"/>
      <c r="BK31" s="1997"/>
      <c r="BL31" s="1997"/>
      <c r="BM31" s="1997"/>
      <c r="BN31" s="1997"/>
      <c r="BO31" s="1997"/>
      <c r="BP31" s="1997"/>
      <c r="BQ31" s="1997"/>
      <c r="BR31" s="1997"/>
      <c r="BS31" s="1997"/>
      <c r="BT31" s="1997"/>
      <c r="BU31" s="1997"/>
      <c r="BV31" s="1997"/>
      <c r="BW31" s="1997"/>
      <c r="BX31" s="1997"/>
      <c r="BY31" s="1997"/>
      <c r="BZ31" s="1997"/>
      <c r="CA31" s="1997"/>
      <c r="CB31" s="1997"/>
      <c r="CC31" s="1997"/>
      <c r="CD31" s="1997"/>
      <c r="CE31" s="1997"/>
      <c r="CF31" s="1997"/>
      <c r="CG31" s="1997"/>
      <c r="CH31" s="1997"/>
      <c r="CI31" s="1997"/>
      <c r="CJ31" s="1997"/>
      <c r="CK31" s="1997"/>
      <c r="CL31" s="1997"/>
      <c r="CM31" s="1997"/>
      <c r="CN31" s="1997"/>
      <c r="CO31" s="1997"/>
      <c r="CP31" s="1997"/>
      <c r="CQ31" s="1997"/>
      <c r="CR31" s="1997"/>
      <c r="CS31" s="1997"/>
      <c r="CT31" s="1997"/>
      <c r="CU31" s="1997"/>
      <c r="CV31" s="1997"/>
      <c r="CW31" s="1997"/>
      <c r="CX31" s="1997"/>
      <c r="CY31" s="1997"/>
      <c r="CZ31" s="1997"/>
      <c r="DA31" s="1997"/>
      <c r="DB31" s="1997"/>
      <c r="DC31" s="1997"/>
      <c r="DD31" s="1997"/>
      <c r="DE31" s="1997"/>
      <c r="DF31" s="1997"/>
      <c r="DG31" s="1997"/>
      <c r="DH31" s="1997"/>
      <c r="DI31" s="1997"/>
      <c r="DJ31" s="1997"/>
      <c r="DK31" s="1997"/>
      <c r="DL31" s="1997"/>
      <c r="DM31" s="1997"/>
      <c r="DN31" s="1997"/>
      <c r="DO31" s="1997"/>
      <c r="DP31" s="1997"/>
      <c r="DQ31" s="1997"/>
      <c r="DR31" s="1997"/>
      <c r="DS31" s="1997"/>
      <c r="DT31" s="1997"/>
      <c r="DU31" s="1997"/>
      <c r="DV31" s="1997"/>
      <c r="DW31" s="1997"/>
      <c r="DX31" s="1997"/>
      <c r="DY31" s="1997"/>
      <c r="DZ31" s="1997"/>
      <c r="EA31" s="1997"/>
      <c r="EB31" s="1997"/>
      <c r="EC31" s="1997"/>
      <c r="ED31" s="1997"/>
      <c r="EE31" s="1997"/>
      <c r="EF31" s="1997"/>
      <c r="EG31" s="1997"/>
      <c r="EH31" s="1997"/>
      <c r="EI31" s="1997"/>
      <c r="EJ31" s="1997"/>
      <c r="EK31" s="1997"/>
      <c r="EL31" s="1997"/>
      <c r="EM31" s="1997"/>
      <c r="EN31" s="1997"/>
      <c r="EO31" s="1997"/>
      <c r="EP31" s="1997"/>
      <c r="EQ31" s="1997"/>
      <c r="ER31" s="1997"/>
      <c r="ES31" s="1997"/>
      <c r="ET31" s="1997"/>
      <c r="EU31" s="1997"/>
      <c r="EV31" s="1997"/>
      <c r="EW31" s="1997"/>
      <c r="EX31" s="1997"/>
      <c r="EY31" s="1997"/>
      <c r="EZ31" s="1997"/>
      <c r="FA31" s="1997"/>
      <c r="FB31" s="1997"/>
      <c r="FC31" s="1997"/>
      <c r="FD31" s="1997"/>
      <c r="FE31" s="1997"/>
      <c r="FF31" s="1997"/>
      <c r="FG31" s="1997"/>
      <c r="FH31" s="1997"/>
      <c r="FI31" s="1997"/>
      <c r="FJ31" s="1997"/>
      <c r="FK31" s="1997"/>
      <c r="FL31" s="1997"/>
      <c r="FM31" s="1997"/>
      <c r="FN31" s="1997"/>
      <c r="FO31" s="1997"/>
      <c r="FP31" s="1997"/>
      <c r="FQ31" s="1997"/>
      <c r="FR31" s="1997"/>
      <c r="FS31" s="1997"/>
      <c r="FT31" s="1997"/>
      <c r="FU31" s="1997"/>
      <c r="FV31" s="1997"/>
      <c r="FW31" s="1997"/>
      <c r="FX31" s="1997"/>
      <c r="FY31" s="1997"/>
      <c r="FZ31" s="1997"/>
      <c r="GA31" s="1997"/>
      <c r="GB31" s="1997"/>
      <c r="GC31" s="1997"/>
      <c r="GD31" s="1997"/>
      <c r="GE31" s="1997"/>
      <c r="GF31" s="1997"/>
      <c r="GG31" s="1997"/>
      <c r="GH31" s="1997"/>
      <c r="GI31" s="1997"/>
      <c r="GJ31" s="1997"/>
      <c r="GK31" s="1997"/>
      <c r="GL31" s="1997"/>
      <c r="GM31" s="1997"/>
      <c r="GN31" s="1997"/>
      <c r="GO31" s="1997"/>
      <c r="GP31" s="1997"/>
      <c r="GQ31" s="1997"/>
      <c r="GR31" s="1997"/>
      <c r="GS31" s="1997"/>
      <c r="GT31" s="1997"/>
      <c r="GU31" s="1997"/>
      <c r="GV31" s="1997"/>
      <c r="GW31" s="1997"/>
      <c r="GX31" s="1997"/>
      <c r="GY31" s="1997"/>
      <c r="GZ31" s="1997"/>
      <c r="HA31" s="1997"/>
      <c r="HB31" s="1997"/>
      <c r="HC31" s="1997"/>
      <c r="HD31" s="1997"/>
      <c r="HE31" s="1997"/>
      <c r="HF31" s="1997"/>
      <c r="HG31" s="1997"/>
      <c r="HH31" s="1997"/>
      <c r="HI31" s="1997"/>
      <c r="HJ31" s="1997"/>
      <c r="HK31" s="1997"/>
      <c r="HL31" s="1997"/>
      <c r="HM31" s="1997"/>
      <c r="HN31" s="1997"/>
      <c r="HO31" s="1997"/>
      <c r="HP31" s="1997"/>
      <c r="HQ31" s="1997"/>
      <c r="HR31" s="1997"/>
      <c r="HS31" s="1997"/>
      <c r="HT31" s="1997"/>
      <c r="HU31" s="1997"/>
      <c r="HV31" s="1997"/>
      <c r="HW31" s="1997"/>
      <c r="HX31" s="1997"/>
      <c r="HY31" s="1997"/>
      <c r="HZ31" s="1997"/>
      <c r="IA31" s="1997"/>
      <c r="IB31" s="1997"/>
      <c r="IC31" s="1997"/>
      <c r="ID31" s="1997"/>
      <c r="IE31" s="1997"/>
      <c r="IF31" s="1997"/>
      <c r="IG31" s="1997"/>
      <c r="IH31" s="1997"/>
      <c r="II31" s="1997"/>
      <c r="IJ31" s="1997"/>
      <c r="IK31" s="1997"/>
      <c r="IL31" s="1997"/>
      <c r="IM31" s="1997"/>
      <c r="IN31" s="1997"/>
      <c r="IO31" s="1997"/>
      <c r="IP31" s="1997"/>
      <c r="IQ31" s="1997"/>
    </row>
    <row r="32" spans="1:251" hidden="1">
      <c r="A32" s="1993"/>
      <c r="B32" s="1998"/>
      <c r="C32" s="1998"/>
      <c r="D32" s="2034"/>
      <c r="E32" s="1998"/>
      <c r="F32" s="1940">
        <f t="shared" si="14"/>
        <v>0</v>
      </c>
      <c r="G32" s="1993"/>
      <c r="H32" s="1940">
        <f t="shared" si="4"/>
        <v>0</v>
      </c>
      <c r="I32" s="1993"/>
      <c r="J32" s="1940">
        <f t="shared" si="5"/>
        <v>0</v>
      </c>
      <c r="K32" s="1993"/>
      <c r="L32" s="1940">
        <f t="shared" si="6"/>
        <v>0</v>
      </c>
      <c r="M32" s="1940">
        <f t="shared" si="13"/>
        <v>0</v>
      </c>
      <c r="N32" s="1940">
        <f t="shared" si="7"/>
        <v>0</v>
      </c>
      <c r="O32" s="1993"/>
      <c r="P32" s="1993"/>
      <c r="Q32" s="1940">
        <f t="shared" si="8"/>
        <v>0</v>
      </c>
      <c r="R32" s="1940">
        <f t="shared" si="9"/>
        <v>0</v>
      </c>
      <c r="S32" s="1940">
        <f t="shared" si="10"/>
        <v>0</v>
      </c>
      <c r="T32" s="1940">
        <f t="shared" si="11"/>
        <v>0</v>
      </c>
      <c r="U32" s="1940">
        <f t="shared" si="12"/>
        <v>0</v>
      </c>
      <c r="V32" s="1997"/>
      <c r="W32" s="1997"/>
      <c r="X32" s="1997"/>
      <c r="Y32" s="1997"/>
      <c r="Z32" s="1997"/>
      <c r="AA32" s="1997"/>
      <c r="AB32" s="1997"/>
      <c r="AC32" s="1997"/>
      <c r="AD32" s="1997"/>
      <c r="AE32" s="1997"/>
      <c r="AF32" s="1997"/>
      <c r="AG32" s="1997"/>
      <c r="AH32" s="1997"/>
      <c r="AI32" s="1997"/>
      <c r="AJ32" s="1997"/>
      <c r="AK32" s="1997"/>
      <c r="AL32" s="1997"/>
      <c r="AM32" s="1997"/>
      <c r="AN32" s="1997"/>
      <c r="AO32" s="1997"/>
      <c r="AP32" s="1997"/>
      <c r="AQ32" s="1997"/>
      <c r="AR32" s="1997"/>
      <c r="AS32" s="1997"/>
      <c r="AT32" s="1997"/>
      <c r="AU32" s="1997"/>
      <c r="AV32" s="1997"/>
      <c r="AW32" s="1997"/>
      <c r="AX32" s="1997"/>
      <c r="AY32" s="1997"/>
      <c r="AZ32" s="1997"/>
      <c r="BA32" s="1997"/>
      <c r="BB32" s="1997"/>
      <c r="BC32" s="1997"/>
      <c r="BD32" s="1997"/>
      <c r="BE32" s="1997"/>
      <c r="BF32" s="1997"/>
      <c r="BG32" s="1997"/>
      <c r="BH32" s="1997"/>
      <c r="BI32" s="1997"/>
      <c r="BJ32" s="1997"/>
      <c r="BK32" s="1997"/>
      <c r="BL32" s="1997"/>
      <c r="BM32" s="1997"/>
      <c r="BN32" s="1997"/>
      <c r="BO32" s="1997"/>
      <c r="BP32" s="1997"/>
      <c r="BQ32" s="1997"/>
      <c r="BR32" s="1997"/>
      <c r="BS32" s="1997"/>
      <c r="BT32" s="1997"/>
      <c r="BU32" s="1997"/>
      <c r="BV32" s="1997"/>
      <c r="BW32" s="1997"/>
      <c r="BX32" s="1997"/>
      <c r="BY32" s="1997"/>
      <c r="BZ32" s="1997"/>
      <c r="CA32" s="1997"/>
      <c r="CB32" s="1997"/>
      <c r="CC32" s="1997"/>
      <c r="CD32" s="1997"/>
      <c r="CE32" s="1997"/>
      <c r="CF32" s="1997"/>
      <c r="CG32" s="1997"/>
      <c r="CH32" s="1997"/>
      <c r="CI32" s="1997"/>
      <c r="CJ32" s="1997"/>
      <c r="CK32" s="1997"/>
      <c r="CL32" s="1997"/>
      <c r="CM32" s="1997"/>
      <c r="CN32" s="1997"/>
      <c r="CO32" s="1997"/>
      <c r="CP32" s="1997"/>
      <c r="CQ32" s="1997"/>
      <c r="CR32" s="1997"/>
      <c r="CS32" s="1997"/>
      <c r="CT32" s="1997"/>
      <c r="CU32" s="1997"/>
      <c r="CV32" s="1997"/>
      <c r="CW32" s="1997"/>
      <c r="CX32" s="1997"/>
      <c r="CY32" s="1997"/>
      <c r="CZ32" s="1997"/>
      <c r="DA32" s="1997"/>
      <c r="DB32" s="1997"/>
      <c r="DC32" s="1997"/>
      <c r="DD32" s="1997"/>
      <c r="DE32" s="1997"/>
      <c r="DF32" s="1997"/>
      <c r="DG32" s="1997"/>
      <c r="DH32" s="1997"/>
      <c r="DI32" s="1997"/>
      <c r="DJ32" s="1997"/>
      <c r="DK32" s="1997"/>
      <c r="DL32" s="1997"/>
      <c r="DM32" s="1997"/>
      <c r="DN32" s="1997"/>
      <c r="DO32" s="1997"/>
      <c r="DP32" s="1997"/>
      <c r="DQ32" s="1997"/>
      <c r="DR32" s="1997"/>
      <c r="DS32" s="1997"/>
      <c r="DT32" s="1997"/>
      <c r="DU32" s="1997"/>
      <c r="DV32" s="1997"/>
      <c r="DW32" s="1997"/>
      <c r="DX32" s="1997"/>
      <c r="DY32" s="1997"/>
      <c r="DZ32" s="1997"/>
      <c r="EA32" s="1997"/>
      <c r="EB32" s="1997"/>
      <c r="EC32" s="1997"/>
      <c r="ED32" s="1997"/>
      <c r="EE32" s="1997"/>
      <c r="EF32" s="1997"/>
      <c r="EG32" s="1997"/>
      <c r="EH32" s="1997"/>
      <c r="EI32" s="1997"/>
      <c r="EJ32" s="1997"/>
      <c r="EK32" s="1997"/>
      <c r="EL32" s="1997"/>
      <c r="EM32" s="1997"/>
      <c r="EN32" s="1997"/>
      <c r="EO32" s="1997"/>
      <c r="EP32" s="1997"/>
      <c r="EQ32" s="1997"/>
      <c r="ER32" s="1997"/>
      <c r="ES32" s="1997"/>
      <c r="ET32" s="1997"/>
      <c r="EU32" s="1997"/>
      <c r="EV32" s="1997"/>
      <c r="EW32" s="1997"/>
      <c r="EX32" s="1997"/>
      <c r="EY32" s="1997"/>
      <c r="EZ32" s="1997"/>
      <c r="FA32" s="1997"/>
      <c r="FB32" s="1997"/>
      <c r="FC32" s="1997"/>
      <c r="FD32" s="1997"/>
      <c r="FE32" s="1997"/>
      <c r="FF32" s="1997"/>
      <c r="FG32" s="1997"/>
      <c r="FH32" s="1997"/>
      <c r="FI32" s="1997"/>
      <c r="FJ32" s="1997"/>
      <c r="FK32" s="1997"/>
      <c r="FL32" s="1997"/>
      <c r="FM32" s="1997"/>
      <c r="FN32" s="1997"/>
      <c r="FO32" s="1997"/>
      <c r="FP32" s="1997"/>
      <c r="FQ32" s="1997"/>
      <c r="FR32" s="1997"/>
      <c r="FS32" s="1997"/>
      <c r="FT32" s="1997"/>
      <c r="FU32" s="1997"/>
      <c r="FV32" s="1997"/>
      <c r="FW32" s="1997"/>
      <c r="FX32" s="1997"/>
      <c r="FY32" s="1997"/>
      <c r="FZ32" s="1997"/>
      <c r="GA32" s="1997"/>
      <c r="GB32" s="1997"/>
      <c r="GC32" s="1997"/>
      <c r="GD32" s="1997"/>
      <c r="GE32" s="1997"/>
      <c r="GF32" s="1997"/>
      <c r="GG32" s="1997"/>
      <c r="GH32" s="1997"/>
      <c r="GI32" s="1997"/>
      <c r="GJ32" s="1997"/>
      <c r="GK32" s="1997"/>
      <c r="GL32" s="1997"/>
      <c r="GM32" s="1997"/>
      <c r="GN32" s="1997"/>
      <c r="GO32" s="1997"/>
      <c r="GP32" s="1997"/>
      <c r="GQ32" s="1997"/>
      <c r="GR32" s="1997"/>
      <c r="GS32" s="1997"/>
      <c r="GT32" s="1997"/>
      <c r="GU32" s="1997"/>
      <c r="GV32" s="1997"/>
      <c r="GW32" s="1997"/>
      <c r="GX32" s="1997"/>
      <c r="GY32" s="1997"/>
      <c r="GZ32" s="1997"/>
      <c r="HA32" s="1997"/>
      <c r="HB32" s="1997"/>
      <c r="HC32" s="1997"/>
      <c r="HD32" s="1997"/>
      <c r="HE32" s="1997"/>
      <c r="HF32" s="1997"/>
      <c r="HG32" s="1997"/>
      <c r="HH32" s="1997"/>
      <c r="HI32" s="1997"/>
      <c r="HJ32" s="1997"/>
      <c r="HK32" s="1997"/>
      <c r="HL32" s="1997"/>
      <c r="HM32" s="1997"/>
      <c r="HN32" s="1997"/>
      <c r="HO32" s="1997"/>
      <c r="HP32" s="1997"/>
      <c r="HQ32" s="1997"/>
      <c r="HR32" s="1997"/>
      <c r="HS32" s="1997"/>
      <c r="HT32" s="1997"/>
      <c r="HU32" s="1997"/>
      <c r="HV32" s="1997"/>
      <c r="HW32" s="1997"/>
      <c r="HX32" s="1997"/>
      <c r="HY32" s="1997"/>
      <c r="HZ32" s="1997"/>
      <c r="IA32" s="1997"/>
      <c r="IB32" s="1997"/>
      <c r="IC32" s="1997"/>
      <c r="ID32" s="1997"/>
      <c r="IE32" s="1997"/>
      <c r="IF32" s="1997"/>
      <c r="IG32" s="1997"/>
      <c r="IH32" s="1997"/>
      <c r="II32" s="1997"/>
      <c r="IJ32" s="1997"/>
      <c r="IK32" s="1997"/>
      <c r="IL32" s="1997"/>
      <c r="IM32" s="1997"/>
      <c r="IN32" s="1997"/>
      <c r="IO32" s="1997"/>
      <c r="IP32" s="1997"/>
      <c r="IQ32" s="1997"/>
    </row>
    <row r="33" spans="1:251" hidden="1">
      <c r="A33" s="1993"/>
      <c r="B33" s="1998"/>
      <c r="C33" s="1998"/>
      <c r="D33" s="2034"/>
      <c r="E33" s="1998"/>
      <c r="F33" s="1940">
        <f>ROUNDUP((E33*$Q$5),-3)</f>
        <v>0</v>
      </c>
      <c r="G33" s="1993"/>
      <c r="H33" s="1940">
        <f>D33*F33*G33</f>
        <v>0</v>
      </c>
      <c r="I33" s="1993"/>
      <c r="J33" s="1940">
        <f>I33*$Q$4</f>
        <v>0</v>
      </c>
      <c r="K33" s="1993"/>
      <c r="L33" s="1940">
        <f>K33*F33</f>
        <v>0</v>
      </c>
      <c r="M33" s="1940">
        <f>D33*G33*(J33+L33)</f>
        <v>0</v>
      </c>
      <c r="N33" s="1940">
        <f>H33+M33</f>
        <v>0</v>
      </c>
      <c r="O33" s="1993"/>
      <c r="P33" s="1993"/>
      <c r="Q33" s="1940">
        <f>N33+O33+P33</f>
        <v>0</v>
      </c>
      <c r="R33" s="1940">
        <f>Q33*10%</f>
        <v>0</v>
      </c>
      <c r="S33" s="1940">
        <f>(Q33-R33)*10%</f>
        <v>0</v>
      </c>
      <c r="T33" s="1940">
        <f>(Q33-R33)*6%</f>
        <v>0</v>
      </c>
      <c r="U33" s="1940">
        <f>(Q33-R33)*5%</f>
        <v>0</v>
      </c>
      <c r="V33" s="1997"/>
      <c r="W33" s="1997"/>
      <c r="X33" s="1997"/>
      <c r="Y33" s="1997"/>
      <c r="Z33" s="1997"/>
      <c r="AA33" s="1997"/>
      <c r="AB33" s="1997"/>
      <c r="AC33" s="1997"/>
      <c r="AD33" s="1997"/>
      <c r="AE33" s="1997"/>
      <c r="AF33" s="1997"/>
      <c r="AG33" s="1997"/>
      <c r="AH33" s="1997"/>
      <c r="AI33" s="1997"/>
      <c r="AJ33" s="1997"/>
      <c r="AK33" s="1997"/>
      <c r="AL33" s="1997"/>
      <c r="AM33" s="1997"/>
      <c r="AN33" s="1997"/>
      <c r="AO33" s="1997"/>
      <c r="AP33" s="1997"/>
      <c r="AQ33" s="1997"/>
      <c r="AR33" s="1997"/>
      <c r="AS33" s="1997"/>
      <c r="AT33" s="1997"/>
      <c r="AU33" s="1997"/>
      <c r="AV33" s="1997"/>
      <c r="AW33" s="1997"/>
      <c r="AX33" s="1997"/>
      <c r="AY33" s="1997"/>
      <c r="AZ33" s="1997"/>
      <c r="BA33" s="1997"/>
      <c r="BB33" s="1997"/>
      <c r="BC33" s="1997"/>
      <c r="BD33" s="1997"/>
      <c r="BE33" s="1997"/>
      <c r="BF33" s="1997"/>
      <c r="BG33" s="1997"/>
      <c r="BH33" s="1997"/>
      <c r="BI33" s="1997"/>
      <c r="BJ33" s="1997"/>
      <c r="BK33" s="1997"/>
      <c r="BL33" s="1997"/>
      <c r="BM33" s="1997"/>
      <c r="BN33" s="1997"/>
      <c r="BO33" s="1997"/>
      <c r="BP33" s="1997"/>
      <c r="BQ33" s="1997"/>
      <c r="BR33" s="1997"/>
      <c r="BS33" s="1997"/>
      <c r="BT33" s="1997"/>
      <c r="BU33" s="1997"/>
      <c r="BV33" s="1997"/>
      <c r="BW33" s="1997"/>
      <c r="BX33" s="1997"/>
      <c r="BY33" s="1997"/>
      <c r="BZ33" s="1997"/>
      <c r="CA33" s="1997"/>
      <c r="CB33" s="1997"/>
      <c r="CC33" s="1997"/>
      <c r="CD33" s="1997"/>
      <c r="CE33" s="1997"/>
      <c r="CF33" s="1997"/>
      <c r="CG33" s="1997"/>
      <c r="CH33" s="1997"/>
      <c r="CI33" s="1997"/>
      <c r="CJ33" s="1997"/>
      <c r="CK33" s="1997"/>
      <c r="CL33" s="1997"/>
      <c r="CM33" s="1997"/>
      <c r="CN33" s="1997"/>
      <c r="CO33" s="1997"/>
      <c r="CP33" s="1997"/>
      <c r="CQ33" s="1997"/>
      <c r="CR33" s="1997"/>
      <c r="CS33" s="1997"/>
      <c r="CT33" s="1997"/>
      <c r="CU33" s="1997"/>
      <c r="CV33" s="1997"/>
      <c r="CW33" s="1997"/>
      <c r="CX33" s="1997"/>
      <c r="CY33" s="1997"/>
      <c r="CZ33" s="1997"/>
      <c r="DA33" s="1997"/>
      <c r="DB33" s="1997"/>
      <c r="DC33" s="1997"/>
      <c r="DD33" s="1997"/>
      <c r="DE33" s="1997"/>
      <c r="DF33" s="1997"/>
      <c r="DG33" s="1997"/>
      <c r="DH33" s="1997"/>
      <c r="DI33" s="1997"/>
      <c r="DJ33" s="1997"/>
      <c r="DK33" s="1997"/>
      <c r="DL33" s="1997"/>
      <c r="DM33" s="1997"/>
      <c r="DN33" s="1997"/>
      <c r="DO33" s="1997"/>
      <c r="DP33" s="1997"/>
      <c r="DQ33" s="1997"/>
      <c r="DR33" s="1997"/>
      <c r="DS33" s="1997"/>
      <c r="DT33" s="1997"/>
      <c r="DU33" s="1997"/>
      <c r="DV33" s="1997"/>
      <c r="DW33" s="1997"/>
      <c r="DX33" s="1997"/>
      <c r="DY33" s="1997"/>
      <c r="DZ33" s="1997"/>
      <c r="EA33" s="1997"/>
      <c r="EB33" s="1997"/>
      <c r="EC33" s="1997"/>
      <c r="ED33" s="1997"/>
      <c r="EE33" s="1997"/>
      <c r="EF33" s="1997"/>
      <c r="EG33" s="1997"/>
      <c r="EH33" s="1997"/>
      <c r="EI33" s="1997"/>
      <c r="EJ33" s="1997"/>
      <c r="EK33" s="1997"/>
      <c r="EL33" s="1997"/>
      <c r="EM33" s="1997"/>
      <c r="EN33" s="1997"/>
      <c r="EO33" s="1997"/>
      <c r="EP33" s="1997"/>
      <c r="EQ33" s="1997"/>
      <c r="ER33" s="1997"/>
      <c r="ES33" s="1997"/>
      <c r="ET33" s="1997"/>
      <c r="EU33" s="1997"/>
      <c r="EV33" s="1997"/>
      <c r="EW33" s="1997"/>
      <c r="EX33" s="1997"/>
      <c r="EY33" s="1997"/>
      <c r="EZ33" s="1997"/>
      <c r="FA33" s="1997"/>
      <c r="FB33" s="1997"/>
      <c r="FC33" s="1997"/>
      <c r="FD33" s="1997"/>
      <c r="FE33" s="1997"/>
      <c r="FF33" s="1997"/>
      <c r="FG33" s="1997"/>
      <c r="FH33" s="1997"/>
      <c r="FI33" s="1997"/>
      <c r="FJ33" s="1997"/>
      <c r="FK33" s="1997"/>
      <c r="FL33" s="1997"/>
      <c r="FM33" s="1997"/>
      <c r="FN33" s="1997"/>
      <c r="FO33" s="1997"/>
      <c r="FP33" s="1997"/>
      <c r="FQ33" s="1997"/>
      <c r="FR33" s="1997"/>
      <c r="FS33" s="1997"/>
      <c r="FT33" s="1997"/>
      <c r="FU33" s="1997"/>
      <c r="FV33" s="1997"/>
      <c r="FW33" s="1997"/>
      <c r="FX33" s="1997"/>
      <c r="FY33" s="1997"/>
      <c r="FZ33" s="1997"/>
      <c r="GA33" s="1997"/>
      <c r="GB33" s="1997"/>
      <c r="GC33" s="1997"/>
      <c r="GD33" s="1997"/>
      <c r="GE33" s="1997"/>
      <c r="GF33" s="1997"/>
      <c r="GG33" s="1997"/>
      <c r="GH33" s="1997"/>
      <c r="GI33" s="1997"/>
      <c r="GJ33" s="1997"/>
      <c r="GK33" s="1997"/>
      <c r="GL33" s="1997"/>
      <c r="GM33" s="1997"/>
      <c r="GN33" s="1997"/>
      <c r="GO33" s="1997"/>
      <c r="GP33" s="1997"/>
      <c r="GQ33" s="1997"/>
      <c r="GR33" s="1997"/>
      <c r="GS33" s="1997"/>
      <c r="GT33" s="1997"/>
      <c r="GU33" s="1997"/>
      <c r="GV33" s="1997"/>
      <c r="GW33" s="1997"/>
      <c r="GX33" s="1997"/>
      <c r="GY33" s="1997"/>
      <c r="GZ33" s="1997"/>
      <c r="HA33" s="1997"/>
      <c r="HB33" s="1997"/>
      <c r="HC33" s="1997"/>
      <c r="HD33" s="1997"/>
      <c r="HE33" s="1997"/>
      <c r="HF33" s="1997"/>
      <c r="HG33" s="1997"/>
      <c r="HH33" s="1997"/>
      <c r="HI33" s="1997"/>
      <c r="HJ33" s="1997"/>
      <c r="HK33" s="1997"/>
      <c r="HL33" s="1997"/>
      <c r="HM33" s="1997"/>
      <c r="HN33" s="1997"/>
      <c r="HO33" s="1997"/>
      <c r="HP33" s="1997"/>
      <c r="HQ33" s="1997"/>
      <c r="HR33" s="1997"/>
      <c r="HS33" s="1997"/>
      <c r="HT33" s="1997"/>
      <c r="HU33" s="1997"/>
      <c r="HV33" s="1997"/>
      <c r="HW33" s="1997"/>
      <c r="HX33" s="1997"/>
      <c r="HY33" s="1997"/>
      <c r="HZ33" s="1997"/>
      <c r="IA33" s="1997"/>
      <c r="IB33" s="1997"/>
      <c r="IC33" s="1997"/>
      <c r="ID33" s="1997"/>
      <c r="IE33" s="1997"/>
      <c r="IF33" s="1997"/>
      <c r="IG33" s="1997"/>
      <c r="IH33" s="1997"/>
      <c r="II33" s="1997"/>
      <c r="IJ33" s="1997"/>
      <c r="IK33" s="1997"/>
      <c r="IL33" s="1997"/>
      <c r="IM33" s="1997"/>
      <c r="IN33" s="1997"/>
      <c r="IO33" s="1997"/>
      <c r="IP33" s="1997"/>
      <c r="IQ33" s="1997"/>
    </row>
    <row r="34" spans="1:251" hidden="1">
      <c r="A34" s="1993"/>
      <c r="B34" s="1998"/>
      <c r="C34" s="1998"/>
      <c r="D34" s="2034"/>
      <c r="E34" s="1998"/>
      <c r="F34" s="1940">
        <f t="shared" si="14"/>
        <v>0</v>
      </c>
      <c r="G34" s="1993"/>
      <c r="H34" s="1940">
        <f t="shared" ref="H34:H46" si="15">D34*F34*G34</f>
        <v>0</v>
      </c>
      <c r="I34" s="1993"/>
      <c r="J34" s="1940">
        <f t="shared" si="5"/>
        <v>0</v>
      </c>
      <c r="K34" s="1993"/>
      <c r="L34" s="1940">
        <f t="shared" ref="L34:L46" si="16">K34*F34</f>
        <v>0</v>
      </c>
      <c r="M34" s="1940">
        <f t="shared" ref="M34:M46" si="17">D34*G34*(J34+L34)</f>
        <v>0</v>
      </c>
      <c r="N34" s="1940">
        <f t="shared" ref="N34:N46" si="18">H34+M34</f>
        <v>0</v>
      </c>
      <c r="O34" s="1993"/>
      <c r="P34" s="1993"/>
      <c r="Q34" s="1940">
        <f t="shared" ref="Q34:Q46" si="19">N34+O34+P34</f>
        <v>0</v>
      </c>
      <c r="R34" s="1940">
        <f t="shared" si="9"/>
        <v>0</v>
      </c>
      <c r="S34" s="1940">
        <f t="shared" ref="S34:S46" si="20">(Q34-R34)*10%</f>
        <v>0</v>
      </c>
      <c r="T34" s="1940">
        <f t="shared" ref="T34:T46" si="21">(Q34-R34)*6%</f>
        <v>0</v>
      </c>
      <c r="U34" s="1940">
        <f t="shared" ref="U34:U46" si="22">(Q34-R34)*5%</f>
        <v>0</v>
      </c>
      <c r="V34" s="1997"/>
      <c r="W34" s="1997"/>
      <c r="X34" s="1997"/>
      <c r="Y34" s="1997"/>
      <c r="Z34" s="1997"/>
      <c r="AA34" s="1997"/>
      <c r="AB34" s="1997"/>
      <c r="AC34" s="1997"/>
      <c r="AD34" s="1997"/>
      <c r="AE34" s="1997"/>
      <c r="AF34" s="1997"/>
      <c r="AG34" s="1997"/>
      <c r="AH34" s="1997"/>
      <c r="AI34" s="1997"/>
      <c r="AJ34" s="1997"/>
      <c r="AK34" s="1997"/>
      <c r="AL34" s="1997"/>
      <c r="AM34" s="1997"/>
      <c r="AN34" s="1997"/>
      <c r="AO34" s="1997"/>
      <c r="AP34" s="1997"/>
      <c r="AQ34" s="1997"/>
      <c r="AR34" s="1997"/>
      <c r="AS34" s="1997"/>
      <c r="AT34" s="1997"/>
      <c r="AU34" s="1997"/>
      <c r="AV34" s="1997"/>
      <c r="AW34" s="1997"/>
      <c r="AX34" s="1997"/>
      <c r="AY34" s="1997"/>
      <c r="AZ34" s="1997"/>
      <c r="BA34" s="1997"/>
      <c r="BB34" s="1997"/>
      <c r="BC34" s="1997"/>
      <c r="BD34" s="1997"/>
      <c r="BE34" s="1997"/>
      <c r="BF34" s="1997"/>
      <c r="BG34" s="1997"/>
      <c r="BH34" s="1997"/>
      <c r="BI34" s="1997"/>
      <c r="BJ34" s="1997"/>
      <c r="BK34" s="1997"/>
      <c r="BL34" s="1997"/>
      <c r="BM34" s="1997"/>
      <c r="BN34" s="1997"/>
      <c r="BO34" s="1997"/>
      <c r="BP34" s="1997"/>
      <c r="BQ34" s="1997"/>
      <c r="BR34" s="1997"/>
      <c r="BS34" s="1997"/>
      <c r="BT34" s="1997"/>
      <c r="BU34" s="1997"/>
      <c r="BV34" s="1997"/>
      <c r="BW34" s="1997"/>
      <c r="BX34" s="1997"/>
      <c r="BY34" s="1997"/>
      <c r="BZ34" s="1997"/>
      <c r="CA34" s="1997"/>
      <c r="CB34" s="1997"/>
      <c r="CC34" s="1997"/>
      <c r="CD34" s="1997"/>
      <c r="CE34" s="1997"/>
      <c r="CF34" s="1997"/>
      <c r="CG34" s="1997"/>
      <c r="CH34" s="1997"/>
      <c r="CI34" s="1997"/>
      <c r="CJ34" s="1997"/>
      <c r="CK34" s="1997"/>
      <c r="CL34" s="1997"/>
      <c r="CM34" s="1997"/>
      <c r="CN34" s="1997"/>
      <c r="CO34" s="1997"/>
      <c r="CP34" s="1997"/>
      <c r="CQ34" s="1997"/>
      <c r="CR34" s="1997"/>
      <c r="CS34" s="1997"/>
      <c r="CT34" s="1997"/>
      <c r="CU34" s="1997"/>
      <c r="CV34" s="1997"/>
      <c r="CW34" s="1997"/>
      <c r="CX34" s="1997"/>
      <c r="CY34" s="1997"/>
      <c r="CZ34" s="1997"/>
      <c r="DA34" s="1997"/>
      <c r="DB34" s="1997"/>
      <c r="DC34" s="1997"/>
      <c r="DD34" s="1997"/>
      <c r="DE34" s="1997"/>
      <c r="DF34" s="1997"/>
      <c r="DG34" s="1997"/>
      <c r="DH34" s="1997"/>
      <c r="DI34" s="1997"/>
      <c r="DJ34" s="1997"/>
      <c r="DK34" s="1997"/>
      <c r="DL34" s="1997"/>
      <c r="DM34" s="1997"/>
      <c r="DN34" s="1997"/>
      <c r="DO34" s="1997"/>
      <c r="DP34" s="1997"/>
      <c r="DQ34" s="1997"/>
      <c r="DR34" s="1997"/>
      <c r="DS34" s="1997"/>
      <c r="DT34" s="1997"/>
      <c r="DU34" s="1997"/>
      <c r="DV34" s="1997"/>
      <c r="DW34" s="1997"/>
      <c r="DX34" s="1997"/>
      <c r="DY34" s="1997"/>
      <c r="DZ34" s="1997"/>
      <c r="EA34" s="1997"/>
      <c r="EB34" s="1997"/>
      <c r="EC34" s="1997"/>
      <c r="ED34" s="1997"/>
      <c r="EE34" s="1997"/>
      <c r="EF34" s="1997"/>
      <c r="EG34" s="1997"/>
      <c r="EH34" s="1997"/>
      <c r="EI34" s="1997"/>
      <c r="EJ34" s="1997"/>
      <c r="EK34" s="1997"/>
      <c r="EL34" s="1997"/>
      <c r="EM34" s="1997"/>
      <c r="EN34" s="1997"/>
      <c r="EO34" s="1997"/>
      <c r="EP34" s="1997"/>
      <c r="EQ34" s="1997"/>
      <c r="ER34" s="1997"/>
      <c r="ES34" s="1997"/>
      <c r="ET34" s="1997"/>
      <c r="EU34" s="1997"/>
      <c r="EV34" s="1997"/>
      <c r="EW34" s="1997"/>
      <c r="EX34" s="1997"/>
      <c r="EY34" s="1997"/>
      <c r="EZ34" s="1997"/>
      <c r="FA34" s="1997"/>
      <c r="FB34" s="1997"/>
      <c r="FC34" s="1997"/>
      <c r="FD34" s="1997"/>
      <c r="FE34" s="1997"/>
      <c r="FF34" s="1997"/>
      <c r="FG34" s="1997"/>
      <c r="FH34" s="1997"/>
      <c r="FI34" s="1997"/>
      <c r="FJ34" s="1997"/>
      <c r="FK34" s="1997"/>
      <c r="FL34" s="1997"/>
      <c r="FM34" s="1997"/>
      <c r="FN34" s="1997"/>
      <c r="FO34" s="1997"/>
      <c r="FP34" s="1997"/>
      <c r="FQ34" s="1997"/>
      <c r="FR34" s="1997"/>
      <c r="FS34" s="1997"/>
      <c r="FT34" s="1997"/>
      <c r="FU34" s="1997"/>
      <c r="FV34" s="1997"/>
      <c r="FW34" s="1997"/>
      <c r="FX34" s="1997"/>
      <c r="FY34" s="1997"/>
      <c r="FZ34" s="1997"/>
      <c r="GA34" s="1997"/>
      <c r="GB34" s="1997"/>
      <c r="GC34" s="1997"/>
      <c r="GD34" s="1997"/>
      <c r="GE34" s="1997"/>
      <c r="GF34" s="1997"/>
      <c r="GG34" s="1997"/>
      <c r="GH34" s="1997"/>
      <c r="GI34" s="1997"/>
      <c r="GJ34" s="1997"/>
      <c r="GK34" s="1997"/>
      <c r="GL34" s="1997"/>
      <c r="GM34" s="1997"/>
      <c r="GN34" s="1997"/>
      <c r="GO34" s="1997"/>
      <c r="GP34" s="1997"/>
      <c r="GQ34" s="1997"/>
      <c r="GR34" s="1997"/>
      <c r="GS34" s="1997"/>
      <c r="GT34" s="1997"/>
      <c r="GU34" s="1997"/>
      <c r="GV34" s="1997"/>
      <c r="GW34" s="1997"/>
      <c r="GX34" s="1997"/>
      <c r="GY34" s="1997"/>
      <c r="GZ34" s="1997"/>
      <c r="HA34" s="1997"/>
      <c r="HB34" s="1997"/>
      <c r="HC34" s="1997"/>
      <c r="HD34" s="1997"/>
      <c r="HE34" s="1997"/>
      <c r="HF34" s="1997"/>
      <c r="HG34" s="1997"/>
      <c r="HH34" s="1997"/>
      <c r="HI34" s="1997"/>
      <c r="HJ34" s="1997"/>
      <c r="HK34" s="1997"/>
      <c r="HL34" s="1997"/>
      <c r="HM34" s="1997"/>
      <c r="HN34" s="1997"/>
      <c r="HO34" s="1997"/>
      <c r="HP34" s="1997"/>
      <c r="HQ34" s="1997"/>
      <c r="HR34" s="1997"/>
      <c r="HS34" s="1997"/>
      <c r="HT34" s="1997"/>
      <c r="HU34" s="1997"/>
      <c r="HV34" s="1997"/>
      <c r="HW34" s="1997"/>
      <c r="HX34" s="1997"/>
      <c r="HY34" s="1997"/>
      <c r="HZ34" s="1997"/>
      <c r="IA34" s="1997"/>
      <c r="IB34" s="1997"/>
      <c r="IC34" s="1997"/>
      <c r="ID34" s="1997"/>
      <c r="IE34" s="1997"/>
      <c r="IF34" s="1997"/>
      <c r="IG34" s="1997"/>
      <c r="IH34" s="1997"/>
      <c r="II34" s="1997"/>
      <c r="IJ34" s="1997"/>
      <c r="IK34" s="1997"/>
      <c r="IL34" s="1997"/>
      <c r="IM34" s="1997"/>
      <c r="IN34" s="1997"/>
      <c r="IO34" s="1997"/>
      <c r="IP34" s="1997"/>
      <c r="IQ34" s="1997"/>
    </row>
    <row r="35" spans="1:251" hidden="1">
      <c r="A35" s="1993"/>
      <c r="B35" s="1998"/>
      <c r="C35" s="1998"/>
      <c r="D35" s="2034"/>
      <c r="E35" s="1998"/>
      <c r="F35" s="1940">
        <f t="shared" si="14"/>
        <v>0</v>
      </c>
      <c r="G35" s="1993"/>
      <c r="H35" s="1940">
        <f t="shared" si="15"/>
        <v>0</v>
      </c>
      <c r="I35" s="1993"/>
      <c r="J35" s="1940">
        <f t="shared" si="5"/>
        <v>0</v>
      </c>
      <c r="K35" s="1993"/>
      <c r="L35" s="1940">
        <f t="shared" si="16"/>
        <v>0</v>
      </c>
      <c r="M35" s="1940">
        <f t="shared" si="17"/>
        <v>0</v>
      </c>
      <c r="N35" s="1940">
        <f t="shared" si="18"/>
        <v>0</v>
      </c>
      <c r="O35" s="1993"/>
      <c r="P35" s="1993"/>
      <c r="Q35" s="1940">
        <f t="shared" si="19"/>
        <v>0</v>
      </c>
      <c r="R35" s="1940">
        <f t="shared" si="9"/>
        <v>0</v>
      </c>
      <c r="S35" s="1940">
        <f t="shared" si="20"/>
        <v>0</v>
      </c>
      <c r="T35" s="1940">
        <f t="shared" si="21"/>
        <v>0</v>
      </c>
      <c r="U35" s="1940">
        <f t="shared" si="22"/>
        <v>0</v>
      </c>
      <c r="V35" s="1997"/>
      <c r="W35" s="1997"/>
      <c r="X35" s="1997"/>
      <c r="Y35" s="1997"/>
      <c r="Z35" s="1997"/>
      <c r="AA35" s="1997"/>
      <c r="AB35" s="1997"/>
      <c r="AC35" s="1997"/>
      <c r="AD35" s="1997"/>
      <c r="AE35" s="1997"/>
      <c r="AF35" s="1997"/>
      <c r="AG35" s="1997"/>
      <c r="AH35" s="1997"/>
      <c r="AI35" s="1997"/>
      <c r="AJ35" s="1997"/>
      <c r="AK35" s="1997"/>
      <c r="AL35" s="1997"/>
      <c r="AM35" s="1997"/>
      <c r="AN35" s="1997"/>
      <c r="AO35" s="1997"/>
      <c r="AP35" s="1997"/>
      <c r="AQ35" s="1997"/>
      <c r="AR35" s="1997"/>
      <c r="AS35" s="1997"/>
      <c r="AT35" s="1997"/>
      <c r="AU35" s="1997"/>
      <c r="AV35" s="1997"/>
      <c r="AW35" s="1997"/>
      <c r="AX35" s="1997"/>
      <c r="AY35" s="1997"/>
      <c r="AZ35" s="1997"/>
      <c r="BA35" s="1997"/>
      <c r="BB35" s="1997"/>
      <c r="BC35" s="1997"/>
      <c r="BD35" s="1997"/>
      <c r="BE35" s="1997"/>
      <c r="BF35" s="1997"/>
      <c r="BG35" s="1997"/>
      <c r="BH35" s="1997"/>
      <c r="BI35" s="1997"/>
      <c r="BJ35" s="1997"/>
      <c r="BK35" s="1997"/>
      <c r="BL35" s="1997"/>
      <c r="BM35" s="1997"/>
      <c r="BN35" s="1997"/>
      <c r="BO35" s="1997"/>
      <c r="BP35" s="1997"/>
      <c r="BQ35" s="1997"/>
      <c r="BR35" s="1997"/>
      <c r="BS35" s="1997"/>
      <c r="BT35" s="1997"/>
      <c r="BU35" s="1997"/>
      <c r="BV35" s="1997"/>
      <c r="BW35" s="1997"/>
      <c r="BX35" s="1997"/>
      <c r="BY35" s="1997"/>
      <c r="BZ35" s="1997"/>
      <c r="CA35" s="1997"/>
      <c r="CB35" s="1997"/>
      <c r="CC35" s="1997"/>
      <c r="CD35" s="1997"/>
      <c r="CE35" s="1997"/>
      <c r="CF35" s="1997"/>
      <c r="CG35" s="1997"/>
      <c r="CH35" s="1997"/>
      <c r="CI35" s="1997"/>
      <c r="CJ35" s="1997"/>
      <c r="CK35" s="1997"/>
      <c r="CL35" s="1997"/>
      <c r="CM35" s="1997"/>
      <c r="CN35" s="1997"/>
      <c r="CO35" s="1997"/>
      <c r="CP35" s="1997"/>
      <c r="CQ35" s="1997"/>
      <c r="CR35" s="1997"/>
      <c r="CS35" s="1997"/>
      <c r="CT35" s="1997"/>
      <c r="CU35" s="1997"/>
      <c r="CV35" s="1997"/>
      <c r="CW35" s="1997"/>
      <c r="CX35" s="1997"/>
      <c r="CY35" s="1997"/>
      <c r="CZ35" s="1997"/>
      <c r="DA35" s="1997"/>
      <c r="DB35" s="1997"/>
      <c r="DC35" s="1997"/>
      <c r="DD35" s="1997"/>
      <c r="DE35" s="1997"/>
      <c r="DF35" s="1997"/>
      <c r="DG35" s="1997"/>
      <c r="DH35" s="1997"/>
      <c r="DI35" s="1997"/>
      <c r="DJ35" s="1997"/>
      <c r="DK35" s="1997"/>
      <c r="DL35" s="1997"/>
      <c r="DM35" s="1997"/>
      <c r="DN35" s="1997"/>
      <c r="DO35" s="1997"/>
      <c r="DP35" s="1997"/>
      <c r="DQ35" s="1997"/>
      <c r="DR35" s="1997"/>
      <c r="DS35" s="1997"/>
      <c r="DT35" s="1997"/>
      <c r="DU35" s="1997"/>
      <c r="DV35" s="1997"/>
      <c r="DW35" s="1997"/>
      <c r="DX35" s="1997"/>
      <c r="DY35" s="1997"/>
      <c r="DZ35" s="1997"/>
      <c r="EA35" s="1997"/>
      <c r="EB35" s="1997"/>
      <c r="EC35" s="1997"/>
      <c r="ED35" s="1997"/>
      <c r="EE35" s="1997"/>
      <c r="EF35" s="1997"/>
      <c r="EG35" s="1997"/>
      <c r="EH35" s="1997"/>
      <c r="EI35" s="1997"/>
      <c r="EJ35" s="1997"/>
      <c r="EK35" s="1997"/>
      <c r="EL35" s="1997"/>
      <c r="EM35" s="1997"/>
      <c r="EN35" s="1997"/>
      <c r="EO35" s="1997"/>
      <c r="EP35" s="1997"/>
      <c r="EQ35" s="1997"/>
      <c r="ER35" s="1997"/>
      <c r="ES35" s="1997"/>
      <c r="ET35" s="1997"/>
      <c r="EU35" s="1997"/>
      <c r="EV35" s="1997"/>
      <c r="EW35" s="1997"/>
      <c r="EX35" s="1997"/>
      <c r="EY35" s="1997"/>
      <c r="EZ35" s="1997"/>
      <c r="FA35" s="1997"/>
      <c r="FB35" s="1997"/>
      <c r="FC35" s="1997"/>
      <c r="FD35" s="1997"/>
      <c r="FE35" s="1997"/>
      <c r="FF35" s="1997"/>
      <c r="FG35" s="1997"/>
      <c r="FH35" s="1997"/>
      <c r="FI35" s="1997"/>
      <c r="FJ35" s="1997"/>
      <c r="FK35" s="1997"/>
      <c r="FL35" s="1997"/>
      <c r="FM35" s="1997"/>
      <c r="FN35" s="1997"/>
      <c r="FO35" s="1997"/>
      <c r="FP35" s="1997"/>
      <c r="FQ35" s="1997"/>
      <c r="FR35" s="1997"/>
      <c r="FS35" s="1997"/>
      <c r="FT35" s="1997"/>
      <c r="FU35" s="1997"/>
      <c r="FV35" s="1997"/>
      <c r="FW35" s="1997"/>
      <c r="FX35" s="1997"/>
      <c r="FY35" s="1997"/>
      <c r="FZ35" s="1997"/>
      <c r="GA35" s="1997"/>
      <c r="GB35" s="1997"/>
      <c r="GC35" s="1997"/>
      <c r="GD35" s="1997"/>
      <c r="GE35" s="1997"/>
      <c r="GF35" s="1997"/>
      <c r="GG35" s="1997"/>
      <c r="GH35" s="1997"/>
      <c r="GI35" s="1997"/>
      <c r="GJ35" s="1997"/>
      <c r="GK35" s="1997"/>
      <c r="GL35" s="1997"/>
      <c r="GM35" s="1997"/>
      <c r="GN35" s="1997"/>
      <c r="GO35" s="1997"/>
      <c r="GP35" s="1997"/>
      <c r="GQ35" s="1997"/>
      <c r="GR35" s="1997"/>
      <c r="GS35" s="1997"/>
      <c r="GT35" s="1997"/>
      <c r="GU35" s="1997"/>
      <c r="GV35" s="1997"/>
      <c r="GW35" s="1997"/>
      <c r="GX35" s="1997"/>
      <c r="GY35" s="1997"/>
      <c r="GZ35" s="1997"/>
      <c r="HA35" s="1997"/>
      <c r="HB35" s="1997"/>
      <c r="HC35" s="1997"/>
      <c r="HD35" s="1997"/>
      <c r="HE35" s="1997"/>
      <c r="HF35" s="1997"/>
      <c r="HG35" s="1997"/>
      <c r="HH35" s="1997"/>
      <c r="HI35" s="1997"/>
      <c r="HJ35" s="1997"/>
      <c r="HK35" s="1997"/>
      <c r="HL35" s="1997"/>
      <c r="HM35" s="1997"/>
      <c r="HN35" s="1997"/>
      <c r="HO35" s="1997"/>
      <c r="HP35" s="1997"/>
      <c r="HQ35" s="1997"/>
      <c r="HR35" s="1997"/>
      <c r="HS35" s="1997"/>
      <c r="HT35" s="1997"/>
      <c r="HU35" s="1997"/>
      <c r="HV35" s="1997"/>
      <c r="HW35" s="1997"/>
      <c r="HX35" s="1997"/>
      <c r="HY35" s="1997"/>
      <c r="HZ35" s="1997"/>
      <c r="IA35" s="1997"/>
      <c r="IB35" s="1997"/>
      <c r="IC35" s="1997"/>
      <c r="ID35" s="1997"/>
      <c r="IE35" s="1997"/>
      <c r="IF35" s="1997"/>
      <c r="IG35" s="1997"/>
      <c r="IH35" s="1997"/>
      <c r="II35" s="1997"/>
      <c r="IJ35" s="1997"/>
      <c r="IK35" s="1997"/>
      <c r="IL35" s="1997"/>
      <c r="IM35" s="1997"/>
      <c r="IN35" s="1997"/>
      <c r="IO35" s="1997"/>
      <c r="IP35" s="1997"/>
      <c r="IQ35" s="1997"/>
    </row>
    <row r="36" spans="1:251" hidden="1">
      <c r="A36" s="1993"/>
      <c r="B36" s="1998"/>
      <c r="C36" s="1998"/>
      <c r="D36" s="2034"/>
      <c r="E36" s="1998"/>
      <c r="F36" s="1940">
        <f t="shared" si="14"/>
        <v>0</v>
      </c>
      <c r="G36" s="1993"/>
      <c r="H36" s="1940">
        <f t="shared" si="15"/>
        <v>0</v>
      </c>
      <c r="I36" s="1993"/>
      <c r="J36" s="1940">
        <f t="shared" si="5"/>
        <v>0</v>
      </c>
      <c r="K36" s="1993"/>
      <c r="L36" s="1940">
        <f t="shared" si="16"/>
        <v>0</v>
      </c>
      <c r="M36" s="1940">
        <f t="shared" si="17"/>
        <v>0</v>
      </c>
      <c r="N36" s="1940">
        <f t="shared" si="18"/>
        <v>0</v>
      </c>
      <c r="O36" s="1993"/>
      <c r="P36" s="1993"/>
      <c r="Q36" s="1940">
        <f t="shared" si="19"/>
        <v>0</v>
      </c>
      <c r="R36" s="1940">
        <f t="shared" si="9"/>
        <v>0</v>
      </c>
      <c r="S36" s="1940">
        <f t="shared" si="20"/>
        <v>0</v>
      </c>
      <c r="T36" s="1940">
        <f t="shared" si="21"/>
        <v>0</v>
      </c>
      <c r="U36" s="1940">
        <f t="shared" si="22"/>
        <v>0</v>
      </c>
      <c r="V36" s="1997"/>
      <c r="W36" s="1997"/>
      <c r="X36" s="1997"/>
      <c r="Y36" s="1997"/>
      <c r="Z36" s="1997"/>
      <c r="AA36" s="1997"/>
      <c r="AB36" s="1997"/>
      <c r="AC36" s="1997"/>
      <c r="AD36" s="1997"/>
      <c r="AE36" s="1997"/>
      <c r="AF36" s="1997"/>
      <c r="AG36" s="1997"/>
      <c r="AH36" s="1997"/>
      <c r="AI36" s="1997"/>
      <c r="AJ36" s="1997"/>
      <c r="AK36" s="1997"/>
      <c r="AL36" s="1997"/>
      <c r="AM36" s="1997"/>
      <c r="AN36" s="1997"/>
      <c r="AO36" s="1997"/>
      <c r="AP36" s="1997"/>
      <c r="AQ36" s="1997"/>
      <c r="AR36" s="1997"/>
      <c r="AS36" s="1997"/>
      <c r="AT36" s="1997"/>
      <c r="AU36" s="1997"/>
      <c r="AV36" s="1997"/>
      <c r="AW36" s="1997"/>
      <c r="AX36" s="1997"/>
      <c r="AY36" s="1997"/>
      <c r="AZ36" s="1997"/>
      <c r="BA36" s="1997"/>
      <c r="BB36" s="1997"/>
      <c r="BC36" s="1997"/>
      <c r="BD36" s="1997"/>
      <c r="BE36" s="1997"/>
      <c r="BF36" s="1997"/>
      <c r="BG36" s="1997"/>
      <c r="BH36" s="1997"/>
      <c r="BI36" s="1997"/>
      <c r="BJ36" s="1997"/>
      <c r="BK36" s="1997"/>
      <c r="BL36" s="1997"/>
      <c r="BM36" s="1997"/>
      <c r="BN36" s="1997"/>
      <c r="BO36" s="1997"/>
      <c r="BP36" s="1997"/>
      <c r="BQ36" s="1997"/>
      <c r="BR36" s="1997"/>
      <c r="BS36" s="1997"/>
      <c r="BT36" s="1997"/>
      <c r="BU36" s="1997"/>
      <c r="BV36" s="1997"/>
      <c r="BW36" s="1997"/>
      <c r="BX36" s="1997"/>
      <c r="BY36" s="1997"/>
      <c r="BZ36" s="1997"/>
      <c r="CA36" s="1997"/>
      <c r="CB36" s="1997"/>
      <c r="CC36" s="1997"/>
      <c r="CD36" s="1997"/>
      <c r="CE36" s="1997"/>
      <c r="CF36" s="1997"/>
      <c r="CG36" s="1997"/>
      <c r="CH36" s="1997"/>
      <c r="CI36" s="1997"/>
      <c r="CJ36" s="1997"/>
      <c r="CK36" s="1997"/>
      <c r="CL36" s="1997"/>
      <c r="CM36" s="1997"/>
      <c r="CN36" s="1997"/>
      <c r="CO36" s="1997"/>
      <c r="CP36" s="1997"/>
      <c r="CQ36" s="1997"/>
      <c r="CR36" s="1997"/>
      <c r="CS36" s="1997"/>
      <c r="CT36" s="1997"/>
      <c r="CU36" s="1997"/>
      <c r="CV36" s="1997"/>
      <c r="CW36" s="1997"/>
      <c r="CX36" s="1997"/>
      <c r="CY36" s="1997"/>
      <c r="CZ36" s="1997"/>
      <c r="DA36" s="1997"/>
      <c r="DB36" s="1997"/>
      <c r="DC36" s="1997"/>
      <c r="DD36" s="1997"/>
      <c r="DE36" s="1997"/>
      <c r="DF36" s="1997"/>
      <c r="DG36" s="1997"/>
      <c r="DH36" s="1997"/>
      <c r="DI36" s="1997"/>
      <c r="DJ36" s="1997"/>
      <c r="DK36" s="1997"/>
      <c r="DL36" s="1997"/>
      <c r="DM36" s="1997"/>
      <c r="DN36" s="1997"/>
      <c r="DO36" s="1997"/>
      <c r="DP36" s="1997"/>
      <c r="DQ36" s="1997"/>
      <c r="DR36" s="1997"/>
      <c r="DS36" s="1997"/>
      <c r="DT36" s="1997"/>
      <c r="DU36" s="1997"/>
      <c r="DV36" s="1997"/>
      <c r="DW36" s="1997"/>
      <c r="DX36" s="1997"/>
      <c r="DY36" s="1997"/>
      <c r="DZ36" s="1997"/>
      <c r="EA36" s="1997"/>
      <c r="EB36" s="1997"/>
      <c r="EC36" s="1997"/>
      <c r="ED36" s="1997"/>
      <c r="EE36" s="1997"/>
      <c r="EF36" s="1997"/>
      <c r="EG36" s="1997"/>
      <c r="EH36" s="1997"/>
      <c r="EI36" s="1997"/>
      <c r="EJ36" s="1997"/>
      <c r="EK36" s="1997"/>
      <c r="EL36" s="1997"/>
      <c r="EM36" s="1997"/>
      <c r="EN36" s="1997"/>
      <c r="EO36" s="1997"/>
      <c r="EP36" s="1997"/>
      <c r="EQ36" s="1997"/>
      <c r="ER36" s="1997"/>
      <c r="ES36" s="1997"/>
      <c r="ET36" s="1997"/>
      <c r="EU36" s="1997"/>
      <c r="EV36" s="1997"/>
      <c r="EW36" s="1997"/>
      <c r="EX36" s="1997"/>
      <c r="EY36" s="1997"/>
      <c r="EZ36" s="1997"/>
      <c r="FA36" s="1997"/>
      <c r="FB36" s="1997"/>
      <c r="FC36" s="1997"/>
      <c r="FD36" s="1997"/>
      <c r="FE36" s="1997"/>
      <c r="FF36" s="1997"/>
      <c r="FG36" s="1997"/>
      <c r="FH36" s="1997"/>
      <c r="FI36" s="1997"/>
      <c r="FJ36" s="1997"/>
      <c r="FK36" s="1997"/>
      <c r="FL36" s="1997"/>
      <c r="FM36" s="1997"/>
      <c r="FN36" s="1997"/>
      <c r="FO36" s="1997"/>
      <c r="FP36" s="1997"/>
      <c r="FQ36" s="1997"/>
      <c r="FR36" s="1997"/>
      <c r="FS36" s="1997"/>
      <c r="FT36" s="1997"/>
      <c r="FU36" s="1997"/>
      <c r="FV36" s="1997"/>
      <c r="FW36" s="1997"/>
      <c r="FX36" s="1997"/>
      <c r="FY36" s="1997"/>
      <c r="FZ36" s="1997"/>
      <c r="GA36" s="1997"/>
      <c r="GB36" s="1997"/>
      <c r="GC36" s="1997"/>
      <c r="GD36" s="1997"/>
      <c r="GE36" s="1997"/>
      <c r="GF36" s="1997"/>
      <c r="GG36" s="1997"/>
      <c r="GH36" s="1997"/>
      <c r="GI36" s="1997"/>
      <c r="GJ36" s="1997"/>
      <c r="GK36" s="1997"/>
      <c r="GL36" s="1997"/>
      <c r="GM36" s="1997"/>
      <c r="GN36" s="1997"/>
      <c r="GO36" s="1997"/>
      <c r="GP36" s="1997"/>
      <c r="GQ36" s="1997"/>
      <c r="GR36" s="1997"/>
      <c r="GS36" s="1997"/>
      <c r="GT36" s="1997"/>
      <c r="GU36" s="1997"/>
      <c r="GV36" s="1997"/>
      <c r="GW36" s="1997"/>
      <c r="GX36" s="1997"/>
      <c r="GY36" s="1997"/>
      <c r="GZ36" s="1997"/>
      <c r="HA36" s="1997"/>
      <c r="HB36" s="1997"/>
      <c r="HC36" s="1997"/>
      <c r="HD36" s="1997"/>
      <c r="HE36" s="1997"/>
      <c r="HF36" s="1997"/>
      <c r="HG36" s="1997"/>
      <c r="HH36" s="1997"/>
      <c r="HI36" s="1997"/>
      <c r="HJ36" s="1997"/>
      <c r="HK36" s="1997"/>
      <c r="HL36" s="1997"/>
      <c r="HM36" s="1997"/>
      <c r="HN36" s="1997"/>
      <c r="HO36" s="1997"/>
      <c r="HP36" s="1997"/>
      <c r="HQ36" s="1997"/>
      <c r="HR36" s="1997"/>
      <c r="HS36" s="1997"/>
      <c r="HT36" s="1997"/>
      <c r="HU36" s="1997"/>
      <c r="HV36" s="1997"/>
      <c r="HW36" s="1997"/>
      <c r="HX36" s="1997"/>
      <c r="HY36" s="1997"/>
      <c r="HZ36" s="1997"/>
      <c r="IA36" s="1997"/>
      <c r="IB36" s="1997"/>
      <c r="IC36" s="1997"/>
      <c r="ID36" s="1997"/>
      <c r="IE36" s="1997"/>
      <c r="IF36" s="1997"/>
      <c r="IG36" s="1997"/>
      <c r="IH36" s="1997"/>
      <c r="II36" s="1997"/>
      <c r="IJ36" s="1997"/>
      <c r="IK36" s="1997"/>
      <c r="IL36" s="1997"/>
      <c r="IM36" s="1997"/>
      <c r="IN36" s="1997"/>
      <c r="IO36" s="1997"/>
      <c r="IP36" s="1997"/>
      <c r="IQ36" s="1997"/>
    </row>
    <row r="37" spans="1:251" hidden="1">
      <c r="A37" s="1993"/>
      <c r="B37" s="1998"/>
      <c r="C37" s="1998"/>
      <c r="D37" s="2034"/>
      <c r="E37" s="1998"/>
      <c r="F37" s="1940">
        <f t="shared" si="14"/>
        <v>0</v>
      </c>
      <c r="G37" s="1993"/>
      <c r="H37" s="1940">
        <f t="shared" si="15"/>
        <v>0</v>
      </c>
      <c r="I37" s="1993"/>
      <c r="J37" s="1940">
        <f t="shared" si="5"/>
        <v>0</v>
      </c>
      <c r="K37" s="1993"/>
      <c r="L37" s="1940">
        <f t="shared" si="16"/>
        <v>0</v>
      </c>
      <c r="M37" s="1940">
        <f t="shared" si="17"/>
        <v>0</v>
      </c>
      <c r="N37" s="1940">
        <f t="shared" si="18"/>
        <v>0</v>
      </c>
      <c r="O37" s="1993"/>
      <c r="P37" s="1993"/>
      <c r="Q37" s="1940">
        <f t="shared" si="19"/>
        <v>0</v>
      </c>
      <c r="R37" s="1940">
        <f t="shared" si="9"/>
        <v>0</v>
      </c>
      <c r="S37" s="1940">
        <f t="shared" si="20"/>
        <v>0</v>
      </c>
      <c r="T37" s="1940">
        <f t="shared" si="21"/>
        <v>0</v>
      </c>
      <c r="U37" s="1940">
        <f t="shared" si="22"/>
        <v>0</v>
      </c>
      <c r="V37" s="1997"/>
      <c r="W37" s="1997"/>
      <c r="X37" s="1997"/>
      <c r="Y37" s="1997"/>
      <c r="Z37" s="1997"/>
      <c r="AA37" s="1997"/>
      <c r="AB37" s="1997"/>
      <c r="AC37" s="1997"/>
      <c r="AD37" s="1997"/>
      <c r="AE37" s="1997"/>
      <c r="AF37" s="1997"/>
      <c r="AG37" s="1997"/>
      <c r="AH37" s="1997"/>
      <c r="AI37" s="1997"/>
      <c r="AJ37" s="1997"/>
      <c r="AK37" s="1997"/>
      <c r="AL37" s="1997"/>
      <c r="AM37" s="1997"/>
      <c r="AN37" s="1997"/>
      <c r="AO37" s="1997"/>
      <c r="AP37" s="1997"/>
      <c r="AQ37" s="1997"/>
      <c r="AR37" s="1997"/>
      <c r="AS37" s="1997"/>
      <c r="AT37" s="1997"/>
      <c r="AU37" s="1997"/>
      <c r="AV37" s="1997"/>
      <c r="AW37" s="1997"/>
      <c r="AX37" s="1997"/>
      <c r="AY37" s="1997"/>
      <c r="AZ37" s="1997"/>
      <c r="BA37" s="1997"/>
      <c r="BB37" s="1997"/>
      <c r="BC37" s="1997"/>
      <c r="BD37" s="1997"/>
      <c r="BE37" s="1997"/>
      <c r="BF37" s="1997"/>
      <c r="BG37" s="1997"/>
      <c r="BH37" s="1997"/>
      <c r="BI37" s="1997"/>
      <c r="BJ37" s="1997"/>
      <c r="BK37" s="1997"/>
      <c r="BL37" s="1997"/>
      <c r="BM37" s="1997"/>
      <c r="BN37" s="1997"/>
      <c r="BO37" s="1997"/>
      <c r="BP37" s="1997"/>
      <c r="BQ37" s="1997"/>
      <c r="BR37" s="1997"/>
      <c r="BS37" s="1997"/>
      <c r="BT37" s="1997"/>
      <c r="BU37" s="1997"/>
      <c r="BV37" s="1997"/>
      <c r="BW37" s="1997"/>
      <c r="BX37" s="1997"/>
      <c r="BY37" s="1997"/>
      <c r="BZ37" s="1997"/>
      <c r="CA37" s="1997"/>
      <c r="CB37" s="1997"/>
      <c r="CC37" s="1997"/>
      <c r="CD37" s="1997"/>
      <c r="CE37" s="1997"/>
      <c r="CF37" s="1997"/>
      <c r="CG37" s="1997"/>
      <c r="CH37" s="1997"/>
      <c r="CI37" s="1997"/>
      <c r="CJ37" s="1997"/>
      <c r="CK37" s="1997"/>
      <c r="CL37" s="1997"/>
      <c r="CM37" s="1997"/>
      <c r="CN37" s="1997"/>
      <c r="CO37" s="1997"/>
      <c r="CP37" s="1997"/>
      <c r="CQ37" s="1997"/>
      <c r="CR37" s="1997"/>
      <c r="CS37" s="1997"/>
      <c r="CT37" s="1997"/>
      <c r="CU37" s="1997"/>
      <c r="CV37" s="1997"/>
      <c r="CW37" s="1997"/>
      <c r="CX37" s="1997"/>
      <c r="CY37" s="1997"/>
      <c r="CZ37" s="1997"/>
      <c r="DA37" s="1997"/>
      <c r="DB37" s="1997"/>
      <c r="DC37" s="1997"/>
      <c r="DD37" s="1997"/>
      <c r="DE37" s="1997"/>
      <c r="DF37" s="1997"/>
      <c r="DG37" s="1997"/>
      <c r="DH37" s="1997"/>
      <c r="DI37" s="1997"/>
      <c r="DJ37" s="1997"/>
      <c r="DK37" s="1997"/>
      <c r="DL37" s="1997"/>
      <c r="DM37" s="1997"/>
      <c r="DN37" s="1997"/>
      <c r="DO37" s="1997"/>
      <c r="DP37" s="1997"/>
      <c r="DQ37" s="1997"/>
      <c r="DR37" s="1997"/>
      <c r="DS37" s="1997"/>
      <c r="DT37" s="1997"/>
      <c r="DU37" s="1997"/>
      <c r="DV37" s="1997"/>
      <c r="DW37" s="1997"/>
      <c r="DX37" s="1997"/>
      <c r="DY37" s="1997"/>
      <c r="DZ37" s="1997"/>
      <c r="EA37" s="1997"/>
      <c r="EB37" s="1997"/>
      <c r="EC37" s="1997"/>
      <c r="ED37" s="1997"/>
      <c r="EE37" s="1997"/>
      <c r="EF37" s="1997"/>
      <c r="EG37" s="1997"/>
      <c r="EH37" s="1997"/>
      <c r="EI37" s="1997"/>
      <c r="EJ37" s="1997"/>
      <c r="EK37" s="1997"/>
      <c r="EL37" s="1997"/>
      <c r="EM37" s="1997"/>
      <c r="EN37" s="1997"/>
      <c r="EO37" s="1997"/>
      <c r="EP37" s="1997"/>
      <c r="EQ37" s="1997"/>
      <c r="ER37" s="1997"/>
      <c r="ES37" s="1997"/>
      <c r="ET37" s="1997"/>
      <c r="EU37" s="1997"/>
      <c r="EV37" s="1997"/>
      <c r="EW37" s="1997"/>
      <c r="EX37" s="1997"/>
      <c r="EY37" s="1997"/>
      <c r="EZ37" s="1997"/>
      <c r="FA37" s="1997"/>
      <c r="FB37" s="1997"/>
      <c r="FC37" s="1997"/>
      <c r="FD37" s="1997"/>
      <c r="FE37" s="1997"/>
      <c r="FF37" s="1997"/>
      <c r="FG37" s="1997"/>
      <c r="FH37" s="1997"/>
      <c r="FI37" s="1997"/>
      <c r="FJ37" s="1997"/>
      <c r="FK37" s="1997"/>
      <c r="FL37" s="1997"/>
      <c r="FM37" s="1997"/>
      <c r="FN37" s="1997"/>
      <c r="FO37" s="1997"/>
      <c r="FP37" s="1997"/>
      <c r="FQ37" s="1997"/>
      <c r="FR37" s="1997"/>
      <c r="FS37" s="1997"/>
      <c r="FT37" s="1997"/>
      <c r="FU37" s="1997"/>
      <c r="FV37" s="1997"/>
      <c r="FW37" s="1997"/>
      <c r="FX37" s="1997"/>
      <c r="FY37" s="1997"/>
      <c r="FZ37" s="1997"/>
      <c r="GA37" s="1997"/>
      <c r="GB37" s="1997"/>
      <c r="GC37" s="1997"/>
      <c r="GD37" s="1997"/>
      <c r="GE37" s="1997"/>
      <c r="GF37" s="1997"/>
      <c r="GG37" s="1997"/>
      <c r="GH37" s="1997"/>
      <c r="GI37" s="1997"/>
      <c r="GJ37" s="1997"/>
      <c r="GK37" s="1997"/>
      <c r="GL37" s="1997"/>
      <c r="GM37" s="1997"/>
      <c r="GN37" s="1997"/>
      <c r="GO37" s="1997"/>
      <c r="GP37" s="1997"/>
      <c r="GQ37" s="1997"/>
      <c r="GR37" s="1997"/>
      <c r="GS37" s="1997"/>
      <c r="GT37" s="1997"/>
      <c r="GU37" s="1997"/>
      <c r="GV37" s="1997"/>
      <c r="GW37" s="1997"/>
      <c r="GX37" s="1997"/>
      <c r="GY37" s="1997"/>
      <c r="GZ37" s="1997"/>
      <c r="HA37" s="1997"/>
      <c r="HB37" s="1997"/>
      <c r="HC37" s="1997"/>
      <c r="HD37" s="1997"/>
      <c r="HE37" s="1997"/>
      <c r="HF37" s="1997"/>
      <c r="HG37" s="1997"/>
      <c r="HH37" s="1997"/>
      <c r="HI37" s="1997"/>
      <c r="HJ37" s="1997"/>
      <c r="HK37" s="1997"/>
      <c r="HL37" s="1997"/>
      <c r="HM37" s="1997"/>
      <c r="HN37" s="1997"/>
      <c r="HO37" s="1997"/>
      <c r="HP37" s="1997"/>
      <c r="HQ37" s="1997"/>
      <c r="HR37" s="1997"/>
      <c r="HS37" s="1997"/>
      <c r="HT37" s="1997"/>
      <c r="HU37" s="1997"/>
      <c r="HV37" s="1997"/>
      <c r="HW37" s="1997"/>
      <c r="HX37" s="1997"/>
      <c r="HY37" s="1997"/>
      <c r="HZ37" s="1997"/>
      <c r="IA37" s="1997"/>
      <c r="IB37" s="1997"/>
      <c r="IC37" s="1997"/>
      <c r="ID37" s="1997"/>
      <c r="IE37" s="1997"/>
      <c r="IF37" s="1997"/>
      <c r="IG37" s="1997"/>
      <c r="IH37" s="1997"/>
      <c r="II37" s="1997"/>
      <c r="IJ37" s="1997"/>
      <c r="IK37" s="1997"/>
      <c r="IL37" s="1997"/>
      <c r="IM37" s="1997"/>
      <c r="IN37" s="1997"/>
      <c r="IO37" s="1997"/>
      <c r="IP37" s="1997"/>
      <c r="IQ37" s="1997"/>
    </row>
    <row r="38" spans="1:251" hidden="1">
      <c r="A38" s="1993"/>
      <c r="B38" s="1998"/>
      <c r="C38" s="1998"/>
      <c r="D38" s="2034"/>
      <c r="E38" s="1998"/>
      <c r="F38" s="1940">
        <f t="shared" si="14"/>
        <v>0</v>
      </c>
      <c r="G38" s="1993"/>
      <c r="H38" s="1940">
        <f t="shared" si="15"/>
        <v>0</v>
      </c>
      <c r="I38" s="1993"/>
      <c r="J38" s="1940">
        <f t="shared" si="5"/>
        <v>0</v>
      </c>
      <c r="K38" s="1993"/>
      <c r="L38" s="1940">
        <f t="shared" si="16"/>
        <v>0</v>
      </c>
      <c r="M38" s="1940">
        <f t="shared" si="17"/>
        <v>0</v>
      </c>
      <c r="N38" s="1940">
        <f t="shared" si="18"/>
        <v>0</v>
      </c>
      <c r="O38" s="1993"/>
      <c r="P38" s="1993"/>
      <c r="Q38" s="1940">
        <f t="shared" si="19"/>
        <v>0</v>
      </c>
      <c r="R38" s="1940">
        <f t="shared" si="9"/>
        <v>0</v>
      </c>
      <c r="S38" s="1940">
        <f t="shared" si="20"/>
        <v>0</v>
      </c>
      <c r="T38" s="1940">
        <f t="shared" si="21"/>
        <v>0</v>
      </c>
      <c r="U38" s="1940">
        <f t="shared" si="22"/>
        <v>0</v>
      </c>
      <c r="V38" s="1997"/>
      <c r="W38" s="1997"/>
      <c r="X38" s="1997"/>
      <c r="Y38" s="1997"/>
      <c r="Z38" s="1997"/>
      <c r="AA38" s="1997"/>
      <c r="AB38" s="1997"/>
      <c r="AC38" s="1997"/>
      <c r="AD38" s="1997"/>
      <c r="AE38" s="1997"/>
      <c r="AF38" s="1997"/>
      <c r="AG38" s="1997"/>
      <c r="AH38" s="1997"/>
      <c r="AI38" s="1997"/>
      <c r="AJ38" s="1997"/>
      <c r="AK38" s="1997"/>
      <c r="AL38" s="1997"/>
      <c r="AM38" s="1997"/>
      <c r="AN38" s="1997"/>
      <c r="AO38" s="1997"/>
      <c r="AP38" s="1997"/>
      <c r="AQ38" s="1997"/>
      <c r="AR38" s="1997"/>
      <c r="AS38" s="1997"/>
      <c r="AT38" s="1997"/>
      <c r="AU38" s="1997"/>
      <c r="AV38" s="1997"/>
      <c r="AW38" s="1997"/>
      <c r="AX38" s="1997"/>
      <c r="AY38" s="1997"/>
      <c r="AZ38" s="1997"/>
      <c r="BA38" s="1997"/>
      <c r="BB38" s="1997"/>
      <c r="BC38" s="1997"/>
      <c r="BD38" s="1997"/>
      <c r="BE38" s="1997"/>
      <c r="BF38" s="1997"/>
      <c r="BG38" s="1997"/>
      <c r="BH38" s="1997"/>
      <c r="BI38" s="1997"/>
      <c r="BJ38" s="1997"/>
      <c r="BK38" s="1997"/>
      <c r="BL38" s="1997"/>
      <c r="BM38" s="1997"/>
      <c r="BN38" s="1997"/>
      <c r="BO38" s="1997"/>
      <c r="BP38" s="1997"/>
      <c r="BQ38" s="1997"/>
      <c r="BR38" s="1997"/>
      <c r="BS38" s="1997"/>
      <c r="BT38" s="1997"/>
      <c r="BU38" s="1997"/>
      <c r="BV38" s="1997"/>
      <c r="BW38" s="1997"/>
      <c r="BX38" s="1997"/>
      <c r="BY38" s="1997"/>
      <c r="BZ38" s="1997"/>
      <c r="CA38" s="1997"/>
      <c r="CB38" s="1997"/>
      <c r="CC38" s="1997"/>
      <c r="CD38" s="1997"/>
      <c r="CE38" s="1997"/>
      <c r="CF38" s="1997"/>
      <c r="CG38" s="1997"/>
      <c r="CH38" s="1997"/>
      <c r="CI38" s="1997"/>
      <c r="CJ38" s="1997"/>
      <c r="CK38" s="1997"/>
      <c r="CL38" s="1997"/>
      <c r="CM38" s="1997"/>
      <c r="CN38" s="1997"/>
      <c r="CO38" s="1997"/>
      <c r="CP38" s="1997"/>
      <c r="CQ38" s="1997"/>
      <c r="CR38" s="1997"/>
      <c r="CS38" s="1997"/>
      <c r="CT38" s="1997"/>
      <c r="CU38" s="1997"/>
      <c r="CV38" s="1997"/>
      <c r="CW38" s="1997"/>
      <c r="CX38" s="1997"/>
      <c r="CY38" s="1997"/>
      <c r="CZ38" s="1997"/>
      <c r="DA38" s="1997"/>
      <c r="DB38" s="1997"/>
      <c r="DC38" s="1997"/>
      <c r="DD38" s="1997"/>
      <c r="DE38" s="1997"/>
      <c r="DF38" s="1997"/>
      <c r="DG38" s="1997"/>
      <c r="DH38" s="1997"/>
      <c r="DI38" s="1997"/>
      <c r="DJ38" s="1997"/>
      <c r="DK38" s="1997"/>
      <c r="DL38" s="1997"/>
      <c r="DM38" s="1997"/>
      <c r="DN38" s="1997"/>
      <c r="DO38" s="1997"/>
      <c r="DP38" s="1997"/>
      <c r="DQ38" s="1997"/>
      <c r="DR38" s="1997"/>
      <c r="DS38" s="1997"/>
      <c r="DT38" s="1997"/>
      <c r="DU38" s="1997"/>
      <c r="DV38" s="1997"/>
      <c r="DW38" s="1997"/>
      <c r="DX38" s="1997"/>
      <c r="DY38" s="1997"/>
      <c r="DZ38" s="1997"/>
      <c r="EA38" s="1997"/>
      <c r="EB38" s="1997"/>
      <c r="EC38" s="1997"/>
      <c r="ED38" s="1997"/>
      <c r="EE38" s="1997"/>
      <c r="EF38" s="1997"/>
      <c r="EG38" s="1997"/>
      <c r="EH38" s="1997"/>
      <c r="EI38" s="1997"/>
      <c r="EJ38" s="1997"/>
      <c r="EK38" s="1997"/>
      <c r="EL38" s="1997"/>
      <c r="EM38" s="1997"/>
      <c r="EN38" s="1997"/>
      <c r="EO38" s="1997"/>
      <c r="EP38" s="1997"/>
      <c r="EQ38" s="1997"/>
      <c r="ER38" s="1997"/>
      <c r="ES38" s="1997"/>
      <c r="ET38" s="1997"/>
      <c r="EU38" s="1997"/>
      <c r="EV38" s="1997"/>
      <c r="EW38" s="1997"/>
      <c r="EX38" s="1997"/>
      <c r="EY38" s="1997"/>
      <c r="EZ38" s="1997"/>
      <c r="FA38" s="1997"/>
      <c r="FB38" s="1997"/>
      <c r="FC38" s="1997"/>
      <c r="FD38" s="1997"/>
      <c r="FE38" s="1997"/>
      <c r="FF38" s="1997"/>
      <c r="FG38" s="1997"/>
      <c r="FH38" s="1997"/>
      <c r="FI38" s="1997"/>
      <c r="FJ38" s="1997"/>
      <c r="FK38" s="1997"/>
      <c r="FL38" s="1997"/>
      <c r="FM38" s="1997"/>
      <c r="FN38" s="1997"/>
      <c r="FO38" s="1997"/>
      <c r="FP38" s="1997"/>
      <c r="FQ38" s="1997"/>
      <c r="FR38" s="1997"/>
      <c r="FS38" s="1997"/>
      <c r="FT38" s="1997"/>
      <c r="FU38" s="1997"/>
      <c r="FV38" s="1997"/>
      <c r="FW38" s="1997"/>
      <c r="FX38" s="1997"/>
      <c r="FY38" s="1997"/>
      <c r="FZ38" s="1997"/>
      <c r="GA38" s="1997"/>
      <c r="GB38" s="1997"/>
      <c r="GC38" s="1997"/>
      <c r="GD38" s="1997"/>
      <c r="GE38" s="1997"/>
      <c r="GF38" s="1997"/>
      <c r="GG38" s="1997"/>
      <c r="GH38" s="1997"/>
      <c r="GI38" s="1997"/>
      <c r="GJ38" s="1997"/>
      <c r="GK38" s="1997"/>
      <c r="GL38" s="1997"/>
      <c r="GM38" s="1997"/>
      <c r="GN38" s="1997"/>
      <c r="GO38" s="1997"/>
      <c r="GP38" s="1997"/>
      <c r="GQ38" s="1997"/>
      <c r="GR38" s="1997"/>
      <c r="GS38" s="1997"/>
      <c r="GT38" s="1997"/>
      <c r="GU38" s="1997"/>
      <c r="GV38" s="1997"/>
      <c r="GW38" s="1997"/>
      <c r="GX38" s="1997"/>
      <c r="GY38" s="1997"/>
      <c r="GZ38" s="1997"/>
      <c r="HA38" s="1997"/>
      <c r="HB38" s="1997"/>
      <c r="HC38" s="1997"/>
      <c r="HD38" s="1997"/>
      <c r="HE38" s="1997"/>
      <c r="HF38" s="1997"/>
      <c r="HG38" s="1997"/>
      <c r="HH38" s="1997"/>
      <c r="HI38" s="1997"/>
      <c r="HJ38" s="1997"/>
      <c r="HK38" s="1997"/>
      <c r="HL38" s="1997"/>
      <c r="HM38" s="1997"/>
      <c r="HN38" s="1997"/>
      <c r="HO38" s="1997"/>
      <c r="HP38" s="1997"/>
      <c r="HQ38" s="1997"/>
      <c r="HR38" s="1997"/>
      <c r="HS38" s="1997"/>
      <c r="HT38" s="1997"/>
      <c r="HU38" s="1997"/>
      <c r="HV38" s="1997"/>
      <c r="HW38" s="1997"/>
      <c r="HX38" s="1997"/>
      <c r="HY38" s="1997"/>
      <c r="HZ38" s="1997"/>
      <c r="IA38" s="1997"/>
      <c r="IB38" s="1997"/>
      <c r="IC38" s="1997"/>
      <c r="ID38" s="1997"/>
      <c r="IE38" s="1997"/>
      <c r="IF38" s="1997"/>
      <c r="IG38" s="1997"/>
      <c r="IH38" s="1997"/>
      <c r="II38" s="1997"/>
      <c r="IJ38" s="1997"/>
      <c r="IK38" s="1997"/>
      <c r="IL38" s="1997"/>
      <c r="IM38" s="1997"/>
      <c r="IN38" s="1997"/>
      <c r="IO38" s="1997"/>
      <c r="IP38" s="1997"/>
      <c r="IQ38" s="1997"/>
    </row>
    <row r="39" spans="1:251" hidden="1">
      <c r="A39" s="1993"/>
      <c r="B39" s="1998"/>
      <c r="C39" s="1998"/>
      <c r="D39" s="2034"/>
      <c r="E39" s="1998"/>
      <c r="F39" s="1940">
        <f t="shared" si="14"/>
        <v>0</v>
      </c>
      <c r="G39" s="1993"/>
      <c r="H39" s="1940">
        <f t="shared" si="15"/>
        <v>0</v>
      </c>
      <c r="I39" s="1993"/>
      <c r="J39" s="1940">
        <f t="shared" si="5"/>
        <v>0</v>
      </c>
      <c r="K39" s="1993"/>
      <c r="L39" s="1940">
        <f t="shared" si="16"/>
        <v>0</v>
      </c>
      <c r="M39" s="1940">
        <f t="shared" si="17"/>
        <v>0</v>
      </c>
      <c r="N39" s="1940">
        <f t="shared" si="18"/>
        <v>0</v>
      </c>
      <c r="O39" s="1993"/>
      <c r="P39" s="1993"/>
      <c r="Q39" s="1940">
        <f t="shared" si="19"/>
        <v>0</v>
      </c>
      <c r="R39" s="1940">
        <f t="shared" si="9"/>
        <v>0</v>
      </c>
      <c r="S39" s="1940">
        <f t="shared" si="20"/>
        <v>0</v>
      </c>
      <c r="T39" s="1940">
        <f t="shared" si="21"/>
        <v>0</v>
      </c>
      <c r="U39" s="1940">
        <f t="shared" si="22"/>
        <v>0</v>
      </c>
      <c r="V39" s="1997"/>
      <c r="W39" s="1997"/>
      <c r="X39" s="1997"/>
      <c r="Y39" s="1997"/>
      <c r="Z39" s="1997"/>
      <c r="AA39" s="1997"/>
      <c r="AB39" s="1997"/>
      <c r="AC39" s="1997"/>
      <c r="AD39" s="1997"/>
      <c r="AE39" s="1997"/>
      <c r="AF39" s="1997"/>
      <c r="AG39" s="1997"/>
      <c r="AH39" s="1997"/>
      <c r="AI39" s="1997"/>
      <c r="AJ39" s="1997"/>
      <c r="AK39" s="1997"/>
      <c r="AL39" s="1997"/>
      <c r="AM39" s="1997"/>
      <c r="AN39" s="1997"/>
      <c r="AO39" s="1997"/>
      <c r="AP39" s="1997"/>
      <c r="AQ39" s="1997"/>
      <c r="AR39" s="1997"/>
      <c r="AS39" s="1997"/>
      <c r="AT39" s="1997"/>
      <c r="AU39" s="1997"/>
      <c r="AV39" s="1997"/>
      <c r="AW39" s="1997"/>
      <c r="AX39" s="1997"/>
      <c r="AY39" s="1997"/>
      <c r="AZ39" s="1997"/>
      <c r="BA39" s="1997"/>
      <c r="BB39" s="1997"/>
      <c r="BC39" s="1997"/>
      <c r="BD39" s="1997"/>
      <c r="BE39" s="1997"/>
      <c r="BF39" s="1997"/>
      <c r="BG39" s="1997"/>
      <c r="BH39" s="1997"/>
      <c r="BI39" s="1997"/>
      <c r="BJ39" s="1997"/>
      <c r="BK39" s="1997"/>
      <c r="BL39" s="1997"/>
      <c r="BM39" s="1997"/>
      <c r="BN39" s="1997"/>
      <c r="BO39" s="1997"/>
      <c r="BP39" s="1997"/>
      <c r="BQ39" s="1997"/>
      <c r="BR39" s="1997"/>
      <c r="BS39" s="1997"/>
      <c r="BT39" s="1997"/>
      <c r="BU39" s="1997"/>
      <c r="BV39" s="1997"/>
      <c r="BW39" s="1997"/>
      <c r="BX39" s="1997"/>
      <c r="BY39" s="1997"/>
      <c r="BZ39" s="1997"/>
      <c r="CA39" s="1997"/>
      <c r="CB39" s="1997"/>
      <c r="CC39" s="1997"/>
      <c r="CD39" s="1997"/>
      <c r="CE39" s="1997"/>
      <c r="CF39" s="1997"/>
      <c r="CG39" s="1997"/>
      <c r="CH39" s="1997"/>
      <c r="CI39" s="1997"/>
      <c r="CJ39" s="1997"/>
      <c r="CK39" s="1997"/>
      <c r="CL39" s="1997"/>
      <c r="CM39" s="1997"/>
      <c r="CN39" s="1997"/>
      <c r="CO39" s="1997"/>
      <c r="CP39" s="1997"/>
      <c r="CQ39" s="1997"/>
      <c r="CR39" s="1997"/>
      <c r="CS39" s="1997"/>
      <c r="CT39" s="1997"/>
      <c r="CU39" s="1997"/>
      <c r="CV39" s="1997"/>
      <c r="CW39" s="1997"/>
      <c r="CX39" s="1997"/>
      <c r="CY39" s="1997"/>
      <c r="CZ39" s="1997"/>
      <c r="DA39" s="1997"/>
      <c r="DB39" s="1997"/>
      <c r="DC39" s="1997"/>
      <c r="DD39" s="1997"/>
      <c r="DE39" s="1997"/>
      <c r="DF39" s="1997"/>
      <c r="DG39" s="1997"/>
      <c r="DH39" s="1997"/>
      <c r="DI39" s="1997"/>
      <c r="DJ39" s="1997"/>
      <c r="DK39" s="1997"/>
      <c r="DL39" s="1997"/>
      <c r="DM39" s="1997"/>
      <c r="DN39" s="1997"/>
      <c r="DO39" s="1997"/>
      <c r="DP39" s="1997"/>
      <c r="DQ39" s="1997"/>
      <c r="DR39" s="1997"/>
      <c r="DS39" s="1997"/>
      <c r="DT39" s="1997"/>
      <c r="DU39" s="1997"/>
      <c r="DV39" s="1997"/>
      <c r="DW39" s="1997"/>
      <c r="DX39" s="1997"/>
      <c r="DY39" s="1997"/>
      <c r="DZ39" s="1997"/>
      <c r="EA39" s="1997"/>
      <c r="EB39" s="1997"/>
      <c r="EC39" s="1997"/>
      <c r="ED39" s="1997"/>
      <c r="EE39" s="1997"/>
      <c r="EF39" s="1997"/>
      <c r="EG39" s="1997"/>
      <c r="EH39" s="1997"/>
      <c r="EI39" s="1997"/>
      <c r="EJ39" s="1997"/>
      <c r="EK39" s="1997"/>
      <c r="EL39" s="1997"/>
      <c r="EM39" s="1997"/>
      <c r="EN39" s="1997"/>
      <c r="EO39" s="1997"/>
      <c r="EP39" s="1997"/>
      <c r="EQ39" s="1997"/>
      <c r="ER39" s="1997"/>
      <c r="ES39" s="1997"/>
      <c r="ET39" s="1997"/>
      <c r="EU39" s="1997"/>
      <c r="EV39" s="1997"/>
      <c r="EW39" s="1997"/>
      <c r="EX39" s="1997"/>
      <c r="EY39" s="1997"/>
      <c r="EZ39" s="1997"/>
      <c r="FA39" s="1997"/>
      <c r="FB39" s="1997"/>
      <c r="FC39" s="1997"/>
      <c r="FD39" s="1997"/>
      <c r="FE39" s="1997"/>
      <c r="FF39" s="1997"/>
      <c r="FG39" s="1997"/>
      <c r="FH39" s="1997"/>
      <c r="FI39" s="1997"/>
      <c r="FJ39" s="1997"/>
      <c r="FK39" s="1997"/>
      <c r="FL39" s="1997"/>
      <c r="FM39" s="1997"/>
      <c r="FN39" s="1997"/>
      <c r="FO39" s="1997"/>
      <c r="FP39" s="1997"/>
      <c r="FQ39" s="1997"/>
      <c r="FR39" s="1997"/>
      <c r="FS39" s="1997"/>
      <c r="FT39" s="1997"/>
      <c r="FU39" s="1997"/>
      <c r="FV39" s="1997"/>
      <c r="FW39" s="1997"/>
      <c r="FX39" s="1997"/>
      <c r="FY39" s="1997"/>
      <c r="FZ39" s="1997"/>
      <c r="GA39" s="1997"/>
      <c r="GB39" s="1997"/>
      <c r="GC39" s="1997"/>
      <c r="GD39" s="1997"/>
      <c r="GE39" s="1997"/>
      <c r="GF39" s="1997"/>
      <c r="GG39" s="1997"/>
      <c r="GH39" s="1997"/>
      <c r="GI39" s="1997"/>
      <c r="GJ39" s="1997"/>
      <c r="GK39" s="1997"/>
      <c r="GL39" s="1997"/>
      <c r="GM39" s="1997"/>
      <c r="GN39" s="1997"/>
      <c r="GO39" s="1997"/>
      <c r="GP39" s="1997"/>
      <c r="GQ39" s="1997"/>
      <c r="GR39" s="1997"/>
      <c r="GS39" s="1997"/>
      <c r="GT39" s="1997"/>
      <c r="GU39" s="1997"/>
      <c r="GV39" s="1997"/>
      <c r="GW39" s="1997"/>
      <c r="GX39" s="1997"/>
      <c r="GY39" s="1997"/>
      <c r="GZ39" s="1997"/>
      <c r="HA39" s="1997"/>
      <c r="HB39" s="1997"/>
      <c r="HC39" s="1997"/>
      <c r="HD39" s="1997"/>
      <c r="HE39" s="1997"/>
      <c r="HF39" s="1997"/>
      <c r="HG39" s="1997"/>
      <c r="HH39" s="1997"/>
      <c r="HI39" s="1997"/>
      <c r="HJ39" s="1997"/>
      <c r="HK39" s="1997"/>
      <c r="HL39" s="1997"/>
      <c r="HM39" s="1997"/>
      <c r="HN39" s="1997"/>
      <c r="HO39" s="1997"/>
      <c r="HP39" s="1997"/>
      <c r="HQ39" s="1997"/>
      <c r="HR39" s="1997"/>
      <c r="HS39" s="1997"/>
      <c r="HT39" s="1997"/>
      <c r="HU39" s="1997"/>
      <c r="HV39" s="1997"/>
      <c r="HW39" s="1997"/>
      <c r="HX39" s="1997"/>
      <c r="HY39" s="1997"/>
      <c r="HZ39" s="1997"/>
      <c r="IA39" s="1997"/>
      <c r="IB39" s="1997"/>
      <c r="IC39" s="1997"/>
      <c r="ID39" s="1997"/>
      <c r="IE39" s="1997"/>
      <c r="IF39" s="1997"/>
      <c r="IG39" s="1997"/>
      <c r="IH39" s="1997"/>
      <c r="II39" s="1997"/>
      <c r="IJ39" s="1997"/>
      <c r="IK39" s="1997"/>
      <c r="IL39" s="1997"/>
      <c r="IM39" s="1997"/>
      <c r="IN39" s="1997"/>
      <c r="IO39" s="1997"/>
      <c r="IP39" s="1997"/>
      <c r="IQ39" s="1997"/>
    </row>
    <row r="40" spans="1:251" hidden="1">
      <c r="A40" s="1993"/>
      <c r="B40" s="1998"/>
      <c r="C40" s="1998"/>
      <c r="D40" s="2034"/>
      <c r="E40" s="1998"/>
      <c r="F40" s="1940">
        <f t="shared" si="14"/>
        <v>0</v>
      </c>
      <c r="G40" s="1993"/>
      <c r="H40" s="1940">
        <f t="shared" si="15"/>
        <v>0</v>
      </c>
      <c r="I40" s="1993"/>
      <c r="J40" s="1940">
        <f t="shared" si="5"/>
        <v>0</v>
      </c>
      <c r="K40" s="1993"/>
      <c r="L40" s="1940">
        <f t="shared" si="16"/>
        <v>0</v>
      </c>
      <c r="M40" s="1940">
        <f t="shared" si="17"/>
        <v>0</v>
      </c>
      <c r="N40" s="1940">
        <f t="shared" si="18"/>
        <v>0</v>
      </c>
      <c r="O40" s="1993"/>
      <c r="P40" s="1993"/>
      <c r="Q40" s="1940">
        <f t="shared" si="19"/>
        <v>0</v>
      </c>
      <c r="R40" s="1940">
        <f t="shared" si="9"/>
        <v>0</v>
      </c>
      <c r="S40" s="1940">
        <f t="shared" si="20"/>
        <v>0</v>
      </c>
      <c r="T40" s="1940">
        <f t="shared" si="21"/>
        <v>0</v>
      </c>
      <c r="U40" s="1940">
        <f t="shared" si="22"/>
        <v>0</v>
      </c>
      <c r="V40" s="1997"/>
      <c r="W40" s="1997"/>
      <c r="X40" s="1997"/>
      <c r="Y40" s="1997"/>
      <c r="Z40" s="1997"/>
      <c r="AA40" s="1997"/>
      <c r="AB40" s="1997"/>
      <c r="AC40" s="1997"/>
      <c r="AD40" s="1997"/>
      <c r="AE40" s="1997"/>
      <c r="AF40" s="1997"/>
      <c r="AG40" s="1997"/>
      <c r="AH40" s="1997"/>
      <c r="AI40" s="1997"/>
      <c r="AJ40" s="1997"/>
      <c r="AK40" s="1997"/>
      <c r="AL40" s="1997"/>
      <c r="AM40" s="1997"/>
      <c r="AN40" s="1997"/>
      <c r="AO40" s="1997"/>
      <c r="AP40" s="1997"/>
      <c r="AQ40" s="1997"/>
      <c r="AR40" s="1997"/>
      <c r="AS40" s="1997"/>
      <c r="AT40" s="1997"/>
      <c r="AU40" s="1997"/>
      <c r="AV40" s="1997"/>
      <c r="AW40" s="1997"/>
      <c r="AX40" s="1997"/>
      <c r="AY40" s="1997"/>
      <c r="AZ40" s="1997"/>
      <c r="BA40" s="1997"/>
      <c r="BB40" s="1997"/>
      <c r="BC40" s="1997"/>
      <c r="BD40" s="1997"/>
      <c r="BE40" s="1997"/>
      <c r="BF40" s="1997"/>
      <c r="BG40" s="1997"/>
      <c r="BH40" s="1997"/>
      <c r="BI40" s="1997"/>
      <c r="BJ40" s="1997"/>
      <c r="BK40" s="1997"/>
      <c r="BL40" s="1997"/>
      <c r="BM40" s="1997"/>
      <c r="BN40" s="1997"/>
      <c r="BO40" s="1997"/>
      <c r="BP40" s="1997"/>
      <c r="BQ40" s="1997"/>
      <c r="BR40" s="1997"/>
      <c r="BS40" s="1997"/>
      <c r="BT40" s="1997"/>
      <c r="BU40" s="1997"/>
      <c r="BV40" s="1997"/>
      <c r="BW40" s="1997"/>
      <c r="BX40" s="1997"/>
      <c r="BY40" s="1997"/>
      <c r="BZ40" s="1997"/>
      <c r="CA40" s="1997"/>
      <c r="CB40" s="1997"/>
      <c r="CC40" s="1997"/>
      <c r="CD40" s="1997"/>
      <c r="CE40" s="1997"/>
      <c r="CF40" s="1997"/>
      <c r="CG40" s="1997"/>
      <c r="CH40" s="1997"/>
      <c r="CI40" s="1997"/>
      <c r="CJ40" s="1997"/>
      <c r="CK40" s="1997"/>
      <c r="CL40" s="1997"/>
      <c r="CM40" s="1997"/>
      <c r="CN40" s="1997"/>
      <c r="CO40" s="1997"/>
      <c r="CP40" s="1997"/>
      <c r="CQ40" s="1997"/>
      <c r="CR40" s="1997"/>
      <c r="CS40" s="1997"/>
      <c r="CT40" s="1997"/>
      <c r="CU40" s="1997"/>
      <c r="CV40" s="1997"/>
      <c r="CW40" s="1997"/>
      <c r="CX40" s="1997"/>
      <c r="CY40" s="1997"/>
      <c r="CZ40" s="1997"/>
      <c r="DA40" s="1997"/>
      <c r="DB40" s="1997"/>
      <c r="DC40" s="1997"/>
      <c r="DD40" s="1997"/>
      <c r="DE40" s="1997"/>
      <c r="DF40" s="1997"/>
      <c r="DG40" s="1997"/>
      <c r="DH40" s="1997"/>
      <c r="DI40" s="1997"/>
      <c r="DJ40" s="1997"/>
      <c r="DK40" s="1997"/>
      <c r="DL40" s="1997"/>
      <c r="DM40" s="1997"/>
      <c r="DN40" s="1997"/>
      <c r="DO40" s="1997"/>
      <c r="DP40" s="1997"/>
      <c r="DQ40" s="1997"/>
      <c r="DR40" s="1997"/>
      <c r="DS40" s="1997"/>
      <c r="DT40" s="1997"/>
      <c r="DU40" s="1997"/>
      <c r="DV40" s="1997"/>
      <c r="DW40" s="1997"/>
      <c r="DX40" s="1997"/>
      <c r="DY40" s="1997"/>
      <c r="DZ40" s="1997"/>
      <c r="EA40" s="1997"/>
      <c r="EB40" s="1997"/>
      <c r="EC40" s="1997"/>
      <c r="ED40" s="1997"/>
      <c r="EE40" s="1997"/>
      <c r="EF40" s="1997"/>
      <c r="EG40" s="1997"/>
      <c r="EH40" s="1997"/>
      <c r="EI40" s="1997"/>
      <c r="EJ40" s="1997"/>
      <c r="EK40" s="1997"/>
      <c r="EL40" s="1997"/>
      <c r="EM40" s="1997"/>
      <c r="EN40" s="1997"/>
      <c r="EO40" s="1997"/>
      <c r="EP40" s="1997"/>
      <c r="EQ40" s="1997"/>
      <c r="ER40" s="1997"/>
      <c r="ES40" s="1997"/>
      <c r="ET40" s="1997"/>
      <c r="EU40" s="1997"/>
      <c r="EV40" s="1997"/>
      <c r="EW40" s="1997"/>
      <c r="EX40" s="1997"/>
      <c r="EY40" s="1997"/>
      <c r="EZ40" s="1997"/>
      <c r="FA40" s="1997"/>
      <c r="FB40" s="1997"/>
      <c r="FC40" s="1997"/>
      <c r="FD40" s="1997"/>
      <c r="FE40" s="1997"/>
      <c r="FF40" s="1997"/>
      <c r="FG40" s="1997"/>
      <c r="FH40" s="1997"/>
      <c r="FI40" s="1997"/>
      <c r="FJ40" s="1997"/>
      <c r="FK40" s="1997"/>
      <c r="FL40" s="1997"/>
      <c r="FM40" s="1997"/>
      <c r="FN40" s="1997"/>
      <c r="FO40" s="1997"/>
      <c r="FP40" s="1997"/>
      <c r="FQ40" s="1997"/>
      <c r="FR40" s="1997"/>
      <c r="FS40" s="1997"/>
      <c r="FT40" s="1997"/>
      <c r="FU40" s="1997"/>
      <c r="FV40" s="1997"/>
      <c r="FW40" s="1997"/>
      <c r="FX40" s="1997"/>
      <c r="FY40" s="1997"/>
      <c r="FZ40" s="1997"/>
      <c r="GA40" s="1997"/>
      <c r="GB40" s="1997"/>
      <c r="GC40" s="1997"/>
      <c r="GD40" s="1997"/>
      <c r="GE40" s="1997"/>
      <c r="GF40" s="1997"/>
      <c r="GG40" s="1997"/>
      <c r="GH40" s="1997"/>
      <c r="GI40" s="1997"/>
      <c r="GJ40" s="1997"/>
      <c r="GK40" s="1997"/>
      <c r="GL40" s="1997"/>
      <c r="GM40" s="1997"/>
      <c r="GN40" s="1997"/>
      <c r="GO40" s="1997"/>
      <c r="GP40" s="1997"/>
      <c r="GQ40" s="1997"/>
      <c r="GR40" s="1997"/>
      <c r="GS40" s="1997"/>
      <c r="GT40" s="1997"/>
      <c r="GU40" s="1997"/>
      <c r="GV40" s="1997"/>
      <c r="GW40" s="1997"/>
      <c r="GX40" s="1997"/>
      <c r="GY40" s="1997"/>
      <c r="GZ40" s="1997"/>
      <c r="HA40" s="1997"/>
      <c r="HB40" s="1997"/>
      <c r="HC40" s="1997"/>
      <c r="HD40" s="1997"/>
      <c r="HE40" s="1997"/>
      <c r="HF40" s="1997"/>
      <c r="HG40" s="1997"/>
      <c r="HH40" s="1997"/>
      <c r="HI40" s="1997"/>
      <c r="HJ40" s="1997"/>
      <c r="HK40" s="1997"/>
      <c r="HL40" s="1997"/>
      <c r="HM40" s="1997"/>
      <c r="HN40" s="1997"/>
      <c r="HO40" s="1997"/>
      <c r="HP40" s="1997"/>
      <c r="HQ40" s="1997"/>
      <c r="HR40" s="1997"/>
      <c r="HS40" s="1997"/>
      <c r="HT40" s="1997"/>
      <c r="HU40" s="1997"/>
      <c r="HV40" s="1997"/>
      <c r="HW40" s="1997"/>
      <c r="HX40" s="1997"/>
      <c r="HY40" s="1997"/>
      <c r="HZ40" s="1997"/>
      <c r="IA40" s="1997"/>
      <c r="IB40" s="1997"/>
      <c r="IC40" s="1997"/>
      <c r="ID40" s="1997"/>
      <c r="IE40" s="1997"/>
      <c r="IF40" s="1997"/>
      <c r="IG40" s="1997"/>
      <c r="IH40" s="1997"/>
      <c r="II40" s="1997"/>
      <c r="IJ40" s="1997"/>
      <c r="IK40" s="1997"/>
      <c r="IL40" s="1997"/>
      <c r="IM40" s="1997"/>
      <c r="IN40" s="1997"/>
      <c r="IO40" s="1997"/>
      <c r="IP40" s="1997"/>
      <c r="IQ40" s="1997"/>
    </row>
    <row r="41" spans="1:251" hidden="1">
      <c r="A41" s="1993"/>
      <c r="B41" s="1998"/>
      <c r="C41" s="1998"/>
      <c r="D41" s="2034"/>
      <c r="E41" s="1998"/>
      <c r="F41" s="1940">
        <f t="shared" si="14"/>
        <v>0</v>
      </c>
      <c r="G41" s="1993"/>
      <c r="H41" s="1940">
        <f t="shared" si="15"/>
        <v>0</v>
      </c>
      <c r="I41" s="1993"/>
      <c r="J41" s="1940">
        <f t="shared" si="5"/>
        <v>0</v>
      </c>
      <c r="K41" s="1993"/>
      <c r="L41" s="1940">
        <f t="shared" si="16"/>
        <v>0</v>
      </c>
      <c r="M41" s="1940">
        <f t="shared" si="17"/>
        <v>0</v>
      </c>
      <c r="N41" s="1940">
        <f t="shared" si="18"/>
        <v>0</v>
      </c>
      <c r="O41" s="1993"/>
      <c r="P41" s="1993"/>
      <c r="Q41" s="1940">
        <f t="shared" si="19"/>
        <v>0</v>
      </c>
      <c r="R41" s="1940">
        <f t="shared" si="9"/>
        <v>0</v>
      </c>
      <c r="S41" s="1940">
        <f t="shared" si="20"/>
        <v>0</v>
      </c>
      <c r="T41" s="1940">
        <f t="shared" si="21"/>
        <v>0</v>
      </c>
      <c r="U41" s="1940">
        <f t="shared" si="22"/>
        <v>0</v>
      </c>
      <c r="V41" s="1997"/>
      <c r="W41" s="1997"/>
      <c r="X41" s="1997"/>
      <c r="Y41" s="1997"/>
      <c r="Z41" s="1997"/>
      <c r="AA41" s="1997"/>
      <c r="AB41" s="1997"/>
      <c r="AC41" s="1997"/>
      <c r="AD41" s="1997"/>
      <c r="AE41" s="1997"/>
      <c r="AF41" s="1997"/>
      <c r="AG41" s="1997"/>
      <c r="AH41" s="1997"/>
      <c r="AI41" s="1997"/>
      <c r="AJ41" s="1997"/>
      <c r="AK41" s="1997"/>
      <c r="AL41" s="1997"/>
      <c r="AM41" s="1997"/>
      <c r="AN41" s="1997"/>
      <c r="AO41" s="1997"/>
      <c r="AP41" s="1997"/>
      <c r="AQ41" s="1997"/>
      <c r="AR41" s="1997"/>
      <c r="AS41" s="1997"/>
      <c r="AT41" s="1997"/>
      <c r="AU41" s="1997"/>
      <c r="AV41" s="1997"/>
      <c r="AW41" s="1997"/>
      <c r="AX41" s="1997"/>
      <c r="AY41" s="1997"/>
      <c r="AZ41" s="1997"/>
      <c r="BA41" s="1997"/>
      <c r="BB41" s="1997"/>
      <c r="BC41" s="1997"/>
      <c r="BD41" s="1997"/>
      <c r="BE41" s="1997"/>
      <c r="BF41" s="1997"/>
      <c r="BG41" s="1997"/>
      <c r="BH41" s="1997"/>
      <c r="BI41" s="1997"/>
      <c r="BJ41" s="1997"/>
      <c r="BK41" s="1997"/>
      <c r="BL41" s="1997"/>
      <c r="BM41" s="1997"/>
      <c r="BN41" s="1997"/>
      <c r="BO41" s="1997"/>
      <c r="BP41" s="1997"/>
      <c r="BQ41" s="1997"/>
      <c r="BR41" s="1997"/>
      <c r="BS41" s="1997"/>
      <c r="BT41" s="1997"/>
      <c r="BU41" s="1997"/>
      <c r="BV41" s="1997"/>
      <c r="BW41" s="1997"/>
      <c r="BX41" s="1997"/>
      <c r="BY41" s="1997"/>
      <c r="BZ41" s="1997"/>
      <c r="CA41" s="1997"/>
      <c r="CB41" s="1997"/>
      <c r="CC41" s="1997"/>
      <c r="CD41" s="1997"/>
      <c r="CE41" s="1997"/>
      <c r="CF41" s="1997"/>
      <c r="CG41" s="1997"/>
      <c r="CH41" s="1997"/>
      <c r="CI41" s="1997"/>
      <c r="CJ41" s="1997"/>
      <c r="CK41" s="1997"/>
      <c r="CL41" s="1997"/>
      <c r="CM41" s="1997"/>
      <c r="CN41" s="1997"/>
      <c r="CO41" s="1997"/>
      <c r="CP41" s="1997"/>
      <c r="CQ41" s="1997"/>
      <c r="CR41" s="1997"/>
      <c r="CS41" s="1997"/>
      <c r="CT41" s="1997"/>
      <c r="CU41" s="1997"/>
      <c r="CV41" s="1997"/>
      <c r="CW41" s="1997"/>
      <c r="CX41" s="1997"/>
      <c r="CY41" s="1997"/>
      <c r="CZ41" s="1997"/>
      <c r="DA41" s="1997"/>
      <c r="DB41" s="1997"/>
      <c r="DC41" s="1997"/>
      <c r="DD41" s="1997"/>
      <c r="DE41" s="1997"/>
      <c r="DF41" s="1997"/>
      <c r="DG41" s="1997"/>
      <c r="DH41" s="1997"/>
      <c r="DI41" s="1997"/>
      <c r="DJ41" s="1997"/>
      <c r="DK41" s="1997"/>
      <c r="DL41" s="1997"/>
      <c r="DM41" s="1997"/>
      <c r="DN41" s="1997"/>
      <c r="DO41" s="1997"/>
      <c r="DP41" s="1997"/>
      <c r="DQ41" s="1997"/>
      <c r="DR41" s="1997"/>
      <c r="DS41" s="1997"/>
      <c r="DT41" s="1997"/>
      <c r="DU41" s="1997"/>
      <c r="DV41" s="1997"/>
      <c r="DW41" s="1997"/>
      <c r="DX41" s="1997"/>
      <c r="DY41" s="1997"/>
      <c r="DZ41" s="1997"/>
      <c r="EA41" s="1997"/>
      <c r="EB41" s="1997"/>
      <c r="EC41" s="1997"/>
      <c r="ED41" s="1997"/>
      <c r="EE41" s="1997"/>
      <c r="EF41" s="1997"/>
      <c r="EG41" s="1997"/>
      <c r="EH41" s="1997"/>
      <c r="EI41" s="1997"/>
      <c r="EJ41" s="1997"/>
      <c r="EK41" s="1997"/>
      <c r="EL41" s="1997"/>
      <c r="EM41" s="1997"/>
      <c r="EN41" s="1997"/>
      <c r="EO41" s="1997"/>
      <c r="EP41" s="1997"/>
      <c r="EQ41" s="1997"/>
      <c r="ER41" s="1997"/>
      <c r="ES41" s="1997"/>
      <c r="ET41" s="1997"/>
      <c r="EU41" s="1997"/>
      <c r="EV41" s="1997"/>
      <c r="EW41" s="1997"/>
      <c r="EX41" s="1997"/>
      <c r="EY41" s="1997"/>
      <c r="EZ41" s="1997"/>
      <c r="FA41" s="1997"/>
      <c r="FB41" s="1997"/>
      <c r="FC41" s="1997"/>
      <c r="FD41" s="1997"/>
      <c r="FE41" s="1997"/>
      <c r="FF41" s="1997"/>
      <c r="FG41" s="1997"/>
      <c r="FH41" s="1997"/>
      <c r="FI41" s="1997"/>
      <c r="FJ41" s="1997"/>
      <c r="FK41" s="1997"/>
      <c r="FL41" s="1997"/>
      <c r="FM41" s="1997"/>
      <c r="FN41" s="1997"/>
      <c r="FO41" s="1997"/>
      <c r="FP41" s="1997"/>
      <c r="FQ41" s="1997"/>
      <c r="FR41" s="1997"/>
      <c r="FS41" s="1997"/>
      <c r="FT41" s="1997"/>
      <c r="FU41" s="1997"/>
      <c r="FV41" s="1997"/>
      <c r="FW41" s="1997"/>
      <c r="FX41" s="1997"/>
      <c r="FY41" s="1997"/>
      <c r="FZ41" s="1997"/>
      <c r="GA41" s="1997"/>
      <c r="GB41" s="1997"/>
      <c r="GC41" s="1997"/>
      <c r="GD41" s="1997"/>
      <c r="GE41" s="1997"/>
      <c r="GF41" s="1997"/>
      <c r="GG41" s="1997"/>
      <c r="GH41" s="1997"/>
      <c r="GI41" s="1997"/>
      <c r="GJ41" s="1997"/>
      <c r="GK41" s="1997"/>
      <c r="GL41" s="1997"/>
      <c r="GM41" s="1997"/>
      <c r="GN41" s="1997"/>
      <c r="GO41" s="1997"/>
      <c r="GP41" s="1997"/>
      <c r="GQ41" s="1997"/>
      <c r="GR41" s="1997"/>
      <c r="GS41" s="1997"/>
      <c r="GT41" s="1997"/>
      <c r="GU41" s="1997"/>
      <c r="GV41" s="1997"/>
      <c r="GW41" s="1997"/>
      <c r="GX41" s="1997"/>
      <c r="GY41" s="1997"/>
      <c r="GZ41" s="1997"/>
      <c r="HA41" s="1997"/>
      <c r="HB41" s="1997"/>
      <c r="HC41" s="1997"/>
      <c r="HD41" s="1997"/>
      <c r="HE41" s="1997"/>
      <c r="HF41" s="1997"/>
      <c r="HG41" s="1997"/>
      <c r="HH41" s="1997"/>
      <c r="HI41" s="1997"/>
      <c r="HJ41" s="1997"/>
      <c r="HK41" s="1997"/>
      <c r="HL41" s="1997"/>
      <c r="HM41" s="1997"/>
      <c r="HN41" s="1997"/>
      <c r="HO41" s="1997"/>
      <c r="HP41" s="1997"/>
      <c r="HQ41" s="1997"/>
      <c r="HR41" s="1997"/>
      <c r="HS41" s="1997"/>
      <c r="HT41" s="1997"/>
      <c r="HU41" s="1997"/>
      <c r="HV41" s="1997"/>
      <c r="HW41" s="1997"/>
      <c r="HX41" s="1997"/>
      <c r="HY41" s="1997"/>
      <c r="HZ41" s="1997"/>
      <c r="IA41" s="1997"/>
      <c r="IB41" s="1997"/>
      <c r="IC41" s="1997"/>
      <c r="ID41" s="1997"/>
      <c r="IE41" s="1997"/>
      <c r="IF41" s="1997"/>
      <c r="IG41" s="1997"/>
      <c r="IH41" s="1997"/>
      <c r="II41" s="1997"/>
      <c r="IJ41" s="1997"/>
      <c r="IK41" s="1997"/>
      <c r="IL41" s="1997"/>
      <c r="IM41" s="1997"/>
      <c r="IN41" s="1997"/>
      <c r="IO41" s="1997"/>
      <c r="IP41" s="1997"/>
      <c r="IQ41" s="1997"/>
    </row>
    <row r="42" spans="1:251" hidden="1">
      <c r="A42" s="1993"/>
      <c r="B42" s="1998"/>
      <c r="C42" s="1998"/>
      <c r="D42" s="2034"/>
      <c r="E42" s="1998"/>
      <c r="F42" s="1940">
        <f t="shared" si="14"/>
        <v>0</v>
      </c>
      <c r="G42" s="1993"/>
      <c r="H42" s="1940">
        <f t="shared" si="15"/>
        <v>0</v>
      </c>
      <c r="I42" s="1993"/>
      <c r="J42" s="1940">
        <f t="shared" si="5"/>
        <v>0</v>
      </c>
      <c r="K42" s="1993"/>
      <c r="L42" s="1940">
        <f t="shared" si="16"/>
        <v>0</v>
      </c>
      <c r="M42" s="1940">
        <f t="shared" si="17"/>
        <v>0</v>
      </c>
      <c r="N42" s="1940">
        <f t="shared" si="18"/>
        <v>0</v>
      </c>
      <c r="O42" s="1993"/>
      <c r="P42" s="1993"/>
      <c r="Q42" s="1940">
        <f t="shared" si="19"/>
        <v>0</v>
      </c>
      <c r="R42" s="1940">
        <f t="shared" si="9"/>
        <v>0</v>
      </c>
      <c r="S42" s="1940">
        <f t="shared" si="20"/>
        <v>0</v>
      </c>
      <c r="T42" s="1940">
        <f t="shared" si="21"/>
        <v>0</v>
      </c>
      <c r="U42" s="1940">
        <f t="shared" si="22"/>
        <v>0</v>
      </c>
      <c r="V42" s="1997"/>
      <c r="W42" s="1997"/>
      <c r="X42" s="1997"/>
      <c r="Y42" s="1997"/>
      <c r="Z42" s="1997"/>
      <c r="AA42" s="1997"/>
      <c r="AB42" s="1997"/>
      <c r="AC42" s="1997"/>
      <c r="AD42" s="1997"/>
      <c r="AE42" s="1997"/>
      <c r="AF42" s="1997"/>
      <c r="AG42" s="1997"/>
      <c r="AH42" s="1997"/>
      <c r="AI42" s="1997"/>
      <c r="AJ42" s="1997"/>
      <c r="AK42" s="1997"/>
      <c r="AL42" s="1997"/>
      <c r="AM42" s="1997"/>
      <c r="AN42" s="1997"/>
      <c r="AO42" s="1997"/>
      <c r="AP42" s="1997"/>
      <c r="AQ42" s="1997"/>
      <c r="AR42" s="1997"/>
      <c r="AS42" s="1997"/>
      <c r="AT42" s="1997"/>
      <c r="AU42" s="1997"/>
      <c r="AV42" s="1997"/>
      <c r="AW42" s="1997"/>
      <c r="AX42" s="1997"/>
      <c r="AY42" s="1997"/>
      <c r="AZ42" s="1997"/>
      <c r="BA42" s="1997"/>
      <c r="BB42" s="1997"/>
      <c r="BC42" s="1997"/>
      <c r="BD42" s="1997"/>
      <c r="BE42" s="1997"/>
      <c r="BF42" s="1997"/>
      <c r="BG42" s="1997"/>
      <c r="BH42" s="1997"/>
      <c r="BI42" s="1997"/>
      <c r="BJ42" s="1997"/>
      <c r="BK42" s="1997"/>
      <c r="BL42" s="1997"/>
      <c r="BM42" s="1997"/>
      <c r="BN42" s="1997"/>
      <c r="BO42" s="1997"/>
      <c r="BP42" s="1997"/>
      <c r="BQ42" s="1997"/>
      <c r="BR42" s="1997"/>
      <c r="BS42" s="1997"/>
      <c r="BT42" s="1997"/>
      <c r="BU42" s="1997"/>
      <c r="BV42" s="1997"/>
      <c r="BW42" s="1997"/>
      <c r="BX42" s="1997"/>
      <c r="BY42" s="1997"/>
      <c r="BZ42" s="1997"/>
      <c r="CA42" s="1997"/>
      <c r="CB42" s="1997"/>
      <c r="CC42" s="1997"/>
      <c r="CD42" s="1997"/>
      <c r="CE42" s="1997"/>
      <c r="CF42" s="1997"/>
      <c r="CG42" s="1997"/>
      <c r="CH42" s="1997"/>
      <c r="CI42" s="1997"/>
      <c r="CJ42" s="1997"/>
      <c r="CK42" s="1997"/>
      <c r="CL42" s="1997"/>
      <c r="CM42" s="1997"/>
      <c r="CN42" s="1997"/>
      <c r="CO42" s="1997"/>
      <c r="CP42" s="1997"/>
      <c r="CQ42" s="1997"/>
      <c r="CR42" s="1997"/>
      <c r="CS42" s="1997"/>
      <c r="CT42" s="1997"/>
      <c r="CU42" s="1997"/>
      <c r="CV42" s="1997"/>
      <c r="CW42" s="1997"/>
      <c r="CX42" s="1997"/>
      <c r="CY42" s="1997"/>
      <c r="CZ42" s="1997"/>
      <c r="DA42" s="1997"/>
      <c r="DB42" s="1997"/>
      <c r="DC42" s="1997"/>
      <c r="DD42" s="1997"/>
      <c r="DE42" s="1997"/>
      <c r="DF42" s="1997"/>
      <c r="DG42" s="1997"/>
      <c r="DH42" s="1997"/>
      <c r="DI42" s="1997"/>
      <c r="DJ42" s="1997"/>
      <c r="DK42" s="1997"/>
      <c r="DL42" s="1997"/>
      <c r="DM42" s="1997"/>
      <c r="DN42" s="1997"/>
      <c r="DO42" s="1997"/>
      <c r="DP42" s="1997"/>
      <c r="DQ42" s="1997"/>
      <c r="DR42" s="1997"/>
      <c r="DS42" s="1997"/>
      <c r="DT42" s="1997"/>
      <c r="DU42" s="1997"/>
      <c r="DV42" s="1997"/>
      <c r="DW42" s="1997"/>
      <c r="DX42" s="1997"/>
      <c r="DY42" s="1997"/>
      <c r="DZ42" s="1997"/>
      <c r="EA42" s="1997"/>
      <c r="EB42" s="1997"/>
      <c r="EC42" s="1997"/>
      <c r="ED42" s="1997"/>
      <c r="EE42" s="1997"/>
      <c r="EF42" s="1997"/>
      <c r="EG42" s="1997"/>
      <c r="EH42" s="1997"/>
      <c r="EI42" s="1997"/>
      <c r="EJ42" s="1997"/>
      <c r="EK42" s="1997"/>
      <c r="EL42" s="1997"/>
      <c r="EM42" s="1997"/>
      <c r="EN42" s="1997"/>
      <c r="EO42" s="1997"/>
      <c r="EP42" s="1997"/>
      <c r="EQ42" s="1997"/>
      <c r="ER42" s="1997"/>
      <c r="ES42" s="1997"/>
      <c r="ET42" s="1997"/>
      <c r="EU42" s="1997"/>
      <c r="EV42" s="1997"/>
      <c r="EW42" s="1997"/>
      <c r="EX42" s="1997"/>
      <c r="EY42" s="1997"/>
      <c r="EZ42" s="1997"/>
      <c r="FA42" s="1997"/>
      <c r="FB42" s="1997"/>
      <c r="FC42" s="1997"/>
      <c r="FD42" s="1997"/>
      <c r="FE42" s="1997"/>
      <c r="FF42" s="1997"/>
      <c r="FG42" s="1997"/>
      <c r="FH42" s="1997"/>
      <c r="FI42" s="1997"/>
      <c r="FJ42" s="1997"/>
      <c r="FK42" s="1997"/>
      <c r="FL42" s="1997"/>
      <c r="FM42" s="1997"/>
      <c r="FN42" s="1997"/>
      <c r="FO42" s="1997"/>
      <c r="FP42" s="1997"/>
      <c r="FQ42" s="1997"/>
      <c r="FR42" s="1997"/>
      <c r="FS42" s="1997"/>
      <c r="FT42" s="1997"/>
      <c r="FU42" s="1997"/>
      <c r="FV42" s="1997"/>
      <c r="FW42" s="1997"/>
      <c r="FX42" s="1997"/>
      <c r="FY42" s="1997"/>
      <c r="FZ42" s="1997"/>
      <c r="GA42" s="1997"/>
      <c r="GB42" s="1997"/>
      <c r="GC42" s="1997"/>
      <c r="GD42" s="1997"/>
      <c r="GE42" s="1997"/>
      <c r="GF42" s="1997"/>
      <c r="GG42" s="1997"/>
      <c r="GH42" s="1997"/>
      <c r="GI42" s="1997"/>
      <c r="GJ42" s="1997"/>
      <c r="GK42" s="1997"/>
      <c r="GL42" s="1997"/>
      <c r="GM42" s="1997"/>
      <c r="GN42" s="1997"/>
      <c r="GO42" s="1997"/>
      <c r="GP42" s="1997"/>
      <c r="GQ42" s="1997"/>
      <c r="GR42" s="1997"/>
      <c r="GS42" s="1997"/>
      <c r="GT42" s="1997"/>
      <c r="GU42" s="1997"/>
      <c r="GV42" s="1997"/>
      <c r="GW42" s="1997"/>
      <c r="GX42" s="1997"/>
      <c r="GY42" s="1997"/>
      <c r="GZ42" s="1997"/>
      <c r="HA42" s="1997"/>
      <c r="HB42" s="1997"/>
      <c r="HC42" s="1997"/>
      <c r="HD42" s="1997"/>
      <c r="HE42" s="1997"/>
      <c r="HF42" s="1997"/>
      <c r="HG42" s="1997"/>
      <c r="HH42" s="1997"/>
      <c r="HI42" s="1997"/>
      <c r="HJ42" s="1997"/>
      <c r="HK42" s="1997"/>
      <c r="HL42" s="1997"/>
      <c r="HM42" s="1997"/>
      <c r="HN42" s="1997"/>
      <c r="HO42" s="1997"/>
      <c r="HP42" s="1997"/>
      <c r="HQ42" s="1997"/>
      <c r="HR42" s="1997"/>
      <c r="HS42" s="1997"/>
      <c r="HT42" s="1997"/>
      <c r="HU42" s="1997"/>
      <c r="HV42" s="1997"/>
      <c r="HW42" s="1997"/>
      <c r="HX42" s="1997"/>
      <c r="HY42" s="1997"/>
      <c r="HZ42" s="1997"/>
      <c r="IA42" s="1997"/>
      <c r="IB42" s="1997"/>
      <c r="IC42" s="1997"/>
      <c r="ID42" s="1997"/>
      <c r="IE42" s="1997"/>
      <c r="IF42" s="1997"/>
      <c r="IG42" s="1997"/>
      <c r="IH42" s="1997"/>
      <c r="II42" s="1997"/>
      <c r="IJ42" s="1997"/>
      <c r="IK42" s="1997"/>
      <c r="IL42" s="1997"/>
      <c r="IM42" s="1997"/>
      <c r="IN42" s="1997"/>
      <c r="IO42" s="1997"/>
      <c r="IP42" s="1997"/>
      <c r="IQ42" s="1997"/>
    </row>
    <row r="43" spans="1:251" hidden="1">
      <c r="A43" s="1993"/>
      <c r="B43" s="1998"/>
      <c r="C43" s="1998"/>
      <c r="D43" s="2034"/>
      <c r="E43" s="1998"/>
      <c r="F43" s="1940">
        <f t="shared" si="14"/>
        <v>0</v>
      </c>
      <c r="G43" s="1993"/>
      <c r="H43" s="1940">
        <f t="shared" si="15"/>
        <v>0</v>
      </c>
      <c r="I43" s="1993"/>
      <c r="J43" s="1940">
        <f t="shared" si="5"/>
        <v>0</v>
      </c>
      <c r="K43" s="1993"/>
      <c r="L43" s="1940">
        <f t="shared" si="16"/>
        <v>0</v>
      </c>
      <c r="M43" s="1940">
        <f t="shared" si="17"/>
        <v>0</v>
      </c>
      <c r="N43" s="1940">
        <f t="shared" si="18"/>
        <v>0</v>
      </c>
      <c r="O43" s="1993"/>
      <c r="P43" s="1993"/>
      <c r="Q43" s="1940">
        <f t="shared" si="19"/>
        <v>0</v>
      </c>
      <c r="R43" s="1940">
        <f t="shared" si="9"/>
        <v>0</v>
      </c>
      <c r="S43" s="1940">
        <f t="shared" si="20"/>
        <v>0</v>
      </c>
      <c r="T43" s="1940">
        <f t="shared" si="21"/>
        <v>0</v>
      </c>
      <c r="U43" s="1940">
        <f t="shared" si="22"/>
        <v>0</v>
      </c>
      <c r="V43" s="1997"/>
      <c r="W43" s="1997"/>
      <c r="X43" s="1997"/>
      <c r="Y43" s="1997"/>
      <c r="Z43" s="1997"/>
      <c r="AA43" s="1997"/>
      <c r="AB43" s="1997"/>
      <c r="AC43" s="1997"/>
      <c r="AD43" s="1997"/>
      <c r="AE43" s="1997"/>
      <c r="AF43" s="1997"/>
      <c r="AG43" s="1997"/>
      <c r="AH43" s="1997"/>
      <c r="AI43" s="1997"/>
      <c r="AJ43" s="1997"/>
      <c r="AK43" s="1997"/>
      <c r="AL43" s="1997"/>
      <c r="AM43" s="1997"/>
      <c r="AN43" s="1997"/>
      <c r="AO43" s="1997"/>
      <c r="AP43" s="1997"/>
      <c r="AQ43" s="1997"/>
      <c r="AR43" s="1997"/>
      <c r="AS43" s="1997"/>
      <c r="AT43" s="1997"/>
      <c r="AU43" s="1997"/>
      <c r="AV43" s="1997"/>
      <c r="AW43" s="1997"/>
      <c r="AX43" s="1997"/>
      <c r="AY43" s="1997"/>
      <c r="AZ43" s="1997"/>
      <c r="BA43" s="1997"/>
      <c r="BB43" s="1997"/>
      <c r="BC43" s="1997"/>
      <c r="BD43" s="1997"/>
      <c r="BE43" s="1997"/>
      <c r="BF43" s="1997"/>
      <c r="BG43" s="1997"/>
      <c r="BH43" s="1997"/>
      <c r="BI43" s="1997"/>
      <c r="BJ43" s="1997"/>
      <c r="BK43" s="1997"/>
      <c r="BL43" s="1997"/>
      <c r="BM43" s="1997"/>
      <c r="BN43" s="1997"/>
      <c r="BO43" s="1997"/>
      <c r="BP43" s="1997"/>
      <c r="BQ43" s="1997"/>
      <c r="BR43" s="1997"/>
      <c r="BS43" s="1997"/>
      <c r="BT43" s="1997"/>
      <c r="BU43" s="1997"/>
      <c r="BV43" s="1997"/>
      <c r="BW43" s="1997"/>
      <c r="BX43" s="1997"/>
      <c r="BY43" s="1997"/>
      <c r="BZ43" s="1997"/>
      <c r="CA43" s="1997"/>
      <c r="CB43" s="1997"/>
      <c r="CC43" s="1997"/>
      <c r="CD43" s="1997"/>
      <c r="CE43" s="1997"/>
      <c r="CF43" s="1997"/>
      <c r="CG43" s="1997"/>
      <c r="CH43" s="1997"/>
      <c r="CI43" s="1997"/>
      <c r="CJ43" s="1997"/>
      <c r="CK43" s="1997"/>
      <c r="CL43" s="1997"/>
      <c r="CM43" s="1997"/>
      <c r="CN43" s="1997"/>
      <c r="CO43" s="1997"/>
      <c r="CP43" s="1997"/>
      <c r="CQ43" s="1997"/>
      <c r="CR43" s="1997"/>
      <c r="CS43" s="1997"/>
      <c r="CT43" s="1997"/>
      <c r="CU43" s="1997"/>
      <c r="CV43" s="1997"/>
      <c r="CW43" s="1997"/>
      <c r="CX43" s="1997"/>
      <c r="CY43" s="1997"/>
      <c r="CZ43" s="1997"/>
      <c r="DA43" s="1997"/>
      <c r="DB43" s="1997"/>
      <c r="DC43" s="1997"/>
      <c r="DD43" s="1997"/>
      <c r="DE43" s="1997"/>
      <c r="DF43" s="1997"/>
      <c r="DG43" s="1997"/>
      <c r="DH43" s="1997"/>
      <c r="DI43" s="1997"/>
      <c r="DJ43" s="1997"/>
      <c r="DK43" s="1997"/>
      <c r="DL43" s="1997"/>
      <c r="DM43" s="1997"/>
      <c r="DN43" s="1997"/>
      <c r="DO43" s="1997"/>
      <c r="DP43" s="1997"/>
      <c r="DQ43" s="1997"/>
      <c r="DR43" s="1997"/>
      <c r="DS43" s="1997"/>
      <c r="DT43" s="1997"/>
      <c r="DU43" s="1997"/>
      <c r="DV43" s="1997"/>
      <c r="DW43" s="1997"/>
      <c r="DX43" s="1997"/>
      <c r="DY43" s="1997"/>
      <c r="DZ43" s="1997"/>
      <c r="EA43" s="1997"/>
      <c r="EB43" s="1997"/>
      <c r="EC43" s="1997"/>
      <c r="ED43" s="1997"/>
      <c r="EE43" s="1997"/>
      <c r="EF43" s="1997"/>
      <c r="EG43" s="1997"/>
      <c r="EH43" s="1997"/>
      <c r="EI43" s="1997"/>
      <c r="EJ43" s="1997"/>
      <c r="EK43" s="1997"/>
      <c r="EL43" s="1997"/>
      <c r="EM43" s="1997"/>
      <c r="EN43" s="1997"/>
      <c r="EO43" s="1997"/>
      <c r="EP43" s="1997"/>
      <c r="EQ43" s="1997"/>
      <c r="ER43" s="1997"/>
      <c r="ES43" s="1997"/>
      <c r="ET43" s="1997"/>
      <c r="EU43" s="1997"/>
      <c r="EV43" s="1997"/>
      <c r="EW43" s="1997"/>
      <c r="EX43" s="1997"/>
      <c r="EY43" s="1997"/>
      <c r="EZ43" s="1997"/>
      <c r="FA43" s="1997"/>
      <c r="FB43" s="1997"/>
      <c r="FC43" s="1997"/>
      <c r="FD43" s="1997"/>
      <c r="FE43" s="1997"/>
      <c r="FF43" s="1997"/>
      <c r="FG43" s="1997"/>
      <c r="FH43" s="1997"/>
      <c r="FI43" s="1997"/>
      <c r="FJ43" s="1997"/>
      <c r="FK43" s="1997"/>
      <c r="FL43" s="1997"/>
      <c r="FM43" s="1997"/>
      <c r="FN43" s="1997"/>
      <c r="FO43" s="1997"/>
      <c r="FP43" s="1997"/>
      <c r="FQ43" s="1997"/>
      <c r="FR43" s="1997"/>
      <c r="FS43" s="1997"/>
      <c r="FT43" s="1997"/>
      <c r="FU43" s="1997"/>
      <c r="FV43" s="1997"/>
      <c r="FW43" s="1997"/>
      <c r="FX43" s="1997"/>
      <c r="FY43" s="1997"/>
      <c r="FZ43" s="1997"/>
      <c r="GA43" s="1997"/>
      <c r="GB43" s="1997"/>
      <c r="GC43" s="1997"/>
      <c r="GD43" s="1997"/>
      <c r="GE43" s="1997"/>
      <c r="GF43" s="1997"/>
      <c r="GG43" s="1997"/>
      <c r="GH43" s="1997"/>
      <c r="GI43" s="1997"/>
      <c r="GJ43" s="1997"/>
      <c r="GK43" s="1997"/>
      <c r="GL43" s="1997"/>
      <c r="GM43" s="1997"/>
      <c r="GN43" s="1997"/>
      <c r="GO43" s="1997"/>
      <c r="GP43" s="1997"/>
      <c r="GQ43" s="1997"/>
      <c r="GR43" s="1997"/>
      <c r="GS43" s="1997"/>
      <c r="GT43" s="1997"/>
      <c r="GU43" s="1997"/>
      <c r="GV43" s="1997"/>
      <c r="GW43" s="1997"/>
      <c r="GX43" s="1997"/>
      <c r="GY43" s="1997"/>
      <c r="GZ43" s="1997"/>
      <c r="HA43" s="1997"/>
      <c r="HB43" s="1997"/>
      <c r="HC43" s="1997"/>
      <c r="HD43" s="1997"/>
      <c r="HE43" s="1997"/>
      <c r="HF43" s="1997"/>
      <c r="HG43" s="1997"/>
      <c r="HH43" s="1997"/>
      <c r="HI43" s="1997"/>
      <c r="HJ43" s="1997"/>
      <c r="HK43" s="1997"/>
      <c r="HL43" s="1997"/>
      <c r="HM43" s="1997"/>
      <c r="HN43" s="1997"/>
      <c r="HO43" s="1997"/>
      <c r="HP43" s="1997"/>
      <c r="HQ43" s="1997"/>
      <c r="HR43" s="1997"/>
      <c r="HS43" s="1997"/>
      <c r="HT43" s="1997"/>
      <c r="HU43" s="1997"/>
      <c r="HV43" s="1997"/>
      <c r="HW43" s="1997"/>
      <c r="HX43" s="1997"/>
      <c r="HY43" s="1997"/>
      <c r="HZ43" s="1997"/>
      <c r="IA43" s="1997"/>
      <c r="IB43" s="1997"/>
      <c r="IC43" s="1997"/>
      <c r="ID43" s="1997"/>
      <c r="IE43" s="1997"/>
      <c r="IF43" s="1997"/>
      <c r="IG43" s="1997"/>
      <c r="IH43" s="1997"/>
      <c r="II43" s="1997"/>
      <c r="IJ43" s="1997"/>
      <c r="IK43" s="1997"/>
      <c r="IL43" s="1997"/>
      <c r="IM43" s="1997"/>
      <c r="IN43" s="1997"/>
      <c r="IO43" s="1997"/>
      <c r="IP43" s="1997"/>
      <c r="IQ43" s="1997"/>
    </row>
    <row r="44" spans="1:251" hidden="1">
      <c r="A44" s="1993"/>
      <c r="B44" s="1998"/>
      <c r="C44" s="1998"/>
      <c r="D44" s="2034"/>
      <c r="E44" s="1998"/>
      <c r="F44" s="1940">
        <f t="shared" si="14"/>
        <v>0</v>
      </c>
      <c r="G44" s="1993"/>
      <c r="H44" s="1940">
        <f t="shared" si="15"/>
        <v>0</v>
      </c>
      <c r="I44" s="1993"/>
      <c r="J44" s="1940">
        <f t="shared" si="5"/>
        <v>0</v>
      </c>
      <c r="K44" s="1993"/>
      <c r="L44" s="1940">
        <f t="shared" si="16"/>
        <v>0</v>
      </c>
      <c r="M44" s="1940">
        <f t="shared" si="17"/>
        <v>0</v>
      </c>
      <c r="N44" s="1940">
        <f t="shared" si="18"/>
        <v>0</v>
      </c>
      <c r="O44" s="1993"/>
      <c r="P44" s="1993"/>
      <c r="Q44" s="1940">
        <f t="shared" si="19"/>
        <v>0</v>
      </c>
      <c r="R44" s="1940">
        <f t="shared" si="9"/>
        <v>0</v>
      </c>
      <c r="S44" s="1940">
        <f t="shared" si="20"/>
        <v>0</v>
      </c>
      <c r="T44" s="1940">
        <f t="shared" si="21"/>
        <v>0</v>
      </c>
      <c r="U44" s="1940">
        <f t="shared" si="22"/>
        <v>0</v>
      </c>
      <c r="V44" s="1997"/>
      <c r="W44" s="1997"/>
      <c r="X44" s="1997"/>
      <c r="Y44" s="1997"/>
      <c r="Z44" s="1997"/>
      <c r="AA44" s="1997"/>
      <c r="AB44" s="1997"/>
      <c r="AC44" s="1997"/>
      <c r="AD44" s="1997"/>
      <c r="AE44" s="1997"/>
      <c r="AF44" s="1997"/>
      <c r="AG44" s="1997"/>
      <c r="AH44" s="1997"/>
      <c r="AI44" s="1997"/>
      <c r="AJ44" s="1997"/>
      <c r="AK44" s="1997"/>
      <c r="AL44" s="1997"/>
      <c r="AM44" s="1997"/>
      <c r="AN44" s="1997"/>
      <c r="AO44" s="1997"/>
      <c r="AP44" s="1997"/>
      <c r="AQ44" s="1997"/>
      <c r="AR44" s="1997"/>
      <c r="AS44" s="1997"/>
      <c r="AT44" s="1997"/>
      <c r="AU44" s="1997"/>
      <c r="AV44" s="1997"/>
      <c r="AW44" s="1997"/>
      <c r="AX44" s="1997"/>
      <c r="AY44" s="1997"/>
      <c r="AZ44" s="1997"/>
      <c r="BA44" s="1997"/>
      <c r="BB44" s="1997"/>
      <c r="BC44" s="1997"/>
      <c r="BD44" s="1997"/>
      <c r="BE44" s="1997"/>
      <c r="BF44" s="1997"/>
      <c r="BG44" s="1997"/>
      <c r="BH44" s="1997"/>
      <c r="BI44" s="1997"/>
      <c r="BJ44" s="1997"/>
      <c r="BK44" s="1997"/>
      <c r="BL44" s="1997"/>
      <c r="BM44" s="1997"/>
      <c r="BN44" s="1997"/>
      <c r="BO44" s="1997"/>
      <c r="BP44" s="1997"/>
      <c r="BQ44" s="1997"/>
      <c r="BR44" s="1997"/>
      <c r="BS44" s="1997"/>
      <c r="BT44" s="1997"/>
      <c r="BU44" s="1997"/>
      <c r="BV44" s="1997"/>
      <c r="BW44" s="1997"/>
      <c r="BX44" s="1997"/>
      <c r="BY44" s="1997"/>
      <c r="BZ44" s="1997"/>
      <c r="CA44" s="1997"/>
      <c r="CB44" s="1997"/>
      <c r="CC44" s="1997"/>
      <c r="CD44" s="1997"/>
      <c r="CE44" s="1997"/>
      <c r="CF44" s="1997"/>
      <c r="CG44" s="1997"/>
      <c r="CH44" s="1997"/>
      <c r="CI44" s="1997"/>
      <c r="CJ44" s="1997"/>
      <c r="CK44" s="1997"/>
      <c r="CL44" s="1997"/>
      <c r="CM44" s="1997"/>
      <c r="CN44" s="1997"/>
      <c r="CO44" s="1997"/>
      <c r="CP44" s="1997"/>
      <c r="CQ44" s="1997"/>
      <c r="CR44" s="1997"/>
      <c r="CS44" s="1997"/>
      <c r="CT44" s="1997"/>
      <c r="CU44" s="1997"/>
      <c r="CV44" s="1997"/>
      <c r="CW44" s="1997"/>
      <c r="CX44" s="1997"/>
      <c r="CY44" s="1997"/>
      <c r="CZ44" s="1997"/>
      <c r="DA44" s="1997"/>
      <c r="DB44" s="1997"/>
      <c r="DC44" s="1997"/>
      <c r="DD44" s="1997"/>
      <c r="DE44" s="1997"/>
      <c r="DF44" s="1997"/>
      <c r="DG44" s="1997"/>
      <c r="DH44" s="1997"/>
      <c r="DI44" s="1997"/>
      <c r="DJ44" s="1997"/>
      <c r="DK44" s="1997"/>
      <c r="DL44" s="1997"/>
      <c r="DM44" s="1997"/>
      <c r="DN44" s="1997"/>
      <c r="DO44" s="1997"/>
      <c r="DP44" s="1997"/>
      <c r="DQ44" s="1997"/>
      <c r="DR44" s="1997"/>
      <c r="DS44" s="1997"/>
      <c r="DT44" s="1997"/>
      <c r="DU44" s="1997"/>
      <c r="DV44" s="1997"/>
      <c r="DW44" s="1997"/>
      <c r="DX44" s="1997"/>
      <c r="DY44" s="1997"/>
      <c r="DZ44" s="1997"/>
      <c r="EA44" s="1997"/>
      <c r="EB44" s="1997"/>
      <c r="EC44" s="1997"/>
      <c r="ED44" s="1997"/>
      <c r="EE44" s="1997"/>
      <c r="EF44" s="1997"/>
      <c r="EG44" s="1997"/>
      <c r="EH44" s="1997"/>
      <c r="EI44" s="1997"/>
      <c r="EJ44" s="1997"/>
      <c r="EK44" s="1997"/>
      <c r="EL44" s="1997"/>
      <c r="EM44" s="1997"/>
      <c r="EN44" s="1997"/>
      <c r="EO44" s="1997"/>
      <c r="EP44" s="1997"/>
      <c r="EQ44" s="1997"/>
      <c r="ER44" s="1997"/>
      <c r="ES44" s="1997"/>
      <c r="ET44" s="1997"/>
      <c r="EU44" s="1997"/>
      <c r="EV44" s="1997"/>
      <c r="EW44" s="1997"/>
      <c r="EX44" s="1997"/>
      <c r="EY44" s="1997"/>
      <c r="EZ44" s="1997"/>
      <c r="FA44" s="1997"/>
      <c r="FB44" s="1997"/>
      <c r="FC44" s="1997"/>
      <c r="FD44" s="1997"/>
      <c r="FE44" s="1997"/>
      <c r="FF44" s="1997"/>
      <c r="FG44" s="1997"/>
      <c r="FH44" s="1997"/>
      <c r="FI44" s="1997"/>
      <c r="FJ44" s="1997"/>
      <c r="FK44" s="1997"/>
      <c r="FL44" s="1997"/>
      <c r="FM44" s="1997"/>
      <c r="FN44" s="1997"/>
      <c r="FO44" s="1997"/>
      <c r="FP44" s="1997"/>
      <c r="FQ44" s="1997"/>
      <c r="FR44" s="1997"/>
      <c r="FS44" s="1997"/>
      <c r="FT44" s="1997"/>
      <c r="FU44" s="1997"/>
      <c r="FV44" s="1997"/>
      <c r="FW44" s="1997"/>
      <c r="FX44" s="1997"/>
      <c r="FY44" s="1997"/>
      <c r="FZ44" s="1997"/>
      <c r="GA44" s="1997"/>
      <c r="GB44" s="1997"/>
      <c r="GC44" s="1997"/>
      <c r="GD44" s="1997"/>
      <c r="GE44" s="1997"/>
      <c r="GF44" s="1997"/>
      <c r="GG44" s="1997"/>
      <c r="GH44" s="1997"/>
      <c r="GI44" s="1997"/>
      <c r="GJ44" s="1997"/>
      <c r="GK44" s="1997"/>
      <c r="GL44" s="1997"/>
      <c r="GM44" s="1997"/>
      <c r="GN44" s="1997"/>
      <c r="GO44" s="1997"/>
      <c r="GP44" s="1997"/>
      <c r="GQ44" s="1997"/>
      <c r="GR44" s="1997"/>
      <c r="GS44" s="1997"/>
      <c r="GT44" s="1997"/>
      <c r="GU44" s="1997"/>
      <c r="GV44" s="1997"/>
      <c r="GW44" s="1997"/>
      <c r="GX44" s="1997"/>
      <c r="GY44" s="1997"/>
      <c r="GZ44" s="1997"/>
      <c r="HA44" s="1997"/>
      <c r="HB44" s="1997"/>
      <c r="HC44" s="1997"/>
      <c r="HD44" s="1997"/>
      <c r="HE44" s="1997"/>
      <c r="HF44" s="1997"/>
      <c r="HG44" s="1997"/>
      <c r="HH44" s="1997"/>
      <c r="HI44" s="1997"/>
      <c r="HJ44" s="1997"/>
      <c r="HK44" s="1997"/>
      <c r="HL44" s="1997"/>
      <c r="HM44" s="1997"/>
      <c r="HN44" s="1997"/>
      <c r="HO44" s="1997"/>
      <c r="HP44" s="1997"/>
      <c r="HQ44" s="1997"/>
      <c r="HR44" s="1997"/>
      <c r="HS44" s="1997"/>
      <c r="HT44" s="1997"/>
      <c r="HU44" s="1997"/>
      <c r="HV44" s="1997"/>
      <c r="HW44" s="1997"/>
      <c r="HX44" s="1997"/>
      <c r="HY44" s="1997"/>
      <c r="HZ44" s="1997"/>
      <c r="IA44" s="1997"/>
      <c r="IB44" s="1997"/>
      <c r="IC44" s="1997"/>
      <c r="ID44" s="1997"/>
      <c r="IE44" s="1997"/>
      <c r="IF44" s="1997"/>
      <c r="IG44" s="1997"/>
      <c r="IH44" s="1997"/>
      <c r="II44" s="1997"/>
      <c r="IJ44" s="1997"/>
      <c r="IK44" s="1997"/>
      <c r="IL44" s="1997"/>
      <c r="IM44" s="1997"/>
      <c r="IN44" s="1997"/>
      <c r="IO44" s="1997"/>
      <c r="IP44" s="1997"/>
      <c r="IQ44" s="1997"/>
    </row>
    <row r="45" spans="1:251" hidden="1">
      <c r="A45" s="1993"/>
      <c r="B45" s="1998"/>
      <c r="C45" s="1998"/>
      <c r="D45" s="2034"/>
      <c r="E45" s="1998"/>
      <c r="F45" s="1940">
        <f t="shared" si="14"/>
        <v>0</v>
      </c>
      <c r="G45" s="1993"/>
      <c r="H45" s="1940">
        <f t="shared" si="15"/>
        <v>0</v>
      </c>
      <c r="I45" s="1993"/>
      <c r="J45" s="1940">
        <f t="shared" si="5"/>
        <v>0</v>
      </c>
      <c r="K45" s="1993"/>
      <c r="L45" s="1940">
        <f t="shared" si="16"/>
        <v>0</v>
      </c>
      <c r="M45" s="1940">
        <f t="shared" si="17"/>
        <v>0</v>
      </c>
      <c r="N45" s="1940">
        <f t="shared" si="18"/>
        <v>0</v>
      </c>
      <c r="O45" s="1993"/>
      <c r="P45" s="1993"/>
      <c r="Q45" s="1940">
        <f t="shared" si="19"/>
        <v>0</v>
      </c>
      <c r="R45" s="1940">
        <f t="shared" si="9"/>
        <v>0</v>
      </c>
      <c r="S45" s="1940">
        <f t="shared" si="20"/>
        <v>0</v>
      </c>
      <c r="T45" s="1940">
        <f t="shared" si="21"/>
        <v>0</v>
      </c>
      <c r="U45" s="1940">
        <f t="shared" si="22"/>
        <v>0</v>
      </c>
      <c r="V45" s="1997"/>
      <c r="W45" s="1997"/>
      <c r="X45" s="1997"/>
      <c r="Y45" s="1997"/>
      <c r="Z45" s="1997"/>
      <c r="AA45" s="1997"/>
      <c r="AB45" s="1997"/>
      <c r="AC45" s="1997"/>
      <c r="AD45" s="1997"/>
      <c r="AE45" s="1997"/>
      <c r="AF45" s="1997"/>
      <c r="AG45" s="1997"/>
      <c r="AH45" s="1997"/>
      <c r="AI45" s="1997"/>
      <c r="AJ45" s="1997"/>
      <c r="AK45" s="1997"/>
      <c r="AL45" s="1997"/>
      <c r="AM45" s="1997"/>
      <c r="AN45" s="1997"/>
      <c r="AO45" s="1997"/>
      <c r="AP45" s="1997"/>
      <c r="AQ45" s="1997"/>
      <c r="AR45" s="1997"/>
      <c r="AS45" s="1997"/>
      <c r="AT45" s="1997"/>
      <c r="AU45" s="1997"/>
      <c r="AV45" s="1997"/>
      <c r="AW45" s="1997"/>
      <c r="AX45" s="1997"/>
      <c r="AY45" s="1997"/>
      <c r="AZ45" s="1997"/>
      <c r="BA45" s="1997"/>
      <c r="BB45" s="1997"/>
      <c r="BC45" s="1997"/>
      <c r="BD45" s="1997"/>
      <c r="BE45" s="1997"/>
      <c r="BF45" s="1997"/>
      <c r="BG45" s="1997"/>
      <c r="BH45" s="1997"/>
      <c r="BI45" s="1997"/>
      <c r="BJ45" s="1997"/>
      <c r="BK45" s="1997"/>
      <c r="BL45" s="1997"/>
      <c r="BM45" s="1997"/>
      <c r="BN45" s="1997"/>
      <c r="BO45" s="1997"/>
      <c r="BP45" s="1997"/>
      <c r="BQ45" s="1997"/>
      <c r="BR45" s="1997"/>
      <c r="BS45" s="1997"/>
      <c r="BT45" s="1997"/>
      <c r="BU45" s="1997"/>
      <c r="BV45" s="1997"/>
      <c r="BW45" s="1997"/>
      <c r="BX45" s="1997"/>
      <c r="BY45" s="1997"/>
      <c r="BZ45" s="1997"/>
      <c r="CA45" s="1997"/>
      <c r="CB45" s="1997"/>
      <c r="CC45" s="1997"/>
      <c r="CD45" s="1997"/>
      <c r="CE45" s="1997"/>
      <c r="CF45" s="1997"/>
      <c r="CG45" s="1997"/>
      <c r="CH45" s="1997"/>
      <c r="CI45" s="1997"/>
      <c r="CJ45" s="1997"/>
      <c r="CK45" s="1997"/>
      <c r="CL45" s="1997"/>
      <c r="CM45" s="1997"/>
      <c r="CN45" s="1997"/>
      <c r="CO45" s="1997"/>
      <c r="CP45" s="1997"/>
      <c r="CQ45" s="1997"/>
      <c r="CR45" s="1997"/>
      <c r="CS45" s="1997"/>
      <c r="CT45" s="1997"/>
      <c r="CU45" s="1997"/>
      <c r="CV45" s="1997"/>
      <c r="CW45" s="1997"/>
      <c r="CX45" s="1997"/>
      <c r="CY45" s="1997"/>
      <c r="CZ45" s="1997"/>
      <c r="DA45" s="1997"/>
      <c r="DB45" s="1997"/>
      <c r="DC45" s="1997"/>
      <c r="DD45" s="1997"/>
      <c r="DE45" s="1997"/>
      <c r="DF45" s="1997"/>
      <c r="DG45" s="1997"/>
      <c r="DH45" s="1997"/>
      <c r="DI45" s="1997"/>
      <c r="DJ45" s="1997"/>
      <c r="DK45" s="1997"/>
      <c r="DL45" s="1997"/>
      <c r="DM45" s="1997"/>
      <c r="DN45" s="1997"/>
      <c r="DO45" s="1997"/>
      <c r="DP45" s="1997"/>
      <c r="DQ45" s="1997"/>
      <c r="DR45" s="1997"/>
      <c r="DS45" s="1997"/>
      <c r="DT45" s="1997"/>
      <c r="DU45" s="1997"/>
      <c r="DV45" s="1997"/>
      <c r="DW45" s="1997"/>
      <c r="DX45" s="1997"/>
      <c r="DY45" s="1997"/>
      <c r="DZ45" s="1997"/>
      <c r="EA45" s="1997"/>
      <c r="EB45" s="1997"/>
      <c r="EC45" s="1997"/>
      <c r="ED45" s="1997"/>
      <c r="EE45" s="1997"/>
      <c r="EF45" s="1997"/>
      <c r="EG45" s="1997"/>
      <c r="EH45" s="1997"/>
      <c r="EI45" s="1997"/>
      <c r="EJ45" s="1997"/>
      <c r="EK45" s="1997"/>
      <c r="EL45" s="1997"/>
      <c r="EM45" s="1997"/>
      <c r="EN45" s="1997"/>
      <c r="EO45" s="1997"/>
      <c r="EP45" s="1997"/>
      <c r="EQ45" s="1997"/>
      <c r="ER45" s="1997"/>
      <c r="ES45" s="1997"/>
      <c r="ET45" s="1997"/>
      <c r="EU45" s="1997"/>
      <c r="EV45" s="1997"/>
      <c r="EW45" s="1997"/>
      <c r="EX45" s="1997"/>
      <c r="EY45" s="1997"/>
      <c r="EZ45" s="1997"/>
      <c r="FA45" s="1997"/>
      <c r="FB45" s="1997"/>
      <c r="FC45" s="1997"/>
      <c r="FD45" s="1997"/>
      <c r="FE45" s="1997"/>
      <c r="FF45" s="1997"/>
      <c r="FG45" s="1997"/>
      <c r="FH45" s="1997"/>
      <c r="FI45" s="1997"/>
      <c r="FJ45" s="1997"/>
      <c r="FK45" s="1997"/>
      <c r="FL45" s="1997"/>
      <c r="FM45" s="1997"/>
      <c r="FN45" s="1997"/>
      <c r="FO45" s="1997"/>
      <c r="FP45" s="1997"/>
      <c r="FQ45" s="1997"/>
      <c r="FR45" s="1997"/>
      <c r="FS45" s="1997"/>
      <c r="FT45" s="1997"/>
      <c r="FU45" s="1997"/>
      <c r="FV45" s="1997"/>
      <c r="FW45" s="1997"/>
      <c r="FX45" s="1997"/>
      <c r="FY45" s="1997"/>
      <c r="FZ45" s="1997"/>
      <c r="GA45" s="1997"/>
      <c r="GB45" s="1997"/>
      <c r="GC45" s="1997"/>
      <c r="GD45" s="1997"/>
      <c r="GE45" s="1997"/>
      <c r="GF45" s="1997"/>
      <c r="GG45" s="1997"/>
      <c r="GH45" s="1997"/>
      <c r="GI45" s="1997"/>
      <c r="GJ45" s="1997"/>
      <c r="GK45" s="1997"/>
      <c r="GL45" s="1997"/>
      <c r="GM45" s="1997"/>
      <c r="GN45" s="1997"/>
      <c r="GO45" s="1997"/>
      <c r="GP45" s="1997"/>
      <c r="GQ45" s="1997"/>
      <c r="GR45" s="1997"/>
      <c r="GS45" s="1997"/>
      <c r="GT45" s="1997"/>
      <c r="GU45" s="1997"/>
      <c r="GV45" s="1997"/>
      <c r="GW45" s="1997"/>
      <c r="GX45" s="1997"/>
      <c r="GY45" s="1997"/>
      <c r="GZ45" s="1997"/>
      <c r="HA45" s="1997"/>
      <c r="HB45" s="1997"/>
      <c r="HC45" s="1997"/>
      <c r="HD45" s="1997"/>
      <c r="HE45" s="1997"/>
      <c r="HF45" s="1997"/>
      <c r="HG45" s="1997"/>
      <c r="HH45" s="1997"/>
      <c r="HI45" s="1997"/>
      <c r="HJ45" s="1997"/>
      <c r="HK45" s="1997"/>
      <c r="HL45" s="1997"/>
      <c r="HM45" s="1997"/>
      <c r="HN45" s="1997"/>
      <c r="HO45" s="1997"/>
      <c r="HP45" s="1997"/>
      <c r="HQ45" s="1997"/>
      <c r="HR45" s="1997"/>
      <c r="HS45" s="1997"/>
      <c r="HT45" s="1997"/>
      <c r="HU45" s="1997"/>
      <c r="HV45" s="1997"/>
      <c r="HW45" s="1997"/>
      <c r="HX45" s="1997"/>
      <c r="HY45" s="1997"/>
      <c r="HZ45" s="1997"/>
      <c r="IA45" s="1997"/>
      <c r="IB45" s="1997"/>
      <c r="IC45" s="1997"/>
      <c r="ID45" s="1997"/>
      <c r="IE45" s="1997"/>
      <c r="IF45" s="1997"/>
      <c r="IG45" s="1997"/>
      <c r="IH45" s="1997"/>
      <c r="II45" s="1997"/>
      <c r="IJ45" s="1997"/>
      <c r="IK45" s="1997"/>
      <c r="IL45" s="1997"/>
      <c r="IM45" s="1997"/>
      <c r="IN45" s="1997"/>
      <c r="IO45" s="1997"/>
      <c r="IP45" s="1997"/>
      <c r="IQ45" s="1997"/>
    </row>
    <row r="46" spans="1:251" hidden="1">
      <c r="A46" s="1993"/>
      <c r="B46" s="1998"/>
      <c r="C46" s="1998"/>
      <c r="D46" s="2034"/>
      <c r="E46" s="1998"/>
      <c r="F46" s="1940">
        <f t="shared" si="14"/>
        <v>0</v>
      </c>
      <c r="G46" s="1993"/>
      <c r="H46" s="1940">
        <f t="shared" si="15"/>
        <v>0</v>
      </c>
      <c r="I46" s="1993"/>
      <c r="J46" s="1940">
        <f t="shared" si="5"/>
        <v>0</v>
      </c>
      <c r="K46" s="1993"/>
      <c r="L46" s="1940">
        <f t="shared" si="16"/>
        <v>0</v>
      </c>
      <c r="M46" s="1940">
        <f t="shared" si="17"/>
        <v>0</v>
      </c>
      <c r="N46" s="1940">
        <f t="shared" si="18"/>
        <v>0</v>
      </c>
      <c r="O46" s="1993"/>
      <c r="P46" s="1993"/>
      <c r="Q46" s="1940">
        <f t="shared" si="19"/>
        <v>0</v>
      </c>
      <c r="R46" s="1940">
        <f t="shared" si="9"/>
        <v>0</v>
      </c>
      <c r="S46" s="1940">
        <f t="shared" si="20"/>
        <v>0</v>
      </c>
      <c r="T46" s="1940">
        <f t="shared" si="21"/>
        <v>0</v>
      </c>
      <c r="U46" s="1940">
        <f t="shared" si="22"/>
        <v>0</v>
      </c>
      <c r="V46" s="1997"/>
      <c r="W46" s="1997"/>
      <c r="X46" s="1997"/>
      <c r="Y46" s="1997"/>
      <c r="Z46" s="1997"/>
      <c r="AA46" s="1997"/>
      <c r="AB46" s="1997"/>
      <c r="AC46" s="1997"/>
      <c r="AD46" s="1997"/>
      <c r="AE46" s="1997"/>
      <c r="AF46" s="1997"/>
      <c r="AG46" s="1997"/>
      <c r="AH46" s="1997"/>
      <c r="AI46" s="1997"/>
      <c r="AJ46" s="1997"/>
      <c r="AK46" s="1997"/>
      <c r="AL46" s="1997"/>
      <c r="AM46" s="1997"/>
      <c r="AN46" s="1997"/>
      <c r="AO46" s="1997"/>
      <c r="AP46" s="1997"/>
      <c r="AQ46" s="1997"/>
      <c r="AR46" s="1997"/>
      <c r="AS46" s="1997"/>
      <c r="AT46" s="1997"/>
      <c r="AU46" s="1997"/>
      <c r="AV46" s="1997"/>
      <c r="AW46" s="1997"/>
      <c r="AX46" s="1997"/>
      <c r="AY46" s="1997"/>
      <c r="AZ46" s="1997"/>
      <c r="BA46" s="1997"/>
      <c r="BB46" s="1997"/>
      <c r="BC46" s="1997"/>
      <c r="BD46" s="1997"/>
      <c r="BE46" s="1997"/>
      <c r="BF46" s="1997"/>
      <c r="BG46" s="1997"/>
      <c r="BH46" s="1997"/>
      <c r="BI46" s="1997"/>
      <c r="BJ46" s="1997"/>
      <c r="BK46" s="1997"/>
      <c r="BL46" s="1997"/>
      <c r="BM46" s="1997"/>
      <c r="BN46" s="1997"/>
      <c r="BO46" s="1997"/>
      <c r="BP46" s="1997"/>
      <c r="BQ46" s="1997"/>
      <c r="BR46" s="1997"/>
      <c r="BS46" s="1997"/>
      <c r="BT46" s="1997"/>
      <c r="BU46" s="1997"/>
      <c r="BV46" s="1997"/>
      <c r="BW46" s="1997"/>
      <c r="BX46" s="1997"/>
      <c r="BY46" s="1997"/>
      <c r="BZ46" s="1997"/>
      <c r="CA46" s="1997"/>
      <c r="CB46" s="1997"/>
      <c r="CC46" s="1997"/>
      <c r="CD46" s="1997"/>
      <c r="CE46" s="1997"/>
      <c r="CF46" s="1997"/>
      <c r="CG46" s="1997"/>
      <c r="CH46" s="1997"/>
      <c r="CI46" s="1997"/>
      <c r="CJ46" s="1997"/>
      <c r="CK46" s="1997"/>
      <c r="CL46" s="1997"/>
      <c r="CM46" s="1997"/>
      <c r="CN46" s="1997"/>
      <c r="CO46" s="1997"/>
      <c r="CP46" s="1997"/>
      <c r="CQ46" s="1997"/>
      <c r="CR46" s="1997"/>
      <c r="CS46" s="1997"/>
      <c r="CT46" s="1997"/>
      <c r="CU46" s="1997"/>
      <c r="CV46" s="1997"/>
      <c r="CW46" s="1997"/>
      <c r="CX46" s="1997"/>
      <c r="CY46" s="1997"/>
      <c r="CZ46" s="1997"/>
      <c r="DA46" s="1997"/>
      <c r="DB46" s="1997"/>
      <c r="DC46" s="1997"/>
      <c r="DD46" s="1997"/>
      <c r="DE46" s="1997"/>
      <c r="DF46" s="1997"/>
      <c r="DG46" s="1997"/>
      <c r="DH46" s="1997"/>
      <c r="DI46" s="1997"/>
      <c r="DJ46" s="1997"/>
      <c r="DK46" s="1997"/>
      <c r="DL46" s="1997"/>
      <c r="DM46" s="1997"/>
      <c r="DN46" s="1997"/>
      <c r="DO46" s="1997"/>
      <c r="DP46" s="1997"/>
      <c r="DQ46" s="1997"/>
      <c r="DR46" s="1997"/>
      <c r="DS46" s="1997"/>
      <c r="DT46" s="1997"/>
      <c r="DU46" s="1997"/>
      <c r="DV46" s="1997"/>
      <c r="DW46" s="1997"/>
      <c r="DX46" s="1997"/>
      <c r="DY46" s="1997"/>
      <c r="DZ46" s="1997"/>
      <c r="EA46" s="1997"/>
      <c r="EB46" s="1997"/>
      <c r="EC46" s="1997"/>
      <c r="ED46" s="1997"/>
      <c r="EE46" s="1997"/>
      <c r="EF46" s="1997"/>
      <c r="EG46" s="1997"/>
      <c r="EH46" s="1997"/>
      <c r="EI46" s="1997"/>
      <c r="EJ46" s="1997"/>
      <c r="EK46" s="1997"/>
      <c r="EL46" s="1997"/>
      <c r="EM46" s="1997"/>
      <c r="EN46" s="1997"/>
      <c r="EO46" s="1997"/>
      <c r="EP46" s="1997"/>
      <c r="EQ46" s="1997"/>
      <c r="ER46" s="1997"/>
      <c r="ES46" s="1997"/>
      <c r="ET46" s="1997"/>
      <c r="EU46" s="1997"/>
      <c r="EV46" s="1997"/>
      <c r="EW46" s="1997"/>
      <c r="EX46" s="1997"/>
      <c r="EY46" s="1997"/>
      <c r="EZ46" s="1997"/>
      <c r="FA46" s="1997"/>
      <c r="FB46" s="1997"/>
      <c r="FC46" s="1997"/>
      <c r="FD46" s="1997"/>
      <c r="FE46" s="1997"/>
      <c r="FF46" s="1997"/>
      <c r="FG46" s="1997"/>
      <c r="FH46" s="1997"/>
      <c r="FI46" s="1997"/>
      <c r="FJ46" s="1997"/>
      <c r="FK46" s="1997"/>
      <c r="FL46" s="1997"/>
      <c r="FM46" s="1997"/>
      <c r="FN46" s="1997"/>
      <c r="FO46" s="1997"/>
      <c r="FP46" s="1997"/>
      <c r="FQ46" s="1997"/>
      <c r="FR46" s="1997"/>
      <c r="FS46" s="1997"/>
      <c r="FT46" s="1997"/>
      <c r="FU46" s="1997"/>
      <c r="FV46" s="1997"/>
      <c r="FW46" s="1997"/>
      <c r="FX46" s="1997"/>
      <c r="FY46" s="1997"/>
      <c r="FZ46" s="1997"/>
      <c r="GA46" s="1997"/>
      <c r="GB46" s="1997"/>
      <c r="GC46" s="1997"/>
      <c r="GD46" s="1997"/>
      <c r="GE46" s="1997"/>
      <c r="GF46" s="1997"/>
      <c r="GG46" s="1997"/>
      <c r="GH46" s="1997"/>
      <c r="GI46" s="1997"/>
      <c r="GJ46" s="1997"/>
      <c r="GK46" s="1997"/>
      <c r="GL46" s="1997"/>
      <c r="GM46" s="1997"/>
      <c r="GN46" s="1997"/>
      <c r="GO46" s="1997"/>
      <c r="GP46" s="1997"/>
      <c r="GQ46" s="1997"/>
      <c r="GR46" s="1997"/>
      <c r="GS46" s="1997"/>
      <c r="GT46" s="1997"/>
      <c r="GU46" s="1997"/>
      <c r="GV46" s="1997"/>
      <c r="GW46" s="1997"/>
      <c r="GX46" s="1997"/>
      <c r="GY46" s="1997"/>
      <c r="GZ46" s="1997"/>
      <c r="HA46" s="1997"/>
      <c r="HB46" s="1997"/>
      <c r="HC46" s="1997"/>
      <c r="HD46" s="1997"/>
      <c r="HE46" s="1997"/>
      <c r="HF46" s="1997"/>
      <c r="HG46" s="1997"/>
      <c r="HH46" s="1997"/>
      <c r="HI46" s="1997"/>
      <c r="HJ46" s="1997"/>
      <c r="HK46" s="1997"/>
      <c r="HL46" s="1997"/>
      <c r="HM46" s="1997"/>
      <c r="HN46" s="1997"/>
      <c r="HO46" s="1997"/>
      <c r="HP46" s="1997"/>
      <c r="HQ46" s="1997"/>
      <c r="HR46" s="1997"/>
      <c r="HS46" s="1997"/>
      <c r="HT46" s="1997"/>
      <c r="HU46" s="1997"/>
      <c r="HV46" s="1997"/>
      <c r="HW46" s="1997"/>
      <c r="HX46" s="1997"/>
      <c r="HY46" s="1997"/>
      <c r="HZ46" s="1997"/>
      <c r="IA46" s="1997"/>
      <c r="IB46" s="1997"/>
      <c r="IC46" s="1997"/>
      <c r="ID46" s="1997"/>
      <c r="IE46" s="1997"/>
      <c r="IF46" s="1997"/>
      <c r="IG46" s="1997"/>
      <c r="IH46" s="1997"/>
      <c r="II46" s="1997"/>
      <c r="IJ46" s="1997"/>
      <c r="IK46" s="1997"/>
      <c r="IL46" s="1997"/>
      <c r="IM46" s="1997"/>
      <c r="IN46" s="1997"/>
      <c r="IO46" s="1997"/>
      <c r="IP46" s="1997"/>
      <c r="IQ46" s="1997"/>
    </row>
    <row r="47" spans="1:251" hidden="1">
      <c r="A47" s="1993"/>
      <c r="B47" s="1998"/>
      <c r="C47" s="1998"/>
      <c r="D47" s="2034"/>
      <c r="E47" s="1998"/>
      <c r="F47" s="1940">
        <f>ROUNDUP((E47*$Q$5),-3)</f>
        <v>0</v>
      </c>
      <c r="G47" s="1993"/>
      <c r="H47" s="1940">
        <f>D47*F47*G47</f>
        <v>0</v>
      </c>
      <c r="I47" s="1993"/>
      <c r="J47" s="1940">
        <f>I47*$Q$4</f>
        <v>0</v>
      </c>
      <c r="K47" s="1993"/>
      <c r="L47" s="1940">
        <f>K47*F47</f>
        <v>0</v>
      </c>
      <c r="M47" s="1940">
        <f>D47*G47*(J47+L47)</f>
        <v>0</v>
      </c>
      <c r="N47" s="1940">
        <f>H47+M47</f>
        <v>0</v>
      </c>
      <c r="O47" s="1993"/>
      <c r="P47" s="1993"/>
      <c r="Q47" s="1940">
        <f>N47+O47+P47</f>
        <v>0</v>
      </c>
      <c r="R47" s="1940">
        <f>Q47*10%</f>
        <v>0</v>
      </c>
      <c r="S47" s="1940">
        <f>(Q47-R47)*10%</f>
        <v>0</v>
      </c>
      <c r="T47" s="1940">
        <f>(Q47-R47)*6%</f>
        <v>0</v>
      </c>
      <c r="U47" s="1940">
        <f>(Q47-R47)*5%</f>
        <v>0</v>
      </c>
      <c r="V47" s="1997"/>
      <c r="W47" s="1997"/>
      <c r="X47" s="1997"/>
      <c r="Y47" s="1997"/>
      <c r="Z47" s="1997"/>
      <c r="AA47" s="1997"/>
      <c r="AB47" s="1997"/>
      <c r="AC47" s="1997"/>
      <c r="AD47" s="1997"/>
      <c r="AE47" s="1997"/>
      <c r="AF47" s="1997"/>
      <c r="AG47" s="1997"/>
      <c r="AH47" s="1997"/>
      <c r="AI47" s="1997"/>
      <c r="AJ47" s="1997"/>
      <c r="AK47" s="1997"/>
      <c r="AL47" s="1997"/>
      <c r="AM47" s="1997"/>
      <c r="AN47" s="1997"/>
      <c r="AO47" s="1997"/>
      <c r="AP47" s="1997"/>
      <c r="AQ47" s="1997"/>
      <c r="AR47" s="1997"/>
      <c r="AS47" s="1997"/>
      <c r="AT47" s="1997"/>
      <c r="AU47" s="1997"/>
      <c r="AV47" s="1997"/>
      <c r="AW47" s="1997"/>
      <c r="AX47" s="1997"/>
      <c r="AY47" s="1997"/>
      <c r="AZ47" s="1997"/>
      <c r="BA47" s="1997"/>
      <c r="BB47" s="1997"/>
      <c r="BC47" s="1997"/>
      <c r="BD47" s="1997"/>
      <c r="BE47" s="1997"/>
      <c r="BF47" s="1997"/>
      <c r="BG47" s="1997"/>
      <c r="BH47" s="1997"/>
      <c r="BI47" s="1997"/>
      <c r="BJ47" s="1997"/>
      <c r="BK47" s="1997"/>
      <c r="BL47" s="1997"/>
      <c r="BM47" s="1997"/>
      <c r="BN47" s="1997"/>
      <c r="BO47" s="1997"/>
      <c r="BP47" s="1997"/>
      <c r="BQ47" s="1997"/>
      <c r="BR47" s="1997"/>
      <c r="BS47" s="1997"/>
      <c r="BT47" s="1997"/>
      <c r="BU47" s="1997"/>
      <c r="BV47" s="1997"/>
      <c r="BW47" s="1997"/>
      <c r="BX47" s="1997"/>
      <c r="BY47" s="1997"/>
      <c r="BZ47" s="1997"/>
      <c r="CA47" s="1997"/>
      <c r="CB47" s="1997"/>
      <c r="CC47" s="1997"/>
      <c r="CD47" s="1997"/>
      <c r="CE47" s="1997"/>
      <c r="CF47" s="1997"/>
      <c r="CG47" s="1997"/>
      <c r="CH47" s="1997"/>
      <c r="CI47" s="1997"/>
      <c r="CJ47" s="1997"/>
      <c r="CK47" s="1997"/>
      <c r="CL47" s="1997"/>
      <c r="CM47" s="1997"/>
      <c r="CN47" s="1997"/>
      <c r="CO47" s="1997"/>
      <c r="CP47" s="1997"/>
      <c r="CQ47" s="1997"/>
      <c r="CR47" s="1997"/>
      <c r="CS47" s="1997"/>
      <c r="CT47" s="1997"/>
      <c r="CU47" s="1997"/>
      <c r="CV47" s="1997"/>
      <c r="CW47" s="1997"/>
      <c r="CX47" s="1997"/>
      <c r="CY47" s="1997"/>
      <c r="CZ47" s="1997"/>
      <c r="DA47" s="1997"/>
      <c r="DB47" s="1997"/>
      <c r="DC47" s="1997"/>
      <c r="DD47" s="1997"/>
      <c r="DE47" s="1997"/>
      <c r="DF47" s="1997"/>
      <c r="DG47" s="1997"/>
      <c r="DH47" s="1997"/>
      <c r="DI47" s="1997"/>
      <c r="DJ47" s="1997"/>
      <c r="DK47" s="1997"/>
      <c r="DL47" s="1997"/>
      <c r="DM47" s="1997"/>
      <c r="DN47" s="1997"/>
      <c r="DO47" s="1997"/>
      <c r="DP47" s="1997"/>
      <c r="DQ47" s="1997"/>
      <c r="DR47" s="1997"/>
      <c r="DS47" s="1997"/>
      <c r="DT47" s="1997"/>
      <c r="DU47" s="1997"/>
      <c r="DV47" s="1997"/>
      <c r="DW47" s="1997"/>
      <c r="DX47" s="1997"/>
      <c r="DY47" s="1997"/>
      <c r="DZ47" s="1997"/>
      <c r="EA47" s="1997"/>
      <c r="EB47" s="1997"/>
      <c r="EC47" s="1997"/>
      <c r="ED47" s="1997"/>
      <c r="EE47" s="1997"/>
      <c r="EF47" s="1997"/>
      <c r="EG47" s="1997"/>
      <c r="EH47" s="1997"/>
      <c r="EI47" s="1997"/>
      <c r="EJ47" s="1997"/>
      <c r="EK47" s="1997"/>
      <c r="EL47" s="1997"/>
      <c r="EM47" s="1997"/>
      <c r="EN47" s="1997"/>
      <c r="EO47" s="1997"/>
      <c r="EP47" s="1997"/>
      <c r="EQ47" s="1997"/>
      <c r="ER47" s="1997"/>
      <c r="ES47" s="1997"/>
      <c r="ET47" s="1997"/>
      <c r="EU47" s="1997"/>
      <c r="EV47" s="1997"/>
      <c r="EW47" s="1997"/>
      <c r="EX47" s="1997"/>
      <c r="EY47" s="1997"/>
      <c r="EZ47" s="1997"/>
      <c r="FA47" s="1997"/>
      <c r="FB47" s="1997"/>
      <c r="FC47" s="1997"/>
      <c r="FD47" s="1997"/>
      <c r="FE47" s="1997"/>
      <c r="FF47" s="1997"/>
      <c r="FG47" s="1997"/>
      <c r="FH47" s="1997"/>
      <c r="FI47" s="1997"/>
      <c r="FJ47" s="1997"/>
      <c r="FK47" s="1997"/>
      <c r="FL47" s="1997"/>
      <c r="FM47" s="1997"/>
      <c r="FN47" s="1997"/>
      <c r="FO47" s="1997"/>
      <c r="FP47" s="1997"/>
      <c r="FQ47" s="1997"/>
      <c r="FR47" s="1997"/>
      <c r="FS47" s="1997"/>
      <c r="FT47" s="1997"/>
      <c r="FU47" s="1997"/>
      <c r="FV47" s="1997"/>
      <c r="FW47" s="1997"/>
      <c r="FX47" s="1997"/>
      <c r="FY47" s="1997"/>
      <c r="FZ47" s="1997"/>
      <c r="GA47" s="1997"/>
      <c r="GB47" s="1997"/>
      <c r="GC47" s="1997"/>
      <c r="GD47" s="1997"/>
      <c r="GE47" s="1997"/>
      <c r="GF47" s="1997"/>
      <c r="GG47" s="1997"/>
      <c r="GH47" s="1997"/>
      <c r="GI47" s="1997"/>
      <c r="GJ47" s="1997"/>
      <c r="GK47" s="1997"/>
      <c r="GL47" s="1997"/>
      <c r="GM47" s="1997"/>
      <c r="GN47" s="1997"/>
      <c r="GO47" s="1997"/>
      <c r="GP47" s="1997"/>
      <c r="GQ47" s="1997"/>
      <c r="GR47" s="1997"/>
      <c r="GS47" s="1997"/>
      <c r="GT47" s="1997"/>
      <c r="GU47" s="1997"/>
      <c r="GV47" s="1997"/>
      <c r="GW47" s="1997"/>
      <c r="GX47" s="1997"/>
      <c r="GY47" s="1997"/>
      <c r="GZ47" s="1997"/>
      <c r="HA47" s="1997"/>
      <c r="HB47" s="1997"/>
      <c r="HC47" s="1997"/>
      <c r="HD47" s="1997"/>
      <c r="HE47" s="1997"/>
      <c r="HF47" s="1997"/>
      <c r="HG47" s="1997"/>
      <c r="HH47" s="1997"/>
      <c r="HI47" s="1997"/>
      <c r="HJ47" s="1997"/>
      <c r="HK47" s="1997"/>
      <c r="HL47" s="1997"/>
      <c r="HM47" s="1997"/>
      <c r="HN47" s="1997"/>
      <c r="HO47" s="1997"/>
      <c r="HP47" s="1997"/>
      <c r="HQ47" s="1997"/>
      <c r="HR47" s="1997"/>
      <c r="HS47" s="1997"/>
      <c r="HT47" s="1997"/>
      <c r="HU47" s="1997"/>
      <c r="HV47" s="1997"/>
      <c r="HW47" s="1997"/>
      <c r="HX47" s="1997"/>
      <c r="HY47" s="1997"/>
      <c r="HZ47" s="1997"/>
      <c r="IA47" s="1997"/>
      <c r="IB47" s="1997"/>
      <c r="IC47" s="1997"/>
      <c r="ID47" s="1997"/>
      <c r="IE47" s="1997"/>
      <c r="IF47" s="1997"/>
      <c r="IG47" s="1997"/>
      <c r="IH47" s="1997"/>
      <c r="II47" s="1997"/>
      <c r="IJ47" s="1997"/>
      <c r="IK47" s="1997"/>
      <c r="IL47" s="1997"/>
      <c r="IM47" s="1997"/>
      <c r="IN47" s="1997"/>
      <c r="IO47" s="1997"/>
      <c r="IP47" s="1997"/>
      <c r="IQ47" s="1997"/>
    </row>
    <row r="48" spans="1:251" hidden="1">
      <c r="A48" s="1993"/>
      <c r="B48" s="1998"/>
      <c r="C48" s="1998"/>
      <c r="D48" s="2034"/>
      <c r="E48" s="1998"/>
      <c r="F48" s="1940">
        <f t="shared" si="14"/>
        <v>0</v>
      </c>
      <c r="G48" s="1993"/>
      <c r="H48" s="1940">
        <f t="shared" ref="H48:H63" si="23">D48*F48*G48</f>
        <v>0</v>
      </c>
      <c r="I48" s="1993"/>
      <c r="J48" s="1940">
        <f t="shared" si="5"/>
        <v>0</v>
      </c>
      <c r="K48" s="1993"/>
      <c r="L48" s="1940">
        <f t="shared" ref="L48:L63" si="24">K48*F48</f>
        <v>0</v>
      </c>
      <c r="M48" s="1940">
        <f t="shared" ref="M48:M63" si="25">D48*G48*(J48+L48)</f>
        <v>0</v>
      </c>
      <c r="N48" s="1940">
        <f t="shared" ref="N48:N63" si="26">H48+M48</f>
        <v>0</v>
      </c>
      <c r="O48" s="1993"/>
      <c r="P48" s="1993"/>
      <c r="Q48" s="1940">
        <f t="shared" ref="Q48:Q63" si="27">N48+O48+P48</f>
        <v>0</v>
      </c>
      <c r="R48" s="1940">
        <f t="shared" si="9"/>
        <v>0</v>
      </c>
      <c r="S48" s="1940">
        <f t="shared" ref="S48:S63" si="28">(Q48-R48)*10%</f>
        <v>0</v>
      </c>
      <c r="T48" s="1940">
        <f t="shared" ref="T48:T63" si="29">(Q48-R48)*6%</f>
        <v>0</v>
      </c>
      <c r="U48" s="1940">
        <f t="shared" ref="U48:U63" si="30">(Q48-R48)*5%</f>
        <v>0</v>
      </c>
      <c r="V48" s="1997"/>
      <c r="W48" s="1997"/>
      <c r="X48" s="1997"/>
      <c r="Y48" s="1997"/>
      <c r="Z48" s="1997"/>
      <c r="AA48" s="1997"/>
      <c r="AB48" s="1997"/>
      <c r="AC48" s="1997"/>
      <c r="AD48" s="1997"/>
      <c r="AE48" s="1997"/>
      <c r="AF48" s="1997"/>
      <c r="AG48" s="1997"/>
      <c r="AH48" s="1997"/>
      <c r="AI48" s="1997"/>
      <c r="AJ48" s="1997"/>
      <c r="AK48" s="1997"/>
      <c r="AL48" s="1997"/>
      <c r="AM48" s="1997"/>
      <c r="AN48" s="1997"/>
      <c r="AO48" s="1997"/>
      <c r="AP48" s="1997"/>
      <c r="AQ48" s="1997"/>
      <c r="AR48" s="1997"/>
      <c r="AS48" s="1997"/>
      <c r="AT48" s="1997"/>
      <c r="AU48" s="1997"/>
      <c r="AV48" s="1997"/>
      <c r="AW48" s="1997"/>
      <c r="AX48" s="1997"/>
      <c r="AY48" s="1997"/>
      <c r="AZ48" s="1997"/>
      <c r="BA48" s="1997"/>
      <c r="BB48" s="1997"/>
      <c r="BC48" s="1997"/>
      <c r="BD48" s="1997"/>
      <c r="BE48" s="1997"/>
      <c r="BF48" s="1997"/>
      <c r="BG48" s="1997"/>
      <c r="BH48" s="1997"/>
      <c r="BI48" s="1997"/>
      <c r="BJ48" s="1997"/>
      <c r="BK48" s="1997"/>
      <c r="BL48" s="1997"/>
      <c r="BM48" s="1997"/>
      <c r="BN48" s="1997"/>
      <c r="BO48" s="1997"/>
      <c r="BP48" s="1997"/>
      <c r="BQ48" s="1997"/>
      <c r="BR48" s="1997"/>
      <c r="BS48" s="1997"/>
      <c r="BT48" s="1997"/>
      <c r="BU48" s="1997"/>
      <c r="BV48" s="1997"/>
      <c r="BW48" s="1997"/>
      <c r="BX48" s="1997"/>
      <c r="BY48" s="1997"/>
      <c r="BZ48" s="1997"/>
      <c r="CA48" s="1997"/>
      <c r="CB48" s="1997"/>
      <c r="CC48" s="1997"/>
      <c r="CD48" s="1997"/>
      <c r="CE48" s="1997"/>
      <c r="CF48" s="1997"/>
      <c r="CG48" s="1997"/>
      <c r="CH48" s="1997"/>
      <c r="CI48" s="1997"/>
      <c r="CJ48" s="1997"/>
      <c r="CK48" s="1997"/>
      <c r="CL48" s="1997"/>
      <c r="CM48" s="1997"/>
      <c r="CN48" s="1997"/>
      <c r="CO48" s="1997"/>
      <c r="CP48" s="1997"/>
      <c r="CQ48" s="1997"/>
      <c r="CR48" s="1997"/>
      <c r="CS48" s="1997"/>
      <c r="CT48" s="1997"/>
      <c r="CU48" s="1997"/>
      <c r="CV48" s="1997"/>
      <c r="CW48" s="1997"/>
      <c r="CX48" s="1997"/>
      <c r="CY48" s="1997"/>
      <c r="CZ48" s="1997"/>
      <c r="DA48" s="1997"/>
      <c r="DB48" s="1997"/>
      <c r="DC48" s="1997"/>
      <c r="DD48" s="1997"/>
      <c r="DE48" s="1997"/>
      <c r="DF48" s="1997"/>
      <c r="DG48" s="1997"/>
      <c r="DH48" s="1997"/>
      <c r="DI48" s="1997"/>
      <c r="DJ48" s="1997"/>
      <c r="DK48" s="1997"/>
      <c r="DL48" s="1997"/>
      <c r="DM48" s="1997"/>
      <c r="DN48" s="1997"/>
      <c r="DO48" s="1997"/>
      <c r="DP48" s="1997"/>
      <c r="DQ48" s="1997"/>
      <c r="DR48" s="1997"/>
      <c r="DS48" s="1997"/>
      <c r="DT48" s="1997"/>
      <c r="DU48" s="1997"/>
      <c r="DV48" s="1997"/>
      <c r="DW48" s="1997"/>
      <c r="DX48" s="1997"/>
      <c r="DY48" s="1997"/>
      <c r="DZ48" s="1997"/>
      <c r="EA48" s="1997"/>
      <c r="EB48" s="1997"/>
      <c r="EC48" s="1997"/>
      <c r="ED48" s="1997"/>
      <c r="EE48" s="1997"/>
      <c r="EF48" s="1997"/>
      <c r="EG48" s="1997"/>
      <c r="EH48" s="1997"/>
      <c r="EI48" s="1997"/>
      <c r="EJ48" s="1997"/>
      <c r="EK48" s="1997"/>
      <c r="EL48" s="1997"/>
      <c r="EM48" s="1997"/>
      <c r="EN48" s="1997"/>
      <c r="EO48" s="1997"/>
      <c r="EP48" s="1997"/>
      <c r="EQ48" s="1997"/>
      <c r="ER48" s="1997"/>
      <c r="ES48" s="1997"/>
      <c r="ET48" s="1997"/>
      <c r="EU48" s="1997"/>
      <c r="EV48" s="1997"/>
      <c r="EW48" s="1997"/>
      <c r="EX48" s="1997"/>
      <c r="EY48" s="1997"/>
      <c r="EZ48" s="1997"/>
      <c r="FA48" s="1997"/>
      <c r="FB48" s="1997"/>
      <c r="FC48" s="1997"/>
      <c r="FD48" s="1997"/>
      <c r="FE48" s="1997"/>
      <c r="FF48" s="1997"/>
      <c r="FG48" s="1997"/>
      <c r="FH48" s="1997"/>
      <c r="FI48" s="1997"/>
      <c r="FJ48" s="1997"/>
      <c r="FK48" s="1997"/>
      <c r="FL48" s="1997"/>
      <c r="FM48" s="1997"/>
      <c r="FN48" s="1997"/>
      <c r="FO48" s="1997"/>
      <c r="FP48" s="1997"/>
      <c r="FQ48" s="1997"/>
      <c r="FR48" s="1997"/>
      <c r="FS48" s="1997"/>
      <c r="FT48" s="1997"/>
      <c r="FU48" s="1997"/>
      <c r="FV48" s="1997"/>
      <c r="FW48" s="1997"/>
      <c r="FX48" s="1997"/>
      <c r="FY48" s="1997"/>
      <c r="FZ48" s="1997"/>
      <c r="GA48" s="1997"/>
      <c r="GB48" s="1997"/>
      <c r="GC48" s="1997"/>
      <c r="GD48" s="1997"/>
      <c r="GE48" s="1997"/>
      <c r="GF48" s="1997"/>
      <c r="GG48" s="1997"/>
      <c r="GH48" s="1997"/>
      <c r="GI48" s="1997"/>
      <c r="GJ48" s="1997"/>
      <c r="GK48" s="1997"/>
      <c r="GL48" s="1997"/>
      <c r="GM48" s="1997"/>
      <c r="GN48" s="1997"/>
      <c r="GO48" s="1997"/>
      <c r="GP48" s="1997"/>
      <c r="GQ48" s="1997"/>
      <c r="GR48" s="1997"/>
      <c r="GS48" s="1997"/>
      <c r="GT48" s="1997"/>
      <c r="GU48" s="1997"/>
      <c r="GV48" s="1997"/>
      <c r="GW48" s="1997"/>
      <c r="GX48" s="1997"/>
      <c r="GY48" s="1997"/>
      <c r="GZ48" s="1997"/>
      <c r="HA48" s="1997"/>
      <c r="HB48" s="1997"/>
      <c r="HC48" s="1997"/>
      <c r="HD48" s="1997"/>
      <c r="HE48" s="1997"/>
      <c r="HF48" s="1997"/>
      <c r="HG48" s="1997"/>
      <c r="HH48" s="1997"/>
      <c r="HI48" s="1997"/>
      <c r="HJ48" s="1997"/>
      <c r="HK48" s="1997"/>
      <c r="HL48" s="1997"/>
      <c r="HM48" s="1997"/>
      <c r="HN48" s="1997"/>
      <c r="HO48" s="1997"/>
      <c r="HP48" s="1997"/>
      <c r="HQ48" s="1997"/>
      <c r="HR48" s="1997"/>
      <c r="HS48" s="1997"/>
      <c r="HT48" s="1997"/>
      <c r="HU48" s="1997"/>
      <c r="HV48" s="1997"/>
      <c r="HW48" s="1997"/>
      <c r="HX48" s="1997"/>
      <c r="HY48" s="1997"/>
      <c r="HZ48" s="1997"/>
      <c r="IA48" s="1997"/>
      <c r="IB48" s="1997"/>
      <c r="IC48" s="1997"/>
      <c r="ID48" s="1997"/>
      <c r="IE48" s="1997"/>
      <c r="IF48" s="1997"/>
      <c r="IG48" s="1997"/>
      <c r="IH48" s="1997"/>
      <c r="II48" s="1997"/>
      <c r="IJ48" s="1997"/>
      <c r="IK48" s="1997"/>
      <c r="IL48" s="1997"/>
      <c r="IM48" s="1997"/>
      <c r="IN48" s="1997"/>
      <c r="IO48" s="1997"/>
      <c r="IP48" s="1997"/>
      <c r="IQ48" s="1997"/>
    </row>
    <row r="49" spans="1:251" hidden="1">
      <c r="A49" s="1993"/>
      <c r="B49" s="1998"/>
      <c r="C49" s="1998"/>
      <c r="D49" s="2034"/>
      <c r="E49" s="1998"/>
      <c r="F49" s="1940">
        <f t="shared" si="14"/>
        <v>0</v>
      </c>
      <c r="G49" s="1993"/>
      <c r="H49" s="1940">
        <f t="shared" si="23"/>
        <v>0</v>
      </c>
      <c r="I49" s="1993"/>
      <c r="J49" s="1940">
        <f t="shared" si="5"/>
        <v>0</v>
      </c>
      <c r="K49" s="1993"/>
      <c r="L49" s="1940">
        <f t="shared" si="24"/>
        <v>0</v>
      </c>
      <c r="M49" s="1940">
        <f t="shared" si="25"/>
        <v>0</v>
      </c>
      <c r="N49" s="1940">
        <f t="shared" si="26"/>
        <v>0</v>
      </c>
      <c r="O49" s="1993"/>
      <c r="P49" s="1993"/>
      <c r="Q49" s="1940">
        <f t="shared" si="27"/>
        <v>0</v>
      </c>
      <c r="R49" s="1940">
        <f t="shared" si="9"/>
        <v>0</v>
      </c>
      <c r="S49" s="1940">
        <f t="shared" si="28"/>
        <v>0</v>
      </c>
      <c r="T49" s="1940">
        <f t="shared" si="29"/>
        <v>0</v>
      </c>
      <c r="U49" s="1940">
        <f t="shared" si="30"/>
        <v>0</v>
      </c>
      <c r="V49" s="1997"/>
      <c r="W49" s="1997"/>
      <c r="X49" s="1997"/>
      <c r="Y49" s="1997"/>
      <c r="Z49" s="1997"/>
      <c r="AA49" s="1997"/>
      <c r="AB49" s="1997"/>
      <c r="AC49" s="1997"/>
      <c r="AD49" s="1997"/>
      <c r="AE49" s="1997"/>
      <c r="AF49" s="1997"/>
      <c r="AG49" s="1997"/>
      <c r="AH49" s="1997"/>
      <c r="AI49" s="1997"/>
      <c r="AJ49" s="1997"/>
      <c r="AK49" s="1997"/>
      <c r="AL49" s="1997"/>
      <c r="AM49" s="1997"/>
      <c r="AN49" s="1997"/>
      <c r="AO49" s="1997"/>
      <c r="AP49" s="1997"/>
      <c r="AQ49" s="1997"/>
      <c r="AR49" s="1997"/>
      <c r="AS49" s="1997"/>
      <c r="AT49" s="1997"/>
      <c r="AU49" s="1997"/>
      <c r="AV49" s="1997"/>
      <c r="AW49" s="1997"/>
      <c r="AX49" s="1997"/>
      <c r="AY49" s="1997"/>
      <c r="AZ49" s="1997"/>
      <c r="BA49" s="1997"/>
      <c r="BB49" s="1997"/>
      <c r="BC49" s="1997"/>
      <c r="BD49" s="1997"/>
      <c r="BE49" s="1997"/>
      <c r="BF49" s="1997"/>
      <c r="BG49" s="1997"/>
      <c r="BH49" s="1997"/>
      <c r="BI49" s="1997"/>
      <c r="BJ49" s="1997"/>
      <c r="BK49" s="1997"/>
      <c r="BL49" s="1997"/>
      <c r="BM49" s="1997"/>
      <c r="BN49" s="1997"/>
      <c r="BO49" s="1997"/>
      <c r="BP49" s="1997"/>
      <c r="BQ49" s="1997"/>
      <c r="BR49" s="1997"/>
      <c r="BS49" s="1997"/>
      <c r="BT49" s="1997"/>
      <c r="BU49" s="1997"/>
      <c r="BV49" s="1997"/>
      <c r="BW49" s="1997"/>
      <c r="BX49" s="1997"/>
      <c r="BY49" s="1997"/>
      <c r="BZ49" s="1997"/>
      <c r="CA49" s="1997"/>
      <c r="CB49" s="1997"/>
      <c r="CC49" s="1997"/>
      <c r="CD49" s="1997"/>
      <c r="CE49" s="1997"/>
      <c r="CF49" s="1997"/>
      <c r="CG49" s="1997"/>
      <c r="CH49" s="1997"/>
      <c r="CI49" s="1997"/>
      <c r="CJ49" s="1997"/>
      <c r="CK49" s="1997"/>
      <c r="CL49" s="1997"/>
      <c r="CM49" s="1997"/>
      <c r="CN49" s="1997"/>
      <c r="CO49" s="1997"/>
      <c r="CP49" s="1997"/>
      <c r="CQ49" s="1997"/>
      <c r="CR49" s="1997"/>
      <c r="CS49" s="1997"/>
      <c r="CT49" s="1997"/>
      <c r="CU49" s="1997"/>
      <c r="CV49" s="1997"/>
      <c r="CW49" s="1997"/>
      <c r="CX49" s="1997"/>
      <c r="CY49" s="1997"/>
      <c r="CZ49" s="1997"/>
      <c r="DA49" s="1997"/>
      <c r="DB49" s="1997"/>
      <c r="DC49" s="1997"/>
      <c r="DD49" s="1997"/>
      <c r="DE49" s="1997"/>
      <c r="DF49" s="1997"/>
      <c r="DG49" s="1997"/>
      <c r="DH49" s="1997"/>
      <c r="DI49" s="1997"/>
      <c r="DJ49" s="1997"/>
      <c r="DK49" s="1997"/>
      <c r="DL49" s="1997"/>
      <c r="DM49" s="1997"/>
      <c r="DN49" s="1997"/>
      <c r="DO49" s="1997"/>
      <c r="DP49" s="1997"/>
      <c r="DQ49" s="1997"/>
      <c r="DR49" s="1997"/>
      <c r="DS49" s="1997"/>
      <c r="DT49" s="1997"/>
      <c r="DU49" s="1997"/>
      <c r="DV49" s="1997"/>
      <c r="DW49" s="1997"/>
      <c r="DX49" s="1997"/>
      <c r="DY49" s="1997"/>
      <c r="DZ49" s="1997"/>
      <c r="EA49" s="1997"/>
      <c r="EB49" s="1997"/>
      <c r="EC49" s="1997"/>
      <c r="ED49" s="1997"/>
      <c r="EE49" s="1997"/>
      <c r="EF49" s="1997"/>
      <c r="EG49" s="1997"/>
      <c r="EH49" s="1997"/>
      <c r="EI49" s="1997"/>
      <c r="EJ49" s="1997"/>
      <c r="EK49" s="1997"/>
      <c r="EL49" s="1997"/>
      <c r="EM49" s="1997"/>
      <c r="EN49" s="1997"/>
      <c r="EO49" s="1997"/>
      <c r="EP49" s="1997"/>
      <c r="EQ49" s="1997"/>
      <c r="ER49" s="1997"/>
      <c r="ES49" s="1997"/>
      <c r="ET49" s="1997"/>
      <c r="EU49" s="1997"/>
      <c r="EV49" s="1997"/>
      <c r="EW49" s="1997"/>
      <c r="EX49" s="1997"/>
      <c r="EY49" s="1997"/>
      <c r="EZ49" s="1997"/>
      <c r="FA49" s="1997"/>
      <c r="FB49" s="1997"/>
      <c r="FC49" s="1997"/>
      <c r="FD49" s="1997"/>
      <c r="FE49" s="1997"/>
      <c r="FF49" s="1997"/>
      <c r="FG49" s="1997"/>
      <c r="FH49" s="1997"/>
      <c r="FI49" s="1997"/>
      <c r="FJ49" s="1997"/>
      <c r="FK49" s="1997"/>
      <c r="FL49" s="1997"/>
      <c r="FM49" s="1997"/>
      <c r="FN49" s="1997"/>
      <c r="FO49" s="1997"/>
      <c r="FP49" s="1997"/>
      <c r="FQ49" s="1997"/>
      <c r="FR49" s="1997"/>
      <c r="FS49" s="1997"/>
      <c r="FT49" s="1997"/>
      <c r="FU49" s="1997"/>
      <c r="FV49" s="1997"/>
      <c r="FW49" s="1997"/>
      <c r="FX49" s="1997"/>
      <c r="FY49" s="1997"/>
      <c r="FZ49" s="1997"/>
      <c r="GA49" s="1997"/>
      <c r="GB49" s="1997"/>
      <c r="GC49" s="1997"/>
      <c r="GD49" s="1997"/>
      <c r="GE49" s="1997"/>
      <c r="GF49" s="1997"/>
      <c r="GG49" s="1997"/>
      <c r="GH49" s="1997"/>
      <c r="GI49" s="1997"/>
      <c r="GJ49" s="1997"/>
      <c r="GK49" s="1997"/>
      <c r="GL49" s="1997"/>
      <c r="GM49" s="1997"/>
      <c r="GN49" s="1997"/>
      <c r="GO49" s="1997"/>
      <c r="GP49" s="1997"/>
      <c r="GQ49" s="1997"/>
      <c r="GR49" s="1997"/>
      <c r="GS49" s="1997"/>
      <c r="GT49" s="1997"/>
      <c r="GU49" s="1997"/>
      <c r="GV49" s="1997"/>
      <c r="GW49" s="1997"/>
      <c r="GX49" s="1997"/>
      <c r="GY49" s="1997"/>
      <c r="GZ49" s="1997"/>
      <c r="HA49" s="1997"/>
      <c r="HB49" s="1997"/>
      <c r="HC49" s="1997"/>
      <c r="HD49" s="1997"/>
      <c r="HE49" s="1997"/>
      <c r="HF49" s="1997"/>
      <c r="HG49" s="1997"/>
      <c r="HH49" s="1997"/>
      <c r="HI49" s="1997"/>
      <c r="HJ49" s="1997"/>
      <c r="HK49" s="1997"/>
      <c r="HL49" s="1997"/>
      <c r="HM49" s="1997"/>
      <c r="HN49" s="1997"/>
      <c r="HO49" s="1997"/>
      <c r="HP49" s="1997"/>
      <c r="HQ49" s="1997"/>
      <c r="HR49" s="1997"/>
      <c r="HS49" s="1997"/>
      <c r="HT49" s="1997"/>
      <c r="HU49" s="1997"/>
      <c r="HV49" s="1997"/>
      <c r="HW49" s="1997"/>
      <c r="HX49" s="1997"/>
      <c r="HY49" s="1997"/>
      <c r="HZ49" s="1997"/>
      <c r="IA49" s="1997"/>
      <c r="IB49" s="1997"/>
      <c r="IC49" s="1997"/>
      <c r="ID49" s="1997"/>
      <c r="IE49" s="1997"/>
      <c r="IF49" s="1997"/>
      <c r="IG49" s="1997"/>
      <c r="IH49" s="1997"/>
      <c r="II49" s="1997"/>
      <c r="IJ49" s="1997"/>
      <c r="IK49" s="1997"/>
      <c r="IL49" s="1997"/>
      <c r="IM49" s="1997"/>
      <c r="IN49" s="1997"/>
      <c r="IO49" s="1997"/>
      <c r="IP49" s="1997"/>
      <c r="IQ49" s="1997"/>
    </row>
    <row r="50" spans="1:251" hidden="1">
      <c r="A50" s="1993"/>
      <c r="B50" s="1998"/>
      <c r="C50" s="1998"/>
      <c r="D50" s="2034"/>
      <c r="E50" s="1998"/>
      <c r="F50" s="1940">
        <f t="shared" si="14"/>
        <v>0</v>
      </c>
      <c r="G50" s="1993"/>
      <c r="H50" s="1940">
        <f t="shared" si="23"/>
        <v>0</v>
      </c>
      <c r="I50" s="1993"/>
      <c r="J50" s="1940">
        <f t="shared" si="5"/>
        <v>0</v>
      </c>
      <c r="K50" s="1993"/>
      <c r="L50" s="1940">
        <f t="shared" si="24"/>
        <v>0</v>
      </c>
      <c r="M50" s="1940">
        <f t="shared" si="25"/>
        <v>0</v>
      </c>
      <c r="N50" s="1940">
        <f t="shared" si="26"/>
        <v>0</v>
      </c>
      <c r="O50" s="1993"/>
      <c r="P50" s="1993"/>
      <c r="Q50" s="1940">
        <f t="shared" si="27"/>
        <v>0</v>
      </c>
      <c r="R50" s="1940">
        <f t="shared" si="9"/>
        <v>0</v>
      </c>
      <c r="S50" s="1940">
        <f t="shared" si="28"/>
        <v>0</v>
      </c>
      <c r="T50" s="1940">
        <f t="shared" si="29"/>
        <v>0</v>
      </c>
      <c r="U50" s="1940">
        <f t="shared" si="30"/>
        <v>0</v>
      </c>
      <c r="V50" s="1997"/>
      <c r="W50" s="1997"/>
      <c r="X50" s="1997"/>
      <c r="Y50" s="1997"/>
      <c r="Z50" s="1997"/>
      <c r="AA50" s="1997"/>
      <c r="AB50" s="1997"/>
      <c r="AC50" s="1997"/>
      <c r="AD50" s="1997"/>
      <c r="AE50" s="1997"/>
      <c r="AF50" s="1997"/>
      <c r="AG50" s="1997"/>
      <c r="AH50" s="1997"/>
      <c r="AI50" s="1997"/>
      <c r="AJ50" s="1997"/>
      <c r="AK50" s="1997"/>
      <c r="AL50" s="1997"/>
      <c r="AM50" s="1997"/>
      <c r="AN50" s="1997"/>
      <c r="AO50" s="1997"/>
      <c r="AP50" s="1997"/>
      <c r="AQ50" s="1997"/>
      <c r="AR50" s="1997"/>
      <c r="AS50" s="1997"/>
      <c r="AT50" s="1997"/>
      <c r="AU50" s="1997"/>
      <c r="AV50" s="1997"/>
      <c r="AW50" s="1997"/>
      <c r="AX50" s="1997"/>
      <c r="AY50" s="1997"/>
      <c r="AZ50" s="1997"/>
      <c r="BA50" s="1997"/>
      <c r="BB50" s="1997"/>
      <c r="BC50" s="1997"/>
      <c r="BD50" s="1997"/>
      <c r="BE50" s="1997"/>
      <c r="BF50" s="1997"/>
      <c r="BG50" s="1997"/>
      <c r="BH50" s="1997"/>
      <c r="BI50" s="1997"/>
      <c r="BJ50" s="1997"/>
      <c r="BK50" s="1997"/>
      <c r="BL50" s="1997"/>
      <c r="BM50" s="1997"/>
      <c r="BN50" s="1997"/>
      <c r="BO50" s="1997"/>
      <c r="BP50" s="1997"/>
      <c r="BQ50" s="1997"/>
      <c r="BR50" s="1997"/>
      <c r="BS50" s="1997"/>
      <c r="BT50" s="1997"/>
      <c r="BU50" s="1997"/>
      <c r="BV50" s="1997"/>
      <c r="BW50" s="1997"/>
      <c r="BX50" s="1997"/>
      <c r="BY50" s="1997"/>
      <c r="BZ50" s="1997"/>
      <c r="CA50" s="1997"/>
      <c r="CB50" s="1997"/>
      <c r="CC50" s="1997"/>
      <c r="CD50" s="1997"/>
      <c r="CE50" s="1997"/>
      <c r="CF50" s="1997"/>
      <c r="CG50" s="1997"/>
      <c r="CH50" s="1997"/>
      <c r="CI50" s="1997"/>
      <c r="CJ50" s="1997"/>
      <c r="CK50" s="1997"/>
      <c r="CL50" s="1997"/>
      <c r="CM50" s="1997"/>
      <c r="CN50" s="1997"/>
      <c r="CO50" s="1997"/>
      <c r="CP50" s="1997"/>
      <c r="CQ50" s="1997"/>
      <c r="CR50" s="1997"/>
      <c r="CS50" s="1997"/>
      <c r="CT50" s="1997"/>
      <c r="CU50" s="1997"/>
      <c r="CV50" s="1997"/>
      <c r="CW50" s="1997"/>
      <c r="CX50" s="1997"/>
      <c r="CY50" s="1997"/>
      <c r="CZ50" s="1997"/>
      <c r="DA50" s="1997"/>
      <c r="DB50" s="1997"/>
      <c r="DC50" s="1997"/>
      <c r="DD50" s="1997"/>
      <c r="DE50" s="1997"/>
      <c r="DF50" s="1997"/>
      <c r="DG50" s="1997"/>
      <c r="DH50" s="1997"/>
      <c r="DI50" s="1997"/>
      <c r="DJ50" s="1997"/>
      <c r="DK50" s="1997"/>
      <c r="DL50" s="1997"/>
      <c r="DM50" s="1997"/>
      <c r="DN50" s="1997"/>
      <c r="DO50" s="1997"/>
      <c r="DP50" s="1997"/>
      <c r="DQ50" s="1997"/>
      <c r="DR50" s="1997"/>
      <c r="DS50" s="1997"/>
      <c r="DT50" s="1997"/>
      <c r="DU50" s="1997"/>
      <c r="DV50" s="1997"/>
      <c r="DW50" s="1997"/>
      <c r="DX50" s="1997"/>
      <c r="DY50" s="1997"/>
      <c r="DZ50" s="1997"/>
      <c r="EA50" s="1997"/>
      <c r="EB50" s="1997"/>
      <c r="EC50" s="1997"/>
      <c r="ED50" s="1997"/>
      <c r="EE50" s="1997"/>
      <c r="EF50" s="1997"/>
      <c r="EG50" s="1997"/>
      <c r="EH50" s="1997"/>
      <c r="EI50" s="1997"/>
      <c r="EJ50" s="1997"/>
      <c r="EK50" s="1997"/>
      <c r="EL50" s="1997"/>
      <c r="EM50" s="1997"/>
      <c r="EN50" s="1997"/>
      <c r="EO50" s="1997"/>
      <c r="EP50" s="1997"/>
      <c r="EQ50" s="1997"/>
      <c r="ER50" s="1997"/>
      <c r="ES50" s="1997"/>
      <c r="ET50" s="1997"/>
      <c r="EU50" s="1997"/>
      <c r="EV50" s="1997"/>
      <c r="EW50" s="1997"/>
      <c r="EX50" s="1997"/>
      <c r="EY50" s="1997"/>
      <c r="EZ50" s="1997"/>
      <c r="FA50" s="1997"/>
      <c r="FB50" s="1997"/>
      <c r="FC50" s="1997"/>
      <c r="FD50" s="1997"/>
      <c r="FE50" s="1997"/>
      <c r="FF50" s="1997"/>
      <c r="FG50" s="1997"/>
      <c r="FH50" s="1997"/>
      <c r="FI50" s="1997"/>
      <c r="FJ50" s="1997"/>
      <c r="FK50" s="1997"/>
      <c r="FL50" s="1997"/>
      <c r="FM50" s="1997"/>
      <c r="FN50" s="1997"/>
      <c r="FO50" s="1997"/>
      <c r="FP50" s="1997"/>
      <c r="FQ50" s="1997"/>
      <c r="FR50" s="1997"/>
      <c r="FS50" s="1997"/>
      <c r="FT50" s="1997"/>
      <c r="FU50" s="1997"/>
      <c r="FV50" s="1997"/>
      <c r="FW50" s="1997"/>
      <c r="FX50" s="1997"/>
      <c r="FY50" s="1997"/>
      <c r="FZ50" s="1997"/>
      <c r="GA50" s="1997"/>
      <c r="GB50" s="1997"/>
      <c r="GC50" s="1997"/>
      <c r="GD50" s="1997"/>
      <c r="GE50" s="1997"/>
      <c r="GF50" s="1997"/>
      <c r="GG50" s="1997"/>
      <c r="GH50" s="1997"/>
      <c r="GI50" s="1997"/>
      <c r="GJ50" s="1997"/>
      <c r="GK50" s="1997"/>
      <c r="GL50" s="1997"/>
      <c r="GM50" s="1997"/>
      <c r="GN50" s="1997"/>
      <c r="GO50" s="1997"/>
      <c r="GP50" s="1997"/>
      <c r="GQ50" s="1997"/>
      <c r="GR50" s="1997"/>
      <c r="GS50" s="1997"/>
      <c r="GT50" s="1997"/>
      <c r="GU50" s="1997"/>
      <c r="GV50" s="1997"/>
      <c r="GW50" s="1997"/>
      <c r="GX50" s="1997"/>
      <c r="GY50" s="1997"/>
      <c r="GZ50" s="1997"/>
      <c r="HA50" s="1997"/>
      <c r="HB50" s="1997"/>
      <c r="HC50" s="1997"/>
      <c r="HD50" s="1997"/>
      <c r="HE50" s="1997"/>
      <c r="HF50" s="1997"/>
      <c r="HG50" s="1997"/>
      <c r="HH50" s="1997"/>
      <c r="HI50" s="1997"/>
      <c r="HJ50" s="1997"/>
      <c r="HK50" s="1997"/>
      <c r="HL50" s="1997"/>
      <c r="HM50" s="1997"/>
      <c r="HN50" s="1997"/>
      <c r="HO50" s="1997"/>
      <c r="HP50" s="1997"/>
      <c r="HQ50" s="1997"/>
      <c r="HR50" s="1997"/>
      <c r="HS50" s="1997"/>
      <c r="HT50" s="1997"/>
      <c r="HU50" s="1997"/>
      <c r="HV50" s="1997"/>
      <c r="HW50" s="1997"/>
      <c r="HX50" s="1997"/>
      <c r="HY50" s="1997"/>
      <c r="HZ50" s="1997"/>
      <c r="IA50" s="1997"/>
      <c r="IB50" s="1997"/>
      <c r="IC50" s="1997"/>
      <c r="ID50" s="1997"/>
      <c r="IE50" s="1997"/>
      <c r="IF50" s="1997"/>
      <c r="IG50" s="1997"/>
      <c r="IH50" s="1997"/>
      <c r="II50" s="1997"/>
      <c r="IJ50" s="1997"/>
      <c r="IK50" s="1997"/>
      <c r="IL50" s="1997"/>
      <c r="IM50" s="1997"/>
      <c r="IN50" s="1997"/>
      <c r="IO50" s="1997"/>
      <c r="IP50" s="1997"/>
      <c r="IQ50" s="1997"/>
    </row>
    <row r="51" spans="1:251" hidden="1">
      <c r="A51" s="1993"/>
      <c r="B51" s="1998"/>
      <c r="C51" s="1998"/>
      <c r="D51" s="2034"/>
      <c r="E51" s="1998"/>
      <c r="F51" s="1940">
        <f t="shared" si="14"/>
        <v>0</v>
      </c>
      <c r="G51" s="1993"/>
      <c r="H51" s="1940">
        <f t="shared" si="23"/>
        <v>0</v>
      </c>
      <c r="I51" s="1993"/>
      <c r="J51" s="1940">
        <f t="shared" si="5"/>
        <v>0</v>
      </c>
      <c r="K51" s="1993"/>
      <c r="L51" s="1940">
        <f t="shared" si="24"/>
        <v>0</v>
      </c>
      <c r="M51" s="1940">
        <f t="shared" si="25"/>
        <v>0</v>
      </c>
      <c r="N51" s="1940">
        <f t="shared" si="26"/>
        <v>0</v>
      </c>
      <c r="O51" s="1993"/>
      <c r="P51" s="1993"/>
      <c r="Q51" s="1940">
        <f t="shared" si="27"/>
        <v>0</v>
      </c>
      <c r="R51" s="1940">
        <f t="shared" si="9"/>
        <v>0</v>
      </c>
      <c r="S51" s="1940">
        <f t="shared" si="28"/>
        <v>0</v>
      </c>
      <c r="T51" s="1940">
        <f t="shared" si="29"/>
        <v>0</v>
      </c>
      <c r="U51" s="1940">
        <f t="shared" si="30"/>
        <v>0</v>
      </c>
      <c r="V51" s="1997"/>
      <c r="W51" s="1997"/>
      <c r="X51" s="1997"/>
      <c r="Y51" s="1997"/>
      <c r="Z51" s="1997"/>
      <c r="AA51" s="1997"/>
      <c r="AB51" s="1997"/>
      <c r="AC51" s="1997"/>
      <c r="AD51" s="1997"/>
      <c r="AE51" s="1997"/>
      <c r="AF51" s="1997"/>
      <c r="AG51" s="1997"/>
      <c r="AH51" s="1997"/>
      <c r="AI51" s="1997"/>
      <c r="AJ51" s="1997"/>
      <c r="AK51" s="1997"/>
      <c r="AL51" s="1997"/>
      <c r="AM51" s="1997"/>
      <c r="AN51" s="1997"/>
      <c r="AO51" s="1997"/>
      <c r="AP51" s="1997"/>
      <c r="AQ51" s="1997"/>
      <c r="AR51" s="1997"/>
      <c r="AS51" s="1997"/>
      <c r="AT51" s="1997"/>
      <c r="AU51" s="1997"/>
      <c r="AV51" s="1997"/>
      <c r="AW51" s="1997"/>
      <c r="AX51" s="1997"/>
      <c r="AY51" s="1997"/>
      <c r="AZ51" s="1997"/>
      <c r="BA51" s="1997"/>
      <c r="BB51" s="1997"/>
      <c r="BC51" s="1997"/>
      <c r="BD51" s="1997"/>
      <c r="BE51" s="1997"/>
      <c r="BF51" s="1997"/>
      <c r="BG51" s="1997"/>
      <c r="BH51" s="1997"/>
      <c r="BI51" s="1997"/>
      <c r="BJ51" s="1997"/>
      <c r="BK51" s="1997"/>
      <c r="BL51" s="1997"/>
      <c r="BM51" s="1997"/>
      <c r="BN51" s="1997"/>
      <c r="BO51" s="1997"/>
      <c r="BP51" s="1997"/>
      <c r="BQ51" s="1997"/>
      <c r="BR51" s="1997"/>
      <c r="BS51" s="1997"/>
      <c r="BT51" s="1997"/>
      <c r="BU51" s="1997"/>
      <c r="BV51" s="1997"/>
      <c r="BW51" s="1997"/>
      <c r="BX51" s="1997"/>
      <c r="BY51" s="1997"/>
      <c r="BZ51" s="1997"/>
      <c r="CA51" s="1997"/>
      <c r="CB51" s="1997"/>
      <c r="CC51" s="1997"/>
      <c r="CD51" s="1997"/>
      <c r="CE51" s="1997"/>
      <c r="CF51" s="1997"/>
      <c r="CG51" s="1997"/>
      <c r="CH51" s="1997"/>
      <c r="CI51" s="1997"/>
      <c r="CJ51" s="1997"/>
      <c r="CK51" s="1997"/>
      <c r="CL51" s="1997"/>
      <c r="CM51" s="1997"/>
      <c r="CN51" s="1997"/>
      <c r="CO51" s="1997"/>
      <c r="CP51" s="1997"/>
      <c r="CQ51" s="1997"/>
      <c r="CR51" s="1997"/>
      <c r="CS51" s="1997"/>
      <c r="CT51" s="1997"/>
      <c r="CU51" s="1997"/>
      <c r="CV51" s="1997"/>
      <c r="CW51" s="1997"/>
      <c r="CX51" s="1997"/>
      <c r="CY51" s="1997"/>
      <c r="CZ51" s="1997"/>
      <c r="DA51" s="1997"/>
      <c r="DB51" s="1997"/>
      <c r="DC51" s="1997"/>
      <c r="DD51" s="1997"/>
      <c r="DE51" s="1997"/>
      <c r="DF51" s="1997"/>
      <c r="DG51" s="1997"/>
      <c r="DH51" s="1997"/>
      <c r="DI51" s="1997"/>
      <c r="DJ51" s="1997"/>
      <c r="DK51" s="1997"/>
      <c r="DL51" s="1997"/>
      <c r="DM51" s="1997"/>
      <c r="DN51" s="1997"/>
      <c r="DO51" s="1997"/>
      <c r="DP51" s="1997"/>
      <c r="DQ51" s="1997"/>
      <c r="DR51" s="1997"/>
      <c r="DS51" s="1997"/>
      <c r="DT51" s="1997"/>
      <c r="DU51" s="1997"/>
      <c r="DV51" s="1997"/>
      <c r="DW51" s="1997"/>
      <c r="DX51" s="1997"/>
      <c r="DY51" s="1997"/>
      <c r="DZ51" s="1997"/>
      <c r="EA51" s="1997"/>
      <c r="EB51" s="1997"/>
      <c r="EC51" s="1997"/>
      <c r="ED51" s="1997"/>
      <c r="EE51" s="1997"/>
      <c r="EF51" s="1997"/>
      <c r="EG51" s="1997"/>
      <c r="EH51" s="1997"/>
      <c r="EI51" s="1997"/>
      <c r="EJ51" s="1997"/>
      <c r="EK51" s="1997"/>
      <c r="EL51" s="1997"/>
      <c r="EM51" s="1997"/>
      <c r="EN51" s="1997"/>
      <c r="EO51" s="1997"/>
      <c r="EP51" s="1997"/>
      <c r="EQ51" s="1997"/>
      <c r="ER51" s="1997"/>
      <c r="ES51" s="1997"/>
      <c r="ET51" s="1997"/>
      <c r="EU51" s="1997"/>
      <c r="EV51" s="1997"/>
      <c r="EW51" s="1997"/>
      <c r="EX51" s="1997"/>
      <c r="EY51" s="1997"/>
      <c r="EZ51" s="1997"/>
      <c r="FA51" s="1997"/>
      <c r="FB51" s="1997"/>
      <c r="FC51" s="1997"/>
      <c r="FD51" s="1997"/>
      <c r="FE51" s="1997"/>
      <c r="FF51" s="1997"/>
      <c r="FG51" s="1997"/>
      <c r="FH51" s="1997"/>
      <c r="FI51" s="1997"/>
      <c r="FJ51" s="1997"/>
      <c r="FK51" s="1997"/>
      <c r="FL51" s="1997"/>
      <c r="FM51" s="1997"/>
      <c r="FN51" s="1997"/>
      <c r="FO51" s="1997"/>
      <c r="FP51" s="1997"/>
      <c r="FQ51" s="1997"/>
      <c r="FR51" s="1997"/>
      <c r="FS51" s="1997"/>
      <c r="FT51" s="1997"/>
      <c r="FU51" s="1997"/>
      <c r="FV51" s="1997"/>
      <c r="FW51" s="1997"/>
      <c r="FX51" s="1997"/>
      <c r="FY51" s="1997"/>
      <c r="FZ51" s="1997"/>
      <c r="GA51" s="1997"/>
      <c r="GB51" s="1997"/>
      <c r="GC51" s="1997"/>
      <c r="GD51" s="1997"/>
      <c r="GE51" s="1997"/>
      <c r="GF51" s="1997"/>
      <c r="GG51" s="1997"/>
      <c r="GH51" s="1997"/>
      <c r="GI51" s="1997"/>
      <c r="GJ51" s="1997"/>
      <c r="GK51" s="1997"/>
      <c r="GL51" s="1997"/>
      <c r="GM51" s="1997"/>
      <c r="GN51" s="1997"/>
      <c r="GO51" s="1997"/>
      <c r="GP51" s="1997"/>
      <c r="GQ51" s="1997"/>
      <c r="GR51" s="1997"/>
      <c r="GS51" s="1997"/>
      <c r="GT51" s="1997"/>
      <c r="GU51" s="1997"/>
      <c r="GV51" s="1997"/>
      <c r="GW51" s="1997"/>
      <c r="GX51" s="1997"/>
      <c r="GY51" s="1997"/>
      <c r="GZ51" s="1997"/>
      <c r="HA51" s="1997"/>
      <c r="HB51" s="1997"/>
      <c r="HC51" s="1997"/>
      <c r="HD51" s="1997"/>
      <c r="HE51" s="1997"/>
      <c r="HF51" s="1997"/>
      <c r="HG51" s="1997"/>
      <c r="HH51" s="1997"/>
      <c r="HI51" s="1997"/>
      <c r="HJ51" s="1997"/>
      <c r="HK51" s="1997"/>
      <c r="HL51" s="1997"/>
      <c r="HM51" s="1997"/>
      <c r="HN51" s="1997"/>
      <c r="HO51" s="1997"/>
      <c r="HP51" s="1997"/>
      <c r="HQ51" s="1997"/>
      <c r="HR51" s="1997"/>
      <c r="HS51" s="1997"/>
      <c r="HT51" s="1997"/>
      <c r="HU51" s="1997"/>
      <c r="HV51" s="1997"/>
      <c r="HW51" s="1997"/>
      <c r="HX51" s="1997"/>
      <c r="HY51" s="1997"/>
      <c r="HZ51" s="1997"/>
      <c r="IA51" s="1997"/>
      <c r="IB51" s="1997"/>
      <c r="IC51" s="1997"/>
      <c r="ID51" s="1997"/>
      <c r="IE51" s="1997"/>
      <c r="IF51" s="1997"/>
      <c r="IG51" s="1997"/>
      <c r="IH51" s="1997"/>
      <c r="II51" s="1997"/>
      <c r="IJ51" s="1997"/>
      <c r="IK51" s="1997"/>
      <c r="IL51" s="1997"/>
      <c r="IM51" s="1997"/>
      <c r="IN51" s="1997"/>
      <c r="IO51" s="1997"/>
      <c r="IP51" s="1997"/>
      <c r="IQ51" s="1997"/>
    </row>
    <row r="52" spans="1:251" hidden="1">
      <c r="A52" s="1993"/>
      <c r="B52" s="1998"/>
      <c r="C52" s="1998"/>
      <c r="D52" s="2034"/>
      <c r="E52" s="1998"/>
      <c r="F52" s="1940">
        <f t="shared" si="14"/>
        <v>0</v>
      </c>
      <c r="G52" s="1993"/>
      <c r="H52" s="1940">
        <f t="shared" si="23"/>
        <v>0</v>
      </c>
      <c r="I52" s="1993"/>
      <c r="J52" s="1940">
        <f t="shared" si="5"/>
        <v>0</v>
      </c>
      <c r="K52" s="1993"/>
      <c r="L52" s="1940">
        <f t="shared" si="24"/>
        <v>0</v>
      </c>
      <c r="M52" s="1940">
        <f t="shared" si="25"/>
        <v>0</v>
      </c>
      <c r="N52" s="1940">
        <f t="shared" si="26"/>
        <v>0</v>
      </c>
      <c r="O52" s="1993"/>
      <c r="P52" s="1993"/>
      <c r="Q52" s="1940">
        <f t="shared" si="27"/>
        <v>0</v>
      </c>
      <c r="R52" s="1940">
        <f t="shared" si="9"/>
        <v>0</v>
      </c>
      <c r="S52" s="1940">
        <f t="shared" si="28"/>
        <v>0</v>
      </c>
      <c r="T52" s="1940">
        <f t="shared" si="29"/>
        <v>0</v>
      </c>
      <c r="U52" s="1940">
        <f t="shared" si="30"/>
        <v>0</v>
      </c>
      <c r="V52" s="1997"/>
      <c r="W52" s="1997"/>
      <c r="X52" s="1997"/>
      <c r="Y52" s="1997"/>
      <c r="Z52" s="1997"/>
      <c r="AA52" s="1997"/>
      <c r="AB52" s="1997"/>
      <c r="AC52" s="1997"/>
      <c r="AD52" s="1997"/>
      <c r="AE52" s="1997"/>
      <c r="AF52" s="1997"/>
      <c r="AG52" s="1997"/>
      <c r="AH52" s="1997"/>
      <c r="AI52" s="1997"/>
      <c r="AJ52" s="1997"/>
      <c r="AK52" s="1997"/>
      <c r="AL52" s="1997"/>
      <c r="AM52" s="1997"/>
      <c r="AN52" s="1997"/>
      <c r="AO52" s="1997"/>
      <c r="AP52" s="1997"/>
      <c r="AQ52" s="1997"/>
      <c r="AR52" s="1997"/>
      <c r="AS52" s="1997"/>
      <c r="AT52" s="1997"/>
      <c r="AU52" s="1997"/>
      <c r="AV52" s="1997"/>
      <c r="AW52" s="1997"/>
      <c r="AX52" s="1997"/>
      <c r="AY52" s="1997"/>
      <c r="AZ52" s="1997"/>
      <c r="BA52" s="1997"/>
      <c r="BB52" s="1997"/>
      <c r="BC52" s="1997"/>
      <c r="BD52" s="1997"/>
      <c r="BE52" s="1997"/>
      <c r="BF52" s="1997"/>
      <c r="BG52" s="1997"/>
      <c r="BH52" s="1997"/>
      <c r="BI52" s="1997"/>
      <c r="BJ52" s="1997"/>
      <c r="BK52" s="1997"/>
      <c r="BL52" s="1997"/>
      <c r="BM52" s="1997"/>
      <c r="BN52" s="1997"/>
      <c r="BO52" s="1997"/>
      <c r="BP52" s="1997"/>
      <c r="BQ52" s="1997"/>
      <c r="BR52" s="1997"/>
      <c r="BS52" s="1997"/>
      <c r="BT52" s="1997"/>
      <c r="BU52" s="1997"/>
      <c r="BV52" s="1997"/>
      <c r="BW52" s="1997"/>
      <c r="BX52" s="1997"/>
      <c r="BY52" s="1997"/>
      <c r="BZ52" s="1997"/>
      <c r="CA52" s="1997"/>
      <c r="CB52" s="1997"/>
      <c r="CC52" s="1997"/>
      <c r="CD52" s="1997"/>
      <c r="CE52" s="1997"/>
      <c r="CF52" s="1997"/>
      <c r="CG52" s="1997"/>
      <c r="CH52" s="1997"/>
      <c r="CI52" s="1997"/>
      <c r="CJ52" s="1997"/>
      <c r="CK52" s="1997"/>
      <c r="CL52" s="1997"/>
      <c r="CM52" s="1997"/>
      <c r="CN52" s="1997"/>
      <c r="CO52" s="1997"/>
      <c r="CP52" s="1997"/>
      <c r="CQ52" s="1997"/>
      <c r="CR52" s="1997"/>
      <c r="CS52" s="1997"/>
      <c r="CT52" s="1997"/>
      <c r="CU52" s="1997"/>
      <c r="CV52" s="1997"/>
      <c r="CW52" s="1997"/>
      <c r="CX52" s="1997"/>
      <c r="CY52" s="1997"/>
      <c r="CZ52" s="1997"/>
      <c r="DA52" s="1997"/>
      <c r="DB52" s="1997"/>
      <c r="DC52" s="1997"/>
      <c r="DD52" s="1997"/>
      <c r="DE52" s="1997"/>
      <c r="DF52" s="1997"/>
      <c r="DG52" s="1997"/>
      <c r="DH52" s="1997"/>
      <c r="DI52" s="1997"/>
      <c r="DJ52" s="1997"/>
      <c r="DK52" s="1997"/>
      <c r="DL52" s="1997"/>
      <c r="DM52" s="1997"/>
      <c r="DN52" s="1997"/>
      <c r="DO52" s="1997"/>
      <c r="DP52" s="1997"/>
      <c r="DQ52" s="1997"/>
      <c r="DR52" s="1997"/>
      <c r="DS52" s="1997"/>
      <c r="DT52" s="1997"/>
      <c r="DU52" s="1997"/>
      <c r="DV52" s="1997"/>
      <c r="DW52" s="1997"/>
      <c r="DX52" s="1997"/>
      <c r="DY52" s="1997"/>
      <c r="DZ52" s="1997"/>
      <c r="EA52" s="1997"/>
      <c r="EB52" s="1997"/>
      <c r="EC52" s="1997"/>
      <c r="ED52" s="1997"/>
      <c r="EE52" s="1997"/>
      <c r="EF52" s="1997"/>
      <c r="EG52" s="1997"/>
      <c r="EH52" s="1997"/>
      <c r="EI52" s="1997"/>
      <c r="EJ52" s="1997"/>
      <c r="EK52" s="1997"/>
      <c r="EL52" s="1997"/>
      <c r="EM52" s="1997"/>
      <c r="EN52" s="1997"/>
      <c r="EO52" s="1997"/>
      <c r="EP52" s="1997"/>
      <c r="EQ52" s="1997"/>
      <c r="ER52" s="1997"/>
      <c r="ES52" s="1997"/>
      <c r="ET52" s="1997"/>
      <c r="EU52" s="1997"/>
      <c r="EV52" s="1997"/>
      <c r="EW52" s="1997"/>
      <c r="EX52" s="1997"/>
      <c r="EY52" s="1997"/>
      <c r="EZ52" s="1997"/>
      <c r="FA52" s="1997"/>
      <c r="FB52" s="1997"/>
      <c r="FC52" s="1997"/>
      <c r="FD52" s="1997"/>
      <c r="FE52" s="1997"/>
      <c r="FF52" s="1997"/>
      <c r="FG52" s="1997"/>
      <c r="FH52" s="1997"/>
      <c r="FI52" s="1997"/>
      <c r="FJ52" s="1997"/>
      <c r="FK52" s="1997"/>
      <c r="FL52" s="1997"/>
      <c r="FM52" s="1997"/>
      <c r="FN52" s="1997"/>
      <c r="FO52" s="1997"/>
      <c r="FP52" s="1997"/>
      <c r="FQ52" s="1997"/>
      <c r="FR52" s="1997"/>
      <c r="FS52" s="1997"/>
      <c r="FT52" s="1997"/>
      <c r="FU52" s="1997"/>
      <c r="FV52" s="1997"/>
      <c r="FW52" s="1997"/>
      <c r="FX52" s="1997"/>
      <c r="FY52" s="1997"/>
      <c r="FZ52" s="1997"/>
      <c r="GA52" s="1997"/>
      <c r="GB52" s="1997"/>
      <c r="GC52" s="1997"/>
      <c r="GD52" s="1997"/>
      <c r="GE52" s="1997"/>
      <c r="GF52" s="1997"/>
      <c r="GG52" s="1997"/>
      <c r="GH52" s="1997"/>
      <c r="GI52" s="1997"/>
      <c r="GJ52" s="1997"/>
      <c r="GK52" s="1997"/>
      <c r="GL52" s="1997"/>
      <c r="GM52" s="1997"/>
      <c r="GN52" s="1997"/>
      <c r="GO52" s="1997"/>
      <c r="GP52" s="1997"/>
      <c r="GQ52" s="1997"/>
      <c r="GR52" s="1997"/>
      <c r="GS52" s="1997"/>
      <c r="GT52" s="1997"/>
      <c r="GU52" s="1997"/>
      <c r="GV52" s="1997"/>
      <c r="GW52" s="1997"/>
      <c r="GX52" s="1997"/>
      <c r="GY52" s="1997"/>
      <c r="GZ52" s="1997"/>
      <c r="HA52" s="1997"/>
      <c r="HB52" s="1997"/>
      <c r="HC52" s="1997"/>
      <c r="HD52" s="1997"/>
      <c r="HE52" s="1997"/>
      <c r="HF52" s="1997"/>
      <c r="HG52" s="1997"/>
      <c r="HH52" s="1997"/>
      <c r="HI52" s="1997"/>
      <c r="HJ52" s="1997"/>
      <c r="HK52" s="1997"/>
      <c r="HL52" s="1997"/>
      <c r="HM52" s="1997"/>
      <c r="HN52" s="1997"/>
      <c r="HO52" s="1997"/>
      <c r="HP52" s="1997"/>
      <c r="HQ52" s="1997"/>
      <c r="HR52" s="1997"/>
      <c r="HS52" s="1997"/>
      <c r="HT52" s="1997"/>
      <c r="HU52" s="1997"/>
      <c r="HV52" s="1997"/>
      <c r="HW52" s="1997"/>
      <c r="HX52" s="1997"/>
      <c r="HY52" s="1997"/>
      <c r="HZ52" s="1997"/>
      <c r="IA52" s="1997"/>
      <c r="IB52" s="1997"/>
      <c r="IC52" s="1997"/>
      <c r="ID52" s="1997"/>
      <c r="IE52" s="1997"/>
      <c r="IF52" s="1997"/>
      <c r="IG52" s="1997"/>
      <c r="IH52" s="1997"/>
      <c r="II52" s="1997"/>
      <c r="IJ52" s="1997"/>
      <c r="IK52" s="1997"/>
      <c r="IL52" s="1997"/>
      <c r="IM52" s="1997"/>
      <c r="IN52" s="1997"/>
      <c r="IO52" s="1997"/>
      <c r="IP52" s="1997"/>
      <c r="IQ52" s="1997"/>
    </row>
    <row r="53" spans="1:251" hidden="1">
      <c r="A53" s="1993"/>
      <c r="B53" s="1998"/>
      <c r="C53" s="1998"/>
      <c r="D53" s="2034"/>
      <c r="E53" s="1998"/>
      <c r="F53" s="1940">
        <f t="shared" si="14"/>
        <v>0</v>
      </c>
      <c r="G53" s="1993"/>
      <c r="H53" s="1940">
        <f t="shared" si="23"/>
        <v>0</v>
      </c>
      <c r="I53" s="1993"/>
      <c r="J53" s="1940">
        <f t="shared" si="5"/>
        <v>0</v>
      </c>
      <c r="K53" s="1993"/>
      <c r="L53" s="1940">
        <f t="shared" si="24"/>
        <v>0</v>
      </c>
      <c r="M53" s="1940">
        <f t="shared" si="25"/>
        <v>0</v>
      </c>
      <c r="N53" s="1940">
        <f t="shared" si="26"/>
        <v>0</v>
      </c>
      <c r="O53" s="1993"/>
      <c r="P53" s="1993"/>
      <c r="Q53" s="1940">
        <f t="shared" si="27"/>
        <v>0</v>
      </c>
      <c r="R53" s="1940">
        <f t="shared" si="9"/>
        <v>0</v>
      </c>
      <c r="S53" s="1940">
        <f t="shared" si="28"/>
        <v>0</v>
      </c>
      <c r="T53" s="1940">
        <f t="shared" si="29"/>
        <v>0</v>
      </c>
      <c r="U53" s="1940">
        <f t="shared" si="30"/>
        <v>0</v>
      </c>
      <c r="V53" s="1997"/>
      <c r="W53" s="1997"/>
      <c r="X53" s="1997"/>
      <c r="Y53" s="1997"/>
      <c r="Z53" s="1997"/>
      <c r="AA53" s="1997"/>
      <c r="AB53" s="1997"/>
      <c r="AC53" s="1997"/>
      <c r="AD53" s="1997"/>
      <c r="AE53" s="1997"/>
      <c r="AF53" s="1997"/>
      <c r="AG53" s="1997"/>
      <c r="AH53" s="1997"/>
      <c r="AI53" s="1997"/>
      <c r="AJ53" s="1997"/>
      <c r="AK53" s="1997"/>
      <c r="AL53" s="1997"/>
      <c r="AM53" s="1997"/>
      <c r="AN53" s="1997"/>
      <c r="AO53" s="1997"/>
      <c r="AP53" s="1997"/>
      <c r="AQ53" s="1997"/>
      <c r="AR53" s="1997"/>
      <c r="AS53" s="1997"/>
      <c r="AT53" s="1997"/>
      <c r="AU53" s="1997"/>
      <c r="AV53" s="1997"/>
      <c r="AW53" s="1997"/>
      <c r="AX53" s="1997"/>
      <c r="AY53" s="1997"/>
      <c r="AZ53" s="1997"/>
      <c r="BA53" s="1997"/>
      <c r="BB53" s="1997"/>
      <c r="BC53" s="1997"/>
      <c r="BD53" s="1997"/>
      <c r="BE53" s="1997"/>
      <c r="BF53" s="1997"/>
      <c r="BG53" s="1997"/>
      <c r="BH53" s="1997"/>
      <c r="BI53" s="1997"/>
      <c r="BJ53" s="1997"/>
      <c r="BK53" s="1997"/>
      <c r="BL53" s="1997"/>
      <c r="BM53" s="1997"/>
      <c r="BN53" s="1997"/>
      <c r="BO53" s="1997"/>
      <c r="BP53" s="1997"/>
      <c r="BQ53" s="1997"/>
      <c r="BR53" s="1997"/>
      <c r="BS53" s="1997"/>
      <c r="BT53" s="1997"/>
      <c r="BU53" s="1997"/>
      <c r="BV53" s="1997"/>
      <c r="BW53" s="1997"/>
      <c r="BX53" s="1997"/>
      <c r="BY53" s="1997"/>
      <c r="BZ53" s="1997"/>
      <c r="CA53" s="1997"/>
      <c r="CB53" s="1997"/>
      <c r="CC53" s="1997"/>
      <c r="CD53" s="1997"/>
      <c r="CE53" s="1997"/>
      <c r="CF53" s="1997"/>
      <c r="CG53" s="1997"/>
      <c r="CH53" s="1997"/>
      <c r="CI53" s="1997"/>
      <c r="CJ53" s="1997"/>
      <c r="CK53" s="1997"/>
      <c r="CL53" s="1997"/>
      <c r="CM53" s="1997"/>
      <c r="CN53" s="1997"/>
      <c r="CO53" s="1997"/>
      <c r="CP53" s="1997"/>
      <c r="CQ53" s="1997"/>
      <c r="CR53" s="1997"/>
      <c r="CS53" s="1997"/>
      <c r="CT53" s="1997"/>
      <c r="CU53" s="1997"/>
      <c r="CV53" s="1997"/>
      <c r="CW53" s="1997"/>
      <c r="CX53" s="1997"/>
      <c r="CY53" s="1997"/>
      <c r="CZ53" s="1997"/>
      <c r="DA53" s="1997"/>
      <c r="DB53" s="1997"/>
      <c r="DC53" s="1997"/>
      <c r="DD53" s="1997"/>
      <c r="DE53" s="1997"/>
      <c r="DF53" s="1997"/>
      <c r="DG53" s="1997"/>
      <c r="DH53" s="1997"/>
      <c r="DI53" s="1997"/>
      <c r="DJ53" s="1997"/>
      <c r="DK53" s="1997"/>
      <c r="DL53" s="1997"/>
      <c r="DM53" s="1997"/>
      <c r="DN53" s="1997"/>
      <c r="DO53" s="1997"/>
      <c r="DP53" s="1997"/>
      <c r="DQ53" s="1997"/>
      <c r="DR53" s="1997"/>
      <c r="DS53" s="1997"/>
      <c r="DT53" s="1997"/>
      <c r="DU53" s="1997"/>
      <c r="DV53" s="1997"/>
      <c r="DW53" s="1997"/>
      <c r="DX53" s="1997"/>
      <c r="DY53" s="1997"/>
      <c r="DZ53" s="1997"/>
      <c r="EA53" s="1997"/>
      <c r="EB53" s="1997"/>
      <c r="EC53" s="1997"/>
      <c r="ED53" s="1997"/>
      <c r="EE53" s="1997"/>
      <c r="EF53" s="1997"/>
      <c r="EG53" s="1997"/>
      <c r="EH53" s="1997"/>
      <c r="EI53" s="1997"/>
      <c r="EJ53" s="1997"/>
      <c r="EK53" s="1997"/>
      <c r="EL53" s="1997"/>
      <c r="EM53" s="1997"/>
      <c r="EN53" s="1997"/>
      <c r="EO53" s="1997"/>
      <c r="EP53" s="1997"/>
      <c r="EQ53" s="1997"/>
      <c r="ER53" s="1997"/>
      <c r="ES53" s="1997"/>
      <c r="ET53" s="1997"/>
      <c r="EU53" s="1997"/>
      <c r="EV53" s="1997"/>
      <c r="EW53" s="1997"/>
      <c r="EX53" s="1997"/>
      <c r="EY53" s="1997"/>
      <c r="EZ53" s="1997"/>
      <c r="FA53" s="1997"/>
      <c r="FB53" s="1997"/>
      <c r="FC53" s="1997"/>
      <c r="FD53" s="1997"/>
      <c r="FE53" s="1997"/>
      <c r="FF53" s="1997"/>
      <c r="FG53" s="1997"/>
      <c r="FH53" s="1997"/>
      <c r="FI53" s="1997"/>
      <c r="FJ53" s="1997"/>
      <c r="FK53" s="1997"/>
      <c r="FL53" s="1997"/>
      <c r="FM53" s="1997"/>
      <c r="FN53" s="1997"/>
      <c r="FO53" s="1997"/>
      <c r="FP53" s="1997"/>
      <c r="FQ53" s="1997"/>
      <c r="FR53" s="1997"/>
      <c r="FS53" s="1997"/>
      <c r="FT53" s="1997"/>
      <c r="FU53" s="1997"/>
      <c r="FV53" s="1997"/>
      <c r="FW53" s="1997"/>
      <c r="FX53" s="1997"/>
      <c r="FY53" s="1997"/>
      <c r="FZ53" s="1997"/>
      <c r="GA53" s="1997"/>
      <c r="GB53" s="1997"/>
      <c r="GC53" s="1997"/>
      <c r="GD53" s="1997"/>
      <c r="GE53" s="1997"/>
      <c r="GF53" s="1997"/>
      <c r="GG53" s="1997"/>
      <c r="GH53" s="1997"/>
      <c r="GI53" s="1997"/>
      <c r="GJ53" s="1997"/>
      <c r="GK53" s="1997"/>
      <c r="GL53" s="1997"/>
      <c r="GM53" s="1997"/>
      <c r="GN53" s="1997"/>
      <c r="GO53" s="1997"/>
      <c r="GP53" s="1997"/>
      <c r="GQ53" s="1997"/>
      <c r="GR53" s="1997"/>
      <c r="GS53" s="1997"/>
      <c r="GT53" s="1997"/>
      <c r="GU53" s="1997"/>
      <c r="GV53" s="1997"/>
      <c r="GW53" s="1997"/>
      <c r="GX53" s="1997"/>
      <c r="GY53" s="1997"/>
      <c r="GZ53" s="1997"/>
      <c r="HA53" s="1997"/>
      <c r="HB53" s="1997"/>
      <c r="HC53" s="1997"/>
      <c r="HD53" s="1997"/>
      <c r="HE53" s="1997"/>
      <c r="HF53" s="1997"/>
      <c r="HG53" s="1997"/>
      <c r="HH53" s="1997"/>
      <c r="HI53" s="1997"/>
      <c r="HJ53" s="1997"/>
      <c r="HK53" s="1997"/>
      <c r="HL53" s="1997"/>
      <c r="HM53" s="1997"/>
      <c r="HN53" s="1997"/>
      <c r="HO53" s="1997"/>
      <c r="HP53" s="1997"/>
      <c r="HQ53" s="1997"/>
      <c r="HR53" s="1997"/>
      <c r="HS53" s="1997"/>
      <c r="HT53" s="1997"/>
      <c r="HU53" s="1997"/>
      <c r="HV53" s="1997"/>
      <c r="HW53" s="1997"/>
      <c r="HX53" s="1997"/>
      <c r="HY53" s="1997"/>
      <c r="HZ53" s="1997"/>
      <c r="IA53" s="1997"/>
      <c r="IB53" s="1997"/>
      <c r="IC53" s="1997"/>
      <c r="ID53" s="1997"/>
      <c r="IE53" s="1997"/>
      <c r="IF53" s="1997"/>
      <c r="IG53" s="1997"/>
      <c r="IH53" s="1997"/>
      <c r="II53" s="1997"/>
      <c r="IJ53" s="1997"/>
      <c r="IK53" s="1997"/>
      <c r="IL53" s="1997"/>
      <c r="IM53" s="1997"/>
      <c r="IN53" s="1997"/>
      <c r="IO53" s="1997"/>
      <c r="IP53" s="1997"/>
      <c r="IQ53" s="1997"/>
    </row>
    <row r="54" spans="1:251" hidden="1">
      <c r="A54" s="1993"/>
      <c r="B54" s="1998"/>
      <c r="C54" s="1998"/>
      <c r="D54" s="2034"/>
      <c r="E54" s="1998"/>
      <c r="F54" s="1940">
        <f t="shared" si="14"/>
        <v>0</v>
      </c>
      <c r="G54" s="1993"/>
      <c r="H54" s="1940">
        <f t="shared" si="23"/>
        <v>0</v>
      </c>
      <c r="I54" s="1993"/>
      <c r="J54" s="1940">
        <f t="shared" si="5"/>
        <v>0</v>
      </c>
      <c r="K54" s="1993"/>
      <c r="L54" s="1940">
        <f t="shared" si="24"/>
        <v>0</v>
      </c>
      <c r="M54" s="1940">
        <f t="shared" si="25"/>
        <v>0</v>
      </c>
      <c r="N54" s="1940">
        <f t="shared" si="26"/>
        <v>0</v>
      </c>
      <c r="O54" s="1993"/>
      <c r="P54" s="1993"/>
      <c r="Q54" s="1940">
        <f t="shared" si="27"/>
        <v>0</v>
      </c>
      <c r="R54" s="1940">
        <f t="shared" si="9"/>
        <v>0</v>
      </c>
      <c r="S54" s="1940">
        <f t="shared" si="28"/>
        <v>0</v>
      </c>
      <c r="T54" s="1940">
        <f t="shared" si="29"/>
        <v>0</v>
      </c>
      <c r="U54" s="1940">
        <f t="shared" si="30"/>
        <v>0</v>
      </c>
      <c r="V54" s="1997"/>
      <c r="W54" s="1997"/>
      <c r="X54" s="1997"/>
      <c r="Y54" s="1997"/>
      <c r="Z54" s="1997"/>
      <c r="AA54" s="1997"/>
      <c r="AB54" s="1997"/>
      <c r="AC54" s="1997"/>
      <c r="AD54" s="1997"/>
      <c r="AE54" s="1997"/>
      <c r="AF54" s="1997"/>
      <c r="AG54" s="1997"/>
      <c r="AH54" s="1997"/>
      <c r="AI54" s="1997"/>
      <c r="AJ54" s="1997"/>
      <c r="AK54" s="1997"/>
      <c r="AL54" s="1997"/>
      <c r="AM54" s="1997"/>
      <c r="AN54" s="1997"/>
      <c r="AO54" s="1997"/>
      <c r="AP54" s="1997"/>
      <c r="AQ54" s="1997"/>
      <c r="AR54" s="1997"/>
      <c r="AS54" s="1997"/>
      <c r="AT54" s="1997"/>
      <c r="AU54" s="1997"/>
      <c r="AV54" s="1997"/>
      <c r="AW54" s="1997"/>
      <c r="AX54" s="1997"/>
      <c r="AY54" s="1997"/>
      <c r="AZ54" s="1997"/>
      <c r="BA54" s="1997"/>
      <c r="BB54" s="1997"/>
      <c r="BC54" s="1997"/>
      <c r="BD54" s="1997"/>
      <c r="BE54" s="1997"/>
      <c r="BF54" s="1997"/>
      <c r="BG54" s="1997"/>
      <c r="BH54" s="1997"/>
      <c r="BI54" s="1997"/>
      <c r="BJ54" s="1997"/>
      <c r="BK54" s="1997"/>
      <c r="BL54" s="1997"/>
      <c r="BM54" s="1997"/>
      <c r="BN54" s="1997"/>
      <c r="BO54" s="1997"/>
      <c r="BP54" s="1997"/>
      <c r="BQ54" s="1997"/>
      <c r="BR54" s="1997"/>
      <c r="BS54" s="1997"/>
      <c r="BT54" s="1997"/>
      <c r="BU54" s="1997"/>
      <c r="BV54" s="1997"/>
      <c r="BW54" s="1997"/>
      <c r="BX54" s="1997"/>
      <c r="BY54" s="1997"/>
      <c r="BZ54" s="1997"/>
      <c r="CA54" s="1997"/>
      <c r="CB54" s="1997"/>
      <c r="CC54" s="1997"/>
      <c r="CD54" s="1997"/>
      <c r="CE54" s="1997"/>
      <c r="CF54" s="1997"/>
      <c r="CG54" s="1997"/>
      <c r="CH54" s="1997"/>
      <c r="CI54" s="1997"/>
      <c r="CJ54" s="1997"/>
      <c r="CK54" s="1997"/>
      <c r="CL54" s="1997"/>
      <c r="CM54" s="1997"/>
      <c r="CN54" s="1997"/>
      <c r="CO54" s="1997"/>
      <c r="CP54" s="1997"/>
      <c r="CQ54" s="1997"/>
      <c r="CR54" s="1997"/>
      <c r="CS54" s="1997"/>
      <c r="CT54" s="1997"/>
      <c r="CU54" s="1997"/>
      <c r="CV54" s="1997"/>
      <c r="CW54" s="1997"/>
      <c r="CX54" s="1997"/>
      <c r="CY54" s="1997"/>
      <c r="CZ54" s="1997"/>
      <c r="DA54" s="1997"/>
      <c r="DB54" s="1997"/>
      <c r="DC54" s="1997"/>
      <c r="DD54" s="1997"/>
      <c r="DE54" s="1997"/>
      <c r="DF54" s="1997"/>
      <c r="DG54" s="1997"/>
      <c r="DH54" s="1997"/>
      <c r="DI54" s="1997"/>
      <c r="DJ54" s="1997"/>
      <c r="DK54" s="1997"/>
      <c r="DL54" s="1997"/>
      <c r="DM54" s="1997"/>
      <c r="DN54" s="1997"/>
      <c r="DO54" s="1997"/>
      <c r="DP54" s="1997"/>
      <c r="DQ54" s="1997"/>
      <c r="DR54" s="1997"/>
      <c r="DS54" s="1997"/>
      <c r="DT54" s="1997"/>
      <c r="DU54" s="1997"/>
      <c r="DV54" s="1997"/>
      <c r="DW54" s="1997"/>
      <c r="DX54" s="1997"/>
      <c r="DY54" s="1997"/>
      <c r="DZ54" s="1997"/>
      <c r="EA54" s="1997"/>
      <c r="EB54" s="1997"/>
      <c r="EC54" s="1997"/>
      <c r="ED54" s="1997"/>
      <c r="EE54" s="1997"/>
      <c r="EF54" s="1997"/>
      <c r="EG54" s="1997"/>
      <c r="EH54" s="1997"/>
      <c r="EI54" s="1997"/>
      <c r="EJ54" s="1997"/>
      <c r="EK54" s="1997"/>
      <c r="EL54" s="1997"/>
      <c r="EM54" s="1997"/>
      <c r="EN54" s="1997"/>
      <c r="EO54" s="1997"/>
      <c r="EP54" s="1997"/>
      <c r="EQ54" s="1997"/>
      <c r="ER54" s="1997"/>
      <c r="ES54" s="1997"/>
      <c r="ET54" s="1997"/>
      <c r="EU54" s="1997"/>
      <c r="EV54" s="1997"/>
      <c r="EW54" s="1997"/>
      <c r="EX54" s="1997"/>
      <c r="EY54" s="1997"/>
      <c r="EZ54" s="1997"/>
      <c r="FA54" s="1997"/>
      <c r="FB54" s="1997"/>
      <c r="FC54" s="1997"/>
      <c r="FD54" s="1997"/>
      <c r="FE54" s="1997"/>
      <c r="FF54" s="1997"/>
      <c r="FG54" s="1997"/>
      <c r="FH54" s="1997"/>
      <c r="FI54" s="1997"/>
      <c r="FJ54" s="1997"/>
      <c r="FK54" s="1997"/>
      <c r="FL54" s="1997"/>
      <c r="FM54" s="1997"/>
      <c r="FN54" s="1997"/>
      <c r="FO54" s="1997"/>
      <c r="FP54" s="1997"/>
      <c r="FQ54" s="1997"/>
      <c r="FR54" s="1997"/>
      <c r="FS54" s="1997"/>
      <c r="FT54" s="1997"/>
      <c r="FU54" s="1997"/>
      <c r="FV54" s="1997"/>
      <c r="FW54" s="1997"/>
      <c r="FX54" s="1997"/>
      <c r="FY54" s="1997"/>
      <c r="FZ54" s="1997"/>
      <c r="GA54" s="1997"/>
      <c r="GB54" s="1997"/>
      <c r="GC54" s="1997"/>
      <c r="GD54" s="1997"/>
      <c r="GE54" s="1997"/>
      <c r="GF54" s="1997"/>
      <c r="GG54" s="1997"/>
      <c r="GH54" s="1997"/>
      <c r="GI54" s="1997"/>
      <c r="GJ54" s="1997"/>
      <c r="GK54" s="1997"/>
      <c r="GL54" s="1997"/>
      <c r="GM54" s="1997"/>
      <c r="GN54" s="1997"/>
      <c r="GO54" s="1997"/>
      <c r="GP54" s="1997"/>
      <c r="GQ54" s="1997"/>
      <c r="GR54" s="1997"/>
      <c r="GS54" s="1997"/>
      <c r="GT54" s="1997"/>
      <c r="GU54" s="1997"/>
      <c r="GV54" s="1997"/>
      <c r="GW54" s="1997"/>
      <c r="GX54" s="1997"/>
      <c r="GY54" s="1997"/>
      <c r="GZ54" s="1997"/>
      <c r="HA54" s="1997"/>
      <c r="HB54" s="1997"/>
      <c r="HC54" s="1997"/>
      <c r="HD54" s="1997"/>
      <c r="HE54" s="1997"/>
      <c r="HF54" s="1997"/>
      <c r="HG54" s="1997"/>
      <c r="HH54" s="1997"/>
      <c r="HI54" s="1997"/>
      <c r="HJ54" s="1997"/>
      <c r="HK54" s="1997"/>
      <c r="HL54" s="1997"/>
      <c r="HM54" s="1997"/>
      <c r="HN54" s="1997"/>
      <c r="HO54" s="1997"/>
      <c r="HP54" s="1997"/>
      <c r="HQ54" s="1997"/>
      <c r="HR54" s="1997"/>
      <c r="HS54" s="1997"/>
      <c r="HT54" s="1997"/>
      <c r="HU54" s="1997"/>
      <c r="HV54" s="1997"/>
      <c r="HW54" s="1997"/>
      <c r="HX54" s="1997"/>
      <c r="HY54" s="1997"/>
      <c r="HZ54" s="1997"/>
      <c r="IA54" s="1997"/>
      <c r="IB54" s="1997"/>
      <c r="IC54" s="1997"/>
      <c r="ID54" s="1997"/>
      <c r="IE54" s="1997"/>
      <c r="IF54" s="1997"/>
      <c r="IG54" s="1997"/>
      <c r="IH54" s="1997"/>
      <c r="II54" s="1997"/>
      <c r="IJ54" s="1997"/>
      <c r="IK54" s="1997"/>
      <c r="IL54" s="1997"/>
      <c r="IM54" s="1997"/>
      <c r="IN54" s="1997"/>
      <c r="IO54" s="1997"/>
      <c r="IP54" s="1997"/>
      <c r="IQ54" s="1997"/>
    </row>
    <row r="55" spans="1:251" hidden="1">
      <c r="A55" s="1993"/>
      <c r="B55" s="1998"/>
      <c r="C55" s="1998"/>
      <c r="D55" s="2034"/>
      <c r="E55" s="1998"/>
      <c r="F55" s="1940">
        <f t="shared" si="14"/>
        <v>0</v>
      </c>
      <c r="G55" s="1993"/>
      <c r="H55" s="1940">
        <f t="shared" si="23"/>
        <v>0</v>
      </c>
      <c r="I55" s="1993"/>
      <c r="J55" s="1940">
        <f t="shared" si="5"/>
        <v>0</v>
      </c>
      <c r="K55" s="1993"/>
      <c r="L55" s="1940">
        <f t="shared" si="24"/>
        <v>0</v>
      </c>
      <c r="M55" s="1940">
        <f t="shared" si="25"/>
        <v>0</v>
      </c>
      <c r="N55" s="1940">
        <f t="shared" si="26"/>
        <v>0</v>
      </c>
      <c r="O55" s="1993"/>
      <c r="P55" s="1993"/>
      <c r="Q55" s="1940">
        <f t="shared" si="27"/>
        <v>0</v>
      </c>
      <c r="R55" s="1940">
        <f t="shared" si="9"/>
        <v>0</v>
      </c>
      <c r="S55" s="1940">
        <f t="shared" si="28"/>
        <v>0</v>
      </c>
      <c r="T55" s="1940">
        <f t="shared" si="29"/>
        <v>0</v>
      </c>
      <c r="U55" s="1940">
        <f t="shared" si="30"/>
        <v>0</v>
      </c>
      <c r="V55" s="1997"/>
      <c r="W55" s="1997"/>
      <c r="X55" s="1997"/>
      <c r="Y55" s="1997"/>
      <c r="Z55" s="1997"/>
      <c r="AA55" s="1997"/>
      <c r="AB55" s="1997"/>
      <c r="AC55" s="1997"/>
      <c r="AD55" s="1997"/>
      <c r="AE55" s="1997"/>
      <c r="AF55" s="1997"/>
      <c r="AG55" s="1997"/>
      <c r="AH55" s="1997"/>
      <c r="AI55" s="1997"/>
      <c r="AJ55" s="1997"/>
      <c r="AK55" s="1997"/>
      <c r="AL55" s="1997"/>
      <c r="AM55" s="1997"/>
      <c r="AN55" s="1997"/>
      <c r="AO55" s="1997"/>
      <c r="AP55" s="1997"/>
      <c r="AQ55" s="1997"/>
      <c r="AR55" s="1997"/>
      <c r="AS55" s="1997"/>
      <c r="AT55" s="1997"/>
      <c r="AU55" s="1997"/>
      <c r="AV55" s="1997"/>
      <c r="AW55" s="1997"/>
      <c r="AX55" s="1997"/>
      <c r="AY55" s="1997"/>
      <c r="AZ55" s="1997"/>
      <c r="BA55" s="1997"/>
      <c r="BB55" s="1997"/>
      <c r="BC55" s="1997"/>
      <c r="BD55" s="1997"/>
      <c r="BE55" s="1997"/>
      <c r="BF55" s="1997"/>
      <c r="BG55" s="1997"/>
      <c r="BH55" s="1997"/>
      <c r="BI55" s="1997"/>
      <c r="BJ55" s="1997"/>
      <c r="BK55" s="1997"/>
      <c r="BL55" s="1997"/>
      <c r="BM55" s="1997"/>
      <c r="BN55" s="1997"/>
      <c r="BO55" s="1997"/>
      <c r="BP55" s="1997"/>
      <c r="BQ55" s="1997"/>
      <c r="BR55" s="1997"/>
      <c r="BS55" s="1997"/>
      <c r="BT55" s="1997"/>
      <c r="BU55" s="1997"/>
      <c r="BV55" s="1997"/>
      <c r="BW55" s="1997"/>
      <c r="BX55" s="1997"/>
      <c r="BY55" s="1997"/>
      <c r="BZ55" s="1997"/>
      <c r="CA55" s="1997"/>
      <c r="CB55" s="1997"/>
      <c r="CC55" s="1997"/>
      <c r="CD55" s="1997"/>
      <c r="CE55" s="1997"/>
      <c r="CF55" s="1997"/>
      <c r="CG55" s="1997"/>
      <c r="CH55" s="1997"/>
      <c r="CI55" s="1997"/>
      <c r="CJ55" s="1997"/>
      <c r="CK55" s="1997"/>
      <c r="CL55" s="1997"/>
      <c r="CM55" s="1997"/>
      <c r="CN55" s="1997"/>
      <c r="CO55" s="1997"/>
      <c r="CP55" s="1997"/>
      <c r="CQ55" s="1997"/>
      <c r="CR55" s="1997"/>
      <c r="CS55" s="1997"/>
      <c r="CT55" s="1997"/>
      <c r="CU55" s="1997"/>
      <c r="CV55" s="1997"/>
      <c r="CW55" s="1997"/>
      <c r="CX55" s="1997"/>
      <c r="CY55" s="1997"/>
      <c r="CZ55" s="1997"/>
      <c r="DA55" s="1997"/>
      <c r="DB55" s="1997"/>
      <c r="DC55" s="1997"/>
      <c r="DD55" s="1997"/>
      <c r="DE55" s="1997"/>
      <c r="DF55" s="1997"/>
      <c r="DG55" s="1997"/>
      <c r="DH55" s="1997"/>
      <c r="DI55" s="1997"/>
      <c r="DJ55" s="1997"/>
      <c r="DK55" s="1997"/>
      <c r="DL55" s="1997"/>
      <c r="DM55" s="1997"/>
      <c r="DN55" s="1997"/>
      <c r="DO55" s="1997"/>
      <c r="DP55" s="1997"/>
      <c r="DQ55" s="1997"/>
      <c r="DR55" s="1997"/>
      <c r="DS55" s="1997"/>
      <c r="DT55" s="1997"/>
      <c r="DU55" s="1997"/>
      <c r="DV55" s="1997"/>
      <c r="DW55" s="1997"/>
      <c r="DX55" s="1997"/>
      <c r="DY55" s="1997"/>
      <c r="DZ55" s="1997"/>
      <c r="EA55" s="1997"/>
      <c r="EB55" s="1997"/>
      <c r="EC55" s="1997"/>
      <c r="ED55" s="1997"/>
      <c r="EE55" s="1997"/>
      <c r="EF55" s="1997"/>
      <c r="EG55" s="1997"/>
      <c r="EH55" s="1997"/>
      <c r="EI55" s="1997"/>
      <c r="EJ55" s="1997"/>
      <c r="EK55" s="1997"/>
      <c r="EL55" s="1997"/>
      <c r="EM55" s="1997"/>
      <c r="EN55" s="1997"/>
      <c r="EO55" s="1997"/>
      <c r="EP55" s="1997"/>
      <c r="EQ55" s="1997"/>
      <c r="ER55" s="1997"/>
      <c r="ES55" s="1997"/>
      <c r="ET55" s="1997"/>
      <c r="EU55" s="1997"/>
      <c r="EV55" s="1997"/>
      <c r="EW55" s="1997"/>
      <c r="EX55" s="1997"/>
      <c r="EY55" s="1997"/>
      <c r="EZ55" s="1997"/>
      <c r="FA55" s="1997"/>
      <c r="FB55" s="1997"/>
      <c r="FC55" s="1997"/>
      <c r="FD55" s="1997"/>
      <c r="FE55" s="1997"/>
      <c r="FF55" s="1997"/>
      <c r="FG55" s="1997"/>
      <c r="FH55" s="1997"/>
      <c r="FI55" s="1997"/>
      <c r="FJ55" s="1997"/>
      <c r="FK55" s="1997"/>
      <c r="FL55" s="1997"/>
      <c r="FM55" s="1997"/>
      <c r="FN55" s="1997"/>
      <c r="FO55" s="1997"/>
      <c r="FP55" s="1997"/>
      <c r="FQ55" s="1997"/>
      <c r="FR55" s="1997"/>
      <c r="FS55" s="1997"/>
      <c r="FT55" s="1997"/>
      <c r="FU55" s="1997"/>
      <c r="FV55" s="1997"/>
      <c r="FW55" s="1997"/>
      <c r="FX55" s="1997"/>
      <c r="FY55" s="1997"/>
      <c r="FZ55" s="1997"/>
      <c r="GA55" s="1997"/>
      <c r="GB55" s="1997"/>
      <c r="GC55" s="1997"/>
      <c r="GD55" s="1997"/>
      <c r="GE55" s="1997"/>
      <c r="GF55" s="1997"/>
      <c r="GG55" s="1997"/>
      <c r="GH55" s="1997"/>
      <c r="GI55" s="1997"/>
      <c r="GJ55" s="1997"/>
      <c r="GK55" s="1997"/>
      <c r="GL55" s="1997"/>
      <c r="GM55" s="1997"/>
      <c r="GN55" s="1997"/>
      <c r="GO55" s="1997"/>
      <c r="GP55" s="1997"/>
      <c r="GQ55" s="1997"/>
      <c r="GR55" s="1997"/>
      <c r="GS55" s="1997"/>
      <c r="GT55" s="1997"/>
      <c r="GU55" s="1997"/>
      <c r="GV55" s="1997"/>
      <c r="GW55" s="1997"/>
      <c r="GX55" s="1997"/>
      <c r="GY55" s="1997"/>
      <c r="GZ55" s="1997"/>
      <c r="HA55" s="1997"/>
      <c r="HB55" s="1997"/>
      <c r="HC55" s="1997"/>
      <c r="HD55" s="1997"/>
      <c r="HE55" s="1997"/>
      <c r="HF55" s="1997"/>
      <c r="HG55" s="1997"/>
      <c r="HH55" s="1997"/>
      <c r="HI55" s="1997"/>
      <c r="HJ55" s="1997"/>
      <c r="HK55" s="1997"/>
      <c r="HL55" s="1997"/>
      <c r="HM55" s="1997"/>
      <c r="HN55" s="1997"/>
      <c r="HO55" s="1997"/>
      <c r="HP55" s="1997"/>
      <c r="HQ55" s="1997"/>
      <c r="HR55" s="1997"/>
      <c r="HS55" s="1997"/>
      <c r="HT55" s="1997"/>
      <c r="HU55" s="1997"/>
      <c r="HV55" s="1997"/>
      <c r="HW55" s="1997"/>
      <c r="HX55" s="1997"/>
      <c r="HY55" s="1997"/>
      <c r="HZ55" s="1997"/>
      <c r="IA55" s="1997"/>
      <c r="IB55" s="1997"/>
      <c r="IC55" s="1997"/>
      <c r="ID55" s="1997"/>
      <c r="IE55" s="1997"/>
      <c r="IF55" s="1997"/>
      <c r="IG55" s="1997"/>
      <c r="IH55" s="1997"/>
      <c r="II55" s="1997"/>
      <c r="IJ55" s="1997"/>
      <c r="IK55" s="1997"/>
      <c r="IL55" s="1997"/>
      <c r="IM55" s="1997"/>
      <c r="IN55" s="1997"/>
      <c r="IO55" s="1997"/>
      <c r="IP55" s="1997"/>
      <c r="IQ55" s="1997"/>
    </row>
    <row r="56" spans="1:251" hidden="1">
      <c r="A56" s="1993"/>
      <c r="B56" s="1998"/>
      <c r="C56" s="1998"/>
      <c r="D56" s="2034"/>
      <c r="E56" s="1998"/>
      <c r="F56" s="1940">
        <f t="shared" si="14"/>
        <v>0</v>
      </c>
      <c r="G56" s="1993"/>
      <c r="H56" s="1940">
        <f t="shared" si="23"/>
        <v>0</v>
      </c>
      <c r="I56" s="1993"/>
      <c r="J56" s="1940">
        <f t="shared" si="5"/>
        <v>0</v>
      </c>
      <c r="K56" s="1993"/>
      <c r="L56" s="1940">
        <f t="shared" si="24"/>
        <v>0</v>
      </c>
      <c r="M56" s="1940">
        <f t="shared" si="25"/>
        <v>0</v>
      </c>
      <c r="N56" s="1940">
        <f t="shared" si="26"/>
        <v>0</v>
      </c>
      <c r="O56" s="1993"/>
      <c r="P56" s="1993"/>
      <c r="Q56" s="1940">
        <f t="shared" si="27"/>
        <v>0</v>
      </c>
      <c r="R56" s="1940">
        <f t="shared" si="9"/>
        <v>0</v>
      </c>
      <c r="S56" s="1940">
        <f t="shared" si="28"/>
        <v>0</v>
      </c>
      <c r="T56" s="1940">
        <f t="shared" si="29"/>
        <v>0</v>
      </c>
      <c r="U56" s="1940">
        <f t="shared" si="30"/>
        <v>0</v>
      </c>
      <c r="V56" s="1997"/>
      <c r="W56" s="1997"/>
      <c r="X56" s="1997"/>
      <c r="Y56" s="1997"/>
      <c r="Z56" s="1997"/>
      <c r="AA56" s="1997"/>
      <c r="AB56" s="1997"/>
      <c r="AC56" s="1997"/>
      <c r="AD56" s="1997"/>
      <c r="AE56" s="1997"/>
      <c r="AF56" s="1997"/>
      <c r="AG56" s="1997"/>
      <c r="AH56" s="1997"/>
      <c r="AI56" s="1997"/>
      <c r="AJ56" s="1997"/>
      <c r="AK56" s="1997"/>
      <c r="AL56" s="1997"/>
      <c r="AM56" s="1997"/>
      <c r="AN56" s="1997"/>
      <c r="AO56" s="1997"/>
      <c r="AP56" s="1997"/>
      <c r="AQ56" s="1997"/>
      <c r="AR56" s="1997"/>
      <c r="AS56" s="1997"/>
      <c r="AT56" s="1997"/>
      <c r="AU56" s="1997"/>
      <c r="AV56" s="1997"/>
      <c r="AW56" s="1997"/>
      <c r="AX56" s="1997"/>
      <c r="AY56" s="1997"/>
      <c r="AZ56" s="1997"/>
      <c r="BA56" s="1997"/>
      <c r="BB56" s="1997"/>
      <c r="BC56" s="1997"/>
      <c r="BD56" s="1997"/>
      <c r="BE56" s="1997"/>
      <c r="BF56" s="1997"/>
      <c r="BG56" s="1997"/>
      <c r="BH56" s="1997"/>
      <c r="BI56" s="1997"/>
      <c r="BJ56" s="1997"/>
      <c r="BK56" s="1997"/>
      <c r="BL56" s="1997"/>
      <c r="BM56" s="1997"/>
      <c r="BN56" s="1997"/>
      <c r="BO56" s="1997"/>
      <c r="BP56" s="1997"/>
      <c r="BQ56" s="1997"/>
      <c r="BR56" s="1997"/>
      <c r="BS56" s="1997"/>
      <c r="BT56" s="1997"/>
      <c r="BU56" s="1997"/>
      <c r="BV56" s="1997"/>
      <c r="BW56" s="1997"/>
      <c r="BX56" s="1997"/>
      <c r="BY56" s="1997"/>
      <c r="BZ56" s="1997"/>
      <c r="CA56" s="1997"/>
      <c r="CB56" s="1997"/>
      <c r="CC56" s="1997"/>
      <c r="CD56" s="1997"/>
      <c r="CE56" s="1997"/>
      <c r="CF56" s="1997"/>
      <c r="CG56" s="1997"/>
      <c r="CH56" s="1997"/>
      <c r="CI56" s="1997"/>
      <c r="CJ56" s="1997"/>
      <c r="CK56" s="1997"/>
      <c r="CL56" s="1997"/>
      <c r="CM56" s="1997"/>
      <c r="CN56" s="1997"/>
      <c r="CO56" s="1997"/>
      <c r="CP56" s="1997"/>
      <c r="CQ56" s="1997"/>
      <c r="CR56" s="1997"/>
      <c r="CS56" s="1997"/>
      <c r="CT56" s="1997"/>
      <c r="CU56" s="1997"/>
      <c r="CV56" s="1997"/>
      <c r="CW56" s="1997"/>
      <c r="CX56" s="1997"/>
      <c r="CY56" s="1997"/>
      <c r="CZ56" s="1997"/>
      <c r="DA56" s="1997"/>
      <c r="DB56" s="1997"/>
      <c r="DC56" s="1997"/>
      <c r="DD56" s="1997"/>
      <c r="DE56" s="1997"/>
      <c r="DF56" s="1997"/>
      <c r="DG56" s="1997"/>
      <c r="DH56" s="1997"/>
      <c r="DI56" s="1997"/>
      <c r="DJ56" s="1997"/>
      <c r="DK56" s="1997"/>
      <c r="DL56" s="1997"/>
      <c r="DM56" s="1997"/>
      <c r="DN56" s="1997"/>
      <c r="DO56" s="1997"/>
      <c r="DP56" s="1997"/>
      <c r="DQ56" s="1997"/>
      <c r="DR56" s="1997"/>
      <c r="DS56" s="1997"/>
      <c r="DT56" s="1997"/>
      <c r="DU56" s="1997"/>
      <c r="DV56" s="1997"/>
      <c r="DW56" s="1997"/>
      <c r="DX56" s="1997"/>
      <c r="DY56" s="1997"/>
      <c r="DZ56" s="1997"/>
      <c r="EA56" s="1997"/>
      <c r="EB56" s="1997"/>
      <c r="EC56" s="1997"/>
      <c r="ED56" s="1997"/>
      <c r="EE56" s="1997"/>
      <c r="EF56" s="1997"/>
      <c r="EG56" s="1997"/>
      <c r="EH56" s="1997"/>
      <c r="EI56" s="1997"/>
      <c r="EJ56" s="1997"/>
      <c r="EK56" s="1997"/>
      <c r="EL56" s="1997"/>
      <c r="EM56" s="1997"/>
      <c r="EN56" s="1997"/>
      <c r="EO56" s="1997"/>
      <c r="EP56" s="1997"/>
      <c r="EQ56" s="1997"/>
      <c r="ER56" s="1997"/>
      <c r="ES56" s="1997"/>
      <c r="ET56" s="1997"/>
      <c r="EU56" s="1997"/>
      <c r="EV56" s="1997"/>
      <c r="EW56" s="1997"/>
      <c r="EX56" s="1997"/>
      <c r="EY56" s="1997"/>
      <c r="EZ56" s="1997"/>
      <c r="FA56" s="1997"/>
      <c r="FB56" s="1997"/>
      <c r="FC56" s="1997"/>
      <c r="FD56" s="1997"/>
      <c r="FE56" s="1997"/>
      <c r="FF56" s="1997"/>
      <c r="FG56" s="1997"/>
      <c r="FH56" s="1997"/>
      <c r="FI56" s="1997"/>
      <c r="FJ56" s="1997"/>
      <c r="FK56" s="1997"/>
      <c r="FL56" s="1997"/>
      <c r="FM56" s="1997"/>
      <c r="FN56" s="1997"/>
      <c r="FO56" s="1997"/>
      <c r="FP56" s="1997"/>
      <c r="FQ56" s="1997"/>
      <c r="FR56" s="1997"/>
      <c r="FS56" s="1997"/>
      <c r="FT56" s="1997"/>
      <c r="FU56" s="1997"/>
      <c r="FV56" s="1997"/>
      <c r="FW56" s="1997"/>
      <c r="FX56" s="1997"/>
      <c r="FY56" s="1997"/>
      <c r="FZ56" s="1997"/>
      <c r="GA56" s="1997"/>
      <c r="GB56" s="1997"/>
      <c r="GC56" s="1997"/>
      <c r="GD56" s="1997"/>
      <c r="GE56" s="1997"/>
      <c r="GF56" s="1997"/>
      <c r="GG56" s="1997"/>
      <c r="GH56" s="1997"/>
      <c r="GI56" s="1997"/>
      <c r="GJ56" s="1997"/>
      <c r="GK56" s="1997"/>
      <c r="GL56" s="1997"/>
      <c r="GM56" s="1997"/>
      <c r="GN56" s="1997"/>
      <c r="GO56" s="1997"/>
      <c r="GP56" s="1997"/>
      <c r="GQ56" s="1997"/>
      <c r="GR56" s="1997"/>
      <c r="GS56" s="1997"/>
      <c r="GT56" s="1997"/>
      <c r="GU56" s="1997"/>
      <c r="GV56" s="1997"/>
      <c r="GW56" s="1997"/>
      <c r="GX56" s="1997"/>
      <c r="GY56" s="1997"/>
      <c r="GZ56" s="1997"/>
      <c r="HA56" s="1997"/>
      <c r="HB56" s="1997"/>
      <c r="HC56" s="1997"/>
      <c r="HD56" s="1997"/>
      <c r="HE56" s="1997"/>
      <c r="HF56" s="1997"/>
      <c r="HG56" s="1997"/>
      <c r="HH56" s="1997"/>
      <c r="HI56" s="1997"/>
      <c r="HJ56" s="1997"/>
      <c r="HK56" s="1997"/>
      <c r="HL56" s="1997"/>
      <c r="HM56" s="1997"/>
      <c r="HN56" s="1997"/>
      <c r="HO56" s="1997"/>
      <c r="HP56" s="1997"/>
      <c r="HQ56" s="1997"/>
      <c r="HR56" s="1997"/>
      <c r="HS56" s="1997"/>
      <c r="HT56" s="1997"/>
      <c r="HU56" s="1997"/>
      <c r="HV56" s="1997"/>
      <c r="HW56" s="1997"/>
      <c r="HX56" s="1997"/>
      <c r="HY56" s="1997"/>
      <c r="HZ56" s="1997"/>
      <c r="IA56" s="1997"/>
      <c r="IB56" s="1997"/>
      <c r="IC56" s="1997"/>
      <c r="ID56" s="1997"/>
      <c r="IE56" s="1997"/>
      <c r="IF56" s="1997"/>
      <c r="IG56" s="1997"/>
      <c r="IH56" s="1997"/>
      <c r="II56" s="1997"/>
      <c r="IJ56" s="1997"/>
      <c r="IK56" s="1997"/>
      <c r="IL56" s="1997"/>
      <c r="IM56" s="1997"/>
      <c r="IN56" s="1997"/>
      <c r="IO56" s="1997"/>
      <c r="IP56" s="1997"/>
      <c r="IQ56" s="1997"/>
    </row>
    <row r="57" spans="1:251" hidden="1">
      <c r="A57" s="1993"/>
      <c r="B57" s="1998"/>
      <c r="C57" s="1998"/>
      <c r="D57" s="2034"/>
      <c r="E57" s="1998"/>
      <c r="F57" s="1940">
        <f t="shared" si="14"/>
        <v>0</v>
      </c>
      <c r="G57" s="1993"/>
      <c r="H57" s="1940">
        <f t="shared" si="23"/>
        <v>0</v>
      </c>
      <c r="I57" s="1993"/>
      <c r="J57" s="1940">
        <f t="shared" si="5"/>
        <v>0</v>
      </c>
      <c r="K57" s="1993"/>
      <c r="L57" s="1940">
        <f t="shared" si="24"/>
        <v>0</v>
      </c>
      <c r="M57" s="1940">
        <f t="shared" si="25"/>
        <v>0</v>
      </c>
      <c r="N57" s="1940">
        <f t="shared" si="26"/>
        <v>0</v>
      </c>
      <c r="O57" s="1993"/>
      <c r="P57" s="1993"/>
      <c r="Q57" s="1940">
        <f t="shared" si="27"/>
        <v>0</v>
      </c>
      <c r="R57" s="1940">
        <f t="shared" si="9"/>
        <v>0</v>
      </c>
      <c r="S57" s="1940">
        <f t="shared" si="28"/>
        <v>0</v>
      </c>
      <c r="T57" s="1940">
        <f t="shared" si="29"/>
        <v>0</v>
      </c>
      <c r="U57" s="1940">
        <f t="shared" si="30"/>
        <v>0</v>
      </c>
      <c r="V57" s="1997"/>
      <c r="W57" s="1997"/>
      <c r="X57" s="1997"/>
      <c r="Y57" s="1997"/>
      <c r="Z57" s="1997"/>
      <c r="AA57" s="1997"/>
      <c r="AB57" s="1997"/>
      <c r="AC57" s="1997"/>
      <c r="AD57" s="1997"/>
      <c r="AE57" s="1997"/>
      <c r="AF57" s="1997"/>
      <c r="AG57" s="1997"/>
      <c r="AH57" s="1997"/>
      <c r="AI57" s="1997"/>
      <c r="AJ57" s="1997"/>
      <c r="AK57" s="1997"/>
      <c r="AL57" s="1997"/>
      <c r="AM57" s="1997"/>
      <c r="AN57" s="1997"/>
      <c r="AO57" s="1997"/>
      <c r="AP57" s="1997"/>
      <c r="AQ57" s="1997"/>
      <c r="AR57" s="1997"/>
      <c r="AS57" s="1997"/>
      <c r="AT57" s="1997"/>
      <c r="AU57" s="1997"/>
      <c r="AV57" s="1997"/>
      <c r="AW57" s="1997"/>
      <c r="AX57" s="1997"/>
      <c r="AY57" s="1997"/>
      <c r="AZ57" s="1997"/>
      <c r="BA57" s="1997"/>
      <c r="BB57" s="1997"/>
      <c r="BC57" s="1997"/>
      <c r="BD57" s="1997"/>
      <c r="BE57" s="1997"/>
      <c r="BF57" s="1997"/>
      <c r="BG57" s="1997"/>
      <c r="BH57" s="1997"/>
      <c r="BI57" s="1997"/>
      <c r="BJ57" s="1997"/>
      <c r="BK57" s="1997"/>
      <c r="BL57" s="1997"/>
      <c r="BM57" s="1997"/>
      <c r="BN57" s="1997"/>
      <c r="BO57" s="1997"/>
      <c r="BP57" s="1997"/>
      <c r="BQ57" s="1997"/>
      <c r="BR57" s="1997"/>
      <c r="BS57" s="1997"/>
      <c r="BT57" s="1997"/>
      <c r="BU57" s="1997"/>
      <c r="BV57" s="1997"/>
      <c r="BW57" s="1997"/>
      <c r="BX57" s="1997"/>
      <c r="BY57" s="1997"/>
      <c r="BZ57" s="1997"/>
      <c r="CA57" s="1997"/>
      <c r="CB57" s="1997"/>
      <c r="CC57" s="1997"/>
      <c r="CD57" s="1997"/>
      <c r="CE57" s="1997"/>
      <c r="CF57" s="1997"/>
      <c r="CG57" s="1997"/>
      <c r="CH57" s="1997"/>
      <c r="CI57" s="1997"/>
      <c r="CJ57" s="1997"/>
      <c r="CK57" s="1997"/>
      <c r="CL57" s="1997"/>
      <c r="CM57" s="1997"/>
      <c r="CN57" s="1997"/>
      <c r="CO57" s="1997"/>
      <c r="CP57" s="1997"/>
      <c r="CQ57" s="1997"/>
      <c r="CR57" s="1997"/>
      <c r="CS57" s="1997"/>
      <c r="CT57" s="1997"/>
      <c r="CU57" s="1997"/>
      <c r="CV57" s="1997"/>
      <c r="CW57" s="1997"/>
      <c r="CX57" s="1997"/>
      <c r="CY57" s="1997"/>
      <c r="CZ57" s="1997"/>
      <c r="DA57" s="1997"/>
      <c r="DB57" s="1997"/>
      <c r="DC57" s="1997"/>
      <c r="DD57" s="1997"/>
      <c r="DE57" s="1997"/>
      <c r="DF57" s="1997"/>
      <c r="DG57" s="1997"/>
      <c r="DH57" s="1997"/>
      <c r="DI57" s="1997"/>
      <c r="DJ57" s="1997"/>
      <c r="DK57" s="1997"/>
      <c r="DL57" s="1997"/>
      <c r="DM57" s="1997"/>
      <c r="DN57" s="1997"/>
      <c r="DO57" s="1997"/>
      <c r="DP57" s="1997"/>
      <c r="DQ57" s="1997"/>
      <c r="DR57" s="1997"/>
      <c r="DS57" s="1997"/>
      <c r="DT57" s="1997"/>
      <c r="DU57" s="1997"/>
      <c r="DV57" s="1997"/>
      <c r="DW57" s="1997"/>
      <c r="DX57" s="1997"/>
      <c r="DY57" s="1997"/>
      <c r="DZ57" s="1997"/>
      <c r="EA57" s="1997"/>
      <c r="EB57" s="1997"/>
      <c r="EC57" s="1997"/>
      <c r="ED57" s="1997"/>
      <c r="EE57" s="1997"/>
      <c r="EF57" s="1997"/>
      <c r="EG57" s="1997"/>
      <c r="EH57" s="1997"/>
      <c r="EI57" s="1997"/>
      <c r="EJ57" s="1997"/>
      <c r="EK57" s="1997"/>
      <c r="EL57" s="1997"/>
      <c r="EM57" s="1997"/>
      <c r="EN57" s="1997"/>
      <c r="EO57" s="1997"/>
      <c r="EP57" s="1997"/>
      <c r="EQ57" s="1997"/>
      <c r="ER57" s="1997"/>
      <c r="ES57" s="1997"/>
      <c r="ET57" s="1997"/>
      <c r="EU57" s="1997"/>
      <c r="EV57" s="1997"/>
      <c r="EW57" s="1997"/>
      <c r="EX57" s="1997"/>
      <c r="EY57" s="1997"/>
      <c r="EZ57" s="1997"/>
      <c r="FA57" s="1997"/>
      <c r="FB57" s="1997"/>
      <c r="FC57" s="1997"/>
      <c r="FD57" s="1997"/>
      <c r="FE57" s="1997"/>
      <c r="FF57" s="1997"/>
      <c r="FG57" s="1997"/>
      <c r="FH57" s="1997"/>
      <c r="FI57" s="1997"/>
      <c r="FJ57" s="1997"/>
      <c r="FK57" s="1997"/>
      <c r="FL57" s="1997"/>
      <c r="FM57" s="1997"/>
      <c r="FN57" s="1997"/>
      <c r="FO57" s="1997"/>
      <c r="FP57" s="1997"/>
      <c r="FQ57" s="1997"/>
      <c r="FR57" s="1997"/>
      <c r="FS57" s="1997"/>
      <c r="FT57" s="1997"/>
      <c r="FU57" s="1997"/>
      <c r="FV57" s="1997"/>
      <c r="FW57" s="1997"/>
      <c r="FX57" s="1997"/>
      <c r="FY57" s="1997"/>
      <c r="FZ57" s="1997"/>
      <c r="GA57" s="1997"/>
      <c r="GB57" s="1997"/>
      <c r="GC57" s="1997"/>
      <c r="GD57" s="1997"/>
      <c r="GE57" s="1997"/>
      <c r="GF57" s="1997"/>
      <c r="GG57" s="1997"/>
      <c r="GH57" s="1997"/>
      <c r="GI57" s="1997"/>
      <c r="GJ57" s="1997"/>
      <c r="GK57" s="1997"/>
      <c r="GL57" s="1997"/>
      <c r="GM57" s="1997"/>
      <c r="GN57" s="1997"/>
      <c r="GO57" s="1997"/>
      <c r="GP57" s="1997"/>
      <c r="GQ57" s="1997"/>
      <c r="GR57" s="1997"/>
      <c r="GS57" s="1997"/>
      <c r="GT57" s="1997"/>
      <c r="GU57" s="1997"/>
      <c r="GV57" s="1997"/>
      <c r="GW57" s="1997"/>
      <c r="GX57" s="1997"/>
      <c r="GY57" s="1997"/>
      <c r="GZ57" s="1997"/>
      <c r="HA57" s="1997"/>
      <c r="HB57" s="1997"/>
      <c r="HC57" s="1997"/>
      <c r="HD57" s="1997"/>
      <c r="HE57" s="1997"/>
      <c r="HF57" s="1997"/>
      <c r="HG57" s="1997"/>
      <c r="HH57" s="1997"/>
      <c r="HI57" s="1997"/>
      <c r="HJ57" s="1997"/>
      <c r="HK57" s="1997"/>
      <c r="HL57" s="1997"/>
      <c r="HM57" s="1997"/>
      <c r="HN57" s="1997"/>
      <c r="HO57" s="1997"/>
      <c r="HP57" s="1997"/>
      <c r="HQ57" s="1997"/>
      <c r="HR57" s="1997"/>
      <c r="HS57" s="1997"/>
      <c r="HT57" s="1997"/>
      <c r="HU57" s="1997"/>
      <c r="HV57" s="1997"/>
      <c r="HW57" s="1997"/>
      <c r="HX57" s="1997"/>
      <c r="HY57" s="1997"/>
      <c r="HZ57" s="1997"/>
      <c r="IA57" s="1997"/>
      <c r="IB57" s="1997"/>
      <c r="IC57" s="1997"/>
      <c r="ID57" s="1997"/>
      <c r="IE57" s="1997"/>
      <c r="IF57" s="1997"/>
      <c r="IG57" s="1997"/>
      <c r="IH57" s="1997"/>
      <c r="II57" s="1997"/>
      <c r="IJ57" s="1997"/>
      <c r="IK57" s="1997"/>
      <c r="IL57" s="1997"/>
      <c r="IM57" s="1997"/>
      <c r="IN57" s="1997"/>
      <c r="IO57" s="1997"/>
      <c r="IP57" s="1997"/>
      <c r="IQ57" s="1997"/>
    </row>
    <row r="58" spans="1:251" hidden="1">
      <c r="A58" s="1993"/>
      <c r="B58" s="1998"/>
      <c r="C58" s="1998"/>
      <c r="D58" s="2034"/>
      <c r="E58" s="1998"/>
      <c r="F58" s="1940">
        <f t="shared" si="14"/>
        <v>0</v>
      </c>
      <c r="G58" s="1993"/>
      <c r="H58" s="1940">
        <f t="shared" si="23"/>
        <v>0</v>
      </c>
      <c r="I58" s="1993"/>
      <c r="J58" s="1940">
        <f t="shared" si="5"/>
        <v>0</v>
      </c>
      <c r="K58" s="1993"/>
      <c r="L58" s="1940">
        <f t="shared" si="24"/>
        <v>0</v>
      </c>
      <c r="M58" s="1940">
        <f t="shared" si="25"/>
        <v>0</v>
      </c>
      <c r="N58" s="1940">
        <f t="shared" si="26"/>
        <v>0</v>
      </c>
      <c r="O58" s="1993"/>
      <c r="P58" s="1993"/>
      <c r="Q58" s="1940">
        <f t="shared" si="27"/>
        <v>0</v>
      </c>
      <c r="R58" s="1940">
        <f t="shared" si="9"/>
        <v>0</v>
      </c>
      <c r="S58" s="1940">
        <f t="shared" si="28"/>
        <v>0</v>
      </c>
      <c r="T58" s="1940">
        <f t="shared" si="29"/>
        <v>0</v>
      </c>
      <c r="U58" s="1940">
        <f t="shared" si="30"/>
        <v>0</v>
      </c>
      <c r="V58" s="1997"/>
      <c r="W58" s="1997"/>
      <c r="X58" s="1997"/>
      <c r="Y58" s="1997"/>
      <c r="Z58" s="1997"/>
      <c r="AA58" s="1997"/>
      <c r="AB58" s="1997"/>
      <c r="AC58" s="1997"/>
      <c r="AD58" s="1997"/>
      <c r="AE58" s="1997"/>
      <c r="AF58" s="1997"/>
      <c r="AG58" s="1997"/>
      <c r="AH58" s="1997"/>
      <c r="AI58" s="1997"/>
      <c r="AJ58" s="1997"/>
      <c r="AK58" s="1997"/>
      <c r="AL58" s="1997"/>
      <c r="AM58" s="1997"/>
      <c r="AN58" s="1997"/>
      <c r="AO58" s="1997"/>
      <c r="AP58" s="1997"/>
      <c r="AQ58" s="1997"/>
      <c r="AR58" s="1997"/>
      <c r="AS58" s="1997"/>
      <c r="AT58" s="1997"/>
      <c r="AU58" s="1997"/>
      <c r="AV58" s="1997"/>
      <c r="AW58" s="1997"/>
      <c r="AX58" s="1997"/>
      <c r="AY58" s="1997"/>
      <c r="AZ58" s="1997"/>
      <c r="BA58" s="1997"/>
      <c r="BB58" s="1997"/>
      <c r="BC58" s="1997"/>
      <c r="BD58" s="1997"/>
      <c r="BE58" s="1997"/>
      <c r="BF58" s="1997"/>
      <c r="BG58" s="1997"/>
      <c r="BH58" s="1997"/>
      <c r="BI58" s="1997"/>
      <c r="BJ58" s="1997"/>
      <c r="BK58" s="1997"/>
      <c r="BL58" s="1997"/>
      <c r="BM58" s="1997"/>
      <c r="BN58" s="1997"/>
      <c r="BO58" s="1997"/>
      <c r="BP58" s="1997"/>
      <c r="BQ58" s="1997"/>
      <c r="BR58" s="1997"/>
      <c r="BS58" s="1997"/>
      <c r="BT58" s="1997"/>
      <c r="BU58" s="1997"/>
      <c r="BV58" s="1997"/>
      <c r="BW58" s="1997"/>
      <c r="BX58" s="1997"/>
      <c r="BY58" s="1997"/>
      <c r="BZ58" s="1997"/>
      <c r="CA58" s="1997"/>
      <c r="CB58" s="1997"/>
      <c r="CC58" s="1997"/>
      <c r="CD58" s="1997"/>
      <c r="CE58" s="1997"/>
      <c r="CF58" s="1997"/>
      <c r="CG58" s="1997"/>
      <c r="CH58" s="1997"/>
      <c r="CI58" s="1997"/>
      <c r="CJ58" s="1997"/>
      <c r="CK58" s="1997"/>
      <c r="CL58" s="1997"/>
      <c r="CM58" s="1997"/>
      <c r="CN58" s="1997"/>
      <c r="CO58" s="1997"/>
      <c r="CP58" s="1997"/>
      <c r="CQ58" s="1997"/>
      <c r="CR58" s="1997"/>
      <c r="CS58" s="1997"/>
      <c r="CT58" s="1997"/>
      <c r="CU58" s="1997"/>
      <c r="CV58" s="1997"/>
      <c r="CW58" s="1997"/>
      <c r="CX58" s="1997"/>
      <c r="CY58" s="1997"/>
      <c r="CZ58" s="1997"/>
      <c r="DA58" s="1997"/>
      <c r="DB58" s="1997"/>
      <c r="DC58" s="1997"/>
      <c r="DD58" s="1997"/>
      <c r="DE58" s="1997"/>
      <c r="DF58" s="1997"/>
      <c r="DG58" s="1997"/>
      <c r="DH58" s="1997"/>
      <c r="DI58" s="1997"/>
      <c r="DJ58" s="1997"/>
      <c r="DK58" s="1997"/>
      <c r="DL58" s="1997"/>
      <c r="DM58" s="1997"/>
      <c r="DN58" s="1997"/>
      <c r="DO58" s="1997"/>
      <c r="DP58" s="1997"/>
      <c r="DQ58" s="1997"/>
      <c r="DR58" s="1997"/>
      <c r="DS58" s="1997"/>
      <c r="DT58" s="1997"/>
      <c r="DU58" s="1997"/>
      <c r="DV58" s="1997"/>
      <c r="DW58" s="1997"/>
      <c r="DX58" s="1997"/>
      <c r="DY58" s="1997"/>
      <c r="DZ58" s="1997"/>
      <c r="EA58" s="1997"/>
      <c r="EB58" s="1997"/>
      <c r="EC58" s="1997"/>
      <c r="ED58" s="1997"/>
      <c r="EE58" s="1997"/>
      <c r="EF58" s="1997"/>
      <c r="EG58" s="1997"/>
      <c r="EH58" s="1997"/>
      <c r="EI58" s="1997"/>
      <c r="EJ58" s="1997"/>
      <c r="EK58" s="1997"/>
      <c r="EL58" s="1997"/>
      <c r="EM58" s="1997"/>
      <c r="EN58" s="1997"/>
      <c r="EO58" s="1997"/>
      <c r="EP58" s="1997"/>
      <c r="EQ58" s="1997"/>
      <c r="ER58" s="1997"/>
      <c r="ES58" s="1997"/>
      <c r="ET58" s="1997"/>
      <c r="EU58" s="1997"/>
      <c r="EV58" s="1997"/>
      <c r="EW58" s="1997"/>
      <c r="EX58" s="1997"/>
      <c r="EY58" s="1997"/>
      <c r="EZ58" s="1997"/>
      <c r="FA58" s="1997"/>
      <c r="FB58" s="1997"/>
      <c r="FC58" s="1997"/>
      <c r="FD58" s="1997"/>
      <c r="FE58" s="1997"/>
      <c r="FF58" s="1997"/>
      <c r="FG58" s="1997"/>
      <c r="FH58" s="1997"/>
      <c r="FI58" s="1997"/>
      <c r="FJ58" s="1997"/>
      <c r="FK58" s="1997"/>
      <c r="FL58" s="1997"/>
      <c r="FM58" s="1997"/>
      <c r="FN58" s="1997"/>
      <c r="FO58" s="1997"/>
      <c r="FP58" s="1997"/>
      <c r="FQ58" s="1997"/>
      <c r="FR58" s="1997"/>
      <c r="FS58" s="1997"/>
      <c r="FT58" s="1997"/>
      <c r="FU58" s="1997"/>
      <c r="FV58" s="1997"/>
      <c r="FW58" s="1997"/>
      <c r="FX58" s="1997"/>
      <c r="FY58" s="1997"/>
      <c r="FZ58" s="1997"/>
      <c r="GA58" s="1997"/>
      <c r="GB58" s="1997"/>
      <c r="GC58" s="1997"/>
      <c r="GD58" s="1997"/>
      <c r="GE58" s="1997"/>
      <c r="GF58" s="1997"/>
      <c r="GG58" s="1997"/>
      <c r="GH58" s="1997"/>
      <c r="GI58" s="1997"/>
      <c r="GJ58" s="1997"/>
      <c r="GK58" s="1997"/>
      <c r="GL58" s="1997"/>
      <c r="GM58" s="1997"/>
      <c r="GN58" s="1997"/>
      <c r="GO58" s="1997"/>
      <c r="GP58" s="1997"/>
      <c r="GQ58" s="1997"/>
      <c r="GR58" s="1997"/>
      <c r="GS58" s="1997"/>
      <c r="GT58" s="1997"/>
      <c r="GU58" s="1997"/>
      <c r="GV58" s="1997"/>
      <c r="GW58" s="1997"/>
      <c r="GX58" s="1997"/>
      <c r="GY58" s="1997"/>
      <c r="GZ58" s="1997"/>
      <c r="HA58" s="1997"/>
      <c r="HB58" s="1997"/>
      <c r="HC58" s="1997"/>
      <c r="HD58" s="1997"/>
      <c r="HE58" s="1997"/>
      <c r="HF58" s="1997"/>
      <c r="HG58" s="1997"/>
      <c r="HH58" s="1997"/>
      <c r="HI58" s="1997"/>
      <c r="HJ58" s="1997"/>
      <c r="HK58" s="1997"/>
      <c r="HL58" s="1997"/>
      <c r="HM58" s="1997"/>
      <c r="HN58" s="1997"/>
      <c r="HO58" s="1997"/>
      <c r="HP58" s="1997"/>
      <c r="HQ58" s="1997"/>
      <c r="HR58" s="1997"/>
      <c r="HS58" s="1997"/>
      <c r="HT58" s="1997"/>
      <c r="HU58" s="1997"/>
      <c r="HV58" s="1997"/>
      <c r="HW58" s="1997"/>
      <c r="HX58" s="1997"/>
      <c r="HY58" s="1997"/>
      <c r="HZ58" s="1997"/>
      <c r="IA58" s="1997"/>
      <c r="IB58" s="1997"/>
      <c r="IC58" s="1997"/>
      <c r="ID58" s="1997"/>
      <c r="IE58" s="1997"/>
      <c r="IF58" s="1997"/>
      <c r="IG58" s="1997"/>
      <c r="IH58" s="1997"/>
      <c r="II58" s="1997"/>
      <c r="IJ58" s="1997"/>
      <c r="IK58" s="1997"/>
      <c r="IL58" s="1997"/>
      <c r="IM58" s="1997"/>
      <c r="IN58" s="1997"/>
      <c r="IO58" s="1997"/>
      <c r="IP58" s="1997"/>
      <c r="IQ58" s="1997"/>
    </row>
    <row r="59" spans="1:251" hidden="1">
      <c r="A59" s="1993"/>
      <c r="B59" s="1998"/>
      <c r="C59" s="1998"/>
      <c r="D59" s="2034"/>
      <c r="E59" s="1998"/>
      <c r="F59" s="1940">
        <f t="shared" si="14"/>
        <v>0</v>
      </c>
      <c r="G59" s="1993"/>
      <c r="H59" s="1940">
        <f t="shared" si="23"/>
        <v>0</v>
      </c>
      <c r="I59" s="1993"/>
      <c r="J59" s="1940">
        <f t="shared" si="5"/>
        <v>0</v>
      </c>
      <c r="K59" s="1993"/>
      <c r="L59" s="1940">
        <f t="shared" si="24"/>
        <v>0</v>
      </c>
      <c r="M59" s="1940">
        <f t="shared" si="25"/>
        <v>0</v>
      </c>
      <c r="N59" s="1940">
        <f t="shared" si="26"/>
        <v>0</v>
      </c>
      <c r="O59" s="1993"/>
      <c r="P59" s="1993"/>
      <c r="Q59" s="1940">
        <f t="shared" si="27"/>
        <v>0</v>
      </c>
      <c r="R59" s="1940">
        <f t="shared" si="9"/>
        <v>0</v>
      </c>
      <c r="S59" s="1940">
        <f t="shared" si="28"/>
        <v>0</v>
      </c>
      <c r="T59" s="1940">
        <f t="shared" si="29"/>
        <v>0</v>
      </c>
      <c r="U59" s="1940">
        <f t="shared" si="30"/>
        <v>0</v>
      </c>
      <c r="V59" s="1997"/>
      <c r="W59" s="1997"/>
      <c r="X59" s="1997"/>
      <c r="Y59" s="1997"/>
      <c r="Z59" s="1997"/>
      <c r="AA59" s="1997"/>
      <c r="AB59" s="1997"/>
      <c r="AC59" s="1997"/>
      <c r="AD59" s="1997"/>
      <c r="AE59" s="1997"/>
      <c r="AF59" s="1997"/>
      <c r="AG59" s="1997"/>
      <c r="AH59" s="1997"/>
      <c r="AI59" s="1997"/>
      <c r="AJ59" s="1997"/>
      <c r="AK59" s="1997"/>
      <c r="AL59" s="1997"/>
      <c r="AM59" s="1997"/>
      <c r="AN59" s="1997"/>
      <c r="AO59" s="1997"/>
      <c r="AP59" s="1997"/>
      <c r="AQ59" s="1997"/>
      <c r="AR59" s="1997"/>
      <c r="AS59" s="1997"/>
      <c r="AT59" s="1997"/>
      <c r="AU59" s="1997"/>
      <c r="AV59" s="1997"/>
      <c r="AW59" s="1997"/>
      <c r="AX59" s="1997"/>
      <c r="AY59" s="1997"/>
      <c r="AZ59" s="1997"/>
      <c r="BA59" s="1997"/>
      <c r="BB59" s="1997"/>
      <c r="BC59" s="1997"/>
      <c r="BD59" s="1997"/>
      <c r="BE59" s="1997"/>
      <c r="BF59" s="1997"/>
      <c r="BG59" s="1997"/>
      <c r="BH59" s="1997"/>
      <c r="BI59" s="1997"/>
      <c r="BJ59" s="1997"/>
      <c r="BK59" s="1997"/>
      <c r="BL59" s="1997"/>
      <c r="BM59" s="1997"/>
      <c r="BN59" s="1997"/>
      <c r="BO59" s="1997"/>
      <c r="BP59" s="1997"/>
      <c r="BQ59" s="1997"/>
      <c r="BR59" s="1997"/>
      <c r="BS59" s="1997"/>
      <c r="BT59" s="1997"/>
      <c r="BU59" s="1997"/>
      <c r="BV59" s="1997"/>
      <c r="BW59" s="1997"/>
      <c r="BX59" s="1997"/>
      <c r="BY59" s="1997"/>
      <c r="BZ59" s="1997"/>
      <c r="CA59" s="1997"/>
      <c r="CB59" s="1997"/>
      <c r="CC59" s="1997"/>
      <c r="CD59" s="1997"/>
      <c r="CE59" s="1997"/>
      <c r="CF59" s="1997"/>
      <c r="CG59" s="1997"/>
      <c r="CH59" s="1997"/>
      <c r="CI59" s="1997"/>
      <c r="CJ59" s="1997"/>
      <c r="CK59" s="1997"/>
      <c r="CL59" s="1997"/>
      <c r="CM59" s="1997"/>
      <c r="CN59" s="1997"/>
      <c r="CO59" s="1997"/>
      <c r="CP59" s="1997"/>
      <c r="CQ59" s="1997"/>
      <c r="CR59" s="1997"/>
      <c r="CS59" s="1997"/>
      <c r="CT59" s="1997"/>
      <c r="CU59" s="1997"/>
      <c r="CV59" s="1997"/>
      <c r="CW59" s="1997"/>
      <c r="CX59" s="1997"/>
      <c r="CY59" s="1997"/>
      <c r="CZ59" s="1997"/>
      <c r="DA59" s="1997"/>
      <c r="DB59" s="1997"/>
      <c r="DC59" s="1997"/>
      <c r="DD59" s="1997"/>
      <c r="DE59" s="1997"/>
      <c r="DF59" s="1997"/>
      <c r="DG59" s="1997"/>
      <c r="DH59" s="1997"/>
      <c r="DI59" s="1997"/>
      <c r="DJ59" s="1997"/>
      <c r="DK59" s="1997"/>
      <c r="DL59" s="1997"/>
      <c r="DM59" s="1997"/>
      <c r="DN59" s="1997"/>
      <c r="DO59" s="1997"/>
      <c r="DP59" s="1997"/>
      <c r="DQ59" s="1997"/>
      <c r="DR59" s="1997"/>
      <c r="DS59" s="1997"/>
      <c r="DT59" s="1997"/>
      <c r="DU59" s="1997"/>
      <c r="DV59" s="1997"/>
      <c r="DW59" s="1997"/>
      <c r="DX59" s="1997"/>
      <c r="DY59" s="1997"/>
      <c r="DZ59" s="1997"/>
      <c r="EA59" s="1997"/>
      <c r="EB59" s="1997"/>
      <c r="EC59" s="1997"/>
      <c r="ED59" s="1997"/>
      <c r="EE59" s="1997"/>
      <c r="EF59" s="1997"/>
      <c r="EG59" s="1997"/>
      <c r="EH59" s="1997"/>
      <c r="EI59" s="1997"/>
      <c r="EJ59" s="1997"/>
      <c r="EK59" s="1997"/>
      <c r="EL59" s="1997"/>
      <c r="EM59" s="1997"/>
      <c r="EN59" s="1997"/>
      <c r="EO59" s="1997"/>
      <c r="EP59" s="1997"/>
      <c r="EQ59" s="1997"/>
      <c r="ER59" s="1997"/>
      <c r="ES59" s="1997"/>
      <c r="ET59" s="1997"/>
      <c r="EU59" s="1997"/>
      <c r="EV59" s="1997"/>
      <c r="EW59" s="1997"/>
      <c r="EX59" s="1997"/>
      <c r="EY59" s="1997"/>
      <c r="EZ59" s="1997"/>
      <c r="FA59" s="1997"/>
      <c r="FB59" s="1997"/>
      <c r="FC59" s="1997"/>
      <c r="FD59" s="1997"/>
      <c r="FE59" s="1997"/>
      <c r="FF59" s="1997"/>
      <c r="FG59" s="1997"/>
      <c r="FH59" s="1997"/>
      <c r="FI59" s="1997"/>
      <c r="FJ59" s="1997"/>
      <c r="FK59" s="1997"/>
      <c r="FL59" s="1997"/>
      <c r="FM59" s="1997"/>
      <c r="FN59" s="1997"/>
      <c r="FO59" s="1997"/>
      <c r="FP59" s="1997"/>
      <c r="FQ59" s="1997"/>
      <c r="FR59" s="1997"/>
      <c r="FS59" s="1997"/>
      <c r="FT59" s="1997"/>
      <c r="FU59" s="1997"/>
      <c r="FV59" s="1997"/>
      <c r="FW59" s="1997"/>
      <c r="FX59" s="1997"/>
      <c r="FY59" s="1997"/>
      <c r="FZ59" s="1997"/>
      <c r="GA59" s="1997"/>
      <c r="GB59" s="1997"/>
      <c r="GC59" s="1997"/>
      <c r="GD59" s="1997"/>
      <c r="GE59" s="1997"/>
      <c r="GF59" s="1997"/>
      <c r="GG59" s="1997"/>
      <c r="GH59" s="1997"/>
      <c r="GI59" s="1997"/>
      <c r="GJ59" s="1997"/>
      <c r="GK59" s="1997"/>
      <c r="GL59" s="1997"/>
      <c r="GM59" s="1997"/>
      <c r="GN59" s="1997"/>
      <c r="GO59" s="1997"/>
      <c r="GP59" s="1997"/>
      <c r="GQ59" s="1997"/>
      <c r="GR59" s="1997"/>
      <c r="GS59" s="1997"/>
      <c r="GT59" s="1997"/>
      <c r="GU59" s="1997"/>
      <c r="GV59" s="1997"/>
      <c r="GW59" s="1997"/>
      <c r="GX59" s="1997"/>
      <c r="GY59" s="1997"/>
      <c r="GZ59" s="1997"/>
      <c r="HA59" s="1997"/>
      <c r="HB59" s="1997"/>
      <c r="HC59" s="1997"/>
      <c r="HD59" s="1997"/>
      <c r="HE59" s="1997"/>
      <c r="HF59" s="1997"/>
      <c r="HG59" s="1997"/>
      <c r="HH59" s="1997"/>
      <c r="HI59" s="1997"/>
      <c r="HJ59" s="1997"/>
      <c r="HK59" s="1997"/>
      <c r="HL59" s="1997"/>
      <c r="HM59" s="1997"/>
      <c r="HN59" s="1997"/>
      <c r="HO59" s="1997"/>
      <c r="HP59" s="1997"/>
      <c r="HQ59" s="1997"/>
      <c r="HR59" s="1997"/>
      <c r="HS59" s="1997"/>
      <c r="HT59" s="1997"/>
      <c r="HU59" s="1997"/>
      <c r="HV59" s="1997"/>
      <c r="HW59" s="1997"/>
      <c r="HX59" s="1997"/>
      <c r="HY59" s="1997"/>
      <c r="HZ59" s="1997"/>
      <c r="IA59" s="1997"/>
      <c r="IB59" s="1997"/>
      <c r="IC59" s="1997"/>
      <c r="ID59" s="1997"/>
      <c r="IE59" s="1997"/>
      <c r="IF59" s="1997"/>
      <c r="IG59" s="1997"/>
      <c r="IH59" s="1997"/>
      <c r="II59" s="1997"/>
      <c r="IJ59" s="1997"/>
      <c r="IK59" s="1997"/>
      <c r="IL59" s="1997"/>
      <c r="IM59" s="1997"/>
      <c r="IN59" s="1997"/>
      <c r="IO59" s="1997"/>
      <c r="IP59" s="1997"/>
      <c r="IQ59" s="1997"/>
    </row>
    <row r="60" spans="1:251" hidden="1">
      <c r="A60" s="1993"/>
      <c r="B60" s="1998"/>
      <c r="C60" s="1998"/>
      <c r="D60" s="2034"/>
      <c r="E60" s="1998"/>
      <c r="F60" s="1940">
        <f t="shared" si="14"/>
        <v>0</v>
      </c>
      <c r="G60" s="1993"/>
      <c r="H60" s="1940">
        <f t="shared" si="23"/>
        <v>0</v>
      </c>
      <c r="I60" s="1993"/>
      <c r="J60" s="1940">
        <f t="shared" si="5"/>
        <v>0</v>
      </c>
      <c r="K60" s="1993"/>
      <c r="L60" s="1940">
        <f t="shared" si="24"/>
        <v>0</v>
      </c>
      <c r="M60" s="1940">
        <f t="shared" si="25"/>
        <v>0</v>
      </c>
      <c r="N60" s="1940">
        <f t="shared" si="26"/>
        <v>0</v>
      </c>
      <c r="O60" s="1993"/>
      <c r="P60" s="1993"/>
      <c r="Q60" s="1940">
        <f t="shared" si="27"/>
        <v>0</v>
      </c>
      <c r="R60" s="1940">
        <f t="shared" si="9"/>
        <v>0</v>
      </c>
      <c r="S60" s="1940">
        <f t="shared" si="28"/>
        <v>0</v>
      </c>
      <c r="T60" s="1940">
        <f t="shared" si="29"/>
        <v>0</v>
      </c>
      <c r="U60" s="1940">
        <f t="shared" si="30"/>
        <v>0</v>
      </c>
      <c r="V60" s="1997"/>
      <c r="W60" s="1997"/>
      <c r="X60" s="1997"/>
      <c r="Y60" s="1997"/>
      <c r="Z60" s="1997"/>
      <c r="AA60" s="1997"/>
      <c r="AB60" s="1997"/>
      <c r="AC60" s="1997"/>
      <c r="AD60" s="1997"/>
      <c r="AE60" s="1997"/>
      <c r="AF60" s="1997"/>
      <c r="AG60" s="1997"/>
      <c r="AH60" s="1997"/>
      <c r="AI60" s="1997"/>
      <c r="AJ60" s="1997"/>
      <c r="AK60" s="1997"/>
      <c r="AL60" s="1997"/>
      <c r="AM60" s="1997"/>
      <c r="AN60" s="1997"/>
      <c r="AO60" s="1997"/>
      <c r="AP60" s="1997"/>
      <c r="AQ60" s="1997"/>
      <c r="AR60" s="1997"/>
      <c r="AS60" s="1997"/>
      <c r="AT60" s="1997"/>
      <c r="AU60" s="1997"/>
      <c r="AV60" s="1997"/>
      <c r="AW60" s="1997"/>
      <c r="AX60" s="1997"/>
      <c r="AY60" s="1997"/>
      <c r="AZ60" s="1997"/>
      <c r="BA60" s="1997"/>
      <c r="BB60" s="1997"/>
      <c r="BC60" s="1997"/>
      <c r="BD60" s="1997"/>
      <c r="BE60" s="1997"/>
      <c r="BF60" s="1997"/>
      <c r="BG60" s="1997"/>
      <c r="BH60" s="1997"/>
      <c r="BI60" s="1997"/>
      <c r="BJ60" s="1997"/>
      <c r="BK60" s="1997"/>
      <c r="BL60" s="1997"/>
      <c r="BM60" s="1997"/>
      <c r="BN60" s="1997"/>
      <c r="BO60" s="1997"/>
      <c r="BP60" s="1997"/>
      <c r="BQ60" s="1997"/>
      <c r="BR60" s="1997"/>
      <c r="BS60" s="1997"/>
      <c r="BT60" s="1997"/>
      <c r="BU60" s="1997"/>
      <c r="BV60" s="1997"/>
      <c r="BW60" s="1997"/>
      <c r="BX60" s="1997"/>
      <c r="BY60" s="1997"/>
      <c r="BZ60" s="1997"/>
      <c r="CA60" s="1997"/>
      <c r="CB60" s="1997"/>
      <c r="CC60" s="1997"/>
      <c r="CD60" s="1997"/>
      <c r="CE60" s="1997"/>
      <c r="CF60" s="1997"/>
      <c r="CG60" s="1997"/>
      <c r="CH60" s="1997"/>
      <c r="CI60" s="1997"/>
      <c r="CJ60" s="1997"/>
      <c r="CK60" s="1997"/>
      <c r="CL60" s="1997"/>
      <c r="CM60" s="1997"/>
      <c r="CN60" s="1997"/>
      <c r="CO60" s="1997"/>
      <c r="CP60" s="1997"/>
      <c r="CQ60" s="1997"/>
      <c r="CR60" s="1997"/>
      <c r="CS60" s="1997"/>
      <c r="CT60" s="1997"/>
      <c r="CU60" s="1997"/>
      <c r="CV60" s="1997"/>
      <c r="CW60" s="1997"/>
      <c r="CX60" s="1997"/>
      <c r="CY60" s="1997"/>
      <c r="CZ60" s="1997"/>
      <c r="DA60" s="1997"/>
      <c r="DB60" s="1997"/>
      <c r="DC60" s="1997"/>
      <c r="DD60" s="1997"/>
      <c r="DE60" s="1997"/>
      <c r="DF60" s="1997"/>
      <c r="DG60" s="1997"/>
      <c r="DH60" s="1997"/>
      <c r="DI60" s="1997"/>
      <c r="DJ60" s="1997"/>
      <c r="DK60" s="1997"/>
      <c r="DL60" s="1997"/>
      <c r="DM60" s="1997"/>
      <c r="DN60" s="1997"/>
      <c r="DO60" s="1997"/>
      <c r="DP60" s="1997"/>
      <c r="DQ60" s="1997"/>
      <c r="DR60" s="1997"/>
      <c r="DS60" s="1997"/>
      <c r="DT60" s="1997"/>
      <c r="DU60" s="1997"/>
      <c r="DV60" s="1997"/>
      <c r="DW60" s="1997"/>
      <c r="DX60" s="1997"/>
      <c r="DY60" s="1997"/>
      <c r="DZ60" s="1997"/>
      <c r="EA60" s="1997"/>
      <c r="EB60" s="1997"/>
      <c r="EC60" s="1997"/>
      <c r="ED60" s="1997"/>
      <c r="EE60" s="1997"/>
      <c r="EF60" s="1997"/>
      <c r="EG60" s="1997"/>
      <c r="EH60" s="1997"/>
      <c r="EI60" s="1997"/>
      <c r="EJ60" s="1997"/>
      <c r="EK60" s="1997"/>
      <c r="EL60" s="1997"/>
      <c r="EM60" s="1997"/>
      <c r="EN60" s="1997"/>
      <c r="EO60" s="1997"/>
      <c r="EP60" s="1997"/>
      <c r="EQ60" s="1997"/>
      <c r="ER60" s="1997"/>
      <c r="ES60" s="1997"/>
      <c r="ET60" s="1997"/>
      <c r="EU60" s="1997"/>
      <c r="EV60" s="1997"/>
      <c r="EW60" s="1997"/>
      <c r="EX60" s="1997"/>
      <c r="EY60" s="1997"/>
      <c r="EZ60" s="1997"/>
      <c r="FA60" s="1997"/>
      <c r="FB60" s="1997"/>
      <c r="FC60" s="1997"/>
      <c r="FD60" s="1997"/>
      <c r="FE60" s="1997"/>
      <c r="FF60" s="1997"/>
      <c r="FG60" s="1997"/>
      <c r="FH60" s="1997"/>
      <c r="FI60" s="1997"/>
      <c r="FJ60" s="1997"/>
      <c r="FK60" s="1997"/>
      <c r="FL60" s="1997"/>
      <c r="FM60" s="1997"/>
      <c r="FN60" s="1997"/>
      <c r="FO60" s="1997"/>
      <c r="FP60" s="1997"/>
      <c r="FQ60" s="1997"/>
      <c r="FR60" s="1997"/>
      <c r="FS60" s="1997"/>
      <c r="FT60" s="1997"/>
      <c r="FU60" s="1997"/>
      <c r="FV60" s="1997"/>
      <c r="FW60" s="1997"/>
      <c r="FX60" s="1997"/>
      <c r="FY60" s="1997"/>
      <c r="FZ60" s="1997"/>
      <c r="GA60" s="1997"/>
      <c r="GB60" s="1997"/>
      <c r="GC60" s="1997"/>
      <c r="GD60" s="1997"/>
      <c r="GE60" s="1997"/>
      <c r="GF60" s="1997"/>
      <c r="GG60" s="1997"/>
      <c r="GH60" s="1997"/>
      <c r="GI60" s="1997"/>
      <c r="GJ60" s="1997"/>
      <c r="GK60" s="1997"/>
      <c r="GL60" s="1997"/>
      <c r="GM60" s="1997"/>
      <c r="GN60" s="1997"/>
      <c r="GO60" s="1997"/>
      <c r="GP60" s="1997"/>
      <c r="GQ60" s="1997"/>
      <c r="GR60" s="1997"/>
      <c r="GS60" s="1997"/>
      <c r="GT60" s="1997"/>
      <c r="GU60" s="1997"/>
      <c r="GV60" s="1997"/>
      <c r="GW60" s="1997"/>
      <c r="GX60" s="1997"/>
      <c r="GY60" s="1997"/>
      <c r="GZ60" s="1997"/>
      <c r="HA60" s="1997"/>
      <c r="HB60" s="1997"/>
      <c r="HC60" s="1997"/>
      <c r="HD60" s="1997"/>
      <c r="HE60" s="1997"/>
      <c r="HF60" s="1997"/>
      <c r="HG60" s="1997"/>
      <c r="HH60" s="1997"/>
      <c r="HI60" s="1997"/>
      <c r="HJ60" s="1997"/>
      <c r="HK60" s="1997"/>
      <c r="HL60" s="1997"/>
      <c r="HM60" s="1997"/>
      <c r="HN60" s="1997"/>
      <c r="HO60" s="1997"/>
      <c r="HP60" s="1997"/>
      <c r="HQ60" s="1997"/>
      <c r="HR60" s="1997"/>
      <c r="HS60" s="1997"/>
      <c r="HT60" s="1997"/>
      <c r="HU60" s="1997"/>
      <c r="HV60" s="1997"/>
      <c r="HW60" s="1997"/>
      <c r="HX60" s="1997"/>
      <c r="HY60" s="1997"/>
      <c r="HZ60" s="1997"/>
      <c r="IA60" s="1997"/>
      <c r="IB60" s="1997"/>
      <c r="IC60" s="1997"/>
      <c r="ID60" s="1997"/>
      <c r="IE60" s="1997"/>
      <c r="IF60" s="1997"/>
      <c r="IG60" s="1997"/>
      <c r="IH60" s="1997"/>
      <c r="II60" s="1997"/>
      <c r="IJ60" s="1997"/>
      <c r="IK60" s="1997"/>
      <c r="IL60" s="1997"/>
      <c r="IM60" s="1997"/>
      <c r="IN60" s="1997"/>
      <c r="IO60" s="1997"/>
      <c r="IP60" s="1997"/>
      <c r="IQ60" s="1997"/>
    </row>
    <row r="61" spans="1:251" hidden="1">
      <c r="A61" s="1993"/>
      <c r="B61" s="1998"/>
      <c r="C61" s="1998"/>
      <c r="D61" s="2034"/>
      <c r="E61" s="1998"/>
      <c r="F61" s="1940">
        <f t="shared" si="14"/>
        <v>0</v>
      </c>
      <c r="G61" s="1993"/>
      <c r="H61" s="1940">
        <f t="shared" si="23"/>
        <v>0</v>
      </c>
      <c r="I61" s="1993"/>
      <c r="J61" s="1940">
        <f t="shared" si="5"/>
        <v>0</v>
      </c>
      <c r="K61" s="1993"/>
      <c r="L61" s="1940">
        <f t="shared" si="24"/>
        <v>0</v>
      </c>
      <c r="M61" s="1940">
        <f t="shared" si="25"/>
        <v>0</v>
      </c>
      <c r="N61" s="1940">
        <f t="shared" si="26"/>
        <v>0</v>
      </c>
      <c r="O61" s="1993"/>
      <c r="P61" s="1993"/>
      <c r="Q61" s="1940">
        <f t="shared" si="27"/>
        <v>0</v>
      </c>
      <c r="R61" s="1940">
        <f t="shared" si="9"/>
        <v>0</v>
      </c>
      <c r="S61" s="1940">
        <f t="shared" si="28"/>
        <v>0</v>
      </c>
      <c r="T61" s="1940">
        <f t="shared" si="29"/>
        <v>0</v>
      </c>
      <c r="U61" s="1940">
        <f t="shared" si="30"/>
        <v>0</v>
      </c>
      <c r="V61" s="1997"/>
      <c r="W61" s="1997"/>
      <c r="X61" s="1997"/>
      <c r="Y61" s="1997"/>
      <c r="Z61" s="1997"/>
      <c r="AA61" s="1997"/>
      <c r="AB61" s="1997"/>
      <c r="AC61" s="1997"/>
      <c r="AD61" s="1997"/>
      <c r="AE61" s="1997"/>
      <c r="AF61" s="1997"/>
      <c r="AG61" s="1997"/>
      <c r="AH61" s="1997"/>
      <c r="AI61" s="1997"/>
      <c r="AJ61" s="1997"/>
      <c r="AK61" s="1997"/>
      <c r="AL61" s="1997"/>
      <c r="AM61" s="1997"/>
      <c r="AN61" s="1997"/>
      <c r="AO61" s="1997"/>
      <c r="AP61" s="1997"/>
      <c r="AQ61" s="1997"/>
      <c r="AR61" s="1997"/>
      <c r="AS61" s="1997"/>
      <c r="AT61" s="1997"/>
      <c r="AU61" s="1997"/>
      <c r="AV61" s="1997"/>
      <c r="AW61" s="1997"/>
      <c r="AX61" s="1997"/>
      <c r="AY61" s="1997"/>
      <c r="AZ61" s="1997"/>
      <c r="BA61" s="1997"/>
      <c r="BB61" s="1997"/>
      <c r="BC61" s="1997"/>
      <c r="BD61" s="1997"/>
      <c r="BE61" s="1997"/>
      <c r="BF61" s="1997"/>
      <c r="BG61" s="1997"/>
      <c r="BH61" s="1997"/>
      <c r="BI61" s="1997"/>
      <c r="BJ61" s="1997"/>
      <c r="BK61" s="1997"/>
      <c r="BL61" s="1997"/>
      <c r="BM61" s="1997"/>
      <c r="BN61" s="1997"/>
      <c r="BO61" s="1997"/>
      <c r="BP61" s="1997"/>
      <c r="BQ61" s="1997"/>
      <c r="BR61" s="1997"/>
      <c r="BS61" s="1997"/>
      <c r="BT61" s="1997"/>
      <c r="BU61" s="1997"/>
      <c r="BV61" s="1997"/>
      <c r="BW61" s="1997"/>
      <c r="BX61" s="1997"/>
      <c r="BY61" s="1997"/>
      <c r="BZ61" s="1997"/>
      <c r="CA61" s="1997"/>
      <c r="CB61" s="1997"/>
      <c r="CC61" s="1997"/>
      <c r="CD61" s="1997"/>
      <c r="CE61" s="1997"/>
      <c r="CF61" s="1997"/>
      <c r="CG61" s="1997"/>
      <c r="CH61" s="1997"/>
      <c r="CI61" s="1997"/>
      <c r="CJ61" s="1997"/>
      <c r="CK61" s="1997"/>
      <c r="CL61" s="1997"/>
      <c r="CM61" s="1997"/>
      <c r="CN61" s="1997"/>
      <c r="CO61" s="1997"/>
      <c r="CP61" s="1997"/>
      <c r="CQ61" s="1997"/>
      <c r="CR61" s="1997"/>
      <c r="CS61" s="1997"/>
      <c r="CT61" s="1997"/>
      <c r="CU61" s="1997"/>
      <c r="CV61" s="1997"/>
      <c r="CW61" s="1997"/>
      <c r="CX61" s="1997"/>
      <c r="CY61" s="1997"/>
      <c r="CZ61" s="1997"/>
      <c r="DA61" s="1997"/>
      <c r="DB61" s="1997"/>
      <c r="DC61" s="1997"/>
      <c r="DD61" s="1997"/>
      <c r="DE61" s="1997"/>
      <c r="DF61" s="1997"/>
      <c r="DG61" s="1997"/>
      <c r="DH61" s="1997"/>
      <c r="DI61" s="1997"/>
      <c r="DJ61" s="1997"/>
      <c r="DK61" s="1997"/>
      <c r="DL61" s="1997"/>
      <c r="DM61" s="1997"/>
      <c r="DN61" s="1997"/>
      <c r="DO61" s="1997"/>
      <c r="DP61" s="1997"/>
      <c r="DQ61" s="1997"/>
      <c r="DR61" s="1997"/>
      <c r="DS61" s="1997"/>
      <c r="DT61" s="1997"/>
      <c r="DU61" s="1997"/>
      <c r="DV61" s="1997"/>
      <c r="DW61" s="1997"/>
      <c r="DX61" s="1997"/>
      <c r="DY61" s="1997"/>
      <c r="DZ61" s="1997"/>
      <c r="EA61" s="1997"/>
      <c r="EB61" s="1997"/>
      <c r="EC61" s="1997"/>
      <c r="ED61" s="1997"/>
      <c r="EE61" s="1997"/>
      <c r="EF61" s="1997"/>
      <c r="EG61" s="1997"/>
      <c r="EH61" s="1997"/>
      <c r="EI61" s="1997"/>
      <c r="EJ61" s="1997"/>
      <c r="EK61" s="1997"/>
      <c r="EL61" s="1997"/>
      <c r="EM61" s="1997"/>
      <c r="EN61" s="1997"/>
      <c r="EO61" s="1997"/>
      <c r="EP61" s="1997"/>
      <c r="EQ61" s="1997"/>
      <c r="ER61" s="1997"/>
      <c r="ES61" s="1997"/>
      <c r="ET61" s="1997"/>
      <c r="EU61" s="1997"/>
      <c r="EV61" s="1997"/>
      <c r="EW61" s="1997"/>
      <c r="EX61" s="1997"/>
      <c r="EY61" s="1997"/>
      <c r="EZ61" s="1997"/>
      <c r="FA61" s="1997"/>
      <c r="FB61" s="1997"/>
      <c r="FC61" s="1997"/>
      <c r="FD61" s="1997"/>
      <c r="FE61" s="1997"/>
      <c r="FF61" s="1997"/>
      <c r="FG61" s="1997"/>
      <c r="FH61" s="1997"/>
      <c r="FI61" s="1997"/>
      <c r="FJ61" s="1997"/>
      <c r="FK61" s="1997"/>
      <c r="FL61" s="1997"/>
      <c r="FM61" s="1997"/>
      <c r="FN61" s="1997"/>
      <c r="FO61" s="1997"/>
      <c r="FP61" s="1997"/>
      <c r="FQ61" s="1997"/>
      <c r="FR61" s="1997"/>
      <c r="FS61" s="1997"/>
      <c r="FT61" s="1997"/>
      <c r="FU61" s="1997"/>
      <c r="FV61" s="1997"/>
      <c r="FW61" s="1997"/>
      <c r="FX61" s="1997"/>
      <c r="FY61" s="1997"/>
      <c r="FZ61" s="1997"/>
      <c r="GA61" s="1997"/>
      <c r="GB61" s="1997"/>
      <c r="GC61" s="1997"/>
      <c r="GD61" s="1997"/>
      <c r="GE61" s="1997"/>
      <c r="GF61" s="1997"/>
      <c r="GG61" s="1997"/>
      <c r="GH61" s="1997"/>
      <c r="GI61" s="1997"/>
      <c r="GJ61" s="1997"/>
      <c r="GK61" s="1997"/>
      <c r="GL61" s="1997"/>
      <c r="GM61" s="1997"/>
      <c r="GN61" s="1997"/>
      <c r="GO61" s="1997"/>
      <c r="GP61" s="1997"/>
      <c r="GQ61" s="1997"/>
      <c r="GR61" s="1997"/>
      <c r="GS61" s="1997"/>
      <c r="GT61" s="1997"/>
      <c r="GU61" s="1997"/>
      <c r="GV61" s="1997"/>
      <c r="GW61" s="1997"/>
      <c r="GX61" s="1997"/>
      <c r="GY61" s="1997"/>
      <c r="GZ61" s="1997"/>
      <c r="HA61" s="1997"/>
      <c r="HB61" s="1997"/>
      <c r="HC61" s="1997"/>
      <c r="HD61" s="1997"/>
      <c r="HE61" s="1997"/>
      <c r="HF61" s="1997"/>
      <c r="HG61" s="1997"/>
      <c r="HH61" s="1997"/>
      <c r="HI61" s="1997"/>
      <c r="HJ61" s="1997"/>
      <c r="HK61" s="1997"/>
      <c r="HL61" s="1997"/>
      <c r="HM61" s="1997"/>
      <c r="HN61" s="1997"/>
      <c r="HO61" s="1997"/>
      <c r="HP61" s="1997"/>
      <c r="HQ61" s="1997"/>
      <c r="HR61" s="1997"/>
      <c r="HS61" s="1997"/>
      <c r="HT61" s="1997"/>
      <c r="HU61" s="1997"/>
      <c r="HV61" s="1997"/>
      <c r="HW61" s="1997"/>
      <c r="HX61" s="1997"/>
      <c r="HY61" s="1997"/>
      <c r="HZ61" s="1997"/>
      <c r="IA61" s="1997"/>
      <c r="IB61" s="1997"/>
      <c r="IC61" s="1997"/>
      <c r="ID61" s="1997"/>
      <c r="IE61" s="1997"/>
      <c r="IF61" s="1997"/>
      <c r="IG61" s="1997"/>
      <c r="IH61" s="1997"/>
      <c r="II61" s="1997"/>
      <c r="IJ61" s="1997"/>
      <c r="IK61" s="1997"/>
      <c r="IL61" s="1997"/>
      <c r="IM61" s="1997"/>
      <c r="IN61" s="1997"/>
      <c r="IO61" s="1997"/>
      <c r="IP61" s="1997"/>
      <c r="IQ61" s="1997"/>
    </row>
    <row r="62" spans="1:251" hidden="1">
      <c r="A62" s="1993"/>
      <c r="B62" s="1998"/>
      <c r="C62" s="1998"/>
      <c r="D62" s="2034"/>
      <c r="E62" s="1998"/>
      <c r="F62" s="1940">
        <f t="shared" si="14"/>
        <v>0</v>
      </c>
      <c r="G62" s="1993"/>
      <c r="H62" s="1940">
        <f t="shared" si="23"/>
        <v>0</v>
      </c>
      <c r="I62" s="1993"/>
      <c r="J62" s="1940">
        <f t="shared" si="5"/>
        <v>0</v>
      </c>
      <c r="K62" s="1993"/>
      <c r="L62" s="1940">
        <f t="shared" si="24"/>
        <v>0</v>
      </c>
      <c r="M62" s="1940">
        <f t="shared" si="25"/>
        <v>0</v>
      </c>
      <c r="N62" s="1940">
        <f t="shared" si="26"/>
        <v>0</v>
      </c>
      <c r="O62" s="1993"/>
      <c r="P62" s="1993"/>
      <c r="Q62" s="1940">
        <f t="shared" si="27"/>
        <v>0</v>
      </c>
      <c r="R62" s="1940">
        <f t="shared" si="9"/>
        <v>0</v>
      </c>
      <c r="S62" s="1940">
        <f t="shared" si="28"/>
        <v>0</v>
      </c>
      <c r="T62" s="1940">
        <f t="shared" si="29"/>
        <v>0</v>
      </c>
      <c r="U62" s="1940">
        <f t="shared" si="30"/>
        <v>0</v>
      </c>
      <c r="V62" s="1997"/>
      <c r="W62" s="1997"/>
      <c r="X62" s="1997"/>
      <c r="Y62" s="1997"/>
      <c r="Z62" s="1997"/>
      <c r="AA62" s="1997"/>
      <c r="AB62" s="1997"/>
      <c r="AC62" s="1997"/>
      <c r="AD62" s="1997"/>
      <c r="AE62" s="1997"/>
      <c r="AF62" s="1997"/>
      <c r="AG62" s="1997"/>
      <c r="AH62" s="1997"/>
      <c r="AI62" s="1997"/>
      <c r="AJ62" s="1997"/>
      <c r="AK62" s="1997"/>
      <c r="AL62" s="1997"/>
      <c r="AM62" s="1997"/>
      <c r="AN62" s="1997"/>
      <c r="AO62" s="1997"/>
      <c r="AP62" s="1997"/>
      <c r="AQ62" s="1997"/>
      <c r="AR62" s="1997"/>
      <c r="AS62" s="1997"/>
      <c r="AT62" s="1997"/>
      <c r="AU62" s="1997"/>
      <c r="AV62" s="1997"/>
      <c r="AW62" s="1997"/>
      <c r="AX62" s="1997"/>
      <c r="AY62" s="1997"/>
      <c r="AZ62" s="1997"/>
      <c r="BA62" s="1997"/>
      <c r="BB62" s="1997"/>
      <c r="BC62" s="1997"/>
      <c r="BD62" s="1997"/>
      <c r="BE62" s="1997"/>
      <c r="BF62" s="1997"/>
      <c r="BG62" s="1997"/>
      <c r="BH62" s="1997"/>
      <c r="BI62" s="1997"/>
      <c r="BJ62" s="1997"/>
      <c r="BK62" s="1997"/>
      <c r="BL62" s="1997"/>
      <c r="BM62" s="1997"/>
      <c r="BN62" s="1997"/>
      <c r="BO62" s="1997"/>
      <c r="BP62" s="1997"/>
      <c r="BQ62" s="1997"/>
      <c r="BR62" s="1997"/>
      <c r="BS62" s="1997"/>
      <c r="BT62" s="1997"/>
      <c r="BU62" s="1997"/>
      <c r="BV62" s="1997"/>
      <c r="BW62" s="1997"/>
      <c r="BX62" s="1997"/>
      <c r="BY62" s="1997"/>
      <c r="BZ62" s="1997"/>
      <c r="CA62" s="1997"/>
      <c r="CB62" s="1997"/>
      <c r="CC62" s="1997"/>
      <c r="CD62" s="1997"/>
      <c r="CE62" s="1997"/>
      <c r="CF62" s="1997"/>
      <c r="CG62" s="1997"/>
      <c r="CH62" s="1997"/>
      <c r="CI62" s="1997"/>
      <c r="CJ62" s="1997"/>
      <c r="CK62" s="1997"/>
      <c r="CL62" s="1997"/>
      <c r="CM62" s="1997"/>
      <c r="CN62" s="1997"/>
      <c r="CO62" s="1997"/>
      <c r="CP62" s="1997"/>
      <c r="CQ62" s="1997"/>
      <c r="CR62" s="1997"/>
      <c r="CS62" s="1997"/>
      <c r="CT62" s="1997"/>
      <c r="CU62" s="1997"/>
      <c r="CV62" s="1997"/>
      <c r="CW62" s="1997"/>
      <c r="CX62" s="1997"/>
      <c r="CY62" s="1997"/>
      <c r="CZ62" s="1997"/>
      <c r="DA62" s="1997"/>
      <c r="DB62" s="1997"/>
      <c r="DC62" s="1997"/>
      <c r="DD62" s="1997"/>
      <c r="DE62" s="1997"/>
      <c r="DF62" s="1997"/>
      <c r="DG62" s="1997"/>
      <c r="DH62" s="1997"/>
      <c r="DI62" s="1997"/>
      <c r="DJ62" s="1997"/>
      <c r="DK62" s="1997"/>
      <c r="DL62" s="1997"/>
      <c r="DM62" s="1997"/>
      <c r="DN62" s="1997"/>
      <c r="DO62" s="1997"/>
      <c r="DP62" s="1997"/>
      <c r="DQ62" s="1997"/>
      <c r="DR62" s="1997"/>
      <c r="DS62" s="1997"/>
      <c r="DT62" s="1997"/>
      <c r="DU62" s="1997"/>
      <c r="DV62" s="1997"/>
      <c r="DW62" s="1997"/>
      <c r="DX62" s="1997"/>
      <c r="DY62" s="1997"/>
      <c r="DZ62" s="1997"/>
      <c r="EA62" s="1997"/>
      <c r="EB62" s="1997"/>
      <c r="EC62" s="1997"/>
      <c r="ED62" s="1997"/>
      <c r="EE62" s="1997"/>
      <c r="EF62" s="1997"/>
      <c r="EG62" s="1997"/>
      <c r="EH62" s="1997"/>
      <c r="EI62" s="1997"/>
      <c r="EJ62" s="1997"/>
      <c r="EK62" s="1997"/>
      <c r="EL62" s="1997"/>
      <c r="EM62" s="1997"/>
      <c r="EN62" s="1997"/>
      <c r="EO62" s="1997"/>
      <c r="EP62" s="1997"/>
      <c r="EQ62" s="1997"/>
      <c r="ER62" s="1997"/>
      <c r="ES62" s="1997"/>
      <c r="ET62" s="1997"/>
      <c r="EU62" s="1997"/>
      <c r="EV62" s="1997"/>
      <c r="EW62" s="1997"/>
      <c r="EX62" s="1997"/>
      <c r="EY62" s="1997"/>
      <c r="EZ62" s="1997"/>
      <c r="FA62" s="1997"/>
      <c r="FB62" s="1997"/>
      <c r="FC62" s="1997"/>
      <c r="FD62" s="1997"/>
      <c r="FE62" s="1997"/>
      <c r="FF62" s="1997"/>
      <c r="FG62" s="1997"/>
      <c r="FH62" s="1997"/>
      <c r="FI62" s="1997"/>
      <c r="FJ62" s="1997"/>
      <c r="FK62" s="1997"/>
      <c r="FL62" s="1997"/>
      <c r="FM62" s="1997"/>
      <c r="FN62" s="1997"/>
      <c r="FO62" s="1997"/>
      <c r="FP62" s="1997"/>
      <c r="FQ62" s="1997"/>
      <c r="FR62" s="1997"/>
      <c r="FS62" s="1997"/>
      <c r="FT62" s="1997"/>
      <c r="FU62" s="1997"/>
      <c r="FV62" s="1997"/>
      <c r="FW62" s="1997"/>
      <c r="FX62" s="1997"/>
      <c r="FY62" s="1997"/>
      <c r="FZ62" s="1997"/>
      <c r="GA62" s="1997"/>
      <c r="GB62" s="1997"/>
      <c r="GC62" s="1997"/>
      <c r="GD62" s="1997"/>
      <c r="GE62" s="1997"/>
      <c r="GF62" s="1997"/>
      <c r="GG62" s="1997"/>
      <c r="GH62" s="1997"/>
      <c r="GI62" s="1997"/>
      <c r="GJ62" s="1997"/>
      <c r="GK62" s="1997"/>
      <c r="GL62" s="1997"/>
      <c r="GM62" s="1997"/>
      <c r="GN62" s="1997"/>
      <c r="GO62" s="1997"/>
      <c r="GP62" s="1997"/>
      <c r="GQ62" s="1997"/>
      <c r="GR62" s="1997"/>
      <c r="GS62" s="1997"/>
      <c r="GT62" s="1997"/>
      <c r="GU62" s="1997"/>
      <c r="GV62" s="1997"/>
      <c r="GW62" s="1997"/>
      <c r="GX62" s="1997"/>
      <c r="GY62" s="1997"/>
      <c r="GZ62" s="1997"/>
      <c r="HA62" s="1997"/>
      <c r="HB62" s="1997"/>
      <c r="HC62" s="1997"/>
      <c r="HD62" s="1997"/>
      <c r="HE62" s="1997"/>
      <c r="HF62" s="1997"/>
      <c r="HG62" s="1997"/>
      <c r="HH62" s="1997"/>
      <c r="HI62" s="1997"/>
      <c r="HJ62" s="1997"/>
      <c r="HK62" s="1997"/>
      <c r="HL62" s="1997"/>
      <c r="HM62" s="1997"/>
      <c r="HN62" s="1997"/>
      <c r="HO62" s="1997"/>
      <c r="HP62" s="1997"/>
      <c r="HQ62" s="1997"/>
      <c r="HR62" s="1997"/>
      <c r="HS62" s="1997"/>
      <c r="HT62" s="1997"/>
      <c r="HU62" s="1997"/>
      <c r="HV62" s="1997"/>
      <c r="HW62" s="1997"/>
      <c r="HX62" s="1997"/>
      <c r="HY62" s="1997"/>
      <c r="HZ62" s="1997"/>
      <c r="IA62" s="1997"/>
      <c r="IB62" s="1997"/>
      <c r="IC62" s="1997"/>
      <c r="ID62" s="1997"/>
      <c r="IE62" s="1997"/>
      <c r="IF62" s="1997"/>
      <c r="IG62" s="1997"/>
      <c r="IH62" s="1997"/>
      <c r="II62" s="1997"/>
      <c r="IJ62" s="1997"/>
      <c r="IK62" s="1997"/>
      <c r="IL62" s="1997"/>
      <c r="IM62" s="1997"/>
      <c r="IN62" s="1997"/>
      <c r="IO62" s="1997"/>
      <c r="IP62" s="1997"/>
      <c r="IQ62" s="1997"/>
    </row>
    <row r="63" spans="1:251" hidden="1">
      <c r="A63" s="1993"/>
      <c r="B63" s="1998"/>
      <c r="C63" s="1998"/>
      <c r="D63" s="2034"/>
      <c r="E63" s="1998"/>
      <c r="F63" s="1940">
        <f t="shared" si="14"/>
        <v>0</v>
      </c>
      <c r="G63" s="1993"/>
      <c r="H63" s="1940">
        <f t="shared" si="23"/>
        <v>0</v>
      </c>
      <c r="I63" s="1993"/>
      <c r="J63" s="1940">
        <f t="shared" si="5"/>
        <v>0</v>
      </c>
      <c r="K63" s="1993"/>
      <c r="L63" s="1940">
        <f t="shared" si="24"/>
        <v>0</v>
      </c>
      <c r="M63" s="1940">
        <f t="shared" si="25"/>
        <v>0</v>
      </c>
      <c r="N63" s="1940">
        <f t="shared" si="26"/>
        <v>0</v>
      </c>
      <c r="O63" s="1993"/>
      <c r="P63" s="1993"/>
      <c r="Q63" s="1940">
        <f t="shared" si="27"/>
        <v>0</v>
      </c>
      <c r="R63" s="1940">
        <f t="shared" si="9"/>
        <v>0</v>
      </c>
      <c r="S63" s="1940">
        <f t="shared" si="28"/>
        <v>0</v>
      </c>
      <c r="T63" s="1940">
        <f t="shared" si="29"/>
        <v>0</v>
      </c>
      <c r="U63" s="1940">
        <f t="shared" si="30"/>
        <v>0</v>
      </c>
      <c r="V63" s="1997"/>
      <c r="W63" s="1997"/>
      <c r="X63" s="1997"/>
      <c r="Y63" s="1997"/>
      <c r="Z63" s="1997"/>
      <c r="AA63" s="1997"/>
      <c r="AB63" s="1997"/>
      <c r="AC63" s="1997"/>
      <c r="AD63" s="1997"/>
      <c r="AE63" s="1997"/>
      <c r="AF63" s="1997"/>
      <c r="AG63" s="1997"/>
      <c r="AH63" s="1997"/>
      <c r="AI63" s="1997"/>
      <c r="AJ63" s="1997"/>
      <c r="AK63" s="1997"/>
      <c r="AL63" s="1997"/>
      <c r="AM63" s="1997"/>
      <c r="AN63" s="1997"/>
      <c r="AO63" s="1997"/>
      <c r="AP63" s="1997"/>
      <c r="AQ63" s="1997"/>
      <c r="AR63" s="1997"/>
      <c r="AS63" s="1997"/>
      <c r="AT63" s="1997"/>
      <c r="AU63" s="1997"/>
      <c r="AV63" s="1997"/>
      <c r="AW63" s="1997"/>
      <c r="AX63" s="1997"/>
      <c r="AY63" s="1997"/>
      <c r="AZ63" s="1997"/>
      <c r="BA63" s="1997"/>
      <c r="BB63" s="1997"/>
      <c r="BC63" s="1997"/>
      <c r="BD63" s="1997"/>
      <c r="BE63" s="1997"/>
      <c r="BF63" s="1997"/>
      <c r="BG63" s="1997"/>
      <c r="BH63" s="1997"/>
      <c r="BI63" s="1997"/>
      <c r="BJ63" s="1997"/>
      <c r="BK63" s="1997"/>
      <c r="BL63" s="1997"/>
      <c r="BM63" s="1997"/>
      <c r="BN63" s="1997"/>
      <c r="BO63" s="1997"/>
      <c r="BP63" s="1997"/>
      <c r="BQ63" s="1997"/>
      <c r="BR63" s="1997"/>
      <c r="BS63" s="1997"/>
      <c r="BT63" s="1997"/>
      <c r="BU63" s="1997"/>
      <c r="BV63" s="1997"/>
      <c r="BW63" s="1997"/>
      <c r="BX63" s="1997"/>
      <c r="BY63" s="1997"/>
      <c r="BZ63" s="1997"/>
      <c r="CA63" s="1997"/>
      <c r="CB63" s="1997"/>
      <c r="CC63" s="1997"/>
      <c r="CD63" s="1997"/>
      <c r="CE63" s="1997"/>
      <c r="CF63" s="1997"/>
      <c r="CG63" s="1997"/>
      <c r="CH63" s="1997"/>
      <c r="CI63" s="1997"/>
      <c r="CJ63" s="1997"/>
      <c r="CK63" s="1997"/>
      <c r="CL63" s="1997"/>
      <c r="CM63" s="1997"/>
      <c r="CN63" s="1997"/>
      <c r="CO63" s="1997"/>
      <c r="CP63" s="1997"/>
      <c r="CQ63" s="1997"/>
      <c r="CR63" s="1997"/>
      <c r="CS63" s="1997"/>
      <c r="CT63" s="1997"/>
      <c r="CU63" s="1997"/>
      <c r="CV63" s="1997"/>
      <c r="CW63" s="1997"/>
      <c r="CX63" s="1997"/>
      <c r="CY63" s="1997"/>
      <c r="CZ63" s="1997"/>
      <c r="DA63" s="1997"/>
      <c r="DB63" s="1997"/>
      <c r="DC63" s="1997"/>
      <c r="DD63" s="1997"/>
      <c r="DE63" s="1997"/>
      <c r="DF63" s="1997"/>
      <c r="DG63" s="1997"/>
      <c r="DH63" s="1997"/>
      <c r="DI63" s="1997"/>
      <c r="DJ63" s="1997"/>
      <c r="DK63" s="1997"/>
      <c r="DL63" s="1997"/>
      <c r="DM63" s="1997"/>
      <c r="DN63" s="1997"/>
      <c r="DO63" s="1997"/>
      <c r="DP63" s="1997"/>
      <c r="DQ63" s="1997"/>
      <c r="DR63" s="1997"/>
      <c r="DS63" s="1997"/>
      <c r="DT63" s="1997"/>
      <c r="DU63" s="1997"/>
      <c r="DV63" s="1997"/>
      <c r="DW63" s="1997"/>
      <c r="DX63" s="1997"/>
      <c r="DY63" s="1997"/>
      <c r="DZ63" s="1997"/>
      <c r="EA63" s="1997"/>
      <c r="EB63" s="1997"/>
      <c r="EC63" s="1997"/>
      <c r="ED63" s="1997"/>
      <c r="EE63" s="1997"/>
      <c r="EF63" s="1997"/>
      <c r="EG63" s="1997"/>
      <c r="EH63" s="1997"/>
      <c r="EI63" s="1997"/>
      <c r="EJ63" s="1997"/>
      <c r="EK63" s="1997"/>
      <c r="EL63" s="1997"/>
      <c r="EM63" s="1997"/>
      <c r="EN63" s="1997"/>
      <c r="EO63" s="1997"/>
      <c r="EP63" s="1997"/>
      <c r="EQ63" s="1997"/>
      <c r="ER63" s="1997"/>
      <c r="ES63" s="1997"/>
      <c r="ET63" s="1997"/>
      <c r="EU63" s="1997"/>
      <c r="EV63" s="1997"/>
      <c r="EW63" s="1997"/>
      <c r="EX63" s="1997"/>
      <c r="EY63" s="1997"/>
      <c r="EZ63" s="1997"/>
      <c r="FA63" s="1997"/>
      <c r="FB63" s="1997"/>
      <c r="FC63" s="1997"/>
      <c r="FD63" s="1997"/>
      <c r="FE63" s="1997"/>
      <c r="FF63" s="1997"/>
      <c r="FG63" s="1997"/>
      <c r="FH63" s="1997"/>
      <c r="FI63" s="1997"/>
      <c r="FJ63" s="1997"/>
      <c r="FK63" s="1997"/>
      <c r="FL63" s="1997"/>
      <c r="FM63" s="1997"/>
      <c r="FN63" s="1997"/>
      <c r="FO63" s="1997"/>
      <c r="FP63" s="1997"/>
      <c r="FQ63" s="1997"/>
      <c r="FR63" s="1997"/>
      <c r="FS63" s="1997"/>
      <c r="FT63" s="1997"/>
      <c r="FU63" s="1997"/>
      <c r="FV63" s="1997"/>
      <c r="FW63" s="1997"/>
      <c r="FX63" s="1997"/>
      <c r="FY63" s="1997"/>
      <c r="FZ63" s="1997"/>
      <c r="GA63" s="1997"/>
      <c r="GB63" s="1997"/>
      <c r="GC63" s="1997"/>
      <c r="GD63" s="1997"/>
      <c r="GE63" s="1997"/>
      <c r="GF63" s="1997"/>
      <c r="GG63" s="1997"/>
      <c r="GH63" s="1997"/>
      <c r="GI63" s="1997"/>
      <c r="GJ63" s="1997"/>
      <c r="GK63" s="1997"/>
      <c r="GL63" s="1997"/>
      <c r="GM63" s="1997"/>
      <c r="GN63" s="1997"/>
      <c r="GO63" s="1997"/>
      <c r="GP63" s="1997"/>
      <c r="GQ63" s="1997"/>
      <c r="GR63" s="1997"/>
      <c r="GS63" s="1997"/>
      <c r="GT63" s="1997"/>
      <c r="GU63" s="1997"/>
      <c r="GV63" s="1997"/>
      <c r="GW63" s="1997"/>
      <c r="GX63" s="1997"/>
      <c r="GY63" s="1997"/>
      <c r="GZ63" s="1997"/>
      <c r="HA63" s="1997"/>
      <c r="HB63" s="1997"/>
      <c r="HC63" s="1997"/>
      <c r="HD63" s="1997"/>
      <c r="HE63" s="1997"/>
      <c r="HF63" s="1997"/>
      <c r="HG63" s="1997"/>
      <c r="HH63" s="1997"/>
      <c r="HI63" s="1997"/>
      <c r="HJ63" s="1997"/>
      <c r="HK63" s="1997"/>
      <c r="HL63" s="1997"/>
      <c r="HM63" s="1997"/>
      <c r="HN63" s="1997"/>
      <c r="HO63" s="1997"/>
      <c r="HP63" s="1997"/>
      <c r="HQ63" s="1997"/>
      <c r="HR63" s="1997"/>
      <c r="HS63" s="1997"/>
      <c r="HT63" s="1997"/>
      <c r="HU63" s="1997"/>
      <c r="HV63" s="1997"/>
      <c r="HW63" s="1997"/>
      <c r="HX63" s="1997"/>
      <c r="HY63" s="1997"/>
      <c r="HZ63" s="1997"/>
      <c r="IA63" s="1997"/>
      <c r="IB63" s="1997"/>
      <c r="IC63" s="1997"/>
      <c r="ID63" s="1997"/>
      <c r="IE63" s="1997"/>
      <c r="IF63" s="1997"/>
      <c r="IG63" s="1997"/>
      <c r="IH63" s="1997"/>
      <c r="II63" s="1997"/>
      <c r="IJ63" s="1997"/>
      <c r="IK63" s="1997"/>
      <c r="IL63" s="1997"/>
      <c r="IM63" s="1997"/>
      <c r="IN63" s="1997"/>
      <c r="IO63" s="1997"/>
      <c r="IP63" s="1997"/>
      <c r="IQ63" s="1997"/>
    </row>
    <row r="64" spans="1:251" ht="30" hidden="1">
      <c r="A64" s="1993"/>
      <c r="B64" s="1993" t="s">
        <v>525</v>
      </c>
      <c r="C64" s="1993"/>
      <c r="D64" s="2021">
        <f>SUM(D65:D100)</f>
        <v>0</v>
      </c>
      <c r="E64" s="1993"/>
      <c r="F64" s="1940">
        <f>SUM(F65:F100)</f>
        <v>0</v>
      </c>
      <c r="G64" s="1993"/>
      <c r="H64" s="1940">
        <f>SUM(H65:H100)</f>
        <v>0</v>
      </c>
      <c r="I64" s="1993"/>
      <c r="J64" s="1940">
        <f>SUM(J65:J100)</f>
        <v>0</v>
      </c>
      <c r="K64" s="1993"/>
      <c r="L64" s="1940">
        <f t="shared" ref="L64:U64" si="31">SUM(L65:L100)</f>
        <v>0</v>
      </c>
      <c r="M64" s="1940">
        <f t="shared" si="31"/>
        <v>0</v>
      </c>
      <c r="N64" s="1940">
        <f t="shared" si="31"/>
        <v>0</v>
      </c>
      <c r="O64" s="1940">
        <f t="shared" si="31"/>
        <v>0</v>
      </c>
      <c r="P64" s="1940">
        <f t="shared" si="31"/>
        <v>0</v>
      </c>
      <c r="Q64" s="1940">
        <f t="shared" si="31"/>
        <v>0</v>
      </c>
      <c r="R64" s="1940">
        <f t="shared" si="31"/>
        <v>0</v>
      </c>
      <c r="S64" s="1940">
        <f t="shared" si="31"/>
        <v>0</v>
      </c>
      <c r="T64" s="1940">
        <f t="shared" si="31"/>
        <v>0</v>
      </c>
      <c r="U64" s="1940">
        <f t="shared" si="31"/>
        <v>0</v>
      </c>
      <c r="V64" s="1992"/>
      <c r="W64" s="1992"/>
      <c r="X64" s="1992"/>
      <c r="Y64" s="1992"/>
      <c r="Z64" s="1992"/>
      <c r="AA64" s="1992"/>
      <c r="AB64" s="1992"/>
      <c r="AC64" s="1992"/>
      <c r="AD64" s="1992"/>
      <c r="AE64" s="1992"/>
      <c r="AF64" s="1992"/>
      <c r="AG64" s="1992"/>
      <c r="AH64" s="1992"/>
      <c r="AI64" s="1992"/>
      <c r="AJ64" s="1992"/>
      <c r="AK64" s="1992"/>
      <c r="AL64" s="1992"/>
      <c r="AM64" s="1992"/>
      <c r="AN64" s="1992"/>
      <c r="AO64" s="1992"/>
      <c r="AP64" s="1992"/>
      <c r="AQ64" s="1992"/>
      <c r="AR64" s="1992"/>
      <c r="AS64" s="1992"/>
      <c r="AT64" s="1992"/>
      <c r="AU64" s="1992"/>
      <c r="AV64" s="1992"/>
      <c r="AW64" s="1992"/>
      <c r="AX64" s="1992"/>
      <c r="AY64" s="1992"/>
      <c r="AZ64" s="1992"/>
      <c r="BA64" s="1992"/>
      <c r="BB64" s="1992"/>
      <c r="BC64" s="1992"/>
      <c r="BD64" s="1992"/>
      <c r="BE64" s="1992"/>
      <c r="BF64" s="1992"/>
      <c r="BG64" s="1992"/>
      <c r="BH64" s="1992"/>
      <c r="BI64" s="1992"/>
      <c r="BJ64" s="1992"/>
      <c r="BK64" s="1992"/>
      <c r="BL64" s="1992"/>
      <c r="BM64" s="1992"/>
      <c r="BN64" s="1992"/>
      <c r="BO64" s="1992"/>
      <c r="BP64" s="1992"/>
      <c r="BQ64" s="1992"/>
      <c r="BR64" s="1992"/>
      <c r="BS64" s="1992"/>
      <c r="BT64" s="1992"/>
      <c r="BU64" s="1992"/>
      <c r="BV64" s="1992"/>
      <c r="BW64" s="1992"/>
      <c r="BX64" s="1992"/>
      <c r="BY64" s="1992"/>
      <c r="BZ64" s="1992"/>
      <c r="CA64" s="1992"/>
      <c r="CB64" s="1992"/>
      <c r="CC64" s="1992"/>
      <c r="CD64" s="1992"/>
      <c r="CE64" s="1992"/>
      <c r="CF64" s="1992"/>
      <c r="CG64" s="1992"/>
      <c r="CH64" s="1992"/>
      <c r="CI64" s="1992"/>
      <c r="CJ64" s="1992"/>
      <c r="CK64" s="1992"/>
      <c r="CL64" s="1992"/>
      <c r="CM64" s="1992"/>
      <c r="CN64" s="1992"/>
      <c r="CO64" s="1992"/>
      <c r="CP64" s="1992"/>
      <c r="CQ64" s="1992"/>
      <c r="CR64" s="1992"/>
      <c r="CS64" s="1992"/>
      <c r="CT64" s="1992"/>
      <c r="CU64" s="1992"/>
      <c r="CV64" s="1992"/>
      <c r="CW64" s="1992"/>
      <c r="CX64" s="1992"/>
      <c r="CY64" s="1992"/>
      <c r="CZ64" s="1992"/>
      <c r="DA64" s="1992"/>
      <c r="DB64" s="1992"/>
      <c r="DC64" s="1992"/>
      <c r="DD64" s="1992"/>
      <c r="DE64" s="1992"/>
      <c r="DF64" s="1992"/>
      <c r="DG64" s="1992"/>
      <c r="DH64" s="1992"/>
      <c r="DI64" s="1992"/>
      <c r="DJ64" s="1992"/>
      <c r="DK64" s="1992"/>
      <c r="DL64" s="1992"/>
      <c r="DM64" s="1992"/>
      <c r="DN64" s="1992"/>
      <c r="DO64" s="1992"/>
      <c r="DP64" s="1992"/>
      <c r="DQ64" s="1992"/>
      <c r="DR64" s="1992"/>
      <c r="DS64" s="1992"/>
      <c r="DT64" s="1992"/>
      <c r="DU64" s="1992"/>
      <c r="DV64" s="1992"/>
      <c r="DW64" s="1992"/>
      <c r="DX64" s="1992"/>
      <c r="DY64" s="1992"/>
      <c r="DZ64" s="1992"/>
      <c r="EA64" s="1992"/>
      <c r="EB64" s="1992"/>
      <c r="EC64" s="1992"/>
      <c r="ED64" s="1992"/>
      <c r="EE64" s="1992"/>
      <c r="EF64" s="1992"/>
      <c r="EG64" s="1992"/>
      <c r="EH64" s="1992"/>
      <c r="EI64" s="1992"/>
      <c r="EJ64" s="1992"/>
      <c r="EK64" s="1992"/>
      <c r="EL64" s="1992"/>
      <c r="EM64" s="1992"/>
      <c r="EN64" s="1992"/>
      <c r="EO64" s="1992"/>
      <c r="EP64" s="1992"/>
      <c r="EQ64" s="1992"/>
      <c r="ER64" s="1992"/>
      <c r="ES64" s="1992"/>
      <c r="ET64" s="1992"/>
      <c r="EU64" s="1992"/>
      <c r="EV64" s="1992"/>
      <c r="EW64" s="1992"/>
      <c r="EX64" s="1992"/>
      <c r="EY64" s="1992"/>
      <c r="EZ64" s="1992"/>
      <c r="FA64" s="1992"/>
      <c r="FB64" s="1992"/>
      <c r="FC64" s="1992"/>
      <c r="FD64" s="1992"/>
      <c r="FE64" s="1992"/>
      <c r="FF64" s="1992"/>
      <c r="FG64" s="1992"/>
      <c r="FH64" s="1992"/>
      <c r="FI64" s="1992"/>
      <c r="FJ64" s="1992"/>
      <c r="FK64" s="1992"/>
      <c r="FL64" s="1992"/>
      <c r="FM64" s="1992"/>
      <c r="FN64" s="1992"/>
      <c r="FO64" s="1992"/>
      <c r="FP64" s="1992"/>
      <c r="FQ64" s="1992"/>
      <c r="FR64" s="1992"/>
      <c r="FS64" s="1992"/>
      <c r="FT64" s="1992"/>
      <c r="FU64" s="1992"/>
      <c r="FV64" s="1992"/>
      <c r="FW64" s="1992"/>
      <c r="FX64" s="1992"/>
      <c r="FY64" s="1992"/>
      <c r="FZ64" s="1992"/>
      <c r="GA64" s="1992"/>
      <c r="GB64" s="1992"/>
      <c r="GC64" s="1992"/>
      <c r="GD64" s="1992"/>
      <c r="GE64" s="1992"/>
      <c r="GF64" s="1992"/>
      <c r="GG64" s="1992"/>
      <c r="GH64" s="1992"/>
      <c r="GI64" s="1992"/>
      <c r="GJ64" s="1992"/>
      <c r="GK64" s="1992"/>
      <c r="GL64" s="1992"/>
      <c r="GM64" s="1992"/>
      <c r="GN64" s="1992"/>
      <c r="GO64" s="1992"/>
      <c r="GP64" s="1992"/>
      <c r="GQ64" s="1992"/>
      <c r="GR64" s="1992"/>
      <c r="GS64" s="1992"/>
      <c r="GT64" s="1992"/>
      <c r="GU64" s="1992"/>
      <c r="GV64" s="1992"/>
      <c r="GW64" s="1992"/>
      <c r="GX64" s="1992"/>
      <c r="GY64" s="1992"/>
      <c r="GZ64" s="1992"/>
      <c r="HA64" s="1992"/>
      <c r="HB64" s="1992"/>
      <c r="HC64" s="1992"/>
      <c r="HD64" s="1992"/>
      <c r="HE64" s="1992"/>
      <c r="HF64" s="1992"/>
      <c r="HG64" s="1992"/>
      <c r="HH64" s="1992"/>
      <c r="HI64" s="1992"/>
      <c r="HJ64" s="1992"/>
      <c r="HK64" s="1992"/>
      <c r="HL64" s="1992"/>
      <c r="HM64" s="1992"/>
      <c r="HN64" s="1992"/>
      <c r="HO64" s="1992"/>
      <c r="HP64" s="1992"/>
      <c r="HQ64" s="1992"/>
      <c r="HR64" s="1992"/>
      <c r="HS64" s="1992"/>
      <c r="HT64" s="1992"/>
      <c r="HU64" s="1992"/>
      <c r="HV64" s="1992"/>
      <c r="HW64" s="1992"/>
      <c r="HX64" s="1992"/>
      <c r="HY64" s="1992"/>
      <c r="HZ64" s="1992"/>
      <c r="IA64" s="1992"/>
      <c r="IB64" s="1992"/>
      <c r="IC64" s="1992"/>
      <c r="ID64" s="1992"/>
      <c r="IE64" s="1992"/>
      <c r="IF64" s="1992"/>
      <c r="IG64" s="1992"/>
      <c r="IH64" s="1992"/>
      <c r="II64" s="1992"/>
      <c r="IJ64" s="1992"/>
      <c r="IK64" s="1992"/>
      <c r="IL64" s="1992"/>
      <c r="IM64" s="1992"/>
      <c r="IN64" s="1992"/>
      <c r="IO64" s="1992"/>
      <c r="IP64" s="1992"/>
      <c r="IQ64" s="1992"/>
    </row>
    <row r="65" spans="1:251" hidden="1">
      <c r="A65" s="1993"/>
      <c r="B65" s="1998" t="s">
        <v>526</v>
      </c>
      <c r="C65" s="1998"/>
      <c r="D65" s="2034"/>
      <c r="E65" s="1998"/>
      <c r="F65" s="1940">
        <f>ROUNDUP((E65*$Q$5),-3)</f>
        <v>0</v>
      </c>
      <c r="G65" s="1993"/>
      <c r="H65" s="1940">
        <f>D65*F65*G65</f>
        <v>0</v>
      </c>
      <c r="I65" s="1993"/>
      <c r="J65" s="1940">
        <f>I65*$Q$4</f>
        <v>0</v>
      </c>
      <c r="K65" s="1993"/>
      <c r="L65" s="1940">
        <f>K65*F65</f>
        <v>0</v>
      </c>
      <c r="M65" s="1940">
        <f>D65*G65*(J65+L65)</f>
        <v>0</v>
      </c>
      <c r="N65" s="1940">
        <f>H65+M65</f>
        <v>0</v>
      </c>
      <c r="O65" s="1993"/>
      <c r="P65" s="1993"/>
      <c r="Q65" s="1940">
        <f>N65+O65+P65</f>
        <v>0</v>
      </c>
      <c r="R65" s="1940">
        <f>Q65*10%</f>
        <v>0</v>
      </c>
      <c r="S65" s="1940">
        <f>(Q65-R65)*10%</f>
        <v>0</v>
      </c>
      <c r="T65" s="1940">
        <f>(Q65-R65)*6%</f>
        <v>0</v>
      </c>
      <c r="U65" s="1940">
        <f>(Q65-R65)*5%</f>
        <v>0</v>
      </c>
      <c r="V65" s="1997"/>
      <c r="W65" s="1997"/>
      <c r="X65" s="1997"/>
      <c r="Y65" s="1997"/>
      <c r="Z65" s="1997"/>
      <c r="AA65" s="1997"/>
      <c r="AB65" s="1997"/>
      <c r="AC65" s="1997"/>
      <c r="AD65" s="1997"/>
      <c r="AE65" s="1997"/>
      <c r="AF65" s="1997"/>
      <c r="AG65" s="1997"/>
      <c r="AH65" s="1997"/>
      <c r="AI65" s="1997"/>
      <c r="AJ65" s="1997"/>
      <c r="AK65" s="1997"/>
      <c r="AL65" s="1997"/>
      <c r="AM65" s="1997"/>
      <c r="AN65" s="1997"/>
      <c r="AO65" s="1997"/>
      <c r="AP65" s="1997"/>
      <c r="AQ65" s="1997"/>
      <c r="AR65" s="1997"/>
      <c r="AS65" s="1997"/>
      <c r="AT65" s="1997"/>
      <c r="AU65" s="1997"/>
      <c r="AV65" s="1997"/>
      <c r="AW65" s="1997"/>
      <c r="AX65" s="1997"/>
      <c r="AY65" s="1997"/>
      <c r="AZ65" s="1997"/>
      <c r="BA65" s="1997"/>
      <c r="BB65" s="1997"/>
      <c r="BC65" s="1997"/>
      <c r="BD65" s="1997"/>
      <c r="BE65" s="1997"/>
      <c r="BF65" s="1997"/>
      <c r="BG65" s="1997"/>
      <c r="BH65" s="1997"/>
      <c r="BI65" s="1997"/>
      <c r="BJ65" s="1997"/>
      <c r="BK65" s="1997"/>
      <c r="BL65" s="1997"/>
      <c r="BM65" s="1997"/>
      <c r="BN65" s="1997"/>
      <c r="BO65" s="1997"/>
      <c r="BP65" s="1997"/>
      <c r="BQ65" s="1997"/>
      <c r="BR65" s="1997"/>
      <c r="BS65" s="1997"/>
      <c r="BT65" s="1997"/>
      <c r="BU65" s="1997"/>
      <c r="BV65" s="1997"/>
      <c r="BW65" s="1997"/>
      <c r="BX65" s="1997"/>
      <c r="BY65" s="1997"/>
      <c r="BZ65" s="1997"/>
      <c r="CA65" s="1997"/>
      <c r="CB65" s="1997"/>
      <c r="CC65" s="1997"/>
      <c r="CD65" s="1997"/>
      <c r="CE65" s="1997"/>
      <c r="CF65" s="1997"/>
      <c r="CG65" s="1997"/>
      <c r="CH65" s="1997"/>
      <c r="CI65" s="1997"/>
      <c r="CJ65" s="1997"/>
      <c r="CK65" s="1997"/>
      <c r="CL65" s="1997"/>
      <c r="CM65" s="1997"/>
      <c r="CN65" s="1997"/>
      <c r="CO65" s="1997"/>
      <c r="CP65" s="1997"/>
      <c r="CQ65" s="1997"/>
      <c r="CR65" s="1997"/>
      <c r="CS65" s="1997"/>
      <c r="CT65" s="1997"/>
      <c r="CU65" s="1997"/>
      <c r="CV65" s="1997"/>
      <c r="CW65" s="1997"/>
      <c r="CX65" s="1997"/>
      <c r="CY65" s="1997"/>
      <c r="CZ65" s="1997"/>
      <c r="DA65" s="1997"/>
      <c r="DB65" s="1997"/>
      <c r="DC65" s="1997"/>
      <c r="DD65" s="1997"/>
      <c r="DE65" s="1997"/>
      <c r="DF65" s="1997"/>
      <c r="DG65" s="1997"/>
      <c r="DH65" s="1997"/>
      <c r="DI65" s="1997"/>
      <c r="DJ65" s="1997"/>
      <c r="DK65" s="1997"/>
      <c r="DL65" s="1997"/>
      <c r="DM65" s="1997"/>
      <c r="DN65" s="1997"/>
      <c r="DO65" s="1997"/>
      <c r="DP65" s="1997"/>
      <c r="DQ65" s="1997"/>
      <c r="DR65" s="1997"/>
      <c r="DS65" s="1997"/>
      <c r="DT65" s="1997"/>
      <c r="DU65" s="1997"/>
      <c r="DV65" s="1997"/>
      <c r="DW65" s="1997"/>
      <c r="DX65" s="1997"/>
      <c r="DY65" s="1997"/>
      <c r="DZ65" s="1997"/>
      <c r="EA65" s="1997"/>
      <c r="EB65" s="1997"/>
      <c r="EC65" s="1997"/>
      <c r="ED65" s="1997"/>
      <c r="EE65" s="1997"/>
      <c r="EF65" s="1997"/>
      <c r="EG65" s="1997"/>
      <c r="EH65" s="1997"/>
      <c r="EI65" s="1997"/>
      <c r="EJ65" s="1997"/>
      <c r="EK65" s="1997"/>
      <c r="EL65" s="1997"/>
      <c r="EM65" s="1997"/>
      <c r="EN65" s="1997"/>
      <c r="EO65" s="1997"/>
      <c r="EP65" s="1997"/>
      <c r="EQ65" s="1997"/>
      <c r="ER65" s="1997"/>
      <c r="ES65" s="1997"/>
      <c r="ET65" s="1997"/>
      <c r="EU65" s="1997"/>
      <c r="EV65" s="1997"/>
      <c r="EW65" s="1997"/>
      <c r="EX65" s="1997"/>
      <c r="EY65" s="1997"/>
      <c r="EZ65" s="1997"/>
      <c r="FA65" s="1997"/>
      <c r="FB65" s="1997"/>
      <c r="FC65" s="1997"/>
      <c r="FD65" s="1997"/>
      <c r="FE65" s="1997"/>
      <c r="FF65" s="1997"/>
      <c r="FG65" s="1997"/>
      <c r="FH65" s="1997"/>
      <c r="FI65" s="1997"/>
      <c r="FJ65" s="1997"/>
      <c r="FK65" s="1997"/>
      <c r="FL65" s="1997"/>
      <c r="FM65" s="1997"/>
      <c r="FN65" s="1997"/>
      <c r="FO65" s="1997"/>
      <c r="FP65" s="1997"/>
      <c r="FQ65" s="1997"/>
      <c r="FR65" s="1997"/>
      <c r="FS65" s="1997"/>
      <c r="FT65" s="1997"/>
      <c r="FU65" s="1997"/>
      <c r="FV65" s="1997"/>
      <c r="FW65" s="1997"/>
      <c r="FX65" s="1997"/>
      <c r="FY65" s="1997"/>
      <c r="FZ65" s="1997"/>
      <c r="GA65" s="1997"/>
      <c r="GB65" s="1997"/>
      <c r="GC65" s="1997"/>
      <c r="GD65" s="1997"/>
      <c r="GE65" s="1997"/>
      <c r="GF65" s="1997"/>
      <c r="GG65" s="1997"/>
      <c r="GH65" s="1997"/>
      <c r="GI65" s="1997"/>
      <c r="GJ65" s="1997"/>
      <c r="GK65" s="1997"/>
      <c r="GL65" s="1997"/>
      <c r="GM65" s="1997"/>
      <c r="GN65" s="1997"/>
      <c r="GO65" s="1997"/>
      <c r="GP65" s="1997"/>
      <c r="GQ65" s="1997"/>
      <c r="GR65" s="1997"/>
      <c r="GS65" s="1997"/>
      <c r="GT65" s="1997"/>
      <c r="GU65" s="1997"/>
      <c r="GV65" s="1997"/>
      <c r="GW65" s="1997"/>
      <c r="GX65" s="1997"/>
      <c r="GY65" s="1997"/>
      <c r="GZ65" s="1997"/>
      <c r="HA65" s="1997"/>
      <c r="HB65" s="1997"/>
      <c r="HC65" s="1997"/>
      <c r="HD65" s="1997"/>
      <c r="HE65" s="1997"/>
      <c r="HF65" s="1997"/>
      <c r="HG65" s="1997"/>
      <c r="HH65" s="1997"/>
      <c r="HI65" s="1997"/>
      <c r="HJ65" s="1997"/>
      <c r="HK65" s="1997"/>
      <c r="HL65" s="1997"/>
      <c r="HM65" s="1997"/>
      <c r="HN65" s="1997"/>
      <c r="HO65" s="1997"/>
      <c r="HP65" s="1997"/>
      <c r="HQ65" s="1997"/>
      <c r="HR65" s="1997"/>
      <c r="HS65" s="1997"/>
      <c r="HT65" s="1997"/>
      <c r="HU65" s="1997"/>
      <c r="HV65" s="1997"/>
      <c r="HW65" s="1997"/>
      <c r="HX65" s="1997"/>
      <c r="HY65" s="1997"/>
      <c r="HZ65" s="1997"/>
      <c r="IA65" s="1997"/>
      <c r="IB65" s="1997"/>
      <c r="IC65" s="1997"/>
      <c r="ID65" s="1997"/>
      <c r="IE65" s="1997"/>
      <c r="IF65" s="1997"/>
      <c r="IG65" s="1997"/>
      <c r="IH65" s="1997"/>
      <c r="II65" s="1997"/>
      <c r="IJ65" s="1997"/>
      <c r="IK65" s="1997"/>
      <c r="IL65" s="1997"/>
      <c r="IM65" s="1997"/>
      <c r="IN65" s="1997"/>
      <c r="IO65" s="1997"/>
      <c r="IP65" s="1997"/>
      <c r="IQ65" s="1997"/>
    </row>
    <row r="66" spans="1:251" hidden="1">
      <c r="A66" s="1993"/>
      <c r="B66" s="1993"/>
      <c r="C66" s="1998"/>
      <c r="D66" s="2034"/>
      <c r="E66" s="1998"/>
      <c r="F66" s="1940">
        <f>ROUNDUP((E66*$Q$5),-3)</f>
        <v>0</v>
      </c>
      <c r="G66" s="1993"/>
      <c r="H66" s="1940">
        <f>D66*F66*G66</f>
        <v>0</v>
      </c>
      <c r="I66" s="1993"/>
      <c r="J66" s="1940">
        <f>I66*$Q$4</f>
        <v>0</v>
      </c>
      <c r="K66" s="1993"/>
      <c r="L66" s="1940">
        <f>K66*F66</f>
        <v>0</v>
      </c>
      <c r="M66" s="1940">
        <f>D66*G66*(J66+L66)</f>
        <v>0</v>
      </c>
      <c r="N66" s="1940">
        <f>H66+M66</f>
        <v>0</v>
      </c>
      <c r="O66" s="1993"/>
      <c r="P66" s="1993"/>
      <c r="Q66" s="1940">
        <f>N66+O66+P66</f>
        <v>0</v>
      </c>
      <c r="R66" s="1940">
        <f>Q66*10%</f>
        <v>0</v>
      </c>
      <c r="S66" s="1940">
        <f>(Q66-R66)*10%</f>
        <v>0</v>
      </c>
      <c r="T66" s="1940">
        <f>(Q66-R66)*6%</f>
        <v>0</v>
      </c>
      <c r="U66" s="1940">
        <f>(Q66-R66)*5%</f>
        <v>0</v>
      </c>
      <c r="V66" s="1997"/>
      <c r="W66" s="1997"/>
      <c r="X66" s="1997"/>
      <c r="Y66" s="1997"/>
      <c r="Z66" s="1997"/>
      <c r="AA66" s="1997"/>
      <c r="AB66" s="1997"/>
      <c r="AC66" s="1997"/>
      <c r="AD66" s="1997"/>
      <c r="AE66" s="1997"/>
      <c r="AF66" s="1997"/>
      <c r="AG66" s="1997"/>
      <c r="AH66" s="1997"/>
      <c r="AI66" s="1997"/>
      <c r="AJ66" s="1997"/>
      <c r="AK66" s="1997"/>
      <c r="AL66" s="1997"/>
      <c r="AM66" s="1997"/>
      <c r="AN66" s="1997"/>
      <c r="AO66" s="1997"/>
      <c r="AP66" s="1997"/>
      <c r="AQ66" s="1997"/>
      <c r="AR66" s="1997"/>
      <c r="AS66" s="1997"/>
      <c r="AT66" s="1997"/>
      <c r="AU66" s="1997"/>
      <c r="AV66" s="1997"/>
      <c r="AW66" s="1997"/>
      <c r="AX66" s="1997"/>
      <c r="AY66" s="1997"/>
      <c r="AZ66" s="1997"/>
      <c r="BA66" s="1997"/>
      <c r="BB66" s="1997"/>
      <c r="BC66" s="1997"/>
      <c r="BD66" s="1997"/>
      <c r="BE66" s="1997"/>
      <c r="BF66" s="1997"/>
      <c r="BG66" s="1997"/>
      <c r="BH66" s="1997"/>
      <c r="BI66" s="1997"/>
      <c r="BJ66" s="1997"/>
      <c r="BK66" s="1997"/>
      <c r="BL66" s="1997"/>
      <c r="BM66" s="1997"/>
      <c r="BN66" s="1997"/>
      <c r="BO66" s="1997"/>
      <c r="BP66" s="1997"/>
      <c r="BQ66" s="1997"/>
      <c r="BR66" s="1997"/>
      <c r="BS66" s="1997"/>
      <c r="BT66" s="1997"/>
      <c r="BU66" s="1997"/>
      <c r="BV66" s="1997"/>
      <c r="BW66" s="1997"/>
      <c r="BX66" s="1997"/>
      <c r="BY66" s="1997"/>
      <c r="BZ66" s="1997"/>
      <c r="CA66" s="1997"/>
      <c r="CB66" s="1997"/>
      <c r="CC66" s="1997"/>
      <c r="CD66" s="1997"/>
      <c r="CE66" s="1997"/>
      <c r="CF66" s="1997"/>
      <c r="CG66" s="1997"/>
      <c r="CH66" s="1997"/>
      <c r="CI66" s="1997"/>
      <c r="CJ66" s="1997"/>
      <c r="CK66" s="1997"/>
      <c r="CL66" s="1997"/>
      <c r="CM66" s="1997"/>
      <c r="CN66" s="1997"/>
      <c r="CO66" s="1997"/>
      <c r="CP66" s="1997"/>
      <c r="CQ66" s="1997"/>
      <c r="CR66" s="1997"/>
      <c r="CS66" s="1997"/>
      <c r="CT66" s="1997"/>
      <c r="CU66" s="1997"/>
      <c r="CV66" s="1997"/>
      <c r="CW66" s="1997"/>
      <c r="CX66" s="1997"/>
      <c r="CY66" s="1997"/>
      <c r="CZ66" s="1997"/>
      <c r="DA66" s="1997"/>
      <c r="DB66" s="1997"/>
      <c r="DC66" s="1997"/>
      <c r="DD66" s="1997"/>
      <c r="DE66" s="1997"/>
      <c r="DF66" s="1997"/>
      <c r="DG66" s="1997"/>
      <c r="DH66" s="1997"/>
      <c r="DI66" s="1997"/>
      <c r="DJ66" s="1997"/>
      <c r="DK66" s="1997"/>
      <c r="DL66" s="1997"/>
      <c r="DM66" s="1997"/>
      <c r="DN66" s="1997"/>
      <c r="DO66" s="1997"/>
      <c r="DP66" s="1997"/>
      <c r="DQ66" s="1997"/>
      <c r="DR66" s="1997"/>
      <c r="DS66" s="1997"/>
      <c r="DT66" s="1997"/>
      <c r="DU66" s="1997"/>
      <c r="DV66" s="1997"/>
      <c r="DW66" s="1997"/>
      <c r="DX66" s="1997"/>
      <c r="DY66" s="1997"/>
      <c r="DZ66" s="1997"/>
      <c r="EA66" s="1997"/>
      <c r="EB66" s="1997"/>
      <c r="EC66" s="1997"/>
      <c r="ED66" s="1997"/>
      <c r="EE66" s="1997"/>
      <c r="EF66" s="1997"/>
      <c r="EG66" s="1997"/>
      <c r="EH66" s="1997"/>
      <c r="EI66" s="1997"/>
      <c r="EJ66" s="1997"/>
      <c r="EK66" s="1997"/>
      <c r="EL66" s="1997"/>
      <c r="EM66" s="1997"/>
      <c r="EN66" s="1997"/>
      <c r="EO66" s="1997"/>
      <c r="EP66" s="1997"/>
      <c r="EQ66" s="1997"/>
      <c r="ER66" s="1997"/>
      <c r="ES66" s="1997"/>
      <c r="ET66" s="1997"/>
      <c r="EU66" s="1997"/>
      <c r="EV66" s="1997"/>
      <c r="EW66" s="1997"/>
      <c r="EX66" s="1997"/>
      <c r="EY66" s="1997"/>
      <c r="EZ66" s="1997"/>
      <c r="FA66" s="1997"/>
      <c r="FB66" s="1997"/>
      <c r="FC66" s="1997"/>
      <c r="FD66" s="1997"/>
      <c r="FE66" s="1997"/>
      <c r="FF66" s="1997"/>
      <c r="FG66" s="1997"/>
      <c r="FH66" s="1997"/>
      <c r="FI66" s="1997"/>
      <c r="FJ66" s="1997"/>
      <c r="FK66" s="1997"/>
      <c r="FL66" s="1997"/>
      <c r="FM66" s="1997"/>
      <c r="FN66" s="1997"/>
      <c r="FO66" s="1997"/>
      <c r="FP66" s="1997"/>
      <c r="FQ66" s="1997"/>
      <c r="FR66" s="1997"/>
      <c r="FS66" s="1997"/>
      <c r="FT66" s="1997"/>
      <c r="FU66" s="1997"/>
      <c r="FV66" s="1997"/>
      <c r="FW66" s="1997"/>
      <c r="FX66" s="1997"/>
      <c r="FY66" s="1997"/>
      <c r="FZ66" s="1997"/>
      <c r="GA66" s="1997"/>
      <c r="GB66" s="1997"/>
      <c r="GC66" s="1997"/>
      <c r="GD66" s="1997"/>
      <c r="GE66" s="1997"/>
      <c r="GF66" s="1997"/>
      <c r="GG66" s="1997"/>
      <c r="GH66" s="1997"/>
      <c r="GI66" s="1997"/>
      <c r="GJ66" s="1997"/>
      <c r="GK66" s="1997"/>
      <c r="GL66" s="1997"/>
      <c r="GM66" s="1997"/>
      <c r="GN66" s="1997"/>
      <c r="GO66" s="1997"/>
      <c r="GP66" s="1997"/>
      <c r="GQ66" s="1997"/>
      <c r="GR66" s="1997"/>
      <c r="GS66" s="1997"/>
      <c r="GT66" s="1997"/>
      <c r="GU66" s="1997"/>
      <c r="GV66" s="1997"/>
      <c r="GW66" s="1997"/>
      <c r="GX66" s="1997"/>
      <c r="GY66" s="1997"/>
      <c r="GZ66" s="1997"/>
      <c r="HA66" s="1997"/>
      <c r="HB66" s="1997"/>
      <c r="HC66" s="1997"/>
      <c r="HD66" s="1997"/>
      <c r="HE66" s="1997"/>
      <c r="HF66" s="1997"/>
      <c r="HG66" s="1997"/>
      <c r="HH66" s="1997"/>
      <c r="HI66" s="1997"/>
      <c r="HJ66" s="1997"/>
      <c r="HK66" s="1997"/>
      <c r="HL66" s="1997"/>
      <c r="HM66" s="1997"/>
      <c r="HN66" s="1997"/>
      <c r="HO66" s="1997"/>
      <c r="HP66" s="1997"/>
      <c r="HQ66" s="1997"/>
      <c r="HR66" s="1997"/>
      <c r="HS66" s="1997"/>
      <c r="HT66" s="1997"/>
      <c r="HU66" s="1997"/>
      <c r="HV66" s="1997"/>
      <c r="HW66" s="1997"/>
      <c r="HX66" s="1997"/>
      <c r="HY66" s="1997"/>
      <c r="HZ66" s="1997"/>
      <c r="IA66" s="1997"/>
      <c r="IB66" s="1997"/>
      <c r="IC66" s="1997"/>
      <c r="ID66" s="1997"/>
      <c r="IE66" s="1997"/>
      <c r="IF66" s="1997"/>
      <c r="IG66" s="1997"/>
      <c r="IH66" s="1997"/>
      <c r="II66" s="1997"/>
      <c r="IJ66" s="1997"/>
      <c r="IK66" s="1997"/>
      <c r="IL66" s="1997"/>
      <c r="IM66" s="1997"/>
      <c r="IN66" s="1997"/>
      <c r="IO66" s="1997"/>
      <c r="IP66" s="1997"/>
      <c r="IQ66" s="1997"/>
    </row>
    <row r="67" spans="1:251" hidden="1">
      <c r="A67" s="1993"/>
      <c r="B67" s="1998"/>
      <c r="C67" s="1998"/>
      <c r="D67" s="2034"/>
      <c r="E67" s="1998"/>
      <c r="F67" s="1940">
        <f>ROUNDUP((E67*$Q$5),-3)</f>
        <v>0</v>
      </c>
      <c r="G67" s="1993"/>
      <c r="H67" s="1940">
        <f>D67*F67*G67</f>
        <v>0</v>
      </c>
      <c r="I67" s="1993"/>
      <c r="J67" s="1940">
        <f>I67*$Q$4</f>
        <v>0</v>
      </c>
      <c r="K67" s="1993"/>
      <c r="L67" s="1940">
        <f>K67*F67</f>
        <v>0</v>
      </c>
      <c r="M67" s="1940">
        <f>D67*G67*(J67+L67)</f>
        <v>0</v>
      </c>
      <c r="N67" s="1940">
        <f>H67+M67</f>
        <v>0</v>
      </c>
      <c r="O67" s="1993"/>
      <c r="P67" s="1993"/>
      <c r="Q67" s="1940">
        <f>N67+O67+P67</f>
        <v>0</v>
      </c>
      <c r="R67" s="1940">
        <f>Q67*10%</f>
        <v>0</v>
      </c>
      <c r="S67" s="1940">
        <f>(Q67-R67)*10%</f>
        <v>0</v>
      </c>
      <c r="T67" s="1940">
        <f>(Q67-R67)*6%</f>
        <v>0</v>
      </c>
      <c r="U67" s="1940">
        <f>(Q67-R67)*5%</f>
        <v>0</v>
      </c>
      <c r="V67" s="1997"/>
      <c r="W67" s="1997"/>
      <c r="X67" s="1997"/>
      <c r="Y67" s="1997"/>
      <c r="Z67" s="1997"/>
      <c r="AA67" s="1997"/>
      <c r="AB67" s="1997"/>
      <c r="AC67" s="1997"/>
      <c r="AD67" s="1997"/>
      <c r="AE67" s="1997"/>
      <c r="AF67" s="1997"/>
      <c r="AG67" s="1997"/>
      <c r="AH67" s="1997"/>
      <c r="AI67" s="1997"/>
      <c r="AJ67" s="1997"/>
      <c r="AK67" s="1997"/>
      <c r="AL67" s="1997"/>
      <c r="AM67" s="1997"/>
      <c r="AN67" s="1997"/>
      <c r="AO67" s="1997"/>
      <c r="AP67" s="1997"/>
      <c r="AQ67" s="1997"/>
      <c r="AR67" s="1997"/>
      <c r="AS67" s="1997"/>
      <c r="AT67" s="1997"/>
      <c r="AU67" s="1997"/>
      <c r="AV67" s="1997"/>
      <c r="AW67" s="1997"/>
      <c r="AX67" s="1997"/>
      <c r="AY67" s="1997"/>
      <c r="AZ67" s="1997"/>
      <c r="BA67" s="1997"/>
      <c r="BB67" s="1997"/>
      <c r="BC67" s="1997"/>
      <c r="BD67" s="1997"/>
      <c r="BE67" s="1997"/>
      <c r="BF67" s="1997"/>
      <c r="BG67" s="1997"/>
      <c r="BH67" s="1997"/>
      <c r="BI67" s="1997"/>
      <c r="BJ67" s="1997"/>
      <c r="BK67" s="1997"/>
      <c r="BL67" s="1997"/>
      <c r="BM67" s="1997"/>
      <c r="BN67" s="1997"/>
      <c r="BO67" s="1997"/>
      <c r="BP67" s="1997"/>
      <c r="BQ67" s="1997"/>
      <c r="BR67" s="1997"/>
      <c r="BS67" s="1997"/>
      <c r="BT67" s="1997"/>
      <c r="BU67" s="1997"/>
      <c r="BV67" s="1997"/>
      <c r="BW67" s="1997"/>
      <c r="BX67" s="1997"/>
      <c r="BY67" s="1997"/>
      <c r="BZ67" s="1997"/>
      <c r="CA67" s="1997"/>
      <c r="CB67" s="1997"/>
      <c r="CC67" s="1997"/>
      <c r="CD67" s="1997"/>
      <c r="CE67" s="1997"/>
      <c r="CF67" s="1997"/>
      <c r="CG67" s="1997"/>
      <c r="CH67" s="1997"/>
      <c r="CI67" s="1997"/>
      <c r="CJ67" s="1997"/>
      <c r="CK67" s="1997"/>
      <c r="CL67" s="1997"/>
      <c r="CM67" s="1997"/>
      <c r="CN67" s="1997"/>
      <c r="CO67" s="1997"/>
      <c r="CP67" s="1997"/>
      <c r="CQ67" s="1997"/>
      <c r="CR67" s="1997"/>
      <c r="CS67" s="1997"/>
      <c r="CT67" s="1997"/>
      <c r="CU67" s="1997"/>
      <c r="CV67" s="1997"/>
      <c r="CW67" s="1997"/>
      <c r="CX67" s="1997"/>
      <c r="CY67" s="1997"/>
      <c r="CZ67" s="1997"/>
      <c r="DA67" s="1997"/>
      <c r="DB67" s="1997"/>
      <c r="DC67" s="1997"/>
      <c r="DD67" s="1997"/>
      <c r="DE67" s="1997"/>
      <c r="DF67" s="1997"/>
      <c r="DG67" s="1997"/>
      <c r="DH67" s="1997"/>
      <c r="DI67" s="1997"/>
      <c r="DJ67" s="1997"/>
      <c r="DK67" s="1997"/>
      <c r="DL67" s="1997"/>
      <c r="DM67" s="1997"/>
      <c r="DN67" s="1997"/>
      <c r="DO67" s="1997"/>
      <c r="DP67" s="1997"/>
      <c r="DQ67" s="1997"/>
      <c r="DR67" s="1997"/>
      <c r="DS67" s="1997"/>
      <c r="DT67" s="1997"/>
      <c r="DU67" s="1997"/>
      <c r="DV67" s="1997"/>
      <c r="DW67" s="1997"/>
      <c r="DX67" s="1997"/>
      <c r="DY67" s="1997"/>
      <c r="DZ67" s="1997"/>
      <c r="EA67" s="1997"/>
      <c r="EB67" s="1997"/>
      <c r="EC67" s="1997"/>
      <c r="ED67" s="1997"/>
      <c r="EE67" s="1997"/>
      <c r="EF67" s="1997"/>
      <c r="EG67" s="1997"/>
      <c r="EH67" s="1997"/>
      <c r="EI67" s="1997"/>
      <c r="EJ67" s="1997"/>
      <c r="EK67" s="1997"/>
      <c r="EL67" s="1997"/>
      <c r="EM67" s="1997"/>
      <c r="EN67" s="1997"/>
      <c r="EO67" s="1997"/>
      <c r="EP67" s="1997"/>
      <c r="EQ67" s="1997"/>
      <c r="ER67" s="1997"/>
      <c r="ES67" s="1997"/>
      <c r="ET67" s="1997"/>
      <c r="EU67" s="1997"/>
      <c r="EV67" s="1997"/>
      <c r="EW67" s="1997"/>
      <c r="EX67" s="1997"/>
      <c r="EY67" s="1997"/>
      <c r="EZ67" s="1997"/>
      <c r="FA67" s="1997"/>
      <c r="FB67" s="1997"/>
      <c r="FC67" s="1997"/>
      <c r="FD67" s="1997"/>
      <c r="FE67" s="1997"/>
      <c r="FF67" s="1997"/>
      <c r="FG67" s="1997"/>
      <c r="FH67" s="1997"/>
      <c r="FI67" s="1997"/>
      <c r="FJ67" s="1997"/>
      <c r="FK67" s="1997"/>
      <c r="FL67" s="1997"/>
      <c r="FM67" s="1997"/>
      <c r="FN67" s="1997"/>
      <c r="FO67" s="1997"/>
      <c r="FP67" s="1997"/>
      <c r="FQ67" s="1997"/>
      <c r="FR67" s="1997"/>
      <c r="FS67" s="1997"/>
      <c r="FT67" s="1997"/>
      <c r="FU67" s="1997"/>
      <c r="FV67" s="1997"/>
      <c r="FW67" s="1997"/>
      <c r="FX67" s="1997"/>
      <c r="FY67" s="1997"/>
      <c r="FZ67" s="1997"/>
      <c r="GA67" s="1997"/>
      <c r="GB67" s="1997"/>
      <c r="GC67" s="1997"/>
      <c r="GD67" s="1997"/>
      <c r="GE67" s="1997"/>
      <c r="GF67" s="1997"/>
      <c r="GG67" s="1997"/>
      <c r="GH67" s="1997"/>
      <c r="GI67" s="1997"/>
      <c r="GJ67" s="1997"/>
      <c r="GK67" s="1997"/>
      <c r="GL67" s="1997"/>
      <c r="GM67" s="1997"/>
      <c r="GN67" s="1997"/>
      <c r="GO67" s="1997"/>
      <c r="GP67" s="1997"/>
      <c r="GQ67" s="1997"/>
      <c r="GR67" s="1997"/>
      <c r="GS67" s="1997"/>
      <c r="GT67" s="1997"/>
      <c r="GU67" s="1997"/>
      <c r="GV67" s="1997"/>
      <c r="GW67" s="1997"/>
      <c r="GX67" s="1997"/>
      <c r="GY67" s="1997"/>
      <c r="GZ67" s="1997"/>
      <c r="HA67" s="1997"/>
      <c r="HB67" s="1997"/>
      <c r="HC67" s="1997"/>
      <c r="HD67" s="1997"/>
      <c r="HE67" s="1997"/>
      <c r="HF67" s="1997"/>
      <c r="HG67" s="1997"/>
      <c r="HH67" s="1997"/>
      <c r="HI67" s="1997"/>
      <c r="HJ67" s="1997"/>
      <c r="HK67" s="1997"/>
      <c r="HL67" s="1997"/>
      <c r="HM67" s="1997"/>
      <c r="HN67" s="1997"/>
      <c r="HO67" s="1997"/>
      <c r="HP67" s="1997"/>
      <c r="HQ67" s="1997"/>
      <c r="HR67" s="1997"/>
      <c r="HS67" s="1997"/>
      <c r="HT67" s="1997"/>
      <c r="HU67" s="1997"/>
      <c r="HV67" s="1997"/>
      <c r="HW67" s="1997"/>
      <c r="HX67" s="1997"/>
      <c r="HY67" s="1997"/>
      <c r="HZ67" s="1997"/>
      <c r="IA67" s="1997"/>
      <c r="IB67" s="1997"/>
      <c r="IC67" s="1997"/>
      <c r="ID67" s="1997"/>
      <c r="IE67" s="1997"/>
      <c r="IF67" s="1997"/>
      <c r="IG67" s="1997"/>
      <c r="IH67" s="1997"/>
      <c r="II67" s="1997"/>
      <c r="IJ67" s="1997"/>
      <c r="IK67" s="1997"/>
      <c r="IL67" s="1997"/>
      <c r="IM67" s="1997"/>
      <c r="IN67" s="1997"/>
      <c r="IO67" s="1997"/>
      <c r="IP67" s="1997"/>
      <c r="IQ67" s="1997"/>
    </row>
    <row r="68" spans="1:251" hidden="1">
      <c r="A68" s="1993"/>
      <c r="B68" s="1998"/>
      <c r="C68" s="1998"/>
      <c r="D68" s="2034"/>
      <c r="E68" s="1998"/>
      <c r="F68" s="1940">
        <f>ROUNDUP((E68*$Q$5),-3)</f>
        <v>0</v>
      </c>
      <c r="G68" s="1993"/>
      <c r="H68" s="1940">
        <f>D68*F68*G68</f>
        <v>0</v>
      </c>
      <c r="I68" s="1993"/>
      <c r="J68" s="1940">
        <f>I68*$Q$4</f>
        <v>0</v>
      </c>
      <c r="K68" s="1993"/>
      <c r="L68" s="1940">
        <f>K68*F68</f>
        <v>0</v>
      </c>
      <c r="M68" s="1940">
        <f>D68*G68*(J68+L68)</f>
        <v>0</v>
      </c>
      <c r="N68" s="1940">
        <f>H68+M68</f>
        <v>0</v>
      </c>
      <c r="O68" s="1993"/>
      <c r="P68" s="1993"/>
      <c r="Q68" s="1940">
        <f>N68+O68+P68</f>
        <v>0</v>
      </c>
      <c r="R68" s="1940">
        <f>Q68*10%</f>
        <v>0</v>
      </c>
      <c r="S68" s="1940">
        <f>(Q68-R68)*10%</f>
        <v>0</v>
      </c>
      <c r="T68" s="1940">
        <f>(Q68-R68)*6%</f>
        <v>0</v>
      </c>
      <c r="U68" s="1940">
        <f>(Q68-R68)*5%</f>
        <v>0</v>
      </c>
      <c r="V68" s="1997"/>
      <c r="W68" s="1997"/>
      <c r="X68" s="1997"/>
      <c r="Y68" s="1997"/>
      <c r="Z68" s="1997"/>
      <c r="AA68" s="1997"/>
      <c r="AB68" s="1997"/>
      <c r="AC68" s="1997"/>
      <c r="AD68" s="1997"/>
      <c r="AE68" s="1997"/>
      <c r="AF68" s="1997"/>
      <c r="AG68" s="1997"/>
      <c r="AH68" s="1997"/>
      <c r="AI68" s="1997"/>
      <c r="AJ68" s="1997"/>
      <c r="AK68" s="1997"/>
      <c r="AL68" s="1997"/>
      <c r="AM68" s="1997"/>
      <c r="AN68" s="1997"/>
      <c r="AO68" s="1997"/>
      <c r="AP68" s="1997"/>
      <c r="AQ68" s="1997"/>
      <c r="AR68" s="1997"/>
      <c r="AS68" s="1997"/>
      <c r="AT68" s="1997"/>
      <c r="AU68" s="1997"/>
      <c r="AV68" s="1997"/>
      <c r="AW68" s="1997"/>
      <c r="AX68" s="1997"/>
      <c r="AY68" s="1997"/>
      <c r="AZ68" s="1997"/>
      <c r="BA68" s="1997"/>
      <c r="BB68" s="1997"/>
      <c r="BC68" s="1997"/>
      <c r="BD68" s="1997"/>
      <c r="BE68" s="1997"/>
      <c r="BF68" s="1997"/>
      <c r="BG68" s="1997"/>
      <c r="BH68" s="1997"/>
      <c r="BI68" s="1997"/>
      <c r="BJ68" s="1997"/>
      <c r="BK68" s="1997"/>
      <c r="BL68" s="1997"/>
      <c r="BM68" s="1997"/>
      <c r="BN68" s="1997"/>
      <c r="BO68" s="1997"/>
      <c r="BP68" s="1997"/>
      <c r="BQ68" s="1997"/>
      <c r="BR68" s="1997"/>
      <c r="BS68" s="1997"/>
      <c r="BT68" s="1997"/>
      <c r="BU68" s="1997"/>
      <c r="BV68" s="1997"/>
      <c r="BW68" s="1997"/>
      <c r="BX68" s="1997"/>
      <c r="BY68" s="1997"/>
      <c r="BZ68" s="1997"/>
      <c r="CA68" s="1997"/>
      <c r="CB68" s="1997"/>
      <c r="CC68" s="1997"/>
      <c r="CD68" s="1997"/>
      <c r="CE68" s="1997"/>
      <c r="CF68" s="1997"/>
      <c r="CG68" s="1997"/>
      <c r="CH68" s="1997"/>
      <c r="CI68" s="1997"/>
      <c r="CJ68" s="1997"/>
      <c r="CK68" s="1997"/>
      <c r="CL68" s="1997"/>
      <c r="CM68" s="1997"/>
      <c r="CN68" s="1997"/>
      <c r="CO68" s="1997"/>
      <c r="CP68" s="1997"/>
      <c r="CQ68" s="1997"/>
      <c r="CR68" s="1997"/>
      <c r="CS68" s="1997"/>
      <c r="CT68" s="1997"/>
      <c r="CU68" s="1997"/>
      <c r="CV68" s="1997"/>
      <c r="CW68" s="1997"/>
      <c r="CX68" s="1997"/>
      <c r="CY68" s="1997"/>
      <c r="CZ68" s="1997"/>
      <c r="DA68" s="1997"/>
      <c r="DB68" s="1997"/>
      <c r="DC68" s="1997"/>
      <c r="DD68" s="1997"/>
      <c r="DE68" s="1997"/>
      <c r="DF68" s="1997"/>
      <c r="DG68" s="1997"/>
      <c r="DH68" s="1997"/>
      <c r="DI68" s="1997"/>
      <c r="DJ68" s="1997"/>
      <c r="DK68" s="1997"/>
      <c r="DL68" s="1997"/>
      <c r="DM68" s="1997"/>
      <c r="DN68" s="1997"/>
      <c r="DO68" s="1997"/>
      <c r="DP68" s="1997"/>
      <c r="DQ68" s="1997"/>
      <c r="DR68" s="1997"/>
      <c r="DS68" s="1997"/>
      <c r="DT68" s="1997"/>
      <c r="DU68" s="1997"/>
      <c r="DV68" s="1997"/>
      <c r="DW68" s="1997"/>
      <c r="DX68" s="1997"/>
      <c r="DY68" s="1997"/>
      <c r="DZ68" s="1997"/>
      <c r="EA68" s="1997"/>
      <c r="EB68" s="1997"/>
      <c r="EC68" s="1997"/>
      <c r="ED68" s="1997"/>
      <c r="EE68" s="1997"/>
      <c r="EF68" s="1997"/>
      <c r="EG68" s="1997"/>
      <c r="EH68" s="1997"/>
      <c r="EI68" s="1997"/>
      <c r="EJ68" s="1997"/>
      <c r="EK68" s="1997"/>
      <c r="EL68" s="1997"/>
      <c r="EM68" s="1997"/>
      <c r="EN68" s="1997"/>
      <c r="EO68" s="1997"/>
      <c r="EP68" s="1997"/>
      <c r="EQ68" s="1997"/>
      <c r="ER68" s="1997"/>
      <c r="ES68" s="1997"/>
      <c r="ET68" s="1997"/>
      <c r="EU68" s="1997"/>
      <c r="EV68" s="1997"/>
      <c r="EW68" s="1997"/>
      <c r="EX68" s="1997"/>
      <c r="EY68" s="1997"/>
      <c r="EZ68" s="1997"/>
      <c r="FA68" s="1997"/>
      <c r="FB68" s="1997"/>
      <c r="FC68" s="1997"/>
      <c r="FD68" s="1997"/>
      <c r="FE68" s="1997"/>
      <c r="FF68" s="1997"/>
      <c r="FG68" s="1997"/>
      <c r="FH68" s="1997"/>
      <c r="FI68" s="1997"/>
      <c r="FJ68" s="1997"/>
      <c r="FK68" s="1997"/>
      <c r="FL68" s="1997"/>
      <c r="FM68" s="1997"/>
      <c r="FN68" s="1997"/>
      <c r="FO68" s="1997"/>
      <c r="FP68" s="1997"/>
      <c r="FQ68" s="1997"/>
      <c r="FR68" s="1997"/>
      <c r="FS68" s="1997"/>
      <c r="FT68" s="1997"/>
      <c r="FU68" s="1997"/>
      <c r="FV68" s="1997"/>
      <c r="FW68" s="1997"/>
      <c r="FX68" s="1997"/>
      <c r="FY68" s="1997"/>
      <c r="FZ68" s="1997"/>
      <c r="GA68" s="1997"/>
      <c r="GB68" s="1997"/>
      <c r="GC68" s="1997"/>
      <c r="GD68" s="1997"/>
      <c r="GE68" s="1997"/>
      <c r="GF68" s="1997"/>
      <c r="GG68" s="1997"/>
      <c r="GH68" s="1997"/>
      <c r="GI68" s="1997"/>
      <c r="GJ68" s="1997"/>
      <c r="GK68" s="1997"/>
      <c r="GL68" s="1997"/>
      <c r="GM68" s="1997"/>
      <c r="GN68" s="1997"/>
      <c r="GO68" s="1997"/>
      <c r="GP68" s="1997"/>
      <c r="GQ68" s="1997"/>
      <c r="GR68" s="1997"/>
      <c r="GS68" s="1997"/>
      <c r="GT68" s="1997"/>
      <c r="GU68" s="1997"/>
      <c r="GV68" s="1997"/>
      <c r="GW68" s="1997"/>
      <c r="GX68" s="1997"/>
      <c r="GY68" s="1997"/>
      <c r="GZ68" s="1997"/>
      <c r="HA68" s="1997"/>
      <c r="HB68" s="1997"/>
      <c r="HC68" s="1997"/>
      <c r="HD68" s="1997"/>
      <c r="HE68" s="1997"/>
      <c r="HF68" s="1997"/>
      <c r="HG68" s="1997"/>
      <c r="HH68" s="1997"/>
      <c r="HI68" s="1997"/>
      <c r="HJ68" s="1997"/>
      <c r="HK68" s="1997"/>
      <c r="HL68" s="1997"/>
      <c r="HM68" s="1997"/>
      <c r="HN68" s="1997"/>
      <c r="HO68" s="1997"/>
      <c r="HP68" s="1997"/>
      <c r="HQ68" s="1997"/>
      <c r="HR68" s="1997"/>
      <c r="HS68" s="1997"/>
      <c r="HT68" s="1997"/>
      <c r="HU68" s="1997"/>
      <c r="HV68" s="1997"/>
      <c r="HW68" s="1997"/>
      <c r="HX68" s="1997"/>
      <c r="HY68" s="1997"/>
      <c r="HZ68" s="1997"/>
      <c r="IA68" s="1997"/>
      <c r="IB68" s="1997"/>
      <c r="IC68" s="1997"/>
      <c r="ID68" s="1997"/>
      <c r="IE68" s="1997"/>
      <c r="IF68" s="1997"/>
      <c r="IG68" s="1997"/>
      <c r="IH68" s="1997"/>
      <c r="II68" s="1997"/>
      <c r="IJ68" s="1997"/>
      <c r="IK68" s="1997"/>
      <c r="IL68" s="1997"/>
      <c r="IM68" s="1997"/>
      <c r="IN68" s="1997"/>
      <c r="IO68" s="1997"/>
      <c r="IP68" s="1997"/>
      <c r="IQ68" s="1997"/>
    </row>
    <row r="69" spans="1:251" hidden="1">
      <c r="A69" s="1993"/>
      <c r="B69" s="1998"/>
      <c r="C69" s="1998"/>
      <c r="D69" s="2034"/>
      <c r="E69" s="1998"/>
      <c r="F69" s="1940">
        <f>ROUNDUP((E69*$Q$5),-3)</f>
        <v>0</v>
      </c>
      <c r="G69" s="1993"/>
      <c r="H69" s="1940">
        <f>D69*F69*G69</f>
        <v>0</v>
      </c>
      <c r="I69" s="1993"/>
      <c r="J69" s="1940">
        <f>I69*$Q$4</f>
        <v>0</v>
      </c>
      <c r="K69" s="1993"/>
      <c r="L69" s="1940">
        <f>K69*F69</f>
        <v>0</v>
      </c>
      <c r="M69" s="1940">
        <f>D69*G69*(J69+L69)</f>
        <v>0</v>
      </c>
      <c r="N69" s="1940">
        <f>H69+M69</f>
        <v>0</v>
      </c>
      <c r="O69" s="1993"/>
      <c r="P69" s="1993"/>
      <c r="Q69" s="1940">
        <f>N69+O69+P69</f>
        <v>0</v>
      </c>
      <c r="R69" s="1940">
        <f>Q69*10%</f>
        <v>0</v>
      </c>
      <c r="S69" s="1940">
        <f>(Q69-R69)*10%</f>
        <v>0</v>
      </c>
      <c r="T69" s="1940">
        <f>(Q69-R69)*6%</f>
        <v>0</v>
      </c>
      <c r="U69" s="1940">
        <f>(Q69-R69)*5%</f>
        <v>0</v>
      </c>
      <c r="V69" s="1997"/>
      <c r="W69" s="1997"/>
      <c r="X69" s="1997"/>
      <c r="Y69" s="1997"/>
      <c r="Z69" s="1997"/>
      <c r="AA69" s="1997"/>
      <c r="AB69" s="1997"/>
      <c r="AC69" s="1997"/>
      <c r="AD69" s="1997"/>
      <c r="AE69" s="1997"/>
      <c r="AF69" s="1997"/>
      <c r="AG69" s="1997"/>
      <c r="AH69" s="1997"/>
      <c r="AI69" s="1997"/>
      <c r="AJ69" s="1997"/>
      <c r="AK69" s="1997"/>
      <c r="AL69" s="1997"/>
      <c r="AM69" s="1997"/>
      <c r="AN69" s="1997"/>
      <c r="AO69" s="1997"/>
      <c r="AP69" s="1997"/>
      <c r="AQ69" s="1997"/>
      <c r="AR69" s="1997"/>
      <c r="AS69" s="1997"/>
      <c r="AT69" s="1997"/>
      <c r="AU69" s="1997"/>
      <c r="AV69" s="1997"/>
      <c r="AW69" s="1997"/>
      <c r="AX69" s="1997"/>
      <c r="AY69" s="1997"/>
      <c r="AZ69" s="1997"/>
      <c r="BA69" s="1997"/>
      <c r="BB69" s="1997"/>
      <c r="BC69" s="1997"/>
      <c r="BD69" s="1997"/>
      <c r="BE69" s="1997"/>
      <c r="BF69" s="1997"/>
      <c r="BG69" s="1997"/>
      <c r="BH69" s="1997"/>
      <c r="BI69" s="1997"/>
      <c r="BJ69" s="1997"/>
      <c r="BK69" s="1997"/>
      <c r="BL69" s="1997"/>
      <c r="BM69" s="1997"/>
      <c r="BN69" s="1997"/>
      <c r="BO69" s="1997"/>
      <c r="BP69" s="1997"/>
      <c r="BQ69" s="1997"/>
      <c r="BR69" s="1997"/>
      <c r="BS69" s="1997"/>
      <c r="BT69" s="1997"/>
      <c r="BU69" s="1997"/>
      <c r="BV69" s="1997"/>
      <c r="BW69" s="1997"/>
      <c r="BX69" s="1997"/>
      <c r="BY69" s="1997"/>
      <c r="BZ69" s="1997"/>
      <c r="CA69" s="1997"/>
      <c r="CB69" s="1997"/>
      <c r="CC69" s="1997"/>
      <c r="CD69" s="1997"/>
      <c r="CE69" s="1997"/>
      <c r="CF69" s="1997"/>
      <c r="CG69" s="1997"/>
      <c r="CH69" s="1997"/>
      <c r="CI69" s="1997"/>
      <c r="CJ69" s="1997"/>
      <c r="CK69" s="1997"/>
      <c r="CL69" s="1997"/>
      <c r="CM69" s="1997"/>
      <c r="CN69" s="1997"/>
      <c r="CO69" s="1997"/>
      <c r="CP69" s="1997"/>
      <c r="CQ69" s="1997"/>
      <c r="CR69" s="1997"/>
      <c r="CS69" s="1997"/>
      <c r="CT69" s="1997"/>
      <c r="CU69" s="1997"/>
      <c r="CV69" s="1997"/>
      <c r="CW69" s="1997"/>
      <c r="CX69" s="1997"/>
      <c r="CY69" s="1997"/>
      <c r="CZ69" s="1997"/>
      <c r="DA69" s="1997"/>
      <c r="DB69" s="1997"/>
      <c r="DC69" s="1997"/>
      <c r="DD69" s="1997"/>
      <c r="DE69" s="1997"/>
      <c r="DF69" s="1997"/>
      <c r="DG69" s="1997"/>
      <c r="DH69" s="1997"/>
      <c r="DI69" s="1997"/>
      <c r="DJ69" s="1997"/>
      <c r="DK69" s="1997"/>
      <c r="DL69" s="1997"/>
      <c r="DM69" s="1997"/>
      <c r="DN69" s="1997"/>
      <c r="DO69" s="1997"/>
      <c r="DP69" s="1997"/>
      <c r="DQ69" s="1997"/>
      <c r="DR69" s="1997"/>
      <c r="DS69" s="1997"/>
      <c r="DT69" s="1997"/>
      <c r="DU69" s="1997"/>
      <c r="DV69" s="1997"/>
      <c r="DW69" s="1997"/>
      <c r="DX69" s="1997"/>
      <c r="DY69" s="1997"/>
      <c r="DZ69" s="1997"/>
      <c r="EA69" s="1997"/>
      <c r="EB69" s="1997"/>
      <c r="EC69" s="1997"/>
      <c r="ED69" s="1997"/>
      <c r="EE69" s="1997"/>
      <c r="EF69" s="1997"/>
      <c r="EG69" s="1997"/>
      <c r="EH69" s="1997"/>
      <c r="EI69" s="1997"/>
      <c r="EJ69" s="1997"/>
      <c r="EK69" s="1997"/>
      <c r="EL69" s="1997"/>
      <c r="EM69" s="1997"/>
      <c r="EN69" s="1997"/>
      <c r="EO69" s="1997"/>
      <c r="EP69" s="1997"/>
      <c r="EQ69" s="1997"/>
      <c r="ER69" s="1997"/>
      <c r="ES69" s="1997"/>
      <c r="ET69" s="1997"/>
      <c r="EU69" s="1997"/>
      <c r="EV69" s="1997"/>
      <c r="EW69" s="1997"/>
      <c r="EX69" s="1997"/>
      <c r="EY69" s="1997"/>
      <c r="EZ69" s="1997"/>
      <c r="FA69" s="1997"/>
      <c r="FB69" s="1997"/>
      <c r="FC69" s="1997"/>
      <c r="FD69" s="1997"/>
      <c r="FE69" s="1997"/>
      <c r="FF69" s="1997"/>
      <c r="FG69" s="1997"/>
      <c r="FH69" s="1997"/>
      <c r="FI69" s="1997"/>
      <c r="FJ69" s="1997"/>
      <c r="FK69" s="1997"/>
      <c r="FL69" s="1997"/>
      <c r="FM69" s="1997"/>
      <c r="FN69" s="1997"/>
      <c r="FO69" s="1997"/>
      <c r="FP69" s="1997"/>
      <c r="FQ69" s="1997"/>
      <c r="FR69" s="1997"/>
      <c r="FS69" s="1997"/>
      <c r="FT69" s="1997"/>
      <c r="FU69" s="1997"/>
      <c r="FV69" s="1997"/>
      <c r="FW69" s="1997"/>
      <c r="FX69" s="1997"/>
      <c r="FY69" s="1997"/>
      <c r="FZ69" s="1997"/>
      <c r="GA69" s="1997"/>
      <c r="GB69" s="1997"/>
      <c r="GC69" s="1997"/>
      <c r="GD69" s="1997"/>
      <c r="GE69" s="1997"/>
      <c r="GF69" s="1997"/>
      <c r="GG69" s="1997"/>
      <c r="GH69" s="1997"/>
      <c r="GI69" s="1997"/>
      <c r="GJ69" s="1997"/>
      <c r="GK69" s="1997"/>
      <c r="GL69" s="1997"/>
      <c r="GM69" s="1997"/>
      <c r="GN69" s="1997"/>
      <c r="GO69" s="1997"/>
      <c r="GP69" s="1997"/>
      <c r="GQ69" s="1997"/>
      <c r="GR69" s="1997"/>
      <c r="GS69" s="1997"/>
      <c r="GT69" s="1997"/>
      <c r="GU69" s="1997"/>
      <c r="GV69" s="1997"/>
      <c r="GW69" s="1997"/>
      <c r="GX69" s="1997"/>
      <c r="GY69" s="1997"/>
      <c r="GZ69" s="1997"/>
      <c r="HA69" s="1997"/>
      <c r="HB69" s="1997"/>
      <c r="HC69" s="1997"/>
      <c r="HD69" s="1997"/>
      <c r="HE69" s="1997"/>
      <c r="HF69" s="1997"/>
      <c r="HG69" s="1997"/>
      <c r="HH69" s="1997"/>
      <c r="HI69" s="1997"/>
      <c r="HJ69" s="1997"/>
      <c r="HK69" s="1997"/>
      <c r="HL69" s="1997"/>
      <c r="HM69" s="1997"/>
      <c r="HN69" s="1997"/>
      <c r="HO69" s="1997"/>
      <c r="HP69" s="1997"/>
      <c r="HQ69" s="1997"/>
      <c r="HR69" s="1997"/>
      <c r="HS69" s="1997"/>
      <c r="HT69" s="1997"/>
      <c r="HU69" s="1997"/>
      <c r="HV69" s="1997"/>
      <c r="HW69" s="1997"/>
      <c r="HX69" s="1997"/>
      <c r="HY69" s="1997"/>
      <c r="HZ69" s="1997"/>
      <c r="IA69" s="1997"/>
      <c r="IB69" s="1997"/>
      <c r="IC69" s="1997"/>
      <c r="ID69" s="1997"/>
      <c r="IE69" s="1997"/>
      <c r="IF69" s="1997"/>
      <c r="IG69" s="1997"/>
      <c r="IH69" s="1997"/>
      <c r="II69" s="1997"/>
      <c r="IJ69" s="1997"/>
      <c r="IK69" s="1997"/>
      <c r="IL69" s="1997"/>
      <c r="IM69" s="1997"/>
      <c r="IN69" s="1997"/>
      <c r="IO69" s="1997"/>
      <c r="IP69" s="1997"/>
      <c r="IQ69" s="1997"/>
    </row>
    <row r="70" spans="1:251" hidden="1">
      <c r="A70" s="1993"/>
      <c r="B70" s="1998"/>
      <c r="C70" s="1998"/>
      <c r="D70" s="2034"/>
      <c r="E70" s="1998"/>
      <c r="F70" s="1940">
        <f t="shared" ref="F70:F100" si="32">ROUNDUP((E70*$Q$5),-3)</f>
        <v>0</v>
      </c>
      <c r="G70" s="1993"/>
      <c r="H70" s="1940">
        <f t="shared" ref="H70:H100" si="33">D70*F70*G70</f>
        <v>0</v>
      </c>
      <c r="I70" s="1993"/>
      <c r="J70" s="1940">
        <f t="shared" ref="J70:J100" si="34">I70*$Q$4</f>
        <v>0</v>
      </c>
      <c r="K70" s="1993"/>
      <c r="L70" s="1940">
        <f t="shared" ref="L70:L100" si="35">K70*F70</f>
        <v>0</v>
      </c>
      <c r="M70" s="1940">
        <f t="shared" ref="M70:M100" si="36">D70*G70*(J70+L70)</f>
        <v>0</v>
      </c>
      <c r="N70" s="1940">
        <f t="shared" ref="N70:N100" si="37">H70+M70</f>
        <v>0</v>
      </c>
      <c r="O70" s="1993"/>
      <c r="P70" s="1993"/>
      <c r="Q70" s="1940">
        <f t="shared" ref="Q70:Q100" si="38">N70+O70+P70</f>
        <v>0</v>
      </c>
      <c r="R70" s="1940">
        <f t="shared" ref="R70:R100" si="39">Q70*10%</f>
        <v>0</v>
      </c>
      <c r="S70" s="1940">
        <f t="shared" ref="S70:S100" si="40">(Q70-R70)*10%</f>
        <v>0</v>
      </c>
      <c r="T70" s="1940">
        <f t="shared" ref="T70:T100" si="41">(Q70-R70)*6%</f>
        <v>0</v>
      </c>
      <c r="U70" s="1940">
        <f t="shared" ref="U70:U100" si="42">(Q70-R70)*5%</f>
        <v>0</v>
      </c>
      <c r="V70" s="1997"/>
      <c r="W70" s="1997"/>
      <c r="X70" s="1997"/>
      <c r="Y70" s="1997"/>
      <c r="Z70" s="1997"/>
      <c r="AA70" s="1997"/>
      <c r="AB70" s="1997"/>
      <c r="AC70" s="1997"/>
      <c r="AD70" s="1997"/>
      <c r="AE70" s="1997"/>
      <c r="AF70" s="1997"/>
      <c r="AG70" s="1997"/>
      <c r="AH70" s="1997"/>
      <c r="AI70" s="1997"/>
      <c r="AJ70" s="1997"/>
      <c r="AK70" s="1997"/>
      <c r="AL70" s="1997"/>
      <c r="AM70" s="1997"/>
      <c r="AN70" s="1997"/>
      <c r="AO70" s="1997"/>
      <c r="AP70" s="1997"/>
      <c r="AQ70" s="1997"/>
      <c r="AR70" s="1997"/>
      <c r="AS70" s="1997"/>
      <c r="AT70" s="1997"/>
      <c r="AU70" s="1997"/>
      <c r="AV70" s="1997"/>
      <c r="AW70" s="1997"/>
      <c r="AX70" s="1997"/>
      <c r="AY70" s="1997"/>
      <c r="AZ70" s="1997"/>
      <c r="BA70" s="1997"/>
      <c r="BB70" s="1997"/>
      <c r="BC70" s="1997"/>
      <c r="BD70" s="1997"/>
      <c r="BE70" s="1997"/>
      <c r="BF70" s="1997"/>
      <c r="BG70" s="1997"/>
      <c r="BH70" s="1997"/>
      <c r="BI70" s="1997"/>
      <c r="BJ70" s="1997"/>
      <c r="BK70" s="1997"/>
      <c r="BL70" s="1997"/>
      <c r="BM70" s="1997"/>
      <c r="BN70" s="1997"/>
      <c r="BO70" s="1997"/>
      <c r="BP70" s="1997"/>
      <c r="BQ70" s="1997"/>
      <c r="BR70" s="1997"/>
      <c r="BS70" s="1997"/>
      <c r="BT70" s="1997"/>
      <c r="BU70" s="1997"/>
      <c r="BV70" s="1997"/>
      <c r="BW70" s="1997"/>
      <c r="BX70" s="1997"/>
      <c r="BY70" s="1997"/>
      <c r="BZ70" s="1997"/>
      <c r="CA70" s="1997"/>
      <c r="CB70" s="1997"/>
      <c r="CC70" s="1997"/>
      <c r="CD70" s="1997"/>
      <c r="CE70" s="1997"/>
      <c r="CF70" s="1997"/>
      <c r="CG70" s="1997"/>
      <c r="CH70" s="1997"/>
      <c r="CI70" s="1997"/>
      <c r="CJ70" s="1997"/>
      <c r="CK70" s="1997"/>
      <c r="CL70" s="1997"/>
      <c r="CM70" s="1997"/>
      <c r="CN70" s="1997"/>
      <c r="CO70" s="1997"/>
      <c r="CP70" s="1997"/>
      <c r="CQ70" s="1997"/>
      <c r="CR70" s="1997"/>
      <c r="CS70" s="1997"/>
      <c r="CT70" s="1997"/>
      <c r="CU70" s="1997"/>
      <c r="CV70" s="1997"/>
      <c r="CW70" s="1997"/>
      <c r="CX70" s="1997"/>
      <c r="CY70" s="1997"/>
      <c r="CZ70" s="1997"/>
      <c r="DA70" s="1997"/>
      <c r="DB70" s="1997"/>
      <c r="DC70" s="1997"/>
      <c r="DD70" s="1997"/>
      <c r="DE70" s="1997"/>
      <c r="DF70" s="1997"/>
      <c r="DG70" s="1997"/>
      <c r="DH70" s="1997"/>
      <c r="DI70" s="1997"/>
      <c r="DJ70" s="1997"/>
      <c r="DK70" s="1997"/>
      <c r="DL70" s="1997"/>
      <c r="DM70" s="1997"/>
      <c r="DN70" s="1997"/>
      <c r="DO70" s="1997"/>
      <c r="DP70" s="1997"/>
      <c r="DQ70" s="1997"/>
      <c r="DR70" s="1997"/>
      <c r="DS70" s="1997"/>
      <c r="DT70" s="1997"/>
      <c r="DU70" s="1997"/>
      <c r="DV70" s="1997"/>
      <c r="DW70" s="1997"/>
      <c r="DX70" s="1997"/>
      <c r="DY70" s="1997"/>
      <c r="DZ70" s="1997"/>
      <c r="EA70" s="1997"/>
      <c r="EB70" s="1997"/>
      <c r="EC70" s="1997"/>
      <c r="ED70" s="1997"/>
      <c r="EE70" s="1997"/>
      <c r="EF70" s="1997"/>
      <c r="EG70" s="1997"/>
      <c r="EH70" s="1997"/>
      <c r="EI70" s="1997"/>
      <c r="EJ70" s="1997"/>
      <c r="EK70" s="1997"/>
      <c r="EL70" s="1997"/>
      <c r="EM70" s="1997"/>
      <c r="EN70" s="1997"/>
      <c r="EO70" s="1997"/>
      <c r="EP70" s="1997"/>
      <c r="EQ70" s="1997"/>
      <c r="ER70" s="1997"/>
      <c r="ES70" s="1997"/>
      <c r="ET70" s="1997"/>
      <c r="EU70" s="1997"/>
      <c r="EV70" s="1997"/>
      <c r="EW70" s="1997"/>
      <c r="EX70" s="1997"/>
      <c r="EY70" s="1997"/>
      <c r="EZ70" s="1997"/>
      <c r="FA70" s="1997"/>
      <c r="FB70" s="1997"/>
      <c r="FC70" s="1997"/>
      <c r="FD70" s="1997"/>
      <c r="FE70" s="1997"/>
      <c r="FF70" s="1997"/>
      <c r="FG70" s="1997"/>
      <c r="FH70" s="1997"/>
      <c r="FI70" s="1997"/>
      <c r="FJ70" s="1997"/>
      <c r="FK70" s="1997"/>
      <c r="FL70" s="1997"/>
      <c r="FM70" s="1997"/>
      <c r="FN70" s="1997"/>
      <c r="FO70" s="1997"/>
      <c r="FP70" s="1997"/>
      <c r="FQ70" s="1997"/>
      <c r="FR70" s="1997"/>
      <c r="FS70" s="1997"/>
      <c r="FT70" s="1997"/>
      <c r="FU70" s="1997"/>
      <c r="FV70" s="1997"/>
      <c r="FW70" s="1997"/>
      <c r="FX70" s="1997"/>
      <c r="FY70" s="1997"/>
      <c r="FZ70" s="1997"/>
      <c r="GA70" s="1997"/>
      <c r="GB70" s="1997"/>
      <c r="GC70" s="1997"/>
      <c r="GD70" s="1997"/>
      <c r="GE70" s="1997"/>
      <c r="GF70" s="1997"/>
      <c r="GG70" s="1997"/>
      <c r="GH70" s="1997"/>
      <c r="GI70" s="1997"/>
      <c r="GJ70" s="1997"/>
      <c r="GK70" s="1997"/>
      <c r="GL70" s="1997"/>
      <c r="GM70" s="1997"/>
      <c r="GN70" s="1997"/>
      <c r="GO70" s="1997"/>
      <c r="GP70" s="1997"/>
      <c r="GQ70" s="1997"/>
      <c r="GR70" s="1997"/>
      <c r="GS70" s="1997"/>
      <c r="GT70" s="1997"/>
      <c r="GU70" s="1997"/>
      <c r="GV70" s="1997"/>
      <c r="GW70" s="1997"/>
      <c r="GX70" s="1997"/>
      <c r="GY70" s="1997"/>
      <c r="GZ70" s="1997"/>
      <c r="HA70" s="1997"/>
      <c r="HB70" s="1997"/>
      <c r="HC70" s="1997"/>
      <c r="HD70" s="1997"/>
      <c r="HE70" s="1997"/>
      <c r="HF70" s="1997"/>
      <c r="HG70" s="1997"/>
      <c r="HH70" s="1997"/>
      <c r="HI70" s="1997"/>
      <c r="HJ70" s="1997"/>
      <c r="HK70" s="1997"/>
      <c r="HL70" s="1997"/>
      <c r="HM70" s="1997"/>
      <c r="HN70" s="1997"/>
      <c r="HO70" s="1997"/>
      <c r="HP70" s="1997"/>
      <c r="HQ70" s="1997"/>
      <c r="HR70" s="1997"/>
      <c r="HS70" s="1997"/>
      <c r="HT70" s="1997"/>
      <c r="HU70" s="1997"/>
      <c r="HV70" s="1997"/>
      <c r="HW70" s="1997"/>
      <c r="HX70" s="1997"/>
      <c r="HY70" s="1997"/>
      <c r="HZ70" s="1997"/>
      <c r="IA70" s="1997"/>
      <c r="IB70" s="1997"/>
      <c r="IC70" s="1997"/>
      <c r="ID70" s="1997"/>
      <c r="IE70" s="1997"/>
      <c r="IF70" s="1997"/>
      <c r="IG70" s="1997"/>
      <c r="IH70" s="1997"/>
      <c r="II70" s="1997"/>
      <c r="IJ70" s="1997"/>
      <c r="IK70" s="1997"/>
      <c r="IL70" s="1997"/>
      <c r="IM70" s="1997"/>
      <c r="IN70" s="1997"/>
      <c r="IO70" s="1997"/>
      <c r="IP70" s="1997"/>
      <c r="IQ70" s="1997"/>
    </row>
    <row r="71" spans="1:251" hidden="1">
      <c r="A71" s="1993"/>
      <c r="B71" s="1998"/>
      <c r="C71" s="1998"/>
      <c r="D71" s="2034"/>
      <c r="E71" s="1998"/>
      <c r="F71" s="1940">
        <f t="shared" si="32"/>
        <v>0</v>
      </c>
      <c r="G71" s="1993"/>
      <c r="H71" s="1940">
        <f t="shared" si="33"/>
        <v>0</v>
      </c>
      <c r="I71" s="1993"/>
      <c r="J71" s="1940">
        <f t="shared" si="34"/>
        <v>0</v>
      </c>
      <c r="K71" s="1993"/>
      <c r="L71" s="1940">
        <f t="shared" si="35"/>
        <v>0</v>
      </c>
      <c r="M71" s="1940">
        <f t="shared" si="36"/>
        <v>0</v>
      </c>
      <c r="N71" s="1940">
        <f t="shared" si="37"/>
        <v>0</v>
      </c>
      <c r="O71" s="1993"/>
      <c r="P71" s="1993"/>
      <c r="Q71" s="1940">
        <f t="shared" si="38"/>
        <v>0</v>
      </c>
      <c r="R71" s="1940">
        <f t="shared" si="39"/>
        <v>0</v>
      </c>
      <c r="S71" s="1940">
        <f t="shared" si="40"/>
        <v>0</v>
      </c>
      <c r="T71" s="1940">
        <f t="shared" si="41"/>
        <v>0</v>
      </c>
      <c r="U71" s="1940">
        <f t="shared" si="42"/>
        <v>0</v>
      </c>
      <c r="V71" s="1997"/>
      <c r="W71" s="1997"/>
      <c r="X71" s="1997"/>
      <c r="Y71" s="1997"/>
      <c r="Z71" s="1997"/>
      <c r="AA71" s="1997"/>
      <c r="AB71" s="1997"/>
      <c r="AC71" s="1997"/>
      <c r="AD71" s="1997"/>
      <c r="AE71" s="1997"/>
      <c r="AF71" s="1997"/>
      <c r="AG71" s="1997"/>
      <c r="AH71" s="1997"/>
      <c r="AI71" s="1997"/>
      <c r="AJ71" s="1997"/>
      <c r="AK71" s="1997"/>
      <c r="AL71" s="1997"/>
      <c r="AM71" s="1997"/>
      <c r="AN71" s="1997"/>
      <c r="AO71" s="1997"/>
      <c r="AP71" s="1997"/>
      <c r="AQ71" s="1997"/>
      <c r="AR71" s="1997"/>
      <c r="AS71" s="1997"/>
      <c r="AT71" s="1997"/>
      <c r="AU71" s="1997"/>
      <c r="AV71" s="1997"/>
      <c r="AW71" s="1997"/>
      <c r="AX71" s="1997"/>
      <c r="AY71" s="1997"/>
      <c r="AZ71" s="1997"/>
      <c r="BA71" s="1997"/>
      <c r="BB71" s="1997"/>
      <c r="BC71" s="1997"/>
      <c r="BD71" s="1997"/>
      <c r="BE71" s="1997"/>
      <c r="BF71" s="1997"/>
      <c r="BG71" s="1997"/>
      <c r="BH71" s="1997"/>
      <c r="BI71" s="1997"/>
      <c r="BJ71" s="1997"/>
      <c r="BK71" s="1997"/>
      <c r="BL71" s="1997"/>
      <c r="BM71" s="1997"/>
      <c r="BN71" s="1997"/>
      <c r="BO71" s="1997"/>
      <c r="BP71" s="1997"/>
      <c r="BQ71" s="1997"/>
      <c r="BR71" s="1997"/>
      <c r="BS71" s="1997"/>
      <c r="BT71" s="1997"/>
      <c r="BU71" s="1997"/>
      <c r="BV71" s="1997"/>
      <c r="BW71" s="1997"/>
      <c r="BX71" s="1997"/>
      <c r="BY71" s="1997"/>
      <c r="BZ71" s="1997"/>
      <c r="CA71" s="1997"/>
      <c r="CB71" s="1997"/>
      <c r="CC71" s="1997"/>
      <c r="CD71" s="1997"/>
      <c r="CE71" s="1997"/>
      <c r="CF71" s="1997"/>
      <c r="CG71" s="1997"/>
      <c r="CH71" s="1997"/>
      <c r="CI71" s="1997"/>
      <c r="CJ71" s="1997"/>
      <c r="CK71" s="1997"/>
      <c r="CL71" s="1997"/>
      <c r="CM71" s="1997"/>
      <c r="CN71" s="1997"/>
      <c r="CO71" s="1997"/>
      <c r="CP71" s="1997"/>
      <c r="CQ71" s="1997"/>
      <c r="CR71" s="1997"/>
      <c r="CS71" s="1997"/>
      <c r="CT71" s="1997"/>
      <c r="CU71" s="1997"/>
      <c r="CV71" s="1997"/>
      <c r="CW71" s="1997"/>
      <c r="CX71" s="1997"/>
      <c r="CY71" s="1997"/>
      <c r="CZ71" s="1997"/>
      <c r="DA71" s="1997"/>
      <c r="DB71" s="1997"/>
      <c r="DC71" s="1997"/>
      <c r="DD71" s="1997"/>
      <c r="DE71" s="1997"/>
      <c r="DF71" s="1997"/>
      <c r="DG71" s="1997"/>
      <c r="DH71" s="1997"/>
      <c r="DI71" s="1997"/>
      <c r="DJ71" s="1997"/>
      <c r="DK71" s="1997"/>
      <c r="DL71" s="1997"/>
      <c r="DM71" s="1997"/>
      <c r="DN71" s="1997"/>
      <c r="DO71" s="1997"/>
      <c r="DP71" s="1997"/>
      <c r="DQ71" s="1997"/>
      <c r="DR71" s="1997"/>
      <c r="DS71" s="1997"/>
      <c r="DT71" s="1997"/>
      <c r="DU71" s="1997"/>
      <c r="DV71" s="1997"/>
      <c r="DW71" s="1997"/>
      <c r="DX71" s="1997"/>
      <c r="DY71" s="1997"/>
      <c r="DZ71" s="1997"/>
      <c r="EA71" s="1997"/>
      <c r="EB71" s="1997"/>
      <c r="EC71" s="1997"/>
      <c r="ED71" s="1997"/>
      <c r="EE71" s="1997"/>
      <c r="EF71" s="1997"/>
      <c r="EG71" s="1997"/>
      <c r="EH71" s="1997"/>
      <c r="EI71" s="1997"/>
      <c r="EJ71" s="1997"/>
      <c r="EK71" s="1997"/>
      <c r="EL71" s="1997"/>
      <c r="EM71" s="1997"/>
      <c r="EN71" s="1997"/>
      <c r="EO71" s="1997"/>
      <c r="EP71" s="1997"/>
      <c r="EQ71" s="1997"/>
      <c r="ER71" s="1997"/>
      <c r="ES71" s="1997"/>
      <c r="ET71" s="1997"/>
      <c r="EU71" s="1997"/>
      <c r="EV71" s="1997"/>
      <c r="EW71" s="1997"/>
      <c r="EX71" s="1997"/>
      <c r="EY71" s="1997"/>
      <c r="EZ71" s="1997"/>
      <c r="FA71" s="1997"/>
      <c r="FB71" s="1997"/>
      <c r="FC71" s="1997"/>
      <c r="FD71" s="1997"/>
      <c r="FE71" s="1997"/>
      <c r="FF71" s="1997"/>
      <c r="FG71" s="1997"/>
      <c r="FH71" s="1997"/>
      <c r="FI71" s="1997"/>
      <c r="FJ71" s="1997"/>
      <c r="FK71" s="1997"/>
      <c r="FL71" s="1997"/>
      <c r="FM71" s="1997"/>
      <c r="FN71" s="1997"/>
      <c r="FO71" s="1997"/>
      <c r="FP71" s="1997"/>
      <c r="FQ71" s="1997"/>
      <c r="FR71" s="1997"/>
      <c r="FS71" s="1997"/>
      <c r="FT71" s="1997"/>
      <c r="FU71" s="1997"/>
      <c r="FV71" s="1997"/>
      <c r="FW71" s="1997"/>
      <c r="FX71" s="1997"/>
      <c r="FY71" s="1997"/>
      <c r="FZ71" s="1997"/>
      <c r="GA71" s="1997"/>
      <c r="GB71" s="1997"/>
      <c r="GC71" s="1997"/>
      <c r="GD71" s="1997"/>
      <c r="GE71" s="1997"/>
      <c r="GF71" s="1997"/>
      <c r="GG71" s="1997"/>
      <c r="GH71" s="1997"/>
      <c r="GI71" s="1997"/>
      <c r="GJ71" s="1997"/>
      <c r="GK71" s="1997"/>
      <c r="GL71" s="1997"/>
      <c r="GM71" s="1997"/>
      <c r="GN71" s="1997"/>
      <c r="GO71" s="1997"/>
      <c r="GP71" s="1997"/>
      <c r="GQ71" s="1997"/>
      <c r="GR71" s="1997"/>
      <c r="GS71" s="1997"/>
      <c r="GT71" s="1997"/>
      <c r="GU71" s="1997"/>
      <c r="GV71" s="1997"/>
      <c r="GW71" s="1997"/>
      <c r="GX71" s="1997"/>
      <c r="GY71" s="1997"/>
      <c r="GZ71" s="1997"/>
      <c r="HA71" s="1997"/>
      <c r="HB71" s="1997"/>
      <c r="HC71" s="1997"/>
      <c r="HD71" s="1997"/>
      <c r="HE71" s="1997"/>
      <c r="HF71" s="1997"/>
      <c r="HG71" s="1997"/>
      <c r="HH71" s="1997"/>
      <c r="HI71" s="1997"/>
      <c r="HJ71" s="1997"/>
      <c r="HK71" s="1997"/>
      <c r="HL71" s="1997"/>
      <c r="HM71" s="1997"/>
      <c r="HN71" s="1997"/>
      <c r="HO71" s="1997"/>
      <c r="HP71" s="1997"/>
      <c r="HQ71" s="1997"/>
      <c r="HR71" s="1997"/>
      <c r="HS71" s="1997"/>
      <c r="HT71" s="1997"/>
      <c r="HU71" s="1997"/>
      <c r="HV71" s="1997"/>
      <c r="HW71" s="1997"/>
      <c r="HX71" s="1997"/>
      <c r="HY71" s="1997"/>
      <c r="HZ71" s="1997"/>
      <c r="IA71" s="1997"/>
      <c r="IB71" s="1997"/>
      <c r="IC71" s="1997"/>
      <c r="ID71" s="1997"/>
      <c r="IE71" s="1997"/>
      <c r="IF71" s="1997"/>
      <c r="IG71" s="1997"/>
      <c r="IH71" s="1997"/>
      <c r="II71" s="1997"/>
      <c r="IJ71" s="1997"/>
      <c r="IK71" s="1997"/>
      <c r="IL71" s="1997"/>
      <c r="IM71" s="1997"/>
      <c r="IN71" s="1997"/>
      <c r="IO71" s="1997"/>
      <c r="IP71" s="1997"/>
      <c r="IQ71" s="1997"/>
    </row>
    <row r="72" spans="1:251" hidden="1">
      <c r="A72" s="1993"/>
      <c r="B72" s="1998"/>
      <c r="C72" s="1998"/>
      <c r="D72" s="2034"/>
      <c r="E72" s="1998"/>
      <c r="F72" s="1940">
        <f t="shared" si="32"/>
        <v>0</v>
      </c>
      <c r="G72" s="1993"/>
      <c r="H72" s="1940">
        <f t="shared" si="33"/>
        <v>0</v>
      </c>
      <c r="I72" s="1993"/>
      <c r="J72" s="1940">
        <f t="shared" si="34"/>
        <v>0</v>
      </c>
      <c r="K72" s="1993"/>
      <c r="L72" s="1940">
        <f t="shared" si="35"/>
        <v>0</v>
      </c>
      <c r="M72" s="1940">
        <f t="shared" si="36"/>
        <v>0</v>
      </c>
      <c r="N72" s="1940">
        <f t="shared" si="37"/>
        <v>0</v>
      </c>
      <c r="O72" s="1993"/>
      <c r="P72" s="1993"/>
      <c r="Q72" s="1940">
        <f t="shared" si="38"/>
        <v>0</v>
      </c>
      <c r="R72" s="1940">
        <f t="shared" si="39"/>
        <v>0</v>
      </c>
      <c r="S72" s="1940">
        <f t="shared" si="40"/>
        <v>0</v>
      </c>
      <c r="T72" s="1940">
        <f t="shared" si="41"/>
        <v>0</v>
      </c>
      <c r="U72" s="1940">
        <f t="shared" si="42"/>
        <v>0</v>
      </c>
      <c r="V72" s="1997"/>
      <c r="W72" s="1997"/>
      <c r="X72" s="1997"/>
      <c r="Y72" s="1997"/>
      <c r="Z72" s="1997"/>
      <c r="AA72" s="1997"/>
      <c r="AB72" s="1997"/>
      <c r="AC72" s="1997"/>
      <c r="AD72" s="1997"/>
      <c r="AE72" s="1997"/>
      <c r="AF72" s="1997"/>
      <c r="AG72" s="1997"/>
      <c r="AH72" s="1997"/>
      <c r="AI72" s="1997"/>
      <c r="AJ72" s="1997"/>
      <c r="AK72" s="1997"/>
      <c r="AL72" s="1997"/>
      <c r="AM72" s="1997"/>
      <c r="AN72" s="1997"/>
      <c r="AO72" s="1997"/>
      <c r="AP72" s="1997"/>
      <c r="AQ72" s="1997"/>
      <c r="AR72" s="1997"/>
      <c r="AS72" s="1997"/>
      <c r="AT72" s="1997"/>
      <c r="AU72" s="1997"/>
      <c r="AV72" s="1997"/>
      <c r="AW72" s="1997"/>
      <c r="AX72" s="1997"/>
      <c r="AY72" s="1997"/>
      <c r="AZ72" s="1997"/>
      <c r="BA72" s="1997"/>
      <c r="BB72" s="1997"/>
      <c r="BC72" s="1997"/>
      <c r="BD72" s="1997"/>
      <c r="BE72" s="1997"/>
      <c r="BF72" s="1997"/>
      <c r="BG72" s="1997"/>
      <c r="BH72" s="1997"/>
      <c r="BI72" s="1997"/>
      <c r="BJ72" s="1997"/>
      <c r="BK72" s="1997"/>
      <c r="BL72" s="1997"/>
      <c r="BM72" s="1997"/>
      <c r="BN72" s="1997"/>
      <c r="BO72" s="1997"/>
      <c r="BP72" s="1997"/>
      <c r="BQ72" s="1997"/>
      <c r="BR72" s="1997"/>
      <c r="BS72" s="1997"/>
      <c r="BT72" s="1997"/>
      <c r="BU72" s="1997"/>
      <c r="BV72" s="1997"/>
      <c r="BW72" s="1997"/>
      <c r="BX72" s="1997"/>
      <c r="BY72" s="1997"/>
      <c r="BZ72" s="1997"/>
      <c r="CA72" s="1997"/>
      <c r="CB72" s="1997"/>
      <c r="CC72" s="1997"/>
      <c r="CD72" s="1997"/>
      <c r="CE72" s="1997"/>
      <c r="CF72" s="1997"/>
      <c r="CG72" s="1997"/>
      <c r="CH72" s="1997"/>
      <c r="CI72" s="1997"/>
      <c r="CJ72" s="1997"/>
      <c r="CK72" s="1997"/>
      <c r="CL72" s="1997"/>
      <c r="CM72" s="1997"/>
      <c r="CN72" s="1997"/>
      <c r="CO72" s="1997"/>
      <c r="CP72" s="1997"/>
      <c r="CQ72" s="1997"/>
      <c r="CR72" s="1997"/>
      <c r="CS72" s="1997"/>
      <c r="CT72" s="1997"/>
      <c r="CU72" s="1997"/>
      <c r="CV72" s="1997"/>
      <c r="CW72" s="1997"/>
      <c r="CX72" s="1997"/>
      <c r="CY72" s="1997"/>
      <c r="CZ72" s="1997"/>
      <c r="DA72" s="1997"/>
      <c r="DB72" s="1997"/>
      <c r="DC72" s="1997"/>
      <c r="DD72" s="1997"/>
      <c r="DE72" s="1997"/>
      <c r="DF72" s="1997"/>
      <c r="DG72" s="1997"/>
      <c r="DH72" s="1997"/>
      <c r="DI72" s="1997"/>
      <c r="DJ72" s="1997"/>
      <c r="DK72" s="1997"/>
      <c r="DL72" s="1997"/>
      <c r="DM72" s="1997"/>
      <c r="DN72" s="1997"/>
      <c r="DO72" s="1997"/>
      <c r="DP72" s="1997"/>
      <c r="DQ72" s="1997"/>
      <c r="DR72" s="1997"/>
      <c r="DS72" s="1997"/>
      <c r="DT72" s="1997"/>
      <c r="DU72" s="1997"/>
      <c r="DV72" s="1997"/>
      <c r="DW72" s="1997"/>
      <c r="DX72" s="1997"/>
      <c r="DY72" s="1997"/>
      <c r="DZ72" s="1997"/>
      <c r="EA72" s="1997"/>
      <c r="EB72" s="1997"/>
      <c r="EC72" s="1997"/>
      <c r="ED72" s="1997"/>
      <c r="EE72" s="1997"/>
      <c r="EF72" s="1997"/>
      <c r="EG72" s="1997"/>
      <c r="EH72" s="1997"/>
      <c r="EI72" s="1997"/>
      <c r="EJ72" s="1997"/>
      <c r="EK72" s="1997"/>
      <c r="EL72" s="1997"/>
      <c r="EM72" s="1997"/>
      <c r="EN72" s="1997"/>
      <c r="EO72" s="1997"/>
      <c r="EP72" s="1997"/>
      <c r="EQ72" s="1997"/>
      <c r="ER72" s="1997"/>
      <c r="ES72" s="1997"/>
      <c r="ET72" s="1997"/>
      <c r="EU72" s="1997"/>
      <c r="EV72" s="1997"/>
      <c r="EW72" s="1997"/>
      <c r="EX72" s="1997"/>
      <c r="EY72" s="1997"/>
      <c r="EZ72" s="1997"/>
      <c r="FA72" s="1997"/>
      <c r="FB72" s="1997"/>
      <c r="FC72" s="1997"/>
      <c r="FD72" s="1997"/>
      <c r="FE72" s="1997"/>
      <c r="FF72" s="1997"/>
      <c r="FG72" s="1997"/>
      <c r="FH72" s="1997"/>
      <c r="FI72" s="1997"/>
      <c r="FJ72" s="1997"/>
      <c r="FK72" s="1997"/>
      <c r="FL72" s="1997"/>
      <c r="FM72" s="1997"/>
      <c r="FN72" s="1997"/>
      <c r="FO72" s="1997"/>
      <c r="FP72" s="1997"/>
      <c r="FQ72" s="1997"/>
      <c r="FR72" s="1997"/>
      <c r="FS72" s="1997"/>
      <c r="FT72" s="1997"/>
      <c r="FU72" s="1997"/>
      <c r="FV72" s="1997"/>
      <c r="FW72" s="1997"/>
      <c r="FX72" s="1997"/>
      <c r="FY72" s="1997"/>
      <c r="FZ72" s="1997"/>
      <c r="GA72" s="1997"/>
      <c r="GB72" s="1997"/>
      <c r="GC72" s="1997"/>
      <c r="GD72" s="1997"/>
      <c r="GE72" s="1997"/>
      <c r="GF72" s="1997"/>
      <c r="GG72" s="1997"/>
      <c r="GH72" s="1997"/>
      <c r="GI72" s="1997"/>
      <c r="GJ72" s="1997"/>
      <c r="GK72" s="1997"/>
      <c r="GL72" s="1997"/>
      <c r="GM72" s="1997"/>
      <c r="GN72" s="1997"/>
      <c r="GO72" s="1997"/>
      <c r="GP72" s="1997"/>
      <c r="GQ72" s="1997"/>
      <c r="GR72" s="1997"/>
      <c r="GS72" s="1997"/>
      <c r="GT72" s="1997"/>
      <c r="GU72" s="1997"/>
      <c r="GV72" s="1997"/>
      <c r="GW72" s="1997"/>
      <c r="GX72" s="1997"/>
      <c r="GY72" s="1997"/>
      <c r="GZ72" s="1997"/>
      <c r="HA72" s="1997"/>
      <c r="HB72" s="1997"/>
      <c r="HC72" s="1997"/>
      <c r="HD72" s="1997"/>
      <c r="HE72" s="1997"/>
      <c r="HF72" s="1997"/>
      <c r="HG72" s="1997"/>
      <c r="HH72" s="1997"/>
      <c r="HI72" s="1997"/>
      <c r="HJ72" s="1997"/>
      <c r="HK72" s="1997"/>
      <c r="HL72" s="1997"/>
      <c r="HM72" s="1997"/>
      <c r="HN72" s="1997"/>
      <c r="HO72" s="1997"/>
      <c r="HP72" s="1997"/>
      <c r="HQ72" s="1997"/>
      <c r="HR72" s="1997"/>
      <c r="HS72" s="1997"/>
      <c r="HT72" s="1997"/>
      <c r="HU72" s="1997"/>
      <c r="HV72" s="1997"/>
      <c r="HW72" s="1997"/>
      <c r="HX72" s="1997"/>
      <c r="HY72" s="1997"/>
      <c r="HZ72" s="1997"/>
      <c r="IA72" s="1997"/>
      <c r="IB72" s="1997"/>
      <c r="IC72" s="1997"/>
      <c r="ID72" s="1997"/>
      <c r="IE72" s="1997"/>
      <c r="IF72" s="1997"/>
      <c r="IG72" s="1997"/>
      <c r="IH72" s="1997"/>
      <c r="II72" s="1997"/>
      <c r="IJ72" s="1997"/>
      <c r="IK72" s="1997"/>
      <c r="IL72" s="1997"/>
      <c r="IM72" s="1997"/>
      <c r="IN72" s="1997"/>
      <c r="IO72" s="1997"/>
      <c r="IP72" s="1997"/>
      <c r="IQ72" s="1997"/>
    </row>
    <row r="73" spans="1:251" hidden="1">
      <c r="A73" s="1993"/>
      <c r="B73" s="1998"/>
      <c r="C73" s="1998"/>
      <c r="D73" s="2034"/>
      <c r="E73" s="1998"/>
      <c r="F73" s="1940">
        <f t="shared" si="32"/>
        <v>0</v>
      </c>
      <c r="G73" s="1993"/>
      <c r="H73" s="1940">
        <f t="shared" si="33"/>
        <v>0</v>
      </c>
      <c r="I73" s="1993"/>
      <c r="J73" s="1940">
        <f t="shared" si="34"/>
        <v>0</v>
      </c>
      <c r="K73" s="1993"/>
      <c r="L73" s="1940">
        <f t="shared" si="35"/>
        <v>0</v>
      </c>
      <c r="M73" s="1940">
        <f t="shared" si="36"/>
        <v>0</v>
      </c>
      <c r="N73" s="1940">
        <f t="shared" si="37"/>
        <v>0</v>
      </c>
      <c r="O73" s="1993"/>
      <c r="P73" s="1993"/>
      <c r="Q73" s="1940">
        <f t="shared" si="38"/>
        <v>0</v>
      </c>
      <c r="R73" s="1940">
        <f t="shared" si="39"/>
        <v>0</v>
      </c>
      <c r="S73" s="1940">
        <f t="shared" si="40"/>
        <v>0</v>
      </c>
      <c r="T73" s="1940">
        <f t="shared" si="41"/>
        <v>0</v>
      </c>
      <c r="U73" s="1940">
        <f t="shared" si="42"/>
        <v>0</v>
      </c>
      <c r="V73" s="1997"/>
      <c r="W73" s="1997"/>
      <c r="X73" s="1997"/>
      <c r="Y73" s="1997"/>
      <c r="Z73" s="1997"/>
      <c r="AA73" s="1997"/>
      <c r="AB73" s="1997"/>
      <c r="AC73" s="1997"/>
      <c r="AD73" s="1997"/>
      <c r="AE73" s="1997"/>
      <c r="AF73" s="1997"/>
      <c r="AG73" s="1997"/>
      <c r="AH73" s="1997"/>
      <c r="AI73" s="1997"/>
      <c r="AJ73" s="1997"/>
      <c r="AK73" s="1997"/>
      <c r="AL73" s="1997"/>
      <c r="AM73" s="1997"/>
      <c r="AN73" s="1997"/>
      <c r="AO73" s="1997"/>
      <c r="AP73" s="1997"/>
      <c r="AQ73" s="1997"/>
      <c r="AR73" s="1997"/>
      <c r="AS73" s="1997"/>
      <c r="AT73" s="1997"/>
      <c r="AU73" s="1997"/>
      <c r="AV73" s="1997"/>
      <c r="AW73" s="1997"/>
      <c r="AX73" s="1997"/>
      <c r="AY73" s="1997"/>
      <c r="AZ73" s="1997"/>
      <c r="BA73" s="1997"/>
      <c r="BB73" s="1997"/>
      <c r="BC73" s="1997"/>
      <c r="BD73" s="1997"/>
      <c r="BE73" s="1997"/>
      <c r="BF73" s="1997"/>
      <c r="BG73" s="1997"/>
      <c r="BH73" s="1997"/>
      <c r="BI73" s="1997"/>
      <c r="BJ73" s="1997"/>
      <c r="BK73" s="1997"/>
      <c r="BL73" s="1997"/>
      <c r="BM73" s="1997"/>
      <c r="BN73" s="1997"/>
      <c r="BO73" s="1997"/>
      <c r="BP73" s="1997"/>
      <c r="BQ73" s="1997"/>
      <c r="BR73" s="1997"/>
      <c r="BS73" s="1997"/>
      <c r="BT73" s="1997"/>
      <c r="BU73" s="1997"/>
      <c r="BV73" s="1997"/>
      <c r="BW73" s="1997"/>
      <c r="BX73" s="1997"/>
      <c r="BY73" s="1997"/>
      <c r="BZ73" s="1997"/>
      <c r="CA73" s="1997"/>
      <c r="CB73" s="1997"/>
      <c r="CC73" s="1997"/>
      <c r="CD73" s="1997"/>
      <c r="CE73" s="1997"/>
      <c r="CF73" s="1997"/>
      <c r="CG73" s="1997"/>
      <c r="CH73" s="1997"/>
      <c r="CI73" s="1997"/>
      <c r="CJ73" s="1997"/>
      <c r="CK73" s="1997"/>
      <c r="CL73" s="1997"/>
      <c r="CM73" s="1997"/>
      <c r="CN73" s="1997"/>
      <c r="CO73" s="1997"/>
      <c r="CP73" s="1997"/>
      <c r="CQ73" s="1997"/>
      <c r="CR73" s="1997"/>
      <c r="CS73" s="1997"/>
      <c r="CT73" s="1997"/>
      <c r="CU73" s="1997"/>
      <c r="CV73" s="1997"/>
      <c r="CW73" s="1997"/>
      <c r="CX73" s="1997"/>
      <c r="CY73" s="1997"/>
      <c r="CZ73" s="1997"/>
      <c r="DA73" s="1997"/>
      <c r="DB73" s="1997"/>
      <c r="DC73" s="1997"/>
      <c r="DD73" s="1997"/>
      <c r="DE73" s="1997"/>
      <c r="DF73" s="1997"/>
      <c r="DG73" s="1997"/>
      <c r="DH73" s="1997"/>
      <c r="DI73" s="1997"/>
      <c r="DJ73" s="1997"/>
      <c r="DK73" s="1997"/>
      <c r="DL73" s="1997"/>
      <c r="DM73" s="1997"/>
      <c r="DN73" s="1997"/>
      <c r="DO73" s="1997"/>
      <c r="DP73" s="1997"/>
      <c r="DQ73" s="1997"/>
      <c r="DR73" s="1997"/>
      <c r="DS73" s="1997"/>
      <c r="DT73" s="1997"/>
      <c r="DU73" s="1997"/>
      <c r="DV73" s="1997"/>
      <c r="DW73" s="1997"/>
      <c r="DX73" s="1997"/>
      <c r="DY73" s="1997"/>
      <c r="DZ73" s="1997"/>
      <c r="EA73" s="1997"/>
      <c r="EB73" s="1997"/>
      <c r="EC73" s="1997"/>
      <c r="ED73" s="1997"/>
      <c r="EE73" s="1997"/>
      <c r="EF73" s="1997"/>
      <c r="EG73" s="1997"/>
      <c r="EH73" s="1997"/>
      <c r="EI73" s="1997"/>
      <c r="EJ73" s="1997"/>
      <c r="EK73" s="1997"/>
      <c r="EL73" s="1997"/>
      <c r="EM73" s="1997"/>
      <c r="EN73" s="1997"/>
      <c r="EO73" s="1997"/>
      <c r="EP73" s="1997"/>
      <c r="EQ73" s="1997"/>
      <c r="ER73" s="1997"/>
      <c r="ES73" s="1997"/>
      <c r="ET73" s="1997"/>
      <c r="EU73" s="1997"/>
      <c r="EV73" s="1997"/>
      <c r="EW73" s="1997"/>
      <c r="EX73" s="1997"/>
      <c r="EY73" s="1997"/>
      <c r="EZ73" s="1997"/>
      <c r="FA73" s="1997"/>
      <c r="FB73" s="1997"/>
      <c r="FC73" s="1997"/>
      <c r="FD73" s="1997"/>
      <c r="FE73" s="1997"/>
      <c r="FF73" s="1997"/>
      <c r="FG73" s="1997"/>
      <c r="FH73" s="1997"/>
      <c r="FI73" s="1997"/>
      <c r="FJ73" s="1997"/>
      <c r="FK73" s="1997"/>
      <c r="FL73" s="1997"/>
      <c r="FM73" s="1997"/>
      <c r="FN73" s="1997"/>
      <c r="FO73" s="1997"/>
      <c r="FP73" s="1997"/>
      <c r="FQ73" s="1997"/>
      <c r="FR73" s="1997"/>
      <c r="FS73" s="1997"/>
      <c r="FT73" s="1997"/>
      <c r="FU73" s="1997"/>
      <c r="FV73" s="1997"/>
      <c r="FW73" s="1997"/>
      <c r="FX73" s="1997"/>
      <c r="FY73" s="1997"/>
      <c r="FZ73" s="1997"/>
      <c r="GA73" s="1997"/>
      <c r="GB73" s="1997"/>
      <c r="GC73" s="1997"/>
      <c r="GD73" s="1997"/>
      <c r="GE73" s="1997"/>
      <c r="GF73" s="1997"/>
      <c r="GG73" s="1997"/>
      <c r="GH73" s="1997"/>
      <c r="GI73" s="1997"/>
      <c r="GJ73" s="1997"/>
      <c r="GK73" s="1997"/>
      <c r="GL73" s="1997"/>
      <c r="GM73" s="1997"/>
      <c r="GN73" s="1997"/>
      <c r="GO73" s="1997"/>
      <c r="GP73" s="1997"/>
      <c r="GQ73" s="1997"/>
      <c r="GR73" s="1997"/>
      <c r="GS73" s="1997"/>
      <c r="GT73" s="1997"/>
      <c r="GU73" s="1997"/>
      <c r="GV73" s="1997"/>
      <c r="GW73" s="1997"/>
      <c r="GX73" s="1997"/>
      <c r="GY73" s="1997"/>
      <c r="GZ73" s="1997"/>
      <c r="HA73" s="1997"/>
      <c r="HB73" s="1997"/>
      <c r="HC73" s="1997"/>
      <c r="HD73" s="1997"/>
      <c r="HE73" s="1997"/>
      <c r="HF73" s="1997"/>
      <c r="HG73" s="1997"/>
      <c r="HH73" s="1997"/>
      <c r="HI73" s="1997"/>
      <c r="HJ73" s="1997"/>
      <c r="HK73" s="1997"/>
      <c r="HL73" s="1997"/>
      <c r="HM73" s="1997"/>
      <c r="HN73" s="1997"/>
      <c r="HO73" s="1997"/>
      <c r="HP73" s="1997"/>
      <c r="HQ73" s="1997"/>
      <c r="HR73" s="1997"/>
      <c r="HS73" s="1997"/>
      <c r="HT73" s="1997"/>
      <c r="HU73" s="1997"/>
      <c r="HV73" s="1997"/>
      <c r="HW73" s="1997"/>
      <c r="HX73" s="1997"/>
      <c r="HY73" s="1997"/>
      <c r="HZ73" s="1997"/>
      <c r="IA73" s="1997"/>
      <c r="IB73" s="1997"/>
      <c r="IC73" s="1997"/>
      <c r="ID73" s="1997"/>
      <c r="IE73" s="1997"/>
      <c r="IF73" s="1997"/>
      <c r="IG73" s="1997"/>
      <c r="IH73" s="1997"/>
      <c r="II73" s="1997"/>
      <c r="IJ73" s="1997"/>
      <c r="IK73" s="1997"/>
      <c r="IL73" s="1997"/>
      <c r="IM73" s="1997"/>
      <c r="IN73" s="1997"/>
      <c r="IO73" s="1997"/>
      <c r="IP73" s="1997"/>
      <c r="IQ73" s="1997"/>
    </row>
    <row r="74" spans="1:251" hidden="1">
      <c r="A74" s="1993"/>
      <c r="B74" s="1998"/>
      <c r="C74" s="1998"/>
      <c r="D74" s="2034"/>
      <c r="E74" s="1998"/>
      <c r="F74" s="1940">
        <f t="shared" si="32"/>
        <v>0</v>
      </c>
      <c r="G74" s="1993"/>
      <c r="H74" s="1940">
        <f t="shared" si="33"/>
        <v>0</v>
      </c>
      <c r="I74" s="1993"/>
      <c r="J74" s="1940">
        <f t="shared" si="34"/>
        <v>0</v>
      </c>
      <c r="K74" s="1993"/>
      <c r="L74" s="1940">
        <f t="shared" si="35"/>
        <v>0</v>
      </c>
      <c r="M74" s="1940">
        <f t="shared" si="36"/>
        <v>0</v>
      </c>
      <c r="N74" s="1940">
        <f t="shared" si="37"/>
        <v>0</v>
      </c>
      <c r="O74" s="1993"/>
      <c r="P74" s="1993"/>
      <c r="Q74" s="1940">
        <f t="shared" si="38"/>
        <v>0</v>
      </c>
      <c r="R74" s="1940">
        <f t="shared" si="39"/>
        <v>0</v>
      </c>
      <c r="S74" s="1940">
        <f t="shared" si="40"/>
        <v>0</v>
      </c>
      <c r="T74" s="1940">
        <f t="shared" si="41"/>
        <v>0</v>
      </c>
      <c r="U74" s="1940">
        <f t="shared" si="42"/>
        <v>0</v>
      </c>
      <c r="V74" s="1997"/>
      <c r="W74" s="1997"/>
      <c r="X74" s="1997"/>
      <c r="Y74" s="1997"/>
      <c r="Z74" s="1997"/>
      <c r="AA74" s="1997"/>
      <c r="AB74" s="1997"/>
      <c r="AC74" s="1997"/>
      <c r="AD74" s="1997"/>
      <c r="AE74" s="1997"/>
      <c r="AF74" s="1997"/>
      <c r="AG74" s="1997"/>
      <c r="AH74" s="1997"/>
      <c r="AI74" s="1997"/>
      <c r="AJ74" s="1997"/>
      <c r="AK74" s="1997"/>
      <c r="AL74" s="1997"/>
      <c r="AM74" s="1997"/>
      <c r="AN74" s="1997"/>
      <c r="AO74" s="1997"/>
      <c r="AP74" s="1997"/>
      <c r="AQ74" s="1997"/>
      <c r="AR74" s="1997"/>
      <c r="AS74" s="1997"/>
      <c r="AT74" s="1997"/>
      <c r="AU74" s="1997"/>
      <c r="AV74" s="1997"/>
      <c r="AW74" s="1997"/>
      <c r="AX74" s="1997"/>
      <c r="AY74" s="1997"/>
      <c r="AZ74" s="1997"/>
      <c r="BA74" s="1997"/>
      <c r="BB74" s="1997"/>
      <c r="BC74" s="1997"/>
      <c r="BD74" s="1997"/>
      <c r="BE74" s="1997"/>
      <c r="BF74" s="1997"/>
      <c r="BG74" s="1997"/>
      <c r="BH74" s="1997"/>
      <c r="BI74" s="1997"/>
      <c r="BJ74" s="1997"/>
      <c r="BK74" s="1997"/>
      <c r="BL74" s="1997"/>
      <c r="BM74" s="1997"/>
      <c r="BN74" s="1997"/>
      <c r="BO74" s="1997"/>
      <c r="BP74" s="1997"/>
      <c r="BQ74" s="1997"/>
      <c r="BR74" s="1997"/>
      <c r="BS74" s="1997"/>
      <c r="BT74" s="1997"/>
      <c r="BU74" s="1997"/>
      <c r="BV74" s="1997"/>
      <c r="BW74" s="1997"/>
      <c r="BX74" s="1997"/>
      <c r="BY74" s="1997"/>
      <c r="BZ74" s="1997"/>
      <c r="CA74" s="1997"/>
      <c r="CB74" s="1997"/>
      <c r="CC74" s="1997"/>
      <c r="CD74" s="1997"/>
      <c r="CE74" s="1997"/>
      <c r="CF74" s="1997"/>
      <c r="CG74" s="1997"/>
      <c r="CH74" s="1997"/>
      <c r="CI74" s="1997"/>
      <c r="CJ74" s="1997"/>
      <c r="CK74" s="1997"/>
      <c r="CL74" s="1997"/>
      <c r="CM74" s="1997"/>
      <c r="CN74" s="1997"/>
      <c r="CO74" s="1997"/>
      <c r="CP74" s="1997"/>
      <c r="CQ74" s="1997"/>
      <c r="CR74" s="1997"/>
      <c r="CS74" s="1997"/>
      <c r="CT74" s="1997"/>
      <c r="CU74" s="1997"/>
      <c r="CV74" s="1997"/>
      <c r="CW74" s="1997"/>
      <c r="CX74" s="1997"/>
      <c r="CY74" s="1997"/>
      <c r="CZ74" s="1997"/>
      <c r="DA74" s="1997"/>
      <c r="DB74" s="1997"/>
      <c r="DC74" s="1997"/>
      <c r="DD74" s="1997"/>
      <c r="DE74" s="1997"/>
      <c r="DF74" s="1997"/>
      <c r="DG74" s="1997"/>
      <c r="DH74" s="1997"/>
      <c r="DI74" s="1997"/>
      <c r="DJ74" s="1997"/>
      <c r="DK74" s="1997"/>
      <c r="DL74" s="1997"/>
      <c r="DM74" s="1997"/>
      <c r="DN74" s="1997"/>
      <c r="DO74" s="1997"/>
      <c r="DP74" s="1997"/>
      <c r="DQ74" s="1997"/>
      <c r="DR74" s="1997"/>
      <c r="DS74" s="1997"/>
      <c r="DT74" s="1997"/>
      <c r="DU74" s="1997"/>
      <c r="DV74" s="1997"/>
      <c r="DW74" s="1997"/>
      <c r="DX74" s="1997"/>
      <c r="DY74" s="1997"/>
      <c r="DZ74" s="1997"/>
      <c r="EA74" s="1997"/>
      <c r="EB74" s="1997"/>
      <c r="EC74" s="1997"/>
      <c r="ED74" s="1997"/>
      <c r="EE74" s="1997"/>
      <c r="EF74" s="1997"/>
      <c r="EG74" s="1997"/>
      <c r="EH74" s="1997"/>
      <c r="EI74" s="1997"/>
      <c r="EJ74" s="1997"/>
      <c r="EK74" s="1997"/>
      <c r="EL74" s="1997"/>
      <c r="EM74" s="1997"/>
      <c r="EN74" s="1997"/>
      <c r="EO74" s="1997"/>
      <c r="EP74" s="1997"/>
      <c r="EQ74" s="1997"/>
      <c r="ER74" s="1997"/>
      <c r="ES74" s="1997"/>
      <c r="ET74" s="1997"/>
      <c r="EU74" s="1997"/>
      <c r="EV74" s="1997"/>
      <c r="EW74" s="1997"/>
      <c r="EX74" s="1997"/>
      <c r="EY74" s="1997"/>
      <c r="EZ74" s="1997"/>
      <c r="FA74" s="1997"/>
      <c r="FB74" s="1997"/>
      <c r="FC74" s="1997"/>
      <c r="FD74" s="1997"/>
      <c r="FE74" s="1997"/>
      <c r="FF74" s="1997"/>
      <c r="FG74" s="1997"/>
      <c r="FH74" s="1997"/>
      <c r="FI74" s="1997"/>
      <c r="FJ74" s="1997"/>
      <c r="FK74" s="1997"/>
      <c r="FL74" s="1997"/>
      <c r="FM74" s="1997"/>
      <c r="FN74" s="1997"/>
      <c r="FO74" s="1997"/>
      <c r="FP74" s="1997"/>
      <c r="FQ74" s="1997"/>
      <c r="FR74" s="1997"/>
      <c r="FS74" s="1997"/>
      <c r="FT74" s="1997"/>
      <c r="FU74" s="1997"/>
      <c r="FV74" s="1997"/>
      <c r="FW74" s="1997"/>
      <c r="FX74" s="1997"/>
      <c r="FY74" s="1997"/>
      <c r="FZ74" s="1997"/>
      <c r="GA74" s="1997"/>
      <c r="GB74" s="1997"/>
      <c r="GC74" s="1997"/>
      <c r="GD74" s="1997"/>
      <c r="GE74" s="1997"/>
      <c r="GF74" s="1997"/>
      <c r="GG74" s="1997"/>
      <c r="GH74" s="1997"/>
      <c r="GI74" s="1997"/>
      <c r="GJ74" s="1997"/>
      <c r="GK74" s="1997"/>
      <c r="GL74" s="1997"/>
      <c r="GM74" s="1997"/>
      <c r="GN74" s="1997"/>
      <c r="GO74" s="1997"/>
      <c r="GP74" s="1997"/>
      <c r="GQ74" s="1997"/>
      <c r="GR74" s="1997"/>
      <c r="GS74" s="1997"/>
      <c r="GT74" s="1997"/>
      <c r="GU74" s="1997"/>
      <c r="GV74" s="1997"/>
      <c r="GW74" s="1997"/>
      <c r="GX74" s="1997"/>
      <c r="GY74" s="1997"/>
      <c r="GZ74" s="1997"/>
      <c r="HA74" s="1997"/>
      <c r="HB74" s="1997"/>
      <c r="HC74" s="1997"/>
      <c r="HD74" s="1997"/>
      <c r="HE74" s="1997"/>
      <c r="HF74" s="1997"/>
      <c r="HG74" s="1997"/>
      <c r="HH74" s="1997"/>
      <c r="HI74" s="1997"/>
      <c r="HJ74" s="1997"/>
      <c r="HK74" s="1997"/>
      <c r="HL74" s="1997"/>
      <c r="HM74" s="1997"/>
      <c r="HN74" s="1997"/>
      <c r="HO74" s="1997"/>
      <c r="HP74" s="1997"/>
      <c r="HQ74" s="1997"/>
      <c r="HR74" s="1997"/>
      <c r="HS74" s="1997"/>
      <c r="HT74" s="1997"/>
      <c r="HU74" s="1997"/>
      <c r="HV74" s="1997"/>
      <c r="HW74" s="1997"/>
      <c r="HX74" s="1997"/>
      <c r="HY74" s="1997"/>
      <c r="HZ74" s="1997"/>
      <c r="IA74" s="1997"/>
      <c r="IB74" s="1997"/>
      <c r="IC74" s="1997"/>
      <c r="ID74" s="1997"/>
      <c r="IE74" s="1997"/>
      <c r="IF74" s="1997"/>
      <c r="IG74" s="1997"/>
      <c r="IH74" s="1997"/>
      <c r="II74" s="1997"/>
      <c r="IJ74" s="1997"/>
      <c r="IK74" s="1997"/>
      <c r="IL74" s="1997"/>
      <c r="IM74" s="1997"/>
      <c r="IN74" s="1997"/>
      <c r="IO74" s="1997"/>
      <c r="IP74" s="1997"/>
      <c r="IQ74" s="1997"/>
    </row>
    <row r="75" spans="1:251" hidden="1">
      <c r="A75" s="1993"/>
      <c r="B75" s="1998"/>
      <c r="C75" s="1998"/>
      <c r="D75" s="2034"/>
      <c r="E75" s="1998"/>
      <c r="F75" s="1940">
        <f t="shared" si="32"/>
        <v>0</v>
      </c>
      <c r="G75" s="1993"/>
      <c r="H75" s="1940">
        <f t="shared" si="33"/>
        <v>0</v>
      </c>
      <c r="I75" s="1993"/>
      <c r="J75" s="1940">
        <f t="shared" si="34"/>
        <v>0</v>
      </c>
      <c r="K75" s="1993"/>
      <c r="L75" s="1940">
        <f t="shared" si="35"/>
        <v>0</v>
      </c>
      <c r="M75" s="1940">
        <f t="shared" si="36"/>
        <v>0</v>
      </c>
      <c r="N75" s="1940">
        <f t="shared" si="37"/>
        <v>0</v>
      </c>
      <c r="O75" s="1993"/>
      <c r="P75" s="1993"/>
      <c r="Q75" s="1940">
        <f t="shared" si="38"/>
        <v>0</v>
      </c>
      <c r="R75" s="1940">
        <f t="shared" si="39"/>
        <v>0</v>
      </c>
      <c r="S75" s="1940">
        <f t="shared" si="40"/>
        <v>0</v>
      </c>
      <c r="T75" s="1940">
        <f t="shared" si="41"/>
        <v>0</v>
      </c>
      <c r="U75" s="1940">
        <f t="shared" si="42"/>
        <v>0</v>
      </c>
      <c r="V75" s="1997"/>
      <c r="W75" s="1997"/>
      <c r="X75" s="1997"/>
      <c r="Y75" s="1997"/>
      <c r="Z75" s="1997"/>
      <c r="AA75" s="1997"/>
      <c r="AB75" s="1997"/>
      <c r="AC75" s="1997"/>
      <c r="AD75" s="1997"/>
      <c r="AE75" s="1997"/>
      <c r="AF75" s="1997"/>
      <c r="AG75" s="1997"/>
      <c r="AH75" s="1997"/>
      <c r="AI75" s="1997"/>
      <c r="AJ75" s="1997"/>
      <c r="AK75" s="1997"/>
      <c r="AL75" s="1997"/>
      <c r="AM75" s="1997"/>
      <c r="AN75" s="1997"/>
      <c r="AO75" s="1997"/>
      <c r="AP75" s="1997"/>
      <c r="AQ75" s="1997"/>
      <c r="AR75" s="1997"/>
      <c r="AS75" s="1997"/>
      <c r="AT75" s="1997"/>
      <c r="AU75" s="1997"/>
      <c r="AV75" s="1997"/>
      <c r="AW75" s="1997"/>
      <c r="AX75" s="1997"/>
      <c r="AY75" s="1997"/>
      <c r="AZ75" s="1997"/>
      <c r="BA75" s="1997"/>
      <c r="BB75" s="1997"/>
      <c r="BC75" s="1997"/>
      <c r="BD75" s="1997"/>
      <c r="BE75" s="1997"/>
      <c r="BF75" s="1997"/>
      <c r="BG75" s="1997"/>
      <c r="BH75" s="1997"/>
      <c r="BI75" s="1997"/>
      <c r="BJ75" s="1997"/>
      <c r="BK75" s="1997"/>
      <c r="BL75" s="1997"/>
      <c r="BM75" s="1997"/>
      <c r="BN75" s="1997"/>
      <c r="BO75" s="1997"/>
      <c r="BP75" s="1997"/>
      <c r="BQ75" s="1997"/>
      <c r="BR75" s="1997"/>
      <c r="BS75" s="1997"/>
      <c r="BT75" s="1997"/>
      <c r="BU75" s="1997"/>
      <c r="BV75" s="1997"/>
      <c r="BW75" s="1997"/>
      <c r="BX75" s="1997"/>
      <c r="BY75" s="1997"/>
      <c r="BZ75" s="1997"/>
      <c r="CA75" s="1997"/>
      <c r="CB75" s="1997"/>
      <c r="CC75" s="1997"/>
      <c r="CD75" s="1997"/>
      <c r="CE75" s="1997"/>
      <c r="CF75" s="1997"/>
      <c r="CG75" s="1997"/>
      <c r="CH75" s="1997"/>
      <c r="CI75" s="1997"/>
      <c r="CJ75" s="1997"/>
      <c r="CK75" s="1997"/>
      <c r="CL75" s="1997"/>
      <c r="CM75" s="1997"/>
      <c r="CN75" s="1997"/>
      <c r="CO75" s="1997"/>
      <c r="CP75" s="1997"/>
      <c r="CQ75" s="1997"/>
      <c r="CR75" s="1997"/>
      <c r="CS75" s="1997"/>
      <c r="CT75" s="1997"/>
      <c r="CU75" s="1997"/>
      <c r="CV75" s="1997"/>
      <c r="CW75" s="1997"/>
      <c r="CX75" s="1997"/>
      <c r="CY75" s="1997"/>
      <c r="CZ75" s="1997"/>
      <c r="DA75" s="1997"/>
      <c r="DB75" s="1997"/>
      <c r="DC75" s="1997"/>
      <c r="DD75" s="1997"/>
      <c r="DE75" s="1997"/>
      <c r="DF75" s="1997"/>
      <c r="DG75" s="1997"/>
      <c r="DH75" s="1997"/>
      <c r="DI75" s="1997"/>
      <c r="DJ75" s="1997"/>
      <c r="DK75" s="1997"/>
      <c r="DL75" s="1997"/>
      <c r="DM75" s="1997"/>
      <c r="DN75" s="1997"/>
      <c r="DO75" s="1997"/>
      <c r="DP75" s="1997"/>
      <c r="DQ75" s="1997"/>
      <c r="DR75" s="1997"/>
      <c r="DS75" s="1997"/>
      <c r="DT75" s="1997"/>
      <c r="DU75" s="1997"/>
      <c r="DV75" s="1997"/>
      <c r="DW75" s="1997"/>
      <c r="DX75" s="1997"/>
      <c r="DY75" s="1997"/>
      <c r="DZ75" s="1997"/>
      <c r="EA75" s="1997"/>
      <c r="EB75" s="1997"/>
      <c r="EC75" s="1997"/>
      <c r="ED75" s="1997"/>
      <c r="EE75" s="1997"/>
      <c r="EF75" s="1997"/>
      <c r="EG75" s="1997"/>
      <c r="EH75" s="1997"/>
      <c r="EI75" s="1997"/>
      <c r="EJ75" s="1997"/>
      <c r="EK75" s="1997"/>
      <c r="EL75" s="1997"/>
      <c r="EM75" s="1997"/>
      <c r="EN75" s="1997"/>
      <c r="EO75" s="1997"/>
      <c r="EP75" s="1997"/>
      <c r="EQ75" s="1997"/>
      <c r="ER75" s="1997"/>
      <c r="ES75" s="1997"/>
      <c r="ET75" s="1997"/>
      <c r="EU75" s="1997"/>
      <c r="EV75" s="1997"/>
      <c r="EW75" s="1997"/>
      <c r="EX75" s="1997"/>
      <c r="EY75" s="1997"/>
      <c r="EZ75" s="1997"/>
      <c r="FA75" s="1997"/>
      <c r="FB75" s="1997"/>
      <c r="FC75" s="1997"/>
      <c r="FD75" s="1997"/>
      <c r="FE75" s="1997"/>
      <c r="FF75" s="1997"/>
      <c r="FG75" s="1997"/>
      <c r="FH75" s="1997"/>
      <c r="FI75" s="1997"/>
      <c r="FJ75" s="1997"/>
      <c r="FK75" s="1997"/>
      <c r="FL75" s="1997"/>
      <c r="FM75" s="1997"/>
      <c r="FN75" s="1997"/>
      <c r="FO75" s="1997"/>
      <c r="FP75" s="1997"/>
      <c r="FQ75" s="1997"/>
      <c r="FR75" s="1997"/>
      <c r="FS75" s="1997"/>
      <c r="FT75" s="1997"/>
      <c r="FU75" s="1997"/>
      <c r="FV75" s="1997"/>
      <c r="FW75" s="1997"/>
      <c r="FX75" s="1997"/>
      <c r="FY75" s="1997"/>
      <c r="FZ75" s="1997"/>
      <c r="GA75" s="1997"/>
      <c r="GB75" s="1997"/>
      <c r="GC75" s="1997"/>
      <c r="GD75" s="1997"/>
      <c r="GE75" s="1997"/>
      <c r="GF75" s="1997"/>
      <c r="GG75" s="1997"/>
      <c r="GH75" s="1997"/>
      <c r="GI75" s="1997"/>
      <c r="GJ75" s="1997"/>
      <c r="GK75" s="1997"/>
      <c r="GL75" s="1997"/>
      <c r="GM75" s="1997"/>
      <c r="GN75" s="1997"/>
      <c r="GO75" s="1997"/>
      <c r="GP75" s="1997"/>
      <c r="GQ75" s="1997"/>
      <c r="GR75" s="1997"/>
      <c r="GS75" s="1997"/>
      <c r="GT75" s="1997"/>
      <c r="GU75" s="1997"/>
      <c r="GV75" s="1997"/>
      <c r="GW75" s="1997"/>
      <c r="GX75" s="1997"/>
      <c r="GY75" s="1997"/>
      <c r="GZ75" s="1997"/>
      <c r="HA75" s="1997"/>
      <c r="HB75" s="1997"/>
      <c r="HC75" s="1997"/>
      <c r="HD75" s="1997"/>
      <c r="HE75" s="1997"/>
      <c r="HF75" s="1997"/>
      <c r="HG75" s="1997"/>
      <c r="HH75" s="1997"/>
      <c r="HI75" s="1997"/>
      <c r="HJ75" s="1997"/>
      <c r="HK75" s="1997"/>
      <c r="HL75" s="1997"/>
      <c r="HM75" s="1997"/>
      <c r="HN75" s="1997"/>
      <c r="HO75" s="1997"/>
      <c r="HP75" s="1997"/>
      <c r="HQ75" s="1997"/>
      <c r="HR75" s="1997"/>
      <c r="HS75" s="1997"/>
      <c r="HT75" s="1997"/>
      <c r="HU75" s="1997"/>
      <c r="HV75" s="1997"/>
      <c r="HW75" s="1997"/>
      <c r="HX75" s="1997"/>
      <c r="HY75" s="1997"/>
      <c r="HZ75" s="1997"/>
      <c r="IA75" s="1997"/>
      <c r="IB75" s="1997"/>
      <c r="IC75" s="1997"/>
      <c r="ID75" s="1997"/>
      <c r="IE75" s="1997"/>
      <c r="IF75" s="1997"/>
      <c r="IG75" s="1997"/>
      <c r="IH75" s="1997"/>
      <c r="II75" s="1997"/>
      <c r="IJ75" s="1997"/>
      <c r="IK75" s="1997"/>
      <c r="IL75" s="1997"/>
      <c r="IM75" s="1997"/>
      <c r="IN75" s="1997"/>
      <c r="IO75" s="1997"/>
      <c r="IP75" s="1997"/>
      <c r="IQ75" s="1997"/>
    </row>
    <row r="76" spans="1:251" hidden="1">
      <c r="A76" s="1993"/>
      <c r="B76" s="1998"/>
      <c r="C76" s="1998"/>
      <c r="D76" s="2034"/>
      <c r="E76" s="1998"/>
      <c r="F76" s="1940">
        <f t="shared" si="32"/>
        <v>0</v>
      </c>
      <c r="G76" s="1993"/>
      <c r="H76" s="1940">
        <f t="shared" si="33"/>
        <v>0</v>
      </c>
      <c r="I76" s="1993"/>
      <c r="J76" s="1940">
        <f t="shared" si="34"/>
        <v>0</v>
      </c>
      <c r="K76" s="1993"/>
      <c r="L76" s="1940">
        <f t="shared" si="35"/>
        <v>0</v>
      </c>
      <c r="M76" s="1940">
        <f t="shared" si="36"/>
        <v>0</v>
      </c>
      <c r="N76" s="1940">
        <f t="shared" si="37"/>
        <v>0</v>
      </c>
      <c r="O76" s="1993"/>
      <c r="P76" s="1993"/>
      <c r="Q76" s="1940">
        <f t="shared" si="38"/>
        <v>0</v>
      </c>
      <c r="R76" s="1940">
        <f t="shared" si="39"/>
        <v>0</v>
      </c>
      <c r="S76" s="1940">
        <f t="shared" si="40"/>
        <v>0</v>
      </c>
      <c r="T76" s="1940">
        <f t="shared" si="41"/>
        <v>0</v>
      </c>
      <c r="U76" s="1940">
        <f t="shared" si="42"/>
        <v>0</v>
      </c>
      <c r="V76" s="1997"/>
      <c r="W76" s="1997"/>
      <c r="X76" s="1997"/>
      <c r="Y76" s="1997"/>
      <c r="Z76" s="1997"/>
      <c r="AA76" s="1997"/>
      <c r="AB76" s="1997"/>
      <c r="AC76" s="1997"/>
      <c r="AD76" s="1997"/>
      <c r="AE76" s="1997"/>
      <c r="AF76" s="1997"/>
      <c r="AG76" s="1997"/>
      <c r="AH76" s="1997"/>
      <c r="AI76" s="1997"/>
      <c r="AJ76" s="1997"/>
      <c r="AK76" s="1997"/>
      <c r="AL76" s="1997"/>
      <c r="AM76" s="1997"/>
      <c r="AN76" s="1997"/>
      <c r="AO76" s="1997"/>
      <c r="AP76" s="1997"/>
      <c r="AQ76" s="1997"/>
      <c r="AR76" s="1997"/>
      <c r="AS76" s="1997"/>
      <c r="AT76" s="1997"/>
      <c r="AU76" s="1997"/>
      <c r="AV76" s="1997"/>
      <c r="AW76" s="1997"/>
      <c r="AX76" s="1997"/>
      <c r="AY76" s="1997"/>
      <c r="AZ76" s="1997"/>
      <c r="BA76" s="1997"/>
      <c r="BB76" s="1997"/>
      <c r="BC76" s="1997"/>
      <c r="BD76" s="1997"/>
      <c r="BE76" s="1997"/>
      <c r="BF76" s="1997"/>
      <c r="BG76" s="1997"/>
      <c r="BH76" s="1997"/>
      <c r="BI76" s="1997"/>
      <c r="BJ76" s="1997"/>
      <c r="BK76" s="1997"/>
      <c r="BL76" s="1997"/>
      <c r="BM76" s="1997"/>
      <c r="BN76" s="1997"/>
      <c r="BO76" s="1997"/>
      <c r="BP76" s="1997"/>
      <c r="BQ76" s="1997"/>
      <c r="BR76" s="1997"/>
      <c r="BS76" s="1997"/>
      <c r="BT76" s="1997"/>
      <c r="BU76" s="1997"/>
      <c r="BV76" s="1997"/>
      <c r="BW76" s="1997"/>
      <c r="BX76" s="1997"/>
      <c r="BY76" s="1997"/>
      <c r="BZ76" s="1997"/>
      <c r="CA76" s="1997"/>
      <c r="CB76" s="1997"/>
      <c r="CC76" s="1997"/>
      <c r="CD76" s="1997"/>
      <c r="CE76" s="1997"/>
      <c r="CF76" s="1997"/>
      <c r="CG76" s="1997"/>
      <c r="CH76" s="1997"/>
      <c r="CI76" s="1997"/>
      <c r="CJ76" s="1997"/>
      <c r="CK76" s="1997"/>
      <c r="CL76" s="1997"/>
      <c r="CM76" s="1997"/>
      <c r="CN76" s="1997"/>
      <c r="CO76" s="1997"/>
      <c r="CP76" s="1997"/>
      <c r="CQ76" s="1997"/>
      <c r="CR76" s="1997"/>
      <c r="CS76" s="1997"/>
      <c r="CT76" s="1997"/>
      <c r="CU76" s="1997"/>
      <c r="CV76" s="1997"/>
      <c r="CW76" s="1997"/>
      <c r="CX76" s="1997"/>
      <c r="CY76" s="1997"/>
      <c r="CZ76" s="1997"/>
      <c r="DA76" s="1997"/>
      <c r="DB76" s="1997"/>
      <c r="DC76" s="1997"/>
      <c r="DD76" s="1997"/>
      <c r="DE76" s="1997"/>
      <c r="DF76" s="1997"/>
      <c r="DG76" s="1997"/>
      <c r="DH76" s="1997"/>
      <c r="DI76" s="1997"/>
      <c r="DJ76" s="1997"/>
      <c r="DK76" s="1997"/>
      <c r="DL76" s="1997"/>
      <c r="DM76" s="1997"/>
      <c r="DN76" s="1997"/>
      <c r="DO76" s="1997"/>
      <c r="DP76" s="1997"/>
      <c r="DQ76" s="1997"/>
      <c r="DR76" s="1997"/>
      <c r="DS76" s="1997"/>
      <c r="DT76" s="1997"/>
      <c r="DU76" s="1997"/>
      <c r="DV76" s="1997"/>
      <c r="DW76" s="1997"/>
      <c r="DX76" s="1997"/>
      <c r="DY76" s="1997"/>
      <c r="DZ76" s="1997"/>
      <c r="EA76" s="1997"/>
      <c r="EB76" s="1997"/>
      <c r="EC76" s="1997"/>
      <c r="ED76" s="1997"/>
      <c r="EE76" s="1997"/>
      <c r="EF76" s="1997"/>
      <c r="EG76" s="1997"/>
      <c r="EH76" s="1997"/>
      <c r="EI76" s="1997"/>
      <c r="EJ76" s="1997"/>
      <c r="EK76" s="1997"/>
      <c r="EL76" s="1997"/>
      <c r="EM76" s="1997"/>
      <c r="EN76" s="1997"/>
      <c r="EO76" s="1997"/>
      <c r="EP76" s="1997"/>
      <c r="EQ76" s="1997"/>
      <c r="ER76" s="1997"/>
      <c r="ES76" s="1997"/>
      <c r="ET76" s="1997"/>
      <c r="EU76" s="1997"/>
      <c r="EV76" s="1997"/>
      <c r="EW76" s="1997"/>
      <c r="EX76" s="1997"/>
      <c r="EY76" s="1997"/>
      <c r="EZ76" s="1997"/>
      <c r="FA76" s="1997"/>
      <c r="FB76" s="1997"/>
      <c r="FC76" s="1997"/>
      <c r="FD76" s="1997"/>
      <c r="FE76" s="1997"/>
      <c r="FF76" s="1997"/>
      <c r="FG76" s="1997"/>
      <c r="FH76" s="1997"/>
      <c r="FI76" s="1997"/>
      <c r="FJ76" s="1997"/>
      <c r="FK76" s="1997"/>
      <c r="FL76" s="1997"/>
      <c r="FM76" s="1997"/>
      <c r="FN76" s="1997"/>
      <c r="FO76" s="1997"/>
      <c r="FP76" s="1997"/>
      <c r="FQ76" s="1997"/>
      <c r="FR76" s="1997"/>
      <c r="FS76" s="1997"/>
      <c r="FT76" s="1997"/>
      <c r="FU76" s="1997"/>
      <c r="FV76" s="1997"/>
      <c r="FW76" s="1997"/>
      <c r="FX76" s="1997"/>
      <c r="FY76" s="1997"/>
      <c r="FZ76" s="1997"/>
      <c r="GA76" s="1997"/>
      <c r="GB76" s="1997"/>
      <c r="GC76" s="1997"/>
      <c r="GD76" s="1997"/>
      <c r="GE76" s="1997"/>
      <c r="GF76" s="1997"/>
      <c r="GG76" s="1997"/>
      <c r="GH76" s="1997"/>
      <c r="GI76" s="1997"/>
      <c r="GJ76" s="1997"/>
      <c r="GK76" s="1997"/>
      <c r="GL76" s="1997"/>
      <c r="GM76" s="1997"/>
      <c r="GN76" s="1997"/>
      <c r="GO76" s="1997"/>
      <c r="GP76" s="1997"/>
      <c r="GQ76" s="1997"/>
      <c r="GR76" s="1997"/>
      <c r="GS76" s="1997"/>
      <c r="GT76" s="1997"/>
      <c r="GU76" s="1997"/>
      <c r="GV76" s="1997"/>
      <c r="GW76" s="1997"/>
      <c r="GX76" s="1997"/>
      <c r="GY76" s="1997"/>
      <c r="GZ76" s="1997"/>
      <c r="HA76" s="1997"/>
      <c r="HB76" s="1997"/>
      <c r="HC76" s="1997"/>
      <c r="HD76" s="1997"/>
      <c r="HE76" s="1997"/>
      <c r="HF76" s="1997"/>
      <c r="HG76" s="1997"/>
      <c r="HH76" s="1997"/>
      <c r="HI76" s="1997"/>
      <c r="HJ76" s="1997"/>
      <c r="HK76" s="1997"/>
      <c r="HL76" s="1997"/>
      <c r="HM76" s="1997"/>
      <c r="HN76" s="1997"/>
      <c r="HO76" s="1997"/>
      <c r="HP76" s="1997"/>
      <c r="HQ76" s="1997"/>
      <c r="HR76" s="1997"/>
      <c r="HS76" s="1997"/>
      <c r="HT76" s="1997"/>
      <c r="HU76" s="1997"/>
      <c r="HV76" s="1997"/>
      <c r="HW76" s="1997"/>
      <c r="HX76" s="1997"/>
      <c r="HY76" s="1997"/>
      <c r="HZ76" s="1997"/>
      <c r="IA76" s="1997"/>
      <c r="IB76" s="1997"/>
      <c r="IC76" s="1997"/>
      <c r="ID76" s="1997"/>
      <c r="IE76" s="1997"/>
      <c r="IF76" s="1997"/>
      <c r="IG76" s="1997"/>
      <c r="IH76" s="1997"/>
      <c r="II76" s="1997"/>
      <c r="IJ76" s="1997"/>
      <c r="IK76" s="1997"/>
      <c r="IL76" s="1997"/>
      <c r="IM76" s="1997"/>
      <c r="IN76" s="1997"/>
      <c r="IO76" s="1997"/>
      <c r="IP76" s="1997"/>
      <c r="IQ76" s="1997"/>
    </row>
    <row r="77" spans="1:251" hidden="1">
      <c r="A77" s="1993"/>
      <c r="B77" s="1998"/>
      <c r="C77" s="1998"/>
      <c r="D77" s="2034"/>
      <c r="E77" s="1998"/>
      <c r="F77" s="1940">
        <f t="shared" si="32"/>
        <v>0</v>
      </c>
      <c r="G77" s="1993"/>
      <c r="H77" s="1940">
        <f t="shared" si="33"/>
        <v>0</v>
      </c>
      <c r="I77" s="1993"/>
      <c r="J77" s="1940">
        <f t="shared" si="34"/>
        <v>0</v>
      </c>
      <c r="K77" s="1993"/>
      <c r="L77" s="1940">
        <f t="shared" si="35"/>
        <v>0</v>
      </c>
      <c r="M77" s="1940">
        <f t="shared" si="36"/>
        <v>0</v>
      </c>
      <c r="N77" s="1940">
        <f t="shared" si="37"/>
        <v>0</v>
      </c>
      <c r="O77" s="1993"/>
      <c r="P77" s="1993"/>
      <c r="Q77" s="1940">
        <f t="shared" si="38"/>
        <v>0</v>
      </c>
      <c r="R77" s="1940">
        <f t="shared" si="39"/>
        <v>0</v>
      </c>
      <c r="S77" s="1940">
        <f t="shared" si="40"/>
        <v>0</v>
      </c>
      <c r="T77" s="1940">
        <f t="shared" si="41"/>
        <v>0</v>
      </c>
      <c r="U77" s="1940">
        <f t="shared" si="42"/>
        <v>0</v>
      </c>
      <c r="V77" s="1997"/>
      <c r="W77" s="1997"/>
      <c r="X77" s="1997"/>
      <c r="Y77" s="1997"/>
      <c r="Z77" s="1997"/>
      <c r="AA77" s="1997"/>
      <c r="AB77" s="1997"/>
      <c r="AC77" s="1997"/>
      <c r="AD77" s="1997"/>
      <c r="AE77" s="1997"/>
      <c r="AF77" s="1997"/>
      <c r="AG77" s="1997"/>
      <c r="AH77" s="1997"/>
      <c r="AI77" s="1997"/>
      <c r="AJ77" s="1997"/>
      <c r="AK77" s="1997"/>
      <c r="AL77" s="1997"/>
      <c r="AM77" s="1997"/>
      <c r="AN77" s="1997"/>
      <c r="AO77" s="1997"/>
      <c r="AP77" s="1997"/>
      <c r="AQ77" s="1997"/>
      <c r="AR77" s="1997"/>
      <c r="AS77" s="1997"/>
      <c r="AT77" s="1997"/>
      <c r="AU77" s="1997"/>
      <c r="AV77" s="1997"/>
      <c r="AW77" s="1997"/>
      <c r="AX77" s="1997"/>
      <c r="AY77" s="1997"/>
      <c r="AZ77" s="1997"/>
      <c r="BA77" s="1997"/>
      <c r="BB77" s="1997"/>
      <c r="BC77" s="1997"/>
      <c r="BD77" s="1997"/>
      <c r="BE77" s="1997"/>
      <c r="BF77" s="1997"/>
      <c r="BG77" s="1997"/>
      <c r="BH77" s="1997"/>
      <c r="BI77" s="1997"/>
      <c r="BJ77" s="1997"/>
      <c r="BK77" s="1997"/>
      <c r="BL77" s="1997"/>
      <c r="BM77" s="1997"/>
      <c r="BN77" s="1997"/>
      <c r="BO77" s="1997"/>
      <c r="BP77" s="1997"/>
      <c r="BQ77" s="1997"/>
      <c r="BR77" s="1997"/>
      <c r="BS77" s="1997"/>
      <c r="BT77" s="1997"/>
      <c r="BU77" s="1997"/>
      <c r="BV77" s="1997"/>
      <c r="BW77" s="1997"/>
      <c r="BX77" s="1997"/>
      <c r="BY77" s="1997"/>
      <c r="BZ77" s="1997"/>
      <c r="CA77" s="1997"/>
      <c r="CB77" s="1997"/>
      <c r="CC77" s="1997"/>
      <c r="CD77" s="1997"/>
      <c r="CE77" s="1997"/>
      <c r="CF77" s="1997"/>
      <c r="CG77" s="1997"/>
      <c r="CH77" s="1997"/>
      <c r="CI77" s="1997"/>
      <c r="CJ77" s="1997"/>
      <c r="CK77" s="1997"/>
      <c r="CL77" s="1997"/>
      <c r="CM77" s="1997"/>
      <c r="CN77" s="1997"/>
      <c r="CO77" s="1997"/>
      <c r="CP77" s="1997"/>
      <c r="CQ77" s="1997"/>
      <c r="CR77" s="1997"/>
      <c r="CS77" s="1997"/>
      <c r="CT77" s="1997"/>
      <c r="CU77" s="1997"/>
      <c r="CV77" s="1997"/>
      <c r="CW77" s="1997"/>
      <c r="CX77" s="1997"/>
      <c r="CY77" s="1997"/>
      <c r="CZ77" s="1997"/>
      <c r="DA77" s="1997"/>
      <c r="DB77" s="1997"/>
      <c r="DC77" s="1997"/>
      <c r="DD77" s="1997"/>
      <c r="DE77" s="1997"/>
      <c r="DF77" s="1997"/>
      <c r="DG77" s="1997"/>
      <c r="DH77" s="1997"/>
      <c r="DI77" s="1997"/>
      <c r="DJ77" s="1997"/>
      <c r="DK77" s="1997"/>
      <c r="DL77" s="1997"/>
      <c r="DM77" s="1997"/>
      <c r="DN77" s="1997"/>
      <c r="DO77" s="1997"/>
      <c r="DP77" s="1997"/>
      <c r="DQ77" s="1997"/>
      <c r="DR77" s="1997"/>
      <c r="DS77" s="1997"/>
      <c r="DT77" s="1997"/>
      <c r="DU77" s="1997"/>
      <c r="DV77" s="1997"/>
      <c r="DW77" s="1997"/>
      <c r="DX77" s="1997"/>
      <c r="DY77" s="1997"/>
      <c r="DZ77" s="1997"/>
      <c r="EA77" s="1997"/>
      <c r="EB77" s="1997"/>
      <c r="EC77" s="1997"/>
      <c r="ED77" s="1997"/>
      <c r="EE77" s="1997"/>
      <c r="EF77" s="1997"/>
      <c r="EG77" s="1997"/>
      <c r="EH77" s="1997"/>
      <c r="EI77" s="1997"/>
      <c r="EJ77" s="1997"/>
      <c r="EK77" s="1997"/>
      <c r="EL77" s="1997"/>
      <c r="EM77" s="1997"/>
      <c r="EN77" s="1997"/>
      <c r="EO77" s="1997"/>
      <c r="EP77" s="1997"/>
      <c r="EQ77" s="1997"/>
      <c r="ER77" s="1997"/>
      <c r="ES77" s="1997"/>
      <c r="ET77" s="1997"/>
      <c r="EU77" s="1997"/>
      <c r="EV77" s="1997"/>
      <c r="EW77" s="1997"/>
      <c r="EX77" s="1997"/>
      <c r="EY77" s="1997"/>
      <c r="EZ77" s="1997"/>
      <c r="FA77" s="1997"/>
      <c r="FB77" s="1997"/>
      <c r="FC77" s="1997"/>
      <c r="FD77" s="1997"/>
      <c r="FE77" s="1997"/>
      <c r="FF77" s="1997"/>
      <c r="FG77" s="1997"/>
      <c r="FH77" s="1997"/>
      <c r="FI77" s="1997"/>
      <c r="FJ77" s="1997"/>
      <c r="FK77" s="1997"/>
      <c r="FL77" s="1997"/>
      <c r="FM77" s="1997"/>
      <c r="FN77" s="1997"/>
      <c r="FO77" s="1997"/>
      <c r="FP77" s="1997"/>
      <c r="FQ77" s="1997"/>
      <c r="FR77" s="1997"/>
      <c r="FS77" s="1997"/>
      <c r="FT77" s="1997"/>
      <c r="FU77" s="1997"/>
      <c r="FV77" s="1997"/>
      <c r="FW77" s="1997"/>
      <c r="FX77" s="1997"/>
      <c r="FY77" s="1997"/>
      <c r="FZ77" s="1997"/>
      <c r="GA77" s="1997"/>
      <c r="GB77" s="1997"/>
      <c r="GC77" s="1997"/>
      <c r="GD77" s="1997"/>
      <c r="GE77" s="1997"/>
      <c r="GF77" s="1997"/>
      <c r="GG77" s="1997"/>
      <c r="GH77" s="1997"/>
      <c r="GI77" s="1997"/>
      <c r="GJ77" s="1997"/>
      <c r="GK77" s="1997"/>
      <c r="GL77" s="1997"/>
      <c r="GM77" s="1997"/>
      <c r="GN77" s="1997"/>
      <c r="GO77" s="1997"/>
      <c r="GP77" s="1997"/>
      <c r="GQ77" s="1997"/>
      <c r="GR77" s="1997"/>
      <c r="GS77" s="1997"/>
      <c r="GT77" s="1997"/>
      <c r="GU77" s="1997"/>
      <c r="GV77" s="1997"/>
      <c r="GW77" s="1997"/>
      <c r="GX77" s="1997"/>
      <c r="GY77" s="1997"/>
      <c r="GZ77" s="1997"/>
      <c r="HA77" s="1997"/>
      <c r="HB77" s="1997"/>
      <c r="HC77" s="1997"/>
      <c r="HD77" s="1997"/>
      <c r="HE77" s="1997"/>
      <c r="HF77" s="1997"/>
      <c r="HG77" s="1997"/>
      <c r="HH77" s="1997"/>
      <c r="HI77" s="1997"/>
      <c r="HJ77" s="1997"/>
      <c r="HK77" s="1997"/>
      <c r="HL77" s="1997"/>
      <c r="HM77" s="1997"/>
      <c r="HN77" s="1997"/>
      <c r="HO77" s="1997"/>
      <c r="HP77" s="1997"/>
      <c r="HQ77" s="1997"/>
      <c r="HR77" s="1997"/>
      <c r="HS77" s="1997"/>
      <c r="HT77" s="1997"/>
      <c r="HU77" s="1997"/>
      <c r="HV77" s="1997"/>
      <c r="HW77" s="1997"/>
      <c r="HX77" s="1997"/>
      <c r="HY77" s="1997"/>
      <c r="HZ77" s="1997"/>
      <c r="IA77" s="1997"/>
      <c r="IB77" s="1997"/>
      <c r="IC77" s="1997"/>
      <c r="ID77" s="1997"/>
      <c r="IE77" s="1997"/>
      <c r="IF77" s="1997"/>
      <c r="IG77" s="1997"/>
      <c r="IH77" s="1997"/>
      <c r="II77" s="1997"/>
      <c r="IJ77" s="1997"/>
      <c r="IK77" s="1997"/>
      <c r="IL77" s="1997"/>
      <c r="IM77" s="1997"/>
      <c r="IN77" s="1997"/>
      <c r="IO77" s="1997"/>
      <c r="IP77" s="1997"/>
      <c r="IQ77" s="1997"/>
    </row>
    <row r="78" spans="1:251" hidden="1">
      <c r="A78" s="1993"/>
      <c r="B78" s="1998"/>
      <c r="C78" s="1998"/>
      <c r="D78" s="2034"/>
      <c r="E78" s="1998"/>
      <c r="F78" s="1940">
        <f t="shared" si="32"/>
        <v>0</v>
      </c>
      <c r="G78" s="1993"/>
      <c r="H78" s="1940">
        <f t="shared" si="33"/>
        <v>0</v>
      </c>
      <c r="I78" s="1993"/>
      <c r="J78" s="1940">
        <f t="shared" si="34"/>
        <v>0</v>
      </c>
      <c r="K78" s="1993"/>
      <c r="L78" s="1940">
        <f t="shared" si="35"/>
        <v>0</v>
      </c>
      <c r="M78" s="1940">
        <f t="shared" si="36"/>
        <v>0</v>
      </c>
      <c r="N78" s="1940">
        <f t="shared" si="37"/>
        <v>0</v>
      </c>
      <c r="O78" s="1993"/>
      <c r="P78" s="1993"/>
      <c r="Q78" s="1940">
        <f t="shared" si="38"/>
        <v>0</v>
      </c>
      <c r="R78" s="1940">
        <f t="shared" si="39"/>
        <v>0</v>
      </c>
      <c r="S78" s="1940">
        <f t="shared" si="40"/>
        <v>0</v>
      </c>
      <c r="T78" s="1940">
        <f t="shared" si="41"/>
        <v>0</v>
      </c>
      <c r="U78" s="1940">
        <f t="shared" si="42"/>
        <v>0</v>
      </c>
      <c r="V78" s="1997"/>
      <c r="W78" s="1997"/>
      <c r="X78" s="1997"/>
      <c r="Y78" s="1997"/>
      <c r="Z78" s="1997"/>
      <c r="AA78" s="1997"/>
      <c r="AB78" s="1997"/>
      <c r="AC78" s="1997"/>
      <c r="AD78" s="1997"/>
      <c r="AE78" s="1997"/>
      <c r="AF78" s="1997"/>
      <c r="AG78" s="1997"/>
      <c r="AH78" s="1997"/>
      <c r="AI78" s="1997"/>
      <c r="AJ78" s="1997"/>
      <c r="AK78" s="1997"/>
      <c r="AL78" s="1997"/>
      <c r="AM78" s="1997"/>
      <c r="AN78" s="1997"/>
      <c r="AO78" s="1997"/>
      <c r="AP78" s="1997"/>
      <c r="AQ78" s="1997"/>
      <c r="AR78" s="1997"/>
      <c r="AS78" s="1997"/>
      <c r="AT78" s="1997"/>
      <c r="AU78" s="1997"/>
      <c r="AV78" s="1997"/>
      <c r="AW78" s="1997"/>
      <c r="AX78" s="1997"/>
      <c r="AY78" s="1997"/>
      <c r="AZ78" s="1997"/>
      <c r="BA78" s="1997"/>
      <c r="BB78" s="1997"/>
      <c r="BC78" s="1997"/>
      <c r="BD78" s="1997"/>
      <c r="BE78" s="1997"/>
      <c r="BF78" s="1997"/>
      <c r="BG78" s="1997"/>
      <c r="BH78" s="1997"/>
      <c r="BI78" s="1997"/>
      <c r="BJ78" s="1997"/>
      <c r="BK78" s="1997"/>
      <c r="BL78" s="1997"/>
      <c r="BM78" s="1997"/>
      <c r="BN78" s="1997"/>
      <c r="BO78" s="1997"/>
      <c r="BP78" s="1997"/>
      <c r="BQ78" s="1997"/>
      <c r="BR78" s="1997"/>
      <c r="BS78" s="1997"/>
      <c r="BT78" s="1997"/>
      <c r="BU78" s="1997"/>
      <c r="BV78" s="1997"/>
      <c r="BW78" s="1997"/>
      <c r="BX78" s="1997"/>
      <c r="BY78" s="1997"/>
      <c r="BZ78" s="1997"/>
      <c r="CA78" s="1997"/>
      <c r="CB78" s="1997"/>
      <c r="CC78" s="1997"/>
      <c r="CD78" s="1997"/>
      <c r="CE78" s="1997"/>
      <c r="CF78" s="1997"/>
      <c r="CG78" s="1997"/>
      <c r="CH78" s="1997"/>
      <c r="CI78" s="1997"/>
      <c r="CJ78" s="1997"/>
      <c r="CK78" s="1997"/>
      <c r="CL78" s="1997"/>
      <c r="CM78" s="1997"/>
      <c r="CN78" s="1997"/>
      <c r="CO78" s="1997"/>
      <c r="CP78" s="1997"/>
      <c r="CQ78" s="1997"/>
      <c r="CR78" s="1997"/>
      <c r="CS78" s="1997"/>
      <c r="CT78" s="1997"/>
      <c r="CU78" s="1997"/>
      <c r="CV78" s="1997"/>
      <c r="CW78" s="1997"/>
      <c r="CX78" s="1997"/>
      <c r="CY78" s="1997"/>
      <c r="CZ78" s="1997"/>
      <c r="DA78" s="1997"/>
      <c r="DB78" s="1997"/>
      <c r="DC78" s="1997"/>
      <c r="DD78" s="1997"/>
      <c r="DE78" s="1997"/>
      <c r="DF78" s="1997"/>
      <c r="DG78" s="1997"/>
      <c r="DH78" s="1997"/>
      <c r="DI78" s="1997"/>
      <c r="DJ78" s="1997"/>
      <c r="DK78" s="1997"/>
      <c r="DL78" s="1997"/>
      <c r="DM78" s="1997"/>
      <c r="DN78" s="1997"/>
      <c r="DO78" s="1997"/>
      <c r="DP78" s="1997"/>
      <c r="DQ78" s="1997"/>
      <c r="DR78" s="1997"/>
      <c r="DS78" s="1997"/>
      <c r="DT78" s="1997"/>
      <c r="DU78" s="1997"/>
      <c r="DV78" s="1997"/>
      <c r="DW78" s="1997"/>
      <c r="DX78" s="1997"/>
      <c r="DY78" s="1997"/>
      <c r="DZ78" s="1997"/>
      <c r="EA78" s="1997"/>
      <c r="EB78" s="1997"/>
      <c r="EC78" s="1997"/>
      <c r="ED78" s="1997"/>
      <c r="EE78" s="1997"/>
      <c r="EF78" s="1997"/>
      <c r="EG78" s="1997"/>
      <c r="EH78" s="1997"/>
      <c r="EI78" s="1997"/>
      <c r="EJ78" s="1997"/>
      <c r="EK78" s="1997"/>
      <c r="EL78" s="1997"/>
      <c r="EM78" s="1997"/>
      <c r="EN78" s="1997"/>
      <c r="EO78" s="1997"/>
      <c r="EP78" s="1997"/>
      <c r="EQ78" s="1997"/>
      <c r="ER78" s="1997"/>
      <c r="ES78" s="1997"/>
      <c r="ET78" s="1997"/>
      <c r="EU78" s="1997"/>
      <c r="EV78" s="1997"/>
      <c r="EW78" s="1997"/>
      <c r="EX78" s="1997"/>
      <c r="EY78" s="1997"/>
      <c r="EZ78" s="1997"/>
      <c r="FA78" s="1997"/>
      <c r="FB78" s="1997"/>
      <c r="FC78" s="1997"/>
      <c r="FD78" s="1997"/>
      <c r="FE78" s="1997"/>
      <c r="FF78" s="1997"/>
      <c r="FG78" s="1997"/>
      <c r="FH78" s="1997"/>
      <c r="FI78" s="1997"/>
      <c r="FJ78" s="1997"/>
      <c r="FK78" s="1997"/>
      <c r="FL78" s="1997"/>
      <c r="FM78" s="1997"/>
      <c r="FN78" s="1997"/>
      <c r="FO78" s="1997"/>
      <c r="FP78" s="1997"/>
      <c r="FQ78" s="1997"/>
      <c r="FR78" s="1997"/>
      <c r="FS78" s="1997"/>
      <c r="FT78" s="1997"/>
      <c r="FU78" s="1997"/>
      <c r="FV78" s="1997"/>
      <c r="FW78" s="1997"/>
      <c r="FX78" s="1997"/>
      <c r="FY78" s="1997"/>
      <c r="FZ78" s="1997"/>
      <c r="GA78" s="1997"/>
      <c r="GB78" s="1997"/>
      <c r="GC78" s="1997"/>
      <c r="GD78" s="1997"/>
      <c r="GE78" s="1997"/>
      <c r="GF78" s="1997"/>
      <c r="GG78" s="1997"/>
      <c r="GH78" s="1997"/>
      <c r="GI78" s="1997"/>
      <c r="GJ78" s="1997"/>
      <c r="GK78" s="1997"/>
      <c r="GL78" s="1997"/>
      <c r="GM78" s="1997"/>
      <c r="GN78" s="1997"/>
      <c r="GO78" s="1997"/>
      <c r="GP78" s="1997"/>
      <c r="GQ78" s="1997"/>
      <c r="GR78" s="1997"/>
      <c r="GS78" s="1997"/>
      <c r="GT78" s="1997"/>
      <c r="GU78" s="1997"/>
      <c r="GV78" s="1997"/>
      <c r="GW78" s="1997"/>
      <c r="GX78" s="1997"/>
      <c r="GY78" s="1997"/>
      <c r="GZ78" s="1997"/>
      <c r="HA78" s="1997"/>
      <c r="HB78" s="1997"/>
      <c r="HC78" s="1997"/>
      <c r="HD78" s="1997"/>
      <c r="HE78" s="1997"/>
      <c r="HF78" s="1997"/>
      <c r="HG78" s="1997"/>
      <c r="HH78" s="1997"/>
      <c r="HI78" s="1997"/>
      <c r="HJ78" s="1997"/>
      <c r="HK78" s="1997"/>
      <c r="HL78" s="1997"/>
      <c r="HM78" s="1997"/>
      <c r="HN78" s="1997"/>
      <c r="HO78" s="1997"/>
      <c r="HP78" s="1997"/>
      <c r="HQ78" s="1997"/>
      <c r="HR78" s="1997"/>
      <c r="HS78" s="1997"/>
      <c r="HT78" s="1997"/>
      <c r="HU78" s="1997"/>
      <c r="HV78" s="1997"/>
      <c r="HW78" s="1997"/>
      <c r="HX78" s="1997"/>
      <c r="HY78" s="1997"/>
      <c r="HZ78" s="1997"/>
      <c r="IA78" s="1997"/>
      <c r="IB78" s="1997"/>
      <c r="IC78" s="1997"/>
      <c r="ID78" s="1997"/>
      <c r="IE78" s="1997"/>
      <c r="IF78" s="1997"/>
      <c r="IG78" s="1997"/>
      <c r="IH78" s="1997"/>
      <c r="II78" s="1997"/>
      <c r="IJ78" s="1997"/>
      <c r="IK78" s="1997"/>
      <c r="IL78" s="1997"/>
      <c r="IM78" s="1997"/>
      <c r="IN78" s="1997"/>
      <c r="IO78" s="1997"/>
      <c r="IP78" s="1997"/>
      <c r="IQ78" s="1997"/>
    </row>
    <row r="79" spans="1:251" hidden="1">
      <c r="A79" s="1993"/>
      <c r="B79" s="1998"/>
      <c r="C79" s="1998"/>
      <c r="D79" s="2034"/>
      <c r="E79" s="1998"/>
      <c r="F79" s="1940">
        <f t="shared" si="32"/>
        <v>0</v>
      </c>
      <c r="G79" s="1993"/>
      <c r="H79" s="1940">
        <f t="shared" si="33"/>
        <v>0</v>
      </c>
      <c r="I79" s="1993"/>
      <c r="J79" s="1940">
        <f t="shared" si="34"/>
        <v>0</v>
      </c>
      <c r="K79" s="1993"/>
      <c r="L79" s="1940">
        <f t="shared" si="35"/>
        <v>0</v>
      </c>
      <c r="M79" s="1940">
        <f t="shared" si="36"/>
        <v>0</v>
      </c>
      <c r="N79" s="1940">
        <f t="shared" si="37"/>
        <v>0</v>
      </c>
      <c r="O79" s="1993"/>
      <c r="P79" s="1993"/>
      <c r="Q79" s="1940">
        <f t="shared" si="38"/>
        <v>0</v>
      </c>
      <c r="R79" s="1940">
        <f t="shared" si="39"/>
        <v>0</v>
      </c>
      <c r="S79" s="1940">
        <f t="shared" si="40"/>
        <v>0</v>
      </c>
      <c r="T79" s="1940">
        <f t="shared" si="41"/>
        <v>0</v>
      </c>
      <c r="U79" s="1940">
        <f t="shared" si="42"/>
        <v>0</v>
      </c>
      <c r="V79" s="1997"/>
      <c r="W79" s="1997"/>
      <c r="X79" s="1997"/>
      <c r="Y79" s="1997"/>
      <c r="Z79" s="1997"/>
      <c r="AA79" s="1997"/>
      <c r="AB79" s="1997"/>
      <c r="AC79" s="1997"/>
      <c r="AD79" s="1997"/>
      <c r="AE79" s="1997"/>
      <c r="AF79" s="1997"/>
      <c r="AG79" s="1997"/>
      <c r="AH79" s="1997"/>
      <c r="AI79" s="1997"/>
      <c r="AJ79" s="1997"/>
      <c r="AK79" s="1997"/>
      <c r="AL79" s="1997"/>
      <c r="AM79" s="1997"/>
      <c r="AN79" s="1997"/>
      <c r="AO79" s="1997"/>
      <c r="AP79" s="1997"/>
      <c r="AQ79" s="1997"/>
      <c r="AR79" s="1997"/>
      <c r="AS79" s="1997"/>
      <c r="AT79" s="1997"/>
      <c r="AU79" s="1997"/>
      <c r="AV79" s="1997"/>
      <c r="AW79" s="1997"/>
      <c r="AX79" s="1997"/>
      <c r="AY79" s="1997"/>
      <c r="AZ79" s="1997"/>
      <c r="BA79" s="1997"/>
      <c r="BB79" s="1997"/>
      <c r="BC79" s="1997"/>
      <c r="BD79" s="1997"/>
      <c r="BE79" s="1997"/>
      <c r="BF79" s="1997"/>
      <c r="BG79" s="1997"/>
      <c r="BH79" s="1997"/>
      <c r="BI79" s="1997"/>
      <c r="BJ79" s="1997"/>
      <c r="BK79" s="1997"/>
      <c r="BL79" s="1997"/>
      <c r="BM79" s="1997"/>
      <c r="BN79" s="1997"/>
      <c r="BO79" s="1997"/>
      <c r="BP79" s="1997"/>
      <c r="BQ79" s="1997"/>
      <c r="BR79" s="1997"/>
      <c r="BS79" s="1997"/>
      <c r="BT79" s="1997"/>
      <c r="BU79" s="1997"/>
      <c r="BV79" s="1997"/>
      <c r="BW79" s="1997"/>
      <c r="BX79" s="1997"/>
      <c r="BY79" s="1997"/>
      <c r="BZ79" s="1997"/>
      <c r="CA79" s="1997"/>
      <c r="CB79" s="1997"/>
      <c r="CC79" s="1997"/>
      <c r="CD79" s="1997"/>
      <c r="CE79" s="1997"/>
      <c r="CF79" s="1997"/>
      <c r="CG79" s="1997"/>
      <c r="CH79" s="1997"/>
      <c r="CI79" s="1997"/>
      <c r="CJ79" s="1997"/>
      <c r="CK79" s="1997"/>
      <c r="CL79" s="1997"/>
      <c r="CM79" s="1997"/>
      <c r="CN79" s="1997"/>
      <c r="CO79" s="1997"/>
      <c r="CP79" s="1997"/>
      <c r="CQ79" s="1997"/>
      <c r="CR79" s="1997"/>
      <c r="CS79" s="1997"/>
      <c r="CT79" s="1997"/>
      <c r="CU79" s="1997"/>
      <c r="CV79" s="1997"/>
      <c r="CW79" s="1997"/>
      <c r="CX79" s="1997"/>
      <c r="CY79" s="1997"/>
      <c r="CZ79" s="1997"/>
      <c r="DA79" s="1997"/>
      <c r="DB79" s="1997"/>
      <c r="DC79" s="1997"/>
      <c r="DD79" s="1997"/>
      <c r="DE79" s="1997"/>
      <c r="DF79" s="1997"/>
      <c r="DG79" s="1997"/>
      <c r="DH79" s="1997"/>
      <c r="DI79" s="1997"/>
      <c r="DJ79" s="1997"/>
      <c r="DK79" s="1997"/>
      <c r="DL79" s="1997"/>
      <c r="DM79" s="1997"/>
      <c r="DN79" s="1997"/>
      <c r="DO79" s="1997"/>
      <c r="DP79" s="1997"/>
      <c r="DQ79" s="1997"/>
      <c r="DR79" s="1997"/>
      <c r="DS79" s="1997"/>
      <c r="DT79" s="1997"/>
      <c r="DU79" s="1997"/>
      <c r="DV79" s="1997"/>
      <c r="DW79" s="1997"/>
      <c r="DX79" s="1997"/>
      <c r="DY79" s="1997"/>
      <c r="DZ79" s="1997"/>
      <c r="EA79" s="1997"/>
      <c r="EB79" s="1997"/>
      <c r="EC79" s="1997"/>
      <c r="ED79" s="1997"/>
      <c r="EE79" s="1997"/>
      <c r="EF79" s="1997"/>
      <c r="EG79" s="1997"/>
      <c r="EH79" s="1997"/>
      <c r="EI79" s="1997"/>
      <c r="EJ79" s="1997"/>
      <c r="EK79" s="1997"/>
      <c r="EL79" s="1997"/>
      <c r="EM79" s="1997"/>
      <c r="EN79" s="1997"/>
      <c r="EO79" s="1997"/>
      <c r="EP79" s="1997"/>
      <c r="EQ79" s="1997"/>
      <c r="ER79" s="1997"/>
      <c r="ES79" s="1997"/>
      <c r="ET79" s="1997"/>
      <c r="EU79" s="1997"/>
      <c r="EV79" s="1997"/>
      <c r="EW79" s="1997"/>
      <c r="EX79" s="1997"/>
      <c r="EY79" s="1997"/>
      <c r="EZ79" s="1997"/>
      <c r="FA79" s="1997"/>
      <c r="FB79" s="1997"/>
      <c r="FC79" s="1997"/>
      <c r="FD79" s="1997"/>
      <c r="FE79" s="1997"/>
      <c r="FF79" s="1997"/>
      <c r="FG79" s="1997"/>
      <c r="FH79" s="1997"/>
      <c r="FI79" s="1997"/>
      <c r="FJ79" s="1997"/>
      <c r="FK79" s="1997"/>
      <c r="FL79" s="1997"/>
      <c r="FM79" s="1997"/>
      <c r="FN79" s="1997"/>
      <c r="FO79" s="1997"/>
      <c r="FP79" s="1997"/>
      <c r="FQ79" s="1997"/>
      <c r="FR79" s="1997"/>
      <c r="FS79" s="1997"/>
      <c r="FT79" s="1997"/>
      <c r="FU79" s="1997"/>
      <c r="FV79" s="1997"/>
      <c r="FW79" s="1997"/>
      <c r="FX79" s="1997"/>
      <c r="FY79" s="1997"/>
      <c r="FZ79" s="1997"/>
      <c r="GA79" s="1997"/>
      <c r="GB79" s="1997"/>
      <c r="GC79" s="1997"/>
      <c r="GD79" s="1997"/>
      <c r="GE79" s="1997"/>
      <c r="GF79" s="1997"/>
      <c r="GG79" s="1997"/>
      <c r="GH79" s="1997"/>
      <c r="GI79" s="1997"/>
      <c r="GJ79" s="1997"/>
      <c r="GK79" s="1997"/>
      <c r="GL79" s="1997"/>
      <c r="GM79" s="1997"/>
      <c r="GN79" s="1997"/>
      <c r="GO79" s="1997"/>
      <c r="GP79" s="1997"/>
      <c r="GQ79" s="1997"/>
      <c r="GR79" s="1997"/>
      <c r="GS79" s="1997"/>
      <c r="GT79" s="1997"/>
      <c r="GU79" s="1997"/>
      <c r="GV79" s="1997"/>
      <c r="GW79" s="1997"/>
      <c r="GX79" s="1997"/>
      <c r="GY79" s="1997"/>
      <c r="GZ79" s="1997"/>
      <c r="HA79" s="1997"/>
      <c r="HB79" s="1997"/>
      <c r="HC79" s="1997"/>
      <c r="HD79" s="1997"/>
      <c r="HE79" s="1997"/>
      <c r="HF79" s="1997"/>
      <c r="HG79" s="1997"/>
      <c r="HH79" s="1997"/>
      <c r="HI79" s="1997"/>
      <c r="HJ79" s="1997"/>
      <c r="HK79" s="1997"/>
      <c r="HL79" s="1997"/>
      <c r="HM79" s="1997"/>
      <c r="HN79" s="1997"/>
      <c r="HO79" s="1997"/>
      <c r="HP79" s="1997"/>
      <c r="HQ79" s="1997"/>
      <c r="HR79" s="1997"/>
      <c r="HS79" s="1997"/>
      <c r="HT79" s="1997"/>
      <c r="HU79" s="1997"/>
      <c r="HV79" s="1997"/>
      <c r="HW79" s="1997"/>
      <c r="HX79" s="1997"/>
      <c r="HY79" s="1997"/>
      <c r="HZ79" s="1997"/>
      <c r="IA79" s="1997"/>
      <c r="IB79" s="1997"/>
      <c r="IC79" s="1997"/>
      <c r="ID79" s="1997"/>
      <c r="IE79" s="1997"/>
      <c r="IF79" s="1997"/>
      <c r="IG79" s="1997"/>
      <c r="IH79" s="1997"/>
      <c r="II79" s="1997"/>
      <c r="IJ79" s="1997"/>
      <c r="IK79" s="1997"/>
      <c r="IL79" s="1997"/>
      <c r="IM79" s="1997"/>
      <c r="IN79" s="1997"/>
      <c r="IO79" s="1997"/>
      <c r="IP79" s="1997"/>
      <c r="IQ79" s="1997"/>
    </row>
    <row r="80" spans="1:251" hidden="1">
      <c r="A80" s="1993"/>
      <c r="B80" s="1998"/>
      <c r="C80" s="1998"/>
      <c r="D80" s="2034"/>
      <c r="E80" s="1998"/>
      <c r="F80" s="1940">
        <f t="shared" si="32"/>
        <v>0</v>
      </c>
      <c r="G80" s="1993"/>
      <c r="H80" s="1940">
        <f t="shared" si="33"/>
        <v>0</v>
      </c>
      <c r="I80" s="1993"/>
      <c r="J80" s="1940">
        <f t="shared" si="34"/>
        <v>0</v>
      </c>
      <c r="K80" s="1993"/>
      <c r="L80" s="1940">
        <f t="shared" si="35"/>
        <v>0</v>
      </c>
      <c r="M80" s="1940">
        <f t="shared" si="36"/>
        <v>0</v>
      </c>
      <c r="N80" s="1940">
        <f t="shared" si="37"/>
        <v>0</v>
      </c>
      <c r="O80" s="1993"/>
      <c r="P80" s="1993"/>
      <c r="Q80" s="1940">
        <f t="shared" si="38"/>
        <v>0</v>
      </c>
      <c r="R80" s="1940">
        <f t="shared" si="39"/>
        <v>0</v>
      </c>
      <c r="S80" s="1940">
        <f t="shared" si="40"/>
        <v>0</v>
      </c>
      <c r="T80" s="1940">
        <f t="shared" si="41"/>
        <v>0</v>
      </c>
      <c r="U80" s="1940">
        <f t="shared" si="42"/>
        <v>0</v>
      </c>
      <c r="V80" s="1997"/>
      <c r="W80" s="1997"/>
      <c r="X80" s="1997"/>
      <c r="Y80" s="1997"/>
      <c r="Z80" s="1997"/>
      <c r="AA80" s="1997"/>
      <c r="AB80" s="1997"/>
      <c r="AC80" s="1997"/>
      <c r="AD80" s="1997"/>
      <c r="AE80" s="1997"/>
      <c r="AF80" s="1997"/>
      <c r="AG80" s="1997"/>
      <c r="AH80" s="1997"/>
      <c r="AI80" s="1997"/>
      <c r="AJ80" s="1997"/>
      <c r="AK80" s="1997"/>
      <c r="AL80" s="1997"/>
      <c r="AM80" s="1997"/>
      <c r="AN80" s="1997"/>
      <c r="AO80" s="1997"/>
      <c r="AP80" s="1997"/>
      <c r="AQ80" s="1997"/>
      <c r="AR80" s="1997"/>
      <c r="AS80" s="1997"/>
      <c r="AT80" s="1997"/>
      <c r="AU80" s="1997"/>
      <c r="AV80" s="1997"/>
      <c r="AW80" s="1997"/>
      <c r="AX80" s="1997"/>
      <c r="AY80" s="1997"/>
      <c r="AZ80" s="1997"/>
      <c r="BA80" s="1997"/>
      <c r="BB80" s="1997"/>
      <c r="BC80" s="1997"/>
      <c r="BD80" s="1997"/>
      <c r="BE80" s="1997"/>
      <c r="BF80" s="1997"/>
      <c r="BG80" s="1997"/>
      <c r="BH80" s="1997"/>
      <c r="BI80" s="1997"/>
      <c r="BJ80" s="1997"/>
      <c r="BK80" s="1997"/>
      <c r="BL80" s="1997"/>
      <c r="BM80" s="1997"/>
      <c r="BN80" s="1997"/>
      <c r="BO80" s="1997"/>
      <c r="BP80" s="1997"/>
      <c r="BQ80" s="1997"/>
      <c r="BR80" s="1997"/>
      <c r="BS80" s="1997"/>
      <c r="BT80" s="1997"/>
      <c r="BU80" s="1997"/>
      <c r="BV80" s="1997"/>
      <c r="BW80" s="1997"/>
      <c r="BX80" s="1997"/>
      <c r="BY80" s="1997"/>
      <c r="BZ80" s="1997"/>
      <c r="CA80" s="1997"/>
      <c r="CB80" s="1997"/>
      <c r="CC80" s="1997"/>
      <c r="CD80" s="1997"/>
      <c r="CE80" s="1997"/>
      <c r="CF80" s="1997"/>
      <c r="CG80" s="1997"/>
      <c r="CH80" s="1997"/>
      <c r="CI80" s="1997"/>
      <c r="CJ80" s="1997"/>
      <c r="CK80" s="1997"/>
      <c r="CL80" s="1997"/>
      <c r="CM80" s="1997"/>
      <c r="CN80" s="1997"/>
      <c r="CO80" s="1997"/>
      <c r="CP80" s="1997"/>
      <c r="CQ80" s="1997"/>
      <c r="CR80" s="1997"/>
      <c r="CS80" s="1997"/>
      <c r="CT80" s="1997"/>
      <c r="CU80" s="1997"/>
      <c r="CV80" s="1997"/>
      <c r="CW80" s="1997"/>
      <c r="CX80" s="1997"/>
      <c r="CY80" s="1997"/>
      <c r="CZ80" s="1997"/>
      <c r="DA80" s="1997"/>
      <c r="DB80" s="1997"/>
      <c r="DC80" s="1997"/>
      <c r="DD80" s="1997"/>
      <c r="DE80" s="1997"/>
      <c r="DF80" s="1997"/>
      <c r="DG80" s="1997"/>
      <c r="DH80" s="1997"/>
      <c r="DI80" s="1997"/>
      <c r="DJ80" s="1997"/>
      <c r="DK80" s="1997"/>
      <c r="DL80" s="1997"/>
      <c r="DM80" s="1997"/>
      <c r="DN80" s="1997"/>
      <c r="DO80" s="1997"/>
      <c r="DP80" s="1997"/>
      <c r="DQ80" s="1997"/>
      <c r="DR80" s="1997"/>
      <c r="DS80" s="1997"/>
      <c r="DT80" s="1997"/>
      <c r="DU80" s="1997"/>
      <c r="DV80" s="1997"/>
      <c r="DW80" s="1997"/>
      <c r="DX80" s="1997"/>
      <c r="DY80" s="1997"/>
      <c r="DZ80" s="1997"/>
      <c r="EA80" s="1997"/>
      <c r="EB80" s="1997"/>
      <c r="EC80" s="1997"/>
      <c r="ED80" s="1997"/>
      <c r="EE80" s="1997"/>
      <c r="EF80" s="1997"/>
      <c r="EG80" s="1997"/>
      <c r="EH80" s="1997"/>
      <c r="EI80" s="1997"/>
      <c r="EJ80" s="1997"/>
      <c r="EK80" s="1997"/>
      <c r="EL80" s="1997"/>
      <c r="EM80" s="1997"/>
      <c r="EN80" s="1997"/>
      <c r="EO80" s="1997"/>
      <c r="EP80" s="1997"/>
      <c r="EQ80" s="1997"/>
      <c r="ER80" s="1997"/>
      <c r="ES80" s="1997"/>
      <c r="ET80" s="1997"/>
      <c r="EU80" s="1997"/>
      <c r="EV80" s="1997"/>
      <c r="EW80" s="1997"/>
      <c r="EX80" s="1997"/>
      <c r="EY80" s="1997"/>
      <c r="EZ80" s="1997"/>
      <c r="FA80" s="1997"/>
      <c r="FB80" s="1997"/>
      <c r="FC80" s="1997"/>
      <c r="FD80" s="1997"/>
      <c r="FE80" s="1997"/>
      <c r="FF80" s="1997"/>
      <c r="FG80" s="1997"/>
      <c r="FH80" s="1997"/>
      <c r="FI80" s="1997"/>
      <c r="FJ80" s="1997"/>
      <c r="FK80" s="1997"/>
      <c r="FL80" s="1997"/>
      <c r="FM80" s="1997"/>
      <c r="FN80" s="1997"/>
      <c r="FO80" s="1997"/>
      <c r="FP80" s="1997"/>
      <c r="FQ80" s="1997"/>
      <c r="FR80" s="1997"/>
      <c r="FS80" s="1997"/>
      <c r="FT80" s="1997"/>
      <c r="FU80" s="1997"/>
      <c r="FV80" s="1997"/>
      <c r="FW80" s="1997"/>
      <c r="FX80" s="1997"/>
      <c r="FY80" s="1997"/>
      <c r="FZ80" s="1997"/>
      <c r="GA80" s="1997"/>
      <c r="GB80" s="1997"/>
      <c r="GC80" s="1997"/>
      <c r="GD80" s="1997"/>
      <c r="GE80" s="1997"/>
      <c r="GF80" s="1997"/>
      <c r="GG80" s="1997"/>
      <c r="GH80" s="1997"/>
      <c r="GI80" s="1997"/>
      <c r="GJ80" s="1997"/>
      <c r="GK80" s="1997"/>
      <c r="GL80" s="1997"/>
      <c r="GM80" s="1997"/>
      <c r="GN80" s="1997"/>
      <c r="GO80" s="1997"/>
      <c r="GP80" s="1997"/>
      <c r="GQ80" s="1997"/>
      <c r="GR80" s="1997"/>
      <c r="GS80" s="1997"/>
      <c r="GT80" s="1997"/>
      <c r="GU80" s="1997"/>
      <c r="GV80" s="1997"/>
      <c r="GW80" s="1997"/>
      <c r="GX80" s="1997"/>
      <c r="GY80" s="1997"/>
      <c r="GZ80" s="1997"/>
      <c r="HA80" s="1997"/>
      <c r="HB80" s="1997"/>
      <c r="HC80" s="1997"/>
      <c r="HD80" s="1997"/>
      <c r="HE80" s="1997"/>
      <c r="HF80" s="1997"/>
      <c r="HG80" s="1997"/>
      <c r="HH80" s="1997"/>
      <c r="HI80" s="1997"/>
      <c r="HJ80" s="1997"/>
      <c r="HK80" s="1997"/>
      <c r="HL80" s="1997"/>
      <c r="HM80" s="1997"/>
      <c r="HN80" s="1997"/>
      <c r="HO80" s="1997"/>
      <c r="HP80" s="1997"/>
      <c r="HQ80" s="1997"/>
      <c r="HR80" s="1997"/>
      <c r="HS80" s="1997"/>
      <c r="HT80" s="1997"/>
      <c r="HU80" s="1997"/>
      <c r="HV80" s="1997"/>
      <c r="HW80" s="1997"/>
      <c r="HX80" s="1997"/>
      <c r="HY80" s="1997"/>
      <c r="HZ80" s="1997"/>
      <c r="IA80" s="1997"/>
      <c r="IB80" s="1997"/>
      <c r="IC80" s="1997"/>
      <c r="ID80" s="1997"/>
      <c r="IE80" s="1997"/>
      <c r="IF80" s="1997"/>
      <c r="IG80" s="1997"/>
      <c r="IH80" s="1997"/>
      <c r="II80" s="1997"/>
      <c r="IJ80" s="1997"/>
      <c r="IK80" s="1997"/>
      <c r="IL80" s="1997"/>
      <c r="IM80" s="1997"/>
      <c r="IN80" s="1997"/>
      <c r="IO80" s="1997"/>
      <c r="IP80" s="1997"/>
      <c r="IQ80" s="1997"/>
    </row>
    <row r="81" spans="1:251" hidden="1">
      <c r="A81" s="1993"/>
      <c r="B81" s="1998"/>
      <c r="C81" s="1998"/>
      <c r="D81" s="2034"/>
      <c r="E81" s="1998"/>
      <c r="F81" s="1940">
        <f t="shared" si="32"/>
        <v>0</v>
      </c>
      <c r="G81" s="1993"/>
      <c r="H81" s="1940">
        <f t="shared" si="33"/>
        <v>0</v>
      </c>
      <c r="I81" s="1993"/>
      <c r="J81" s="1940">
        <f t="shared" si="34"/>
        <v>0</v>
      </c>
      <c r="K81" s="1993"/>
      <c r="L81" s="1940">
        <f t="shared" si="35"/>
        <v>0</v>
      </c>
      <c r="M81" s="1940">
        <f t="shared" si="36"/>
        <v>0</v>
      </c>
      <c r="N81" s="1940">
        <f t="shared" si="37"/>
        <v>0</v>
      </c>
      <c r="O81" s="1993"/>
      <c r="P81" s="1993"/>
      <c r="Q81" s="1940">
        <f t="shared" si="38"/>
        <v>0</v>
      </c>
      <c r="R81" s="1940">
        <f t="shared" si="39"/>
        <v>0</v>
      </c>
      <c r="S81" s="1940">
        <f t="shared" si="40"/>
        <v>0</v>
      </c>
      <c r="T81" s="1940">
        <f t="shared" si="41"/>
        <v>0</v>
      </c>
      <c r="U81" s="1940">
        <f t="shared" si="42"/>
        <v>0</v>
      </c>
      <c r="V81" s="1997"/>
      <c r="W81" s="1997"/>
      <c r="X81" s="1997"/>
      <c r="Y81" s="1997"/>
      <c r="Z81" s="1997"/>
      <c r="AA81" s="1997"/>
      <c r="AB81" s="1997"/>
      <c r="AC81" s="1997"/>
      <c r="AD81" s="1997"/>
      <c r="AE81" s="1997"/>
      <c r="AF81" s="1997"/>
      <c r="AG81" s="1997"/>
      <c r="AH81" s="1997"/>
      <c r="AI81" s="1997"/>
      <c r="AJ81" s="1997"/>
      <c r="AK81" s="1997"/>
      <c r="AL81" s="1997"/>
      <c r="AM81" s="1997"/>
      <c r="AN81" s="1997"/>
      <c r="AO81" s="1997"/>
      <c r="AP81" s="1997"/>
      <c r="AQ81" s="1997"/>
      <c r="AR81" s="1997"/>
      <c r="AS81" s="1997"/>
      <c r="AT81" s="1997"/>
      <c r="AU81" s="1997"/>
      <c r="AV81" s="1997"/>
      <c r="AW81" s="1997"/>
      <c r="AX81" s="1997"/>
      <c r="AY81" s="1997"/>
      <c r="AZ81" s="1997"/>
      <c r="BA81" s="1997"/>
      <c r="BB81" s="1997"/>
      <c r="BC81" s="1997"/>
      <c r="BD81" s="1997"/>
      <c r="BE81" s="1997"/>
      <c r="BF81" s="1997"/>
      <c r="BG81" s="1997"/>
      <c r="BH81" s="1997"/>
      <c r="BI81" s="1997"/>
      <c r="BJ81" s="1997"/>
      <c r="BK81" s="1997"/>
      <c r="BL81" s="1997"/>
      <c r="BM81" s="1997"/>
      <c r="BN81" s="1997"/>
      <c r="BO81" s="1997"/>
      <c r="BP81" s="1997"/>
      <c r="BQ81" s="1997"/>
      <c r="BR81" s="1997"/>
      <c r="BS81" s="1997"/>
      <c r="BT81" s="1997"/>
      <c r="BU81" s="1997"/>
      <c r="BV81" s="1997"/>
      <c r="BW81" s="1997"/>
      <c r="BX81" s="1997"/>
      <c r="BY81" s="1997"/>
      <c r="BZ81" s="1997"/>
      <c r="CA81" s="1997"/>
      <c r="CB81" s="1997"/>
      <c r="CC81" s="1997"/>
      <c r="CD81" s="1997"/>
      <c r="CE81" s="1997"/>
      <c r="CF81" s="1997"/>
      <c r="CG81" s="1997"/>
      <c r="CH81" s="1997"/>
      <c r="CI81" s="1997"/>
      <c r="CJ81" s="1997"/>
      <c r="CK81" s="1997"/>
      <c r="CL81" s="1997"/>
      <c r="CM81" s="1997"/>
      <c r="CN81" s="1997"/>
      <c r="CO81" s="1997"/>
      <c r="CP81" s="1997"/>
      <c r="CQ81" s="1997"/>
      <c r="CR81" s="1997"/>
      <c r="CS81" s="1997"/>
      <c r="CT81" s="1997"/>
      <c r="CU81" s="1997"/>
      <c r="CV81" s="1997"/>
      <c r="CW81" s="1997"/>
      <c r="CX81" s="1997"/>
      <c r="CY81" s="1997"/>
      <c r="CZ81" s="1997"/>
      <c r="DA81" s="1997"/>
      <c r="DB81" s="1997"/>
      <c r="DC81" s="1997"/>
      <c r="DD81" s="1997"/>
      <c r="DE81" s="1997"/>
      <c r="DF81" s="1997"/>
      <c r="DG81" s="1997"/>
      <c r="DH81" s="1997"/>
      <c r="DI81" s="1997"/>
      <c r="DJ81" s="1997"/>
      <c r="DK81" s="1997"/>
      <c r="DL81" s="1997"/>
      <c r="DM81" s="1997"/>
      <c r="DN81" s="1997"/>
      <c r="DO81" s="1997"/>
      <c r="DP81" s="1997"/>
      <c r="DQ81" s="1997"/>
      <c r="DR81" s="1997"/>
      <c r="DS81" s="1997"/>
      <c r="DT81" s="1997"/>
      <c r="DU81" s="1997"/>
      <c r="DV81" s="1997"/>
      <c r="DW81" s="1997"/>
      <c r="DX81" s="1997"/>
      <c r="DY81" s="1997"/>
      <c r="DZ81" s="1997"/>
      <c r="EA81" s="1997"/>
      <c r="EB81" s="1997"/>
      <c r="EC81" s="1997"/>
      <c r="ED81" s="1997"/>
      <c r="EE81" s="1997"/>
      <c r="EF81" s="1997"/>
      <c r="EG81" s="1997"/>
      <c r="EH81" s="1997"/>
      <c r="EI81" s="1997"/>
      <c r="EJ81" s="1997"/>
      <c r="EK81" s="1997"/>
      <c r="EL81" s="1997"/>
      <c r="EM81" s="1997"/>
      <c r="EN81" s="1997"/>
      <c r="EO81" s="1997"/>
      <c r="EP81" s="1997"/>
      <c r="EQ81" s="1997"/>
      <c r="ER81" s="1997"/>
      <c r="ES81" s="1997"/>
      <c r="ET81" s="1997"/>
      <c r="EU81" s="1997"/>
      <c r="EV81" s="1997"/>
      <c r="EW81" s="1997"/>
      <c r="EX81" s="1997"/>
      <c r="EY81" s="1997"/>
      <c r="EZ81" s="1997"/>
      <c r="FA81" s="1997"/>
      <c r="FB81" s="1997"/>
      <c r="FC81" s="1997"/>
      <c r="FD81" s="1997"/>
      <c r="FE81" s="1997"/>
      <c r="FF81" s="1997"/>
      <c r="FG81" s="1997"/>
      <c r="FH81" s="1997"/>
      <c r="FI81" s="1997"/>
      <c r="FJ81" s="1997"/>
      <c r="FK81" s="1997"/>
      <c r="FL81" s="1997"/>
      <c r="FM81" s="1997"/>
      <c r="FN81" s="1997"/>
      <c r="FO81" s="1997"/>
      <c r="FP81" s="1997"/>
      <c r="FQ81" s="1997"/>
      <c r="FR81" s="1997"/>
      <c r="FS81" s="1997"/>
      <c r="FT81" s="1997"/>
      <c r="FU81" s="1997"/>
      <c r="FV81" s="1997"/>
      <c r="FW81" s="1997"/>
      <c r="FX81" s="1997"/>
      <c r="FY81" s="1997"/>
      <c r="FZ81" s="1997"/>
      <c r="GA81" s="1997"/>
      <c r="GB81" s="1997"/>
      <c r="GC81" s="1997"/>
      <c r="GD81" s="1997"/>
      <c r="GE81" s="1997"/>
      <c r="GF81" s="1997"/>
      <c r="GG81" s="1997"/>
      <c r="GH81" s="1997"/>
      <c r="GI81" s="1997"/>
      <c r="GJ81" s="1997"/>
      <c r="GK81" s="1997"/>
      <c r="GL81" s="1997"/>
      <c r="GM81" s="1997"/>
      <c r="GN81" s="1997"/>
      <c r="GO81" s="1997"/>
      <c r="GP81" s="1997"/>
      <c r="GQ81" s="1997"/>
      <c r="GR81" s="1997"/>
      <c r="GS81" s="1997"/>
      <c r="GT81" s="1997"/>
      <c r="GU81" s="1997"/>
      <c r="GV81" s="1997"/>
      <c r="GW81" s="1997"/>
      <c r="GX81" s="1997"/>
      <c r="GY81" s="1997"/>
      <c r="GZ81" s="1997"/>
      <c r="HA81" s="1997"/>
      <c r="HB81" s="1997"/>
      <c r="HC81" s="1997"/>
      <c r="HD81" s="1997"/>
      <c r="HE81" s="1997"/>
      <c r="HF81" s="1997"/>
      <c r="HG81" s="1997"/>
      <c r="HH81" s="1997"/>
      <c r="HI81" s="1997"/>
      <c r="HJ81" s="1997"/>
      <c r="HK81" s="1997"/>
      <c r="HL81" s="1997"/>
      <c r="HM81" s="1997"/>
      <c r="HN81" s="1997"/>
      <c r="HO81" s="1997"/>
      <c r="HP81" s="1997"/>
      <c r="HQ81" s="1997"/>
      <c r="HR81" s="1997"/>
      <c r="HS81" s="1997"/>
      <c r="HT81" s="1997"/>
      <c r="HU81" s="1997"/>
      <c r="HV81" s="1997"/>
      <c r="HW81" s="1997"/>
      <c r="HX81" s="1997"/>
      <c r="HY81" s="1997"/>
      <c r="HZ81" s="1997"/>
      <c r="IA81" s="1997"/>
      <c r="IB81" s="1997"/>
      <c r="IC81" s="1997"/>
      <c r="ID81" s="1997"/>
      <c r="IE81" s="1997"/>
      <c r="IF81" s="1997"/>
      <c r="IG81" s="1997"/>
      <c r="IH81" s="1997"/>
      <c r="II81" s="1997"/>
      <c r="IJ81" s="1997"/>
      <c r="IK81" s="1997"/>
      <c r="IL81" s="1997"/>
      <c r="IM81" s="1997"/>
      <c r="IN81" s="1997"/>
      <c r="IO81" s="1997"/>
      <c r="IP81" s="1997"/>
      <c r="IQ81" s="1997"/>
    </row>
    <row r="82" spans="1:251" hidden="1">
      <c r="A82" s="1993"/>
      <c r="B82" s="1998"/>
      <c r="C82" s="1998"/>
      <c r="D82" s="2034"/>
      <c r="E82" s="1998"/>
      <c r="F82" s="1940">
        <f t="shared" si="32"/>
        <v>0</v>
      </c>
      <c r="G82" s="1993"/>
      <c r="H82" s="1940">
        <f t="shared" si="33"/>
        <v>0</v>
      </c>
      <c r="I82" s="1993"/>
      <c r="J82" s="1940">
        <f t="shared" si="34"/>
        <v>0</v>
      </c>
      <c r="K82" s="1993"/>
      <c r="L82" s="1940">
        <f t="shared" si="35"/>
        <v>0</v>
      </c>
      <c r="M82" s="1940">
        <f t="shared" si="36"/>
        <v>0</v>
      </c>
      <c r="N82" s="1940">
        <f t="shared" si="37"/>
        <v>0</v>
      </c>
      <c r="O82" s="1993"/>
      <c r="P82" s="1993"/>
      <c r="Q82" s="1940">
        <f t="shared" si="38"/>
        <v>0</v>
      </c>
      <c r="R82" s="1940">
        <f t="shared" si="39"/>
        <v>0</v>
      </c>
      <c r="S82" s="1940">
        <f t="shared" si="40"/>
        <v>0</v>
      </c>
      <c r="T82" s="1940">
        <f t="shared" si="41"/>
        <v>0</v>
      </c>
      <c r="U82" s="1940">
        <f t="shared" si="42"/>
        <v>0</v>
      </c>
      <c r="V82" s="1997"/>
      <c r="W82" s="1997"/>
      <c r="X82" s="1997"/>
      <c r="Y82" s="1997"/>
      <c r="Z82" s="1997"/>
      <c r="AA82" s="1997"/>
      <c r="AB82" s="1997"/>
      <c r="AC82" s="1997"/>
      <c r="AD82" s="1997"/>
      <c r="AE82" s="1997"/>
      <c r="AF82" s="1997"/>
      <c r="AG82" s="1997"/>
      <c r="AH82" s="1997"/>
      <c r="AI82" s="1997"/>
      <c r="AJ82" s="1997"/>
      <c r="AK82" s="1997"/>
      <c r="AL82" s="1997"/>
      <c r="AM82" s="1997"/>
      <c r="AN82" s="1997"/>
      <c r="AO82" s="1997"/>
      <c r="AP82" s="1997"/>
      <c r="AQ82" s="1997"/>
      <c r="AR82" s="1997"/>
      <c r="AS82" s="1997"/>
      <c r="AT82" s="1997"/>
      <c r="AU82" s="1997"/>
      <c r="AV82" s="1997"/>
      <c r="AW82" s="1997"/>
      <c r="AX82" s="1997"/>
      <c r="AY82" s="1997"/>
      <c r="AZ82" s="1997"/>
      <c r="BA82" s="1997"/>
      <c r="BB82" s="1997"/>
      <c r="BC82" s="1997"/>
      <c r="BD82" s="1997"/>
      <c r="BE82" s="1997"/>
      <c r="BF82" s="1997"/>
      <c r="BG82" s="1997"/>
      <c r="BH82" s="1997"/>
      <c r="BI82" s="1997"/>
      <c r="BJ82" s="1997"/>
      <c r="BK82" s="1997"/>
      <c r="BL82" s="1997"/>
      <c r="BM82" s="1997"/>
      <c r="BN82" s="1997"/>
      <c r="BO82" s="1997"/>
      <c r="BP82" s="1997"/>
      <c r="BQ82" s="1997"/>
      <c r="BR82" s="1997"/>
      <c r="BS82" s="1997"/>
      <c r="BT82" s="1997"/>
      <c r="BU82" s="1997"/>
      <c r="BV82" s="1997"/>
      <c r="BW82" s="1997"/>
      <c r="BX82" s="1997"/>
      <c r="BY82" s="1997"/>
      <c r="BZ82" s="1997"/>
      <c r="CA82" s="1997"/>
      <c r="CB82" s="1997"/>
      <c r="CC82" s="1997"/>
      <c r="CD82" s="1997"/>
      <c r="CE82" s="1997"/>
      <c r="CF82" s="1997"/>
      <c r="CG82" s="1997"/>
      <c r="CH82" s="1997"/>
      <c r="CI82" s="1997"/>
      <c r="CJ82" s="1997"/>
      <c r="CK82" s="1997"/>
      <c r="CL82" s="1997"/>
      <c r="CM82" s="1997"/>
      <c r="CN82" s="1997"/>
      <c r="CO82" s="1997"/>
      <c r="CP82" s="1997"/>
      <c r="CQ82" s="1997"/>
      <c r="CR82" s="1997"/>
      <c r="CS82" s="1997"/>
      <c r="CT82" s="1997"/>
      <c r="CU82" s="1997"/>
      <c r="CV82" s="1997"/>
      <c r="CW82" s="1997"/>
      <c r="CX82" s="1997"/>
      <c r="CY82" s="1997"/>
      <c r="CZ82" s="1997"/>
      <c r="DA82" s="1997"/>
      <c r="DB82" s="1997"/>
      <c r="DC82" s="1997"/>
      <c r="DD82" s="1997"/>
      <c r="DE82" s="1997"/>
      <c r="DF82" s="1997"/>
      <c r="DG82" s="1997"/>
      <c r="DH82" s="1997"/>
      <c r="DI82" s="1997"/>
      <c r="DJ82" s="1997"/>
      <c r="DK82" s="1997"/>
      <c r="DL82" s="1997"/>
      <c r="DM82" s="1997"/>
      <c r="DN82" s="1997"/>
      <c r="DO82" s="1997"/>
      <c r="DP82" s="1997"/>
      <c r="DQ82" s="1997"/>
      <c r="DR82" s="1997"/>
      <c r="DS82" s="1997"/>
      <c r="DT82" s="1997"/>
      <c r="DU82" s="1997"/>
      <c r="DV82" s="1997"/>
      <c r="DW82" s="1997"/>
      <c r="DX82" s="1997"/>
      <c r="DY82" s="1997"/>
      <c r="DZ82" s="1997"/>
      <c r="EA82" s="1997"/>
      <c r="EB82" s="1997"/>
      <c r="EC82" s="1997"/>
      <c r="ED82" s="1997"/>
      <c r="EE82" s="1997"/>
      <c r="EF82" s="1997"/>
      <c r="EG82" s="1997"/>
      <c r="EH82" s="1997"/>
      <c r="EI82" s="1997"/>
      <c r="EJ82" s="1997"/>
      <c r="EK82" s="1997"/>
      <c r="EL82" s="1997"/>
      <c r="EM82" s="1997"/>
      <c r="EN82" s="1997"/>
      <c r="EO82" s="1997"/>
      <c r="EP82" s="1997"/>
      <c r="EQ82" s="1997"/>
      <c r="ER82" s="1997"/>
      <c r="ES82" s="1997"/>
      <c r="ET82" s="1997"/>
      <c r="EU82" s="1997"/>
      <c r="EV82" s="1997"/>
      <c r="EW82" s="1997"/>
      <c r="EX82" s="1997"/>
      <c r="EY82" s="1997"/>
      <c r="EZ82" s="1997"/>
      <c r="FA82" s="1997"/>
      <c r="FB82" s="1997"/>
      <c r="FC82" s="1997"/>
      <c r="FD82" s="1997"/>
      <c r="FE82" s="1997"/>
      <c r="FF82" s="1997"/>
      <c r="FG82" s="1997"/>
      <c r="FH82" s="1997"/>
      <c r="FI82" s="1997"/>
      <c r="FJ82" s="1997"/>
      <c r="FK82" s="1997"/>
      <c r="FL82" s="1997"/>
      <c r="FM82" s="1997"/>
      <c r="FN82" s="1997"/>
      <c r="FO82" s="1997"/>
      <c r="FP82" s="1997"/>
      <c r="FQ82" s="1997"/>
      <c r="FR82" s="1997"/>
      <c r="FS82" s="1997"/>
      <c r="FT82" s="1997"/>
      <c r="FU82" s="1997"/>
      <c r="FV82" s="1997"/>
      <c r="FW82" s="1997"/>
      <c r="FX82" s="1997"/>
      <c r="FY82" s="1997"/>
      <c r="FZ82" s="1997"/>
      <c r="GA82" s="1997"/>
      <c r="GB82" s="1997"/>
      <c r="GC82" s="1997"/>
      <c r="GD82" s="1997"/>
      <c r="GE82" s="1997"/>
      <c r="GF82" s="1997"/>
      <c r="GG82" s="1997"/>
      <c r="GH82" s="1997"/>
      <c r="GI82" s="1997"/>
      <c r="GJ82" s="1997"/>
      <c r="GK82" s="1997"/>
      <c r="GL82" s="1997"/>
      <c r="GM82" s="1997"/>
      <c r="GN82" s="1997"/>
      <c r="GO82" s="1997"/>
      <c r="GP82" s="1997"/>
      <c r="GQ82" s="1997"/>
      <c r="GR82" s="1997"/>
      <c r="GS82" s="1997"/>
      <c r="GT82" s="1997"/>
      <c r="GU82" s="1997"/>
      <c r="GV82" s="1997"/>
      <c r="GW82" s="1997"/>
      <c r="GX82" s="1997"/>
      <c r="GY82" s="1997"/>
      <c r="GZ82" s="1997"/>
      <c r="HA82" s="1997"/>
      <c r="HB82" s="1997"/>
      <c r="HC82" s="1997"/>
      <c r="HD82" s="1997"/>
      <c r="HE82" s="1997"/>
      <c r="HF82" s="1997"/>
      <c r="HG82" s="1997"/>
      <c r="HH82" s="1997"/>
      <c r="HI82" s="1997"/>
      <c r="HJ82" s="1997"/>
      <c r="HK82" s="1997"/>
      <c r="HL82" s="1997"/>
      <c r="HM82" s="1997"/>
      <c r="HN82" s="1997"/>
      <c r="HO82" s="1997"/>
      <c r="HP82" s="1997"/>
      <c r="HQ82" s="1997"/>
      <c r="HR82" s="1997"/>
      <c r="HS82" s="1997"/>
      <c r="HT82" s="1997"/>
      <c r="HU82" s="1997"/>
      <c r="HV82" s="1997"/>
      <c r="HW82" s="1997"/>
      <c r="HX82" s="1997"/>
      <c r="HY82" s="1997"/>
      <c r="HZ82" s="1997"/>
      <c r="IA82" s="1997"/>
      <c r="IB82" s="1997"/>
      <c r="IC82" s="1997"/>
      <c r="ID82" s="1997"/>
      <c r="IE82" s="1997"/>
      <c r="IF82" s="1997"/>
      <c r="IG82" s="1997"/>
      <c r="IH82" s="1997"/>
      <c r="II82" s="1997"/>
      <c r="IJ82" s="1997"/>
      <c r="IK82" s="1997"/>
      <c r="IL82" s="1997"/>
      <c r="IM82" s="1997"/>
      <c r="IN82" s="1997"/>
      <c r="IO82" s="1997"/>
      <c r="IP82" s="1997"/>
      <c r="IQ82" s="1997"/>
    </row>
    <row r="83" spans="1:251" hidden="1">
      <c r="A83" s="1993"/>
      <c r="B83" s="1998"/>
      <c r="C83" s="1998"/>
      <c r="D83" s="2034"/>
      <c r="E83" s="1998"/>
      <c r="F83" s="1940">
        <f t="shared" si="32"/>
        <v>0</v>
      </c>
      <c r="G83" s="1993"/>
      <c r="H83" s="1940">
        <f t="shared" si="33"/>
        <v>0</v>
      </c>
      <c r="I83" s="1993"/>
      <c r="J83" s="1940">
        <f t="shared" si="34"/>
        <v>0</v>
      </c>
      <c r="K83" s="1993"/>
      <c r="L83" s="1940">
        <f t="shared" si="35"/>
        <v>0</v>
      </c>
      <c r="M83" s="1940">
        <f t="shared" si="36"/>
        <v>0</v>
      </c>
      <c r="N83" s="1940">
        <f t="shared" si="37"/>
        <v>0</v>
      </c>
      <c r="O83" s="1993"/>
      <c r="P83" s="1993"/>
      <c r="Q83" s="1940">
        <f t="shared" si="38"/>
        <v>0</v>
      </c>
      <c r="R83" s="1940">
        <f t="shared" si="39"/>
        <v>0</v>
      </c>
      <c r="S83" s="1940">
        <f t="shared" si="40"/>
        <v>0</v>
      </c>
      <c r="T83" s="1940">
        <f t="shared" si="41"/>
        <v>0</v>
      </c>
      <c r="U83" s="1940">
        <f t="shared" si="42"/>
        <v>0</v>
      </c>
      <c r="V83" s="1997"/>
      <c r="W83" s="1997"/>
      <c r="X83" s="1997"/>
      <c r="Y83" s="1997"/>
      <c r="Z83" s="1997"/>
      <c r="AA83" s="1997"/>
      <c r="AB83" s="1997"/>
      <c r="AC83" s="1997"/>
      <c r="AD83" s="1997"/>
      <c r="AE83" s="1997"/>
      <c r="AF83" s="1997"/>
      <c r="AG83" s="1997"/>
      <c r="AH83" s="1997"/>
      <c r="AI83" s="1997"/>
      <c r="AJ83" s="1997"/>
      <c r="AK83" s="1997"/>
      <c r="AL83" s="1997"/>
      <c r="AM83" s="1997"/>
      <c r="AN83" s="1997"/>
      <c r="AO83" s="1997"/>
      <c r="AP83" s="1997"/>
      <c r="AQ83" s="1997"/>
      <c r="AR83" s="1997"/>
      <c r="AS83" s="1997"/>
      <c r="AT83" s="1997"/>
      <c r="AU83" s="1997"/>
      <c r="AV83" s="1997"/>
      <c r="AW83" s="1997"/>
      <c r="AX83" s="1997"/>
      <c r="AY83" s="1997"/>
      <c r="AZ83" s="1997"/>
      <c r="BA83" s="1997"/>
      <c r="BB83" s="1997"/>
      <c r="BC83" s="1997"/>
      <c r="BD83" s="1997"/>
      <c r="BE83" s="1997"/>
      <c r="BF83" s="1997"/>
      <c r="BG83" s="1997"/>
      <c r="BH83" s="1997"/>
      <c r="BI83" s="1997"/>
      <c r="BJ83" s="1997"/>
      <c r="BK83" s="1997"/>
      <c r="BL83" s="1997"/>
      <c r="BM83" s="1997"/>
      <c r="BN83" s="1997"/>
      <c r="BO83" s="1997"/>
      <c r="BP83" s="1997"/>
      <c r="BQ83" s="1997"/>
      <c r="BR83" s="1997"/>
      <c r="BS83" s="1997"/>
      <c r="BT83" s="1997"/>
      <c r="BU83" s="1997"/>
      <c r="BV83" s="1997"/>
      <c r="BW83" s="1997"/>
      <c r="BX83" s="1997"/>
      <c r="BY83" s="1997"/>
      <c r="BZ83" s="1997"/>
      <c r="CA83" s="1997"/>
      <c r="CB83" s="1997"/>
      <c r="CC83" s="1997"/>
      <c r="CD83" s="1997"/>
      <c r="CE83" s="1997"/>
      <c r="CF83" s="1997"/>
      <c r="CG83" s="1997"/>
      <c r="CH83" s="1997"/>
      <c r="CI83" s="1997"/>
      <c r="CJ83" s="1997"/>
      <c r="CK83" s="1997"/>
      <c r="CL83" s="1997"/>
      <c r="CM83" s="1997"/>
      <c r="CN83" s="1997"/>
      <c r="CO83" s="1997"/>
      <c r="CP83" s="1997"/>
      <c r="CQ83" s="1997"/>
      <c r="CR83" s="1997"/>
      <c r="CS83" s="1997"/>
      <c r="CT83" s="1997"/>
      <c r="CU83" s="1997"/>
      <c r="CV83" s="1997"/>
      <c r="CW83" s="1997"/>
      <c r="CX83" s="1997"/>
      <c r="CY83" s="1997"/>
      <c r="CZ83" s="1997"/>
      <c r="DA83" s="1997"/>
      <c r="DB83" s="1997"/>
      <c r="DC83" s="1997"/>
      <c r="DD83" s="1997"/>
      <c r="DE83" s="1997"/>
      <c r="DF83" s="1997"/>
      <c r="DG83" s="1997"/>
      <c r="DH83" s="1997"/>
      <c r="DI83" s="1997"/>
      <c r="DJ83" s="1997"/>
      <c r="DK83" s="1997"/>
      <c r="DL83" s="1997"/>
      <c r="DM83" s="1997"/>
      <c r="DN83" s="1997"/>
      <c r="DO83" s="1997"/>
      <c r="DP83" s="1997"/>
      <c r="DQ83" s="1997"/>
      <c r="DR83" s="1997"/>
      <c r="DS83" s="1997"/>
      <c r="DT83" s="1997"/>
      <c r="DU83" s="1997"/>
      <c r="DV83" s="1997"/>
      <c r="DW83" s="1997"/>
      <c r="DX83" s="1997"/>
      <c r="DY83" s="1997"/>
      <c r="DZ83" s="1997"/>
      <c r="EA83" s="1997"/>
      <c r="EB83" s="1997"/>
      <c r="EC83" s="1997"/>
      <c r="ED83" s="1997"/>
      <c r="EE83" s="1997"/>
      <c r="EF83" s="1997"/>
      <c r="EG83" s="1997"/>
      <c r="EH83" s="1997"/>
      <c r="EI83" s="1997"/>
      <c r="EJ83" s="1997"/>
      <c r="EK83" s="1997"/>
      <c r="EL83" s="1997"/>
      <c r="EM83" s="1997"/>
      <c r="EN83" s="1997"/>
      <c r="EO83" s="1997"/>
      <c r="EP83" s="1997"/>
      <c r="EQ83" s="1997"/>
      <c r="ER83" s="1997"/>
      <c r="ES83" s="1997"/>
      <c r="ET83" s="1997"/>
      <c r="EU83" s="1997"/>
      <c r="EV83" s="1997"/>
      <c r="EW83" s="1997"/>
      <c r="EX83" s="1997"/>
      <c r="EY83" s="1997"/>
      <c r="EZ83" s="1997"/>
      <c r="FA83" s="1997"/>
      <c r="FB83" s="1997"/>
      <c r="FC83" s="1997"/>
      <c r="FD83" s="1997"/>
      <c r="FE83" s="1997"/>
      <c r="FF83" s="1997"/>
      <c r="FG83" s="1997"/>
      <c r="FH83" s="1997"/>
      <c r="FI83" s="1997"/>
      <c r="FJ83" s="1997"/>
      <c r="FK83" s="1997"/>
      <c r="FL83" s="1997"/>
      <c r="FM83" s="1997"/>
      <c r="FN83" s="1997"/>
      <c r="FO83" s="1997"/>
      <c r="FP83" s="1997"/>
      <c r="FQ83" s="1997"/>
      <c r="FR83" s="1997"/>
      <c r="FS83" s="1997"/>
      <c r="FT83" s="1997"/>
      <c r="FU83" s="1997"/>
      <c r="FV83" s="1997"/>
      <c r="FW83" s="1997"/>
      <c r="FX83" s="1997"/>
      <c r="FY83" s="1997"/>
      <c r="FZ83" s="1997"/>
      <c r="GA83" s="1997"/>
      <c r="GB83" s="1997"/>
      <c r="GC83" s="1997"/>
      <c r="GD83" s="1997"/>
      <c r="GE83" s="1997"/>
      <c r="GF83" s="1997"/>
      <c r="GG83" s="1997"/>
      <c r="GH83" s="1997"/>
      <c r="GI83" s="1997"/>
      <c r="GJ83" s="1997"/>
      <c r="GK83" s="1997"/>
      <c r="GL83" s="1997"/>
      <c r="GM83" s="1997"/>
      <c r="GN83" s="1997"/>
      <c r="GO83" s="1997"/>
      <c r="GP83" s="1997"/>
      <c r="GQ83" s="1997"/>
      <c r="GR83" s="1997"/>
      <c r="GS83" s="1997"/>
      <c r="GT83" s="1997"/>
      <c r="GU83" s="1997"/>
      <c r="GV83" s="1997"/>
      <c r="GW83" s="1997"/>
      <c r="GX83" s="1997"/>
      <c r="GY83" s="1997"/>
      <c r="GZ83" s="1997"/>
      <c r="HA83" s="1997"/>
      <c r="HB83" s="1997"/>
      <c r="HC83" s="1997"/>
      <c r="HD83" s="1997"/>
      <c r="HE83" s="1997"/>
      <c r="HF83" s="1997"/>
      <c r="HG83" s="1997"/>
      <c r="HH83" s="1997"/>
      <c r="HI83" s="1997"/>
      <c r="HJ83" s="1997"/>
      <c r="HK83" s="1997"/>
      <c r="HL83" s="1997"/>
      <c r="HM83" s="1997"/>
      <c r="HN83" s="1997"/>
      <c r="HO83" s="1997"/>
      <c r="HP83" s="1997"/>
      <c r="HQ83" s="1997"/>
      <c r="HR83" s="1997"/>
      <c r="HS83" s="1997"/>
      <c r="HT83" s="1997"/>
      <c r="HU83" s="1997"/>
      <c r="HV83" s="1997"/>
      <c r="HW83" s="1997"/>
      <c r="HX83" s="1997"/>
      <c r="HY83" s="1997"/>
      <c r="HZ83" s="1997"/>
      <c r="IA83" s="1997"/>
      <c r="IB83" s="1997"/>
      <c r="IC83" s="1997"/>
      <c r="ID83" s="1997"/>
      <c r="IE83" s="1997"/>
      <c r="IF83" s="1997"/>
      <c r="IG83" s="1997"/>
      <c r="IH83" s="1997"/>
      <c r="II83" s="1997"/>
      <c r="IJ83" s="1997"/>
      <c r="IK83" s="1997"/>
      <c r="IL83" s="1997"/>
      <c r="IM83" s="1997"/>
      <c r="IN83" s="1997"/>
      <c r="IO83" s="1997"/>
      <c r="IP83" s="1997"/>
      <c r="IQ83" s="1997"/>
    </row>
    <row r="84" spans="1:251" hidden="1">
      <c r="A84" s="1993"/>
      <c r="B84" s="1998"/>
      <c r="C84" s="1998"/>
      <c r="D84" s="2034"/>
      <c r="E84" s="1998"/>
      <c r="F84" s="1940">
        <f t="shared" si="32"/>
        <v>0</v>
      </c>
      <c r="G84" s="1993"/>
      <c r="H84" s="1940">
        <f t="shared" si="33"/>
        <v>0</v>
      </c>
      <c r="I84" s="1993"/>
      <c r="J84" s="1940">
        <f t="shared" si="34"/>
        <v>0</v>
      </c>
      <c r="K84" s="1993"/>
      <c r="L84" s="1940">
        <f t="shared" si="35"/>
        <v>0</v>
      </c>
      <c r="M84" s="1940">
        <f t="shared" si="36"/>
        <v>0</v>
      </c>
      <c r="N84" s="1940">
        <f t="shared" si="37"/>
        <v>0</v>
      </c>
      <c r="O84" s="1993"/>
      <c r="P84" s="1993"/>
      <c r="Q84" s="1940">
        <f t="shared" si="38"/>
        <v>0</v>
      </c>
      <c r="R84" s="1940">
        <f t="shared" si="39"/>
        <v>0</v>
      </c>
      <c r="S84" s="1940">
        <f t="shared" si="40"/>
        <v>0</v>
      </c>
      <c r="T84" s="1940">
        <f t="shared" si="41"/>
        <v>0</v>
      </c>
      <c r="U84" s="1940">
        <f t="shared" si="42"/>
        <v>0</v>
      </c>
      <c r="V84" s="1997"/>
      <c r="W84" s="1997"/>
      <c r="X84" s="1997"/>
      <c r="Y84" s="1997"/>
      <c r="Z84" s="1997"/>
      <c r="AA84" s="1997"/>
      <c r="AB84" s="1997"/>
      <c r="AC84" s="1997"/>
      <c r="AD84" s="1997"/>
      <c r="AE84" s="1997"/>
      <c r="AF84" s="1997"/>
      <c r="AG84" s="1997"/>
      <c r="AH84" s="1997"/>
      <c r="AI84" s="1997"/>
      <c r="AJ84" s="1997"/>
      <c r="AK84" s="1997"/>
      <c r="AL84" s="1997"/>
      <c r="AM84" s="1997"/>
      <c r="AN84" s="1997"/>
      <c r="AO84" s="1997"/>
      <c r="AP84" s="1997"/>
      <c r="AQ84" s="1997"/>
      <c r="AR84" s="1997"/>
      <c r="AS84" s="1997"/>
      <c r="AT84" s="1997"/>
      <c r="AU84" s="1997"/>
      <c r="AV84" s="1997"/>
      <c r="AW84" s="1997"/>
      <c r="AX84" s="1997"/>
      <c r="AY84" s="1997"/>
      <c r="AZ84" s="1997"/>
      <c r="BA84" s="1997"/>
      <c r="BB84" s="1997"/>
      <c r="BC84" s="1997"/>
      <c r="BD84" s="1997"/>
      <c r="BE84" s="1997"/>
      <c r="BF84" s="1997"/>
      <c r="BG84" s="1997"/>
      <c r="BH84" s="1997"/>
      <c r="BI84" s="1997"/>
      <c r="BJ84" s="1997"/>
      <c r="BK84" s="1997"/>
      <c r="BL84" s="1997"/>
      <c r="BM84" s="1997"/>
      <c r="BN84" s="1997"/>
      <c r="BO84" s="1997"/>
      <c r="BP84" s="1997"/>
      <c r="BQ84" s="1997"/>
      <c r="BR84" s="1997"/>
      <c r="BS84" s="1997"/>
      <c r="BT84" s="1997"/>
      <c r="BU84" s="1997"/>
      <c r="BV84" s="1997"/>
      <c r="BW84" s="1997"/>
      <c r="BX84" s="1997"/>
      <c r="BY84" s="1997"/>
      <c r="BZ84" s="1997"/>
      <c r="CA84" s="1997"/>
      <c r="CB84" s="1997"/>
      <c r="CC84" s="1997"/>
      <c r="CD84" s="1997"/>
      <c r="CE84" s="1997"/>
      <c r="CF84" s="1997"/>
      <c r="CG84" s="1997"/>
      <c r="CH84" s="1997"/>
      <c r="CI84" s="1997"/>
      <c r="CJ84" s="1997"/>
      <c r="CK84" s="1997"/>
      <c r="CL84" s="1997"/>
      <c r="CM84" s="1997"/>
      <c r="CN84" s="1997"/>
      <c r="CO84" s="1997"/>
      <c r="CP84" s="1997"/>
      <c r="CQ84" s="1997"/>
      <c r="CR84" s="1997"/>
      <c r="CS84" s="1997"/>
      <c r="CT84" s="1997"/>
      <c r="CU84" s="1997"/>
      <c r="CV84" s="1997"/>
      <c r="CW84" s="1997"/>
      <c r="CX84" s="1997"/>
      <c r="CY84" s="1997"/>
      <c r="CZ84" s="1997"/>
      <c r="DA84" s="1997"/>
      <c r="DB84" s="1997"/>
      <c r="DC84" s="1997"/>
      <c r="DD84" s="1997"/>
      <c r="DE84" s="1997"/>
      <c r="DF84" s="1997"/>
      <c r="DG84" s="1997"/>
      <c r="DH84" s="1997"/>
      <c r="DI84" s="1997"/>
      <c r="DJ84" s="1997"/>
      <c r="DK84" s="1997"/>
      <c r="DL84" s="1997"/>
      <c r="DM84" s="1997"/>
      <c r="DN84" s="1997"/>
      <c r="DO84" s="1997"/>
      <c r="DP84" s="1997"/>
      <c r="DQ84" s="1997"/>
      <c r="DR84" s="1997"/>
      <c r="DS84" s="1997"/>
      <c r="DT84" s="1997"/>
      <c r="DU84" s="1997"/>
      <c r="DV84" s="1997"/>
      <c r="DW84" s="1997"/>
      <c r="DX84" s="1997"/>
      <c r="DY84" s="1997"/>
      <c r="DZ84" s="1997"/>
      <c r="EA84" s="1997"/>
      <c r="EB84" s="1997"/>
      <c r="EC84" s="1997"/>
      <c r="ED84" s="1997"/>
      <c r="EE84" s="1997"/>
      <c r="EF84" s="1997"/>
      <c r="EG84" s="1997"/>
      <c r="EH84" s="1997"/>
      <c r="EI84" s="1997"/>
      <c r="EJ84" s="1997"/>
      <c r="EK84" s="1997"/>
      <c r="EL84" s="1997"/>
      <c r="EM84" s="1997"/>
      <c r="EN84" s="1997"/>
      <c r="EO84" s="1997"/>
      <c r="EP84" s="1997"/>
      <c r="EQ84" s="1997"/>
      <c r="ER84" s="1997"/>
      <c r="ES84" s="1997"/>
      <c r="ET84" s="1997"/>
      <c r="EU84" s="1997"/>
      <c r="EV84" s="1997"/>
      <c r="EW84" s="1997"/>
      <c r="EX84" s="1997"/>
      <c r="EY84" s="1997"/>
      <c r="EZ84" s="1997"/>
      <c r="FA84" s="1997"/>
      <c r="FB84" s="1997"/>
      <c r="FC84" s="1997"/>
      <c r="FD84" s="1997"/>
      <c r="FE84" s="1997"/>
      <c r="FF84" s="1997"/>
      <c r="FG84" s="1997"/>
      <c r="FH84" s="1997"/>
      <c r="FI84" s="1997"/>
      <c r="FJ84" s="1997"/>
      <c r="FK84" s="1997"/>
      <c r="FL84" s="1997"/>
      <c r="FM84" s="1997"/>
      <c r="FN84" s="1997"/>
      <c r="FO84" s="1997"/>
      <c r="FP84" s="1997"/>
      <c r="FQ84" s="1997"/>
      <c r="FR84" s="1997"/>
      <c r="FS84" s="1997"/>
      <c r="FT84" s="1997"/>
      <c r="FU84" s="1997"/>
      <c r="FV84" s="1997"/>
      <c r="FW84" s="1997"/>
      <c r="FX84" s="1997"/>
      <c r="FY84" s="1997"/>
      <c r="FZ84" s="1997"/>
      <c r="GA84" s="1997"/>
      <c r="GB84" s="1997"/>
      <c r="GC84" s="1997"/>
      <c r="GD84" s="1997"/>
      <c r="GE84" s="1997"/>
      <c r="GF84" s="1997"/>
      <c r="GG84" s="1997"/>
      <c r="GH84" s="1997"/>
      <c r="GI84" s="1997"/>
      <c r="GJ84" s="1997"/>
      <c r="GK84" s="1997"/>
      <c r="GL84" s="1997"/>
      <c r="GM84" s="1997"/>
      <c r="GN84" s="1997"/>
      <c r="GO84" s="1997"/>
      <c r="GP84" s="1997"/>
      <c r="GQ84" s="1997"/>
      <c r="GR84" s="1997"/>
      <c r="GS84" s="1997"/>
      <c r="GT84" s="1997"/>
      <c r="GU84" s="1997"/>
      <c r="GV84" s="1997"/>
      <c r="GW84" s="1997"/>
      <c r="GX84" s="1997"/>
      <c r="GY84" s="1997"/>
      <c r="GZ84" s="1997"/>
      <c r="HA84" s="1997"/>
      <c r="HB84" s="1997"/>
      <c r="HC84" s="1997"/>
      <c r="HD84" s="1997"/>
      <c r="HE84" s="1997"/>
      <c r="HF84" s="1997"/>
      <c r="HG84" s="1997"/>
      <c r="HH84" s="1997"/>
      <c r="HI84" s="1997"/>
      <c r="HJ84" s="1997"/>
      <c r="HK84" s="1997"/>
      <c r="HL84" s="1997"/>
      <c r="HM84" s="1997"/>
      <c r="HN84" s="1997"/>
      <c r="HO84" s="1997"/>
      <c r="HP84" s="1997"/>
      <c r="HQ84" s="1997"/>
      <c r="HR84" s="1997"/>
      <c r="HS84" s="1997"/>
      <c r="HT84" s="1997"/>
      <c r="HU84" s="1997"/>
      <c r="HV84" s="1997"/>
      <c r="HW84" s="1997"/>
      <c r="HX84" s="1997"/>
      <c r="HY84" s="1997"/>
      <c r="HZ84" s="1997"/>
      <c r="IA84" s="1997"/>
      <c r="IB84" s="1997"/>
      <c r="IC84" s="1997"/>
      <c r="ID84" s="1997"/>
      <c r="IE84" s="1997"/>
      <c r="IF84" s="1997"/>
      <c r="IG84" s="1997"/>
      <c r="IH84" s="1997"/>
      <c r="II84" s="1997"/>
      <c r="IJ84" s="1997"/>
      <c r="IK84" s="1997"/>
      <c r="IL84" s="1997"/>
      <c r="IM84" s="1997"/>
      <c r="IN84" s="1997"/>
      <c r="IO84" s="1997"/>
      <c r="IP84" s="1997"/>
      <c r="IQ84" s="1997"/>
    </row>
    <row r="85" spans="1:251" hidden="1">
      <c r="A85" s="1993"/>
      <c r="B85" s="1998"/>
      <c r="C85" s="1998"/>
      <c r="D85" s="2034"/>
      <c r="E85" s="1998"/>
      <c r="F85" s="1940">
        <f t="shared" si="32"/>
        <v>0</v>
      </c>
      <c r="G85" s="1993"/>
      <c r="H85" s="1940">
        <f t="shared" si="33"/>
        <v>0</v>
      </c>
      <c r="I85" s="1993"/>
      <c r="J85" s="1940">
        <f t="shared" si="34"/>
        <v>0</v>
      </c>
      <c r="K85" s="1993"/>
      <c r="L85" s="1940">
        <f t="shared" si="35"/>
        <v>0</v>
      </c>
      <c r="M85" s="1940">
        <f t="shared" si="36"/>
        <v>0</v>
      </c>
      <c r="N85" s="1940">
        <f t="shared" si="37"/>
        <v>0</v>
      </c>
      <c r="O85" s="1993"/>
      <c r="P85" s="1993"/>
      <c r="Q85" s="1940">
        <f t="shared" si="38"/>
        <v>0</v>
      </c>
      <c r="R85" s="1940">
        <f t="shared" si="39"/>
        <v>0</v>
      </c>
      <c r="S85" s="1940">
        <f t="shared" si="40"/>
        <v>0</v>
      </c>
      <c r="T85" s="1940">
        <f t="shared" si="41"/>
        <v>0</v>
      </c>
      <c r="U85" s="1940">
        <f t="shared" si="42"/>
        <v>0</v>
      </c>
      <c r="V85" s="1997"/>
      <c r="W85" s="1997"/>
      <c r="X85" s="1997"/>
      <c r="Y85" s="1997"/>
      <c r="Z85" s="1997"/>
      <c r="AA85" s="1997"/>
      <c r="AB85" s="1997"/>
      <c r="AC85" s="1997"/>
      <c r="AD85" s="1997"/>
      <c r="AE85" s="1997"/>
      <c r="AF85" s="1997"/>
      <c r="AG85" s="1997"/>
      <c r="AH85" s="1997"/>
      <c r="AI85" s="1997"/>
      <c r="AJ85" s="1997"/>
      <c r="AK85" s="1997"/>
      <c r="AL85" s="1997"/>
      <c r="AM85" s="1997"/>
      <c r="AN85" s="1997"/>
      <c r="AO85" s="1997"/>
      <c r="AP85" s="1997"/>
      <c r="AQ85" s="1997"/>
      <c r="AR85" s="1997"/>
      <c r="AS85" s="1997"/>
      <c r="AT85" s="1997"/>
      <c r="AU85" s="1997"/>
      <c r="AV85" s="1997"/>
      <c r="AW85" s="1997"/>
      <c r="AX85" s="1997"/>
      <c r="AY85" s="1997"/>
      <c r="AZ85" s="1997"/>
      <c r="BA85" s="1997"/>
      <c r="BB85" s="1997"/>
      <c r="BC85" s="1997"/>
      <c r="BD85" s="1997"/>
      <c r="BE85" s="1997"/>
      <c r="BF85" s="1997"/>
      <c r="BG85" s="1997"/>
      <c r="BH85" s="1997"/>
      <c r="BI85" s="1997"/>
      <c r="BJ85" s="1997"/>
      <c r="BK85" s="1997"/>
      <c r="BL85" s="1997"/>
      <c r="BM85" s="1997"/>
      <c r="BN85" s="1997"/>
      <c r="BO85" s="1997"/>
      <c r="BP85" s="1997"/>
      <c r="BQ85" s="1997"/>
      <c r="BR85" s="1997"/>
      <c r="BS85" s="1997"/>
      <c r="BT85" s="1997"/>
      <c r="BU85" s="1997"/>
      <c r="BV85" s="1997"/>
      <c r="BW85" s="1997"/>
      <c r="BX85" s="1997"/>
      <c r="BY85" s="1997"/>
      <c r="BZ85" s="1997"/>
      <c r="CA85" s="1997"/>
      <c r="CB85" s="1997"/>
      <c r="CC85" s="1997"/>
      <c r="CD85" s="1997"/>
      <c r="CE85" s="1997"/>
      <c r="CF85" s="1997"/>
      <c r="CG85" s="1997"/>
      <c r="CH85" s="1997"/>
      <c r="CI85" s="1997"/>
      <c r="CJ85" s="1997"/>
      <c r="CK85" s="1997"/>
      <c r="CL85" s="1997"/>
      <c r="CM85" s="1997"/>
      <c r="CN85" s="1997"/>
      <c r="CO85" s="1997"/>
      <c r="CP85" s="1997"/>
      <c r="CQ85" s="1997"/>
      <c r="CR85" s="1997"/>
      <c r="CS85" s="1997"/>
      <c r="CT85" s="1997"/>
      <c r="CU85" s="1997"/>
      <c r="CV85" s="1997"/>
      <c r="CW85" s="1997"/>
      <c r="CX85" s="1997"/>
      <c r="CY85" s="1997"/>
      <c r="CZ85" s="1997"/>
      <c r="DA85" s="1997"/>
      <c r="DB85" s="1997"/>
      <c r="DC85" s="1997"/>
      <c r="DD85" s="1997"/>
      <c r="DE85" s="1997"/>
      <c r="DF85" s="1997"/>
      <c r="DG85" s="1997"/>
      <c r="DH85" s="1997"/>
      <c r="DI85" s="1997"/>
      <c r="DJ85" s="1997"/>
      <c r="DK85" s="1997"/>
      <c r="DL85" s="1997"/>
      <c r="DM85" s="1997"/>
      <c r="DN85" s="1997"/>
      <c r="DO85" s="1997"/>
      <c r="DP85" s="1997"/>
      <c r="DQ85" s="1997"/>
      <c r="DR85" s="1997"/>
      <c r="DS85" s="1997"/>
      <c r="DT85" s="1997"/>
      <c r="DU85" s="1997"/>
      <c r="DV85" s="1997"/>
      <c r="DW85" s="1997"/>
      <c r="DX85" s="1997"/>
      <c r="DY85" s="1997"/>
      <c r="DZ85" s="1997"/>
      <c r="EA85" s="1997"/>
      <c r="EB85" s="1997"/>
      <c r="EC85" s="1997"/>
      <c r="ED85" s="1997"/>
      <c r="EE85" s="1997"/>
      <c r="EF85" s="1997"/>
      <c r="EG85" s="1997"/>
      <c r="EH85" s="1997"/>
      <c r="EI85" s="1997"/>
      <c r="EJ85" s="1997"/>
      <c r="EK85" s="1997"/>
      <c r="EL85" s="1997"/>
      <c r="EM85" s="1997"/>
      <c r="EN85" s="1997"/>
      <c r="EO85" s="1997"/>
      <c r="EP85" s="1997"/>
      <c r="EQ85" s="1997"/>
      <c r="ER85" s="1997"/>
      <c r="ES85" s="1997"/>
      <c r="ET85" s="1997"/>
      <c r="EU85" s="1997"/>
      <c r="EV85" s="1997"/>
      <c r="EW85" s="1997"/>
      <c r="EX85" s="1997"/>
      <c r="EY85" s="1997"/>
      <c r="EZ85" s="1997"/>
      <c r="FA85" s="1997"/>
      <c r="FB85" s="1997"/>
      <c r="FC85" s="1997"/>
      <c r="FD85" s="1997"/>
      <c r="FE85" s="1997"/>
      <c r="FF85" s="1997"/>
      <c r="FG85" s="1997"/>
      <c r="FH85" s="1997"/>
      <c r="FI85" s="1997"/>
      <c r="FJ85" s="1997"/>
      <c r="FK85" s="1997"/>
      <c r="FL85" s="1997"/>
      <c r="FM85" s="1997"/>
      <c r="FN85" s="1997"/>
      <c r="FO85" s="1997"/>
      <c r="FP85" s="1997"/>
      <c r="FQ85" s="1997"/>
      <c r="FR85" s="1997"/>
      <c r="FS85" s="1997"/>
      <c r="FT85" s="1997"/>
      <c r="FU85" s="1997"/>
      <c r="FV85" s="1997"/>
      <c r="FW85" s="1997"/>
      <c r="FX85" s="1997"/>
      <c r="FY85" s="1997"/>
      <c r="FZ85" s="1997"/>
      <c r="GA85" s="1997"/>
      <c r="GB85" s="1997"/>
      <c r="GC85" s="1997"/>
      <c r="GD85" s="1997"/>
      <c r="GE85" s="1997"/>
      <c r="GF85" s="1997"/>
      <c r="GG85" s="1997"/>
      <c r="GH85" s="1997"/>
      <c r="GI85" s="1997"/>
      <c r="GJ85" s="1997"/>
      <c r="GK85" s="1997"/>
      <c r="GL85" s="1997"/>
      <c r="GM85" s="1997"/>
      <c r="GN85" s="1997"/>
      <c r="GO85" s="1997"/>
      <c r="GP85" s="1997"/>
      <c r="GQ85" s="1997"/>
      <c r="GR85" s="1997"/>
      <c r="GS85" s="1997"/>
      <c r="GT85" s="1997"/>
      <c r="GU85" s="1997"/>
      <c r="GV85" s="1997"/>
      <c r="GW85" s="1997"/>
      <c r="GX85" s="1997"/>
      <c r="GY85" s="1997"/>
      <c r="GZ85" s="1997"/>
      <c r="HA85" s="1997"/>
      <c r="HB85" s="1997"/>
      <c r="HC85" s="1997"/>
      <c r="HD85" s="1997"/>
      <c r="HE85" s="1997"/>
      <c r="HF85" s="1997"/>
      <c r="HG85" s="1997"/>
      <c r="HH85" s="1997"/>
      <c r="HI85" s="1997"/>
      <c r="HJ85" s="1997"/>
      <c r="HK85" s="1997"/>
      <c r="HL85" s="1997"/>
      <c r="HM85" s="1997"/>
      <c r="HN85" s="1997"/>
      <c r="HO85" s="1997"/>
      <c r="HP85" s="1997"/>
      <c r="HQ85" s="1997"/>
      <c r="HR85" s="1997"/>
      <c r="HS85" s="1997"/>
      <c r="HT85" s="1997"/>
      <c r="HU85" s="1997"/>
      <c r="HV85" s="1997"/>
      <c r="HW85" s="1997"/>
      <c r="HX85" s="1997"/>
      <c r="HY85" s="1997"/>
      <c r="HZ85" s="1997"/>
      <c r="IA85" s="1997"/>
      <c r="IB85" s="1997"/>
      <c r="IC85" s="1997"/>
      <c r="ID85" s="1997"/>
      <c r="IE85" s="1997"/>
      <c r="IF85" s="1997"/>
      <c r="IG85" s="1997"/>
      <c r="IH85" s="1997"/>
      <c r="II85" s="1997"/>
      <c r="IJ85" s="1997"/>
      <c r="IK85" s="1997"/>
      <c r="IL85" s="1997"/>
      <c r="IM85" s="1997"/>
      <c r="IN85" s="1997"/>
      <c r="IO85" s="1997"/>
      <c r="IP85" s="1997"/>
      <c r="IQ85" s="1997"/>
    </row>
    <row r="86" spans="1:251" hidden="1">
      <c r="A86" s="1993"/>
      <c r="B86" s="1998"/>
      <c r="C86" s="1998"/>
      <c r="D86" s="2034"/>
      <c r="E86" s="1998"/>
      <c r="F86" s="1940">
        <f t="shared" si="32"/>
        <v>0</v>
      </c>
      <c r="G86" s="1993"/>
      <c r="H86" s="1940">
        <f t="shared" si="33"/>
        <v>0</v>
      </c>
      <c r="I86" s="1993"/>
      <c r="J86" s="1940">
        <f t="shared" si="34"/>
        <v>0</v>
      </c>
      <c r="K86" s="1993"/>
      <c r="L86" s="1940">
        <f t="shared" si="35"/>
        <v>0</v>
      </c>
      <c r="M86" s="1940">
        <f t="shared" si="36"/>
        <v>0</v>
      </c>
      <c r="N86" s="1940">
        <f t="shared" si="37"/>
        <v>0</v>
      </c>
      <c r="O86" s="1993"/>
      <c r="P86" s="1993"/>
      <c r="Q86" s="1940">
        <f t="shared" si="38"/>
        <v>0</v>
      </c>
      <c r="R86" s="1940">
        <f t="shared" si="39"/>
        <v>0</v>
      </c>
      <c r="S86" s="1940">
        <f t="shared" si="40"/>
        <v>0</v>
      </c>
      <c r="T86" s="1940">
        <f t="shared" si="41"/>
        <v>0</v>
      </c>
      <c r="U86" s="1940">
        <f t="shared" si="42"/>
        <v>0</v>
      </c>
      <c r="V86" s="1997"/>
      <c r="W86" s="1997"/>
      <c r="X86" s="1997"/>
      <c r="Y86" s="1997"/>
      <c r="Z86" s="1997"/>
      <c r="AA86" s="1997"/>
      <c r="AB86" s="1997"/>
      <c r="AC86" s="1997"/>
      <c r="AD86" s="1997"/>
      <c r="AE86" s="1997"/>
      <c r="AF86" s="1997"/>
      <c r="AG86" s="1997"/>
      <c r="AH86" s="1997"/>
      <c r="AI86" s="1997"/>
      <c r="AJ86" s="1997"/>
      <c r="AK86" s="1997"/>
      <c r="AL86" s="1997"/>
      <c r="AM86" s="1997"/>
      <c r="AN86" s="1997"/>
      <c r="AO86" s="1997"/>
      <c r="AP86" s="1997"/>
      <c r="AQ86" s="1997"/>
      <c r="AR86" s="1997"/>
      <c r="AS86" s="1997"/>
      <c r="AT86" s="1997"/>
      <c r="AU86" s="1997"/>
      <c r="AV86" s="1997"/>
      <c r="AW86" s="1997"/>
      <c r="AX86" s="1997"/>
      <c r="AY86" s="1997"/>
      <c r="AZ86" s="1997"/>
      <c r="BA86" s="1997"/>
      <c r="BB86" s="1997"/>
      <c r="BC86" s="1997"/>
      <c r="BD86" s="1997"/>
      <c r="BE86" s="1997"/>
      <c r="BF86" s="1997"/>
      <c r="BG86" s="1997"/>
      <c r="BH86" s="1997"/>
      <c r="BI86" s="1997"/>
      <c r="BJ86" s="1997"/>
      <c r="BK86" s="1997"/>
      <c r="BL86" s="1997"/>
      <c r="BM86" s="1997"/>
      <c r="BN86" s="1997"/>
      <c r="BO86" s="1997"/>
      <c r="BP86" s="1997"/>
      <c r="BQ86" s="1997"/>
      <c r="BR86" s="1997"/>
      <c r="BS86" s="1997"/>
      <c r="BT86" s="1997"/>
      <c r="BU86" s="1997"/>
      <c r="BV86" s="1997"/>
      <c r="BW86" s="1997"/>
      <c r="BX86" s="1997"/>
      <c r="BY86" s="1997"/>
      <c r="BZ86" s="1997"/>
      <c r="CA86" s="1997"/>
      <c r="CB86" s="1997"/>
      <c r="CC86" s="1997"/>
      <c r="CD86" s="1997"/>
      <c r="CE86" s="1997"/>
      <c r="CF86" s="1997"/>
      <c r="CG86" s="1997"/>
      <c r="CH86" s="1997"/>
      <c r="CI86" s="1997"/>
      <c r="CJ86" s="1997"/>
      <c r="CK86" s="1997"/>
      <c r="CL86" s="1997"/>
      <c r="CM86" s="1997"/>
      <c r="CN86" s="1997"/>
      <c r="CO86" s="1997"/>
      <c r="CP86" s="1997"/>
      <c r="CQ86" s="1997"/>
      <c r="CR86" s="1997"/>
      <c r="CS86" s="1997"/>
      <c r="CT86" s="1997"/>
      <c r="CU86" s="1997"/>
      <c r="CV86" s="1997"/>
      <c r="CW86" s="1997"/>
      <c r="CX86" s="1997"/>
      <c r="CY86" s="1997"/>
      <c r="CZ86" s="1997"/>
      <c r="DA86" s="1997"/>
      <c r="DB86" s="1997"/>
      <c r="DC86" s="1997"/>
      <c r="DD86" s="1997"/>
      <c r="DE86" s="1997"/>
      <c r="DF86" s="1997"/>
      <c r="DG86" s="1997"/>
      <c r="DH86" s="1997"/>
      <c r="DI86" s="1997"/>
      <c r="DJ86" s="1997"/>
      <c r="DK86" s="1997"/>
      <c r="DL86" s="1997"/>
      <c r="DM86" s="1997"/>
      <c r="DN86" s="1997"/>
      <c r="DO86" s="1997"/>
      <c r="DP86" s="1997"/>
      <c r="DQ86" s="1997"/>
      <c r="DR86" s="1997"/>
      <c r="DS86" s="1997"/>
      <c r="DT86" s="1997"/>
      <c r="DU86" s="1997"/>
      <c r="DV86" s="1997"/>
      <c r="DW86" s="1997"/>
      <c r="DX86" s="1997"/>
      <c r="DY86" s="1997"/>
      <c r="DZ86" s="1997"/>
      <c r="EA86" s="1997"/>
      <c r="EB86" s="1997"/>
      <c r="EC86" s="1997"/>
      <c r="ED86" s="1997"/>
      <c r="EE86" s="1997"/>
      <c r="EF86" s="1997"/>
      <c r="EG86" s="1997"/>
      <c r="EH86" s="1997"/>
      <c r="EI86" s="1997"/>
      <c r="EJ86" s="1997"/>
      <c r="EK86" s="1997"/>
      <c r="EL86" s="1997"/>
      <c r="EM86" s="1997"/>
      <c r="EN86" s="1997"/>
      <c r="EO86" s="1997"/>
      <c r="EP86" s="1997"/>
      <c r="EQ86" s="1997"/>
      <c r="ER86" s="1997"/>
      <c r="ES86" s="1997"/>
      <c r="ET86" s="1997"/>
      <c r="EU86" s="1997"/>
      <c r="EV86" s="1997"/>
      <c r="EW86" s="1997"/>
      <c r="EX86" s="1997"/>
      <c r="EY86" s="1997"/>
      <c r="EZ86" s="1997"/>
      <c r="FA86" s="1997"/>
      <c r="FB86" s="1997"/>
      <c r="FC86" s="1997"/>
      <c r="FD86" s="1997"/>
      <c r="FE86" s="1997"/>
      <c r="FF86" s="1997"/>
      <c r="FG86" s="1997"/>
      <c r="FH86" s="1997"/>
      <c r="FI86" s="1997"/>
      <c r="FJ86" s="1997"/>
      <c r="FK86" s="1997"/>
      <c r="FL86" s="1997"/>
      <c r="FM86" s="1997"/>
      <c r="FN86" s="1997"/>
      <c r="FO86" s="1997"/>
      <c r="FP86" s="1997"/>
      <c r="FQ86" s="1997"/>
      <c r="FR86" s="1997"/>
      <c r="FS86" s="1997"/>
      <c r="FT86" s="1997"/>
      <c r="FU86" s="1997"/>
      <c r="FV86" s="1997"/>
      <c r="FW86" s="1997"/>
      <c r="FX86" s="1997"/>
      <c r="FY86" s="1997"/>
      <c r="FZ86" s="1997"/>
      <c r="GA86" s="1997"/>
      <c r="GB86" s="1997"/>
      <c r="GC86" s="1997"/>
      <c r="GD86" s="1997"/>
      <c r="GE86" s="1997"/>
      <c r="GF86" s="1997"/>
      <c r="GG86" s="1997"/>
      <c r="GH86" s="1997"/>
      <c r="GI86" s="1997"/>
      <c r="GJ86" s="1997"/>
      <c r="GK86" s="1997"/>
      <c r="GL86" s="1997"/>
      <c r="GM86" s="1997"/>
      <c r="GN86" s="1997"/>
      <c r="GO86" s="1997"/>
      <c r="GP86" s="1997"/>
      <c r="GQ86" s="1997"/>
      <c r="GR86" s="1997"/>
      <c r="GS86" s="1997"/>
      <c r="GT86" s="1997"/>
      <c r="GU86" s="1997"/>
      <c r="GV86" s="1997"/>
      <c r="GW86" s="1997"/>
      <c r="GX86" s="1997"/>
      <c r="GY86" s="1997"/>
      <c r="GZ86" s="1997"/>
      <c r="HA86" s="1997"/>
      <c r="HB86" s="1997"/>
      <c r="HC86" s="1997"/>
      <c r="HD86" s="1997"/>
      <c r="HE86" s="1997"/>
      <c r="HF86" s="1997"/>
      <c r="HG86" s="1997"/>
      <c r="HH86" s="1997"/>
      <c r="HI86" s="1997"/>
      <c r="HJ86" s="1997"/>
      <c r="HK86" s="1997"/>
      <c r="HL86" s="1997"/>
      <c r="HM86" s="1997"/>
      <c r="HN86" s="1997"/>
      <c r="HO86" s="1997"/>
      <c r="HP86" s="1997"/>
      <c r="HQ86" s="1997"/>
      <c r="HR86" s="1997"/>
      <c r="HS86" s="1997"/>
      <c r="HT86" s="1997"/>
      <c r="HU86" s="1997"/>
      <c r="HV86" s="1997"/>
      <c r="HW86" s="1997"/>
      <c r="HX86" s="1997"/>
      <c r="HY86" s="1997"/>
      <c r="HZ86" s="1997"/>
      <c r="IA86" s="1997"/>
      <c r="IB86" s="1997"/>
      <c r="IC86" s="1997"/>
      <c r="ID86" s="1997"/>
      <c r="IE86" s="1997"/>
      <c r="IF86" s="1997"/>
      <c r="IG86" s="1997"/>
      <c r="IH86" s="1997"/>
      <c r="II86" s="1997"/>
      <c r="IJ86" s="1997"/>
      <c r="IK86" s="1997"/>
      <c r="IL86" s="1997"/>
      <c r="IM86" s="1997"/>
      <c r="IN86" s="1997"/>
      <c r="IO86" s="1997"/>
      <c r="IP86" s="1997"/>
      <c r="IQ86" s="1997"/>
    </row>
    <row r="87" spans="1:251" hidden="1">
      <c r="A87" s="1993"/>
      <c r="B87" s="1998"/>
      <c r="C87" s="1998"/>
      <c r="D87" s="2034"/>
      <c r="E87" s="1998"/>
      <c r="F87" s="1940">
        <f t="shared" si="32"/>
        <v>0</v>
      </c>
      <c r="G87" s="1993"/>
      <c r="H87" s="1940">
        <f t="shared" si="33"/>
        <v>0</v>
      </c>
      <c r="I87" s="1993"/>
      <c r="J87" s="1940">
        <f t="shared" si="34"/>
        <v>0</v>
      </c>
      <c r="K87" s="1993"/>
      <c r="L87" s="1940">
        <f t="shared" si="35"/>
        <v>0</v>
      </c>
      <c r="M87" s="1940">
        <f t="shared" si="36"/>
        <v>0</v>
      </c>
      <c r="N87" s="1940">
        <f t="shared" si="37"/>
        <v>0</v>
      </c>
      <c r="O87" s="1993"/>
      <c r="P87" s="1993"/>
      <c r="Q87" s="1940">
        <f t="shared" si="38"/>
        <v>0</v>
      </c>
      <c r="R87" s="1940">
        <f t="shared" si="39"/>
        <v>0</v>
      </c>
      <c r="S87" s="1940">
        <f t="shared" si="40"/>
        <v>0</v>
      </c>
      <c r="T87" s="1940">
        <f t="shared" si="41"/>
        <v>0</v>
      </c>
      <c r="U87" s="1940">
        <f t="shared" si="42"/>
        <v>0</v>
      </c>
      <c r="V87" s="1997"/>
      <c r="W87" s="1997"/>
      <c r="X87" s="1997"/>
      <c r="Y87" s="1997"/>
      <c r="Z87" s="1997"/>
      <c r="AA87" s="1997"/>
      <c r="AB87" s="1997"/>
      <c r="AC87" s="1997"/>
      <c r="AD87" s="1997"/>
      <c r="AE87" s="1997"/>
      <c r="AF87" s="1997"/>
      <c r="AG87" s="1997"/>
      <c r="AH87" s="1997"/>
      <c r="AI87" s="1997"/>
      <c r="AJ87" s="1997"/>
      <c r="AK87" s="1997"/>
      <c r="AL87" s="1997"/>
      <c r="AM87" s="1997"/>
      <c r="AN87" s="1997"/>
      <c r="AO87" s="1997"/>
      <c r="AP87" s="1997"/>
      <c r="AQ87" s="1997"/>
      <c r="AR87" s="1997"/>
      <c r="AS87" s="1997"/>
      <c r="AT87" s="1997"/>
      <c r="AU87" s="1997"/>
      <c r="AV87" s="1997"/>
      <c r="AW87" s="1997"/>
      <c r="AX87" s="1997"/>
      <c r="AY87" s="1997"/>
      <c r="AZ87" s="1997"/>
      <c r="BA87" s="1997"/>
      <c r="BB87" s="1997"/>
      <c r="BC87" s="1997"/>
      <c r="BD87" s="1997"/>
      <c r="BE87" s="1997"/>
      <c r="BF87" s="1997"/>
      <c r="BG87" s="1997"/>
      <c r="BH87" s="1997"/>
      <c r="BI87" s="1997"/>
      <c r="BJ87" s="1997"/>
      <c r="BK87" s="1997"/>
      <c r="BL87" s="1997"/>
      <c r="BM87" s="1997"/>
      <c r="BN87" s="1997"/>
      <c r="BO87" s="1997"/>
      <c r="BP87" s="1997"/>
      <c r="BQ87" s="1997"/>
      <c r="BR87" s="1997"/>
      <c r="BS87" s="1997"/>
      <c r="BT87" s="1997"/>
      <c r="BU87" s="1997"/>
      <c r="BV87" s="1997"/>
      <c r="BW87" s="1997"/>
      <c r="BX87" s="1997"/>
      <c r="BY87" s="1997"/>
      <c r="BZ87" s="1997"/>
      <c r="CA87" s="1997"/>
      <c r="CB87" s="1997"/>
      <c r="CC87" s="1997"/>
      <c r="CD87" s="1997"/>
      <c r="CE87" s="1997"/>
      <c r="CF87" s="1997"/>
      <c r="CG87" s="1997"/>
      <c r="CH87" s="1997"/>
      <c r="CI87" s="1997"/>
      <c r="CJ87" s="1997"/>
      <c r="CK87" s="1997"/>
      <c r="CL87" s="1997"/>
      <c r="CM87" s="1997"/>
      <c r="CN87" s="1997"/>
      <c r="CO87" s="1997"/>
      <c r="CP87" s="1997"/>
      <c r="CQ87" s="1997"/>
      <c r="CR87" s="1997"/>
      <c r="CS87" s="1997"/>
      <c r="CT87" s="1997"/>
      <c r="CU87" s="1997"/>
      <c r="CV87" s="1997"/>
      <c r="CW87" s="1997"/>
      <c r="CX87" s="1997"/>
      <c r="CY87" s="1997"/>
      <c r="CZ87" s="1997"/>
      <c r="DA87" s="1997"/>
      <c r="DB87" s="1997"/>
      <c r="DC87" s="1997"/>
      <c r="DD87" s="1997"/>
      <c r="DE87" s="1997"/>
      <c r="DF87" s="1997"/>
      <c r="DG87" s="1997"/>
      <c r="DH87" s="1997"/>
      <c r="DI87" s="1997"/>
      <c r="DJ87" s="1997"/>
      <c r="DK87" s="1997"/>
      <c r="DL87" s="1997"/>
      <c r="DM87" s="1997"/>
      <c r="DN87" s="1997"/>
      <c r="DO87" s="1997"/>
      <c r="DP87" s="1997"/>
      <c r="DQ87" s="1997"/>
      <c r="DR87" s="1997"/>
      <c r="DS87" s="1997"/>
      <c r="DT87" s="1997"/>
      <c r="DU87" s="1997"/>
      <c r="DV87" s="1997"/>
      <c r="DW87" s="1997"/>
      <c r="DX87" s="1997"/>
      <c r="DY87" s="1997"/>
      <c r="DZ87" s="1997"/>
      <c r="EA87" s="1997"/>
      <c r="EB87" s="1997"/>
      <c r="EC87" s="1997"/>
      <c r="ED87" s="1997"/>
      <c r="EE87" s="1997"/>
      <c r="EF87" s="1997"/>
      <c r="EG87" s="1997"/>
      <c r="EH87" s="1997"/>
      <c r="EI87" s="1997"/>
      <c r="EJ87" s="1997"/>
      <c r="EK87" s="1997"/>
      <c r="EL87" s="1997"/>
      <c r="EM87" s="1997"/>
      <c r="EN87" s="1997"/>
      <c r="EO87" s="1997"/>
      <c r="EP87" s="1997"/>
      <c r="EQ87" s="1997"/>
      <c r="ER87" s="1997"/>
      <c r="ES87" s="1997"/>
      <c r="ET87" s="1997"/>
      <c r="EU87" s="1997"/>
      <c r="EV87" s="1997"/>
      <c r="EW87" s="1997"/>
      <c r="EX87" s="1997"/>
      <c r="EY87" s="1997"/>
      <c r="EZ87" s="1997"/>
      <c r="FA87" s="1997"/>
      <c r="FB87" s="1997"/>
      <c r="FC87" s="1997"/>
      <c r="FD87" s="1997"/>
      <c r="FE87" s="1997"/>
      <c r="FF87" s="1997"/>
      <c r="FG87" s="1997"/>
      <c r="FH87" s="1997"/>
      <c r="FI87" s="1997"/>
      <c r="FJ87" s="1997"/>
      <c r="FK87" s="1997"/>
      <c r="FL87" s="1997"/>
      <c r="FM87" s="1997"/>
      <c r="FN87" s="1997"/>
      <c r="FO87" s="1997"/>
      <c r="FP87" s="1997"/>
      <c r="FQ87" s="1997"/>
      <c r="FR87" s="1997"/>
      <c r="FS87" s="1997"/>
      <c r="FT87" s="1997"/>
      <c r="FU87" s="1997"/>
      <c r="FV87" s="1997"/>
      <c r="FW87" s="1997"/>
      <c r="FX87" s="1997"/>
      <c r="FY87" s="1997"/>
      <c r="FZ87" s="1997"/>
      <c r="GA87" s="1997"/>
      <c r="GB87" s="1997"/>
      <c r="GC87" s="1997"/>
      <c r="GD87" s="1997"/>
      <c r="GE87" s="1997"/>
      <c r="GF87" s="1997"/>
      <c r="GG87" s="1997"/>
      <c r="GH87" s="1997"/>
      <c r="GI87" s="1997"/>
      <c r="GJ87" s="1997"/>
      <c r="GK87" s="1997"/>
      <c r="GL87" s="1997"/>
      <c r="GM87" s="1997"/>
      <c r="GN87" s="1997"/>
      <c r="GO87" s="1997"/>
      <c r="GP87" s="1997"/>
      <c r="GQ87" s="1997"/>
      <c r="GR87" s="1997"/>
      <c r="GS87" s="1997"/>
      <c r="GT87" s="1997"/>
      <c r="GU87" s="1997"/>
      <c r="GV87" s="1997"/>
      <c r="GW87" s="1997"/>
      <c r="GX87" s="1997"/>
      <c r="GY87" s="1997"/>
      <c r="GZ87" s="1997"/>
      <c r="HA87" s="1997"/>
      <c r="HB87" s="1997"/>
      <c r="HC87" s="1997"/>
      <c r="HD87" s="1997"/>
      <c r="HE87" s="1997"/>
      <c r="HF87" s="1997"/>
      <c r="HG87" s="1997"/>
      <c r="HH87" s="1997"/>
      <c r="HI87" s="1997"/>
      <c r="HJ87" s="1997"/>
      <c r="HK87" s="1997"/>
      <c r="HL87" s="1997"/>
      <c r="HM87" s="1997"/>
      <c r="HN87" s="1997"/>
      <c r="HO87" s="1997"/>
      <c r="HP87" s="1997"/>
      <c r="HQ87" s="1997"/>
      <c r="HR87" s="1997"/>
      <c r="HS87" s="1997"/>
      <c r="HT87" s="1997"/>
      <c r="HU87" s="1997"/>
      <c r="HV87" s="1997"/>
      <c r="HW87" s="1997"/>
      <c r="HX87" s="1997"/>
      <c r="HY87" s="1997"/>
      <c r="HZ87" s="1997"/>
      <c r="IA87" s="1997"/>
      <c r="IB87" s="1997"/>
      <c r="IC87" s="1997"/>
      <c r="ID87" s="1997"/>
      <c r="IE87" s="1997"/>
      <c r="IF87" s="1997"/>
      <c r="IG87" s="1997"/>
      <c r="IH87" s="1997"/>
      <c r="II87" s="1997"/>
      <c r="IJ87" s="1997"/>
      <c r="IK87" s="1997"/>
      <c r="IL87" s="1997"/>
      <c r="IM87" s="1997"/>
      <c r="IN87" s="1997"/>
      <c r="IO87" s="1997"/>
      <c r="IP87" s="1997"/>
      <c r="IQ87" s="1997"/>
    </row>
    <row r="88" spans="1:251" hidden="1">
      <c r="A88" s="1993"/>
      <c r="B88" s="1998"/>
      <c r="C88" s="1998"/>
      <c r="D88" s="2034"/>
      <c r="E88" s="1998"/>
      <c r="F88" s="1940">
        <f t="shared" si="32"/>
        <v>0</v>
      </c>
      <c r="G88" s="1993"/>
      <c r="H88" s="1940">
        <f t="shared" si="33"/>
        <v>0</v>
      </c>
      <c r="I88" s="1993"/>
      <c r="J88" s="1940">
        <f t="shared" si="34"/>
        <v>0</v>
      </c>
      <c r="K88" s="1993"/>
      <c r="L88" s="1940">
        <f t="shared" si="35"/>
        <v>0</v>
      </c>
      <c r="M88" s="1940">
        <f t="shared" si="36"/>
        <v>0</v>
      </c>
      <c r="N88" s="1940">
        <f t="shared" si="37"/>
        <v>0</v>
      </c>
      <c r="O88" s="1993"/>
      <c r="P88" s="1993"/>
      <c r="Q88" s="1940">
        <f t="shared" si="38"/>
        <v>0</v>
      </c>
      <c r="R88" s="1940">
        <f t="shared" si="39"/>
        <v>0</v>
      </c>
      <c r="S88" s="1940">
        <f t="shared" si="40"/>
        <v>0</v>
      </c>
      <c r="T88" s="1940">
        <f t="shared" si="41"/>
        <v>0</v>
      </c>
      <c r="U88" s="1940">
        <f t="shared" si="42"/>
        <v>0</v>
      </c>
      <c r="V88" s="1997"/>
      <c r="W88" s="1997"/>
      <c r="X88" s="1997"/>
      <c r="Y88" s="1997"/>
      <c r="Z88" s="1997"/>
      <c r="AA88" s="1997"/>
      <c r="AB88" s="1997"/>
      <c r="AC88" s="1997"/>
      <c r="AD88" s="1997"/>
      <c r="AE88" s="1997"/>
      <c r="AF88" s="1997"/>
      <c r="AG88" s="1997"/>
      <c r="AH88" s="1997"/>
      <c r="AI88" s="1997"/>
      <c r="AJ88" s="1997"/>
      <c r="AK88" s="1997"/>
      <c r="AL88" s="1997"/>
      <c r="AM88" s="1997"/>
      <c r="AN88" s="1997"/>
      <c r="AO88" s="1997"/>
      <c r="AP88" s="1997"/>
      <c r="AQ88" s="1997"/>
      <c r="AR88" s="1997"/>
      <c r="AS88" s="1997"/>
      <c r="AT88" s="1997"/>
      <c r="AU88" s="1997"/>
      <c r="AV88" s="1997"/>
      <c r="AW88" s="1997"/>
      <c r="AX88" s="1997"/>
      <c r="AY88" s="1997"/>
      <c r="AZ88" s="1997"/>
      <c r="BA88" s="1997"/>
      <c r="BB88" s="1997"/>
      <c r="BC88" s="1997"/>
      <c r="BD88" s="1997"/>
      <c r="BE88" s="1997"/>
      <c r="BF88" s="1997"/>
      <c r="BG88" s="1997"/>
      <c r="BH88" s="1997"/>
      <c r="BI88" s="1997"/>
      <c r="BJ88" s="1997"/>
      <c r="BK88" s="1997"/>
      <c r="BL88" s="1997"/>
      <c r="BM88" s="1997"/>
      <c r="BN88" s="1997"/>
      <c r="BO88" s="1997"/>
      <c r="BP88" s="1997"/>
      <c r="BQ88" s="1997"/>
      <c r="BR88" s="1997"/>
      <c r="BS88" s="1997"/>
      <c r="BT88" s="1997"/>
      <c r="BU88" s="1997"/>
      <c r="BV88" s="1997"/>
      <c r="BW88" s="1997"/>
      <c r="BX88" s="1997"/>
      <c r="BY88" s="1997"/>
      <c r="BZ88" s="1997"/>
      <c r="CA88" s="1997"/>
      <c r="CB88" s="1997"/>
      <c r="CC88" s="1997"/>
      <c r="CD88" s="1997"/>
      <c r="CE88" s="1997"/>
      <c r="CF88" s="1997"/>
      <c r="CG88" s="1997"/>
      <c r="CH88" s="1997"/>
      <c r="CI88" s="1997"/>
      <c r="CJ88" s="1997"/>
      <c r="CK88" s="1997"/>
      <c r="CL88" s="1997"/>
      <c r="CM88" s="1997"/>
      <c r="CN88" s="1997"/>
      <c r="CO88" s="1997"/>
      <c r="CP88" s="1997"/>
      <c r="CQ88" s="1997"/>
      <c r="CR88" s="1997"/>
      <c r="CS88" s="1997"/>
      <c r="CT88" s="1997"/>
      <c r="CU88" s="1997"/>
      <c r="CV88" s="1997"/>
      <c r="CW88" s="1997"/>
      <c r="CX88" s="1997"/>
      <c r="CY88" s="1997"/>
      <c r="CZ88" s="1997"/>
      <c r="DA88" s="1997"/>
      <c r="DB88" s="1997"/>
      <c r="DC88" s="1997"/>
      <c r="DD88" s="1997"/>
      <c r="DE88" s="1997"/>
      <c r="DF88" s="1997"/>
      <c r="DG88" s="1997"/>
      <c r="DH88" s="1997"/>
      <c r="DI88" s="1997"/>
      <c r="DJ88" s="1997"/>
      <c r="DK88" s="1997"/>
      <c r="DL88" s="1997"/>
      <c r="DM88" s="1997"/>
      <c r="DN88" s="1997"/>
      <c r="DO88" s="1997"/>
      <c r="DP88" s="1997"/>
      <c r="DQ88" s="1997"/>
      <c r="DR88" s="1997"/>
      <c r="DS88" s="1997"/>
      <c r="DT88" s="1997"/>
      <c r="DU88" s="1997"/>
      <c r="DV88" s="1997"/>
      <c r="DW88" s="1997"/>
      <c r="DX88" s="1997"/>
      <c r="DY88" s="1997"/>
      <c r="DZ88" s="1997"/>
      <c r="EA88" s="1997"/>
      <c r="EB88" s="1997"/>
      <c r="EC88" s="1997"/>
      <c r="ED88" s="1997"/>
      <c r="EE88" s="1997"/>
      <c r="EF88" s="1997"/>
      <c r="EG88" s="1997"/>
      <c r="EH88" s="1997"/>
      <c r="EI88" s="1997"/>
      <c r="EJ88" s="1997"/>
      <c r="EK88" s="1997"/>
      <c r="EL88" s="1997"/>
      <c r="EM88" s="1997"/>
      <c r="EN88" s="1997"/>
      <c r="EO88" s="1997"/>
      <c r="EP88" s="1997"/>
      <c r="EQ88" s="1997"/>
      <c r="ER88" s="1997"/>
      <c r="ES88" s="1997"/>
      <c r="ET88" s="1997"/>
      <c r="EU88" s="1997"/>
      <c r="EV88" s="1997"/>
      <c r="EW88" s="1997"/>
      <c r="EX88" s="1997"/>
      <c r="EY88" s="1997"/>
      <c r="EZ88" s="1997"/>
      <c r="FA88" s="1997"/>
      <c r="FB88" s="1997"/>
      <c r="FC88" s="1997"/>
      <c r="FD88" s="1997"/>
      <c r="FE88" s="1997"/>
      <c r="FF88" s="1997"/>
      <c r="FG88" s="1997"/>
      <c r="FH88" s="1997"/>
      <c r="FI88" s="1997"/>
      <c r="FJ88" s="1997"/>
      <c r="FK88" s="1997"/>
      <c r="FL88" s="1997"/>
      <c r="FM88" s="1997"/>
      <c r="FN88" s="1997"/>
      <c r="FO88" s="1997"/>
      <c r="FP88" s="1997"/>
      <c r="FQ88" s="1997"/>
      <c r="FR88" s="1997"/>
      <c r="FS88" s="1997"/>
      <c r="FT88" s="1997"/>
      <c r="FU88" s="1997"/>
      <c r="FV88" s="1997"/>
      <c r="FW88" s="1997"/>
      <c r="FX88" s="1997"/>
      <c r="FY88" s="1997"/>
      <c r="FZ88" s="1997"/>
      <c r="GA88" s="1997"/>
      <c r="GB88" s="1997"/>
      <c r="GC88" s="1997"/>
      <c r="GD88" s="1997"/>
      <c r="GE88" s="1997"/>
      <c r="GF88" s="1997"/>
      <c r="GG88" s="1997"/>
      <c r="GH88" s="1997"/>
      <c r="GI88" s="1997"/>
      <c r="GJ88" s="1997"/>
      <c r="GK88" s="1997"/>
      <c r="GL88" s="1997"/>
      <c r="GM88" s="1997"/>
      <c r="GN88" s="1997"/>
      <c r="GO88" s="1997"/>
      <c r="GP88" s="1997"/>
      <c r="GQ88" s="1997"/>
      <c r="GR88" s="1997"/>
      <c r="GS88" s="1997"/>
      <c r="GT88" s="1997"/>
      <c r="GU88" s="1997"/>
      <c r="GV88" s="1997"/>
      <c r="GW88" s="1997"/>
      <c r="GX88" s="1997"/>
      <c r="GY88" s="1997"/>
      <c r="GZ88" s="1997"/>
      <c r="HA88" s="1997"/>
      <c r="HB88" s="1997"/>
      <c r="HC88" s="1997"/>
      <c r="HD88" s="1997"/>
      <c r="HE88" s="1997"/>
      <c r="HF88" s="1997"/>
      <c r="HG88" s="1997"/>
      <c r="HH88" s="1997"/>
      <c r="HI88" s="1997"/>
      <c r="HJ88" s="1997"/>
      <c r="HK88" s="1997"/>
      <c r="HL88" s="1997"/>
      <c r="HM88" s="1997"/>
      <c r="HN88" s="1997"/>
      <c r="HO88" s="1997"/>
      <c r="HP88" s="1997"/>
      <c r="HQ88" s="1997"/>
      <c r="HR88" s="1997"/>
      <c r="HS88" s="1997"/>
      <c r="HT88" s="1997"/>
      <c r="HU88" s="1997"/>
      <c r="HV88" s="1997"/>
      <c r="HW88" s="1997"/>
      <c r="HX88" s="1997"/>
      <c r="HY88" s="1997"/>
      <c r="HZ88" s="1997"/>
      <c r="IA88" s="1997"/>
      <c r="IB88" s="1997"/>
      <c r="IC88" s="1997"/>
      <c r="ID88" s="1997"/>
      <c r="IE88" s="1997"/>
      <c r="IF88" s="1997"/>
      <c r="IG88" s="1997"/>
      <c r="IH88" s="1997"/>
      <c r="II88" s="1997"/>
      <c r="IJ88" s="1997"/>
      <c r="IK88" s="1997"/>
      <c r="IL88" s="1997"/>
      <c r="IM88" s="1997"/>
      <c r="IN88" s="1997"/>
      <c r="IO88" s="1997"/>
      <c r="IP88" s="1997"/>
      <c r="IQ88" s="1997"/>
    </row>
    <row r="89" spans="1:251" hidden="1">
      <c r="A89" s="1993"/>
      <c r="B89" s="1998"/>
      <c r="C89" s="1998"/>
      <c r="D89" s="2034"/>
      <c r="E89" s="1998"/>
      <c r="F89" s="1940">
        <f t="shared" si="32"/>
        <v>0</v>
      </c>
      <c r="G89" s="1993"/>
      <c r="H89" s="1940">
        <f t="shared" si="33"/>
        <v>0</v>
      </c>
      <c r="I89" s="1993"/>
      <c r="J89" s="1940">
        <f t="shared" si="34"/>
        <v>0</v>
      </c>
      <c r="K89" s="1993"/>
      <c r="L89" s="1940">
        <f t="shared" si="35"/>
        <v>0</v>
      </c>
      <c r="M89" s="1940">
        <f t="shared" si="36"/>
        <v>0</v>
      </c>
      <c r="N89" s="1940">
        <f t="shared" si="37"/>
        <v>0</v>
      </c>
      <c r="O89" s="1993"/>
      <c r="P89" s="1993"/>
      <c r="Q89" s="1940">
        <f t="shared" si="38"/>
        <v>0</v>
      </c>
      <c r="R89" s="1940">
        <f t="shared" si="39"/>
        <v>0</v>
      </c>
      <c r="S89" s="1940">
        <f t="shared" si="40"/>
        <v>0</v>
      </c>
      <c r="T89" s="1940">
        <f t="shared" si="41"/>
        <v>0</v>
      </c>
      <c r="U89" s="1940">
        <f t="shared" si="42"/>
        <v>0</v>
      </c>
      <c r="V89" s="1997"/>
      <c r="W89" s="1997"/>
      <c r="X89" s="1997"/>
      <c r="Y89" s="1997"/>
      <c r="Z89" s="1997"/>
      <c r="AA89" s="1997"/>
      <c r="AB89" s="1997"/>
      <c r="AC89" s="1997"/>
      <c r="AD89" s="1997"/>
      <c r="AE89" s="1997"/>
      <c r="AF89" s="1997"/>
      <c r="AG89" s="1997"/>
      <c r="AH89" s="1997"/>
      <c r="AI89" s="1997"/>
      <c r="AJ89" s="1997"/>
      <c r="AK89" s="1997"/>
      <c r="AL89" s="1997"/>
      <c r="AM89" s="1997"/>
      <c r="AN89" s="1997"/>
      <c r="AO89" s="1997"/>
      <c r="AP89" s="1997"/>
      <c r="AQ89" s="1997"/>
      <c r="AR89" s="1997"/>
      <c r="AS89" s="1997"/>
      <c r="AT89" s="1997"/>
      <c r="AU89" s="1997"/>
      <c r="AV89" s="1997"/>
      <c r="AW89" s="1997"/>
      <c r="AX89" s="1997"/>
      <c r="AY89" s="1997"/>
      <c r="AZ89" s="1997"/>
      <c r="BA89" s="1997"/>
      <c r="BB89" s="1997"/>
      <c r="BC89" s="1997"/>
      <c r="BD89" s="1997"/>
      <c r="BE89" s="1997"/>
      <c r="BF89" s="1997"/>
      <c r="BG89" s="1997"/>
      <c r="BH89" s="1997"/>
      <c r="BI89" s="1997"/>
      <c r="BJ89" s="1997"/>
      <c r="BK89" s="1997"/>
      <c r="BL89" s="1997"/>
      <c r="BM89" s="1997"/>
      <c r="BN89" s="1997"/>
      <c r="BO89" s="1997"/>
      <c r="BP89" s="1997"/>
      <c r="BQ89" s="1997"/>
      <c r="BR89" s="1997"/>
      <c r="BS89" s="1997"/>
      <c r="BT89" s="1997"/>
      <c r="BU89" s="1997"/>
      <c r="BV89" s="1997"/>
      <c r="BW89" s="1997"/>
      <c r="BX89" s="1997"/>
      <c r="BY89" s="1997"/>
      <c r="BZ89" s="1997"/>
      <c r="CA89" s="1997"/>
      <c r="CB89" s="1997"/>
      <c r="CC89" s="1997"/>
      <c r="CD89" s="1997"/>
      <c r="CE89" s="1997"/>
      <c r="CF89" s="1997"/>
      <c r="CG89" s="1997"/>
      <c r="CH89" s="1997"/>
      <c r="CI89" s="1997"/>
      <c r="CJ89" s="1997"/>
      <c r="CK89" s="1997"/>
      <c r="CL89" s="1997"/>
      <c r="CM89" s="1997"/>
      <c r="CN89" s="1997"/>
      <c r="CO89" s="1997"/>
      <c r="CP89" s="1997"/>
      <c r="CQ89" s="1997"/>
      <c r="CR89" s="1997"/>
      <c r="CS89" s="1997"/>
      <c r="CT89" s="1997"/>
      <c r="CU89" s="1997"/>
      <c r="CV89" s="1997"/>
      <c r="CW89" s="1997"/>
      <c r="CX89" s="1997"/>
      <c r="CY89" s="1997"/>
      <c r="CZ89" s="1997"/>
      <c r="DA89" s="1997"/>
      <c r="DB89" s="1997"/>
      <c r="DC89" s="1997"/>
      <c r="DD89" s="1997"/>
      <c r="DE89" s="1997"/>
      <c r="DF89" s="1997"/>
      <c r="DG89" s="1997"/>
      <c r="DH89" s="1997"/>
      <c r="DI89" s="1997"/>
      <c r="DJ89" s="1997"/>
      <c r="DK89" s="1997"/>
      <c r="DL89" s="1997"/>
      <c r="DM89" s="1997"/>
      <c r="DN89" s="1997"/>
      <c r="DO89" s="1997"/>
      <c r="DP89" s="1997"/>
      <c r="DQ89" s="1997"/>
      <c r="DR89" s="1997"/>
      <c r="DS89" s="1997"/>
      <c r="DT89" s="1997"/>
      <c r="DU89" s="1997"/>
      <c r="DV89" s="1997"/>
      <c r="DW89" s="1997"/>
      <c r="DX89" s="1997"/>
      <c r="DY89" s="1997"/>
      <c r="DZ89" s="1997"/>
      <c r="EA89" s="1997"/>
      <c r="EB89" s="1997"/>
      <c r="EC89" s="1997"/>
      <c r="ED89" s="1997"/>
      <c r="EE89" s="1997"/>
      <c r="EF89" s="1997"/>
      <c r="EG89" s="1997"/>
      <c r="EH89" s="1997"/>
      <c r="EI89" s="1997"/>
      <c r="EJ89" s="1997"/>
      <c r="EK89" s="1997"/>
      <c r="EL89" s="1997"/>
      <c r="EM89" s="1997"/>
      <c r="EN89" s="1997"/>
      <c r="EO89" s="1997"/>
      <c r="EP89" s="1997"/>
      <c r="EQ89" s="1997"/>
      <c r="ER89" s="1997"/>
      <c r="ES89" s="1997"/>
      <c r="ET89" s="1997"/>
      <c r="EU89" s="1997"/>
      <c r="EV89" s="1997"/>
      <c r="EW89" s="1997"/>
      <c r="EX89" s="1997"/>
      <c r="EY89" s="1997"/>
      <c r="EZ89" s="1997"/>
      <c r="FA89" s="1997"/>
      <c r="FB89" s="1997"/>
      <c r="FC89" s="1997"/>
      <c r="FD89" s="1997"/>
      <c r="FE89" s="1997"/>
      <c r="FF89" s="1997"/>
      <c r="FG89" s="1997"/>
      <c r="FH89" s="1997"/>
      <c r="FI89" s="1997"/>
      <c r="FJ89" s="1997"/>
      <c r="FK89" s="1997"/>
      <c r="FL89" s="1997"/>
      <c r="FM89" s="1997"/>
      <c r="FN89" s="1997"/>
      <c r="FO89" s="1997"/>
      <c r="FP89" s="1997"/>
      <c r="FQ89" s="1997"/>
      <c r="FR89" s="1997"/>
      <c r="FS89" s="1997"/>
      <c r="FT89" s="1997"/>
      <c r="FU89" s="1997"/>
      <c r="FV89" s="1997"/>
      <c r="FW89" s="1997"/>
      <c r="FX89" s="1997"/>
      <c r="FY89" s="1997"/>
      <c r="FZ89" s="1997"/>
      <c r="GA89" s="1997"/>
      <c r="GB89" s="1997"/>
      <c r="GC89" s="1997"/>
      <c r="GD89" s="1997"/>
      <c r="GE89" s="1997"/>
      <c r="GF89" s="1997"/>
      <c r="GG89" s="1997"/>
      <c r="GH89" s="1997"/>
      <c r="GI89" s="1997"/>
      <c r="GJ89" s="1997"/>
      <c r="GK89" s="1997"/>
      <c r="GL89" s="1997"/>
      <c r="GM89" s="1997"/>
      <c r="GN89" s="1997"/>
      <c r="GO89" s="1997"/>
      <c r="GP89" s="1997"/>
      <c r="GQ89" s="1997"/>
      <c r="GR89" s="1997"/>
      <c r="GS89" s="1997"/>
      <c r="GT89" s="1997"/>
      <c r="GU89" s="1997"/>
      <c r="GV89" s="1997"/>
      <c r="GW89" s="1997"/>
      <c r="GX89" s="1997"/>
      <c r="GY89" s="1997"/>
      <c r="GZ89" s="1997"/>
      <c r="HA89" s="1997"/>
      <c r="HB89" s="1997"/>
      <c r="HC89" s="1997"/>
      <c r="HD89" s="1997"/>
      <c r="HE89" s="1997"/>
      <c r="HF89" s="1997"/>
      <c r="HG89" s="1997"/>
      <c r="HH89" s="1997"/>
      <c r="HI89" s="1997"/>
      <c r="HJ89" s="1997"/>
      <c r="HK89" s="1997"/>
      <c r="HL89" s="1997"/>
      <c r="HM89" s="1997"/>
      <c r="HN89" s="1997"/>
      <c r="HO89" s="1997"/>
      <c r="HP89" s="1997"/>
      <c r="HQ89" s="1997"/>
      <c r="HR89" s="1997"/>
      <c r="HS89" s="1997"/>
      <c r="HT89" s="1997"/>
      <c r="HU89" s="1997"/>
      <c r="HV89" s="1997"/>
      <c r="HW89" s="1997"/>
      <c r="HX89" s="1997"/>
      <c r="HY89" s="1997"/>
      <c r="HZ89" s="1997"/>
      <c r="IA89" s="1997"/>
      <c r="IB89" s="1997"/>
      <c r="IC89" s="1997"/>
      <c r="ID89" s="1997"/>
      <c r="IE89" s="1997"/>
      <c r="IF89" s="1997"/>
      <c r="IG89" s="1997"/>
      <c r="IH89" s="1997"/>
      <c r="II89" s="1997"/>
      <c r="IJ89" s="1997"/>
      <c r="IK89" s="1997"/>
      <c r="IL89" s="1997"/>
      <c r="IM89" s="1997"/>
      <c r="IN89" s="1997"/>
      <c r="IO89" s="1997"/>
      <c r="IP89" s="1997"/>
      <c r="IQ89" s="1997"/>
    </row>
    <row r="90" spans="1:251" hidden="1">
      <c r="A90" s="1993"/>
      <c r="B90" s="1998"/>
      <c r="C90" s="1998"/>
      <c r="D90" s="2034"/>
      <c r="E90" s="1998"/>
      <c r="F90" s="1940">
        <f t="shared" si="32"/>
        <v>0</v>
      </c>
      <c r="G90" s="1993"/>
      <c r="H90" s="1940">
        <f t="shared" si="33"/>
        <v>0</v>
      </c>
      <c r="I90" s="1993"/>
      <c r="J90" s="1940">
        <f t="shared" si="34"/>
        <v>0</v>
      </c>
      <c r="K90" s="1993"/>
      <c r="L90" s="1940">
        <f t="shared" si="35"/>
        <v>0</v>
      </c>
      <c r="M90" s="1940">
        <f t="shared" si="36"/>
        <v>0</v>
      </c>
      <c r="N90" s="1940">
        <f t="shared" si="37"/>
        <v>0</v>
      </c>
      <c r="O90" s="1993"/>
      <c r="P90" s="1993"/>
      <c r="Q90" s="1940">
        <f t="shared" si="38"/>
        <v>0</v>
      </c>
      <c r="R90" s="1940">
        <f t="shared" si="39"/>
        <v>0</v>
      </c>
      <c r="S90" s="1940">
        <f t="shared" si="40"/>
        <v>0</v>
      </c>
      <c r="T90" s="1940">
        <f t="shared" si="41"/>
        <v>0</v>
      </c>
      <c r="U90" s="1940">
        <f t="shared" si="42"/>
        <v>0</v>
      </c>
      <c r="V90" s="1997"/>
      <c r="W90" s="1997"/>
      <c r="X90" s="1997"/>
      <c r="Y90" s="1997"/>
      <c r="Z90" s="1997"/>
      <c r="AA90" s="1997"/>
      <c r="AB90" s="1997"/>
      <c r="AC90" s="1997"/>
      <c r="AD90" s="1997"/>
      <c r="AE90" s="1997"/>
      <c r="AF90" s="1997"/>
      <c r="AG90" s="1997"/>
      <c r="AH90" s="1997"/>
      <c r="AI90" s="1997"/>
      <c r="AJ90" s="1997"/>
      <c r="AK90" s="1997"/>
      <c r="AL90" s="1997"/>
      <c r="AM90" s="1997"/>
      <c r="AN90" s="1997"/>
      <c r="AO90" s="1997"/>
      <c r="AP90" s="1997"/>
      <c r="AQ90" s="1997"/>
      <c r="AR90" s="1997"/>
      <c r="AS90" s="1997"/>
      <c r="AT90" s="1997"/>
      <c r="AU90" s="1997"/>
      <c r="AV90" s="1997"/>
      <c r="AW90" s="1997"/>
      <c r="AX90" s="1997"/>
      <c r="AY90" s="1997"/>
      <c r="AZ90" s="1997"/>
      <c r="BA90" s="1997"/>
      <c r="BB90" s="1997"/>
      <c r="BC90" s="1997"/>
      <c r="BD90" s="1997"/>
      <c r="BE90" s="1997"/>
      <c r="BF90" s="1997"/>
      <c r="BG90" s="1997"/>
      <c r="BH90" s="1997"/>
      <c r="BI90" s="1997"/>
      <c r="BJ90" s="1997"/>
      <c r="BK90" s="1997"/>
      <c r="BL90" s="1997"/>
      <c r="BM90" s="1997"/>
      <c r="BN90" s="1997"/>
      <c r="BO90" s="1997"/>
      <c r="BP90" s="1997"/>
      <c r="BQ90" s="1997"/>
      <c r="BR90" s="1997"/>
      <c r="BS90" s="1997"/>
      <c r="BT90" s="1997"/>
      <c r="BU90" s="1997"/>
      <c r="BV90" s="1997"/>
      <c r="BW90" s="1997"/>
      <c r="BX90" s="1997"/>
      <c r="BY90" s="1997"/>
      <c r="BZ90" s="1997"/>
      <c r="CA90" s="1997"/>
      <c r="CB90" s="1997"/>
      <c r="CC90" s="1997"/>
      <c r="CD90" s="1997"/>
      <c r="CE90" s="1997"/>
      <c r="CF90" s="1997"/>
      <c r="CG90" s="1997"/>
      <c r="CH90" s="1997"/>
      <c r="CI90" s="1997"/>
      <c r="CJ90" s="1997"/>
      <c r="CK90" s="1997"/>
      <c r="CL90" s="1997"/>
      <c r="CM90" s="1997"/>
      <c r="CN90" s="1997"/>
      <c r="CO90" s="1997"/>
      <c r="CP90" s="1997"/>
      <c r="CQ90" s="1997"/>
      <c r="CR90" s="1997"/>
      <c r="CS90" s="1997"/>
      <c r="CT90" s="1997"/>
      <c r="CU90" s="1997"/>
      <c r="CV90" s="1997"/>
      <c r="CW90" s="1997"/>
      <c r="CX90" s="1997"/>
      <c r="CY90" s="1997"/>
      <c r="CZ90" s="1997"/>
      <c r="DA90" s="1997"/>
      <c r="DB90" s="1997"/>
      <c r="DC90" s="1997"/>
      <c r="DD90" s="1997"/>
      <c r="DE90" s="1997"/>
      <c r="DF90" s="1997"/>
      <c r="DG90" s="1997"/>
      <c r="DH90" s="1997"/>
      <c r="DI90" s="1997"/>
      <c r="DJ90" s="1997"/>
      <c r="DK90" s="1997"/>
      <c r="DL90" s="1997"/>
      <c r="DM90" s="1997"/>
      <c r="DN90" s="1997"/>
      <c r="DO90" s="1997"/>
      <c r="DP90" s="1997"/>
      <c r="DQ90" s="1997"/>
      <c r="DR90" s="1997"/>
      <c r="DS90" s="1997"/>
      <c r="DT90" s="1997"/>
      <c r="DU90" s="1997"/>
      <c r="DV90" s="1997"/>
      <c r="DW90" s="1997"/>
      <c r="DX90" s="1997"/>
      <c r="DY90" s="1997"/>
      <c r="DZ90" s="1997"/>
      <c r="EA90" s="1997"/>
      <c r="EB90" s="1997"/>
      <c r="EC90" s="1997"/>
      <c r="ED90" s="1997"/>
      <c r="EE90" s="1997"/>
      <c r="EF90" s="1997"/>
      <c r="EG90" s="1997"/>
      <c r="EH90" s="1997"/>
      <c r="EI90" s="1997"/>
      <c r="EJ90" s="1997"/>
      <c r="EK90" s="1997"/>
      <c r="EL90" s="1997"/>
      <c r="EM90" s="1997"/>
      <c r="EN90" s="1997"/>
      <c r="EO90" s="1997"/>
      <c r="EP90" s="1997"/>
      <c r="EQ90" s="1997"/>
      <c r="ER90" s="1997"/>
      <c r="ES90" s="1997"/>
      <c r="ET90" s="1997"/>
      <c r="EU90" s="1997"/>
      <c r="EV90" s="1997"/>
      <c r="EW90" s="1997"/>
      <c r="EX90" s="1997"/>
      <c r="EY90" s="1997"/>
      <c r="EZ90" s="1997"/>
      <c r="FA90" s="1997"/>
      <c r="FB90" s="1997"/>
      <c r="FC90" s="1997"/>
      <c r="FD90" s="1997"/>
      <c r="FE90" s="1997"/>
      <c r="FF90" s="1997"/>
      <c r="FG90" s="1997"/>
      <c r="FH90" s="1997"/>
      <c r="FI90" s="1997"/>
      <c r="FJ90" s="1997"/>
      <c r="FK90" s="1997"/>
      <c r="FL90" s="1997"/>
      <c r="FM90" s="1997"/>
      <c r="FN90" s="1997"/>
      <c r="FO90" s="1997"/>
      <c r="FP90" s="1997"/>
      <c r="FQ90" s="1997"/>
      <c r="FR90" s="1997"/>
      <c r="FS90" s="1997"/>
      <c r="FT90" s="1997"/>
      <c r="FU90" s="1997"/>
      <c r="FV90" s="1997"/>
      <c r="FW90" s="1997"/>
      <c r="FX90" s="1997"/>
      <c r="FY90" s="1997"/>
      <c r="FZ90" s="1997"/>
      <c r="GA90" s="1997"/>
      <c r="GB90" s="1997"/>
      <c r="GC90" s="1997"/>
      <c r="GD90" s="1997"/>
      <c r="GE90" s="1997"/>
      <c r="GF90" s="1997"/>
      <c r="GG90" s="1997"/>
      <c r="GH90" s="1997"/>
      <c r="GI90" s="1997"/>
      <c r="GJ90" s="1997"/>
      <c r="GK90" s="1997"/>
      <c r="GL90" s="1997"/>
      <c r="GM90" s="1997"/>
      <c r="GN90" s="1997"/>
      <c r="GO90" s="1997"/>
      <c r="GP90" s="1997"/>
      <c r="GQ90" s="1997"/>
      <c r="GR90" s="1997"/>
      <c r="GS90" s="1997"/>
      <c r="GT90" s="1997"/>
      <c r="GU90" s="1997"/>
      <c r="GV90" s="1997"/>
      <c r="GW90" s="1997"/>
      <c r="GX90" s="1997"/>
      <c r="GY90" s="1997"/>
      <c r="GZ90" s="1997"/>
      <c r="HA90" s="1997"/>
      <c r="HB90" s="1997"/>
      <c r="HC90" s="1997"/>
      <c r="HD90" s="1997"/>
      <c r="HE90" s="1997"/>
      <c r="HF90" s="1997"/>
      <c r="HG90" s="1997"/>
      <c r="HH90" s="1997"/>
      <c r="HI90" s="1997"/>
      <c r="HJ90" s="1997"/>
      <c r="HK90" s="1997"/>
      <c r="HL90" s="1997"/>
      <c r="HM90" s="1997"/>
      <c r="HN90" s="1997"/>
      <c r="HO90" s="1997"/>
      <c r="HP90" s="1997"/>
      <c r="HQ90" s="1997"/>
      <c r="HR90" s="1997"/>
      <c r="HS90" s="1997"/>
      <c r="HT90" s="1997"/>
      <c r="HU90" s="1997"/>
      <c r="HV90" s="1997"/>
      <c r="HW90" s="1997"/>
      <c r="HX90" s="1997"/>
      <c r="HY90" s="1997"/>
      <c r="HZ90" s="1997"/>
      <c r="IA90" s="1997"/>
      <c r="IB90" s="1997"/>
      <c r="IC90" s="1997"/>
      <c r="ID90" s="1997"/>
      <c r="IE90" s="1997"/>
      <c r="IF90" s="1997"/>
      <c r="IG90" s="1997"/>
      <c r="IH90" s="1997"/>
      <c r="II90" s="1997"/>
      <c r="IJ90" s="1997"/>
      <c r="IK90" s="1997"/>
      <c r="IL90" s="1997"/>
      <c r="IM90" s="1997"/>
      <c r="IN90" s="1997"/>
      <c r="IO90" s="1997"/>
      <c r="IP90" s="1997"/>
      <c r="IQ90" s="1997"/>
    </row>
    <row r="91" spans="1:251" hidden="1">
      <c r="A91" s="1993"/>
      <c r="B91" s="1998"/>
      <c r="C91" s="1998"/>
      <c r="D91" s="2034"/>
      <c r="E91" s="1998"/>
      <c r="F91" s="1940">
        <f t="shared" si="32"/>
        <v>0</v>
      </c>
      <c r="G91" s="1993"/>
      <c r="H91" s="1940">
        <f t="shared" si="33"/>
        <v>0</v>
      </c>
      <c r="I91" s="1993"/>
      <c r="J91" s="1940">
        <f t="shared" si="34"/>
        <v>0</v>
      </c>
      <c r="K91" s="1993"/>
      <c r="L91" s="1940">
        <f t="shared" si="35"/>
        <v>0</v>
      </c>
      <c r="M91" s="1940">
        <f t="shared" si="36"/>
        <v>0</v>
      </c>
      <c r="N91" s="1940">
        <f t="shared" si="37"/>
        <v>0</v>
      </c>
      <c r="O91" s="1993"/>
      <c r="P91" s="1993"/>
      <c r="Q91" s="1940">
        <f t="shared" si="38"/>
        <v>0</v>
      </c>
      <c r="R91" s="1940">
        <f t="shared" si="39"/>
        <v>0</v>
      </c>
      <c r="S91" s="1940">
        <f t="shared" si="40"/>
        <v>0</v>
      </c>
      <c r="T91" s="1940">
        <f t="shared" si="41"/>
        <v>0</v>
      </c>
      <c r="U91" s="1940">
        <f t="shared" si="42"/>
        <v>0</v>
      </c>
      <c r="V91" s="1997"/>
      <c r="W91" s="1997"/>
      <c r="X91" s="1997"/>
      <c r="Y91" s="1997"/>
      <c r="Z91" s="1997"/>
      <c r="AA91" s="1997"/>
      <c r="AB91" s="1997"/>
      <c r="AC91" s="1997"/>
      <c r="AD91" s="1997"/>
      <c r="AE91" s="1997"/>
      <c r="AF91" s="1997"/>
      <c r="AG91" s="1997"/>
      <c r="AH91" s="1997"/>
      <c r="AI91" s="1997"/>
      <c r="AJ91" s="1997"/>
      <c r="AK91" s="1997"/>
      <c r="AL91" s="1997"/>
      <c r="AM91" s="1997"/>
      <c r="AN91" s="1997"/>
      <c r="AO91" s="1997"/>
      <c r="AP91" s="1997"/>
      <c r="AQ91" s="1997"/>
      <c r="AR91" s="1997"/>
      <c r="AS91" s="1997"/>
      <c r="AT91" s="1997"/>
      <c r="AU91" s="1997"/>
      <c r="AV91" s="1997"/>
      <c r="AW91" s="1997"/>
      <c r="AX91" s="1997"/>
      <c r="AY91" s="1997"/>
      <c r="AZ91" s="1997"/>
      <c r="BA91" s="1997"/>
      <c r="BB91" s="1997"/>
      <c r="BC91" s="1997"/>
      <c r="BD91" s="1997"/>
      <c r="BE91" s="1997"/>
      <c r="BF91" s="1997"/>
      <c r="BG91" s="1997"/>
      <c r="BH91" s="1997"/>
      <c r="BI91" s="1997"/>
      <c r="BJ91" s="1997"/>
      <c r="BK91" s="1997"/>
      <c r="BL91" s="1997"/>
      <c r="BM91" s="1997"/>
      <c r="BN91" s="1997"/>
      <c r="BO91" s="1997"/>
      <c r="BP91" s="1997"/>
      <c r="BQ91" s="1997"/>
      <c r="BR91" s="1997"/>
      <c r="BS91" s="1997"/>
      <c r="BT91" s="1997"/>
      <c r="BU91" s="1997"/>
      <c r="BV91" s="1997"/>
      <c r="BW91" s="1997"/>
      <c r="BX91" s="1997"/>
      <c r="BY91" s="1997"/>
      <c r="BZ91" s="1997"/>
      <c r="CA91" s="1997"/>
      <c r="CB91" s="1997"/>
      <c r="CC91" s="1997"/>
      <c r="CD91" s="1997"/>
      <c r="CE91" s="1997"/>
      <c r="CF91" s="1997"/>
      <c r="CG91" s="1997"/>
      <c r="CH91" s="1997"/>
      <c r="CI91" s="1997"/>
      <c r="CJ91" s="1997"/>
      <c r="CK91" s="1997"/>
      <c r="CL91" s="1997"/>
      <c r="CM91" s="1997"/>
      <c r="CN91" s="1997"/>
      <c r="CO91" s="1997"/>
      <c r="CP91" s="1997"/>
      <c r="CQ91" s="1997"/>
      <c r="CR91" s="1997"/>
      <c r="CS91" s="1997"/>
      <c r="CT91" s="1997"/>
      <c r="CU91" s="1997"/>
      <c r="CV91" s="1997"/>
      <c r="CW91" s="1997"/>
      <c r="CX91" s="1997"/>
      <c r="CY91" s="1997"/>
      <c r="CZ91" s="1997"/>
      <c r="DA91" s="1997"/>
      <c r="DB91" s="1997"/>
      <c r="DC91" s="1997"/>
      <c r="DD91" s="1997"/>
      <c r="DE91" s="1997"/>
      <c r="DF91" s="1997"/>
      <c r="DG91" s="1997"/>
      <c r="DH91" s="1997"/>
      <c r="DI91" s="1997"/>
      <c r="DJ91" s="1997"/>
      <c r="DK91" s="1997"/>
      <c r="DL91" s="1997"/>
      <c r="DM91" s="1997"/>
      <c r="DN91" s="1997"/>
      <c r="DO91" s="1997"/>
      <c r="DP91" s="1997"/>
      <c r="DQ91" s="1997"/>
      <c r="DR91" s="1997"/>
      <c r="DS91" s="1997"/>
      <c r="DT91" s="1997"/>
      <c r="DU91" s="1997"/>
      <c r="DV91" s="1997"/>
      <c r="DW91" s="1997"/>
      <c r="DX91" s="1997"/>
      <c r="DY91" s="1997"/>
      <c r="DZ91" s="1997"/>
      <c r="EA91" s="1997"/>
      <c r="EB91" s="1997"/>
      <c r="EC91" s="1997"/>
      <c r="ED91" s="1997"/>
      <c r="EE91" s="1997"/>
      <c r="EF91" s="1997"/>
      <c r="EG91" s="1997"/>
      <c r="EH91" s="1997"/>
      <c r="EI91" s="1997"/>
      <c r="EJ91" s="1997"/>
      <c r="EK91" s="1997"/>
      <c r="EL91" s="1997"/>
      <c r="EM91" s="1997"/>
      <c r="EN91" s="1997"/>
      <c r="EO91" s="1997"/>
      <c r="EP91" s="1997"/>
      <c r="EQ91" s="1997"/>
      <c r="ER91" s="1997"/>
      <c r="ES91" s="1997"/>
      <c r="ET91" s="1997"/>
      <c r="EU91" s="1997"/>
      <c r="EV91" s="1997"/>
      <c r="EW91" s="1997"/>
      <c r="EX91" s="1997"/>
      <c r="EY91" s="1997"/>
      <c r="EZ91" s="1997"/>
      <c r="FA91" s="1997"/>
      <c r="FB91" s="1997"/>
      <c r="FC91" s="1997"/>
      <c r="FD91" s="1997"/>
      <c r="FE91" s="1997"/>
      <c r="FF91" s="1997"/>
      <c r="FG91" s="1997"/>
      <c r="FH91" s="1997"/>
      <c r="FI91" s="1997"/>
      <c r="FJ91" s="1997"/>
      <c r="FK91" s="1997"/>
      <c r="FL91" s="1997"/>
      <c r="FM91" s="1997"/>
      <c r="FN91" s="1997"/>
      <c r="FO91" s="1997"/>
      <c r="FP91" s="1997"/>
      <c r="FQ91" s="1997"/>
      <c r="FR91" s="1997"/>
      <c r="FS91" s="1997"/>
      <c r="FT91" s="1997"/>
      <c r="FU91" s="1997"/>
      <c r="FV91" s="1997"/>
      <c r="FW91" s="1997"/>
      <c r="FX91" s="1997"/>
      <c r="FY91" s="1997"/>
      <c r="FZ91" s="1997"/>
      <c r="GA91" s="1997"/>
      <c r="GB91" s="1997"/>
      <c r="GC91" s="1997"/>
      <c r="GD91" s="1997"/>
      <c r="GE91" s="1997"/>
      <c r="GF91" s="1997"/>
      <c r="GG91" s="1997"/>
      <c r="GH91" s="1997"/>
      <c r="GI91" s="1997"/>
      <c r="GJ91" s="1997"/>
      <c r="GK91" s="1997"/>
      <c r="GL91" s="1997"/>
      <c r="GM91" s="1997"/>
      <c r="GN91" s="1997"/>
      <c r="GO91" s="1997"/>
      <c r="GP91" s="1997"/>
      <c r="GQ91" s="1997"/>
      <c r="GR91" s="1997"/>
      <c r="GS91" s="1997"/>
      <c r="GT91" s="1997"/>
      <c r="GU91" s="1997"/>
      <c r="GV91" s="1997"/>
      <c r="GW91" s="1997"/>
      <c r="GX91" s="1997"/>
      <c r="GY91" s="1997"/>
      <c r="GZ91" s="1997"/>
      <c r="HA91" s="1997"/>
      <c r="HB91" s="1997"/>
      <c r="HC91" s="1997"/>
      <c r="HD91" s="1997"/>
      <c r="HE91" s="1997"/>
      <c r="HF91" s="1997"/>
      <c r="HG91" s="1997"/>
      <c r="HH91" s="1997"/>
      <c r="HI91" s="1997"/>
      <c r="HJ91" s="1997"/>
      <c r="HK91" s="1997"/>
      <c r="HL91" s="1997"/>
      <c r="HM91" s="1997"/>
      <c r="HN91" s="1997"/>
      <c r="HO91" s="1997"/>
      <c r="HP91" s="1997"/>
      <c r="HQ91" s="1997"/>
      <c r="HR91" s="1997"/>
      <c r="HS91" s="1997"/>
      <c r="HT91" s="1997"/>
      <c r="HU91" s="1997"/>
      <c r="HV91" s="1997"/>
      <c r="HW91" s="1997"/>
      <c r="HX91" s="1997"/>
      <c r="HY91" s="1997"/>
      <c r="HZ91" s="1997"/>
      <c r="IA91" s="1997"/>
      <c r="IB91" s="1997"/>
      <c r="IC91" s="1997"/>
      <c r="ID91" s="1997"/>
      <c r="IE91" s="1997"/>
      <c r="IF91" s="1997"/>
      <c r="IG91" s="1997"/>
      <c r="IH91" s="1997"/>
      <c r="II91" s="1997"/>
      <c r="IJ91" s="1997"/>
      <c r="IK91" s="1997"/>
      <c r="IL91" s="1997"/>
      <c r="IM91" s="1997"/>
      <c r="IN91" s="1997"/>
      <c r="IO91" s="1997"/>
      <c r="IP91" s="1997"/>
      <c r="IQ91" s="1997"/>
    </row>
    <row r="92" spans="1:251" hidden="1">
      <c r="A92" s="1993"/>
      <c r="B92" s="1998"/>
      <c r="C92" s="1998"/>
      <c r="D92" s="2034"/>
      <c r="E92" s="1998"/>
      <c r="F92" s="1940">
        <f t="shared" si="32"/>
        <v>0</v>
      </c>
      <c r="G92" s="1993"/>
      <c r="H92" s="1940">
        <f t="shared" si="33"/>
        <v>0</v>
      </c>
      <c r="I92" s="1993"/>
      <c r="J92" s="1940">
        <f t="shared" si="34"/>
        <v>0</v>
      </c>
      <c r="K92" s="1993"/>
      <c r="L92" s="1940">
        <f t="shared" si="35"/>
        <v>0</v>
      </c>
      <c r="M92" s="1940">
        <f t="shared" si="36"/>
        <v>0</v>
      </c>
      <c r="N92" s="1940">
        <f t="shared" si="37"/>
        <v>0</v>
      </c>
      <c r="O92" s="1993"/>
      <c r="P92" s="1993"/>
      <c r="Q92" s="1940">
        <f t="shared" si="38"/>
        <v>0</v>
      </c>
      <c r="R92" s="1940">
        <f t="shared" si="39"/>
        <v>0</v>
      </c>
      <c r="S92" s="1940">
        <f t="shared" si="40"/>
        <v>0</v>
      </c>
      <c r="T92" s="1940">
        <f t="shared" si="41"/>
        <v>0</v>
      </c>
      <c r="U92" s="1940">
        <f t="shared" si="42"/>
        <v>0</v>
      </c>
      <c r="V92" s="1997"/>
      <c r="W92" s="1997"/>
      <c r="X92" s="1997"/>
      <c r="Y92" s="1997"/>
      <c r="Z92" s="1997"/>
      <c r="AA92" s="1997"/>
      <c r="AB92" s="1997"/>
      <c r="AC92" s="1997"/>
      <c r="AD92" s="1997"/>
      <c r="AE92" s="1997"/>
      <c r="AF92" s="1997"/>
      <c r="AG92" s="1997"/>
      <c r="AH92" s="1997"/>
      <c r="AI92" s="1997"/>
      <c r="AJ92" s="1997"/>
      <c r="AK92" s="1997"/>
      <c r="AL92" s="1997"/>
      <c r="AM92" s="1997"/>
      <c r="AN92" s="1997"/>
      <c r="AO92" s="1997"/>
      <c r="AP92" s="1997"/>
      <c r="AQ92" s="1997"/>
      <c r="AR92" s="1997"/>
      <c r="AS92" s="1997"/>
      <c r="AT92" s="1997"/>
      <c r="AU92" s="1997"/>
      <c r="AV92" s="1997"/>
      <c r="AW92" s="1997"/>
      <c r="AX92" s="1997"/>
      <c r="AY92" s="1997"/>
      <c r="AZ92" s="1997"/>
      <c r="BA92" s="1997"/>
      <c r="BB92" s="1997"/>
      <c r="BC92" s="1997"/>
      <c r="BD92" s="1997"/>
      <c r="BE92" s="1997"/>
      <c r="BF92" s="1997"/>
      <c r="BG92" s="1997"/>
      <c r="BH92" s="1997"/>
      <c r="BI92" s="1997"/>
      <c r="BJ92" s="1997"/>
      <c r="BK92" s="1997"/>
      <c r="BL92" s="1997"/>
      <c r="BM92" s="1997"/>
      <c r="BN92" s="1997"/>
      <c r="BO92" s="1997"/>
      <c r="BP92" s="1997"/>
      <c r="BQ92" s="1997"/>
      <c r="BR92" s="1997"/>
      <c r="BS92" s="1997"/>
      <c r="BT92" s="1997"/>
      <c r="BU92" s="1997"/>
      <c r="BV92" s="1997"/>
      <c r="BW92" s="1997"/>
      <c r="BX92" s="1997"/>
      <c r="BY92" s="1997"/>
      <c r="BZ92" s="1997"/>
      <c r="CA92" s="1997"/>
      <c r="CB92" s="1997"/>
      <c r="CC92" s="1997"/>
      <c r="CD92" s="1997"/>
      <c r="CE92" s="1997"/>
      <c r="CF92" s="1997"/>
      <c r="CG92" s="1997"/>
      <c r="CH92" s="1997"/>
      <c r="CI92" s="1997"/>
      <c r="CJ92" s="1997"/>
      <c r="CK92" s="1997"/>
      <c r="CL92" s="1997"/>
      <c r="CM92" s="1997"/>
      <c r="CN92" s="1997"/>
      <c r="CO92" s="1997"/>
      <c r="CP92" s="1997"/>
      <c r="CQ92" s="1997"/>
      <c r="CR92" s="1997"/>
      <c r="CS92" s="1997"/>
      <c r="CT92" s="1997"/>
      <c r="CU92" s="1997"/>
      <c r="CV92" s="1997"/>
      <c r="CW92" s="1997"/>
      <c r="CX92" s="1997"/>
      <c r="CY92" s="1997"/>
      <c r="CZ92" s="1997"/>
      <c r="DA92" s="1997"/>
      <c r="DB92" s="1997"/>
      <c r="DC92" s="1997"/>
      <c r="DD92" s="1997"/>
      <c r="DE92" s="1997"/>
      <c r="DF92" s="1997"/>
      <c r="DG92" s="1997"/>
      <c r="DH92" s="1997"/>
      <c r="DI92" s="1997"/>
      <c r="DJ92" s="1997"/>
      <c r="DK92" s="1997"/>
      <c r="DL92" s="1997"/>
      <c r="DM92" s="1997"/>
      <c r="DN92" s="1997"/>
      <c r="DO92" s="1997"/>
      <c r="DP92" s="1997"/>
      <c r="DQ92" s="1997"/>
      <c r="DR92" s="1997"/>
      <c r="DS92" s="1997"/>
      <c r="DT92" s="1997"/>
      <c r="DU92" s="1997"/>
      <c r="DV92" s="1997"/>
      <c r="DW92" s="1997"/>
      <c r="DX92" s="1997"/>
      <c r="DY92" s="1997"/>
      <c r="DZ92" s="1997"/>
      <c r="EA92" s="1997"/>
      <c r="EB92" s="1997"/>
      <c r="EC92" s="1997"/>
      <c r="ED92" s="1997"/>
      <c r="EE92" s="1997"/>
      <c r="EF92" s="1997"/>
      <c r="EG92" s="1997"/>
      <c r="EH92" s="1997"/>
      <c r="EI92" s="1997"/>
      <c r="EJ92" s="1997"/>
      <c r="EK92" s="1997"/>
      <c r="EL92" s="1997"/>
      <c r="EM92" s="1997"/>
      <c r="EN92" s="1997"/>
      <c r="EO92" s="1997"/>
      <c r="EP92" s="1997"/>
      <c r="EQ92" s="1997"/>
      <c r="ER92" s="1997"/>
      <c r="ES92" s="1997"/>
      <c r="ET92" s="1997"/>
      <c r="EU92" s="1997"/>
      <c r="EV92" s="1997"/>
      <c r="EW92" s="1997"/>
      <c r="EX92" s="1997"/>
      <c r="EY92" s="1997"/>
      <c r="EZ92" s="1997"/>
      <c r="FA92" s="1997"/>
      <c r="FB92" s="1997"/>
      <c r="FC92" s="1997"/>
      <c r="FD92" s="1997"/>
      <c r="FE92" s="1997"/>
      <c r="FF92" s="1997"/>
      <c r="FG92" s="1997"/>
      <c r="FH92" s="1997"/>
      <c r="FI92" s="1997"/>
      <c r="FJ92" s="1997"/>
      <c r="FK92" s="1997"/>
      <c r="FL92" s="1997"/>
      <c r="FM92" s="1997"/>
      <c r="FN92" s="1997"/>
      <c r="FO92" s="1997"/>
      <c r="FP92" s="1997"/>
      <c r="FQ92" s="1997"/>
      <c r="FR92" s="1997"/>
      <c r="FS92" s="1997"/>
      <c r="FT92" s="1997"/>
      <c r="FU92" s="1997"/>
      <c r="FV92" s="1997"/>
      <c r="FW92" s="1997"/>
      <c r="FX92" s="1997"/>
      <c r="FY92" s="1997"/>
      <c r="FZ92" s="1997"/>
      <c r="GA92" s="1997"/>
      <c r="GB92" s="1997"/>
      <c r="GC92" s="1997"/>
      <c r="GD92" s="1997"/>
      <c r="GE92" s="1997"/>
      <c r="GF92" s="1997"/>
      <c r="GG92" s="1997"/>
      <c r="GH92" s="1997"/>
      <c r="GI92" s="1997"/>
      <c r="GJ92" s="1997"/>
      <c r="GK92" s="1997"/>
      <c r="GL92" s="1997"/>
      <c r="GM92" s="1997"/>
      <c r="GN92" s="1997"/>
      <c r="GO92" s="1997"/>
      <c r="GP92" s="1997"/>
      <c r="GQ92" s="1997"/>
      <c r="GR92" s="1997"/>
      <c r="GS92" s="1997"/>
      <c r="GT92" s="1997"/>
      <c r="GU92" s="1997"/>
      <c r="GV92" s="1997"/>
      <c r="GW92" s="1997"/>
      <c r="GX92" s="1997"/>
      <c r="GY92" s="1997"/>
      <c r="GZ92" s="1997"/>
      <c r="HA92" s="1997"/>
      <c r="HB92" s="1997"/>
      <c r="HC92" s="1997"/>
      <c r="HD92" s="1997"/>
      <c r="HE92" s="1997"/>
      <c r="HF92" s="1997"/>
      <c r="HG92" s="1997"/>
      <c r="HH92" s="1997"/>
      <c r="HI92" s="1997"/>
      <c r="HJ92" s="1997"/>
      <c r="HK92" s="1997"/>
      <c r="HL92" s="1997"/>
      <c r="HM92" s="1997"/>
      <c r="HN92" s="1997"/>
      <c r="HO92" s="1997"/>
      <c r="HP92" s="1997"/>
      <c r="HQ92" s="1997"/>
      <c r="HR92" s="1997"/>
      <c r="HS92" s="1997"/>
      <c r="HT92" s="1997"/>
      <c r="HU92" s="1997"/>
      <c r="HV92" s="1997"/>
      <c r="HW92" s="1997"/>
      <c r="HX92" s="1997"/>
      <c r="HY92" s="1997"/>
      <c r="HZ92" s="1997"/>
      <c r="IA92" s="1997"/>
      <c r="IB92" s="1997"/>
      <c r="IC92" s="1997"/>
      <c r="ID92" s="1997"/>
      <c r="IE92" s="1997"/>
      <c r="IF92" s="1997"/>
      <c r="IG92" s="1997"/>
      <c r="IH92" s="1997"/>
      <c r="II92" s="1997"/>
      <c r="IJ92" s="1997"/>
      <c r="IK92" s="1997"/>
      <c r="IL92" s="1997"/>
      <c r="IM92" s="1997"/>
      <c r="IN92" s="1997"/>
      <c r="IO92" s="1997"/>
      <c r="IP92" s="1997"/>
      <c r="IQ92" s="1997"/>
    </row>
    <row r="93" spans="1:251" hidden="1">
      <c r="A93" s="1993"/>
      <c r="B93" s="1998"/>
      <c r="C93" s="1998"/>
      <c r="D93" s="2034"/>
      <c r="E93" s="1998"/>
      <c r="F93" s="1940">
        <f t="shared" si="32"/>
        <v>0</v>
      </c>
      <c r="G93" s="1993"/>
      <c r="H93" s="1940">
        <f t="shared" si="33"/>
        <v>0</v>
      </c>
      <c r="I93" s="1993"/>
      <c r="J93" s="1940">
        <f t="shared" si="34"/>
        <v>0</v>
      </c>
      <c r="K93" s="1993"/>
      <c r="L93" s="1940">
        <f t="shared" si="35"/>
        <v>0</v>
      </c>
      <c r="M93" s="1940">
        <f t="shared" si="36"/>
        <v>0</v>
      </c>
      <c r="N93" s="1940">
        <f t="shared" si="37"/>
        <v>0</v>
      </c>
      <c r="O93" s="1993"/>
      <c r="P93" s="1993"/>
      <c r="Q93" s="1940">
        <f t="shared" si="38"/>
        <v>0</v>
      </c>
      <c r="R93" s="1940">
        <f t="shared" si="39"/>
        <v>0</v>
      </c>
      <c r="S93" s="1940">
        <f t="shared" si="40"/>
        <v>0</v>
      </c>
      <c r="T93" s="1940">
        <f t="shared" si="41"/>
        <v>0</v>
      </c>
      <c r="U93" s="1940">
        <f t="shared" si="42"/>
        <v>0</v>
      </c>
      <c r="V93" s="1997"/>
      <c r="W93" s="1997"/>
      <c r="X93" s="1997"/>
      <c r="Y93" s="1997"/>
      <c r="Z93" s="1997"/>
      <c r="AA93" s="1997"/>
      <c r="AB93" s="1997"/>
      <c r="AC93" s="1997"/>
      <c r="AD93" s="1997"/>
      <c r="AE93" s="1997"/>
      <c r="AF93" s="1997"/>
      <c r="AG93" s="1997"/>
      <c r="AH93" s="1997"/>
      <c r="AI93" s="1997"/>
      <c r="AJ93" s="1997"/>
      <c r="AK93" s="1997"/>
      <c r="AL93" s="1997"/>
      <c r="AM93" s="1997"/>
      <c r="AN93" s="1997"/>
      <c r="AO93" s="1997"/>
      <c r="AP93" s="1997"/>
      <c r="AQ93" s="1997"/>
      <c r="AR93" s="1997"/>
      <c r="AS93" s="1997"/>
      <c r="AT93" s="1997"/>
      <c r="AU93" s="1997"/>
      <c r="AV93" s="1997"/>
      <c r="AW93" s="1997"/>
      <c r="AX93" s="1997"/>
      <c r="AY93" s="1997"/>
      <c r="AZ93" s="1997"/>
      <c r="BA93" s="1997"/>
      <c r="BB93" s="1997"/>
      <c r="BC93" s="1997"/>
      <c r="BD93" s="1997"/>
      <c r="BE93" s="1997"/>
      <c r="BF93" s="1997"/>
      <c r="BG93" s="1997"/>
      <c r="BH93" s="1997"/>
      <c r="BI93" s="1997"/>
      <c r="BJ93" s="1997"/>
      <c r="BK93" s="1997"/>
      <c r="BL93" s="1997"/>
      <c r="BM93" s="1997"/>
      <c r="BN93" s="1997"/>
      <c r="BO93" s="1997"/>
      <c r="BP93" s="1997"/>
      <c r="BQ93" s="1997"/>
      <c r="BR93" s="1997"/>
      <c r="BS93" s="1997"/>
      <c r="BT93" s="1997"/>
      <c r="BU93" s="1997"/>
      <c r="BV93" s="1997"/>
      <c r="BW93" s="1997"/>
      <c r="BX93" s="1997"/>
      <c r="BY93" s="1997"/>
      <c r="BZ93" s="1997"/>
      <c r="CA93" s="1997"/>
      <c r="CB93" s="1997"/>
      <c r="CC93" s="1997"/>
      <c r="CD93" s="1997"/>
      <c r="CE93" s="1997"/>
      <c r="CF93" s="1997"/>
      <c r="CG93" s="1997"/>
      <c r="CH93" s="1997"/>
      <c r="CI93" s="1997"/>
      <c r="CJ93" s="1997"/>
      <c r="CK93" s="1997"/>
      <c r="CL93" s="1997"/>
      <c r="CM93" s="1997"/>
      <c r="CN93" s="1997"/>
      <c r="CO93" s="1997"/>
      <c r="CP93" s="1997"/>
      <c r="CQ93" s="1997"/>
      <c r="CR93" s="1997"/>
      <c r="CS93" s="1997"/>
      <c r="CT93" s="1997"/>
      <c r="CU93" s="1997"/>
      <c r="CV93" s="1997"/>
      <c r="CW93" s="1997"/>
      <c r="CX93" s="1997"/>
      <c r="CY93" s="1997"/>
      <c r="CZ93" s="1997"/>
      <c r="DA93" s="1997"/>
      <c r="DB93" s="1997"/>
      <c r="DC93" s="1997"/>
      <c r="DD93" s="1997"/>
      <c r="DE93" s="1997"/>
      <c r="DF93" s="1997"/>
      <c r="DG93" s="1997"/>
      <c r="DH93" s="1997"/>
      <c r="DI93" s="1997"/>
      <c r="DJ93" s="1997"/>
      <c r="DK93" s="1997"/>
      <c r="DL93" s="1997"/>
      <c r="DM93" s="1997"/>
      <c r="DN93" s="1997"/>
      <c r="DO93" s="1997"/>
      <c r="DP93" s="1997"/>
      <c r="DQ93" s="1997"/>
      <c r="DR93" s="1997"/>
      <c r="DS93" s="1997"/>
      <c r="DT93" s="1997"/>
      <c r="DU93" s="1997"/>
      <c r="DV93" s="1997"/>
      <c r="DW93" s="1997"/>
      <c r="DX93" s="1997"/>
      <c r="DY93" s="1997"/>
      <c r="DZ93" s="1997"/>
      <c r="EA93" s="1997"/>
      <c r="EB93" s="1997"/>
      <c r="EC93" s="1997"/>
      <c r="ED93" s="1997"/>
      <c r="EE93" s="1997"/>
      <c r="EF93" s="1997"/>
      <c r="EG93" s="1997"/>
      <c r="EH93" s="1997"/>
      <c r="EI93" s="1997"/>
      <c r="EJ93" s="1997"/>
      <c r="EK93" s="1997"/>
      <c r="EL93" s="1997"/>
      <c r="EM93" s="1997"/>
      <c r="EN93" s="1997"/>
      <c r="EO93" s="1997"/>
      <c r="EP93" s="1997"/>
      <c r="EQ93" s="1997"/>
      <c r="ER93" s="1997"/>
      <c r="ES93" s="1997"/>
      <c r="ET93" s="1997"/>
      <c r="EU93" s="1997"/>
      <c r="EV93" s="1997"/>
      <c r="EW93" s="1997"/>
      <c r="EX93" s="1997"/>
      <c r="EY93" s="1997"/>
      <c r="EZ93" s="1997"/>
      <c r="FA93" s="1997"/>
      <c r="FB93" s="1997"/>
      <c r="FC93" s="1997"/>
      <c r="FD93" s="1997"/>
      <c r="FE93" s="1997"/>
      <c r="FF93" s="1997"/>
      <c r="FG93" s="1997"/>
      <c r="FH93" s="1997"/>
      <c r="FI93" s="1997"/>
      <c r="FJ93" s="1997"/>
      <c r="FK93" s="1997"/>
      <c r="FL93" s="1997"/>
      <c r="FM93" s="1997"/>
      <c r="FN93" s="1997"/>
      <c r="FO93" s="1997"/>
      <c r="FP93" s="1997"/>
      <c r="FQ93" s="1997"/>
      <c r="FR93" s="1997"/>
      <c r="FS93" s="1997"/>
      <c r="FT93" s="1997"/>
      <c r="FU93" s="1997"/>
      <c r="FV93" s="1997"/>
      <c r="FW93" s="1997"/>
      <c r="FX93" s="1997"/>
      <c r="FY93" s="1997"/>
      <c r="FZ93" s="1997"/>
      <c r="GA93" s="1997"/>
      <c r="GB93" s="1997"/>
      <c r="GC93" s="1997"/>
      <c r="GD93" s="1997"/>
      <c r="GE93" s="1997"/>
      <c r="GF93" s="1997"/>
      <c r="GG93" s="1997"/>
      <c r="GH93" s="1997"/>
      <c r="GI93" s="1997"/>
      <c r="GJ93" s="1997"/>
      <c r="GK93" s="1997"/>
      <c r="GL93" s="1997"/>
      <c r="GM93" s="1997"/>
      <c r="GN93" s="1997"/>
      <c r="GO93" s="1997"/>
      <c r="GP93" s="1997"/>
      <c r="GQ93" s="1997"/>
      <c r="GR93" s="1997"/>
      <c r="GS93" s="1997"/>
      <c r="GT93" s="1997"/>
      <c r="GU93" s="1997"/>
      <c r="GV93" s="1997"/>
      <c r="GW93" s="1997"/>
      <c r="GX93" s="1997"/>
      <c r="GY93" s="1997"/>
      <c r="GZ93" s="1997"/>
      <c r="HA93" s="1997"/>
      <c r="HB93" s="1997"/>
      <c r="HC93" s="1997"/>
      <c r="HD93" s="1997"/>
      <c r="HE93" s="1997"/>
      <c r="HF93" s="1997"/>
      <c r="HG93" s="1997"/>
      <c r="HH93" s="1997"/>
      <c r="HI93" s="1997"/>
      <c r="HJ93" s="1997"/>
      <c r="HK93" s="1997"/>
      <c r="HL93" s="1997"/>
      <c r="HM93" s="1997"/>
      <c r="HN93" s="1997"/>
      <c r="HO93" s="1997"/>
      <c r="HP93" s="1997"/>
      <c r="HQ93" s="1997"/>
      <c r="HR93" s="1997"/>
      <c r="HS93" s="1997"/>
      <c r="HT93" s="1997"/>
      <c r="HU93" s="1997"/>
      <c r="HV93" s="1997"/>
      <c r="HW93" s="1997"/>
      <c r="HX93" s="1997"/>
      <c r="HY93" s="1997"/>
      <c r="HZ93" s="1997"/>
      <c r="IA93" s="1997"/>
      <c r="IB93" s="1997"/>
      <c r="IC93" s="1997"/>
      <c r="ID93" s="1997"/>
      <c r="IE93" s="1997"/>
      <c r="IF93" s="1997"/>
      <c r="IG93" s="1997"/>
      <c r="IH93" s="1997"/>
      <c r="II93" s="1997"/>
      <c r="IJ93" s="1997"/>
      <c r="IK93" s="1997"/>
      <c r="IL93" s="1997"/>
      <c r="IM93" s="1997"/>
      <c r="IN93" s="1997"/>
      <c r="IO93" s="1997"/>
      <c r="IP93" s="1997"/>
      <c r="IQ93" s="1997"/>
    </row>
    <row r="94" spans="1:251" hidden="1">
      <c r="A94" s="1993"/>
      <c r="B94" s="1998"/>
      <c r="C94" s="1998"/>
      <c r="D94" s="2034"/>
      <c r="E94" s="1998"/>
      <c r="F94" s="1940">
        <f t="shared" si="32"/>
        <v>0</v>
      </c>
      <c r="G94" s="1993"/>
      <c r="H94" s="1940">
        <f t="shared" si="33"/>
        <v>0</v>
      </c>
      <c r="I94" s="1993"/>
      <c r="J94" s="1940">
        <f t="shared" si="34"/>
        <v>0</v>
      </c>
      <c r="K94" s="1993"/>
      <c r="L94" s="1940">
        <f t="shared" si="35"/>
        <v>0</v>
      </c>
      <c r="M94" s="1940">
        <f t="shared" si="36"/>
        <v>0</v>
      </c>
      <c r="N94" s="1940">
        <f t="shared" si="37"/>
        <v>0</v>
      </c>
      <c r="O94" s="1993"/>
      <c r="P94" s="1993"/>
      <c r="Q94" s="1940">
        <f t="shared" si="38"/>
        <v>0</v>
      </c>
      <c r="R94" s="1940">
        <f t="shared" si="39"/>
        <v>0</v>
      </c>
      <c r="S94" s="1940">
        <f t="shared" si="40"/>
        <v>0</v>
      </c>
      <c r="T94" s="1940">
        <f t="shared" si="41"/>
        <v>0</v>
      </c>
      <c r="U94" s="1940">
        <f t="shared" si="42"/>
        <v>0</v>
      </c>
      <c r="V94" s="1997"/>
      <c r="W94" s="1997"/>
      <c r="X94" s="1997"/>
      <c r="Y94" s="1997"/>
      <c r="Z94" s="1997"/>
      <c r="AA94" s="1997"/>
      <c r="AB94" s="1997"/>
      <c r="AC94" s="1997"/>
      <c r="AD94" s="1997"/>
      <c r="AE94" s="1997"/>
      <c r="AF94" s="1997"/>
      <c r="AG94" s="1997"/>
      <c r="AH94" s="1997"/>
      <c r="AI94" s="1997"/>
      <c r="AJ94" s="1997"/>
      <c r="AK94" s="1997"/>
      <c r="AL94" s="1997"/>
      <c r="AM94" s="1997"/>
      <c r="AN94" s="1997"/>
      <c r="AO94" s="1997"/>
      <c r="AP94" s="1997"/>
      <c r="AQ94" s="1997"/>
      <c r="AR94" s="1997"/>
      <c r="AS94" s="1997"/>
      <c r="AT94" s="1997"/>
      <c r="AU94" s="1997"/>
      <c r="AV94" s="1997"/>
      <c r="AW94" s="1997"/>
      <c r="AX94" s="1997"/>
      <c r="AY94" s="1997"/>
      <c r="AZ94" s="1997"/>
      <c r="BA94" s="1997"/>
      <c r="BB94" s="1997"/>
      <c r="BC94" s="1997"/>
      <c r="BD94" s="1997"/>
      <c r="BE94" s="1997"/>
      <c r="BF94" s="1997"/>
      <c r="BG94" s="1997"/>
      <c r="BH94" s="1997"/>
      <c r="BI94" s="1997"/>
      <c r="BJ94" s="1997"/>
      <c r="BK94" s="1997"/>
      <c r="BL94" s="1997"/>
      <c r="BM94" s="1997"/>
      <c r="BN94" s="1997"/>
      <c r="BO94" s="1997"/>
      <c r="BP94" s="1997"/>
      <c r="BQ94" s="1997"/>
      <c r="BR94" s="1997"/>
      <c r="BS94" s="1997"/>
      <c r="BT94" s="1997"/>
      <c r="BU94" s="1997"/>
      <c r="BV94" s="1997"/>
      <c r="BW94" s="1997"/>
      <c r="BX94" s="1997"/>
      <c r="BY94" s="1997"/>
      <c r="BZ94" s="1997"/>
      <c r="CA94" s="1997"/>
      <c r="CB94" s="1997"/>
      <c r="CC94" s="1997"/>
      <c r="CD94" s="1997"/>
      <c r="CE94" s="1997"/>
      <c r="CF94" s="1997"/>
      <c r="CG94" s="1997"/>
      <c r="CH94" s="1997"/>
      <c r="CI94" s="1997"/>
      <c r="CJ94" s="1997"/>
      <c r="CK94" s="1997"/>
      <c r="CL94" s="1997"/>
      <c r="CM94" s="1997"/>
      <c r="CN94" s="1997"/>
      <c r="CO94" s="1997"/>
      <c r="CP94" s="1997"/>
      <c r="CQ94" s="1997"/>
      <c r="CR94" s="1997"/>
      <c r="CS94" s="1997"/>
      <c r="CT94" s="1997"/>
      <c r="CU94" s="1997"/>
      <c r="CV94" s="1997"/>
      <c r="CW94" s="1997"/>
      <c r="CX94" s="1997"/>
      <c r="CY94" s="1997"/>
      <c r="CZ94" s="1997"/>
      <c r="DA94" s="1997"/>
      <c r="DB94" s="1997"/>
      <c r="DC94" s="1997"/>
      <c r="DD94" s="1997"/>
      <c r="DE94" s="1997"/>
      <c r="DF94" s="1997"/>
      <c r="DG94" s="1997"/>
      <c r="DH94" s="1997"/>
      <c r="DI94" s="1997"/>
      <c r="DJ94" s="1997"/>
      <c r="DK94" s="1997"/>
      <c r="DL94" s="1997"/>
      <c r="DM94" s="1997"/>
      <c r="DN94" s="1997"/>
      <c r="DO94" s="1997"/>
      <c r="DP94" s="1997"/>
      <c r="DQ94" s="1997"/>
      <c r="DR94" s="1997"/>
      <c r="DS94" s="1997"/>
      <c r="DT94" s="1997"/>
      <c r="DU94" s="1997"/>
      <c r="DV94" s="1997"/>
      <c r="DW94" s="1997"/>
      <c r="DX94" s="1997"/>
      <c r="DY94" s="1997"/>
      <c r="DZ94" s="1997"/>
      <c r="EA94" s="1997"/>
      <c r="EB94" s="1997"/>
      <c r="EC94" s="1997"/>
      <c r="ED94" s="1997"/>
      <c r="EE94" s="1997"/>
      <c r="EF94" s="1997"/>
      <c r="EG94" s="1997"/>
      <c r="EH94" s="1997"/>
      <c r="EI94" s="1997"/>
      <c r="EJ94" s="1997"/>
      <c r="EK94" s="1997"/>
      <c r="EL94" s="1997"/>
      <c r="EM94" s="1997"/>
      <c r="EN94" s="1997"/>
      <c r="EO94" s="1997"/>
      <c r="EP94" s="1997"/>
      <c r="EQ94" s="1997"/>
      <c r="ER94" s="1997"/>
      <c r="ES94" s="1997"/>
      <c r="ET94" s="1997"/>
      <c r="EU94" s="1997"/>
      <c r="EV94" s="1997"/>
      <c r="EW94" s="1997"/>
      <c r="EX94" s="1997"/>
      <c r="EY94" s="1997"/>
      <c r="EZ94" s="1997"/>
      <c r="FA94" s="1997"/>
      <c r="FB94" s="1997"/>
      <c r="FC94" s="1997"/>
      <c r="FD94" s="1997"/>
      <c r="FE94" s="1997"/>
      <c r="FF94" s="1997"/>
      <c r="FG94" s="1997"/>
      <c r="FH94" s="1997"/>
      <c r="FI94" s="1997"/>
      <c r="FJ94" s="1997"/>
      <c r="FK94" s="1997"/>
      <c r="FL94" s="1997"/>
      <c r="FM94" s="1997"/>
      <c r="FN94" s="1997"/>
      <c r="FO94" s="1997"/>
      <c r="FP94" s="1997"/>
      <c r="FQ94" s="1997"/>
      <c r="FR94" s="1997"/>
      <c r="FS94" s="1997"/>
      <c r="FT94" s="1997"/>
      <c r="FU94" s="1997"/>
      <c r="FV94" s="1997"/>
      <c r="FW94" s="1997"/>
      <c r="FX94" s="1997"/>
      <c r="FY94" s="1997"/>
      <c r="FZ94" s="1997"/>
      <c r="GA94" s="1997"/>
      <c r="GB94" s="1997"/>
      <c r="GC94" s="1997"/>
      <c r="GD94" s="1997"/>
      <c r="GE94" s="1997"/>
      <c r="GF94" s="1997"/>
      <c r="GG94" s="1997"/>
      <c r="GH94" s="1997"/>
      <c r="GI94" s="1997"/>
      <c r="GJ94" s="1997"/>
      <c r="GK94" s="1997"/>
      <c r="GL94" s="1997"/>
      <c r="GM94" s="1997"/>
      <c r="GN94" s="1997"/>
      <c r="GO94" s="1997"/>
      <c r="GP94" s="1997"/>
      <c r="GQ94" s="1997"/>
      <c r="GR94" s="1997"/>
      <c r="GS94" s="1997"/>
      <c r="GT94" s="1997"/>
      <c r="GU94" s="1997"/>
      <c r="GV94" s="1997"/>
      <c r="GW94" s="1997"/>
      <c r="GX94" s="1997"/>
      <c r="GY94" s="1997"/>
      <c r="GZ94" s="1997"/>
      <c r="HA94" s="1997"/>
      <c r="HB94" s="1997"/>
      <c r="HC94" s="1997"/>
      <c r="HD94" s="1997"/>
      <c r="HE94" s="1997"/>
      <c r="HF94" s="1997"/>
      <c r="HG94" s="1997"/>
      <c r="HH94" s="1997"/>
      <c r="HI94" s="1997"/>
      <c r="HJ94" s="1997"/>
      <c r="HK94" s="1997"/>
      <c r="HL94" s="1997"/>
      <c r="HM94" s="1997"/>
      <c r="HN94" s="1997"/>
      <c r="HO94" s="1997"/>
      <c r="HP94" s="1997"/>
      <c r="HQ94" s="1997"/>
      <c r="HR94" s="1997"/>
      <c r="HS94" s="1997"/>
      <c r="HT94" s="1997"/>
      <c r="HU94" s="1997"/>
      <c r="HV94" s="1997"/>
      <c r="HW94" s="1997"/>
      <c r="HX94" s="1997"/>
      <c r="HY94" s="1997"/>
      <c r="HZ94" s="1997"/>
      <c r="IA94" s="1997"/>
      <c r="IB94" s="1997"/>
      <c r="IC94" s="1997"/>
      <c r="ID94" s="1997"/>
      <c r="IE94" s="1997"/>
      <c r="IF94" s="1997"/>
      <c r="IG94" s="1997"/>
      <c r="IH94" s="1997"/>
      <c r="II94" s="1997"/>
      <c r="IJ94" s="1997"/>
      <c r="IK94" s="1997"/>
      <c r="IL94" s="1997"/>
      <c r="IM94" s="1997"/>
      <c r="IN94" s="1997"/>
      <c r="IO94" s="1997"/>
      <c r="IP94" s="1997"/>
      <c r="IQ94" s="1997"/>
    </row>
    <row r="95" spans="1:251" hidden="1">
      <c r="A95" s="1993"/>
      <c r="B95" s="1998"/>
      <c r="C95" s="1998"/>
      <c r="D95" s="2034"/>
      <c r="E95" s="1998"/>
      <c r="F95" s="1940">
        <f t="shared" si="32"/>
        <v>0</v>
      </c>
      <c r="G95" s="1993"/>
      <c r="H95" s="1940">
        <f t="shared" si="33"/>
        <v>0</v>
      </c>
      <c r="I95" s="1993"/>
      <c r="J95" s="1940">
        <f t="shared" si="34"/>
        <v>0</v>
      </c>
      <c r="K95" s="1993"/>
      <c r="L95" s="1940">
        <f t="shared" si="35"/>
        <v>0</v>
      </c>
      <c r="M95" s="1940">
        <f t="shared" si="36"/>
        <v>0</v>
      </c>
      <c r="N95" s="1940">
        <f t="shared" si="37"/>
        <v>0</v>
      </c>
      <c r="O95" s="1993"/>
      <c r="P95" s="1993"/>
      <c r="Q95" s="1940">
        <f t="shared" si="38"/>
        <v>0</v>
      </c>
      <c r="R95" s="1940">
        <f t="shared" si="39"/>
        <v>0</v>
      </c>
      <c r="S95" s="1940">
        <f t="shared" si="40"/>
        <v>0</v>
      </c>
      <c r="T95" s="1940">
        <f t="shared" si="41"/>
        <v>0</v>
      </c>
      <c r="U95" s="1940">
        <f t="shared" si="42"/>
        <v>0</v>
      </c>
      <c r="V95" s="1997"/>
      <c r="W95" s="1997"/>
      <c r="X95" s="1997"/>
      <c r="Y95" s="1997"/>
      <c r="Z95" s="1997"/>
      <c r="AA95" s="1997"/>
      <c r="AB95" s="1997"/>
      <c r="AC95" s="1997"/>
      <c r="AD95" s="1997"/>
      <c r="AE95" s="1997"/>
      <c r="AF95" s="1997"/>
      <c r="AG95" s="1997"/>
      <c r="AH95" s="1997"/>
      <c r="AI95" s="1997"/>
      <c r="AJ95" s="1997"/>
      <c r="AK95" s="1997"/>
      <c r="AL95" s="1997"/>
      <c r="AM95" s="1997"/>
      <c r="AN95" s="1997"/>
      <c r="AO95" s="1997"/>
      <c r="AP95" s="1997"/>
      <c r="AQ95" s="1997"/>
      <c r="AR95" s="1997"/>
      <c r="AS95" s="1997"/>
      <c r="AT95" s="1997"/>
      <c r="AU95" s="1997"/>
      <c r="AV95" s="1997"/>
      <c r="AW95" s="1997"/>
      <c r="AX95" s="1997"/>
      <c r="AY95" s="1997"/>
      <c r="AZ95" s="1997"/>
      <c r="BA95" s="1997"/>
      <c r="BB95" s="1997"/>
      <c r="BC95" s="1997"/>
      <c r="BD95" s="1997"/>
      <c r="BE95" s="1997"/>
      <c r="BF95" s="1997"/>
      <c r="BG95" s="1997"/>
      <c r="BH95" s="1997"/>
      <c r="BI95" s="1997"/>
      <c r="BJ95" s="1997"/>
      <c r="BK95" s="1997"/>
      <c r="BL95" s="1997"/>
      <c r="BM95" s="1997"/>
      <c r="BN95" s="1997"/>
      <c r="BO95" s="1997"/>
      <c r="BP95" s="1997"/>
      <c r="BQ95" s="1997"/>
      <c r="BR95" s="1997"/>
      <c r="BS95" s="1997"/>
      <c r="BT95" s="1997"/>
      <c r="BU95" s="1997"/>
      <c r="BV95" s="1997"/>
      <c r="BW95" s="1997"/>
      <c r="BX95" s="1997"/>
      <c r="BY95" s="1997"/>
      <c r="BZ95" s="1997"/>
      <c r="CA95" s="1997"/>
      <c r="CB95" s="1997"/>
      <c r="CC95" s="1997"/>
      <c r="CD95" s="1997"/>
      <c r="CE95" s="1997"/>
      <c r="CF95" s="1997"/>
      <c r="CG95" s="1997"/>
      <c r="CH95" s="1997"/>
      <c r="CI95" s="1997"/>
      <c r="CJ95" s="1997"/>
      <c r="CK95" s="1997"/>
      <c r="CL95" s="1997"/>
      <c r="CM95" s="1997"/>
      <c r="CN95" s="1997"/>
      <c r="CO95" s="1997"/>
      <c r="CP95" s="1997"/>
      <c r="CQ95" s="1997"/>
      <c r="CR95" s="1997"/>
      <c r="CS95" s="1997"/>
      <c r="CT95" s="1997"/>
      <c r="CU95" s="1997"/>
      <c r="CV95" s="1997"/>
      <c r="CW95" s="1997"/>
      <c r="CX95" s="1997"/>
      <c r="CY95" s="1997"/>
      <c r="CZ95" s="1997"/>
      <c r="DA95" s="1997"/>
      <c r="DB95" s="1997"/>
      <c r="DC95" s="1997"/>
      <c r="DD95" s="1997"/>
      <c r="DE95" s="1997"/>
      <c r="DF95" s="1997"/>
      <c r="DG95" s="1997"/>
      <c r="DH95" s="1997"/>
      <c r="DI95" s="1997"/>
      <c r="DJ95" s="1997"/>
      <c r="DK95" s="1997"/>
      <c r="DL95" s="1997"/>
      <c r="DM95" s="1997"/>
      <c r="DN95" s="1997"/>
      <c r="DO95" s="1997"/>
      <c r="DP95" s="1997"/>
      <c r="DQ95" s="1997"/>
      <c r="DR95" s="1997"/>
      <c r="DS95" s="1997"/>
      <c r="DT95" s="1997"/>
      <c r="DU95" s="1997"/>
      <c r="DV95" s="1997"/>
      <c r="DW95" s="1997"/>
      <c r="DX95" s="1997"/>
      <c r="DY95" s="1997"/>
      <c r="DZ95" s="1997"/>
      <c r="EA95" s="1997"/>
      <c r="EB95" s="1997"/>
      <c r="EC95" s="1997"/>
      <c r="ED95" s="1997"/>
      <c r="EE95" s="1997"/>
      <c r="EF95" s="1997"/>
      <c r="EG95" s="1997"/>
      <c r="EH95" s="1997"/>
      <c r="EI95" s="1997"/>
      <c r="EJ95" s="1997"/>
      <c r="EK95" s="1997"/>
      <c r="EL95" s="1997"/>
      <c r="EM95" s="1997"/>
      <c r="EN95" s="1997"/>
      <c r="EO95" s="1997"/>
      <c r="EP95" s="1997"/>
      <c r="EQ95" s="1997"/>
      <c r="ER95" s="1997"/>
      <c r="ES95" s="1997"/>
      <c r="ET95" s="1997"/>
      <c r="EU95" s="1997"/>
      <c r="EV95" s="1997"/>
      <c r="EW95" s="1997"/>
      <c r="EX95" s="1997"/>
      <c r="EY95" s="1997"/>
      <c r="EZ95" s="1997"/>
      <c r="FA95" s="1997"/>
      <c r="FB95" s="1997"/>
      <c r="FC95" s="1997"/>
      <c r="FD95" s="1997"/>
      <c r="FE95" s="1997"/>
      <c r="FF95" s="1997"/>
      <c r="FG95" s="1997"/>
      <c r="FH95" s="1997"/>
      <c r="FI95" s="1997"/>
      <c r="FJ95" s="1997"/>
      <c r="FK95" s="1997"/>
      <c r="FL95" s="1997"/>
      <c r="FM95" s="1997"/>
      <c r="FN95" s="1997"/>
      <c r="FO95" s="1997"/>
      <c r="FP95" s="1997"/>
      <c r="FQ95" s="1997"/>
      <c r="FR95" s="1997"/>
      <c r="FS95" s="1997"/>
      <c r="FT95" s="1997"/>
      <c r="FU95" s="1997"/>
      <c r="FV95" s="1997"/>
      <c r="FW95" s="1997"/>
      <c r="FX95" s="1997"/>
      <c r="FY95" s="1997"/>
      <c r="FZ95" s="1997"/>
      <c r="GA95" s="1997"/>
      <c r="GB95" s="1997"/>
      <c r="GC95" s="1997"/>
      <c r="GD95" s="1997"/>
      <c r="GE95" s="1997"/>
      <c r="GF95" s="1997"/>
      <c r="GG95" s="1997"/>
      <c r="GH95" s="1997"/>
      <c r="GI95" s="1997"/>
      <c r="GJ95" s="1997"/>
      <c r="GK95" s="1997"/>
      <c r="GL95" s="1997"/>
      <c r="GM95" s="1997"/>
      <c r="GN95" s="1997"/>
      <c r="GO95" s="1997"/>
      <c r="GP95" s="1997"/>
      <c r="GQ95" s="1997"/>
      <c r="GR95" s="1997"/>
      <c r="GS95" s="1997"/>
      <c r="GT95" s="1997"/>
      <c r="GU95" s="1997"/>
      <c r="GV95" s="1997"/>
      <c r="GW95" s="1997"/>
      <c r="GX95" s="1997"/>
      <c r="GY95" s="1997"/>
      <c r="GZ95" s="1997"/>
      <c r="HA95" s="1997"/>
      <c r="HB95" s="1997"/>
      <c r="HC95" s="1997"/>
      <c r="HD95" s="1997"/>
      <c r="HE95" s="1997"/>
      <c r="HF95" s="1997"/>
      <c r="HG95" s="1997"/>
      <c r="HH95" s="1997"/>
      <c r="HI95" s="1997"/>
      <c r="HJ95" s="1997"/>
      <c r="HK95" s="1997"/>
      <c r="HL95" s="1997"/>
      <c r="HM95" s="1997"/>
      <c r="HN95" s="1997"/>
      <c r="HO95" s="1997"/>
      <c r="HP95" s="1997"/>
      <c r="HQ95" s="1997"/>
      <c r="HR95" s="1997"/>
      <c r="HS95" s="1997"/>
      <c r="HT95" s="1997"/>
      <c r="HU95" s="1997"/>
      <c r="HV95" s="1997"/>
      <c r="HW95" s="1997"/>
      <c r="HX95" s="1997"/>
      <c r="HY95" s="1997"/>
      <c r="HZ95" s="1997"/>
      <c r="IA95" s="1997"/>
      <c r="IB95" s="1997"/>
      <c r="IC95" s="1997"/>
      <c r="ID95" s="1997"/>
      <c r="IE95" s="1997"/>
      <c r="IF95" s="1997"/>
      <c r="IG95" s="1997"/>
      <c r="IH95" s="1997"/>
      <c r="II95" s="1997"/>
      <c r="IJ95" s="1997"/>
      <c r="IK95" s="1997"/>
      <c r="IL95" s="1997"/>
      <c r="IM95" s="1997"/>
      <c r="IN95" s="1997"/>
      <c r="IO95" s="1997"/>
      <c r="IP95" s="1997"/>
      <c r="IQ95" s="1997"/>
    </row>
    <row r="96" spans="1:251" hidden="1">
      <c r="A96" s="1993"/>
      <c r="B96" s="1998"/>
      <c r="C96" s="1998"/>
      <c r="D96" s="2034"/>
      <c r="E96" s="1998"/>
      <c r="F96" s="1940">
        <f t="shared" si="32"/>
        <v>0</v>
      </c>
      <c r="G96" s="1993"/>
      <c r="H96" s="1940">
        <f t="shared" si="33"/>
        <v>0</v>
      </c>
      <c r="I96" s="1993"/>
      <c r="J96" s="1940">
        <f t="shared" si="34"/>
        <v>0</v>
      </c>
      <c r="K96" s="1993"/>
      <c r="L96" s="1940">
        <f t="shared" si="35"/>
        <v>0</v>
      </c>
      <c r="M96" s="1940">
        <f t="shared" si="36"/>
        <v>0</v>
      </c>
      <c r="N96" s="1940">
        <f t="shared" si="37"/>
        <v>0</v>
      </c>
      <c r="O96" s="1993"/>
      <c r="P96" s="1993"/>
      <c r="Q96" s="1940">
        <f t="shared" si="38"/>
        <v>0</v>
      </c>
      <c r="R96" s="1940">
        <f t="shared" si="39"/>
        <v>0</v>
      </c>
      <c r="S96" s="1940">
        <f t="shared" si="40"/>
        <v>0</v>
      </c>
      <c r="T96" s="1940">
        <f t="shared" si="41"/>
        <v>0</v>
      </c>
      <c r="U96" s="1940">
        <f t="shared" si="42"/>
        <v>0</v>
      </c>
      <c r="V96" s="1997"/>
      <c r="W96" s="1997"/>
      <c r="X96" s="1997"/>
      <c r="Y96" s="1997"/>
      <c r="Z96" s="1997"/>
      <c r="AA96" s="1997"/>
      <c r="AB96" s="1997"/>
      <c r="AC96" s="1997"/>
      <c r="AD96" s="1997"/>
      <c r="AE96" s="1997"/>
      <c r="AF96" s="1997"/>
      <c r="AG96" s="1997"/>
      <c r="AH96" s="1997"/>
      <c r="AI96" s="1997"/>
      <c r="AJ96" s="1997"/>
      <c r="AK96" s="1997"/>
      <c r="AL96" s="1997"/>
      <c r="AM96" s="1997"/>
      <c r="AN96" s="1997"/>
      <c r="AO96" s="1997"/>
      <c r="AP96" s="1997"/>
      <c r="AQ96" s="1997"/>
      <c r="AR96" s="1997"/>
      <c r="AS96" s="1997"/>
      <c r="AT96" s="1997"/>
      <c r="AU96" s="1997"/>
      <c r="AV96" s="1997"/>
      <c r="AW96" s="1997"/>
      <c r="AX96" s="1997"/>
      <c r="AY96" s="1997"/>
      <c r="AZ96" s="1997"/>
      <c r="BA96" s="1997"/>
      <c r="BB96" s="1997"/>
      <c r="BC96" s="1997"/>
      <c r="BD96" s="1997"/>
      <c r="BE96" s="1997"/>
      <c r="BF96" s="1997"/>
      <c r="BG96" s="1997"/>
      <c r="BH96" s="1997"/>
      <c r="BI96" s="1997"/>
      <c r="BJ96" s="1997"/>
      <c r="BK96" s="1997"/>
      <c r="BL96" s="1997"/>
      <c r="BM96" s="1997"/>
      <c r="BN96" s="1997"/>
      <c r="BO96" s="1997"/>
      <c r="BP96" s="1997"/>
      <c r="BQ96" s="1997"/>
      <c r="BR96" s="1997"/>
      <c r="BS96" s="1997"/>
      <c r="BT96" s="1997"/>
      <c r="BU96" s="1997"/>
      <c r="BV96" s="1997"/>
      <c r="BW96" s="1997"/>
      <c r="BX96" s="1997"/>
      <c r="BY96" s="1997"/>
      <c r="BZ96" s="1997"/>
      <c r="CA96" s="1997"/>
      <c r="CB96" s="1997"/>
      <c r="CC96" s="1997"/>
      <c r="CD96" s="1997"/>
      <c r="CE96" s="1997"/>
      <c r="CF96" s="1997"/>
      <c r="CG96" s="1997"/>
      <c r="CH96" s="1997"/>
      <c r="CI96" s="1997"/>
      <c r="CJ96" s="1997"/>
      <c r="CK96" s="1997"/>
      <c r="CL96" s="1997"/>
      <c r="CM96" s="1997"/>
      <c r="CN96" s="1997"/>
      <c r="CO96" s="1997"/>
      <c r="CP96" s="1997"/>
      <c r="CQ96" s="1997"/>
      <c r="CR96" s="1997"/>
      <c r="CS96" s="1997"/>
      <c r="CT96" s="1997"/>
      <c r="CU96" s="1997"/>
      <c r="CV96" s="1997"/>
      <c r="CW96" s="1997"/>
      <c r="CX96" s="1997"/>
      <c r="CY96" s="1997"/>
      <c r="CZ96" s="1997"/>
      <c r="DA96" s="1997"/>
      <c r="DB96" s="1997"/>
      <c r="DC96" s="1997"/>
      <c r="DD96" s="1997"/>
      <c r="DE96" s="1997"/>
      <c r="DF96" s="1997"/>
      <c r="DG96" s="1997"/>
      <c r="DH96" s="1997"/>
      <c r="DI96" s="1997"/>
      <c r="DJ96" s="1997"/>
      <c r="DK96" s="1997"/>
      <c r="DL96" s="1997"/>
      <c r="DM96" s="1997"/>
      <c r="DN96" s="1997"/>
      <c r="DO96" s="1997"/>
      <c r="DP96" s="1997"/>
      <c r="DQ96" s="1997"/>
      <c r="DR96" s="1997"/>
      <c r="DS96" s="1997"/>
      <c r="DT96" s="1997"/>
      <c r="DU96" s="1997"/>
      <c r="DV96" s="1997"/>
      <c r="DW96" s="1997"/>
      <c r="DX96" s="1997"/>
      <c r="DY96" s="1997"/>
      <c r="DZ96" s="1997"/>
      <c r="EA96" s="1997"/>
      <c r="EB96" s="1997"/>
      <c r="EC96" s="1997"/>
      <c r="ED96" s="1997"/>
      <c r="EE96" s="1997"/>
      <c r="EF96" s="1997"/>
      <c r="EG96" s="1997"/>
      <c r="EH96" s="1997"/>
      <c r="EI96" s="1997"/>
      <c r="EJ96" s="1997"/>
      <c r="EK96" s="1997"/>
      <c r="EL96" s="1997"/>
      <c r="EM96" s="1997"/>
      <c r="EN96" s="1997"/>
      <c r="EO96" s="1997"/>
      <c r="EP96" s="1997"/>
      <c r="EQ96" s="1997"/>
      <c r="ER96" s="1997"/>
      <c r="ES96" s="1997"/>
      <c r="ET96" s="1997"/>
      <c r="EU96" s="1997"/>
      <c r="EV96" s="1997"/>
      <c r="EW96" s="1997"/>
      <c r="EX96" s="1997"/>
      <c r="EY96" s="1997"/>
      <c r="EZ96" s="1997"/>
      <c r="FA96" s="1997"/>
      <c r="FB96" s="1997"/>
      <c r="FC96" s="1997"/>
      <c r="FD96" s="1997"/>
      <c r="FE96" s="1997"/>
      <c r="FF96" s="1997"/>
      <c r="FG96" s="1997"/>
      <c r="FH96" s="1997"/>
      <c r="FI96" s="1997"/>
      <c r="FJ96" s="1997"/>
      <c r="FK96" s="1997"/>
      <c r="FL96" s="1997"/>
      <c r="FM96" s="1997"/>
      <c r="FN96" s="1997"/>
      <c r="FO96" s="1997"/>
      <c r="FP96" s="1997"/>
      <c r="FQ96" s="1997"/>
      <c r="FR96" s="1997"/>
      <c r="FS96" s="1997"/>
      <c r="FT96" s="1997"/>
      <c r="FU96" s="1997"/>
      <c r="FV96" s="1997"/>
      <c r="FW96" s="1997"/>
      <c r="FX96" s="1997"/>
      <c r="FY96" s="1997"/>
      <c r="FZ96" s="1997"/>
      <c r="GA96" s="1997"/>
      <c r="GB96" s="1997"/>
      <c r="GC96" s="1997"/>
      <c r="GD96" s="1997"/>
      <c r="GE96" s="1997"/>
      <c r="GF96" s="1997"/>
      <c r="GG96" s="1997"/>
      <c r="GH96" s="1997"/>
      <c r="GI96" s="1997"/>
      <c r="GJ96" s="1997"/>
      <c r="GK96" s="1997"/>
      <c r="GL96" s="1997"/>
      <c r="GM96" s="1997"/>
      <c r="GN96" s="1997"/>
      <c r="GO96" s="1997"/>
      <c r="GP96" s="1997"/>
      <c r="GQ96" s="1997"/>
      <c r="GR96" s="1997"/>
      <c r="GS96" s="1997"/>
      <c r="GT96" s="1997"/>
      <c r="GU96" s="1997"/>
      <c r="GV96" s="1997"/>
      <c r="GW96" s="1997"/>
      <c r="GX96" s="1997"/>
      <c r="GY96" s="1997"/>
      <c r="GZ96" s="1997"/>
      <c r="HA96" s="1997"/>
      <c r="HB96" s="1997"/>
      <c r="HC96" s="1997"/>
      <c r="HD96" s="1997"/>
      <c r="HE96" s="1997"/>
      <c r="HF96" s="1997"/>
      <c r="HG96" s="1997"/>
      <c r="HH96" s="1997"/>
      <c r="HI96" s="1997"/>
      <c r="HJ96" s="1997"/>
      <c r="HK96" s="1997"/>
      <c r="HL96" s="1997"/>
      <c r="HM96" s="1997"/>
      <c r="HN96" s="1997"/>
      <c r="HO96" s="1997"/>
      <c r="HP96" s="1997"/>
      <c r="HQ96" s="1997"/>
      <c r="HR96" s="1997"/>
      <c r="HS96" s="1997"/>
      <c r="HT96" s="1997"/>
      <c r="HU96" s="1997"/>
      <c r="HV96" s="1997"/>
      <c r="HW96" s="1997"/>
      <c r="HX96" s="1997"/>
      <c r="HY96" s="1997"/>
      <c r="HZ96" s="1997"/>
      <c r="IA96" s="1997"/>
      <c r="IB96" s="1997"/>
      <c r="IC96" s="1997"/>
      <c r="ID96" s="1997"/>
      <c r="IE96" s="1997"/>
      <c r="IF96" s="1997"/>
      <c r="IG96" s="1997"/>
      <c r="IH96" s="1997"/>
      <c r="II96" s="1997"/>
      <c r="IJ96" s="1997"/>
      <c r="IK96" s="1997"/>
      <c r="IL96" s="1997"/>
      <c r="IM96" s="1997"/>
      <c r="IN96" s="1997"/>
      <c r="IO96" s="1997"/>
      <c r="IP96" s="1997"/>
      <c r="IQ96" s="1997"/>
    </row>
    <row r="97" spans="1:251" hidden="1">
      <c r="A97" s="1993"/>
      <c r="B97" s="1998"/>
      <c r="C97" s="1998"/>
      <c r="D97" s="2034"/>
      <c r="E97" s="1998"/>
      <c r="F97" s="1940">
        <f t="shared" si="32"/>
        <v>0</v>
      </c>
      <c r="G97" s="1993"/>
      <c r="H97" s="1940">
        <f t="shared" si="33"/>
        <v>0</v>
      </c>
      <c r="I97" s="1993"/>
      <c r="J97" s="1940">
        <f t="shared" si="34"/>
        <v>0</v>
      </c>
      <c r="K97" s="1993"/>
      <c r="L97" s="1940">
        <f t="shared" si="35"/>
        <v>0</v>
      </c>
      <c r="M97" s="1940">
        <f t="shared" si="36"/>
        <v>0</v>
      </c>
      <c r="N97" s="1940">
        <f t="shared" si="37"/>
        <v>0</v>
      </c>
      <c r="O97" s="1993"/>
      <c r="P97" s="1993"/>
      <c r="Q97" s="1940">
        <f t="shared" si="38"/>
        <v>0</v>
      </c>
      <c r="R97" s="1940">
        <f t="shared" si="39"/>
        <v>0</v>
      </c>
      <c r="S97" s="1940">
        <f t="shared" si="40"/>
        <v>0</v>
      </c>
      <c r="T97" s="1940">
        <f t="shared" si="41"/>
        <v>0</v>
      </c>
      <c r="U97" s="1940">
        <f t="shared" si="42"/>
        <v>0</v>
      </c>
      <c r="V97" s="1997"/>
      <c r="W97" s="1997"/>
      <c r="X97" s="1997"/>
      <c r="Y97" s="1997"/>
      <c r="Z97" s="1997"/>
      <c r="AA97" s="1997"/>
      <c r="AB97" s="1997"/>
      <c r="AC97" s="1997"/>
      <c r="AD97" s="1997"/>
      <c r="AE97" s="1997"/>
      <c r="AF97" s="1997"/>
      <c r="AG97" s="1997"/>
      <c r="AH97" s="1997"/>
      <c r="AI97" s="1997"/>
      <c r="AJ97" s="1997"/>
      <c r="AK97" s="1997"/>
      <c r="AL97" s="1997"/>
      <c r="AM97" s="1997"/>
      <c r="AN97" s="1997"/>
      <c r="AO97" s="1997"/>
      <c r="AP97" s="1997"/>
      <c r="AQ97" s="1997"/>
      <c r="AR97" s="1997"/>
      <c r="AS97" s="1997"/>
      <c r="AT97" s="1997"/>
      <c r="AU97" s="1997"/>
      <c r="AV97" s="1997"/>
      <c r="AW97" s="1997"/>
      <c r="AX97" s="1997"/>
      <c r="AY97" s="1997"/>
      <c r="AZ97" s="1997"/>
      <c r="BA97" s="1997"/>
      <c r="BB97" s="1997"/>
      <c r="BC97" s="1997"/>
      <c r="BD97" s="1997"/>
      <c r="BE97" s="1997"/>
      <c r="BF97" s="1997"/>
      <c r="BG97" s="1997"/>
      <c r="BH97" s="1997"/>
      <c r="BI97" s="1997"/>
      <c r="BJ97" s="1997"/>
      <c r="BK97" s="1997"/>
      <c r="BL97" s="1997"/>
      <c r="BM97" s="1997"/>
      <c r="BN97" s="1997"/>
      <c r="BO97" s="1997"/>
      <c r="BP97" s="1997"/>
      <c r="BQ97" s="1997"/>
      <c r="BR97" s="1997"/>
      <c r="BS97" s="1997"/>
      <c r="BT97" s="1997"/>
      <c r="BU97" s="1997"/>
      <c r="BV97" s="1997"/>
      <c r="BW97" s="1997"/>
      <c r="BX97" s="1997"/>
      <c r="BY97" s="1997"/>
      <c r="BZ97" s="1997"/>
      <c r="CA97" s="1997"/>
      <c r="CB97" s="1997"/>
      <c r="CC97" s="1997"/>
      <c r="CD97" s="1997"/>
      <c r="CE97" s="1997"/>
      <c r="CF97" s="1997"/>
      <c r="CG97" s="1997"/>
      <c r="CH97" s="1997"/>
      <c r="CI97" s="1997"/>
      <c r="CJ97" s="1997"/>
      <c r="CK97" s="1997"/>
      <c r="CL97" s="1997"/>
      <c r="CM97" s="1997"/>
      <c r="CN97" s="1997"/>
      <c r="CO97" s="1997"/>
      <c r="CP97" s="1997"/>
      <c r="CQ97" s="1997"/>
      <c r="CR97" s="1997"/>
      <c r="CS97" s="1997"/>
      <c r="CT97" s="1997"/>
      <c r="CU97" s="1997"/>
      <c r="CV97" s="1997"/>
      <c r="CW97" s="1997"/>
      <c r="CX97" s="1997"/>
      <c r="CY97" s="1997"/>
      <c r="CZ97" s="1997"/>
      <c r="DA97" s="1997"/>
      <c r="DB97" s="1997"/>
      <c r="DC97" s="1997"/>
      <c r="DD97" s="1997"/>
      <c r="DE97" s="1997"/>
      <c r="DF97" s="1997"/>
      <c r="DG97" s="1997"/>
      <c r="DH97" s="1997"/>
      <c r="DI97" s="1997"/>
      <c r="DJ97" s="1997"/>
      <c r="DK97" s="1997"/>
      <c r="DL97" s="1997"/>
      <c r="DM97" s="1997"/>
      <c r="DN97" s="1997"/>
      <c r="DO97" s="1997"/>
      <c r="DP97" s="1997"/>
      <c r="DQ97" s="1997"/>
      <c r="DR97" s="1997"/>
      <c r="DS97" s="1997"/>
      <c r="DT97" s="1997"/>
      <c r="DU97" s="1997"/>
      <c r="DV97" s="1997"/>
      <c r="DW97" s="1997"/>
      <c r="DX97" s="1997"/>
      <c r="DY97" s="1997"/>
      <c r="DZ97" s="1997"/>
      <c r="EA97" s="1997"/>
      <c r="EB97" s="1997"/>
      <c r="EC97" s="1997"/>
      <c r="ED97" s="1997"/>
      <c r="EE97" s="1997"/>
      <c r="EF97" s="1997"/>
      <c r="EG97" s="1997"/>
      <c r="EH97" s="1997"/>
      <c r="EI97" s="1997"/>
      <c r="EJ97" s="1997"/>
      <c r="EK97" s="1997"/>
      <c r="EL97" s="1997"/>
      <c r="EM97" s="1997"/>
      <c r="EN97" s="1997"/>
      <c r="EO97" s="1997"/>
      <c r="EP97" s="1997"/>
      <c r="EQ97" s="1997"/>
      <c r="ER97" s="1997"/>
      <c r="ES97" s="1997"/>
      <c r="ET97" s="1997"/>
      <c r="EU97" s="1997"/>
      <c r="EV97" s="1997"/>
      <c r="EW97" s="1997"/>
      <c r="EX97" s="1997"/>
      <c r="EY97" s="1997"/>
      <c r="EZ97" s="1997"/>
      <c r="FA97" s="1997"/>
      <c r="FB97" s="1997"/>
      <c r="FC97" s="1997"/>
      <c r="FD97" s="1997"/>
      <c r="FE97" s="1997"/>
      <c r="FF97" s="1997"/>
      <c r="FG97" s="1997"/>
      <c r="FH97" s="1997"/>
      <c r="FI97" s="1997"/>
      <c r="FJ97" s="1997"/>
      <c r="FK97" s="1997"/>
      <c r="FL97" s="1997"/>
      <c r="FM97" s="1997"/>
      <c r="FN97" s="1997"/>
      <c r="FO97" s="1997"/>
      <c r="FP97" s="1997"/>
      <c r="FQ97" s="1997"/>
      <c r="FR97" s="1997"/>
      <c r="FS97" s="1997"/>
      <c r="FT97" s="1997"/>
      <c r="FU97" s="1997"/>
      <c r="FV97" s="1997"/>
      <c r="FW97" s="1997"/>
      <c r="FX97" s="1997"/>
      <c r="FY97" s="1997"/>
      <c r="FZ97" s="1997"/>
      <c r="GA97" s="1997"/>
      <c r="GB97" s="1997"/>
      <c r="GC97" s="1997"/>
      <c r="GD97" s="1997"/>
      <c r="GE97" s="1997"/>
      <c r="GF97" s="1997"/>
      <c r="GG97" s="1997"/>
      <c r="GH97" s="1997"/>
      <c r="GI97" s="1997"/>
      <c r="GJ97" s="1997"/>
      <c r="GK97" s="1997"/>
      <c r="GL97" s="1997"/>
      <c r="GM97" s="1997"/>
      <c r="GN97" s="1997"/>
      <c r="GO97" s="1997"/>
      <c r="GP97" s="1997"/>
      <c r="GQ97" s="1997"/>
      <c r="GR97" s="1997"/>
      <c r="GS97" s="1997"/>
      <c r="GT97" s="1997"/>
      <c r="GU97" s="1997"/>
      <c r="GV97" s="1997"/>
      <c r="GW97" s="1997"/>
      <c r="GX97" s="1997"/>
      <c r="GY97" s="1997"/>
      <c r="GZ97" s="1997"/>
      <c r="HA97" s="1997"/>
      <c r="HB97" s="1997"/>
      <c r="HC97" s="1997"/>
      <c r="HD97" s="1997"/>
      <c r="HE97" s="1997"/>
      <c r="HF97" s="1997"/>
      <c r="HG97" s="1997"/>
      <c r="HH97" s="1997"/>
      <c r="HI97" s="1997"/>
      <c r="HJ97" s="1997"/>
      <c r="HK97" s="1997"/>
      <c r="HL97" s="1997"/>
      <c r="HM97" s="1997"/>
      <c r="HN97" s="1997"/>
      <c r="HO97" s="1997"/>
      <c r="HP97" s="1997"/>
      <c r="HQ97" s="1997"/>
      <c r="HR97" s="1997"/>
      <c r="HS97" s="1997"/>
      <c r="HT97" s="1997"/>
      <c r="HU97" s="1997"/>
      <c r="HV97" s="1997"/>
      <c r="HW97" s="1997"/>
      <c r="HX97" s="1997"/>
      <c r="HY97" s="1997"/>
      <c r="HZ97" s="1997"/>
      <c r="IA97" s="1997"/>
      <c r="IB97" s="1997"/>
      <c r="IC97" s="1997"/>
      <c r="ID97" s="1997"/>
      <c r="IE97" s="1997"/>
      <c r="IF97" s="1997"/>
      <c r="IG97" s="1997"/>
      <c r="IH97" s="1997"/>
      <c r="II97" s="1997"/>
      <c r="IJ97" s="1997"/>
      <c r="IK97" s="1997"/>
      <c r="IL97" s="1997"/>
      <c r="IM97" s="1997"/>
      <c r="IN97" s="1997"/>
      <c r="IO97" s="1997"/>
      <c r="IP97" s="1997"/>
      <c r="IQ97" s="1997"/>
    </row>
    <row r="98" spans="1:251" hidden="1">
      <c r="A98" s="1993"/>
      <c r="B98" s="1998"/>
      <c r="C98" s="1998"/>
      <c r="D98" s="2034"/>
      <c r="E98" s="1998"/>
      <c r="F98" s="1940">
        <f t="shared" si="32"/>
        <v>0</v>
      </c>
      <c r="G98" s="1993"/>
      <c r="H98" s="1940">
        <f t="shared" si="33"/>
        <v>0</v>
      </c>
      <c r="I98" s="1993"/>
      <c r="J98" s="1940">
        <f t="shared" si="34"/>
        <v>0</v>
      </c>
      <c r="K98" s="1993"/>
      <c r="L98" s="1940">
        <f t="shared" si="35"/>
        <v>0</v>
      </c>
      <c r="M98" s="1940">
        <f t="shared" si="36"/>
        <v>0</v>
      </c>
      <c r="N98" s="1940">
        <f t="shared" si="37"/>
        <v>0</v>
      </c>
      <c r="O98" s="1993"/>
      <c r="P98" s="1993"/>
      <c r="Q98" s="1940">
        <f t="shared" si="38"/>
        <v>0</v>
      </c>
      <c r="R98" s="1940">
        <f t="shared" si="39"/>
        <v>0</v>
      </c>
      <c r="S98" s="1940">
        <f t="shared" si="40"/>
        <v>0</v>
      </c>
      <c r="T98" s="1940">
        <f t="shared" si="41"/>
        <v>0</v>
      </c>
      <c r="U98" s="1940">
        <f t="shared" si="42"/>
        <v>0</v>
      </c>
      <c r="V98" s="1997"/>
      <c r="W98" s="1997"/>
      <c r="X98" s="1997"/>
      <c r="Y98" s="1997"/>
      <c r="Z98" s="1997"/>
      <c r="AA98" s="1997"/>
      <c r="AB98" s="1997"/>
      <c r="AC98" s="1997"/>
      <c r="AD98" s="1997"/>
      <c r="AE98" s="1997"/>
      <c r="AF98" s="1997"/>
      <c r="AG98" s="1997"/>
      <c r="AH98" s="1997"/>
      <c r="AI98" s="1997"/>
      <c r="AJ98" s="1997"/>
      <c r="AK98" s="1997"/>
      <c r="AL98" s="1997"/>
      <c r="AM98" s="1997"/>
      <c r="AN98" s="1997"/>
      <c r="AO98" s="1997"/>
      <c r="AP98" s="1997"/>
      <c r="AQ98" s="1997"/>
      <c r="AR98" s="1997"/>
      <c r="AS98" s="1997"/>
      <c r="AT98" s="1997"/>
      <c r="AU98" s="1997"/>
      <c r="AV98" s="1997"/>
      <c r="AW98" s="1997"/>
      <c r="AX98" s="1997"/>
      <c r="AY98" s="1997"/>
      <c r="AZ98" s="1997"/>
      <c r="BA98" s="1997"/>
      <c r="BB98" s="1997"/>
      <c r="BC98" s="1997"/>
      <c r="BD98" s="1997"/>
      <c r="BE98" s="1997"/>
      <c r="BF98" s="1997"/>
      <c r="BG98" s="1997"/>
      <c r="BH98" s="1997"/>
      <c r="BI98" s="1997"/>
      <c r="BJ98" s="1997"/>
      <c r="BK98" s="1997"/>
      <c r="BL98" s="1997"/>
      <c r="BM98" s="1997"/>
      <c r="BN98" s="1997"/>
      <c r="BO98" s="1997"/>
      <c r="BP98" s="1997"/>
      <c r="BQ98" s="1997"/>
      <c r="BR98" s="1997"/>
      <c r="BS98" s="1997"/>
      <c r="BT98" s="1997"/>
      <c r="BU98" s="1997"/>
      <c r="BV98" s="1997"/>
      <c r="BW98" s="1997"/>
      <c r="BX98" s="1997"/>
      <c r="BY98" s="1997"/>
      <c r="BZ98" s="1997"/>
      <c r="CA98" s="1997"/>
      <c r="CB98" s="1997"/>
      <c r="CC98" s="1997"/>
      <c r="CD98" s="1997"/>
      <c r="CE98" s="1997"/>
      <c r="CF98" s="1997"/>
      <c r="CG98" s="1997"/>
      <c r="CH98" s="1997"/>
      <c r="CI98" s="1997"/>
      <c r="CJ98" s="1997"/>
      <c r="CK98" s="1997"/>
      <c r="CL98" s="1997"/>
      <c r="CM98" s="1997"/>
      <c r="CN98" s="1997"/>
      <c r="CO98" s="1997"/>
      <c r="CP98" s="1997"/>
      <c r="CQ98" s="1997"/>
      <c r="CR98" s="1997"/>
      <c r="CS98" s="1997"/>
      <c r="CT98" s="1997"/>
      <c r="CU98" s="1997"/>
      <c r="CV98" s="1997"/>
      <c r="CW98" s="1997"/>
      <c r="CX98" s="1997"/>
      <c r="CY98" s="1997"/>
      <c r="CZ98" s="1997"/>
      <c r="DA98" s="1997"/>
      <c r="DB98" s="1997"/>
      <c r="DC98" s="1997"/>
      <c r="DD98" s="1997"/>
      <c r="DE98" s="1997"/>
      <c r="DF98" s="1997"/>
      <c r="DG98" s="1997"/>
      <c r="DH98" s="1997"/>
      <c r="DI98" s="1997"/>
      <c r="DJ98" s="1997"/>
      <c r="DK98" s="1997"/>
      <c r="DL98" s="1997"/>
      <c r="DM98" s="1997"/>
      <c r="DN98" s="1997"/>
      <c r="DO98" s="1997"/>
      <c r="DP98" s="1997"/>
      <c r="DQ98" s="1997"/>
      <c r="DR98" s="1997"/>
      <c r="DS98" s="1997"/>
      <c r="DT98" s="1997"/>
      <c r="DU98" s="1997"/>
      <c r="DV98" s="1997"/>
      <c r="DW98" s="1997"/>
      <c r="DX98" s="1997"/>
      <c r="DY98" s="1997"/>
      <c r="DZ98" s="1997"/>
      <c r="EA98" s="1997"/>
      <c r="EB98" s="1997"/>
      <c r="EC98" s="1997"/>
      <c r="ED98" s="1997"/>
      <c r="EE98" s="1997"/>
      <c r="EF98" s="1997"/>
      <c r="EG98" s="1997"/>
      <c r="EH98" s="1997"/>
      <c r="EI98" s="1997"/>
      <c r="EJ98" s="1997"/>
      <c r="EK98" s="1997"/>
      <c r="EL98" s="1997"/>
      <c r="EM98" s="1997"/>
      <c r="EN98" s="1997"/>
      <c r="EO98" s="1997"/>
      <c r="EP98" s="1997"/>
      <c r="EQ98" s="1997"/>
      <c r="ER98" s="1997"/>
      <c r="ES98" s="1997"/>
      <c r="ET98" s="1997"/>
      <c r="EU98" s="1997"/>
      <c r="EV98" s="1997"/>
      <c r="EW98" s="1997"/>
      <c r="EX98" s="1997"/>
      <c r="EY98" s="1997"/>
      <c r="EZ98" s="1997"/>
      <c r="FA98" s="1997"/>
      <c r="FB98" s="1997"/>
      <c r="FC98" s="1997"/>
      <c r="FD98" s="1997"/>
      <c r="FE98" s="1997"/>
      <c r="FF98" s="1997"/>
      <c r="FG98" s="1997"/>
      <c r="FH98" s="1997"/>
      <c r="FI98" s="1997"/>
      <c r="FJ98" s="1997"/>
      <c r="FK98" s="1997"/>
      <c r="FL98" s="1997"/>
      <c r="FM98" s="1997"/>
      <c r="FN98" s="1997"/>
      <c r="FO98" s="1997"/>
      <c r="FP98" s="1997"/>
      <c r="FQ98" s="1997"/>
      <c r="FR98" s="1997"/>
      <c r="FS98" s="1997"/>
      <c r="FT98" s="1997"/>
      <c r="FU98" s="1997"/>
      <c r="FV98" s="1997"/>
      <c r="FW98" s="1997"/>
      <c r="FX98" s="1997"/>
      <c r="FY98" s="1997"/>
      <c r="FZ98" s="1997"/>
      <c r="GA98" s="1997"/>
      <c r="GB98" s="1997"/>
      <c r="GC98" s="1997"/>
      <c r="GD98" s="1997"/>
      <c r="GE98" s="1997"/>
      <c r="GF98" s="1997"/>
      <c r="GG98" s="1997"/>
      <c r="GH98" s="1997"/>
      <c r="GI98" s="1997"/>
      <c r="GJ98" s="1997"/>
      <c r="GK98" s="1997"/>
      <c r="GL98" s="1997"/>
      <c r="GM98" s="1997"/>
      <c r="GN98" s="1997"/>
      <c r="GO98" s="1997"/>
      <c r="GP98" s="1997"/>
      <c r="GQ98" s="1997"/>
      <c r="GR98" s="1997"/>
      <c r="GS98" s="1997"/>
      <c r="GT98" s="1997"/>
      <c r="GU98" s="1997"/>
      <c r="GV98" s="1997"/>
      <c r="GW98" s="1997"/>
      <c r="GX98" s="1997"/>
      <c r="GY98" s="1997"/>
      <c r="GZ98" s="1997"/>
      <c r="HA98" s="1997"/>
      <c r="HB98" s="1997"/>
      <c r="HC98" s="1997"/>
      <c r="HD98" s="1997"/>
      <c r="HE98" s="1997"/>
      <c r="HF98" s="1997"/>
      <c r="HG98" s="1997"/>
      <c r="HH98" s="1997"/>
      <c r="HI98" s="1997"/>
      <c r="HJ98" s="1997"/>
      <c r="HK98" s="1997"/>
      <c r="HL98" s="1997"/>
      <c r="HM98" s="1997"/>
      <c r="HN98" s="1997"/>
      <c r="HO98" s="1997"/>
      <c r="HP98" s="1997"/>
      <c r="HQ98" s="1997"/>
      <c r="HR98" s="1997"/>
      <c r="HS98" s="1997"/>
      <c r="HT98" s="1997"/>
      <c r="HU98" s="1997"/>
      <c r="HV98" s="1997"/>
      <c r="HW98" s="1997"/>
      <c r="HX98" s="1997"/>
      <c r="HY98" s="1997"/>
      <c r="HZ98" s="1997"/>
      <c r="IA98" s="1997"/>
      <c r="IB98" s="1997"/>
      <c r="IC98" s="1997"/>
      <c r="ID98" s="1997"/>
      <c r="IE98" s="1997"/>
      <c r="IF98" s="1997"/>
      <c r="IG98" s="1997"/>
      <c r="IH98" s="1997"/>
      <c r="II98" s="1997"/>
      <c r="IJ98" s="1997"/>
      <c r="IK98" s="1997"/>
      <c r="IL98" s="1997"/>
      <c r="IM98" s="1997"/>
      <c r="IN98" s="1997"/>
      <c r="IO98" s="1997"/>
      <c r="IP98" s="1997"/>
      <c r="IQ98" s="1997"/>
    </row>
    <row r="99" spans="1:251" hidden="1">
      <c r="A99" s="1993"/>
      <c r="B99" s="1998"/>
      <c r="C99" s="1998"/>
      <c r="D99" s="2034"/>
      <c r="E99" s="1998"/>
      <c r="F99" s="1940">
        <f t="shared" si="32"/>
        <v>0</v>
      </c>
      <c r="G99" s="1993"/>
      <c r="H99" s="1940">
        <f t="shared" si="33"/>
        <v>0</v>
      </c>
      <c r="I99" s="1993"/>
      <c r="J99" s="1940">
        <f t="shared" si="34"/>
        <v>0</v>
      </c>
      <c r="K99" s="1993"/>
      <c r="L99" s="1940">
        <f t="shared" si="35"/>
        <v>0</v>
      </c>
      <c r="M99" s="1940">
        <f t="shared" si="36"/>
        <v>0</v>
      </c>
      <c r="N99" s="1940">
        <f t="shared" si="37"/>
        <v>0</v>
      </c>
      <c r="O99" s="1993"/>
      <c r="P99" s="1993"/>
      <c r="Q99" s="1940">
        <f t="shared" si="38"/>
        <v>0</v>
      </c>
      <c r="R99" s="1940">
        <f t="shared" si="39"/>
        <v>0</v>
      </c>
      <c r="S99" s="1940">
        <f t="shared" si="40"/>
        <v>0</v>
      </c>
      <c r="T99" s="1940">
        <f t="shared" si="41"/>
        <v>0</v>
      </c>
      <c r="U99" s="1940">
        <f t="shared" si="42"/>
        <v>0</v>
      </c>
      <c r="V99" s="1997"/>
      <c r="W99" s="1997"/>
      <c r="X99" s="1997"/>
      <c r="Y99" s="1997"/>
      <c r="Z99" s="1997"/>
      <c r="AA99" s="1997"/>
      <c r="AB99" s="1997"/>
      <c r="AC99" s="1997"/>
      <c r="AD99" s="1997"/>
      <c r="AE99" s="1997"/>
      <c r="AF99" s="1997"/>
      <c r="AG99" s="1997"/>
      <c r="AH99" s="1997"/>
      <c r="AI99" s="1997"/>
      <c r="AJ99" s="1997"/>
      <c r="AK99" s="1997"/>
      <c r="AL99" s="1997"/>
      <c r="AM99" s="1997"/>
      <c r="AN99" s="1997"/>
      <c r="AO99" s="1997"/>
      <c r="AP99" s="1997"/>
      <c r="AQ99" s="1997"/>
      <c r="AR99" s="1997"/>
      <c r="AS99" s="1997"/>
      <c r="AT99" s="1997"/>
      <c r="AU99" s="1997"/>
      <c r="AV99" s="1997"/>
      <c r="AW99" s="1997"/>
      <c r="AX99" s="1997"/>
      <c r="AY99" s="1997"/>
      <c r="AZ99" s="1997"/>
      <c r="BA99" s="1997"/>
      <c r="BB99" s="1997"/>
      <c r="BC99" s="1997"/>
      <c r="BD99" s="1997"/>
      <c r="BE99" s="1997"/>
      <c r="BF99" s="1997"/>
      <c r="BG99" s="1997"/>
      <c r="BH99" s="1997"/>
      <c r="BI99" s="1997"/>
      <c r="BJ99" s="1997"/>
      <c r="BK99" s="1997"/>
      <c r="BL99" s="1997"/>
      <c r="BM99" s="1997"/>
      <c r="BN99" s="1997"/>
      <c r="BO99" s="1997"/>
      <c r="BP99" s="1997"/>
      <c r="BQ99" s="1997"/>
      <c r="BR99" s="1997"/>
      <c r="BS99" s="1997"/>
      <c r="BT99" s="1997"/>
      <c r="BU99" s="1997"/>
      <c r="BV99" s="1997"/>
      <c r="BW99" s="1997"/>
      <c r="BX99" s="1997"/>
      <c r="BY99" s="1997"/>
      <c r="BZ99" s="1997"/>
      <c r="CA99" s="1997"/>
      <c r="CB99" s="1997"/>
      <c r="CC99" s="1997"/>
      <c r="CD99" s="1997"/>
      <c r="CE99" s="1997"/>
      <c r="CF99" s="1997"/>
      <c r="CG99" s="1997"/>
      <c r="CH99" s="1997"/>
      <c r="CI99" s="1997"/>
      <c r="CJ99" s="1997"/>
      <c r="CK99" s="1997"/>
      <c r="CL99" s="1997"/>
      <c r="CM99" s="1997"/>
      <c r="CN99" s="1997"/>
      <c r="CO99" s="1997"/>
      <c r="CP99" s="1997"/>
      <c r="CQ99" s="1997"/>
      <c r="CR99" s="1997"/>
      <c r="CS99" s="1997"/>
      <c r="CT99" s="1997"/>
      <c r="CU99" s="1997"/>
      <c r="CV99" s="1997"/>
      <c r="CW99" s="1997"/>
      <c r="CX99" s="1997"/>
      <c r="CY99" s="1997"/>
      <c r="CZ99" s="1997"/>
      <c r="DA99" s="1997"/>
      <c r="DB99" s="1997"/>
      <c r="DC99" s="1997"/>
      <c r="DD99" s="1997"/>
      <c r="DE99" s="1997"/>
      <c r="DF99" s="1997"/>
      <c r="DG99" s="1997"/>
      <c r="DH99" s="1997"/>
      <c r="DI99" s="1997"/>
      <c r="DJ99" s="1997"/>
      <c r="DK99" s="1997"/>
      <c r="DL99" s="1997"/>
      <c r="DM99" s="1997"/>
      <c r="DN99" s="1997"/>
      <c r="DO99" s="1997"/>
      <c r="DP99" s="1997"/>
      <c r="DQ99" s="1997"/>
      <c r="DR99" s="1997"/>
      <c r="DS99" s="1997"/>
      <c r="DT99" s="1997"/>
      <c r="DU99" s="1997"/>
      <c r="DV99" s="1997"/>
      <c r="DW99" s="1997"/>
      <c r="DX99" s="1997"/>
      <c r="DY99" s="1997"/>
      <c r="DZ99" s="1997"/>
      <c r="EA99" s="1997"/>
      <c r="EB99" s="1997"/>
      <c r="EC99" s="1997"/>
      <c r="ED99" s="1997"/>
      <c r="EE99" s="1997"/>
      <c r="EF99" s="1997"/>
      <c r="EG99" s="1997"/>
      <c r="EH99" s="1997"/>
      <c r="EI99" s="1997"/>
      <c r="EJ99" s="1997"/>
      <c r="EK99" s="1997"/>
      <c r="EL99" s="1997"/>
      <c r="EM99" s="1997"/>
      <c r="EN99" s="1997"/>
      <c r="EO99" s="1997"/>
      <c r="EP99" s="1997"/>
      <c r="EQ99" s="1997"/>
      <c r="ER99" s="1997"/>
      <c r="ES99" s="1997"/>
      <c r="ET99" s="1997"/>
      <c r="EU99" s="1997"/>
      <c r="EV99" s="1997"/>
      <c r="EW99" s="1997"/>
      <c r="EX99" s="1997"/>
      <c r="EY99" s="1997"/>
      <c r="EZ99" s="1997"/>
      <c r="FA99" s="1997"/>
      <c r="FB99" s="1997"/>
      <c r="FC99" s="1997"/>
      <c r="FD99" s="1997"/>
      <c r="FE99" s="1997"/>
      <c r="FF99" s="1997"/>
      <c r="FG99" s="1997"/>
      <c r="FH99" s="1997"/>
      <c r="FI99" s="1997"/>
      <c r="FJ99" s="1997"/>
      <c r="FK99" s="1997"/>
      <c r="FL99" s="1997"/>
      <c r="FM99" s="1997"/>
      <c r="FN99" s="1997"/>
      <c r="FO99" s="1997"/>
      <c r="FP99" s="1997"/>
      <c r="FQ99" s="1997"/>
      <c r="FR99" s="1997"/>
      <c r="FS99" s="1997"/>
      <c r="FT99" s="1997"/>
      <c r="FU99" s="1997"/>
      <c r="FV99" s="1997"/>
      <c r="FW99" s="1997"/>
      <c r="FX99" s="1997"/>
      <c r="FY99" s="1997"/>
      <c r="FZ99" s="1997"/>
      <c r="GA99" s="1997"/>
      <c r="GB99" s="1997"/>
      <c r="GC99" s="1997"/>
      <c r="GD99" s="1997"/>
      <c r="GE99" s="1997"/>
      <c r="GF99" s="1997"/>
      <c r="GG99" s="1997"/>
      <c r="GH99" s="1997"/>
      <c r="GI99" s="1997"/>
      <c r="GJ99" s="1997"/>
      <c r="GK99" s="1997"/>
      <c r="GL99" s="1997"/>
      <c r="GM99" s="1997"/>
      <c r="GN99" s="1997"/>
      <c r="GO99" s="1997"/>
      <c r="GP99" s="1997"/>
      <c r="GQ99" s="1997"/>
      <c r="GR99" s="1997"/>
      <c r="GS99" s="1997"/>
      <c r="GT99" s="1997"/>
      <c r="GU99" s="1997"/>
      <c r="GV99" s="1997"/>
      <c r="GW99" s="1997"/>
      <c r="GX99" s="1997"/>
      <c r="GY99" s="1997"/>
      <c r="GZ99" s="1997"/>
      <c r="HA99" s="1997"/>
      <c r="HB99" s="1997"/>
      <c r="HC99" s="1997"/>
      <c r="HD99" s="1997"/>
      <c r="HE99" s="1997"/>
      <c r="HF99" s="1997"/>
      <c r="HG99" s="1997"/>
      <c r="HH99" s="1997"/>
      <c r="HI99" s="1997"/>
      <c r="HJ99" s="1997"/>
      <c r="HK99" s="1997"/>
      <c r="HL99" s="1997"/>
      <c r="HM99" s="1997"/>
      <c r="HN99" s="1997"/>
      <c r="HO99" s="1997"/>
      <c r="HP99" s="1997"/>
      <c r="HQ99" s="1997"/>
      <c r="HR99" s="1997"/>
      <c r="HS99" s="1997"/>
      <c r="HT99" s="1997"/>
      <c r="HU99" s="1997"/>
      <c r="HV99" s="1997"/>
      <c r="HW99" s="1997"/>
      <c r="HX99" s="1997"/>
      <c r="HY99" s="1997"/>
      <c r="HZ99" s="1997"/>
      <c r="IA99" s="1997"/>
      <c r="IB99" s="1997"/>
      <c r="IC99" s="1997"/>
      <c r="ID99" s="1997"/>
      <c r="IE99" s="1997"/>
      <c r="IF99" s="1997"/>
      <c r="IG99" s="1997"/>
      <c r="IH99" s="1997"/>
      <c r="II99" s="1997"/>
      <c r="IJ99" s="1997"/>
      <c r="IK99" s="1997"/>
      <c r="IL99" s="1997"/>
      <c r="IM99" s="1997"/>
      <c r="IN99" s="1997"/>
      <c r="IO99" s="1997"/>
      <c r="IP99" s="1997"/>
      <c r="IQ99" s="1997"/>
    </row>
    <row r="100" spans="1:251" hidden="1">
      <c r="A100" s="1993"/>
      <c r="B100" s="1998"/>
      <c r="C100" s="1998"/>
      <c r="D100" s="2034"/>
      <c r="E100" s="1998"/>
      <c r="F100" s="1940">
        <f t="shared" si="32"/>
        <v>0</v>
      </c>
      <c r="G100" s="1993"/>
      <c r="H100" s="1940">
        <f t="shared" si="33"/>
        <v>0</v>
      </c>
      <c r="I100" s="1993"/>
      <c r="J100" s="1940">
        <f t="shared" si="34"/>
        <v>0</v>
      </c>
      <c r="K100" s="1993"/>
      <c r="L100" s="1940">
        <f t="shared" si="35"/>
        <v>0</v>
      </c>
      <c r="M100" s="1940">
        <f t="shared" si="36"/>
        <v>0</v>
      </c>
      <c r="N100" s="1940">
        <f t="shared" si="37"/>
        <v>0</v>
      </c>
      <c r="O100" s="1993"/>
      <c r="P100" s="1993"/>
      <c r="Q100" s="1940">
        <f t="shared" si="38"/>
        <v>0</v>
      </c>
      <c r="R100" s="1940">
        <f t="shared" si="39"/>
        <v>0</v>
      </c>
      <c r="S100" s="1940">
        <f t="shared" si="40"/>
        <v>0</v>
      </c>
      <c r="T100" s="1940">
        <f t="shared" si="41"/>
        <v>0</v>
      </c>
      <c r="U100" s="1940">
        <f t="shared" si="42"/>
        <v>0</v>
      </c>
      <c r="V100" s="1997"/>
      <c r="W100" s="1997"/>
      <c r="X100" s="1997"/>
      <c r="Y100" s="1997"/>
      <c r="Z100" s="1997"/>
      <c r="AA100" s="1997"/>
      <c r="AB100" s="1997"/>
      <c r="AC100" s="1997"/>
      <c r="AD100" s="1997"/>
      <c r="AE100" s="1997"/>
      <c r="AF100" s="1997"/>
      <c r="AG100" s="1997"/>
      <c r="AH100" s="1997"/>
      <c r="AI100" s="1997"/>
      <c r="AJ100" s="1997"/>
      <c r="AK100" s="1997"/>
      <c r="AL100" s="1997"/>
      <c r="AM100" s="1997"/>
      <c r="AN100" s="1997"/>
      <c r="AO100" s="1997"/>
      <c r="AP100" s="1997"/>
      <c r="AQ100" s="1997"/>
      <c r="AR100" s="1997"/>
      <c r="AS100" s="1997"/>
      <c r="AT100" s="1997"/>
      <c r="AU100" s="1997"/>
      <c r="AV100" s="1997"/>
      <c r="AW100" s="1997"/>
      <c r="AX100" s="1997"/>
      <c r="AY100" s="1997"/>
      <c r="AZ100" s="1997"/>
      <c r="BA100" s="1997"/>
      <c r="BB100" s="1997"/>
      <c r="BC100" s="1997"/>
      <c r="BD100" s="1997"/>
      <c r="BE100" s="1997"/>
      <c r="BF100" s="1997"/>
      <c r="BG100" s="1997"/>
      <c r="BH100" s="1997"/>
      <c r="BI100" s="1997"/>
      <c r="BJ100" s="1997"/>
      <c r="BK100" s="1997"/>
      <c r="BL100" s="1997"/>
      <c r="BM100" s="1997"/>
      <c r="BN100" s="1997"/>
      <c r="BO100" s="1997"/>
      <c r="BP100" s="1997"/>
      <c r="BQ100" s="1997"/>
      <c r="BR100" s="1997"/>
      <c r="BS100" s="1997"/>
      <c r="BT100" s="1997"/>
      <c r="BU100" s="1997"/>
      <c r="BV100" s="1997"/>
      <c r="BW100" s="1997"/>
      <c r="BX100" s="1997"/>
      <c r="BY100" s="1997"/>
      <c r="BZ100" s="1997"/>
      <c r="CA100" s="1997"/>
      <c r="CB100" s="1997"/>
      <c r="CC100" s="1997"/>
      <c r="CD100" s="1997"/>
      <c r="CE100" s="1997"/>
      <c r="CF100" s="1997"/>
      <c r="CG100" s="1997"/>
      <c r="CH100" s="1997"/>
      <c r="CI100" s="1997"/>
      <c r="CJ100" s="1997"/>
      <c r="CK100" s="1997"/>
      <c r="CL100" s="1997"/>
      <c r="CM100" s="1997"/>
      <c r="CN100" s="1997"/>
      <c r="CO100" s="1997"/>
      <c r="CP100" s="1997"/>
      <c r="CQ100" s="1997"/>
      <c r="CR100" s="1997"/>
      <c r="CS100" s="1997"/>
      <c r="CT100" s="1997"/>
      <c r="CU100" s="1997"/>
      <c r="CV100" s="1997"/>
      <c r="CW100" s="1997"/>
      <c r="CX100" s="1997"/>
      <c r="CY100" s="1997"/>
      <c r="CZ100" s="1997"/>
      <c r="DA100" s="1997"/>
      <c r="DB100" s="1997"/>
      <c r="DC100" s="1997"/>
      <c r="DD100" s="1997"/>
      <c r="DE100" s="1997"/>
      <c r="DF100" s="1997"/>
      <c r="DG100" s="1997"/>
      <c r="DH100" s="1997"/>
      <c r="DI100" s="1997"/>
      <c r="DJ100" s="1997"/>
      <c r="DK100" s="1997"/>
      <c r="DL100" s="1997"/>
      <c r="DM100" s="1997"/>
      <c r="DN100" s="1997"/>
      <c r="DO100" s="1997"/>
      <c r="DP100" s="1997"/>
      <c r="DQ100" s="1997"/>
      <c r="DR100" s="1997"/>
      <c r="DS100" s="1997"/>
      <c r="DT100" s="1997"/>
      <c r="DU100" s="1997"/>
      <c r="DV100" s="1997"/>
      <c r="DW100" s="1997"/>
      <c r="DX100" s="1997"/>
      <c r="DY100" s="1997"/>
      <c r="DZ100" s="1997"/>
      <c r="EA100" s="1997"/>
      <c r="EB100" s="1997"/>
      <c r="EC100" s="1997"/>
      <c r="ED100" s="1997"/>
      <c r="EE100" s="1997"/>
      <c r="EF100" s="1997"/>
      <c r="EG100" s="1997"/>
      <c r="EH100" s="1997"/>
      <c r="EI100" s="1997"/>
      <c r="EJ100" s="1997"/>
      <c r="EK100" s="1997"/>
      <c r="EL100" s="1997"/>
      <c r="EM100" s="1997"/>
      <c r="EN100" s="1997"/>
      <c r="EO100" s="1997"/>
      <c r="EP100" s="1997"/>
      <c r="EQ100" s="1997"/>
      <c r="ER100" s="1997"/>
      <c r="ES100" s="1997"/>
      <c r="ET100" s="1997"/>
      <c r="EU100" s="1997"/>
      <c r="EV100" s="1997"/>
      <c r="EW100" s="1997"/>
      <c r="EX100" s="1997"/>
      <c r="EY100" s="1997"/>
      <c r="EZ100" s="1997"/>
      <c r="FA100" s="1997"/>
      <c r="FB100" s="1997"/>
      <c r="FC100" s="1997"/>
      <c r="FD100" s="1997"/>
      <c r="FE100" s="1997"/>
      <c r="FF100" s="1997"/>
      <c r="FG100" s="1997"/>
      <c r="FH100" s="1997"/>
      <c r="FI100" s="1997"/>
      <c r="FJ100" s="1997"/>
      <c r="FK100" s="1997"/>
      <c r="FL100" s="1997"/>
      <c r="FM100" s="1997"/>
      <c r="FN100" s="1997"/>
      <c r="FO100" s="1997"/>
      <c r="FP100" s="1997"/>
      <c r="FQ100" s="1997"/>
      <c r="FR100" s="1997"/>
      <c r="FS100" s="1997"/>
      <c r="FT100" s="1997"/>
      <c r="FU100" s="1997"/>
      <c r="FV100" s="1997"/>
      <c r="FW100" s="1997"/>
      <c r="FX100" s="1997"/>
      <c r="FY100" s="1997"/>
      <c r="FZ100" s="1997"/>
      <c r="GA100" s="1997"/>
      <c r="GB100" s="1997"/>
      <c r="GC100" s="1997"/>
      <c r="GD100" s="1997"/>
      <c r="GE100" s="1997"/>
      <c r="GF100" s="1997"/>
      <c r="GG100" s="1997"/>
      <c r="GH100" s="1997"/>
      <c r="GI100" s="1997"/>
      <c r="GJ100" s="1997"/>
      <c r="GK100" s="1997"/>
      <c r="GL100" s="1997"/>
      <c r="GM100" s="1997"/>
      <c r="GN100" s="1997"/>
      <c r="GO100" s="1997"/>
      <c r="GP100" s="1997"/>
      <c r="GQ100" s="1997"/>
      <c r="GR100" s="1997"/>
      <c r="GS100" s="1997"/>
      <c r="GT100" s="1997"/>
      <c r="GU100" s="1997"/>
      <c r="GV100" s="1997"/>
      <c r="GW100" s="1997"/>
      <c r="GX100" s="1997"/>
      <c r="GY100" s="1997"/>
      <c r="GZ100" s="1997"/>
      <c r="HA100" s="1997"/>
      <c r="HB100" s="1997"/>
      <c r="HC100" s="1997"/>
      <c r="HD100" s="1997"/>
      <c r="HE100" s="1997"/>
      <c r="HF100" s="1997"/>
      <c r="HG100" s="1997"/>
      <c r="HH100" s="1997"/>
      <c r="HI100" s="1997"/>
      <c r="HJ100" s="1997"/>
      <c r="HK100" s="1997"/>
      <c r="HL100" s="1997"/>
      <c r="HM100" s="1997"/>
      <c r="HN100" s="1997"/>
      <c r="HO100" s="1997"/>
      <c r="HP100" s="1997"/>
      <c r="HQ100" s="1997"/>
      <c r="HR100" s="1997"/>
      <c r="HS100" s="1997"/>
      <c r="HT100" s="1997"/>
      <c r="HU100" s="1997"/>
      <c r="HV100" s="1997"/>
      <c r="HW100" s="1997"/>
      <c r="HX100" s="1997"/>
      <c r="HY100" s="1997"/>
      <c r="HZ100" s="1997"/>
      <c r="IA100" s="1997"/>
      <c r="IB100" s="1997"/>
      <c r="IC100" s="1997"/>
      <c r="ID100" s="1997"/>
      <c r="IE100" s="1997"/>
      <c r="IF100" s="1997"/>
      <c r="IG100" s="1997"/>
      <c r="IH100" s="1997"/>
      <c r="II100" s="1997"/>
      <c r="IJ100" s="1997"/>
      <c r="IK100" s="1997"/>
      <c r="IL100" s="1997"/>
      <c r="IM100" s="1997"/>
      <c r="IN100" s="1997"/>
      <c r="IO100" s="1997"/>
      <c r="IP100" s="1997"/>
      <c r="IQ100" s="1997"/>
    </row>
    <row r="101" spans="1:251" hidden="1">
      <c r="A101" s="1993"/>
      <c r="B101" s="1993" t="s">
        <v>527</v>
      </c>
      <c r="C101" s="1993"/>
      <c r="D101" s="2021">
        <f>SUM(D102:D109)</f>
        <v>0</v>
      </c>
      <c r="E101" s="1993"/>
      <c r="F101" s="1940">
        <f>SUM(F102:F109)</f>
        <v>0</v>
      </c>
      <c r="G101" s="1993"/>
      <c r="H101" s="1940">
        <f t="shared" ref="H101:U101" si="43">SUM(H102:H109)</f>
        <v>0</v>
      </c>
      <c r="I101" s="1993"/>
      <c r="J101" s="1940">
        <f t="shared" si="43"/>
        <v>0</v>
      </c>
      <c r="K101" s="1993"/>
      <c r="L101" s="1940">
        <f t="shared" si="43"/>
        <v>0</v>
      </c>
      <c r="M101" s="1940">
        <f t="shared" si="43"/>
        <v>0</v>
      </c>
      <c r="N101" s="1940">
        <f t="shared" si="43"/>
        <v>0</v>
      </c>
      <c r="O101" s="1940">
        <f t="shared" si="43"/>
        <v>0</v>
      </c>
      <c r="P101" s="1940">
        <f>SUM(P102:P109)</f>
        <v>0</v>
      </c>
      <c r="Q101" s="1940">
        <f t="shared" si="43"/>
        <v>0</v>
      </c>
      <c r="R101" s="1940">
        <f t="shared" si="43"/>
        <v>0</v>
      </c>
      <c r="S101" s="1940">
        <f t="shared" si="43"/>
        <v>0</v>
      </c>
      <c r="T101" s="1940">
        <f t="shared" si="43"/>
        <v>0</v>
      </c>
      <c r="U101" s="1940">
        <f t="shared" si="43"/>
        <v>0</v>
      </c>
      <c r="V101" s="1992"/>
      <c r="W101" s="1992"/>
      <c r="X101" s="1992"/>
      <c r="Y101" s="1992"/>
      <c r="Z101" s="1992"/>
      <c r="AA101" s="1992"/>
      <c r="AB101" s="1992"/>
      <c r="AC101" s="1992"/>
      <c r="AD101" s="1992"/>
      <c r="AE101" s="1992"/>
      <c r="AF101" s="1992"/>
      <c r="AG101" s="1992"/>
      <c r="AH101" s="1992"/>
      <c r="AI101" s="1992"/>
      <c r="AJ101" s="1992"/>
      <c r="AK101" s="1992"/>
      <c r="AL101" s="1992"/>
      <c r="AM101" s="1992"/>
      <c r="AN101" s="1992"/>
      <c r="AO101" s="1992"/>
      <c r="AP101" s="1992"/>
      <c r="AQ101" s="1992"/>
      <c r="AR101" s="1992"/>
      <c r="AS101" s="1992"/>
      <c r="AT101" s="1992"/>
      <c r="AU101" s="1992"/>
      <c r="AV101" s="1992"/>
      <c r="AW101" s="1992"/>
      <c r="AX101" s="1992"/>
      <c r="AY101" s="1992"/>
      <c r="AZ101" s="1992"/>
      <c r="BA101" s="1992"/>
      <c r="BB101" s="1992"/>
      <c r="BC101" s="1992"/>
      <c r="BD101" s="1992"/>
      <c r="BE101" s="1992"/>
      <c r="BF101" s="1992"/>
      <c r="BG101" s="1992"/>
      <c r="BH101" s="1992"/>
      <c r="BI101" s="1992"/>
      <c r="BJ101" s="1992"/>
      <c r="BK101" s="1992"/>
      <c r="BL101" s="1992"/>
      <c r="BM101" s="1992"/>
      <c r="BN101" s="1992"/>
      <c r="BO101" s="1992"/>
      <c r="BP101" s="1992"/>
      <c r="BQ101" s="1992"/>
      <c r="BR101" s="1992"/>
      <c r="BS101" s="1992"/>
      <c r="BT101" s="1992"/>
      <c r="BU101" s="1992"/>
      <c r="BV101" s="1992"/>
      <c r="BW101" s="1992"/>
      <c r="BX101" s="1992"/>
      <c r="BY101" s="1992"/>
      <c r="BZ101" s="1992"/>
      <c r="CA101" s="1992"/>
      <c r="CB101" s="1992"/>
      <c r="CC101" s="1992"/>
      <c r="CD101" s="1992"/>
      <c r="CE101" s="1992"/>
      <c r="CF101" s="1992"/>
      <c r="CG101" s="1992"/>
      <c r="CH101" s="1992"/>
      <c r="CI101" s="1992"/>
      <c r="CJ101" s="1992"/>
      <c r="CK101" s="1992"/>
      <c r="CL101" s="1992"/>
      <c r="CM101" s="1992"/>
      <c r="CN101" s="1992"/>
      <c r="CO101" s="1992"/>
      <c r="CP101" s="1992"/>
      <c r="CQ101" s="1992"/>
      <c r="CR101" s="1992"/>
      <c r="CS101" s="1992"/>
      <c r="CT101" s="1992"/>
      <c r="CU101" s="1992"/>
      <c r="CV101" s="1992"/>
      <c r="CW101" s="1992"/>
      <c r="CX101" s="1992"/>
      <c r="CY101" s="1992"/>
      <c r="CZ101" s="1992"/>
      <c r="DA101" s="1992"/>
      <c r="DB101" s="1992"/>
      <c r="DC101" s="1992"/>
      <c r="DD101" s="1992"/>
      <c r="DE101" s="1992"/>
      <c r="DF101" s="1992"/>
      <c r="DG101" s="1992"/>
      <c r="DH101" s="1992"/>
      <c r="DI101" s="1992"/>
      <c r="DJ101" s="1992"/>
      <c r="DK101" s="1992"/>
      <c r="DL101" s="1992"/>
      <c r="DM101" s="1992"/>
      <c r="DN101" s="1992"/>
      <c r="DO101" s="1992"/>
      <c r="DP101" s="1992"/>
      <c r="DQ101" s="1992"/>
      <c r="DR101" s="1992"/>
      <c r="DS101" s="1992"/>
      <c r="DT101" s="1992"/>
      <c r="DU101" s="1992"/>
      <c r="DV101" s="1992"/>
      <c r="DW101" s="1992"/>
      <c r="DX101" s="1992"/>
      <c r="DY101" s="1992"/>
      <c r="DZ101" s="1992"/>
      <c r="EA101" s="1992"/>
      <c r="EB101" s="1992"/>
      <c r="EC101" s="1992"/>
      <c r="ED101" s="1992"/>
      <c r="EE101" s="1992"/>
      <c r="EF101" s="1992"/>
      <c r="EG101" s="1992"/>
      <c r="EH101" s="1992"/>
      <c r="EI101" s="1992"/>
      <c r="EJ101" s="1992"/>
      <c r="EK101" s="1992"/>
      <c r="EL101" s="1992"/>
      <c r="EM101" s="1992"/>
      <c r="EN101" s="1992"/>
      <c r="EO101" s="1992"/>
      <c r="EP101" s="1992"/>
      <c r="EQ101" s="1992"/>
      <c r="ER101" s="1992"/>
      <c r="ES101" s="1992"/>
      <c r="ET101" s="1992"/>
      <c r="EU101" s="1992"/>
      <c r="EV101" s="1992"/>
      <c r="EW101" s="1992"/>
      <c r="EX101" s="1992"/>
      <c r="EY101" s="1992"/>
      <c r="EZ101" s="1992"/>
      <c r="FA101" s="1992"/>
      <c r="FB101" s="1992"/>
      <c r="FC101" s="1992"/>
      <c r="FD101" s="1992"/>
      <c r="FE101" s="1992"/>
      <c r="FF101" s="1992"/>
      <c r="FG101" s="1992"/>
      <c r="FH101" s="1992"/>
      <c r="FI101" s="1992"/>
      <c r="FJ101" s="1992"/>
      <c r="FK101" s="1992"/>
      <c r="FL101" s="1992"/>
      <c r="FM101" s="1992"/>
      <c r="FN101" s="1992"/>
      <c r="FO101" s="1992"/>
      <c r="FP101" s="1992"/>
      <c r="FQ101" s="1992"/>
      <c r="FR101" s="1992"/>
      <c r="FS101" s="1992"/>
      <c r="FT101" s="1992"/>
      <c r="FU101" s="1992"/>
      <c r="FV101" s="1992"/>
      <c r="FW101" s="1992"/>
      <c r="FX101" s="1992"/>
      <c r="FY101" s="1992"/>
      <c r="FZ101" s="1992"/>
      <c r="GA101" s="1992"/>
      <c r="GB101" s="1992"/>
      <c r="GC101" s="1992"/>
      <c r="GD101" s="1992"/>
      <c r="GE101" s="1992"/>
      <c r="GF101" s="1992"/>
      <c r="GG101" s="1992"/>
      <c r="GH101" s="1992"/>
      <c r="GI101" s="1992"/>
      <c r="GJ101" s="1992"/>
      <c r="GK101" s="1992"/>
      <c r="GL101" s="1992"/>
      <c r="GM101" s="1992"/>
      <c r="GN101" s="1992"/>
      <c r="GO101" s="1992"/>
      <c r="GP101" s="1992"/>
      <c r="GQ101" s="1992"/>
      <c r="GR101" s="1992"/>
      <c r="GS101" s="1992"/>
      <c r="GT101" s="1992"/>
      <c r="GU101" s="1992"/>
      <c r="GV101" s="1992"/>
      <c r="GW101" s="1992"/>
      <c r="GX101" s="1992"/>
      <c r="GY101" s="1992"/>
      <c r="GZ101" s="1992"/>
      <c r="HA101" s="1992"/>
      <c r="HB101" s="1992"/>
      <c r="HC101" s="1992"/>
      <c r="HD101" s="1992"/>
      <c r="HE101" s="1992"/>
      <c r="HF101" s="1992"/>
      <c r="HG101" s="1992"/>
      <c r="HH101" s="1992"/>
      <c r="HI101" s="1992"/>
      <c r="HJ101" s="1992"/>
      <c r="HK101" s="1992"/>
      <c r="HL101" s="1992"/>
      <c r="HM101" s="1992"/>
      <c r="HN101" s="1992"/>
      <c r="HO101" s="1992"/>
      <c r="HP101" s="1992"/>
      <c r="HQ101" s="1992"/>
      <c r="HR101" s="1992"/>
      <c r="HS101" s="1992"/>
      <c r="HT101" s="1992"/>
      <c r="HU101" s="1992"/>
      <c r="HV101" s="1992"/>
      <c r="HW101" s="1992"/>
      <c r="HX101" s="1992"/>
      <c r="HY101" s="1992"/>
      <c r="HZ101" s="1992"/>
      <c r="IA101" s="1992"/>
      <c r="IB101" s="1992"/>
      <c r="IC101" s="1992"/>
      <c r="ID101" s="1992"/>
      <c r="IE101" s="1992"/>
      <c r="IF101" s="1992"/>
      <c r="IG101" s="1992"/>
      <c r="IH101" s="1992"/>
      <c r="II101" s="1992"/>
      <c r="IJ101" s="1992"/>
      <c r="IK101" s="1992"/>
      <c r="IL101" s="1992"/>
      <c r="IM101" s="1992"/>
      <c r="IN101" s="1992"/>
      <c r="IO101" s="1992"/>
      <c r="IP101" s="1992"/>
      <c r="IQ101" s="1992"/>
    </row>
    <row r="102" spans="1:251" hidden="1">
      <c r="A102" s="1993"/>
      <c r="B102" s="1993" t="s">
        <v>327</v>
      </c>
      <c r="C102" s="1993"/>
      <c r="D102" s="2021"/>
      <c r="E102" s="1993"/>
      <c r="F102" s="1940">
        <f t="shared" ref="F102:F109" si="44">ROUNDUP((E102*$Q$5),-3)</f>
        <v>0</v>
      </c>
      <c r="G102" s="1993"/>
      <c r="H102" s="1940">
        <f t="shared" ref="H102:H109" si="45">D102*F102*G102</f>
        <v>0</v>
      </c>
      <c r="I102" s="1993"/>
      <c r="J102" s="1940">
        <f t="shared" ref="J102:J109" si="46">I102*$Q$4</f>
        <v>0</v>
      </c>
      <c r="K102" s="1993"/>
      <c r="L102" s="1940">
        <f t="shared" ref="L102:L109" si="47">K102*F102</f>
        <v>0</v>
      </c>
      <c r="M102" s="1940">
        <f t="shared" ref="M102:M109" si="48">D102*G102*(J102+L102)</f>
        <v>0</v>
      </c>
      <c r="N102" s="1940">
        <f t="shared" ref="N102:N109" si="49">H102+M102</f>
        <v>0</v>
      </c>
      <c r="O102" s="1993"/>
      <c r="P102" s="1993"/>
      <c r="Q102" s="1940">
        <f t="shared" ref="Q102:Q109" si="50">N102+O102+P102</f>
        <v>0</v>
      </c>
      <c r="R102" s="1940">
        <f t="shared" ref="R102:R109" si="51">Q102*10%</f>
        <v>0</v>
      </c>
      <c r="S102" s="1940">
        <f t="shared" ref="S102:S109" si="52">(Q102-R102)*10%</f>
        <v>0</v>
      </c>
      <c r="T102" s="1940">
        <f t="shared" ref="T102:T109" si="53">(Q102-R102)*6%</f>
        <v>0</v>
      </c>
      <c r="U102" s="1940">
        <f t="shared" ref="U102:U109" si="54">(Q102-R102)*5%</f>
        <v>0</v>
      </c>
      <c r="V102" s="1992"/>
      <c r="W102" s="1992"/>
      <c r="X102" s="1992"/>
      <c r="Y102" s="1992"/>
      <c r="Z102" s="1992"/>
      <c r="AA102" s="1992"/>
      <c r="AB102" s="1992"/>
      <c r="AC102" s="1992"/>
      <c r="AD102" s="1992"/>
      <c r="AE102" s="1992"/>
      <c r="AF102" s="1992"/>
      <c r="AG102" s="1992"/>
      <c r="AH102" s="1992"/>
      <c r="AI102" s="1992"/>
      <c r="AJ102" s="1992"/>
      <c r="AK102" s="1992"/>
      <c r="AL102" s="1992"/>
      <c r="AM102" s="1992"/>
      <c r="AN102" s="1992"/>
      <c r="AO102" s="1992"/>
      <c r="AP102" s="1992"/>
      <c r="AQ102" s="1992"/>
      <c r="AR102" s="1992"/>
      <c r="AS102" s="1992"/>
      <c r="AT102" s="1992"/>
      <c r="AU102" s="1992"/>
      <c r="AV102" s="1992"/>
      <c r="AW102" s="1992"/>
      <c r="AX102" s="1992"/>
      <c r="AY102" s="1992"/>
      <c r="AZ102" s="1992"/>
      <c r="BA102" s="1992"/>
      <c r="BB102" s="1992"/>
      <c r="BC102" s="1992"/>
      <c r="BD102" s="1992"/>
      <c r="BE102" s="1992"/>
      <c r="BF102" s="1992"/>
      <c r="BG102" s="1992"/>
      <c r="BH102" s="1992"/>
      <c r="BI102" s="1992"/>
      <c r="BJ102" s="1992"/>
      <c r="BK102" s="1992"/>
      <c r="BL102" s="1992"/>
      <c r="BM102" s="1992"/>
      <c r="BN102" s="1992"/>
      <c r="BO102" s="1992"/>
      <c r="BP102" s="1992"/>
      <c r="BQ102" s="1992"/>
      <c r="BR102" s="1992"/>
      <c r="BS102" s="1992"/>
      <c r="BT102" s="1992"/>
      <c r="BU102" s="1992"/>
      <c r="BV102" s="1992"/>
      <c r="BW102" s="1992"/>
      <c r="BX102" s="1992"/>
      <c r="BY102" s="1992"/>
      <c r="BZ102" s="1992"/>
      <c r="CA102" s="1992"/>
      <c r="CB102" s="1992"/>
      <c r="CC102" s="1992"/>
      <c r="CD102" s="1992"/>
      <c r="CE102" s="1992"/>
      <c r="CF102" s="1992"/>
      <c r="CG102" s="1992"/>
      <c r="CH102" s="1992"/>
      <c r="CI102" s="1992"/>
      <c r="CJ102" s="1992"/>
      <c r="CK102" s="1992"/>
      <c r="CL102" s="1992"/>
      <c r="CM102" s="1992"/>
      <c r="CN102" s="1992"/>
      <c r="CO102" s="1992"/>
      <c r="CP102" s="1992"/>
      <c r="CQ102" s="1992"/>
      <c r="CR102" s="1992"/>
      <c r="CS102" s="1992"/>
      <c r="CT102" s="1992"/>
      <c r="CU102" s="1992"/>
      <c r="CV102" s="1992"/>
      <c r="CW102" s="1992"/>
      <c r="CX102" s="1992"/>
      <c r="CY102" s="1992"/>
      <c r="CZ102" s="1992"/>
      <c r="DA102" s="1992"/>
      <c r="DB102" s="1992"/>
      <c r="DC102" s="1992"/>
      <c r="DD102" s="1992"/>
      <c r="DE102" s="1992"/>
      <c r="DF102" s="1992"/>
      <c r="DG102" s="1992"/>
      <c r="DH102" s="1992"/>
      <c r="DI102" s="1992"/>
      <c r="DJ102" s="1992"/>
      <c r="DK102" s="1992"/>
      <c r="DL102" s="1992"/>
      <c r="DM102" s="1992"/>
      <c r="DN102" s="1992"/>
      <c r="DO102" s="1992"/>
      <c r="DP102" s="1992"/>
      <c r="DQ102" s="1992"/>
      <c r="DR102" s="1992"/>
      <c r="DS102" s="1992"/>
      <c r="DT102" s="1992"/>
      <c r="DU102" s="1992"/>
      <c r="DV102" s="1992"/>
      <c r="DW102" s="1992"/>
      <c r="DX102" s="1992"/>
      <c r="DY102" s="1992"/>
      <c r="DZ102" s="1992"/>
      <c r="EA102" s="1992"/>
      <c r="EB102" s="1992"/>
      <c r="EC102" s="1992"/>
      <c r="ED102" s="1992"/>
      <c r="EE102" s="1992"/>
      <c r="EF102" s="1992"/>
      <c r="EG102" s="1992"/>
      <c r="EH102" s="1992"/>
      <c r="EI102" s="1992"/>
      <c r="EJ102" s="1992"/>
      <c r="EK102" s="1992"/>
      <c r="EL102" s="1992"/>
      <c r="EM102" s="1992"/>
      <c r="EN102" s="1992"/>
      <c r="EO102" s="1992"/>
      <c r="EP102" s="1992"/>
      <c r="EQ102" s="1992"/>
      <c r="ER102" s="1992"/>
      <c r="ES102" s="1992"/>
      <c r="ET102" s="1992"/>
      <c r="EU102" s="1992"/>
      <c r="EV102" s="1992"/>
      <c r="EW102" s="1992"/>
      <c r="EX102" s="1992"/>
      <c r="EY102" s="1992"/>
      <c r="EZ102" s="1992"/>
      <c r="FA102" s="1992"/>
      <c r="FB102" s="1992"/>
      <c r="FC102" s="1992"/>
      <c r="FD102" s="1992"/>
      <c r="FE102" s="1992"/>
      <c r="FF102" s="1992"/>
      <c r="FG102" s="1992"/>
      <c r="FH102" s="1992"/>
      <c r="FI102" s="1992"/>
      <c r="FJ102" s="1992"/>
      <c r="FK102" s="1992"/>
      <c r="FL102" s="1992"/>
      <c r="FM102" s="1992"/>
      <c r="FN102" s="1992"/>
      <c r="FO102" s="1992"/>
      <c r="FP102" s="1992"/>
      <c r="FQ102" s="1992"/>
      <c r="FR102" s="1992"/>
      <c r="FS102" s="1992"/>
      <c r="FT102" s="1992"/>
      <c r="FU102" s="1992"/>
      <c r="FV102" s="1992"/>
      <c r="FW102" s="1992"/>
      <c r="FX102" s="1992"/>
      <c r="FY102" s="1992"/>
      <c r="FZ102" s="1992"/>
      <c r="GA102" s="1992"/>
      <c r="GB102" s="1992"/>
      <c r="GC102" s="1992"/>
      <c r="GD102" s="1992"/>
      <c r="GE102" s="1992"/>
      <c r="GF102" s="1992"/>
      <c r="GG102" s="1992"/>
      <c r="GH102" s="1992"/>
      <c r="GI102" s="1992"/>
      <c r="GJ102" s="1992"/>
      <c r="GK102" s="1992"/>
      <c r="GL102" s="1992"/>
      <c r="GM102" s="1992"/>
      <c r="GN102" s="1992"/>
      <c r="GO102" s="1992"/>
      <c r="GP102" s="1992"/>
      <c r="GQ102" s="1992"/>
      <c r="GR102" s="1992"/>
      <c r="GS102" s="1992"/>
      <c r="GT102" s="1992"/>
      <c r="GU102" s="1992"/>
      <c r="GV102" s="1992"/>
      <c r="GW102" s="1992"/>
      <c r="GX102" s="1992"/>
      <c r="GY102" s="1992"/>
      <c r="GZ102" s="1992"/>
      <c r="HA102" s="1992"/>
      <c r="HB102" s="1992"/>
      <c r="HC102" s="1992"/>
      <c r="HD102" s="1992"/>
      <c r="HE102" s="1992"/>
      <c r="HF102" s="1992"/>
      <c r="HG102" s="1992"/>
      <c r="HH102" s="1992"/>
      <c r="HI102" s="1992"/>
      <c r="HJ102" s="1992"/>
      <c r="HK102" s="1992"/>
      <c r="HL102" s="1992"/>
      <c r="HM102" s="1992"/>
      <c r="HN102" s="1992"/>
      <c r="HO102" s="1992"/>
      <c r="HP102" s="1992"/>
      <c r="HQ102" s="1992"/>
      <c r="HR102" s="1992"/>
      <c r="HS102" s="1992"/>
      <c r="HT102" s="1992"/>
      <c r="HU102" s="1992"/>
      <c r="HV102" s="1992"/>
      <c r="HW102" s="1992"/>
      <c r="HX102" s="1992"/>
      <c r="HY102" s="1992"/>
      <c r="HZ102" s="1992"/>
      <c r="IA102" s="1992"/>
      <c r="IB102" s="1992"/>
      <c r="IC102" s="1992"/>
      <c r="ID102" s="1992"/>
      <c r="IE102" s="1992"/>
      <c r="IF102" s="1992"/>
      <c r="IG102" s="1992"/>
      <c r="IH102" s="1992"/>
      <c r="II102" s="1992"/>
      <c r="IJ102" s="1992"/>
      <c r="IK102" s="1992"/>
      <c r="IL102" s="1992"/>
      <c r="IM102" s="1992"/>
      <c r="IN102" s="1992"/>
      <c r="IO102" s="1992"/>
      <c r="IP102" s="1992"/>
      <c r="IQ102" s="1992"/>
    </row>
    <row r="103" spans="1:251" hidden="1">
      <c r="A103" s="1993"/>
      <c r="B103" s="1993"/>
      <c r="C103" s="1993"/>
      <c r="D103" s="2021"/>
      <c r="E103" s="1993"/>
      <c r="F103" s="1940">
        <f t="shared" si="44"/>
        <v>0</v>
      </c>
      <c r="G103" s="1993"/>
      <c r="H103" s="1940">
        <f t="shared" si="45"/>
        <v>0</v>
      </c>
      <c r="I103" s="1993"/>
      <c r="J103" s="1940">
        <f t="shared" si="46"/>
        <v>0</v>
      </c>
      <c r="K103" s="1993"/>
      <c r="L103" s="1940">
        <f t="shared" si="47"/>
        <v>0</v>
      </c>
      <c r="M103" s="1940">
        <f t="shared" si="48"/>
        <v>0</v>
      </c>
      <c r="N103" s="1940">
        <f t="shared" si="49"/>
        <v>0</v>
      </c>
      <c r="O103" s="1993"/>
      <c r="P103" s="1993"/>
      <c r="Q103" s="1940">
        <f t="shared" si="50"/>
        <v>0</v>
      </c>
      <c r="R103" s="1940">
        <f t="shared" si="51"/>
        <v>0</v>
      </c>
      <c r="S103" s="1940">
        <f t="shared" si="52"/>
        <v>0</v>
      </c>
      <c r="T103" s="1940">
        <f t="shared" si="53"/>
        <v>0</v>
      </c>
      <c r="U103" s="1940">
        <f t="shared" si="54"/>
        <v>0</v>
      </c>
      <c r="V103" s="1992"/>
      <c r="W103" s="1992"/>
      <c r="X103" s="1992"/>
      <c r="Y103" s="1992"/>
      <c r="Z103" s="1992"/>
      <c r="AA103" s="1992"/>
      <c r="AB103" s="1992"/>
      <c r="AC103" s="1992"/>
      <c r="AD103" s="1992"/>
      <c r="AE103" s="1992"/>
      <c r="AF103" s="1992"/>
      <c r="AG103" s="1992"/>
      <c r="AH103" s="1992"/>
      <c r="AI103" s="1992"/>
      <c r="AJ103" s="1992"/>
      <c r="AK103" s="1992"/>
      <c r="AL103" s="1992"/>
      <c r="AM103" s="1992"/>
      <c r="AN103" s="1992"/>
      <c r="AO103" s="1992"/>
      <c r="AP103" s="1992"/>
      <c r="AQ103" s="1992"/>
      <c r="AR103" s="1992"/>
      <c r="AS103" s="1992"/>
      <c r="AT103" s="1992"/>
      <c r="AU103" s="1992"/>
      <c r="AV103" s="1992"/>
      <c r="AW103" s="1992"/>
      <c r="AX103" s="1992"/>
      <c r="AY103" s="1992"/>
      <c r="AZ103" s="1992"/>
      <c r="BA103" s="1992"/>
      <c r="BB103" s="1992"/>
      <c r="BC103" s="1992"/>
      <c r="BD103" s="1992"/>
      <c r="BE103" s="1992"/>
      <c r="BF103" s="1992"/>
      <c r="BG103" s="1992"/>
      <c r="BH103" s="1992"/>
      <c r="BI103" s="1992"/>
      <c r="BJ103" s="1992"/>
      <c r="BK103" s="1992"/>
      <c r="BL103" s="1992"/>
      <c r="BM103" s="1992"/>
      <c r="BN103" s="1992"/>
      <c r="BO103" s="1992"/>
      <c r="BP103" s="1992"/>
      <c r="BQ103" s="1992"/>
      <c r="BR103" s="1992"/>
      <c r="BS103" s="1992"/>
      <c r="BT103" s="1992"/>
      <c r="BU103" s="1992"/>
      <c r="BV103" s="1992"/>
      <c r="BW103" s="1992"/>
      <c r="BX103" s="1992"/>
      <c r="BY103" s="1992"/>
      <c r="BZ103" s="1992"/>
      <c r="CA103" s="1992"/>
      <c r="CB103" s="1992"/>
      <c r="CC103" s="1992"/>
      <c r="CD103" s="1992"/>
      <c r="CE103" s="1992"/>
      <c r="CF103" s="1992"/>
      <c r="CG103" s="1992"/>
      <c r="CH103" s="1992"/>
      <c r="CI103" s="1992"/>
      <c r="CJ103" s="1992"/>
      <c r="CK103" s="1992"/>
      <c r="CL103" s="1992"/>
      <c r="CM103" s="1992"/>
      <c r="CN103" s="1992"/>
      <c r="CO103" s="1992"/>
      <c r="CP103" s="1992"/>
      <c r="CQ103" s="1992"/>
      <c r="CR103" s="1992"/>
      <c r="CS103" s="1992"/>
      <c r="CT103" s="1992"/>
      <c r="CU103" s="1992"/>
      <c r="CV103" s="1992"/>
      <c r="CW103" s="1992"/>
      <c r="CX103" s="1992"/>
      <c r="CY103" s="1992"/>
      <c r="CZ103" s="1992"/>
      <c r="DA103" s="1992"/>
      <c r="DB103" s="1992"/>
      <c r="DC103" s="1992"/>
      <c r="DD103" s="1992"/>
      <c r="DE103" s="1992"/>
      <c r="DF103" s="1992"/>
      <c r="DG103" s="1992"/>
      <c r="DH103" s="1992"/>
      <c r="DI103" s="1992"/>
      <c r="DJ103" s="1992"/>
      <c r="DK103" s="1992"/>
      <c r="DL103" s="1992"/>
      <c r="DM103" s="1992"/>
      <c r="DN103" s="1992"/>
      <c r="DO103" s="1992"/>
      <c r="DP103" s="1992"/>
      <c r="DQ103" s="1992"/>
      <c r="DR103" s="1992"/>
      <c r="DS103" s="1992"/>
      <c r="DT103" s="1992"/>
      <c r="DU103" s="1992"/>
      <c r="DV103" s="1992"/>
      <c r="DW103" s="1992"/>
      <c r="DX103" s="1992"/>
      <c r="DY103" s="1992"/>
      <c r="DZ103" s="1992"/>
      <c r="EA103" s="1992"/>
      <c r="EB103" s="1992"/>
      <c r="EC103" s="1992"/>
      <c r="ED103" s="1992"/>
      <c r="EE103" s="1992"/>
      <c r="EF103" s="1992"/>
      <c r="EG103" s="1992"/>
      <c r="EH103" s="1992"/>
      <c r="EI103" s="1992"/>
      <c r="EJ103" s="1992"/>
      <c r="EK103" s="1992"/>
      <c r="EL103" s="1992"/>
      <c r="EM103" s="1992"/>
      <c r="EN103" s="1992"/>
      <c r="EO103" s="1992"/>
      <c r="EP103" s="1992"/>
      <c r="EQ103" s="1992"/>
      <c r="ER103" s="1992"/>
      <c r="ES103" s="1992"/>
      <c r="ET103" s="1992"/>
      <c r="EU103" s="1992"/>
      <c r="EV103" s="1992"/>
      <c r="EW103" s="1992"/>
      <c r="EX103" s="1992"/>
      <c r="EY103" s="1992"/>
      <c r="EZ103" s="1992"/>
      <c r="FA103" s="1992"/>
      <c r="FB103" s="1992"/>
      <c r="FC103" s="1992"/>
      <c r="FD103" s="1992"/>
      <c r="FE103" s="1992"/>
      <c r="FF103" s="1992"/>
      <c r="FG103" s="1992"/>
      <c r="FH103" s="1992"/>
      <c r="FI103" s="1992"/>
      <c r="FJ103" s="1992"/>
      <c r="FK103" s="1992"/>
      <c r="FL103" s="1992"/>
      <c r="FM103" s="1992"/>
      <c r="FN103" s="1992"/>
      <c r="FO103" s="1992"/>
      <c r="FP103" s="1992"/>
      <c r="FQ103" s="1992"/>
      <c r="FR103" s="1992"/>
      <c r="FS103" s="1992"/>
      <c r="FT103" s="1992"/>
      <c r="FU103" s="1992"/>
      <c r="FV103" s="1992"/>
      <c r="FW103" s="1992"/>
      <c r="FX103" s="1992"/>
      <c r="FY103" s="1992"/>
      <c r="FZ103" s="1992"/>
      <c r="GA103" s="1992"/>
      <c r="GB103" s="1992"/>
      <c r="GC103" s="1992"/>
      <c r="GD103" s="1992"/>
      <c r="GE103" s="1992"/>
      <c r="GF103" s="1992"/>
      <c r="GG103" s="1992"/>
      <c r="GH103" s="1992"/>
      <c r="GI103" s="1992"/>
      <c r="GJ103" s="1992"/>
      <c r="GK103" s="1992"/>
      <c r="GL103" s="1992"/>
      <c r="GM103" s="1992"/>
      <c r="GN103" s="1992"/>
      <c r="GO103" s="1992"/>
      <c r="GP103" s="1992"/>
      <c r="GQ103" s="1992"/>
      <c r="GR103" s="1992"/>
      <c r="GS103" s="1992"/>
      <c r="GT103" s="1992"/>
      <c r="GU103" s="1992"/>
      <c r="GV103" s="1992"/>
      <c r="GW103" s="1992"/>
      <c r="GX103" s="1992"/>
      <c r="GY103" s="1992"/>
      <c r="GZ103" s="1992"/>
      <c r="HA103" s="1992"/>
      <c r="HB103" s="1992"/>
      <c r="HC103" s="1992"/>
      <c r="HD103" s="1992"/>
      <c r="HE103" s="1992"/>
      <c r="HF103" s="1992"/>
      <c r="HG103" s="1992"/>
      <c r="HH103" s="1992"/>
      <c r="HI103" s="1992"/>
      <c r="HJ103" s="1992"/>
      <c r="HK103" s="1992"/>
      <c r="HL103" s="1992"/>
      <c r="HM103" s="1992"/>
      <c r="HN103" s="1992"/>
      <c r="HO103" s="1992"/>
      <c r="HP103" s="1992"/>
      <c r="HQ103" s="1992"/>
      <c r="HR103" s="1992"/>
      <c r="HS103" s="1992"/>
      <c r="HT103" s="1992"/>
      <c r="HU103" s="1992"/>
      <c r="HV103" s="1992"/>
      <c r="HW103" s="1992"/>
      <c r="HX103" s="1992"/>
      <c r="HY103" s="1992"/>
      <c r="HZ103" s="1992"/>
      <c r="IA103" s="1992"/>
      <c r="IB103" s="1992"/>
      <c r="IC103" s="1992"/>
      <c r="ID103" s="1992"/>
      <c r="IE103" s="1992"/>
      <c r="IF103" s="1992"/>
      <c r="IG103" s="1992"/>
      <c r="IH103" s="1992"/>
      <c r="II103" s="1992"/>
      <c r="IJ103" s="1992"/>
      <c r="IK103" s="1992"/>
      <c r="IL103" s="1992"/>
      <c r="IM103" s="1992"/>
      <c r="IN103" s="1992"/>
      <c r="IO103" s="1992"/>
      <c r="IP103" s="1992"/>
      <c r="IQ103" s="1992"/>
    </row>
    <row r="104" spans="1:251" hidden="1">
      <c r="A104" s="1993"/>
      <c r="B104" s="1993"/>
      <c r="C104" s="1993"/>
      <c r="D104" s="2021"/>
      <c r="E104" s="1993"/>
      <c r="F104" s="1940">
        <f t="shared" si="44"/>
        <v>0</v>
      </c>
      <c r="G104" s="1993"/>
      <c r="H104" s="1940">
        <f t="shared" si="45"/>
        <v>0</v>
      </c>
      <c r="I104" s="1993"/>
      <c r="J104" s="1940">
        <f t="shared" si="46"/>
        <v>0</v>
      </c>
      <c r="K104" s="1993"/>
      <c r="L104" s="1940">
        <f t="shared" si="47"/>
        <v>0</v>
      </c>
      <c r="M104" s="1940">
        <f t="shared" si="48"/>
        <v>0</v>
      </c>
      <c r="N104" s="1940">
        <f t="shared" si="49"/>
        <v>0</v>
      </c>
      <c r="O104" s="1993"/>
      <c r="P104" s="1993"/>
      <c r="Q104" s="1940">
        <f t="shared" si="50"/>
        <v>0</v>
      </c>
      <c r="R104" s="1940">
        <f t="shared" si="51"/>
        <v>0</v>
      </c>
      <c r="S104" s="1940">
        <f t="shared" si="52"/>
        <v>0</v>
      </c>
      <c r="T104" s="1940">
        <f t="shared" si="53"/>
        <v>0</v>
      </c>
      <c r="U104" s="1940">
        <f t="shared" si="54"/>
        <v>0</v>
      </c>
      <c r="V104" s="1997"/>
      <c r="W104" s="1997"/>
      <c r="X104" s="1997"/>
      <c r="Y104" s="1997"/>
      <c r="Z104" s="1997"/>
      <c r="AA104" s="1997"/>
      <c r="AB104" s="1997"/>
      <c r="AC104" s="1997"/>
      <c r="AD104" s="1997"/>
      <c r="AE104" s="1997"/>
      <c r="AF104" s="1997"/>
      <c r="AG104" s="1997"/>
      <c r="AH104" s="1997"/>
      <c r="AI104" s="1997"/>
      <c r="AJ104" s="1997"/>
      <c r="AK104" s="1997"/>
      <c r="AL104" s="1997"/>
      <c r="AM104" s="1997"/>
      <c r="AN104" s="1997"/>
      <c r="AO104" s="1997"/>
      <c r="AP104" s="1997"/>
      <c r="AQ104" s="1997"/>
      <c r="AR104" s="1997"/>
      <c r="AS104" s="1997"/>
      <c r="AT104" s="1997"/>
      <c r="AU104" s="1997"/>
      <c r="AV104" s="1997"/>
      <c r="AW104" s="1997"/>
      <c r="AX104" s="1997"/>
      <c r="AY104" s="1997"/>
      <c r="AZ104" s="1997"/>
      <c r="BA104" s="1997"/>
      <c r="BB104" s="1997"/>
      <c r="BC104" s="1997"/>
      <c r="BD104" s="1997"/>
      <c r="BE104" s="1997"/>
      <c r="BF104" s="1997"/>
      <c r="BG104" s="1997"/>
      <c r="BH104" s="1997"/>
      <c r="BI104" s="1997"/>
      <c r="BJ104" s="1997"/>
      <c r="BK104" s="1997"/>
      <c r="BL104" s="1997"/>
      <c r="BM104" s="1997"/>
      <c r="BN104" s="1997"/>
      <c r="BO104" s="1997"/>
      <c r="BP104" s="1997"/>
      <c r="BQ104" s="1997"/>
      <c r="BR104" s="1997"/>
      <c r="BS104" s="1997"/>
      <c r="BT104" s="1997"/>
      <c r="BU104" s="1997"/>
      <c r="BV104" s="1997"/>
      <c r="BW104" s="1997"/>
      <c r="BX104" s="1997"/>
      <c r="BY104" s="1997"/>
      <c r="BZ104" s="1997"/>
      <c r="CA104" s="1997"/>
      <c r="CB104" s="1997"/>
      <c r="CC104" s="1997"/>
      <c r="CD104" s="1997"/>
      <c r="CE104" s="1997"/>
      <c r="CF104" s="1997"/>
      <c r="CG104" s="1997"/>
      <c r="CH104" s="1997"/>
      <c r="CI104" s="1997"/>
      <c r="CJ104" s="1997"/>
      <c r="CK104" s="1997"/>
      <c r="CL104" s="1997"/>
      <c r="CM104" s="1997"/>
      <c r="CN104" s="1997"/>
      <c r="CO104" s="1997"/>
      <c r="CP104" s="1997"/>
      <c r="CQ104" s="1997"/>
      <c r="CR104" s="1997"/>
      <c r="CS104" s="1997"/>
      <c r="CT104" s="1997"/>
      <c r="CU104" s="1997"/>
      <c r="CV104" s="1997"/>
      <c r="CW104" s="1997"/>
      <c r="CX104" s="1997"/>
      <c r="CY104" s="1997"/>
      <c r="CZ104" s="1997"/>
      <c r="DA104" s="1997"/>
      <c r="DB104" s="1997"/>
      <c r="DC104" s="1997"/>
      <c r="DD104" s="1997"/>
      <c r="DE104" s="1997"/>
      <c r="DF104" s="1997"/>
      <c r="DG104" s="1997"/>
      <c r="DH104" s="1997"/>
      <c r="DI104" s="1997"/>
      <c r="DJ104" s="1997"/>
      <c r="DK104" s="1997"/>
      <c r="DL104" s="1997"/>
      <c r="DM104" s="1997"/>
      <c r="DN104" s="1997"/>
      <c r="DO104" s="1997"/>
      <c r="DP104" s="1997"/>
      <c r="DQ104" s="1997"/>
      <c r="DR104" s="1997"/>
      <c r="DS104" s="1997"/>
      <c r="DT104" s="1997"/>
      <c r="DU104" s="1997"/>
      <c r="DV104" s="1997"/>
      <c r="DW104" s="1997"/>
      <c r="DX104" s="1997"/>
      <c r="DY104" s="1997"/>
      <c r="DZ104" s="1997"/>
      <c r="EA104" s="1997"/>
      <c r="EB104" s="1997"/>
      <c r="EC104" s="1997"/>
      <c r="ED104" s="1997"/>
      <c r="EE104" s="1997"/>
      <c r="EF104" s="1997"/>
      <c r="EG104" s="1997"/>
      <c r="EH104" s="1997"/>
      <c r="EI104" s="1997"/>
      <c r="EJ104" s="1997"/>
      <c r="EK104" s="1997"/>
      <c r="EL104" s="1997"/>
      <c r="EM104" s="1997"/>
      <c r="EN104" s="1997"/>
      <c r="EO104" s="1997"/>
      <c r="EP104" s="1997"/>
      <c r="EQ104" s="1997"/>
      <c r="ER104" s="1997"/>
      <c r="ES104" s="1997"/>
      <c r="ET104" s="1997"/>
      <c r="EU104" s="1997"/>
      <c r="EV104" s="1997"/>
      <c r="EW104" s="1997"/>
      <c r="EX104" s="1997"/>
      <c r="EY104" s="1997"/>
      <c r="EZ104" s="1997"/>
      <c r="FA104" s="1997"/>
      <c r="FB104" s="1997"/>
      <c r="FC104" s="1997"/>
      <c r="FD104" s="1997"/>
      <c r="FE104" s="1997"/>
      <c r="FF104" s="1997"/>
      <c r="FG104" s="1997"/>
      <c r="FH104" s="1997"/>
      <c r="FI104" s="1997"/>
      <c r="FJ104" s="1997"/>
      <c r="FK104" s="1997"/>
      <c r="FL104" s="1997"/>
      <c r="FM104" s="1997"/>
      <c r="FN104" s="1997"/>
      <c r="FO104" s="1997"/>
      <c r="FP104" s="1997"/>
      <c r="FQ104" s="1997"/>
      <c r="FR104" s="1997"/>
      <c r="FS104" s="1997"/>
      <c r="FT104" s="1997"/>
      <c r="FU104" s="1997"/>
      <c r="FV104" s="1997"/>
      <c r="FW104" s="1997"/>
      <c r="FX104" s="1997"/>
      <c r="FY104" s="1997"/>
      <c r="FZ104" s="1997"/>
      <c r="GA104" s="1997"/>
      <c r="GB104" s="1997"/>
      <c r="GC104" s="1997"/>
      <c r="GD104" s="1997"/>
      <c r="GE104" s="1997"/>
      <c r="GF104" s="1997"/>
      <c r="GG104" s="1997"/>
      <c r="GH104" s="1997"/>
      <c r="GI104" s="1997"/>
      <c r="GJ104" s="1997"/>
      <c r="GK104" s="1997"/>
      <c r="GL104" s="1997"/>
      <c r="GM104" s="1997"/>
      <c r="GN104" s="1997"/>
      <c r="GO104" s="1997"/>
      <c r="GP104" s="1997"/>
      <c r="GQ104" s="1997"/>
      <c r="GR104" s="1997"/>
      <c r="GS104" s="1997"/>
      <c r="GT104" s="1997"/>
      <c r="GU104" s="1997"/>
      <c r="GV104" s="1997"/>
      <c r="GW104" s="1997"/>
      <c r="GX104" s="1997"/>
      <c r="GY104" s="1997"/>
      <c r="GZ104" s="1997"/>
      <c r="HA104" s="1997"/>
      <c r="HB104" s="1997"/>
      <c r="HC104" s="1997"/>
      <c r="HD104" s="1997"/>
      <c r="HE104" s="1997"/>
      <c r="HF104" s="1997"/>
      <c r="HG104" s="1997"/>
      <c r="HH104" s="1997"/>
      <c r="HI104" s="1997"/>
      <c r="HJ104" s="1997"/>
      <c r="HK104" s="1997"/>
      <c r="HL104" s="1997"/>
      <c r="HM104" s="1997"/>
      <c r="HN104" s="1997"/>
      <c r="HO104" s="1997"/>
      <c r="HP104" s="1997"/>
      <c r="HQ104" s="1997"/>
      <c r="HR104" s="1997"/>
      <c r="HS104" s="1997"/>
      <c r="HT104" s="1997"/>
      <c r="HU104" s="1997"/>
      <c r="HV104" s="1997"/>
      <c r="HW104" s="1997"/>
      <c r="HX104" s="1997"/>
      <c r="HY104" s="1997"/>
      <c r="HZ104" s="1997"/>
      <c r="IA104" s="1997"/>
      <c r="IB104" s="1997"/>
      <c r="IC104" s="1997"/>
      <c r="ID104" s="1997"/>
      <c r="IE104" s="1997"/>
      <c r="IF104" s="1997"/>
      <c r="IG104" s="1997"/>
      <c r="IH104" s="1997"/>
      <c r="II104" s="1997"/>
      <c r="IJ104" s="1997"/>
      <c r="IK104" s="1997"/>
      <c r="IL104" s="1997"/>
      <c r="IM104" s="1997"/>
      <c r="IN104" s="1997"/>
      <c r="IO104" s="1997"/>
      <c r="IP104" s="1997"/>
      <c r="IQ104" s="1997"/>
    </row>
    <row r="105" spans="1:251" hidden="1">
      <c r="A105" s="1993"/>
      <c r="B105" s="1993"/>
      <c r="C105" s="1993"/>
      <c r="D105" s="2021"/>
      <c r="E105" s="1993"/>
      <c r="F105" s="1940">
        <f t="shared" si="44"/>
        <v>0</v>
      </c>
      <c r="G105" s="1993"/>
      <c r="H105" s="1940">
        <f t="shared" si="45"/>
        <v>0</v>
      </c>
      <c r="I105" s="1993"/>
      <c r="J105" s="1940">
        <f t="shared" si="46"/>
        <v>0</v>
      </c>
      <c r="K105" s="1993"/>
      <c r="L105" s="1940">
        <f t="shared" si="47"/>
        <v>0</v>
      </c>
      <c r="M105" s="1940">
        <f t="shared" si="48"/>
        <v>0</v>
      </c>
      <c r="N105" s="1940">
        <f t="shared" si="49"/>
        <v>0</v>
      </c>
      <c r="O105" s="1993"/>
      <c r="P105" s="1993"/>
      <c r="Q105" s="1940">
        <f t="shared" si="50"/>
        <v>0</v>
      </c>
      <c r="R105" s="1940">
        <f t="shared" si="51"/>
        <v>0</v>
      </c>
      <c r="S105" s="1940">
        <f t="shared" si="52"/>
        <v>0</v>
      </c>
      <c r="T105" s="1940">
        <f t="shared" si="53"/>
        <v>0</v>
      </c>
      <c r="U105" s="1940">
        <f t="shared" si="54"/>
        <v>0</v>
      </c>
      <c r="V105" s="1997"/>
      <c r="W105" s="1997"/>
      <c r="X105" s="1997"/>
      <c r="Y105" s="1997"/>
      <c r="Z105" s="1997"/>
      <c r="AA105" s="1997"/>
      <c r="AB105" s="1997"/>
      <c r="AC105" s="1997"/>
      <c r="AD105" s="1997"/>
      <c r="AE105" s="1997"/>
      <c r="AF105" s="1997"/>
      <c r="AG105" s="1997"/>
      <c r="AH105" s="1997"/>
      <c r="AI105" s="1997"/>
      <c r="AJ105" s="1997"/>
      <c r="AK105" s="1997"/>
      <c r="AL105" s="1997"/>
      <c r="AM105" s="1997"/>
      <c r="AN105" s="1997"/>
      <c r="AO105" s="1997"/>
      <c r="AP105" s="1997"/>
      <c r="AQ105" s="1997"/>
      <c r="AR105" s="1997"/>
      <c r="AS105" s="1997"/>
      <c r="AT105" s="1997"/>
      <c r="AU105" s="1997"/>
      <c r="AV105" s="1997"/>
      <c r="AW105" s="1997"/>
      <c r="AX105" s="1997"/>
      <c r="AY105" s="1997"/>
      <c r="AZ105" s="1997"/>
      <c r="BA105" s="1997"/>
      <c r="BB105" s="1997"/>
      <c r="BC105" s="1997"/>
      <c r="BD105" s="1997"/>
      <c r="BE105" s="1997"/>
      <c r="BF105" s="1997"/>
      <c r="BG105" s="1997"/>
      <c r="BH105" s="1997"/>
      <c r="BI105" s="1997"/>
      <c r="BJ105" s="1997"/>
      <c r="BK105" s="1997"/>
      <c r="BL105" s="1997"/>
      <c r="BM105" s="1997"/>
      <c r="BN105" s="1997"/>
      <c r="BO105" s="1997"/>
      <c r="BP105" s="1997"/>
      <c r="BQ105" s="1997"/>
      <c r="BR105" s="1997"/>
      <c r="BS105" s="1997"/>
      <c r="BT105" s="1997"/>
      <c r="BU105" s="1997"/>
      <c r="BV105" s="1997"/>
      <c r="BW105" s="1997"/>
      <c r="BX105" s="1997"/>
      <c r="BY105" s="1997"/>
      <c r="BZ105" s="1997"/>
      <c r="CA105" s="1997"/>
      <c r="CB105" s="1997"/>
      <c r="CC105" s="1997"/>
      <c r="CD105" s="1997"/>
      <c r="CE105" s="1997"/>
      <c r="CF105" s="1997"/>
      <c r="CG105" s="1997"/>
      <c r="CH105" s="1997"/>
      <c r="CI105" s="1997"/>
      <c r="CJ105" s="1997"/>
      <c r="CK105" s="1997"/>
      <c r="CL105" s="1997"/>
      <c r="CM105" s="1997"/>
      <c r="CN105" s="1997"/>
      <c r="CO105" s="1997"/>
      <c r="CP105" s="1997"/>
      <c r="CQ105" s="1997"/>
      <c r="CR105" s="1997"/>
      <c r="CS105" s="1997"/>
      <c r="CT105" s="1997"/>
      <c r="CU105" s="1997"/>
      <c r="CV105" s="1997"/>
      <c r="CW105" s="1997"/>
      <c r="CX105" s="1997"/>
      <c r="CY105" s="1997"/>
      <c r="CZ105" s="1997"/>
      <c r="DA105" s="1997"/>
      <c r="DB105" s="1997"/>
      <c r="DC105" s="1997"/>
      <c r="DD105" s="1997"/>
      <c r="DE105" s="1997"/>
      <c r="DF105" s="1997"/>
      <c r="DG105" s="1997"/>
      <c r="DH105" s="1997"/>
      <c r="DI105" s="1997"/>
      <c r="DJ105" s="1997"/>
      <c r="DK105" s="1997"/>
      <c r="DL105" s="1997"/>
      <c r="DM105" s="1997"/>
      <c r="DN105" s="1997"/>
      <c r="DO105" s="1997"/>
      <c r="DP105" s="1997"/>
      <c r="DQ105" s="1997"/>
      <c r="DR105" s="1997"/>
      <c r="DS105" s="1997"/>
      <c r="DT105" s="1997"/>
      <c r="DU105" s="1997"/>
      <c r="DV105" s="1997"/>
      <c r="DW105" s="1997"/>
      <c r="DX105" s="1997"/>
      <c r="DY105" s="1997"/>
      <c r="DZ105" s="1997"/>
      <c r="EA105" s="1997"/>
      <c r="EB105" s="1997"/>
      <c r="EC105" s="1997"/>
      <c r="ED105" s="1997"/>
      <c r="EE105" s="1997"/>
      <c r="EF105" s="1997"/>
      <c r="EG105" s="1997"/>
      <c r="EH105" s="1997"/>
      <c r="EI105" s="1997"/>
      <c r="EJ105" s="1997"/>
      <c r="EK105" s="1997"/>
      <c r="EL105" s="1997"/>
      <c r="EM105" s="1997"/>
      <c r="EN105" s="1997"/>
      <c r="EO105" s="1997"/>
      <c r="EP105" s="1997"/>
      <c r="EQ105" s="1997"/>
      <c r="ER105" s="1997"/>
      <c r="ES105" s="1997"/>
      <c r="ET105" s="1997"/>
      <c r="EU105" s="1997"/>
      <c r="EV105" s="1997"/>
      <c r="EW105" s="1997"/>
      <c r="EX105" s="1997"/>
      <c r="EY105" s="1997"/>
      <c r="EZ105" s="1997"/>
      <c r="FA105" s="1997"/>
      <c r="FB105" s="1997"/>
      <c r="FC105" s="1997"/>
      <c r="FD105" s="1997"/>
      <c r="FE105" s="1997"/>
      <c r="FF105" s="1997"/>
      <c r="FG105" s="1997"/>
      <c r="FH105" s="1997"/>
      <c r="FI105" s="1997"/>
      <c r="FJ105" s="1997"/>
      <c r="FK105" s="1997"/>
      <c r="FL105" s="1997"/>
      <c r="FM105" s="1997"/>
      <c r="FN105" s="1997"/>
      <c r="FO105" s="1997"/>
      <c r="FP105" s="1997"/>
      <c r="FQ105" s="1997"/>
      <c r="FR105" s="1997"/>
      <c r="FS105" s="1997"/>
      <c r="FT105" s="1997"/>
      <c r="FU105" s="1997"/>
      <c r="FV105" s="1997"/>
      <c r="FW105" s="1997"/>
      <c r="FX105" s="1997"/>
      <c r="FY105" s="1997"/>
      <c r="FZ105" s="1997"/>
      <c r="GA105" s="1997"/>
      <c r="GB105" s="1997"/>
      <c r="GC105" s="1997"/>
      <c r="GD105" s="1997"/>
      <c r="GE105" s="1997"/>
      <c r="GF105" s="1997"/>
      <c r="GG105" s="1997"/>
      <c r="GH105" s="1997"/>
      <c r="GI105" s="1997"/>
      <c r="GJ105" s="1997"/>
      <c r="GK105" s="1997"/>
      <c r="GL105" s="1997"/>
      <c r="GM105" s="1997"/>
      <c r="GN105" s="1997"/>
      <c r="GO105" s="1997"/>
      <c r="GP105" s="1997"/>
      <c r="GQ105" s="1997"/>
      <c r="GR105" s="1997"/>
      <c r="GS105" s="1997"/>
      <c r="GT105" s="1997"/>
      <c r="GU105" s="1997"/>
      <c r="GV105" s="1997"/>
      <c r="GW105" s="1997"/>
      <c r="GX105" s="1997"/>
      <c r="GY105" s="1997"/>
      <c r="GZ105" s="1997"/>
      <c r="HA105" s="1997"/>
      <c r="HB105" s="1997"/>
      <c r="HC105" s="1997"/>
      <c r="HD105" s="1997"/>
      <c r="HE105" s="1997"/>
      <c r="HF105" s="1997"/>
      <c r="HG105" s="1997"/>
      <c r="HH105" s="1997"/>
      <c r="HI105" s="1997"/>
      <c r="HJ105" s="1997"/>
      <c r="HK105" s="1997"/>
      <c r="HL105" s="1997"/>
      <c r="HM105" s="1997"/>
      <c r="HN105" s="1997"/>
      <c r="HO105" s="1997"/>
      <c r="HP105" s="1997"/>
      <c r="HQ105" s="1997"/>
      <c r="HR105" s="1997"/>
      <c r="HS105" s="1997"/>
      <c r="HT105" s="1997"/>
      <c r="HU105" s="1997"/>
      <c r="HV105" s="1997"/>
      <c r="HW105" s="1997"/>
      <c r="HX105" s="1997"/>
      <c r="HY105" s="1997"/>
      <c r="HZ105" s="1997"/>
      <c r="IA105" s="1997"/>
      <c r="IB105" s="1997"/>
      <c r="IC105" s="1997"/>
      <c r="ID105" s="1997"/>
      <c r="IE105" s="1997"/>
      <c r="IF105" s="1997"/>
      <c r="IG105" s="1997"/>
      <c r="IH105" s="1997"/>
      <c r="II105" s="1997"/>
      <c r="IJ105" s="1997"/>
      <c r="IK105" s="1997"/>
      <c r="IL105" s="1997"/>
      <c r="IM105" s="1997"/>
      <c r="IN105" s="1997"/>
      <c r="IO105" s="1997"/>
      <c r="IP105" s="1997"/>
      <c r="IQ105" s="1997"/>
    </row>
    <row r="106" spans="1:251" hidden="1">
      <c r="A106" s="1993"/>
      <c r="B106" s="1993"/>
      <c r="C106" s="1993"/>
      <c r="D106" s="2021"/>
      <c r="E106" s="1993"/>
      <c r="F106" s="1940">
        <f t="shared" si="44"/>
        <v>0</v>
      </c>
      <c r="G106" s="1993"/>
      <c r="H106" s="1940">
        <f t="shared" si="45"/>
        <v>0</v>
      </c>
      <c r="I106" s="1993"/>
      <c r="J106" s="1940">
        <f t="shared" si="46"/>
        <v>0</v>
      </c>
      <c r="K106" s="1993"/>
      <c r="L106" s="1940">
        <f t="shared" si="47"/>
        <v>0</v>
      </c>
      <c r="M106" s="1940">
        <f t="shared" si="48"/>
        <v>0</v>
      </c>
      <c r="N106" s="1940">
        <f t="shared" si="49"/>
        <v>0</v>
      </c>
      <c r="O106" s="1993"/>
      <c r="P106" s="1993"/>
      <c r="Q106" s="1940">
        <f t="shared" si="50"/>
        <v>0</v>
      </c>
      <c r="R106" s="1940">
        <f t="shared" si="51"/>
        <v>0</v>
      </c>
      <c r="S106" s="1940">
        <f t="shared" si="52"/>
        <v>0</v>
      </c>
      <c r="T106" s="1940">
        <f t="shared" si="53"/>
        <v>0</v>
      </c>
      <c r="U106" s="1940">
        <f t="shared" si="54"/>
        <v>0</v>
      </c>
      <c r="V106" s="1997"/>
      <c r="W106" s="1997"/>
      <c r="X106" s="1997"/>
      <c r="Y106" s="1997"/>
      <c r="Z106" s="1997"/>
      <c r="AA106" s="1997"/>
      <c r="AB106" s="1997"/>
      <c r="AC106" s="1997"/>
      <c r="AD106" s="1997"/>
      <c r="AE106" s="1997"/>
      <c r="AF106" s="1997"/>
      <c r="AG106" s="1997"/>
      <c r="AH106" s="1997"/>
      <c r="AI106" s="1997"/>
      <c r="AJ106" s="1997"/>
      <c r="AK106" s="1997"/>
      <c r="AL106" s="1997"/>
      <c r="AM106" s="1997"/>
      <c r="AN106" s="1997"/>
      <c r="AO106" s="1997"/>
      <c r="AP106" s="1997"/>
      <c r="AQ106" s="1997"/>
      <c r="AR106" s="1997"/>
      <c r="AS106" s="1997"/>
      <c r="AT106" s="1997"/>
      <c r="AU106" s="1997"/>
      <c r="AV106" s="1997"/>
      <c r="AW106" s="1997"/>
      <c r="AX106" s="1997"/>
      <c r="AY106" s="1997"/>
      <c r="AZ106" s="1997"/>
      <c r="BA106" s="1997"/>
      <c r="BB106" s="1997"/>
      <c r="BC106" s="1997"/>
      <c r="BD106" s="1997"/>
      <c r="BE106" s="1997"/>
      <c r="BF106" s="1997"/>
      <c r="BG106" s="1997"/>
      <c r="BH106" s="1997"/>
      <c r="BI106" s="1997"/>
      <c r="BJ106" s="1997"/>
      <c r="BK106" s="1997"/>
      <c r="BL106" s="1997"/>
      <c r="BM106" s="1997"/>
      <c r="BN106" s="1997"/>
      <c r="BO106" s="1997"/>
      <c r="BP106" s="1997"/>
      <c r="BQ106" s="1997"/>
      <c r="BR106" s="1997"/>
      <c r="BS106" s="1997"/>
      <c r="BT106" s="1997"/>
      <c r="BU106" s="1997"/>
      <c r="BV106" s="1997"/>
      <c r="BW106" s="1997"/>
      <c r="BX106" s="1997"/>
      <c r="BY106" s="1997"/>
      <c r="BZ106" s="1997"/>
      <c r="CA106" s="1997"/>
      <c r="CB106" s="1997"/>
      <c r="CC106" s="1997"/>
      <c r="CD106" s="1997"/>
      <c r="CE106" s="1997"/>
      <c r="CF106" s="1997"/>
      <c r="CG106" s="1997"/>
      <c r="CH106" s="1997"/>
      <c r="CI106" s="1997"/>
      <c r="CJ106" s="1997"/>
      <c r="CK106" s="1997"/>
      <c r="CL106" s="1997"/>
      <c r="CM106" s="1997"/>
      <c r="CN106" s="1997"/>
      <c r="CO106" s="1997"/>
      <c r="CP106" s="1997"/>
      <c r="CQ106" s="1997"/>
      <c r="CR106" s="1997"/>
      <c r="CS106" s="1997"/>
      <c r="CT106" s="1997"/>
      <c r="CU106" s="1997"/>
      <c r="CV106" s="1997"/>
      <c r="CW106" s="1997"/>
      <c r="CX106" s="1997"/>
      <c r="CY106" s="1997"/>
      <c r="CZ106" s="1997"/>
      <c r="DA106" s="1997"/>
      <c r="DB106" s="1997"/>
      <c r="DC106" s="1997"/>
      <c r="DD106" s="1997"/>
      <c r="DE106" s="1997"/>
      <c r="DF106" s="1997"/>
      <c r="DG106" s="1997"/>
      <c r="DH106" s="1997"/>
      <c r="DI106" s="1997"/>
      <c r="DJ106" s="1997"/>
      <c r="DK106" s="1997"/>
      <c r="DL106" s="1997"/>
      <c r="DM106" s="1997"/>
      <c r="DN106" s="1997"/>
      <c r="DO106" s="1997"/>
      <c r="DP106" s="1997"/>
      <c r="DQ106" s="1997"/>
      <c r="DR106" s="1997"/>
      <c r="DS106" s="1997"/>
      <c r="DT106" s="1997"/>
      <c r="DU106" s="1997"/>
      <c r="DV106" s="1997"/>
      <c r="DW106" s="1997"/>
      <c r="DX106" s="1997"/>
      <c r="DY106" s="1997"/>
      <c r="DZ106" s="1997"/>
      <c r="EA106" s="1997"/>
      <c r="EB106" s="1997"/>
      <c r="EC106" s="1997"/>
      <c r="ED106" s="1997"/>
      <c r="EE106" s="1997"/>
      <c r="EF106" s="1997"/>
      <c r="EG106" s="1997"/>
      <c r="EH106" s="1997"/>
      <c r="EI106" s="1997"/>
      <c r="EJ106" s="1997"/>
      <c r="EK106" s="1997"/>
      <c r="EL106" s="1997"/>
      <c r="EM106" s="1997"/>
      <c r="EN106" s="1997"/>
      <c r="EO106" s="1997"/>
      <c r="EP106" s="1997"/>
      <c r="EQ106" s="1997"/>
      <c r="ER106" s="1997"/>
      <c r="ES106" s="1997"/>
      <c r="ET106" s="1997"/>
      <c r="EU106" s="1997"/>
      <c r="EV106" s="1997"/>
      <c r="EW106" s="1997"/>
      <c r="EX106" s="1997"/>
      <c r="EY106" s="1997"/>
      <c r="EZ106" s="1997"/>
      <c r="FA106" s="1997"/>
      <c r="FB106" s="1997"/>
      <c r="FC106" s="1997"/>
      <c r="FD106" s="1997"/>
      <c r="FE106" s="1997"/>
      <c r="FF106" s="1997"/>
      <c r="FG106" s="1997"/>
      <c r="FH106" s="1997"/>
      <c r="FI106" s="1997"/>
      <c r="FJ106" s="1997"/>
      <c r="FK106" s="1997"/>
      <c r="FL106" s="1997"/>
      <c r="FM106" s="1997"/>
      <c r="FN106" s="1997"/>
      <c r="FO106" s="1997"/>
      <c r="FP106" s="1997"/>
      <c r="FQ106" s="1997"/>
      <c r="FR106" s="1997"/>
      <c r="FS106" s="1997"/>
      <c r="FT106" s="1997"/>
      <c r="FU106" s="1997"/>
      <c r="FV106" s="1997"/>
      <c r="FW106" s="1997"/>
      <c r="FX106" s="1997"/>
      <c r="FY106" s="1997"/>
      <c r="FZ106" s="1997"/>
      <c r="GA106" s="1997"/>
      <c r="GB106" s="1997"/>
      <c r="GC106" s="1997"/>
      <c r="GD106" s="1997"/>
      <c r="GE106" s="1997"/>
      <c r="GF106" s="1997"/>
      <c r="GG106" s="1997"/>
      <c r="GH106" s="1997"/>
      <c r="GI106" s="1997"/>
      <c r="GJ106" s="1997"/>
      <c r="GK106" s="1997"/>
      <c r="GL106" s="1997"/>
      <c r="GM106" s="1997"/>
      <c r="GN106" s="1997"/>
      <c r="GO106" s="1997"/>
      <c r="GP106" s="1997"/>
      <c r="GQ106" s="1997"/>
      <c r="GR106" s="1997"/>
      <c r="GS106" s="1997"/>
      <c r="GT106" s="1997"/>
      <c r="GU106" s="1997"/>
      <c r="GV106" s="1997"/>
      <c r="GW106" s="1997"/>
      <c r="GX106" s="1997"/>
      <c r="GY106" s="1997"/>
      <c r="GZ106" s="1997"/>
      <c r="HA106" s="1997"/>
      <c r="HB106" s="1997"/>
      <c r="HC106" s="1997"/>
      <c r="HD106" s="1997"/>
      <c r="HE106" s="1997"/>
      <c r="HF106" s="1997"/>
      <c r="HG106" s="1997"/>
      <c r="HH106" s="1997"/>
      <c r="HI106" s="1997"/>
      <c r="HJ106" s="1997"/>
      <c r="HK106" s="1997"/>
      <c r="HL106" s="1997"/>
      <c r="HM106" s="1997"/>
      <c r="HN106" s="1997"/>
      <c r="HO106" s="1997"/>
      <c r="HP106" s="1997"/>
      <c r="HQ106" s="1997"/>
      <c r="HR106" s="1997"/>
      <c r="HS106" s="1997"/>
      <c r="HT106" s="1997"/>
      <c r="HU106" s="1997"/>
      <c r="HV106" s="1997"/>
      <c r="HW106" s="1997"/>
      <c r="HX106" s="1997"/>
      <c r="HY106" s="1997"/>
      <c r="HZ106" s="1997"/>
      <c r="IA106" s="1997"/>
      <c r="IB106" s="1997"/>
      <c r="IC106" s="1997"/>
      <c r="ID106" s="1997"/>
      <c r="IE106" s="1997"/>
      <c r="IF106" s="1997"/>
      <c r="IG106" s="1997"/>
      <c r="IH106" s="1997"/>
      <c r="II106" s="1997"/>
      <c r="IJ106" s="1997"/>
      <c r="IK106" s="1997"/>
      <c r="IL106" s="1997"/>
      <c r="IM106" s="1997"/>
      <c r="IN106" s="1997"/>
      <c r="IO106" s="1997"/>
      <c r="IP106" s="1997"/>
      <c r="IQ106" s="1997"/>
    </row>
    <row r="107" spans="1:251" hidden="1">
      <c r="A107" s="1993"/>
      <c r="B107" s="1993"/>
      <c r="C107" s="1993"/>
      <c r="D107" s="2021"/>
      <c r="E107" s="1993"/>
      <c r="F107" s="1940">
        <f t="shared" si="44"/>
        <v>0</v>
      </c>
      <c r="G107" s="1993"/>
      <c r="H107" s="1940">
        <f t="shared" si="45"/>
        <v>0</v>
      </c>
      <c r="I107" s="1993"/>
      <c r="J107" s="1940">
        <f t="shared" si="46"/>
        <v>0</v>
      </c>
      <c r="K107" s="1993"/>
      <c r="L107" s="1940">
        <f t="shared" si="47"/>
        <v>0</v>
      </c>
      <c r="M107" s="1940">
        <f t="shared" si="48"/>
        <v>0</v>
      </c>
      <c r="N107" s="1940">
        <f t="shared" si="49"/>
        <v>0</v>
      </c>
      <c r="O107" s="1993"/>
      <c r="P107" s="1993"/>
      <c r="Q107" s="1940">
        <f t="shared" si="50"/>
        <v>0</v>
      </c>
      <c r="R107" s="1940">
        <f t="shared" si="51"/>
        <v>0</v>
      </c>
      <c r="S107" s="1940">
        <f t="shared" si="52"/>
        <v>0</v>
      </c>
      <c r="T107" s="1940">
        <f t="shared" si="53"/>
        <v>0</v>
      </c>
      <c r="U107" s="1940">
        <f t="shared" si="54"/>
        <v>0</v>
      </c>
      <c r="V107" s="1997"/>
      <c r="W107" s="1997"/>
      <c r="X107" s="1997"/>
      <c r="Y107" s="1997"/>
      <c r="Z107" s="1997"/>
      <c r="AA107" s="1997"/>
      <c r="AB107" s="1997"/>
      <c r="AC107" s="1997"/>
      <c r="AD107" s="1997"/>
      <c r="AE107" s="1997"/>
      <c r="AF107" s="1997"/>
      <c r="AG107" s="1997"/>
      <c r="AH107" s="1997"/>
      <c r="AI107" s="1997"/>
      <c r="AJ107" s="1997"/>
      <c r="AK107" s="1997"/>
      <c r="AL107" s="1997"/>
      <c r="AM107" s="1997"/>
      <c r="AN107" s="1997"/>
      <c r="AO107" s="1997"/>
      <c r="AP107" s="1997"/>
      <c r="AQ107" s="1997"/>
      <c r="AR107" s="1997"/>
      <c r="AS107" s="1997"/>
      <c r="AT107" s="1997"/>
      <c r="AU107" s="1997"/>
      <c r="AV107" s="1997"/>
      <c r="AW107" s="1997"/>
      <c r="AX107" s="1997"/>
      <c r="AY107" s="1997"/>
      <c r="AZ107" s="1997"/>
      <c r="BA107" s="1997"/>
      <c r="BB107" s="1997"/>
      <c r="BC107" s="1997"/>
      <c r="BD107" s="1997"/>
      <c r="BE107" s="1997"/>
      <c r="BF107" s="1997"/>
      <c r="BG107" s="1997"/>
      <c r="BH107" s="1997"/>
      <c r="BI107" s="1997"/>
      <c r="BJ107" s="1997"/>
      <c r="BK107" s="1997"/>
      <c r="BL107" s="1997"/>
      <c r="BM107" s="1997"/>
      <c r="BN107" s="1997"/>
      <c r="BO107" s="1997"/>
      <c r="BP107" s="1997"/>
      <c r="BQ107" s="1997"/>
      <c r="BR107" s="1997"/>
      <c r="BS107" s="1997"/>
      <c r="BT107" s="1997"/>
      <c r="BU107" s="1997"/>
      <c r="BV107" s="1997"/>
      <c r="BW107" s="1997"/>
      <c r="BX107" s="1997"/>
      <c r="BY107" s="1997"/>
      <c r="BZ107" s="1997"/>
      <c r="CA107" s="1997"/>
      <c r="CB107" s="1997"/>
      <c r="CC107" s="1997"/>
      <c r="CD107" s="1997"/>
      <c r="CE107" s="1997"/>
      <c r="CF107" s="1997"/>
      <c r="CG107" s="1997"/>
      <c r="CH107" s="1997"/>
      <c r="CI107" s="1997"/>
      <c r="CJ107" s="1997"/>
      <c r="CK107" s="1997"/>
      <c r="CL107" s="1997"/>
      <c r="CM107" s="1997"/>
      <c r="CN107" s="1997"/>
      <c r="CO107" s="1997"/>
      <c r="CP107" s="1997"/>
      <c r="CQ107" s="1997"/>
      <c r="CR107" s="1997"/>
      <c r="CS107" s="1997"/>
      <c r="CT107" s="1997"/>
      <c r="CU107" s="1997"/>
      <c r="CV107" s="1997"/>
      <c r="CW107" s="1997"/>
      <c r="CX107" s="1997"/>
      <c r="CY107" s="1997"/>
      <c r="CZ107" s="1997"/>
      <c r="DA107" s="1997"/>
      <c r="DB107" s="1997"/>
      <c r="DC107" s="1997"/>
      <c r="DD107" s="1997"/>
      <c r="DE107" s="1997"/>
      <c r="DF107" s="1997"/>
      <c r="DG107" s="1997"/>
      <c r="DH107" s="1997"/>
      <c r="DI107" s="1997"/>
      <c r="DJ107" s="1997"/>
      <c r="DK107" s="1997"/>
      <c r="DL107" s="1997"/>
      <c r="DM107" s="1997"/>
      <c r="DN107" s="1997"/>
      <c r="DO107" s="1997"/>
      <c r="DP107" s="1997"/>
      <c r="DQ107" s="1997"/>
      <c r="DR107" s="1997"/>
      <c r="DS107" s="1997"/>
      <c r="DT107" s="1997"/>
      <c r="DU107" s="1997"/>
      <c r="DV107" s="1997"/>
      <c r="DW107" s="1997"/>
      <c r="DX107" s="1997"/>
      <c r="DY107" s="1997"/>
      <c r="DZ107" s="1997"/>
      <c r="EA107" s="1997"/>
      <c r="EB107" s="1997"/>
      <c r="EC107" s="1997"/>
      <c r="ED107" s="1997"/>
      <c r="EE107" s="1997"/>
      <c r="EF107" s="1997"/>
      <c r="EG107" s="1997"/>
      <c r="EH107" s="1997"/>
      <c r="EI107" s="1997"/>
      <c r="EJ107" s="1997"/>
      <c r="EK107" s="1997"/>
      <c r="EL107" s="1997"/>
      <c r="EM107" s="1997"/>
      <c r="EN107" s="1997"/>
      <c r="EO107" s="1997"/>
      <c r="EP107" s="1997"/>
      <c r="EQ107" s="1997"/>
      <c r="ER107" s="1997"/>
      <c r="ES107" s="1997"/>
      <c r="ET107" s="1997"/>
      <c r="EU107" s="1997"/>
      <c r="EV107" s="1997"/>
      <c r="EW107" s="1997"/>
      <c r="EX107" s="1997"/>
      <c r="EY107" s="1997"/>
      <c r="EZ107" s="1997"/>
      <c r="FA107" s="1997"/>
      <c r="FB107" s="1997"/>
      <c r="FC107" s="1997"/>
      <c r="FD107" s="1997"/>
      <c r="FE107" s="1997"/>
      <c r="FF107" s="1997"/>
      <c r="FG107" s="1997"/>
      <c r="FH107" s="1997"/>
      <c r="FI107" s="1997"/>
      <c r="FJ107" s="1997"/>
      <c r="FK107" s="1997"/>
      <c r="FL107" s="1997"/>
      <c r="FM107" s="1997"/>
      <c r="FN107" s="1997"/>
      <c r="FO107" s="1997"/>
      <c r="FP107" s="1997"/>
      <c r="FQ107" s="1997"/>
      <c r="FR107" s="1997"/>
      <c r="FS107" s="1997"/>
      <c r="FT107" s="1997"/>
      <c r="FU107" s="1997"/>
      <c r="FV107" s="1997"/>
      <c r="FW107" s="1997"/>
      <c r="FX107" s="1997"/>
      <c r="FY107" s="1997"/>
      <c r="FZ107" s="1997"/>
      <c r="GA107" s="1997"/>
      <c r="GB107" s="1997"/>
      <c r="GC107" s="1997"/>
      <c r="GD107" s="1997"/>
      <c r="GE107" s="1997"/>
      <c r="GF107" s="1997"/>
      <c r="GG107" s="1997"/>
      <c r="GH107" s="1997"/>
      <c r="GI107" s="1997"/>
      <c r="GJ107" s="1997"/>
      <c r="GK107" s="1997"/>
      <c r="GL107" s="1997"/>
      <c r="GM107" s="1997"/>
      <c r="GN107" s="1997"/>
      <c r="GO107" s="1997"/>
      <c r="GP107" s="1997"/>
      <c r="GQ107" s="1997"/>
      <c r="GR107" s="1997"/>
      <c r="GS107" s="1997"/>
      <c r="GT107" s="1997"/>
      <c r="GU107" s="1997"/>
      <c r="GV107" s="1997"/>
      <c r="GW107" s="1997"/>
      <c r="GX107" s="1997"/>
      <c r="GY107" s="1997"/>
      <c r="GZ107" s="1997"/>
      <c r="HA107" s="1997"/>
      <c r="HB107" s="1997"/>
      <c r="HC107" s="1997"/>
      <c r="HD107" s="1997"/>
      <c r="HE107" s="1997"/>
      <c r="HF107" s="1997"/>
      <c r="HG107" s="1997"/>
      <c r="HH107" s="1997"/>
      <c r="HI107" s="1997"/>
      <c r="HJ107" s="1997"/>
      <c r="HK107" s="1997"/>
      <c r="HL107" s="1997"/>
      <c r="HM107" s="1997"/>
      <c r="HN107" s="1997"/>
      <c r="HO107" s="1997"/>
      <c r="HP107" s="1997"/>
      <c r="HQ107" s="1997"/>
      <c r="HR107" s="1997"/>
      <c r="HS107" s="1997"/>
      <c r="HT107" s="1997"/>
      <c r="HU107" s="1997"/>
      <c r="HV107" s="1997"/>
      <c r="HW107" s="1997"/>
      <c r="HX107" s="1997"/>
      <c r="HY107" s="1997"/>
      <c r="HZ107" s="1997"/>
      <c r="IA107" s="1997"/>
      <c r="IB107" s="1997"/>
      <c r="IC107" s="1997"/>
      <c r="ID107" s="1997"/>
      <c r="IE107" s="1997"/>
      <c r="IF107" s="1997"/>
      <c r="IG107" s="1997"/>
      <c r="IH107" s="1997"/>
      <c r="II107" s="1997"/>
      <c r="IJ107" s="1997"/>
      <c r="IK107" s="1997"/>
      <c r="IL107" s="1997"/>
      <c r="IM107" s="1997"/>
      <c r="IN107" s="1997"/>
      <c r="IO107" s="1997"/>
      <c r="IP107" s="1997"/>
      <c r="IQ107" s="1997"/>
    </row>
    <row r="108" spans="1:251" hidden="1">
      <c r="A108" s="1993"/>
      <c r="B108" s="1993"/>
      <c r="C108" s="1993"/>
      <c r="D108" s="2021"/>
      <c r="E108" s="1993"/>
      <c r="F108" s="1940">
        <f t="shared" si="44"/>
        <v>0</v>
      </c>
      <c r="G108" s="1993"/>
      <c r="H108" s="1940">
        <f t="shared" si="45"/>
        <v>0</v>
      </c>
      <c r="I108" s="1993"/>
      <c r="J108" s="1940">
        <f t="shared" si="46"/>
        <v>0</v>
      </c>
      <c r="K108" s="1993"/>
      <c r="L108" s="1940">
        <f t="shared" si="47"/>
        <v>0</v>
      </c>
      <c r="M108" s="1940">
        <f t="shared" si="48"/>
        <v>0</v>
      </c>
      <c r="N108" s="1940">
        <f t="shared" si="49"/>
        <v>0</v>
      </c>
      <c r="O108" s="1993"/>
      <c r="P108" s="1993"/>
      <c r="Q108" s="1940">
        <f t="shared" si="50"/>
        <v>0</v>
      </c>
      <c r="R108" s="1940">
        <f t="shared" si="51"/>
        <v>0</v>
      </c>
      <c r="S108" s="1940">
        <f t="shared" si="52"/>
        <v>0</v>
      </c>
      <c r="T108" s="1940">
        <f t="shared" si="53"/>
        <v>0</v>
      </c>
      <c r="U108" s="1940">
        <f t="shared" si="54"/>
        <v>0</v>
      </c>
      <c r="V108" s="1997"/>
      <c r="W108" s="1997"/>
      <c r="X108" s="1997"/>
      <c r="Y108" s="1997"/>
      <c r="Z108" s="1997"/>
      <c r="AA108" s="1997"/>
      <c r="AB108" s="1997"/>
      <c r="AC108" s="1997"/>
      <c r="AD108" s="1997"/>
      <c r="AE108" s="1997"/>
      <c r="AF108" s="1997"/>
      <c r="AG108" s="1997"/>
      <c r="AH108" s="1997"/>
      <c r="AI108" s="1997"/>
      <c r="AJ108" s="1997"/>
      <c r="AK108" s="1997"/>
      <c r="AL108" s="1997"/>
      <c r="AM108" s="1997"/>
      <c r="AN108" s="1997"/>
      <c r="AO108" s="1997"/>
      <c r="AP108" s="1997"/>
      <c r="AQ108" s="1997"/>
      <c r="AR108" s="1997"/>
      <c r="AS108" s="1997"/>
      <c r="AT108" s="1997"/>
      <c r="AU108" s="1997"/>
      <c r="AV108" s="1997"/>
      <c r="AW108" s="1997"/>
      <c r="AX108" s="1997"/>
      <c r="AY108" s="1997"/>
      <c r="AZ108" s="1997"/>
      <c r="BA108" s="1997"/>
      <c r="BB108" s="1997"/>
      <c r="BC108" s="1997"/>
      <c r="BD108" s="1997"/>
      <c r="BE108" s="1997"/>
      <c r="BF108" s="1997"/>
      <c r="BG108" s="1997"/>
      <c r="BH108" s="1997"/>
      <c r="BI108" s="1997"/>
      <c r="BJ108" s="1997"/>
      <c r="BK108" s="1997"/>
      <c r="BL108" s="1997"/>
      <c r="BM108" s="1997"/>
      <c r="BN108" s="1997"/>
      <c r="BO108" s="1997"/>
      <c r="BP108" s="1997"/>
      <c r="BQ108" s="1997"/>
      <c r="BR108" s="1997"/>
      <c r="BS108" s="1997"/>
      <c r="BT108" s="1997"/>
      <c r="BU108" s="1997"/>
      <c r="BV108" s="1997"/>
      <c r="BW108" s="1997"/>
      <c r="BX108" s="1997"/>
      <c r="BY108" s="1997"/>
      <c r="BZ108" s="1997"/>
      <c r="CA108" s="1997"/>
      <c r="CB108" s="1997"/>
      <c r="CC108" s="1997"/>
      <c r="CD108" s="1997"/>
      <c r="CE108" s="1997"/>
      <c r="CF108" s="1997"/>
      <c r="CG108" s="1997"/>
      <c r="CH108" s="1997"/>
      <c r="CI108" s="1997"/>
      <c r="CJ108" s="1997"/>
      <c r="CK108" s="1997"/>
      <c r="CL108" s="1997"/>
      <c r="CM108" s="1997"/>
      <c r="CN108" s="1997"/>
      <c r="CO108" s="1997"/>
      <c r="CP108" s="1997"/>
      <c r="CQ108" s="1997"/>
      <c r="CR108" s="1997"/>
      <c r="CS108" s="1997"/>
      <c r="CT108" s="1997"/>
      <c r="CU108" s="1997"/>
      <c r="CV108" s="1997"/>
      <c r="CW108" s="1997"/>
      <c r="CX108" s="1997"/>
      <c r="CY108" s="1997"/>
      <c r="CZ108" s="1997"/>
      <c r="DA108" s="1997"/>
      <c r="DB108" s="1997"/>
      <c r="DC108" s="1997"/>
      <c r="DD108" s="1997"/>
      <c r="DE108" s="1997"/>
      <c r="DF108" s="1997"/>
      <c r="DG108" s="1997"/>
      <c r="DH108" s="1997"/>
      <c r="DI108" s="1997"/>
      <c r="DJ108" s="1997"/>
      <c r="DK108" s="1997"/>
      <c r="DL108" s="1997"/>
      <c r="DM108" s="1997"/>
      <c r="DN108" s="1997"/>
      <c r="DO108" s="1997"/>
      <c r="DP108" s="1997"/>
      <c r="DQ108" s="1997"/>
      <c r="DR108" s="1997"/>
      <c r="DS108" s="1997"/>
      <c r="DT108" s="1997"/>
      <c r="DU108" s="1997"/>
      <c r="DV108" s="1997"/>
      <c r="DW108" s="1997"/>
      <c r="DX108" s="1997"/>
      <c r="DY108" s="1997"/>
      <c r="DZ108" s="1997"/>
      <c r="EA108" s="1997"/>
      <c r="EB108" s="1997"/>
      <c r="EC108" s="1997"/>
      <c r="ED108" s="1997"/>
      <c r="EE108" s="1997"/>
      <c r="EF108" s="1997"/>
      <c r="EG108" s="1997"/>
      <c r="EH108" s="1997"/>
      <c r="EI108" s="1997"/>
      <c r="EJ108" s="1997"/>
      <c r="EK108" s="1997"/>
      <c r="EL108" s="1997"/>
      <c r="EM108" s="1997"/>
      <c r="EN108" s="1997"/>
      <c r="EO108" s="1997"/>
      <c r="EP108" s="1997"/>
      <c r="EQ108" s="1997"/>
      <c r="ER108" s="1997"/>
      <c r="ES108" s="1997"/>
      <c r="ET108" s="1997"/>
      <c r="EU108" s="1997"/>
      <c r="EV108" s="1997"/>
      <c r="EW108" s="1997"/>
      <c r="EX108" s="1997"/>
      <c r="EY108" s="1997"/>
      <c r="EZ108" s="1997"/>
      <c r="FA108" s="1997"/>
      <c r="FB108" s="1997"/>
      <c r="FC108" s="1997"/>
      <c r="FD108" s="1997"/>
      <c r="FE108" s="1997"/>
      <c r="FF108" s="1997"/>
      <c r="FG108" s="1997"/>
      <c r="FH108" s="1997"/>
      <c r="FI108" s="1997"/>
      <c r="FJ108" s="1997"/>
      <c r="FK108" s="1997"/>
      <c r="FL108" s="1997"/>
      <c r="FM108" s="1997"/>
      <c r="FN108" s="1997"/>
      <c r="FO108" s="1997"/>
      <c r="FP108" s="1997"/>
      <c r="FQ108" s="1997"/>
      <c r="FR108" s="1997"/>
      <c r="FS108" s="1997"/>
      <c r="FT108" s="1997"/>
      <c r="FU108" s="1997"/>
      <c r="FV108" s="1997"/>
      <c r="FW108" s="1997"/>
      <c r="FX108" s="1997"/>
      <c r="FY108" s="1997"/>
      <c r="FZ108" s="1997"/>
      <c r="GA108" s="1997"/>
      <c r="GB108" s="1997"/>
      <c r="GC108" s="1997"/>
      <c r="GD108" s="1997"/>
      <c r="GE108" s="1997"/>
      <c r="GF108" s="1997"/>
      <c r="GG108" s="1997"/>
      <c r="GH108" s="1997"/>
      <c r="GI108" s="1997"/>
      <c r="GJ108" s="1997"/>
      <c r="GK108" s="1997"/>
      <c r="GL108" s="1997"/>
      <c r="GM108" s="1997"/>
      <c r="GN108" s="1997"/>
      <c r="GO108" s="1997"/>
      <c r="GP108" s="1997"/>
      <c r="GQ108" s="1997"/>
      <c r="GR108" s="1997"/>
      <c r="GS108" s="1997"/>
      <c r="GT108" s="1997"/>
      <c r="GU108" s="1997"/>
      <c r="GV108" s="1997"/>
      <c r="GW108" s="1997"/>
      <c r="GX108" s="1997"/>
      <c r="GY108" s="1997"/>
      <c r="GZ108" s="1997"/>
      <c r="HA108" s="1997"/>
      <c r="HB108" s="1997"/>
      <c r="HC108" s="1997"/>
      <c r="HD108" s="1997"/>
      <c r="HE108" s="1997"/>
      <c r="HF108" s="1997"/>
      <c r="HG108" s="1997"/>
      <c r="HH108" s="1997"/>
      <c r="HI108" s="1997"/>
      <c r="HJ108" s="1997"/>
      <c r="HK108" s="1997"/>
      <c r="HL108" s="1997"/>
      <c r="HM108" s="1997"/>
      <c r="HN108" s="1997"/>
      <c r="HO108" s="1997"/>
      <c r="HP108" s="1997"/>
      <c r="HQ108" s="1997"/>
      <c r="HR108" s="1997"/>
      <c r="HS108" s="1997"/>
      <c r="HT108" s="1997"/>
      <c r="HU108" s="1997"/>
      <c r="HV108" s="1997"/>
      <c r="HW108" s="1997"/>
      <c r="HX108" s="1997"/>
      <c r="HY108" s="1997"/>
      <c r="HZ108" s="1997"/>
      <c r="IA108" s="1997"/>
      <c r="IB108" s="1997"/>
      <c r="IC108" s="1997"/>
      <c r="ID108" s="1997"/>
      <c r="IE108" s="1997"/>
      <c r="IF108" s="1997"/>
      <c r="IG108" s="1997"/>
      <c r="IH108" s="1997"/>
      <c r="II108" s="1997"/>
      <c r="IJ108" s="1997"/>
      <c r="IK108" s="1997"/>
      <c r="IL108" s="1997"/>
      <c r="IM108" s="1997"/>
      <c r="IN108" s="1997"/>
      <c r="IO108" s="1997"/>
      <c r="IP108" s="1997"/>
      <c r="IQ108" s="1997"/>
    </row>
    <row r="109" spans="1:251" ht="14.25" hidden="1" customHeight="1">
      <c r="A109" s="1993"/>
      <c r="B109" s="1993"/>
      <c r="C109" s="1993"/>
      <c r="D109" s="2021"/>
      <c r="E109" s="1993"/>
      <c r="F109" s="1940">
        <f t="shared" si="44"/>
        <v>0</v>
      </c>
      <c r="G109" s="1993"/>
      <c r="H109" s="1940">
        <f t="shared" si="45"/>
        <v>0</v>
      </c>
      <c r="I109" s="1993"/>
      <c r="J109" s="1940">
        <f t="shared" si="46"/>
        <v>0</v>
      </c>
      <c r="K109" s="1993"/>
      <c r="L109" s="1940">
        <f t="shared" si="47"/>
        <v>0</v>
      </c>
      <c r="M109" s="1940">
        <f t="shared" si="48"/>
        <v>0</v>
      </c>
      <c r="N109" s="1940">
        <f t="shared" si="49"/>
        <v>0</v>
      </c>
      <c r="O109" s="1993"/>
      <c r="P109" s="1993"/>
      <c r="Q109" s="1940">
        <f t="shared" si="50"/>
        <v>0</v>
      </c>
      <c r="R109" s="1940">
        <f t="shared" si="51"/>
        <v>0</v>
      </c>
      <c r="S109" s="1940">
        <f t="shared" si="52"/>
        <v>0</v>
      </c>
      <c r="T109" s="1940">
        <f t="shared" si="53"/>
        <v>0</v>
      </c>
      <c r="U109" s="1940">
        <f t="shared" si="54"/>
        <v>0</v>
      </c>
      <c r="V109" s="1997"/>
      <c r="W109" s="1997"/>
      <c r="X109" s="1997"/>
      <c r="Y109" s="1997"/>
      <c r="Z109" s="1997"/>
      <c r="AA109" s="1997"/>
      <c r="AB109" s="1997"/>
      <c r="AC109" s="1997"/>
      <c r="AD109" s="1997"/>
      <c r="AE109" s="1997"/>
      <c r="AF109" s="1997"/>
      <c r="AG109" s="1997"/>
      <c r="AH109" s="1997"/>
      <c r="AI109" s="1997"/>
      <c r="AJ109" s="1997"/>
      <c r="AK109" s="1997"/>
      <c r="AL109" s="1997"/>
      <c r="AM109" s="1997"/>
      <c r="AN109" s="1997"/>
      <c r="AO109" s="1997"/>
      <c r="AP109" s="1997"/>
      <c r="AQ109" s="1997"/>
      <c r="AR109" s="1997"/>
      <c r="AS109" s="1997"/>
      <c r="AT109" s="1997"/>
      <c r="AU109" s="1997"/>
      <c r="AV109" s="1997"/>
      <c r="AW109" s="1997"/>
      <c r="AX109" s="1997"/>
      <c r="AY109" s="1997"/>
      <c r="AZ109" s="1997"/>
      <c r="BA109" s="1997"/>
      <c r="BB109" s="1997"/>
      <c r="BC109" s="1997"/>
      <c r="BD109" s="1997"/>
      <c r="BE109" s="1997"/>
      <c r="BF109" s="1997"/>
      <c r="BG109" s="1997"/>
      <c r="BH109" s="1997"/>
      <c r="BI109" s="1997"/>
      <c r="BJ109" s="1997"/>
      <c r="BK109" s="1997"/>
      <c r="BL109" s="1997"/>
      <c r="BM109" s="1997"/>
      <c r="BN109" s="1997"/>
      <c r="BO109" s="1997"/>
      <c r="BP109" s="1997"/>
      <c r="BQ109" s="1997"/>
      <c r="BR109" s="1997"/>
      <c r="BS109" s="1997"/>
      <c r="BT109" s="1997"/>
      <c r="BU109" s="1997"/>
      <c r="BV109" s="1997"/>
      <c r="BW109" s="1997"/>
      <c r="BX109" s="1997"/>
      <c r="BY109" s="1997"/>
      <c r="BZ109" s="1997"/>
      <c r="CA109" s="1997"/>
      <c r="CB109" s="1997"/>
      <c r="CC109" s="1997"/>
      <c r="CD109" s="1997"/>
      <c r="CE109" s="1997"/>
      <c r="CF109" s="1997"/>
      <c r="CG109" s="1997"/>
      <c r="CH109" s="1997"/>
      <c r="CI109" s="1997"/>
      <c r="CJ109" s="1997"/>
      <c r="CK109" s="1997"/>
      <c r="CL109" s="1997"/>
      <c r="CM109" s="1997"/>
      <c r="CN109" s="1997"/>
      <c r="CO109" s="1997"/>
      <c r="CP109" s="1997"/>
      <c r="CQ109" s="1997"/>
      <c r="CR109" s="1997"/>
      <c r="CS109" s="1997"/>
      <c r="CT109" s="1997"/>
      <c r="CU109" s="1997"/>
      <c r="CV109" s="1997"/>
      <c r="CW109" s="1997"/>
      <c r="CX109" s="1997"/>
      <c r="CY109" s="1997"/>
      <c r="CZ109" s="1997"/>
      <c r="DA109" s="1997"/>
      <c r="DB109" s="1997"/>
      <c r="DC109" s="1997"/>
      <c r="DD109" s="1997"/>
      <c r="DE109" s="1997"/>
      <c r="DF109" s="1997"/>
      <c r="DG109" s="1997"/>
      <c r="DH109" s="1997"/>
      <c r="DI109" s="1997"/>
      <c r="DJ109" s="1997"/>
      <c r="DK109" s="1997"/>
      <c r="DL109" s="1997"/>
      <c r="DM109" s="1997"/>
      <c r="DN109" s="1997"/>
      <c r="DO109" s="1997"/>
      <c r="DP109" s="1997"/>
      <c r="DQ109" s="1997"/>
      <c r="DR109" s="1997"/>
      <c r="DS109" s="1997"/>
      <c r="DT109" s="1997"/>
      <c r="DU109" s="1997"/>
      <c r="DV109" s="1997"/>
      <c r="DW109" s="1997"/>
      <c r="DX109" s="1997"/>
      <c r="DY109" s="1997"/>
      <c r="DZ109" s="1997"/>
      <c r="EA109" s="1997"/>
      <c r="EB109" s="1997"/>
      <c r="EC109" s="1997"/>
      <c r="ED109" s="1997"/>
      <c r="EE109" s="1997"/>
      <c r="EF109" s="1997"/>
      <c r="EG109" s="1997"/>
      <c r="EH109" s="1997"/>
      <c r="EI109" s="1997"/>
      <c r="EJ109" s="1997"/>
      <c r="EK109" s="1997"/>
      <c r="EL109" s="1997"/>
      <c r="EM109" s="1997"/>
      <c r="EN109" s="1997"/>
      <c r="EO109" s="1997"/>
      <c r="EP109" s="1997"/>
      <c r="EQ109" s="1997"/>
      <c r="ER109" s="1997"/>
      <c r="ES109" s="1997"/>
      <c r="ET109" s="1997"/>
      <c r="EU109" s="1997"/>
      <c r="EV109" s="1997"/>
      <c r="EW109" s="1997"/>
      <c r="EX109" s="1997"/>
      <c r="EY109" s="1997"/>
      <c r="EZ109" s="1997"/>
      <c r="FA109" s="1997"/>
      <c r="FB109" s="1997"/>
      <c r="FC109" s="1997"/>
      <c r="FD109" s="1997"/>
      <c r="FE109" s="1997"/>
      <c r="FF109" s="1997"/>
      <c r="FG109" s="1997"/>
      <c r="FH109" s="1997"/>
      <c r="FI109" s="1997"/>
      <c r="FJ109" s="1997"/>
      <c r="FK109" s="1997"/>
      <c r="FL109" s="1997"/>
      <c r="FM109" s="1997"/>
      <c r="FN109" s="1997"/>
      <c r="FO109" s="1997"/>
      <c r="FP109" s="1997"/>
      <c r="FQ109" s="1997"/>
      <c r="FR109" s="1997"/>
      <c r="FS109" s="1997"/>
      <c r="FT109" s="1997"/>
      <c r="FU109" s="1997"/>
      <c r="FV109" s="1997"/>
      <c r="FW109" s="1997"/>
      <c r="FX109" s="1997"/>
      <c r="FY109" s="1997"/>
      <c r="FZ109" s="1997"/>
      <c r="GA109" s="1997"/>
      <c r="GB109" s="1997"/>
      <c r="GC109" s="1997"/>
      <c r="GD109" s="1997"/>
      <c r="GE109" s="1997"/>
      <c r="GF109" s="1997"/>
      <c r="GG109" s="1997"/>
      <c r="GH109" s="1997"/>
      <c r="GI109" s="1997"/>
      <c r="GJ109" s="1997"/>
      <c r="GK109" s="1997"/>
      <c r="GL109" s="1997"/>
      <c r="GM109" s="1997"/>
      <c r="GN109" s="1997"/>
      <c r="GO109" s="1997"/>
      <c r="GP109" s="1997"/>
      <c r="GQ109" s="1997"/>
      <c r="GR109" s="1997"/>
      <c r="GS109" s="1997"/>
      <c r="GT109" s="1997"/>
      <c r="GU109" s="1997"/>
      <c r="GV109" s="1997"/>
      <c r="GW109" s="1997"/>
      <c r="GX109" s="1997"/>
      <c r="GY109" s="1997"/>
      <c r="GZ109" s="1997"/>
      <c r="HA109" s="1997"/>
      <c r="HB109" s="1997"/>
      <c r="HC109" s="1997"/>
      <c r="HD109" s="1997"/>
      <c r="HE109" s="1997"/>
      <c r="HF109" s="1997"/>
      <c r="HG109" s="1997"/>
      <c r="HH109" s="1997"/>
      <c r="HI109" s="1997"/>
      <c r="HJ109" s="1997"/>
      <c r="HK109" s="1997"/>
      <c r="HL109" s="1997"/>
      <c r="HM109" s="1997"/>
      <c r="HN109" s="1997"/>
      <c r="HO109" s="1997"/>
      <c r="HP109" s="1997"/>
      <c r="HQ109" s="1997"/>
      <c r="HR109" s="1997"/>
      <c r="HS109" s="1997"/>
      <c r="HT109" s="1997"/>
      <c r="HU109" s="1997"/>
      <c r="HV109" s="1997"/>
      <c r="HW109" s="1997"/>
      <c r="HX109" s="1997"/>
      <c r="HY109" s="1997"/>
      <c r="HZ109" s="1997"/>
      <c r="IA109" s="1997"/>
      <c r="IB109" s="1997"/>
      <c r="IC109" s="1997"/>
      <c r="ID109" s="1997"/>
      <c r="IE109" s="1997"/>
      <c r="IF109" s="1997"/>
      <c r="IG109" s="1997"/>
      <c r="IH109" s="1997"/>
      <c r="II109" s="1997"/>
      <c r="IJ109" s="1997"/>
      <c r="IK109" s="1997"/>
      <c r="IL109" s="1997"/>
      <c r="IM109" s="1997"/>
      <c r="IN109" s="1997"/>
      <c r="IO109" s="1997"/>
      <c r="IP109" s="1997"/>
      <c r="IQ109" s="1997"/>
    </row>
    <row r="110" spans="1:251">
      <c r="A110" s="1993"/>
      <c r="B110" s="2014" t="s">
        <v>528</v>
      </c>
      <c r="C110" s="1993"/>
      <c r="D110" s="2021">
        <f>SUM(D112:D130)</f>
        <v>59</v>
      </c>
      <c r="E110" s="1993"/>
      <c r="F110" s="1940">
        <f>SUM(F112:F130)</f>
        <v>856000</v>
      </c>
      <c r="G110" s="1993"/>
      <c r="H110" s="1940">
        <f>SUM(H112:H130)</f>
        <v>17936000</v>
      </c>
      <c r="I110" s="1993"/>
      <c r="J110" s="1940">
        <f>SUM(J112:J130)</f>
        <v>0</v>
      </c>
      <c r="K110" s="1993"/>
      <c r="L110" s="1940">
        <f t="shared" ref="L110:U110" si="55">SUM(L112:L130)</f>
        <v>7600</v>
      </c>
      <c r="M110" s="1940">
        <f t="shared" si="55"/>
        <v>1793600</v>
      </c>
      <c r="N110" s="1940">
        <f t="shared" si="55"/>
        <v>19729600</v>
      </c>
      <c r="O110" s="1940">
        <f t="shared" si="55"/>
        <v>0</v>
      </c>
      <c r="P110" s="1940">
        <f t="shared" si="55"/>
        <v>4484000</v>
      </c>
      <c r="Q110" s="1940">
        <f t="shared" si="55"/>
        <v>24213600</v>
      </c>
      <c r="R110" s="1940">
        <f t="shared" si="55"/>
        <v>2421360</v>
      </c>
      <c r="S110" s="1940">
        <f t="shared" si="55"/>
        <v>2179224</v>
      </c>
      <c r="T110" s="1940">
        <f t="shared" si="55"/>
        <v>1307534.3999999999</v>
      </c>
      <c r="U110" s="1940">
        <f t="shared" si="55"/>
        <v>1089612</v>
      </c>
      <c r="V110" s="1997"/>
      <c r="W110" s="1997"/>
      <c r="X110" s="1997"/>
      <c r="Y110" s="1997"/>
      <c r="Z110" s="1997"/>
      <c r="AA110" s="1997"/>
      <c r="AB110" s="1997"/>
      <c r="AC110" s="1997"/>
      <c r="AD110" s="1997"/>
      <c r="AE110" s="1997"/>
      <c r="AF110" s="1997"/>
      <c r="AG110" s="1997"/>
      <c r="AH110" s="1997"/>
      <c r="AI110" s="1997"/>
      <c r="AJ110" s="1997"/>
      <c r="AK110" s="1997"/>
      <c r="AL110" s="1997"/>
      <c r="AM110" s="1997"/>
      <c r="AN110" s="1997"/>
      <c r="AO110" s="1997"/>
      <c r="AP110" s="1997"/>
      <c r="AQ110" s="1997"/>
      <c r="AR110" s="1997"/>
      <c r="AS110" s="1997"/>
      <c r="AT110" s="1997"/>
      <c r="AU110" s="1997"/>
      <c r="AV110" s="1997"/>
      <c r="AW110" s="1997"/>
      <c r="AX110" s="1997"/>
      <c r="AY110" s="1997"/>
      <c r="AZ110" s="1997"/>
      <c r="BA110" s="1997"/>
      <c r="BB110" s="1997"/>
      <c r="BC110" s="1997"/>
      <c r="BD110" s="1997"/>
      <c r="BE110" s="1997"/>
      <c r="BF110" s="1997"/>
      <c r="BG110" s="1997"/>
      <c r="BH110" s="1997"/>
      <c r="BI110" s="1997"/>
      <c r="BJ110" s="1997"/>
      <c r="BK110" s="1997"/>
      <c r="BL110" s="1997"/>
      <c r="BM110" s="1997"/>
      <c r="BN110" s="1997"/>
      <c r="BO110" s="1997"/>
      <c r="BP110" s="1997"/>
      <c r="BQ110" s="1997"/>
      <c r="BR110" s="1997"/>
      <c r="BS110" s="1997"/>
      <c r="BT110" s="1997"/>
      <c r="BU110" s="1997"/>
      <c r="BV110" s="1997"/>
      <c r="BW110" s="1997"/>
      <c r="BX110" s="1997"/>
      <c r="BY110" s="1997"/>
      <c r="BZ110" s="1997"/>
      <c r="CA110" s="1997"/>
      <c r="CB110" s="1997"/>
      <c r="CC110" s="1997"/>
      <c r="CD110" s="1997"/>
      <c r="CE110" s="1997"/>
      <c r="CF110" s="1997"/>
      <c r="CG110" s="1997"/>
      <c r="CH110" s="1997"/>
      <c r="CI110" s="1997"/>
      <c r="CJ110" s="1997"/>
      <c r="CK110" s="1997"/>
      <c r="CL110" s="1997"/>
      <c r="CM110" s="1997"/>
      <c r="CN110" s="1997"/>
      <c r="CO110" s="1997"/>
      <c r="CP110" s="1997"/>
      <c r="CQ110" s="1997"/>
      <c r="CR110" s="1997"/>
      <c r="CS110" s="1997"/>
      <c r="CT110" s="1997"/>
      <c r="CU110" s="1997"/>
      <c r="CV110" s="1997"/>
      <c r="CW110" s="1997"/>
      <c r="CX110" s="1997"/>
      <c r="CY110" s="1997"/>
      <c r="CZ110" s="1997"/>
      <c r="DA110" s="1997"/>
      <c r="DB110" s="1997"/>
      <c r="DC110" s="1997"/>
      <c r="DD110" s="1997"/>
      <c r="DE110" s="1997"/>
      <c r="DF110" s="1997"/>
      <c r="DG110" s="1997"/>
      <c r="DH110" s="1997"/>
      <c r="DI110" s="1997"/>
      <c r="DJ110" s="1997"/>
      <c r="DK110" s="1997"/>
      <c r="DL110" s="1997"/>
      <c r="DM110" s="1997"/>
      <c r="DN110" s="1997"/>
      <c r="DO110" s="1997"/>
      <c r="DP110" s="1997"/>
      <c r="DQ110" s="1997"/>
      <c r="DR110" s="1997"/>
      <c r="DS110" s="1997"/>
      <c r="DT110" s="1997"/>
      <c r="DU110" s="1997"/>
      <c r="DV110" s="1997"/>
      <c r="DW110" s="1997"/>
      <c r="DX110" s="1997"/>
      <c r="DY110" s="1997"/>
      <c r="DZ110" s="1997"/>
      <c r="EA110" s="1997"/>
      <c r="EB110" s="1997"/>
      <c r="EC110" s="1997"/>
      <c r="ED110" s="1997"/>
      <c r="EE110" s="1997"/>
      <c r="EF110" s="1997"/>
      <c r="EG110" s="1997"/>
      <c r="EH110" s="1997"/>
      <c r="EI110" s="1997"/>
      <c r="EJ110" s="1997"/>
      <c r="EK110" s="1997"/>
      <c r="EL110" s="1997"/>
      <c r="EM110" s="1997"/>
      <c r="EN110" s="1997"/>
      <c r="EO110" s="1997"/>
      <c r="EP110" s="1997"/>
      <c r="EQ110" s="1997"/>
      <c r="ER110" s="1997"/>
      <c r="ES110" s="1997"/>
      <c r="ET110" s="1997"/>
      <c r="EU110" s="1997"/>
      <c r="EV110" s="1997"/>
      <c r="EW110" s="1997"/>
      <c r="EX110" s="1997"/>
      <c r="EY110" s="1997"/>
      <c r="EZ110" s="1997"/>
      <c r="FA110" s="1997"/>
      <c r="FB110" s="1997"/>
      <c r="FC110" s="1997"/>
      <c r="FD110" s="1997"/>
      <c r="FE110" s="1997"/>
      <c r="FF110" s="1997"/>
      <c r="FG110" s="1997"/>
      <c r="FH110" s="1997"/>
      <c r="FI110" s="1997"/>
      <c r="FJ110" s="1997"/>
      <c r="FK110" s="1997"/>
      <c r="FL110" s="1997"/>
      <c r="FM110" s="1997"/>
      <c r="FN110" s="1997"/>
      <c r="FO110" s="1997"/>
      <c r="FP110" s="1997"/>
      <c r="FQ110" s="1997"/>
      <c r="FR110" s="1997"/>
      <c r="FS110" s="1997"/>
      <c r="FT110" s="1997"/>
      <c r="FU110" s="1997"/>
      <c r="FV110" s="1997"/>
      <c r="FW110" s="1997"/>
      <c r="FX110" s="1997"/>
      <c r="FY110" s="1997"/>
      <c r="FZ110" s="1997"/>
      <c r="GA110" s="1997"/>
      <c r="GB110" s="1997"/>
      <c r="GC110" s="1997"/>
      <c r="GD110" s="1997"/>
      <c r="GE110" s="1997"/>
      <c r="GF110" s="1997"/>
      <c r="GG110" s="1997"/>
      <c r="GH110" s="1997"/>
      <c r="GI110" s="1997"/>
      <c r="GJ110" s="1997"/>
      <c r="GK110" s="1997"/>
      <c r="GL110" s="1997"/>
      <c r="GM110" s="1997"/>
      <c r="GN110" s="1997"/>
      <c r="GO110" s="1997"/>
      <c r="GP110" s="1997"/>
      <c r="GQ110" s="1997"/>
      <c r="GR110" s="1997"/>
      <c r="GS110" s="1997"/>
      <c r="GT110" s="1997"/>
      <c r="GU110" s="1997"/>
      <c r="GV110" s="1997"/>
      <c r="GW110" s="1997"/>
      <c r="GX110" s="1997"/>
      <c r="GY110" s="1997"/>
      <c r="GZ110" s="1997"/>
      <c r="HA110" s="1997"/>
      <c r="HB110" s="1997"/>
      <c r="HC110" s="1997"/>
      <c r="HD110" s="1997"/>
      <c r="HE110" s="1997"/>
      <c r="HF110" s="1997"/>
      <c r="HG110" s="1997"/>
      <c r="HH110" s="1997"/>
      <c r="HI110" s="1997"/>
      <c r="HJ110" s="1997"/>
      <c r="HK110" s="1997"/>
      <c r="HL110" s="1997"/>
      <c r="HM110" s="1997"/>
      <c r="HN110" s="1997"/>
      <c r="HO110" s="1997"/>
      <c r="HP110" s="1997"/>
      <c r="HQ110" s="1997"/>
      <c r="HR110" s="1997"/>
      <c r="HS110" s="1997"/>
      <c r="HT110" s="1997"/>
      <c r="HU110" s="1997"/>
      <c r="HV110" s="1997"/>
      <c r="HW110" s="1997"/>
      <c r="HX110" s="1997"/>
      <c r="HY110" s="1997"/>
      <c r="HZ110" s="1997"/>
      <c r="IA110" s="1997"/>
      <c r="IB110" s="1997"/>
      <c r="IC110" s="1997"/>
      <c r="ID110" s="1997"/>
      <c r="IE110" s="1997"/>
      <c r="IF110" s="1997"/>
      <c r="IG110" s="1997"/>
      <c r="IH110" s="1997"/>
      <c r="II110" s="1997"/>
      <c r="IJ110" s="1997"/>
      <c r="IK110" s="1997"/>
      <c r="IL110" s="1997"/>
      <c r="IM110" s="1997"/>
      <c r="IN110" s="1997"/>
      <c r="IO110" s="1997"/>
      <c r="IP110" s="1997"/>
      <c r="IQ110" s="1997"/>
    </row>
    <row r="111" spans="1:251">
      <c r="A111" s="1993"/>
      <c r="B111" s="2014" t="s">
        <v>529</v>
      </c>
      <c r="C111" s="1993"/>
      <c r="D111" s="2021"/>
      <c r="E111" s="1993"/>
      <c r="F111" s="1940"/>
      <c r="G111" s="1993"/>
      <c r="H111" s="1940"/>
      <c r="I111" s="1993"/>
      <c r="J111" s="1940"/>
      <c r="K111" s="1993"/>
      <c r="L111" s="1940"/>
      <c r="M111" s="1940"/>
      <c r="N111" s="1940"/>
      <c r="O111" s="1940"/>
      <c r="P111" s="1940"/>
      <c r="Q111" s="1940"/>
      <c r="R111" s="1940"/>
      <c r="S111" s="1940"/>
      <c r="T111" s="1940"/>
      <c r="U111" s="1940"/>
      <c r="V111" s="1997"/>
      <c r="W111" s="1997"/>
      <c r="X111" s="1997"/>
      <c r="Y111" s="1997"/>
      <c r="Z111" s="1997"/>
      <c r="AA111" s="1997"/>
      <c r="AB111" s="1997"/>
      <c r="AC111" s="1997"/>
      <c r="AD111" s="1997"/>
      <c r="AE111" s="1997"/>
      <c r="AF111" s="1997"/>
      <c r="AG111" s="1997"/>
      <c r="AH111" s="1997"/>
      <c r="AI111" s="1997"/>
      <c r="AJ111" s="1997"/>
      <c r="AK111" s="1997"/>
      <c r="AL111" s="1997"/>
      <c r="AM111" s="1997"/>
      <c r="AN111" s="1997"/>
      <c r="AO111" s="1997"/>
      <c r="AP111" s="1997"/>
      <c r="AQ111" s="1997"/>
      <c r="AR111" s="1997"/>
      <c r="AS111" s="1997"/>
      <c r="AT111" s="1997"/>
      <c r="AU111" s="1997"/>
      <c r="AV111" s="1997"/>
      <c r="AW111" s="1997"/>
      <c r="AX111" s="1997"/>
      <c r="AY111" s="1997"/>
      <c r="AZ111" s="1997"/>
      <c r="BA111" s="1997"/>
      <c r="BB111" s="1997"/>
      <c r="BC111" s="1997"/>
      <c r="BD111" s="1997"/>
      <c r="BE111" s="1997"/>
      <c r="BF111" s="1997"/>
      <c r="BG111" s="1997"/>
      <c r="BH111" s="1997"/>
      <c r="BI111" s="1997"/>
      <c r="BJ111" s="1997"/>
      <c r="BK111" s="1997"/>
      <c r="BL111" s="1997"/>
      <c r="BM111" s="1997"/>
      <c r="BN111" s="1997"/>
      <c r="BO111" s="1997"/>
      <c r="BP111" s="1997"/>
      <c r="BQ111" s="1997"/>
      <c r="BR111" s="1997"/>
      <c r="BS111" s="1997"/>
      <c r="BT111" s="1997"/>
      <c r="BU111" s="1997"/>
      <c r="BV111" s="1997"/>
      <c r="BW111" s="1997"/>
      <c r="BX111" s="1997"/>
      <c r="BY111" s="1997"/>
      <c r="BZ111" s="1997"/>
      <c r="CA111" s="1997"/>
      <c r="CB111" s="1997"/>
      <c r="CC111" s="1997"/>
      <c r="CD111" s="1997"/>
      <c r="CE111" s="1997"/>
      <c r="CF111" s="1997"/>
      <c r="CG111" s="1997"/>
      <c r="CH111" s="1997"/>
      <c r="CI111" s="1997"/>
      <c r="CJ111" s="1997"/>
      <c r="CK111" s="1997"/>
      <c r="CL111" s="1997"/>
      <c r="CM111" s="1997"/>
      <c r="CN111" s="1997"/>
      <c r="CO111" s="1997"/>
      <c r="CP111" s="1997"/>
      <c r="CQ111" s="1997"/>
      <c r="CR111" s="1997"/>
      <c r="CS111" s="1997"/>
      <c r="CT111" s="1997"/>
      <c r="CU111" s="1997"/>
      <c r="CV111" s="1997"/>
      <c r="CW111" s="1997"/>
      <c r="CX111" s="1997"/>
      <c r="CY111" s="1997"/>
      <c r="CZ111" s="1997"/>
      <c r="DA111" s="1997"/>
      <c r="DB111" s="1997"/>
      <c r="DC111" s="1997"/>
      <c r="DD111" s="1997"/>
      <c r="DE111" s="1997"/>
      <c r="DF111" s="1997"/>
      <c r="DG111" s="1997"/>
      <c r="DH111" s="1997"/>
      <c r="DI111" s="1997"/>
      <c r="DJ111" s="1997"/>
      <c r="DK111" s="1997"/>
      <c r="DL111" s="1997"/>
      <c r="DM111" s="1997"/>
      <c r="DN111" s="1997"/>
      <c r="DO111" s="1997"/>
      <c r="DP111" s="1997"/>
      <c r="DQ111" s="1997"/>
      <c r="DR111" s="1997"/>
      <c r="DS111" s="1997"/>
      <c r="DT111" s="1997"/>
      <c r="DU111" s="1997"/>
      <c r="DV111" s="1997"/>
      <c r="DW111" s="1997"/>
      <c r="DX111" s="1997"/>
      <c r="DY111" s="1997"/>
      <c r="DZ111" s="1997"/>
      <c r="EA111" s="1997"/>
      <c r="EB111" s="1997"/>
      <c r="EC111" s="1997"/>
      <c r="ED111" s="1997"/>
      <c r="EE111" s="1997"/>
      <c r="EF111" s="1997"/>
      <c r="EG111" s="1997"/>
      <c r="EH111" s="1997"/>
      <c r="EI111" s="1997"/>
      <c r="EJ111" s="1997"/>
      <c r="EK111" s="1997"/>
      <c r="EL111" s="1997"/>
      <c r="EM111" s="1997"/>
      <c r="EN111" s="1997"/>
      <c r="EO111" s="1997"/>
      <c r="EP111" s="1997"/>
      <c r="EQ111" s="1997"/>
      <c r="ER111" s="1997"/>
      <c r="ES111" s="1997"/>
      <c r="ET111" s="1997"/>
      <c r="EU111" s="1997"/>
      <c r="EV111" s="1997"/>
      <c r="EW111" s="1997"/>
      <c r="EX111" s="1997"/>
      <c r="EY111" s="1997"/>
      <c r="EZ111" s="1997"/>
      <c r="FA111" s="1997"/>
      <c r="FB111" s="1997"/>
      <c r="FC111" s="1997"/>
      <c r="FD111" s="1997"/>
      <c r="FE111" s="1997"/>
      <c r="FF111" s="1997"/>
      <c r="FG111" s="1997"/>
      <c r="FH111" s="1997"/>
      <c r="FI111" s="1997"/>
      <c r="FJ111" s="1997"/>
      <c r="FK111" s="1997"/>
      <c r="FL111" s="1997"/>
      <c r="FM111" s="1997"/>
      <c r="FN111" s="1997"/>
      <c r="FO111" s="1997"/>
      <c r="FP111" s="1997"/>
      <c r="FQ111" s="1997"/>
      <c r="FR111" s="1997"/>
      <c r="FS111" s="1997"/>
      <c r="FT111" s="1997"/>
      <c r="FU111" s="1997"/>
      <c r="FV111" s="1997"/>
      <c r="FW111" s="1997"/>
      <c r="FX111" s="1997"/>
      <c r="FY111" s="1997"/>
      <c r="FZ111" s="1997"/>
      <c r="GA111" s="1997"/>
      <c r="GB111" s="1997"/>
      <c r="GC111" s="1997"/>
      <c r="GD111" s="1997"/>
      <c r="GE111" s="1997"/>
      <c r="GF111" s="1997"/>
      <c r="GG111" s="1997"/>
      <c r="GH111" s="1997"/>
      <c r="GI111" s="1997"/>
      <c r="GJ111" s="1997"/>
      <c r="GK111" s="1997"/>
      <c r="GL111" s="1997"/>
      <c r="GM111" s="1997"/>
      <c r="GN111" s="1997"/>
      <c r="GO111" s="1997"/>
      <c r="GP111" s="1997"/>
      <c r="GQ111" s="1997"/>
      <c r="GR111" s="1997"/>
      <c r="GS111" s="1997"/>
      <c r="GT111" s="1997"/>
      <c r="GU111" s="1997"/>
      <c r="GV111" s="1997"/>
      <c r="GW111" s="1997"/>
      <c r="GX111" s="1997"/>
      <c r="GY111" s="1997"/>
      <c r="GZ111" s="1997"/>
      <c r="HA111" s="1997"/>
      <c r="HB111" s="1997"/>
      <c r="HC111" s="1997"/>
      <c r="HD111" s="1997"/>
      <c r="HE111" s="1997"/>
      <c r="HF111" s="1997"/>
      <c r="HG111" s="1997"/>
      <c r="HH111" s="1997"/>
      <c r="HI111" s="1997"/>
      <c r="HJ111" s="1997"/>
      <c r="HK111" s="1997"/>
      <c r="HL111" s="1997"/>
      <c r="HM111" s="1997"/>
      <c r="HN111" s="1997"/>
      <c r="HO111" s="1997"/>
      <c r="HP111" s="1997"/>
      <c r="HQ111" s="1997"/>
      <c r="HR111" s="1997"/>
      <c r="HS111" s="1997"/>
      <c r="HT111" s="1997"/>
      <c r="HU111" s="1997"/>
      <c r="HV111" s="1997"/>
      <c r="HW111" s="1997"/>
      <c r="HX111" s="1997"/>
      <c r="HY111" s="1997"/>
      <c r="HZ111" s="1997"/>
      <c r="IA111" s="1997"/>
      <c r="IB111" s="1997"/>
      <c r="IC111" s="1997"/>
      <c r="ID111" s="1997"/>
      <c r="IE111" s="1997"/>
      <c r="IF111" s="1997"/>
      <c r="IG111" s="1997"/>
      <c r="IH111" s="1997"/>
      <c r="II111" s="1997"/>
      <c r="IJ111" s="1997"/>
      <c r="IK111" s="1997"/>
      <c r="IL111" s="1997"/>
      <c r="IM111" s="1997"/>
      <c r="IN111" s="1997"/>
      <c r="IO111" s="1997"/>
      <c r="IP111" s="1997"/>
      <c r="IQ111" s="1997"/>
    </row>
    <row r="112" spans="1:251" ht="27" customHeight="1">
      <c r="A112" s="2021">
        <v>1</v>
      </c>
      <c r="B112" s="2012" t="s">
        <v>530</v>
      </c>
      <c r="C112" s="1995"/>
      <c r="D112" s="2035">
        <f>'штатка школа МШ'!D112</f>
        <v>0</v>
      </c>
      <c r="E112" s="1993"/>
      <c r="F112" s="1996">
        <f>72000+10000</f>
        <v>82000</v>
      </c>
      <c r="G112" s="1993">
        <v>4</v>
      </c>
      <c r="H112" s="1940">
        <f>D112*F112*G112</f>
        <v>0</v>
      </c>
      <c r="I112" s="1993"/>
      <c r="J112" s="1940">
        <f>I112*$Q$4</f>
        <v>0</v>
      </c>
      <c r="K112" s="1993"/>
      <c r="L112" s="1940">
        <f>K112*F112</f>
        <v>0</v>
      </c>
      <c r="M112" s="1940">
        <f>D112*G112*(J112+L112)</f>
        <v>0</v>
      </c>
      <c r="N112" s="1940">
        <f>H112+M112</f>
        <v>0</v>
      </c>
      <c r="O112" s="1993"/>
      <c r="P112" s="1993">
        <f>F112*D112*1</f>
        <v>0</v>
      </c>
      <c r="Q112" s="1940">
        <f>N112+O112+P112</f>
        <v>0</v>
      </c>
      <c r="R112" s="1940">
        <f>Q112*10%</f>
        <v>0</v>
      </c>
      <c r="S112" s="1940">
        <f>(Q112-R112)*10%</f>
        <v>0</v>
      </c>
      <c r="T112" s="1940">
        <f>(Q112-R112)*6%</f>
        <v>0</v>
      </c>
      <c r="U112" s="1940">
        <f>(Q112-R112)*5%</f>
        <v>0</v>
      </c>
      <c r="V112" s="1997"/>
      <c r="W112" s="1997"/>
      <c r="X112" s="1997"/>
      <c r="Y112" s="1997"/>
      <c r="Z112" s="1997"/>
      <c r="AA112" s="1997"/>
      <c r="AB112" s="1997"/>
      <c r="AC112" s="1997"/>
      <c r="AD112" s="1997"/>
      <c r="AE112" s="1997"/>
      <c r="AF112" s="1997"/>
      <c r="AG112" s="1997"/>
      <c r="AH112" s="1997"/>
      <c r="AI112" s="1997"/>
      <c r="AJ112" s="1997"/>
      <c r="AK112" s="1997"/>
      <c r="AL112" s="1997"/>
      <c r="AM112" s="1997"/>
      <c r="AN112" s="1997"/>
      <c r="AO112" s="1997"/>
      <c r="AP112" s="1997"/>
      <c r="AQ112" s="1997"/>
      <c r="AR112" s="1997"/>
      <c r="AS112" s="1997"/>
      <c r="AT112" s="1997"/>
      <c r="AU112" s="1997"/>
      <c r="AV112" s="1997"/>
      <c r="AW112" s="1997"/>
      <c r="AX112" s="1997"/>
      <c r="AY112" s="1997"/>
      <c r="AZ112" s="1997"/>
      <c r="BA112" s="1997"/>
      <c r="BB112" s="1997"/>
      <c r="BC112" s="1997"/>
      <c r="BD112" s="1997"/>
      <c r="BE112" s="1997"/>
      <c r="BF112" s="1997"/>
      <c r="BG112" s="1997"/>
      <c r="BH112" s="1997"/>
      <c r="BI112" s="1997"/>
      <c r="BJ112" s="1997"/>
      <c r="BK112" s="1997"/>
      <c r="BL112" s="1997"/>
      <c r="BM112" s="1997"/>
      <c r="BN112" s="1997"/>
      <c r="BO112" s="1997"/>
      <c r="BP112" s="1997"/>
      <c r="BQ112" s="1997"/>
      <c r="BR112" s="1997"/>
      <c r="BS112" s="1997"/>
      <c r="BT112" s="1997"/>
      <c r="BU112" s="1997"/>
      <c r="BV112" s="1997"/>
      <c r="BW112" s="1997"/>
      <c r="BX112" s="1997"/>
      <c r="BY112" s="1997"/>
      <c r="BZ112" s="1997"/>
      <c r="CA112" s="1997"/>
      <c r="CB112" s="1997"/>
      <c r="CC112" s="1997"/>
      <c r="CD112" s="1997"/>
      <c r="CE112" s="1997"/>
      <c r="CF112" s="1997"/>
      <c r="CG112" s="1997"/>
      <c r="CH112" s="1997"/>
      <c r="CI112" s="1997"/>
      <c r="CJ112" s="1997"/>
      <c r="CK112" s="1997"/>
      <c r="CL112" s="1997"/>
      <c r="CM112" s="1997"/>
      <c r="CN112" s="1997"/>
      <c r="CO112" s="1997"/>
      <c r="CP112" s="1997"/>
      <c r="CQ112" s="1997"/>
      <c r="CR112" s="1997"/>
      <c r="CS112" s="1997"/>
      <c r="CT112" s="1997"/>
      <c r="CU112" s="1997"/>
      <c r="CV112" s="1997"/>
      <c r="CW112" s="1997"/>
      <c r="CX112" s="1997"/>
      <c r="CY112" s="1997"/>
      <c r="CZ112" s="1997"/>
      <c r="DA112" s="1997"/>
      <c r="DB112" s="1997"/>
      <c r="DC112" s="1997"/>
      <c r="DD112" s="1997"/>
      <c r="DE112" s="1997"/>
      <c r="DF112" s="1997"/>
      <c r="DG112" s="1997"/>
      <c r="DH112" s="1997"/>
      <c r="DI112" s="1997"/>
      <c r="DJ112" s="1997"/>
      <c r="DK112" s="1997"/>
      <c r="DL112" s="1997"/>
      <c r="DM112" s="1997"/>
      <c r="DN112" s="1997"/>
      <c r="DO112" s="1997"/>
      <c r="DP112" s="1997"/>
      <c r="DQ112" s="1997"/>
      <c r="DR112" s="1997"/>
      <c r="DS112" s="1997"/>
      <c r="DT112" s="1997"/>
      <c r="DU112" s="1997"/>
      <c r="DV112" s="1997"/>
      <c r="DW112" s="1997"/>
      <c r="DX112" s="1997"/>
      <c r="DY112" s="1997"/>
      <c r="DZ112" s="1997"/>
      <c r="EA112" s="1997"/>
      <c r="EB112" s="1997"/>
      <c r="EC112" s="1997"/>
      <c r="ED112" s="1997"/>
      <c r="EE112" s="1997"/>
      <c r="EF112" s="1997"/>
      <c r="EG112" s="1997"/>
      <c r="EH112" s="1997"/>
      <c r="EI112" s="1997"/>
      <c r="EJ112" s="1997"/>
      <c r="EK112" s="1997"/>
      <c r="EL112" s="1997"/>
      <c r="EM112" s="1997"/>
      <c r="EN112" s="1997"/>
      <c r="EO112" s="1997"/>
      <c r="EP112" s="1997"/>
      <c r="EQ112" s="1997"/>
      <c r="ER112" s="1997"/>
      <c r="ES112" s="1997"/>
      <c r="ET112" s="1997"/>
      <c r="EU112" s="1997"/>
      <c r="EV112" s="1997"/>
      <c r="EW112" s="1997"/>
      <c r="EX112" s="1997"/>
      <c r="EY112" s="1997"/>
      <c r="EZ112" s="1997"/>
      <c r="FA112" s="1997"/>
      <c r="FB112" s="1997"/>
      <c r="FC112" s="1997"/>
      <c r="FD112" s="1997"/>
      <c r="FE112" s="1997"/>
      <c r="FF112" s="1997"/>
      <c r="FG112" s="1997"/>
      <c r="FH112" s="1997"/>
      <c r="FI112" s="1997"/>
      <c r="FJ112" s="1997"/>
      <c r="FK112" s="1997"/>
      <c r="FL112" s="1997"/>
      <c r="FM112" s="1997"/>
      <c r="FN112" s="1997"/>
      <c r="FO112" s="1997"/>
      <c r="FP112" s="1997"/>
      <c r="FQ112" s="1997"/>
      <c r="FR112" s="1997"/>
      <c r="FS112" s="1997"/>
      <c r="FT112" s="1997"/>
      <c r="FU112" s="1997"/>
      <c r="FV112" s="1997"/>
      <c r="FW112" s="1997"/>
      <c r="FX112" s="1997"/>
      <c r="FY112" s="1997"/>
      <c r="FZ112" s="1997"/>
      <c r="GA112" s="1997"/>
      <c r="GB112" s="1997"/>
      <c r="GC112" s="1997"/>
      <c r="GD112" s="1997"/>
      <c r="GE112" s="1997"/>
      <c r="GF112" s="1997"/>
      <c r="GG112" s="1997"/>
      <c r="GH112" s="1997"/>
      <c r="GI112" s="1997"/>
      <c r="GJ112" s="1997"/>
      <c r="GK112" s="1997"/>
      <c r="GL112" s="1997"/>
      <c r="GM112" s="1997"/>
      <c r="GN112" s="1997"/>
      <c r="GO112" s="1997"/>
      <c r="GP112" s="1997"/>
      <c r="GQ112" s="1997"/>
      <c r="GR112" s="1997"/>
      <c r="GS112" s="1997"/>
      <c r="GT112" s="1997"/>
      <c r="GU112" s="1997"/>
      <c r="GV112" s="1997"/>
      <c r="GW112" s="1997"/>
      <c r="GX112" s="1997"/>
      <c r="GY112" s="1997"/>
      <c r="GZ112" s="1997"/>
      <c r="HA112" s="1997"/>
      <c r="HB112" s="1997"/>
      <c r="HC112" s="1997"/>
      <c r="HD112" s="1997"/>
      <c r="HE112" s="1997"/>
      <c r="HF112" s="1997"/>
      <c r="HG112" s="1997"/>
      <c r="HH112" s="1997"/>
      <c r="HI112" s="1997"/>
      <c r="HJ112" s="1997"/>
      <c r="HK112" s="1997"/>
      <c r="HL112" s="1997"/>
      <c r="HM112" s="1997"/>
      <c r="HN112" s="1997"/>
      <c r="HO112" s="1997"/>
      <c r="HP112" s="1997"/>
      <c r="HQ112" s="1997"/>
      <c r="HR112" s="1997"/>
      <c r="HS112" s="1997"/>
      <c r="HT112" s="1997"/>
      <c r="HU112" s="1997"/>
      <c r="HV112" s="1997"/>
      <c r="HW112" s="1997"/>
      <c r="HX112" s="1997"/>
      <c r="HY112" s="1997"/>
      <c r="HZ112" s="1997"/>
      <c r="IA112" s="1997"/>
      <c r="IB112" s="1997"/>
      <c r="IC112" s="1997"/>
      <c r="ID112" s="1997"/>
      <c r="IE112" s="1997"/>
      <c r="IF112" s="1997"/>
      <c r="IG112" s="1997"/>
      <c r="IH112" s="1997"/>
      <c r="II112" s="1997"/>
      <c r="IJ112" s="1997"/>
      <c r="IK112" s="1997"/>
      <c r="IL112" s="1997"/>
      <c r="IM112" s="1997"/>
      <c r="IN112" s="1997"/>
      <c r="IO112" s="1997"/>
      <c r="IP112" s="1997"/>
      <c r="IQ112" s="1997"/>
    </row>
    <row r="113" spans="1:251">
      <c r="A113" s="2021">
        <v>2</v>
      </c>
      <c r="B113" s="2012" t="s">
        <v>531</v>
      </c>
      <c r="C113" s="1995"/>
      <c r="D113" s="2035">
        <f>ROUND((26303+3291)/500,0)</f>
        <v>59</v>
      </c>
      <c r="E113" s="1993"/>
      <c r="F113" s="1996">
        <f>66000+10000</f>
        <v>76000</v>
      </c>
      <c r="G113" s="1993">
        <v>4</v>
      </c>
      <c r="H113" s="1940">
        <f>D113*F113*G113</f>
        <v>17936000</v>
      </c>
      <c r="I113" s="1993"/>
      <c r="J113" s="1940">
        <f>I113*$Q$4</f>
        <v>0</v>
      </c>
      <c r="K113" s="1993">
        <v>0.1</v>
      </c>
      <c r="L113" s="1940">
        <f>K113*F113</f>
        <v>7600</v>
      </c>
      <c r="M113" s="1940">
        <f>D113*G113*(J113+L113)</f>
        <v>1793600</v>
      </c>
      <c r="N113" s="1940">
        <f>H113+M113</f>
        <v>19729600</v>
      </c>
      <c r="O113" s="1993"/>
      <c r="P113" s="1993">
        <f>F113*D113*1</f>
        <v>4484000</v>
      </c>
      <c r="Q113" s="1940">
        <f>N113+O113+P113</f>
        <v>24213600</v>
      </c>
      <c r="R113" s="1940">
        <f>Q113*10%</f>
        <v>2421360</v>
      </c>
      <c r="S113" s="1940">
        <f>(Q113-R113)*10%</f>
        <v>2179224</v>
      </c>
      <c r="T113" s="1940">
        <f>(Q113-R113)*6%</f>
        <v>1307534.3999999999</v>
      </c>
      <c r="U113" s="1940">
        <f>(Q113-R113)*5%</f>
        <v>1089612</v>
      </c>
      <c r="V113" s="1997"/>
      <c r="W113" s="1997"/>
      <c r="X113" s="1997"/>
      <c r="Y113" s="1997"/>
      <c r="Z113" s="1997"/>
      <c r="AA113" s="1997"/>
      <c r="AB113" s="1997"/>
      <c r="AC113" s="1997"/>
      <c r="AD113" s="1997"/>
      <c r="AE113" s="1997"/>
      <c r="AF113" s="1997"/>
      <c r="AG113" s="1997"/>
      <c r="AH113" s="1997"/>
      <c r="AI113" s="1997"/>
      <c r="AJ113" s="1997"/>
      <c r="AK113" s="1997"/>
      <c r="AL113" s="1997"/>
      <c r="AM113" s="1997"/>
      <c r="AN113" s="1997"/>
      <c r="AO113" s="1997"/>
      <c r="AP113" s="1997"/>
      <c r="AQ113" s="1997"/>
      <c r="AR113" s="1997"/>
      <c r="AS113" s="1997"/>
      <c r="AT113" s="1997"/>
      <c r="AU113" s="1997"/>
      <c r="AV113" s="1997"/>
      <c r="AW113" s="1997"/>
      <c r="AX113" s="1997"/>
      <c r="AY113" s="1997"/>
      <c r="AZ113" s="1997"/>
      <c r="BA113" s="1997"/>
      <c r="BB113" s="1997"/>
      <c r="BC113" s="1997"/>
      <c r="BD113" s="1997"/>
      <c r="BE113" s="1997"/>
      <c r="BF113" s="1997"/>
      <c r="BG113" s="1997"/>
      <c r="BH113" s="1997"/>
      <c r="BI113" s="1997"/>
      <c r="BJ113" s="1997"/>
      <c r="BK113" s="1997"/>
      <c r="BL113" s="1997"/>
      <c r="BM113" s="1997"/>
      <c r="BN113" s="1997"/>
      <c r="BO113" s="1997"/>
      <c r="BP113" s="1997"/>
      <c r="BQ113" s="1997"/>
      <c r="BR113" s="1997"/>
      <c r="BS113" s="1997"/>
      <c r="BT113" s="1997"/>
      <c r="BU113" s="1997"/>
      <c r="BV113" s="1997"/>
      <c r="BW113" s="1997"/>
      <c r="BX113" s="1997"/>
      <c r="BY113" s="1997"/>
      <c r="BZ113" s="1997"/>
      <c r="CA113" s="1997"/>
      <c r="CB113" s="1997"/>
      <c r="CC113" s="1997"/>
      <c r="CD113" s="1997"/>
      <c r="CE113" s="1997"/>
      <c r="CF113" s="1997"/>
      <c r="CG113" s="1997"/>
      <c r="CH113" s="1997"/>
      <c r="CI113" s="1997"/>
      <c r="CJ113" s="1997"/>
      <c r="CK113" s="1997"/>
      <c r="CL113" s="1997"/>
      <c r="CM113" s="1997"/>
      <c r="CN113" s="1997"/>
      <c r="CO113" s="1997"/>
      <c r="CP113" s="1997"/>
      <c r="CQ113" s="1997"/>
      <c r="CR113" s="1997"/>
      <c r="CS113" s="1997"/>
      <c r="CT113" s="1997"/>
      <c r="CU113" s="1997"/>
      <c r="CV113" s="1997"/>
      <c r="CW113" s="1997"/>
      <c r="CX113" s="1997"/>
      <c r="CY113" s="1997"/>
      <c r="CZ113" s="1997"/>
      <c r="DA113" s="1997"/>
      <c r="DB113" s="1997"/>
      <c r="DC113" s="1997"/>
      <c r="DD113" s="1997"/>
      <c r="DE113" s="1997"/>
      <c r="DF113" s="1997"/>
      <c r="DG113" s="1997"/>
      <c r="DH113" s="1997"/>
      <c r="DI113" s="1997"/>
      <c r="DJ113" s="1997"/>
      <c r="DK113" s="1997"/>
      <c r="DL113" s="1997"/>
      <c r="DM113" s="1997"/>
      <c r="DN113" s="1997"/>
      <c r="DO113" s="1997"/>
      <c r="DP113" s="1997"/>
      <c r="DQ113" s="1997"/>
      <c r="DR113" s="1997"/>
      <c r="DS113" s="1997"/>
      <c r="DT113" s="1997"/>
      <c r="DU113" s="1997"/>
      <c r="DV113" s="1997"/>
      <c r="DW113" s="1997"/>
      <c r="DX113" s="1997"/>
      <c r="DY113" s="1997"/>
      <c r="DZ113" s="1997"/>
      <c r="EA113" s="1997"/>
      <c r="EB113" s="1997"/>
      <c r="EC113" s="1997"/>
      <c r="ED113" s="1997"/>
      <c r="EE113" s="1997"/>
      <c r="EF113" s="1997"/>
      <c r="EG113" s="1997"/>
      <c r="EH113" s="1997"/>
      <c r="EI113" s="1997"/>
      <c r="EJ113" s="1997"/>
      <c r="EK113" s="1997"/>
      <c r="EL113" s="1997"/>
      <c r="EM113" s="1997"/>
      <c r="EN113" s="1997"/>
      <c r="EO113" s="1997"/>
      <c r="EP113" s="1997"/>
      <c r="EQ113" s="1997"/>
      <c r="ER113" s="1997"/>
      <c r="ES113" s="1997"/>
      <c r="ET113" s="1997"/>
      <c r="EU113" s="1997"/>
      <c r="EV113" s="1997"/>
      <c r="EW113" s="1997"/>
      <c r="EX113" s="1997"/>
      <c r="EY113" s="1997"/>
      <c r="EZ113" s="1997"/>
      <c r="FA113" s="1997"/>
      <c r="FB113" s="1997"/>
      <c r="FC113" s="1997"/>
      <c r="FD113" s="1997"/>
      <c r="FE113" s="1997"/>
      <c r="FF113" s="1997"/>
      <c r="FG113" s="1997"/>
      <c r="FH113" s="1997"/>
      <c r="FI113" s="1997"/>
      <c r="FJ113" s="1997"/>
      <c r="FK113" s="1997"/>
      <c r="FL113" s="1997"/>
      <c r="FM113" s="1997"/>
      <c r="FN113" s="1997"/>
      <c r="FO113" s="1997"/>
      <c r="FP113" s="1997"/>
      <c r="FQ113" s="1997"/>
      <c r="FR113" s="1997"/>
      <c r="FS113" s="1997"/>
      <c r="FT113" s="1997"/>
      <c r="FU113" s="1997"/>
      <c r="FV113" s="1997"/>
      <c r="FW113" s="1997"/>
      <c r="FX113" s="1997"/>
      <c r="FY113" s="1997"/>
      <c r="FZ113" s="1997"/>
      <c r="GA113" s="1997"/>
      <c r="GB113" s="1997"/>
      <c r="GC113" s="1997"/>
      <c r="GD113" s="1997"/>
      <c r="GE113" s="1997"/>
      <c r="GF113" s="1997"/>
      <c r="GG113" s="1997"/>
      <c r="GH113" s="1997"/>
      <c r="GI113" s="1997"/>
      <c r="GJ113" s="1997"/>
      <c r="GK113" s="1997"/>
      <c r="GL113" s="1997"/>
      <c r="GM113" s="1997"/>
      <c r="GN113" s="1997"/>
      <c r="GO113" s="1997"/>
      <c r="GP113" s="1997"/>
      <c r="GQ113" s="1997"/>
      <c r="GR113" s="1997"/>
      <c r="GS113" s="1997"/>
      <c r="GT113" s="1997"/>
      <c r="GU113" s="1997"/>
      <c r="GV113" s="1997"/>
      <c r="GW113" s="1997"/>
      <c r="GX113" s="1997"/>
      <c r="GY113" s="1997"/>
      <c r="GZ113" s="1997"/>
      <c r="HA113" s="1997"/>
      <c r="HB113" s="1997"/>
      <c r="HC113" s="1997"/>
      <c r="HD113" s="1997"/>
      <c r="HE113" s="1997"/>
      <c r="HF113" s="1997"/>
      <c r="HG113" s="1997"/>
      <c r="HH113" s="1997"/>
      <c r="HI113" s="1997"/>
      <c r="HJ113" s="1997"/>
      <c r="HK113" s="1997"/>
      <c r="HL113" s="1997"/>
      <c r="HM113" s="1997"/>
      <c r="HN113" s="1997"/>
      <c r="HO113" s="1997"/>
      <c r="HP113" s="1997"/>
      <c r="HQ113" s="1997"/>
      <c r="HR113" s="1997"/>
      <c r="HS113" s="1997"/>
      <c r="HT113" s="1997"/>
      <c r="HU113" s="1997"/>
      <c r="HV113" s="1997"/>
      <c r="HW113" s="1997"/>
      <c r="HX113" s="1997"/>
      <c r="HY113" s="1997"/>
      <c r="HZ113" s="1997"/>
      <c r="IA113" s="1997"/>
      <c r="IB113" s="1997"/>
      <c r="IC113" s="1997"/>
      <c r="ID113" s="1997"/>
      <c r="IE113" s="1997"/>
      <c r="IF113" s="1997"/>
      <c r="IG113" s="1997"/>
      <c r="IH113" s="1997"/>
      <c r="II113" s="1997"/>
      <c r="IJ113" s="1997"/>
      <c r="IK113" s="1997"/>
      <c r="IL113" s="1997"/>
      <c r="IM113" s="1997"/>
      <c r="IN113" s="1997"/>
      <c r="IO113" s="1997"/>
      <c r="IP113" s="1997"/>
      <c r="IQ113" s="1997"/>
    </row>
    <row r="114" spans="1:251">
      <c r="A114" s="2021">
        <v>3</v>
      </c>
      <c r="B114" s="2012" t="s">
        <v>532</v>
      </c>
      <c r="C114" s="1995"/>
      <c r="D114" s="2035">
        <f>'штатка школа МШ'!D114</f>
        <v>0</v>
      </c>
      <c r="E114" s="1993"/>
      <c r="F114" s="1996">
        <f>66000+10000</f>
        <v>76000</v>
      </c>
      <c r="G114" s="1993">
        <v>4</v>
      </c>
      <c r="H114" s="1940">
        <f t="shared" ref="H114:H130" si="56">D114*F114*G114</f>
        <v>0</v>
      </c>
      <c r="I114" s="1993"/>
      <c r="J114" s="1940">
        <f t="shared" ref="J114:J130" si="57">I114*$Q$4</f>
        <v>0</v>
      </c>
      <c r="K114" s="1993"/>
      <c r="L114" s="1940">
        <f t="shared" ref="L114:L130" si="58">K114*F114</f>
        <v>0</v>
      </c>
      <c r="M114" s="1940">
        <f t="shared" ref="M114:M130" si="59">D114*G114*(J114+L114)</f>
        <v>0</v>
      </c>
      <c r="N114" s="1940">
        <f t="shared" ref="N114:N130" si="60">H114+M114</f>
        <v>0</v>
      </c>
      <c r="O114" s="1993"/>
      <c r="P114" s="1993">
        <f>F114*D114*1</f>
        <v>0</v>
      </c>
      <c r="Q114" s="1940">
        <f t="shared" ref="Q114:Q130" si="61">N114+O114+P114</f>
        <v>0</v>
      </c>
      <c r="R114" s="1940">
        <f t="shared" ref="R114:R130" si="62">Q114*10%</f>
        <v>0</v>
      </c>
      <c r="S114" s="1940">
        <f t="shared" ref="S114:S130" si="63">(Q114-R114)*10%</f>
        <v>0</v>
      </c>
      <c r="T114" s="1940">
        <f t="shared" ref="T114:T130" si="64">(Q114-R114)*6%</f>
        <v>0</v>
      </c>
      <c r="U114" s="1940">
        <f t="shared" ref="U114:U130" si="65">(Q114-R114)*5%</f>
        <v>0</v>
      </c>
      <c r="V114" s="1997"/>
      <c r="W114" s="1997"/>
      <c r="X114" s="1997"/>
      <c r="Y114" s="1997"/>
      <c r="Z114" s="1997"/>
      <c r="AA114" s="1997"/>
      <c r="AB114" s="1997"/>
      <c r="AC114" s="1997"/>
      <c r="AD114" s="1997"/>
      <c r="AE114" s="1997"/>
      <c r="AF114" s="1997"/>
      <c r="AG114" s="1997"/>
      <c r="AH114" s="1997"/>
      <c r="AI114" s="1997"/>
      <c r="AJ114" s="1997"/>
      <c r="AK114" s="1997"/>
      <c r="AL114" s="1997"/>
      <c r="AM114" s="1997"/>
      <c r="AN114" s="1997"/>
      <c r="AO114" s="1997"/>
      <c r="AP114" s="1997"/>
      <c r="AQ114" s="1997"/>
      <c r="AR114" s="1997"/>
      <c r="AS114" s="1997"/>
      <c r="AT114" s="1997"/>
      <c r="AU114" s="1997"/>
      <c r="AV114" s="1997"/>
      <c r="AW114" s="1997"/>
      <c r="AX114" s="1997"/>
      <c r="AY114" s="1997"/>
      <c r="AZ114" s="1997"/>
      <c r="BA114" s="1997"/>
      <c r="BB114" s="1997"/>
      <c r="BC114" s="1997"/>
      <c r="BD114" s="1997"/>
      <c r="BE114" s="1997"/>
      <c r="BF114" s="1997"/>
      <c r="BG114" s="1997"/>
      <c r="BH114" s="1997"/>
      <c r="BI114" s="1997"/>
      <c r="BJ114" s="1997"/>
      <c r="BK114" s="1997"/>
      <c r="BL114" s="1997"/>
      <c r="BM114" s="1997"/>
      <c r="BN114" s="1997"/>
      <c r="BO114" s="1997"/>
      <c r="BP114" s="1997"/>
      <c r="BQ114" s="1997"/>
      <c r="BR114" s="1997"/>
      <c r="BS114" s="1997"/>
      <c r="BT114" s="1997"/>
      <c r="BU114" s="1997"/>
      <c r="BV114" s="1997"/>
      <c r="BW114" s="1997"/>
      <c r="BX114" s="1997"/>
      <c r="BY114" s="1997"/>
      <c r="BZ114" s="1997"/>
      <c r="CA114" s="1997"/>
      <c r="CB114" s="1997"/>
      <c r="CC114" s="1997"/>
      <c r="CD114" s="1997"/>
      <c r="CE114" s="1997"/>
      <c r="CF114" s="1997"/>
      <c r="CG114" s="1997"/>
      <c r="CH114" s="1997"/>
      <c r="CI114" s="1997"/>
      <c r="CJ114" s="1997"/>
      <c r="CK114" s="1997"/>
      <c r="CL114" s="1997"/>
      <c r="CM114" s="1997"/>
      <c r="CN114" s="1997"/>
      <c r="CO114" s="1997"/>
      <c r="CP114" s="1997"/>
      <c r="CQ114" s="1997"/>
      <c r="CR114" s="1997"/>
      <c r="CS114" s="1997"/>
      <c r="CT114" s="1997"/>
      <c r="CU114" s="1997"/>
      <c r="CV114" s="1997"/>
      <c r="CW114" s="1997"/>
      <c r="CX114" s="1997"/>
      <c r="CY114" s="1997"/>
      <c r="CZ114" s="1997"/>
      <c r="DA114" s="1997"/>
      <c r="DB114" s="1997"/>
      <c r="DC114" s="1997"/>
      <c r="DD114" s="1997"/>
      <c r="DE114" s="1997"/>
      <c r="DF114" s="1997"/>
      <c r="DG114" s="1997"/>
      <c r="DH114" s="1997"/>
      <c r="DI114" s="1997"/>
      <c r="DJ114" s="1997"/>
      <c r="DK114" s="1997"/>
      <c r="DL114" s="1997"/>
      <c r="DM114" s="1997"/>
      <c r="DN114" s="1997"/>
      <c r="DO114" s="1997"/>
      <c r="DP114" s="1997"/>
      <c r="DQ114" s="1997"/>
      <c r="DR114" s="1997"/>
      <c r="DS114" s="1997"/>
      <c r="DT114" s="1997"/>
      <c r="DU114" s="1997"/>
      <c r="DV114" s="1997"/>
      <c r="DW114" s="1997"/>
      <c r="DX114" s="1997"/>
      <c r="DY114" s="1997"/>
      <c r="DZ114" s="1997"/>
      <c r="EA114" s="1997"/>
      <c r="EB114" s="1997"/>
      <c r="EC114" s="1997"/>
      <c r="ED114" s="1997"/>
      <c r="EE114" s="1997"/>
      <c r="EF114" s="1997"/>
      <c r="EG114" s="1997"/>
      <c r="EH114" s="1997"/>
      <c r="EI114" s="1997"/>
      <c r="EJ114" s="1997"/>
      <c r="EK114" s="1997"/>
      <c r="EL114" s="1997"/>
      <c r="EM114" s="1997"/>
      <c r="EN114" s="1997"/>
      <c r="EO114" s="1997"/>
      <c r="EP114" s="1997"/>
      <c r="EQ114" s="1997"/>
      <c r="ER114" s="1997"/>
      <c r="ES114" s="1997"/>
      <c r="ET114" s="1997"/>
      <c r="EU114" s="1997"/>
      <c r="EV114" s="1997"/>
      <c r="EW114" s="1997"/>
      <c r="EX114" s="1997"/>
      <c r="EY114" s="1997"/>
      <c r="EZ114" s="1997"/>
      <c r="FA114" s="1997"/>
      <c r="FB114" s="1997"/>
      <c r="FC114" s="1997"/>
      <c r="FD114" s="1997"/>
      <c r="FE114" s="1997"/>
      <c r="FF114" s="1997"/>
      <c r="FG114" s="1997"/>
      <c r="FH114" s="1997"/>
      <c r="FI114" s="1997"/>
      <c r="FJ114" s="1997"/>
      <c r="FK114" s="1997"/>
      <c r="FL114" s="1997"/>
      <c r="FM114" s="1997"/>
      <c r="FN114" s="1997"/>
      <c r="FO114" s="1997"/>
      <c r="FP114" s="1997"/>
      <c r="FQ114" s="1997"/>
      <c r="FR114" s="1997"/>
      <c r="FS114" s="1997"/>
      <c r="FT114" s="1997"/>
      <c r="FU114" s="1997"/>
      <c r="FV114" s="1997"/>
      <c r="FW114" s="1997"/>
      <c r="FX114" s="1997"/>
      <c r="FY114" s="1997"/>
      <c r="FZ114" s="1997"/>
      <c r="GA114" s="1997"/>
      <c r="GB114" s="1997"/>
      <c r="GC114" s="1997"/>
      <c r="GD114" s="1997"/>
      <c r="GE114" s="1997"/>
      <c r="GF114" s="1997"/>
      <c r="GG114" s="1997"/>
      <c r="GH114" s="1997"/>
      <c r="GI114" s="1997"/>
      <c r="GJ114" s="1997"/>
      <c r="GK114" s="1997"/>
      <c r="GL114" s="1997"/>
      <c r="GM114" s="1997"/>
      <c r="GN114" s="1997"/>
      <c r="GO114" s="1997"/>
      <c r="GP114" s="1997"/>
      <c r="GQ114" s="1997"/>
      <c r="GR114" s="1997"/>
      <c r="GS114" s="1997"/>
      <c r="GT114" s="1997"/>
      <c r="GU114" s="1997"/>
      <c r="GV114" s="1997"/>
      <c r="GW114" s="1997"/>
      <c r="GX114" s="1997"/>
      <c r="GY114" s="1997"/>
      <c r="GZ114" s="1997"/>
      <c r="HA114" s="1997"/>
      <c r="HB114" s="1997"/>
      <c r="HC114" s="1997"/>
      <c r="HD114" s="1997"/>
      <c r="HE114" s="1997"/>
      <c r="HF114" s="1997"/>
      <c r="HG114" s="1997"/>
      <c r="HH114" s="1997"/>
      <c r="HI114" s="1997"/>
      <c r="HJ114" s="1997"/>
      <c r="HK114" s="1997"/>
      <c r="HL114" s="1997"/>
      <c r="HM114" s="1997"/>
      <c r="HN114" s="1997"/>
      <c r="HO114" s="1997"/>
      <c r="HP114" s="1997"/>
      <c r="HQ114" s="1997"/>
      <c r="HR114" s="1997"/>
      <c r="HS114" s="1997"/>
      <c r="HT114" s="1997"/>
      <c r="HU114" s="1997"/>
      <c r="HV114" s="1997"/>
      <c r="HW114" s="1997"/>
      <c r="HX114" s="1997"/>
      <c r="HY114" s="1997"/>
      <c r="HZ114" s="1997"/>
      <c r="IA114" s="1997"/>
      <c r="IB114" s="1997"/>
      <c r="IC114" s="1997"/>
      <c r="ID114" s="1997"/>
      <c r="IE114" s="1997"/>
      <c r="IF114" s="1997"/>
      <c r="IG114" s="1997"/>
      <c r="IH114" s="1997"/>
      <c r="II114" s="1997"/>
      <c r="IJ114" s="1997"/>
      <c r="IK114" s="1997"/>
      <c r="IL114" s="1997"/>
      <c r="IM114" s="1997"/>
      <c r="IN114" s="1997"/>
      <c r="IO114" s="1997"/>
      <c r="IP114" s="1997"/>
      <c r="IQ114" s="1997"/>
    </row>
    <row r="115" spans="1:251">
      <c r="A115" s="2021">
        <v>4</v>
      </c>
      <c r="B115" s="2012" t="s">
        <v>533</v>
      </c>
      <c r="C115" s="1995"/>
      <c r="D115" s="2035">
        <f>'штатка школа МШ'!D115</f>
        <v>0</v>
      </c>
      <c r="E115" s="1993"/>
      <c r="F115" s="1996">
        <f>72000+10000</f>
        <v>82000</v>
      </c>
      <c r="G115" s="1993">
        <v>4</v>
      </c>
      <c r="H115" s="1940">
        <f t="shared" si="56"/>
        <v>0</v>
      </c>
      <c r="I115" s="1993"/>
      <c r="J115" s="1940">
        <f t="shared" si="57"/>
        <v>0</v>
      </c>
      <c r="K115" s="1993"/>
      <c r="L115" s="1940">
        <f t="shared" si="58"/>
        <v>0</v>
      </c>
      <c r="M115" s="1940">
        <f t="shared" si="59"/>
        <v>0</v>
      </c>
      <c r="N115" s="1940">
        <f t="shared" si="60"/>
        <v>0</v>
      </c>
      <c r="O115" s="1993"/>
      <c r="P115" s="1993">
        <f>F115*D115*1</f>
        <v>0</v>
      </c>
      <c r="Q115" s="1940">
        <f t="shared" si="61"/>
        <v>0</v>
      </c>
      <c r="R115" s="1940">
        <f t="shared" si="62"/>
        <v>0</v>
      </c>
      <c r="S115" s="1940">
        <f t="shared" si="63"/>
        <v>0</v>
      </c>
      <c r="T115" s="1940">
        <f t="shared" si="64"/>
        <v>0</v>
      </c>
      <c r="U115" s="1940">
        <f t="shared" si="65"/>
        <v>0</v>
      </c>
      <c r="V115" s="1997"/>
      <c r="W115" s="1997"/>
      <c r="X115" s="1997"/>
      <c r="Y115" s="1997"/>
      <c r="Z115" s="1997"/>
      <c r="AA115" s="1997"/>
      <c r="AB115" s="1997"/>
      <c r="AC115" s="1997"/>
      <c r="AD115" s="1997"/>
      <c r="AE115" s="1997"/>
      <c r="AF115" s="1997"/>
      <c r="AG115" s="1997"/>
      <c r="AH115" s="1997"/>
      <c r="AI115" s="1997"/>
      <c r="AJ115" s="1997"/>
      <c r="AK115" s="1997"/>
      <c r="AL115" s="1997"/>
      <c r="AM115" s="1997"/>
      <c r="AN115" s="1997"/>
      <c r="AO115" s="1997"/>
      <c r="AP115" s="1997"/>
      <c r="AQ115" s="1997"/>
      <c r="AR115" s="1997"/>
      <c r="AS115" s="1997"/>
      <c r="AT115" s="1997"/>
      <c r="AU115" s="1997"/>
      <c r="AV115" s="1997"/>
      <c r="AW115" s="1997"/>
      <c r="AX115" s="1997"/>
      <c r="AY115" s="1997"/>
      <c r="AZ115" s="1997"/>
      <c r="BA115" s="1997"/>
      <c r="BB115" s="1997"/>
      <c r="BC115" s="1997"/>
      <c r="BD115" s="1997"/>
      <c r="BE115" s="1997"/>
      <c r="BF115" s="1997"/>
      <c r="BG115" s="1997"/>
      <c r="BH115" s="1997"/>
      <c r="BI115" s="1997"/>
      <c r="BJ115" s="1997"/>
      <c r="BK115" s="1997"/>
      <c r="BL115" s="1997"/>
      <c r="BM115" s="1997"/>
      <c r="BN115" s="1997"/>
      <c r="BO115" s="1997"/>
      <c r="BP115" s="1997"/>
      <c r="BQ115" s="1997"/>
      <c r="BR115" s="1997"/>
      <c r="BS115" s="1997"/>
      <c r="BT115" s="1997"/>
      <c r="BU115" s="1997"/>
      <c r="BV115" s="1997"/>
      <c r="BW115" s="1997"/>
      <c r="BX115" s="1997"/>
      <c r="BY115" s="1997"/>
      <c r="BZ115" s="1997"/>
      <c r="CA115" s="1997"/>
      <c r="CB115" s="1997"/>
      <c r="CC115" s="1997"/>
      <c r="CD115" s="1997"/>
      <c r="CE115" s="1997"/>
      <c r="CF115" s="1997"/>
      <c r="CG115" s="1997"/>
      <c r="CH115" s="1997"/>
      <c r="CI115" s="1997"/>
      <c r="CJ115" s="1997"/>
      <c r="CK115" s="1997"/>
      <c r="CL115" s="1997"/>
      <c r="CM115" s="1997"/>
      <c r="CN115" s="1997"/>
      <c r="CO115" s="1997"/>
      <c r="CP115" s="1997"/>
      <c r="CQ115" s="1997"/>
      <c r="CR115" s="1997"/>
      <c r="CS115" s="1997"/>
      <c r="CT115" s="1997"/>
      <c r="CU115" s="1997"/>
      <c r="CV115" s="1997"/>
      <c r="CW115" s="1997"/>
      <c r="CX115" s="1997"/>
      <c r="CY115" s="1997"/>
      <c r="CZ115" s="1997"/>
      <c r="DA115" s="1997"/>
      <c r="DB115" s="1997"/>
      <c r="DC115" s="1997"/>
      <c r="DD115" s="1997"/>
      <c r="DE115" s="1997"/>
      <c r="DF115" s="1997"/>
      <c r="DG115" s="1997"/>
      <c r="DH115" s="1997"/>
      <c r="DI115" s="1997"/>
      <c r="DJ115" s="1997"/>
      <c r="DK115" s="1997"/>
      <c r="DL115" s="1997"/>
      <c r="DM115" s="1997"/>
      <c r="DN115" s="1997"/>
      <c r="DO115" s="1997"/>
      <c r="DP115" s="1997"/>
      <c r="DQ115" s="1997"/>
      <c r="DR115" s="1997"/>
      <c r="DS115" s="1997"/>
      <c r="DT115" s="1997"/>
      <c r="DU115" s="1997"/>
      <c r="DV115" s="1997"/>
      <c r="DW115" s="1997"/>
      <c r="DX115" s="1997"/>
      <c r="DY115" s="1997"/>
      <c r="DZ115" s="1997"/>
      <c r="EA115" s="1997"/>
      <c r="EB115" s="1997"/>
      <c r="EC115" s="1997"/>
      <c r="ED115" s="1997"/>
      <c r="EE115" s="1997"/>
      <c r="EF115" s="1997"/>
      <c r="EG115" s="1997"/>
      <c r="EH115" s="1997"/>
      <c r="EI115" s="1997"/>
      <c r="EJ115" s="1997"/>
      <c r="EK115" s="1997"/>
      <c r="EL115" s="1997"/>
      <c r="EM115" s="1997"/>
      <c r="EN115" s="1997"/>
      <c r="EO115" s="1997"/>
      <c r="EP115" s="1997"/>
      <c r="EQ115" s="1997"/>
      <c r="ER115" s="1997"/>
      <c r="ES115" s="1997"/>
      <c r="ET115" s="1997"/>
      <c r="EU115" s="1997"/>
      <c r="EV115" s="1997"/>
      <c r="EW115" s="1997"/>
      <c r="EX115" s="1997"/>
      <c r="EY115" s="1997"/>
      <c r="EZ115" s="1997"/>
      <c r="FA115" s="1997"/>
      <c r="FB115" s="1997"/>
      <c r="FC115" s="1997"/>
      <c r="FD115" s="1997"/>
      <c r="FE115" s="1997"/>
      <c r="FF115" s="1997"/>
      <c r="FG115" s="1997"/>
      <c r="FH115" s="1997"/>
      <c r="FI115" s="1997"/>
      <c r="FJ115" s="1997"/>
      <c r="FK115" s="1997"/>
      <c r="FL115" s="1997"/>
      <c r="FM115" s="1997"/>
      <c r="FN115" s="1997"/>
      <c r="FO115" s="1997"/>
      <c r="FP115" s="1997"/>
      <c r="FQ115" s="1997"/>
      <c r="FR115" s="1997"/>
      <c r="FS115" s="1997"/>
      <c r="FT115" s="1997"/>
      <c r="FU115" s="1997"/>
      <c r="FV115" s="1997"/>
      <c r="FW115" s="1997"/>
      <c r="FX115" s="1997"/>
      <c r="FY115" s="1997"/>
      <c r="FZ115" s="1997"/>
      <c r="GA115" s="1997"/>
      <c r="GB115" s="1997"/>
      <c r="GC115" s="1997"/>
      <c r="GD115" s="1997"/>
      <c r="GE115" s="1997"/>
      <c r="GF115" s="1997"/>
      <c r="GG115" s="1997"/>
      <c r="GH115" s="1997"/>
      <c r="GI115" s="1997"/>
      <c r="GJ115" s="1997"/>
      <c r="GK115" s="1997"/>
      <c r="GL115" s="1997"/>
      <c r="GM115" s="1997"/>
      <c r="GN115" s="1997"/>
      <c r="GO115" s="1997"/>
      <c r="GP115" s="1997"/>
      <c r="GQ115" s="1997"/>
      <c r="GR115" s="1997"/>
      <c r="GS115" s="1997"/>
      <c r="GT115" s="1997"/>
      <c r="GU115" s="1997"/>
      <c r="GV115" s="1997"/>
      <c r="GW115" s="1997"/>
      <c r="GX115" s="1997"/>
      <c r="GY115" s="1997"/>
      <c r="GZ115" s="1997"/>
      <c r="HA115" s="1997"/>
      <c r="HB115" s="1997"/>
      <c r="HC115" s="1997"/>
      <c r="HD115" s="1997"/>
      <c r="HE115" s="1997"/>
      <c r="HF115" s="1997"/>
      <c r="HG115" s="1997"/>
      <c r="HH115" s="1997"/>
      <c r="HI115" s="1997"/>
      <c r="HJ115" s="1997"/>
      <c r="HK115" s="1997"/>
      <c r="HL115" s="1997"/>
      <c r="HM115" s="1997"/>
      <c r="HN115" s="1997"/>
      <c r="HO115" s="1997"/>
      <c r="HP115" s="1997"/>
      <c r="HQ115" s="1997"/>
      <c r="HR115" s="1997"/>
      <c r="HS115" s="1997"/>
      <c r="HT115" s="1997"/>
      <c r="HU115" s="1997"/>
      <c r="HV115" s="1997"/>
      <c r="HW115" s="1997"/>
      <c r="HX115" s="1997"/>
      <c r="HY115" s="1997"/>
      <c r="HZ115" s="1997"/>
      <c r="IA115" s="1997"/>
      <c r="IB115" s="1997"/>
      <c r="IC115" s="1997"/>
      <c r="ID115" s="1997"/>
      <c r="IE115" s="1997"/>
      <c r="IF115" s="1997"/>
      <c r="IG115" s="1997"/>
      <c r="IH115" s="1997"/>
      <c r="II115" s="1997"/>
      <c r="IJ115" s="1997"/>
      <c r="IK115" s="1997"/>
      <c r="IL115" s="1997"/>
      <c r="IM115" s="1997"/>
      <c r="IN115" s="1997"/>
      <c r="IO115" s="1997"/>
      <c r="IP115" s="1997"/>
      <c r="IQ115" s="1997"/>
    </row>
    <row r="116" spans="1:251">
      <c r="A116" s="2021">
        <v>5</v>
      </c>
      <c r="B116" s="2012" t="s">
        <v>534</v>
      </c>
      <c r="C116" s="1995"/>
      <c r="D116" s="2035">
        <f>'штатка школа МШ'!D116</f>
        <v>0</v>
      </c>
      <c r="E116" s="1993"/>
      <c r="F116" s="1996">
        <f>72000+28000</f>
        <v>100000</v>
      </c>
      <c r="G116" s="1993">
        <v>4</v>
      </c>
      <c r="H116" s="1940">
        <f t="shared" si="56"/>
        <v>0</v>
      </c>
      <c r="I116" s="1993"/>
      <c r="J116" s="1940">
        <f t="shared" si="57"/>
        <v>0</v>
      </c>
      <c r="K116" s="1993"/>
      <c r="L116" s="1940">
        <f t="shared" si="58"/>
        <v>0</v>
      </c>
      <c r="M116" s="1940">
        <f t="shared" si="59"/>
        <v>0</v>
      </c>
      <c r="N116" s="1940">
        <f t="shared" si="60"/>
        <v>0</v>
      </c>
      <c r="O116" s="1993"/>
      <c r="P116" s="1993">
        <f>F116*D116*1</f>
        <v>0</v>
      </c>
      <c r="Q116" s="1940">
        <f t="shared" si="61"/>
        <v>0</v>
      </c>
      <c r="R116" s="1940">
        <f t="shared" si="62"/>
        <v>0</v>
      </c>
      <c r="S116" s="1940">
        <f t="shared" si="63"/>
        <v>0</v>
      </c>
      <c r="T116" s="1940">
        <f t="shared" si="64"/>
        <v>0</v>
      </c>
      <c r="U116" s="1940">
        <f t="shared" si="65"/>
        <v>0</v>
      </c>
      <c r="V116" s="1997"/>
      <c r="W116" s="1997"/>
      <c r="X116" s="1997"/>
      <c r="Y116" s="1997"/>
      <c r="Z116" s="1997"/>
      <c r="AA116" s="1997"/>
      <c r="AB116" s="1997"/>
      <c r="AC116" s="1997"/>
      <c r="AD116" s="1997"/>
      <c r="AE116" s="1997"/>
      <c r="AF116" s="1997"/>
      <c r="AG116" s="1997"/>
      <c r="AH116" s="1997"/>
      <c r="AI116" s="1997"/>
      <c r="AJ116" s="1997"/>
      <c r="AK116" s="1997"/>
      <c r="AL116" s="1997"/>
      <c r="AM116" s="1997"/>
      <c r="AN116" s="1997"/>
      <c r="AO116" s="1997"/>
      <c r="AP116" s="1997"/>
      <c r="AQ116" s="1997"/>
      <c r="AR116" s="1997"/>
      <c r="AS116" s="1997"/>
      <c r="AT116" s="1997"/>
      <c r="AU116" s="1997"/>
      <c r="AV116" s="1997"/>
      <c r="AW116" s="1997"/>
      <c r="AX116" s="1997"/>
      <c r="AY116" s="1997"/>
      <c r="AZ116" s="1997"/>
      <c r="BA116" s="1997"/>
      <c r="BB116" s="1997"/>
      <c r="BC116" s="1997"/>
      <c r="BD116" s="1997"/>
      <c r="BE116" s="1997"/>
      <c r="BF116" s="1997"/>
      <c r="BG116" s="1997"/>
      <c r="BH116" s="1997"/>
      <c r="BI116" s="1997"/>
      <c r="BJ116" s="1997"/>
      <c r="BK116" s="1997"/>
      <c r="BL116" s="1997"/>
      <c r="BM116" s="1997"/>
      <c r="BN116" s="1997"/>
      <c r="BO116" s="1997"/>
      <c r="BP116" s="1997"/>
      <c r="BQ116" s="1997"/>
      <c r="BR116" s="1997"/>
      <c r="BS116" s="1997"/>
      <c r="BT116" s="1997"/>
      <c r="BU116" s="1997"/>
      <c r="BV116" s="1997"/>
      <c r="BW116" s="1997"/>
      <c r="BX116" s="1997"/>
      <c r="BY116" s="1997"/>
      <c r="BZ116" s="1997"/>
      <c r="CA116" s="1997"/>
      <c r="CB116" s="1997"/>
      <c r="CC116" s="1997"/>
      <c r="CD116" s="1997"/>
      <c r="CE116" s="1997"/>
      <c r="CF116" s="1997"/>
      <c r="CG116" s="1997"/>
      <c r="CH116" s="1997"/>
      <c r="CI116" s="1997"/>
      <c r="CJ116" s="1997"/>
      <c r="CK116" s="1997"/>
      <c r="CL116" s="1997"/>
      <c r="CM116" s="1997"/>
      <c r="CN116" s="1997"/>
      <c r="CO116" s="1997"/>
      <c r="CP116" s="1997"/>
      <c r="CQ116" s="1997"/>
      <c r="CR116" s="1997"/>
      <c r="CS116" s="1997"/>
      <c r="CT116" s="1997"/>
      <c r="CU116" s="1997"/>
      <c r="CV116" s="1997"/>
      <c r="CW116" s="1997"/>
      <c r="CX116" s="1997"/>
      <c r="CY116" s="1997"/>
      <c r="CZ116" s="1997"/>
      <c r="DA116" s="1997"/>
      <c r="DB116" s="1997"/>
      <c r="DC116" s="1997"/>
      <c r="DD116" s="1997"/>
      <c r="DE116" s="1997"/>
      <c r="DF116" s="1997"/>
      <c r="DG116" s="1997"/>
      <c r="DH116" s="1997"/>
      <c r="DI116" s="1997"/>
      <c r="DJ116" s="1997"/>
      <c r="DK116" s="1997"/>
      <c r="DL116" s="1997"/>
      <c r="DM116" s="1997"/>
      <c r="DN116" s="1997"/>
      <c r="DO116" s="1997"/>
      <c r="DP116" s="1997"/>
      <c r="DQ116" s="1997"/>
      <c r="DR116" s="1997"/>
      <c r="DS116" s="1997"/>
      <c r="DT116" s="1997"/>
      <c r="DU116" s="1997"/>
      <c r="DV116" s="1997"/>
      <c r="DW116" s="1997"/>
      <c r="DX116" s="1997"/>
      <c r="DY116" s="1997"/>
      <c r="DZ116" s="1997"/>
      <c r="EA116" s="1997"/>
      <c r="EB116" s="1997"/>
      <c r="EC116" s="1997"/>
      <c r="ED116" s="1997"/>
      <c r="EE116" s="1997"/>
      <c r="EF116" s="1997"/>
      <c r="EG116" s="1997"/>
      <c r="EH116" s="1997"/>
      <c r="EI116" s="1997"/>
      <c r="EJ116" s="1997"/>
      <c r="EK116" s="1997"/>
      <c r="EL116" s="1997"/>
      <c r="EM116" s="1997"/>
      <c r="EN116" s="1997"/>
      <c r="EO116" s="1997"/>
      <c r="EP116" s="1997"/>
      <c r="EQ116" s="1997"/>
      <c r="ER116" s="1997"/>
      <c r="ES116" s="1997"/>
      <c r="ET116" s="1997"/>
      <c r="EU116" s="1997"/>
      <c r="EV116" s="1997"/>
      <c r="EW116" s="1997"/>
      <c r="EX116" s="1997"/>
      <c r="EY116" s="1997"/>
      <c r="EZ116" s="1997"/>
      <c r="FA116" s="1997"/>
      <c r="FB116" s="1997"/>
      <c r="FC116" s="1997"/>
      <c r="FD116" s="1997"/>
      <c r="FE116" s="1997"/>
      <c r="FF116" s="1997"/>
      <c r="FG116" s="1997"/>
      <c r="FH116" s="1997"/>
      <c r="FI116" s="1997"/>
      <c r="FJ116" s="1997"/>
      <c r="FK116" s="1997"/>
      <c r="FL116" s="1997"/>
      <c r="FM116" s="1997"/>
      <c r="FN116" s="1997"/>
      <c r="FO116" s="1997"/>
      <c r="FP116" s="1997"/>
      <c r="FQ116" s="1997"/>
      <c r="FR116" s="1997"/>
      <c r="FS116" s="1997"/>
      <c r="FT116" s="1997"/>
      <c r="FU116" s="1997"/>
      <c r="FV116" s="1997"/>
      <c r="FW116" s="1997"/>
      <c r="FX116" s="1997"/>
      <c r="FY116" s="1997"/>
      <c r="FZ116" s="1997"/>
      <c r="GA116" s="1997"/>
      <c r="GB116" s="1997"/>
      <c r="GC116" s="1997"/>
      <c r="GD116" s="1997"/>
      <c r="GE116" s="1997"/>
      <c r="GF116" s="1997"/>
      <c r="GG116" s="1997"/>
      <c r="GH116" s="1997"/>
      <c r="GI116" s="1997"/>
      <c r="GJ116" s="1997"/>
      <c r="GK116" s="1997"/>
      <c r="GL116" s="1997"/>
      <c r="GM116" s="1997"/>
      <c r="GN116" s="1997"/>
      <c r="GO116" s="1997"/>
      <c r="GP116" s="1997"/>
      <c r="GQ116" s="1997"/>
      <c r="GR116" s="1997"/>
      <c r="GS116" s="1997"/>
      <c r="GT116" s="1997"/>
      <c r="GU116" s="1997"/>
      <c r="GV116" s="1997"/>
      <c r="GW116" s="1997"/>
      <c r="GX116" s="1997"/>
      <c r="GY116" s="1997"/>
      <c r="GZ116" s="1997"/>
      <c r="HA116" s="1997"/>
      <c r="HB116" s="1997"/>
      <c r="HC116" s="1997"/>
      <c r="HD116" s="1997"/>
      <c r="HE116" s="1997"/>
      <c r="HF116" s="1997"/>
      <c r="HG116" s="1997"/>
      <c r="HH116" s="1997"/>
      <c r="HI116" s="1997"/>
      <c r="HJ116" s="1997"/>
      <c r="HK116" s="1997"/>
      <c r="HL116" s="1997"/>
      <c r="HM116" s="1997"/>
      <c r="HN116" s="1997"/>
      <c r="HO116" s="1997"/>
      <c r="HP116" s="1997"/>
      <c r="HQ116" s="1997"/>
      <c r="HR116" s="1997"/>
      <c r="HS116" s="1997"/>
      <c r="HT116" s="1997"/>
      <c r="HU116" s="1997"/>
      <c r="HV116" s="1997"/>
      <c r="HW116" s="1997"/>
      <c r="HX116" s="1997"/>
      <c r="HY116" s="1997"/>
      <c r="HZ116" s="1997"/>
      <c r="IA116" s="1997"/>
      <c r="IB116" s="1997"/>
      <c r="IC116" s="1997"/>
      <c r="ID116" s="1997"/>
      <c r="IE116" s="1997"/>
      <c r="IF116" s="1997"/>
      <c r="IG116" s="1997"/>
      <c r="IH116" s="1997"/>
      <c r="II116" s="1997"/>
      <c r="IJ116" s="1997"/>
      <c r="IK116" s="1997"/>
      <c r="IL116" s="1997"/>
      <c r="IM116" s="1997"/>
      <c r="IN116" s="1997"/>
      <c r="IO116" s="1997"/>
      <c r="IP116" s="1997"/>
      <c r="IQ116" s="1997"/>
    </row>
    <row r="117" spans="1:251" hidden="1">
      <c r="A117" s="2021"/>
      <c r="B117" s="2012" t="s">
        <v>980</v>
      </c>
      <c r="C117" s="1995"/>
      <c r="D117" s="2035"/>
      <c r="E117" s="1993"/>
      <c r="F117" s="1996"/>
      <c r="G117" s="1993">
        <v>12</v>
      </c>
      <c r="H117" s="1940">
        <f t="shared" si="56"/>
        <v>0</v>
      </c>
      <c r="I117" s="1993"/>
      <c r="J117" s="1940">
        <f t="shared" si="57"/>
        <v>0</v>
      </c>
      <c r="K117" s="1993"/>
      <c r="L117" s="1940">
        <f t="shared" si="58"/>
        <v>0</v>
      </c>
      <c r="M117" s="1940">
        <f t="shared" si="59"/>
        <v>0</v>
      </c>
      <c r="N117" s="1940">
        <f t="shared" si="60"/>
        <v>0</v>
      </c>
      <c r="O117" s="1993">
        <f t="shared" ref="O117:O121" si="66">F117*D117*2</f>
        <v>0</v>
      </c>
      <c r="P117" s="1993">
        <f t="shared" ref="P117:P121" si="67">F117*D117*4</f>
        <v>0</v>
      </c>
      <c r="Q117" s="1940">
        <f t="shared" si="61"/>
        <v>0</v>
      </c>
      <c r="R117" s="1940">
        <f t="shared" si="62"/>
        <v>0</v>
      </c>
      <c r="S117" s="1940">
        <f t="shared" si="63"/>
        <v>0</v>
      </c>
      <c r="T117" s="1940">
        <f t="shared" si="64"/>
        <v>0</v>
      </c>
      <c r="U117" s="1940">
        <f t="shared" si="65"/>
        <v>0</v>
      </c>
      <c r="V117" s="1997"/>
      <c r="W117" s="1997"/>
      <c r="X117" s="1997"/>
      <c r="Y117" s="1997"/>
      <c r="Z117" s="1997"/>
      <c r="AA117" s="1997"/>
      <c r="AB117" s="1997"/>
      <c r="AC117" s="1997"/>
      <c r="AD117" s="1997"/>
      <c r="AE117" s="1997"/>
      <c r="AF117" s="1997"/>
      <c r="AG117" s="1997"/>
      <c r="AH117" s="1997"/>
      <c r="AI117" s="1997"/>
      <c r="AJ117" s="1997"/>
      <c r="AK117" s="1997"/>
      <c r="AL117" s="1997"/>
      <c r="AM117" s="1997"/>
      <c r="AN117" s="1997"/>
      <c r="AO117" s="1997"/>
      <c r="AP117" s="1997"/>
      <c r="AQ117" s="1997"/>
      <c r="AR117" s="1997"/>
      <c r="AS117" s="1997"/>
      <c r="AT117" s="1997"/>
      <c r="AU117" s="1997"/>
      <c r="AV117" s="1997"/>
      <c r="AW117" s="1997"/>
      <c r="AX117" s="1997"/>
      <c r="AY117" s="1997"/>
      <c r="AZ117" s="1997"/>
      <c r="BA117" s="1997"/>
      <c r="BB117" s="1997"/>
      <c r="BC117" s="1997"/>
      <c r="BD117" s="1997"/>
      <c r="BE117" s="1997"/>
      <c r="BF117" s="1997"/>
      <c r="BG117" s="1997"/>
      <c r="BH117" s="1997"/>
      <c r="BI117" s="1997"/>
      <c r="BJ117" s="1997"/>
      <c r="BK117" s="1997"/>
      <c r="BL117" s="1997"/>
      <c r="BM117" s="1997"/>
      <c r="BN117" s="1997"/>
      <c r="BO117" s="1997"/>
      <c r="BP117" s="1997"/>
      <c r="BQ117" s="1997"/>
      <c r="BR117" s="1997"/>
      <c r="BS117" s="1997"/>
      <c r="BT117" s="1997"/>
      <c r="BU117" s="1997"/>
      <c r="BV117" s="1997"/>
      <c r="BW117" s="1997"/>
      <c r="BX117" s="1997"/>
      <c r="BY117" s="1997"/>
      <c r="BZ117" s="1997"/>
      <c r="CA117" s="1997"/>
      <c r="CB117" s="1997"/>
      <c r="CC117" s="1997"/>
      <c r="CD117" s="1997"/>
      <c r="CE117" s="1997"/>
      <c r="CF117" s="1997"/>
      <c r="CG117" s="1997"/>
      <c r="CH117" s="1997"/>
      <c r="CI117" s="1997"/>
      <c r="CJ117" s="1997"/>
      <c r="CK117" s="1997"/>
      <c r="CL117" s="1997"/>
      <c r="CM117" s="1997"/>
      <c r="CN117" s="1997"/>
      <c r="CO117" s="1997"/>
      <c r="CP117" s="1997"/>
      <c r="CQ117" s="1997"/>
      <c r="CR117" s="1997"/>
      <c r="CS117" s="1997"/>
      <c r="CT117" s="1997"/>
      <c r="CU117" s="1997"/>
      <c r="CV117" s="1997"/>
      <c r="CW117" s="1997"/>
      <c r="CX117" s="1997"/>
      <c r="CY117" s="1997"/>
      <c r="CZ117" s="1997"/>
      <c r="DA117" s="1997"/>
      <c r="DB117" s="1997"/>
      <c r="DC117" s="1997"/>
      <c r="DD117" s="1997"/>
      <c r="DE117" s="1997"/>
      <c r="DF117" s="1997"/>
      <c r="DG117" s="1997"/>
      <c r="DH117" s="1997"/>
      <c r="DI117" s="1997"/>
      <c r="DJ117" s="1997"/>
      <c r="DK117" s="1997"/>
      <c r="DL117" s="1997"/>
      <c r="DM117" s="1997"/>
      <c r="DN117" s="1997"/>
      <c r="DO117" s="1997"/>
      <c r="DP117" s="1997"/>
      <c r="DQ117" s="1997"/>
      <c r="DR117" s="1997"/>
      <c r="DS117" s="1997"/>
      <c r="DT117" s="1997"/>
      <c r="DU117" s="1997"/>
      <c r="DV117" s="1997"/>
      <c r="DW117" s="1997"/>
      <c r="DX117" s="1997"/>
      <c r="DY117" s="1997"/>
      <c r="DZ117" s="1997"/>
      <c r="EA117" s="1997"/>
      <c r="EB117" s="1997"/>
      <c r="EC117" s="1997"/>
      <c r="ED117" s="1997"/>
      <c r="EE117" s="1997"/>
      <c r="EF117" s="1997"/>
      <c r="EG117" s="1997"/>
      <c r="EH117" s="1997"/>
      <c r="EI117" s="1997"/>
      <c r="EJ117" s="1997"/>
      <c r="EK117" s="1997"/>
      <c r="EL117" s="1997"/>
      <c r="EM117" s="1997"/>
      <c r="EN117" s="1997"/>
      <c r="EO117" s="1997"/>
      <c r="EP117" s="1997"/>
      <c r="EQ117" s="1997"/>
      <c r="ER117" s="1997"/>
      <c r="ES117" s="1997"/>
      <c r="ET117" s="1997"/>
      <c r="EU117" s="1997"/>
      <c r="EV117" s="1997"/>
      <c r="EW117" s="1997"/>
      <c r="EX117" s="1997"/>
      <c r="EY117" s="1997"/>
      <c r="EZ117" s="1997"/>
      <c r="FA117" s="1997"/>
      <c r="FB117" s="1997"/>
      <c r="FC117" s="1997"/>
      <c r="FD117" s="1997"/>
      <c r="FE117" s="1997"/>
      <c r="FF117" s="1997"/>
      <c r="FG117" s="1997"/>
      <c r="FH117" s="1997"/>
      <c r="FI117" s="1997"/>
      <c r="FJ117" s="1997"/>
      <c r="FK117" s="1997"/>
      <c r="FL117" s="1997"/>
      <c r="FM117" s="1997"/>
      <c r="FN117" s="1997"/>
      <c r="FO117" s="1997"/>
      <c r="FP117" s="1997"/>
      <c r="FQ117" s="1997"/>
      <c r="FR117" s="1997"/>
      <c r="FS117" s="1997"/>
      <c r="FT117" s="1997"/>
      <c r="FU117" s="1997"/>
      <c r="FV117" s="1997"/>
      <c r="FW117" s="1997"/>
      <c r="FX117" s="1997"/>
      <c r="FY117" s="1997"/>
      <c r="FZ117" s="1997"/>
      <c r="GA117" s="1997"/>
      <c r="GB117" s="1997"/>
      <c r="GC117" s="1997"/>
      <c r="GD117" s="1997"/>
      <c r="GE117" s="1997"/>
      <c r="GF117" s="1997"/>
      <c r="GG117" s="1997"/>
      <c r="GH117" s="1997"/>
      <c r="GI117" s="1997"/>
      <c r="GJ117" s="1997"/>
      <c r="GK117" s="1997"/>
      <c r="GL117" s="1997"/>
      <c r="GM117" s="1997"/>
      <c r="GN117" s="1997"/>
      <c r="GO117" s="1997"/>
      <c r="GP117" s="1997"/>
      <c r="GQ117" s="1997"/>
      <c r="GR117" s="1997"/>
      <c r="GS117" s="1997"/>
      <c r="GT117" s="1997"/>
      <c r="GU117" s="1997"/>
      <c r="GV117" s="1997"/>
      <c r="GW117" s="1997"/>
      <c r="GX117" s="1997"/>
      <c r="GY117" s="1997"/>
      <c r="GZ117" s="1997"/>
      <c r="HA117" s="1997"/>
      <c r="HB117" s="1997"/>
      <c r="HC117" s="1997"/>
      <c r="HD117" s="1997"/>
      <c r="HE117" s="1997"/>
      <c r="HF117" s="1997"/>
      <c r="HG117" s="1997"/>
      <c r="HH117" s="1997"/>
      <c r="HI117" s="1997"/>
      <c r="HJ117" s="1997"/>
      <c r="HK117" s="1997"/>
      <c r="HL117" s="1997"/>
      <c r="HM117" s="1997"/>
      <c r="HN117" s="1997"/>
      <c r="HO117" s="1997"/>
      <c r="HP117" s="1997"/>
      <c r="HQ117" s="1997"/>
      <c r="HR117" s="1997"/>
      <c r="HS117" s="1997"/>
      <c r="HT117" s="1997"/>
      <c r="HU117" s="1997"/>
      <c r="HV117" s="1997"/>
      <c r="HW117" s="1997"/>
      <c r="HX117" s="1997"/>
      <c r="HY117" s="1997"/>
      <c r="HZ117" s="1997"/>
      <c r="IA117" s="1997"/>
      <c r="IB117" s="1997"/>
      <c r="IC117" s="1997"/>
      <c r="ID117" s="1997"/>
      <c r="IE117" s="1997"/>
      <c r="IF117" s="1997"/>
      <c r="IG117" s="1997"/>
      <c r="IH117" s="1997"/>
      <c r="II117" s="1997"/>
      <c r="IJ117" s="1997"/>
      <c r="IK117" s="1997"/>
      <c r="IL117" s="1997"/>
      <c r="IM117" s="1997"/>
      <c r="IN117" s="1997"/>
      <c r="IO117" s="1997"/>
      <c r="IP117" s="1997"/>
      <c r="IQ117" s="1997"/>
    </row>
    <row r="118" spans="1:251" hidden="1">
      <c r="A118" s="2021"/>
      <c r="B118" s="2012" t="s">
        <v>536</v>
      </c>
      <c r="C118" s="1995"/>
      <c r="D118" s="2035"/>
      <c r="E118" s="1993"/>
      <c r="F118" s="1996"/>
      <c r="G118" s="1993">
        <v>12</v>
      </c>
      <c r="H118" s="1940">
        <f t="shared" si="56"/>
        <v>0</v>
      </c>
      <c r="I118" s="1993"/>
      <c r="J118" s="1940">
        <f t="shared" si="57"/>
        <v>0</v>
      </c>
      <c r="K118" s="1993"/>
      <c r="L118" s="1940">
        <f t="shared" si="58"/>
        <v>0</v>
      </c>
      <c r="M118" s="1940">
        <f t="shared" si="59"/>
        <v>0</v>
      </c>
      <c r="N118" s="1940">
        <f t="shared" si="60"/>
        <v>0</v>
      </c>
      <c r="O118" s="1993">
        <f t="shared" si="66"/>
        <v>0</v>
      </c>
      <c r="P118" s="1993">
        <f t="shared" si="67"/>
        <v>0</v>
      </c>
      <c r="Q118" s="1940">
        <f t="shared" si="61"/>
        <v>0</v>
      </c>
      <c r="R118" s="1940">
        <f t="shared" si="62"/>
        <v>0</v>
      </c>
      <c r="S118" s="1940">
        <f t="shared" si="63"/>
        <v>0</v>
      </c>
      <c r="T118" s="1940">
        <f t="shared" si="64"/>
        <v>0</v>
      </c>
      <c r="U118" s="1940">
        <f t="shared" si="65"/>
        <v>0</v>
      </c>
      <c r="V118" s="1997"/>
      <c r="W118" s="1997"/>
      <c r="X118" s="1997"/>
      <c r="Y118" s="1997"/>
      <c r="Z118" s="1997"/>
      <c r="AA118" s="1997"/>
      <c r="AB118" s="1997"/>
      <c r="AC118" s="1997"/>
      <c r="AD118" s="1997"/>
      <c r="AE118" s="1997"/>
      <c r="AF118" s="1997"/>
      <c r="AG118" s="1997"/>
      <c r="AH118" s="1997"/>
      <c r="AI118" s="1997"/>
      <c r="AJ118" s="1997"/>
      <c r="AK118" s="1997"/>
      <c r="AL118" s="1997"/>
      <c r="AM118" s="1997"/>
      <c r="AN118" s="1997"/>
      <c r="AO118" s="1997"/>
      <c r="AP118" s="1997"/>
      <c r="AQ118" s="1997"/>
      <c r="AR118" s="1997"/>
      <c r="AS118" s="1997"/>
      <c r="AT118" s="1997"/>
      <c r="AU118" s="1997"/>
      <c r="AV118" s="1997"/>
      <c r="AW118" s="1997"/>
      <c r="AX118" s="1997"/>
      <c r="AY118" s="1997"/>
      <c r="AZ118" s="1997"/>
      <c r="BA118" s="1997"/>
      <c r="BB118" s="1997"/>
      <c r="BC118" s="1997"/>
      <c r="BD118" s="1997"/>
      <c r="BE118" s="1997"/>
      <c r="BF118" s="1997"/>
      <c r="BG118" s="1997"/>
      <c r="BH118" s="1997"/>
      <c r="BI118" s="1997"/>
      <c r="BJ118" s="1997"/>
      <c r="BK118" s="1997"/>
      <c r="BL118" s="1997"/>
      <c r="BM118" s="1997"/>
      <c r="BN118" s="1997"/>
      <c r="BO118" s="1997"/>
      <c r="BP118" s="1997"/>
      <c r="BQ118" s="1997"/>
      <c r="BR118" s="1997"/>
      <c r="BS118" s="1997"/>
      <c r="BT118" s="1997"/>
      <c r="BU118" s="1997"/>
      <c r="BV118" s="1997"/>
      <c r="BW118" s="1997"/>
      <c r="BX118" s="1997"/>
      <c r="BY118" s="1997"/>
      <c r="BZ118" s="1997"/>
      <c r="CA118" s="1997"/>
      <c r="CB118" s="1997"/>
      <c r="CC118" s="1997"/>
      <c r="CD118" s="1997"/>
      <c r="CE118" s="1997"/>
      <c r="CF118" s="1997"/>
      <c r="CG118" s="1997"/>
      <c r="CH118" s="1997"/>
      <c r="CI118" s="1997"/>
      <c r="CJ118" s="1997"/>
      <c r="CK118" s="1997"/>
      <c r="CL118" s="1997"/>
      <c r="CM118" s="1997"/>
      <c r="CN118" s="1997"/>
      <c r="CO118" s="1997"/>
      <c r="CP118" s="1997"/>
      <c r="CQ118" s="1997"/>
      <c r="CR118" s="1997"/>
      <c r="CS118" s="1997"/>
      <c r="CT118" s="1997"/>
      <c r="CU118" s="1997"/>
      <c r="CV118" s="1997"/>
      <c r="CW118" s="1997"/>
      <c r="CX118" s="1997"/>
      <c r="CY118" s="1997"/>
      <c r="CZ118" s="1997"/>
      <c r="DA118" s="1997"/>
      <c r="DB118" s="1997"/>
      <c r="DC118" s="1997"/>
      <c r="DD118" s="1997"/>
      <c r="DE118" s="1997"/>
      <c r="DF118" s="1997"/>
      <c r="DG118" s="1997"/>
      <c r="DH118" s="1997"/>
      <c r="DI118" s="1997"/>
      <c r="DJ118" s="1997"/>
      <c r="DK118" s="1997"/>
      <c r="DL118" s="1997"/>
      <c r="DM118" s="1997"/>
      <c r="DN118" s="1997"/>
      <c r="DO118" s="1997"/>
      <c r="DP118" s="1997"/>
      <c r="DQ118" s="1997"/>
      <c r="DR118" s="1997"/>
      <c r="DS118" s="1997"/>
      <c r="DT118" s="1997"/>
      <c r="DU118" s="1997"/>
      <c r="DV118" s="1997"/>
      <c r="DW118" s="1997"/>
      <c r="DX118" s="1997"/>
      <c r="DY118" s="1997"/>
      <c r="DZ118" s="1997"/>
      <c r="EA118" s="1997"/>
      <c r="EB118" s="1997"/>
      <c r="EC118" s="1997"/>
      <c r="ED118" s="1997"/>
      <c r="EE118" s="1997"/>
      <c r="EF118" s="1997"/>
      <c r="EG118" s="1997"/>
      <c r="EH118" s="1997"/>
      <c r="EI118" s="1997"/>
      <c r="EJ118" s="1997"/>
      <c r="EK118" s="1997"/>
      <c r="EL118" s="1997"/>
      <c r="EM118" s="1997"/>
      <c r="EN118" s="1997"/>
      <c r="EO118" s="1997"/>
      <c r="EP118" s="1997"/>
      <c r="EQ118" s="1997"/>
      <c r="ER118" s="1997"/>
      <c r="ES118" s="1997"/>
      <c r="ET118" s="1997"/>
      <c r="EU118" s="1997"/>
      <c r="EV118" s="1997"/>
      <c r="EW118" s="1997"/>
      <c r="EX118" s="1997"/>
      <c r="EY118" s="1997"/>
      <c r="EZ118" s="1997"/>
      <c r="FA118" s="1997"/>
      <c r="FB118" s="1997"/>
      <c r="FC118" s="1997"/>
      <c r="FD118" s="1997"/>
      <c r="FE118" s="1997"/>
      <c r="FF118" s="1997"/>
      <c r="FG118" s="1997"/>
      <c r="FH118" s="1997"/>
      <c r="FI118" s="1997"/>
      <c r="FJ118" s="1997"/>
      <c r="FK118" s="1997"/>
      <c r="FL118" s="1997"/>
      <c r="FM118" s="1997"/>
      <c r="FN118" s="1997"/>
      <c r="FO118" s="1997"/>
      <c r="FP118" s="1997"/>
      <c r="FQ118" s="1997"/>
      <c r="FR118" s="1997"/>
      <c r="FS118" s="1997"/>
      <c r="FT118" s="1997"/>
      <c r="FU118" s="1997"/>
      <c r="FV118" s="1997"/>
      <c r="FW118" s="1997"/>
      <c r="FX118" s="1997"/>
      <c r="FY118" s="1997"/>
      <c r="FZ118" s="1997"/>
      <c r="GA118" s="1997"/>
      <c r="GB118" s="1997"/>
      <c r="GC118" s="1997"/>
      <c r="GD118" s="1997"/>
      <c r="GE118" s="1997"/>
      <c r="GF118" s="1997"/>
      <c r="GG118" s="1997"/>
      <c r="GH118" s="1997"/>
      <c r="GI118" s="1997"/>
      <c r="GJ118" s="1997"/>
      <c r="GK118" s="1997"/>
      <c r="GL118" s="1997"/>
      <c r="GM118" s="1997"/>
      <c r="GN118" s="1997"/>
      <c r="GO118" s="1997"/>
      <c r="GP118" s="1997"/>
      <c r="GQ118" s="1997"/>
      <c r="GR118" s="1997"/>
      <c r="GS118" s="1997"/>
      <c r="GT118" s="1997"/>
      <c r="GU118" s="1997"/>
      <c r="GV118" s="1997"/>
      <c r="GW118" s="1997"/>
      <c r="GX118" s="1997"/>
      <c r="GY118" s="1997"/>
      <c r="GZ118" s="1997"/>
      <c r="HA118" s="1997"/>
      <c r="HB118" s="1997"/>
      <c r="HC118" s="1997"/>
      <c r="HD118" s="1997"/>
      <c r="HE118" s="1997"/>
      <c r="HF118" s="1997"/>
      <c r="HG118" s="1997"/>
      <c r="HH118" s="1997"/>
      <c r="HI118" s="1997"/>
      <c r="HJ118" s="1997"/>
      <c r="HK118" s="1997"/>
      <c r="HL118" s="1997"/>
      <c r="HM118" s="1997"/>
      <c r="HN118" s="1997"/>
      <c r="HO118" s="1997"/>
      <c r="HP118" s="1997"/>
      <c r="HQ118" s="1997"/>
      <c r="HR118" s="1997"/>
      <c r="HS118" s="1997"/>
      <c r="HT118" s="1997"/>
      <c r="HU118" s="1997"/>
      <c r="HV118" s="1997"/>
      <c r="HW118" s="1997"/>
      <c r="HX118" s="1997"/>
      <c r="HY118" s="1997"/>
      <c r="HZ118" s="1997"/>
      <c r="IA118" s="1997"/>
      <c r="IB118" s="1997"/>
      <c r="IC118" s="1997"/>
      <c r="ID118" s="1997"/>
      <c r="IE118" s="1997"/>
      <c r="IF118" s="1997"/>
      <c r="IG118" s="1997"/>
      <c r="IH118" s="1997"/>
      <c r="II118" s="1997"/>
      <c r="IJ118" s="1997"/>
      <c r="IK118" s="1997"/>
      <c r="IL118" s="1997"/>
      <c r="IM118" s="1997"/>
      <c r="IN118" s="1997"/>
      <c r="IO118" s="1997"/>
      <c r="IP118" s="1997"/>
      <c r="IQ118" s="1997"/>
    </row>
    <row r="119" spans="1:251" hidden="1">
      <c r="A119" s="2021"/>
      <c r="B119" s="2012" t="s">
        <v>537</v>
      </c>
      <c r="C119" s="1995"/>
      <c r="D119" s="2035"/>
      <c r="E119" s="1993"/>
      <c r="F119" s="1996"/>
      <c r="G119" s="1993">
        <v>12</v>
      </c>
      <c r="H119" s="1940">
        <f t="shared" si="56"/>
        <v>0</v>
      </c>
      <c r="I119" s="1993"/>
      <c r="J119" s="1940">
        <f t="shared" si="57"/>
        <v>0</v>
      </c>
      <c r="K119" s="1993"/>
      <c r="L119" s="1940">
        <f t="shared" si="58"/>
        <v>0</v>
      </c>
      <c r="M119" s="1940">
        <f t="shared" si="59"/>
        <v>0</v>
      </c>
      <c r="N119" s="1940">
        <f t="shared" si="60"/>
        <v>0</v>
      </c>
      <c r="O119" s="1993">
        <f t="shared" si="66"/>
        <v>0</v>
      </c>
      <c r="P119" s="1993">
        <f t="shared" si="67"/>
        <v>0</v>
      </c>
      <c r="Q119" s="1940">
        <f t="shared" si="61"/>
        <v>0</v>
      </c>
      <c r="R119" s="1940">
        <f t="shared" si="62"/>
        <v>0</v>
      </c>
      <c r="S119" s="1940">
        <f t="shared" si="63"/>
        <v>0</v>
      </c>
      <c r="T119" s="1940">
        <f t="shared" si="64"/>
        <v>0</v>
      </c>
      <c r="U119" s="1940">
        <f t="shared" si="65"/>
        <v>0</v>
      </c>
      <c r="V119" s="1997"/>
      <c r="W119" s="1997"/>
      <c r="X119" s="1997"/>
      <c r="Y119" s="1997"/>
      <c r="Z119" s="1997"/>
      <c r="AA119" s="1997"/>
      <c r="AB119" s="1997"/>
      <c r="AC119" s="1997"/>
      <c r="AD119" s="1997"/>
      <c r="AE119" s="1997"/>
      <c r="AF119" s="1997"/>
      <c r="AG119" s="1997"/>
      <c r="AH119" s="1997"/>
      <c r="AI119" s="1997"/>
      <c r="AJ119" s="1997"/>
      <c r="AK119" s="1997"/>
      <c r="AL119" s="1997"/>
      <c r="AM119" s="1997"/>
      <c r="AN119" s="1997"/>
      <c r="AO119" s="1997"/>
      <c r="AP119" s="1997"/>
      <c r="AQ119" s="1997"/>
      <c r="AR119" s="1997"/>
      <c r="AS119" s="1997"/>
      <c r="AT119" s="1997"/>
      <c r="AU119" s="1997"/>
      <c r="AV119" s="1997"/>
      <c r="AW119" s="1997"/>
      <c r="AX119" s="1997"/>
      <c r="AY119" s="1997"/>
      <c r="AZ119" s="1997"/>
      <c r="BA119" s="1997"/>
      <c r="BB119" s="1997"/>
      <c r="BC119" s="1997"/>
      <c r="BD119" s="1997"/>
      <c r="BE119" s="1997"/>
      <c r="BF119" s="1997"/>
      <c r="BG119" s="1997"/>
      <c r="BH119" s="1997"/>
      <c r="BI119" s="1997"/>
      <c r="BJ119" s="1997"/>
      <c r="BK119" s="1997"/>
      <c r="BL119" s="1997"/>
      <c r="BM119" s="1997"/>
      <c r="BN119" s="1997"/>
      <c r="BO119" s="1997"/>
      <c r="BP119" s="1997"/>
      <c r="BQ119" s="1997"/>
      <c r="BR119" s="1997"/>
      <c r="BS119" s="1997"/>
      <c r="BT119" s="1997"/>
      <c r="BU119" s="1997"/>
      <c r="BV119" s="1997"/>
      <c r="BW119" s="1997"/>
      <c r="BX119" s="1997"/>
      <c r="BY119" s="1997"/>
      <c r="BZ119" s="1997"/>
      <c r="CA119" s="1997"/>
      <c r="CB119" s="1997"/>
      <c r="CC119" s="1997"/>
      <c r="CD119" s="1997"/>
      <c r="CE119" s="1997"/>
      <c r="CF119" s="1997"/>
      <c r="CG119" s="1997"/>
      <c r="CH119" s="1997"/>
      <c r="CI119" s="1997"/>
      <c r="CJ119" s="1997"/>
      <c r="CK119" s="1997"/>
      <c r="CL119" s="1997"/>
      <c r="CM119" s="1997"/>
      <c r="CN119" s="1997"/>
      <c r="CO119" s="1997"/>
      <c r="CP119" s="1997"/>
      <c r="CQ119" s="1997"/>
      <c r="CR119" s="1997"/>
      <c r="CS119" s="1997"/>
      <c r="CT119" s="1997"/>
      <c r="CU119" s="1997"/>
      <c r="CV119" s="1997"/>
      <c r="CW119" s="1997"/>
      <c r="CX119" s="1997"/>
      <c r="CY119" s="1997"/>
      <c r="CZ119" s="1997"/>
      <c r="DA119" s="1997"/>
      <c r="DB119" s="1997"/>
      <c r="DC119" s="1997"/>
      <c r="DD119" s="1997"/>
      <c r="DE119" s="1997"/>
      <c r="DF119" s="1997"/>
      <c r="DG119" s="1997"/>
      <c r="DH119" s="1997"/>
      <c r="DI119" s="1997"/>
      <c r="DJ119" s="1997"/>
      <c r="DK119" s="1997"/>
      <c r="DL119" s="1997"/>
      <c r="DM119" s="1997"/>
      <c r="DN119" s="1997"/>
      <c r="DO119" s="1997"/>
      <c r="DP119" s="1997"/>
      <c r="DQ119" s="1997"/>
      <c r="DR119" s="1997"/>
      <c r="DS119" s="1997"/>
      <c r="DT119" s="1997"/>
      <c r="DU119" s="1997"/>
      <c r="DV119" s="1997"/>
      <c r="DW119" s="1997"/>
      <c r="DX119" s="1997"/>
      <c r="DY119" s="1997"/>
      <c r="DZ119" s="1997"/>
      <c r="EA119" s="1997"/>
      <c r="EB119" s="1997"/>
      <c r="EC119" s="1997"/>
      <c r="ED119" s="1997"/>
      <c r="EE119" s="1997"/>
      <c r="EF119" s="1997"/>
      <c r="EG119" s="1997"/>
      <c r="EH119" s="1997"/>
      <c r="EI119" s="1997"/>
      <c r="EJ119" s="1997"/>
      <c r="EK119" s="1997"/>
      <c r="EL119" s="1997"/>
      <c r="EM119" s="1997"/>
      <c r="EN119" s="1997"/>
      <c r="EO119" s="1997"/>
      <c r="EP119" s="1997"/>
      <c r="EQ119" s="1997"/>
      <c r="ER119" s="1997"/>
      <c r="ES119" s="1997"/>
      <c r="ET119" s="1997"/>
      <c r="EU119" s="1997"/>
      <c r="EV119" s="1997"/>
      <c r="EW119" s="1997"/>
      <c r="EX119" s="1997"/>
      <c r="EY119" s="1997"/>
      <c r="EZ119" s="1997"/>
      <c r="FA119" s="1997"/>
      <c r="FB119" s="1997"/>
      <c r="FC119" s="1997"/>
      <c r="FD119" s="1997"/>
      <c r="FE119" s="1997"/>
      <c r="FF119" s="1997"/>
      <c r="FG119" s="1997"/>
      <c r="FH119" s="1997"/>
      <c r="FI119" s="1997"/>
      <c r="FJ119" s="1997"/>
      <c r="FK119" s="1997"/>
      <c r="FL119" s="1997"/>
      <c r="FM119" s="1997"/>
      <c r="FN119" s="1997"/>
      <c r="FO119" s="1997"/>
      <c r="FP119" s="1997"/>
      <c r="FQ119" s="1997"/>
      <c r="FR119" s="1997"/>
      <c r="FS119" s="1997"/>
      <c r="FT119" s="1997"/>
      <c r="FU119" s="1997"/>
      <c r="FV119" s="1997"/>
      <c r="FW119" s="1997"/>
      <c r="FX119" s="1997"/>
      <c r="FY119" s="1997"/>
      <c r="FZ119" s="1997"/>
      <c r="GA119" s="1997"/>
      <c r="GB119" s="1997"/>
      <c r="GC119" s="1997"/>
      <c r="GD119" s="1997"/>
      <c r="GE119" s="1997"/>
      <c r="GF119" s="1997"/>
      <c r="GG119" s="1997"/>
      <c r="GH119" s="1997"/>
      <c r="GI119" s="1997"/>
      <c r="GJ119" s="1997"/>
      <c r="GK119" s="1997"/>
      <c r="GL119" s="1997"/>
      <c r="GM119" s="1997"/>
      <c r="GN119" s="1997"/>
      <c r="GO119" s="1997"/>
      <c r="GP119" s="1997"/>
      <c r="GQ119" s="1997"/>
      <c r="GR119" s="1997"/>
      <c r="GS119" s="1997"/>
      <c r="GT119" s="1997"/>
      <c r="GU119" s="1997"/>
      <c r="GV119" s="1997"/>
      <c r="GW119" s="1997"/>
      <c r="GX119" s="1997"/>
      <c r="GY119" s="1997"/>
      <c r="GZ119" s="1997"/>
      <c r="HA119" s="1997"/>
      <c r="HB119" s="1997"/>
      <c r="HC119" s="1997"/>
      <c r="HD119" s="1997"/>
      <c r="HE119" s="1997"/>
      <c r="HF119" s="1997"/>
      <c r="HG119" s="1997"/>
      <c r="HH119" s="1997"/>
      <c r="HI119" s="1997"/>
      <c r="HJ119" s="1997"/>
      <c r="HK119" s="1997"/>
      <c r="HL119" s="1997"/>
      <c r="HM119" s="1997"/>
      <c r="HN119" s="1997"/>
      <c r="HO119" s="1997"/>
      <c r="HP119" s="1997"/>
      <c r="HQ119" s="1997"/>
      <c r="HR119" s="1997"/>
      <c r="HS119" s="1997"/>
      <c r="HT119" s="1997"/>
      <c r="HU119" s="1997"/>
      <c r="HV119" s="1997"/>
      <c r="HW119" s="1997"/>
      <c r="HX119" s="1997"/>
      <c r="HY119" s="1997"/>
      <c r="HZ119" s="1997"/>
      <c r="IA119" s="1997"/>
      <c r="IB119" s="1997"/>
      <c r="IC119" s="1997"/>
      <c r="ID119" s="1997"/>
      <c r="IE119" s="1997"/>
      <c r="IF119" s="1997"/>
      <c r="IG119" s="1997"/>
      <c r="IH119" s="1997"/>
      <c r="II119" s="1997"/>
      <c r="IJ119" s="1997"/>
      <c r="IK119" s="1997"/>
      <c r="IL119" s="1997"/>
      <c r="IM119" s="1997"/>
      <c r="IN119" s="1997"/>
      <c r="IO119" s="1997"/>
      <c r="IP119" s="1997"/>
      <c r="IQ119" s="1997"/>
    </row>
    <row r="120" spans="1:251" hidden="1">
      <c r="A120" s="2021"/>
      <c r="B120" s="1625" t="s">
        <v>538</v>
      </c>
      <c r="C120" s="1995"/>
      <c r="D120" s="2036"/>
      <c r="E120" s="1993"/>
      <c r="F120" s="1959"/>
      <c r="G120" s="1993">
        <v>12</v>
      </c>
      <c r="H120" s="1940">
        <f t="shared" si="56"/>
        <v>0</v>
      </c>
      <c r="I120" s="1993"/>
      <c r="J120" s="1940">
        <f t="shared" si="57"/>
        <v>0</v>
      </c>
      <c r="K120" s="1993"/>
      <c r="L120" s="1940">
        <f t="shared" si="58"/>
        <v>0</v>
      </c>
      <c r="M120" s="1940">
        <f t="shared" si="59"/>
        <v>0</v>
      </c>
      <c r="N120" s="1940">
        <f t="shared" si="60"/>
        <v>0</v>
      </c>
      <c r="O120" s="1993">
        <f t="shared" si="66"/>
        <v>0</v>
      </c>
      <c r="P120" s="1993">
        <f t="shared" si="67"/>
        <v>0</v>
      </c>
      <c r="Q120" s="1940">
        <f t="shared" si="61"/>
        <v>0</v>
      </c>
      <c r="R120" s="1940">
        <f t="shared" si="62"/>
        <v>0</v>
      </c>
      <c r="S120" s="1940">
        <f t="shared" si="63"/>
        <v>0</v>
      </c>
      <c r="T120" s="1940">
        <f t="shared" si="64"/>
        <v>0</v>
      </c>
      <c r="U120" s="1940">
        <f t="shared" si="65"/>
        <v>0</v>
      </c>
      <c r="V120" s="1997"/>
      <c r="W120" s="1997"/>
      <c r="X120" s="1997"/>
      <c r="Y120" s="1997"/>
      <c r="Z120" s="1997"/>
      <c r="AA120" s="1997"/>
      <c r="AB120" s="1997"/>
      <c r="AC120" s="1997"/>
      <c r="AD120" s="1997"/>
      <c r="AE120" s="1997"/>
      <c r="AF120" s="1997"/>
      <c r="AG120" s="1997"/>
      <c r="AH120" s="1997"/>
      <c r="AI120" s="1997"/>
      <c r="AJ120" s="1997"/>
      <c r="AK120" s="1997"/>
      <c r="AL120" s="1997"/>
      <c r="AM120" s="1997"/>
      <c r="AN120" s="1997"/>
      <c r="AO120" s="1997"/>
      <c r="AP120" s="1997"/>
      <c r="AQ120" s="1997"/>
      <c r="AR120" s="1997"/>
      <c r="AS120" s="1997"/>
      <c r="AT120" s="1997"/>
      <c r="AU120" s="1997"/>
      <c r="AV120" s="1997"/>
      <c r="AW120" s="1997"/>
      <c r="AX120" s="1997"/>
      <c r="AY120" s="1997"/>
      <c r="AZ120" s="1997"/>
      <c r="BA120" s="1997"/>
      <c r="BB120" s="1997"/>
      <c r="BC120" s="1997"/>
      <c r="BD120" s="1997"/>
      <c r="BE120" s="1997"/>
      <c r="BF120" s="1997"/>
      <c r="BG120" s="1997"/>
      <c r="BH120" s="1997"/>
      <c r="BI120" s="1997"/>
      <c r="BJ120" s="1997"/>
      <c r="BK120" s="1997"/>
      <c r="BL120" s="1997"/>
      <c r="BM120" s="1997"/>
      <c r="BN120" s="1997"/>
      <c r="BO120" s="1997"/>
      <c r="BP120" s="1997"/>
      <c r="BQ120" s="1997"/>
      <c r="BR120" s="1997"/>
      <c r="BS120" s="1997"/>
      <c r="BT120" s="1997"/>
      <c r="BU120" s="1997"/>
      <c r="BV120" s="1997"/>
      <c r="BW120" s="1997"/>
      <c r="BX120" s="1997"/>
      <c r="BY120" s="1997"/>
      <c r="BZ120" s="1997"/>
      <c r="CA120" s="1997"/>
      <c r="CB120" s="1997"/>
      <c r="CC120" s="1997"/>
      <c r="CD120" s="1997"/>
      <c r="CE120" s="1997"/>
      <c r="CF120" s="1997"/>
      <c r="CG120" s="1997"/>
      <c r="CH120" s="1997"/>
      <c r="CI120" s="1997"/>
      <c r="CJ120" s="1997"/>
      <c r="CK120" s="1997"/>
      <c r="CL120" s="1997"/>
      <c r="CM120" s="1997"/>
      <c r="CN120" s="1997"/>
      <c r="CO120" s="1997"/>
      <c r="CP120" s="1997"/>
      <c r="CQ120" s="1997"/>
      <c r="CR120" s="1997"/>
      <c r="CS120" s="1997"/>
      <c r="CT120" s="1997"/>
      <c r="CU120" s="1997"/>
      <c r="CV120" s="1997"/>
      <c r="CW120" s="1997"/>
      <c r="CX120" s="1997"/>
      <c r="CY120" s="1997"/>
      <c r="CZ120" s="1997"/>
      <c r="DA120" s="1997"/>
      <c r="DB120" s="1997"/>
      <c r="DC120" s="1997"/>
      <c r="DD120" s="1997"/>
      <c r="DE120" s="1997"/>
      <c r="DF120" s="1997"/>
      <c r="DG120" s="1997"/>
      <c r="DH120" s="1997"/>
      <c r="DI120" s="1997"/>
      <c r="DJ120" s="1997"/>
      <c r="DK120" s="1997"/>
      <c r="DL120" s="1997"/>
      <c r="DM120" s="1997"/>
      <c r="DN120" s="1997"/>
      <c r="DO120" s="1997"/>
      <c r="DP120" s="1997"/>
      <c r="DQ120" s="1997"/>
      <c r="DR120" s="1997"/>
      <c r="DS120" s="1997"/>
      <c r="DT120" s="1997"/>
      <c r="DU120" s="1997"/>
      <c r="DV120" s="1997"/>
      <c r="DW120" s="1997"/>
      <c r="DX120" s="1997"/>
      <c r="DY120" s="1997"/>
      <c r="DZ120" s="1997"/>
      <c r="EA120" s="1997"/>
      <c r="EB120" s="1997"/>
      <c r="EC120" s="1997"/>
      <c r="ED120" s="1997"/>
      <c r="EE120" s="1997"/>
      <c r="EF120" s="1997"/>
      <c r="EG120" s="1997"/>
      <c r="EH120" s="1997"/>
      <c r="EI120" s="1997"/>
      <c r="EJ120" s="1997"/>
      <c r="EK120" s="1997"/>
      <c r="EL120" s="1997"/>
      <c r="EM120" s="1997"/>
      <c r="EN120" s="1997"/>
      <c r="EO120" s="1997"/>
      <c r="EP120" s="1997"/>
      <c r="EQ120" s="1997"/>
      <c r="ER120" s="1997"/>
      <c r="ES120" s="1997"/>
      <c r="ET120" s="1997"/>
      <c r="EU120" s="1997"/>
      <c r="EV120" s="1997"/>
      <c r="EW120" s="1997"/>
      <c r="EX120" s="1997"/>
      <c r="EY120" s="1997"/>
      <c r="EZ120" s="1997"/>
      <c r="FA120" s="1997"/>
      <c r="FB120" s="1997"/>
      <c r="FC120" s="1997"/>
      <c r="FD120" s="1997"/>
      <c r="FE120" s="1997"/>
      <c r="FF120" s="1997"/>
      <c r="FG120" s="1997"/>
      <c r="FH120" s="1997"/>
      <c r="FI120" s="1997"/>
      <c r="FJ120" s="1997"/>
      <c r="FK120" s="1997"/>
      <c r="FL120" s="1997"/>
      <c r="FM120" s="1997"/>
      <c r="FN120" s="1997"/>
      <c r="FO120" s="1997"/>
      <c r="FP120" s="1997"/>
      <c r="FQ120" s="1997"/>
      <c r="FR120" s="1997"/>
      <c r="FS120" s="1997"/>
      <c r="FT120" s="1997"/>
      <c r="FU120" s="1997"/>
      <c r="FV120" s="1997"/>
      <c r="FW120" s="1997"/>
      <c r="FX120" s="1997"/>
      <c r="FY120" s="1997"/>
      <c r="FZ120" s="1997"/>
      <c r="GA120" s="1997"/>
      <c r="GB120" s="1997"/>
      <c r="GC120" s="1997"/>
      <c r="GD120" s="1997"/>
      <c r="GE120" s="1997"/>
      <c r="GF120" s="1997"/>
      <c r="GG120" s="1997"/>
      <c r="GH120" s="1997"/>
      <c r="GI120" s="1997"/>
      <c r="GJ120" s="1997"/>
      <c r="GK120" s="1997"/>
      <c r="GL120" s="1997"/>
      <c r="GM120" s="1997"/>
      <c r="GN120" s="1997"/>
      <c r="GO120" s="1997"/>
      <c r="GP120" s="1997"/>
      <c r="GQ120" s="1997"/>
      <c r="GR120" s="1997"/>
      <c r="GS120" s="1997"/>
      <c r="GT120" s="1997"/>
      <c r="GU120" s="1997"/>
      <c r="GV120" s="1997"/>
      <c r="GW120" s="1997"/>
      <c r="GX120" s="1997"/>
      <c r="GY120" s="1997"/>
      <c r="GZ120" s="1997"/>
      <c r="HA120" s="1997"/>
      <c r="HB120" s="1997"/>
      <c r="HC120" s="1997"/>
      <c r="HD120" s="1997"/>
      <c r="HE120" s="1997"/>
      <c r="HF120" s="1997"/>
      <c r="HG120" s="1997"/>
      <c r="HH120" s="1997"/>
      <c r="HI120" s="1997"/>
      <c r="HJ120" s="1997"/>
      <c r="HK120" s="1997"/>
      <c r="HL120" s="1997"/>
      <c r="HM120" s="1997"/>
      <c r="HN120" s="1997"/>
      <c r="HO120" s="1997"/>
      <c r="HP120" s="1997"/>
      <c r="HQ120" s="1997"/>
      <c r="HR120" s="1997"/>
      <c r="HS120" s="1997"/>
      <c r="HT120" s="1997"/>
      <c r="HU120" s="1997"/>
      <c r="HV120" s="1997"/>
      <c r="HW120" s="1997"/>
      <c r="HX120" s="1997"/>
      <c r="HY120" s="1997"/>
      <c r="HZ120" s="1997"/>
      <c r="IA120" s="1997"/>
      <c r="IB120" s="1997"/>
      <c r="IC120" s="1997"/>
      <c r="ID120" s="1997"/>
      <c r="IE120" s="1997"/>
      <c r="IF120" s="1997"/>
      <c r="IG120" s="1997"/>
      <c r="IH120" s="1997"/>
      <c r="II120" s="1997"/>
      <c r="IJ120" s="1997"/>
      <c r="IK120" s="1997"/>
      <c r="IL120" s="1997"/>
      <c r="IM120" s="1997"/>
      <c r="IN120" s="1997"/>
      <c r="IO120" s="1997"/>
      <c r="IP120" s="1997"/>
      <c r="IQ120" s="1997"/>
    </row>
    <row r="121" spans="1:251" hidden="1">
      <c r="A121" s="2021"/>
      <c r="B121" s="1625" t="s">
        <v>539</v>
      </c>
      <c r="C121" s="1995"/>
      <c r="D121" s="2036"/>
      <c r="E121" s="1993"/>
      <c r="F121" s="1959"/>
      <c r="G121" s="1993">
        <v>12</v>
      </c>
      <c r="H121" s="1940">
        <f t="shared" si="56"/>
        <v>0</v>
      </c>
      <c r="I121" s="1993"/>
      <c r="J121" s="1940">
        <f t="shared" si="57"/>
        <v>0</v>
      </c>
      <c r="K121" s="1993"/>
      <c r="L121" s="1940">
        <f t="shared" si="58"/>
        <v>0</v>
      </c>
      <c r="M121" s="1940">
        <f t="shared" si="59"/>
        <v>0</v>
      </c>
      <c r="N121" s="1940">
        <f t="shared" si="60"/>
        <v>0</v>
      </c>
      <c r="O121" s="1993">
        <f t="shared" si="66"/>
        <v>0</v>
      </c>
      <c r="P121" s="1993">
        <f t="shared" si="67"/>
        <v>0</v>
      </c>
      <c r="Q121" s="1940">
        <f t="shared" si="61"/>
        <v>0</v>
      </c>
      <c r="R121" s="1940">
        <f t="shared" si="62"/>
        <v>0</v>
      </c>
      <c r="S121" s="1940">
        <f t="shared" si="63"/>
        <v>0</v>
      </c>
      <c r="T121" s="1940">
        <f t="shared" si="64"/>
        <v>0</v>
      </c>
      <c r="U121" s="1940">
        <f t="shared" si="65"/>
        <v>0</v>
      </c>
      <c r="V121" s="1997"/>
      <c r="W121" s="1997"/>
      <c r="X121" s="1997"/>
      <c r="Y121" s="1997"/>
      <c r="Z121" s="1997"/>
      <c r="AA121" s="1997"/>
      <c r="AB121" s="1997"/>
      <c r="AC121" s="1997"/>
      <c r="AD121" s="1997"/>
      <c r="AE121" s="1997"/>
      <c r="AF121" s="1997"/>
      <c r="AG121" s="1997"/>
      <c r="AH121" s="1997"/>
      <c r="AI121" s="1997"/>
      <c r="AJ121" s="1997"/>
      <c r="AK121" s="1997"/>
      <c r="AL121" s="1997"/>
      <c r="AM121" s="1997"/>
      <c r="AN121" s="1997"/>
      <c r="AO121" s="1997"/>
      <c r="AP121" s="1997"/>
      <c r="AQ121" s="1997"/>
      <c r="AR121" s="1997"/>
      <c r="AS121" s="1997"/>
      <c r="AT121" s="1997"/>
      <c r="AU121" s="1997"/>
      <c r="AV121" s="1997"/>
      <c r="AW121" s="1997"/>
      <c r="AX121" s="1997"/>
      <c r="AY121" s="1997"/>
      <c r="AZ121" s="1997"/>
      <c r="BA121" s="1997"/>
      <c r="BB121" s="1997"/>
      <c r="BC121" s="1997"/>
      <c r="BD121" s="1997"/>
      <c r="BE121" s="1997"/>
      <c r="BF121" s="1997"/>
      <c r="BG121" s="1997"/>
      <c r="BH121" s="1997"/>
      <c r="BI121" s="1997"/>
      <c r="BJ121" s="1997"/>
      <c r="BK121" s="1997"/>
      <c r="BL121" s="1997"/>
      <c r="BM121" s="1997"/>
      <c r="BN121" s="1997"/>
      <c r="BO121" s="1997"/>
      <c r="BP121" s="1997"/>
      <c r="BQ121" s="1997"/>
      <c r="BR121" s="1997"/>
      <c r="BS121" s="1997"/>
      <c r="BT121" s="1997"/>
      <c r="BU121" s="1997"/>
      <c r="BV121" s="1997"/>
      <c r="BW121" s="1997"/>
      <c r="BX121" s="1997"/>
      <c r="BY121" s="1997"/>
      <c r="BZ121" s="1997"/>
      <c r="CA121" s="1997"/>
      <c r="CB121" s="1997"/>
      <c r="CC121" s="1997"/>
      <c r="CD121" s="1997"/>
      <c r="CE121" s="1997"/>
      <c r="CF121" s="1997"/>
      <c r="CG121" s="1997"/>
      <c r="CH121" s="1997"/>
      <c r="CI121" s="1997"/>
      <c r="CJ121" s="1997"/>
      <c r="CK121" s="1997"/>
      <c r="CL121" s="1997"/>
      <c r="CM121" s="1997"/>
      <c r="CN121" s="1997"/>
      <c r="CO121" s="1997"/>
      <c r="CP121" s="1997"/>
      <c r="CQ121" s="1997"/>
      <c r="CR121" s="1997"/>
      <c r="CS121" s="1997"/>
      <c r="CT121" s="1997"/>
      <c r="CU121" s="1997"/>
      <c r="CV121" s="1997"/>
      <c r="CW121" s="1997"/>
      <c r="CX121" s="1997"/>
      <c r="CY121" s="1997"/>
      <c r="CZ121" s="1997"/>
      <c r="DA121" s="1997"/>
      <c r="DB121" s="1997"/>
      <c r="DC121" s="1997"/>
      <c r="DD121" s="1997"/>
      <c r="DE121" s="1997"/>
      <c r="DF121" s="1997"/>
      <c r="DG121" s="1997"/>
      <c r="DH121" s="1997"/>
      <c r="DI121" s="1997"/>
      <c r="DJ121" s="1997"/>
      <c r="DK121" s="1997"/>
      <c r="DL121" s="1997"/>
      <c r="DM121" s="1997"/>
      <c r="DN121" s="1997"/>
      <c r="DO121" s="1997"/>
      <c r="DP121" s="1997"/>
      <c r="DQ121" s="1997"/>
      <c r="DR121" s="1997"/>
      <c r="DS121" s="1997"/>
      <c r="DT121" s="1997"/>
      <c r="DU121" s="1997"/>
      <c r="DV121" s="1997"/>
      <c r="DW121" s="1997"/>
      <c r="DX121" s="1997"/>
      <c r="DY121" s="1997"/>
      <c r="DZ121" s="1997"/>
      <c r="EA121" s="1997"/>
      <c r="EB121" s="1997"/>
      <c r="EC121" s="1997"/>
      <c r="ED121" s="1997"/>
      <c r="EE121" s="1997"/>
      <c r="EF121" s="1997"/>
      <c r="EG121" s="1997"/>
      <c r="EH121" s="1997"/>
      <c r="EI121" s="1997"/>
      <c r="EJ121" s="1997"/>
      <c r="EK121" s="1997"/>
      <c r="EL121" s="1997"/>
      <c r="EM121" s="1997"/>
      <c r="EN121" s="1997"/>
      <c r="EO121" s="1997"/>
      <c r="EP121" s="1997"/>
      <c r="EQ121" s="1997"/>
      <c r="ER121" s="1997"/>
      <c r="ES121" s="1997"/>
      <c r="ET121" s="1997"/>
      <c r="EU121" s="1997"/>
      <c r="EV121" s="1997"/>
      <c r="EW121" s="1997"/>
      <c r="EX121" s="1997"/>
      <c r="EY121" s="1997"/>
      <c r="EZ121" s="1997"/>
      <c r="FA121" s="1997"/>
      <c r="FB121" s="1997"/>
      <c r="FC121" s="1997"/>
      <c r="FD121" s="1997"/>
      <c r="FE121" s="1997"/>
      <c r="FF121" s="1997"/>
      <c r="FG121" s="1997"/>
      <c r="FH121" s="1997"/>
      <c r="FI121" s="1997"/>
      <c r="FJ121" s="1997"/>
      <c r="FK121" s="1997"/>
      <c r="FL121" s="1997"/>
      <c r="FM121" s="1997"/>
      <c r="FN121" s="1997"/>
      <c r="FO121" s="1997"/>
      <c r="FP121" s="1997"/>
      <c r="FQ121" s="1997"/>
      <c r="FR121" s="1997"/>
      <c r="FS121" s="1997"/>
      <c r="FT121" s="1997"/>
      <c r="FU121" s="1997"/>
      <c r="FV121" s="1997"/>
      <c r="FW121" s="1997"/>
      <c r="FX121" s="1997"/>
      <c r="FY121" s="1997"/>
      <c r="FZ121" s="1997"/>
      <c r="GA121" s="1997"/>
      <c r="GB121" s="1997"/>
      <c r="GC121" s="1997"/>
      <c r="GD121" s="1997"/>
      <c r="GE121" s="1997"/>
      <c r="GF121" s="1997"/>
      <c r="GG121" s="1997"/>
      <c r="GH121" s="1997"/>
      <c r="GI121" s="1997"/>
      <c r="GJ121" s="1997"/>
      <c r="GK121" s="1997"/>
      <c r="GL121" s="1997"/>
      <c r="GM121" s="1997"/>
      <c r="GN121" s="1997"/>
      <c r="GO121" s="1997"/>
      <c r="GP121" s="1997"/>
      <c r="GQ121" s="1997"/>
      <c r="GR121" s="1997"/>
      <c r="GS121" s="1997"/>
      <c r="GT121" s="1997"/>
      <c r="GU121" s="1997"/>
      <c r="GV121" s="1997"/>
      <c r="GW121" s="1997"/>
      <c r="GX121" s="1997"/>
      <c r="GY121" s="1997"/>
      <c r="GZ121" s="1997"/>
      <c r="HA121" s="1997"/>
      <c r="HB121" s="1997"/>
      <c r="HC121" s="1997"/>
      <c r="HD121" s="1997"/>
      <c r="HE121" s="1997"/>
      <c r="HF121" s="1997"/>
      <c r="HG121" s="1997"/>
      <c r="HH121" s="1997"/>
      <c r="HI121" s="1997"/>
      <c r="HJ121" s="1997"/>
      <c r="HK121" s="1997"/>
      <c r="HL121" s="1997"/>
      <c r="HM121" s="1997"/>
      <c r="HN121" s="1997"/>
      <c r="HO121" s="1997"/>
      <c r="HP121" s="1997"/>
      <c r="HQ121" s="1997"/>
      <c r="HR121" s="1997"/>
      <c r="HS121" s="1997"/>
      <c r="HT121" s="1997"/>
      <c r="HU121" s="1997"/>
      <c r="HV121" s="1997"/>
      <c r="HW121" s="1997"/>
      <c r="HX121" s="1997"/>
      <c r="HY121" s="1997"/>
      <c r="HZ121" s="1997"/>
      <c r="IA121" s="1997"/>
      <c r="IB121" s="1997"/>
      <c r="IC121" s="1997"/>
      <c r="ID121" s="1997"/>
      <c r="IE121" s="1997"/>
      <c r="IF121" s="1997"/>
      <c r="IG121" s="1997"/>
      <c r="IH121" s="1997"/>
      <c r="II121" s="1997"/>
      <c r="IJ121" s="1997"/>
      <c r="IK121" s="1997"/>
      <c r="IL121" s="1997"/>
      <c r="IM121" s="1997"/>
      <c r="IN121" s="1997"/>
      <c r="IO121" s="1997"/>
      <c r="IP121" s="1997"/>
      <c r="IQ121" s="1997"/>
    </row>
    <row r="122" spans="1:251" hidden="1">
      <c r="A122" s="2021"/>
      <c r="B122" s="1625" t="s">
        <v>531</v>
      </c>
      <c r="C122" s="1995"/>
      <c r="D122" s="2036"/>
      <c r="E122" s="1993"/>
      <c r="F122" s="1959"/>
      <c r="G122" s="1993"/>
      <c r="H122" s="1940">
        <f t="shared" si="56"/>
        <v>0</v>
      </c>
      <c r="I122" s="1993"/>
      <c r="J122" s="1940">
        <f t="shared" si="57"/>
        <v>0</v>
      </c>
      <c r="K122" s="1993"/>
      <c r="L122" s="1940">
        <f t="shared" si="58"/>
        <v>0</v>
      </c>
      <c r="M122" s="1940">
        <f t="shared" si="59"/>
        <v>0</v>
      </c>
      <c r="N122" s="1940">
        <f t="shared" si="60"/>
        <v>0</v>
      </c>
      <c r="O122" s="1993"/>
      <c r="P122" s="1993">
        <f>D122*F122</f>
        <v>0</v>
      </c>
      <c r="Q122" s="1940">
        <f t="shared" si="61"/>
        <v>0</v>
      </c>
      <c r="R122" s="1940">
        <f t="shared" si="62"/>
        <v>0</v>
      </c>
      <c r="S122" s="1940">
        <f t="shared" si="63"/>
        <v>0</v>
      </c>
      <c r="T122" s="1940">
        <f t="shared" si="64"/>
        <v>0</v>
      </c>
      <c r="U122" s="1940">
        <f t="shared" si="65"/>
        <v>0</v>
      </c>
      <c r="V122" s="1997"/>
      <c r="W122" s="1997"/>
      <c r="X122" s="1997"/>
      <c r="Y122" s="1997"/>
      <c r="Z122" s="1997"/>
      <c r="AA122" s="1997"/>
      <c r="AB122" s="1997"/>
      <c r="AC122" s="1997"/>
      <c r="AD122" s="1997"/>
      <c r="AE122" s="1997"/>
      <c r="AF122" s="1997"/>
      <c r="AG122" s="1997"/>
      <c r="AH122" s="1997"/>
      <c r="AI122" s="1997"/>
      <c r="AJ122" s="1997"/>
      <c r="AK122" s="1997"/>
      <c r="AL122" s="1997"/>
      <c r="AM122" s="1997"/>
      <c r="AN122" s="1997"/>
      <c r="AO122" s="1997"/>
      <c r="AP122" s="1997"/>
      <c r="AQ122" s="1997"/>
      <c r="AR122" s="1997"/>
      <c r="AS122" s="1997"/>
      <c r="AT122" s="1997"/>
      <c r="AU122" s="1997"/>
      <c r="AV122" s="1997"/>
      <c r="AW122" s="1997"/>
      <c r="AX122" s="1997"/>
      <c r="AY122" s="1997"/>
      <c r="AZ122" s="1997"/>
      <c r="BA122" s="1997"/>
      <c r="BB122" s="1997"/>
      <c r="BC122" s="1997"/>
      <c r="BD122" s="1997"/>
      <c r="BE122" s="1997"/>
      <c r="BF122" s="1997"/>
      <c r="BG122" s="1997"/>
      <c r="BH122" s="1997"/>
      <c r="BI122" s="1997"/>
      <c r="BJ122" s="1997"/>
      <c r="BK122" s="1997"/>
      <c r="BL122" s="1997"/>
      <c r="BM122" s="1997"/>
      <c r="BN122" s="1997"/>
      <c r="BO122" s="1997"/>
      <c r="BP122" s="1997"/>
      <c r="BQ122" s="1997"/>
      <c r="BR122" s="1997"/>
      <c r="BS122" s="1997"/>
      <c r="BT122" s="1997"/>
      <c r="BU122" s="1997"/>
      <c r="BV122" s="1997"/>
      <c r="BW122" s="1997"/>
      <c r="BX122" s="1997"/>
      <c r="BY122" s="1997"/>
      <c r="BZ122" s="1997"/>
      <c r="CA122" s="1997"/>
      <c r="CB122" s="1997"/>
      <c r="CC122" s="1997"/>
      <c r="CD122" s="1997"/>
      <c r="CE122" s="1997"/>
      <c r="CF122" s="1997"/>
      <c r="CG122" s="1997"/>
      <c r="CH122" s="1997"/>
      <c r="CI122" s="1997"/>
      <c r="CJ122" s="1997"/>
      <c r="CK122" s="1997"/>
      <c r="CL122" s="1997"/>
      <c r="CM122" s="1997"/>
      <c r="CN122" s="1997"/>
      <c r="CO122" s="1997"/>
      <c r="CP122" s="1997"/>
      <c r="CQ122" s="1997"/>
      <c r="CR122" s="1997"/>
      <c r="CS122" s="1997"/>
      <c r="CT122" s="1997"/>
      <c r="CU122" s="1997"/>
      <c r="CV122" s="1997"/>
      <c r="CW122" s="1997"/>
      <c r="CX122" s="1997"/>
      <c r="CY122" s="1997"/>
      <c r="CZ122" s="1997"/>
      <c r="DA122" s="1997"/>
      <c r="DB122" s="1997"/>
      <c r="DC122" s="1997"/>
      <c r="DD122" s="1997"/>
      <c r="DE122" s="1997"/>
      <c r="DF122" s="1997"/>
      <c r="DG122" s="1997"/>
      <c r="DH122" s="1997"/>
      <c r="DI122" s="1997"/>
      <c r="DJ122" s="1997"/>
      <c r="DK122" s="1997"/>
      <c r="DL122" s="1997"/>
      <c r="DM122" s="1997"/>
      <c r="DN122" s="1997"/>
      <c r="DO122" s="1997"/>
      <c r="DP122" s="1997"/>
      <c r="DQ122" s="1997"/>
      <c r="DR122" s="1997"/>
      <c r="DS122" s="1997"/>
      <c r="DT122" s="1997"/>
      <c r="DU122" s="1997"/>
      <c r="DV122" s="1997"/>
      <c r="DW122" s="1997"/>
      <c r="DX122" s="1997"/>
      <c r="DY122" s="1997"/>
      <c r="DZ122" s="1997"/>
      <c r="EA122" s="1997"/>
      <c r="EB122" s="1997"/>
      <c r="EC122" s="1997"/>
      <c r="ED122" s="1997"/>
      <c r="EE122" s="1997"/>
      <c r="EF122" s="1997"/>
      <c r="EG122" s="1997"/>
      <c r="EH122" s="1997"/>
      <c r="EI122" s="1997"/>
      <c r="EJ122" s="1997"/>
      <c r="EK122" s="1997"/>
      <c r="EL122" s="1997"/>
      <c r="EM122" s="1997"/>
      <c r="EN122" s="1997"/>
      <c r="EO122" s="1997"/>
      <c r="EP122" s="1997"/>
      <c r="EQ122" s="1997"/>
      <c r="ER122" s="1997"/>
      <c r="ES122" s="1997"/>
      <c r="ET122" s="1997"/>
      <c r="EU122" s="1997"/>
      <c r="EV122" s="1997"/>
      <c r="EW122" s="1997"/>
      <c r="EX122" s="1997"/>
      <c r="EY122" s="1997"/>
      <c r="EZ122" s="1997"/>
      <c r="FA122" s="1997"/>
      <c r="FB122" s="1997"/>
      <c r="FC122" s="1997"/>
      <c r="FD122" s="1997"/>
      <c r="FE122" s="1997"/>
      <c r="FF122" s="1997"/>
      <c r="FG122" s="1997"/>
      <c r="FH122" s="1997"/>
      <c r="FI122" s="1997"/>
      <c r="FJ122" s="1997"/>
      <c r="FK122" s="1997"/>
      <c r="FL122" s="1997"/>
      <c r="FM122" s="1997"/>
      <c r="FN122" s="1997"/>
      <c r="FO122" s="1997"/>
      <c r="FP122" s="1997"/>
      <c r="FQ122" s="1997"/>
      <c r="FR122" s="1997"/>
      <c r="FS122" s="1997"/>
      <c r="FT122" s="1997"/>
      <c r="FU122" s="1997"/>
      <c r="FV122" s="1997"/>
      <c r="FW122" s="1997"/>
      <c r="FX122" s="1997"/>
      <c r="FY122" s="1997"/>
      <c r="FZ122" s="1997"/>
      <c r="GA122" s="1997"/>
      <c r="GB122" s="1997"/>
      <c r="GC122" s="1997"/>
      <c r="GD122" s="1997"/>
      <c r="GE122" s="1997"/>
      <c r="GF122" s="1997"/>
      <c r="GG122" s="1997"/>
      <c r="GH122" s="1997"/>
      <c r="GI122" s="1997"/>
      <c r="GJ122" s="1997"/>
      <c r="GK122" s="1997"/>
      <c r="GL122" s="1997"/>
      <c r="GM122" s="1997"/>
      <c r="GN122" s="1997"/>
      <c r="GO122" s="1997"/>
      <c r="GP122" s="1997"/>
      <c r="GQ122" s="1997"/>
      <c r="GR122" s="1997"/>
      <c r="GS122" s="1997"/>
      <c r="GT122" s="1997"/>
      <c r="GU122" s="1997"/>
      <c r="GV122" s="1997"/>
      <c r="GW122" s="1997"/>
      <c r="GX122" s="1997"/>
      <c r="GY122" s="1997"/>
      <c r="GZ122" s="1997"/>
      <c r="HA122" s="1997"/>
      <c r="HB122" s="1997"/>
      <c r="HC122" s="1997"/>
      <c r="HD122" s="1997"/>
      <c r="HE122" s="1997"/>
      <c r="HF122" s="1997"/>
      <c r="HG122" s="1997"/>
      <c r="HH122" s="1997"/>
      <c r="HI122" s="1997"/>
      <c r="HJ122" s="1997"/>
      <c r="HK122" s="1997"/>
      <c r="HL122" s="1997"/>
      <c r="HM122" s="1997"/>
      <c r="HN122" s="1997"/>
      <c r="HO122" s="1997"/>
      <c r="HP122" s="1997"/>
      <c r="HQ122" s="1997"/>
      <c r="HR122" s="1997"/>
      <c r="HS122" s="1997"/>
      <c r="HT122" s="1997"/>
      <c r="HU122" s="1997"/>
      <c r="HV122" s="1997"/>
      <c r="HW122" s="1997"/>
      <c r="HX122" s="1997"/>
      <c r="HY122" s="1997"/>
      <c r="HZ122" s="1997"/>
      <c r="IA122" s="1997"/>
      <c r="IB122" s="1997"/>
      <c r="IC122" s="1997"/>
      <c r="ID122" s="1997"/>
      <c r="IE122" s="1997"/>
      <c r="IF122" s="1997"/>
      <c r="IG122" s="1997"/>
      <c r="IH122" s="1997"/>
      <c r="II122" s="1997"/>
      <c r="IJ122" s="1997"/>
      <c r="IK122" s="1997"/>
      <c r="IL122" s="1997"/>
      <c r="IM122" s="1997"/>
      <c r="IN122" s="1997"/>
      <c r="IO122" s="1997"/>
      <c r="IP122" s="1997"/>
      <c r="IQ122" s="1997"/>
    </row>
    <row r="123" spans="1:251" ht="27">
      <c r="A123" s="2021"/>
      <c r="B123" s="2013" t="s">
        <v>540</v>
      </c>
      <c r="C123" s="1995"/>
      <c r="D123" s="2037"/>
      <c r="E123" s="1993"/>
      <c r="F123" s="1940">
        <f>ROUNDUP((E123*$Q$5),-3)</f>
        <v>0</v>
      </c>
      <c r="G123" s="1993"/>
      <c r="H123" s="1940">
        <f t="shared" si="56"/>
        <v>0</v>
      </c>
      <c r="I123" s="1993"/>
      <c r="J123" s="1940">
        <f t="shared" si="57"/>
        <v>0</v>
      </c>
      <c r="K123" s="1993"/>
      <c r="L123" s="1940">
        <f t="shared" si="58"/>
        <v>0</v>
      </c>
      <c r="M123" s="1940">
        <f t="shared" si="59"/>
        <v>0</v>
      </c>
      <c r="N123" s="1940">
        <f t="shared" si="60"/>
        <v>0</v>
      </c>
      <c r="O123" s="1993"/>
      <c r="P123" s="1993"/>
      <c r="Q123" s="1940">
        <f t="shared" si="61"/>
        <v>0</v>
      </c>
      <c r="R123" s="1940">
        <f t="shared" si="62"/>
        <v>0</v>
      </c>
      <c r="S123" s="1940">
        <f t="shared" si="63"/>
        <v>0</v>
      </c>
      <c r="T123" s="1940">
        <f t="shared" si="64"/>
        <v>0</v>
      </c>
      <c r="U123" s="1940">
        <f t="shared" si="65"/>
        <v>0</v>
      </c>
      <c r="V123" s="1997"/>
      <c r="W123" s="1997"/>
      <c r="X123" s="1997"/>
      <c r="Y123" s="1997"/>
      <c r="Z123" s="1997"/>
      <c r="AA123" s="1997"/>
      <c r="AB123" s="1997"/>
      <c r="AC123" s="1997"/>
      <c r="AD123" s="1997"/>
      <c r="AE123" s="1997"/>
      <c r="AF123" s="1997"/>
      <c r="AG123" s="1997"/>
      <c r="AH123" s="1997"/>
      <c r="AI123" s="1997"/>
      <c r="AJ123" s="1997"/>
      <c r="AK123" s="1997"/>
      <c r="AL123" s="1997"/>
      <c r="AM123" s="1997"/>
      <c r="AN123" s="1997"/>
      <c r="AO123" s="1997"/>
      <c r="AP123" s="1997"/>
      <c r="AQ123" s="1997"/>
      <c r="AR123" s="1997"/>
      <c r="AS123" s="1997"/>
      <c r="AT123" s="1997"/>
      <c r="AU123" s="1997"/>
      <c r="AV123" s="1997"/>
      <c r="AW123" s="1997"/>
      <c r="AX123" s="1997"/>
      <c r="AY123" s="1997"/>
      <c r="AZ123" s="1997"/>
      <c r="BA123" s="1997"/>
      <c r="BB123" s="1997"/>
      <c r="BC123" s="1997"/>
      <c r="BD123" s="1997"/>
      <c r="BE123" s="1997"/>
      <c r="BF123" s="1997"/>
      <c r="BG123" s="1997"/>
      <c r="BH123" s="1997"/>
      <c r="BI123" s="1997"/>
      <c r="BJ123" s="1997"/>
      <c r="BK123" s="1997"/>
      <c r="BL123" s="1997"/>
      <c r="BM123" s="1997"/>
      <c r="BN123" s="1997"/>
      <c r="BO123" s="1997"/>
      <c r="BP123" s="1997"/>
      <c r="BQ123" s="1997"/>
      <c r="BR123" s="1997"/>
      <c r="BS123" s="1997"/>
      <c r="BT123" s="1997"/>
      <c r="BU123" s="1997"/>
      <c r="BV123" s="1997"/>
      <c r="BW123" s="1997"/>
      <c r="BX123" s="1997"/>
      <c r="BY123" s="1997"/>
      <c r="BZ123" s="1997"/>
      <c r="CA123" s="1997"/>
      <c r="CB123" s="1997"/>
      <c r="CC123" s="1997"/>
      <c r="CD123" s="1997"/>
      <c r="CE123" s="1997"/>
      <c r="CF123" s="1997"/>
      <c r="CG123" s="1997"/>
      <c r="CH123" s="1997"/>
      <c r="CI123" s="1997"/>
      <c r="CJ123" s="1997"/>
      <c r="CK123" s="1997"/>
      <c r="CL123" s="1997"/>
      <c r="CM123" s="1997"/>
      <c r="CN123" s="1997"/>
      <c r="CO123" s="1997"/>
      <c r="CP123" s="1997"/>
      <c r="CQ123" s="1997"/>
      <c r="CR123" s="1997"/>
      <c r="CS123" s="1997"/>
      <c r="CT123" s="1997"/>
      <c r="CU123" s="1997"/>
      <c r="CV123" s="1997"/>
      <c r="CW123" s="1997"/>
      <c r="CX123" s="1997"/>
      <c r="CY123" s="1997"/>
      <c r="CZ123" s="1997"/>
      <c r="DA123" s="1997"/>
      <c r="DB123" s="1997"/>
      <c r="DC123" s="1997"/>
      <c r="DD123" s="1997"/>
      <c r="DE123" s="1997"/>
      <c r="DF123" s="1997"/>
      <c r="DG123" s="1997"/>
      <c r="DH123" s="1997"/>
      <c r="DI123" s="1997"/>
      <c r="DJ123" s="1997"/>
      <c r="DK123" s="1997"/>
      <c r="DL123" s="1997"/>
      <c r="DM123" s="1997"/>
      <c r="DN123" s="1997"/>
      <c r="DO123" s="1997"/>
      <c r="DP123" s="1997"/>
      <c r="DQ123" s="1997"/>
      <c r="DR123" s="1997"/>
      <c r="DS123" s="1997"/>
      <c r="DT123" s="1997"/>
      <c r="DU123" s="1997"/>
      <c r="DV123" s="1997"/>
      <c r="DW123" s="1997"/>
      <c r="DX123" s="1997"/>
      <c r="DY123" s="1997"/>
      <c r="DZ123" s="1997"/>
      <c r="EA123" s="1997"/>
      <c r="EB123" s="1997"/>
      <c r="EC123" s="1997"/>
      <c r="ED123" s="1997"/>
      <c r="EE123" s="1997"/>
      <c r="EF123" s="1997"/>
      <c r="EG123" s="1997"/>
      <c r="EH123" s="1997"/>
      <c r="EI123" s="1997"/>
      <c r="EJ123" s="1997"/>
      <c r="EK123" s="1997"/>
      <c r="EL123" s="1997"/>
      <c r="EM123" s="1997"/>
      <c r="EN123" s="1997"/>
      <c r="EO123" s="1997"/>
      <c r="EP123" s="1997"/>
      <c r="EQ123" s="1997"/>
      <c r="ER123" s="1997"/>
      <c r="ES123" s="1997"/>
      <c r="ET123" s="1997"/>
      <c r="EU123" s="1997"/>
      <c r="EV123" s="1997"/>
      <c r="EW123" s="1997"/>
      <c r="EX123" s="1997"/>
      <c r="EY123" s="1997"/>
      <c r="EZ123" s="1997"/>
      <c r="FA123" s="1997"/>
      <c r="FB123" s="1997"/>
      <c r="FC123" s="1997"/>
      <c r="FD123" s="1997"/>
      <c r="FE123" s="1997"/>
      <c r="FF123" s="1997"/>
      <c r="FG123" s="1997"/>
      <c r="FH123" s="1997"/>
      <c r="FI123" s="1997"/>
      <c r="FJ123" s="1997"/>
      <c r="FK123" s="1997"/>
      <c r="FL123" s="1997"/>
      <c r="FM123" s="1997"/>
      <c r="FN123" s="1997"/>
      <c r="FO123" s="1997"/>
      <c r="FP123" s="1997"/>
      <c r="FQ123" s="1997"/>
      <c r="FR123" s="1997"/>
      <c r="FS123" s="1997"/>
      <c r="FT123" s="1997"/>
      <c r="FU123" s="1997"/>
      <c r="FV123" s="1997"/>
      <c r="FW123" s="1997"/>
      <c r="FX123" s="1997"/>
      <c r="FY123" s="1997"/>
      <c r="FZ123" s="1997"/>
      <c r="GA123" s="1997"/>
      <c r="GB123" s="1997"/>
      <c r="GC123" s="1997"/>
      <c r="GD123" s="1997"/>
      <c r="GE123" s="1997"/>
      <c r="GF123" s="1997"/>
      <c r="GG123" s="1997"/>
      <c r="GH123" s="1997"/>
      <c r="GI123" s="1997"/>
      <c r="GJ123" s="1997"/>
      <c r="GK123" s="1997"/>
      <c r="GL123" s="1997"/>
      <c r="GM123" s="1997"/>
      <c r="GN123" s="1997"/>
      <c r="GO123" s="1997"/>
      <c r="GP123" s="1997"/>
      <c r="GQ123" s="1997"/>
      <c r="GR123" s="1997"/>
      <c r="GS123" s="1997"/>
      <c r="GT123" s="1997"/>
      <c r="GU123" s="1997"/>
      <c r="GV123" s="1997"/>
      <c r="GW123" s="1997"/>
      <c r="GX123" s="1997"/>
      <c r="GY123" s="1997"/>
      <c r="GZ123" s="1997"/>
      <c r="HA123" s="1997"/>
      <c r="HB123" s="1997"/>
      <c r="HC123" s="1997"/>
      <c r="HD123" s="1997"/>
      <c r="HE123" s="1997"/>
      <c r="HF123" s="1997"/>
      <c r="HG123" s="1997"/>
      <c r="HH123" s="1997"/>
      <c r="HI123" s="1997"/>
      <c r="HJ123" s="1997"/>
      <c r="HK123" s="1997"/>
      <c r="HL123" s="1997"/>
      <c r="HM123" s="1997"/>
      <c r="HN123" s="1997"/>
      <c r="HO123" s="1997"/>
      <c r="HP123" s="1997"/>
      <c r="HQ123" s="1997"/>
      <c r="HR123" s="1997"/>
      <c r="HS123" s="1997"/>
      <c r="HT123" s="1997"/>
      <c r="HU123" s="1997"/>
      <c r="HV123" s="1997"/>
      <c r="HW123" s="1997"/>
      <c r="HX123" s="1997"/>
      <c r="HY123" s="1997"/>
      <c r="HZ123" s="1997"/>
      <c r="IA123" s="1997"/>
      <c r="IB123" s="1997"/>
      <c r="IC123" s="1997"/>
      <c r="ID123" s="1997"/>
      <c r="IE123" s="1997"/>
      <c r="IF123" s="1997"/>
      <c r="IG123" s="1997"/>
      <c r="IH123" s="1997"/>
      <c r="II123" s="1997"/>
      <c r="IJ123" s="1997"/>
      <c r="IK123" s="1997"/>
      <c r="IL123" s="1997"/>
      <c r="IM123" s="1997"/>
      <c r="IN123" s="1997"/>
      <c r="IO123" s="1997"/>
      <c r="IP123" s="1997"/>
      <c r="IQ123" s="1997"/>
    </row>
    <row r="124" spans="1:251" hidden="1">
      <c r="A124" s="2021"/>
      <c r="B124" s="2012" t="s">
        <v>541</v>
      </c>
      <c r="C124" s="1995"/>
      <c r="D124" s="2037"/>
      <c r="E124" s="1993"/>
      <c r="F124" s="1996"/>
      <c r="G124" s="1993">
        <v>12</v>
      </c>
      <c r="H124" s="1940">
        <f t="shared" si="56"/>
        <v>0</v>
      </c>
      <c r="I124" s="1993"/>
      <c r="J124" s="1940">
        <f t="shared" si="57"/>
        <v>0</v>
      </c>
      <c r="K124" s="1993"/>
      <c r="L124" s="1940">
        <f t="shared" si="58"/>
        <v>0</v>
      </c>
      <c r="M124" s="1940">
        <f t="shared" si="59"/>
        <v>0</v>
      </c>
      <c r="N124" s="1940">
        <f t="shared" si="60"/>
        <v>0</v>
      </c>
      <c r="O124" s="1993">
        <f>F124*D124*2</f>
        <v>0</v>
      </c>
      <c r="P124" s="1993">
        <f>F124*D124*4</f>
        <v>0</v>
      </c>
      <c r="Q124" s="1940">
        <f t="shared" si="61"/>
        <v>0</v>
      </c>
      <c r="R124" s="1940">
        <f t="shared" si="62"/>
        <v>0</v>
      </c>
      <c r="S124" s="1940">
        <f t="shared" si="63"/>
        <v>0</v>
      </c>
      <c r="T124" s="1940">
        <f t="shared" si="64"/>
        <v>0</v>
      </c>
      <c r="U124" s="1940">
        <f t="shared" si="65"/>
        <v>0</v>
      </c>
      <c r="V124" s="1997"/>
      <c r="W124" s="1997"/>
      <c r="X124" s="1997"/>
      <c r="Y124" s="1997"/>
      <c r="Z124" s="1997"/>
      <c r="AA124" s="1997"/>
      <c r="AB124" s="1997"/>
      <c r="AC124" s="1997"/>
      <c r="AD124" s="1997"/>
      <c r="AE124" s="1997"/>
      <c r="AF124" s="1997"/>
      <c r="AG124" s="1997"/>
      <c r="AH124" s="1997"/>
      <c r="AI124" s="1997"/>
      <c r="AJ124" s="1997"/>
      <c r="AK124" s="1997"/>
      <c r="AL124" s="1997"/>
      <c r="AM124" s="1997"/>
      <c r="AN124" s="1997"/>
      <c r="AO124" s="1997"/>
      <c r="AP124" s="1997"/>
      <c r="AQ124" s="1997"/>
      <c r="AR124" s="1997"/>
      <c r="AS124" s="1997"/>
      <c r="AT124" s="1997"/>
      <c r="AU124" s="1997"/>
      <c r="AV124" s="1997"/>
      <c r="AW124" s="1997"/>
      <c r="AX124" s="1997"/>
      <c r="AY124" s="1997"/>
      <c r="AZ124" s="1997"/>
      <c r="BA124" s="1997"/>
      <c r="BB124" s="1997"/>
      <c r="BC124" s="1997"/>
      <c r="BD124" s="1997"/>
      <c r="BE124" s="1997"/>
      <c r="BF124" s="1997"/>
      <c r="BG124" s="1997"/>
      <c r="BH124" s="1997"/>
      <c r="BI124" s="1997"/>
      <c r="BJ124" s="1997"/>
      <c r="BK124" s="1997"/>
      <c r="BL124" s="1997"/>
      <c r="BM124" s="1997"/>
      <c r="BN124" s="1997"/>
      <c r="BO124" s="1997"/>
      <c r="BP124" s="1997"/>
      <c r="BQ124" s="1997"/>
      <c r="BR124" s="1997"/>
      <c r="BS124" s="1997"/>
      <c r="BT124" s="1997"/>
      <c r="BU124" s="1997"/>
      <c r="BV124" s="1997"/>
      <c r="BW124" s="1997"/>
      <c r="BX124" s="1997"/>
      <c r="BY124" s="1997"/>
      <c r="BZ124" s="1997"/>
      <c r="CA124" s="1997"/>
      <c r="CB124" s="1997"/>
      <c r="CC124" s="1997"/>
      <c r="CD124" s="1997"/>
      <c r="CE124" s="1997"/>
      <c r="CF124" s="1997"/>
      <c r="CG124" s="1997"/>
      <c r="CH124" s="1997"/>
      <c r="CI124" s="1997"/>
      <c r="CJ124" s="1997"/>
      <c r="CK124" s="1997"/>
      <c r="CL124" s="1997"/>
      <c r="CM124" s="1997"/>
      <c r="CN124" s="1997"/>
      <c r="CO124" s="1997"/>
      <c r="CP124" s="1997"/>
      <c r="CQ124" s="1997"/>
      <c r="CR124" s="1997"/>
      <c r="CS124" s="1997"/>
      <c r="CT124" s="1997"/>
      <c r="CU124" s="1997"/>
      <c r="CV124" s="1997"/>
      <c r="CW124" s="1997"/>
      <c r="CX124" s="1997"/>
      <c r="CY124" s="1997"/>
      <c r="CZ124" s="1997"/>
      <c r="DA124" s="1997"/>
      <c r="DB124" s="1997"/>
      <c r="DC124" s="1997"/>
      <c r="DD124" s="1997"/>
      <c r="DE124" s="1997"/>
      <c r="DF124" s="1997"/>
      <c r="DG124" s="1997"/>
      <c r="DH124" s="1997"/>
      <c r="DI124" s="1997"/>
      <c r="DJ124" s="1997"/>
      <c r="DK124" s="1997"/>
      <c r="DL124" s="1997"/>
      <c r="DM124" s="1997"/>
      <c r="DN124" s="1997"/>
      <c r="DO124" s="1997"/>
      <c r="DP124" s="1997"/>
      <c r="DQ124" s="1997"/>
      <c r="DR124" s="1997"/>
      <c r="DS124" s="1997"/>
      <c r="DT124" s="1997"/>
      <c r="DU124" s="1997"/>
      <c r="DV124" s="1997"/>
      <c r="DW124" s="1997"/>
      <c r="DX124" s="1997"/>
      <c r="DY124" s="1997"/>
      <c r="DZ124" s="1997"/>
      <c r="EA124" s="1997"/>
      <c r="EB124" s="1997"/>
      <c r="EC124" s="1997"/>
      <c r="ED124" s="1997"/>
      <c r="EE124" s="1997"/>
      <c r="EF124" s="1997"/>
      <c r="EG124" s="1997"/>
      <c r="EH124" s="1997"/>
      <c r="EI124" s="1997"/>
      <c r="EJ124" s="1997"/>
      <c r="EK124" s="1997"/>
      <c r="EL124" s="1997"/>
      <c r="EM124" s="1997"/>
      <c r="EN124" s="1997"/>
      <c r="EO124" s="1997"/>
      <c r="EP124" s="1997"/>
      <c r="EQ124" s="1997"/>
      <c r="ER124" s="1997"/>
      <c r="ES124" s="1997"/>
      <c r="ET124" s="1997"/>
      <c r="EU124" s="1997"/>
      <c r="EV124" s="1997"/>
      <c r="EW124" s="1997"/>
      <c r="EX124" s="1997"/>
      <c r="EY124" s="1997"/>
      <c r="EZ124" s="1997"/>
      <c r="FA124" s="1997"/>
      <c r="FB124" s="1997"/>
      <c r="FC124" s="1997"/>
      <c r="FD124" s="1997"/>
      <c r="FE124" s="1997"/>
      <c r="FF124" s="1997"/>
      <c r="FG124" s="1997"/>
      <c r="FH124" s="1997"/>
      <c r="FI124" s="1997"/>
      <c r="FJ124" s="1997"/>
      <c r="FK124" s="1997"/>
      <c r="FL124" s="1997"/>
      <c r="FM124" s="1997"/>
      <c r="FN124" s="1997"/>
      <c r="FO124" s="1997"/>
      <c r="FP124" s="1997"/>
      <c r="FQ124" s="1997"/>
      <c r="FR124" s="1997"/>
      <c r="FS124" s="1997"/>
      <c r="FT124" s="1997"/>
      <c r="FU124" s="1997"/>
      <c r="FV124" s="1997"/>
      <c r="FW124" s="1997"/>
      <c r="FX124" s="1997"/>
      <c r="FY124" s="1997"/>
      <c r="FZ124" s="1997"/>
      <c r="GA124" s="1997"/>
      <c r="GB124" s="1997"/>
      <c r="GC124" s="1997"/>
      <c r="GD124" s="1997"/>
      <c r="GE124" s="1997"/>
      <c r="GF124" s="1997"/>
      <c r="GG124" s="1997"/>
      <c r="GH124" s="1997"/>
      <c r="GI124" s="1997"/>
      <c r="GJ124" s="1997"/>
      <c r="GK124" s="1997"/>
      <c r="GL124" s="1997"/>
      <c r="GM124" s="1997"/>
      <c r="GN124" s="1997"/>
      <c r="GO124" s="1997"/>
      <c r="GP124" s="1997"/>
      <c r="GQ124" s="1997"/>
      <c r="GR124" s="1997"/>
      <c r="GS124" s="1997"/>
      <c r="GT124" s="1997"/>
      <c r="GU124" s="1997"/>
      <c r="GV124" s="1997"/>
      <c r="GW124" s="1997"/>
      <c r="GX124" s="1997"/>
      <c r="GY124" s="1997"/>
      <c r="GZ124" s="1997"/>
      <c r="HA124" s="1997"/>
      <c r="HB124" s="1997"/>
      <c r="HC124" s="1997"/>
      <c r="HD124" s="1997"/>
      <c r="HE124" s="1997"/>
      <c r="HF124" s="1997"/>
      <c r="HG124" s="1997"/>
      <c r="HH124" s="1997"/>
      <c r="HI124" s="1997"/>
      <c r="HJ124" s="1997"/>
      <c r="HK124" s="1997"/>
      <c r="HL124" s="1997"/>
      <c r="HM124" s="1997"/>
      <c r="HN124" s="1997"/>
      <c r="HO124" s="1997"/>
      <c r="HP124" s="1997"/>
      <c r="HQ124" s="1997"/>
      <c r="HR124" s="1997"/>
      <c r="HS124" s="1997"/>
      <c r="HT124" s="1997"/>
      <c r="HU124" s="1997"/>
      <c r="HV124" s="1997"/>
      <c r="HW124" s="1997"/>
      <c r="HX124" s="1997"/>
      <c r="HY124" s="1997"/>
      <c r="HZ124" s="1997"/>
      <c r="IA124" s="1997"/>
      <c r="IB124" s="1997"/>
      <c r="IC124" s="1997"/>
      <c r="ID124" s="1997"/>
      <c r="IE124" s="1997"/>
      <c r="IF124" s="1997"/>
      <c r="IG124" s="1997"/>
      <c r="IH124" s="1997"/>
      <c r="II124" s="1997"/>
      <c r="IJ124" s="1997"/>
      <c r="IK124" s="1997"/>
      <c r="IL124" s="1997"/>
      <c r="IM124" s="1997"/>
      <c r="IN124" s="1997"/>
      <c r="IO124" s="1997"/>
      <c r="IP124" s="1997"/>
      <c r="IQ124" s="1997"/>
    </row>
    <row r="125" spans="1:251" hidden="1">
      <c r="A125" s="2021"/>
      <c r="B125" s="2012" t="s">
        <v>542</v>
      </c>
      <c r="C125" s="1995"/>
      <c r="D125" s="2037"/>
      <c r="E125" s="1993"/>
      <c r="F125" s="1996"/>
      <c r="G125" s="1993">
        <v>12</v>
      </c>
      <c r="H125" s="1940">
        <f t="shared" si="56"/>
        <v>0</v>
      </c>
      <c r="I125" s="1993"/>
      <c r="J125" s="1940">
        <f t="shared" si="57"/>
        <v>0</v>
      </c>
      <c r="K125" s="1993"/>
      <c r="L125" s="1940">
        <f t="shared" si="58"/>
        <v>0</v>
      </c>
      <c r="M125" s="1940">
        <f t="shared" si="59"/>
        <v>0</v>
      </c>
      <c r="N125" s="1940">
        <f t="shared" si="60"/>
        <v>0</v>
      </c>
      <c r="O125" s="1993">
        <f t="shared" ref="O125:O129" si="68">F125*D125*2</f>
        <v>0</v>
      </c>
      <c r="P125" s="1993">
        <f t="shared" ref="P125:P129" si="69">F125*D125*4</f>
        <v>0</v>
      </c>
      <c r="Q125" s="1940">
        <f t="shared" si="61"/>
        <v>0</v>
      </c>
      <c r="R125" s="1940">
        <f t="shared" si="62"/>
        <v>0</v>
      </c>
      <c r="S125" s="1940">
        <f t="shared" si="63"/>
        <v>0</v>
      </c>
      <c r="T125" s="1940">
        <f t="shared" si="64"/>
        <v>0</v>
      </c>
      <c r="U125" s="1940">
        <f t="shared" si="65"/>
        <v>0</v>
      </c>
      <c r="V125" s="1997"/>
      <c r="W125" s="1997"/>
      <c r="X125" s="1997"/>
      <c r="Y125" s="1997"/>
      <c r="Z125" s="1997"/>
      <c r="AA125" s="1997"/>
      <c r="AB125" s="1997"/>
      <c r="AC125" s="1997"/>
      <c r="AD125" s="1997"/>
      <c r="AE125" s="1997"/>
      <c r="AF125" s="1997"/>
      <c r="AG125" s="1997"/>
      <c r="AH125" s="1997"/>
      <c r="AI125" s="1997"/>
      <c r="AJ125" s="1997"/>
      <c r="AK125" s="1997"/>
      <c r="AL125" s="1997"/>
      <c r="AM125" s="1997"/>
      <c r="AN125" s="1997"/>
      <c r="AO125" s="1997"/>
      <c r="AP125" s="1997"/>
      <c r="AQ125" s="1997"/>
      <c r="AR125" s="1997"/>
      <c r="AS125" s="1997"/>
      <c r="AT125" s="1997"/>
      <c r="AU125" s="1997"/>
      <c r="AV125" s="1997"/>
      <c r="AW125" s="1997"/>
      <c r="AX125" s="1997"/>
      <c r="AY125" s="1997"/>
      <c r="AZ125" s="1997"/>
      <c r="BA125" s="1997"/>
      <c r="BB125" s="1997"/>
      <c r="BC125" s="1997"/>
      <c r="BD125" s="1997"/>
      <c r="BE125" s="1997"/>
      <c r="BF125" s="1997"/>
      <c r="BG125" s="1997"/>
      <c r="BH125" s="1997"/>
      <c r="BI125" s="1997"/>
      <c r="BJ125" s="1997"/>
      <c r="BK125" s="1997"/>
      <c r="BL125" s="1997"/>
      <c r="BM125" s="1997"/>
      <c r="BN125" s="1997"/>
      <c r="BO125" s="1997"/>
      <c r="BP125" s="1997"/>
      <c r="BQ125" s="1997"/>
      <c r="BR125" s="1997"/>
      <c r="BS125" s="1997"/>
      <c r="BT125" s="1997"/>
      <c r="BU125" s="1997"/>
      <c r="BV125" s="1997"/>
      <c r="BW125" s="1997"/>
      <c r="BX125" s="1997"/>
      <c r="BY125" s="1997"/>
      <c r="BZ125" s="1997"/>
      <c r="CA125" s="1997"/>
      <c r="CB125" s="1997"/>
      <c r="CC125" s="1997"/>
      <c r="CD125" s="1997"/>
      <c r="CE125" s="1997"/>
      <c r="CF125" s="1997"/>
      <c r="CG125" s="1997"/>
      <c r="CH125" s="1997"/>
      <c r="CI125" s="1997"/>
      <c r="CJ125" s="1997"/>
      <c r="CK125" s="1997"/>
      <c r="CL125" s="1997"/>
      <c r="CM125" s="1997"/>
      <c r="CN125" s="1997"/>
      <c r="CO125" s="1997"/>
      <c r="CP125" s="1997"/>
      <c r="CQ125" s="1997"/>
      <c r="CR125" s="1997"/>
      <c r="CS125" s="1997"/>
      <c r="CT125" s="1997"/>
      <c r="CU125" s="1997"/>
      <c r="CV125" s="1997"/>
      <c r="CW125" s="1997"/>
      <c r="CX125" s="1997"/>
      <c r="CY125" s="1997"/>
      <c r="CZ125" s="1997"/>
      <c r="DA125" s="1997"/>
      <c r="DB125" s="1997"/>
      <c r="DC125" s="1997"/>
      <c r="DD125" s="1997"/>
      <c r="DE125" s="1997"/>
      <c r="DF125" s="1997"/>
      <c r="DG125" s="1997"/>
      <c r="DH125" s="1997"/>
      <c r="DI125" s="1997"/>
      <c r="DJ125" s="1997"/>
      <c r="DK125" s="1997"/>
      <c r="DL125" s="1997"/>
      <c r="DM125" s="1997"/>
      <c r="DN125" s="1997"/>
      <c r="DO125" s="1997"/>
      <c r="DP125" s="1997"/>
      <c r="DQ125" s="1997"/>
      <c r="DR125" s="1997"/>
      <c r="DS125" s="1997"/>
      <c r="DT125" s="1997"/>
      <c r="DU125" s="1997"/>
      <c r="DV125" s="1997"/>
      <c r="DW125" s="1997"/>
      <c r="DX125" s="1997"/>
      <c r="DY125" s="1997"/>
      <c r="DZ125" s="1997"/>
      <c r="EA125" s="1997"/>
      <c r="EB125" s="1997"/>
      <c r="EC125" s="1997"/>
      <c r="ED125" s="1997"/>
      <c r="EE125" s="1997"/>
      <c r="EF125" s="1997"/>
      <c r="EG125" s="1997"/>
      <c r="EH125" s="1997"/>
      <c r="EI125" s="1997"/>
      <c r="EJ125" s="1997"/>
      <c r="EK125" s="1997"/>
      <c r="EL125" s="1997"/>
      <c r="EM125" s="1997"/>
      <c r="EN125" s="1997"/>
      <c r="EO125" s="1997"/>
      <c r="EP125" s="1997"/>
      <c r="EQ125" s="1997"/>
      <c r="ER125" s="1997"/>
      <c r="ES125" s="1997"/>
      <c r="ET125" s="1997"/>
      <c r="EU125" s="1997"/>
      <c r="EV125" s="1997"/>
      <c r="EW125" s="1997"/>
      <c r="EX125" s="1997"/>
      <c r="EY125" s="1997"/>
      <c r="EZ125" s="1997"/>
      <c r="FA125" s="1997"/>
      <c r="FB125" s="1997"/>
      <c r="FC125" s="1997"/>
      <c r="FD125" s="1997"/>
      <c r="FE125" s="1997"/>
      <c r="FF125" s="1997"/>
      <c r="FG125" s="1997"/>
      <c r="FH125" s="1997"/>
      <c r="FI125" s="1997"/>
      <c r="FJ125" s="1997"/>
      <c r="FK125" s="1997"/>
      <c r="FL125" s="1997"/>
      <c r="FM125" s="1997"/>
      <c r="FN125" s="1997"/>
      <c r="FO125" s="1997"/>
      <c r="FP125" s="1997"/>
      <c r="FQ125" s="1997"/>
      <c r="FR125" s="1997"/>
      <c r="FS125" s="1997"/>
      <c r="FT125" s="1997"/>
      <c r="FU125" s="1997"/>
      <c r="FV125" s="1997"/>
      <c r="FW125" s="1997"/>
      <c r="FX125" s="1997"/>
      <c r="FY125" s="1997"/>
      <c r="FZ125" s="1997"/>
      <c r="GA125" s="1997"/>
      <c r="GB125" s="1997"/>
      <c r="GC125" s="1997"/>
      <c r="GD125" s="1997"/>
      <c r="GE125" s="1997"/>
      <c r="GF125" s="1997"/>
      <c r="GG125" s="1997"/>
      <c r="GH125" s="1997"/>
      <c r="GI125" s="1997"/>
      <c r="GJ125" s="1997"/>
      <c r="GK125" s="1997"/>
      <c r="GL125" s="1997"/>
      <c r="GM125" s="1997"/>
      <c r="GN125" s="1997"/>
      <c r="GO125" s="1997"/>
      <c r="GP125" s="1997"/>
      <c r="GQ125" s="1997"/>
      <c r="GR125" s="1997"/>
      <c r="GS125" s="1997"/>
      <c r="GT125" s="1997"/>
      <c r="GU125" s="1997"/>
      <c r="GV125" s="1997"/>
      <c r="GW125" s="1997"/>
      <c r="GX125" s="1997"/>
      <c r="GY125" s="1997"/>
      <c r="GZ125" s="1997"/>
      <c r="HA125" s="1997"/>
      <c r="HB125" s="1997"/>
      <c r="HC125" s="1997"/>
      <c r="HD125" s="1997"/>
      <c r="HE125" s="1997"/>
      <c r="HF125" s="1997"/>
      <c r="HG125" s="1997"/>
      <c r="HH125" s="1997"/>
      <c r="HI125" s="1997"/>
      <c r="HJ125" s="1997"/>
      <c r="HK125" s="1997"/>
      <c r="HL125" s="1997"/>
      <c r="HM125" s="1997"/>
      <c r="HN125" s="1997"/>
      <c r="HO125" s="1997"/>
      <c r="HP125" s="1997"/>
      <c r="HQ125" s="1997"/>
      <c r="HR125" s="1997"/>
      <c r="HS125" s="1997"/>
      <c r="HT125" s="1997"/>
      <c r="HU125" s="1997"/>
      <c r="HV125" s="1997"/>
      <c r="HW125" s="1997"/>
      <c r="HX125" s="1997"/>
      <c r="HY125" s="1997"/>
      <c r="HZ125" s="1997"/>
      <c r="IA125" s="1997"/>
      <c r="IB125" s="1997"/>
      <c r="IC125" s="1997"/>
      <c r="ID125" s="1997"/>
      <c r="IE125" s="1997"/>
      <c r="IF125" s="1997"/>
      <c r="IG125" s="1997"/>
      <c r="IH125" s="1997"/>
      <c r="II125" s="1997"/>
      <c r="IJ125" s="1997"/>
      <c r="IK125" s="1997"/>
      <c r="IL125" s="1997"/>
      <c r="IM125" s="1997"/>
      <c r="IN125" s="1997"/>
      <c r="IO125" s="1997"/>
      <c r="IP125" s="1997"/>
      <c r="IQ125" s="1997"/>
    </row>
    <row r="126" spans="1:251" hidden="1">
      <c r="A126" s="2021"/>
      <c r="B126" s="2012" t="s">
        <v>543</v>
      </c>
      <c r="C126" s="1995"/>
      <c r="D126" s="2037"/>
      <c r="E126" s="1993"/>
      <c r="F126" s="1996"/>
      <c r="G126" s="1993">
        <v>12</v>
      </c>
      <c r="H126" s="1940">
        <f t="shared" si="56"/>
        <v>0</v>
      </c>
      <c r="I126" s="1993"/>
      <c r="J126" s="1940">
        <f t="shared" si="57"/>
        <v>0</v>
      </c>
      <c r="K126" s="1993"/>
      <c r="L126" s="1940">
        <f t="shared" si="58"/>
        <v>0</v>
      </c>
      <c r="M126" s="1940">
        <f t="shared" si="59"/>
        <v>0</v>
      </c>
      <c r="N126" s="1940">
        <f t="shared" si="60"/>
        <v>0</v>
      </c>
      <c r="O126" s="1993">
        <f t="shared" si="68"/>
        <v>0</v>
      </c>
      <c r="P126" s="1993">
        <f t="shared" si="69"/>
        <v>0</v>
      </c>
      <c r="Q126" s="1940">
        <f t="shared" si="61"/>
        <v>0</v>
      </c>
      <c r="R126" s="1940">
        <f t="shared" si="62"/>
        <v>0</v>
      </c>
      <c r="S126" s="1940">
        <f t="shared" si="63"/>
        <v>0</v>
      </c>
      <c r="T126" s="1940">
        <f t="shared" si="64"/>
        <v>0</v>
      </c>
      <c r="U126" s="1940">
        <f t="shared" si="65"/>
        <v>0</v>
      </c>
      <c r="V126" s="1997"/>
      <c r="W126" s="1997"/>
      <c r="X126" s="1997"/>
      <c r="Y126" s="1997"/>
      <c r="Z126" s="1997"/>
      <c r="AA126" s="1997"/>
      <c r="AB126" s="1997"/>
      <c r="AC126" s="1997"/>
      <c r="AD126" s="1997"/>
      <c r="AE126" s="1997"/>
      <c r="AF126" s="1997"/>
      <c r="AG126" s="1997"/>
      <c r="AH126" s="1997"/>
      <c r="AI126" s="1997"/>
      <c r="AJ126" s="1997"/>
      <c r="AK126" s="1997"/>
      <c r="AL126" s="1997"/>
      <c r="AM126" s="1997"/>
      <c r="AN126" s="1997"/>
      <c r="AO126" s="1997"/>
      <c r="AP126" s="1997"/>
      <c r="AQ126" s="1997"/>
      <c r="AR126" s="1997"/>
      <c r="AS126" s="1997"/>
      <c r="AT126" s="1997"/>
      <c r="AU126" s="1997"/>
      <c r="AV126" s="1997"/>
      <c r="AW126" s="1997"/>
      <c r="AX126" s="1997"/>
      <c r="AY126" s="1997"/>
      <c r="AZ126" s="1997"/>
      <c r="BA126" s="1997"/>
      <c r="BB126" s="1997"/>
      <c r="BC126" s="1997"/>
      <c r="BD126" s="1997"/>
      <c r="BE126" s="1997"/>
      <c r="BF126" s="1997"/>
      <c r="BG126" s="1997"/>
      <c r="BH126" s="1997"/>
      <c r="BI126" s="1997"/>
      <c r="BJ126" s="1997"/>
      <c r="BK126" s="1997"/>
      <c r="BL126" s="1997"/>
      <c r="BM126" s="1997"/>
      <c r="BN126" s="1997"/>
      <c r="BO126" s="1997"/>
      <c r="BP126" s="1997"/>
      <c r="BQ126" s="1997"/>
      <c r="BR126" s="1997"/>
      <c r="BS126" s="1997"/>
      <c r="BT126" s="1997"/>
      <c r="BU126" s="1997"/>
      <c r="BV126" s="1997"/>
      <c r="BW126" s="1997"/>
      <c r="BX126" s="1997"/>
      <c r="BY126" s="1997"/>
      <c r="BZ126" s="1997"/>
      <c r="CA126" s="1997"/>
      <c r="CB126" s="1997"/>
      <c r="CC126" s="1997"/>
      <c r="CD126" s="1997"/>
      <c r="CE126" s="1997"/>
      <c r="CF126" s="1997"/>
      <c r="CG126" s="1997"/>
      <c r="CH126" s="1997"/>
      <c r="CI126" s="1997"/>
      <c r="CJ126" s="1997"/>
      <c r="CK126" s="1997"/>
      <c r="CL126" s="1997"/>
      <c r="CM126" s="1997"/>
      <c r="CN126" s="1997"/>
      <c r="CO126" s="1997"/>
      <c r="CP126" s="1997"/>
      <c r="CQ126" s="1997"/>
      <c r="CR126" s="1997"/>
      <c r="CS126" s="1997"/>
      <c r="CT126" s="1997"/>
      <c r="CU126" s="1997"/>
      <c r="CV126" s="1997"/>
      <c r="CW126" s="1997"/>
      <c r="CX126" s="1997"/>
      <c r="CY126" s="1997"/>
      <c r="CZ126" s="1997"/>
      <c r="DA126" s="1997"/>
      <c r="DB126" s="1997"/>
      <c r="DC126" s="1997"/>
      <c r="DD126" s="1997"/>
      <c r="DE126" s="1997"/>
      <c r="DF126" s="1997"/>
      <c r="DG126" s="1997"/>
      <c r="DH126" s="1997"/>
      <c r="DI126" s="1997"/>
      <c r="DJ126" s="1997"/>
      <c r="DK126" s="1997"/>
      <c r="DL126" s="1997"/>
      <c r="DM126" s="1997"/>
      <c r="DN126" s="1997"/>
      <c r="DO126" s="1997"/>
      <c r="DP126" s="1997"/>
      <c r="DQ126" s="1997"/>
      <c r="DR126" s="1997"/>
      <c r="DS126" s="1997"/>
      <c r="DT126" s="1997"/>
      <c r="DU126" s="1997"/>
      <c r="DV126" s="1997"/>
      <c r="DW126" s="1997"/>
      <c r="DX126" s="1997"/>
      <c r="DY126" s="1997"/>
      <c r="DZ126" s="1997"/>
      <c r="EA126" s="1997"/>
      <c r="EB126" s="1997"/>
      <c r="EC126" s="1997"/>
      <c r="ED126" s="1997"/>
      <c r="EE126" s="1997"/>
      <c r="EF126" s="1997"/>
      <c r="EG126" s="1997"/>
      <c r="EH126" s="1997"/>
      <c r="EI126" s="1997"/>
      <c r="EJ126" s="1997"/>
      <c r="EK126" s="1997"/>
      <c r="EL126" s="1997"/>
      <c r="EM126" s="1997"/>
      <c r="EN126" s="1997"/>
      <c r="EO126" s="1997"/>
      <c r="EP126" s="1997"/>
      <c r="EQ126" s="1997"/>
      <c r="ER126" s="1997"/>
      <c r="ES126" s="1997"/>
      <c r="ET126" s="1997"/>
      <c r="EU126" s="1997"/>
      <c r="EV126" s="1997"/>
      <c r="EW126" s="1997"/>
      <c r="EX126" s="1997"/>
      <c r="EY126" s="1997"/>
      <c r="EZ126" s="1997"/>
      <c r="FA126" s="1997"/>
      <c r="FB126" s="1997"/>
      <c r="FC126" s="1997"/>
      <c r="FD126" s="1997"/>
      <c r="FE126" s="1997"/>
      <c r="FF126" s="1997"/>
      <c r="FG126" s="1997"/>
      <c r="FH126" s="1997"/>
      <c r="FI126" s="1997"/>
      <c r="FJ126" s="1997"/>
      <c r="FK126" s="1997"/>
      <c r="FL126" s="1997"/>
      <c r="FM126" s="1997"/>
      <c r="FN126" s="1997"/>
      <c r="FO126" s="1997"/>
      <c r="FP126" s="1997"/>
      <c r="FQ126" s="1997"/>
      <c r="FR126" s="1997"/>
      <c r="FS126" s="1997"/>
      <c r="FT126" s="1997"/>
      <c r="FU126" s="1997"/>
      <c r="FV126" s="1997"/>
      <c r="FW126" s="1997"/>
      <c r="FX126" s="1997"/>
      <c r="FY126" s="1997"/>
      <c r="FZ126" s="1997"/>
      <c r="GA126" s="1997"/>
      <c r="GB126" s="1997"/>
      <c r="GC126" s="1997"/>
      <c r="GD126" s="1997"/>
      <c r="GE126" s="1997"/>
      <c r="GF126" s="1997"/>
      <c r="GG126" s="1997"/>
      <c r="GH126" s="1997"/>
      <c r="GI126" s="1997"/>
      <c r="GJ126" s="1997"/>
      <c r="GK126" s="1997"/>
      <c r="GL126" s="1997"/>
      <c r="GM126" s="1997"/>
      <c r="GN126" s="1997"/>
      <c r="GO126" s="1997"/>
      <c r="GP126" s="1997"/>
      <c r="GQ126" s="1997"/>
      <c r="GR126" s="1997"/>
      <c r="GS126" s="1997"/>
      <c r="GT126" s="1997"/>
      <c r="GU126" s="1997"/>
      <c r="GV126" s="1997"/>
      <c r="GW126" s="1997"/>
      <c r="GX126" s="1997"/>
      <c r="GY126" s="1997"/>
      <c r="GZ126" s="1997"/>
      <c r="HA126" s="1997"/>
      <c r="HB126" s="1997"/>
      <c r="HC126" s="1997"/>
      <c r="HD126" s="1997"/>
      <c r="HE126" s="1997"/>
      <c r="HF126" s="1997"/>
      <c r="HG126" s="1997"/>
      <c r="HH126" s="1997"/>
      <c r="HI126" s="1997"/>
      <c r="HJ126" s="1997"/>
      <c r="HK126" s="1997"/>
      <c r="HL126" s="1997"/>
      <c r="HM126" s="1997"/>
      <c r="HN126" s="1997"/>
      <c r="HO126" s="1997"/>
      <c r="HP126" s="1997"/>
      <c r="HQ126" s="1997"/>
      <c r="HR126" s="1997"/>
      <c r="HS126" s="1997"/>
      <c r="HT126" s="1997"/>
      <c r="HU126" s="1997"/>
      <c r="HV126" s="1997"/>
      <c r="HW126" s="1997"/>
      <c r="HX126" s="1997"/>
      <c r="HY126" s="1997"/>
      <c r="HZ126" s="1997"/>
      <c r="IA126" s="1997"/>
      <c r="IB126" s="1997"/>
      <c r="IC126" s="1997"/>
      <c r="ID126" s="1997"/>
      <c r="IE126" s="1997"/>
      <c r="IF126" s="1997"/>
      <c r="IG126" s="1997"/>
      <c r="IH126" s="1997"/>
      <c r="II126" s="1997"/>
      <c r="IJ126" s="1997"/>
      <c r="IK126" s="1997"/>
      <c r="IL126" s="1997"/>
      <c r="IM126" s="1997"/>
      <c r="IN126" s="1997"/>
      <c r="IO126" s="1997"/>
      <c r="IP126" s="1997"/>
      <c r="IQ126" s="1997"/>
    </row>
    <row r="127" spans="1:251">
      <c r="A127" s="2021">
        <v>6</v>
      </c>
      <c r="B127" s="2012" t="s">
        <v>544</v>
      </c>
      <c r="C127" s="1995"/>
      <c r="D127" s="2037">
        <f>'штатка школа МШ'!D127</f>
        <v>0</v>
      </c>
      <c r="E127" s="1993"/>
      <c r="F127" s="1996">
        <v>240000</v>
      </c>
      <c r="G127" s="1993">
        <v>4</v>
      </c>
      <c r="H127" s="1940">
        <f t="shared" si="56"/>
        <v>0</v>
      </c>
      <c r="I127" s="1993"/>
      <c r="J127" s="1940">
        <f t="shared" si="57"/>
        <v>0</v>
      </c>
      <c r="K127" s="1993"/>
      <c r="L127" s="1940">
        <f t="shared" si="58"/>
        <v>0</v>
      </c>
      <c r="M127" s="1940">
        <f t="shared" si="59"/>
        <v>0</v>
      </c>
      <c r="N127" s="1940">
        <f t="shared" si="60"/>
        <v>0</v>
      </c>
      <c r="O127" s="1993"/>
      <c r="P127" s="1993">
        <f>F127*D127*1</f>
        <v>0</v>
      </c>
      <c r="Q127" s="1940">
        <f t="shared" si="61"/>
        <v>0</v>
      </c>
      <c r="R127" s="1940">
        <f t="shared" si="62"/>
        <v>0</v>
      </c>
      <c r="S127" s="1940">
        <f t="shared" si="63"/>
        <v>0</v>
      </c>
      <c r="T127" s="1940">
        <f t="shared" si="64"/>
        <v>0</v>
      </c>
      <c r="U127" s="1940">
        <f t="shared" si="65"/>
        <v>0</v>
      </c>
      <c r="V127" s="1997"/>
      <c r="W127" s="1997"/>
      <c r="X127" s="1997"/>
      <c r="Y127" s="1997"/>
      <c r="Z127" s="1997"/>
      <c r="AA127" s="1997"/>
      <c r="AB127" s="1997"/>
      <c r="AC127" s="1997"/>
      <c r="AD127" s="1997"/>
      <c r="AE127" s="1997"/>
      <c r="AF127" s="1997"/>
      <c r="AG127" s="1997"/>
      <c r="AH127" s="1997"/>
      <c r="AI127" s="1997"/>
      <c r="AJ127" s="1997"/>
      <c r="AK127" s="1997"/>
      <c r="AL127" s="1997"/>
      <c r="AM127" s="1997"/>
      <c r="AN127" s="1997"/>
      <c r="AO127" s="1997"/>
      <c r="AP127" s="1997"/>
      <c r="AQ127" s="1997"/>
      <c r="AR127" s="1997"/>
      <c r="AS127" s="1997"/>
      <c r="AT127" s="1997"/>
      <c r="AU127" s="1997"/>
      <c r="AV127" s="1997"/>
      <c r="AW127" s="1997"/>
      <c r="AX127" s="1997"/>
      <c r="AY127" s="1997"/>
      <c r="AZ127" s="1997"/>
      <c r="BA127" s="1997"/>
      <c r="BB127" s="1997"/>
      <c r="BC127" s="1997"/>
      <c r="BD127" s="1997"/>
      <c r="BE127" s="1997"/>
      <c r="BF127" s="1997"/>
      <c r="BG127" s="1997"/>
      <c r="BH127" s="1997"/>
      <c r="BI127" s="1997"/>
      <c r="BJ127" s="1997"/>
      <c r="BK127" s="1997"/>
      <c r="BL127" s="1997"/>
      <c r="BM127" s="1997"/>
      <c r="BN127" s="1997"/>
      <c r="BO127" s="1997"/>
      <c r="BP127" s="1997"/>
      <c r="BQ127" s="1997"/>
      <c r="BR127" s="1997"/>
      <c r="BS127" s="1997"/>
      <c r="BT127" s="1997"/>
      <c r="BU127" s="1997"/>
      <c r="BV127" s="1997"/>
      <c r="BW127" s="1997"/>
      <c r="BX127" s="1997"/>
      <c r="BY127" s="1997"/>
      <c r="BZ127" s="1997"/>
      <c r="CA127" s="1997"/>
      <c r="CB127" s="1997"/>
      <c r="CC127" s="1997"/>
      <c r="CD127" s="1997"/>
      <c r="CE127" s="1997"/>
      <c r="CF127" s="1997"/>
      <c r="CG127" s="1997"/>
      <c r="CH127" s="1997"/>
      <c r="CI127" s="1997"/>
      <c r="CJ127" s="1997"/>
      <c r="CK127" s="1997"/>
      <c r="CL127" s="1997"/>
      <c r="CM127" s="1997"/>
      <c r="CN127" s="1997"/>
      <c r="CO127" s="1997"/>
      <c r="CP127" s="1997"/>
      <c r="CQ127" s="1997"/>
      <c r="CR127" s="1997"/>
      <c r="CS127" s="1997"/>
      <c r="CT127" s="1997"/>
      <c r="CU127" s="1997"/>
      <c r="CV127" s="1997"/>
      <c r="CW127" s="1997"/>
      <c r="CX127" s="1997"/>
      <c r="CY127" s="1997"/>
      <c r="CZ127" s="1997"/>
      <c r="DA127" s="1997"/>
      <c r="DB127" s="1997"/>
      <c r="DC127" s="1997"/>
      <c r="DD127" s="1997"/>
      <c r="DE127" s="1997"/>
      <c r="DF127" s="1997"/>
      <c r="DG127" s="1997"/>
      <c r="DH127" s="1997"/>
      <c r="DI127" s="1997"/>
      <c r="DJ127" s="1997"/>
      <c r="DK127" s="1997"/>
      <c r="DL127" s="1997"/>
      <c r="DM127" s="1997"/>
      <c r="DN127" s="1997"/>
      <c r="DO127" s="1997"/>
      <c r="DP127" s="1997"/>
      <c r="DQ127" s="1997"/>
      <c r="DR127" s="1997"/>
      <c r="DS127" s="1997"/>
      <c r="DT127" s="1997"/>
      <c r="DU127" s="1997"/>
      <c r="DV127" s="1997"/>
      <c r="DW127" s="1997"/>
      <c r="DX127" s="1997"/>
      <c r="DY127" s="1997"/>
      <c r="DZ127" s="1997"/>
      <c r="EA127" s="1997"/>
      <c r="EB127" s="1997"/>
      <c r="EC127" s="1997"/>
      <c r="ED127" s="1997"/>
      <c r="EE127" s="1997"/>
      <c r="EF127" s="1997"/>
      <c r="EG127" s="1997"/>
      <c r="EH127" s="1997"/>
      <c r="EI127" s="1997"/>
      <c r="EJ127" s="1997"/>
      <c r="EK127" s="1997"/>
      <c r="EL127" s="1997"/>
      <c r="EM127" s="1997"/>
      <c r="EN127" s="1997"/>
      <c r="EO127" s="1997"/>
      <c r="EP127" s="1997"/>
      <c r="EQ127" s="1997"/>
      <c r="ER127" s="1997"/>
      <c r="ES127" s="1997"/>
      <c r="ET127" s="1997"/>
      <c r="EU127" s="1997"/>
      <c r="EV127" s="1997"/>
      <c r="EW127" s="1997"/>
      <c r="EX127" s="1997"/>
      <c r="EY127" s="1997"/>
      <c r="EZ127" s="1997"/>
      <c r="FA127" s="1997"/>
      <c r="FB127" s="1997"/>
      <c r="FC127" s="1997"/>
      <c r="FD127" s="1997"/>
      <c r="FE127" s="1997"/>
      <c r="FF127" s="1997"/>
      <c r="FG127" s="1997"/>
      <c r="FH127" s="1997"/>
      <c r="FI127" s="1997"/>
      <c r="FJ127" s="1997"/>
      <c r="FK127" s="1997"/>
      <c r="FL127" s="1997"/>
      <c r="FM127" s="1997"/>
      <c r="FN127" s="1997"/>
      <c r="FO127" s="1997"/>
      <c r="FP127" s="1997"/>
      <c r="FQ127" s="1997"/>
      <c r="FR127" s="1997"/>
      <c r="FS127" s="1997"/>
      <c r="FT127" s="1997"/>
      <c r="FU127" s="1997"/>
      <c r="FV127" s="1997"/>
      <c r="FW127" s="1997"/>
      <c r="FX127" s="1997"/>
      <c r="FY127" s="1997"/>
      <c r="FZ127" s="1997"/>
      <c r="GA127" s="1997"/>
      <c r="GB127" s="1997"/>
      <c r="GC127" s="1997"/>
      <c r="GD127" s="1997"/>
      <c r="GE127" s="1997"/>
      <c r="GF127" s="1997"/>
      <c r="GG127" s="1997"/>
      <c r="GH127" s="1997"/>
      <c r="GI127" s="1997"/>
      <c r="GJ127" s="1997"/>
      <c r="GK127" s="1997"/>
      <c r="GL127" s="1997"/>
      <c r="GM127" s="1997"/>
      <c r="GN127" s="1997"/>
      <c r="GO127" s="1997"/>
      <c r="GP127" s="1997"/>
      <c r="GQ127" s="1997"/>
      <c r="GR127" s="1997"/>
      <c r="GS127" s="1997"/>
      <c r="GT127" s="1997"/>
      <c r="GU127" s="1997"/>
      <c r="GV127" s="1997"/>
      <c r="GW127" s="1997"/>
      <c r="GX127" s="1997"/>
      <c r="GY127" s="1997"/>
      <c r="GZ127" s="1997"/>
      <c r="HA127" s="1997"/>
      <c r="HB127" s="1997"/>
      <c r="HC127" s="1997"/>
      <c r="HD127" s="1997"/>
      <c r="HE127" s="1997"/>
      <c r="HF127" s="1997"/>
      <c r="HG127" s="1997"/>
      <c r="HH127" s="1997"/>
      <c r="HI127" s="1997"/>
      <c r="HJ127" s="1997"/>
      <c r="HK127" s="1997"/>
      <c r="HL127" s="1997"/>
      <c r="HM127" s="1997"/>
      <c r="HN127" s="1997"/>
      <c r="HO127" s="1997"/>
      <c r="HP127" s="1997"/>
      <c r="HQ127" s="1997"/>
      <c r="HR127" s="1997"/>
      <c r="HS127" s="1997"/>
      <c r="HT127" s="1997"/>
      <c r="HU127" s="1997"/>
      <c r="HV127" s="1997"/>
      <c r="HW127" s="1997"/>
      <c r="HX127" s="1997"/>
      <c r="HY127" s="1997"/>
      <c r="HZ127" s="1997"/>
      <c r="IA127" s="1997"/>
      <c r="IB127" s="1997"/>
      <c r="IC127" s="1997"/>
      <c r="ID127" s="1997"/>
      <c r="IE127" s="1997"/>
      <c r="IF127" s="1997"/>
      <c r="IG127" s="1997"/>
      <c r="IH127" s="1997"/>
      <c r="II127" s="1997"/>
      <c r="IJ127" s="1997"/>
      <c r="IK127" s="1997"/>
      <c r="IL127" s="1997"/>
      <c r="IM127" s="1997"/>
      <c r="IN127" s="1997"/>
      <c r="IO127" s="1997"/>
      <c r="IP127" s="1997"/>
      <c r="IQ127" s="1997"/>
    </row>
    <row r="128" spans="1:251">
      <c r="A128" s="2021">
        <v>7</v>
      </c>
      <c r="B128" s="2012" t="s">
        <v>545</v>
      </c>
      <c r="C128" s="1995"/>
      <c r="D128" s="2037">
        <f>'штатка школа МШ'!D128</f>
        <v>0</v>
      </c>
      <c r="E128" s="1993"/>
      <c r="F128" s="1996">
        <f>78000+22000</f>
        <v>100000</v>
      </c>
      <c r="G128" s="1993">
        <v>4</v>
      </c>
      <c r="H128" s="1940">
        <f t="shared" si="56"/>
        <v>0</v>
      </c>
      <c r="I128" s="1993"/>
      <c r="J128" s="1940">
        <f t="shared" si="57"/>
        <v>0</v>
      </c>
      <c r="K128" s="1993"/>
      <c r="L128" s="1940">
        <f t="shared" si="58"/>
        <v>0</v>
      </c>
      <c r="M128" s="1940">
        <f t="shared" si="59"/>
        <v>0</v>
      </c>
      <c r="N128" s="1940">
        <f t="shared" si="60"/>
        <v>0</v>
      </c>
      <c r="O128" s="1993"/>
      <c r="P128" s="1993">
        <f>F128*D128*1</f>
        <v>0</v>
      </c>
      <c r="Q128" s="1940">
        <f t="shared" si="61"/>
        <v>0</v>
      </c>
      <c r="R128" s="1940">
        <f t="shared" si="62"/>
        <v>0</v>
      </c>
      <c r="S128" s="1940">
        <f t="shared" si="63"/>
        <v>0</v>
      </c>
      <c r="T128" s="1940">
        <f t="shared" si="64"/>
        <v>0</v>
      </c>
      <c r="U128" s="1940">
        <f t="shared" si="65"/>
        <v>0</v>
      </c>
      <c r="V128" s="1997"/>
      <c r="W128" s="1997"/>
      <c r="X128" s="1997"/>
      <c r="Y128" s="1997"/>
      <c r="Z128" s="1997"/>
      <c r="AA128" s="1997"/>
      <c r="AB128" s="1997"/>
      <c r="AC128" s="1997"/>
      <c r="AD128" s="1997"/>
      <c r="AE128" s="1997"/>
      <c r="AF128" s="1997"/>
      <c r="AG128" s="1997"/>
      <c r="AH128" s="1997"/>
      <c r="AI128" s="1997"/>
      <c r="AJ128" s="1997"/>
      <c r="AK128" s="1997"/>
      <c r="AL128" s="1997"/>
      <c r="AM128" s="1997"/>
      <c r="AN128" s="1997"/>
      <c r="AO128" s="1997"/>
      <c r="AP128" s="1997"/>
      <c r="AQ128" s="1997"/>
      <c r="AR128" s="1997"/>
      <c r="AS128" s="1997"/>
      <c r="AT128" s="1997"/>
      <c r="AU128" s="1997"/>
      <c r="AV128" s="1997"/>
      <c r="AW128" s="1997"/>
      <c r="AX128" s="1997"/>
      <c r="AY128" s="1997"/>
      <c r="AZ128" s="1997"/>
      <c r="BA128" s="1997"/>
      <c r="BB128" s="1997"/>
      <c r="BC128" s="1997"/>
      <c r="BD128" s="1997"/>
      <c r="BE128" s="1997"/>
      <c r="BF128" s="1997"/>
      <c r="BG128" s="1997"/>
      <c r="BH128" s="1997"/>
      <c r="BI128" s="1997"/>
      <c r="BJ128" s="1997"/>
      <c r="BK128" s="1997"/>
      <c r="BL128" s="1997"/>
      <c r="BM128" s="1997"/>
      <c r="BN128" s="1997"/>
      <c r="BO128" s="1997"/>
      <c r="BP128" s="1997"/>
      <c r="BQ128" s="1997"/>
      <c r="BR128" s="1997"/>
      <c r="BS128" s="1997"/>
      <c r="BT128" s="1997"/>
      <c r="BU128" s="1997"/>
      <c r="BV128" s="1997"/>
      <c r="BW128" s="1997"/>
      <c r="BX128" s="1997"/>
      <c r="BY128" s="1997"/>
      <c r="BZ128" s="1997"/>
      <c r="CA128" s="1997"/>
      <c r="CB128" s="1997"/>
      <c r="CC128" s="1997"/>
      <c r="CD128" s="1997"/>
      <c r="CE128" s="1997"/>
      <c r="CF128" s="1997"/>
      <c r="CG128" s="1997"/>
      <c r="CH128" s="1997"/>
      <c r="CI128" s="1997"/>
      <c r="CJ128" s="1997"/>
      <c r="CK128" s="1997"/>
      <c r="CL128" s="1997"/>
      <c r="CM128" s="1997"/>
      <c r="CN128" s="1997"/>
      <c r="CO128" s="1997"/>
      <c r="CP128" s="1997"/>
      <c r="CQ128" s="1997"/>
      <c r="CR128" s="1997"/>
      <c r="CS128" s="1997"/>
      <c r="CT128" s="1997"/>
      <c r="CU128" s="1997"/>
      <c r="CV128" s="1997"/>
      <c r="CW128" s="1997"/>
      <c r="CX128" s="1997"/>
      <c r="CY128" s="1997"/>
      <c r="CZ128" s="1997"/>
      <c r="DA128" s="1997"/>
      <c r="DB128" s="1997"/>
      <c r="DC128" s="1997"/>
      <c r="DD128" s="1997"/>
      <c r="DE128" s="1997"/>
      <c r="DF128" s="1997"/>
      <c r="DG128" s="1997"/>
      <c r="DH128" s="1997"/>
      <c r="DI128" s="1997"/>
      <c r="DJ128" s="1997"/>
      <c r="DK128" s="1997"/>
      <c r="DL128" s="1997"/>
      <c r="DM128" s="1997"/>
      <c r="DN128" s="1997"/>
      <c r="DO128" s="1997"/>
      <c r="DP128" s="1997"/>
      <c r="DQ128" s="1997"/>
      <c r="DR128" s="1997"/>
      <c r="DS128" s="1997"/>
      <c r="DT128" s="1997"/>
      <c r="DU128" s="1997"/>
      <c r="DV128" s="1997"/>
      <c r="DW128" s="1997"/>
      <c r="DX128" s="1997"/>
      <c r="DY128" s="1997"/>
      <c r="DZ128" s="1997"/>
      <c r="EA128" s="1997"/>
      <c r="EB128" s="1997"/>
      <c r="EC128" s="1997"/>
      <c r="ED128" s="1997"/>
      <c r="EE128" s="1997"/>
      <c r="EF128" s="1997"/>
      <c r="EG128" s="1997"/>
      <c r="EH128" s="1997"/>
      <c r="EI128" s="1997"/>
      <c r="EJ128" s="1997"/>
      <c r="EK128" s="1997"/>
      <c r="EL128" s="1997"/>
      <c r="EM128" s="1997"/>
      <c r="EN128" s="1997"/>
      <c r="EO128" s="1997"/>
      <c r="EP128" s="1997"/>
      <c r="EQ128" s="1997"/>
      <c r="ER128" s="1997"/>
      <c r="ES128" s="1997"/>
      <c r="ET128" s="1997"/>
      <c r="EU128" s="1997"/>
      <c r="EV128" s="1997"/>
      <c r="EW128" s="1997"/>
      <c r="EX128" s="1997"/>
      <c r="EY128" s="1997"/>
      <c r="EZ128" s="1997"/>
      <c r="FA128" s="1997"/>
      <c r="FB128" s="1997"/>
      <c r="FC128" s="1997"/>
      <c r="FD128" s="1997"/>
      <c r="FE128" s="1997"/>
      <c r="FF128" s="1997"/>
      <c r="FG128" s="1997"/>
      <c r="FH128" s="1997"/>
      <c r="FI128" s="1997"/>
      <c r="FJ128" s="1997"/>
      <c r="FK128" s="1997"/>
      <c r="FL128" s="1997"/>
      <c r="FM128" s="1997"/>
      <c r="FN128" s="1997"/>
      <c r="FO128" s="1997"/>
      <c r="FP128" s="1997"/>
      <c r="FQ128" s="1997"/>
      <c r="FR128" s="1997"/>
      <c r="FS128" s="1997"/>
      <c r="FT128" s="1997"/>
      <c r="FU128" s="1997"/>
      <c r="FV128" s="1997"/>
      <c r="FW128" s="1997"/>
      <c r="FX128" s="1997"/>
      <c r="FY128" s="1997"/>
      <c r="FZ128" s="1997"/>
      <c r="GA128" s="1997"/>
      <c r="GB128" s="1997"/>
      <c r="GC128" s="1997"/>
      <c r="GD128" s="1997"/>
      <c r="GE128" s="1997"/>
      <c r="GF128" s="1997"/>
      <c r="GG128" s="1997"/>
      <c r="GH128" s="1997"/>
      <c r="GI128" s="1997"/>
      <c r="GJ128" s="1997"/>
      <c r="GK128" s="1997"/>
      <c r="GL128" s="1997"/>
      <c r="GM128" s="1997"/>
      <c r="GN128" s="1997"/>
      <c r="GO128" s="1997"/>
      <c r="GP128" s="1997"/>
      <c r="GQ128" s="1997"/>
      <c r="GR128" s="1997"/>
      <c r="GS128" s="1997"/>
      <c r="GT128" s="1997"/>
      <c r="GU128" s="1997"/>
      <c r="GV128" s="1997"/>
      <c r="GW128" s="1997"/>
      <c r="GX128" s="1997"/>
      <c r="GY128" s="1997"/>
      <c r="GZ128" s="1997"/>
      <c r="HA128" s="1997"/>
      <c r="HB128" s="1997"/>
      <c r="HC128" s="1997"/>
      <c r="HD128" s="1997"/>
      <c r="HE128" s="1997"/>
      <c r="HF128" s="1997"/>
      <c r="HG128" s="1997"/>
      <c r="HH128" s="1997"/>
      <c r="HI128" s="1997"/>
      <c r="HJ128" s="1997"/>
      <c r="HK128" s="1997"/>
      <c r="HL128" s="1997"/>
      <c r="HM128" s="1997"/>
      <c r="HN128" s="1997"/>
      <c r="HO128" s="1997"/>
      <c r="HP128" s="1997"/>
      <c r="HQ128" s="1997"/>
      <c r="HR128" s="1997"/>
      <c r="HS128" s="1997"/>
      <c r="HT128" s="1997"/>
      <c r="HU128" s="1997"/>
      <c r="HV128" s="1997"/>
      <c r="HW128" s="1997"/>
      <c r="HX128" s="1997"/>
      <c r="HY128" s="1997"/>
      <c r="HZ128" s="1997"/>
      <c r="IA128" s="1997"/>
      <c r="IB128" s="1997"/>
      <c r="IC128" s="1997"/>
      <c r="ID128" s="1997"/>
      <c r="IE128" s="1997"/>
      <c r="IF128" s="1997"/>
      <c r="IG128" s="1997"/>
      <c r="IH128" s="1997"/>
      <c r="II128" s="1997"/>
      <c r="IJ128" s="1997"/>
      <c r="IK128" s="1997"/>
      <c r="IL128" s="1997"/>
      <c r="IM128" s="1997"/>
      <c r="IN128" s="1997"/>
      <c r="IO128" s="1997"/>
      <c r="IP128" s="1997"/>
      <c r="IQ128" s="1997"/>
    </row>
    <row r="129" spans="1:251" hidden="1">
      <c r="A129" s="2021"/>
      <c r="B129" s="2012" t="s">
        <v>986</v>
      </c>
      <c r="C129" s="1995"/>
      <c r="D129" s="2037"/>
      <c r="E129" s="1993"/>
      <c r="F129" s="1996"/>
      <c r="G129" s="1993">
        <v>12</v>
      </c>
      <c r="H129" s="1940">
        <f t="shared" si="56"/>
        <v>0</v>
      </c>
      <c r="I129" s="1993"/>
      <c r="J129" s="1940">
        <f t="shared" si="57"/>
        <v>0</v>
      </c>
      <c r="K129" s="1993"/>
      <c r="L129" s="1940">
        <f t="shared" si="58"/>
        <v>0</v>
      </c>
      <c r="M129" s="1940">
        <f t="shared" si="59"/>
        <v>0</v>
      </c>
      <c r="N129" s="1940">
        <f t="shared" si="60"/>
        <v>0</v>
      </c>
      <c r="O129" s="1993">
        <f t="shared" si="68"/>
        <v>0</v>
      </c>
      <c r="P129" s="1993">
        <f t="shared" si="69"/>
        <v>0</v>
      </c>
      <c r="Q129" s="1940">
        <f t="shared" si="61"/>
        <v>0</v>
      </c>
      <c r="R129" s="1940">
        <f t="shared" si="62"/>
        <v>0</v>
      </c>
      <c r="S129" s="1940">
        <f t="shared" si="63"/>
        <v>0</v>
      </c>
      <c r="T129" s="1940">
        <f t="shared" si="64"/>
        <v>0</v>
      </c>
      <c r="U129" s="1940">
        <f t="shared" si="65"/>
        <v>0</v>
      </c>
      <c r="V129" s="1997"/>
      <c r="W129" s="1997"/>
      <c r="X129" s="1997"/>
      <c r="Y129" s="1997"/>
      <c r="Z129" s="1997"/>
      <c r="AA129" s="1997"/>
      <c r="AB129" s="1997"/>
      <c r="AC129" s="1997"/>
      <c r="AD129" s="1997"/>
      <c r="AE129" s="1997"/>
      <c r="AF129" s="1997"/>
      <c r="AG129" s="1997"/>
      <c r="AH129" s="1997"/>
      <c r="AI129" s="1997"/>
      <c r="AJ129" s="1997"/>
      <c r="AK129" s="1997"/>
      <c r="AL129" s="1997"/>
      <c r="AM129" s="1997"/>
      <c r="AN129" s="1997"/>
      <c r="AO129" s="1997"/>
      <c r="AP129" s="1997"/>
      <c r="AQ129" s="1997"/>
      <c r="AR129" s="1997"/>
      <c r="AS129" s="1997"/>
      <c r="AT129" s="1997"/>
      <c r="AU129" s="1997"/>
      <c r="AV129" s="1997"/>
      <c r="AW129" s="1997"/>
      <c r="AX129" s="1997"/>
      <c r="AY129" s="1997"/>
      <c r="AZ129" s="1997"/>
      <c r="BA129" s="1997"/>
      <c r="BB129" s="1997"/>
      <c r="BC129" s="1997"/>
      <c r="BD129" s="1997"/>
      <c r="BE129" s="1997"/>
      <c r="BF129" s="1997"/>
      <c r="BG129" s="1997"/>
      <c r="BH129" s="1997"/>
      <c r="BI129" s="1997"/>
      <c r="BJ129" s="1997"/>
      <c r="BK129" s="1997"/>
      <c r="BL129" s="1997"/>
      <c r="BM129" s="1997"/>
      <c r="BN129" s="1997"/>
      <c r="BO129" s="1997"/>
      <c r="BP129" s="1997"/>
      <c r="BQ129" s="1997"/>
      <c r="BR129" s="1997"/>
      <c r="BS129" s="1997"/>
      <c r="BT129" s="1997"/>
      <c r="BU129" s="1997"/>
      <c r="BV129" s="1997"/>
      <c r="BW129" s="1997"/>
      <c r="BX129" s="1997"/>
      <c r="BY129" s="1997"/>
      <c r="BZ129" s="1997"/>
      <c r="CA129" s="1997"/>
      <c r="CB129" s="1997"/>
      <c r="CC129" s="1997"/>
      <c r="CD129" s="1997"/>
      <c r="CE129" s="1997"/>
      <c r="CF129" s="1997"/>
      <c r="CG129" s="1997"/>
      <c r="CH129" s="1997"/>
      <c r="CI129" s="1997"/>
      <c r="CJ129" s="1997"/>
      <c r="CK129" s="1997"/>
      <c r="CL129" s="1997"/>
      <c r="CM129" s="1997"/>
      <c r="CN129" s="1997"/>
      <c r="CO129" s="1997"/>
      <c r="CP129" s="1997"/>
      <c r="CQ129" s="1997"/>
      <c r="CR129" s="1997"/>
      <c r="CS129" s="1997"/>
      <c r="CT129" s="1997"/>
      <c r="CU129" s="1997"/>
      <c r="CV129" s="1997"/>
      <c r="CW129" s="1997"/>
      <c r="CX129" s="1997"/>
      <c r="CY129" s="1997"/>
      <c r="CZ129" s="1997"/>
      <c r="DA129" s="1997"/>
      <c r="DB129" s="1997"/>
      <c r="DC129" s="1997"/>
      <c r="DD129" s="1997"/>
      <c r="DE129" s="1997"/>
      <c r="DF129" s="1997"/>
      <c r="DG129" s="1997"/>
      <c r="DH129" s="1997"/>
      <c r="DI129" s="1997"/>
      <c r="DJ129" s="1997"/>
      <c r="DK129" s="1997"/>
      <c r="DL129" s="1997"/>
      <c r="DM129" s="1997"/>
      <c r="DN129" s="1997"/>
      <c r="DO129" s="1997"/>
      <c r="DP129" s="1997"/>
      <c r="DQ129" s="1997"/>
      <c r="DR129" s="1997"/>
      <c r="DS129" s="1997"/>
      <c r="DT129" s="1997"/>
      <c r="DU129" s="1997"/>
      <c r="DV129" s="1997"/>
      <c r="DW129" s="1997"/>
      <c r="DX129" s="1997"/>
      <c r="DY129" s="1997"/>
      <c r="DZ129" s="1997"/>
      <c r="EA129" s="1997"/>
      <c r="EB129" s="1997"/>
      <c r="EC129" s="1997"/>
      <c r="ED129" s="1997"/>
      <c r="EE129" s="1997"/>
      <c r="EF129" s="1997"/>
      <c r="EG129" s="1997"/>
      <c r="EH129" s="1997"/>
      <c r="EI129" s="1997"/>
      <c r="EJ129" s="1997"/>
      <c r="EK129" s="1997"/>
      <c r="EL129" s="1997"/>
      <c r="EM129" s="1997"/>
      <c r="EN129" s="1997"/>
      <c r="EO129" s="1997"/>
      <c r="EP129" s="1997"/>
      <c r="EQ129" s="1997"/>
      <c r="ER129" s="1997"/>
      <c r="ES129" s="1997"/>
      <c r="ET129" s="1997"/>
      <c r="EU129" s="1997"/>
      <c r="EV129" s="1997"/>
      <c r="EW129" s="1997"/>
      <c r="EX129" s="1997"/>
      <c r="EY129" s="1997"/>
      <c r="EZ129" s="1997"/>
      <c r="FA129" s="1997"/>
      <c r="FB129" s="1997"/>
      <c r="FC129" s="1997"/>
      <c r="FD129" s="1997"/>
      <c r="FE129" s="1997"/>
      <c r="FF129" s="1997"/>
      <c r="FG129" s="1997"/>
      <c r="FH129" s="1997"/>
      <c r="FI129" s="1997"/>
      <c r="FJ129" s="1997"/>
      <c r="FK129" s="1997"/>
      <c r="FL129" s="1997"/>
      <c r="FM129" s="1997"/>
      <c r="FN129" s="1997"/>
      <c r="FO129" s="1997"/>
      <c r="FP129" s="1997"/>
      <c r="FQ129" s="1997"/>
      <c r="FR129" s="1997"/>
      <c r="FS129" s="1997"/>
      <c r="FT129" s="1997"/>
      <c r="FU129" s="1997"/>
      <c r="FV129" s="1997"/>
      <c r="FW129" s="1997"/>
      <c r="FX129" s="1997"/>
      <c r="FY129" s="1997"/>
      <c r="FZ129" s="1997"/>
      <c r="GA129" s="1997"/>
      <c r="GB129" s="1997"/>
      <c r="GC129" s="1997"/>
      <c r="GD129" s="1997"/>
      <c r="GE129" s="1997"/>
      <c r="GF129" s="1997"/>
      <c r="GG129" s="1997"/>
      <c r="GH129" s="1997"/>
      <c r="GI129" s="1997"/>
      <c r="GJ129" s="1997"/>
      <c r="GK129" s="1997"/>
      <c r="GL129" s="1997"/>
      <c r="GM129" s="1997"/>
      <c r="GN129" s="1997"/>
      <c r="GO129" s="1997"/>
      <c r="GP129" s="1997"/>
      <c r="GQ129" s="1997"/>
      <c r="GR129" s="1997"/>
      <c r="GS129" s="1997"/>
      <c r="GT129" s="1997"/>
      <c r="GU129" s="1997"/>
      <c r="GV129" s="1997"/>
      <c r="GW129" s="1997"/>
      <c r="GX129" s="1997"/>
      <c r="GY129" s="1997"/>
      <c r="GZ129" s="1997"/>
      <c r="HA129" s="1997"/>
      <c r="HB129" s="1997"/>
      <c r="HC129" s="1997"/>
      <c r="HD129" s="1997"/>
      <c r="HE129" s="1997"/>
      <c r="HF129" s="1997"/>
      <c r="HG129" s="1997"/>
      <c r="HH129" s="1997"/>
      <c r="HI129" s="1997"/>
      <c r="HJ129" s="1997"/>
      <c r="HK129" s="1997"/>
      <c r="HL129" s="1997"/>
      <c r="HM129" s="1997"/>
      <c r="HN129" s="1997"/>
      <c r="HO129" s="1997"/>
      <c r="HP129" s="1997"/>
      <c r="HQ129" s="1997"/>
      <c r="HR129" s="1997"/>
      <c r="HS129" s="1997"/>
      <c r="HT129" s="1997"/>
      <c r="HU129" s="1997"/>
      <c r="HV129" s="1997"/>
      <c r="HW129" s="1997"/>
      <c r="HX129" s="1997"/>
      <c r="HY129" s="1997"/>
      <c r="HZ129" s="1997"/>
      <c r="IA129" s="1997"/>
      <c r="IB129" s="1997"/>
      <c r="IC129" s="1997"/>
      <c r="ID129" s="1997"/>
      <c r="IE129" s="1997"/>
      <c r="IF129" s="1997"/>
      <c r="IG129" s="1997"/>
      <c r="IH129" s="1997"/>
      <c r="II129" s="1997"/>
      <c r="IJ129" s="1997"/>
      <c r="IK129" s="1997"/>
      <c r="IL129" s="1997"/>
      <c r="IM129" s="1997"/>
      <c r="IN129" s="1997"/>
      <c r="IO129" s="1997"/>
      <c r="IP129" s="1997"/>
      <c r="IQ129" s="1997"/>
    </row>
    <row r="130" spans="1:251">
      <c r="A130" s="2021">
        <v>8</v>
      </c>
      <c r="B130" s="2012" t="s">
        <v>546</v>
      </c>
      <c r="C130" s="1995"/>
      <c r="D130" s="2037">
        <f>'штатка школа МШ'!D130</f>
        <v>0</v>
      </c>
      <c r="E130" s="1993"/>
      <c r="F130" s="1996">
        <f>72000+28000</f>
        <v>100000</v>
      </c>
      <c r="G130" s="1993">
        <v>4</v>
      </c>
      <c r="H130" s="1940">
        <f t="shared" si="56"/>
        <v>0</v>
      </c>
      <c r="I130" s="1993"/>
      <c r="J130" s="1940">
        <f t="shared" si="57"/>
        <v>0</v>
      </c>
      <c r="K130" s="1993"/>
      <c r="L130" s="1940">
        <f t="shared" si="58"/>
        <v>0</v>
      </c>
      <c r="M130" s="1940">
        <f t="shared" si="59"/>
        <v>0</v>
      </c>
      <c r="N130" s="1940">
        <f t="shared" si="60"/>
        <v>0</v>
      </c>
      <c r="O130" s="1993"/>
      <c r="P130" s="1993">
        <f>F130*D130*1</f>
        <v>0</v>
      </c>
      <c r="Q130" s="1940">
        <f t="shared" si="61"/>
        <v>0</v>
      </c>
      <c r="R130" s="1940">
        <f t="shared" si="62"/>
        <v>0</v>
      </c>
      <c r="S130" s="1940">
        <f t="shared" si="63"/>
        <v>0</v>
      </c>
      <c r="T130" s="1940">
        <f t="shared" si="64"/>
        <v>0</v>
      </c>
      <c r="U130" s="1940">
        <f t="shared" si="65"/>
        <v>0</v>
      </c>
      <c r="V130" s="1997"/>
      <c r="W130" s="1997"/>
      <c r="X130" s="1997"/>
      <c r="Y130" s="1997"/>
      <c r="Z130" s="1997"/>
      <c r="AA130" s="1997"/>
      <c r="AB130" s="1997"/>
      <c r="AC130" s="1997"/>
      <c r="AD130" s="1997"/>
      <c r="AE130" s="1997"/>
      <c r="AF130" s="1997"/>
      <c r="AG130" s="1997"/>
      <c r="AH130" s="1997"/>
      <c r="AI130" s="1997"/>
      <c r="AJ130" s="1997"/>
      <c r="AK130" s="1997"/>
      <c r="AL130" s="1997"/>
      <c r="AM130" s="1997"/>
      <c r="AN130" s="1997"/>
      <c r="AO130" s="1997"/>
      <c r="AP130" s="1997"/>
      <c r="AQ130" s="1997"/>
      <c r="AR130" s="1997"/>
      <c r="AS130" s="1997"/>
      <c r="AT130" s="1997"/>
      <c r="AU130" s="1997"/>
      <c r="AV130" s="1997"/>
      <c r="AW130" s="1997"/>
      <c r="AX130" s="1997"/>
      <c r="AY130" s="1997"/>
      <c r="AZ130" s="1997"/>
      <c r="BA130" s="1997"/>
      <c r="BB130" s="1997"/>
      <c r="BC130" s="1997"/>
      <c r="BD130" s="1997"/>
      <c r="BE130" s="1997"/>
      <c r="BF130" s="1997"/>
      <c r="BG130" s="1997"/>
      <c r="BH130" s="1997"/>
      <c r="BI130" s="1997"/>
      <c r="BJ130" s="1997"/>
      <c r="BK130" s="1997"/>
      <c r="BL130" s="1997"/>
      <c r="BM130" s="1997"/>
      <c r="BN130" s="1997"/>
      <c r="BO130" s="1997"/>
      <c r="BP130" s="1997"/>
      <c r="BQ130" s="1997"/>
      <c r="BR130" s="1997"/>
      <c r="BS130" s="1997"/>
      <c r="BT130" s="1997"/>
      <c r="BU130" s="1997"/>
      <c r="BV130" s="1997"/>
      <c r="BW130" s="1997"/>
      <c r="BX130" s="1997"/>
      <c r="BY130" s="1997"/>
      <c r="BZ130" s="1997"/>
      <c r="CA130" s="1997"/>
      <c r="CB130" s="1997"/>
      <c r="CC130" s="1997"/>
      <c r="CD130" s="1997"/>
      <c r="CE130" s="1997"/>
      <c r="CF130" s="1997"/>
      <c r="CG130" s="1997"/>
      <c r="CH130" s="1997"/>
      <c r="CI130" s="1997"/>
      <c r="CJ130" s="1997"/>
      <c r="CK130" s="1997"/>
      <c r="CL130" s="1997"/>
      <c r="CM130" s="1997"/>
      <c r="CN130" s="1997"/>
      <c r="CO130" s="1997"/>
      <c r="CP130" s="1997"/>
      <c r="CQ130" s="1997"/>
      <c r="CR130" s="1997"/>
      <c r="CS130" s="1997"/>
      <c r="CT130" s="1997"/>
      <c r="CU130" s="1997"/>
      <c r="CV130" s="1997"/>
      <c r="CW130" s="1997"/>
      <c r="CX130" s="1997"/>
      <c r="CY130" s="1997"/>
      <c r="CZ130" s="1997"/>
      <c r="DA130" s="1997"/>
      <c r="DB130" s="1997"/>
      <c r="DC130" s="1997"/>
      <c r="DD130" s="1997"/>
      <c r="DE130" s="1997"/>
      <c r="DF130" s="1997"/>
      <c r="DG130" s="1997"/>
      <c r="DH130" s="1997"/>
      <c r="DI130" s="1997"/>
      <c r="DJ130" s="1997"/>
      <c r="DK130" s="1997"/>
      <c r="DL130" s="1997"/>
      <c r="DM130" s="1997"/>
      <c r="DN130" s="1997"/>
      <c r="DO130" s="1997"/>
      <c r="DP130" s="1997"/>
      <c r="DQ130" s="1997"/>
      <c r="DR130" s="1997"/>
      <c r="DS130" s="1997"/>
      <c r="DT130" s="1997"/>
      <c r="DU130" s="1997"/>
      <c r="DV130" s="1997"/>
      <c r="DW130" s="1997"/>
      <c r="DX130" s="1997"/>
      <c r="DY130" s="1997"/>
      <c r="DZ130" s="1997"/>
      <c r="EA130" s="1997"/>
      <c r="EB130" s="1997"/>
      <c r="EC130" s="1997"/>
      <c r="ED130" s="1997"/>
      <c r="EE130" s="1997"/>
      <c r="EF130" s="1997"/>
      <c r="EG130" s="1997"/>
      <c r="EH130" s="1997"/>
      <c r="EI130" s="1997"/>
      <c r="EJ130" s="1997"/>
      <c r="EK130" s="1997"/>
      <c r="EL130" s="1997"/>
      <c r="EM130" s="1997"/>
      <c r="EN130" s="1997"/>
      <c r="EO130" s="1997"/>
      <c r="EP130" s="1997"/>
      <c r="EQ130" s="1997"/>
      <c r="ER130" s="1997"/>
      <c r="ES130" s="1997"/>
      <c r="ET130" s="1997"/>
      <c r="EU130" s="1997"/>
      <c r="EV130" s="1997"/>
      <c r="EW130" s="1997"/>
      <c r="EX130" s="1997"/>
      <c r="EY130" s="1997"/>
      <c r="EZ130" s="1997"/>
      <c r="FA130" s="1997"/>
      <c r="FB130" s="1997"/>
      <c r="FC130" s="1997"/>
      <c r="FD130" s="1997"/>
      <c r="FE130" s="1997"/>
      <c r="FF130" s="1997"/>
      <c r="FG130" s="1997"/>
      <c r="FH130" s="1997"/>
      <c r="FI130" s="1997"/>
      <c r="FJ130" s="1997"/>
      <c r="FK130" s="1997"/>
      <c r="FL130" s="1997"/>
      <c r="FM130" s="1997"/>
      <c r="FN130" s="1997"/>
      <c r="FO130" s="1997"/>
      <c r="FP130" s="1997"/>
      <c r="FQ130" s="1997"/>
      <c r="FR130" s="1997"/>
      <c r="FS130" s="1997"/>
      <c r="FT130" s="1997"/>
      <c r="FU130" s="1997"/>
      <c r="FV130" s="1997"/>
      <c r="FW130" s="1997"/>
      <c r="FX130" s="1997"/>
      <c r="FY130" s="1997"/>
      <c r="FZ130" s="1997"/>
      <c r="GA130" s="1997"/>
      <c r="GB130" s="1997"/>
      <c r="GC130" s="1997"/>
      <c r="GD130" s="1997"/>
      <c r="GE130" s="1997"/>
      <c r="GF130" s="1997"/>
      <c r="GG130" s="1997"/>
      <c r="GH130" s="1997"/>
      <c r="GI130" s="1997"/>
      <c r="GJ130" s="1997"/>
      <c r="GK130" s="1997"/>
      <c r="GL130" s="1997"/>
      <c r="GM130" s="1997"/>
      <c r="GN130" s="1997"/>
      <c r="GO130" s="1997"/>
      <c r="GP130" s="1997"/>
      <c r="GQ130" s="1997"/>
      <c r="GR130" s="1997"/>
      <c r="GS130" s="1997"/>
      <c r="GT130" s="1997"/>
      <c r="GU130" s="1997"/>
      <c r="GV130" s="1997"/>
      <c r="GW130" s="1997"/>
      <c r="GX130" s="1997"/>
      <c r="GY130" s="1997"/>
      <c r="GZ130" s="1997"/>
      <c r="HA130" s="1997"/>
      <c r="HB130" s="1997"/>
      <c r="HC130" s="1997"/>
      <c r="HD130" s="1997"/>
      <c r="HE130" s="1997"/>
      <c r="HF130" s="1997"/>
      <c r="HG130" s="1997"/>
      <c r="HH130" s="1997"/>
      <c r="HI130" s="1997"/>
      <c r="HJ130" s="1997"/>
      <c r="HK130" s="1997"/>
      <c r="HL130" s="1997"/>
      <c r="HM130" s="1997"/>
      <c r="HN130" s="1997"/>
      <c r="HO130" s="1997"/>
      <c r="HP130" s="1997"/>
      <c r="HQ130" s="1997"/>
      <c r="HR130" s="1997"/>
      <c r="HS130" s="1997"/>
      <c r="HT130" s="1997"/>
      <c r="HU130" s="1997"/>
      <c r="HV130" s="1997"/>
      <c r="HW130" s="1997"/>
      <c r="HX130" s="1997"/>
      <c r="HY130" s="1997"/>
      <c r="HZ130" s="1997"/>
      <c r="IA130" s="1997"/>
      <c r="IB130" s="1997"/>
      <c r="IC130" s="1997"/>
      <c r="ID130" s="1997"/>
      <c r="IE130" s="1997"/>
      <c r="IF130" s="1997"/>
      <c r="IG130" s="1997"/>
      <c r="IH130" s="1997"/>
      <c r="II130" s="1997"/>
      <c r="IJ130" s="1997"/>
      <c r="IK130" s="1997"/>
      <c r="IL130" s="1997"/>
      <c r="IM130" s="1997"/>
      <c r="IN130" s="1997"/>
      <c r="IO130" s="1997"/>
      <c r="IP130" s="1997"/>
      <c r="IQ130" s="1997"/>
    </row>
    <row r="131" spans="1:251">
      <c r="A131" s="1999"/>
      <c r="B131" s="2000"/>
      <c r="C131" s="2000"/>
      <c r="D131" s="2000"/>
      <c r="E131" s="1999"/>
      <c r="F131" s="1999"/>
      <c r="G131" s="1999"/>
      <c r="H131" s="1999"/>
      <c r="I131" s="1999"/>
      <c r="J131" s="1999"/>
      <c r="K131" s="1999"/>
      <c r="L131" s="1999"/>
      <c r="M131" s="1999"/>
      <c r="N131" s="1999"/>
      <c r="O131" s="1999"/>
      <c r="P131" s="1999"/>
      <c r="Q131" s="1999"/>
      <c r="R131" s="1997"/>
      <c r="S131" s="1997"/>
      <c r="T131" s="1997"/>
      <c r="U131" s="1997"/>
      <c r="V131" s="1997"/>
      <c r="W131" s="1997"/>
      <c r="X131" s="1997"/>
      <c r="Y131" s="1997"/>
      <c r="Z131" s="1997"/>
      <c r="AA131" s="1997"/>
      <c r="AB131" s="1997"/>
      <c r="AC131" s="1997"/>
      <c r="AD131" s="1997"/>
      <c r="AE131" s="1997"/>
      <c r="AF131" s="1997"/>
      <c r="AG131" s="1997"/>
      <c r="AH131" s="1997"/>
      <c r="AI131" s="1997"/>
      <c r="AJ131" s="1997"/>
      <c r="AK131" s="1997"/>
      <c r="AL131" s="1997"/>
      <c r="AM131" s="1997"/>
      <c r="AN131" s="1997"/>
      <c r="AO131" s="1997"/>
      <c r="AP131" s="1997"/>
      <c r="AQ131" s="1997"/>
      <c r="AR131" s="1997"/>
      <c r="AS131" s="1997"/>
      <c r="AT131" s="1997"/>
      <c r="AU131" s="1997"/>
      <c r="AV131" s="1997"/>
      <c r="AW131" s="1997"/>
      <c r="AX131" s="1997"/>
      <c r="AY131" s="1997"/>
      <c r="AZ131" s="1997"/>
      <c r="BA131" s="1997"/>
      <c r="BB131" s="1997"/>
      <c r="BC131" s="1997"/>
      <c r="BD131" s="1997"/>
      <c r="BE131" s="1997"/>
      <c r="BF131" s="1997"/>
      <c r="BG131" s="1997"/>
      <c r="BH131" s="1997"/>
      <c r="BI131" s="1997"/>
      <c r="BJ131" s="1997"/>
      <c r="BK131" s="1997"/>
      <c r="BL131" s="1997"/>
      <c r="BM131" s="1997"/>
      <c r="BN131" s="1997"/>
      <c r="BO131" s="1997"/>
      <c r="BP131" s="1997"/>
      <c r="BQ131" s="1997"/>
      <c r="BR131" s="1997"/>
      <c r="BS131" s="1997"/>
      <c r="BT131" s="1997"/>
      <c r="BU131" s="1997"/>
      <c r="BV131" s="1997"/>
      <c r="BW131" s="1997"/>
      <c r="BX131" s="1997"/>
      <c r="BY131" s="1997"/>
      <c r="BZ131" s="1997"/>
      <c r="CA131" s="1997"/>
      <c r="CB131" s="1997"/>
      <c r="CC131" s="1997"/>
      <c r="CD131" s="1997"/>
      <c r="CE131" s="1997"/>
      <c r="CF131" s="1997"/>
      <c r="CG131" s="1997"/>
      <c r="CH131" s="1997"/>
      <c r="CI131" s="1997"/>
      <c r="CJ131" s="1997"/>
      <c r="CK131" s="1997"/>
      <c r="CL131" s="1997"/>
      <c r="CM131" s="1997"/>
      <c r="CN131" s="1997"/>
      <c r="CO131" s="1997"/>
      <c r="CP131" s="1997"/>
      <c r="CQ131" s="1997"/>
      <c r="CR131" s="1997"/>
      <c r="CS131" s="1997"/>
      <c r="CT131" s="1997"/>
      <c r="CU131" s="1997"/>
      <c r="CV131" s="1997"/>
      <c r="CW131" s="1997"/>
      <c r="CX131" s="1997"/>
      <c r="CY131" s="1997"/>
      <c r="CZ131" s="1997"/>
      <c r="DA131" s="1997"/>
      <c r="DB131" s="1997"/>
      <c r="DC131" s="1997"/>
      <c r="DD131" s="1997"/>
      <c r="DE131" s="1997"/>
      <c r="DF131" s="1997"/>
      <c r="DG131" s="1997"/>
      <c r="DH131" s="1997"/>
      <c r="DI131" s="1997"/>
      <c r="DJ131" s="1997"/>
      <c r="DK131" s="1997"/>
      <c r="DL131" s="1997"/>
      <c r="DM131" s="1997"/>
      <c r="DN131" s="1997"/>
      <c r="DO131" s="1997"/>
      <c r="DP131" s="1997"/>
      <c r="DQ131" s="1997"/>
      <c r="DR131" s="1997"/>
      <c r="DS131" s="1997"/>
      <c r="DT131" s="1997"/>
      <c r="DU131" s="1997"/>
      <c r="DV131" s="1997"/>
      <c r="DW131" s="1997"/>
      <c r="DX131" s="1997"/>
      <c r="DY131" s="1997"/>
      <c r="DZ131" s="1997"/>
      <c r="EA131" s="1997"/>
      <c r="EB131" s="1997"/>
      <c r="EC131" s="1997"/>
      <c r="ED131" s="1997"/>
      <c r="EE131" s="1997"/>
      <c r="EF131" s="1997"/>
      <c r="EG131" s="1997"/>
      <c r="EH131" s="1997"/>
      <c r="EI131" s="1997"/>
      <c r="EJ131" s="1997"/>
      <c r="EK131" s="1997"/>
      <c r="EL131" s="1997"/>
      <c r="EM131" s="1997"/>
      <c r="EN131" s="1997"/>
      <c r="EO131" s="1997"/>
      <c r="EP131" s="1997"/>
      <c r="EQ131" s="1997"/>
      <c r="ER131" s="1997"/>
      <c r="ES131" s="1997"/>
      <c r="ET131" s="1997"/>
      <c r="EU131" s="1997"/>
      <c r="EV131" s="1997"/>
      <c r="EW131" s="1997"/>
      <c r="EX131" s="1997"/>
      <c r="EY131" s="1997"/>
      <c r="EZ131" s="1997"/>
      <c r="FA131" s="1997"/>
      <c r="FB131" s="1997"/>
      <c r="FC131" s="1997"/>
      <c r="FD131" s="1997"/>
      <c r="FE131" s="1997"/>
      <c r="FF131" s="1997"/>
      <c r="FG131" s="1997"/>
      <c r="FH131" s="1997"/>
      <c r="FI131" s="1997"/>
      <c r="FJ131" s="1997"/>
      <c r="FK131" s="1997"/>
      <c r="FL131" s="1997"/>
      <c r="FM131" s="1997"/>
      <c r="FN131" s="1997"/>
      <c r="FO131" s="1997"/>
      <c r="FP131" s="1997"/>
      <c r="FQ131" s="1997"/>
      <c r="FR131" s="1997"/>
      <c r="FS131" s="1997"/>
      <c r="FT131" s="1997"/>
      <c r="FU131" s="1997"/>
      <c r="FV131" s="1997"/>
      <c r="FW131" s="1997"/>
      <c r="FX131" s="1997"/>
      <c r="FY131" s="1997"/>
      <c r="FZ131" s="1997"/>
      <c r="GA131" s="1997"/>
      <c r="GB131" s="1997"/>
      <c r="GC131" s="1997"/>
      <c r="GD131" s="1997"/>
      <c r="GE131" s="1997"/>
      <c r="GF131" s="1997"/>
      <c r="GG131" s="1997"/>
      <c r="GH131" s="1997"/>
      <c r="GI131" s="1997"/>
      <c r="GJ131" s="1997"/>
      <c r="GK131" s="1997"/>
      <c r="GL131" s="1997"/>
      <c r="GM131" s="1997"/>
      <c r="GN131" s="1997"/>
      <c r="GO131" s="1997"/>
      <c r="GP131" s="1997"/>
      <c r="GQ131" s="1997"/>
      <c r="GR131" s="1997"/>
      <c r="GS131" s="1997"/>
      <c r="GT131" s="1997"/>
      <c r="GU131" s="1997"/>
      <c r="GV131" s="1997"/>
      <c r="GW131" s="1997"/>
      <c r="GX131" s="1997"/>
      <c r="GY131" s="1997"/>
      <c r="GZ131" s="1997"/>
      <c r="HA131" s="1997"/>
      <c r="HB131" s="1997"/>
      <c r="HC131" s="1997"/>
      <c r="HD131" s="1997"/>
      <c r="HE131" s="1997"/>
      <c r="HF131" s="1997"/>
      <c r="HG131" s="1997"/>
      <c r="HH131" s="1997"/>
      <c r="HI131" s="1997"/>
      <c r="HJ131" s="1997"/>
      <c r="HK131" s="1997"/>
      <c r="HL131" s="1997"/>
      <c r="HM131" s="1997"/>
      <c r="HN131" s="1997"/>
      <c r="HO131" s="1997"/>
      <c r="HP131" s="1997"/>
      <c r="HQ131" s="1997"/>
      <c r="HR131" s="1997"/>
      <c r="HS131" s="1997"/>
      <c r="HT131" s="1997"/>
      <c r="HU131" s="1997"/>
      <c r="HV131" s="1997"/>
      <c r="HW131" s="1997"/>
      <c r="HX131" s="1997"/>
      <c r="HY131" s="1997"/>
      <c r="HZ131" s="1997"/>
      <c r="IA131" s="1997"/>
      <c r="IB131" s="1997"/>
      <c r="IC131" s="1997"/>
      <c r="ID131" s="1997"/>
      <c r="IE131" s="1997"/>
      <c r="IF131" s="1997"/>
      <c r="IG131" s="1997"/>
      <c r="IH131" s="1997"/>
      <c r="II131" s="1997"/>
      <c r="IJ131" s="1997"/>
      <c r="IK131" s="1997"/>
      <c r="IL131" s="1997"/>
      <c r="IM131" s="1997"/>
      <c r="IN131" s="1997"/>
      <c r="IO131" s="1997"/>
      <c r="IP131" s="1997"/>
      <c r="IQ131" s="1997"/>
    </row>
    <row r="132" spans="1:251" ht="15.75">
      <c r="B132" s="2042" t="s">
        <v>368</v>
      </c>
      <c r="C132" s="2002"/>
      <c r="D132" s="2002"/>
      <c r="E132" s="2003"/>
      <c r="F132" s="2004"/>
      <c r="G132" s="2005"/>
      <c r="H132" s="2005"/>
      <c r="I132" s="2005"/>
      <c r="J132" s="2003"/>
      <c r="K132" s="2005"/>
      <c r="L132" s="2005"/>
      <c r="M132" s="3813"/>
      <c r="N132" s="3813"/>
      <c r="O132" s="2006"/>
      <c r="P132" s="2006"/>
      <c r="Q132" s="2006"/>
      <c r="R132" s="1933"/>
      <c r="S132" s="1933"/>
      <c r="T132" s="1933"/>
      <c r="U132" s="1933"/>
    </row>
    <row r="133" spans="1:251" ht="15.75">
      <c r="B133" s="2042" t="s">
        <v>370</v>
      </c>
      <c r="C133" s="2002"/>
      <c r="D133" s="2002"/>
      <c r="E133" s="2003"/>
      <c r="F133" s="2004"/>
      <c r="G133" s="2005"/>
      <c r="H133" s="2042" t="s">
        <v>371</v>
      </c>
      <c r="I133" s="2005"/>
      <c r="J133" s="2003"/>
      <c r="K133" s="2005"/>
      <c r="L133" s="2005"/>
      <c r="M133" s="1932"/>
      <c r="N133" s="1932"/>
      <c r="O133" s="2006"/>
      <c r="P133" s="2006"/>
      <c r="Q133" s="2006"/>
      <c r="R133" s="1933"/>
      <c r="S133" s="1933"/>
      <c r="T133" s="1933"/>
      <c r="U133" s="1933"/>
    </row>
    <row r="134" spans="1:251" ht="15.75">
      <c r="B134" s="2042"/>
      <c r="C134" s="2008"/>
      <c r="D134" s="2009"/>
      <c r="E134" s="2007"/>
      <c r="F134" s="2004"/>
      <c r="G134" s="2005"/>
      <c r="H134" s="2042"/>
      <c r="I134" s="2005"/>
      <c r="K134" s="2005"/>
      <c r="L134" s="2005"/>
      <c r="M134" s="1932"/>
      <c r="N134" s="1932"/>
      <c r="O134" s="2006"/>
      <c r="P134" s="2006"/>
      <c r="Q134" s="2006"/>
      <c r="R134" s="1933"/>
      <c r="S134" s="1933"/>
      <c r="T134" s="1933"/>
      <c r="U134" s="1933"/>
    </row>
    <row r="135" spans="1:251" ht="15.75">
      <c r="B135" s="2042" t="s">
        <v>372</v>
      </c>
      <c r="C135" s="2008"/>
      <c r="D135" s="2009"/>
      <c r="E135" s="2007"/>
      <c r="F135" s="2004"/>
      <c r="G135" s="2005"/>
      <c r="H135" s="2042" t="s">
        <v>373</v>
      </c>
      <c r="I135" s="2005"/>
      <c r="J135" s="2007"/>
      <c r="K135" s="2005"/>
      <c r="L135" s="2005"/>
      <c r="M135" s="1932"/>
      <c r="N135" s="1932"/>
      <c r="O135" s="1933"/>
      <c r="P135" s="1933"/>
      <c r="Q135" s="1933"/>
      <c r="R135" s="1933"/>
      <c r="S135" s="1933"/>
      <c r="T135" s="1933"/>
      <c r="U135" s="1933"/>
    </row>
    <row r="136" spans="1:251" ht="15.75">
      <c r="B136" s="2042"/>
      <c r="C136" s="2008"/>
      <c r="D136" s="2009"/>
      <c r="E136" s="2007"/>
      <c r="F136" s="2010"/>
      <c r="G136" s="2005"/>
      <c r="H136" s="2042"/>
      <c r="I136" s="2005"/>
      <c r="J136" s="2011"/>
      <c r="K136" s="2005"/>
      <c r="L136" s="2005"/>
    </row>
    <row r="137" spans="1:251" ht="15.75">
      <c r="B137" s="2042" t="s">
        <v>375</v>
      </c>
      <c r="C137" s="2011"/>
      <c r="D137" s="2011"/>
      <c r="E137" s="2011"/>
      <c r="F137" s="2010"/>
      <c r="G137" s="2005"/>
      <c r="H137" s="2042" t="s">
        <v>377</v>
      </c>
      <c r="I137" s="2005"/>
      <c r="J137" s="2007"/>
      <c r="K137" s="2005"/>
      <c r="L137" s="2005"/>
    </row>
    <row r="140" spans="1:251">
      <c r="B140" s="1991"/>
    </row>
  </sheetData>
  <sheetProtection formatColumns="0" insertRows="0" deleteRows="0"/>
  <mergeCells count="19">
    <mergeCell ref="A7:A8"/>
    <mergeCell ref="B7:B8"/>
    <mergeCell ref="C7:C8"/>
    <mergeCell ref="D7:D8"/>
    <mergeCell ref="E7:E8"/>
    <mergeCell ref="F7:F8"/>
    <mergeCell ref="G7:G8"/>
    <mergeCell ref="H7:H8"/>
    <mergeCell ref="I7:J7"/>
    <mergeCell ref="K7:L7"/>
    <mergeCell ref="M7:M8"/>
    <mergeCell ref="N7:N8"/>
    <mergeCell ref="U7:U8"/>
    <mergeCell ref="O7:O8"/>
    <mergeCell ref="P7:P8"/>
    <mergeCell ref="Q7:Q8"/>
    <mergeCell ref="R7:R8"/>
    <mergeCell ref="S7:S8"/>
    <mergeCell ref="T7:T8"/>
  </mergeCells>
  <pageMargins left="0" right="0" top="0" bottom="0" header="0" footer="0"/>
  <pageSetup paperSize="9" scale="57" fitToHeight="0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92D050"/>
    <pageSetUpPr fitToPage="1"/>
  </sheetPr>
  <dimension ref="A1:IQ140"/>
  <sheetViews>
    <sheetView workbookViewId="0">
      <pane ySplit="9" topLeftCell="A10" activePane="bottomLeft" state="frozen"/>
      <selection activeCell="U22" sqref="U22"/>
      <selection pane="bottomLeft" activeCell="Q113" sqref="Q113"/>
    </sheetView>
  </sheetViews>
  <sheetFormatPr defaultColWidth="11.5703125" defaultRowHeight="15"/>
  <cols>
    <col min="1" max="1" width="4.42578125" style="1984" customWidth="1"/>
    <col min="2" max="2" width="29.28515625" style="1984" customWidth="1"/>
    <col min="3" max="3" width="24.28515625" style="1984" hidden="1" customWidth="1"/>
    <col min="4" max="4" width="9.7109375" style="1984" customWidth="1"/>
    <col min="5" max="5" width="10.28515625" style="1984" customWidth="1"/>
    <col min="6" max="6" width="12.28515625" style="1984" bestFit="1" customWidth="1"/>
    <col min="7" max="7" width="10.140625" style="1984" customWidth="1"/>
    <col min="8" max="8" width="17.140625" style="1984" customWidth="1"/>
    <col min="9" max="9" width="10.140625" style="1984" hidden="1" customWidth="1"/>
    <col min="10" max="10" width="11.7109375" style="1984" hidden="1" customWidth="1"/>
    <col min="11" max="11" width="8.140625" style="1984" customWidth="1"/>
    <col min="12" max="12" width="11" style="1984" customWidth="1"/>
    <col min="13" max="13" width="15.140625" style="1984" customWidth="1"/>
    <col min="14" max="14" width="16.7109375" style="1984" customWidth="1"/>
    <col min="15" max="15" width="16.5703125" style="1984" bestFit="1" customWidth="1"/>
    <col min="16" max="16" width="16.28515625" style="1984" customWidth="1"/>
    <col min="17" max="17" width="17.85546875" style="1984" bestFit="1" customWidth="1"/>
    <col min="18" max="18" width="16.5703125" style="1984" bestFit="1" customWidth="1"/>
    <col min="19" max="19" width="15.42578125" style="1984" customWidth="1"/>
    <col min="20" max="21" width="15.5703125" style="1984" customWidth="1"/>
    <col min="22" max="244" width="9.140625" style="1984" customWidth="1"/>
    <col min="245" max="245" width="3.7109375" style="1984" customWidth="1"/>
    <col min="246" max="246" width="26.7109375" style="1984" customWidth="1"/>
    <col min="247" max="247" width="19.140625" style="1984" customWidth="1"/>
    <col min="248" max="248" width="7.42578125" style="1984" customWidth="1"/>
    <col min="249" max="249" width="11.85546875" style="1984" customWidth="1"/>
    <col min="250" max="250" width="12.5703125" style="1984" customWidth="1"/>
    <col min="251" max="16384" width="11.5703125" style="1984"/>
  </cols>
  <sheetData>
    <row r="1" spans="1:251" ht="15.75">
      <c r="T1" s="1925" t="s">
        <v>267</v>
      </c>
      <c r="U1" s="1925" t="s">
        <v>268</v>
      </c>
    </row>
    <row r="2" spans="1:251" s="1933" customFormat="1" ht="15.75">
      <c r="A2" s="2017"/>
      <c r="B2" s="1968" t="s">
        <v>499</v>
      </c>
      <c r="C2" s="1932"/>
      <c r="D2" s="1932"/>
      <c r="E2" s="1932"/>
      <c r="F2" s="1932"/>
      <c r="G2" s="1932"/>
      <c r="K2" s="1985"/>
      <c r="L2" s="1985"/>
      <c r="M2" s="1985"/>
      <c r="N2" s="1932"/>
    </row>
    <row r="3" spans="1:251">
      <c r="A3" s="2018"/>
      <c r="K3" s="1986"/>
      <c r="L3" s="1986"/>
      <c r="M3" s="1986"/>
    </row>
    <row r="4" spans="1:251" s="1933" customFormat="1" ht="15.75">
      <c r="A4" s="2019"/>
      <c r="B4" s="2020" t="s">
        <v>987</v>
      </c>
      <c r="N4" s="1932"/>
      <c r="P4" s="2477" t="s">
        <v>501</v>
      </c>
      <c r="Q4" s="2474">
        <v>1852</v>
      </c>
      <c r="R4" s="2474" t="s">
        <v>502</v>
      </c>
    </row>
    <row r="5" spans="1:251" ht="15.75">
      <c r="A5" s="3810"/>
      <c r="B5" s="3811" t="s">
        <v>988</v>
      </c>
      <c r="N5" s="1934"/>
      <c r="P5" s="2478" t="s">
        <v>504</v>
      </c>
      <c r="Q5" s="2474">
        <f>17439*1.1</f>
        <v>19182.900000000001</v>
      </c>
      <c r="R5" s="2474" t="s">
        <v>505</v>
      </c>
    </row>
    <row r="6" spans="1:251">
      <c r="A6" s="1987"/>
      <c r="B6" s="1987"/>
      <c r="C6" s="1987"/>
      <c r="D6" s="1987"/>
      <c r="E6" s="1988">
        <f>12*K9</f>
        <v>0</v>
      </c>
      <c r="F6" s="1987"/>
      <c r="G6" s="1987"/>
      <c r="H6" s="1989"/>
      <c r="I6" s="1989"/>
      <c r="J6" s="1989"/>
      <c r="K6" s="1988">
        <f>E6-(E6*19%)</f>
        <v>0</v>
      </c>
      <c r="L6" s="1989"/>
      <c r="M6" s="1989"/>
      <c r="N6" s="1989"/>
      <c r="O6" s="1990">
        <f>O9*19%</f>
        <v>1703920</v>
      </c>
      <c r="P6" s="2478" t="s">
        <v>506</v>
      </c>
      <c r="Q6" s="2474">
        <v>19966</v>
      </c>
      <c r="R6" s="2474" t="s">
        <v>502</v>
      </c>
    </row>
    <row r="7" spans="1:251" ht="39.75" customHeight="1">
      <c r="A7" s="3970" t="s">
        <v>34</v>
      </c>
      <c r="B7" s="3970" t="s">
        <v>507</v>
      </c>
      <c r="C7" s="3970" t="s">
        <v>277</v>
      </c>
      <c r="D7" s="3971" t="s">
        <v>508</v>
      </c>
      <c r="E7" s="3973" t="s">
        <v>509</v>
      </c>
      <c r="F7" s="3970" t="s">
        <v>510</v>
      </c>
      <c r="G7" s="3970" t="s">
        <v>511</v>
      </c>
      <c r="H7" s="3971" t="s">
        <v>512</v>
      </c>
      <c r="I7" s="3970" t="s">
        <v>513</v>
      </c>
      <c r="J7" s="3970"/>
      <c r="K7" s="3970" t="s">
        <v>514</v>
      </c>
      <c r="L7" s="3970"/>
      <c r="M7" s="3971" t="s">
        <v>515</v>
      </c>
      <c r="N7" s="3970" t="s">
        <v>516</v>
      </c>
      <c r="O7" s="3975" t="s">
        <v>517</v>
      </c>
      <c r="P7" s="3970" t="s">
        <v>518</v>
      </c>
      <c r="Q7" s="3970" t="s">
        <v>519</v>
      </c>
      <c r="R7" s="3974" t="s">
        <v>313</v>
      </c>
      <c r="S7" s="3974" t="s">
        <v>314</v>
      </c>
      <c r="T7" s="3974" t="s">
        <v>116</v>
      </c>
      <c r="U7" s="3974" t="s">
        <v>315</v>
      </c>
    </row>
    <row r="8" spans="1:251" ht="97.9" customHeight="1">
      <c r="A8" s="3970"/>
      <c r="B8" s="3970"/>
      <c r="C8" s="3970"/>
      <c r="D8" s="3972"/>
      <c r="E8" s="3973"/>
      <c r="F8" s="3970"/>
      <c r="G8" s="3970"/>
      <c r="H8" s="3972"/>
      <c r="I8" s="1939" t="s">
        <v>520</v>
      </c>
      <c r="J8" s="1939" t="s">
        <v>345</v>
      </c>
      <c r="K8" s="1939" t="s">
        <v>520</v>
      </c>
      <c r="L8" s="1939" t="s">
        <v>345</v>
      </c>
      <c r="M8" s="3972"/>
      <c r="N8" s="3970"/>
      <c r="O8" s="3972"/>
      <c r="P8" s="3970"/>
      <c r="Q8" s="3970"/>
      <c r="R8" s="3974"/>
      <c r="S8" s="3974"/>
      <c r="T8" s="3974"/>
      <c r="U8" s="3974"/>
    </row>
    <row r="9" spans="1:251">
      <c r="A9" s="1939"/>
      <c r="B9" s="1939" t="s">
        <v>306</v>
      </c>
      <c r="C9" s="1939"/>
      <c r="D9" s="2033">
        <f>D10+D64+D101+D110</f>
        <v>59</v>
      </c>
      <c r="E9" s="1939"/>
      <c r="F9" s="1939"/>
      <c r="G9" s="1991"/>
      <c r="H9" s="1939">
        <f>H10+H64+H101+H110</f>
        <v>53808000</v>
      </c>
      <c r="I9" s="1991"/>
      <c r="J9" s="1939"/>
      <c r="K9" s="1991"/>
      <c r="L9" s="1939"/>
      <c r="M9" s="1939">
        <f t="shared" ref="M9:U9" si="0">M10+M64+M101+M110</f>
        <v>5380800</v>
      </c>
      <c r="N9" s="1939">
        <f t="shared" si="0"/>
        <v>59188800</v>
      </c>
      <c r="O9" s="1939">
        <f t="shared" si="0"/>
        <v>8968000</v>
      </c>
      <c r="P9" s="1939">
        <f t="shared" si="0"/>
        <v>17936000</v>
      </c>
      <c r="Q9" s="1939">
        <f t="shared" si="0"/>
        <v>86092800</v>
      </c>
      <c r="R9" s="1939">
        <f t="shared" si="0"/>
        <v>8609280</v>
      </c>
      <c r="S9" s="1939">
        <f t="shared" si="0"/>
        <v>7748352</v>
      </c>
      <c r="T9" s="1939">
        <f t="shared" si="0"/>
        <v>4649011.2000000002</v>
      </c>
      <c r="U9" s="1939">
        <f t="shared" si="0"/>
        <v>3874176</v>
      </c>
    </row>
    <row r="10" spans="1:251" ht="28.5" hidden="1">
      <c r="A10" s="1940"/>
      <c r="B10" s="1939" t="s">
        <v>521</v>
      </c>
      <c r="C10" s="1940"/>
      <c r="D10" s="3809">
        <f>SUM(D11:D63)</f>
        <v>0</v>
      </c>
      <c r="E10" s="3812"/>
      <c r="F10" s="3812">
        <f>SUM(F11:F63)</f>
        <v>0</v>
      </c>
      <c r="G10" s="1995"/>
      <c r="H10" s="3812">
        <f>SUM(H11:H63)</f>
        <v>0</v>
      </c>
      <c r="I10" s="1995"/>
      <c r="J10" s="3812">
        <f>SUM(J11:J63)</f>
        <v>0</v>
      </c>
      <c r="K10" s="1995"/>
      <c r="L10" s="3812">
        <f t="shared" ref="L10:U10" si="1">SUM(L11:L63)</f>
        <v>0</v>
      </c>
      <c r="M10" s="3812">
        <f t="shared" si="1"/>
        <v>0</v>
      </c>
      <c r="N10" s="3812">
        <f t="shared" si="1"/>
        <v>0</v>
      </c>
      <c r="O10" s="3812">
        <f t="shared" si="1"/>
        <v>0</v>
      </c>
      <c r="P10" s="3812">
        <f t="shared" si="1"/>
        <v>0</v>
      </c>
      <c r="Q10" s="3812">
        <f t="shared" si="1"/>
        <v>0</v>
      </c>
      <c r="R10" s="3812">
        <f t="shared" si="1"/>
        <v>0</v>
      </c>
      <c r="S10" s="3812">
        <f t="shared" si="1"/>
        <v>0</v>
      </c>
      <c r="T10" s="3812">
        <f t="shared" si="1"/>
        <v>0</v>
      </c>
      <c r="U10" s="3812">
        <f t="shared" si="1"/>
        <v>0</v>
      </c>
      <c r="V10" s="1992"/>
      <c r="W10" s="1992"/>
      <c r="X10" s="1992"/>
      <c r="Y10" s="1992"/>
      <c r="Z10" s="1992"/>
      <c r="AA10" s="1992"/>
      <c r="AB10" s="1992"/>
      <c r="AC10" s="1992"/>
      <c r="AD10" s="1992"/>
      <c r="AE10" s="1992"/>
      <c r="AF10" s="1992"/>
      <c r="AG10" s="1992"/>
      <c r="AH10" s="1992"/>
      <c r="AI10" s="1992"/>
      <c r="AJ10" s="1992"/>
      <c r="AK10" s="1992"/>
      <c r="AL10" s="1992"/>
      <c r="AM10" s="1992"/>
      <c r="AN10" s="1992"/>
      <c r="AO10" s="1992"/>
      <c r="AP10" s="1992"/>
      <c r="AQ10" s="1992"/>
      <c r="AR10" s="1992"/>
      <c r="AS10" s="1992"/>
      <c r="AT10" s="1992"/>
      <c r="AU10" s="1992"/>
      <c r="AV10" s="1992"/>
      <c r="AW10" s="1992"/>
      <c r="AX10" s="1992"/>
      <c r="AY10" s="1992"/>
      <c r="AZ10" s="1992"/>
      <c r="BA10" s="1992"/>
      <c r="BB10" s="1992"/>
      <c r="BC10" s="1992"/>
      <c r="BD10" s="1992"/>
      <c r="BE10" s="1992"/>
      <c r="BF10" s="1992"/>
      <c r="BG10" s="1992"/>
      <c r="BH10" s="1992"/>
      <c r="BI10" s="1992"/>
      <c r="BJ10" s="1992"/>
      <c r="BK10" s="1992"/>
      <c r="BL10" s="1992"/>
      <c r="BM10" s="1992"/>
      <c r="BN10" s="1992"/>
      <c r="BO10" s="1992"/>
      <c r="BP10" s="1992"/>
      <c r="BQ10" s="1992"/>
      <c r="BR10" s="1992"/>
      <c r="BS10" s="1992"/>
      <c r="BT10" s="1992"/>
      <c r="BU10" s="1992"/>
      <c r="BV10" s="1992"/>
      <c r="BW10" s="1992"/>
      <c r="BX10" s="1992"/>
      <c r="BY10" s="1992"/>
      <c r="BZ10" s="1992"/>
      <c r="CA10" s="1992"/>
      <c r="CB10" s="1992"/>
      <c r="CC10" s="1992"/>
      <c r="CD10" s="1992"/>
      <c r="CE10" s="1992"/>
      <c r="CF10" s="1992"/>
      <c r="CG10" s="1992"/>
      <c r="CH10" s="1992"/>
      <c r="CI10" s="1992"/>
      <c r="CJ10" s="1992"/>
      <c r="CK10" s="1992"/>
      <c r="CL10" s="1992"/>
      <c r="CM10" s="1992"/>
      <c r="CN10" s="1992"/>
      <c r="CO10" s="1992"/>
      <c r="CP10" s="1992"/>
      <c r="CQ10" s="1992"/>
      <c r="CR10" s="1992"/>
      <c r="CS10" s="1992"/>
      <c r="CT10" s="1992"/>
      <c r="CU10" s="1992"/>
      <c r="CV10" s="1992"/>
      <c r="CW10" s="1992"/>
      <c r="CX10" s="1992"/>
      <c r="CY10" s="1992"/>
      <c r="CZ10" s="1992"/>
      <c r="DA10" s="1992"/>
      <c r="DB10" s="1992"/>
      <c r="DC10" s="1992"/>
      <c r="DD10" s="1992"/>
      <c r="DE10" s="1992"/>
      <c r="DF10" s="1992"/>
      <c r="DG10" s="1992"/>
      <c r="DH10" s="1992"/>
      <c r="DI10" s="1992"/>
      <c r="DJ10" s="1992"/>
      <c r="DK10" s="1992"/>
      <c r="DL10" s="1992"/>
      <c r="DM10" s="1992"/>
      <c r="DN10" s="1992"/>
      <c r="DO10" s="1992"/>
      <c r="DP10" s="1992"/>
      <c r="DQ10" s="1992"/>
      <c r="DR10" s="1992"/>
      <c r="DS10" s="1992"/>
      <c r="DT10" s="1992"/>
      <c r="DU10" s="1992"/>
      <c r="DV10" s="1992"/>
      <c r="DW10" s="1992"/>
      <c r="DX10" s="1992"/>
      <c r="DY10" s="1992"/>
      <c r="DZ10" s="1992"/>
      <c r="EA10" s="1992"/>
      <c r="EB10" s="1992"/>
      <c r="EC10" s="1992"/>
      <c r="ED10" s="1992"/>
      <c r="EE10" s="1992"/>
      <c r="EF10" s="1992"/>
      <c r="EG10" s="1992"/>
      <c r="EH10" s="1992"/>
      <c r="EI10" s="1992"/>
      <c r="EJ10" s="1992"/>
      <c r="EK10" s="1992"/>
      <c r="EL10" s="1992"/>
      <c r="EM10" s="1992"/>
      <c r="EN10" s="1992"/>
      <c r="EO10" s="1992"/>
      <c r="EP10" s="1992"/>
      <c r="EQ10" s="1992"/>
      <c r="ER10" s="1992"/>
      <c r="ES10" s="1992"/>
      <c r="ET10" s="1992"/>
      <c r="EU10" s="1992"/>
      <c r="EV10" s="1992"/>
      <c r="EW10" s="1992"/>
      <c r="EX10" s="1992"/>
      <c r="EY10" s="1992"/>
      <c r="EZ10" s="1992"/>
      <c r="FA10" s="1992"/>
      <c r="FB10" s="1992"/>
      <c r="FC10" s="1992"/>
      <c r="FD10" s="1992"/>
      <c r="FE10" s="1992"/>
      <c r="FF10" s="1992"/>
      <c r="FG10" s="1992"/>
      <c r="FH10" s="1992"/>
      <c r="FI10" s="1992"/>
      <c r="FJ10" s="1992"/>
      <c r="FK10" s="1992"/>
      <c r="FL10" s="1992"/>
      <c r="FM10" s="1992"/>
      <c r="FN10" s="1992"/>
      <c r="FO10" s="1992"/>
      <c r="FP10" s="1992"/>
      <c r="FQ10" s="1992"/>
      <c r="FR10" s="1992"/>
      <c r="FS10" s="1992"/>
      <c r="FT10" s="1992"/>
      <c r="FU10" s="1992"/>
      <c r="FV10" s="1992"/>
      <c r="FW10" s="1992"/>
      <c r="FX10" s="1992"/>
      <c r="FY10" s="1992"/>
      <c r="FZ10" s="1992"/>
      <c r="GA10" s="1992"/>
      <c r="GB10" s="1992"/>
      <c r="GC10" s="1992"/>
      <c r="GD10" s="1992"/>
      <c r="GE10" s="1992"/>
      <c r="GF10" s="1992"/>
      <c r="GG10" s="1992"/>
      <c r="GH10" s="1992"/>
      <c r="GI10" s="1992"/>
      <c r="GJ10" s="1992"/>
      <c r="GK10" s="1992"/>
      <c r="GL10" s="1992"/>
      <c r="GM10" s="1992"/>
      <c r="GN10" s="1992"/>
      <c r="GO10" s="1992"/>
      <c r="GP10" s="1992"/>
      <c r="GQ10" s="1992"/>
      <c r="GR10" s="1992"/>
      <c r="GS10" s="1992"/>
      <c r="GT10" s="1992"/>
      <c r="GU10" s="1992"/>
      <c r="GV10" s="1992"/>
      <c r="GW10" s="1992"/>
      <c r="GX10" s="1992"/>
      <c r="GY10" s="1992"/>
      <c r="GZ10" s="1992"/>
      <c r="HA10" s="1992"/>
      <c r="HB10" s="1992"/>
      <c r="HC10" s="1992"/>
      <c r="HD10" s="1992"/>
      <c r="HE10" s="1992"/>
      <c r="HF10" s="1992"/>
      <c r="HG10" s="1992"/>
      <c r="HH10" s="1992"/>
      <c r="HI10" s="1992"/>
      <c r="HJ10" s="1992"/>
      <c r="HK10" s="1992"/>
      <c r="HL10" s="1992"/>
      <c r="HM10" s="1992"/>
      <c r="HN10" s="1992"/>
      <c r="HO10" s="1992"/>
      <c r="HP10" s="1992"/>
      <c r="HQ10" s="1992"/>
      <c r="HR10" s="1992"/>
      <c r="HS10" s="1992"/>
      <c r="HT10" s="1992"/>
      <c r="HU10" s="1992"/>
      <c r="HV10" s="1992"/>
      <c r="HW10" s="1992"/>
      <c r="HX10" s="1992"/>
      <c r="HY10" s="1992"/>
      <c r="HZ10" s="1992"/>
      <c r="IA10" s="1992"/>
      <c r="IB10" s="1992"/>
      <c r="IC10" s="1992"/>
      <c r="ID10" s="1992"/>
      <c r="IE10" s="1992"/>
      <c r="IF10" s="1992"/>
      <c r="IG10" s="1992"/>
      <c r="IH10" s="1992"/>
      <c r="II10" s="1992"/>
      <c r="IJ10" s="1992"/>
      <c r="IK10" s="1992"/>
      <c r="IL10" s="1992"/>
      <c r="IM10" s="1992"/>
      <c r="IN10" s="1992"/>
      <c r="IO10" s="1992"/>
      <c r="IP10" s="1992"/>
      <c r="IQ10" s="1992"/>
    </row>
    <row r="11" spans="1:251" ht="25.5" hidden="1">
      <c r="A11" s="1993"/>
      <c r="B11" s="1994" t="s">
        <v>522</v>
      </c>
      <c r="C11" s="1995"/>
      <c r="D11" s="2021"/>
      <c r="E11" s="1993"/>
      <c r="F11" s="1996"/>
      <c r="G11" s="1993">
        <v>12</v>
      </c>
      <c r="H11" s="1940">
        <f>D11*F11*G11</f>
        <v>0</v>
      </c>
      <c r="I11" s="1993"/>
      <c r="J11" s="1940">
        <f>I11*$Q$4</f>
        <v>0</v>
      </c>
      <c r="K11" s="1993"/>
      <c r="L11" s="1940">
        <f>K11*F11</f>
        <v>0</v>
      </c>
      <c r="M11" s="1940">
        <f>D11*G11*(J11+L11)</f>
        <v>0</v>
      </c>
      <c r="N11" s="1940">
        <f>H11+M11</f>
        <v>0</v>
      </c>
      <c r="O11" s="1993">
        <f t="shared" ref="O11:O16" si="2">F11*2</f>
        <v>0</v>
      </c>
      <c r="P11" s="1993">
        <f t="shared" ref="P11:P16" si="3">F11*4</f>
        <v>0</v>
      </c>
      <c r="Q11" s="1940">
        <f>N11+O11+P11</f>
        <v>0</v>
      </c>
      <c r="R11" s="1940">
        <f>Q11*10%</f>
        <v>0</v>
      </c>
      <c r="S11" s="1940">
        <f>(Q11-R11)*10%</f>
        <v>0</v>
      </c>
      <c r="T11" s="1940">
        <f>(Q11-R11)*6%</f>
        <v>0</v>
      </c>
      <c r="U11" s="1940">
        <f>(Q11-R11)*5%</f>
        <v>0</v>
      </c>
      <c r="V11" s="1997"/>
      <c r="W11" s="1997"/>
      <c r="X11" s="1997"/>
      <c r="Y11" s="1997"/>
      <c r="Z11" s="1997"/>
      <c r="AA11" s="1997"/>
      <c r="AB11" s="1997"/>
      <c r="AC11" s="1997"/>
      <c r="AD11" s="1997"/>
      <c r="AE11" s="1997"/>
      <c r="AF11" s="1997"/>
      <c r="AG11" s="1997"/>
      <c r="AH11" s="1997"/>
      <c r="AI11" s="1997"/>
      <c r="AJ11" s="1997"/>
      <c r="AK11" s="1997"/>
      <c r="AL11" s="1997"/>
      <c r="AM11" s="1997"/>
      <c r="AN11" s="1997"/>
      <c r="AO11" s="1997"/>
      <c r="AP11" s="1997"/>
      <c r="AQ11" s="1997"/>
      <c r="AR11" s="1997"/>
      <c r="AS11" s="1997"/>
      <c r="AT11" s="1997"/>
      <c r="AU11" s="1997"/>
      <c r="AV11" s="1997"/>
      <c r="AW11" s="1997"/>
      <c r="AX11" s="1997"/>
      <c r="AY11" s="1997"/>
      <c r="AZ11" s="1997"/>
      <c r="BA11" s="1997"/>
      <c r="BB11" s="1997"/>
      <c r="BC11" s="1997"/>
      <c r="BD11" s="1997"/>
      <c r="BE11" s="1997"/>
      <c r="BF11" s="1997"/>
      <c r="BG11" s="1997"/>
      <c r="BH11" s="1997"/>
      <c r="BI11" s="1997"/>
      <c r="BJ11" s="1997"/>
      <c r="BK11" s="1997"/>
      <c r="BL11" s="1997"/>
      <c r="BM11" s="1997"/>
      <c r="BN11" s="1997"/>
      <c r="BO11" s="1997"/>
      <c r="BP11" s="1997"/>
      <c r="BQ11" s="1997"/>
      <c r="BR11" s="1997"/>
      <c r="BS11" s="1997"/>
      <c r="BT11" s="1997"/>
      <c r="BU11" s="1997"/>
      <c r="BV11" s="1997"/>
      <c r="BW11" s="1997"/>
      <c r="BX11" s="1997"/>
      <c r="BY11" s="1997"/>
      <c r="BZ11" s="1997"/>
      <c r="CA11" s="1997"/>
      <c r="CB11" s="1997"/>
      <c r="CC11" s="1997"/>
      <c r="CD11" s="1997"/>
      <c r="CE11" s="1997"/>
      <c r="CF11" s="1997"/>
      <c r="CG11" s="1997"/>
      <c r="CH11" s="1997"/>
      <c r="CI11" s="1997"/>
      <c r="CJ11" s="1997"/>
      <c r="CK11" s="1997"/>
      <c r="CL11" s="1997"/>
      <c r="CM11" s="1997"/>
      <c r="CN11" s="1997"/>
      <c r="CO11" s="1997"/>
      <c r="CP11" s="1997"/>
      <c r="CQ11" s="1997"/>
      <c r="CR11" s="1997"/>
      <c r="CS11" s="1997"/>
      <c r="CT11" s="1997"/>
      <c r="CU11" s="1997"/>
      <c r="CV11" s="1997"/>
      <c r="CW11" s="1997"/>
      <c r="CX11" s="1997"/>
      <c r="CY11" s="1997"/>
      <c r="CZ11" s="1997"/>
      <c r="DA11" s="1997"/>
      <c r="DB11" s="1997"/>
      <c r="DC11" s="1997"/>
      <c r="DD11" s="1997"/>
      <c r="DE11" s="1997"/>
      <c r="DF11" s="1997"/>
      <c r="DG11" s="1997"/>
      <c r="DH11" s="1997"/>
      <c r="DI11" s="1997"/>
      <c r="DJ11" s="1997"/>
      <c r="DK11" s="1997"/>
      <c r="DL11" s="1997"/>
      <c r="DM11" s="1997"/>
      <c r="DN11" s="1997"/>
      <c r="DO11" s="1997"/>
      <c r="DP11" s="1997"/>
      <c r="DQ11" s="1997"/>
      <c r="DR11" s="1997"/>
      <c r="DS11" s="1997"/>
      <c r="DT11" s="1997"/>
      <c r="DU11" s="1997"/>
      <c r="DV11" s="1997"/>
      <c r="DW11" s="1997"/>
      <c r="DX11" s="1997"/>
      <c r="DY11" s="1997"/>
      <c r="DZ11" s="1997"/>
      <c r="EA11" s="1997"/>
      <c r="EB11" s="1997"/>
      <c r="EC11" s="1997"/>
      <c r="ED11" s="1997"/>
      <c r="EE11" s="1997"/>
      <c r="EF11" s="1997"/>
      <c r="EG11" s="1997"/>
      <c r="EH11" s="1997"/>
      <c r="EI11" s="1997"/>
      <c r="EJ11" s="1997"/>
      <c r="EK11" s="1997"/>
      <c r="EL11" s="1997"/>
      <c r="EM11" s="1997"/>
      <c r="EN11" s="1997"/>
      <c r="EO11" s="1997"/>
      <c r="EP11" s="1997"/>
      <c r="EQ11" s="1997"/>
      <c r="ER11" s="1997"/>
      <c r="ES11" s="1997"/>
      <c r="ET11" s="1997"/>
      <c r="EU11" s="1997"/>
      <c r="EV11" s="1997"/>
      <c r="EW11" s="1997"/>
      <c r="EX11" s="1997"/>
      <c r="EY11" s="1997"/>
      <c r="EZ11" s="1997"/>
      <c r="FA11" s="1997"/>
      <c r="FB11" s="1997"/>
      <c r="FC11" s="1997"/>
      <c r="FD11" s="1997"/>
      <c r="FE11" s="1997"/>
      <c r="FF11" s="1997"/>
      <c r="FG11" s="1997"/>
      <c r="FH11" s="1997"/>
      <c r="FI11" s="1997"/>
      <c r="FJ11" s="1997"/>
      <c r="FK11" s="1997"/>
      <c r="FL11" s="1997"/>
      <c r="FM11" s="1997"/>
      <c r="FN11" s="1997"/>
      <c r="FO11" s="1997"/>
      <c r="FP11" s="1997"/>
      <c r="FQ11" s="1997"/>
      <c r="FR11" s="1997"/>
      <c r="FS11" s="1997"/>
      <c r="FT11" s="1997"/>
      <c r="FU11" s="1997"/>
      <c r="FV11" s="1997"/>
      <c r="FW11" s="1997"/>
      <c r="FX11" s="1997"/>
      <c r="FY11" s="1997"/>
      <c r="FZ11" s="1997"/>
      <c r="GA11" s="1997"/>
      <c r="GB11" s="1997"/>
      <c r="GC11" s="1997"/>
      <c r="GD11" s="1997"/>
      <c r="GE11" s="1997"/>
      <c r="GF11" s="1997"/>
      <c r="GG11" s="1997"/>
      <c r="GH11" s="1997"/>
      <c r="GI11" s="1997"/>
      <c r="GJ11" s="1997"/>
      <c r="GK11" s="1997"/>
      <c r="GL11" s="1997"/>
      <c r="GM11" s="1997"/>
      <c r="GN11" s="1997"/>
      <c r="GO11" s="1997"/>
      <c r="GP11" s="1997"/>
      <c r="GQ11" s="1997"/>
      <c r="GR11" s="1997"/>
      <c r="GS11" s="1997"/>
      <c r="GT11" s="1997"/>
      <c r="GU11" s="1997"/>
      <c r="GV11" s="1997"/>
      <c r="GW11" s="1997"/>
      <c r="GX11" s="1997"/>
      <c r="GY11" s="1997"/>
      <c r="GZ11" s="1997"/>
      <c r="HA11" s="1997"/>
      <c r="HB11" s="1997"/>
      <c r="HC11" s="1997"/>
      <c r="HD11" s="1997"/>
      <c r="HE11" s="1997"/>
      <c r="HF11" s="1997"/>
      <c r="HG11" s="1997"/>
      <c r="HH11" s="1997"/>
      <c r="HI11" s="1997"/>
      <c r="HJ11" s="1997"/>
      <c r="HK11" s="1997"/>
      <c r="HL11" s="1997"/>
      <c r="HM11" s="1997"/>
      <c r="HN11" s="1997"/>
      <c r="HO11" s="1997"/>
      <c r="HP11" s="1997"/>
      <c r="HQ11" s="1997"/>
      <c r="HR11" s="1997"/>
      <c r="HS11" s="1997"/>
      <c r="HT11" s="1997"/>
      <c r="HU11" s="1997"/>
      <c r="HV11" s="1997"/>
      <c r="HW11" s="1997"/>
      <c r="HX11" s="1997"/>
      <c r="HY11" s="1997"/>
      <c r="HZ11" s="1997"/>
      <c r="IA11" s="1997"/>
      <c r="IB11" s="1997"/>
      <c r="IC11" s="1997"/>
      <c r="ID11" s="1997"/>
      <c r="IE11" s="1997"/>
      <c r="IF11" s="1997"/>
      <c r="IG11" s="1997"/>
      <c r="IH11" s="1997"/>
      <c r="II11" s="1997"/>
      <c r="IJ11" s="1997"/>
      <c r="IK11" s="1997"/>
      <c r="IL11" s="1997"/>
      <c r="IM11" s="1997"/>
      <c r="IN11" s="1997"/>
      <c r="IO11" s="1997"/>
      <c r="IP11" s="1997"/>
      <c r="IQ11" s="1997"/>
    </row>
    <row r="12" spans="1:251" hidden="1">
      <c r="A12" s="1993"/>
      <c r="B12" s="1994" t="s">
        <v>970</v>
      </c>
      <c r="C12" s="1998"/>
      <c r="D12" s="2034"/>
      <c r="E12" s="1998"/>
      <c r="F12" s="1996"/>
      <c r="G12" s="1993">
        <v>12</v>
      </c>
      <c r="H12" s="1940">
        <f>D12*F12*G12</f>
        <v>0</v>
      </c>
      <c r="I12" s="1993"/>
      <c r="J12" s="1940">
        <f>I12*$Q$4</f>
        <v>0</v>
      </c>
      <c r="K12" s="1993"/>
      <c r="L12" s="1940">
        <f>K12*F12</f>
        <v>0</v>
      </c>
      <c r="M12" s="1940">
        <f>D12*G12*(J12+L12)</f>
        <v>0</v>
      </c>
      <c r="N12" s="1940">
        <f>H12+M12</f>
        <v>0</v>
      </c>
      <c r="O12" s="1993">
        <f t="shared" si="2"/>
        <v>0</v>
      </c>
      <c r="P12" s="1993">
        <f t="shared" si="3"/>
        <v>0</v>
      </c>
      <c r="Q12" s="1940">
        <f>N12+O12+P12</f>
        <v>0</v>
      </c>
      <c r="R12" s="1940">
        <f>Q12*10%</f>
        <v>0</v>
      </c>
      <c r="S12" s="1940">
        <f>(Q12-R12)*10%</f>
        <v>0</v>
      </c>
      <c r="T12" s="1940">
        <f>(Q12-R12)*6%</f>
        <v>0</v>
      </c>
      <c r="U12" s="1940">
        <f>(Q12-R12)*5%</f>
        <v>0</v>
      </c>
      <c r="V12" s="1997"/>
      <c r="W12" s="1997"/>
      <c r="X12" s="1997"/>
      <c r="Y12" s="1997"/>
      <c r="Z12" s="1997"/>
      <c r="AA12" s="1997"/>
      <c r="AB12" s="1997"/>
      <c r="AC12" s="1997"/>
      <c r="AD12" s="1997"/>
      <c r="AE12" s="1997"/>
      <c r="AF12" s="1997"/>
      <c r="AG12" s="1997"/>
      <c r="AH12" s="1997"/>
      <c r="AI12" s="1997"/>
      <c r="AJ12" s="1997"/>
      <c r="AK12" s="1997"/>
      <c r="AL12" s="1997"/>
      <c r="AM12" s="1997"/>
      <c r="AN12" s="1997"/>
      <c r="AO12" s="1997"/>
      <c r="AP12" s="1997"/>
      <c r="AQ12" s="1997"/>
      <c r="AR12" s="1997"/>
      <c r="AS12" s="1997"/>
      <c r="AT12" s="1997"/>
      <c r="AU12" s="1997"/>
      <c r="AV12" s="1997"/>
      <c r="AW12" s="1997"/>
      <c r="AX12" s="1997"/>
      <c r="AY12" s="1997"/>
      <c r="AZ12" s="1997"/>
      <c r="BA12" s="1997"/>
      <c r="BB12" s="1997"/>
      <c r="BC12" s="1997"/>
      <c r="BD12" s="1997"/>
      <c r="BE12" s="1997"/>
      <c r="BF12" s="1997"/>
      <c r="BG12" s="1997"/>
      <c r="BH12" s="1997"/>
      <c r="BI12" s="1997"/>
      <c r="BJ12" s="1997"/>
      <c r="BK12" s="1997"/>
      <c r="BL12" s="1997"/>
      <c r="BM12" s="1997"/>
      <c r="BN12" s="1997"/>
      <c r="BO12" s="1997"/>
      <c r="BP12" s="1997"/>
      <c r="BQ12" s="1997"/>
      <c r="BR12" s="1997"/>
      <c r="BS12" s="1997"/>
      <c r="BT12" s="1997"/>
      <c r="BU12" s="1997"/>
      <c r="BV12" s="1997"/>
      <c r="BW12" s="1997"/>
      <c r="BX12" s="1997"/>
      <c r="BY12" s="1997"/>
      <c r="BZ12" s="1997"/>
      <c r="CA12" s="1997"/>
      <c r="CB12" s="1997"/>
      <c r="CC12" s="1997"/>
      <c r="CD12" s="1997"/>
      <c r="CE12" s="1997"/>
      <c r="CF12" s="1997"/>
      <c r="CG12" s="1997"/>
      <c r="CH12" s="1997"/>
      <c r="CI12" s="1997"/>
      <c r="CJ12" s="1997"/>
      <c r="CK12" s="1997"/>
      <c r="CL12" s="1997"/>
      <c r="CM12" s="1997"/>
      <c r="CN12" s="1997"/>
      <c r="CO12" s="1997"/>
      <c r="CP12" s="1997"/>
      <c r="CQ12" s="1997"/>
      <c r="CR12" s="1997"/>
      <c r="CS12" s="1997"/>
      <c r="CT12" s="1997"/>
      <c r="CU12" s="1997"/>
      <c r="CV12" s="1997"/>
      <c r="CW12" s="1997"/>
      <c r="CX12" s="1997"/>
      <c r="CY12" s="1997"/>
      <c r="CZ12" s="1997"/>
      <c r="DA12" s="1997"/>
      <c r="DB12" s="1997"/>
      <c r="DC12" s="1997"/>
      <c r="DD12" s="1997"/>
      <c r="DE12" s="1997"/>
      <c r="DF12" s="1997"/>
      <c r="DG12" s="1997"/>
      <c r="DH12" s="1997"/>
      <c r="DI12" s="1997"/>
      <c r="DJ12" s="1997"/>
      <c r="DK12" s="1997"/>
      <c r="DL12" s="1997"/>
      <c r="DM12" s="1997"/>
      <c r="DN12" s="1997"/>
      <c r="DO12" s="1997"/>
      <c r="DP12" s="1997"/>
      <c r="DQ12" s="1997"/>
      <c r="DR12" s="1997"/>
      <c r="DS12" s="1997"/>
      <c r="DT12" s="1997"/>
      <c r="DU12" s="1997"/>
      <c r="DV12" s="1997"/>
      <c r="DW12" s="1997"/>
      <c r="DX12" s="1997"/>
      <c r="DY12" s="1997"/>
      <c r="DZ12" s="1997"/>
      <c r="EA12" s="1997"/>
      <c r="EB12" s="1997"/>
      <c r="EC12" s="1997"/>
      <c r="ED12" s="1997"/>
      <c r="EE12" s="1997"/>
      <c r="EF12" s="1997"/>
      <c r="EG12" s="1997"/>
      <c r="EH12" s="1997"/>
      <c r="EI12" s="1997"/>
      <c r="EJ12" s="1997"/>
      <c r="EK12" s="1997"/>
      <c r="EL12" s="1997"/>
      <c r="EM12" s="1997"/>
      <c r="EN12" s="1997"/>
      <c r="EO12" s="1997"/>
      <c r="EP12" s="1997"/>
      <c r="EQ12" s="1997"/>
      <c r="ER12" s="1997"/>
      <c r="ES12" s="1997"/>
      <c r="ET12" s="1997"/>
      <c r="EU12" s="1997"/>
      <c r="EV12" s="1997"/>
      <c r="EW12" s="1997"/>
      <c r="EX12" s="1997"/>
      <c r="EY12" s="1997"/>
      <c r="EZ12" s="1997"/>
      <c r="FA12" s="1997"/>
      <c r="FB12" s="1997"/>
      <c r="FC12" s="1997"/>
      <c r="FD12" s="1997"/>
      <c r="FE12" s="1997"/>
      <c r="FF12" s="1997"/>
      <c r="FG12" s="1997"/>
      <c r="FH12" s="1997"/>
      <c r="FI12" s="1997"/>
      <c r="FJ12" s="1997"/>
      <c r="FK12" s="1997"/>
      <c r="FL12" s="1997"/>
      <c r="FM12" s="1997"/>
      <c r="FN12" s="1997"/>
      <c r="FO12" s="1997"/>
      <c r="FP12" s="1997"/>
      <c r="FQ12" s="1997"/>
      <c r="FR12" s="1997"/>
      <c r="FS12" s="1997"/>
      <c r="FT12" s="1997"/>
      <c r="FU12" s="1997"/>
      <c r="FV12" s="1997"/>
      <c r="FW12" s="1997"/>
      <c r="FX12" s="1997"/>
      <c r="FY12" s="1997"/>
      <c r="FZ12" s="1997"/>
      <c r="GA12" s="1997"/>
      <c r="GB12" s="1997"/>
      <c r="GC12" s="1997"/>
      <c r="GD12" s="1997"/>
      <c r="GE12" s="1997"/>
      <c r="GF12" s="1997"/>
      <c r="GG12" s="1997"/>
      <c r="GH12" s="1997"/>
      <c r="GI12" s="1997"/>
      <c r="GJ12" s="1997"/>
      <c r="GK12" s="1997"/>
      <c r="GL12" s="1997"/>
      <c r="GM12" s="1997"/>
      <c r="GN12" s="1997"/>
      <c r="GO12" s="1997"/>
      <c r="GP12" s="1997"/>
      <c r="GQ12" s="1997"/>
      <c r="GR12" s="1997"/>
      <c r="GS12" s="1997"/>
      <c r="GT12" s="1997"/>
      <c r="GU12" s="1997"/>
      <c r="GV12" s="1997"/>
      <c r="GW12" s="1997"/>
      <c r="GX12" s="1997"/>
      <c r="GY12" s="1997"/>
      <c r="GZ12" s="1997"/>
      <c r="HA12" s="1997"/>
      <c r="HB12" s="1997"/>
      <c r="HC12" s="1997"/>
      <c r="HD12" s="1997"/>
      <c r="HE12" s="1997"/>
      <c r="HF12" s="1997"/>
      <c r="HG12" s="1997"/>
      <c r="HH12" s="1997"/>
      <c r="HI12" s="1997"/>
      <c r="HJ12" s="1997"/>
      <c r="HK12" s="1997"/>
      <c r="HL12" s="1997"/>
      <c r="HM12" s="1997"/>
      <c r="HN12" s="1997"/>
      <c r="HO12" s="1997"/>
      <c r="HP12" s="1997"/>
      <c r="HQ12" s="1997"/>
      <c r="HR12" s="1997"/>
      <c r="HS12" s="1997"/>
      <c r="HT12" s="1997"/>
      <c r="HU12" s="1997"/>
      <c r="HV12" s="1997"/>
      <c r="HW12" s="1997"/>
      <c r="HX12" s="1997"/>
      <c r="HY12" s="1997"/>
      <c r="HZ12" s="1997"/>
      <c r="IA12" s="1997"/>
      <c r="IB12" s="1997"/>
      <c r="IC12" s="1997"/>
      <c r="ID12" s="1997"/>
      <c r="IE12" s="1997"/>
      <c r="IF12" s="1997"/>
      <c r="IG12" s="1997"/>
      <c r="IH12" s="1997"/>
      <c r="II12" s="1997"/>
      <c r="IJ12" s="1997"/>
      <c r="IK12" s="1997"/>
      <c r="IL12" s="1997"/>
      <c r="IM12" s="1997"/>
      <c r="IN12" s="1997"/>
      <c r="IO12" s="1997"/>
      <c r="IP12" s="1997"/>
      <c r="IQ12" s="1997"/>
    </row>
    <row r="13" spans="1:251" ht="25.5" hidden="1">
      <c r="A13" s="1993"/>
      <c r="B13" s="1994" t="s">
        <v>523</v>
      </c>
      <c r="C13" s="1998"/>
      <c r="D13" s="2034"/>
      <c r="E13" s="1998"/>
      <c r="F13" s="1996"/>
      <c r="G13" s="1993">
        <v>12</v>
      </c>
      <c r="H13" s="1940">
        <f>D13*F13*G13</f>
        <v>0</v>
      </c>
      <c r="I13" s="1993"/>
      <c r="J13" s="1940">
        <f>I13*$Q$4</f>
        <v>0</v>
      </c>
      <c r="K13" s="1993"/>
      <c r="L13" s="1940">
        <f>K13*F13</f>
        <v>0</v>
      </c>
      <c r="M13" s="1940">
        <f>D13*G13*(J13+L13)</f>
        <v>0</v>
      </c>
      <c r="N13" s="1940">
        <f>H13+M13</f>
        <v>0</v>
      </c>
      <c r="O13" s="1993">
        <f t="shared" si="2"/>
        <v>0</v>
      </c>
      <c r="P13" s="1993">
        <f t="shared" si="3"/>
        <v>0</v>
      </c>
      <c r="Q13" s="1940">
        <f>N13+O13+P13</f>
        <v>0</v>
      </c>
      <c r="R13" s="1940">
        <f>Q13*10%</f>
        <v>0</v>
      </c>
      <c r="S13" s="1940">
        <f>(Q13-R13)*10%</f>
        <v>0</v>
      </c>
      <c r="T13" s="1940">
        <f>(Q13-R13)*6%</f>
        <v>0</v>
      </c>
      <c r="U13" s="1940">
        <f>(Q13-R13)*5%</f>
        <v>0</v>
      </c>
      <c r="V13" s="1997"/>
      <c r="W13" s="1997"/>
      <c r="X13" s="1997"/>
      <c r="Y13" s="1997"/>
      <c r="Z13" s="1997"/>
      <c r="AA13" s="1997"/>
      <c r="AB13" s="1997"/>
      <c r="AC13" s="1997"/>
      <c r="AD13" s="1997"/>
      <c r="AE13" s="1997"/>
      <c r="AF13" s="1997"/>
      <c r="AG13" s="1997"/>
      <c r="AH13" s="1997"/>
      <c r="AI13" s="1997"/>
      <c r="AJ13" s="1997"/>
      <c r="AK13" s="1997"/>
      <c r="AL13" s="1997"/>
      <c r="AM13" s="1997"/>
      <c r="AN13" s="1997"/>
      <c r="AO13" s="1997"/>
      <c r="AP13" s="1997"/>
      <c r="AQ13" s="1997"/>
      <c r="AR13" s="1997"/>
      <c r="AS13" s="1997"/>
      <c r="AT13" s="1997"/>
      <c r="AU13" s="1997"/>
      <c r="AV13" s="1997"/>
      <c r="AW13" s="1997"/>
      <c r="AX13" s="1997"/>
      <c r="AY13" s="1997"/>
      <c r="AZ13" s="1997"/>
      <c r="BA13" s="1997"/>
      <c r="BB13" s="1997"/>
      <c r="BC13" s="1997"/>
      <c r="BD13" s="1997"/>
      <c r="BE13" s="1997"/>
      <c r="BF13" s="1997"/>
      <c r="BG13" s="1997"/>
      <c r="BH13" s="1997"/>
      <c r="BI13" s="1997"/>
      <c r="BJ13" s="1997"/>
      <c r="BK13" s="1997"/>
      <c r="BL13" s="1997"/>
      <c r="BM13" s="1997"/>
      <c r="BN13" s="1997"/>
      <c r="BO13" s="1997"/>
      <c r="BP13" s="1997"/>
      <c r="BQ13" s="1997"/>
      <c r="BR13" s="1997"/>
      <c r="BS13" s="1997"/>
      <c r="BT13" s="1997"/>
      <c r="BU13" s="1997"/>
      <c r="BV13" s="1997"/>
      <c r="BW13" s="1997"/>
      <c r="BX13" s="1997"/>
      <c r="BY13" s="1997"/>
      <c r="BZ13" s="1997"/>
      <c r="CA13" s="1997"/>
      <c r="CB13" s="1997"/>
      <c r="CC13" s="1997"/>
      <c r="CD13" s="1997"/>
      <c r="CE13" s="1997"/>
      <c r="CF13" s="1997"/>
      <c r="CG13" s="1997"/>
      <c r="CH13" s="1997"/>
      <c r="CI13" s="1997"/>
      <c r="CJ13" s="1997"/>
      <c r="CK13" s="1997"/>
      <c r="CL13" s="1997"/>
      <c r="CM13" s="1997"/>
      <c r="CN13" s="1997"/>
      <c r="CO13" s="1997"/>
      <c r="CP13" s="1997"/>
      <c r="CQ13" s="1997"/>
      <c r="CR13" s="1997"/>
      <c r="CS13" s="1997"/>
      <c r="CT13" s="1997"/>
      <c r="CU13" s="1997"/>
      <c r="CV13" s="1997"/>
      <c r="CW13" s="1997"/>
      <c r="CX13" s="1997"/>
      <c r="CY13" s="1997"/>
      <c r="CZ13" s="1997"/>
      <c r="DA13" s="1997"/>
      <c r="DB13" s="1997"/>
      <c r="DC13" s="1997"/>
      <c r="DD13" s="1997"/>
      <c r="DE13" s="1997"/>
      <c r="DF13" s="1997"/>
      <c r="DG13" s="1997"/>
      <c r="DH13" s="1997"/>
      <c r="DI13" s="1997"/>
      <c r="DJ13" s="1997"/>
      <c r="DK13" s="1997"/>
      <c r="DL13" s="1997"/>
      <c r="DM13" s="1997"/>
      <c r="DN13" s="1997"/>
      <c r="DO13" s="1997"/>
      <c r="DP13" s="1997"/>
      <c r="DQ13" s="1997"/>
      <c r="DR13" s="1997"/>
      <c r="DS13" s="1997"/>
      <c r="DT13" s="1997"/>
      <c r="DU13" s="1997"/>
      <c r="DV13" s="1997"/>
      <c r="DW13" s="1997"/>
      <c r="DX13" s="1997"/>
      <c r="DY13" s="1997"/>
      <c r="DZ13" s="1997"/>
      <c r="EA13" s="1997"/>
      <c r="EB13" s="1997"/>
      <c r="EC13" s="1997"/>
      <c r="ED13" s="1997"/>
      <c r="EE13" s="1997"/>
      <c r="EF13" s="1997"/>
      <c r="EG13" s="1997"/>
      <c r="EH13" s="1997"/>
      <c r="EI13" s="1997"/>
      <c r="EJ13" s="1997"/>
      <c r="EK13" s="1997"/>
      <c r="EL13" s="1997"/>
      <c r="EM13" s="1997"/>
      <c r="EN13" s="1997"/>
      <c r="EO13" s="1997"/>
      <c r="EP13" s="1997"/>
      <c r="EQ13" s="1997"/>
      <c r="ER13" s="1997"/>
      <c r="ES13" s="1997"/>
      <c r="ET13" s="1997"/>
      <c r="EU13" s="1997"/>
      <c r="EV13" s="1997"/>
      <c r="EW13" s="1997"/>
      <c r="EX13" s="1997"/>
      <c r="EY13" s="1997"/>
      <c r="EZ13" s="1997"/>
      <c r="FA13" s="1997"/>
      <c r="FB13" s="1997"/>
      <c r="FC13" s="1997"/>
      <c r="FD13" s="1997"/>
      <c r="FE13" s="1997"/>
      <c r="FF13" s="1997"/>
      <c r="FG13" s="1997"/>
      <c r="FH13" s="1997"/>
      <c r="FI13" s="1997"/>
      <c r="FJ13" s="1997"/>
      <c r="FK13" s="1997"/>
      <c r="FL13" s="1997"/>
      <c r="FM13" s="1997"/>
      <c r="FN13" s="1997"/>
      <c r="FO13" s="1997"/>
      <c r="FP13" s="1997"/>
      <c r="FQ13" s="1997"/>
      <c r="FR13" s="1997"/>
      <c r="FS13" s="1997"/>
      <c r="FT13" s="1997"/>
      <c r="FU13" s="1997"/>
      <c r="FV13" s="1997"/>
      <c r="FW13" s="1997"/>
      <c r="FX13" s="1997"/>
      <c r="FY13" s="1997"/>
      <c r="FZ13" s="1997"/>
      <c r="GA13" s="1997"/>
      <c r="GB13" s="1997"/>
      <c r="GC13" s="1997"/>
      <c r="GD13" s="1997"/>
      <c r="GE13" s="1997"/>
      <c r="GF13" s="1997"/>
      <c r="GG13" s="1997"/>
      <c r="GH13" s="1997"/>
      <c r="GI13" s="1997"/>
      <c r="GJ13" s="1997"/>
      <c r="GK13" s="1997"/>
      <c r="GL13" s="1997"/>
      <c r="GM13" s="1997"/>
      <c r="GN13" s="1997"/>
      <c r="GO13" s="1997"/>
      <c r="GP13" s="1997"/>
      <c r="GQ13" s="1997"/>
      <c r="GR13" s="1997"/>
      <c r="GS13" s="1997"/>
      <c r="GT13" s="1997"/>
      <c r="GU13" s="1997"/>
      <c r="GV13" s="1997"/>
      <c r="GW13" s="1997"/>
      <c r="GX13" s="1997"/>
      <c r="GY13" s="1997"/>
      <c r="GZ13" s="1997"/>
      <c r="HA13" s="1997"/>
      <c r="HB13" s="1997"/>
      <c r="HC13" s="1997"/>
      <c r="HD13" s="1997"/>
      <c r="HE13" s="1997"/>
      <c r="HF13" s="1997"/>
      <c r="HG13" s="1997"/>
      <c r="HH13" s="1997"/>
      <c r="HI13" s="1997"/>
      <c r="HJ13" s="1997"/>
      <c r="HK13" s="1997"/>
      <c r="HL13" s="1997"/>
      <c r="HM13" s="1997"/>
      <c r="HN13" s="1997"/>
      <c r="HO13" s="1997"/>
      <c r="HP13" s="1997"/>
      <c r="HQ13" s="1997"/>
      <c r="HR13" s="1997"/>
      <c r="HS13" s="1997"/>
      <c r="HT13" s="1997"/>
      <c r="HU13" s="1997"/>
      <c r="HV13" s="1997"/>
      <c r="HW13" s="1997"/>
      <c r="HX13" s="1997"/>
      <c r="HY13" s="1997"/>
      <c r="HZ13" s="1997"/>
      <c r="IA13" s="1997"/>
      <c r="IB13" s="1997"/>
      <c r="IC13" s="1997"/>
      <c r="ID13" s="1997"/>
      <c r="IE13" s="1997"/>
      <c r="IF13" s="1997"/>
      <c r="IG13" s="1997"/>
      <c r="IH13" s="1997"/>
      <c r="II13" s="1997"/>
      <c r="IJ13" s="1997"/>
      <c r="IK13" s="1997"/>
      <c r="IL13" s="1997"/>
      <c r="IM13" s="1997"/>
      <c r="IN13" s="1997"/>
      <c r="IO13" s="1997"/>
      <c r="IP13" s="1997"/>
      <c r="IQ13" s="1997"/>
    </row>
    <row r="14" spans="1:251" hidden="1">
      <c r="A14" s="1993"/>
      <c r="B14" s="1994" t="s">
        <v>977</v>
      </c>
      <c r="C14" s="1998"/>
      <c r="D14" s="2034"/>
      <c r="E14" s="1998"/>
      <c r="F14" s="1996"/>
      <c r="G14" s="1993">
        <v>12</v>
      </c>
      <c r="H14" s="1940">
        <f>D14*F14*G14</f>
        <v>0</v>
      </c>
      <c r="I14" s="1993"/>
      <c r="J14" s="1940">
        <f>I14*$Q$4</f>
        <v>0</v>
      </c>
      <c r="K14" s="1993"/>
      <c r="L14" s="1940">
        <f>K14*F14</f>
        <v>0</v>
      </c>
      <c r="M14" s="1940">
        <f>D14*G14*(J14+L14)</f>
        <v>0</v>
      </c>
      <c r="N14" s="1940">
        <f>H14+M14</f>
        <v>0</v>
      </c>
      <c r="O14" s="1993">
        <f t="shared" si="2"/>
        <v>0</v>
      </c>
      <c r="P14" s="1993">
        <f t="shared" si="3"/>
        <v>0</v>
      </c>
      <c r="Q14" s="1940">
        <f>N14+O14+P14</f>
        <v>0</v>
      </c>
      <c r="R14" s="1940">
        <f>Q14*10%</f>
        <v>0</v>
      </c>
      <c r="S14" s="1940">
        <f>(Q14-R14)*10%</f>
        <v>0</v>
      </c>
      <c r="T14" s="1940">
        <f>(Q14-R14)*6%</f>
        <v>0</v>
      </c>
      <c r="U14" s="1940">
        <f>(Q14-R14)*5%</f>
        <v>0</v>
      </c>
      <c r="V14" s="1997"/>
      <c r="W14" s="1997"/>
      <c r="X14" s="1997"/>
      <c r="Y14" s="1997"/>
      <c r="Z14" s="1997"/>
      <c r="AA14" s="1997"/>
      <c r="AB14" s="1997"/>
      <c r="AC14" s="1997"/>
      <c r="AD14" s="1997"/>
      <c r="AE14" s="1997"/>
      <c r="AF14" s="1997"/>
      <c r="AG14" s="1997"/>
      <c r="AH14" s="1997"/>
      <c r="AI14" s="1997"/>
      <c r="AJ14" s="1997"/>
      <c r="AK14" s="1997"/>
      <c r="AL14" s="1997"/>
      <c r="AM14" s="1997"/>
      <c r="AN14" s="1997"/>
      <c r="AO14" s="1997"/>
      <c r="AP14" s="1997"/>
      <c r="AQ14" s="1997"/>
      <c r="AR14" s="1997"/>
      <c r="AS14" s="1997"/>
      <c r="AT14" s="1997"/>
      <c r="AU14" s="1997"/>
      <c r="AV14" s="1997"/>
      <c r="AW14" s="1997"/>
      <c r="AX14" s="1997"/>
      <c r="AY14" s="1997"/>
      <c r="AZ14" s="1997"/>
      <c r="BA14" s="1997"/>
      <c r="BB14" s="1997"/>
      <c r="BC14" s="1997"/>
      <c r="BD14" s="1997"/>
      <c r="BE14" s="1997"/>
      <c r="BF14" s="1997"/>
      <c r="BG14" s="1997"/>
      <c r="BH14" s="1997"/>
      <c r="BI14" s="1997"/>
      <c r="BJ14" s="1997"/>
      <c r="BK14" s="1997"/>
      <c r="BL14" s="1997"/>
      <c r="BM14" s="1997"/>
      <c r="BN14" s="1997"/>
      <c r="BO14" s="1997"/>
      <c r="BP14" s="1997"/>
      <c r="BQ14" s="1997"/>
      <c r="BR14" s="1997"/>
      <c r="BS14" s="1997"/>
      <c r="BT14" s="1997"/>
      <c r="BU14" s="1997"/>
      <c r="BV14" s="1997"/>
      <c r="BW14" s="1997"/>
      <c r="BX14" s="1997"/>
      <c r="BY14" s="1997"/>
      <c r="BZ14" s="1997"/>
      <c r="CA14" s="1997"/>
      <c r="CB14" s="1997"/>
      <c r="CC14" s="1997"/>
      <c r="CD14" s="1997"/>
      <c r="CE14" s="1997"/>
      <c r="CF14" s="1997"/>
      <c r="CG14" s="1997"/>
      <c r="CH14" s="1997"/>
      <c r="CI14" s="1997"/>
      <c r="CJ14" s="1997"/>
      <c r="CK14" s="1997"/>
      <c r="CL14" s="1997"/>
      <c r="CM14" s="1997"/>
      <c r="CN14" s="1997"/>
      <c r="CO14" s="1997"/>
      <c r="CP14" s="1997"/>
      <c r="CQ14" s="1997"/>
      <c r="CR14" s="1997"/>
      <c r="CS14" s="1997"/>
      <c r="CT14" s="1997"/>
      <c r="CU14" s="1997"/>
      <c r="CV14" s="1997"/>
      <c r="CW14" s="1997"/>
      <c r="CX14" s="1997"/>
      <c r="CY14" s="1997"/>
      <c r="CZ14" s="1997"/>
      <c r="DA14" s="1997"/>
      <c r="DB14" s="1997"/>
      <c r="DC14" s="1997"/>
      <c r="DD14" s="1997"/>
      <c r="DE14" s="1997"/>
      <c r="DF14" s="1997"/>
      <c r="DG14" s="1997"/>
      <c r="DH14" s="1997"/>
      <c r="DI14" s="1997"/>
      <c r="DJ14" s="1997"/>
      <c r="DK14" s="1997"/>
      <c r="DL14" s="1997"/>
      <c r="DM14" s="1997"/>
      <c r="DN14" s="1997"/>
      <c r="DO14" s="1997"/>
      <c r="DP14" s="1997"/>
      <c r="DQ14" s="1997"/>
      <c r="DR14" s="1997"/>
      <c r="DS14" s="1997"/>
      <c r="DT14" s="1997"/>
      <c r="DU14" s="1997"/>
      <c r="DV14" s="1997"/>
      <c r="DW14" s="1997"/>
      <c r="DX14" s="1997"/>
      <c r="DY14" s="1997"/>
      <c r="DZ14" s="1997"/>
      <c r="EA14" s="1997"/>
      <c r="EB14" s="1997"/>
      <c r="EC14" s="1997"/>
      <c r="ED14" s="1997"/>
      <c r="EE14" s="1997"/>
      <c r="EF14" s="1997"/>
      <c r="EG14" s="1997"/>
      <c r="EH14" s="1997"/>
      <c r="EI14" s="1997"/>
      <c r="EJ14" s="1997"/>
      <c r="EK14" s="1997"/>
      <c r="EL14" s="1997"/>
      <c r="EM14" s="1997"/>
      <c r="EN14" s="1997"/>
      <c r="EO14" s="1997"/>
      <c r="EP14" s="1997"/>
      <c r="EQ14" s="1997"/>
      <c r="ER14" s="1997"/>
      <c r="ES14" s="1997"/>
      <c r="ET14" s="1997"/>
      <c r="EU14" s="1997"/>
      <c r="EV14" s="1997"/>
      <c r="EW14" s="1997"/>
      <c r="EX14" s="1997"/>
      <c r="EY14" s="1997"/>
      <c r="EZ14" s="1997"/>
      <c r="FA14" s="1997"/>
      <c r="FB14" s="1997"/>
      <c r="FC14" s="1997"/>
      <c r="FD14" s="1997"/>
      <c r="FE14" s="1997"/>
      <c r="FF14" s="1997"/>
      <c r="FG14" s="1997"/>
      <c r="FH14" s="1997"/>
      <c r="FI14" s="1997"/>
      <c r="FJ14" s="1997"/>
      <c r="FK14" s="1997"/>
      <c r="FL14" s="1997"/>
      <c r="FM14" s="1997"/>
      <c r="FN14" s="1997"/>
      <c r="FO14" s="1997"/>
      <c r="FP14" s="1997"/>
      <c r="FQ14" s="1997"/>
      <c r="FR14" s="1997"/>
      <c r="FS14" s="1997"/>
      <c r="FT14" s="1997"/>
      <c r="FU14" s="1997"/>
      <c r="FV14" s="1997"/>
      <c r="FW14" s="1997"/>
      <c r="FX14" s="1997"/>
      <c r="FY14" s="1997"/>
      <c r="FZ14" s="1997"/>
      <c r="GA14" s="1997"/>
      <c r="GB14" s="1997"/>
      <c r="GC14" s="1997"/>
      <c r="GD14" s="1997"/>
      <c r="GE14" s="1997"/>
      <c r="GF14" s="1997"/>
      <c r="GG14" s="1997"/>
      <c r="GH14" s="1997"/>
      <c r="GI14" s="1997"/>
      <c r="GJ14" s="1997"/>
      <c r="GK14" s="1997"/>
      <c r="GL14" s="1997"/>
      <c r="GM14" s="1997"/>
      <c r="GN14" s="1997"/>
      <c r="GO14" s="1997"/>
      <c r="GP14" s="1997"/>
      <c r="GQ14" s="1997"/>
      <c r="GR14" s="1997"/>
      <c r="GS14" s="1997"/>
      <c r="GT14" s="1997"/>
      <c r="GU14" s="1997"/>
      <c r="GV14" s="1997"/>
      <c r="GW14" s="1997"/>
      <c r="GX14" s="1997"/>
      <c r="GY14" s="1997"/>
      <c r="GZ14" s="1997"/>
      <c r="HA14" s="1997"/>
      <c r="HB14" s="1997"/>
      <c r="HC14" s="1997"/>
      <c r="HD14" s="1997"/>
      <c r="HE14" s="1997"/>
      <c r="HF14" s="1997"/>
      <c r="HG14" s="1997"/>
      <c r="HH14" s="1997"/>
      <c r="HI14" s="1997"/>
      <c r="HJ14" s="1997"/>
      <c r="HK14" s="1997"/>
      <c r="HL14" s="1997"/>
      <c r="HM14" s="1997"/>
      <c r="HN14" s="1997"/>
      <c r="HO14" s="1997"/>
      <c r="HP14" s="1997"/>
      <c r="HQ14" s="1997"/>
      <c r="HR14" s="1997"/>
      <c r="HS14" s="1997"/>
      <c r="HT14" s="1997"/>
      <c r="HU14" s="1997"/>
      <c r="HV14" s="1997"/>
      <c r="HW14" s="1997"/>
      <c r="HX14" s="1997"/>
      <c r="HY14" s="1997"/>
      <c r="HZ14" s="1997"/>
      <c r="IA14" s="1997"/>
      <c r="IB14" s="1997"/>
      <c r="IC14" s="1997"/>
      <c r="ID14" s="1997"/>
      <c r="IE14" s="1997"/>
      <c r="IF14" s="1997"/>
      <c r="IG14" s="1997"/>
      <c r="IH14" s="1997"/>
      <c r="II14" s="1997"/>
      <c r="IJ14" s="1997"/>
      <c r="IK14" s="1997"/>
      <c r="IL14" s="1997"/>
      <c r="IM14" s="1997"/>
      <c r="IN14" s="1997"/>
      <c r="IO14" s="1997"/>
      <c r="IP14" s="1997"/>
      <c r="IQ14" s="1997"/>
    </row>
    <row r="15" spans="1:251" hidden="1">
      <c r="A15" s="1993"/>
      <c r="B15" s="1994" t="s">
        <v>978</v>
      </c>
      <c r="C15" s="1998"/>
      <c r="D15" s="2034"/>
      <c r="E15" s="1998"/>
      <c r="F15" s="1996"/>
      <c r="G15" s="1993">
        <v>12</v>
      </c>
      <c r="H15" s="1940">
        <f t="shared" ref="H15:H32" si="4">D15*F15*G15</f>
        <v>0</v>
      </c>
      <c r="I15" s="1993"/>
      <c r="J15" s="1940">
        <f t="shared" ref="J15:J63" si="5">I15*$Q$4</f>
        <v>0</v>
      </c>
      <c r="K15" s="1993"/>
      <c r="L15" s="1940">
        <f t="shared" ref="L15:L32" si="6">K15*F15</f>
        <v>0</v>
      </c>
      <c r="M15" s="1940">
        <f>D15*G15*(J15+L15)</f>
        <v>0</v>
      </c>
      <c r="N15" s="1940">
        <f t="shared" ref="N15:N32" si="7">H15+M15</f>
        <v>0</v>
      </c>
      <c r="O15" s="1993">
        <f t="shared" si="2"/>
        <v>0</v>
      </c>
      <c r="P15" s="1993">
        <f t="shared" si="3"/>
        <v>0</v>
      </c>
      <c r="Q15" s="1940">
        <f t="shared" ref="Q15:Q32" si="8">N15+O15+P15</f>
        <v>0</v>
      </c>
      <c r="R15" s="1940">
        <f t="shared" ref="R15:R63" si="9">Q15*10%</f>
        <v>0</v>
      </c>
      <c r="S15" s="1940">
        <f t="shared" ref="S15:S32" si="10">(Q15-R15)*10%</f>
        <v>0</v>
      </c>
      <c r="T15" s="1940">
        <f t="shared" ref="T15:T32" si="11">(Q15-R15)*6%</f>
        <v>0</v>
      </c>
      <c r="U15" s="1940">
        <f t="shared" ref="U15:U32" si="12">(Q15-R15)*5%</f>
        <v>0</v>
      </c>
      <c r="V15" s="1997"/>
      <c r="W15" s="1997"/>
      <c r="X15" s="1997"/>
      <c r="Y15" s="1997"/>
      <c r="Z15" s="1997"/>
      <c r="AA15" s="1997"/>
      <c r="AB15" s="1997"/>
      <c r="AC15" s="1997"/>
      <c r="AD15" s="1997"/>
      <c r="AE15" s="1997"/>
      <c r="AF15" s="1997"/>
      <c r="AG15" s="1997"/>
      <c r="AH15" s="1997"/>
      <c r="AI15" s="1997"/>
      <c r="AJ15" s="1997"/>
      <c r="AK15" s="1997"/>
      <c r="AL15" s="1997"/>
      <c r="AM15" s="1997"/>
      <c r="AN15" s="1997"/>
      <c r="AO15" s="1997"/>
      <c r="AP15" s="1997"/>
      <c r="AQ15" s="1997"/>
      <c r="AR15" s="1997"/>
      <c r="AS15" s="1997"/>
      <c r="AT15" s="1997"/>
      <c r="AU15" s="1997"/>
      <c r="AV15" s="1997"/>
      <c r="AW15" s="1997"/>
      <c r="AX15" s="1997"/>
      <c r="AY15" s="1997"/>
      <c r="AZ15" s="1997"/>
      <c r="BA15" s="1997"/>
      <c r="BB15" s="1997"/>
      <c r="BC15" s="1997"/>
      <c r="BD15" s="1997"/>
      <c r="BE15" s="1997"/>
      <c r="BF15" s="1997"/>
      <c r="BG15" s="1997"/>
      <c r="BH15" s="1997"/>
      <c r="BI15" s="1997"/>
      <c r="BJ15" s="1997"/>
      <c r="BK15" s="1997"/>
      <c r="BL15" s="1997"/>
      <c r="BM15" s="1997"/>
      <c r="BN15" s="1997"/>
      <c r="BO15" s="1997"/>
      <c r="BP15" s="1997"/>
      <c r="BQ15" s="1997"/>
      <c r="BR15" s="1997"/>
      <c r="BS15" s="1997"/>
      <c r="BT15" s="1997"/>
      <c r="BU15" s="1997"/>
      <c r="BV15" s="1997"/>
      <c r="BW15" s="1997"/>
      <c r="BX15" s="1997"/>
      <c r="BY15" s="1997"/>
      <c r="BZ15" s="1997"/>
      <c r="CA15" s="1997"/>
      <c r="CB15" s="1997"/>
      <c r="CC15" s="1997"/>
      <c r="CD15" s="1997"/>
      <c r="CE15" s="1997"/>
      <c r="CF15" s="1997"/>
      <c r="CG15" s="1997"/>
      <c r="CH15" s="1997"/>
      <c r="CI15" s="1997"/>
      <c r="CJ15" s="1997"/>
      <c r="CK15" s="1997"/>
      <c r="CL15" s="1997"/>
      <c r="CM15" s="1997"/>
      <c r="CN15" s="1997"/>
      <c r="CO15" s="1997"/>
      <c r="CP15" s="1997"/>
      <c r="CQ15" s="1997"/>
      <c r="CR15" s="1997"/>
      <c r="CS15" s="1997"/>
      <c r="CT15" s="1997"/>
      <c r="CU15" s="1997"/>
      <c r="CV15" s="1997"/>
      <c r="CW15" s="1997"/>
      <c r="CX15" s="1997"/>
      <c r="CY15" s="1997"/>
      <c r="CZ15" s="1997"/>
      <c r="DA15" s="1997"/>
      <c r="DB15" s="1997"/>
      <c r="DC15" s="1997"/>
      <c r="DD15" s="1997"/>
      <c r="DE15" s="1997"/>
      <c r="DF15" s="1997"/>
      <c r="DG15" s="1997"/>
      <c r="DH15" s="1997"/>
      <c r="DI15" s="1997"/>
      <c r="DJ15" s="1997"/>
      <c r="DK15" s="1997"/>
      <c r="DL15" s="1997"/>
      <c r="DM15" s="1997"/>
      <c r="DN15" s="1997"/>
      <c r="DO15" s="1997"/>
      <c r="DP15" s="1997"/>
      <c r="DQ15" s="1997"/>
      <c r="DR15" s="1997"/>
      <c r="DS15" s="1997"/>
      <c r="DT15" s="1997"/>
      <c r="DU15" s="1997"/>
      <c r="DV15" s="1997"/>
      <c r="DW15" s="1997"/>
      <c r="DX15" s="1997"/>
      <c r="DY15" s="1997"/>
      <c r="DZ15" s="1997"/>
      <c r="EA15" s="1997"/>
      <c r="EB15" s="1997"/>
      <c r="EC15" s="1997"/>
      <c r="ED15" s="1997"/>
      <c r="EE15" s="1997"/>
      <c r="EF15" s="1997"/>
      <c r="EG15" s="1997"/>
      <c r="EH15" s="1997"/>
      <c r="EI15" s="1997"/>
      <c r="EJ15" s="1997"/>
      <c r="EK15" s="1997"/>
      <c r="EL15" s="1997"/>
      <c r="EM15" s="1997"/>
      <c r="EN15" s="1997"/>
      <c r="EO15" s="1997"/>
      <c r="EP15" s="1997"/>
      <c r="EQ15" s="1997"/>
      <c r="ER15" s="1997"/>
      <c r="ES15" s="1997"/>
      <c r="ET15" s="1997"/>
      <c r="EU15" s="1997"/>
      <c r="EV15" s="1997"/>
      <c r="EW15" s="1997"/>
      <c r="EX15" s="1997"/>
      <c r="EY15" s="1997"/>
      <c r="EZ15" s="1997"/>
      <c r="FA15" s="1997"/>
      <c r="FB15" s="1997"/>
      <c r="FC15" s="1997"/>
      <c r="FD15" s="1997"/>
      <c r="FE15" s="1997"/>
      <c r="FF15" s="1997"/>
      <c r="FG15" s="1997"/>
      <c r="FH15" s="1997"/>
      <c r="FI15" s="1997"/>
      <c r="FJ15" s="1997"/>
      <c r="FK15" s="1997"/>
      <c r="FL15" s="1997"/>
      <c r="FM15" s="1997"/>
      <c r="FN15" s="1997"/>
      <c r="FO15" s="1997"/>
      <c r="FP15" s="1997"/>
      <c r="FQ15" s="1997"/>
      <c r="FR15" s="1997"/>
      <c r="FS15" s="1997"/>
      <c r="FT15" s="1997"/>
      <c r="FU15" s="1997"/>
      <c r="FV15" s="1997"/>
      <c r="FW15" s="1997"/>
      <c r="FX15" s="1997"/>
      <c r="FY15" s="1997"/>
      <c r="FZ15" s="1997"/>
      <c r="GA15" s="1997"/>
      <c r="GB15" s="1997"/>
      <c r="GC15" s="1997"/>
      <c r="GD15" s="1997"/>
      <c r="GE15" s="1997"/>
      <c r="GF15" s="1997"/>
      <c r="GG15" s="1997"/>
      <c r="GH15" s="1997"/>
      <c r="GI15" s="1997"/>
      <c r="GJ15" s="1997"/>
      <c r="GK15" s="1997"/>
      <c r="GL15" s="1997"/>
      <c r="GM15" s="1997"/>
      <c r="GN15" s="1997"/>
      <c r="GO15" s="1997"/>
      <c r="GP15" s="1997"/>
      <c r="GQ15" s="1997"/>
      <c r="GR15" s="1997"/>
      <c r="GS15" s="1997"/>
      <c r="GT15" s="1997"/>
      <c r="GU15" s="1997"/>
      <c r="GV15" s="1997"/>
      <c r="GW15" s="1997"/>
      <c r="GX15" s="1997"/>
      <c r="GY15" s="1997"/>
      <c r="GZ15" s="1997"/>
      <c r="HA15" s="1997"/>
      <c r="HB15" s="1997"/>
      <c r="HC15" s="1997"/>
      <c r="HD15" s="1997"/>
      <c r="HE15" s="1997"/>
      <c r="HF15" s="1997"/>
      <c r="HG15" s="1997"/>
      <c r="HH15" s="1997"/>
      <c r="HI15" s="1997"/>
      <c r="HJ15" s="1997"/>
      <c r="HK15" s="1997"/>
      <c r="HL15" s="1997"/>
      <c r="HM15" s="1997"/>
      <c r="HN15" s="1997"/>
      <c r="HO15" s="1997"/>
      <c r="HP15" s="1997"/>
      <c r="HQ15" s="1997"/>
      <c r="HR15" s="1997"/>
      <c r="HS15" s="1997"/>
      <c r="HT15" s="1997"/>
      <c r="HU15" s="1997"/>
      <c r="HV15" s="1997"/>
      <c r="HW15" s="1997"/>
      <c r="HX15" s="1997"/>
      <c r="HY15" s="1997"/>
      <c r="HZ15" s="1997"/>
      <c r="IA15" s="1997"/>
      <c r="IB15" s="1997"/>
      <c r="IC15" s="1997"/>
      <c r="ID15" s="1997"/>
      <c r="IE15" s="1997"/>
      <c r="IF15" s="1997"/>
      <c r="IG15" s="1997"/>
      <c r="IH15" s="1997"/>
      <c r="II15" s="1997"/>
      <c r="IJ15" s="1997"/>
      <c r="IK15" s="1997"/>
      <c r="IL15" s="1997"/>
      <c r="IM15" s="1997"/>
      <c r="IN15" s="1997"/>
      <c r="IO15" s="1997"/>
      <c r="IP15" s="1997"/>
      <c r="IQ15" s="1997"/>
    </row>
    <row r="16" spans="1:251" hidden="1">
      <c r="A16" s="1993"/>
      <c r="B16" s="1994" t="s">
        <v>524</v>
      </c>
      <c r="C16" s="1998"/>
      <c r="D16" s="2034"/>
      <c r="E16" s="1998"/>
      <c r="F16" s="1996"/>
      <c r="G16" s="1993">
        <v>12</v>
      </c>
      <c r="H16" s="1940">
        <f>D16*F16*G16</f>
        <v>0</v>
      </c>
      <c r="I16" s="1993"/>
      <c r="J16" s="1940">
        <f t="shared" si="5"/>
        <v>0</v>
      </c>
      <c r="K16" s="1993"/>
      <c r="L16" s="1940">
        <f t="shared" si="6"/>
        <v>0</v>
      </c>
      <c r="M16" s="1940">
        <f t="shared" ref="M16:M32" si="13">D16*G16*(J16+L16)</f>
        <v>0</v>
      </c>
      <c r="N16" s="1940">
        <f>H16+M16</f>
        <v>0</v>
      </c>
      <c r="O16" s="1993">
        <f t="shared" si="2"/>
        <v>0</v>
      </c>
      <c r="P16" s="1993">
        <f t="shared" si="3"/>
        <v>0</v>
      </c>
      <c r="Q16" s="1940">
        <f t="shared" si="8"/>
        <v>0</v>
      </c>
      <c r="R16" s="1940">
        <f t="shared" si="9"/>
        <v>0</v>
      </c>
      <c r="S16" s="1940">
        <f t="shared" si="10"/>
        <v>0</v>
      </c>
      <c r="T16" s="1940">
        <f t="shared" si="11"/>
        <v>0</v>
      </c>
      <c r="U16" s="1940">
        <f t="shared" si="12"/>
        <v>0</v>
      </c>
      <c r="V16" s="1997"/>
      <c r="W16" s="1997"/>
      <c r="X16" s="1997"/>
      <c r="Y16" s="1997"/>
      <c r="Z16" s="1997"/>
      <c r="AA16" s="1997"/>
      <c r="AB16" s="1997"/>
      <c r="AC16" s="1997"/>
      <c r="AD16" s="1997"/>
      <c r="AE16" s="1997"/>
      <c r="AF16" s="1997"/>
      <c r="AG16" s="1997"/>
      <c r="AH16" s="1997"/>
      <c r="AI16" s="1997"/>
      <c r="AJ16" s="1997"/>
      <c r="AK16" s="1997"/>
      <c r="AL16" s="1997"/>
      <c r="AM16" s="1997"/>
      <c r="AN16" s="1997"/>
      <c r="AO16" s="1997"/>
      <c r="AP16" s="1997"/>
      <c r="AQ16" s="1997"/>
      <c r="AR16" s="1997"/>
      <c r="AS16" s="1997"/>
      <c r="AT16" s="1997"/>
      <c r="AU16" s="1997"/>
      <c r="AV16" s="1997"/>
      <c r="AW16" s="1997"/>
      <c r="AX16" s="1997"/>
      <c r="AY16" s="1997"/>
      <c r="AZ16" s="1997"/>
      <c r="BA16" s="1997"/>
      <c r="BB16" s="1997"/>
      <c r="BC16" s="1997"/>
      <c r="BD16" s="1997"/>
      <c r="BE16" s="1997"/>
      <c r="BF16" s="1997"/>
      <c r="BG16" s="1997"/>
      <c r="BH16" s="1997"/>
      <c r="BI16" s="1997"/>
      <c r="BJ16" s="1997"/>
      <c r="BK16" s="1997"/>
      <c r="BL16" s="1997"/>
      <c r="BM16" s="1997"/>
      <c r="BN16" s="1997"/>
      <c r="BO16" s="1997"/>
      <c r="BP16" s="1997"/>
      <c r="BQ16" s="1997"/>
      <c r="BR16" s="1997"/>
      <c r="BS16" s="1997"/>
      <c r="BT16" s="1997"/>
      <c r="BU16" s="1997"/>
      <c r="BV16" s="1997"/>
      <c r="BW16" s="1997"/>
      <c r="BX16" s="1997"/>
      <c r="BY16" s="1997"/>
      <c r="BZ16" s="1997"/>
      <c r="CA16" s="1997"/>
      <c r="CB16" s="1997"/>
      <c r="CC16" s="1997"/>
      <c r="CD16" s="1997"/>
      <c r="CE16" s="1997"/>
      <c r="CF16" s="1997"/>
      <c r="CG16" s="1997"/>
      <c r="CH16" s="1997"/>
      <c r="CI16" s="1997"/>
      <c r="CJ16" s="1997"/>
      <c r="CK16" s="1997"/>
      <c r="CL16" s="1997"/>
      <c r="CM16" s="1997"/>
      <c r="CN16" s="1997"/>
      <c r="CO16" s="1997"/>
      <c r="CP16" s="1997"/>
      <c r="CQ16" s="1997"/>
      <c r="CR16" s="1997"/>
      <c r="CS16" s="1997"/>
      <c r="CT16" s="1997"/>
      <c r="CU16" s="1997"/>
      <c r="CV16" s="1997"/>
      <c r="CW16" s="1997"/>
      <c r="CX16" s="1997"/>
      <c r="CY16" s="1997"/>
      <c r="CZ16" s="1997"/>
      <c r="DA16" s="1997"/>
      <c r="DB16" s="1997"/>
      <c r="DC16" s="1997"/>
      <c r="DD16" s="1997"/>
      <c r="DE16" s="1997"/>
      <c r="DF16" s="1997"/>
      <c r="DG16" s="1997"/>
      <c r="DH16" s="1997"/>
      <c r="DI16" s="1997"/>
      <c r="DJ16" s="1997"/>
      <c r="DK16" s="1997"/>
      <c r="DL16" s="1997"/>
      <c r="DM16" s="1997"/>
      <c r="DN16" s="1997"/>
      <c r="DO16" s="1997"/>
      <c r="DP16" s="1997"/>
      <c r="DQ16" s="1997"/>
      <c r="DR16" s="1997"/>
      <c r="DS16" s="1997"/>
      <c r="DT16" s="1997"/>
      <c r="DU16" s="1997"/>
      <c r="DV16" s="1997"/>
      <c r="DW16" s="1997"/>
      <c r="DX16" s="1997"/>
      <c r="DY16" s="1997"/>
      <c r="DZ16" s="1997"/>
      <c r="EA16" s="1997"/>
      <c r="EB16" s="1997"/>
      <c r="EC16" s="1997"/>
      <c r="ED16" s="1997"/>
      <c r="EE16" s="1997"/>
      <c r="EF16" s="1997"/>
      <c r="EG16" s="1997"/>
      <c r="EH16" s="1997"/>
      <c r="EI16" s="1997"/>
      <c r="EJ16" s="1997"/>
      <c r="EK16" s="1997"/>
      <c r="EL16" s="1997"/>
      <c r="EM16" s="1997"/>
      <c r="EN16" s="1997"/>
      <c r="EO16" s="1997"/>
      <c r="EP16" s="1997"/>
      <c r="EQ16" s="1997"/>
      <c r="ER16" s="1997"/>
      <c r="ES16" s="1997"/>
      <c r="ET16" s="1997"/>
      <c r="EU16" s="1997"/>
      <c r="EV16" s="1997"/>
      <c r="EW16" s="1997"/>
      <c r="EX16" s="1997"/>
      <c r="EY16" s="1997"/>
      <c r="EZ16" s="1997"/>
      <c r="FA16" s="1997"/>
      <c r="FB16" s="1997"/>
      <c r="FC16" s="1997"/>
      <c r="FD16" s="1997"/>
      <c r="FE16" s="1997"/>
      <c r="FF16" s="1997"/>
      <c r="FG16" s="1997"/>
      <c r="FH16" s="1997"/>
      <c r="FI16" s="1997"/>
      <c r="FJ16" s="1997"/>
      <c r="FK16" s="1997"/>
      <c r="FL16" s="1997"/>
      <c r="FM16" s="1997"/>
      <c r="FN16" s="1997"/>
      <c r="FO16" s="1997"/>
      <c r="FP16" s="1997"/>
      <c r="FQ16" s="1997"/>
      <c r="FR16" s="1997"/>
      <c r="FS16" s="1997"/>
      <c r="FT16" s="1997"/>
      <c r="FU16" s="1997"/>
      <c r="FV16" s="1997"/>
      <c r="FW16" s="1997"/>
      <c r="FX16" s="1997"/>
      <c r="FY16" s="1997"/>
      <c r="FZ16" s="1997"/>
      <c r="GA16" s="1997"/>
      <c r="GB16" s="1997"/>
      <c r="GC16" s="1997"/>
      <c r="GD16" s="1997"/>
      <c r="GE16" s="1997"/>
      <c r="GF16" s="1997"/>
      <c r="GG16" s="1997"/>
      <c r="GH16" s="1997"/>
      <c r="GI16" s="1997"/>
      <c r="GJ16" s="1997"/>
      <c r="GK16" s="1997"/>
      <c r="GL16" s="1997"/>
      <c r="GM16" s="1997"/>
      <c r="GN16" s="1997"/>
      <c r="GO16" s="1997"/>
      <c r="GP16" s="1997"/>
      <c r="GQ16" s="1997"/>
      <c r="GR16" s="1997"/>
      <c r="GS16" s="1997"/>
      <c r="GT16" s="1997"/>
      <c r="GU16" s="1997"/>
      <c r="GV16" s="1997"/>
      <c r="GW16" s="1997"/>
      <c r="GX16" s="1997"/>
      <c r="GY16" s="1997"/>
      <c r="GZ16" s="1997"/>
      <c r="HA16" s="1997"/>
      <c r="HB16" s="1997"/>
      <c r="HC16" s="1997"/>
      <c r="HD16" s="1997"/>
      <c r="HE16" s="1997"/>
      <c r="HF16" s="1997"/>
      <c r="HG16" s="1997"/>
      <c r="HH16" s="1997"/>
      <c r="HI16" s="1997"/>
      <c r="HJ16" s="1997"/>
      <c r="HK16" s="1997"/>
      <c r="HL16" s="1997"/>
      <c r="HM16" s="1997"/>
      <c r="HN16" s="1997"/>
      <c r="HO16" s="1997"/>
      <c r="HP16" s="1997"/>
      <c r="HQ16" s="1997"/>
      <c r="HR16" s="1997"/>
      <c r="HS16" s="1997"/>
      <c r="HT16" s="1997"/>
      <c r="HU16" s="1997"/>
      <c r="HV16" s="1997"/>
      <c r="HW16" s="1997"/>
      <c r="HX16" s="1997"/>
      <c r="HY16" s="1997"/>
      <c r="HZ16" s="1997"/>
      <c r="IA16" s="1997"/>
      <c r="IB16" s="1997"/>
      <c r="IC16" s="1997"/>
      <c r="ID16" s="1997"/>
      <c r="IE16" s="1997"/>
      <c r="IF16" s="1997"/>
      <c r="IG16" s="1997"/>
      <c r="IH16" s="1997"/>
      <c r="II16" s="1997"/>
      <c r="IJ16" s="1997"/>
      <c r="IK16" s="1997"/>
      <c r="IL16" s="1997"/>
      <c r="IM16" s="1997"/>
      <c r="IN16" s="1997"/>
      <c r="IO16" s="1997"/>
      <c r="IP16" s="1997"/>
      <c r="IQ16" s="1997"/>
    </row>
    <row r="17" spans="1:251" hidden="1">
      <c r="A17" s="1993"/>
      <c r="B17" s="1998"/>
      <c r="C17" s="1998"/>
      <c r="D17" s="2034"/>
      <c r="E17" s="1998"/>
      <c r="F17" s="1940">
        <f t="shared" ref="F17:F63" si="14">ROUNDUP((E17*$Q$5),-3)</f>
        <v>0</v>
      </c>
      <c r="G17" s="1993"/>
      <c r="H17" s="1940">
        <f t="shared" si="4"/>
        <v>0</v>
      </c>
      <c r="I17" s="1993"/>
      <c r="J17" s="1940">
        <f t="shared" si="5"/>
        <v>0</v>
      </c>
      <c r="K17" s="1993"/>
      <c r="L17" s="1940">
        <f t="shared" si="6"/>
        <v>0</v>
      </c>
      <c r="M17" s="1940">
        <f t="shared" si="13"/>
        <v>0</v>
      </c>
      <c r="N17" s="1940">
        <f t="shared" si="7"/>
        <v>0</v>
      </c>
      <c r="O17" s="1993"/>
      <c r="P17" s="1993"/>
      <c r="Q17" s="1940">
        <f t="shared" si="8"/>
        <v>0</v>
      </c>
      <c r="R17" s="1940">
        <f t="shared" si="9"/>
        <v>0</v>
      </c>
      <c r="S17" s="1940">
        <f t="shared" si="10"/>
        <v>0</v>
      </c>
      <c r="T17" s="1940">
        <f t="shared" si="11"/>
        <v>0</v>
      </c>
      <c r="U17" s="1940">
        <f t="shared" si="12"/>
        <v>0</v>
      </c>
      <c r="V17" s="1997"/>
      <c r="W17" s="1997"/>
      <c r="X17" s="1997"/>
      <c r="Y17" s="1997"/>
      <c r="Z17" s="1997"/>
      <c r="AA17" s="1997"/>
      <c r="AB17" s="1997"/>
      <c r="AC17" s="1997"/>
      <c r="AD17" s="1997"/>
      <c r="AE17" s="1997"/>
      <c r="AF17" s="1997"/>
      <c r="AG17" s="1997"/>
      <c r="AH17" s="1997"/>
      <c r="AI17" s="1997"/>
      <c r="AJ17" s="1997"/>
      <c r="AK17" s="1997"/>
      <c r="AL17" s="1997"/>
      <c r="AM17" s="1997"/>
      <c r="AN17" s="1997"/>
      <c r="AO17" s="1997"/>
      <c r="AP17" s="1997"/>
      <c r="AQ17" s="1997"/>
      <c r="AR17" s="1997"/>
      <c r="AS17" s="1997"/>
      <c r="AT17" s="1997"/>
      <c r="AU17" s="1997"/>
      <c r="AV17" s="1997"/>
      <c r="AW17" s="1997"/>
      <c r="AX17" s="1997"/>
      <c r="AY17" s="1997"/>
      <c r="AZ17" s="1997"/>
      <c r="BA17" s="1997"/>
      <c r="BB17" s="1997"/>
      <c r="BC17" s="1997"/>
      <c r="BD17" s="1997"/>
      <c r="BE17" s="1997"/>
      <c r="BF17" s="1997"/>
      <c r="BG17" s="1997"/>
      <c r="BH17" s="1997"/>
      <c r="BI17" s="1997"/>
      <c r="BJ17" s="1997"/>
      <c r="BK17" s="1997"/>
      <c r="BL17" s="1997"/>
      <c r="BM17" s="1997"/>
      <c r="BN17" s="1997"/>
      <c r="BO17" s="1997"/>
      <c r="BP17" s="1997"/>
      <c r="BQ17" s="1997"/>
      <c r="BR17" s="1997"/>
      <c r="BS17" s="1997"/>
      <c r="BT17" s="1997"/>
      <c r="BU17" s="1997"/>
      <c r="BV17" s="1997"/>
      <c r="BW17" s="1997"/>
      <c r="BX17" s="1997"/>
      <c r="BY17" s="1997"/>
      <c r="BZ17" s="1997"/>
      <c r="CA17" s="1997"/>
      <c r="CB17" s="1997"/>
      <c r="CC17" s="1997"/>
      <c r="CD17" s="1997"/>
      <c r="CE17" s="1997"/>
      <c r="CF17" s="1997"/>
      <c r="CG17" s="1997"/>
      <c r="CH17" s="1997"/>
      <c r="CI17" s="1997"/>
      <c r="CJ17" s="1997"/>
      <c r="CK17" s="1997"/>
      <c r="CL17" s="1997"/>
      <c r="CM17" s="1997"/>
      <c r="CN17" s="1997"/>
      <c r="CO17" s="1997"/>
      <c r="CP17" s="1997"/>
      <c r="CQ17" s="1997"/>
      <c r="CR17" s="1997"/>
      <c r="CS17" s="1997"/>
      <c r="CT17" s="1997"/>
      <c r="CU17" s="1997"/>
      <c r="CV17" s="1997"/>
      <c r="CW17" s="1997"/>
      <c r="CX17" s="1997"/>
      <c r="CY17" s="1997"/>
      <c r="CZ17" s="1997"/>
      <c r="DA17" s="1997"/>
      <c r="DB17" s="1997"/>
      <c r="DC17" s="1997"/>
      <c r="DD17" s="1997"/>
      <c r="DE17" s="1997"/>
      <c r="DF17" s="1997"/>
      <c r="DG17" s="1997"/>
      <c r="DH17" s="1997"/>
      <c r="DI17" s="1997"/>
      <c r="DJ17" s="1997"/>
      <c r="DK17" s="1997"/>
      <c r="DL17" s="1997"/>
      <c r="DM17" s="1997"/>
      <c r="DN17" s="1997"/>
      <c r="DO17" s="1997"/>
      <c r="DP17" s="1997"/>
      <c r="DQ17" s="1997"/>
      <c r="DR17" s="1997"/>
      <c r="DS17" s="1997"/>
      <c r="DT17" s="1997"/>
      <c r="DU17" s="1997"/>
      <c r="DV17" s="1997"/>
      <c r="DW17" s="1997"/>
      <c r="DX17" s="1997"/>
      <c r="DY17" s="1997"/>
      <c r="DZ17" s="1997"/>
      <c r="EA17" s="1997"/>
      <c r="EB17" s="1997"/>
      <c r="EC17" s="1997"/>
      <c r="ED17" s="1997"/>
      <c r="EE17" s="1997"/>
      <c r="EF17" s="1997"/>
      <c r="EG17" s="1997"/>
      <c r="EH17" s="1997"/>
      <c r="EI17" s="1997"/>
      <c r="EJ17" s="1997"/>
      <c r="EK17" s="1997"/>
      <c r="EL17" s="1997"/>
      <c r="EM17" s="1997"/>
      <c r="EN17" s="1997"/>
      <c r="EO17" s="1997"/>
      <c r="EP17" s="1997"/>
      <c r="EQ17" s="1997"/>
      <c r="ER17" s="1997"/>
      <c r="ES17" s="1997"/>
      <c r="ET17" s="1997"/>
      <c r="EU17" s="1997"/>
      <c r="EV17" s="1997"/>
      <c r="EW17" s="1997"/>
      <c r="EX17" s="1997"/>
      <c r="EY17" s="1997"/>
      <c r="EZ17" s="1997"/>
      <c r="FA17" s="1997"/>
      <c r="FB17" s="1997"/>
      <c r="FC17" s="1997"/>
      <c r="FD17" s="1997"/>
      <c r="FE17" s="1997"/>
      <c r="FF17" s="1997"/>
      <c r="FG17" s="1997"/>
      <c r="FH17" s="1997"/>
      <c r="FI17" s="1997"/>
      <c r="FJ17" s="1997"/>
      <c r="FK17" s="1997"/>
      <c r="FL17" s="1997"/>
      <c r="FM17" s="1997"/>
      <c r="FN17" s="1997"/>
      <c r="FO17" s="1997"/>
      <c r="FP17" s="1997"/>
      <c r="FQ17" s="1997"/>
      <c r="FR17" s="1997"/>
      <c r="FS17" s="1997"/>
      <c r="FT17" s="1997"/>
      <c r="FU17" s="1997"/>
      <c r="FV17" s="1997"/>
      <c r="FW17" s="1997"/>
      <c r="FX17" s="1997"/>
      <c r="FY17" s="1997"/>
      <c r="FZ17" s="1997"/>
      <c r="GA17" s="1997"/>
      <c r="GB17" s="1997"/>
      <c r="GC17" s="1997"/>
      <c r="GD17" s="1997"/>
      <c r="GE17" s="1997"/>
      <c r="GF17" s="1997"/>
      <c r="GG17" s="1997"/>
      <c r="GH17" s="1997"/>
      <c r="GI17" s="1997"/>
      <c r="GJ17" s="1997"/>
      <c r="GK17" s="1997"/>
      <c r="GL17" s="1997"/>
      <c r="GM17" s="1997"/>
      <c r="GN17" s="1997"/>
      <c r="GO17" s="1997"/>
      <c r="GP17" s="1997"/>
      <c r="GQ17" s="1997"/>
      <c r="GR17" s="1997"/>
      <c r="GS17" s="1997"/>
      <c r="GT17" s="1997"/>
      <c r="GU17" s="1997"/>
      <c r="GV17" s="1997"/>
      <c r="GW17" s="1997"/>
      <c r="GX17" s="1997"/>
      <c r="GY17" s="1997"/>
      <c r="GZ17" s="1997"/>
      <c r="HA17" s="1997"/>
      <c r="HB17" s="1997"/>
      <c r="HC17" s="1997"/>
      <c r="HD17" s="1997"/>
      <c r="HE17" s="1997"/>
      <c r="HF17" s="1997"/>
      <c r="HG17" s="1997"/>
      <c r="HH17" s="1997"/>
      <c r="HI17" s="1997"/>
      <c r="HJ17" s="1997"/>
      <c r="HK17" s="1997"/>
      <c r="HL17" s="1997"/>
      <c r="HM17" s="1997"/>
      <c r="HN17" s="1997"/>
      <c r="HO17" s="1997"/>
      <c r="HP17" s="1997"/>
      <c r="HQ17" s="1997"/>
      <c r="HR17" s="1997"/>
      <c r="HS17" s="1997"/>
      <c r="HT17" s="1997"/>
      <c r="HU17" s="1997"/>
      <c r="HV17" s="1997"/>
      <c r="HW17" s="1997"/>
      <c r="HX17" s="1997"/>
      <c r="HY17" s="1997"/>
      <c r="HZ17" s="1997"/>
      <c r="IA17" s="1997"/>
      <c r="IB17" s="1997"/>
      <c r="IC17" s="1997"/>
      <c r="ID17" s="1997"/>
      <c r="IE17" s="1997"/>
      <c r="IF17" s="1997"/>
      <c r="IG17" s="1997"/>
      <c r="IH17" s="1997"/>
      <c r="II17" s="1997"/>
      <c r="IJ17" s="1997"/>
      <c r="IK17" s="1997"/>
      <c r="IL17" s="1997"/>
      <c r="IM17" s="1997"/>
      <c r="IN17" s="1997"/>
      <c r="IO17" s="1997"/>
      <c r="IP17" s="1997"/>
      <c r="IQ17" s="1997"/>
    </row>
    <row r="18" spans="1:251" hidden="1">
      <c r="A18" s="1993"/>
      <c r="B18" s="1998"/>
      <c r="C18" s="1998"/>
      <c r="D18" s="2034"/>
      <c r="E18" s="1998"/>
      <c r="F18" s="1940">
        <f t="shared" si="14"/>
        <v>0</v>
      </c>
      <c r="G18" s="1993"/>
      <c r="H18" s="1940">
        <f t="shared" si="4"/>
        <v>0</v>
      </c>
      <c r="I18" s="1993"/>
      <c r="J18" s="1940">
        <f t="shared" si="5"/>
        <v>0</v>
      </c>
      <c r="K18" s="1993"/>
      <c r="L18" s="1940">
        <f t="shared" si="6"/>
        <v>0</v>
      </c>
      <c r="M18" s="1940">
        <f t="shared" si="13"/>
        <v>0</v>
      </c>
      <c r="N18" s="1940">
        <f t="shared" si="7"/>
        <v>0</v>
      </c>
      <c r="O18" s="1993"/>
      <c r="P18" s="1993"/>
      <c r="Q18" s="1940">
        <f t="shared" si="8"/>
        <v>0</v>
      </c>
      <c r="R18" s="1940">
        <f t="shared" si="9"/>
        <v>0</v>
      </c>
      <c r="S18" s="1940">
        <f t="shared" si="10"/>
        <v>0</v>
      </c>
      <c r="T18" s="1940">
        <f t="shared" si="11"/>
        <v>0</v>
      </c>
      <c r="U18" s="1940">
        <f t="shared" si="12"/>
        <v>0</v>
      </c>
      <c r="V18" s="1997"/>
      <c r="W18" s="1997"/>
      <c r="X18" s="1997"/>
      <c r="Y18" s="1997"/>
      <c r="Z18" s="1997"/>
      <c r="AA18" s="1997"/>
      <c r="AB18" s="1997"/>
      <c r="AC18" s="1997"/>
      <c r="AD18" s="1997"/>
      <c r="AE18" s="1997"/>
      <c r="AF18" s="1997"/>
      <c r="AG18" s="1997"/>
      <c r="AH18" s="1997"/>
      <c r="AI18" s="1997"/>
      <c r="AJ18" s="1997"/>
      <c r="AK18" s="1997"/>
      <c r="AL18" s="1997"/>
      <c r="AM18" s="1997"/>
      <c r="AN18" s="1997"/>
      <c r="AO18" s="1997"/>
      <c r="AP18" s="1997"/>
      <c r="AQ18" s="1997"/>
      <c r="AR18" s="1997"/>
      <c r="AS18" s="1997"/>
      <c r="AT18" s="1997"/>
      <c r="AU18" s="1997"/>
      <c r="AV18" s="1997"/>
      <c r="AW18" s="1997"/>
      <c r="AX18" s="1997"/>
      <c r="AY18" s="1997"/>
      <c r="AZ18" s="1997"/>
      <c r="BA18" s="1997"/>
      <c r="BB18" s="1997"/>
      <c r="BC18" s="1997"/>
      <c r="BD18" s="1997"/>
      <c r="BE18" s="1997"/>
      <c r="BF18" s="1997"/>
      <c r="BG18" s="1997"/>
      <c r="BH18" s="1997"/>
      <c r="BI18" s="1997"/>
      <c r="BJ18" s="1997"/>
      <c r="BK18" s="1997"/>
      <c r="BL18" s="1997"/>
      <c r="BM18" s="1997"/>
      <c r="BN18" s="1997"/>
      <c r="BO18" s="1997"/>
      <c r="BP18" s="1997"/>
      <c r="BQ18" s="1997"/>
      <c r="BR18" s="1997"/>
      <c r="BS18" s="1997"/>
      <c r="BT18" s="1997"/>
      <c r="BU18" s="1997"/>
      <c r="BV18" s="1997"/>
      <c r="BW18" s="1997"/>
      <c r="BX18" s="1997"/>
      <c r="BY18" s="1997"/>
      <c r="BZ18" s="1997"/>
      <c r="CA18" s="1997"/>
      <c r="CB18" s="1997"/>
      <c r="CC18" s="1997"/>
      <c r="CD18" s="1997"/>
      <c r="CE18" s="1997"/>
      <c r="CF18" s="1997"/>
      <c r="CG18" s="1997"/>
      <c r="CH18" s="1997"/>
      <c r="CI18" s="1997"/>
      <c r="CJ18" s="1997"/>
      <c r="CK18" s="1997"/>
      <c r="CL18" s="1997"/>
      <c r="CM18" s="1997"/>
      <c r="CN18" s="1997"/>
      <c r="CO18" s="1997"/>
      <c r="CP18" s="1997"/>
      <c r="CQ18" s="1997"/>
      <c r="CR18" s="1997"/>
      <c r="CS18" s="1997"/>
      <c r="CT18" s="1997"/>
      <c r="CU18" s="1997"/>
      <c r="CV18" s="1997"/>
      <c r="CW18" s="1997"/>
      <c r="CX18" s="1997"/>
      <c r="CY18" s="1997"/>
      <c r="CZ18" s="1997"/>
      <c r="DA18" s="1997"/>
      <c r="DB18" s="1997"/>
      <c r="DC18" s="1997"/>
      <c r="DD18" s="1997"/>
      <c r="DE18" s="1997"/>
      <c r="DF18" s="1997"/>
      <c r="DG18" s="1997"/>
      <c r="DH18" s="1997"/>
      <c r="DI18" s="1997"/>
      <c r="DJ18" s="1997"/>
      <c r="DK18" s="1997"/>
      <c r="DL18" s="1997"/>
      <c r="DM18" s="1997"/>
      <c r="DN18" s="1997"/>
      <c r="DO18" s="1997"/>
      <c r="DP18" s="1997"/>
      <c r="DQ18" s="1997"/>
      <c r="DR18" s="1997"/>
      <c r="DS18" s="1997"/>
      <c r="DT18" s="1997"/>
      <c r="DU18" s="1997"/>
      <c r="DV18" s="1997"/>
      <c r="DW18" s="1997"/>
      <c r="DX18" s="1997"/>
      <c r="DY18" s="1997"/>
      <c r="DZ18" s="1997"/>
      <c r="EA18" s="1997"/>
      <c r="EB18" s="1997"/>
      <c r="EC18" s="1997"/>
      <c r="ED18" s="1997"/>
      <c r="EE18" s="1997"/>
      <c r="EF18" s="1997"/>
      <c r="EG18" s="1997"/>
      <c r="EH18" s="1997"/>
      <c r="EI18" s="1997"/>
      <c r="EJ18" s="1997"/>
      <c r="EK18" s="1997"/>
      <c r="EL18" s="1997"/>
      <c r="EM18" s="1997"/>
      <c r="EN18" s="1997"/>
      <c r="EO18" s="1997"/>
      <c r="EP18" s="1997"/>
      <c r="EQ18" s="1997"/>
      <c r="ER18" s="1997"/>
      <c r="ES18" s="1997"/>
      <c r="ET18" s="1997"/>
      <c r="EU18" s="1997"/>
      <c r="EV18" s="1997"/>
      <c r="EW18" s="1997"/>
      <c r="EX18" s="1997"/>
      <c r="EY18" s="1997"/>
      <c r="EZ18" s="1997"/>
      <c r="FA18" s="1997"/>
      <c r="FB18" s="1997"/>
      <c r="FC18" s="1997"/>
      <c r="FD18" s="1997"/>
      <c r="FE18" s="1997"/>
      <c r="FF18" s="1997"/>
      <c r="FG18" s="1997"/>
      <c r="FH18" s="1997"/>
      <c r="FI18" s="1997"/>
      <c r="FJ18" s="1997"/>
      <c r="FK18" s="1997"/>
      <c r="FL18" s="1997"/>
      <c r="FM18" s="1997"/>
      <c r="FN18" s="1997"/>
      <c r="FO18" s="1997"/>
      <c r="FP18" s="1997"/>
      <c r="FQ18" s="1997"/>
      <c r="FR18" s="1997"/>
      <c r="FS18" s="1997"/>
      <c r="FT18" s="1997"/>
      <c r="FU18" s="1997"/>
      <c r="FV18" s="1997"/>
      <c r="FW18" s="1997"/>
      <c r="FX18" s="1997"/>
      <c r="FY18" s="1997"/>
      <c r="FZ18" s="1997"/>
      <c r="GA18" s="1997"/>
      <c r="GB18" s="1997"/>
      <c r="GC18" s="1997"/>
      <c r="GD18" s="1997"/>
      <c r="GE18" s="1997"/>
      <c r="GF18" s="1997"/>
      <c r="GG18" s="1997"/>
      <c r="GH18" s="1997"/>
      <c r="GI18" s="1997"/>
      <c r="GJ18" s="1997"/>
      <c r="GK18" s="1997"/>
      <c r="GL18" s="1997"/>
      <c r="GM18" s="1997"/>
      <c r="GN18" s="1997"/>
      <c r="GO18" s="1997"/>
      <c r="GP18" s="1997"/>
      <c r="GQ18" s="1997"/>
      <c r="GR18" s="1997"/>
      <c r="GS18" s="1997"/>
      <c r="GT18" s="1997"/>
      <c r="GU18" s="1997"/>
      <c r="GV18" s="1997"/>
      <c r="GW18" s="1997"/>
      <c r="GX18" s="1997"/>
      <c r="GY18" s="1997"/>
      <c r="GZ18" s="1997"/>
      <c r="HA18" s="1997"/>
      <c r="HB18" s="1997"/>
      <c r="HC18" s="1997"/>
      <c r="HD18" s="1997"/>
      <c r="HE18" s="1997"/>
      <c r="HF18" s="1997"/>
      <c r="HG18" s="1997"/>
      <c r="HH18" s="1997"/>
      <c r="HI18" s="1997"/>
      <c r="HJ18" s="1997"/>
      <c r="HK18" s="1997"/>
      <c r="HL18" s="1997"/>
      <c r="HM18" s="1997"/>
      <c r="HN18" s="1997"/>
      <c r="HO18" s="1997"/>
      <c r="HP18" s="1997"/>
      <c r="HQ18" s="1997"/>
      <c r="HR18" s="1997"/>
      <c r="HS18" s="1997"/>
      <c r="HT18" s="1997"/>
      <c r="HU18" s="1997"/>
      <c r="HV18" s="1997"/>
      <c r="HW18" s="1997"/>
      <c r="HX18" s="1997"/>
      <c r="HY18" s="1997"/>
      <c r="HZ18" s="1997"/>
      <c r="IA18" s="1997"/>
      <c r="IB18" s="1997"/>
      <c r="IC18" s="1997"/>
      <c r="ID18" s="1997"/>
      <c r="IE18" s="1997"/>
      <c r="IF18" s="1997"/>
      <c r="IG18" s="1997"/>
      <c r="IH18" s="1997"/>
      <c r="II18" s="1997"/>
      <c r="IJ18" s="1997"/>
      <c r="IK18" s="1997"/>
      <c r="IL18" s="1997"/>
      <c r="IM18" s="1997"/>
      <c r="IN18" s="1997"/>
      <c r="IO18" s="1997"/>
      <c r="IP18" s="1997"/>
      <c r="IQ18" s="1997"/>
    </row>
    <row r="19" spans="1:251" hidden="1">
      <c r="A19" s="1993"/>
      <c r="B19" s="1998"/>
      <c r="C19" s="1998"/>
      <c r="D19" s="2034"/>
      <c r="E19" s="1998"/>
      <c r="F19" s="1940">
        <f t="shared" si="14"/>
        <v>0</v>
      </c>
      <c r="G19" s="1993"/>
      <c r="H19" s="1940">
        <f t="shared" si="4"/>
        <v>0</v>
      </c>
      <c r="I19" s="1993"/>
      <c r="J19" s="1940">
        <f t="shared" si="5"/>
        <v>0</v>
      </c>
      <c r="K19" s="1993"/>
      <c r="L19" s="1940">
        <f t="shared" si="6"/>
        <v>0</v>
      </c>
      <c r="M19" s="1940">
        <f t="shared" si="13"/>
        <v>0</v>
      </c>
      <c r="N19" s="1940">
        <f t="shared" si="7"/>
        <v>0</v>
      </c>
      <c r="O19" s="1993"/>
      <c r="P19" s="1993"/>
      <c r="Q19" s="1940">
        <f t="shared" si="8"/>
        <v>0</v>
      </c>
      <c r="R19" s="1940">
        <f t="shared" si="9"/>
        <v>0</v>
      </c>
      <c r="S19" s="1940">
        <f t="shared" si="10"/>
        <v>0</v>
      </c>
      <c r="T19" s="1940">
        <f t="shared" si="11"/>
        <v>0</v>
      </c>
      <c r="U19" s="1940">
        <f t="shared" si="12"/>
        <v>0</v>
      </c>
      <c r="V19" s="1997"/>
      <c r="W19" s="1997"/>
      <c r="X19" s="1997"/>
      <c r="Y19" s="1997"/>
      <c r="Z19" s="1997"/>
      <c r="AA19" s="1997"/>
      <c r="AB19" s="1997"/>
      <c r="AC19" s="1997"/>
      <c r="AD19" s="1997"/>
      <c r="AE19" s="1997"/>
      <c r="AF19" s="1997"/>
      <c r="AG19" s="1997"/>
      <c r="AH19" s="1997"/>
      <c r="AI19" s="1997"/>
      <c r="AJ19" s="1997"/>
      <c r="AK19" s="1997"/>
      <c r="AL19" s="1997"/>
      <c r="AM19" s="1997"/>
      <c r="AN19" s="1997"/>
      <c r="AO19" s="1997"/>
      <c r="AP19" s="1997"/>
      <c r="AQ19" s="1997"/>
      <c r="AR19" s="1997"/>
      <c r="AS19" s="1997"/>
      <c r="AT19" s="1997"/>
      <c r="AU19" s="1997"/>
      <c r="AV19" s="1997"/>
      <c r="AW19" s="1997"/>
      <c r="AX19" s="1997"/>
      <c r="AY19" s="1997"/>
      <c r="AZ19" s="1997"/>
      <c r="BA19" s="1997"/>
      <c r="BB19" s="1997"/>
      <c r="BC19" s="1997"/>
      <c r="BD19" s="1997"/>
      <c r="BE19" s="1997"/>
      <c r="BF19" s="1997"/>
      <c r="BG19" s="1997"/>
      <c r="BH19" s="1997"/>
      <c r="BI19" s="1997"/>
      <c r="BJ19" s="1997"/>
      <c r="BK19" s="1997"/>
      <c r="BL19" s="1997"/>
      <c r="BM19" s="1997"/>
      <c r="BN19" s="1997"/>
      <c r="BO19" s="1997"/>
      <c r="BP19" s="1997"/>
      <c r="BQ19" s="1997"/>
      <c r="BR19" s="1997"/>
      <c r="BS19" s="1997"/>
      <c r="BT19" s="1997"/>
      <c r="BU19" s="1997"/>
      <c r="BV19" s="1997"/>
      <c r="BW19" s="1997"/>
      <c r="BX19" s="1997"/>
      <c r="BY19" s="1997"/>
      <c r="BZ19" s="1997"/>
      <c r="CA19" s="1997"/>
      <c r="CB19" s="1997"/>
      <c r="CC19" s="1997"/>
      <c r="CD19" s="1997"/>
      <c r="CE19" s="1997"/>
      <c r="CF19" s="1997"/>
      <c r="CG19" s="1997"/>
      <c r="CH19" s="1997"/>
      <c r="CI19" s="1997"/>
      <c r="CJ19" s="1997"/>
      <c r="CK19" s="1997"/>
      <c r="CL19" s="1997"/>
      <c r="CM19" s="1997"/>
      <c r="CN19" s="1997"/>
      <c r="CO19" s="1997"/>
      <c r="CP19" s="1997"/>
      <c r="CQ19" s="1997"/>
      <c r="CR19" s="1997"/>
      <c r="CS19" s="1997"/>
      <c r="CT19" s="1997"/>
      <c r="CU19" s="1997"/>
      <c r="CV19" s="1997"/>
      <c r="CW19" s="1997"/>
      <c r="CX19" s="1997"/>
      <c r="CY19" s="1997"/>
      <c r="CZ19" s="1997"/>
      <c r="DA19" s="1997"/>
      <c r="DB19" s="1997"/>
      <c r="DC19" s="1997"/>
      <c r="DD19" s="1997"/>
      <c r="DE19" s="1997"/>
      <c r="DF19" s="1997"/>
      <c r="DG19" s="1997"/>
      <c r="DH19" s="1997"/>
      <c r="DI19" s="1997"/>
      <c r="DJ19" s="1997"/>
      <c r="DK19" s="1997"/>
      <c r="DL19" s="1997"/>
      <c r="DM19" s="1997"/>
      <c r="DN19" s="1997"/>
      <c r="DO19" s="1997"/>
      <c r="DP19" s="1997"/>
      <c r="DQ19" s="1997"/>
      <c r="DR19" s="1997"/>
      <c r="DS19" s="1997"/>
      <c r="DT19" s="1997"/>
      <c r="DU19" s="1997"/>
      <c r="DV19" s="1997"/>
      <c r="DW19" s="1997"/>
      <c r="DX19" s="1997"/>
      <c r="DY19" s="1997"/>
      <c r="DZ19" s="1997"/>
      <c r="EA19" s="1997"/>
      <c r="EB19" s="1997"/>
      <c r="EC19" s="1997"/>
      <c r="ED19" s="1997"/>
      <c r="EE19" s="1997"/>
      <c r="EF19" s="1997"/>
      <c r="EG19" s="1997"/>
      <c r="EH19" s="1997"/>
      <c r="EI19" s="1997"/>
      <c r="EJ19" s="1997"/>
      <c r="EK19" s="1997"/>
      <c r="EL19" s="1997"/>
      <c r="EM19" s="1997"/>
      <c r="EN19" s="1997"/>
      <c r="EO19" s="1997"/>
      <c r="EP19" s="1997"/>
      <c r="EQ19" s="1997"/>
      <c r="ER19" s="1997"/>
      <c r="ES19" s="1997"/>
      <c r="ET19" s="1997"/>
      <c r="EU19" s="1997"/>
      <c r="EV19" s="1997"/>
      <c r="EW19" s="1997"/>
      <c r="EX19" s="1997"/>
      <c r="EY19" s="1997"/>
      <c r="EZ19" s="1997"/>
      <c r="FA19" s="1997"/>
      <c r="FB19" s="1997"/>
      <c r="FC19" s="1997"/>
      <c r="FD19" s="1997"/>
      <c r="FE19" s="1997"/>
      <c r="FF19" s="1997"/>
      <c r="FG19" s="1997"/>
      <c r="FH19" s="1997"/>
      <c r="FI19" s="1997"/>
      <c r="FJ19" s="1997"/>
      <c r="FK19" s="1997"/>
      <c r="FL19" s="1997"/>
      <c r="FM19" s="1997"/>
      <c r="FN19" s="1997"/>
      <c r="FO19" s="1997"/>
      <c r="FP19" s="1997"/>
      <c r="FQ19" s="1997"/>
      <c r="FR19" s="1997"/>
      <c r="FS19" s="1997"/>
      <c r="FT19" s="1997"/>
      <c r="FU19" s="1997"/>
      <c r="FV19" s="1997"/>
      <c r="FW19" s="1997"/>
      <c r="FX19" s="1997"/>
      <c r="FY19" s="1997"/>
      <c r="FZ19" s="1997"/>
      <c r="GA19" s="1997"/>
      <c r="GB19" s="1997"/>
      <c r="GC19" s="1997"/>
      <c r="GD19" s="1997"/>
      <c r="GE19" s="1997"/>
      <c r="GF19" s="1997"/>
      <c r="GG19" s="1997"/>
      <c r="GH19" s="1997"/>
      <c r="GI19" s="1997"/>
      <c r="GJ19" s="1997"/>
      <c r="GK19" s="1997"/>
      <c r="GL19" s="1997"/>
      <c r="GM19" s="1997"/>
      <c r="GN19" s="1997"/>
      <c r="GO19" s="1997"/>
      <c r="GP19" s="1997"/>
      <c r="GQ19" s="1997"/>
      <c r="GR19" s="1997"/>
      <c r="GS19" s="1997"/>
      <c r="GT19" s="1997"/>
      <c r="GU19" s="1997"/>
      <c r="GV19" s="1997"/>
      <c r="GW19" s="1997"/>
      <c r="GX19" s="1997"/>
      <c r="GY19" s="1997"/>
      <c r="GZ19" s="1997"/>
      <c r="HA19" s="1997"/>
      <c r="HB19" s="1997"/>
      <c r="HC19" s="1997"/>
      <c r="HD19" s="1997"/>
      <c r="HE19" s="1997"/>
      <c r="HF19" s="1997"/>
      <c r="HG19" s="1997"/>
      <c r="HH19" s="1997"/>
      <c r="HI19" s="1997"/>
      <c r="HJ19" s="1997"/>
      <c r="HK19" s="1997"/>
      <c r="HL19" s="1997"/>
      <c r="HM19" s="1997"/>
      <c r="HN19" s="1997"/>
      <c r="HO19" s="1997"/>
      <c r="HP19" s="1997"/>
      <c r="HQ19" s="1997"/>
      <c r="HR19" s="1997"/>
      <c r="HS19" s="1997"/>
      <c r="HT19" s="1997"/>
      <c r="HU19" s="1997"/>
      <c r="HV19" s="1997"/>
      <c r="HW19" s="1997"/>
      <c r="HX19" s="1997"/>
      <c r="HY19" s="1997"/>
      <c r="HZ19" s="1997"/>
      <c r="IA19" s="1997"/>
      <c r="IB19" s="1997"/>
      <c r="IC19" s="1997"/>
      <c r="ID19" s="1997"/>
      <c r="IE19" s="1997"/>
      <c r="IF19" s="1997"/>
      <c r="IG19" s="1997"/>
      <c r="IH19" s="1997"/>
      <c r="II19" s="1997"/>
      <c r="IJ19" s="1997"/>
      <c r="IK19" s="1997"/>
      <c r="IL19" s="1997"/>
      <c r="IM19" s="1997"/>
      <c r="IN19" s="1997"/>
      <c r="IO19" s="1997"/>
      <c r="IP19" s="1997"/>
      <c r="IQ19" s="1997"/>
    </row>
    <row r="20" spans="1:251" hidden="1">
      <c r="A20" s="1993"/>
      <c r="B20" s="1998"/>
      <c r="C20" s="1998"/>
      <c r="D20" s="2034"/>
      <c r="E20" s="1998"/>
      <c r="F20" s="1940">
        <f t="shared" si="14"/>
        <v>0</v>
      </c>
      <c r="G20" s="1993"/>
      <c r="H20" s="1940">
        <f t="shared" si="4"/>
        <v>0</v>
      </c>
      <c r="I20" s="1993"/>
      <c r="J20" s="1940">
        <f t="shared" si="5"/>
        <v>0</v>
      </c>
      <c r="K20" s="1993"/>
      <c r="L20" s="1940">
        <f t="shared" si="6"/>
        <v>0</v>
      </c>
      <c r="M20" s="1940">
        <f t="shared" si="13"/>
        <v>0</v>
      </c>
      <c r="N20" s="1940">
        <f t="shared" si="7"/>
        <v>0</v>
      </c>
      <c r="O20" s="1993"/>
      <c r="P20" s="1993"/>
      <c r="Q20" s="1940">
        <f t="shared" si="8"/>
        <v>0</v>
      </c>
      <c r="R20" s="1940">
        <f t="shared" si="9"/>
        <v>0</v>
      </c>
      <c r="S20" s="1940">
        <f t="shared" si="10"/>
        <v>0</v>
      </c>
      <c r="T20" s="1940">
        <f t="shared" si="11"/>
        <v>0</v>
      </c>
      <c r="U20" s="1940">
        <f t="shared" si="12"/>
        <v>0</v>
      </c>
      <c r="V20" s="1997"/>
      <c r="W20" s="1997"/>
      <c r="X20" s="1997"/>
      <c r="Y20" s="1997"/>
      <c r="Z20" s="1997"/>
      <c r="AA20" s="1997"/>
      <c r="AB20" s="1997"/>
      <c r="AC20" s="1997"/>
      <c r="AD20" s="1997"/>
      <c r="AE20" s="1997"/>
      <c r="AF20" s="1997"/>
      <c r="AG20" s="1997"/>
      <c r="AH20" s="1997"/>
      <c r="AI20" s="1997"/>
      <c r="AJ20" s="1997"/>
      <c r="AK20" s="1997"/>
      <c r="AL20" s="1997"/>
      <c r="AM20" s="1997"/>
      <c r="AN20" s="1997"/>
      <c r="AO20" s="1997"/>
      <c r="AP20" s="1997"/>
      <c r="AQ20" s="1997"/>
      <c r="AR20" s="1997"/>
      <c r="AS20" s="1997"/>
      <c r="AT20" s="1997"/>
      <c r="AU20" s="1997"/>
      <c r="AV20" s="1997"/>
      <c r="AW20" s="1997"/>
      <c r="AX20" s="1997"/>
      <c r="AY20" s="1997"/>
      <c r="AZ20" s="1997"/>
      <c r="BA20" s="1997"/>
      <c r="BB20" s="1997"/>
      <c r="BC20" s="1997"/>
      <c r="BD20" s="1997"/>
      <c r="BE20" s="1997"/>
      <c r="BF20" s="1997"/>
      <c r="BG20" s="1997"/>
      <c r="BH20" s="1997"/>
      <c r="BI20" s="1997"/>
      <c r="BJ20" s="1997"/>
      <c r="BK20" s="1997"/>
      <c r="BL20" s="1997"/>
      <c r="BM20" s="1997"/>
      <c r="BN20" s="1997"/>
      <c r="BO20" s="1997"/>
      <c r="BP20" s="1997"/>
      <c r="BQ20" s="1997"/>
      <c r="BR20" s="1997"/>
      <c r="BS20" s="1997"/>
      <c r="BT20" s="1997"/>
      <c r="BU20" s="1997"/>
      <c r="BV20" s="1997"/>
      <c r="BW20" s="1997"/>
      <c r="BX20" s="1997"/>
      <c r="BY20" s="1997"/>
      <c r="BZ20" s="1997"/>
      <c r="CA20" s="1997"/>
      <c r="CB20" s="1997"/>
      <c r="CC20" s="1997"/>
      <c r="CD20" s="1997"/>
      <c r="CE20" s="1997"/>
      <c r="CF20" s="1997"/>
      <c r="CG20" s="1997"/>
      <c r="CH20" s="1997"/>
      <c r="CI20" s="1997"/>
      <c r="CJ20" s="1997"/>
      <c r="CK20" s="1997"/>
      <c r="CL20" s="1997"/>
      <c r="CM20" s="1997"/>
      <c r="CN20" s="1997"/>
      <c r="CO20" s="1997"/>
      <c r="CP20" s="1997"/>
      <c r="CQ20" s="1997"/>
      <c r="CR20" s="1997"/>
      <c r="CS20" s="1997"/>
      <c r="CT20" s="1997"/>
      <c r="CU20" s="1997"/>
      <c r="CV20" s="1997"/>
      <c r="CW20" s="1997"/>
      <c r="CX20" s="1997"/>
      <c r="CY20" s="1997"/>
      <c r="CZ20" s="1997"/>
      <c r="DA20" s="1997"/>
      <c r="DB20" s="1997"/>
      <c r="DC20" s="1997"/>
      <c r="DD20" s="1997"/>
      <c r="DE20" s="1997"/>
      <c r="DF20" s="1997"/>
      <c r="DG20" s="1997"/>
      <c r="DH20" s="1997"/>
      <c r="DI20" s="1997"/>
      <c r="DJ20" s="1997"/>
      <c r="DK20" s="1997"/>
      <c r="DL20" s="1997"/>
      <c r="DM20" s="1997"/>
      <c r="DN20" s="1997"/>
      <c r="DO20" s="1997"/>
      <c r="DP20" s="1997"/>
      <c r="DQ20" s="1997"/>
      <c r="DR20" s="1997"/>
      <c r="DS20" s="1997"/>
      <c r="DT20" s="1997"/>
      <c r="DU20" s="1997"/>
      <c r="DV20" s="1997"/>
      <c r="DW20" s="1997"/>
      <c r="DX20" s="1997"/>
      <c r="DY20" s="1997"/>
      <c r="DZ20" s="1997"/>
      <c r="EA20" s="1997"/>
      <c r="EB20" s="1997"/>
      <c r="EC20" s="1997"/>
      <c r="ED20" s="1997"/>
      <c r="EE20" s="1997"/>
      <c r="EF20" s="1997"/>
      <c r="EG20" s="1997"/>
      <c r="EH20" s="1997"/>
      <c r="EI20" s="1997"/>
      <c r="EJ20" s="1997"/>
      <c r="EK20" s="1997"/>
      <c r="EL20" s="1997"/>
      <c r="EM20" s="1997"/>
      <c r="EN20" s="1997"/>
      <c r="EO20" s="1997"/>
      <c r="EP20" s="1997"/>
      <c r="EQ20" s="1997"/>
      <c r="ER20" s="1997"/>
      <c r="ES20" s="1997"/>
      <c r="ET20" s="1997"/>
      <c r="EU20" s="1997"/>
      <c r="EV20" s="1997"/>
      <c r="EW20" s="1997"/>
      <c r="EX20" s="1997"/>
      <c r="EY20" s="1997"/>
      <c r="EZ20" s="1997"/>
      <c r="FA20" s="1997"/>
      <c r="FB20" s="1997"/>
      <c r="FC20" s="1997"/>
      <c r="FD20" s="1997"/>
      <c r="FE20" s="1997"/>
      <c r="FF20" s="1997"/>
      <c r="FG20" s="1997"/>
      <c r="FH20" s="1997"/>
      <c r="FI20" s="1997"/>
      <c r="FJ20" s="1997"/>
      <c r="FK20" s="1997"/>
      <c r="FL20" s="1997"/>
      <c r="FM20" s="1997"/>
      <c r="FN20" s="1997"/>
      <c r="FO20" s="1997"/>
      <c r="FP20" s="1997"/>
      <c r="FQ20" s="1997"/>
      <c r="FR20" s="1997"/>
      <c r="FS20" s="1997"/>
      <c r="FT20" s="1997"/>
      <c r="FU20" s="1997"/>
      <c r="FV20" s="1997"/>
      <c r="FW20" s="1997"/>
      <c r="FX20" s="1997"/>
      <c r="FY20" s="1997"/>
      <c r="FZ20" s="1997"/>
      <c r="GA20" s="1997"/>
      <c r="GB20" s="1997"/>
      <c r="GC20" s="1997"/>
      <c r="GD20" s="1997"/>
      <c r="GE20" s="1997"/>
      <c r="GF20" s="1997"/>
      <c r="GG20" s="1997"/>
      <c r="GH20" s="1997"/>
      <c r="GI20" s="1997"/>
      <c r="GJ20" s="1997"/>
      <c r="GK20" s="1997"/>
      <c r="GL20" s="1997"/>
      <c r="GM20" s="1997"/>
      <c r="GN20" s="1997"/>
      <c r="GO20" s="1997"/>
      <c r="GP20" s="1997"/>
      <c r="GQ20" s="1997"/>
      <c r="GR20" s="1997"/>
      <c r="GS20" s="1997"/>
      <c r="GT20" s="1997"/>
      <c r="GU20" s="1997"/>
      <c r="GV20" s="1997"/>
      <c r="GW20" s="1997"/>
      <c r="GX20" s="1997"/>
      <c r="GY20" s="1997"/>
      <c r="GZ20" s="1997"/>
      <c r="HA20" s="1997"/>
      <c r="HB20" s="1997"/>
      <c r="HC20" s="1997"/>
      <c r="HD20" s="1997"/>
      <c r="HE20" s="1997"/>
      <c r="HF20" s="1997"/>
      <c r="HG20" s="1997"/>
      <c r="HH20" s="1997"/>
      <c r="HI20" s="1997"/>
      <c r="HJ20" s="1997"/>
      <c r="HK20" s="1997"/>
      <c r="HL20" s="1997"/>
      <c r="HM20" s="1997"/>
      <c r="HN20" s="1997"/>
      <c r="HO20" s="1997"/>
      <c r="HP20" s="1997"/>
      <c r="HQ20" s="1997"/>
      <c r="HR20" s="1997"/>
      <c r="HS20" s="1997"/>
      <c r="HT20" s="1997"/>
      <c r="HU20" s="1997"/>
      <c r="HV20" s="1997"/>
      <c r="HW20" s="1997"/>
      <c r="HX20" s="1997"/>
      <c r="HY20" s="1997"/>
      <c r="HZ20" s="1997"/>
      <c r="IA20" s="1997"/>
      <c r="IB20" s="1997"/>
      <c r="IC20" s="1997"/>
      <c r="ID20" s="1997"/>
      <c r="IE20" s="1997"/>
      <c r="IF20" s="1997"/>
      <c r="IG20" s="1997"/>
      <c r="IH20" s="1997"/>
      <c r="II20" s="1997"/>
      <c r="IJ20" s="1997"/>
      <c r="IK20" s="1997"/>
      <c r="IL20" s="1997"/>
      <c r="IM20" s="1997"/>
      <c r="IN20" s="1997"/>
      <c r="IO20" s="1997"/>
      <c r="IP20" s="1997"/>
      <c r="IQ20" s="1997"/>
    </row>
    <row r="21" spans="1:251" hidden="1">
      <c r="A21" s="1993"/>
      <c r="B21" s="1998"/>
      <c r="C21" s="1998"/>
      <c r="D21" s="2034"/>
      <c r="E21" s="1998"/>
      <c r="F21" s="1940">
        <f t="shared" si="14"/>
        <v>0</v>
      </c>
      <c r="G21" s="1993"/>
      <c r="H21" s="1940">
        <f t="shared" si="4"/>
        <v>0</v>
      </c>
      <c r="I21" s="1993"/>
      <c r="J21" s="1940">
        <f t="shared" si="5"/>
        <v>0</v>
      </c>
      <c r="K21" s="1993"/>
      <c r="L21" s="1940">
        <f t="shared" si="6"/>
        <v>0</v>
      </c>
      <c r="M21" s="1940">
        <f t="shared" si="13"/>
        <v>0</v>
      </c>
      <c r="N21" s="1940">
        <f t="shared" si="7"/>
        <v>0</v>
      </c>
      <c r="O21" s="1993"/>
      <c r="P21" s="1993"/>
      <c r="Q21" s="1940">
        <f t="shared" si="8"/>
        <v>0</v>
      </c>
      <c r="R21" s="1940">
        <f t="shared" si="9"/>
        <v>0</v>
      </c>
      <c r="S21" s="1940">
        <f t="shared" si="10"/>
        <v>0</v>
      </c>
      <c r="T21" s="1940">
        <f t="shared" si="11"/>
        <v>0</v>
      </c>
      <c r="U21" s="1940">
        <f t="shared" si="12"/>
        <v>0</v>
      </c>
      <c r="V21" s="1997"/>
      <c r="W21" s="1997"/>
      <c r="X21" s="1997"/>
      <c r="Y21" s="1997"/>
      <c r="Z21" s="1997"/>
      <c r="AA21" s="1997"/>
      <c r="AB21" s="1997"/>
      <c r="AC21" s="1997"/>
      <c r="AD21" s="1997"/>
      <c r="AE21" s="1997"/>
      <c r="AF21" s="1997"/>
      <c r="AG21" s="1997"/>
      <c r="AH21" s="1997"/>
      <c r="AI21" s="1997"/>
      <c r="AJ21" s="1997"/>
      <c r="AK21" s="1997"/>
      <c r="AL21" s="1997"/>
      <c r="AM21" s="1997"/>
      <c r="AN21" s="1997"/>
      <c r="AO21" s="1997"/>
      <c r="AP21" s="1997"/>
      <c r="AQ21" s="1997"/>
      <c r="AR21" s="1997"/>
      <c r="AS21" s="1997"/>
      <c r="AT21" s="1997"/>
      <c r="AU21" s="1997"/>
      <c r="AV21" s="1997"/>
      <c r="AW21" s="1997"/>
      <c r="AX21" s="1997"/>
      <c r="AY21" s="1997"/>
      <c r="AZ21" s="1997"/>
      <c r="BA21" s="1997"/>
      <c r="BB21" s="1997"/>
      <c r="BC21" s="1997"/>
      <c r="BD21" s="1997"/>
      <c r="BE21" s="1997"/>
      <c r="BF21" s="1997"/>
      <c r="BG21" s="1997"/>
      <c r="BH21" s="1997"/>
      <c r="BI21" s="1997"/>
      <c r="BJ21" s="1997"/>
      <c r="BK21" s="1997"/>
      <c r="BL21" s="1997"/>
      <c r="BM21" s="1997"/>
      <c r="BN21" s="1997"/>
      <c r="BO21" s="1997"/>
      <c r="BP21" s="1997"/>
      <c r="BQ21" s="1997"/>
      <c r="BR21" s="1997"/>
      <c r="BS21" s="1997"/>
      <c r="BT21" s="1997"/>
      <c r="BU21" s="1997"/>
      <c r="BV21" s="1997"/>
      <c r="BW21" s="1997"/>
      <c r="BX21" s="1997"/>
      <c r="BY21" s="1997"/>
      <c r="BZ21" s="1997"/>
      <c r="CA21" s="1997"/>
      <c r="CB21" s="1997"/>
      <c r="CC21" s="1997"/>
      <c r="CD21" s="1997"/>
      <c r="CE21" s="1997"/>
      <c r="CF21" s="1997"/>
      <c r="CG21" s="1997"/>
      <c r="CH21" s="1997"/>
      <c r="CI21" s="1997"/>
      <c r="CJ21" s="1997"/>
      <c r="CK21" s="1997"/>
      <c r="CL21" s="1997"/>
      <c r="CM21" s="1997"/>
      <c r="CN21" s="1997"/>
      <c r="CO21" s="1997"/>
      <c r="CP21" s="1997"/>
      <c r="CQ21" s="1997"/>
      <c r="CR21" s="1997"/>
      <c r="CS21" s="1997"/>
      <c r="CT21" s="1997"/>
      <c r="CU21" s="1997"/>
      <c r="CV21" s="1997"/>
      <c r="CW21" s="1997"/>
      <c r="CX21" s="1997"/>
      <c r="CY21" s="1997"/>
      <c r="CZ21" s="1997"/>
      <c r="DA21" s="1997"/>
      <c r="DB21" s="1997"/>
      <c r="DC21" s="1997"/>
      <c r="DD21" s="1997"/>
      <c r="DE21" s="1997"/>
      <c r="DF21" s="1997"/>
      <c r="DG21" s="1997"/>
      <c r="DH21" s="1997"/>
      <c r="DI21" s="1997"/>
      <c r="DJ21" s="1997"/>
      <c r="DK21" s="1997"/>
      <c r="DL21" s="1997"/>
      <c r="DM21" s="1997"/>
      <c r="DN21" s="1997"/>
      <c r="DO21" s="1997"/>
      <c r="DP21" s="1997"/>
      <c r="DQ21" s="1997"/>
      <c r="DR21" s="1997"/>
      <c r="DS21" s="1997"/>
      <c r="DT21" s="1997"/>
      <c r="DU21" s="1997"/>
      <c r="DV21" s="1997"/>
      <c r="DW21" s="1997"/>
      <c r="DX21" s="1997"/>
      <c r="DY21" s="1997"/>
      <c r="DZ21" s="1997"/>
      <c r="EA21" s="1997"/>
      <c r="EB21" s="1997"/>
      <c r="EC21" s="1997"/>
      <c r="ED21" s="1997"/>
      <c r="EE21" s="1997"/>
      <c r="EF21" s="1997"/>
      <c r="EG21" s="1997"/>
      <c r="EH21" s="1997"/>
      <c r="EI21" s="1997"/>
      <c r="EJ21" s="1997"/>
      <c r="EK21" s="1997"/>
      <c r="EL21" s="1997"/>
      <c r="EM21" s="1997"/>
      <c r="EN21" s="1997"/>
      <c r="EO21" s="1997"/>
      <c r="EP21" s="1997"/>
      <c r="EQ21" s="1997"/>
      <c r="ER21" s="1997"/>
      <c r="ES21" s="1997"/>
      <c r="ET21" s="1997"/>
      <c r="EU21" s="1997"/>
      <c r="EV21" s="1997"/>
      <c r="EW21" s="1997"/>
      <c r="EX21" s="1997"/>
      <c r="EY21" s="1997"/>
      <c r="EZ21" s="1997"/>
      <c r="FA21" s="1997"/>
      <c r="FB21" s="1997"/>
      <c r="FC21" s="1997"/>
      <c r="FD21" s="1997"/>
      <c r="FE21" s="1997"/>
      <c r="FF21" s="1997"/>
      <c r="FG21" s="1997"/>
      <c r="FH21" s="1997"/>
      <c r="FI21" s="1997"/>
      <c r="FJ21" s="1997"/>
      <c r="FK21" s="1997"/>
      <c r="FL21" s="1997"/>
      <c r="FM21" s="1997"/>
      <c r="FN21" s="1997"/>
      <c r="FO21" s="1997"/>
      <c r="FP21" s="1997"/>
      <c r="FQ21" s="1997"/>
      <c r="FR21" s="1997"/>
      <c r="FS21" s="1997"/>
      <c r="FT21" s="1997"/>
      <c r="FU21" s="1997"/>
      <c r="FV21" s="1997"/>
      <c r="FW21" s="1997"/>
      <c r="FX21" s="1997"/>
      <c r="FY21" s="1997"/>
      <c r="FZ21" s="1997"/>
      <c r="GA21" s="1997"/>
      <c r="GB21" s="1997"/>
      <c r="GC21" s="1997"/>
      <c r="GD21" s="1997"/>
      <c r="GE21" s="1997"/>
      <c r="GF21" s="1997"/>
      <c r="GG21" s="1997"/>
      <c r="GH21" s="1997"/>
      <c r="GI21" s="1997"/>
      <c r="GJ21" s="1997"/>
      <c r="GK21" s="1997"/>
      <c r="GL21" s="1997"/>
      <c r="GM21" s="1997"/>
      <c r="GN21" s="1997"/>
      <c r="GO21" s="1997"/>
      <c r="GP21" s="1997"/>
      <c r="GQ21" s="1997"/>
      <c r="GR21" s="1997"/>
      <c r="GS21" s="1997"/>
      <c r="GT21" s="1997"/>
      <c r="GU21" s="1997"/>
      <c r="GV21" s="1997"/>
      <c r="GW21" s="1997"/>
      <c r="GX21" s="1997"/>
      <c r="GY21" s="1997"/>
      <c r="GZ21" s="1997"/>
      <c r="HA21" s="1997"/>
      <c r="HB21" s="1997"/>
      <c r="HC21" s="1997"/>
      <c r="HD21" s="1997"/>
      <c r="HE21" s="1997"/>
      <c r="HF21" s="1997"/>
      <c r="HG21" s="1997"/>
      <c r="HH21" s="1997"/>
      <c r="HI21" s="1997"/>
      <c r="HJ21" s="1997"/>
      <c r="HK21" s="1997"/>
      <c r="HL21" s="1997"/>
      <c r="HM21" s="1997"/>
      <c r="HN21" s="1997"/>
      <c r="HO21" s="1997"/>
      <c r="HP21" s="1997"/>
      <c r="HQ21" s="1997"/>
      <c r="HR21" s="1997"/>
      <c r="HS21" s="1997"/>
      <c r="HT21" s="1997"/>
      <c r="HU21" s="1997"/>
      <c r="HV21" s="1997"/>
      <c r="HW21" s="1997"/>
      <c r="HX21" s="1997"/>
      <c r="HY21" s="1997"/>
      <c r="HZ21" s="1997"/>
      <c r="IA21" s="1997"/>
      <c r="IB21" s="1997"/>
      <c r="IC21" s="1997"/>
      <c r="ID21" s="1997"/>
      <c r="IE21" s="1997"/>
      <c r="IF21" s="1997"/>
      <c r="IG21" s="1997"/>
      <c r="IH21" s="1997"/>
      <c r="II21" s="1997"/>
      <c r="IJ21" s="1997"/>
      <c r="IK21" s="1997"/>
      <c r="IL21" s="1997"/>
      <c r="IM21" s="1997"/>
      <c r="IN21" s="1997"/>
      <c r="IO21" s="1997"/>
      <c r="IP21" s="1997"/>
      <c r="IQ21" s="1997"/>
    </row>
    <row r="22" spans="1:251" hidden="1">
      <c r="A22" s="1993"/>
      <c r="B22" s="1998"/>
      <c r="C22" s="1998"/>
      <c r="D22" s="2034"/>
      <c r="E22" s="1998"/>
      <c r="F22" s="1940">
        <f t="shared" si="14"/>
        <v>0</v>
      </c>
      <c r="G22" s="1993"/>
      <c r="H22" s="1940">
        <f t="shared" si="4"/>
        <v>0</v>
      </c>
      <c r="I22" s="1993"/>
      <c r="J22" s="1940">
        <f t="shared" si="5"/>
        <v>0</v>
      </c>
      <c r="K22" s="1993"/>
      <c r="L22" s="1940">
        <f t="shared" si="6"/>
        <v>0</v>
      </c>
      <c r="M22" s="1940">
        <f t="shared" si="13"/>
        <v>0</v>
      </c>
      <c r="N22" s="1940">
        <f t="shared" si="7"/>
        <v>0</v>
      </c>
      <c r="O22" s="1993"/>
      <c r="P22" s="1993"/>
      <c r="Q22" s="1940">
        <f t="shared" si="8"/>
        <v>0</v>
      </c>
      <c r="R22" s="1940">
        <f t="shared" si="9"/>
        <v>0</v>
      </c>
      <c r="S22" s="1940">
        <f t="shared" si="10"/>
        <v>0</v>
      </c>
      <c r="T22" s="1940">
        <f t="shared" si="11"/>
        <v>0</v>
      </c>
      <c r="U22" s="1940">
        <f t="shared" si="12"/>
        <v>0</v>
      </c>
      <c r="V22" s="1997"/>
      <c r="W22" s="1997"/>
      <c r="X22" s="1997"/>
      <c r="Y22" s="1997"/>
      <c r="Z22" s="1997"/>
      <c r="AA22" s="1997"/>
      <c r="AB22" s="1997"/>
      <c r="AC22" s="1997"/>
      <c r="AD22" s="1997"/>
      <c r="AE22" s="1997"/>
      <c r="AF22" s="1997"/>
      <c r="AG22" s="1997"/>
      <c r="AH22" s="1997"/>
      <c r="AI22" s="1997"/>
      <c r="AJ22" s="1997"/>
      <c r="AK22" s="1997"/>
      <c r="AL22" s="1997"/>
      <c r="AM22" s="1997"/>
      <c r="AN22" s="1997"/>
      <c r="AO22" s="1997"/>
      <c r="AP22" s="1997"/>
      <c r="AQ22" s="1997"/>
      <c r="AR22" s="1997"/>
      <c r="AS22" s="1997"/>
      <c r="AT22" s="1997"/>
      <c r="AU22" s="1997"/>
      <c r="AV22" s="1997"/>
      <c r="AW22" s="1997"/>
      <c r="AX22" s="1997"/>
      <c r="AY22" s="1997"/>
      <c r="AZ22" s="1997"/>
      <c r="BA22" s="1997"/>
      <c r="BB22" s="1997"/>
      <c r="BC22" s="1997"/>
      <c r="BD22" s="1997"/>
      <c r="BE22" s="1997"/>
      <c r="BF22" s="1997"/>
      <c r="BG22" s="1997"/>
      <c r="BH22" s="1997"/>
      <c r="BI22" s="1997"/>
      <c r="BJ22" s="1997"/>
      <c r="BK22" s="1997"/>
      <c r="BL22" s="1997"/>
      <c r="BM22" s="1997"/>
      <c r="BN22" s="1997"/>
      <c r="BO22" s="1997"/>
      <c r="BP22" s="1997"/>
      <c r="BQ22" s="1997"/>
      <c r="BR22" s="1997"/>
      <c r="BS22" s="1997"/>
      <c r="BT22" s="1997"/>
      <c r="BU22" s="1997"/>
      <c r="BV22" s="1997"/>
      <c r="BW22" s="1997"/>
      <c r="BX22" s="1997"/>
      <c r="BY22" s="1997"/>
      <c r="BZ22" s="1997"/>
      <c r="CA22" s="1997"/>
      <c r="CB22" s="1997"/>
      <c r="CC22" s="1997"/>
      <c r="CD22" s="1997"/>
      <c r="CE22" s="1997"/>
      <c r="CF22" s="1997"/>
      <c r="CG22" s="1997"/>
      <c r="CH22" s="1997"/>
      <c r="CI22" s="1997"/>
      <c r="CJ22" s="1997"/>
      <c r="CK22" s="1997"/>
      <c r="CL22" s="1997"/>
      <c r="CM22" s="1997"/>
      <c r="CN22" s="1997"/>
      <c r="CO22" s="1997"/>
      <c r="CP22" s="1997"/>
      <c r="CQ22" s="1997"/>
      <c r="CR22" s="1997"/>
      <c r="CS22" s="1997"/>
      <c r="CT22" s="1997"/>
      <c r="CU22" s="1997"/>
      <c r="CV22" s="1997"/>
      <c r="CW22" s="1997"/>
      <c r="CX22" s="1997"/>
      <c r="CY22" s="1997"/>
      <c r="CZ22" s="1997"/>
      <c r="DA22" s="1997"/>
      <c r="DB22" s="1997"/>
      <c r="DC22" s="1997"/>
      <c r="DD22" s="1997"/>
      <c r="DE22" s="1997"/>
      <c r="DF22" s="1997"/>
      <c r="DG22" s="1997"/>
      <c r="DH22" s="1997"/>
      <c r="DI22" s="1997"/>
      <c r="DJ22" s="1997"/>
      <c r="DK22" s="1997"/>
      <c r="DL22" s="1997"/>
      <c r="DM22" s="1997"/>
      <c r="DN22" s="1997"/>
      <c r="DO22" s="1997"/>
      <c r="DP22" s="1997"/>
      <c r="DQ22" s="1997"/>
      <c r="DR22" s="1997"/>
      <c r="DS22" s="1997"/>
      <c r="DT22" s="1997"/>
      <c r="DU22" s="1997"/>
      <c r="DV22" s="1997"/>
      <c r="DW22" s="1997"/>
      <c r="DX22" s="1997"/>
      <c r="DY22" s="1997"/>
      <c r="DZ22" s="1997"/>
      <c r="EA22" s="1997"/>
      <c r="EB22" s="1997"/>
      <c r="EC22" s="1997"/>
      <c r="ED22" s="1997"/>
      <c r="EE22" s="1997"/>
      <c r="EF22" s="1997"/>
      <c r="EG22" s="1997"/>
      <c r="EH22" s="1997"/>
      <c r="EI22" s="1997"/>
      <c r="EJ22" s="1997"/>
      <c r="EK22" s="1997"/>
      <c r="EL22" s="1997"/>
      <c r="EM22" s="1997"/>
      <c r="EN22" s="1997"/>
      <c r="EO22" s="1997"/>
      <c r="EP22" s="1997"/>
      <c r="EQ22" s="1997"/>
      <c r="ER22" s="1997"/>
      <c r="ES22" s="1997"/>
      <c r="ET22" s="1997"/>
      <c r="EU22" s="1997"/>
      <c r="EV22" s="1997"/>
      <c r="EW22" s="1997"/>
      <c r="EX22" s="1997"/>
      <c r="EY22" s="1997"/>
      <c r="EZ22" s="1997"/>
      <c r="FA22" s="1997"/>
      <c r="FB22" s="1997"/>
      <c r="FC22" s="1997"/>
      <c r="FD22" s="1997"/>
      <c r="FE22" s="1997"/>
      <c r="FF22" s="1997"/>
      <c r="FG22" s="1997"/>
      <c r="FH22" s="1997"/>
      <c r="FI22" s="1997"/>
      <c r="FJ22" s="1997"/>
      <c r="FK22" s="1997"/>
      <c r="FL22" s="1997"/>
      <c r="FM22" s="1997"/>
      <c r="FN22" s="1997"/>
      <c r="FO22" s="1997"/>
      <c r="FP22" s="1997"/>
      <c r="FQ22" s="1997"/>
      <c r="FR22" s="1997"/>
      <c r="FS22" s="1997"/>
      <c r="FT22" s="1997"/>
      <c r="FU22" s="1997"/>
      <c r="FV22" s="1997"/>
      <c r="FW22" s="1997"/>
      <c r="FX22" s="1997"/>
      <c r="FY22" s="1997"/>
      <c r="FZ22" s="1997"/>
      <c r="GA22" s="1997"/>
      <c r="GB22" s="1997"/>
      <c r="GC22" s="1997"/>
      <c r="GD22" s="1997"/>
      <c r="GE22" s="1997"/>
      <c r="GF22" s="1997"/>
      <c r="GG22" s="1997"/>
      <c r="GH22" s="1997"/>
      <c r="GI22" s="1997"/>
      <c r="GJ22" s="1997"/>
      <c r="GK22" s="1997"/>
      <c r="GL22" s="1997"/>
      <c r="GM22" s="1997"/>
      <c r="GN22" s="1997"/>
      <c r="GO22" s="1997"/>
      <c r="GP22" s="1997"/>
      <c r="GQ22" s="1997"/>
      <c r="GR22" s="1997"/>
      <c r="GS22" s="1997"/>
      <c r="GT22" s="1997"/>
      <c r="GU22" s="1997"/>
      <c r="GV22" s="1997"/>
      <c r="GW22" s="1997"/>
      <c r="GX22" s="1997"/>
      <c r="GY22" s="1997"/>
      <c r="GZ22" s="1997"/>
      <c r="HA22" s="1997"/>
      <c r="HB22" s="1997"/>
      <c r="HC22" s="1997"/>
      <c r="HD22" s="1997"/>
      <c r="HE22" s="1997"/>
      <c r="HF22" s="1997"/>
      <c r="HG22" s="1997"/>
      <c r="HH22" s="1997"/>
      <c r="HI22" s="1997"/>
      <c r="HJ22" s="1997"/>
      <c r="HK22" s="1997"/>
      <c r="HL22" s="1997"/>
      <c r="HM22" s="1997"/>
      <c r="HN22" s="1997"/>
      <c r="HO22" s="1997"/>
      <c r="HP22" s="1997"/>
      <c r="HQ22" s="1997"/>
      <c r="HR22" s="1997"/>
      <c r="HS22" s="1997"/>
      <c r="HT22" s="1997"/>
      <c r="HU22" s="1997"/>
      <c r="HV22" s="1997"/>
      <c r="HW22" s="1997"/>
      <c r="HX22" s="1997"/>
      <c r="HY22" s="1997"/>
      <c r="HZ22" s="1997"/>
      <c r="IA22" s="1997"/>
      <c r="IB22" s="1997"/>
      <c r="IC22" s="1997"/>
      <c r="ID22" s="1997"/>
      <c r="IE22" s="1997"/>
      <c r="IF22" s="1997"/>
      <c r="IG22" s="1997"/>
      <c r="IH22" s="1997"/>
      <c r="II22" s="1997"/>
      <c r="IJ22" s="1997"/>
      <c r="IK22" s="1997"/>
      <c r="IL22" s="1997"/>
      <c r="IM22" s="1997"/>
      <c r="IN22" s="1997"/>
      <c r="IO22" s="1997"/>
      <c r="IP22" s="1997"/>
      <c r="IQ22" s="1997"/>
    </row>
    <row r="23" spans="1:251" hidden="1">
      <c r="A23" s="1993"/>
      <c r="B23" s="1998"/>
      <c r="C23" s="1998"/>
      <c r="D23" s="2034"/>
      <c r="E23" s="1998"/>
      <c r="F23" s="1940">
        <f t="shared" si="14"/>
        <v>0</v>
      </c>
      <c r="G23" s="1993"/>
      <c r="H23" s="1940">
        <f t="shared" si="4"/>
        <v>0</v>
      </c>
      <c r="I23" s="1993"/>
      <c r="J23" s="1940">
        <f t="shared" si="5"/>
        <v>0</v>
      </c>
      <c r="K23" s="1993"/>
      <c r="L23" s="1940">
        <f t="shared" si="6"/>
        <v>0</v>
      </c>
      <c r="M23" s="1940">
        <f t="shared" si="13"/>
        <v>0</v>
      </c>
      <c r="N23" s="1940">
        <f t="shared" si="7"/>
        <v>0</v>
      </c>
      <c r="O23" s="1993"/>
      <c r="P23" s="1993"/>
      <c r="Q23" s="1940">
        <f t="shared" si="8"/>
        <v>0</v>
      </c>
      <c r="R23" s="1940">
        <f t="shared" si="9"/>
        <v>0</v>
      </c>
      <c r="S23" s="1940">
        <f t="shared" si="10"/>
        <v>0</v>
      </c>
      <c r="T23" s="1940">
        <f t="shared" si="11"/>
        <v>0</v>
      </c>
      <c r="U23" s="1940">
        <f t="shared" si="12"/>
        <v>0</v>
      </c>
      <c r="V23" s="1997"/>
      <c r="W23" s="1997"/>
      <c r="X23" s="1997"/>
      <c r="Y23" s="1997"/>
      <c r="Z23" s="1997"/>
      <c r="AA23" s="1997"/>
      <c r="AB23" s="1997"/>
      <c r="AC23" s="1997"/>
      <c r="AD23" s="1997"/>
      <c r="AE23" s="1997"/>
      <c r="AF23" s="1997"/>
      <c r="AG23" s="1997"/>
      <c r="AH23" s="1997"/>
      <c r="AI23" s="1997"/>
      <c r="AJ23" s="1997"/>
      <c r="AK23" s="1997"/>
      <c r="AL23" s="1997"/>
      <c r="AM23" s="1997"/>
      <c r="AN23" s="1997"/>
      <c r="AO23" s="1997"/>
      <c r="AP23" s="1997"/>
      <c r="AQ23" s="1997"/>
      <c r="AR23" s="1997"/>
      <c r="AS23" s="1997"/>
      <c r="AT23" s="1997"/>
      <c r="AU23" s="1997"/>
      <c r="AV23" s="1997"/>
      <c r="AW23" s="1997"/>
      <c r="AX23" s="1997"/>
      <c r="AY23" s="1997"/>
      <c r="AZ23" s="1997"/>
      <c r="BA23" s="1997"/>
      <c r="BB23" s="1997"/>
      <c r="BC23" s="1997"/>
      <c r="BD23" s="1997"/>
      <c r="BE23" s="1997"/>
      <c r="BF23" s="1997"/>
      <c r="BG23" s="1997"/>
      <c r="BH23" s="1997"/>
      <c r="BI23" s="1997"/>
      <c r="BJ23" s="1997"/>
      <c r="BK23" s="1997"/>
      <c r="BL23" s="1997"/>
      <c r="BM23" s="1997"/>
      <c r="BN23" s="1997"/>
      <c r="BO23" s="1997"/>
      <c r="BP23" s="1997"/>
      <c r="BQ23" s="1997"/>
      <c r="BR23" s="1997"/>
      <c r="BS23" s="1997"/>
      <c r="BT23" s="1997"/>
      <c r="BU23" s="1997"/>
      <c r="BV23" s="1997"/>
      <c r="BW23" s="1997"/>
      <c r="BX23" s="1997"/>
      <c r="BY23" s="1997"/>
      <c r="BZ23" s="1997"/>
      <c r="CA23" s="1997"/>
      <c r="CB23" s="1997"/>
      <c r="CC23" s="1997"/>
      <c r="CD23" s="1997"/>
      <c r="CE23" s="1997"/>
      <c r="CF23" s="1997"/>
      <c r="CG23" s="1997"/>
      <c r="CH23" s="1997"/>
      <c r="CI23" s="1997"/>
      <c r="CJ23" s="1997"/>
      <c r="CK23" s="1997"/>
      <c r="CL23" s="1997"/>
      <c r="CM23" s="1997"/>
      <c r="CN23" s="1997"/>
      <c r="CO23" s="1997"/>
      <c r="CP23" s="1997"/>
      <c r="CQ23" s="1997"/>
      <c r="CR23" s="1997"/>
      <c r="CS23" s="1997"/>
      <c r="CT23" s="1997"/>
      <c r="CU23" s="1997"/>
      <c r="CV23" s="1997"/>
      <c r="CW23" s="1997"/>
      <c r="CX23" s="1997"/>
      <c r="CY23" s="1997"/>
      <c r="CZ23" s="1997"/>
      <c r="DA23" s="1997"/>
      <c r="DB23" s="1997"/>
      <c r="DC23" s="1997"/>
      <c r="DD23" s="1997"/>
      <c r="DE23" s="1997"/>
      <c r="DF23" s="1997"/>
      <c r="DG23" s="1997"/>
      <c r="DH23" s="1997"/>
      <c r="DI23" s="1997"/>
      <c r="DJ23" s="1997"/>
      <c r="DK23" s="1997"/>
      <c r="DL23" s="1997"/>
      <c r="DM23" s="1997"/>
      <c r="DN23" s="1997"/>
      <c r="DO23" s="1997"/>
      <c r="DP23" s="1997"/>
      <c r="DQ23" s="1997"/>
      <c r="DR23" s="1997"/>
      <c r="DS23" s="1997"/>
      <c r="DT23" s="1997"/>
      <c r="DU23" s="1997"/>
      <c r="DV23" s="1997"/>
      <c r="DW23" s="1997"/>
      <c r="DX23" s="1997"/>
      <c r="DY23" s="1997"/>
      <c r="DZ23" s="1997"/>
      <c r="EA23" s="1997"/>
      <c r="EB23" s="1997"/>
      <c r="EC23" s="1997"/>
      <c r="ED23" s="1997"/>
      <c r="EE23" s="1997"/>
      <c r="EF23" s="1997"/>
      <c r="EG23" s="1997"/>
      <c r="EH23" s="1997"/>
      <c r="EI23" s="1997"/>
      <c r="EJ23" s="1997"/>
      <c r="EK23" s="1997"/>
      <c r="EL23" s="1997"/>
      <c r="EM23" s="1997"/>
      <c r="EN23" s="1997"/>
      <c r="EO23" s="1997"/>
      <c r="EP23" s="1997"/>
      <c r="EQ23" s="1997"/>
      <c r="ER23" s="1997"/>
      <c r="ES23" s="1997"/>
      <c r="ET23" s="1997"/>
      <c r="EU23" s="1997"/>
      <c r="EV23" s="1997"/>
      <c r="EW23" s="1997"/>
      <c r="EX23" s="1997"/>
      <c r="EY23" s="1997"/>
      <c r="EZ23" s="1997"/>
      <c r="FA23" s="1997"/>
      <c r="FB23" s="1997"/>
      <c r="FC23" s="1997"/>
      <c r="FD23" s="1997"/>
      <c r="FE23" s="1997"/>
      <c r="FF23" s="1997"/>
      <c r="FG23" s="1997"/>
      <c r="FH23" s="1997"/>
      <c r="FI23" s="1997"/>
      <c r="FJ23" s="1997"/>
      <c r="FK23" s="1997"/>
      <c r="FL23" s="1997"/>
      <c r="FM23" s="1997"/>
      <c r="FN23" s="1997"/>
      <c r="FO23" s="1997"/>
      <c r="FP23" s="1997"/>
      <c r="FQ23" s="1997"/>
      <c r="FR23" s="1997"/>
      <c r="FS23" s="1997"/>
      <c r="FT23" s="1997"/>
      <c r="FU23" s="1997"/>
      <c r="FV23" s="1997"/>
      <c r="FW23" s="1997"/>
      <c r="FX23" s="1997"/>
      <c r="FY23" s="1997"/>
      <c r="FZ23" s="1997"/>
      <c r="GA23" s="1997"/>
      <c r="GB23" s="1997"/>
      <c r="GC23" s="1997"/>
      <c r="GD23" s="1997"/>
      <c r="GE23" s="1997"/>
      <c r="GF23" s="1997"/>
      <c r="GG23" s="1997"/>
      <c r="GH23" s="1997"/>
      <c r="GI23" s="1997"/>
      <c r="GJ23" s="1997"/>
      <c r="GK23" s="1997"/>
      <c r="GL23" s="1997"/>
      <c r="GM23" s="1997"/>
      <c r="GN23" s="1997"/>
      <c r="GO23" s="1997"/>
      <c r="GP23" s="1997"/>
      <c r="GQ23" s="1997"/>
      <c r="GR23" s="1997"/>
      <c r="GS23" s="1997"/>
      <c r="GT23" s="1997"/>
      <c r="GU23" s="1997"/>
      <c r="GV23" s="1997"/>
      <c r="GW23" s="1997"/>
      <c r="GX23" s="1997"/>
      <c r="GY23" s="1997"/>
      <c r="GZ23" s="1997"/>
      <c r="HA23" s="1997"/>
      <c r="HB23" s="1997"/>
      <c r="HC23" s="1997"/>
      <c r="HD23" s="1997"/>
      <c r="HE23" s="1997"/>
      <c r="HF23" s="1997"/>
      <c r="HG23" s="1997"/>
      <c r="HH23" s="1997"/>
      <c r="HI23" s="1997"/>
      <c r="HJ23" s="1997"/>
      <c r="HK23" s="1997"/>
      <c r="HL23" s="1997"/>
      <c r="HM23" s="1997"/>
      <c r="HN23" s="1997"/>
      <c r="HO23" s="1997"/>
      <c r="HP23" s="1997"/>
      <c r="HQ23" s="1997"/>
      <c r="HR23" s="1997"/>
      <c r="HS23" s="1997"/>
      <c r="HT23" s="1997"/>
      <c r="HU23" s="1997"/>
      <c r="HV23" s="1997"/>
      <c r="HW23" s="1997"/>
      <c r="HX23" s="1997"/>
      <c r="HY23" s="1997"/>
      <c r="HZ23" s="1997"/>
      <c r="IA23" s="1997"/>
      <c r="IB23" s="1997"/>
      <c r="IC23" s="1997"/>
      <c r="ID23" s="1997"/>
      <c r="IE23" s="1997"/>
      <c r="IF23" s="1997"/>
      <c r="IG23" s="1997"/>
      <c r="IH23" s="1997"/>
      <c r="II23" s="1997"/>
      <c r="IJ23" s="1997"/>
      <c r="IK23" s="1997"/>
      <c r="IL23" s="1997"/>
      <c r="IM23" s="1997"/>
      <c r="IN23" s="1997"/>
      <c r="IO23" s="1997"/>
      <c r="IP23" s="1997"/>
      <c r="IQ23" s="1997"/>
    </row>
    <row r="24" spans="1:251" hidden="1">
      <c r="A24" s="1993"/>
      <c r="B24" s="1998"/>
      <c r="C24" s="1998"/>
      <c r="D24" s="2034"/>
      <c r="E24" s="1998"/>
      <c r="F24" s="1940">
        <f t="shared" si="14"/>
        <v>0</v>
      </c>
      <c r="G24" s="1993"/>
      <c r="H24" s="1940">
        <f t="shared" si="4"/>
        <v>0</v>
      </c>
      <c r="I24" s="1993"/>
      <c r="J24" s="1940">
        <f t="shared" si="5"/>
        <v>0</v>
      </c>
      <c r="K24" s="1993"/>
      <c r="L24" s="1940">
        <f t="shared" si="6"/>
        <v>0</v>
      </c>
      <c r="M24" s="1940">
        <f t="shared" si="13"/>
        <v>0</v>
      </c>
      <c r="N24" s="1940">
        <f t="shared" si="7"/>
        <v>0</v>
      </c>
      <c r="O24" s="1993"/>
      <c r="P24" s="1993"/>
      <c r="Q24" s="1940">
        <f t="shared" si="8"/>
        <v>0</v>
      </c>
      <c r="R24" s="1940">
        <f t="shared" si="9"/>
        <v>0</v>
      </c>
      <c r="S24" s="1940">
        <f t="shared" si="10"/>
        <v>0</v>
      </c>
      <c r="T24" s="1940">
        <f t="shared" si="11"/>
        <v>0</v>
      </c>
      <c r="U24" s="1940">
        <f t="shared" si="12"/>
        <v>0</v>
      </c>
      <c r="V24" s="1997"/>
      <c r="W24" s="1997"/>
      <c r="X24" s="1997"/>
      <c r="Y24" s="1997"/>
      <c r="Z24" s="1997"/>
      <c r="AA24" s="1997"/>
      <c r="AB24" s="1997"/>
      <c r="AC24" s="1997"/>
      <c r="AD24" s="1997"/>
      <c r="AE24" s="1997"/>
      <c r="AF24" s="1997"/>
      <c r="AG24" s="1997"/>
      <c r="AH24" s="1997"/>
      <c r="AI24" s="1997"/>
      <c r="AJ24" s="1997"/>
      <c r="AK24" s="1997"/>
      <c r="AL24" s="1997"/>
      <c r="AM24" s="1997"/>
      <c r="AN24" s="1997"/>
      <c r="AO24" s="1997"/>
      <c r="AP24" s="1997"/>
      <c r="AQ24" s="1997"/>
      <c r="AR24" s="1997"/>
      <c r="AS24" s="1997"/>
      <c r="AT24" s="1997"/>
      <c r="AU24" s="1997"/>
      <c r="AV24" s="1997"/>
      <c r="AW24" s="1997"/>
      <c r="AX24" s="1997"/>
      <c r="AY24" s="1997"/>
      <c r="AZ24" s="1997"/>
      <c r="BA24" s="1997"/>
      <c r="BB24" s="1997"/>
      <c r="BC24" s="1997"/>
      <c r="BD24" s="1997"/>
      <c r="BE24" s="1997"/>
      <c r="BF24" s="1997"/>
      <c r="BG24" s="1997"/>
      <c r="BH24" s="1997"/>
      <c r="BI24" s="1997"/>
      <c r="BJ24" s="1997"/>
      <c r="BK24" s="1997"/>
      <c r="BL24" s="1997"/>
      <c r="BM24" s="1997"/>
      <c r="BN24" s="1997"/>
      <c r="BO24" s="1997"/>
      <c r="BP24" s="1997"/>
      <c r="BQ24" s="1997"/>
      <c r="BR24" s="1997"/>
      <c r="BS24" s="1997"/>
      <c r="BT24" s="1997"/>
      <c r="BU24" s="1997"/>
      <c r="BV24" s="1997"/>
      <c r="BW24" s="1997"/>
      <c r="BX24" s="1997"/>
      <c r="BY24" s="1997"/>
      <c r="BZ24" s="1997"/>
      <c r="CA24" s="1997"/>
      <c r="CB24" s="1997"/>
      <c r="CC24" s="1997"/>
      <c r="CD24" s="1997"/>
      <c r="CE24" s="1997"/>
      <c r="CF24" s="1997"/>
      <c r="CG24" s="1997"/>
      <c r="CH24" s="1997"/>
      <c r="CI24" s="1997"/>
      <c r="CJ24" s="1997"/>
      <c r="CK24" s="1997"/>
      <c r="CL24" s="1997"/>
      <c r="CM24" s="1997"/>
      <c r="CN24" s="1997"/>
      <c r="CO24" s="1997"/>
      <c r="CP24" s="1997"/>
      <c r="CQ24" s="1997"/>
      <c r="CR24" s="1997"/>
      <c r="CS24" s="1997"/>
      <c r="CT24" s="1997"/>
      <c r="CU24" s="1997"/>
      <c r="CV24" s="1997"/>
      <c r="CW24" s="1997"/>
      <c r="CX24" s="1997"/>
      <c r="CY24" s="1997"/>
      <c r="CZ24" s="1997"/>
      <c r="DA24" s="1997"/>
      <c r="DB24" s="1997"/>
      <c r="DC24" s="1997"/>
      <c r="DD24" s="1997"/>
      <c r="DE24" s="1997"/>
      <c r="DF24" s="1997"/>
      <c r="DG24" s="1997"/>
      <c r="DH24" s="1997"/>
      <c r="DI24" s="1997"/>
      <c r="DJ24" s="1997"/>
      <c r="DK24" s="1997"/>
      <c r="DL24" s="1997"/>
      <c r="DM24" s="1997"/>
      <c r="DN24" s="1997"/>
      <c r="DO24" s="1997"/>
      <c r="DP24" s="1997"/>
      <c r="DQ24" s="1997"/>
      <c r="DR24" s="1997"/>
      <c r="DS24" s="1997"/>
      <c r="DT24" s="1997"/>
      <c r="DU24" s="1997"/>
      <c r="DV24" s="1997"/>
      <c r="DW24" s="1997"/>
      <c r="DX24" s="1997"/>
      <c r="DY24" s="1997"/>
      <c r="DZ24" s="1997"/>
      <c r="EA24" s="1997"/>
      <c r="EB24" s="1997"/>
      <c r="EC24" s="1997"/>
      <c r="ED24" s="1997"/>
      <c r="EE24" s="1997"/>
      <c r="EF24" s="1997"/>
      <c r="EG24" s="1997"/>
      <c r="EH24" s="1997"/>
      <c r="EI24" s="1997"/>
      <c r="EJ24" s="1997"/>
      <c r="EK24" s="1997"/>
      <c r="EL24" s="1997"/>
      <c r="EM24" s="1997"/>
      <c r="EN24" s="1997"/>
      <c r="EO24" s="1997"/>
      <c r="EP24" s="1997"/>
      <c r="EQ24" s="1997"/>
      <c r="ER24" s="1997"/>
      <c r="ES24" s="1997"/>
      <c r="ET24" s="1997"/>
      <c r="EU24" s="1997"/>
      <c r="EV24" s="1997"/>
      <c r="EW24" s="1997"/>
      <c r="EX24" s="1997"/>
      <c r="EY24" s="1997"/>
      <c r="EZ24" s="1997"/>
      <c r="FA24" s="1997"/>
      <c r="FB24" s="1997"/>
      <c r="FC24" s="1997"/>
      <c r="FD24" s="1997"/>
      <c r="FE24" s="1997"/>
      <c r="FF24" s="1997"/>
      <c r="FG24" s="1997"/>
      <c r="FH24" s="1997"/>
      <c r="FI24" s="1997"/>
      <c r="FJ24" s="1997"/>
      <c r="FK24" s="1997"/>
      <c r="FL24" s="1997"/>
      <c r="FM24" s="1997"/>
      <c r="FN24" s="1997"/>
      <c r="FO24" s="1997"/>
      <c r="FP24" s="1997"/>
      <c r="FQ24" s="1997"/>
      <c r="FR24" s="1997"/>
      <c r="FS24" s="1997"/>
      <c r="FT24" s="1997"/>
      <c r="FU24" s="1997"/>
      <c r="FV24" s="1997"/>
      <c r="FW24" s="1997"/>
      <c r="FX24" s="1997"/>
      <c r="FY24" s="1997"/>
      <c r="FZ24" s="1997"/>
      <c r="GA24" s="1997"/>
      <c r="GB24" s="1997"/>
      <c r="GC24" s="1997"/>
      <c r="GD24" s="1997"/>
      <c r="GE24" s="1997"/>
      <c r="GF24" s="1997"/>
      <c r="GG24" s="1997"/>
      <c r="GH24" s="1997"/>
      <c r="GI24" s="1997"/>
      <c r="GJ24" s="1997"/>
      <c r="GK24" s="1997"/>
      <c r="GL24" s="1997"/>
      <c r="GM24" s="1997"/>
      <c r="GN24" s="1997"/>
      <c r="GO24" s="1997"/>
      <c r="GP24" s="1997"/>
      <c r="GQ24" s="1997"/>
      <c r="GR24" s="1997"/>
      <c r="GS24" s="1997"/>
      <c r="GT24" s="1997"/>
      <c r="GU24" s="1997"/>
      <c r="GV24" s="1997"/>
      <c r="GW24" s="1997"/>
      <c r="GX24" s="1997"/>
      <c r="GY24" s="1997"/>
      <c r="GZ24" s="1997"/>
      <c r="HA24" s="1997"/>
      <c r="HB24" s="1997"/>
      <c r="HC24" s="1997"/>
      <c r="HD24" s="1997"/>
      <c r="HE24" s="1997"/>
      <c r="HF24" s="1997"/>
      <c r="HG24" s="1997"/>
      <c r="HH24" s="1997"/>
      <c r="HI24" s="1997"/>
      <c r="HJ24" s="1997"/>
      <c r="HK24" s="1997"/>
      <c r="HL24" s="1997"/>
      <c r="HM24" s="1997"/>
      <c r="HN24" s="1997"/>
      <c r="HO24" s="1997"/>
      <c r="HP24" s="1997"/>
      <c r="HQ24" s="1997"/>
      <c r="HR24" s="1997"/>
      <c r="HS24" s="1997"/>
      <c r="HT24" s="1997"/>
      <c r="HU24" s="1997"/>
      <c r="HV24" s="1997"/>
      <c r="HW24" s="1997"/>
      <c r="HX24" s="1997"/>
      <c r="HY24" s="1997"/>
      <c r="HZ24" s="1997"/>
      <c r="IA24" s="1997"/>
      <c r="IB24" s="1997"/>
      <c r="IC24" s="1997"/>
      <c r="ID24" s="1997"/>
      <c r="IE24" s="1997"/>
      <c r="IF24" s="1997"/>
      <c r="IG24" s="1997"/>
      <c r="IH24" s="1997"/>
      <c r="II24" s="1997"/>
      <c r="IJ24" s="1997"/>
      <c r="IK24" s="1997"/>
      <c r="IL24" s="1997"/>
      <c r="IM24" s="1997"/>
      <c r="IN24" s="1997"/>
      <c r="IO24" s="1997"/>
      <c r="IP24" s="1997"/>
      <c r="IQ24" s="1997"/>
    </row>
    <row r="25" spans="1:251" hidden="1">
      <c r="A25" s="1993"/>
      <c r="B25" s="1998"/>
      <c r="C25" s="1998"/>
      <c r="D25" s="2034"/>
      <c r="E25" s="1998"/>
      <c r="F25" s="1940">
        <f t="shared" si="14"/>
        <v>0</v>
      </c>
      <c r="G25" s="1993"/>
      <c r="H25" s="1940">
        <f>D25*F25*G25</f>
        <v>0</v>
      </c>
      <c r="I25" s="1993"/>
      <c r="J25" s="1940">
        <f t="shared" si="5"/>
        <v>0</v>
      </c>
      <c r="K25" s="1993"/>
      <c r="L25" s="1940">
        <f t="shared" si="6"/>
        <v>0</v>
      </c>
      <c r="M25" s="1940">
        <f t="shared" si="13"/>
        <v>0</v>
      </c>
      <c r="N25" s="1940">
        <f t="shared" si="7"/>
        <v>0</v>
      </c>
      <c r="O25" s="1993"/>
      <c r="P25" s="1993"/>
      <c r="Q25" s="1940">
        <f t="shared" si="8"/>
        <v>0</v>
      </c>
      <c r="R25" s="1940">
        <f t="shared" si="9"/>
        <v>0</v>
      </c>
      <c r="S25" s="1940">
        <f t="shared" si="10"/>
        <v>0</v>
      </c>
      <c r="T25" s="1940">
        <f t="shared" si="11"/>
        <v>0</v>
      </c>
      <c r="U25" s="1940">
        <f t="shared" si="12"/>
        <v>0</v>
      </c>
      <c r="V25" s="1997"/>
      <c r="W25" s="1997"/>
      <c r="X25" s="1997"/>
      <c r="Y25" s="1997"/>
      <c r="Z25" s="1997"/>
      <c r="AA25" s="1997"/>
      <c r="AB25" s="1997"/>
      <c r="AC25" s="1997"/>
      <c r="AD25" s="1997"/>
      <c r="AE25" s="1997"/>
      <c r="AF25" s="1997"/>
      <c r="AG25" s="1997"/>
      <c r="AH25" s="1997"/>
      <c r="AI25" s="1997"/>
      <c r="AJ25" s="1997"/>
      <c r="AK25" s="1997"/>
      <c r="AL25" s="1997"/>
      <c r="AM25" s="1997"/>
      <c r="AN25" s="1997"/>
      <c r="AO25" s="1997"/>
      <c r="AP25" s="1997"/>
      <c r="AQ25" s="1997"/>
      <c r="AR25" s="1997"/>
      <c r="AS25" s="1997"/>
      <c r="AT25" s="1997"/>
      <c r="AU25" s="1997"/>
      <c r="AV25" s="1997"/>
      <c r="AW25" s="1997"/>
      <c r="AX25" s="1997"/>
      <c r="AY25" s="1997"/>
      <c r="AZ25" s="1997"/>
      <c r="BA25" s="1997"/>
      <c r="BB25" s="1997"/>
      <c r="BC25" s="1997"/>
      <c r="BD25" s="1997"/>
      <c r="BE25" s="1997"/>
      <c r="BF25" s="1997"/>
      <c r="BG25" s="1997"/>
      <c r="BH25" s="1997"/>
      <c r="BI25" s="1997"/>
      <c r="BJ25" s="1997"/>
      <c r="BK25" s="1997"/>
      <c r="BL25" s="1997"/>
      <c r="BM25" s="1997"/>
      <c r="BN25" s="1997"/>
      <c r="BO25" s="1997"/>
      <c r="BP25" s="1997"/>
      <c r="BQ25" s="1997"/>
      <c r="BR25" s="1997"/>
      <c r="BS25" s="1997"/>
      <c r="BT25" s="1997"/>
      <c r="BU25" s="1997"/>
      <c r="BV25" s="1997"/>
      <c r="BW25" s="1997"/>
      <c r="BX25" s="1997"/>
      <c r="BY25" s="1997"/>
      <c r="BZ25" s="1997"/>
      <c r="CA25" s="1997"/>
      <c r="CB25" s="1997"/>
      <c r="CC25" s="1997"/>
      <c r="CD25" s="1997"/>
      <c r="CE25" s="1997"/>
      <c r="CF25" s="1997"/>
      <c r="CG25" s="1997"/>
      <c r="CH25" s="1997"/>
      <c r="CI25" s="1997"/>
      <c r="CJ25" s="1997"/>
      <c r="CK25" s="1997"/>
      <c r="CL25" s="1997"/>
      <c r="CM25" s="1997"/>
      <c r="CN25" s="1997"/>
      <c r="CO25" s="1997"/>
      <c r="CP25" s="1997"/>
      <c r="CQ25" s="1997"/>
      <c r="CR25" s="1997"/>
      <c r="CS25" s="1997"/>
      <c r="CT25" s="1997"/>
      <c r="CU25" s="1997"/>
      <c r="CV25" s="1997"/>
      <c r="CW25" s="1997"/>
      <c r="CX25" s="1997"/>
      <c r="CY25" s="1997"/>
      <c r="CZ25" s="1997"/>
      <c r="DA25" s="1997"/>
      <c r="DB25" s="1997"/>
      <c r="DC25" s="1997"/>
      <c r="DD25" s="1997"/>
      <c r="DE25" s="1997"/>
      <c r="DF25" s="1997"/>
      <c r="DG25" s="1997"/>
      <c r="DH25" s="1997"/>
      <c r="DI25" s="1997"/>
      <c r="DJ25" s="1997"/>
      <c r="DK25" s="1997"/>
      <c r="DL25" s="1997"/>
      <c r="DM25" s="1997"/>
      <c r="DN25" s="1997"/>
      <c r="DO25" s="1997"/>
      <c r="DP25" s="1997"/>
      <c r="DQ25" s="1997"/>
      <c r="DR25" s="1997"/>
      <c r="DS25" s="1997"/>
      <c r="DT25" s="1997"/>
      <c r="DU25" s="1997"/>
      <c r="DV25" s="1997"/>
      <c r="DW25" s="1997"/>
      <c r="DX25" s="1997"/>
      <c r="DY25" s="1997"/>
      <c r="DZ25" s="1997"/>
      <c r="EA25" s="1997"/>
      <c r="EB25" s="1997"/>
      <c r="EC25" s="1997"/>
      <c r="ED25" s="1997"/>
      <c r="EE25" s="1997"/>
      <c r="EF25" s="1997"/>
      <c r="EG25" s="1997"/>
      <c r="EH25" s="1997"/>
      <c r="EI25" s="1997"/>
      <c r="EJ25" s="1997"/>
      <c r="EK25" s="1997"/>
      <c r="EL25" s="1997"/>
      <c r="EM25" s="1997"/>
      <c r="EN25" s="1997"/>
      <c r="EO25" s="1997"/>
      <c r="EP25" s="1997"/>
      <c r="EQ25" s="1997"/>
      <c r="ER25" s="1997"/>
      <c r="ES25" s="1997"/>
      <c r="ET25" s="1997"/>
      <c r="EU25" s="1997"/>
      <c r="EV25" s="1997"/>
      <c r="EW25" s="1997"/>
      <c r="EX25" s="1997"/>
      <c r="EY25" s="1997"/>
      <c r="EZ25" s="1997"/>
      <c r="FA25" s="1997"/>
      <c r="FB25" s="1997"/>
      <c r="FC25" s="1997"/>
      <c r="FD25" s="1997"/>
      <c r="FE25" s="1997"/>
      <c r="FF25" s="1997"/>
      <c r="FG25" s="1997"/>
      <c r="FH25" s="1997"/>
      <c r="FI25" s="1997"/>
      <c r="FJ25" s="1997"/>
      <c r="FK25" s="1997"/>
      <c r="FL25" s="1997"/>
      <c r="FM25" s="1997"/>
      <c r="FN25" s="1997"/>
      <c r="FO25" s="1997"/>
      <c r="FP25" s="1997"/>
      <c r="FQ25" s="1997"/>
      <c r="FR25" s="1997"/>
      <c r="FS25" s="1997"/>
      <c r="FT25" s="1997"/>
      <c r="FU25" s="1997"/>
      <c r="FV25" s="1997"/>
      <c r="FW25" s="1997"/>
      <c r="FX25" s="1997"/>
      <c r="FY25" s="1997"/>
      <c r="FZ25" s="1997"/>
      <c r="GA25" s="1997"/>
      <c r="GB25" s="1997"/>
      <c r="GC25" s="1997"/>
      <c r="GD25" s="1997"/>
      <c r="GE25" s="1997"/>
      <c r="GF25" s="1997"/>
      <c r="GG25" s="1997"/>
      <c r="GH25" s="1997"/>
      <c r="GI25" s="1997"/>
      <c r="GJ25" s="1997"/>
      <c r="GK25" s="1997"/>
      <c r="GL25" s="1997"/>
      <c r="GM25" s="1997"/>
      <c r="GN25" s="1997"/>
      <c r="GO25" s="1997"/>
      <c r="GP25" s="1997"/>
      <c r="GQ25" s="1997"/>
      <c r="GR25" s="1997"/>
      <c r="GS25" s="1997"/>
      <c r="GT25" s="1997"/>
      <c r="GU25" s="1997"/>
      <c r="GV25" s="1997"/>
      <c r="GW25" s="1997"/>
      <c r="GX25" s="1997"/>
      <c r="GY25" s="1997"/>
      <c r="GZ25" s="1997"/>
      <c r="HA25" s="1997"/>
      <c r="HB25" s="1997"/>
      <c r="HC25" s="1997"/>
      <c r="HD25" s="1997"/>
      <c r="HE25" s="1997"/>
      <c r="HF25" s="1997"/>
      <c r="HG25" s="1997"/>
      <c r="HH25" s="1997"/>
      <c r="HI25" s="1997"/>
      <c r="HJ25" s="1997"/>
      <c r="HK25" s="1997"/>
      <c r="HL25" s="1997"/>
      <c r="HM25" s="1997"/>
      <c r="HN25" s="1997"/>
      <c r="HO25" s="1997"/>
      <c r="HP25" s="1997"/>
      <c r="HQ25" s="1997"/>
      <c r="HR25" s="1997"/>
      <c r="HS25" s="1997"/>
      <c r="HT25" s="1997"/>
      <c r="HU25" s="1997"/>
      <c r="HV25" s="1997"/>
      <c r="HW25" s="1997"/>
      <c r="HX25" s="1997"/>
      <c r="HY25" s="1997"/>
      <c r="HZ25" s="1997"/>
      <c r="IA25" s="1997"/>
      <c r="IB25" s="1997"/>
      <c r="IC25" s="1997"/>
      <c r="ID25" s="1997"/>
      <c r="IE25" s="1997"/>
      <c r="IF25" s="1997"/>
      <c r="IG25" s="1997"/>
      <c r="IH25" s="1997"/>
      <c r="II25" s="1997"/>
      <c r="IJ25" s="1997"/>
      <c r="IK25" s="1997"/>
      <c r="IL25" s="1997"/>
      <c r="IM25" s="1997"/>
      <c r="IN25" s="1997"/>
      <c r="IO25" s="1997"/>
      <c r="IP25" s="1997"/>
      <c r="IQ25" s="1997"/>
    </row>
    <row r="26" spans="1:251" ht="12" hidden="1" customHeight="1">
      <c r="A26" s="1993"/>
      <c r="B26" s="1998"/>
      <c r="C26" s="1998"/>
      <c r="D26" s="2034"/>
      <c r="E26" s="1998"/>
      <c r="F26" s="1940">
        <f t="shared" si="14"/>
        <v>0</v>
      </c>
      <c r="G26" s="1993"/>
      <c r="H26" s="1940">
        <f t="shared" si="4"/>
        <v>0</v>
      </c>
      <c r="I26" s="1993"/>
      <c r="J26" s="1940">
        <f t="shared" si="5"/>
        <v>0</v>
      </c>
      <c r="K26" s="1993"/>
      <c r="L26" s="1940">
        <f t="shared" si="6"/>
        <v>0</v>
      </c>
      <c r="M26" s="1940">
        <f t="shared" si="13"/>
        <v>0</v>
      </c>
      <c r="N26" s="1940">
        <f t="shared" si="7"/>
        <v>0</v>
      </c>
      <c r="O26" s="1993"/>
      <c r="P26" s="1993"/>
      <c r="Q26" s="1940">
        <f t="shared" si="8"/>
        <v>0</v>
      </c>
      <c r="R26" s="1940">
        <f t="shared" si="9"/>
        <v>0</v>
      </c>
      <c r="S26" s="1940">
        <f t="shared" si="10"/>
        <v>0</v>
      </c>
      <c r="T26" s="1940">
        <f t="shared" si="11"/>
        <v>0</v>
      </c>
      <c r="U26" s="1940">
        <f t="shared" si="12"/>
        <v>0</v>
      </c>
      <c r="V26" s="1997"/>
      <c r="W26" s="1997"/>
      <c r="X26" s="1997"/>
      <c r="Y26" s="1997"/>
      <c r="Z26" s="1997"/>
      <c r="AA26" s="1997"/>
      <c r="AB26" s="1997"/>
      <c r="AC26" s="1997"/>
      <c r="AD26" s="1997"/>
      <c r="AE26" s="1997"/>
      <c r="AF26" s="1997"/>
      <c r="AG26" s="1997"/>
      <c r="AH26" s="1997"/>
      <c r="AI26" s="1997"/>
      <c r="AJ26" s="1997"/>
      <c r="AK26" s="1997"/>
      <c r="AL26" s="1997"/>
      <c r="AM26" s="1997"/>
      <c r="AN26" s="1997"/>
      <c r="AO26" s="1997"/>
      <c r="AP26" s="1997"/>
      <c r="AQ26" s="1997"/>
      <c r="AR26" s="1997"/>
      <c r="AS26" s="1997"/>
      <c r="AT26" s="1997"/>
      <c r="AU26" s="1997"/>
      <c r="AV26" s="1997"/>
      <c r="AW26" s="1997"/>
      <c r="AX26" s="1997"/>
      <c r="AY26" s="1997"/>
      <c r="AZ26" s="1997"/>
      <c r="BA26" s="1997"/>
      <c r="BB26" s="1997"/>
      <c r="BC26" s="1997"/>
      <c r="BD26" s="1997"/>
      <c r="BE26" s="1997"/>
      <c r="BF26" s="1997"/>
      <c r="BG26" s="1997"/>
      <c r="BH26" s="1997"/>
      <c r="BI26" s="1997"/>
      <c r="BJ26" s="1997"/>
      <c r="BK26" s="1997"/>
      <c r="BL26" s="1997"/>
      <c r="BM26" s="1997"/>
      <c r="BN26" s="1997"/>
      <c r="BO26" s="1997"/>
      <c r="BP26" s="1997"/>
      <c r="BQ26" s="1997"/>
      <c r="BR26" s="1997"/>
      <c r="BS26" s="1997"/>
      <c r="BT26" s="1997"/>
      <c r="BU26" s="1997"/>
      <c r="BV26" s="1997"/>
      <c r="BW26" s="1997"/>
      <c r="BX26" s="1997"/>
      <c r="BY26" s="1997"/>
      <c r="BZ26" s="1997"/>
      <c r="CA26" s="1997"/>
      <c r="CB26" s="1997"/>
      <c r="CC26" s="1997"/>
      <c r="CD26" s="1997"/>
      <c r="CE26" s="1997"/>
      <c r="CF26" s="1997"/>
      <c r="CG26" s="1997"/>
      <c r="CH26" s="1997"/>
      <c r="CI26" s="1997"/>
      <c r="CJ26" s="1997"/>
      <c r="CK26" s="1997"/>
      <c r="CL26" s="1997"/>
      <c r="CM26" s="1997"/>
      <c r="CN26" s="1997"/>
      <c r="CO26" s="1997"/>
      <c r="CP26" s="1997"/>
      <c r="CQ26" s="1997"/>
      <c r="CR26" s="1997"/>
      <c r="CS26" s="1997"/>
      <c r="CT26" s="1997"/>
      <c r="CU26" s="1997"/>
      <c r="CV26" s="1997"/>
      <c r="CW26" s="1997"/>
      <c r="CX26" s="1997"/>
      <c r="CY26" s="1997"/>
      <c r="CZ26" s="1997"/>
      <c r="DA26" s="1997"/>
      <c r="DB26" s="1997"/>
      <c r="DC26" s="1997"/>
      <c r="DD26" s="1997"/>
      <c r="DE26" s="1997"/>
      <c r="DF26" s="1997"/>
      <c r="DG26" s="1997"/>
      <c r="DH26" s="1997"/>
      <c r="DI26" s="1997"/>
      <c r="DJ26" s="1997"/>
      <c r="DK26" s="1997"/>
      <c r="DL26" s="1997"/>
      <c r="DM26" s="1997"/>
      <c r="DN26" s="1997"/>
      <c r="DO26" s="1997"/>
      <c r="DP26" s="1997"/>
      <c r="DQ26" s="1997"/>
      <c r="DR26" s="1997"/>
      <c r="DS26" s="1997"/>
      <c r="DT26" s="1997"/>
      <c r="DU26" s="1997"/>
      <c r="DV26" s="1997"/>
      <c r="DW26" s="1997"/>
      <c r="DX26" s="1997"/>
      <c r="DY26" s="1997"/>
      <c r="DZ26" s="1997"/>
      <c r="EA26" s="1997"/>
      <c r="EB26" s="1997"/>
      <c r="EC26" s="1997"/>
      <c r="ED26" s="1997"/>
      <c r="EE26" s="1997"/>
      <c r="EF26" s="1997"/>
      <c r="EG26" s="1997"/>
      <c r="EH26" s="1997"/>
      <c r="EI26" s="1997"/>
      <c r="EJ26" s="1997"/>
      <c r="EK26" s="1997"/>
      <c r="EL26" s="1997"/>
      <c r="EM26" s="1997"/>
      <c r="EN26" s="1997"/>
      <c r="EO26" s="1997"/>
      <c r="EP26" s="1997"/>
      <c r="EQ26" s="1997"/>
      <c r="ER26" s="1997"/>
      <c r="ES26" s="1997"/>
      <c r="ET26" s="1997"/>
      <c r="EU26" s="1997"/>
      <c r="EV26" s="1997"/>
      <c r="EW26" s="1997"/>
      <c r="EX26" s="1997"/>
      <c r="EY26" s="1997"/>
      <c r="EZ26" s="1997"/>
      <c r="FA26" s="1997"/>
      <c r="FB26" s="1997"/>
      <c r="FC26" s="1997"/>
      <c r="FD26" s="1997"/>
      <c r="FE26" s="1997"/>
      <c r="FF26" s="1997"/>
      <c r="FG26" s="1997"/>
      <c r="FH26" s="1997"/>
      <c r="FI26" s="1997"/>
      <c r="FJ26" s="1997"/>
      <c r="FK26" s="1997"/>
      <c r="FL26" s="1997"/>
      <c r="FM26" s="1997"/>
      <c r="FN26" s="1997"/>
      <c r="FO26" s="1997"/>
      <c r="FP26" s="1997"/>
      <c r="FQ26" s="1997"/>
      <c r="FR26" s="1997"/>
      <c r="FS26" s="1997"/>
      <c r="FT26" s="1997"/>
      <c r="FU26" s="1997"/>
      <c r="FV26" s="1997"/>
      <c r="FW26" s="1997"/>
      <c r="FX26" s="1997"/>
      <c r="FY26" s="1997"/>
      <c r="FZ26" s="1997"/>
      <c r="GA26" s="1997"/>
      <c r="GB26" s="1997"/>
      <c r="GC26" s="1997"/>
      <c r="GD26" s="1997"/>
      <c r="GE26" s="1997"/>
      <c r="GF26" s="1997"/>
      <c r="GG26" s="1997"/>
      <c r="GH26" s="1997"/>
      <c r="GI26" s="1997"/>
      <c r="GJ26" s="1997"/>
      <c r="GK26" s="1997"/>
      <c r="GL26" s="1997"/>
      <c r="GM26" s="1997"/>
      <c r="GN26" s="1997"/>
      <c r="GO26" s="1997"/>
      <c r="GP26" s="1997"/>
      <c r="GQ26" s="1997"/>
      <c r="GR26" s="1997"/>
      <c r="GS26" s="1997"/>
      <c r="GT26" s="1997"/>
      <c r="GU26" s="1997"/>
      <c r="GV26" s="1997"/>
      <c r="GW26" s="1997"/>
      <c r="GX26" s="1997"/>
      <c r="GY26" s="1997"/>
      <c r="GZ26" s="1997"/>
      <c r="HA26" s="1997"/>
      <c r="HB26" s="1997"/>
      <c r="HC26" s="1997"/>
      <c r="HD26" s="1997"/>
      <c r="HE26" s="1997"/>
      <c r="HF26" s="1997"/>
      <c r="HG26" s="1997"/>
      <c r="HH26" s="1997"/>
      <c r="HI26" s="1997"/>
      <c r="HJ26" s="1997"/>
      <c r="HK26" s="1997"/>
      <c r="HL26" s="1997"/>
      <c r="HM26" s="1997"/>
      <c r="HN26" s="1997"/>
      <c r="HO26" s="1997"/>
      <c r="HP26" s="1997"/>
      <c r="HQ26" s="1997"/>
      <c r="HR26" s="1997"/>
      <c r="HS26" s="1997"/>
      <c r="HT26" s="1997"/>
      <c r="HU26" s="1997"/>
      <c r="HV26" s="1997"/>
      <c r="HW26" s="1997"/>
      <c r="HX26" s="1997"/>
      <c r="HY26" s="1997"/>
      <c r="HZ26" s="1997"/>
      <c r="IA26" s="1997"/>
      <c r="IB26" s="1997"/>
      <c r="IC26" s="1997"/>
      <c r="ID26" s="1997"/>
      <c r="IE26" s="1997"/>
      <c r="IF26" s="1997"/>
      <c r="IG26" s="1997"/>
      <c r="IH26" s="1997"/>
      <c r="II26" s="1997"/>
      <c r="IJ26" s="1997"/>
      <c r="IK26" s="1997"/>
      <c r="IL26" s="1997"/>
      <c r="IM26" s="1997"/>
      <c r="IN26" s="1997"/>
      <c r="IO26" s="1997"/>
      <c r="IP26" s="1997"/>
      <c r="IQ26" s="1997"/>
    </row>
    <row r="27" spans="1:251" hidden="1">
      <c r="A27" s="1993"/>
      <c r="B27" s="1998"/>
      <c r="C27" s="1998"/>
      <c r="D27" s="2034"/>
      <c r="E27" s="1998"/>
      <c r="F27" s="1940">
        <f t="shared" si="14"/>
        <v>0</v>
      </c>
      <c r="G27" s="1993"/>
      <c r="H27" s="1940">
        <f t="shared" si="4"/>
        <v>0</v>
      </c>
      <c r="I27" s="1993"/>
      <c r="J27" s="1940">
        <f t="shared" si="5"/>
        <v>0</v>
      </c>
      <c r="K27" s="1993"/>
      <c r="L27" s="1940">
        <f t="shared" si="6"/>
        <v>0</v>
      </c>
      <c r="M27" s="1940">
        <f t="shared" si="13"/>
        <v>0</v>
      </c>
      <c r="N27" s="1940">
        <f t="shared" si="7"/>
        <v>0</v>
      </c>
      <c r="O27" s="1993"/>
      <c r="P27" s="1993"/>
      <c r="Q27" s="1940">
        <f t="shared" si="8"/>
        <v>0</v>
      </c>
      <c r="R27" s="1940">
        <f t="shared" si="9"/>
        <v>0</v>
      </c>
      <c r="S27" s="1940">
        <f t="shared" si="10"/>
        <v>0</v>
      </c>
      <c r="T27" s="1940">
        <f t="shared" si="11"/>
        <v>0</v>
      </c>
      <c r="U27" s="1940">
        <f t="shared" si="12"/>
        <v>0</v>
      </c>
      <c r="V27" s="1997"/>
      <c r="W27" s="1997"/>
      <c r="X27" s="1997"/>
      <c r="Y27" s="1997"/>
      <c r="Z27" s="1997"/>
      <c r="AA27" s="1997"/>
      <c r="AB27" s="1997"/>
      <c r="AC27" s="1997"/>
      <c r="AD27" s="1997"/>
      <c r="AE27" s="1997"/>
      <c r="AF27" s="1997"/>
      <c r="AG27" s="1997"/>
      <c r="AH27" s="1997"/>
      <c r="AI27" s="1997"/>
      <c r="AJ27" s="1997"/>
      <c r="AK27" s="1997"/>
      <c r="AL27" s="1997"/>
      <c r="AM27" s="1997"/>
      <c r="AN27" s="1997"/>
      <c r="AO27" s="1997"/>
      <c r="AP27" s="1997"/>
      <c r="AQ27" s="1997"/>
      <c r="AR27" s="1997"/>
      <c r="AS27" s="1997"/>
      <c r="AT27" s="1997"/>
      <c r="AU27" s="1997"/>
      <c r="AV27" s="1997"/>
      <c r="AW27" s="1997"/>
      <c r="AX27" s="1997"/>
      <c r="AY27" s="1997"/>
      <c r="AZ27" s="1997"/>
      <c r="BA27" s="1997"/>
      <c r="BB27" s="1997"/>
      <c r="BC27" s="1997"/>
      <c r="BD27" s="1997"/>
      <c r="BE27" s="1997"/>
      <c r="BF27" s="1997"/>
      <c r="BG27" s="1997"/>
      <c r="BH27" s="1997"/>
      <c r="BI27" s="1997"/>
      <c r="BJ27" s="1997"/>
      <c r="BK27" s="1997"/>
      <c r="BL27" s="1997"/>
      <c r="BM27" s="1997"/>
      <c r="BN27" s="1997"/>
      <c r="BO27" s="1997"/>
      <c r="BP27" s="1997"/>
      <c r="BQ27" s="1997"/>
      <c r="BR27" s="1997"/>
      <c r="BS27" s="1997"/>
      <c r="BT27" s="1997"/>
      <c r="BU27" s="1997"/>
      <c r="BV27" s="1997"/>
      <c r="BW27" s="1997"/>
      <c r="BX27" s="1997"/>
      <c r="BY27" s="1997"/>
      <c r="BZ27" s="1997"/>
      <c r="CA27" s="1997"/>
      <c r="CB27" s="1997"/>
      <c r="CC27" s="1997"/>
      <c r="CD27" s="1997"/>
      <c r="CE27" s="1997"/>
      <c r="CF27" s="1997"/>
      <c r="CG27" s="1997"/>
      <c r="CH27" s="1997"/>
      <c r="CI27" s="1997"/>
      <c r="CJ27" s="1997"/>
      <c r="CK27" s="1997"/>
      <c r="CL27" s="1997"/>
      <c r="CM27" s="1997"/>
      <c r="CN27" s="1997"/>
      <c r="CO27" s="1997"/>
      <c r="CP27" s="1997"/>
      <c r="CQ27" s="1997"/>
      <c r="CR27" s="1997"/>
      <c r="CS27" s="1997"/>
      <c r="CT27" s="1997"/>
      <c r="CU27" s="1997"/>
      <c r="CV27" s="1997"/>
      <c r="CW27" s="1997"/>
      <c r="CX27" s="1997"/>
      <c r="CY27" s="1997"/>
      <c r="CZ27" s="1997"/>
      <c r="DA27" s="1997"/>
      <c r="DB27" s="1997"/>
      <c r="DC27" s="1997"/>
      <c r="DD27" s="1997"/>
      <c r="DE27" s="1997"/>
      <c r="DF27" s="1997"/>
      <c r="DG27" s="1997"/>
      <c r="DH27" s="1997"/>
      <c r="DI27" s="1997"/>
      <c r="DJ27" s="1997"/>
      <c r="DK27" s="1997"/>
      <c r="DL27" s="1997"/>
      <c r="DM27" s="1997"/>
      <c r="DN27" s="1997"/>
      <c r="DO27" s="1997"/>
      <c r="DP27" s="1997"/>
      <c r="DQ27" s="1997"/>
      <c r="DR27" s="1997"/>
      <c r="DS27" s="1997"/>
      <c r="DT27" s="1997"/>
      <c r="DU27" s="1997"/>
      <c r="DV27" s="1997"/>
      <c r="DW27" s="1997"/>
      <c r="DX27" s="1997"/>
      <c r="DY27" s="1997"/>
      <c r="DZ27" s="1997"/>
      <c r="EA27" s="1997"/>
      <c r="EB27" s="1997"/>
      <c r="EC27" s="1997"/>
      <c r="ED27" s="1997"/>
      <c r="EE27" s="1997"/>
      <c r="EF27" s="1997"/>
      <c r="EG27" s="1997"/>
      <c r="EH27" s="1997"/>
      <c r="EI27" s="1997"/>
      <c r="EJ27" s="1997"/>
      <c r="EK27" s="1997"/>
      <c r="EL27" s="1997"/>
      <c r="EM27" s="1997"/>
      <c r="EN27" s="1997"/>
      <c r="EO27" s="1997"/>
      <c r="EP27" s="1997"/>
      <c r="EQ27" s="1997"/>
      <c r="ER27" s="1997"/>
      <c r="ES27" s="1997"/>
      <c r="ET27" s="1997"/>
      <c r="EU27" s="1997"/>
      <c r="EV27" s="1997"/>
      <c r="EW27" s="1997"/>
      <c r="EX27" s="1997"/>
      <c r="EY27" s="1997"/>
      <c r="EZ27" s="1997"/>
      <c r="FA27" s="1997"/>
      <c r="FB27" s="1997"/>
      <c r="FC27" s="1997"/>
      <c r="FD27" s="1997"/>
      <c r="FE27" s="1997"/>
      <c r="FF27" s="1997"/>
      <c r="FG27" s="1997"/>
      <c r="FH27" s="1997"/>
      <c r="FI27" s="1997"/>
      <c r="FJ27" s="1997"/>
      <c r="FK27" s="1997"/>
      <c r="FL27" s="1997"/>
      <c r="FM27" s="1997"/>
      <c r="FN27" s="1997"/>
      <c r="FO27" s="1997"/>
      <c r="FP27" s="1997"/>
      <c r="FQ27" s="1997"/>
      <c r="FR27" s="1997"/>
      <c r="FS27" s="1997"/>
      <c r="FT27" s="1997"/>
      <c r="FU27" s="1997"/>
      <c r="FV27" s="1997"/>
      <c r="FW27" s="1997"/>
      <c r="FX27" s="1997"/>
      <c r="FY27" s="1997"/>
      <c r="FZ27" s="1997"/>
      <c r="GA27" s="1997"/>
      <c r="GB27" s="1997"/>
      <c r="GC27" s="1997"/>
      <c r="GD27" s="1997"/>
      <c r="GE27" s="1997"/>
      <c r="GF27" s="1997"/>
      <c r="GG27" s="1997"/>
      <c r="GH27" s="1997"/>
      <c r="GI27" s="1997"/>
      <c r="GJ27" s="1997"/>
      <c r="GK27" s="1997"/>
      <c r="GL27" s="1997"/>
      <c r="GM27" s="1997"/>
      <c r="GN27" s="1997"/>
      <c r="GO27" s="1997"/>
      <c r="GP27" s="1997"/>
      <c r="GQ27" s="1997"/>
      <c r="GR27" s="1997"/>
      <c r="GS27" s="1997"/>
      <c r="GT27" s="1997"/>
      <c r="GU27" s="1997"/>
      <c r="GV27" s="1997"/>
      <c r="GW27" s="1997"/>
      <c r="GX27" s="1997"/>
      <c r="GY27" s="1997"/>
      <c r="GZ27" s="1997"/>
      <c r="HA27" s="1997"/>
      <c r="HB27" s="1997"/>
      <c r="HC27" s="1997"/>
      <c r="HD27" s="1997"/>
      <c r="HE27" s="1997"/>
      <c r="HF27" s="1997"/>
      <c r="HG27" s="1997"/>
      <c r="HH27" s="1997"/>
      <c r="HI27" s="1997"/>
      <c r="HJ27" s="1997"/>
      <c r="HK27" s="1997"/>
      <c r="HL27" s="1997"/>
      <c r="HM27" s="1997"/>
      <c r="HN27" s="1997"/>
      <c r="HO27" s="1997"/>
      <c r="HP27" s="1997"/>
      <c r="HQ27" s="1997"/>
      <c r="HR27" s="1997"/>
      <c r="HS27" s="1997"/>
      <c r="HT27" s="1997"/>
      <c r="HU27" s="1997"/>
      <c r="HV27" s="1997"/>
      <c r="HW27" s="1997"/>
      <c r="HX27" s="1997"/>
      <c r="HY27" s="1997"/>
      <c r="HZ27" s="1997"/>
      <c r="IA27" s="1997"/>
      <c r="IB27" s="1997"/>
      <c r="IC27" s="1997"/>
      <c r="ID27" s="1997"/>
      <c r="IE27" s="1997"/>
      <c r="IF27" s="1997"/>
      <c r="IG27" s="1997"/>
      <c r="IH27" s="1997"/>
      <c r="II27" s="1997"/>
      <c r="IJ27" s="1997"/>
      <c r="IK27" s="1997"/>
      <c r="IL27" s="1997"/>
      <c r="IM27" s="1997"/>
      <c r="IN27" s="1997"/>
      <c r="IO27" s="1997"/>
      <c r="IP27" s="1997"/>
      <c r="IQ27" s="1997"/>
    </row>
    <row r="28" spans="1:251" hidden="1">
      <c r="A28" s="1993"/>
      <c r="B28" s="1998"/>
      <c r="C28" s="1998"/>
      <c r="D28" s="2034"/>
      <c r="E28" s="1998"/>
      <c r="F28" s="1940">
        <f t="shared" si="14"/>
        <v>0</v>
      </c>
      <c r="G28" s="1993"/>
      <c r="H28" s="1940">
        <f t="shared" si="4"/>
        <v>0</v>
      </c>
      <c r="I28" s="1993"/>
      <c r="J28" s="1940">
        <f t="shared" si="5"/>
        <v>0</v>
      </c>
      <c r="K28" s="1993"/>
      <c r="L28" s="1940">
        <f t="shared" si="6"/>
        <v>0</v>
      </c>
      <c r="M28" s="1940">
        <f t="shared" si="13"/>
        <v>0</v>
      </c>
      <c r="N28" s="1940">
        <f t="shared" si="7"/>
        <v>0</v>
      </c>
      <c r="O28" s="1993"/>
      <c r="P28" s="1993"/>
      <c r="Q28" s="1940">
        <f t="shared" si="8"/>
        <v>0</v>
      </c>
      <c r="R28" s="1940">
        <f t="shared" si="9"/>
        <v>0</v>
      </c>
      <c r="S28" s="1940">
        <f t="shared" si="10"/>
        <v>0</v>
      </c>
      <c r="T28" s="1940">
        <f t="shared" si="11"/>
        <v>0</v>
      </c>
      <c r="U28" s="1940">
        <f t="shared" si="12"/>
        <v>0</v>
      </c>
      <c r="V28" s="1997"/>
      <c r="W28" s="1997"/>
      <c r="X28" s="1997"/>
      <c r="Y28" s="1997"/>
      <c r="Z28" s="1997"/>
      <c r="AA28" s="1997"/>
      <c r="AB28" s="1997"/>
      <c r="AC28" s="1997"/>
      <c r="AD28" s="1997"/>
      <c r="AE28" s="1997"/>
      <c r="AF28" s="1997"/>
      <c r="AG28" s="1997"/>
      <c r="AH28" s="1997"/>
      <c r="AI28" s="1997"/>
      <c r="AJ28" s="1997"/>
      <c r="AK28" s="1997"/>
      <c r="AL28" s="1997"/>
      <c r="AM28" s="1997"/>
      <c r="AN28" s="1997"/>
      <c r="AO28" s="1997"/>
      <c r="AP28" s="1997"/>
      <c r="AQ28" s="1997"/>
      <c r="AR28" s="1997"/>
      <c r="AS28" s="1997"/>
      <c r="AT28" s="1997"/>
      <c r="AU28" s="1997"/>
      <c r="AV28" s="1997"/>
      <c r="AW28" s="1997"/>
      <c r="AX28" s="1997"/>
      <c r="AY28" s="1997"/>
      <c r="AZ28" s="1997"/>
      <c r="BA28" s="1997"/>
      <c r="BB28" s="1997"/>
      <c r="BC28" s="1997"/>
      <c r="BD28" s="1997"/>
      <c r="BE28" s="1997"/>
      <c r="BF28" s="1997"/>
      <c r="BG28" s="1997"/>
      <c r="BH28" s="1997"/>
      <c r="BI28" s="1997"/>
      <c r="BJ28" s="1997"/>
      <c r="BK28" s="1997"/>
      <c r="BL28" s="1997"/>
      <c r="BM28" s="1997"/>
      <c r="BN28" s="1997"/>
      <c r="BO28" s="1997"/>
      <c r="BP28" s="1997"/>
      <c r="BQ28" s="1997"/>
      <c r="BR28" s="1997"/>
      <c r="BS28" s="1997"/>
      <c r="BT28" s="1997"/>
      <c r="BU28" s="1997"/>
      <c r="BV28" s="1997"/>
      <c r="BW28" s="1997"/>
      <c r="BX28" s="1997"/>
      <c r="BY28" s="1997"/>
      <c r="BZ28" s="1997"/>
      <c r="CA28" s="1997"/>
      <c r="CB28" s="1997"/>
      <c r="CC28" s="1997"/>
      <c r="CD28" s="1997"/>
      <c r="CE28" s="1997"/>
      <c r="CF28" s="1997"/>
      <c r="CG28" s="1997"/>
      <c r="CH28" s="1997"/>
      <c r="CI28" s="1997"/>
      <c r="CJ28" s="1997"/>
      <c r="CK28" s="1997"/>
      <c r="CL28" s="1997"/>
      <c r="CM28" s="1997"/>
      <c r="CN28" s="1997"/>
      <c r="CO28" s="1997"/>
      <c r="CP28" s="1997"/>
      <c r="CQ28" s="1997"/>
      <c r="CR28" s="1997"/>
      <c r="CS28" s="1997"/>
      <c r="CT28" s="1997"/>
      <c r="CU28" s="1997"/>
      <c r="CV28" s="1997"/>
      <c r="CW28" s="1997"/>
      <c r="CX28" s="1997"/>
      <c r="CY28" s="1997"/>
      <c r="CZ28" s="1997"/>
      <c r="DA28" s="1997"/>
      <c r="DB28" s="1997"/>
      <c r="DC28" s="1997"/>
      <c r="DD28" s="1997"/>
      <c r="DE28" s="1997"/>
      <c r="DF28" s="1997"/>
      <c r="DG28" s="1997"/>
      <c r="DH28" s="1997"/>
      <c r="DI28" s="1997"/>
      <c r="DJ28" s="1997"/>
      <c r="DK28" s="1997"/>
      <c r="DL28" s="1997"/>
      <c r="DM28" s="1997"/>
      <c r="DN28" s="1997"/>
      <c r="DO28" s="1997"/>
      <c r="DP28" s="1997"/>
      <c r="DQ28" s="1997"/>
      <c r="DR28" s="1997"/>
      <c r="DS28" s="1997"/>
      <c r="DT28" s="1997"/>
      <c r="DU28" s="1997"/>
      <c r="DV28" s="1997"/>
      <c r="DW28" s="1997"/>
      <c r="DX28" s="1997"/>
      <c r="DY28" s="1997"/>
      <c r="DZ28" s="1997"/>
      <c r="EA28" s="1997"/>
      <c r="EB28" s="1997"/>
      <c r="EC28" s="1997"/>
      <c r="ED28" s="1997"/>
      <c r="EE28" s="1997"/>
      <c r="EF28" s="1997"/>
      <c r="EG28" s="1997"/>
      <c r="EH28" s="1997"/>
      <c r="EI28" s="1997"/>
      <c r="EJ28" s="1997"/>
      <c r="EK28" s="1997"/>
      <c r="EL28" s="1997"/>
      <c r="EM28" s="1997"/>
      <c r="EN28" s="1997"/>
      <c r="EO28" s="1997"/>
      <c r="EP28" s="1997"/>
      <c r="EQ28" s="1997"/>
      <c r="ER28" s="1997"/>
      <c r="ES28" s="1997"/>
      <c r="ET28" s="1997"/>
      <c r="EU28" s="1997"/>
      <c r="EV28" s="1997"/>
      <c r="EW28" s="1997"/>
      <c r="EX28" s="1997"/>
      <c r="EY28" s="1997"/>
      <c r="EZ28" s="1997"/>
      <c r="FA28" s="1997"/>
      <c r="FB28" s="1997"/>
      <c r="FC28" s="1997"/>
      <c r="FD28" s="1997"/>
      <c r="FE28" s="1997"/>
      <c r="FF28" s="1997"/>
      <c r="FG28" s="1997"/>
      <c r="FH28" s="1997"/>
      <c r="FI28" s="1997"/>
      <c r="FJ28" s="1997"/>
      <c r="FK28" s="1997"/>
      <c r="FL28" s="1997"/>
      <c r="FM28" s="1997"/>
      <c r="FN28" s="1997"/>
      <c r="FO28" s="1997"/>
      <c r="FP28" s="1997"/>
      <c r="FQ28" s="1997"/>
      <c r="FR28" s="1997"/>
      <c r="FS28" s="1997"/>
      <c r="FT28" s="1997"/>
      <c r="FU28" s="1997"/>
      <c r="FV28" s="1997"/>
      <c r="FW28" s="1997"/>
      <c r="FX28" s="1997"/>
      <c r="FY28" s="1997"/>
      <c r="FZ28" s="1997"/>
      <c r="GA28" s="1997"/>
      <c r="GB28" s="1997"/>
      <c r="GC28" s="1997"/>
      <c r="GD28" s="1997"/>
      <c r="GE28" s="1997"/>
      <c r="GF28" s="1997"/>
      <c r="GG28" s="1997"/>
      <c r="GH28" s="1997"/>
      <c r="GI28" s="1997"/>
      <c r="GJ28" s="1997"/>
      <c r="GK28" s="1997"/>
      <c r="GL28" s="1997"/>
      <c r="GM28" s="1997"/>
      <c r="GN28" s="1997"/>
      <c r="GO28" s="1997"/>
      <c r="GP28" s="1997"/>
      <c r="GQ28" s="1997"/>
      <c r="GR28" s="1997"/>
      <c r="GS28" s="1997"/>
      <c r="GT28" s="1997"/>
      <c r="GU28" s="1997"/>
      <c r="GV28" s="1997"/>
      <c r="GW28" s="1997"/>
      <c r="GX28" s="1997"/>
      <c r="GY28" s="1997"/>
      <c r="GZ28" s="1997"/>
      <c r="HA28" s="1997"/>
      <c r="HB28" s="1997"/>
      <c r="HC28" s="1997"/>
      <c r="HD28" s="1997"/>
      <c r="HE28" s="1997"/>
      <c r="HF28" s="1997"/>
      <c r="HG28" s="1997"/>
      <c r="HH28" s="1997"/>
      <c r="HI28" s="1997"/>
      <c r="HJ28" s="1997"/>
      <c r="HK28" s="1997"/>
      <c r="HL28" s="1997"/>
      <c r="HM28" s="1997"/>
      <c r="HN28" s="1997"/>
      <c r="HO28" s="1997"/>
      <c r="HP28" s="1997"/>
      <c r="HQ28" s="1997"/>
      <c r="HR28" s="1997"/>
      <c r="HS28" s="1997"/>
      <c r="HT28" s="1997"/>
      <c r="HU28" s="1997"/>
      <c r="HV28" s="1997"/>
      <c r="HW28" s="1997"/>
      <c r="HX28" s="1997"/>
      <c r="HY28" s="1997"/>
      <c r="HZ28" s="1997"/>
      <c r="IA28" s="1997"/>
      <c r="IB28" s="1997"/>
      <c r="IC28" s="1997"/>
      <c r="ID28" s="1997"/>
      <c r="IE28" s="1997"/>
      <c r="IF28" s="1997"/>
      <c r="IG28" s="1997"/>
      <c r="IH28" s="1997"/>
      <c r="II28" s="1997"/>
      <c r="IJ28" s="1997"/>
      <c r="IK28" s="1997"/>
      <c r="IL28" s="1997"/>
      <c r="IM28" s="1997"/>
      <c r="IN28" s="1997"/>
      <c r="IO28" s="1997"/>
      <c r="IP28" s="1997"/>
      <c r="IQ28" s="1997"/>
    </row>
    <row r="29" spans="1:251" hidden="1">
      <c r="A29" s="1993"/>
      <c r="B29" s="1998"/>
      <c r="C29" s="1998"/>
      <c r="D29" s="2034"/>
      <c r="E29" s="1998"/>
      <c r="F29" s="1940">
        <f t="shared" si="14"/>
        <v>0</v>
      </c>
      <c r="G29" s="1993"/>
      <c r="H29" s="1940">
        <f t="shared" si="4"/>
        <v>0</v>
      </c>
      <c r="I29" s="1993"/>
      <c r="J29" s="1940">
        <f t="shared" si="5"/>
        <v>0</v>
      </c>
      <c r="K29" s="1993"/>
      <c r="L29" s="1940">
        <f t="shared" si="6"/>
        <v>0</v>
      </c>
      <c r="M29" s="1940">
        <f t="shared" si="13"/>
        <v>0</v>
      </c>
      <c r="N29" s="1940">
        <f t="shared" si="7"/>
        <v>0</v>
      </c>
      <c r="O29" s="1993"/>
      <c r="P29" s="1993"/>
      <c r="Q29" s="1940">
        <f t="shared" si="8"/>
        <v>0</v>
      </c>
      <c r="R29" s="1940">
        <f t="shared" si="9"/>
        <v>0</v>
      </c>
      <c r="S29" s="1940">
        <f t="shared" si="10"/>
        <v>0</v>
      </c>
      <c r="T29" s="1940">
        <f t="shared" si="11"/>
        <v>0</v>
      </c>
      <c r="U29" s="1940">
        <f t="shared" si="12"/>
        <v>0</v>
      </c>
      <c r="V29" s="1997"/>
      <c r="W29" s="1997"/>
      <c r="X29" s="1997"/>
      <c r="Y29" s="1997"/>
      <c r="Z29" s="1997"/>
      <c r="AA29" s="1997"/>
      <c r="AB29" s="1997"/>
      <c r="AC29" s="1997"/>
      <c r="AD29" s="1997"/>
      <c r="AE29" s="1997"/>
      <c r="AF29" s="1997"/>
      <c r="AG29" s="1997"/>
      <c r="AH29" s="1997"/>
      <c r="AI29" s="1997"/>
      <c r="AJ29" s="1997"/>
      <c r="AK29" s="1997"/>
      <c r="AL29" s="1997"/>
      <c r="AM29" s="1997"/>
      <c r="AN29" s="1997"/>
      <c r="AO29" s="1997"/>
      <c r="AP29" s="1997"/>
      <c r="AQ29" s="1997"/>
      <c r="AR29" s="1997"/>
      <c r="AS29" s="1997"/>
      <c r="AT29" s="1997"/>
      <c r="AU29" s="1997"/>
      <c r="AV29" s="1997"/>
      <c r="AW29" s="1997"/>
      <c r="AX29" s="1997"/>
      <c r="AY29" s="1997"/>
      <c r="AZ29" s="1997"/>
      <c r="BA29" s="1997"/>
      <c r="BB29" s="1997"/>
      <c r="BC29" s="1997"/>
      <c r="BD29" s="1997"/>
      <c r="BE29" s="1997"/>
      <c r="BF29" s="1997"/>
      <c r="BG29" s="1997"/>
      <c r="BH29" s="1997"/>
      <c r="BI29" s="1997"/>
      <c r="BJ29" s="1997"/>
      <c r="BK29" s="1997"/>
      <c r="BL29" s="1997"/>
      <c r="BM29" s="1997"/>
      <c r="BN29" s="1997"/>
      <c r="BO29" s="1997"/>
      <c r="BP29" s="1997"/>
      <c r="BQ29" s="1997"/>
      <c r="BR29" s="1997"/>
      <c r="BS29" s="1997"/>
      <c r="BT29" s="1997"/>
      <c r="BU29" s="1997"/>
      <c r="BV29" s="1997"/>
      <c r="BW29" s="1997"/>
      <c r="BX29" s="1997"/>
      <c r="BY29" s="1997"/>
      <c r="BZ29" s="1997"/>
      <c r="CA29" s="1997"/>
      <c r="CB29" s="1997"/>
      <c r="CC29" s="1997"/>
      <c r="CD29" s="1997"/>
      <c r="CE29" s="1997"/>
      <c r="CF29" s="1997"/>
      <c r="CG29" s="1997"/>
      <c r="CH29" s="1997"/>
      <c r="CI29" s="1997"/>
      <c r="CJ29" s="1997"/>
      <c r="CK29" s="1997"/>
      <c r="CL29" s="1997"/>
      <c r="CM29" s="1997"/>
      <c r="CN29" s="1997"/>
      <c r="CO29" s="1997"/>
      <c r="CP29" s="1997"/>
      <c r="CQ29" s="1997"/>
      <c r="CR29" s="1997"/>
      <c r="CS29" s="1997"/>
      <c r="CT29" s="1997"/>
      <c r="CU29" s="1997"/>
      <c r="CV29" s="1997"/>
      <c r="CW29" s="1997"/>
      <c r="CX29" s="1997"/>
      <c r="CY29" s="1997"/>
      <c r="CZ29" s="1997"/>
      <c r="DA29" s="1997"/>
      <c r="DB29" s="1997"/>
      <c r="DC29" s="1997"/>
      <c r="DD29" s="1997"/>
      <c r="DE29" s="1997"/>
      <c r="DF29" s="1997"/>
      <c r="DG29" s="1997"/>
      <c r="DH29" s="1997"/>
      <c r="DI29" s="1997"/>
      <c r="DJ29" s="1997"/>
      <c r="DK29" s="1997"/>
      <c r="DL29" s="1997"/>
      <c r="DM29" s="1997"/>
      <c r="DN29" s="1997"/>
      <c r="DO29" s="1997"/>
      <c r="DP29" s="1997"/>
      <c r="DQ29" s="1997"/>
      <c r="DR29" s="1997"/>
      <c r="DS29" s="1997"/>
      <c r="DT29" s="1997"/>
      <c r="DU29" s="1997"/>
      <c r="DV29" s="1997"/>
      <c r="DW29" s="1997"/>
      <c r="DX29" s="1997"/>
      <c r="DY29" s="1997"/>
      <c r="DZ29" s="1997"/>
      <c r="EA29" s="1997"/>
      <c r="EB29" s="1997"/>
      <c r="EC29" s="1997"/>
      <c r="ED29" s="1997"/>
      <c r="EE29" s="1997"/>
      <c r="EF29" s="1997"/>
      <c r="EG29" s="1997"/>
      <c r="EH29" s="1997"/>
      <c r="EI29" s="1997"/>
      <c r="EJ29" s="1997"/>
      <c r="EK29" s="1997"/>
      <c r="EL29" s="1997"/>
      <c r="EM29" s="1997"/>
      <c r="EN29" s="1997"/>
      <c r="EO29" s="1997"/>
      <c r="EP29" s="1997"/>
      <c r="EQ29" s="1997"/>
      <c r="ER29" s="1997"/>
      <c r="ES29" s="1997"/>
      <c r="ET29" s="1997"/>
      <c r="EU29" s="1997"/>
      <c r="EV29" s="1997"/>
      <c r="EW29" s="1997"/>
      <c r="EX29" s="1997"/>
      <c r="EY29" s="1997"/>
      <c r="EZ29" s="1997"/>
      <c r="FA29" s="1997"/>
      <c r="FB29" s="1997"/>
      <c r="FC29" s="1997"/>
      <c r="FD29" s="1997"/>
      <c r="FE29" s="1997"/>
      <c r="FF29" s="1997"/>
      <c r="FG29" s="1997"/>
      <c r="FH29" s="1997"/>
      <c r="FI29" s="1997"/>
      <c r="FJ29" s="1997"/>
      <c r="FK29" s="1997"/>
      <c r="FL29" s="1997"/>
      <c r="FM29" s="1997"/>
      <c r="FN29" s="1997"/>
      <c r="FO29" s="1997"/>
      <c r="FP29" s="1997"/>
      <c r="FQ29" s="1997"/>
      <c r="FR29" s="1997"/>
      <c r="FS29" s="1997"/>
      <c r="FT29" s="1997"/>
      <c r="FU29" s="1997"/>
      <c r="FV29" s="1997"/>
      <c r="FW29" s="1997"/>
      <c r="FX29" s="1997"/>
      <c r="FY29" s="1997"/>
      <c r="FZ29" s="1997"/>
      <c r="GA29" s="1997"/>
      <c r="GB29" s="1997"/>
      <c r="GC29" s="1997"/>
      <c r="GD29" s="1997"/>
      <c r="GE29" s="1997"/>
      <c r="GF29" s="1997"/>
      <c r="GG29" s="1997"/>
      <c r="GH29" s="1997"/>
      <c r="GI29" s="1997"/>
      <c r="GJ29" s="1997"/>
      <c r="GK29" s="1997"/>
      <c r="GL29" s="1997"/>
      <c r="GM29" s="1997"/>
      <c r="GN29" s="1997"/>
      <c r="GO29" s="1997"/>
      <c r="GP29" s="1997"/>
      <c r="GQ29" s="1997"/>
      <c r="GR29" s="1997"/>
      <c r="GS29" s="1997"/>
      <c r="GT29" s="1997"/>
      <c r="GU29" s="1997"/>
      <c r="GV29" s="1997"/>
      <c r="GW29" s="1997"/>
      <c r="GX29" s="1997"/>
      <c r="GY29" s="1997"/>
      <c r="GZ29" s="1997"/>
      <c r="HA29" s="1997"/>
      <c r="HB29" s="1997"/>
      <c r="HC29" s="1997"/>
      <c r="HD29" s="1997"/>
      <c r="HE29" s="1997"/>
      <c r="HF29" s="1997"/>
      <c r="HG29" s="1997"/>
      <c r="HH29" s="1997"/>
      <c r="HI29" s="1997"/>
      <c r="HJ29" s="1997"/>
      <c r="HK29" s="1997"/>
      <c r="HL29" s="1997"/>
      <c r="HM29" s="1997"/>
      <c r="HN29" s="1997"/>
      <c r="HO29" s="1997"/>
      <c r="HP29" s="1997"/>
      <c r="HQ29" s="1997"/>
      <c r="HR29" s="1997"/>
      <c r="HS29" s="1997"/>
      <c r="HT29" s="1997"/>
      <c r="HU29" s="1997"/>
      <c r="HV29" s="1997"/>
      <c r="HW29" s="1997"/>
      <c r="HX29" s="1997"/>
      <c r="HY29" s="1997"/>
      <c r="HZ29" s="1997"/>
      <c r="IA29" s="1997"/>
      <c r="IB29" s="1997"/>
      <c r="IC29" s="1997"/>
      <c r="ID29" s="1997"/>
      <c r="IE29" s="1997"/>
      <c r="IF29" s="1997"/>
      <c r="IG29" s="1997"/>
      <c r="IH29" s="1997"/>
      <c r="II29" s="1997"/>
      <c r="IJ29" s="1997"/>
      <c r="IK29" s="1997"/>
      <c r="IL29" s="1997"/>
      <c r="IM29" s="1997"/>
      <c r="IN29" s="1997"/>
      <c r="IO29" s="1997"/>
      <c r="IP29" s="1997"/>
      <c r="IQ29" s="1997"/>
    </row>
    <row r="30" spans="1:251" hidden="1">
      <c r="A30" s="1993"/>
      <c r="B30" s="1998"/>
      <c r="C30" s="1998"/>
      <c r="D30" s="2034"/>
      <c r="E30" s="1998"/>
      <c r="F30" s="1940">
        <f t="shared" si="14"/>
        <v>0</v>
      </c>
      <c r="G30" s="1993"/>
      <c r="H30" s="1940">
        <f t="shared" si="4"/>
        <v>0</v>
      </c>
      <c r="I30" s="1993"/>
      <c r="J30" s="1940">
        <f t="shared" si="5"/>
        <v>0</v>
      </c>
      <c r="K30" s="1993"/>
      <c r="L30" s="1940">
        <f t="shared" si="6"/>
        <v>0</v>
      </c>
      <c r="M30" s="1940">
        <f t="shared" si="13"/>
        <v>0</v>
      </c>
      <c r="N30" s="1940">
        <f t="shared" si="7"/>
        <v>0</v>
      </c>
      <c r="O30" s="1993"/>
      <c r="P30" s="1993"/>
      <c r="Q30" s="1940">
        <f t="shared" si="8"/>
        <v>0</v>
      </c>
      <c r="R30" s="1940">
        <f t="shared" si="9"/>
        <v>0</v>
      </c>
      <c r="S30" s="1940">
        <f t="shared" si="10"/>
        <v>0</v>
      </c>
      <c r="T30" s="1940">
        <f t="shared" si="11"/>
        <v>0</v>
      </c>
      <c r="U30" s="1940">
        <f t="shared" si="12"/>
        <v>0</v>
      </c>
      <c r="V30" s="1997"/>
      <c r="W30" s="1997"/>
      <c r="X30" s="1997"/>
      <c r="Y30" s="1997"/>
      <c r="Z30" s="1997"/>
      <c r="AA30" s="1997"/>
      <c r="AB30" s="1997"/>
      <c r="AC30" s="1997"/>
      <c r="AD30" s="1997"/>
      <c r="AE30" s="1997"/>
      <c r="AF30" s="1997"/>
      <c r="AG30" s="1997"/>
      <c r="AH30" s="1997"/>
      <c r="AI30" s="1997"/>
      <c r="AJ30" s="1997"/>
      <c r="AK30" s="1997"/>
      <c r="AL30" s="1997"/>
      <c r="AM30" s="1997"/>
      <c r="AN30" s="1997"/>
      <c r="AO30" s="1997"/>
      <c r="AP30" s="1997"/>
      <c r="AQ30" s="1997"/>
      <c r="AR30" s="1997"/>
      <c r="AS30" s="1997"/>
      <c r="AT30" s="1997"/>
      <c r="AU30" s="1997"/>
      <c r="AV30" s="1997"/>
      <c r="AW30" s="1997"/>
      <c r="AX30" s="1997"/>
      <c r="AY30" s="1997"/>
      <c r="AZ30" s="1997"/>
      <c r="BA30" s="1997"/>
      <c r="BB30" s="1997"/>
      <c r="BC30" s="1997"/>
      <c r="BD30" s="1997"/>
      <c r="BE30" s="1997"/>
      <c r="BF30" s="1997"/>
      <c r="BG30" s="1997"/>
      <c r="BH30" s="1997"/>
      <c r="BI30" s="1997"/>
      <c r="BJ30" s="1997"/>
      <c r="BK30" s="1997"/>
      <c r="BL30" s="1997"/>
      <c r="BM30" s="1997"/>
      <c r="BN30" s="1997"/>
      <c r="BO30" s="1997"/>
      <c r="BP30" s="1997"/>
      <c r="BQ30" s="1997"/>
      <c r="BR30" s="1997"/>
      <c r="BS30" s="1997"/>
      <c r="BT30" s="1997"/>
      <c r="BU30" s="1997"/>
      <c r="BV30" s="1997"/>
      <c r="BW30" s="1997"/>
      <c r="BX30" s="1997"/>
      <c r="BY30" s="1997"/>
      <c r="BZ30" s="1997"/>
      <c r="CA30" s="1997"/>
      <c r="CB30" s="1997"/>
      <c r="CC30" s="1997"/>
      <c r="CD30" s="1997"/>
      <c r="CE30" s="1997"/>
      <c r="CF30" s="1997"/>
      <c r="CG30" s="1997"/>
      <c r="CH30" s="1997"/>
      <c r="CI30" s="1997"/>
      <c r="CJ30" s="1997"/>
      <c r="CK30" s="1997"/>
      <c r="CL30" s="1997"/>
      <c r="CM30" s="1997"/>
      <c r="CN30" s="1997"/>
      <c r="CO30" s="1997"/>
      <c r="CP30" s="1997"/>
      <c r="CQ30" s="1997"/>
      <c r="CR30" s="1997"/>
      <c r="CS30" s="1997"/>
      <c r="CT30" s="1997"/>
      <c r="CU30" s="1997"/>
      <c r="CV30" s="1997"/>
      <c r="CW30" s="1997"/>
      <c r="CX30" s="1997"/>
      <c r="CY30" s="1997"/>
      <c r="CZ30" s="1997"/>
      <c r="DA30" s="1997"/>
      <c r="DB30" s="1997"/>
      <c r="DC30" s="1997"/>
      <c r="DD30" s="1997"/>
      <c r="DE30" s="1997"/>
      <c r="DF30" s="1997"/>
      <c r="DG30" s="1997"/>
      <c r="DH30" s="1997"/>
      <c r="DI30" s="1997"/>
      <c r="DJ30" s="1997"/>
      <c r="DK30" s="1997"/>
      <c r="DL30" s="1997"/>
      <c r="DM30" s="1997"/>
      <c r="DN30" s="1997"/>
      <c r="DO30" s="1997"/>
      <c r="DP30" s="1997"/>
      <c r="DQ30" s="1997"/>
      <c r="DR30" s="1997"/>
      <c r="DS30" s="1997"/>
      <c r="DT30" s="1997"/>
      <c r="DU30" s="1997"/>
      <c r="DV30" s="1997"/>
      <c r="DW30" s="1997"/>
      <c r="DX30" s="1997"/>
      <c r="DY30" s="1997"/>
      <c r="DZ30" s="1997"/>
      <c r="EA30" s="1997"/>
      <c r="EB30" s="1997"/>
      <c r="EC30" s="1997"/>
      <c r="ED30" s="1997"/>
      <c r="EE30" s="1997"/>
      <c r="EF30" s="1997"/>
      <c r="EG30" s="1997"/>
      <c r="EH30" s="1997"/>
      <c r="EI30" s="1997"/>
      <c r="EJ30" s="1997"/>
      <c r="EK30" s="1997"/>
      <c r="EL30" s="1997"/>
      <c r="EM30" s="1997"/>
      <c r="EN30" s="1997"/>
      <c r="EO30" s="1997"/>
      <c r="EP30" s="1997"/>
      <c r="EQ30" s="1997"/>
      <c r="ER30" s="1997"/>
      <c r="ES30" s="1997"/>
      <c r="ET30" s="1997"/>
      <c r="EU30" s="1997"/>
      <c r="EV30" s="1997"/>
      <c r="EW30" s="1997"/>
      <c r="EX30" s="1997"/>
      <c r="EY30" s="1997"/>
      <c r="EZ30" s="1997"/>
      <c r="FA30" s="1997"/>
      <c r="FB30" s="1997"/>
      <c r="FC30" s="1997"/>
      <c r="FD30" s="1997"/>
      <c r="FE30" s="1997"/>
      <c r="FF30" s="1997"/>
      <c r="FG30" s="1997"/>
      <c r="FH30" s="1997"/>
      <c r="FI30" s="1997"/>
      <c r="FJ30" s="1997"/>
      <c r="FK30" s="1997"/>
      <c r="FL30" s="1997"/>
      <c r="FM30" s="1997"/>
      <c r="FN30" s="1997"/>
      <c r="FO30" s="1997"/>
      <c r="FP30" s="1997"/>
      <c r="FQ30" s="1997"/>
      <c r="FR30" s="1997"/>
      <c r="FS30" s="1997"/>
      <c r="FT30" s="1997"/>
      <c r="FU30" s="1997"/>
      <c r="FV30" s="1997"/>
      <c r="FW30" s="1997"/>
      <c r="FX30" s="1997"/>
      <c r="FY30" s="1997"/>
      <c r="FZ30" s="1997"/>
      <c r="GA30" s="1997"/>
      <c r="GB30" s="1997"/>
      <c r="GC30" s="1997"/>
      <c r="GD30" s="1997"/>
      <c r="GE30" s="1997"/>
      <c r="GF30" s="1997"/>
      <c r="GG30" s="1997"/>
      <c r="GH30" s="1997"/>
      <c r="GI30" s="1997"/>
      <c r="GJ30" s="1997"/>
      <c r="GK30" s="1997"/>
      <c r="GL30" s="1997"/>
      <c r="GM30" s="1997"/>
      <c r="GN30" s="1997"/>
      <c r="GO30" s="1997"/>
      <c r="GP30" s="1997"/>
      <c r="GQ30" s="1997"/>
      <c r="GR30" s="1997"/>
      <c r="GS30" s="1997"/>
      <c r="GT30" s="1997"/>
      <c r="GU30" s="1997"/>
      <c r="GV30" s="1997"/>
      <c r="GW30" s="1997"/>
      <c r="GX30" s="1997"/>
      <c r="GY30" s="1997"/>
      <c r="GZ30" s="1997"/>
      <c r="HA30" s="1997"/>
      <c r="HB30" s="1997"/>
      <c r="HC30" s="1997"/>
      <c r="HD30" s="1997"/>
      <c r="HE30" s="1997"/>
      <c r="HF30" s="1997"/>
      <c r="HG30" s="1997"/>
      <c r="HH30" s="1997"/>
      <c r="HI30" s="1997"/>
      <c r="HJ30" s="1997"/>
      <c r="HK30" s="1997"/>
      <c r="HL30" s="1997"/>
      <c r="HM30" s="1997"/>
      <c r="HN30" s="1997"/>
      <c r="HO30" s="1997"/>
      <c r="HP30" s="1997"/>
      <c r="HQ30" s="1997"/>
      <c r="HR30" s="1997"/>
      <c r="HS30" s="1997"/>
      <c r="HT30" s="1997"/>
      <c r="HU30" s="1997"/>
      <c r="HV30" s="1997"/>
      <c r="HW30" s="1997"/>
      <c r="HX30" s="1997"/>
      <c r="HY30" s="1997"/>
      <c r="HZ30" s="1997"/>
      <c r="IA30" s="1997"/>
      <c r="IB30" s="1997"/>
      <c r="IC30" s="1997"/>
      <c r="ID30" s="1997"/>
      <c r="IE30" s="1997"/>
      <c r="IF30" s="1997"/>
      <c r="IG30" s="1997"/>
      <c r="IH30" s="1997"/>
      <c r="II30" s="1997"/>
      <c r="IJ30" s="1997"/>
      <c r="IK30" s="1997"/>
      <c r="IL30" s="1997"/>
      <c r="IM30" s="1997"/>
      <c r="IN30" s="1997"/>
      <c r="IO30" s="1997"/>
      <c r="IP30" s="1997"/>
      <c r="IQ30" s="1997"/>
    </row>
    <row r="31" spans="1:251" hidden="1">
      <c r="A31" s="1993"/>
      <c r="B31" s="1998"/>
      <c r="C31" s="1998"/>
      <c r="D31" s="2034"/>
      <c r="E31" s="1998"/>
      <c r="F31" s="1940">
        <f t="shared" si="14"/>
        <v>0</v>
      </c>
      <c r="G31" s="1993"/>
      <c r="H31" s="1940">
        <f t="shared" si="4"/>
        <v>0</v>
      </c>
      <c r="I31" s="1993"/>
      <c r="J31" s="1940">
        <f t="shared" si="5"/>
        <v>0</v>
      </c>
      <c r="K31" s="1993"/>
      <c r="L31" s="1940">
        <f t="shared" si="6"/>
        <v>0</v>
      </c>
      <c r="M31" s="1940">
        <f t="shared" si="13"/>
        <v>0</v>
      </c>
      <c r="N31" s="1940">
        <f t="shared" si="7"/>
        <v>0</v>
      </c>
      <c r="O31" s="1993"/>
      <c r="P31" s="1993"/>
      <c r="Q31" s="1940">
        <f t="shared" si="8"/>
        <v>0</v>
      </c>
      <c r="R31" s="1940">
        <f t="shared" si="9"/>
        <v>0</v>
      </c>
      <c r="S31" s="1940">
        <f t="shared" si="10"/>
        <v>0</v>
      </c>
      <c r="T31" s="1940">
        <f t="shared" si="11"/>
        <v>0</v>
      </c>
      <c r="U31" s="1940">
        <f t="shared" si="12"/>
        <v>0</v>
      </c>
      <c r="V31" s="1997"/>
      <c r="W31" s="1997"/>
      <c r="X31" s="1997"/>
      <c r="Y31" s="1997"/>
      <c r="Z31" s="1997"/>
      <c r="AA31" s="1997"/>
      <c r="AB31" s="1997"/>
      <c r="AC31" s="1997"/>
      <c r="AD31" s="1997"/>
      <c r="AE31" s="1997"/>
      <c r="AF31" s="1997"/>
      <c r="AG31" s="1997"/>
      <c r="AH31" s="1997"/>
      <c r="AI31" s="1997"/>
      <c r="AJ31" s="1997"/>
      <c r="AK31" s="1997"/>
      <c r="AL31" s="1997"/>
      <c r="AM31" s="1997"/>
      <c r="AN31" s="1997"/>
      <c r="AO31" s="1997"/>
      <c r="AP31" s="1997"/>
      <c r="AQ31" s="1997"/>
      <c r="AR31" s="1997"/>
      <c r="AS31" s="1997"/>
      <c r="AT31" s="1997"/>
      <c r="AU31" s="1997"/>
      <c r="AV31" s="1997"/>
      <c r="AW31" s="1997"/>
      <c r="AX31" s="1997"/>
      <c r="AY31" s="1997"/>
      <c r="AZ31" s="1997"/>
      <c r="BA31" s="1997"/>
      <c r="BB31" s="1997"/>
      <c r="BC31" s="1997"/>
      <c r="BD31" s="1997"/>
      <c r="BE31" s="1997"/>
      <c r="BF31" s="1997"/>
      <c r="BG31" s="1997"/>
      <c r="BH31" s="1997"/>
      <c r="BI31" s="1997"/>
      <c r="BJ31" s="1997"/>
      <c r="BK31" s="1997"/>
      <c r="BL31" s="1997"/>
      <c r="BM31" s="1997"/>
      <c r="BN31" s="1997"/>
      <c r="BO31" s="1997"/>
      <c r="BP31" s="1997"/>
      <c r="BQ31" s="1997"/>
      <c r="BR31" s="1997"/>
      <c r="BS31" s="1997"/>
      <c r="BT31" s="1997"/>
      <c r="BU31" s="1997"/>
      <c r="BV31" s="1997"/>
      <c r="BW31" s="1997"/>
      <c r="BX31" s="1997"/>
      <c r="BY31" s="1997"/>
      <c r="BZ31" s="1997"/>
      <c r="CA31" s="1997"/>
      <c r="CB31" s="1997"/>
      <c r="CC31" s="1997"/>
      <c r="CD31" s="1997"/>
      <c r="CE31" s="1997"/>
      <c r="CF31" s="1997"/>
      <c r="CG31" s="1997"/>
      <c r="CH31" s="1997"/>
      <c r="CI31" s="1997"/>
      <c r="CJ31" s="1997"/>
      <c r="CK31" s="1997"/>
      <c r="CL31" s="1997"/>
      <c r="CM31" s="1997"/>
      <c r="CN31" s="1997"/>
      <c r="CO31" s="1997"/>
      <c r="CP31" s="1997"/>
      <c r="CQ31" s="1997"/>
      <c r="CR31" s="1997"/>
      <c r="CS31" s="1997"/>
      <c r="CT31" s="1997"/>
      <c r="CU31" s="1997"/>
      <c r="CV31" s="1997"/>
      <c r="CW31" s="1997"/>
      <c r="CX31" s="1997"/>
      <c r="CY31" s="1997"/>
      <c r="CZ31" s="1997"/>
      <c r="DA31" s="1997"/>
      <c r="DB31" s="1997"/>
      <c r="DC31" s="1997"/>
      <c r="DD31" s="1997"/>
      <c r="DE31" s="1997"/>
      <c r="DF31" s="1997"/>
      <c r="DG31" s="1997"/>
      <c r="DH31" s="1997"/>
      <c r="DI31" s="1997"/>
      <c r="DJ31" s="1997"/>
      <c r="DK31" s="1997"/>
      <c r="DL31" s="1997"/>
      <c r="DM31" s="1997"/>
      <c r="DN31" s="1997"/>
      <c r="DO31" s="1997"/>
      <c r="DP31" s="1997"/>
      <c r="DQ31" s="1997"/>
      <c r="DR31" s="1997"/>
      <c r="DS31" s="1997"/>
      <c r="DT31" s="1997"/>
      <c r="DU31" s="1997"/>
      <c r="DV31" s="1997"/>
      <c r="DW31" s="1997"/>
      <c r="DX31" s="1997"/>
      <c r="DY31" s="1997"/>
      <c r="DZ31" s="1997"/>
      <c r="EA31" s="1997"/>
      <c r="EB31" s="1997"/>
      <c r="EC31" s="1997"/>
      <c r="ED31" s="1997"/>
      <c r="EE31" s="1997"/>
      <c r="EF31" s="1997"/>
      <c r="EG31" s="1997"/>
      <c r="EH31" s="1997"/>
      <c r="EI31" s="1997"/>
      <c r="EJ31" s="1997"/>
      <c r="EK31" s="1997"/>
      <c r="EL31" s="1997"/>
      <c r="EM31" s="1997"/>
      <c r="EN31" s="1997"/>
      <c r="EO31" s="1997"/>
      <c r="EP31" s="1997"/>
      <c r="EQ31" s="1997"/>
      <c r="ER31" s="1997"/>
      <c r="ES31" s="1997"/>
      <c r="ET31" s="1997"/>
      <c r="EU31" s="1997"/>
      <c r="EV31" s="1997"/>
      <c r="EW31" s="1997"/>
      <c r="EX31" s="1997"/>
      <c r="EY31" s="1997"/>
      <c r="EZ31" s="1997"/>
      <c r="FA31" s="1997"/>
      <c r="FB31" s="1997"/>
      <c r="FC31" s="1997"/>
      <c r="FD31" s="1997"/>
      <c r="FE31" s="1997"/>
      <c r="FF31" s="1997"/>
      <c r="FG31" s="1997"/>
      <c r="FH31" s="1997"/>
      <c r="FI31" s="1997"/>
      <c r="FJ31" s="1997"/>
      <c r="FK31" s="1997"/>
      <c r="FL31" s="1997"/>
      <c r="FM31" s="1997"/>
      <c r="FN31" s="1997"/>
      <c r="FO31" s="1997"/>
      <c r="FP31" s="1997"/>
      <c r="FQ31" s="1997"/>
      <c r="FR31" s="1997"/>
      <c r="FS31" s="1997"/>
      <c r="FT31" s="1997"/>
      <c r="FU31" s="1997"/>
      <c r="FV31" s="1997"/>
      <c r="FW31" s="1997"/>
      <c r="FX31" s="1997"/>
      <c r="FY31" s="1997"/>
      <c r="FZ31" s="1997"/>
      <c r="GA31" s="1997"/>
      <c r="GB31" s="1997"/>
      <c r="GC31" s="1997"/>
      <c r="GD31" s="1997"/>
      <c r="GE31" s="1997"/>
      <c r="GF31" s="1997"/>
      <c r="GG31" s="1997"/>
      <c r="GH31" s="1997"/>
      <c r="GI31" s="1997"/>
      <c r="GJ31" s="1997"/>
      <c r="GK31" s="1997"/>
      <c r="GL31" s="1997"/>
      <c r="GM31" s="1997"/>
      <c r="GN31" s="1997"/>
      <c r="GO31" s="1997"/>
      <c r="GP31" s="1997"/>
      <c r="GQ31" s="1997"/>
      <c r="GR31" s="1997"/>
      <c r="GS31" s="1997"/>
      <c r="GT31" s="1997"/>
      <c r="GU31" s="1997"/>
      <c r="GV31" s="1997"/>
      <c r="GW31" s="1997"/>
      <c r="GX31" s="1997"/>
      <c r="GY31" s="1997"/>
      <c r="GZ31" s="1997"/>
      <c r="HA31" s="1997"/>
      <c r="HB31" s="1997"/>
      <c r="HC31" s="1997"/>
      <c r="HD31" s="1997"/>
      <c r="HE31" s="1997"/>
      <c r="HF31" s="1997"/>
      <c r="HG31" s="1997"/>
      <c r="HH31" s="1997"/>
      <c r="HI31" s="1997"/>
      <c r="HJ31" s="1997"/>
      <c r="HK31" s="1997"/>
      <c r="HL31" s="1997"/>
      <c r="HM31" s="1997"/>
      <c r="HN31" s="1997"/>
      <c r="HO31" s="1997"/>
      <c r="HP31" s="1997"/>
      <c r="HQ31" s="1997"/>
      <c r="HR31" s="1997"/>
      <c r="HS31" s="1997"/>
      <c r="HT31" s="1997"/>
      <c r="HU31" s="1997"/>
      <c r="HV31" s="1997"/>
      <c r="HW31" s="1997"/>
      <c r="HX31" s="1997"/>
      <c r="HY31" s="1997"/>
      <c r="HZ31" s="1997"/>
      <c r="IA31" s="1997"/>
      <c r="IB31" s="1997"/>
      <c r="IC31" s="1997"/>
      <c r="ID31" s="1997"/>
      <c r="IE31" s="1997"/>
      <c r="IF31" s="1997"/>
      <c r="IG31" s="1997"/>
      <c r="IH31" s="1997"/>
      <c r="II31" s="1997"/>
      <c r="IJ31" s="1997"/>
      <c r="IK31" s="1997"/>
      <c r="IL31" s="1997"/>
      <c r="IM31" s="1997"/>
      <c r="IN31" s="1997"/>
      <c r="IO31" s="1997"/>
      <c r="IP31" s="1997"/>
      <c r="IQ31" s="1997"/>
    </row>
    <row r="32" spans="1:251" hidden="1">
      <c r="A32" s="1993"/>
      <c r="B32" s="1998"/>
      <c r="C32" s="1998"/>
      <c r="D32" s="2034"/>
      <c r="E32" s="1998"/>
      <c r="F32" s="1940">
        <f t="shared" si="14"/>
        <v>0</v>
      </c>
      <c r="G32" s="1993"/>
      <c r="H32" s="1940">
        <f t="shared" si="4"/>
        <v>0</v>
      </c>
      <c r="I32" s="1993"/>
      <c r="J32" s="1940">
        <f t="shared" si="5"/>
        <v>0</v>
      </c>
      <c r="K32" s="1993"/>
      <c r="L32" s="1940">
        <f t="shared" si="6"/>
        <v>0</v>
      </c>
      <c r="M32" s="1940">
        <f t="shared" si="13"/>
        <v>0</v>
      </c>
      <c r="N32" s="1940">
        <f t="shared" si="7"/>
        <v>0</v>
      </c>
      <c r="O32" s="1993"/>
      <c r="P32" s="1993"/>
      <c r="Q32" s="1940">
        <f t="shared" si="8"/>
        <v>0</v>
      </c>
      <c r="R32" s="1940">
        <f t="shared" si="9"/>
        <v>0</v>
      </c>
      <c r="S32" s="1940">
        <f t="shared" si="10"/>
        <v>0</v>
      </c>
      <c r="T32" s="1940">
        <f t="shared" si="11"/>
        <v>0</v>
      </c>
      <c r="U32" s="1940">
        <f t="shared" si="12"/>
        <v>0</v>
      </c>
      <c r="V32" s="1997"/>
      <c r="W32" s="1997"/>
      <c r="X32" s="1997"/>
      <c r="Y32" s="1997"/>
      <c r="Z32" s="1997"/>
      <c r="AA32" s="1997"/>
      <c r="AB32" s="1997"/>
      <c r="AC32" s="1997"/>
      <c r="AD32" s="1997"/>
      <c r="AE32" s="1997"/>
      <c r="AF32" s="1997"/>
      <c r="AG32" s="1997"/>
      <c r="AH32" s="1997"/>
      <c r="AI32" s="1997"/>
      <c r="AJ32" s="1997"/>
      <c r="AK32" s="1997"/>
      <c r="AL32" s="1997"/>
      <c r="AM32" s="1997"/>
      <c r="AN32" s="1997"/>
      <c r="AO32" s="1997"/>
      <c r="AP32" s="1997"/>
      <c r="AQ32" s="1997"/>
      <c r="AR32" s="1997"/>
      <c r="AS32" s="1997"/>
      <c r="AT32" s="1997"/>
      <c r="AU32" s="1997"/>
      <c r="AV32" s="1997"/>
      <c r="AW32" s="1997"/>
      <c r="AX32" s="1997"/>
      <c r="AY32" s="1997"/>
      <c r="AZ32" s="1997"/>
      <c r="BA32" s="1997"/>
      <c r="BB32" s="1997"/>
      <c r="BC32" s="1997"/>
      <c r="BD32" s="1997"/>
      <c r="BE32" s="1997"/>
      <c r="BF32" s="1997"/>
      <c r="BG32" s="1997"/>
      <c r="BH32" s="1997"/>
      <c r="BI32" s="1997"/>
      <c r="BJ32" s="1997"/>
      <c r="BK32" s="1997"/>
      <c r="BL32" s="1997"/>
      <c r="BM32" s="1997"/>
      <c r="BN32" s="1997"/>
      <c r="BO32" s="1997"/>
      <c r="BP32" s="1997"/>
      <c r="BQ32" s="1997"/>
      <c r="BR32" s="1997"/>
      <c r="BS32" s="1997"/>
      <c r="BT32" s="1997"/>
      <c r="BU32" s="1997"/>
      <c r="BV32" s="1997"/>
      <c r="BW32" s="1997"/>
      <c r="BX32" s="1997"/>
      <c r="BY32" s="1997"/>
      <c r="BZ32" s="1997"/>
      <c r="CA32" s="1997"/>
      <c r="CB32" s="1997"/>
      <c r="CC32" s="1997"/>
      <c r="CD32" s="1997"/>
      <c r="CE32" s="1997"/>
      <c r="CF32" s="1997"/>
      <c r="CG32" s="1997"/>
      <c r="CH32" s="1997"/>
      <c r="CI32" s="1997"/>
      <c r="CJ32" s="1997"/>
      <c r="CK32" s="1997"/>
      <c r="CL32" s="1997"/>
      <c r="CM32" s="1997"/>
      <c r="CN32" s="1997"/>
      <c r="CO32" s="1997"/>
      <c r="CP32" s="1997"/>
      <c r="CQ32" s="1997"/>
      <c r="CR32" s="1997"/>
      <c r="CS32" s="1997"/>
      <c r="CT32" s="1997"/>
      <c r="CU32" s="1997"/>
      <c r="CV32" s="1997"/>
      <c r="CW32" s="1997"/>
      <c r="CX32" s="1997"/>
      <c r="CY32" s="1997"/>
      <c r="CZ32" s="1997"/>
      <c r="DA32" s="1997"/>
      <c r="DB32" s="1997"/>
      <c r="DC32" s="1997"/>
      <c r="DD32" s="1997"/>
      <c r="DE32" s="1997"/>
      <c r="DF32" s="1997"/>
      <c r="DG32" s="1997"/>
      <c r="DH32" s="1997"/>
      <c r="DI32" s="1997"/>
      <c r="DJ32" s="1997"/>
      <c r="DK32" s="1997"/>
      <c r="DL32" s="1997"/>
      <c r="DM32" s="1997"/>
      <c r="DN32" s="1997"/>
      <c r="DO32" s="1997"/>
      <c r="DP32" s="1997"/>
      <c r="DQ32" s="1997"/>
      <c r="DR32" s="1997"/>
      <c r="DS32" s="1997"/>
      <c r="DT32" s="1997"/>
      <c r="DU32" s="1997"/>
      <c r="DV32" s="1997"/>
      <c r="DW32" s="1997"/>
      <c r="DX32" s="1997"/>
      <c r="DY32" s="1997"/>
      <c r="DZ32" s="1997"/>
      <c r="EA32" s="1997"/>
      <c r="EB32" s="1997"/>
      <c r="EC32" s="1997"/>
      <c r="ED32" s="1997"/>
      <c r="EE32" s="1997"/>
      <c r="EF32" s="1997"/>
      <c r="EG32" s="1997"/>
      <c r="EH32" s="1997"/>
      <c r="EI32" s="1997"/>
      <c r="EJ32" s="1997"/>
      <c r="EK32" s="1997"/>
      <c r="EL32" s="1997"/>
      <c r="EM32" s="1997"/>
      <c r="EN32" s="1997"/>
      <c r="EO32" s="1997"/>
      <c r="EP32" s="1997"/>
      <c r="EQ32" s="1997"/>
      <c r="ER32" s="1997"/>
      <c r="ES32" s="1997"/>
      <c r="ET32" s="1997"/>
      <c r="EU32" s="1997"/>
      <c r="EV32" s="1997"/>
      <c r="EW32" s="1997"/>
      <c r="EX32" s="1997"/>
      <c r="EY32" s="1997"/>
      <c r="EZ32" s="1997"/>
      <c r="FA32" s="1997"/>
      <c r="FB32" s="1997"/>
      <c r="FC32" s="1997"/>
      <c r="FD32" s="1997"/>
      <c r="FE32" s="1997"/>
      <c r="FF32" s="1997"/>
      <c r="FG32" s="1997"/>
      <c r="FH32" s="1997"/>
      <c r="FI32" s="1997"/>
      <c r="FJ32" s="1997"/>
      <c r="FK32" s="1997"/>
      <c r="FL32" s="1997"/>
      <c r="FM32" s="1997"/>
      <c r="FN32" s="1997"/>
      <c r="FO32" s="1997"/>
      <c r="FP32" s="1997"/>
      <c r="FQ32" s="1997"/>
      <c r="FR32" s="1997"/>
      <c r="FS32" s="1997"/>
      <c r="FT32" s="1997"/>
      <c r="FU32" s="1997"/>
      <c r="FV32" s="1997"/>
      <c r="FW32" s="1997"/>
      <c r="FX32" s="1997"/>
      <c r="FY32" s="1997"/>
      <c r="FZ32" s="1997"/>
      <c r="GA32" s="1997"/>
      <c r="GB32" s="1997"/>
      <c r="GC32" s="1997"/>
      <c r="GD32" s="1997"/>
      <c r="GE32" s="1997"/>
      <c r="GF32" s="1997"/>
      <c r="GG32" s="1997"/>
      <c r="GH32" s="1997"/>
      <c r="GI32" s="1997"/>
      <c r="GJ32" s="1997"/>
      <c r="GK32" s="1997"/>
      <c r="GL32" s="1997"/>
      <c r="GM32" s="1997"/>
      <c r="GN32" s="1997"/>
      <c r="GO32" s="1997"/>
      <c r="GP32" s="1997"/>
      <c r="GQ32" s="1997"/>
      <c r="GR32" s="1997"/>
      <c r="GS32" s="1997"/>
      <c r="GT32" s="1997"/>
      <c r="GU32" s="1997"/>
      <c r="GV32" s="1997"/>
      <c r="GW32" s="1997"/>
      <c r="GX32" s="1997"/>
      <c r="GY32" s="1997"/>
      <c r="GZ32" s="1997"/>
      <c r="HA32" s="1997"/>
      <c r="HB32" s="1997"/>
      <c r="HC32" s="1997"/>
      <c r="HD32" s="1997"/>
      <c r="HE32" s="1997"/>
      <c r="HF32" s="1997"/>
      <c r="HG32" s="1997"/>
      <c r="HH32" s="1997"/>
      <c r="HI32" s="1997"/>
      <c r="HJ32" s="1997"/>
      <c r="HK32" s="1997"/>
      <c r="HL32" s="1997"/>
      <c r="HM32" s="1997"/>
      <c r="HN32" s="1997"/>
      <c r="HO32" s="1997"/>
      <c r="HP32" s="1997"/>
      <c r="HQ32" s="1997"/>
      <c r="HR32" s="1997"/>
      <c r="HS32" s="1997"/>
      <c r="HT32" s="1997"/>
      <c r="HU32" s="1997"/>
      <c r="HV32" s="1997"/>
      <c r="HW32" s="1997"/>
      <c r="HX32" s="1997"/>
      <c r="HY32" s="1997"/>
      <c r="HZ32" s="1997"/>
      <c r="IA32" s="1997"/>
      <c r="IB32" s="1997"/>
      <c r="IC32" s="1997"/>
      <c r="ID32" s="1997"/>
      <c r="IE32" s="1997"/>
      <c r="IF32" s="1997"/>
      <c r="IG32" s="1997"/>
      <c r="IH32" s="1997"/>
      <c r="II32" s="1997"/>
      <c r="IJ32" s="1997"/>
      <c r="IK32" s="1997"/>
      <c r="IL32" s="1997"/>
      <c r="IM32" s="1997"/>
      <c r="IN32" s="1997"/>
      <c r="IO32" s="1997"/>
      <c r="IP32" s="1997"/>
      <c r="IQ32" s="1997"/>
    </row>
    <row r="33" spans="1:251" hidden="1">
      <c r="A33" s="1993"/>
      <c r="B33" s="1998"/>
      <c r="C33" s="1998"/>
      <c r="D33" s="2034"/>
      <c r="E33" s="1998"/>
      <c r="F33" s="1940">
        <f>ROUNDUP((E33*$Q$5),-3)</f>
        <v>0</v>
      </c>
      <c r="G33" s="1993"/>
      <c r="H33" s="1940">
        <f>D33*F33*G33</f>
        <v>0</v>
      </c>
      <c r="I33" s="1993"/>
      <c r="J33" s="1940">
        <f>I33*$Q$4</f>
        <v>0</v>
      </c>
      <c r="K33" s="1993"/>
      <c r="L33" s="1940">
        <f>K33*F33</f>
        <v>0</v>
      </c>
      <c r="M33" s="1940">
        <f>D33*G33*(J33+L33)</f>
        <v>0</v>
      </c>
      <c r="N33" s="1940">
        <f>H33+M33</f>
        <v>0</v>
      </c>
      <c r="O33" s="1993"/>
      <c r="P33" s="1993"/>
      <c r="Q33" s="1940">
        <f>N33+O33+P33</f>
        <v>0</v>
      </c>
      <c r="R33" s="1940">
        <f>Q33*10%</f>
        <v>0</v>
      </c>
      <c r="S33" s="1940">
        <f>(Q33-R33)*10%</f>
        <v>0</v>
      </c>
      <c r="T33" s="1940">
        <f>(Q33-R33)*6%</f>
        <v>0</v>
      </c>
      <c r="U33" s="1940">
        <f>(Q33-R33)*5%</f>
        <v>0</v>
      </c>
      <c r="V33" s="1997"/>
      <c r="W33" s="1997"/>
      <c r="X33" s="1997"/>
      <c r="Y33" s="1997"/>
      <c r="Z33" s="1997"/>
      <c r="AA33" s="1997"/>
      <c r="AB33" s="1997"/>
      <c r="AC33" s="1997"/>
      <c r="AD33" s="1997"/>
      <c r="AE33" s="1997"/>
      <c r="AF33" s="1997"/>
      <c r="AG33" s="1997"/>
      <c r="AH33" s="1997"/>
      <c r="AI33" s="1997"/>
      <c r="AJ33" s="1997"/>
      <c r="AK33" s="1997"/>
      <c r="AL33" s="1997"/>
      <c r="AM33" s="1997"/>
      <c r="AN33" s="1997"/>
      <c r="AO33" s="1997"/>
      <c r="AP33" s="1997"/>
      <c r="AQ33" s="1997"/>
      <c r="AR33" s="1997"/>
      <c r="AS33" s="1997"/>
      <c r="AT33" s="1997"/>
      <c r="AU33" s="1997"/>
      <c r="AV33" s="1997"/>
      <c r="AW33" s="1997"/>
      <c r="AX33" s="1997"/>
      <c r="AY33" s="1997"/>
      <c r="AZ33" s="1997"/>
      <c r="BA33" s="1997"/>
      <c r="BB33" s="1997"/>
      <c r="BC33" s="1997"/>
      <c r="BD33" s="1997"/>
      <c r="BE33" s="1997"/>
      <c r="BF33" s="1997"/>
      <c r="BG33" s="1997"/>
      <c r="BH33" s="1997"/>
      <c r="BI33" s="1997"/>
      <c r="BJ33" s="1997"/>
      <c r="BK33" s="1997"/>
      <c r="BL33" s="1997"/>
      <c r="BM33" s="1997"/>
      <c r="BN33" s="1997"/>
      <c r="BO33" s="1997"/>
      <c r="BP33" s="1997"/>
      <c r="BQ33" s="1997"/>
      <c r="BR33" s="1997"/>
      <c r="BS33" s="1997"/>
      <c r="BT33" s="1997"/>
      <c r="BU33" s="1997"/>
      <c r="BV33" s="1997"/>
      <c r="BW33" s="1997"/>
      <c r="BX33" s="1997"/>
      <c r="BY33" s="1997"/>
      <c r="BZ33" s="1997"/>
      <c r="CA33" s="1997"/>
      <c r="CB33" s="1997"/>
      <c r="CC33" s="1997"/>
      <c r="CD33" s="1997"/>
      <c r="CE33" s="1997"/>
      <c r="CF33" s="1997"/>
      <c r="CG33" s="1997"/>
      <c r="CH33" s="1997"/>
      <c r="CI33" s="1997"/>
      <c r="CJ33" s="1997"/>
      <c r="CK33" s="1997"/>
      <c r="CL33" s="1997"/>
      <c r="CM33" s="1997"/>
      <c r="CN33" s="1997"/>
      <c r="CO33" s="1997"/>
      <c r="CP33" s="1997"/>
      <c r="CQ33" s="1997"/>
      <c r="CR33" s="1997"/>
      <c r="CS33" s="1997"/>
      <c r="CT33" s="1997"/>
      <c r="CU33" s="1997"/>
      <c r="CV33" s="1997"/>
      <c r="CW33" s="1997"/>
      <c r="CX33" s="1997"/>
      <c r="CY33" s="1997"/>
      <c r="CZ33" s="1997"/>
      <c r="DA33" s="1997"/>
      <c r="DB33" s="1997"/>
      <c r="DC33" s="1997"/>
      <c r="DD33" s="1997"/>
      <c r="DE33" s="1997"/>
      <c r="DF33" s="1997"/>
      <c r="DG33" s="1997"/>
      <c r="DH33" s="1997"/>
      <c r="DI33" s="1997"/>
      <c r="DJ33" s="1997"/>
      <c r="DK33" s="1997"/>
      <c r="DL33" s="1997"/>
      <c r="DM33" s="1997"/>
      <c r="DN33" s="1997"/>
      <c r="DO33" s="1997"/>
      <c r="DP33" s="1997"/>
      <c r="DQ33" s="1997"/>
      <c r="DR33" s="1997"/>
      <c r="DS33" s="1997"/>
      <c r="DT33" s="1997"/>
      <c r="DU33" s="1997"/>
      <c r="DV33" s="1997"/>
      <c r="DW33" s="1997"/>
      <c r="DX33" s="1997"/>
      <c r="DY33" s="1997"/>
      <c r="DZ33" s="1997"/>
      <c r="EA33" s="1997"/>
      <c r="EB33" s="1997"/>
      <c r="EC33" s="1997"/>
      <c r="ED33" s="1997"/>
      <c r="EE33" s="1997"/>
      <c r="EF33" s="1997"/>
      <c r="EG33" s="1997"/>
      <c r="EH33" s="1997"/>
      <c r="EI33" s="1997"/>
      <c r="EJ33" s="1997"/>
      <c r="EK33" s="1997"/>
      <c r="EL33" s="1997"/>
      <c r="EM33" s="1997"/>
      <c r="EN33" s="1997"/>
      <c r="EO33" s="1997"/>
      <c r="EP33" s="1997"/>
      <c r="EQ33" s="1997"/>
      <c r="ER33" s="1997"/>
      <c r="ES33" s="1997"/>
      <c r="ET33" s="1997"/>
      <c r="EU33" s="1997"/>
      <c r="EV33" s="1997"/>
      <c r="EW33" s="1997"/>
      <c r="EX33" s="1997"/>
      <c r="EY33" s="1997"/>
      <c r="EZ33" s="1997"/>
      <c r="FA33" s="1997"/>
      <c r="FB33" s="1997"/>
      <c r="FC33" s="1997"/>
      <c r="FD33" s="1997"/>
      <c r="FE33" s="1997"/>
      <c r="FF33" s="1997"/>
      <c r="FG33" s="1997"/>
      <c r="FH33" s="1997"/>
      <c r="FI33" s="1997"/>
      <c r="FJ33" s="1997"/>
      <c r="FK33" s="1997"/>
      <c r="FL33" s="1997"/>
      <c r="FM33" s="1997"/>
      <c r="FN33" s="1997"/>
      <c r="FO33" s="1997"/>
      <c r="FP33" s="1997"/>
      <c r="FQ33" s="1997"/>
      <c r="FR33" s="1997"/>
      <c r="FS33" s="1997"/>
      <c r="FT33" s="1997"/>
      <c r="FU33" s="1997"/>
      <c r="FV33" s="1997"/>
      <c r="FW33" s="1997"/>
      <c r="FX33" s="1997"/>
      <c r="FY33" s="1997"/>
      <c r="FZ33" s="1997"/>
      <c r="GA33" s="1997"/>
      <c r="GB33" s="1997"/>
      <c r="GC33" s="1997"/>
      <c r="GD33" s="1997"/>
      <c r="GE33" s="1997"/>
      <c r="GF33" s="1997"/>
      <c r="GG33" s="1997"/>
      <c r="GH33" s="1997"/>
      <c r="GI33" s="1997"/>
      <c r="GJ33" s="1997"/>
      <c r="GK33" s="1997"/>
      <c r="GL33" s="1997"/>
      <c r="GM33" s="1997"/>
      <c r="GN33" s="1997"/>
      <c r="GO33" s="1997"/>
      <c r="GP33" s="1997"/>
      <c r="GQ33" s="1997"/>
      <c r="GR33" s="1997"/>
      <c r="GS33" s="1997"/>
      <c r="GT33" s="1997"/>
      <c r="GU33" s="1997"/>
      <c r="GV33" s="1997"/>
      <c r="GW33" s="1997"/>
      <c r="GX33" s="1997"/>
      <c r="GY33" s="1997"/>
      <c r="GZ33" s="1997"/>
      <c r="HA33" s="1997"/>
      <c r="HB33" s="1997"/>
      <c r="HC33" s="1997"/>
      <c r="HD33" s="1997"/>
      <c r="HE33" s="1997"/>
      <c r="HF33" s="1997"/>
      <c r="HG33" s="1997"/>
      <c r="HH33" s="1997"/>
      <c r="HI33" s="1997"/>
      <c r="HJ33" s="1997"/>
      <c r="HK33" s="1997"/>
      <c r="HL33" s="1997"/>
      <c r="HM33" s="1997"/>
      <c r="HN33" s="1997"/>
      <c r="HO33" s="1997"/>
      <c r="HP33" s="1997"/>
      <c r="HQ33" s="1997"/>
      <c r="HR33" s="1997"/>
      <c r="HS33" s="1997"/>
      <c r="HT33" s="1997"/>
      <c r="HU33" s="1997"/>
      <c r="HV33" s="1997"/>
      <c r="HW33" s="1997"/>
      <c r="HX33" s="1997"/>
      <c r="HY33" s="1997"/>
      <c r="HZ33" s="1997"/>
      <c r="IA33" s="1997"/>
      <c r="IB33" s="1997"/>
      <c r="IC33" s="1997"/>
      <c r="ID33" s="1997"/>
      <c r="IE33" s="1997"/>
      <c r="IF33" s="1997"/>
      <c r="IG33" s="1997"/>
      <c r="IH33" s="1997"/>
      <c r="II33" s="1997"/>
      <c r="IJ33" s="1997"/>
      <c r="IK33" s="1997"/>
      <c r="IL33" s="1997"/>
      <c r="IM33" s="1997"/>
      <c r="IN33" s="1997"/>
      <c r="IO33" s="1997"/>
      <c r="IP33" s="1997"/>
      <c r="IQ33" s="1997"/>
    </row>
    <row r="34" spans="1:251" hidden="1">
      <c r="A34" s="1993"/>
      <c r="B34" s="1998"/>
      <c r="C34" s="1998"/>
      <c r="D34" s="2034"/>
      <c r="E34" s="1998"/>
      <c r="F34" s="1940">
        <f t="shared" si="14"/>
        <v>0</v>
      </c>
      <c r="G34" s="1993"/>
      <c r="H34" s="1940">
        <f t="shared" ref="H34:H46" si="15">D34*F34*G34</f>
        <v>0</v>
      </c>
      <c r="I34" s="1993"/>
      <c r="J34" s="1940">
        <f t="shared" si="5"/>
        <v>0</v>
      </c>
      <c r="K34" s="1993"/>
      <c r="L34" s="1940">
        <f t="shared" ref="L34:L46" si="16">K34*F34</f>
        <v>0</v>
      </c>
      <c r="M34" s="1940">
        <f t="shared" ref="M34:M46" si="17">D34*G34*(J34+L34)</f>
        <v>0</v>
      </c>
      <c r="N34" s="1940">
        <f t="shared" ref="N34:N46" si="18">H34+M34</f>
        <v>0</v>
      </c>
      <c r="O34" s="1993"/>
      <c r="P34" s="1993"/>
      <c r="Q34" s="1940">
        <f t="shared" ref="Q34:Q46" si="19">N34+O34+P34</f>
        <v>0</v>
      </c>
      <c r="R34" s="1940">
        <f t="shared" si="9"/>
        <v>0</v>
      </c>
      <c r="S34" s="1940">
        <f t="shared" ref="S34:S46" si="20">(Q34-R34)*10%</f>
        <v>0</v>
      </c>
      <c r="T34" s="1940">
        <f t="shared" ref="T34:T46" si="21">(Q34-R34)*6%</f>
        <v>0</v>
      </c>
      <c r="U34" s="1940">
        <f t="shared" ref="U34:U46" si="22">(Q34-R34)*5%</f>
        <v>0</v>
      </c>
      <c r="V34" s="1997"/>
      <c r="W34" s="1997"/>
      <c r="X34" s="1997"/>
      <c r="Y34" s="1997"/>
      <c r="Z34" s="1997"/>
      <c r="AA34" s="1997"/>
      <c r="AB34" s="1997"/>
      <c r="AC34" s="1997"/>
      <c r="AD34" s="1997"/>
      <c r="AE34" s="1997"/>
      <c r="AF34" s="1997"/>
      <c r="AG34" s="1997"/>
      <c r="AH34" s="1997"/>
      <c r="AI34" s="1997"/>
      <c r="AJ34" s="1997"/>
      <c r="AK34" s="1997"/>
      <c r="AL34" s="1997"/>
      <c r="AM34" s="1997"/>
      <c r="AN34" s="1997"/>
      <c r="AO34" s="1997"/>
      <c r="AP34" s="1997"/>
      <c r="AQ34" s="1997"/>
      <c r="AR34" s="1997"/>
      <c r="AS34" s="1997"/>
      <c r="AT34" s="1997"/>
      <c r="AU34" s="1997"/>
      <c r="AV34" s="1997"/>
      <c r="AW34" s="1997"/>
      <c r="AX34" s="1997"/>
      <c r="AY34" s="1997"/>
      <c r="AZ34" s="1997"/>
      <c r="BA34" s="1997"/>
      <c r="BB34" s="1997"/>
      <c r="BC34" s="1997"/>
      <c r="BD34" s="1997"/>
      <c r="BE34" s="1997"/>
      <c r="BF34" s="1997"/>
      <c r="BG34" s="1997"/>
      <c r="BH34" s="1997"/>
      <c r="BI34" s="1997"/>
      <c r="BJ34" s="1997"/>
      <c r="BK34" s="1997"/>
      <c r="BL34" s="1997"/>
      <c r="BM34" s="1997"/>
      <c r="BN34" s="1997"/>
      <c r="BO34" s="1997"/>
      <c r="BP34" s="1997"/>
      <c r="BQ34" s="1997"/>
      <c r="BR34" s="1997"/>
      <c r="BS34" s="1997"/>
      <c r="BT34" s="1997"/>
      <c r="BU34" s="1997"/>
      <c r="BV34" s="1997"/>
      <c r="BW34" s="1997"/>
      <c r="BX34" s="1997"/>
      <c r="BY34" s="1997"/>
      <c r="BZ34" s="1997"/>
      <c r="CA34" s="1997"/>
      <c r="CB34" s="1997"/>
      <c r="CC34" s="1997"/>
      <c r="CD34" s="1997"/>
      <c r="CE34" s="1997"/>
      <c r="CF34" s="1997"/>
      <c r="CG34" s="1997"/>
      <c r="CH34" s="1997"/>
      <c r="CI34" s="1997"/>
      <c r="CJ34" s="1997"/>
      <c r="CK34" s="1997"/>
      <c r="CL34" s="1997"/>
      <c r="CM34" s="1997"/>
      <c r="CN34" s="1997"/>
      <c r="CO34" s="1997"/>
      <c r="CP34" s="1997"/>
      <c r="CQ34" s="1997"/>
      <c r="CR34" s="1997"/>
      <c r="CS34" s="1997"/>
      <c r="CT34" s="1997"/>
      <c r="CU34" s="1997"/>
      <c r="CV34" s="1997"/>
      <c r="CW34" s="1997"/>
      <c r="CX34" s="1997"/>
      <c r="CY34" s="1997"/>
      <c r="CZ34" s="1997"/>
      <c r="DA34" s="1997"/>
      <c r="DB34" s="1997"/>
      <c r="DC34" s="1997"/>
      <c r="DD34" s="1997"/>
      <c r="DE34" s="1997"/>
      <c r="DF34" s="1997"/>
      <c r="DG34" s="1997"/>
      <c r="DH34" s="1997"/>
      <c r="DI34" s="1997"/>
      <c r="DJ34" s="1997"/>
      <c r="DK34" s="1997"/>
      <c r="DL34" s="1997"/>
      <c r="DM34" s="1997"/>
      <c r="DN34" s="1997"/>
      <c r="DO34" s="1997"/>
      <c r="DP34" s="1997"/>
      <c r="DQ34" s="1997"/>
      <c r="DR34" s="1997"/>
      <c r="DS34" s="1997"/>
      <c r="DT34" s="1997"/>
      <c r="DU34" s="1997"/>
      <c r="DV34" s="1997"/>
      <c r="DW34" s="1997"/>
      <c r="DX34" s="1997"/>
      <c r="DY34" s="1997"/>
      <c r="DZ34" s="1997"/>
      <c r="EA34" s="1997"/>
      <c r="EB34" s="1997"/>
      <c r="EC34" s="1997"/>
      <c r="ED34" s="1997"/>
      <c r="EE34" s="1997"/>
      <c r="EF34" s="1997"/>
      <c r="EG34" s="1997"/>
      <c r="EH34" s="1997"/>
      <c r="EI34" s="1997"/>
      <c r="EJ34" s="1997"/>
      <c r="EK34" s="1997"/>
      <c r="EL34" s="1997"/>
      <c r="EM34" s="1997"/>
      <c r="EN34" s="1997"/>
      <c r="EO34" s="1997"/>
      <c r="EP34" s="1997"/>
      <c r="EQ34" s="1997"/>
      <c r="ER34" s="1997"/>
      <c r="ES34" s="1997"/>
      <c r="ET34" s="1997"/>
      <c r="EU34" s="1997"/>
      <c r="EV34" s="1997"/>
      <c r="EW34" s="1997"/>
      <c r="EX34" s="1997"/>
      <c r="EY34" s="1997"/>
      <c r="EZ34" s="1997"/>
      <c r="FA34" s="1997"/>
      <c r="FB34" s="1997"/>
      <c r="FC34" s="1997"/>
      <c r="FD34" s="1997"/>
      <c r="FE34" s="1997"/>
      <c r="FF34" s="1997"/>
      <c r="FG34" s="1997"/>
      <c r="FH34" s="1997"/>
      <c r="FI34" s="1997"/>
      <c r="FJ34" s="1997"/>
      <c r="FK34" s="1997"/>
      <c r="FL34" s="1997"/>
      <c r="FM34" s="1997"/>
      <c r="FN34" s="1997"/>
      <c r="FO34" s="1997"/>
      <c r="FP34" s="1997"/>
      <c r="FQ34" s="1997"/>
      <c r="FR34" s="1997"/>
      <c r="FS34" s="1997"/>
      <c r="FT34" s="1997"/>
      <c r="FU34" s="1997"/>
      <c r="FV34" s="1997"/>
      <c r="FW34" s="1997"/>
      <c r="FX34" s="1997"/>
      <c r="FY34" s="1997"/>
      <c r="FZ34" s="1997"/>
      <c r="GA34" s="1997"/>
      <c r="GB34" s="1997"/>
      <c r="GC34" s="1997"/>
      <c r="GD34" s="1997"/>
      <c r="GE34" s="1997"/>
      <c r="GF34" s="1997"/>
      <c r="GG34" s="1997"/>
      <c r="GH34" s="1997"/>
      <c r="GI34" s="1997"/>
      <c r="GJ34" s="1997"/>
      <c r="GK34" s="1997"/>
      <c r="GL34" s="1997"/>
      <c r="GM34" s="1997"/>
      <c r="GN34" s="1997"/>
      <c r="GO34" s="1997"/>
      <c r="GP34" s="1997"/>
      <c r="GQ34" s="1997"/>
      <c r="GR34" s="1997"/>
      <c r="GS34" s="1997"/>
      <c r="GT34" s="1997"/>
      <c r="GU34" s="1997"/>
      <c r="GV34" s="1997"/>
      <c r="GW34" s="1997"/>
      <c r="GX34" s="1997"/>
      <c r="GY34" s="1997"/>
      <c r="GZ34" s="1997"/>
      <c r="HA34" s="1997"/>
      <c r="HB34" s="1997"/>
      <c r="HC34" s="1997"/>
      <c r="HD34" s="1997"/>
      <c r="HE34" s="1997"/>
      <c r="HF34" s="1997"/>
      <c r="HG34" s="1997"/>
      <c r="HH34" s="1997"/>
      <c r="HI34" s="1997"/>
      <c r="HJ34" s="1997"/>
      <c r="HK34" s="1997"/>
      <c r="HL34" s="1997"/>
      <c r="HM34" s="1997"/>
      <c r="HN34" s="1997"/>
      <c r="HO34" s="1997"/>
      <c r="HP34" s="1997"/>
      <c r="HQ34" s="1997"/>
      <c r="HR34" s="1997"/>
      <c r="HS34" s="1997"/>
      <c r="HT34" s="1997"/>
      <c r="HU34" s="1997"/>
      <c r="HV34" s="1997"/>
      <c r="HW34" s="1997"/>
      <c r="HX34" s="1997"/>
      <c r="HY34" s="1997"/>
      <c r="HZ34" s="1997"/>
      <c r="IA34" s="1997"/>
      <c r="IB34" s="1997"/>
      <c r="IC34" s="1997"/>
      <c r="ID34" s="1997"/>
      <c r="IE34" s="1997"/>
      <c r="IF34" s="1997"/>
      <c r="IG34" s="1997"/>
      <c r="IH34" s="1997"/>
      <c r="II34" s="1997"/>
      <c r="IJ34" s="1997"/>
      <c r="IK34" s="1997"/>
      <c r="IL34" s="1997"/>
      <c r="IM34" s="1997"/>
      <c r="IN34" s="1997"/>
      <c r="IO34" s="1997"/>
      <c r="IP34" s="1997"/>
      <c r="IQ34" s="1997"/>
    </row>
    <row r="35" spans="1:251" hidden="1">
      <c r="A35" s="1993"/>
      <c r="B35" s="1998"/>
      <c r="C35" s="1998"/>
      <c r="D35" s="2034"/>
      <c r="E35" s="1998"/>
      <c r="F35" s="1940">
        <f t="shared" si="14"/>
        <v>0</v>
      </c>
      <c r="G35" s="1993"/>
      <c r="H35" s="1940">
        <f t="shared" si="15"/>
        <v>0</v>
      </c>
      <c r="I35" s="1993"/>
      <c r="J35" s="1940">
        <f t="shared" si="5"/>
        <v>0</v>
      </c>
      <c r="K35" s="1993"/>
      <c r="L35" s="1940">
        <f t="shared" si="16"/>
        <v>0</v>
      </c>
      <c r="M35" s="1940">
        <f t="shared" si="17"/>
        <v>0</v>
      </c>
      <c r="N35" s="1940">
        <f t="shared" si="18"/>
        <v>0</v>
      </c>
      <c r="O35" s="1993"/>
      <c r="P35" s="1993"/>
      <c r="Q35" s="1940">
        <f t="shared" si="19"/>
        <v>0</v>
      </c>
      <c r="R35" s="1940">
        <f t="shared" si="9"/>
        <v>0</v>
      </c>
      <c r="S35" s="1940">
        <f t="shared" si="20"/>
        <v>0</v>
      </c>
      <c r="T35" s="1940">
        <f t="shared" si="21"/>
        <v>0</v>
      </c>
      <c r="U35" s="1940">
        <f t="shared" si="22"/>
        <v>0</v>
      </c>
      <c r="V35" s="1997"/>
      <c r="W35" s="1997"/>
      <c r="X35" s="1997"/>
      <c r="Y35" s="1997"/>
      <c r="Z35" s="1997"/>
      <c r="AA35" s="1997"/>
      <c r="AB35" s="1997"/>
      <c r="AC35" s="1997"/>
      <c r="AD35" s="1997"/>
      <c r="AE35" s="1997"/>
      <c r="AF35" s="1997"/>
      <c r="AG35" s="1997"/>
      <c r="AH35" s="1997"/>
      <c r="AI35" s="1997"/>
      <c r="AJ35" s="1997"/>
      <c r="AK35" s="1997"/>
      <c r="AL35" s="1997"/>
      <c r="AM35" s="1997"/>
      <c r="AN35" s="1997"/>
      <c r="AO35" s="1997"/>
      <c r="AP35" s="1997"/>
      <c r="AQ35" s="1997"/>
      <c r="AR35" s="1997"/>
      <c r="AS35" s="1997"/>
      <c r="AT35" s="1997"/>
      <c r="AU35" s="1997"/>
      <c r="AV35" s="1997"/>
      <c r="AW35" s="1997"/>
      <c r="AX35" s="1997"/>
      <c r="AY35" s="1997"/>
      <c r="AZ35" s="1997"/>
      <c r="BA35" s="1997"/>
      <c r="BB35" s="1997"/>
      <c r="BC35" s="1997"/>
      <c r="BD35" s="1997"/>
      <c r="BE35" s="1997"/>
      <c r="BF35" s="1997"/>
      <c r="BG35" s="1997"/>
      <c r="BH35" s="1997"/>
      <c r="BI35" s="1997"/>
      <c r="BJ35" s="1997"/>
      <c r="BK35" s="1997"/>
      <c r="BL35" s="1997"/>
      <c r="BM35" s="1997"/>
      <c r="BN35" s="1997"/>
      <c r="BO35" s="1997"/>
      <c r="BP35" s="1997"/>
      <c r="BQ35" s="1997"/>
      <c r="BR35" s="1997"/>
      <c r="BS35" s="1997"/>
      <c r="BT35" s="1997"/>
      <c r="BU35" s="1997"/>
      <c r="BV35" s="1997"/>
      <c r="BW35" s="1997"/>
      <c r="BX35" s="1997"/>
      <c r="BY35" s="1997"/>
      <c r="BZ35" s="1997"/>
      <c r="CA35" s="1997"/>
      <c r="CB35" s="1997"/>
      <c r="CC35" s="1997"/>
      <c r="CD35" s="1997"/>
      <c r="CE35" s="1997"/>
      <c r="CF35" s="1997"/>
      <c r="CG35" s="1997"/>
      <c r="CH35" s="1997"/>
      <c r="CI35" s="1997"/>
      <c r="CJ35" s="1997"/>
      <c r="CK35" s="1997"/>
      <c r="CL35" s="1997"/>
      <c r="CM35" s="1997"/>
      <c r="CN35" s="1997"/>
      <c r="CO35" s="1997"/>
      <c r="CP35" s="1997"/>
      <c r="CQ35" s="1997"/>
      <c r="CR35" s="1997"/>
      <c r="CS35" s="1997"/>
      <c r="CT35" s="1997"/>
      <c r="CU35" s="1997"/>
      <c r="CV35" s="1997"/>
      <c r="CW35" s="1997"/>
      <c r="CX35" s="1997"/>
      <c r="CY35" s="1997"/>
      <c r="CZ35" s="1997"/>
      <c r="DA35" s="1997"/>
      <c r="DB35" s="1997"/>
      <c r="DC35" s="1997"/>
      <c r="DD35" s="1997"/>
      <c r="DE35" s="1997"/>
      <c r="DF35" s="1997"/>
      <c r="DG35" s="1997"/>
      <c r="DH35" s="1997"/>
      <c r="DI35" s="1997"/>
      <c r="DJ35" s="1997"/>
      <c r="DK35" s="1997"/>
      <c r="DL35" s="1997"/>
      <c r="DM35" s="1997"/>
      <c r="DN35" s="1997"/>
      <c r="DO35" s="1997"/>
      <c r="DP35" s="1997"/>
      <c r="DQ35" s="1997"/>
      <c r="DR35" s="1997"/>
      <c r="DS35" s="1997"/>
      <c r="DT35" s="1997"/>
      <c r="DU35" s="1997"/>
      <c r="DV35" s="1997"/>
      <c r="DW35" s="1997"/>
      <c r="DX35" s="1997"/>
      <c r="DY35" s="1997"/>
      <c r="DZ35" s="1997"/>
      <c r="EA35" s="1997"/>
      <c r="EB35" s="1997"/>
      <c r="EC35" s="1997"/>
      <c r="ED35" s="1997"/>
      <c r="EE35" s="1997"/>
      <c r="EF35" s="1997"/>
      <c r="EG35" s="1997"/>
      <c r="EH35" s="1997"/>
      <c r="EI35" s="1997"/>
      <c r="EJ35" s="1997"/>
      <c r="EK35" s="1997"/>
      <c r="EL35" s="1997"/>
      <c r="EM35" s="1997"/>
      <c r="EN35" s="1997"/>
      <c r="EO35" s="1997"/>
      <c r="EP35" s="1997"/>
      <c r="EQ35" s="1997"/>
      <c r="ER35" s="1997"/>
      <c r="ES35" s="1997"/>
      <c r="ET35" s="1997"/>
      <c r="EU35" s="1997"/>
      <c r="EV35" s="1997"/>
      <c r="EW35" s="1997"/>
      <c r="EX35" s="1997"/>
      <c r="EY35" s="1997"/>
      <c r="EZ35" s="1997"/>
      <c r="FA35" s="1997"/>
      <c r="FB35" s="1997"/>
      <c r="FC35" s="1997"/>
      <c r="FD35" s="1997"/>
      <c r="FE35" s="1997"/>
      <c r="FF35" s="1997"/>
      <c r="FG35" s="1997"/>
      <c r="FH35" s="1997"/>
      <c r="FI35" s="1997"/>
      <c r="FJ35" s="1997"/>
      <c r="FK35" s="1997"/>
      <c r="FL35" s="1997"/>
      <c r="FM35" s="1997"/>
      <c r="FN35" s="1997"/>
      <c r="FO35" s="1997"/>
      <c r="FP35" s="1997"/>
      <c r="FQ35" s="1997"/>
      <c r="FR35" s="1997"/>
      <c r="FS35" s="1997"/>
      <c r="FT35" s="1997"/>
      <c r="FU35" s="1997"/>
      <c r="FV35" s="1997"/>
      <c r="FW35" s="1997"/>
      <c r="FX35" s="1997"/>
      <c r="FY35" s="1997"/>
      <c r="FZ35" s="1997"/>
      <c r="GA35" s="1997"/>
      <c r="GB35" s="1997"/>
      <c r="GC35" s="1997"/>
      <c r="GD35" s="1997"/>
      <c r="GE35" s="1997"/>
      <c r="GF35" s="1997"/>
      <c r="GG35" s="1997"/>
      <c r="GH35" s="1997"/>
      <c r="GI35" s="1997"/>
      <c r="GJ35" s="1997"/>
      <c r="GK35" s="1997"/>
      <c r="GL35" s="1997"/>
      <c r="GM35" s="1997"/>
      <c r="GN35" s="1997"/>
      <c r="GO35" s="1997"/>
      <c r="GP35" s="1997"/>
      <c r="GQ35" s="1997"/>
      <c r="GR35" s="1997"/>
      <c r="GS35" s="1997"/>
      <c r="GT35" s="1997"/>
      <c r="GU35" s="1997"/>
      <c r="GV35" s="1997"/>
      <c r="GW35" s="1997"/>
      <c r="GX35" s="1997"/>
      <c r="GY35" s="1997"/>
      <c r="GZ35" s="1997"/>
      <c r="HA35" s="1997"/>
      <c r="HB35" s="1997"/>
      <c r="HC35" s="1997"/>
      <c r="HD35" s="1997"/>
      <c r="HE35" s="1997"/>
      <c r="HF35" s="1997"/>
      <c r="HG35" s="1997"/>
      <c r="HH35" s="1997"/>
      <c r="HI35" s="1997"/>
      <c r="HJ35" s="1997"/>
      <c r="HK35" s="1997"/>
      <c r="HL35" s="1997"/>
      <c r="HM35" s="1997"/>
      <c r="HN35" s="1997"/>
      <c r="HO35" s="1997"/>
      <c r="HP35" s="1997"/>
      <c r="HQ35" s="1997"/>
      <c r="HR35" s="1997"/>
      <c r="HS35" s="1997"/>
      <c r="HT35" s="1997"/>
      <c r="HU35" s="1997"/>
      <c r="HV35" s="1997"/>
      <c r="HW35" s="1997"/>
      <c r="HX35" s="1997"/>
      <c r="HY35" s="1997"/>
      <c r="HZ35" s="1997"/>
      <c r="IA35" s="1997"/>
      <c r="IB35" s="1997"/>
      <c r="IC35" s="1997"/>
      <c r="ID35" s="1997"/>
      <c r="IE35" s="1997"/>
      <c r="IF35" s="1997"/>
      <c r="IG35" s="1997"/>
      <c r="IH35" s="1997"/>
      <c r="II35" s="1997"/>
      <c r="IJ35" s="1997"/>
      <c r="IK35" s="1997"/>
      <c r="IL35" s="1997"/>
      <c r="IM35" s="1997"/>
      <c r="IN35" s="1997"/>
      <c r="IO35" s="1997"/>
      <c r="IP35" s="1997"/>
      <c r="IQ35" s="1997"/>
    </row>
    <row r="36" spans="1:251" hidden="1">
      <c r="A36" s="1993"/>
      <c r="B36" s="1998"/>
      <c r="C36" s="1998"/>
      <c r="D36" s="2034"/>
      <c r="E36" s="1998"/>
      <c r="F36" s="1940">
        <f t="shared" si="14"/>
        <v>0</v>
      </c>
      <c r="G36" s="1993"/>
      <c r="H36" s="1940">
        <f t="shared" si="15"/>
        <v>0</v>
      </c>
      <c r="I36" s="1993"/>
      <c r="J36" s="1940">
        <f t="shared" si="5"/>
        <v>0</v>
      </c>
      <c r="K36" s="1993"/>
      <c r="L36" s="1940">
        <f t="shared" si="16"/>
        <v>0</v>
      </c>
      <c r="M36" s="1940">
        <f t="shared" si="17"/>
        <v>0</v>
      </c>
      <c r="N36" s="1940">
        <f t="shared" si="18"/>
        <v>0</v>
      </c>
      <c r="O36" s="1993"/>
      <c r="P36" s="1993"/>
      <c r="Q36" s="1940">
        <f t="shared" si="19"/>
        <v>0</v>
      </c>
      <c r="R36" s="1940">
        <f t="shared" si="9"/>
        <v>0</v>
      </c>
      <c r="S36" s="1940">
        <f t="shared" si="20"/>
        <v>0</v>
      </c>
      <c r="T36" s="1940">
        <f t="shared" si="21"/>
        <v>0</v>
      </c>
      <c r="U36" s="1940">
        <f t="shared" si="22"/>
        <v>0</v>
      </c>
      <c r="V36" s="1997"/>
      <c r="W36" s="1997"/>
      <c r="X36" s="1997"/>
      <c r="Y36" s="1997"/>
      <c r="Z36" s="1997"/>
      <c r="AA36" s="1997"/>
      <c r="AB36" s="1997"/>
      <c r="AC36" s="1997"/>
      <c r="AD36" s="1997"/>
      <c r="AE36" s="1997"/>
      <c r="AF36" s="1997"/>
      <c r="AG36" s="1997"/>
      <c r="AH36" s="1997"/>
      <c r="AI36" s="1997"/>
      <c r="AJ36" s="1997"/>
      <c r="AK36" s="1997"/>
      <c r="AL36" s="1997"/>
      <c r="AM36" s="1997"/>
      <c r="AN36" s="1997"/>
      <c r="AO36" s="1997"/>
      <c r="AP36" s="1997"/>
      <c r="AQ36" s="1997"/>
      <c r="AR36" s="1997"/>
      <c r="AS36" s="1997"/>
      <c r="AT36" s="1997"/>
      <c r="AU36" s="1997"/>
      <c r="AV36" s="1997"/>
      <c r="AW36" s="1997"/>
      <c r="AX36" s="1997"/>
      <c r="AY36" s="1997"/>
      <c r="AZ36" s="1997"/>
      <c r="BA36" s="1997"/>
      <c r="BB36" s="1997"/>
      <c r="BC36" s="1997"/>
      <c r="BD36" s="1997"/>
      <c r="BE36" s="1997"/>
      <c r="BF36" s="1997"/>
      <c r="BG36" s="1997"/>
      <c r="BH36" s="1997"/>
      <c r="BI36" s="1997"/>
      <c r="BJ36" s="1997"/>
      <c r="BK36" s="1997"/>
      <c r="BL36" s="1997"/>
      <c r="BM36" s="1997"/>
      <c r="BN36" s="1997"/>
      <c r="BO36" s="1997"/>
      <c r="BP36" s="1997"/>
      <c r="BQ36" s="1997"/>
      <c r="BR36" s="1997"/>
      <c r="BS36" s="1997"/>
      <c r="BT36" s="1997"/>
      <c r="BU36" s="1997"/>
      <c r="BV36" s="1997"/>
      <c r="BW36" s="1997"/>
      <c r="BX36" s="1997"/>
      <c r="BY36" s="1997"/>
      <c r="BZ36" s="1997"/>
      <c r="CA36" s="1997"/>
      <c r="CB36" s="1997"/>
      <c r="CC36" s="1997"/>
      <c r="CD36" s="1997"/>
      <c r="CE36" s="1997"/>
      <c r="CF36" s="1997"/>
      <c r="CG36" s="1997"/>
      <c r="CH36" s="1997"/>
      <c r="CI36" s="1997"/>
      <c r="CJ36" s="1997"/>
      <c r="CK36" s="1997"/>
      <c r="CL36" s="1997"/>
      <c r="CM36" s="1997"/>
      <c r="CN36" s="1997"/>
      <c r="CO36" s="1997"/>
      <c r="CP36" s="1997"/>
      <c r="CQ36" s="1997"/>
      <c r="CR36" s="1997"/>
      <c r="CS36" s="1997"/>
      <c r="CT36" s="1997"/>
      <c r="CU36" s="1997"/>
      <c r="CV36" s="1997"/>
      <c r="CW36" s="1997"/>
      <c r="CX36" s="1997"/>
      <c r="CY36" s="1997"/>
      <c r="CZ36" s="1997"/>
      <c r="DA36" s="1997"/>
      <c r="DB36" s="1997"/>
      <c r="DC36" s="1997"/>
      <c r="DD36" s="1997"/>
      <c r="DE36" s="1997"/>
      <c r="DF36" s="1997"/>
      <c r="DG36" s="1997"/>
      <c r="DH36" s="1997"/>
      <c r="DI36" s="1997"/>
      <c r="DJ36" s="1997"/>
      <c r="DK36" s="1997"/>
      <c r="DL36" s="1997"/>
      <c r="DM36" s="1997"/>
      <c r="DN36" s="1997"/>
      <c r="DO36" s="1997"/>
      <c r="DP36" s="1997"/>
      <c r="DQ36" s="1997"/>
      <c r="DR36" s="1997"/>
      <c r="DS36" s="1997"/>
      <c r="DT36" s="1997"/>
      <c r="DU36" s="1997"/>
      <c r="DV36" s="1997"/>
      <c r="DW36" s="1997"/>
      <c r="DX36" s="1997"/>
      <c r="DY36" s="1997"/>
      <c r="DZ36" s="1997"/>
      <c r="EA36" s="1997"/>
      <c r="EB36" s="1997"/>
      <c r="EC36" s="1997"/>
      <c r="ED36" s="1997"/>
      <c r="EE36" s="1997"/>
      <c r="EF36" s="1997"/>
      <c r="EG36" s="1997"/>
      <c r="EH36" s="1997"/>
      <c r="EI36" s="1997"/>
      <c r="EJ36" s="1997"/>
      <c r="EK36" s="1997"/>
      <c r="EL36" s="1997"/>
      <c r="EM36" s="1997"/>
      <c r="EN36" s="1997"/>
      <c r="EO36" s="1997"/>
      <c r="EP36" s="1997"/>
      <c r="EQ36" s="1997"/>
      <c r="ER36" s="1997"/>
      <c r="ES36" s="1997"/>
      <c r="ET36" s="1997"/>
      <c r="EU36" s="1997"/>
      <c r="EV36" s="1997"/>
      <c r="EW36" s="1997"/>
      <c r="EX36" s="1997"/>
      <c r="EY36" s="1997"/>
      <c r="EZ36" s="1997"/>
      <c r="FA36" s="1997"/>
      <c r="FB36" s="1997"/>
      <c r="FC36" s="1997"/>
      <c r="FD36" s="1997"/>
      <c r="FE36" s="1997"/>
      <c r="FF36" s="1997"/>
      <c r="FG36" s="1997"/>
      <c r="FH36" s="1997"/>
      <c r="FI36" s="1997"/>
      <c r="FJ36" s="1997"/>
      <c r="FK36" s="1997"/>
      <c r="FL36" s="1997"/>
      <c r="FM36" s="1997"/>
      <c r="FN36" s="1997"/>
      <c r="FO36" s="1997"/>
      <c r="FP36" s="1997"/>
      <c r="FQ36" s="1997"/>
      <c r="FR36" s="1997"/>
      <c r="FS36" s="1997"/>
      <c r="FT36" s="1997"/>
      <c r="FU36" s="1997"/>
      <c r="FV36" s="1997"/>
      <c r="FW36" s="1997"/>
      <c r="FX36" s="1997"/>
      <c r="FY36" s="1997"/>
      <c r="FZ36" s="1997"/>
      <c r="GA36" s="1997"/>
      <c r="GB36" s="1997"/>
      <c r="GC36" s="1997"/>
      <c r="GD36" s="1997"/>
      <c r="GE36" s="1997"/>
      <c r="GF36" s="1997"/>
      <c r="GG36" s="1997"/>
      <c r="GH36" s="1997"/>
      <c r="GI36" s="1997"/>
      <c r="GJ36" s="1997"/>
      <c r="GK36" s="1997"/>
      <c r="GL36" s="1997"/>
      <c r="GM36" s="1997"/>
      <c r="GN36" s="1997"/>
      <c r="GO36" s="1997"/>
      <c r="GP36" s="1997"/>
      <c r="GQ36" s="1997"/>
      <c r="GR36" s="1997"/>
      <c r="GS36" s="1997"/>
      <c r="GT36" s="1997"/>
      <c r="GU36" s="1997"/>
      <c r="GV36" s="1997"/>
      <c r="GW36" s="1997"/>
      <c r="GX36" s="1997"/>
      <c r="GY36" s="1997"/>
      <c r="GZ36" s="1997"/>
      <c r="HA36" s="1997"/>
      <c r="HB36" s="1997"/>
      <c r="HC36" s="1997"/>
      <c r="HD36" s="1997"/>
      <c r="HE36" s="1997"/>
      <c r="HF36" s="1997"/>
      <c r="HG36" s="1997"/>
      <c r="HH36" s="1997"/>
      <c r="HI36" s="1997"/>
      <c r="HJ36" s="1997"/>
      <c r="HK36" s="1997"/>
      <c r="HL36" s="1997"/>
      <c r="HM36" s="1997"/>
      <c r="HN36" s="1997"/>
      <c r="HO36" s="1997"/>
      <c r="HP36" s="1997"/>
      <c r="HQ36" s="1997"/>
      <c r="HR36" s="1997"/>
      <c r="HS36" s="1997"/>
      <c r="HT36" s="1997"/>
      <c r="HU36" s="1997"/>
      <c r="HV36" s="1997"/>
      <c r="HW36" s="1997"/>
      <c r="HX36" s="1997"/>
      <c r="HY36" s="1997"/>
      <c r="HZ36" s="1997"/>
      <c r="IA36" s="1997"/>
      <c r="IB36" s="1997"/>
      <c r="IC36" s="1997"/>
      <c r="ID36" s="1997"/>
      <c r="IE36" s="1997"/>
      <c r="IF36" s="1997"/>
      <c r="IG36" s="1997"/>
      <c r="IH36" s="1997"/>
      <c r="II36" s="1997"/>
      <c r="IJ36" s="1997"/>
      <c r="IK36" s="1997"/>
      <c r="IL36" s="1997"/>
      <c r="IM36" s="1997"/>
      <c r="IN36" s="1997"/>
      <c r="IO36" s="1997"/>
      <c r="IP36" s="1997"/>
      <c r="IQ36" s="1997"/>
    </row>
    <row r="37" spans="1:251" hidden="1">
      <c r="A37" s="1993"/>
      <c r="B37" s="1998"/>
      <c r="C37" s="1998"/>
      <c r="D37" s="2034"/>
      <c r="E37" s="1998"/>
      <c r="F37" s="1940">
        <f t="shared" si="14"/>
        <v>0</v>
      </c>
      <c r="G37" s="1993"/>
      <c r="H37" s="1940">
        <f t="shared" si="15"/>
        <v>0</v>
      </c>
      <c r="I37" s="1993"/>
      <c r="J37" s="1940">
        <f t="shared" si="5"/>
        <v>0</v>
      </c>
      <c r="K37" s="1993"/>
      <c r="L37" s="1940">
        <f t="shared" si="16"/>
        <v>0</v>
      </c>
      <c r="M37" s="1940">
        <f t="shared" si="17"/>
        <v>0</v>
      </c>
      <c r="N37" s="1940">
        <f t="shared" si="18"/>
        <v>0</v>
      </c>
      <c r="O37" s="1993"/>
      <c r="P37" s="1993"/>
      <c r="Q37" s="1940">
        <f t="shared" si="19"/>
        <v>0</v>
      </c>
      <c r="R37" s="1940">
        <f t="shared" si="9"/>
        <v>0</v>
      </c>
      <c r="S37" s="1940">
        <f t="shared" si="20"/>
        <v>0</v>
      </c>
      <c r="T37" s="1940">
        <f t="shared" si="21"/>
        <v>0</v>
      </c>
      <c r="U37" s="1940">
        <f t="shared" si="22"/>
        <v>0</v>
      </c>
      <c r="V37" s="1997"/>
      <c r="W37" s="1997"/>
      <c r="X37" s="1997"/>
      <c r="Y37" s="1997"/>
      <c r="Z37" s="1997"/>
      <c r="AA37" s="1997"/>
      <c r="AB37" s="1997"/>
      <c r="AC37" s="1997"/>
      <c r="AD37" s="1997"/>
      <c r="AE37" s="1997"/>
      <c r="AF37" s="1997"/>
      <c r="AG37" s="1997"/>
      <c r="AH37" s="1997"/>
      <c r="AI37" s="1997"/>
      <c r="AJ37" s="1997"/>
      <c r="AK37" s="1997"/>
      <c r="AL37" s="1997"/>
      <c r="AM37" s="1997"/>
      <c r="AN37" s="1997"/>
      <c r="AO37" s="1997"/>
      <c r="AP37" s="1997"/>
      <c r="AQ37" s="1997"/>
      <c r="AR37" s="1997"/>
      <c r="AS37" s="1997"/>
      <c r="AT37" s="1997"/>
      <c r="AU37" s="1997"/>
      <c r="AV37" s="1997"/>
      <c r="AW37" s="1997"/>
      <c r="AX37" s="1997"/>
      <c r="AY37" s="1997"/>
      <c r="AZ37" s="1997"/>
      <c r="BA37" s="1997"/>
      <c r="BB37" s="1997"/>
      <c r="BC37" s="1997"/>
      <c r="BD37" s="1997"/>
      <c r="BE37" s="1997"/>
      <c r="BF37" s="1997"/>
      <c r="BG37" s="1997"/>
      <c r="BH37" s="1997"/>
      <c r="BI37" s="1997"/>
      <c r="BJ37" s="1997"/>
      <c r="BK37" s="1997"/>
      <c r="BL37" s="1997"/>
      <c r="BM37" s="1997"/>
      <c r="BN37" s="1997"/>
      <c r="BO37" s="1997"/>
      <c r="BP37" s="1997"/>
      <c r="BQ37" s="1997"/>
      <c r="BR37" s="1997"/>
      <c r="BS37" s="1997"/>
      <c r="BT37" s="1997"/>
      <c r="BU37" s="1997"/>
      <c r="BV37" s="1997"/>
      <c r="BW37" s="1997"/>
      <c r="BX37" s="1997"/>
      <c r="BY37" s="1997"/>
      <c r="BZ37" s="1997"/>
      <c r="CA37" s="1997"/>
      <c r="CB37" s="1997"/>
      <c r="CC37" s="1997"/>
      <c r="CD37" s="1997"/>
      <c r="CE37" s="1997"/>
      <c r="CF37" s="1997"/>
      <c r="CG37" s="1997"/>
      <c r="CH37" s="1997"/>
      <c r="CI37" s="1997"/>
      <c r="CJ37" s="1997"/>
      <c r="CK37" s="1997"/>
      <c r="CL37" s="1997"/>
      <c r="CM37" s="1997"/>
      <c r="CN37" s="1997"/>
      <c r="CO37" s="1997"/>
      <c r="CP37" s="1997"/>
      <c r="CQ37" s="1997"/>
      <c r="CR37" s="1997"/>
      <c r="CS37" s="1997"/>
      <c r="CT37" s="1997"/>
      <c r="CU37" s="1997"/>
      <c r="CV37" s="1997"/>
      <c r="CW37" s="1997"/>
      <c r="CX37" s="1997"/>
      <c r="CY37" s="1997"/>
      <c r="CZ37" s="1997"/>
      <c r="DA37" s="1997"/>
      <c r="DB37" s="1997"/>
      <c r="DC37" s="1997"/>
      <c r="DD37" s="1997"/>
      <c r="DE37" s="1997"/>
      <c r="DF37" s="1997"/>
      <c r="DG37" s="1997"/>
      <c r="DH37" s="1997"/>
      <c r="DI37" s="1997"/>
      <c r="DJ37" s="1997"/>
      <c r="DK37" s="1997"/>
      <c r="DL37" s="1997"/>
      <c r="DM37" s="1997"/>
      <c r="DN37" s="1997"/>
      <c r="DO37" s="1997"/>
      <c r="DP37" s="1997"/>
      <c r="DQ37" s="1997"/>
      <c r="DR37" s="1997"/>
      <c r="DS37" s="1997"/>
      <c r="DT37" s="1997"/>
      <c r="DU37" s="1997"/>
      <c r="DV37" s="1997"/>
      <c r="DW37" s="1997"/>
      <c r="DX37" s="1997"/>
      <c r="DY37" s="1997"/>
      <c r="DZ37" s="1997"/>
      <c r="EA37" s="1997"/>
      <c r="EB37" s="1997"/>
      <c r="EC37" s="1997"/>
      <c r="ED37" s="1997"/>
      <c r="EE37" s="1997"/>
      <c r="EF37" s="1997"/>
      <c r="EG37" s="1997"/>
      <c r="EH37" s="1997"/>
      <c r="EI37" s="1997"/>
      <c r="EJ37" s="1997"/>
      <c r="EK37" s="1997"/>
      <c r="EL37" s="1997"/>
      <c r="EM37" s="1997"/>
      <c r="EN37" s="1997"/>
      <c r="EO37" s="1997"/>
      <c r="EP37" s="1997"/>
      <c r="EQ37" s="1997"/>
      <c r="ER37" s="1997"/>
      <c r="ES37" s="1997"/>
      <c r="ET37" s="1997"/>
      <c r="EU37" s="1997"/>
      <c r="EV37" s="1997"/>
      <c r="EW37" s="1997"/>
      <c r="EX37" s="1997"/>
      <c r="EY37" s="1997"/>
      <c r="EZ37" s="1997"/>
      <c r="FA37" s="1997"/>
      <c r="FB37" s="1997"/>
      <c r="FC37" s="1997"/>
      <c r="FD37" s="1997"/>
      <c r="FE37" s="1997"/>
      <c r="FF37" s="1997"/>
      <c r="FG37" s="1997"/>
      <c r="FH37" s="1997"/>
      <c r="FI37" s="1997"/>
      <c r="FJ37" s="1997"/>
      <c r="FK37" s="1997"/>
      <c r="FL37" s="1997"/>
      <c r="FM37" s="1997"/>
      <c r="FN37" s="1997"/>
      <c r="FO37" s="1997"/>
      <c r="FP37" s="1997"/>
      <c r="FQ37" s="1997"/>
      <c r="FR37" s="1997"/>
      <c r="FS37" s="1997"/>
      <c r="FT37" s="1997"/>
      <c r="FU37" s="1997"/>
      <c r="FV37" s="1997"/>
      <c r="FW37" s="1997"/>
      <c r="FX37" s="1997"/>
      <c r="FY37" s="1997"/>
      <c r="FZ37" s="1997"/>
      <c r="GA37" s="1997"/>
      <c r="GB37" s="1997"/>
      <c r="GC37" s="1997"/>
      <c r="GD37" s="1997"/>
      <c r="GE37" s="1997"/>
      <c r="GF37" s="1997"/>
      <c r="GG37" s="1997"/>
      <c r="GH37" s="1997"/>
      <c r="GI37" s="1997"/>
      <c r="GJ37" s="1997"/>
      <c r="GK37" s="1997"/>
      <c r="GL37" s="1997"/>
      <c r="GM37" s="1997"/>
      <c r="GN37" s="1997"/>
      <c r="GO37" s="1997"/>
      <c r="GP37" s="1997"/>
      <c r="GQ37" s="1997"/>
      <c r="GR37" s="1997"/>
      <c r="GS37" s="1997"/>
      <c r="GT37" s="1997"/>
      <c r="GU37" s="1997"/>
      <c r="GV37" s="1997"/>
      <c r="GW37" s="1997"/>
      <c r="GX37" s="1997"/>
      <c r="GY37" s="1997"/>
      <c r="GZ37" s="1997"/>
      <c r="HA37" s="1997"/>
      <c r="HB37" s="1997"/>
      <c r="HC37" s="1997"/>
      <c r="HD37" s="1997"/>
      <c r="HE37" s="1997"/>
      <c r="HF37" s="1997"/>
      <c r="HG37" s="1997"/>
      <c r="HH37" s="1997"/>
      <c r="HI37" s="1997"/>
      <c r="HJ37" s="1997"/>
      <c r="HK37" s="1997"/>
      <c r="HL37" s="1997"/>
      <c r="HM37" s="1997"/>
      <c r="HN37" s="1997"/>
      <c r="HO37" s="1997"/>
      <c r="HP37" s="1997"/>
      <c r="HQ37" s="1997"/>
      <c r="HR37" s="1997"/>
      <c r="HS37" s="1997"/>
      <c r="HT37" s="1997"/>
      <c r="HU37" s="1997"/>
      <c r="HV37" s="1997"/>
      <c r="HW37" s="1997"/>
      <c r="HX37" s="1997"/>
      <c r="HY37" s="1997"/>
      <c r="HZ37" s="1997"/>
      <c r="IA37" s="1997"/>
      <c r="IB37" s="1997"/>
      <c r="IC37" s="1997"/>
      <c r="ID37" s="1997"/>
      <c r="IE37" s="1997"/>
      <c r="IF37" s="1997"/>
      <c r="IG37" s="1997"/>
      <c r="IH37" s="1997"/>
      <c r="II37" s="1997"/>
      <c r="IJ37" s="1997"/>
      <c r="IK37" s="1997"/>
      <c r="IL37" s="1997"/>
      <c r="IM37" s="1997"/>
      <c r="IN37" s="1997"/>
      <c r="IO37" s="1997"/>
      <c r="IP37" s="1997"/>
      <c r="IQ37" s="1997"/>
    </row>
    <row r="38" spans="1:251" hidden="1">
      <c r="A38" s="1993"/>
      <c r="B38" s="1998"/>
      <c r="C38" s="1998"/>
      <c r="D38" s="2034"/>
      <c r="E38" s="1998"/>
      <c r="F38" s="1940">
        <f t="shared" si="14"/>
        <v>0</v>
      </c>
      <c r="G38" s="1993"/>
      <c r="H38" s="1940">
        <f t="shared" si="15"/>
        <v>0</v>
      </c>
      <c r="I38" s="1993"/>
      <c r="J38" s="1940">
        <f t="shared" si="5"/>
        <v>0</v>
      </c>
      <c r="K38" s="1993"/>
      <c r="L38" s="1940">
        <f t="shared" si="16"/>
        <v>0</v>
      </c>
      <c r="M38" s="1940">
        <f t="shared" si="17"/>
        <v>0</v>
      </c>
      <c r="N38" s="1940">
        <f t="shared" si="18"/>
        <v>0</v>
      </c>
      <c r="O38" s="1993"/>
      <c r="P38" s="1993"/>
      <c r="Q38" s="1940">
        <f t="shared" si="19"/>
        <v>0</v>
      </c>
      <c r="R38" s="1940">
        <f t="shared" si="9"/>
        <v>0</v>
      </c>
      <c r="S38" s="1940">
        <f t="shared" si="20"/>
        <v>0</v>
      </c>
      <c r="T38" s="1940">
        <f t="shared" si="21"/>
        <v>0</v>
      </c>
      <c r="U38" s="1940">
        <f t="shared" si="22"/>
        <v>0</v>
      </c>
      <c r="V38" s="1997"/>
      <c r="W38" s="1997"/>
      <c r="X38" s="1997"/>
      <c r="Y38" s="1997"/>
      <c r="Z38" s="1997"/>
      <c r="AA38" s="1997"/>
      <c r="AB38" s="1997"/>
      <c r="AC38" s="1997"/>
      <c r="AD38" s="1997"/>
      <c r="AE38" s="1997"/>
      <c r="AF38" s="1997"/>
      <c r="AG38" s="1997"/>
      <c r="AH38" s="1997"/>
      <c r="AI38" s="1997"/>
      <c r="AJ38" s="1997"/>
      <c r="AK38" s="1997"/>
      <c r="AL38" s="1997"/>
      <c r="AM38" s="1997"/>
      <c r="AN38" s="1997"/>
      <c r="AO38" s="1997"/>
      <c r="AP38" s="1997"/>
      <c r="AQ38" s="1997"/>
      <c r="AR38" s="1997"/>
      <c r="AS38" s="1997"/>
      <c r="AT38" s="1997"/>
      <c r="AU38" s="1997"/>
      <c r="AV38" s="1997"/>
      <c r="AW38" s="1997"/>
      <c r="AX38" s="1997"/>
      <c r="AY38" s="1997"/>
      <c r="AZ38" s="1997"/>
      <c r="BA38" s="1997"/>
      <c r="BB38" s="1997"/>
      <c r="BC38" s="1997"/>
      <c r="BD38" s="1997"/>
      <c r="BE38" s="1997"/>
      <c r="BF38" s="1997"/>
      <c r="BG38" s="1997"/>
      <c r="BH38" s="1997"/>
      <c r="BI38" s="1997"/>
      <c r="BJ38" s="1997"/>
      <c r="BK38" s="1997"/>
      <c r="BL38" s="1997"/>
      <c r="BM38" s="1997"/>
      <c r="BN38" s="1997"/>
      <c r="BO38" s="1997"/>
      <c r="BP38" s="1997"/>
      <c r="BQ38" s="1997"/>
      <c r="BR38" s="1997"/>
      <c r="BS38" s="1997"/>
      <c r="BT38" s="1997"/>
      <c r="BU38" s="1997"/>
      <c r="BV38" s="1997"/>
      <c r="BW38" s="1997"/>
      <c r="BX38" s="1997"/>
      <c r="BY38" s="1997"/>
      <c r="BZ38" s="1997"/>
      <c r="CA38" s="1997"/>
      <c r="CB38" s="1997"/>
      <c r="CC38" s="1997"/>
      <c r="CD38" s="1997"/>
      <c r="CE38" s="1997"/>
      <c r="CF38" s="1997"/>
      <c r="CG38" s="1997"/>
      <c r="CH38" s="1997"/>
      <c r="CI38" s="1997"/>
      <c r="CJ38" s="1997"/>
      <c r="CK38" s="1997"/>
      <c r="CL38" s="1997"/>
      <c r="CM38" s="1997"/>
      <c r="CN38" s="1997"/>
      <c r="CO38" s="1997"/>
      <c r="CP38" s="1997"/>
      <c r="CQ38" s="1997"/>
      <c r="CR38" s="1997"/>
      <c r="CS38" s="1997"/>
      <c r="CT38" s="1997"/>
      <c r="CU38" s="1997"/>
      <c r="CV38" s="1997"/>
      <c r="CW38" s="1997"/>
      <c r="CX38" s="1997"/>
      <c r="CY38" s="1997"/>
      <c r="CZ38" s="1997"/>
      <c r="DA38" s="1997"/>
      <c r="DB38" s="1997"/>
      <c r="DC38" s="1997"/>
      <c r="DD38" s="1997"/>
      <c r="DE38" s="1997"/>
      <c r="DF38" s="1997"/>
      <c r="DG38" s="1997"/>
      <c r="DH38" s="1997"/>
      <c r="DI38" s="1997"/>
      <c r="DJ38" s="1997"/>
      <c r="DK38" s="1997"/>
      <c r="DL38" s="1997"/>
      <c r="DM38" s="1997"/>
      <c r="DN38" s="1997"/>
      <c r="DO38" s="1997"/>
      <c r="DP38" s="1997"/>
      <c r="DQ38" s="1997"/>
      <c r="DR38" s="1997"/>
      <c r="DS38" s="1997"/>
      <c r="DT38" s="1997"/>
      <c r="DU38" s="1997"/>
      <c r="DV38" s="1997"/>
      <c r="DW38" s="1997"/>
      <c r="DX38" s="1997"/>
      <c r="DY38" s="1997"/>
      <c r="DZ38" s="1997"/>
      <c r="EA38" s="1997"/>
      <c r="EB38" s="1997"/>
      <c r="EC38" s="1997"/>
      <c r="ED38" s="1997"/>
      <c r="EE38" s="1997"/>
      <c r="EF38" s="1997"/>
      <c r="EG38" s="1997"/>
      <c r="EH38" s="1997"/>
      <c r="EI38" s="1997"/>
      <c r="EJ38" s="1997"/>
      <c r="EK38" s="1997"/>
      <c r="EL38" s="1997"/>
      <c r="EM38" s="1997"/>
      <c r="EN38" s="1997"/>
      <c r="EO38" s="1997"/>
      <c r="EP38" s="1997"/>
      <c r="EQ38" s="1997"/>
      <c r="ER38" s="1997"/>
      <c r="ES38" s="1997"/>
      <c r="ET38" s="1997"/>
      <c r="EU38" s="1997"/>
      <c r="EV38" s="1997"/>
      <c r="EW38" s="1997"/>
      <c r="EX38" s="1997"/>
      <c r="EY38" s="1997"/>
      <c r="EZ38" s="1997"/>
      <c r="FA38" s="1997"/>
      <c r="FB38" s="1997"/>
      <c r="FC38" s="1997"/>
      <c r="FD38" s="1997"/>
      <c r="FE38" s="1997"/>
      <c r="FF38" s="1997"/>
      <c r="FG38" s="1997"/>
      <c r="FH38" s="1997"/>
      <c r="FI38" s="1997"/>
      <c r="FJ38" s="1997"/>
      <c r="FK38" s="1997"/>
      <c r="FL38" s="1997"/>
      <c r="FM38" s="1997"/>
      <c r="FN38" s="1997"/>
      <c r="FO38" s="1997"/>
      <c r="FP38" s="1997"/>
      <c r="FQ38" s="1997"/>
      <c r="FR38" s="1997"/>
      <c r="FS38" s="1997"/>
      <c r="FT38" s="1997"/>
      <c r="FU38" s="1997"/>
      <c r="FV38" s="1997"/>
      <c r="FW38" s="1997"/>
      <c r="FX38" s="1997"/>
      <c r="FY38" s="1997"/>
      <c r="FZ38" s="1997"/>
      <c r="GA38" s="1997"/>
      <c r="GB38" s="1997"/>
      <c r="GC38" s="1997"/>
      <c r="GD38" s="1997"/>
      <c r="GE38" s="1997"/>
      <c r="GF38" s="1997"/>
      <c r="GG38" s="1997"/>
      <c r="GH38" s="1997"/>
      <c r="GI38" s="1997"/>
      <c r="GJ38" s="1997"/>
      <c r="GK38" s="1997"/>
      <c r="GL38" s="1997"/>
      <c r="GM38" s="1997"/>
      <c r="GN38" s="1997"/>
      <c r="GO38" s="1997"/>
      <c r="GP38" s="1997"/>
      <c r="GQ38" s="1997"/>
      <c r="GR38" s="1997"/>
      <c r="GS38" s="1997"/>
      <c r="GT38" s="1997"/>
      <c r="GU38" s="1997"/>
      <c r="GV38" s="1997"/>
      <c r="GW38" s="1997"/>
      <c r="GX38" s="1997"/>
      <c r="GY38" s="1997"/>
      <c r="GZ38" s="1997"/>
      <c r="HA38" s="1997"/>
      <c r="HB38" s="1997"/>
      <c r="HC38" s="1997"/>
      <c r="HD38" s="1997"/>
      <c r="HE38" s="1997"/>
      <c r="HF38" s="1997"/>
      <c r="HG38" s="1997"/>
      <c r="HH38" s="1997"/>
      <c r="HI38" s="1997"/>
      <c r="HJ38" s="1997"/>
      <c r="HK38" s="1997"/>
      <c r="HL38" s="1997"/>
      <c r="HM38" s="1997"/>
      <c r="HN38" s="1997"/>
      <c r="HO38" s="1997"/>
      <c r="HP38" s="1997"/>
      <c r="HQ38" s="1997"/>
      <c r="HR38" s="1997"/>
      <c r="HS38" s="1997"/>
      <c r="HT38" s="1997"/>
      <c r="HU38" s="1997"/>
      <c r="HV38" s="1997"/>
      <c r="HW38" s="1997"/>
      <c r="HX38" s="1997"/>
      <c r="HY38" s="1997"/>
      <c r="HZ38" s="1997"/>
      <c r="IA38" s="1997"/>
      <c r="IB38" s="1997"/>
      <c r="IC38" s="1997"/>
      <c r="ID38" s="1997"/>
      <c r="IE38" s="1997"/>
      <c r="IF38" s="1997"/>
      <c r="IG38" s="1997"/>
      <c r="IH38" s="1997"/>
      <c r="II38" s="1997"/>
      <c r="IJ38" s="1997"/>
      <c r="IK38" s="1997"/>
      <c r="IL38" s="1997"/>
      <c r="IM38" s="1997"/>
      <c r="IN38" s="1997"/>
      <c r="IO38" s="1997"/>
      <c r="IP38" s="1997"/>
      <c r="IQ38" s="1997"/>
    </row>
    <row r="39" spans="1:251" hidden="1">
      <c r="A39" s="1993"/>
      <c r="B39" s="1998"/>
      <c r="C39" s="1998"/>
      <c r="D39" s="2034"/>
      <c r="E39" s="1998"/>
      <c r="F39" s="1940">
        <f t="shared" si="14"/>
        <v>0</v>
      </c>
      <c r="G39" s="1993"/>
      <c r="H39" s="1940">
        <f t="shared" si="15"/>
        <v>0</v>
      </c>
      <c r="I39" s="1993"/>
      <c r="J39" s="1940">
        <f t="shared" si="5"/>
        <v>0</v>
      </c>
      <c r="K39" s="1993"/>
      <c r="L39" s="1940">
        <f t="shared" si="16"/>
        <v>0</v>
      </c>
      <c r="M39" s="1940">
        <f t="shared" si="17"/>
        <v>0</v>
      </c>
      <c r="N39" s="1940">
        <f t="shared" si="18"/>
        <v>0</v>
      </c>
      <c r="O39" s="1993"/>
      <c r="P39" s="1993"/>
      <c r="Q39" s="1940">
        <f t="shared" si="19"/>
        <v>0</v>
      </c>
      <c r="R39" s="1940">
        <f t="shared" si="9"/>
        <v>0</v>
      </c>
      <c r="S39" s="1940">
        <f t="shared" si="20"/>
        <v>0</v>
      </c>
      <c r="T39" s="1940">
        <f t="shared" si="21"/>
        <v>0</v>
      </c>
      <c r="U39" s="1940">
        <f t="shared" si="22"/>
        <v>0</v>
      </c>
      <c r="V39" s="1997"/>
      <c r="W39" s="1997"/>
      <c r="X39" s="1997"/>
      <c r="Y39" s="1997"/>
      <c r="Z39" s="1997"/>
      <c r="AA39" s="1997"/>
      <c r="AB39" s="1997"/>
      <c r="AC39" s="1997"/>
      <c r="AD39" s="1997"/>
      <c r="AE39" s="1997"/>
      <c r="AF39" s="1997"/>
      <c r="AG39" s="1997"/>
      <c r="AH39" s="1997"/>
      <c r="AI39" s="1997"/>
      <c r="AJ39" s="1997"/>
      <c r="AK39" s="1997"/>
      <c r="AL39" s="1997"/>
      <c r="AM39" s="1997"/>
      <c r="AN39" s="1997"/>
      <c r="AO39" s="1997"/>
      <c r="AP39" s="1997"/>
      <c r="AQ39" s="1997"/>
      <c r="AR39" s="1997"/>
      <c r="AS39" s="1997"/>
      <c r="AT39" s="1997"/>
      <c r="AU39" s="1997"/>
      <c r="AV39" s="1997"/>
      <c r="AW39" s="1997"/>
      <c r="AX39" s="1997"/>
      <c r="AY39" s="1997"/>
      <c r="AZ39" s="1997"/>
      <c r="BA39" s="1997"/>
      <c r="BB39" s="1997"/>
      <c r="BC39" s="1997"/>
      <c r="BD39" s="1997"/>
      <c r="BE39" s="1997"/>
      <c r="BF39" s="1997"/>
      <c r="BG39" s="1997"/>
      <c r="BH39" s="1997"/>
      <c r="BI39" s="1997"/>
      <c r="BJ39" s="1997"/>
      <c r="BK39" s="1997"/>
      <c r="BL39" s="1997"/>
      <c r="BM39" s="1997"/>
      <c r="BN39" s="1997"/>
      <c r="BO39" s="1997"/>
      <c r="BP39" s="1997"/>
      <c r="BQ39" s="1997"/>
      <c r="BR39" s="1997"/>
      <c r="BS39" s="1997"/>
      <c r="BT39" s="1997"/>
      <c r="BU39" s="1997"/>
      <c r="BV39" s="1997"/>
      <c r="BW39" s="1997"/>
      <c r="BX39" s="1997"/>
      <c r="BY39" s="1997"/>
      <c r="BZ39" s="1997"/>
      <c r="CA39" s="1997"/>
      <c r="CB39" s="1997"/>
      <c r="CC39" s="1997"/>
      <c r="CD39" s="1997"/>
      <c r="CE39" s="1997"/>
      <c r="CF39" s="1997"/>
      <c r="CG39" s="1997"/>
      <c r="CH39" s="1997"/>
      <c r="CI39" s="1997"/>
      <c r="CJ39" s="1997"/>
      <c r="CK39" s="1997"/>
      <c r="CL39" s="1997"/>
      <c r="CM39" s="1997"/>
      <c r="CN39" s="1997"/>
      <c r="CO39" s="1997"/>
      <c r="CP39" s="1997"/>
      <c r="CQ39" s="1997"/>
      <c r="CR39" s="1997"/>
      <c r="CS39" s="1997"/>
      <c r="CT39" s="1997"/>
      <c r="CU39" s="1997"/>
      <c r="CV39" s="1997"/>
      <c r="CW39" s="1997"/>
      <c r="CX39" s="1997"/>
      <c r="CY39" s="1997"/>
      <c r="CZ39" s="1997"/>
      <c r="DA39" s="1997"/>
      <c r="DB39" s="1997"/>
      <c r="DC39" s="1997"/>
      <c r="DD39" s="1997"/>
      <c r="DE39" s="1997"/>
      <c r="DF39" s="1997"/>
      <c r="DG39" s="1997"/>
      <c r="DH39" s="1997"/>
      <c r="DI39" s="1997"/>
      <c r="DJ39" s="1997"/>
      <c r="DK39" s="1997"/>
      <c r="DL39" s="1997"/>
      <c r="DM39" s="1997"/>
      <c r="DN39" s="1997"/>
      <c r="DO39" s="1997"/>
      <c r="DP39" s="1997"/>
      <c r="DQ39" s="1997"/>
      <c r="DR39" s="1997"/>
      <c r="DS39" s="1997"/>
      <c r="DT39" s="1997"/>
      <c r="DU39" s="1997"/>
      <c r="DV39" s="1997"/>
      <c r="DW39" s="1997"/>
      <c r="DX39" s="1997"/>
      <c r="DY39" s="1997"/>
      <c r="DZ39" s="1997"/>
      <c r="EA39" s="1997"/>
      <c r="EB39" s="1997"/>
      <c r="EC39" s="1997"/>
      <c r="ED39" s="1997"/>
      <c r="EE39" s="1997"/>
      <c r="EF39" s="1997"/>
      <c r="EG39" s="1997"/>
      <c r="EH39" s="1997"/>
      <c r="EI39" s="1997"/>
      <c r="EJ39" s="1997"/>
      <c r="EK39" s="1997"/>
      <c r="EL39" s="1997"/>
      <c r="EM39" s="1997"/>
      <c r="EN39" s="1997"/>
      <c r="EO39" s="1997"/>
      <c r="EP39" s="1997"/>
      <c r="EQ39" s="1997"/>
      <c r="ER39" s="1997"/>
      <c r="ES39" s="1997"/>
      <c r="ET39" s="1997"/>
      <c r="EU39" s="1997"/>
      <c r="EV39" s="1997"/>
      <c r="EW39" s="1997"/>
      <c r="EX39" s="1997"/>
      <c r="EY39" s="1997"/>
      <c r="EZ39" s="1997"/>
      <c r="FA39" s="1997"/>
      <c r="FB39" s="1997"/>
      <c r="FC39" s="1997"/>
      <c r="FD39" s="1997"/>
      <c r="FE39" s="1997"/>
      <c r="FF39" s="1997"/>
      <c r="FG39" s="1997"/>
      <c r="FH39" s="1997"/>
      <c r="FI39" s="1997"/>
      <c r="FJ39" s="1997"/>
      <c r="FK39" s="1997"/>
      <c r="FL39" s="1997"/>
      <c r="FM39" s="1997"/>
      <c r="FN39" s="1997"/>
      <c r="FO39" s="1997"/>
      <c r="FP39" s="1997"/>
      <c r="FQ39" s="1997"/>
      <c r="FR39" s="1997"/>
      <c r="FS39" s="1997"/>
      <c r="FT39" s="1997"/>
      <c r="FU39" s="1997"/>
      <c r="FV39" s="1997"/>
      <c r="FW39" s="1997"/>
      <c r="FX39" s="1997"/>
      <c r="FY39" s="1997"/>
      <c r="FZ39" s="1997"/>
      <c r="GA39" s="1997"/>
      <c r="GB39" s="1997"/>
      <c r="GC39" s="1997"/>
      <c r="GD39" s="1997"/>
      <c r="GE39" s="1997"/>
      <c r="GF39" s="1997"/>
      <c r="GG39" s="1997"/>
      <c r="GH39" s="1997"/>
      <c r="GI39" s="1997"/>
      <c r="GJ39" s="1997"/>
      <c r="GK39" s="1997"/>
      <c r="GL39" s="1997"/>
      <c r="GM39" s="1997"/>
      <c r="GN39" s="1997"/>
      <c r="GO39" s="1997"/>
      <c r="GP39" s="1997"/>
      <c r="GQ39" s="1997"/>
      <c r="GR39" s="1997"/>
      <c r="GS39" s="1997"/>
      <c r="GT39" s="1997"/>
      <c r="GU39" s="1997"/>
      <c r="GV39" s="1997"/>
      <c r="GW39" s="1997"/>
      <c r="GX39" s="1997"/>
      <c r="GY39" s="1997"/>
      <c r="GZ39" s="1997"/>
      <c r="HA39" s="1997"/>
      <c r="HB39" s="1997"/>
      <c r="HC39" s="1997"/>
      <c r="HD39" s="1997"/>
      <c r="HE39" s="1997"/>
      <c r="HF39" s="1997"/>
      <c r="HG39" s="1997"/>
      <c r="HH39" s="1997"/>
      <c r="HI39" s="1997"/>
      <c r="HJ39" s="1997"/>
      <c r="HK39" s="1997"/>
      <c r="HL39" s="1997"/>
      <c r="HM39" s="1997"/>
      <c r="HN39" s="1997"/>
      <c r="HO39" s="1997"/>
      <c r="HP39" s="1997"/>
      <c r="HQ39" s="1997"/>
      <c r="HR39" s="1997"/>
      <c r="HS39" s="1997"/>
      <c r="HT39" s="1997"/>
      <c r="HU39" s="1997"/>
      <c r="HV39" s="1997"/>
      <c r="HW39" s="1997"/>
      <c r="HX39" s="1997"/>
      <c r="HY39" s="1997"/>
      <c r="HZ39" s="1997"/>
      <c r="IA39" s="1997"/>
      <c r="IB39" s="1997"/>
      <c r="IC39" s="1997"/>
      <c r="ID39" s="1997"/>
      <c r="IE39" s="1997"/>
      <c r="IF39" s="1997"/>
      <c r="IG39" s="1997"/>
      <c r="IH39" s="1997"/>
      <c r="II39" s="1997"/>
      <c r="IJ39" s="1997"/>
      <c r="IK39" s="1997"/>
      <c r="IL39" s="1997"/>
      <c r="IM39" s="1997"/>
      <c r="IN39" s="1997"/>
      <c r="IO39" s="1997"/>
      <c r="IP39" s="1997"/>
      <c r="IQ39" s="1997"/>
    </row>
    <row r="40" spans="1:251" hidden="1">
      <c r="A40" s="1993"/>
      <c r="B40" s="1998"/>
      <c r="C40" s="1998"/>
      <c r="D40" s="2034"/>
      <c r="E40" s="1998"/>
      <c r="F40" s="1940">
        <f t="shared" si="14"/>
        <v>0</v>
      </c>
      <c r="G40" s="1993"/>
      <c r="H40" s="1940">
        <f t="shared" si="15"/>
        <v>0</v>
      </c>
      <c r="I40" s="1993"/>
      <c r="J40" s="1940">
        <f t="shared" si="5"/>
        <v>0</v>
      </c>
      <c r="K40" s="1993"/>
      <c r="L40" s="1940">
        <f t="shared" si="16"/>
        <v>0</v>
      </c>
      <c r="M40" s="1940">
        <f t="shared" si="17"/>
        <v>0</v>
      </c>
      <c r="N40" s="1940">
        <f t="shared" si="18"/>
        <v>0</v>
      </c>
      <c r="O40" s="1993"/>
      <c r="P40" s="1993"/>
      <c r="Q40" s="1940">
        <f t="shared" si="19"/>
        <v>0</v>
      </c>
      <c r="R40" s="1940">
        <f t="shared" si="9"/>
        <v>0</v>
      </c>
      <c r="S40" s="1940">
        <f t="shared" si="20"/>
        <v>0</v>
      </c>
      <c r="T40" s="1940">
        <f t="shared" si="21"/>
        <v>0</v>
      </c>
      <c r="U40" s="1940">
        <f t="shared" si="22"/>
        <v>0</v>
      </c>
      <c r="V40" s="1997"/>
      <c r="W40" s="1997"/>
      <c r="X40" s="1997"/>
      <c r="Y40" s="1997"/>
      <c r="Z40" s="1997"/>
      <c r="AA40" s="1997"/>
      <c r="AB40" s="1997"/>
      <c r="AC40" s="1997"/>
      <c r="AD40" s="1997"/>
      <c r="AE40" s="1997"/>
      <c r="AF40" s="1997"/>
      <c r="AG40" s="1997"/>
      <c r="AH40" s="1997"/>
      <c r="AI40" s="1997"/>
      <c r="AJ40" s="1997"/>
      <c r="AK40" s="1997"/>
      <c r="AL40" s="1997"/>
      <c r="AM40" s="1997"/>
      <c r="AN40" s="1997"/>
      <c r="AO40" s="1997"/>
      <c r="AP40" s="1997"/>
      <c r="AQ40" s="1997"/>
      <c r="AR40" s="1997"/>
      <c r="AS40" s="1997"/>
      <c r="AT40" s="1997"/>
      <c r="AU40" s="1997"/>
      <c r="AV40" s="1997"/>
      <c r="AW40" s="1997"/>
      <c r="AX40" s="1997"/>
      <c r="AY40" s="1997"/>
      <c r="AZ40" s="1997"/>
      <c r="BA40" s="1997"/>
      <c r="BB40" s="1997"/>
      <c r="BC40" s="1997"/>
      <c r="BD40" s="1997"/>
      <c r="BE40" s="1997"/>
      <c r="BF40" s="1997"/>
      <c r="BG40" s="1997"/>
      <c r="BH40" s="1997"/>
      <c r="BI40" s="1997"/>
      <c r="BJ40" s="1997"/>
      <c r="BK40" s="1997"/>
      <c r="BL40" s="1997"/>
      <c r="BM40" s="1997"/>
      <c r="BN40" s="1997"/>
      <c r="BO40" s="1997"/>
      <c r="BP40" s="1997"/>
      <c r="BQ40" s="1997"/>
      <c r="BR40" s="1997"/>
      <c r="BS40" s="1997"/>
      <c r="BT40" s="1997"/>
      <c r="BU40" s="1997"/>
      <c r="BV40" s="1997"/>
      <c r="BW40" s="1997"/>
      <c r="BX40" s="1997"/>
      <c r="BY40" s="1997"/>
      <c r="BZ40" s="1997"/>
      <c r="CA40" s="1997"/>
      <c r="CB40" s="1997"/>
      <c r="CC40" s="1997"/>
      <c r="CD40" s="1997"/>
      <c r="CE40" s="1997"/>
      <c r="CF40" s="1997"/>
      <c r="CG40" s="1997"/>
      <c r="CH40" s="1997"/>
      <c r="CI40" s="1997"/>
      <c r="CJ40" s="1997"/>
      <c r="CK40" s="1997"/>
      <c r="CL40" s="1997"/>
      <c r="CM40" s="1997"/>
      <c r="CN40" s="1997"/>
      <c r="CO40" s="1997"/>
      <c r="CP40" s="1997"/>
      <c r="CQ40" s="1997"/>
      <c r="CR40" s="1997"/>
      <c r="CS40" s="1997"/>
      <c r="CT40" s="1997"/>
      <c r="CU40" s="1997"/>
      <c r="CV40" s="1997"/>
      <c r="CW40" s="1997"/>
      <c r="CX40" s="1997"/>
      <c r="CY40" s="1997"/>
      <c r="CZ40" s="1997"/>
      <c r="DA40" s="1997"/>
      <c r="DB40" s="1997"/>
      <c r="DC40" s="1997"/>
      <c r="DD40" s="1997"/>
      <c r="DE40" s="1997"/>
      <c r="DF40" s="1997"/>
      <c r="DG40" s="1997"/>
      <c r="DH40" s="1997"/>
      <c r="DI40" s="1997"/>
      <c r="DJ40" s="1997"/>
      <c r="DK40" s="1997"/>
      <c r="DL40" s="1997"/>
      <c r="DM40" s="1997"/>
      <c r="DN40" s="1997"/>
      <c r="DO40" s="1997"/>
      <c r="DP40" s="1997"/>
      <c r="DQ40" s="1997"/>
      <c r="DR40" s="1997"/>
      <c r="DS40" s="1997"/>
      <c r="DT40" s="1997"/>
      <c r="DU40" s="1997"/>
      <c r="DV40" s="1997"/>
      <c r="DW40" s="1997"/>
      <c r="DX40" s="1997"/>
      <c r="DY40" s="1997"/>
      <c r="DZ40" s="1997"/>
      <c r="EA40" s="1997"/>
      <c r="EB40" s="1997"/>
      <c r="EC40" s="1997"/>
      <c r="ED40" s="1997"/>
      <c r="EE40" s="1997"/>
      <c r="EF40" s="1997"/>
      <c r="EG40" s="1997"/>
      <c r="EH40" s="1997"/>
      <c r="EI40" s="1997"/>
      <c r="EJ40" s="1997"/>
      <c r="EK40" s="1997"/>
      <c r="EL40" s="1997"/>
      <c r="EM40" s="1997"/>
      <c r="EN40" s="1997"/>
      <c r="EO40" s="1997"/>
      <c r="EP40" s="1997"/>
      <c r="EQ40" s="1997"/>
      <c r="ER40" s="1997"/>
      <c r="ES40" s="1997"/>
      <c r="ET40" s="1997"/>
      <c r="EU40" s="1997"/>
      <c r="EV40" s="1997"/>
      <c r="EW40" s="1997"/>
      <c r="EX40" s="1997"/>
      <c r="EY40" s="1997"/>
      <c r="EZ40" s="1997"/>
      <c r="FA40" s="1997"/>
      <c r="FB40" s="1997"/>
      <c r="FC40" s="1997"/>
      <c r="FD40" s="1997"/>
      <c r="FE40" s="1997"/>
      <c r="FF40" s="1997"/>
      <c r="FG40" s="1997"/>
      <c r="FH40" s="1997"/>
      <c r="FI40" s="1997"/>
      <c r="FJ40" s="1997"/>
      <c r="FK40" s="1997"/>
      <c r="FL40" s="1997"/>
      <c r="FM40" s="1997"/>
      <c r="FN40" s="1997"/>
      <c r="FO40" s="1997"/>
      <c r="FP40" s="1997"/>
      <c r="FQ40" s="1997"/>
      <c r="FR40" s="1997"/>
      <c r="FS40" s="1997"/>
      <c r="FT40" s="1997"/>
      <c r="FU40" s="1997"/>
      <c r="FV40" s="1997"/>
      <c r="FW40" s="1997"/>
      <c r="FX40" s="1997"/>
      <c r="FY40" s="1997"/>
      <c r="FZ40" s="1997"/>
      <c r="GA40" s="1997"/>
      <c r="GB40" s="1997"/>
      <c r="GC40" s="1997"/>
      <c r="GD40" s="1997"/>
      <c r="GE40" s="1997"/>
      <c r="GF40" s="1997"/>
      <c r="GG40" s="1997"/>
      <c r="GH40" s="1997"/>
      <c r="GI40" s="1997"/>
      <c r="GJ40" s="1997"/>
      <c r="GK40" s="1997"/>
      <c r="GL40" s="1997"/>
      <c r="GM40" s="1997"/>
      <c r="GN40" s="1997"/>
      <c r="GO40" s="1997"/>
      <c r="GP40" s="1997"/>
      <c r="GQ40" s="1997"/>
      <c r="GR40" s="1997"/>
      <c r="GS40" s="1997"/>
      <c r="GT40" s="1997"/>
      <c r="GU40" s="1997"/>
      <c r="GV40" s="1997"/>
      <c r="GW40" s="1997"/>
      <c r="GX40" s="1997"/>
      <c r="GY40" s="1997"/>
      <c r="GZ40" s="1997"/>
      <c r="HA40" s="1997"/>
      <c r="HB40" s="1997"/>
      <c r="HC40" s="1997"/>
      <c r="HD40" s="1997"/>
      <c r="HE40" s="1997"/>
      <c r="HF40" s="1997"/>
      <c r="HG40" s="1997"/>
      <c r="HH40" s="1997"/>
      <c r="HI40" s="1997"/>
      <c r="HJ40" s="1997"/>
      <c r="HK40" s="1997"/>
      <c r="HL40" s="1997"/>
      <c r="HM40" s="1997"/>
      <c r="HN40" s="1997"/>
      <c r="HO40" s="1997"/>
      <c r="HP40" s="1997"/>
      <c r="HQ40" s="1997"/>
      <c r="HR40" s="1997"/>
      <c r="HS40" s="1997"/>
      <c r="HT40" s="1997"/>
      <c r="HU40" s="1997"/>
      <c r="HV40" s="1997"/>
      <c r="HW40" s="1997"/>
      <c r="HX40" s="1997"/>
      <c r="HY40" s="1997"/>
      <c r="HZ40" s="1997"/>
      <c r="IA40" s="1997"/>
      <c r="IB40" s="1997"/>
      <c r="IC40" s="1997"/>
      <c r="ID40" s="1997"/>
      <c r="IE40" s="1997"/>
      <c r="IF40" s="1997"/>
      <c r="IG40" s="1997"/>
      <c r="IH40" s="1997"/>
      <c r="II40" s="1997"/>
      <c r="IJ40" s="1997"/>
      <c r="IK40" s="1997"/>
      <c r="IL40" s="1997"/>
      <c r="IM40" s="1997"/>
      <c r="IN40" s="1997"/>
      <c r="IO40" s="1997"/>
      <c r="IP40" s="1997"/>
      <c r="IQ40" s="1997"/>
    </row>
    <row r="41" spans="1:251" hidden="1">
      <c r="A41" s="1993"/>
      <c r="B41" s="1998"/>
      <c r="C41" s="1998"/>
      <c r="D41" s="2034"/>
      <c r="E41" s="1998"/>
      <c r="F41" s="1940">
        <f t="shared" si="14"/>
        <v>0</v>
      </c>
      <c r="G41" s="1993"/>
      <c r="H41" s="1940">
        <f t="shared" si="15"/>
        <v>0</v>
      </c>
      <c r="I41" s="1993"/>
      <c r="J41" s="1940">
        <f t="shared" si="5"/>
        <v>0</v>
      </c>
      <c r="K41" s="1993"/>
      <c r="L41" s="1940">
        <f t="shared" si="16"/>
        <v>0</v>
      </c>
      <c r="M41" s="1940">
        <f t="shared" si="17"/>
        <v>0</v>
      </c>
      <c r="N41" s="1940">
        <f t="shared" si="18"/>
        <v>0</v>
      </c>
      <c r="O41" s="1993"/>
      <c r="P41" s="1993"/>
      <c r="Q41" s="1940">
        <f t="shared" si="19"/>
        <v>0</v>
      </c>
      <c r="R41" s="1940">
        <f t="shared" si="9"/>
        <v>0</v>
      </c>
      <c r="S41" s="1940">
        <f t="shared" si="20"/>
        <v>0</v>
      </c>
      <c r="T41" s="1940">
        <f t="shared" si="21"/>
        <v>0</v>
      </c>
      <c r="U41" s="1940">
        <f t="shared" si="22"/>
        <v>0</v>
      </c>
      <c r="V41" s="1997"/>
      <c r="W41" s="1997"/>
      <c r="X41" s="1997"/>
      <c r="Y41" s="1997"/>
      <c r="Z41" s="1997"/>
      <c r="AA41" s="1997"/>
      <c r="AB41" s="1997"/>
      <c r="AC41" s="1997"/>
      <c r="AD41" s="1997"/>
      <c r="AE41" s="1997"/>
      <c r="AF41" s="1997"/>
      <c r="AG41" s="1997"/>
      <c r="AH41" s="1997"/>
      <c r="AI41" s="1997"/>
      <c r="AJ41" s="1997"/>
      <c r="AK41" s="1997"/>
      <c r="AL41" s="1997"/>
      <c r="AM41" s="1997"/>
      <c r="AN41" s="1997"/>
      <c r="AO41" s="1997"/>
      <c r="AP41" s="1997"/>
      <c r="AQ41" s="1997"/>
      <c r="AR41" s="1997"/>
      <c r="AS41" s="1997"/>
      <c r="AT41" s="1997"/>
      <c r="AU41" s="1997"/>
      <c r="AV41" s="1997"/>
      <c r="AW41" s="1997"/>
      <c r="AX41" s="1997"/>
      <c r="AY41" s="1997"/>
      <c r="AZ41" s="1997"/>
      <c r="BA41" s="1997"/>
      <c r="BB41" s="1997"/>
      <c r="BC41" s="1997"/>
      <c r="BD41" s="1997"/>
      <c r="BE41" s="1997"/>
      <c r="BF41" s="1997"/>
      <c r="BG41" s="1997"/>
      <c r="BH41" s="1997"/>
      <c r="BI41" s="1997"/>
      <c r="BJ41" s="1997"/>
      <c r="BK41" s="1997"/>
      <c r="BL41" s="1997"/>
      <c r="BM41" s="1997"/>
      <c r="BN41" s="1997"/>
      <c r="BO41" s="1997"/>
      <c r="BP41" s="1997"/>
      <c r="BQ41" s="1997"/>
      <c r="BR41" s="1997"/>
      <c r="BS41" s="1997"/>
      <c r="BT41" s="1997"/>
      <c r="BU41" s="1997"/>
      <c r="BV41" s="1997"/>
      <c r="BW41" s="1997"/>
      <c r="BX41" s="1997"/>
      <c r="BY41" s="1997"/>
      <c r="BZ41" s="1997"/>
      <c r="CA41" s="1997"/>
      <c r="CB41" s="1997"/>
      <c r="CC41" s="1997"/>
      <c r="CD41" s="1997"/>
      <c r="CE41" s="1997"/>
      <c r="CF41" s="1997"/>
      <c r="CG41" s="1997"/>
      <c r="CH41" s="1997"/>
      <c r="CI41" s="1997"/>
      <c r="CJ41" s="1997"/>
      <c r="CK41" s="1997"/>
      <c r="CL41" s="1997"/>
      <c r="CM41" s="1997"/>
      <c r="CN41" s="1997"/>
      <c r="CO41" s="1997"/>
      <c r="CP41" s="1997"/>
      <c r="CQ41" s="1997"/>
      <c r="CR41" s="1997"/>
      <c r="CS41" s="1997"/>
      <c r="CT41" s="1997"/>
      <c r="CU41" s="1997"/>
      <c r="CV41" s="1997"/>
      <c r="CW41" s="1997"/>
      <c r="CX41" s="1997"/>
      <c r="CY41" s="1997"/>
      <c r="CZ41" s="1997"/>
      <c r="DA41" s="1997"/>
      <c r="DB41" s="1997"/>
      <c r="DC41" s="1997"/>
      <c r="DD41" s="1997"/>
      <c r="DE41" s="1997"/>
      <c r="DF41" s="1997"/>
      <c r="DG41" s="1997"/>
      <c r="DH41" s="1997"/>
      <c r="DI41" s="1997"/>
      <c r="DJ41" s="1997"/>
      <c r="DK41" s="1997"/>
      <c r="DL41" s="1997"/>
      <c r="DM41" s="1997"/>
      <c r="DN41" s="1997"/>
      <c r="DO41" s="1997"/>
      <c r="DP41" s="1997"/>
      <c r="DQ41" s="1997"/>
      <c r="DR41" s="1997"/>
      <c r="DS41" s="1997"/>
      <c r="DT41" s="1997"/>
      <c r="DU41" s="1997"/>
      <c r="DV41" s="1997"/>
      <c r="DW41" s="1997"/>
      <c r="DX41" s="1997"/>
      <c r="DY41" s="1997"/>
      <c r="DZ41" s="1997"/>
      <c r="EA41" s="1997"/>
      <c r="EB41" s="1997"/>
      <c r="EC41" s="1997"/>
      <c r="ED41" s="1997"/>
      <c r="EE41" s="1997"/>
      <c r="EF41" s="1997"/>
      <c r="EG41" s="1997"/>
      <c r="EH41" s="1997"/>
      <c r="EI41" s="1997"/>
      <c r="EJ41" s="1997"/>
      <c r="EK41" s="1997"/>
      <c r="EL41" s="1997"/>
      <c r="EM41" s="1997"/>
      <c r="EN41" s="1997"/>
      <c r="EO41" s="1997"/>
      <c r="EP41" s="1997"/>
      <c r="EQ41" s="1997"/>
      <c r="ER41" s="1997"/>
      <c r="ES41" s="1997"/>
      <c r="ET41" s="1997"/>
      <c r="EU41" s="1997"/>
      <c r="EV41" s="1997"/>
      <c r="EW41" s="1997"/>
      <c r="EX41" s="1997"/>
      <c r="EY41" s="1997"/>
      <c r="EZ41" s="1997"/>
      <c r="FA41" s="1997"/>
      <c r="FB41" s="1997"/>
      <c r="FC41" s="1997"/>
      <c r="FD41" s="1997"/>
      <c r="FE41" s="1997"/>
      <c r="FF41" s="1997"/>
      <c r="FG41" s="1997"/>
      <c r="FH41" s="1997"/>
      <c r="FI41" s="1997"/>
      <c r="FJ41" s="1997"/>
      <c r="FK41" s="1997"/>
      <c r="FL41" s="1997"/>
      <c r="FM41" s="1997"/>
      <c r="FN41" s="1997"/>
      <c r="FO41" s="1997"/>
      <c r="FP41" s="1997"/>
      <c r="FQ41" s="1997"/>
      <c r="FR41" s="1997"/>
      <c r="FS41" s="1997"/>
      <c r="FT41" s="1997"/>
      <c r="FU41" s="1997"/>
      <c r="FV41" s="1997"/>
      <c r="FW41" s="1997"/>
      <c r="FX41" s="1997"/>
      <c r="FY41" s="1997"/>
      <c r="FZ41" s="1997"/>
      <c r="GA41" s="1997"/>
      <c r="GB41" s="1997"/>
      <c r="GC41" s="1997"/>
      <c r="GD41" s="1997"/>
      <c r="GE41" s="1997"/>
      <c r="GF41" s="1997"/>
      <c r="GG41" s="1997"/>
      <c r="GH41" s="1997"/>
      <c r="GI41" s="1997"/>
      <c r="GJ41" s="1997"/>
      <c r="GK41" s="1997"/>
      <c r="GL41" s="1997"/>
      <c r="GM41" s="1997"/>
      <c r="GN41" s="1997"/>
      <c r="GO41" s="1997"/>
      <c r="GP41" s="1997"/>
      <c r="GQ41" s="1997"/>
      <c r="GR41" s="1997"/>
      <c r="GS41" s="1997"/>
      <c r="GT41" s="1997"/>
      <c r="GU41" s="1997"/>
      <c r="GV41" s="1997"/>
      <c r="GW41" s="1997"/>
      <c r="GX41" s="1997"/>
      <c r="GY41" s="1997"/>
      <c r="GZ41" s="1997"/>
      <c r="HA41" s="1997"/>
      <c r="HB41" s="1997"/>
      <c r="HC41" s="1997"/>
      <c r="HD41" s="1997"/>
      <c r="HE41" s="1997"/>
      <c r="HF41" s="1997"/>
      <c r="HG41" s="1997"/>
      <c r="HH41" s="1997"/>
      <c r="HI41" s="1997"/>
      <c r="HJ41" s="1997"/>
      <c r="HK41" s="1997"/>
      <c r="HL41" s="1997"/>
      <c r="HM41" s="1997"/>
      <c r="HN41" s="1997"/>
      <c r="HO41" s="1997"/>
      <c r="HP41" s="1997"/>
      <c r="HQ41" s="1997"/>
      <c r="HR41" s="1997"/>
      <c r="HS41" s="1997"/>
      <c r="HT41" s="1997"/>
      <c r="HU41" s="1997"/>
      <c r="HV41" s="1997"/>
      <c r="HW41" s="1997"/>
      <c r="HX41" s="1997"/>
      <c r="HY41" s="1997"/>
      <c r="HZ41" s="1997"/>
      <c r="IA41" s="1997"/>
      <c r="IB41" s="1997"/>
      <c r="IC41" s="1997"/>
      <c r="ID41" s="1997"/>
      <c r="IE41" s="1997"/>
      <c r="IF41" s="1997"/>
      <c r="IG41" s="1997"/>
      <c r="IH41" s="1997"/>
      <c r="II41" s="1997"/>
      <c r="IJ41" s="1997"/>
      <c r="IK41" s="1997"/>
      <c r="IL41" s="1997"/>
      <c r="IM41" s="1997"/>
      <c r="IN41" s="1997"/>
      <c r="IO41" s="1997"/>
      <c r="IP41" s="1997"/>
      <c r="IQ41" s="1997"/>
    </row>
    <row r="42" spans="1:251" hidden="1">
      <c r="A42" s="1993"/>
      <c r="B42" s="1998"/>
      <c r="C42" s="1998"/>
      <c r="D42" s="2034"/>
      <c r="E42" s="1998"/>
      <c r="F42" s="1940">
        <f t="shared" si="14"/>
        <v>0</v>
      </c>
      <c r="G42" s="1993"/>
      <c r="H42" s="1940">
        <f t="shared" si="15"/>
        <v>0</v>
      </c>
      <c r="I42" s="1993"/>
      <c r="J42" s="1940">
        <f t="shared" si="5"/>
        <v>0</v>
      </c>
      <c r="K42" s="1993"/>
      <c r="L42" s="1940">
        <f t="shared" si="16"/>
        <v>0</v>
      </c>
      <c r="M42" s="1940">
        <f t="shared" si="17"/>
        <v>0</v>
      </c>
      <c r="N42" s="1940">
        <f t="shared" si="18"/>
        <v>0</v>
      </c>
      <c r="O42" s="1993"/>
      <c r="P42" s="1993"/>
      <c r="Q42" s="1940">
        <f t="shared" si="19"/>
        <v>0</v>
      </c>
      <c r="R42" s="1940">
        <f t="shared" si="9"/>
        <v>0</v>
      </c>
      <c r="S42" s="1940">
        <f t="shared" si="20"/>
        <v>0</v>
      </c>
      <c r="T42" s="1940">
        <f t="shared" si="21"/>
        <v>0</v>
      </c>
      <c r="U42" s="1940">
        <f t="shared" si="22"/>
        <v>0</v>
      </c>
      <c r="V42" s="1997"/>
      <c r="W42" s="1997"/>
      <c r="X42" s="1997"/>
      <c r="Y42" s="1997"/>
      <c r="Z42" s="1997"/>
      <c r="AA42" s="1997"/>
      <c r="AB42" s="1997"/>
      <c r="AC42" s="1997"/>
      <c r="AD42" s="1997"/>
      <c r="AE42" s="1997"/>
      <c r="AF42" s="1997"/>
      <c r="AG42" s="1997"/>
      <c r="AH42" s="1997"/>
      <c r="AI42" s="1997"/>
      <c r="AJ42" s="1997"/>
      <c r="AK42" s="1997"/>
      <c r="AL42" s="1997"/>
      <c r="AM42" s="1997"/>
      <c r="AN42" s="1997"/>
      <c r="AO42" s="1997"/>
      <c r="AP42" s="1997"/>
      <c r="AQ42" s="1997"/>
      <c r="AR42" s="1997"/>
      <c r="AS42" s="1997"/>
      <c r="AT42" s="1997"/>
      <c r="AU42" s="1997"/>
      <c r="AV42" s="1997"/>
      <c r="AW42" s="1997"/>
      <c r="AX42" s="1997"/>
      <c r="AY42" s="1997"/>
      <c r="AZ42" s="1997"/>
      <c r="BA42" s="1997"/>
      <c r="BB42" s="1997"/>
      <c r="BC42" s="1997"/>
      <c r="BD42" s="1997"/>
      <c r="BE42" s="1997"/>
      <c r="BF42" s="1997"/>
      <c r="BG42" s="1997"/>
      <c r="BH42" s="1997"/>
      <c r="BI42" s="1997"/>
      <c r="BJ42" s="1997"/>
      <c r="BK42" s="1997"/>
      <c r="BL42" s="1997"/>
      <c r="BM42" s="1997"/>
      <c r="BN42" s="1997"/>
      <c r="BO42" s="1997"/>
      <c r="BP42" s="1997"/>
      <c r="BQ42" s="1997"/>
      <c r="BR42" s="1997"/>
      <c r="BS42" s="1997"/>
      <c r="BT42" s="1997"/>
      <c r="BU42" s="1997"/>
      <c r="BV42" s="1997"/>
      <c r="BW42" s="1997"/>
      <c r="BX42" s="1997"/>
      <c r="BY42" s="1997"/>
      <c r="BZ42" s="1997"/>
      <c r="CA42" s="1997"/>
      <c r="CB42" s="1997"/>
      <c r="CC42" s="1997"/>
      <c r="CD42" s="1997"/>
      <c r="CE42" s="1997"/>
      <c r="CF42" s="1997"/>
      <c r="CG42" s="1997"/>
      <c r="CH42" s="1997"/>
      <c r="CI42" s="1997"/>
      <c r="CJ42" s="1997"/>
      <c r="CK42" s="1997"/>
      <c r="CL42" s="1997"/>
      <c r="CM42" s="1997"/>
      <c r="CN42" s="1997"/>
      <c r="CO42" s="1997"/>
      <c r="CP42" s="1997"/>
      <c r="CQ42" s="1997"/>
      <c r="CR42" s="1997"/>
      <c r="CS42" s="1997"/>
      <c r="CT42" s="1997"/>
      <c r="CU42" s="1997"/>
      <c r="CV42" s="1997"/>
      <c r="CW42" s="1997"/>
      <c r="CX42" s="1997"/>
      <c r="CY42" s="1997"/>
      <c r="CZ42" s="1997"/>
      <c r="DA42" s="1997"/>
      <c r="DB42" s="1997"/>
      <c r="DC42" s="1997"/>
      <c r="DD42" s="1997"/>
      <c r="DE42" s="1997"/>
      <c r="DF42" s="1997"/>
      <c r="DG42" s="1997"/>
      <c r="DH42" s="1997"/>
      <c r="DI42" s="1997"/>
      <c r="DJ42" s="1997"/>
      <c r="DK42" s="1997"/>
      <c r="DL42" s="1997"/>
      <c r="DM42" s="1997"/>
      <c r="DN42" s="1997"/>
      <c r="DO42" s="1997"/>
      <c r="DP42" s="1997"/>
      <c r="DQ42" s="1997"/>
      <c r="DR42" s="1997"/>
      <c r="DS42" s="1997"/>
      <c r="DT42" s="1997"/>
      <c r="DU42" s="1997"/>
      <c r="DV42" s="1997"/>
      <c r="DW42" s="1997"/>
      <c r="DX42" s="1997"/>
      <c r="DY42" s="1997"/>
      <c r="DZ42" s="1997"/>
      <c r="EA42" s="1997"/>
      <c r="EB42" s="1997"/>
      <c r="EC42" s="1997"/>
      <c r="ED42" s="1997"/>
      <c r="EE42" s="1997"/>
      <c r="EF42" s="1997"/>
      <c r="EG42" s="1997"/>
      <c r="EH42" s="1997"/>
      <c r="EI42" s="1997"/>
      <c r="EJ42" s="1997"/>
      <c r="EK42" s="1997"/>
      <c r="EL42" s="1997"/>
      <c r="EM42" s="1997"/>
      <c r="EN42" s="1997"/>
      <c r="EO42" s="1997"/>
      <c r="EP42" s="1997"/>
      <c r="EQ42" s="1997"/>
      <c r="ER42" s="1997"/>
      <c r="ES42" s="1997"/>
      <c r="ET42" s="1997"/>
      <c r="EU42" s="1997"/>
      <c r="EV42" s="1997"/>
      <c r="EW42" s="1997"/>
      <c r="EX42" s="1997"/>
      <c r="EY42" s="1997"/>
      <c r="EZ42" s="1997"/>
      <c r="FA42" s="1997"/>
      <c r="FB42" s="1997"/>
      <c r="FC42" s="1997"/>
      <c r="FD42" s="1997"/>
      <c r="FE42" s="1997"/>
      <c r="FF42" s="1997"/>
      <c r="FG42" s="1997"/>
      <c r="FH42" s="1997"/>
      <c r="FI42" s="1997"/>
      <c r="FJ42" s="1997"/>
      <c r="FK42" s="1997"/>
      <c r="FL42" s="1997"/>
      <c r="FM42" s="1997"/>
      <c r="FN42" s="1997"/>
      <c r="FO42" s="1997"/>
      <c r="FP42" s="1997"/>
      <c r="FQ42" s="1997"/>
      <c r="FR42" s="1997"/>
      <c r="FS42" s="1997"/>
      <c r="FT42" s="1997"/>
      <c r="FU42" s="1997"/>
      <c r="FV42" s="1997"/>
      <c r="FW42" s="1997"/>
      <c r="FX42" s="1997"/>
      <c r="FY42" s="1997"/>
      <c r="FZ42" s="1997"/>
      <c r="GA42" s="1997"/>
      <c r="GB42" s="1997"/>
      <c r="GC42" s="1997"/>
      <c r="GD42" s="1997"/>
      <c r="GE42" s="1997"/>
      <c r="GF42" s="1997"/>
      <c r="GG42" s="1997"/>
      <c r="GH42" s="1997"/>
      <c r="GI42" s="1997"/>
      <c r="GJ42" s="1997"/>
      <c r="GK42" s="1997"/>
      <c r="GL42" s="1997"/>
      <c r="GM42" s="1997"/>
      <c r="GN42" s="1997"/>
      <c r="GO42" s="1997"/>
      <c r="GP42" s="1997"/>
      <c r="GQ42" s="1997"/>
      <c r="GR42" s="1997"/>
      <c r="GS42" s="1997"/>
      <c r="GT42" s="1997"/>
      <c r="GU42" s="1997"/>
      <c r="GV42" s="1997"/>
      <c r="GW42" s="1997"/>
      <c r="GX42" s="1997"/>
      <c r="GY42" s="1997"/>
      <c r="GZ42" s="1997"/>
      <c r="HA42" s="1997"/>
      <c r="HB42" s="1997"/>
      <c r="HC42" s="1997"/>
      <c r="HD42" s="1997"/>
      <c r="HE42" s="1997"/>
      <c r="HF42" s="1997"/>
      <c r="HG42" s="1997"/>
      <c r="HH42" s="1997"/>
      <c r="HI42" s="1997"/>
      <c r="HJ42" s="1997"/>
      <c r="HK42" s="1997"/>
      <c r="HL42" s="1997"/>
      <c r="HM42" s="1997"/>
      <c r="HN42" s="1997"/>
      <c r="HO42" s="1997"/>
      <c r="HP42" s="1997"/>
      <c r="HQ42" s="1997"/>
      <c r="HR42" s="1997"/>
      <c r="HS42" s="1997"/>
      <c r="HT42" s="1997"/>
      <c r="HU42" s="1997"/>
      <c r="HV42" s="1997"/>
      <c r="HW42" s="1997"/>
      <c r="HX42" s="1997"/>
      <c r="HY42" s="1997"/>
      <c r="HZ42" s="1997"/>
      <c r="IA42" s="1997"/>
      <c r="IB42" s="1997"/>
      <c r="IC42" s="1997"/>
      <c r="ID42" s="1997"/>
      <c r="IE42" s="1997"/>
      <c r="IF42" s="1997"/>
      <c r="IG42" s="1997"/>
      <c r="IH42" s="1997"/>
      <c r="II42" s="1997"/>
      <c r="IJ42" s="1997"/>
      <c r="IK42" s="1997"/>
      <c r="IL42" s="1997"/>
      <c r="IM42" s="1997"/>
      <c r="IN42" s="1997"/>
      <c r="IO42" s="1997"/>
      <c r="IP42" s="1997"/>
      <c r="IQ42" s="1997"/>
    </row>
    <row r="43" spans="1:251" hidden="1">
      <c r="A43" s="1993"/>
      <c r="B43" s="1998"/>
      <c r="C43" s="1998"/>
      <c r="D43" s="2034"/>
      <c r="E43" s="1998"/>
      <c r="F43" s="1940">
        <f t="shared" si="14"/>
        <v>0</v>
      </c>
      <c r="G43" s="1993"/>
      <c r="H43" s="1940">
        <f t="shared" si="15"/>
        <v>0</v>
      </c>
      <c r="I43" s="1993"/>
      <c r="J43" s="1940">
        <f t="shared" si="5"/>
        <v>0</v>
      </c>
      <c r="K43" s="1993"/>
      <c r="L43" s="1940">
        <f t="shared" si="16"/>
        <v>0</v>
      </c>
      <c r="M43" s="1940">
        <f t="shared" si="17"/>
        <v>0</v>
      </c>
      <c r="N43" s="1940">
        <f t="shared" si="18"/>
        <v>0</v>
      </c>
      <c r="O43" s="1993"/>
      <c r="P43" s="1993"/>
      <c r="Q43" s="1940">
        <f t="shared" si="19"/>
        <v>0</v>
      </c>
      <c r="R43" s="1940">
        <f t="shared" si="9"/>
        <v>0</v>
      </c>
      <c r="S43" s="1940">
        <f t="shared" si="20"/>
        <v>0</v>
      </c>
      <c r="T43" s="1940">
        <f t="shared" si="21"/>
        <v>0</v>
      </c>
      <c r="U43" s="1940">
        <f t="shared" si="22"/>
        <v>0</v>
      </c>
      <c r="V43" s="1997"/>
      <c r="W43" s="1997"/>
      <c r="X43" s="1997"/>
      <c r="Y43" s="1997"/>
      <c r="Z43" s="1997"/>
      <c r="AA43" s="1997"/>
      <c r="AB43" s="1997"/>
      <c r="AC43" s="1997"/>
      <c r="AD43" s="1997"/>
      <c r="AE43" s="1997"/>
      <c r="AF43" s="1997"/>
      <c r="AG43" s="1997"/>
      <c r="AH43" s="1997"/>
      <c r="AI43" s="1997"/>
      <c r="AJ43" s="1997"/>
      <c r="AK43" s="1997"/>
      <c r="AL43" s="1997"/>
      <c r="AM43" s="1997"/>
      <c r="AN43" s="1997"/>
      <c r="AO43" s="1997"/>
      <c r="AP43" s="1997"/>
      <c r="AQ43" s="1997"/>
      <c r="AR43" s="1997"/>
      <c r="AS43" s="1997"/>
      <c r="AT43" s="1997"/>
      <c r="AU43" s="1997"/>
      <c r="AV43" s="1997"/>
      <c r="AW43" s="1997"/>
      <c r="AX43" s="1997"/>
      <c r="AY43" s="1997"/>
      <c r="AZ43" s="1997"/>
      <c r="BA43" s="1997"/>
      <c r="BB43" s="1997"/>
      <c r="BC43" s="1997"/>
      <c r="BD43" s="1997"/>
      <c r="BE43" s="1997"/>
      <c r="BF43" s="1997"/>
      <c r="BG43" s="1997"/>
      <c r="BH43" s="1997"/>
      <c r="BI43" s="1997"/>
      <c r="BJ43" s="1997"/>
      <c r="BK43" s="1997"/>
      <c r="BL43" s="1997"/>
      <c r="BM43" s="1997"/>
      <c r="BN43" s="1997"/>
      <c r="BO43" s="1997"/>
      <c r="BP43" s="1997"/>
      <c r="BQ43" s="1997"/>
      <c r="BR43" s="1997"/>
      <c r="BS43" s="1997"/>
      <c r="BT43" s="1997"/>
      <c r="BU43" s="1997"/>
      <c r="BV43" s="1997"/>
      <c r="BW43" s="1997"/>
      <c r="BX43" s="1997"/>
      <c r="BY43" s="1997"/>
      <c r="BZ43" s="1997"/>
      <c r="CA43" s="1997"/>
      <c r="CB43" s="1997"/>
      <c r="CC43" s="1997"/>
      <c r="CD43" s="1997"/>
      <c r="CE43" s="1997"/>
      <c r="CF43" s="1997"/>
      <c r="CG43" s="1997"/>
      <c r="CH43" s="1997"/>
      <c r="CI43" s="1997"/>
      <c r="CJ43" s="1997"/>
      <c r="CK43" s="1997"/>
      <c r="CL43" s="1997"/>
      <c r="CM43" s="1997"/>
      <c r="CN43" s="1997"/>
      <c r="CO43" s="1997"/>
      <c r="CP43" s="1997"/>
      <c r="CQ43" s="1997"/>
      <c r="CR43" s="1997"/>
      <c r="CS43" s="1997"/>
      <c r="CT43" s="1997"/>
      <c r="CU43" s="1997"/>
      <c r="CV43" s="1997"/>
      <c r="CW43" s="1997"/>
      <c r="CX43" s="1997"/>
      <c r="CY43" s="1997"/>
      <c r="CZ43" s="1997"/>
      <c r="DA43" s="1997"/>
      <c r="DB43" s="1997"/>
      <c r="DC43" s="1997"/>
      <c r="DD43" s="1997"/>
      <c r="DE43" s="1997"/>
      <c r="DF43" s="1997"/>
      <c r="DG43" s="1997"/>
      <c r="DH43" s="1997"/>
      <c r="DI43" s="1997"/>
      <c r="DJ43" s="1997"/>
      <c r="DK43" s="1997"/>
      <c r="DL43" s="1997"/>
      <c r="DM43" s="1997"/>
      <c r="DN43" s="1997"/>
      <c r="DO43" s="1997"/>
      <c r="DP43" s="1997"/>
      <c r="DQ43" s="1997"/>
      <c r="DR43" s="1997"/>
      <c r="DS43" s="1997"/>
      <c r="DT43" s="1997"/>
      <c r="DU43" s="1997"/>
      <c r="DV43" s="1997"/>
      <c r="DW43" s="1997"/>
      <c r="DX43" s="1997"/>
      <c r="DY43" s="1997"/>
      <c r="DZ43" s="1997"/>
      <c r="EA43" s="1997"/>
      <c r="EB43" s="1997"/>
      <c r="EC43" s="1997"/>
      <c r="ED43" s="1997"/>
      <c r="EE43" s="1997"/>
      <c r="EF43" s="1997"/>
      <c r="EG43" s="1997"/>
      <c r="EH43" s="1997"/>
      <c r="EI43" s="1997"/>
      <c r="EJ43" s="1997"/>
      <c r="EK43" s="1997"/>
      <c r="EL43" s="1997"/>
      <c r="EM43" s="1997"/>
      <c r="EN43" s="1997"/>
      <c r="EO43" s="1997"/>
      <c r="EP43" s="1997"/>
      <c r="EQ43" s="1997"/>
      <c r="ER43" s="1997"/>
      <c r="ES43" s="1997"/>
      <c r="ET43" s="1997"/>
      <c r="EU43" s="1997"/>
      <c r="EV43" s="1997"/>
      <c r="EW43" s="1997"/>
      <c r="EX43" s="1997"/>
      <c r="EY43" s="1997"/>
      <c r="EZ43" s="1997"/>
      <c r="FA43" s="1997"/>
      <c r="FB43" s="1997"/>
      <c r="FC43" s="1997"/>
      <c r="FD43" s="1997"/>
      <c r="FE43" s="1997"/>
      <c r="FF43" s="1997"/>
      <c r="FG43" s="1997"/>
      <c r="FH43" s="1997"/>
      <c r="FI43" s="1997"/>
      <c r="FJ43" s="1997"/>
      <c r="FK43" s="1997"/>
      <c r="FL43" s="1997"/>
      <c r="FM43" s="1997"/>
      <c r="FN43" s="1997"/>
      <c r="FO43" s="1997"/>
      <c r="FP43" s="1997"/>
      <c r="FQ43" s="1997"/>
      <c r="FR43" s="1997"/>
      <c r="FS43" s="1997"/>
      <c r="FT43" s="1997"/>
      <c r="FU43" s="1997"/>
      <c r="FV43" s="1997"/>
      <c r="FW43" s="1997"/>
      <c r="FX43" s="1997"/>
      <c r="FY43" s="1997"/>
      <c r="FZ43" s="1997"/>
      <c r="GA43" s="1997"/>
      <c r="GB43" s="1997"/>
      <c r="GC43" s="1997"/>
      <c r="GD43" s="1997"/>
      <c r="GE43" s="1997"/>
      <c r="GF43" s="1997"/>
      <c r="GG43" s="1997"/>
      <c r="GH43" s="1997"/>
      <c r="GI43" s="1997"/>
      <c r="GJ43" s="1997"/>
      <c r="GK43" s="1997"/>
      <c r="GL43" s="1997"/>
      <c r="GM43" s="1997"/>
      <c r="GN43" s="1997"/>
      <c r="GO43" s="1997"/>
      <c r="GP43" s="1997"/>
      <c r="GQ43" s="1997"/>
      <c r="GR43" s="1997"/>
      <c r="GS43" s="1997"/>
      <c r="GT43" s="1997"/>
      <c r="GU43" s="1997"/>
      <c r="GV43" s="1997"/>
      <c r="GW43" s="1997"/>
      <c r="GX43" s="1997"/>
      <c r="GY43" s="1997"/>
      <c r="GZ43" s="1997"/>
      <c r="HA43" s="1997"/>
      <c r="HB43" s="1997"/>
      <c r="HC43" s="1997"/>
      <c r="HD43" s="1997"/>
      <c r="HE43" s="1997"/>
      <c r="HF43" s="1997"/>
      <c r="HG43" s="1997"/>
      <c r="HH43" s="1997"/>
      <c r="HI43" s="1997"/>
      <c r="HJ43" s="1997"/>
      <c r="HK43" s="1997"/>
      <c r="HL43" s="1997"/>
      <c r="HM43" s="1997"/>
      <c r="HN43" s="1997"/>
      <c r="HO43" s="1997"/>
      <c r="HP43" s="1997"/>
      <c r="HQ43" s="1997"/>
      <c r="HR43" s="1997"/>
      <c r="HS43" s="1997"/>
      <c r="HT43" s="1997"/>
      <c r="HU43" s="1997"/>
      <c r="HV43" s="1997"/>
      <c r="HW43" s="1997"/>
      <c r="HX43" s="1997"/>
      <c r="HY43" s="1997"/>
      <c r="HZ43" s="1997"/>
      <c r="IA43" s="1997"/>
      <c r="IB43" s="1997"/>
      <c r="IC43" s="1997"/>
      <c r="ID43" s="1997"/>
      <c r="IE43" s="1997"/>
      <c r="IF43" s="1997"/>
      <c r="IG43" s="1997"/>
      <c r="IH43" s="1997"/>
      <c r="II43" s="1997"/>
      <c r="IJ43" s="1997"/>
      <c r="IK43" s="1997"/>
      <c r="IL43" s="1997"/>
      <c r="IM43" s="1997"/>
      <c r="IN43" s="1997"/>
      <c r="IO43" s="1997"/>
      <c r="IP43" s="1997"/>
      <c r="IQ43" s="1997"/>
    </row>
    <row r="44" spans="1:251" hidden="1">
      <c r="A44" s="1993"/>
      <c r="B44" s="1998"/>
      <c r="C44" s="1998"/>
      <c r="D44" s="2034"/>
      <c r="E44" s="1998"/>
      <c r="F44" s="1940">
        <f t="shared" si="14"/>
        <v>0</v>
      </c>
      <c r="G44" s="1993"/>
      <c r="H44" s="1940">
        <f t="shared" si="15"/>
        <v>0</v>
      </c>
      <c r="I44" s="1993"/>
      <c r="J44" s="1940">
        <f t="shared" si="5"/>
        <v>0</v>
      </c>
      <c r="K44" s="1993"/>
      <c r="L44" s="1940">
        <f t="shared" si="16"/>
        <v>0</v>
      </c>
      <c r="M44" s="1940">
        <f t="shared" si="17"/>
        <v>0</v>
      </c>
      <c r="N44" s="1940">
        <f t="shared" si="18"/>
        <v>0</v>
      </c>
      <c r="O44" s="1993"/>
      <c r="P44" s="1993"/>
      <c r="Q44" s="1940">
        <f t="shared" si="19"/>
        <v>0</v>
      </c>
      <c r="R44" s="1940">
        <f t="shared" si="9"/>
        <v>0</v>
      </c>
      <c r="S44" s="1940">
        <f t="shared" si="20"/>
        <v>0</v>
      </c>
      <c r="T44" s="1940">
        <f t="shared" si="21"/>
        <v>0</v>
      </c>
      <c r="U44" s="1940">
        <f t="shared" si="22"/>
        <v>0</v>
      </c>
      <c r="V44" s="1997"/>
      <c r="W44" s="1997"/>
      <c r="X44" s="1997"/>
      <c r="Y44" s="1997"/>
      <c r="Z44" s="1997"/>
      <c r="AA44" s="1997"/>
      <c r="AB44" s="1997"/>
      <c r="AC44" s="1997"/>
      <c r="AD44" s="1997"/>
      <c r="AE44" s="1997"/>
      <c r="AF44" s="1997"/>
      <c r="AG44" s="1997"/>
      <c r="AH44" s="1997"/>
      <c r="AI44" s="1997"/>
      <c r="AJ44" s="1997"/>
      <c r="AK44" s="1997"/>
      <c r="AL44" s="1997"/>
      <c r="AM44" s="1997"/>
      <c r="AN44" s="1997"/>
      <c r="AO44" s="1997"/>
      <c r="AP44" s="1997"/>
      <c r="AQ44" s="1997"/>
      <c r="AR44" s="1997"/>
      <c r="AS44" s="1997"/>
      <c r="AT44" s="1997"/>
      <c r="AU44" s="1997"/>
      <c r="AV44" s="1997"/>
      <c r="AW44" s="1997"/>
      <c r="AX44" s="1997"/>
      <c r="AY44" s="1997"/>
      <c r="AZ44" s="1997"/>
      <c r="BA44" s="1997"/>
      <c r="BB44" s="1997"/>
      <c r="BC44" s="1997"/>
      <c r="BD44" s="1997"/>
      <c r="BE44" s="1997"/>
      <c r="BF44" s="1997"/>
      <c r="BG44" s="1997"/>
      <c r="BH44" s="1997"/>
      <c r="BI44" s="1997"/>
      <c r="BJ44" s="1997"/>
      <c r="BK44" s="1997"/>
      <c r="BL44" s="1997"/>
      <c r="BM44" s="1997"/>
      <c r="BN44" s="1997"/>
      <c r="BO44" s="1997"/>
      <c r="BP44" s="1997"/>
      <c r="BQ44" s="1997"/>
      <c r="BR44" s="1997"/>
      <c r="BS44" s="1997"/>
      <c r="BT44" s="1997"/>
      <c r="BU44" s="1997"/>
      <c r="BV44" s="1997"/>
      <c r="BW44" s="1997"/>
      <c r="BX44" s="1997"/>
      <c r="BY44" s="1997"/>
      <c r="BZ44" s="1997"/>
      <c r="CA44" s="1997"/>
      <c r="CB44" s="1997"/>
      <c r="CC44" s="1997"/>
      <c r="CD44" s="1997"/>
      <c r="CE44" s="1997"/>
      <c r="CF44" s="1997"/>
      <c r="CG44" s="1997"/>
      <c r="CH44" s="1997"/>
      <c r="CI44" s="1997"/>
      <c r="CJ44" s="1997"/>
      <c r="CK44" s="1997"/>
      <c r="CL44" s="1997"/>
      <c r="CM44" s="1997"/>
      <c r="CN44" s="1997"/>
      <c r="CO44" s="1997"/>
      <c r="CP44" s="1997"/>
      <c r="CQ44" s="1997"/>
      <c r="CR44" s="1997"/>
      <c r="CS44" s="1997"/>
      <c r="CT44" s="1997"/>
      <c r="CU44" s="1997"/>
      <c r="CV44" s="1997"/>
      <c r="CW44" s="1997"/>
      <c r="CX44" s="1997"/>
      <c r="CY44" s="1997"/>
      <c r="CZ44" s="1997"/>
      <c r="DA44" s="1997"/>
      <c r="DB44" s="1997"/>
      <c r="DC44" s="1997"/>
      <c r="DD44" s="1997"/>
      <c r="DE44" s="1997"/>
      <c r="DF44" s="1997"/>
      <c r="DG44" s="1997"/>
      <c r="DH44" s="1997"/>
      <c r="DI44" s="1997"/>
      <c r="DJ44" s="1997"/>
      <c r="DK44" s="1997"/>
      <c r="DL44" s="1997"/>
      <c r="DM44" s="1997"/>
      <c r="DN44" s="1997"/>
      <c r="DO44" s="1997"/>
      <c r="DP44" s="1997"/>
      <c r="DQ44" s="1997"/>
      <c r="DR44" s="1997"/>
      <c r="DS44" s="1997"/>
      <c r="DT44" s="1997"/>
      <c r="DU44" s="1997"/>
      <c r="DV44" s="1997"/>
      <c r="DW44" s="1997"/>
      <c r="DX44" s="1997"/>
      <c r="DY44" s="1997"/>
      <c r="DZ44" s="1997"/>
      <c r="EA44" s="1997"/>
      <c r="EB44" s="1997"/>
      <c r="EC44" s="1997"/>
      <c r="ED44" s="1997"/>
      <c r="EE44" s="1997"/>
      <c r="EF44" s="1997"/>
      <c r="EG44" s="1997"/>
      <c r="EH44" s="1997"/>
      <c r="EI44" s="1997"/>
      <c r="EJ44" s="1997"/>
      <c r="EK44" s="1997"/>
      <c r="EL44" s="1997"/>
      <c r="EM44" s="1997"/>
      <c r="EN44" s="1997"/>
      <c r="EO44" s="1997"/>
      <c r="EP44" s="1997"/>
      <c r="EQ44" s="1997"/>
      <c r="ER44" s="1997"/>
      <c r="ES44" s="1997"/>
      <c r="ET44" s="1997"/>
      <c r="EU44" s="1997"/>
      <c r="EV44" s="1997"/>
      <c r="EW44" s="1997"/>
      <c r="EX44" s="1997"/>
      <c r="EY44" s="1997"/>
      <c r="EZ44" s="1997"/>
      <c r="FA44" s="1997"/>
      <c r="FB44" s="1997"/>
      <c r="FC44" s="1997"/>
      <c r="FD44" s="1997"/>
      <c r="FE44" s="1997"/>
      <c r="FF44" s="1997"/>
      <c r="FG44" s="1997"/>
      <c r="FH44" s="1997"/>
      <c r="FI44" s="1997"/>
      <c r="FJ44" s="1997"/>
      <c r="FK44" s="1997"/>
      <c r="FL44" s="1997"/>
      <c r="FM44" s="1997"/>
      <c r="FN44" s="1997"/>
      <c r="FO44" s="1997"/>
      <c r="FP44" s="1997"/>
      <c r="FQ44" s="1997"/>
      <c r="FR44" s="1997"/>
      <c r="FS44" s="1997"/>
      <c r="FT44" s="1997"/>
      <c r="FU44" s="1997"/>
      <c r="FV44" s="1997"/>
      <c r="FW44" s="1997"/>
      <c r="FX44" s="1997"/>
      <c r="FY44" s="1997"/>
      <c r="FZ44" s="1997"/>
      <c r="GA44" s="1997"/>
      <c r="GB44" s="1997"/>
      <c r="GC44" s="1997"/>
      <c r="GD44" s="1997"/>
      <c r="GE44" s="1997"/>
      <c r="GF44" s="1997"/>
      <c r="GG44" s="1997"/>
      <c r="GH44" s="1997"/>
      <c r="GI44" s="1997"/>
      <c r="GJ44" s="1997"/>
      <c r="GK44" s="1997"/>
      <c r="GL44" s="1997"/>
      <c r="GM44" s="1997"/>
      <c r="GN44" s="1997"/>
      <c r="GO44" s="1997"/>
      <c r="GP44" s="1997"/>
      <c r="GQ44" s="1997"/>
      <c r="GR44" s="1997"/>
      <c r="GS44" s="1997"/>
      <c r="GT44" s="1997"/>
      <c r="GU44" s="1997"/>
      <c r="GV44" s="1997"/>
      <c r="GW44" s="1997"/>
      <c r="GX44" s="1997"/>
      <c r="GY44" s="1997"/>
      <c r="GZ44" s="1997"/>
      <c r="HA44" s="1997"/>
      <c r="HB44" s="1997"/>
      <c r="HC44" s="1997"/>
      <c r="HD44" s="1997"/>
      <c r="HE44" s="1997"/>
      <c r="HF44" s="1997"/>
      <c r="HG44" s="1997"/>
      <c r="HH44" s="1997"/>
      <c r="HI44" s="1997"/>
      <c r="HJ44" s="1997"/>
      <c r="HK44" s="1997"/>
      <c r="HL44" s="1997"/>
      <c r="HM44" s="1997"/>
      <c r="HN44" s="1997"/>
      <c r="HO44" s="1997"/>
      <c r="HP44" s="1997"/>
      <c r="HQ44" s="1997"/>
      <c r="HR44" s="1997"/>
      <c r="HS44" s="1997"/>
      <c r="HT44" s="1997"/>
      <c r="HU44" s="1997"/>
      <c r="HV44" s="1997"/>
      <c r="HW44" s="1997"/>
      <c r="HX44" s="1997"/>
      <c r="HY44" s="1997"/>
      <c r="HZ44" s="1997"/>
      <c r="IA44" s="1997"/>
      <c r="IB44" s="1997"/>
      <c r="IC44" s="1997"/>
      <c r="ID44" s="1997"/>
      <c r="IE44" s="1997"/>
      <c r="IF44" s="1997"/>
      <c r="IG44" s="1997"/>
      <c r="IH44" s="1997"/>
      <c r="II44" s="1997"/>
      <c r="IJ44" s="1997"/>
      <c r="IK44" s="1997"/>
      <c r="IL44" s="1997"/>
      <c r="IM44" s="1997"/>
      <c r="IN44" s="1997"/>
      <c r="IO44" s="1997"/>
      <c r="IP44" s="1997"/>
      <c r="IQ44" s="1997"/>
    </row>
    <row r="45" spans="1:251" hidden="1">
      <c r="A45" s="1993"/>
      <c r="B45" s="1998"/>
      <c r="C45" s="1998"/>
      <c r="D45" s="2034"/>
      <c r="E45" s="1998"/>
      <c r="F45" s="1940">
        <f t="shared" si="14"/>
        <v>0</v>
      </c>
      <c r="G45" s="1993"/>
      <c r="H45" s="1940">
        <f t="shared" si="15"/>
        <v>0</v>
      </c>
      <c r="I45" s="1993"/>
      <c r="J45" s="1940">
        <f t="shared" si="5"/>
        <v>0</v>
      </c>
      <c r="K45" s="1993"/>
      <c r="L45" s="1940">
        <f t="shared" si="16"/>
        <v>0</v>
      </c>
      <c r="M45" s="1940">
        <f t="shared" si="17"/>
        <v>0</v>
      </c>
      <c r="N45" s="1940">
        <f t="shared" si="18"/>
        <v>0</v>
      </c>
      <c r="O45" s="1993"/>
      <c r="P45" s="1993"/>
      <c r="Q45" s="1940">
        <f t="shared" si="19"/>
        <v>0</v>
      </c>
      <c r="R45" s="1940">
        <f t="shared" si="9"/>
        <v>0</v>
      </c>
      <c r="S45" s="1940">
        <f t="shared" si="20"/>
        <v>0</v>
      </c>
      <c r="T45" s="1940">
        <f t="shared" si="21"/>
        <v>0</v>
      </c>
      <c r="U45" s="1940">
        <f t="shared" si="22"/>
        <v>0</v>
      </c>
      <c r="V45" s="1997"/>
      <c r="W45" s="1997"/>
      <c r="X45" s="1997"/>
      <c r="Y45" s="1997"/>
      <c r="Z45" s="1997"/>
      <c r="AA45" s="1997"/>
      <c r="AB45" s="1997"/>
      <c r="AC45" s="1997"/>
      <c r="AD45" s="1997"/>
      <c r="AE45" s="1997"/>
      <c r="AF45" s="1997"/>
      <c r="AG45" s="1997"/>
      <c r="AH45" s="1997"/>
      <c r="AI45" s="1997"/>
      <c r="AJ45" s="1997"/>
      <c r="AK45" s="1997"/>
      <c r="AL45" s="1997"/>
      <c r="AM45" s="1997"/>
      <c r="AN45" s="1997"/>
      <c r="AO45" s="1997"/>
      <c r="AP45" s="1997"/>
      <c r="AQ45" s="1997"/>
      <c r="AR45" s="1997"/>
      <c r="AS45" s="1997"/>
      <c r="AT45" s="1997"/>
      <c r="AU45" s="1997"/>
      <c r="AV45" s="1997"/>
      <c r="AW45" s="1997"/>
      <c r="AX45" s="1997"/>
      <c r="AY45" s="1997"/>
      <c r="AZ45" s="1997"/>
      <c r="BA45" s="1997"/>
      <c r="BB45" s="1997"/>
      <c r="BC45" s="1997"/>
      <c r="BD45" s="1997"/>
      <c r="BE45" s="1997"/>
      <c r="BF45" s="1997"/>
      <c r="BG45" s="1997"/>
      <c r="BH45" s="1997"/>
      <c r="BI45" s="1997"/>
      <c r="BJ45" s="1997"/>
      <c r="BK45" s="1997"/>
      <c r="BL45" s="1997"/>
      <c r="BM45" s="1997"/>
      <c r="BN45" s="1997"/>
      <c r="BO45" s="1997"/>
      <c r="BP45" s="1997"/>
      <c r="BQ45" s="1997"/>
      <c r="BR45" s="1997"/>
      <c r="BS45" s="1997"/>
      <c r="BT45" s="1997"/>
      <c r="BU45" s="1997"/>
      <c r="BV45" s="1997"/>
      <c r="BW45" s="1997"/>
      <c r="BX45" s="1997"/>
      <c r="BY45" s="1997"/>
      <c r="BZ45" s="1997"/>
      <c r="CA45" s="1997"/>
      <c r="CB45" s="1997"/>
      <c r="CC45" s="1997"/>
      <c r="CD45" s="1997"/>
      <c r="CE45" s="1997"/>
      <c r="CF45" s="1997"/>
      <c r="CG45" s="1997"/>
      <c r="CH45" s="1997"/>
      <c r="CI45" s="1997"/>
      <c r="CJ45" s="1997"/>
      <c r="CK45" s="1997"/>
      <c r="CL45" s="1997"/>
      <c r="CM45" s="1997"/>
      <c r="CN45" s="1997"/>
      <c r="CO45" s="1997"/>
      <c r="CP45" s="1997"/>
      <c r="CQ45" s="1997"/>
      <c r="CR45" s="1997"/>
      <c r="CS45" s="1997"/>
      <c r="CT45" s="1997"/>
      <c r="CU45" s="1997"/>
      <c r="CV45" s="1997"/>
      <c r="CW45" s="1997"/>
      <c r="CX45" s="1997"/>
      <c r="CY45" s="1997"/>
      <c r="CZ45" s="1997"/>
      <c r="DA45" s="1997"/>
      <c r="DB45" s="1997"/>
      <c r="DC45" s="1997"/>
      <c r="DD45" s="1997"/>
      <c r="DE45" s="1997"/>
      <c r="DF45" s="1997"/>
      <c r="DG45" s="1997"/>
      <c r="DH45" s="1997"/>
      <c r="DI45" s="1997"/>
      <c r="DJ45" s="1997"/>
      <c r="DK45" s="1997"/>
      <c r="DL45" s="1997"/>
      <c r="DM45" s="1997"/>
      <c r="DN45" s="1997"/>
      <c r="DO45" s="1997"/>
      <c r="DP45" s="1997"/>
      <c r="DQ45" s="1997"/>
      <c r="DR45" s="1997"/>
      <c r="DS45" s="1997"/>
      <c r="DT45" s="1997"/>
      <c r="DU45" s="1997"/>
      <c r="DV45" s="1997"/>
      <c r="DW45" s="1997"/>
      <c r="DX45" s="1997"/>
      <c r="DY45" s="1997"/>
      <c r="DZ45" s="1997"/>
      <c r="EA45" s="1997"/>
      <c r="EB45" s="1997"/>
      <c r="EC45" s="1997"/>
      <c r="ED45" s="1997"/>
      <c r="EE45" s="1997"/>
      <c r="EF45" s="1997"/>
      <c r="EG45" s="1997"/>
      <c r="EH45" s="1997"/>
      <c r="EI45" s="1997"/>
      <c r="EJ45" s="1997"/>
      <c r="EK45" s="1997"/>
      <c r="EL45" s="1997"/>
      <c r="EM45" s="1997"/>
      <c r="EN45" s="1997"/>
      <c r="EO45" s="1997"/>
      <c r="EP45" s="1997"/>
      <c r="EQ45" s="1997"/>
      <c r="ER45" s="1997"/>
      <c r="ES45" s="1997"/>
      <c r="ET45" s="1997"/>
      <c r="EU45" s="1997"/>
      <c r="EV45" s="1997"/>
      <c r="EW45" s="1997"/>
      <c r="EX45" s="1997"/>
      <c r="EY45" s="1997"/>
      <c r="EZ45" s="1997"/>
      <c r="FA45" s="1997"/>
      <c r="FB45" s="1997"/>
      <c r="FC45" s="1997"/>
      <c r="FD45" s="1997"/>
      <c r="FE45" s="1997"/>
      <c r="FF45" s="1997"/>
      <c r="FG45" s="1997"/>
      <c r="FH45" s="1997"/>
      <c r="FI45" s="1997"/>
      <c r="FJ45" s="1997"/>
      <c r="FK45" s="1997"/>
      <c r="FL45" s="1997"/>
      <c r="FM45" s="1997"/>
      <c r="FN45" s="1997"/>
      <c r="FO45" s="1997"/>
      <c r="FP45" s="1997"/>
      <c r="FQ45" s="1997"/>
      <c r="FR45" s="1997"/>
      <c r="FS45" s="1997"/>
      <c r="FT45" s="1997"/>
      <c r="FU45" s="1997"/>
      <c r="FV45" s="1997"/>
      <c r="FW45" s="1997"/>
      <c r="FX45" s="1997"/>
      <c r="FY45" s="1997"/>
      <c r="FZ45" s="1997"/>
      <c r="GA45" s="1997"/>
      <c r="GB45" s="1997"/>
      <c r="GC45" s="1997"/>
      <c r="GD45" s="1997"/>
      <c r="GE45" s="1997"/>
      <c r="GF45" s="1997"/>
      <c r="GG45" s="1997"/>
      <c r="GH45" s="1997"/>
      <c r="GI45" s="1997"/>
      <c r="GJ45" s="1997"/>
      <c r="GK45" s="1997"/>
      <c r="GL45" s="1997"/>
      <c r="GM45" s="1997"/>
      <c r="GN45" s="1997"/>
      <c r="GO45" s="1997"/>
      <c r="GP45" s="1997"/>
      <c r="GQ45" s="1997"/>
      <c r="GR45" s="1997"/>
      <c r="GS45" s="1997"/>
      <c r="GT45" s="1997"/>
      <c r="GU45" s="1997"/>
      <c r="GV45" s="1997"/>
      <c r="GW45" s="1997"/>
      <c r="GX45" s="1997"/>
      <c r="GY45" s="1997"/>
      <c r="GZ45" s="1997"/>
      <c r="HA45" s="1997"/>
      <c r="HB45" s="1997"/>
      <c r="HC45" s="1997"/>
      <c r="HD45" s="1997"/>
      <c r="HE45" s="1997"/>
      <c r="HF45" s="1997"/>
      <c r="HG45" s="1997"/>
      <c r="HH45" s="1997"/>
      <c r="HI45" s="1997"/>
      <c r="HJ45" s="1997"/>
      <c r="HK45" s="1997"/>
      <c r="HL45" s="1997"/>
      <c r="HM45" s="1997"/>
      <c r="HN45" s="1997"/>
      <c r="HO45" s="1997"/>
      <c r="HP45" s="1997"/>
      <c r="HQ45" s="1997"/>
      <c r="HR45" s="1997"/>
      <c r="HS45" s="1997"/>
      <c r="HT45" s="1997"/>
      <c r="HU45" s="1997"/>
      <c r="HV45" s="1997"/>
      <c r="HW45" s="1997"/>
      <c r="HX45" s="1997"/>
      <c r="HY45" s="1997"/>
      <c r="HZ45" s="1997"/>
      <c r="IA45" s="1997"/>
      <c r="IB45" s="1997"/>
      <c r="IC45" s="1997"/>
      <c r="ID45" s="1997"/>
      <c r="IE45" s="1997"/>
      <c r="IF45" s="1997"/>
      <c r="IG45" s="1997"/>
      <c r="IH45" s="1997"/>
      <c r="II45" s="1997"/>
      <c r="IJ45" s="1997"/>
      <c r="IK45" s="1997"/>
      <c r="IL45" s="1997"/>
      <c r="IM45" s="1997"/>
      <c r="IN45" s="1997"/>
      <c r="IO45" s="1997"/>
      <c r="IP45" s="1997"/>
      <c r="IQ45" s="1997"/>
    </row>
    <row r="46" spans="1:251" hidden="1">
      <c r="A46" s="1993"/>
      <c r="B46" s="1998"/>
      <c r="C46" s="1998"/>
      <c r="D46" s="2034"/>
      <c r="E46" s="1998"/>
      <c r="F46" s="1940">
        <f t="shared" si="14"/>
        <v>0</v>
      </c>
      <c r="G46" s="1993"/>
      <c r="H46" s="1940">
        <f t="shared" si="15"/>
        <v>0</v>
      </c>
      <c r="I46" s="1993"/>
      <c r="J46" s="1940">
        <f t="shared" si="5"/>
        <v>0</v>
      </c>
      <c r="K46" s="1993"/>
      <c r="L46" s="1940">
        <f t="shared" si="16"/>
        <v>0</v>
      </c>
      <c r="M46" s="1940">
        <f t="shared" si="17"/>
        <v>0</v>
      </c>
      <c r="N46" s="1940">
        <f t="shared" si="18"/>
        <v>0</v>
      </c>
      <c r="O46" s="1993"/>
      <c r="P46" s="1993"/>
      <c r="Q46" s="1940">
        <f t="shared" si="19"/>
        <v>0</v>
      </c>
      <c r="R46" s="1940">
        <f t="shared" si="9"/>
        <v>0</v>
      </c>
      <c r="S46" s="1940">
        <f t="shared" si="20"/>
        <v>0</v>
      </c>
      <c r="T46" s="1940">
        <f t="shared" si="21"/>
        <v>0</v>
      </c>
      <c r="U46" s="1940">
        <f t="shared" si="22"/>
        <v>0</v>
      </c>
      <c r="V46" s="1997"/>
      <c r="W46" s="1997"/>
      <c r="X46" s="1997"/>
      <c r="Y46" s="1997"/>
      <c r="Z46" s="1997"/>
      <c r="AA46" s="1997"/>
      <c r="AB46" s="1997"/>
      <c r="AC46" s="1997"/>
      <c r="AD46" s="1997"/>
      <c r="AE46" s="1997"/>
      <c r="AF46" s="1997"/>
      <c r="AG46" s="1997"/>
      <c r="AH46" s="1997"/>
      <c r="AI46" s="1997"/>
      <c r="AJ46" s="1997"/>
      <c r="AK46" s="1997"/>
      <c r="AL46" s="1997"/>
      <c r="AM46" s="1997"/>
      <c r="AN46" s="1997"/>
      <c r="AO46" s="1997"/>
      <c r="AP46" s="1997"/>
      <c r="AQ46" s="1997"/>
      <c r="AR46" s="1997"/>
      <c r="AS46" s="1997"/>
      <c r="AT46" s="1997"/>
      <c r="AU46" s="1997"/>
      <c r="AV46" s="1997"/>
      <c r="AW46" s="1997"/>
      <c r="AX46" s="1997"/>
      <c r="AY46" s="1997"/>
      <c r="AZ46" s="1997"/>
      <c r="BA46" s="1997"/>
      <c r="BB46" s="1997"/>
      <c r="BC46" s="1997"/>
      <c r="BD46" s="1997"/>
      <c r="BE46" s="1997"/>
      <c r="BF46" s="1997"/>
      <c r="BG46" s="1997"/>
      <c r="BH46" s="1997"/>
      <c r="BI46" s="1997"/>
      <c r="BJ46" s="1997"/>
      <c r="BK46" s="1997"/>
      <c r="BL46" s="1997"/>
      <c r="BM46" s="1997"/>
      <c r="BN46" s="1997"/>
      <c r="BO46" s="1997"/>
      <c r="BP46" s="1997"/>
      <c r="BQ46" s="1997"/>
      <c r="BR46" s="1997"/>
      <c r="BS46" s="1997"/>
      <c r="BT46" s="1997"/>
      <c r="BU46" s="1997"/>
      <c r="BV46" s="1997"/>
      <c r="BW46" s="1997"/>
      <c r="BX46" s="1997"/>
      <c r="BY46" s="1997"/>
      <c r="BZ46" s="1997"/>
      <c r="CA46" s="1997"/>
      <c r="CB46" s="1997"/>
      <c r="CC46" s="1997"/>
      <c r="CD46" s="1997"/>
      <c r="CE46" s="1997"/>
      <c r="CF46" s="1997"/>
      <c r="CG46" s="1997"/>
      <c r="CH46" s="1997"/>
      <c r="CI46" s="1997"/>
      <c r="CJ46" s="1997"/>
      <c r="CK46" s="1997"/>
      <c r="CL46" s="1997"/>
      <c r="CM46" s="1997"/>
      <c r="CN46" s="1997"/>
      <c r="CO46" s="1997"/>
      <c r="CP46" s="1997"/>
      <c r="CQ46" s="1997"/>
      <c r="CR46" s="1997"/>
      <c r="CS46" s="1997"/>
      <c r="CT46" s="1997"/>
      <c r="CU46" s="1997"/>
      <c r="CV46" s="1997"/>
      <c r="CW46" s="1997"/>
      <c r="CX46" s="1997"/>
      <c r="CY46" s="1997"/>
      <c r="CZ46" s="1997"/>
      <c r="DA46" s="1997"/>
      <c r="DB46" s="1997"/>
      <c r="DC46" s="1997"/>
      <c r="DD46" s="1997"/>
      <c r="DE46" s="1997"/>
      <c r="DF46" s="1997"/>
      <c r="DG46" s="1997"/>
      <c r="DH46" s="1997"/>
      <c r="DI46" s="1997"/>
      <c r="DJ46" s="1997"/>
      <c r="DK46" s="1997"/>
      <c r="DL46" s="1997"/>
      <c r="DM46" s="1997"/>
      <c r="DN46" s="1997"/>
      <c r="DO46" s="1997"/>
      <c r="DP46" s="1997"/>
      <c r="DQ46" s="1997"/>
      <c r="DR46" s="1997"/>
      <c r="DS46" s="1997"/>
      <c r="DT46" s="1997"/>
      <c r="DU46" s="1997"/>
      <c r="DV46" s="1997"/>
      <c r="DW46" s="1997"/>
      <c r="DX46" s="1997"/>
      <c r="DY46" s="1997"/>
      <c r="DZ46" s="1997"/>
      <c r="EA46" s="1997"/>
      <c r="EB46" s="1997"/>
      <c r="EC46" s="1997"/>
      <c r="ED46" s="1997"/>
      <c r="EE46" s="1997"/>
      <c r="EF46" s="1997"/>
      <c r="EG46" s="1997"/>
      <c r="EH46" s="1997"/>
      <c r="EI46" s="1997"/>
      <c r="EJ46" s="1997"/>
      <c r="EK46" s="1997"/>
      <c r="EL46" s="1997"/>
      <c r="EM46" s="1997"/>
      <c r="EN46" s="1997"/>
      <c r="EO46" s="1997"/>
      <c r="EP46" s="1997"/>
      <c r="EQ46" s="1997"/>
      <c r="ER46" s="1997"/>
      <c r="ES46" s="1997"/>
      <c r="ET46" s="1997"/>
      <c r="EU46" s="1997"/>
      <c r="EV46" s="1997"/>
      <c r="EW46" s="1997"/>
      <c r="EX46" s="1997"/>
      <c r="EY46" s="1997"/>
      <c r="EZ46" s="1997"/>
      <c r="FA46" s="1997"/>
      <c r="FB46" s="1997"/>
      <c r="FC46" s="1997"/>
      <c r="FD46" s="1997"/>
      <c r="FE46" s="1997"/>
      <c r="FF46" s="1997"/>
      <c r="FG46" s="1997"/>
      <c r="FH46" s="1997"/>
      <c r="FI46" s="1997"/>
      <c r="FJ46" s="1997"/>
      <c r="FK46" s="1997"/>
      <c r="FL46" s="1997"/>
      <c r="FM46" s="1997"/>
      <c r="FN46" s="1997"/>
      <c r="FO46" s="1997"/>
      <c r="FP46" s="1997"/>
      <c r="FQ46" s="1997"/>
      <c r="FR46" s="1997"/>
      <c r="FS46" s="1997"/>
      <c r="FT46" s="1997"/>
      <c r="FU46" s="1997"/>
      <c r="FV46" s="1997"/>
      <c r="FW46" s="1997"/>
      <c r="FX46" s="1997"/>
      <c r="FY46" s="1997"/>
      <c r="FZ46" s="1997"/>
      <c r="GA46" s="1997"/>
      <c r="GB46" s="1997"/>
      <c r="GC46" s="1997"/>
      <c r="GD46" s="1997"/>
      <c r="GE46" s="1997"/>
      <c r="GF46" s="1997"/>
      <c r="GG46" s="1997"/>
      <c r="GH46" s="1997"/>
      <c r="GI46" s="1997"/>
      <c r="GJ46" s="1997"/>
      <c r="GK46" s="1997"/>
      <c r="GL46" s="1997"/>
      <c r="GM46" s="1997"/>
      <c r="GN46" s="1997"/>
      <c r="GO46" s="1997"/>
      <c r="GP46" s="1997"/>
      <c r="GQ46" s="1997"/>
      <c r="GR46" s="1997"/>
      <c r="GS46" s="1997"/>
      <c r="GT46" s="1997"/>
      <c r="GU46" s="1997"/>
      <c r="GV46" s="1997"/>
      <c r="GW46" s="1997"/>
      <c r="GX46" s="1997"/>
      <c r="GY46" s="1997"/>
      <c r="GZ46" s="1997"/>
      <c r="HA46" s="1997"/>
      <c r="HB46" s="1997"/>
      <c r="HC46" s="1997"/>
      <c r="HD46" s="1997"/>
      <c r="HE46" s="1997"/>
      <c r="HF46" s="1997"/>
      <c r="HG46" s="1997"/>
      <c r="HH46" s="1997"/>
      <c r="HI46" s="1997"/>
      <c r="HJ46" s="1997"/>
      <c r="HK46" s="1997"/>
      <c r="HL46" s="1997"/>
      <c r="HM46" s="1997"/>
      <c r="HN46" s="1997"/>
      <c r="HO46" s="1997"/>
      <c r="HP46" s="1997"/>
      <c r="HQ46" s="1997"/>
      <c r="HR46" s="1997"/>
      <c r="HS46" s="1997"/>
      <c r="HT46" s="1997"/>
      <c r="HU46" s="1997"/>
      <c r="HV46" s="1997"/>
      <c r="HW46" s="1997"/>
      <c r="HX46" s="1997"/>
      <c r="HY46" s="1997"/>
      <c r="HZ46" s="1997"/>
      <c r="IA46" s="1997"/>
      <c r="IB46" s="1997"/>
      <c r="IC46" s="1997"/>
      <c r="ID46" s="1997"/>
      <c r="IE46" s="1997"/>
      <c r="IF46" s="1997"/>
      <c r="IG46" s="1997"/>
      <c r="IH46" s="1997"/>
      <c r="II46" s="1997"/>
      <c r="IJ46" s="1997"/>
      <c r="IK46" s="1997"/>
      <c r="IL46" s="1997"/>
      <c r="IM46" s="1997"/>
      <c r="IN46" s="1997"/>
      <c r="IO46" s="1997"/>
      <c r="IP46" s="1997"/>
      <c r="IQ46" s="1997"/>
    </row>
    <row r="47" spans="1:251" hidden="1">
      <c r="A47" s="1993"/>
      <c r="B47" s="1998"/>
      <c r="C47" s="1998"/>
      <c r="D47" s="2034"/>
      <c r="E47" s="1998"/>
      <c r="F47" s="1940">
        <f>ROUNDUP((E47*$Q$5),-3)</f>
        <v>0</v>
      </c>
      <c r="G47" s="1993"/>
      <c r="H47" s="1940">
        <f>D47*F47*G47</f>
        <v>0</v>
      </c>
      <c r="I47" s="1993"/>
      <c r="J47" s="1940">
        <f>I47*$Q$4</f>
        <v>0</v>
      </c>
      <c r="K47" s="1993"/>
      <c r="L47" s="1940">
        <f>K47*F47</f>
        <v>0</v>
      </c>
      <c r="M47" s="1940">
        <f>D47*G47*(J47+L47)</f>
        <v>0</v>
      </c>
      <c r="N47" s="1940">
        <f>H47+M47</f>
        <v>0</v>
      </c>
      <c r="O47" s="1993"/>
      <c r="P47" s="1993"/>
      <c r="Q47" s="1940">
        <f>N47+O47+P47</f>
        <v>0</v>
      </c>
      <c r="R47" s="1940">
        <f>Q47*10%</f>
        <v>0</v>
      </c>
      <c r="S47" s="1940">
        <f>(Q47-R47)*10%</f>
        <v>0</v>
      </c>
      <c r="T47" s="1940">
        <f>(Q47-R47)*6%</f>
        <v>0</v>
      </c>
      <c r="U47" s="1940">
        <f>(Q47-R47)*5%</f>
        <v>0</v>
      </c>
      <c r="V47" s="1997"/>
      <c r="W47" s="1997"/>
      <c r="X47" s="1997"/>
      <c r="Y47" s="1997"/>
      <c r="Z47" s="1997"/>
      <c r="AA47" s="1997"/>
      <c r="AB47" s="1997"/>
      <c r="AC47" s="1997"/>
      <c r="AD47" s="1997"/>
      <c r="AE47" s="1997"/>
      <c r="AF47" s="1997"/>
      <c r="AG47" s="1997"/>
      <c r="AH47" s="1997"/>
      <c r="AI47" s="1997"/>
      <c r="AJ47" s="1997"/>
      <c r="AK47" s="1997"/>
      <c r="AL47" s="1997"/>
      <c r="AM47" s="1997"/>
      <c r="AN47" s="1997"/>
      <c r="AO47" s="1997"/>
      <c r="AP47" s="1997"/>
      <c r="AQ47" s="1997"/>
      <c r="AR47" s="1997"/>
      <c r="AS47" s="1997"/>
      <c r="AT47" s="1997"/>
      <c r="AU47" s="1997"/>
      <c r="AV47" s="1997"/>
      <c r="AW47" s="1997"/>
      <c r="AX47" s="1997"/>
      <c r="AY47" s="1997"/>
      <c r="AZ47" s="1997"/>
      <c r="BA47" s="1997"/>
      <c r="BB47" s="1997"/>
      <c r="BC47" s="1997"/>
      <c r="BD47" s="1997"/>
      <c r="BE47" s="1997"/>
      <c r="BF47" s="1997"/>
      <c r="BG47" s="1997"/>
      <c r="BH47" s="1997"/>
      <c r="BI47" s="1997"/>
      <c r="BJ47" s="1997"/>
      <c r="BK47" s="1997"/>
      <c r="BL47" s="1997"/>
      <c r="BM47" s="1997"/>
      <c r="BN47" s="1997"/>
      <c r="BO47" s="1997"/>
      <c r="BP47" s="1997"/>
      <c r="BQ47" s="1997"/>
      <c r="BR47" s="1997"/>
      <c r="BS47" s="1997"/>
      <c r="BT47" s="1997"/>
      <c r="BU47" s="1997"/>
      <c r="BV47" s="1997"/>
      <c r="BW47" s="1997"/>
      <c r="BX47" s="1997"/>
      <c r="BY47" s="1997"/>
      <c r="BZ47" s="1997"/>
      <c r="CA47" s="1997"/>
      <c r="CB47" s="1997"/>
      <c r="CC47" s="1997"/>
      <c r="CD47" s="1997"/>
      <c r="CE47" s="1997"/>
      <c r="CF47" s="1997"/>
      <c r="CG47" s="1997"/>
      <c r="CH47" s="1997"/>
      <c r="CI47" s="1997"/>
      <c r="CJ47" s="1997"/>
      <c r="CK47" s="1997"/>
      <c r="CL47" s="1997"/>
      <c r="CM47" s="1997"/>
      <c r="CN47" s="1997"/>
      <c r="CO47" s="1997"/>
      <c r="CP47" s="1997"/>
      <c r="CQ47" s="1997"/>
      <c r="CR47" s="1997"/>
      <c r="CS47" s="1997"/>
      <c r="CT47" s="1997"/>
      <c r="CU47" s="1997"/>
      <c r="CV47" s="1997"/>
      <c r="CW47" s="1997"/>
      <c r="CX47" s="1997"/>
      <c r="CY47" s="1997"/>
      <c r="CZ47" s="1997"/>
      <c r="DA47" s="1997"/>
      <c r="DB47" s="1997"/>
      <c r="DC47" s="1997"/>
      <c r="DD47" s="1997"/>
      <c r="DE47" s="1997"/>
      <c r="DF47" s="1997"/>
      <c r="DG47" s="1997"/>
      <c r="DH47" s="1997"/>
      <c r="DI47" s="1997"/>
      <c r="DJ47" s="1997"/>
      <c r="DK47" s="1997"/>
      <c r="DL47" s="1997"/>
      <c r="DM47" s="1997"/>
      <c r="DN47" s="1997"/>
      <c r="DO47" s="1997"/>
      <c r="DP47" s="1997"/>
      <c r="DQ47" s="1997"/>
      <c r="DR47" s="1997"/>
      <c r="DS47" s="1997"/>
      <c r="DT47" s="1997"/>
      <c r="DU47" s="1997"/>
      <c r="DV47" s="1997"/>
      <c r="DW47" s="1997"/>
      <c r="DX47" s="1997"/>
      <c r="DY47" s="1997"/>
      <c r="DZ47" s="1997"/>
      <c r="EA47" s="1997"/>
      <c r="EB47" s="1997"/>
      <c r="EC47" s="1997"/>
      <c r="ED47" s="1997"/>
      <c r="EE47" s="1997"/>
      <c r="EF47" s="1997"/>
      <c r="EG47" s="1997"/>
      <c r="EH47" s="1997"/>
      <c r="EI47" s="1997"/>
      <c r="EJ47" s="1997"/>
      <c r="EK47" s="1997"/>
      <c r="EL47" s="1997"/>
      <c r="EM47" s="1997"/>
      <c r="EN47" s="1997"/>
      <c r="EO47" s="1997"/>
      <c r="EP47" s="1997"/>
      <c r="EQ47" s="1997"/>
      <c r="ER47" s="1997"/>
      <c r="ES47" s="1997"/>
      <c r="ET47" s="1997"/>
      <c r="EU47" s="1997"/>
      <c r="EV47" s="1997"/>
      <c r="EW47" s="1997"/>
      <c r="EX47" s="1997"/>
      <c r="EY47" s="1997"/>
      <c r="EZ47" s="1997"/>
      <c r="FA47" s="1997"/>
      <c r="FB47" s="1997"/>
      <c r="FC47" s="1997"/>
      <c r="FD47" s="1997"/>
      <c r="FE47" s="1997"/>
      <c r="FF47" s="1997"/>
      <c r="FG47" s="1997"/>
      <c r="FH47" s="1997"/>
      <c r="FI47" s="1997"/>
      <c r="FJ47" s="1997"/>
      <c r="FK47" s="1997"/>
      <c r="FL47" s="1997"/>
      <c r="FM47" s="1997"/>
      <c r="FN47" s="1997"/>
      <c r="FO47" s="1997"/>
      <c r="FP47" s="1997"/>
      <c r="FQ47" s="1997"/>
      <c r="FR47" s="1997"/>
      <c r="FS47" s="1997"/>
      <c r="FT47" s="1997"/>
      <c r="FU47" s="1997"/>
      <c r="FV47" s="1997"/>
      <c r="FW47" s="1997"/>
      <c r="FX47" s="1997"/>
      <c r="FY47" s="1997"/>
      <c r="FZ47" s="1997"/>
      <c r="GA47" s="1997"/>
      <c r="GB47" s="1997"/>
      <c r="GC47" s="1997"/>
      <c r="GD47" s="1997"/>
      <c r="GE47" s="1997"/>
      <c r="GF47" s="1997"/>
      <c r="GG47" s="1997"/>
      <c r="GH47" s="1997"/>
      <c r="GI47" s="1997"/>
      <c r="GJ47" s="1997"/>
      <c r="GK47" s="1997"/>
      <c r="GL47" s="1997"/>
      <c r="GM47" s="1997"/>
      <c r="GN47" s="1997"/>
      <c r="GO47" s="1997"/>
      <c r="GP47" s="1997"/>
      <c r="GQ47" s="1997"/>
      <c r="GR47" s="1997"/>
      <c r="GS47" s="1997"/>
      <c r="GT47" s="1997"/>
      <c r="GU47" s="1997"/>
      <c r="GV47" s="1997"/>
      <c r="GW47" s="1997"/>
      <c r="GX47" s="1997"/>
      <c r="GY47" s="1997"/>
      <c r="GZ47" s="1997"/>
      <c r="HA47" s="1997"/>
      <c r="HB47" s="1997"/>
      <c r="HC47" s="1997"/>
      <c r="HD47" s="1997"/>
      <c r="HE47" s="1997"/>
      <c r="HF47" s="1997"/>
      <c r="HG47" s="1997"/>
      <c r="HH47" s="1997"/>
      <c r="HI47" s="1997"/>
      <c r="HJ47" s="1997"/>
      <c r="HK47" s="1997"/>
      <c r="HL47" s="1997"/>
      <c r="HM47" s="1997"/>
      <c r="HN47" s="1997"/>
      <c r="HO47" s="1997"/>
      <c r="HP47" s="1997"/>
      <c r="HQ47" s="1997"/>
      <c r="HR47" s="1997"/>
      <c r="HS47" s="1997"/>
      <c r="HT47" s="1997"/>
      <c r="HU47" s="1997"/>
      <c r="HV47" s="1997"/>
      <c r="HW47" s="1997"/>
      <c r="HX47" s="1997"/>
      <c r="HY47" s="1997"/>
      <c r="HZ47" s="1997"/>
      <c r="IA47" s="1997"/>
      <c r="IB47" s="1997"/>
      <c r="IC47" s="1997"/>
      <c r="ID47" s="1997"/>
      <c r="IE47" s="1997"/>
      <c r="IF47" s="1997"/>
      <c r="IG47" s="1997"/>
      <c r="IH47" s="1997"/>
      <c r="II47" s="1997"/>
      <c r="IJ47" s="1997"/>
      <c r="IK47" s="1997"/>
      <c r="IL47" s="1997"/>
      <c r="IM47" s="1997"/>
      <c r="IN47" s="1997"/>
      <c r="IO47" s="1997"/>
      <c r="IP47" s="1997"/>
      <c r="IQ47" s="1997"/>
    </row>
    <row r="48" spans="1:251" hidden="1">
      <c r="A48" s="1993"/>
      <c r="B48" s="1998"/>
      <c r="C48" s="1998"/>
      <c r="D48" s="2034"/>
      <c r="E48" s="1998"/>
      <c r="F48" s="1940">
        <f t="shared" si="14"/>
        <v>0</v>
      </c>
      <c r="G48" s="1993"/>
      <c r="H48" s="1940">
        <f t="shared" ref="H48:H63" si="23">D48*F48*G48</f>
        <v>0</v>
      </c>
      <c r="I48" s="1993"/>
      <c r="J48" s="1940">
        <f t="shared" si="5"/>
        <v>0</v>
      </c>
      <c r="K48" s="1993"/>
      <c r="L48" s="1940">
        <f t="shared" ref="L48:L63" si="24">K48*F48</f>
        <v>0</v>
      </c>
      <c r="M48" s="1940">
        <f t="shared" ref="M48:M63" si="25">D48*G48*(J48+L48)</f>
        <v>0</v>
      </c>
      <c r="N48" s="1940">
        <f t="shared" ref="N48:N63" si="26">H48+M48</f>
        <v>0</v>
      </c>
      <c r="O48" s="1993"/>
      <c r="P48" s="1993"/>
      <c r="Q48" s="1940">
        <f t="shared" ref="Q48:Q63" si="27">N48+O48+P48</f>
        <v>0</v>
      </c>
      <c r="R48" s="1940">
        <f t="shared" si="9"/>
        <v>0</v>
      </c>
      <c r="S48" s="1940">
        <f t="shared" ref="S48:S63" si="28">(Q48-R48)*10%</f>
        <v>0</v>
      </c>
      <c r="T48" s="1940">
        <f t="shared" ref="T48:T63" si="29">(Q48-R48)*6%</f>
        <v>0</v>
      </c>
      <c r="U48" s="1940">
        <f t="shared" ref="U48:U63" si="30">(Q48-R48)*5%</f>
        <v>0</v>
      </c>
      <c r="V48" s="1997"/>
      <c r="W48" s="1997"/>
      <c r="X48" s="1997"/>
      <c r="Y48" s="1997"/>
      <c r="Z48" s="1997"/>
      <c r="AA48" s="1997"/>
      <c r="AB48" s="1997"/>
      <c r="AC48" s="1997"/>
      <c r="AD48" s="1997"/>
      <c r="AE48" s="1997"/>
      <c r="AF48" s="1997"/>
      <c r="AG48" s="1997"/>
      <c r="AH48" s="1997"/>
      <c r="AI48" s="1997"/>
      <c r="AJ48" s="1997"/>
      <c r="AK48" s="1997"/>
      <c r="AL48" s="1997"/>
      <c r="AM48" s="1997"/>
      <c r="AN48" s="1997"/>
      <c r="AO48" s="1997"/>
      <c r="AP48" s="1997"/>
      <c r="AQ48" s="1997"/>
      <c r="AR48" s="1997"/>
      <c r="AS48" s="1997"/>
      <c r="AT48" s="1997"/>
      <c r="AU48" s="1997"/>
      <c r="AV48" s="1997"/>
      <c r="AW48" s="1997"/>
      <c r="AX48" s="1997"/>
      <c r="AY48" s="1997"/>
      <c r="AZ48" s="1997"/>
      <c r="BA48" s="1997"/>
      <c r="BB48" s="1997"/>
      <c r="BC48" s="1997"/>
      <c r="BD48" s="1997"/>
      <c r="BE48" s="1997"/>
      <c r="BF48" s="1997"/>
      <c r="BG48" s="1997"/>
      <c r="BH48" s="1997"/>
      <c r="BI48" s="1997"/>
      <c r="BJ48" s="1997"/>
      <c r="BK48" s="1997"/>
      <c r="BL48" s="1997"/>
      <c r="BM48" s="1997"/>
      <c r="BN48" s="1997"/>
      <c r="BO48" s="1997"/>
      <c r="BP48" s="1997"/>
      <c r="BQ48" s="1997"/>
      <c r="BR48" s="1997"/>
      <c r="BS48" s="1997"/>
      <c r="BT48" s="1997"/>
      <c r="BU48" s="1997"/>
      <c r="BV48" s="1997"/>
      <c r="BW48" s="1997"/>
      <c r="BX48" s="1997"/>
      <c r="BY48" s="1997"/>
      <c r="BZ48" s="1997"/>
      <c r="CA48" s="1997"/>
      <c r="CB48" s="1997"/>
      <c r="CC48" s="1997"/>
      <c r="CD48" s="1997"/>
      <c r="CE48" s="1997"/>
      <c r="CF48" s="1997"/>
      <c r="CG48" s="1997"/>
      <c r="CH48" s="1997"/>
      <c r="CI48" s="1997"/>
      <c r="CJ48" s="1997"/>
      <c r="CK48" s="1997"/>
      <c r="CL48" s="1997"/>
      <c r="CM48" s="1997"/>
      <c r="CN48" s="1997"/>
      <c r="CO48" s="1997"/>
      <c r="CP48" s="1997"/>
      <c r="CQ48" s="1997"/>
      <c r="CR48" s="1997"/>
      <c r="CS48" s="1997"/>
      <c r="CT48" s="1997"/>
      <c r="CU48" s="1997"/>
      <c r="CV48" s="1997"/>
      <c r="CW48" s="1997"/>
      <c r="CX48" s="1997"/>
      <c r="CY48" s="1997"/>
      <c r="CZ48" s="1997"/>
      <c r="DA48" s="1997"/>
      <c r="DB48" s="1997"/>
      <c r="DC48" s="1997"/>
      <c r="DD48" s="1997"/>
      <c r="DE48" s="1997"/>
      <c r="DF48" s="1997"/>
      <c r="DG48" s="1997"/>
      <c r="DH48" s="1997"/>
      <c r="DI48" s="1997"/>
      <c r="DJ48" s="1997"/>
      <c r="DK48" s="1997"/>
      <c r="DL48" s="1997"/>
      <c r="DM48" s="1997"/>
      <c r="DN48" s="1997"/>
      <c r="DO48" s="1997"/>
      <c r="DP48" s="1997"/>
      <c r="DQ48" s="1997"/>
      <c r="DR48" s="1997"/>
      <c r="DS48" s="1997"/>
      <c r="DT48" s="1997"/>
      <c r="DU48" s="1997"/>
      <c r="DV48" s="1997"/>
      <c r="DW48" s="1997"/>
      <c r="DX48" s="1997"/>
      <c r="DY48" s="1997"/>
      <c r="DZ48" s="1997"/>
      <c r="EA48" s="1997"/>
      <c r="EB48" s="1997"/>
      <c r="EC48" s="1997"/>
      <c r="ED48" s="1997"/>
      <c r="EE48" s="1997"/>
      <c r="EF48" s="1997"/>
      <c r="EG48" s="1997"/>
      <c r="EH48" s="1997"/>
      <c r="EI48" s="1997"/>
      <c r="EJ48" s="1997"/>
      <c r="EK48" s="1997"/>
      <c r="EL48" s="1997"/>
      <c r="EM48" s="1997"/>
      <c r="EN48" s="1997"/>
      <c r="EO48" s="1997"/>
      <c r="EP48" s="1997"/>
      <c r="EQ48" s="1997"/>
      <c r="ER48" s="1997"/>
      <c r="ES48" s="1997"/>
      <c r="ET48" s="1997"/>
      <c r="EU48" s="1997"/>
      <c r="EV48" s="1997"/>
      <c r="EW48" s="1997"/>
      <c r="EX48" s="1997"/>
      <c r="EY48" s="1997"/>
      <c r="EZ48" s="1997"/>
      <c r="FA48" s="1997"/>
      <c r="FB48" s="1997"/>
      <c r="FC48" s="1997"/>
      <c r="FD48" s="1997"/>
      <c r="FE48" s="1997"/>
      <c r="FF48" s="1997"/>
      <c r="FG48" s="1997"/>
      <c r="FH48" s="1997"/>
      <c r="FI48" s="1997"/>
      <c r="FJ48" s="1997"/>
      <c r="FK48" s="1997"/>
      <c r="FL48" s="1997"/>
      <c r="FM48" s="1997"/>
      <c r="FN48" s="1997"/>
      <c r="FO48" s="1997"/>
      <c r="FP48" s="1997"/>
      <c r="FQ48" s="1997"/>
      <c r="FR48" s="1997"/>
      <c r="FS48" s="1997"/>
      <c r="FT48" s="1997"/>
      <c r="FU48" s="1997"/>
      <c r="FV48" s="1997"/>
      <c r="FW48" s="1997"/>
      <c r="FX48" s="1997"/>
      <c r="FY48" s="1997"/>
      <c r="FZ48" s="1997"/>
      <c r="GA48" s="1997"/>
      <c r="GB48" s="1997"/>
      <c r="GC48" s="1997"/>
      <c r="GD48" s="1997"/>
      <c r="GE48" s="1997"/>
      <c r="GF48" s="1997"/>
      <c r="GG48" s="1997"/>
      <c r="GH48" s="1997"/>
      <c r="GI48" s="1997"/>
      <c r="GJ48" s="1997"/>
      <c r="GK48" s="1997"/>
      <c r="GL48" s="1997"/>
      <c r="GM48" s="1997"/>
      <c r="GN48" s="1997"/>
      <c r="GO48" s="1997"/>
      <c r="GP48" s="1997"/>
      <c r="GQ48" s="1997"/>
      <c r="GR48" s="1997"/>
      <c r="GS48" s="1997"/>
      <c r="GT48" s="1997"/>
      <c r="GU48" s="1997"/>
      <c r="GV48" s="1997"/>
      <c r="GW48" s="1997"/>
      <c r="GX48" s="1997"/>
      <c r="GY48" s="1997"/>
      <c r="GZ48" s="1997"/>
      <c r="HA48" s="1997"/>
      <c r="HB48" s="1997"/>
      <c r="HC48" s="1997"/>
      <c r="HD48" s="1997"/>
      <c r="HE48" s="1997"/>
      <c r="HF48" s="1997"/>
      <c r="HG48" s="1997"/>
      <c r="HH48" s="1997"/>
      <c r="HI48" s="1997"/>
      <c r="HJ48" s="1997"/>
      <c r="HK48" s="1997"/>
      <c r="HL48" s="1997"/>
      <c r="HM48" s="1997"/>
      <c r="HN48" s="1997"/>
      <c r="HO48" s="1997"/>
      <c r="HP48" s="1997"/>
      <c r="HQ48" s="1997"/>
      <c r="HR48" s="1997"/>
      <c r="HS48" s="1997"/>
      <c r="HT48" s="1997"/>
      <c r="HU48" s="1997"/>
      <c r="HV48" s="1997"/>
      <c r="HW48" s="1997"/>
      <c r="HX48" s="1997"/>
      <c r="HY48" s="1997"/>
      <c r="HZ48" s="1997"/>
      <c r="IA48" s="1997"/>
      <c r="IB48" s="1997"/>
      <c r="IC48" s="1997"/>
      <c r="ID48" s="1997"/>
      <c r="IE48" s="1997"/>
      <c r="IF48" s="1997"/>
      <c r="IG48" s="1997"/>
      <c r="IH48" s="1997"/>
      <c r="II48" s="1997"/>
      <c r="IJ48" s="1997"/>
      <c r="IK48" s="1997"/>
      <c r="IL48" s="1997"/>
      <c r="IM48" s="1997"/>
      <c r="IN48" s="1997"/>
      <c r="IO48" s="1997"/>
      <c r="IP48" s="1997"/>
      <c r="IQ48" s="1997"/>
    </row>
    <row r="49" spans="1:251" hidden="1">
      <c r="A49" s="1993"/>
      <c r="B49" s="1998"/>
      <c r="C49" s="1998"/>
      <c r="D49" s="2034"/>
      <c r="E49" s="1998"/>
      <c r="F49" s="1940">
        <f t="shared" si="14"/>
        <v>0</v>
      </c>
      <c r="G49" s="1993"/>
      <c r="H49" s="1940">
        <f t="shared" si="23"/>
        <v>0</v>
      </c>
      <c r="I49" s="1993"/>
      <c r="J49" s="1940">
        <f t="shared" si="5"/>
        <v>0</v>
      </c>
      <c r="K49" s="1993"/>
      <c r="L49" s="1940">
        <f t="shared" si="24"/>
        <v>0</v>
      </c>
      <c r="M49" s="1940">
        <f t="shared" si="25"/>
        <v>0</v>
      </c>
      <c r="N49" s="1940">
        <f t="shared" si="26"/>
        <v>0</v>
      </c>
      <c r="O49" s="1993"/>
      <c r="P49" s="1993"/>
      <c r="Q49" s="1940">
        <f t="shared" si="27"/>
        <v>0</v>
      </c>
      <c r="R49" s="1940">
        <f t="shared" si="9"/>
        <v>0</v>
      </c>
      <c r="S49" s="1940">
        <f t="shared" si="28"/>
        <v>0</v>
      </c>
      <c r="T49" s="1940">
        <f t="shared" si="29"/>
        <v>0</v>
      </c>
      <c r="U49" s="1940">
        <f t="shared" si="30"/>
        <v>0</v>
      </c>
      <c r="V49" s="1997"/>
      <c r="W49" s="1997"/>
      <c r="X49" s="1997"/>
      <c r="Y49" s="1997"/>
      <c r="Z49" s="1997"/>
      <c r="AA49" s="1997"/>
      <c r="AB49" s="1997"/>
      <c r="AC49" s="1997"/>
      <c r="AD49" s="1997"/>
      <c r="AE49" s="1997"/>
      <c r="AF49" s="1997"/>
      <c r="AG49" s="1997"/>
      <c r="AH49" s="1997"/>
      <c r="AI49" s="1997"/>
      <c r="AJ49" s="1997"/>
      <c r="AK49" s="1997"/>
      <c r="AL49" s="1997"/>
      <c r="AM49" s="1997"/>
      <c r="AN49" s="1997"/>
      <c r="AO49" s="1997"/>
      <c r="AP49" s="1997"/>
      <c r="AQ49" s="1997"/>
      <c r="AR49" s="1997"/>
      <c r="AS49" s="1997"/>
      <c r="AT49" s="1997"/>
      <c r="AU49" s="1997"/>
      <c r="AV49" s="1997"/>
      <c r="AW49" s="1997"/>
      <c r="AX49" s="1997"/>
      <c r="AY49" s="1997"/>
      <c r="AZ49" s="1997"/>
      <c r="BA49" s="1997"/>
      <c r="BB49" s="1997"/>
      <c r="BC49" s="1997"/>
      <c r="BD49" s="1997"/>
      <c r="BE49" s="1997"/>
      <c r="BF49" s="1997"/>
      <c r="BG49" s="1997"/>
      <c r="BH49" s="1997"/>
      <c r="BI49" s="1997"/>
      <c r="BJ49" s="1997"/>
      <c r="BK49" s="1997"/>
      <c r="BL49" s="1997"/>
      <c r="BM49" s="1997"/>
      <c r="BN49" s="1997"/>
      <c r="BO49" s="1997"/>
      <c r="BP49" s="1997"/>
      <c r="BQ49" s="1997"/>
      <c r="BR49" s="1997"/>
      <c r="BS49" s="1997"/>
      <c r="BT49" s="1997"/>
      <c r="BU49" s="1997"/>
      <c r="BV49" s="1997"/>
      <c r="BW49" s="1997"/>
      <c r="BX49" s="1997"/>
      <c r="BY49" s="1997"/>
      <c r="BZ49" s="1997"/>
      <c r="CA49" s="1997"/>
      <c r="CB49" s="1997"/>
      <c r="CC49" s="1997"/>
      <c r="CD49" s="1997"/>
      <c r="CE49" s="1997"/>
      <c r="CF49" s="1997"/>
      <c r="CG49" s="1997"/>
      <c r="CH49" s="1997"/>
      <c r="CI49" s="1997"/>
      <c r="CJ49" s="1997"/>
      <c r="CK49" s="1997"/>
      <c r="CL49" s="1997"/>
      <c r="CM49" s="1997"/>
      <c r="CN49" s="1997"/>
      <c r="CO49" s="1997"/>
      <c r="CP49" s="1997"/>
      <c r="CQ49" s="1997"/>
      <c r="CR49" s="1997"/>
      <c r="CS49" s="1997"/>
      <c r="CT49" s="1997"/>
      <c r="CU49" s="1997"/>
      <c r="CV49" s="1997"/>
      <c r="CW49" s="1997"/>
      <c r="CX49" s="1997"/>
      <c r="CY49" s="1997"/>
      <c r="CZ49" s="1997"/>
      <c r="DA49" s="1997"/>
      <c r="DB49" s="1997"/>
      <c r="DC49" s="1997"/>
      <c r="DD49" s="1997"/>
      <c r="DE49" s="1997"/>
      <c r="DF49" s="1997"/>
      <c r="DG49" s="1997"/>
      <c r="DH49" s="1997"/>
      <c r="DI49" s="1997"/>
      <c r="DJ49" s="1997"/>
      <c r="DK49" s="1997"/>
      <c r="DL49" s="1997"/>
      <c r="DM49" s="1997"/>
      <c r="DN49" s="1997"/>
      <c r="DO49" s="1997"/>
      <c r="DP49" s="1997"/>
      <c r="DQ49" s="1997"/>
      <c r="DR49" s="1997"/>
      <c r="DS49" s="1997"/>
      <c r="DT49" s="1997"/>
      <c r="DU49" s="1997"/>
      <c r="DV49" s="1997"/>
      <c r="DW49" s="1997"/>
      <c r="DX49" s="1997"/>
      <c r="DY49" s="1997"/>
      <c r="DZ49" s="1997"/>
      <c r="EA49" s="1997"/>
      <c r="EB49" s="1997"/>
      <c r="EC49" s="1997"/>
      <c r="ED49" s="1997"/>
      <c r="EE49" s="1997"/>
      <c r="EF49" s="1997"/>
      <c r="EG49" s="1997"/>
      <c r="EH49" s="1997"/>
      <c r="EI49" s="1997"/>
      <c r="EJ49" s="1997"/>
      <c r="EK49" s="1997"/>
      <c r="EL49" s="1997"/>
      <c r="EM49" s="1997"/>
      <c r="EN49" s="1997"/>
      <c r="EO49" s="1997"/>
      <c r="EP49" s="1997"/>
      <c r="EQ49" s="1997"/>
      <c r="ER49" s="1997"/>
      <c r="ES49" s="1997"/>
      <c r="ET49" s="1997"/>
      <c r="EU49" s="1997"/>
      <c r="EV49" s="1997"/>
      <c r="EW49" s="1997"/>
      <c r="EX49" s="1997"/>
      <c r="EY49" s="1997"/>
      <c r="EZ49" s="1997"/>
      <c r="FA49" s="1997"/>
      <c r="FB49" s="1997"/>
      <c r="FC49" s="1997"/>
      <c r="FD49" s="1997"/>
      <c r="FE49" s="1997"/>
      <c r="FF49" s="1997"/>
      <c r="FG49" s="1997"/>
      <c r="FH49" s="1997"/>
      <c r="FI49" s="1997"/>
      <c r="FJ49" s="1997"/>
      <c r="FK49" s="1997"/>
      <c r="FL49" s="1997"/>
      <c r="FM49" s="1997"/>
      <c r="FN49" s="1997"/>
      <c r="FO49" s="1997"/>
      <c r="FP49" s="1997"/>
      <c r="FQ49" s="1997"/>
      <c r="FR49" s="1997"/>
      <c r="FS49" s="1997"/>
      <c r="FT49" s="1997"/>
      <c r="FU49" s="1997"/>
      <c r="FV49" s="1997"/>
      <c r="FW49" s="1997"/>
      <c r="FX49" s="1997"/>
      <c r="FY49" s="1997"/>
      <c r="FZ49" s="1997"/>
      <c r="GA49" s="1997"/>
      <c r="GB49" s="1997"/>
      <c r="GC49" s="1997"/>
      <c r="GD49" s="1997"/>
      <c r="GE49" s="1997"/>
      <c r="GF49" s="1997"/>
      <c r="GG49" s="1997"/>
      <c r="GH49" s="1997"/>
      <c r="GI49" s="1997"/>
      <c r="GJ49" s="1997"/>
      <c r="GK49" s="1997"/>
      <c r="GL49" s="1997"/>
      <c r="GM49" s="1997"/>
      <c r="GN49" s="1997"/>
      <c r="GO49" s="1997"/>
      <c r="GP49" s="1997"/>
      <c r="GQ49" s="1997"/>
      <c r="GR49" s="1997"/>
      <c r="GS49" s="1997"/>
      <c r="GT49" s="1997"/>
      <c r="GU49" s="1997"/>
      <c r="GV49" s="1997"/>
      <c r="GW49" s="1997"/>
      <c r="GX49" s="1997"/>
      <c r="GY49" s="1997"/>
      <c r="GZ49" s="1997"/>
      <c r="HA49" s="1997"/>
      <c r="HB49" s="1997"/>
      <c r="HC49" s="1997"/>
      <c r="HD49" s="1997"/>
      <c r="HE49" s="1997"/>
      <c r="HF49" s="1997"/>
      <c r="HG49" s="1997"/>
      <c r="HH49" s="1997"/>
      <c r="HI49" s="1997"/>
      <c r="HJ49" s="1997"/>
      <c r="HK49" s="1997"/>
      <c r="HL49" s="1997"/>
      <c r="HM49" s="1997"/>
      <c r="HN49" s="1997"/>
      <c r="HO49" s="1997"/>
      <c r="HP49" s="1997"/>
      <c r="HQ49" s="1997"/>
      <c r="HR49" s="1997"/>
      <c r="HS49" s="1997"/>
      <c r="HT49" s="1997"/>
      <c r="HU49" s="1997"/>
      <c r="HV49" s="1997"/>
      <c r="HW49" s="1997"/>
      <c r="HX49" s="1997"/>
      <c r="HY49" s="1997"/>
      <c r="HZ49" s="1997"/>
      <c r="IA49" s="1997"/>
      <c r="IB49" s="1997"/>
      <c r="IC49" s="1997"/>
      <c r="ID49" s="1997"/>
      <c r="IE49" s="1997"/>
      <c r="IF49" s="1997"/>
      <c r="IG49" s="1997"/>
      <c r="IH49" s="1997"/>
      <c r="II49" s="1997"/>
      <c r="IJ49" s="1997"/>
      <c r="IK49" s="1997"/>
      <c r="IL49" s="1997"/>
      <c r="IM49" s="1997"/>
      <c r="IN49" s="1997"/>
      <c r="IO49" s="1997"/>
      <c r="IP49" s="1997"/>
      <c r="IQ49" s="1997"/>
    </row>
    <row r="50" spans="1:251" hidden="1">
      <c r="A50" s="1993"/>
      <c r="B50" s="1998"/>
      <c r="C50" s="1998"/>
      <c r="D50" s="2034"/>
      <c r="E50" s="1998"/>
      <c r="F50" s="1940">
        <f t="shared" si="14"/>
        <v>0</v>
      </c>
      <c r="G50" s="1993"/>
      <c r="H50" s="1940">
        <f t="shared" si="23"/>
        <v>0</v>
      </c>
      <c r="I50" s="1993"/>
      <c r="J50" s="1940">
        <f t="shared" si="5"/>
        <v>0</v>
      </c>
      <c r="K50" s="1993"/>
      <c r="L50" s="1940">
        <f t="shared" si="24"/>
        <v>0</v>
      </c>
      <c r="M50" s="1940">
        <f t="shared" si="25"/>
        <v>0</v>
      </c>
      <c r="N50" s="1940">
        <f t="shared" si="26"/>
        <v>0</v>
      </c>
      <c r="O50" s="1993"/>
      <c r="P50" s="1993"/>
      <c r="Q50" s="1940">
        <f t="shared" si="27"/>
        <v>0</v>
      </c>
      <c r="R50" s="1940">
        <f t="shared" si="9"/>
        <v>0</v>
      </c>
      <c r="S50" s="1940">
        <f t="shared" si="28"/>
        <v>0</v>
      </c>
      <c r="T50" s="1940">
        <f t="shared" si="29"/>
        <v>0</v>
      </c>
      <c r="U50" s="1940">
        <f t="shared" si="30"/>
        <v>0</v>
      </c>
      <c r="V50" s="1997"/>
      <c r="W50" s="1997"/>
      <c r="X50" s="1997"/>
      <c r="Y50" s="1997"/>
      <c r="Z50" s="1997"/>
      <c r="AA50" s="1997"/>
      <c r="AB50" s="1997"/>
      <c r="AC50" s="1997"/>
      <c r="AD50" s="1997"/>
      <c r="AE50" s="1997"/>
      <c r="AF50" s="1997"/>
      <c r="AG50" s="1997"/>
      <c r="AH50" s="1997"/>
      <c r="AI50" s="1997"/>
      <c r="AJ50" s="1997"/>
      <c r="AK50" s="1997"/>
      <c r="AL50" s="1997"/>
      <c r="AM50" s="1997"/>
      <c r="AN50" s="1997"/>
      <c r="AO50" s="1997"/>
      <c r="AP50" s="1997"/>
      <c r="AQ50" s="1997"/>
      <c r="AR50" s="1997"/>
      <c r="AS50" s="1997"/>
      <c r="AT50" s="1997"/>
      <c r="AU50" s="1997"/>
      <c r="AV50" s="1997"/>
      <c r="AW50" s="1997"/>
      <c r="AX50" s="1997"/>
      <c r="AY50" s="1997"/>
      <c r="AZ50" s="1997"/>
      <c r="BA50" s="1997"/>
      <c r="BB50" s="1997"/>
      <c r="BC50" s="1997"/>
      <c r="BD50" s="1997"/>
      <c r="BE50" s="1997"/>
      <c r="BF50" s="1997"/>
      <c r="BG50" s="1997"/>
      <c r="BH50" s="1997"/>
      <c r="BI50" s="1997"/>
      <c r="BJ50" s="1997"/>
      <c r="BK50" s="1997"/>
      <c r="BL50" s="1997"/>
      <c r="BM50" s="1997"/>
      <c r="BN50" s="1997"/>
      <c r="BO50" s="1997"/>
      <c r="BP50" s="1997"/>
      <c r="BQ50" s="1997"/>
      <c r="BR50" s="1997"/>
      <c r="BS50" s="1997"/>
      <c r="BT50" s="1997"/>
      <c r="BU50" s="1997"/>
      <c r="BV50" s="1997"/>
      <c r="BW50" s="1997"/>
      <c r="BX50" s="1997"/>
      <c r="BY50" s="1997"/>
      <c r="BZ50" s="1997"/>
      <c r="CA50" s="1997"/>
      <c r="CB50" s="1997"/>
      <c r="CC50" s="1997"/>
      <c r="CD50" s="1997"/>
      <c r="CE50" s="1997"/>
      <c r="CF50" s="1997"/>
      <c r="CG50" s="1997"/>
      <c r="CH50" s="1997"/>
      <c r="CI50" s="1997"/>
      <c r="CJ50" s="1997"/>
      <c r="CK50" s="1997"/>
      <c r="CL50" s="1997"/>
      <c r="CM50" s="1997"/>
      <c r="CN50" s="1997"/>
      <c r="CO50" s="1997"/>
      <c r="CP50" s="1997"/>
      <c r="CQ50" s="1997"/>
      <c r="CR50" s="1997"/>
      <c r="CS50" s="1997"/>
      <c r="CT50" s="1997"/>
      <c r="CU50" s="1997"/>
      <c r="CV50" s="1997"/>
      <c r="CW50" s="1997"/>
      <c r="CX50" s="1997"/>
      <c r="CY50" s="1997"/>
      <c r="CZ50" s="1997"/>
      <c r="DA50" s="1997"/>
      <c r="DB50" s="1997"/>
      <c r="DC50" s="1997"/>
      <c r="DD50" s="1997"/>
      <c r="DE50" s="1997"/>
      <c r="DF50" s="1997"/>
      <c r="DG50" s="1997"/>
      <c r="DH50" s="1997"/>
      <c r="DI50" s="1997"/>
      <c r="DJ50" s="1997"/>
      <c r="DK50" s="1997"/>
      <c r="DL50" s="1997"/>
      <c r="DM50" s="1997"/>
      <c r="DN50" s="1997"/>
      <c r="DO50" s="1997"/>
      <c r="DP50" s="1997"/>
      <c r="DQ50" s="1997"/>
      <c r="DR50" s="1997"/>
      <c r="DS50" s="1997"/>
      <c r="DT50" s="1997"/>
      <c r="DU50" s="1997"/>
      <c r="DV50" s="1997"/>
      <c r="DW50" s="1997"/>
      <c r="DX50" s="1997"/>
      <c r="DY50" s="1997"/>
      <c r="DZ50" s="1997"/>
      <c r="EA50" s="1997"/>
      <c r="EB50" s="1997"/>
      <c r="EC50" s="1997"/>
      <c r="ED50" s="1997"/>
      <c r="EE50" s="1997"/>
      <c r="EF50" s="1997"/>
      <c r="EG50" s="1997"/>
      <c r="EH50" s="1997"/>
      <c r="EI50" s="1997"/>
      <c r="EJ50" s="1997"/>
      <c r="EK50" s="1997"/>
      <c r="EL50" s="1997"/>
      <c r="EM50" s="1997"/>
      <c r="EN50" s="1997"/>
      <c r="EO50" s="1997"/>
      <c r="EP50" s="1997"/>
      <c r="EQ50" s="1997"/>
      <c r="ER50" s="1997"/>
      <c r="ES50" s="1997"/>
      <c r="ET50" s="1997"/>
      <c r="EU50" s="1997"/>
      <c r="EV50" s="1997"/>
      <c r="EW50" s="1997"/>
      <c r="EX50" s="1997"/>
      <c r="EY50" s="1997"/>
      <c r="EZ50" s="1997"/>
      <c r="FA50" s="1997"/>
      <c r="FB50" s="1997"/>
      <c r="FC50" s="1997"/>
      <c r="FD50" s="1997"/>
      <c r="FE50" s="1997"/>
      <c r="FF50" s="1997"/>
      <c r="FG50" s="1997"/>
      <c r="FH50" s="1997"/>
      <c r="FI50" s="1997"/>
      <c r="FJ50" s="1997"/>
      <c r="FK50" s="1997"/>
      <c r="FL50" s="1997"/>
      <c r="FM50" s="1997"/>
      <c r="FN50" s="1997"/>
      <c r="FO50" s="1997"/>
      <c r="FP50" s="1997"/>
      <c r="FQ50" s="1997"/>
      <c r="FR50" s="1997"/>
      <c r="FS50" s="1997"/>
      <c r="FT50" s="1997"/>
      <c r="FU50" s="1997"/>
      <c r="FV50" s="1997"/>
      <c r="FW50" s="1997"/>
      <c r="FX50" s="1997"/>
      <c r="FY50" s="1997"/>
      <c r="FZ50" s="1997"/>
      <c r="GA50" s="1997"/>
      <c r="GB50" s="1997"/>
      <c r="GC50" s="1997"/>
      <c r="GD50" s="1997"/>
      <c r="GE50" s="1997"/>
      <c r="GF50" s="1997"/>
      <c r="GG50" s="1997"/>
      <c r="GH50" s="1997"/>
      <c r="GI50" s="1997"/>
      <c r="GJ50" s="1997"/>
      <c r="GK50" s="1997"/>
      <c r="GL50" s="1997"/>
      <c r="GM50" s="1997"/>
      <c r="GN50" s="1997"/>
      <c r="GO50" s="1997"/>
      <c r="GP50" s="1997"/>
      <c r="GQ50" s="1997"/>
      <c r="GR50" s="1997"/>
      <c r="GS50" s="1997"/>
      <c r="GT50" s="1997"/>
      <c r="GU50" s="1997"/>
      <c r="GV50" s="1997"/>
      <c r="GW50" s="1997"/>
      <c r="GX50" s="1997"/>
      <c r="GY50" s="1997"/>
      <c r="GZ50" s="1997"/>
      <c r="HA50" s="1997"/>
      <c r="HB50" s="1997"/>
      <c r="HC50" s="1997"/>
      <c r="HD50" s="1997"/>
      <c r="HE50" s="1997"/>
      <c r="HF50" s="1997"/>
      <c r="HG50" s="1997"/>
      <c r="HH50" s="1997"/>
      <c r="HI50" s="1997"/>
      <c r="HJ50" s="1997"/>
      <c r="HK50" s="1997"/>
      <c r="HL50" s="1997"/>
      <c r="HM50" s="1997"/>
      <c r="HN50" s="1997"/>
      <c r="HO50" s="1997"/>
      <c r="HP50" s="1997"/>
      <c r="HQ50" s="1997"/>
      <c r="HR50" s="1997"/>
      <c r="HS50" s="1997"/>
      <c r="HT50" s="1997"/>
      <c r="HU50" s="1997"/>
      <c r="HV50" s="1997"/>
      <c r="HW50" s="1997"/>
      <c r="HX50" s="1997"/>
      <c r="HY50" s="1997"/>
      <c r="HZ50" s="1997"/>
      <c r="IA50" s="1997"/>
      <c r="IB50" s="1997"/>
      <c r="IC50" s="1997"/>
      <c r="ID50" s="1997"/>
      <c r="IE50" s="1997"/>
      <c r="IF50" s="1997"/>
      <c r="IG50" s="1997"/>
      <c r="IH50" s="1997"/>
      <c r="II50" s="1997"/>
      <c r="IJ50" s="1997"/>
      <c r="IK50" s="1997"/>
      <c r="IL50" s="1997"/>
      <c r="IM50" s="1997"/>
      <c r="IN50" s="1997"/>
      <c r="IO50" s="1997"/>
      <c r="IP50" s="1997"/>
      <c r="IQ50" s="1997"/>
    </row>
    <row r="51" spans="1:251" hidden="1">
      <c r="A51" s="1993"/>
      <c r="B51" s="1998"/>
      <c r="C51" s="1998"/>
      <c r="D51" s="2034"/>
      <c r="E51" s="1998"/>
      <c r="F51" s="1940">
        <f t="shared" si="14"/>
        <v>0</v>
      </c>
      <c r="G51" s="1993"/>
      <c r="H51" s="1940">
        <f t="shared" si="23"/>
        <v>0</v>
      </c>
      <c r="I51" s="1993"/>
      <c r="J51" s="1940">
        <f t="shared" si="5"/>
        <v>0</v>
      </c>
      <c r="K51" s="1993"/>
      <c r="L51" s="1940">
        <f t="shared" si="24"/>
        <v>0</v>
      </c>
      <c r="M51" s="1940">
        <f t="shared" si="25"/>
        <v>0</v>
      </c>
      <c r="N51" s="1940">
        <f t="shared" si="26"/>
        <v>0</v>
      </c>
      <c r="O51" s="1993"/>
      <c r="P51" s="1993"/>
      <c r="Q51" s="1940">
        <f t="shared" si="27"/>
        <v>0</v>
      </c>
      <c r="R51" s="1940">
        <f t="shared" si="9"/>
        <v>0</v>
      </c>
      <c r="S51" s="1940">
        <f t="shared" si="28"/>
        <v>0</v>
      </c>
      <c r="T51" s="1940">
        <f t="shared" si="29"/>
        <v>0</v>
      </c>
      <c r="U51" s="1940">
        <f t="shared" si="30"/>
        <v>0</v>
      </c>
      <c r="V51" s="1997"/>
      <c r="W51" s="1997"/>
      <c r="X51" s="1997"/>
      <c r="Y51" s="1997"/>
      <c r="Z51" s="1997"/>
      <c r="AA51" s="1997"/>
      <c r="AB51" s="1997"/>
      <c r="AC51" s="1997"/>
      <c r="AD51" s="1997"/>
      <c r="AE51" s="1997"/>
      <c r="AF51" s="1997"/>
      <c r="AG51" s="1997"/>
      <c r="AH51" s="1997"/>
      <c r="AI51" s="1997"/>
      <c r="AJ51" s="1997"/>
      <c r="AK51" s="1997"/>
      <c r="AL51" s="1997"/>
      <c r="AM51" s="1997"/>
      <c r="AN51" s="1997"/>
      <c r="AO51" s="1997"/>
      <c r="AP51" s="1997"/>
      <c r="AQ51" s="1997"/>
      <c r="AR51" s="1997"/>
      <c r="AS51" s="1997"/>
      <c r="AT51" s="1997"/>
      <c r="AU51" s="1997"/>
      <c r="AV51" s="1997"/>
      <c r="AW51" s="1997"/>
      <c r="AX51" s="1997"/>
      <c r="AY51" s="1997"/>
      <c r="AZ51" s="1997"/>
      <c r="BA51" s="1997"/>
      <c r="BB51" s="1997"/>
      <c r="BC51" s="1997"/>
      <c r="BD51" s="1997"/>
      <c r="BE51" s="1997"/>
      <c r="BF51" s="1997"/>
      <c r="BG51" s="1997"/>
      <c r="BH51" s="1997"/>
      <c r="BI51" s="1997"/>
      <c r="BJ51" s="1997"/>
      <c r="BK51" s="1997"/>
      <c r="BL51" s="1997"/>
      <c r="BM51" s="1997"/>
      <c r="BN51" s="1997"/>
      <c r="BO51" s="1997"/>
      <c r="BP51" s="1997"/>
      <c r="BQ51" s="1997"/>
      <c r="BR51" s="1997"/>
      <c r="BS51" s="1997"/>
      <c r="BT51" s="1997"/>
      <c r="BU51" s="1997"/>
      <c r="BV51" s="1997"/>
      <c r="BW51" s="1997"/>
      <c r="BX51" s="1997"/>
      <c r="BY51" s="1997"/>
      <c r="BZ51" s="1997"/>
      <c r="CA51" s="1997"/>
      <c r="CB51" s="1997"/>
      <c r="CC51" s="1997"/>
      <c r="CD51" s="1997"/>
      <c r="CE51" s="1997"/>
      <c r="CF51" s="1997"/>
      <c r="CG51" s="1997"/>
      <c r="CH51" s="1997"/>
      <c r="CI51" s="1997"/>
      <c r="CJ51" s="1997"/>
      <c r="CK51" s="1997"/>
      <c r="CL51" s="1997"/>
      <c r="CM51" s="1997"/>
      <c r="CN51" s="1997"/>
      <c r="CO51" s="1997"/>
      <c r="CP51" s="1997"/>
      <c r="CQ51" s="1997"/>
      <c r="CR51" s="1997"/>
      <c r="CS51" s="1997"/>
      <c r="CT51" s="1997"/>
      <c r="CU51" s="1997"/>
      <c r="CV51" s="1997"/>
      <c r="CW51" s="1997"/>
      <c r="CX51" s="1997"/>
      <c r="CY51" s="1997"/>
      <c r="CZ51" s="1997"/>
      <c r="DA51" s="1997"/>
      <c r="DB51" s="1997"/>
      <c r="DC51" s="1997"/>
      <c r="DD51" s="1997"/>
      <c r="DE51" s="1997"/>
      <c r="DF51" s="1997"/>
      <c r="DG51" s="1997"/>
      <c r="DH51" s="1997"/>
      <c r="DI51" s="1997"/>
      <c r="DJ51" s="1997"/>
      <c r="DK51" s="1997"/>
      <c r="DL51" s="1997"/>
      <c r="DM51" s="1997"/>
      <c r="DN51" s="1997"/>
      <c r="DO51" s="1997"/>
      <c r="DP51" s="1997"/>
      <c r="DQ51" s="1997"/>
      <c r="DR51" s="1997"/>
      <c r="DS51" s="1997"/>
      <c r="DT51" s="1997"/>
      <c r="DU51" s="1997"/>
      <c r="DV51" s="1997"/>
      <c r="DW51" s="1997"/>
      <c r="DX51" s="1997"/>
      <c r="DY51" s="1997"/>
      <c r="DZ51" s="1997"/>
      <c r="EA51" s="1997"/>
      <c r="EB51" s="1997"/>
      <c r="EC51" s="1997"/>
      <c r="ED51" s="1997"/>
      <c r="EE51" s="1997"/>
      <c r="EF51" s="1997"/>
      <c r="EG51" s="1997"/>
      <c r="EH51" s="1997"/>
      <c r="EI51" s="1997"/>
      <c r="EJ51" s="1997"/>
      <c r="EK51" s="1997"/>
      <c r="EL51" s="1997"/>
      <c r="EM51" s="1997"/>
      <c r="EN51" s="1997"/>
      <c r="EO51" s="1997"/>
      <c r="EP51" s="1997"/>
      <c r="EQ51" s="1997"/>
      <c r="ER51" s="1997"/>
      <c r="ES51" s="1997"/>
      <c r="ET51" s="1997"/>
      <c r="EU51" s="1997"/>
      <c r="EV51" s="1997"/>
      <c r="EW51" s="1997"/>
      <c r="EX51" s="1997"/>
      <c r="EY51" s="1997"/>
      <c r="EZ51" s="1997"/>
      <c r="FA51" s="1997"/>
      <c r="FB51" s="1997"/>
      <c r="FC51" s="1997"/>
      <c r="FD51" s="1997"/>
      <c r="FE51" s="1997"/>
      <c r="FF51" s="1997"/>
      <c r="FG51" s="1997"/>
      <c r="FH51" s="1997"/>
      <c r="FI51" s="1997"/>
      <c r="FJ51" s="1997"/>
      <c r="FK51" s="1997"/>
      <c r="FL51" s="1997"/>
      <c r="FM51" s="1997"/>
      <c r="FN51" s="1997"/>
      <c r="FO51" s="1997"/>
      <c r="FP51" s="1997"/>
      <c r="FQ51" s="1997"/>
      <c r="FR51" s="1997"/>
      <c r="FS51" s="1997"/>
      <c r="FT51" s="1997"/>
      <c r="FU51" s="1997"/>
      <c r="FV51" s="1997"/>
      <c r="FW51" s="1997"/>
      <c r="FX51" s="1997"/>
      <c r="FY51" s="1997"/>
      <c r="FZ51" s="1997"/>
      <c r="GA51" s="1997"/>
      <c r="GB51" s="1997"/>
      <c r="GC51" s="1997"/>
      <c r="GD51" s="1997"/>
      <c r="GE51" s="1997"/>
      <c r="GF51" s="1997"/>
      <c r="GG51" s="1997"/>
      <c r="GH51" s="1997"/>
      <c r="GI51" s="1997"/>
      <c r="GJ51" s="1997"/>
      <c r="GK51" s="1997"/>
      <c r="GL51" s="1997"/>
      <c r="GM51" s="1997"/>
      <c r="GN51" s="1997"/>
      <c r="GO51" s="1997"/>
      <c r="GP51" s="1997"/>
      <c r="GQ51" s="1997"/>
      <c r="GR51" s="1997"/>
      <c r="GS51" s="1997"/>
      <c r="GT51" s="1997"/>
      <c r="GU51" s="1997"/>
      <c r="GV51" s="1997"/>
      <c r="GW51" s="1997"/>
      <c r="GX51" s="1997"/>
      <c r="GY51" s="1997"/>
      <c r="GZ51" s="1997"/>
      <c r="HA51" s="1997"/>
      <c r="HB51" s="1997"/>
      <c r="HC51" s="1997"/>
      <c r="HD51" s="1997"/>
      <c r="HE51" s="1997"/>
      <c r="HF51" s="1997"/>
      <c r="HG51" s="1997"/>
      <c r="HH51" s="1997"/>
      <c r="HI51" s="1997"/>
      <c r="HJ51" s="1997"/>
      <c r="HK51" s="1997"/>
      <c r="HL51" s="1997"/>
      <c r="HM51" s="1997"/>
      <c r="HN51" s="1997"/>
      <c r="HO51" s="1997"/>
      <c r="HP51" s="1997"/>
      <c r="HQ51" s="1997"/>
      <c r="HR51" s="1997"/>
      <c r="HS51" s="1997"/>
      <c r="HT51" s="1997"/>
      <c r="HU51" s="1997"/>
      <c r="HV51" s="1997"/>
      <c r="HW51" s="1997"/>
      <c r="HX51" s="1997"/>
      <c r="HY51" s="1997"/>
      <c r="HZ51" s="1997"/>
      <c r="IA51" s="1997"/>
      <c r="IB51" s="1997"/>
      <c r="IC51" s="1997"/>
      <c r="ID51" s="1997"/>
      <c r="IE51" s="1997"/>
      <c r="IF51" s="1997"/>
      <c r="IG51" s="1997"/>
      <c r="IH51" s="1997"/>
      <c r="II51" s="1997"/>
      <c r="IJ51" s="1997"/>
      <c r="IK51" s="1997"/>
      <c r="IL51" s="1997"/>
      <c r="IM51" s="1997"/>
      <c r="IN51" s="1997"/>
      <c r="IO51" s="1997"/>
      <c r="IP51" s="1997"/>
      <c r="IQ51" s="1997"/>
    </row>
    <row r="52" spans="1:251" hidden="1">
      <c r="A52" s="1993"/>
      <c r="B52" s="1998"/>
      <c r="C52" s="1998"/>
      <c r="D52" s="2034"/>
      <c r="E52" s="1998"/>
      <c r="F52" s="1940">
        <f t="shared" si="14"/>
        <v>0</v>
      </c>
      <c r="G52" s="1993"/>
      <c r="H52" s="1940">
        <f t="shared" si="23"/>
        <v>0</v>
      </c>
      <c r="I52" s="1993"/>
      <c r="J52" s="1940">
        <f t="shared" si="5"/>
        <v>0</v>
      </c>
      <c r="K52" s="1993"/>
      <c r="L52" s="1940">
        <f t="shared" si="24"/>
        <v>0</v>
      </c>
      <c r="M52" s="1940">
        <f t="shared" si="25"/>
        <v>0</v>
      </c>
      <c r="N52" s="1940">
        <f t="shared" si="26"/>
        <v>0</v>
      </c>
      <c r="O52" s="1993"/>
      <c r="P52" s="1993"/>
      <c r="Q52" s="1940">
        <f t="shared" si="27"/>
        <v>0</v>
      </c>
      <c r="R52" s="1940">
        <f t="shared" si="9"/>
        <v>0</v>
      </c>
      <c r="S52" s="1940">
        <f t="shared" si="28"/>
        <v>0</v>
      </c>
      <c r="T52" s="1940">
        <f t="shared" si="29"/>
        <v>0</v>
      </c>
      <c r="U52" s="1940">
        <f t="shared" si="30"/>
        <v>0</v>
      </c>
      <c r="V52" s="1997"/>
      <c r="W52" s="1997"/>
      <c r="X52" s="1997"/>
      <c r="Y52" s="1997"/>
      <c r="Z52" s="1997"/>
      <c r="AA52" s="1997"/>
      <c r="AB52" s="1997"/>
      <c r="AC52" s="1997"/>
      <c r="AD52" s="1997"/>
      <c r="AE52" s="1997"/>
      <c r="AF52" s="1997"/>
      <c r="AG52" s="1997"/>
      <c r="AH52" s="1997"/>
      <c r="AI52" s="1997"/>
      <c r="AJ52" s="1997"/>
      <c r="AK52" s="1997"/>
      <c r="AL52" s="1997"/>
      <c r="AM52" s="1997"/>
      <c r="AN52" s="1997"/>
      <c r="AO52" s="1997"/>
      <c r="AP52" s="1997"/>
      <c r="AQ52" s="1997"/>
      <c r="AR52" s="1997"/>
      <c r="AS52" s="1997"/>
      <c r="AT52" s="1997"/>
      <c r="AU52" s="1997"/>
      <c r="AV52" s="1997"/>
      <c r="AW52" s="1997"/>
      <c r="AX52" s="1997"/>
      <c r="AY52" s="1997"/>
      <c r="AZ52" s="1997"/>
      <c r="BA52" s="1997"/>
      <c r="BB52" s="1997"/>
      <c r="BC52" s="1997"/>
      <c r="BD52" s="1997"/>
      <c r="BE52" s="1997"/>
      <c r="BF52" s="1997"/>
      <c r="BG52" s="1997"/>
      <c r="BH52" s="1997"/>
      <c r="BI52" s="1997"/>
      <c r="BJ52" s="1997"/>
      <c r="BK52" s="1997"/>
      <c r="BL52" s="1997"/>
      <c r="BM52" s="1997"/>
      <c r="BN52" s="1997"/>
      <c r="BO52" s="1997"/>
      <c r="BP52" s="1997"/>
      <c r="BQ52" s="1997"/>
      <c r="BR52" s="1997"/>
      <c r="BS52" s="1997"/>
      <c r="BT52" s="1997"/>
      <c r="BU52" s="1997"/>
      <c r="BV52" s="1997"/>
      <c r="BW52" s="1997"/>
      <c r="BX52" s="1997"/>
      <c r="BY52" s="1997"/>
      <c r="BZ52" s="1997"/>
      <c r="CA52" s="1997"/>
      <c r="CB52" s="1997"/>
      <c r="CC52" s="1997"/>
      <c r="CD52" s="1997"/>
      <c r="CE52" s="1997"/>
      <c r="CF52" s="1997"/>
      <c r="CG52" s="1997"/>
      <c r="CH52" s="1997"/>
      <c r="CI52" s="1997"/>
      <c r="CJ52" s="1997"/>
      <c r="CK52" s="1997"/>
      <c r="CL52" s="1997"/>
      <c r="CM52" s="1997"/>
      <c r="CN52" s="1997"/>
      <c r="CO52" s="1997"/>
      <c r="CP52" s="1997"/>
      <c r="CQ52" s="1997"/>
      <c r="CR52" s="1997"/>
      <c r="CS52" s="1997"/>
      <c r="CT52" s="1997"/>
      <c r="CU52" s="1997"/>
      <c r="CV52" s="1997"/>
      <c r="CW52" s="1997"/>
      <c r="CX52" s="1997"/>
      <c r="CY52" s="1997"/>
      <c r="CZ52" s="1997"/>
      <c r="DA52" s="1997"/>
      <c r="DB52" s="1997"/>
      <c r="DC52" s="1997"/>
      <c r="DD52" s="1997"/>
      <c r="DE52" s="1997"/>
      <c r="DF52" s="1997"/>
      <c r="DG52" s="1997"/>
      <c r="DH52" s="1997"/>
      <c r="DI52" s="1997"/>
      <c r="DJ52" s="1997"/>
      <c r="DK52" s="1997"/>
      <c r="DL52" s="1997"/>
      <c r="DM52" s="1997"/>
      <c r="DN52" s="1997"/>
      <c r="DO52" s="1997"/>
      <c r="DP52" s="1997"/>
      <c r="DQ52" s="1997"/>
      <c r="DR52" s="1997"/>
      <c r="DS52" s="1997"/>
      <c r="DT52" s="1997"/>
      <c r="DU52" s="1997"/>
      <c r="DV52" s="1997"/>
      <c r="DW52" s="1997"/>
      <c r="DX52" s="1997"/>
      <c r="DY52" s="1997"/>
      <c r="DZ52" s="1997"/>
      <c r="EA52" s="1997"/>
      <c r="EB52" s="1997"/>
      <c r="EC52" s="1997"/>
      <c r="ED52" s="1997"/>
      <c r="EE52" s="1997"/>
      <c r="EF52" s="1997"/>
      <c r="EG52" s="1997"/>
      <c r="EH52" s="1997"/>
      <c r="EI52" s="1997"/>
      <c r="EJ52" s="1997"/>
      <c r="EK52" s="1997"/>
      <c r="EL52" s="1997"/>
      <c r="EM52" s="1997"/>
      <c r="EN52" s="1997"/>
      <c r="EO52" s="1997"/>
      <c r="EP52" s="1997"/>
      <c r="EQ52" s="1997"/>
      <c r="ER52" s="1997"/>
      <c r="ES52" s="1997"/>
      <c r="ET52" s="1997"/>
      <c r="EU52" s="1997"/>
      <c r="EV52" s="1997"/>
      <c r="EW52" s="1997"/>
      <c r="EX52" s="1997"/>
      <c r="EY52" s="1997"/>
      <c r="EZ52" s="1997"/>
      <c r="FA52" s="1997"/>
      <c r="FB52" s="1997"/>
      <c r="FC52" s="1997"/>
      <c r="FD52" s="1997"/>
      <c r="FE52" s="1997"/>
      <c r="FF52" s="1997"/>
      <c r="FG52" s="1997"/>
      <c r="FH52" s="1997"/>
      <c r="FI52" s="1997"/>
      <c r="FJ52" s="1997"/>
      <c r="FK52" s="1997"/>
      <c r="FL52" s="1997"/>
      <c r="FM52" s="1997"/>
      <c r="FN52" s="1997"/>
      <c r="FO52" s="1997"/>
      <c r="FP52" s="1997"/>
      <c r="FQ52" s="1997"/>
      <c r="FR52" s="1997"/>
      <c r="FS52" s="1997"/>
      <c r="FT52" s="1997"/>
      <c r="FU52" s="1997"/>
      <c r="FV52" s="1997"/>
      <c r="FW52" s="1997"/>
      <c r="FX52" s="1997"/>
      <c r="FY52" s="1997"/>
      <c r="FZ52" s="1997"/>
      <c r="GA52" s="1997"/>
      <c r="GB52" s="1997"/>
      <c r="GC52" s="1997"/>
      <c r="GD52" s="1997"/>
      <c r="GE52" s="1997"/>
      <c r="GF52" s="1997"/>
      <c r="GG52" s="1997"/>
      <c r="GH52" s="1997"/>
      <c r="GI52" s="1997"/>
      <c r="GJ52" s="1997"/>
      <c r="GK52" s="1997"/>
      <c r="GL52" s="1997"/>
      <c r="GM52" s="1997"/>
      <c r="GN52" s="1997"/>
      <c r="GO52" s="1997"/>
      <c r="GP52" s="1997"/>
      <c r="GQ52" s="1997"/>
      <c r="GR52" s="1997"/>
      <c r="GS52" s="1997"/>
      <c r="GT52" s="1997"/>
      <c r="GU52" s="1997"/>
      <c r="GV52" s="1997"/>
      <c r="GW52" s="1997"/>
      <c r="GX52" s="1997"/>
      <c r="GY52" s="1997"/>
      <c r="GZ52" s="1997"/>
      <c r="HA52" s="1997"/>
      <c r="HB52" s="1997"/>
      <c r="HC52" s="1997"/>
      <c r="HD52" s="1997"/>
      <c r="HE52" s="1997"/>
      <c r="HF52" s="1997"/>
      <c r="HG52" s="1997"/>
      <c r="HH52" s="1997"/>
      <c r="HI52" s="1997"/>
      <c r="HJ52" s="1997"/>
      <c r="HK52" s="1997"/>
      <c r="HL52" s="1997"/>
      <c r="HM52" s="1997"/>
      <c r="HN52" s="1997"/>
      <c r="HO52" s="1997"/>
      <c r="HP52" s="1997"/>
      <c r="HQ52" s="1997"/>
      <c r="HR52" s="1997"/>
      <c r="HS52" s="1997"/>
      <c r="HT52" s="1997"/>
      <c r="HU52" s="1997"/>
      <c r="HV52" s="1997"/>
      <c r="HW52" s="1997"/>
      <c r="HX52" s="1997"/>
      <c r="HY52" s="1997"/>
      <c r="HZ52" s="1997"/>
      <c r="IA52" s="1997"/>
      <c r="IB52" s="1997"/>
      <c r="IC52" s="1997"/>
      <c r="ID52" s="1997"/>
      <c r="IE52" s="1997"/>
      <c r="IF52" s="1997"/>
      <c r="IG52" s="1997"/>
      <c r="IH52" s="1997"/>
      <c r="II52" s="1997"/>
      <c r="IJ52" s="1997"/>
      <c r="IK52" s="1997"/>
      <c r="IL52" s="1997"/>
      <c r="IM52" s="1997"/>
      <c r="IN52" s="1997"/>
      <c r="IO52" s="1997"/>
      <c r="IP52" s="1997"/>
      <c r="IQ52" s="1997"/>
    </row>
    <row r="53" spans="1:251" hidden="1">
      <c r="A53" s="1993"/>
      <c r="B53" s="1998"/>
      <c r="C53" s="1998"/>
      <c r="D53" s="2034"/>
      <c r="E53" s="1998"/>
      <c r="F53" s="1940">
        <f t="shared" si="14"/>
        <v>0</v>
      </c>
      <c r="G53" s="1993"/>
      <c r="H53" s="1940">
        <f t="shared" si="23"/>
        <v>0</v>
      </c>
      <c r="I53" s="1993"/>
      <c r="J53" s="1940">
        <f t="shared" si="5"/>
        <v>0</v>
      </c>
      <c r="K53" s="1993"/>
      <c r="L53" s="1940">
        <f t="shared" si="24"/>
        <v>0</v>
      </c>
      <c r="M53" s="1940">
        <f t="shared" si="25"/>
        <v>0</v>
      </c>
      <c r="N53" s="1940">
        <f t="shared" si="26"/>
        <v>0</v>
      </c>
      <c r="O53" s="1993"/>
      <c r="P53" s="1993"/>
      <c r="Q53" s="1940">
        <f t="shared" si="27"/>
        <v>0</v>
      </c>
      <c r="R53" s="1940">
        <f t="shared" si="9"/>
        <v>0</v>
      </c>
      <c r="S53" s="1940">
        <f t="shared" si="28"/>
        <v>0</v>
      </c>
      <c r="T53" s="1940">
        <f t="shared" si="29"/>
        <v>0</v>
      </c>
      <c r="U53" s="1940">
        <f t="shared" si="30"/>
        <v>0</v>
      </c>
      <c r="V53" s="1997"/>
      <c r="W53" s="1997"/>
      <c r="X53" s="1997"/>
      <c r="Y53" s="1997"/>
      <c r="Z53" s="1997"/>
      <c r="AA53" s="1997"/>
      <c r="AB53" s="1997"/>
      <c r="AC53" s="1997"/>
      <c r="AD53" s="1997"/>
      <c r="AE53" s="1997"/>
      <c r="AF53" s="1997"/>
      <c r="AG53" s="1997"/>
      <c r="AH53" s="1997"/>
      <c r="AI53" s="1997"/>
      <c r="AJ53" s="1997"/>
      <c r="AK53" s="1997"/>
      <c r="AL53" s="1997"/>
      <c r="AM53" s="1997"/>
      <c r="AN53" s="1997"/>
      <c r="AO53" s="1997"/>
      <c r="AP53" s="1997"/>
      <c r="AQ53" s="1997"/>
      <c r="AR53" s="1997"/>
      <c r="AS53" s="1997"/>
      <c r="AT53" s="1997"/>
      <c r="AU53" s="1997"/>
      <c r="AV53" s="1997"/>
      <c r="AW53" s="1997"/>
      <c r="AX53" s="1997"/>
      <c r="AY53" s="1997"/>
      <c r="AZ53" s="1997"/>
      <c r="BA53" s="1997"/>
      <c r="BB53" s="1997"/>
      <c r="BC53" s="1997"/>
      <c r="BD53" s="1997"/>
      <c r="BE53" s="1997"/>
      <c r="BF53" s="1997"/>
      <c r="BG53" s="1997"/>
      <c r="BH53" s="1997"/>
      <c r="BI53" s="1997"/>
      <c r="BJ53" s="1997"/>
      <c r="BK53" s="1997"/>
      <c r="BL53" s="1997"/>
      <c r="BM53" s="1997"/>
      <c r="BN53" s="1997"/>
      <c r="BO53" s="1997"/>
      <c r="BP53" s="1997"/>
      <c r="BQ53" s="1997"/>
      <c r="BR53" s="1997"/>
      <c r="BS53" s="1997"/>
      <c r="BT53" s="1997"/>
      <c r="BU53" s="1997"/>
      <c r="BV53" s="1997"/>
      <c r="BW53" s="1997"/>
      <c r="BX53" s="1997"/>
      <c r="BY53" s="1997"/>
      <c r="BZ53" s="1997"/>
      <c r="CA53" s="1997"/>
      <c r="CB53" s="1997"/>
      <c r="CC53" s="1997"/>
      <c r="CD53" s="1997"/>
      <c r="CE53" s="1997"/>
      <c r="CF53" s="1997"/>
      <c r="CG53" s="1997"/>
      <c r="CH53" s="1997"/>
      <c r="CI53" s="1997"/>
      <c r="CJ53" s="1997"/>
      <c r="CK53" s="1997"/>
      <c r="CL53" s="1997"/>
      <c r="CM53" s="1997"/>
      <c r="CN53" s="1997"/>
      <c r="CO53" s="1997"/>
      <c r="CP53" s="1997"/>
      <c r="CQ53" s="1997"/>
      <c r="CR53" s="1997"/>
      <c r="CS53" s="1997"/>
      <c r="CT53" s="1997"/>
      <c r="CU53" s="1997"/>
      <c r="CV53" s="1997"/>
      <c r="CW53" s="1997"/>
      <c r="CX53" s="1997"/>
      <c r="CY53" s="1997"/>
      <c r="CZ53" s="1997"/>
      <c r="DA53" s="1997"/>
      <c r="DB53" s="1997"/>
      <c r="DC53" s="1997"/>
      <c r="DD53" s="1997"/>
      <c r="DE53" s="1997"/>
      <c r="DF53" s="1997"/>
      <c r="DG53" s="1997"/>
      <c r="DH53" s="1997"/>
      <c r="DI53" s="1997"/>
      <c r="DJ53" s="1997"/>
      <c r="DK53" s="1997"/>
      <c r="DL53" s="1997"/>
      <c r="DM53" s="1997"/>
      <c r="DN53" s="1997"/>
      <c r="DO53" s="1997"/>
      <c r="DP53" s="1997"/>
      <c r="DQ53" s="1997"/>
      <c r="DR53" s="1997"/>
      <c r="DS53" s="1997"/>
      <c r="DT53" s="1997"/>
      <c r="DU53" s="1997"/>
      <c r="DV53" s="1997"/>
      <c r="DW53" s="1997"/>
      <c r="DX53" s="1997"/>
      <c r="DY53" s="1997"/>
      <c r="DZ53" s="1997"/>
      <c r="EA53" s="1997"/>
      <c r="EB53" s="1997"/>
      <c r="EC53" s="1997"/>
      <c r="ED53" s="1997"/>
      <c r="EE53" s="1997"/>
      <c r="EF53" s="1997"/>
      <c r="EG53" s="1997"/>
      <c r="EH53" s="1997"/>
      <c r="EI53" s="1997"/>
      <c r="EJ53" s="1997"/>
      <c r="EK53" s="1997"/>
      <c r="EL53" s="1997"/>
      <c r="EM53" s="1997"/>
      <c r="EN53" s="1997"/>
      <c r="EO53" s="1997"/>
      <c r="EP53" s="1997"/>
      <c r="EQ53" s="1997"/>
      <c r="ER53" s="1997"/>
      <c r="ES53" s="1997"/>
      <c r="ET53" s="1997"/>
      <c r="EU53" s="1997"/>
      <c r="EV53" s="1997"/>
      <c r="EW53" s="1997"/>
      <c r="EX53" s="1997"/>
      <c r="EY53" s="1997"/>
      <c r="EZ53" s="1997"/>
      <c r="FA53" s="1997"/>
      <c r="FB53" s="1997"/>
      <c r="FC53" s="1997"/>
      <c r="FD53" s="1997"/>
      <c r="FE53" s="1997"/>
      <c r="FF53" s="1997"/>
      <c r="FG53" s="1997"/>
      <c r="FH53" s="1997"/>
      <c r="FI53" s="1997"/>
      <c r="FJ53" s="1997"/>
      <c r="FK53" s="1997"/>
      <c r="FL53" s="1997"/>
      <c r="FM53" s="1997"/>
      <c r="FN53" s="1997"/>
      <c r="FO53" s="1997"/>
      <c r="FP53" s="1997"/>
      <c r="FQ53" s="1997"/>
      <c r="FR53" s="1997"/>
      <c r="FS53" s="1997"/>
      <c r="FT53" s="1997"/>
      <c r="FU53" s="1997"/>
      <c r="FV53" s="1997"/>
      <c r="FW53" s="1997"/>
      <c r="FX53" s="1997"/>
      <c r="FY53" s="1997"/>
      <c r="FZ53" s="1997"/>
      <c r="GA53" s="1997"/>
      <c r="GB53" s="1997"/>
      <c r="GC53" s="1997"/>
      <c r="GD53" s="1997"/>
      <c r="GE53" s="1997"/>
      <c r="GF53" s="1997"/>
      <c r="GG53" s="1997"/>
      <c r="GH53" s="1997"/>
      <c r="GI53" s="1997"/>
      <c r="GJ53" s="1997"/>
      <c r="GK53" s="1997"/>
      <c r="GL53" s="1997"/>
      <c r="GM53" s="1997"/>
      <c r="GN53" s="1997"/>
      <c r="GO53" s="1997"/>
      <c r="GP53" s="1997"/>
      <c r="GQ53" s="1997"/>
      <c r="GR53" s="1997"/>
      <c r="GS53" s="1997"/>
      <c r="GT53" s="1997"/>
      <c r="GU53" s="1997"/>
      <c r="GV53" s="1997"/>
      <c r="GW53" s="1997"/>
      <c r="GX53" s="1997"/>
      <c r="GY53" s="1997"/>
      <c r="GZ53" s="1997"/>
      <c r="HA53" s="1997"/>
      <c r="HB53" s="1997"/>
      <c r="HC53" s="1997"/>
      <c r="HD53" s="1997"/>
      <c r="HE53" s="1997"/>
      <c r="HF53" s="1997"/>
      <c r="HG53" s="1997"/>
      <c r="HH53" s="1997"/>
      <c r="HI53" s="1997"/>
      <c r="HJ53" s="1997"/>
      <c r="HK53" s="1997"/>
      <c r="HL53" s="1997"/>
      <c r="HM53" s="1997"/>
      <c r="HN53" s="1997"/>
      <c r="HO53" s="1997"/>
      <c r="HP53" s="1997"/>
      <c r="HQ53" s="1997"/>
      <c r="HR53" s="1997"/>
      <c r="HS53" s="1997"/>
      <c r="HT53" s="1997"/>
      <c r="HU53" s="1997"/>
      <c r="HV53" s="1997"/>
      <c r="HW53" s="1997"/>
      <c r="HX53" s="1997"/>
      <c r="HY53" s="1997"/>
      <c r="HZ53" s="1997"/>
      <c r="IA53" s="1997"/>
      <c r="IB53" s="1997"/>
      <c r="IC53" s="1997"/>
      <c r="ID53" s="1997"/>
      <c r="IE53" s="1997"/>
      <c r="IF53" s="1997"/>
      <c r="IG53" s="1997"/>
      <c r="IH53" s="1997"/>
      <c r="II53" s="1997"/>
      <c r="IJ53" s="1997"/>
      <c r="IK53" s="1997"/>
      <c r="IL53" s="1997"/>
      <c r="IM53" s="1997"/>
      <c r="IN53" s="1997"/>
      <c r="IO53" s="1997"/>
      <c r="IP53" s="1997"/>
      <c r="IQ53" s="1997"/>
    </row>
    <row r="54" spans="1:251" hidden="1">
      <c r="A54" s="1993"/>
      <c r="B54" s="1998"/>
      <c r="C54" s="1998"/>
      <c r="D54" s="2034"/>
      <c r="E54" s="1998"/>
      <c r="F54" s="1940">
        <f t="shared" si="14"/>
        <v>0</v>
      </c>
      <c r="G54" s="1993"/>
      <c r="H54" s="1940">
        <f t="shared" si="23"/>
        <v>0</v>
      </c>
      <c r="I54" s="1993"/>
      <c r="J54" s="1940">
        <f t="shared" si="5"/>
        <v>0</v>
      </c>
      <c r="K54" s="1993"/>
      <c r="L54" s="1940">
        <f t="shared" si="24"/>
        <v>0</v>
      </c>
      <c r="M54" s="1940">
        <f t="shared" si="25"/>
        <v>0</v>
      </c>
      <c r="N54" s="1940">
        <f t="shared" si="26"/>
        <v>0</v>
      </c>
      <c r="O54" s="1993"/>
      <c r="P54" s="1993"/>
      <c r="Q54" s="1940">
        <f t="shared" si="27"/>
        <v>0</v>
      </c>
      <c r="R54" s="1940">
        <f t="shared" si="9"/>
        <v>0</v>
      </c>
      <c r="S54" s="1940">
        <f t="shared" si="28"/>
        <v>0</v>
      </c>
      <c r="T54" s="1940">
        <f t="shared" si="29"/>
        <v>0</v>
      </c>
      <c r="U54" s="1940">
        <f t="shared" si="30"/>
        <v>0</v>
      </c>
      <c r="V54" s="1997"/>
      <c r="W54" s="1997"/>
      <c r="X54" s="1997"/>
      <c r="Y54" s="1997"/>
      <c r="Z54" s="1997"/>
      <c r="AA54" s="1997"/>
      <c r="AB54" s="1997"/>
      <c r="AC54" s="1997"/>
      <c r="AD54" s="1997"/>
      <c r="AE54" s="1997"/>
      <c r="AF54" s="1997"/>
      <c r="AG54" s="1997"/>
      <c r="AH54" s="1997"/>
      <c r="AI54" s="1997"/>
      <c r="AJ54" s="1997"/>
      <c r="AK54" s="1997"/>
      <c r="AL54" s="1997"/>
      <c r="AM54" s="1997"/>
      <c r="AN54" s="1997"/>
      <c r="AO54" s="1997"/>
      <c r="AP54" s="1997"/>
      <c r="AQ54" s="1997"/>
      <c r="AR54" s="1997"/>
      <c r="AS54" s="1997"/>
      <c r="AT54" s="1997"/>
      <c r="AU54" s="1997"/>
      <c r="AV54" s="1997"/>
      <c r="AW54" s="1997"/>
      <c r="AX54" s="1997"/>
      <c r="AY54" s="1997"/>
      <c r="AZ54" s="1997"/>
      <c r="BA54" s="1997"/>
      <c r="BB54" s="1997"/>
      <c r="BC54" s="1997"/>
      <c r="BD54" s="1997"/>
      <c r="BE54" s="1997"/>
      <c r="BF54" s="1997"/>
      <c r="BG54" s="1997"/>
      <c r="BH54" s="1997"/>
      <c r="BI54" s="1997"/>
      <c r="BJ54" s="1997"/>
      <c r="BK54" s="1997"/>
      <c r="BL54" s="1997"/>
      <c r="BM54" s="1997"/>
      <c r="BN54" s="1997"/>
      <c r="BO54" s="1997"/>
      <c r="BP54" s="1997"/>
      <c r="BQ54" s="1997"/>
      <c r="BR54" s="1997"/>
      <c r="BS54" s="1997"/>
      <c r="BT54" s="1997"/>
      <c r="BU54" s="1997"/>
      <c r="BV54" s="1997"/>
      <c r="BW54" s="1997"/>
      <c r="BX54" s="1997"/>
      <c r="BY54" s="1997"/>
      <c r="BZ54" s="1997"/>
      <c r="CA54" s="1997"/>
      <c r="CB54" s="1997"/>
      <c r="CC54" s="1997"/>
      <c r="CD54" s="1997"/>
      <c r="CE54" s="1997"/>
      <c r="CF54" s="1997"/>
      <c r="CG54" s="1997"/>
      <c r="CH54" s="1997"/>
      <c r="CI54" s="1997"/>
      <c r="CJ54" s="1997"/>
      <c r="CK54" s="1997"/>
      <c r="CL54" s="1997"/>
      <c r="CM54" s="1997"/>
      <c r="CN54" s="1997"/>
      <c r="CO54" s="1997"/>
      <c r="CP54" s="1997"/>
      <c r="CQ54" s="1997"/>
      <c r="CR54" s="1997"/>
      <c r="CS54" s="1997"/>
      <c r="CT54" s="1997"/>
      <c r="CU54" s="1997"/>
      <c r="CV54" s="1997"/>
      <c r="CW54" s="1997"/>
      <c r="CX54" s="1997"/>
      <c r="CY54" s="1997"/>
      <c r="CZ54" s="1997"/>
      <c r="DA54" s="1997"/>
      <c r="DB54" s="1997"/>
      <c r="DC54" s="1997"/>
      <c r="DD54" s="1997"/>
      <c r="DE54" s="1997"/>
      <c r="DF54" s="1997"/>
      <c r="DG54" s="1997"/>
      <c r="DH54" s="1997"/>
      <c r="DI54" s="1997"/>
      <c r="DJ54" s="1997"/>
      <c r="DK54" s="1997"/>
      <c r="DL54" s="1997"/>
      <c r="DM54" s="1997"/>
      <c r="DN54" s="1997"/>
      <c r="DO54" s="1997"/>
      <c r="DP54" s="1997"/>
      <c r="DQ54" s="1997"/>
      <c r="DR54" s="1997"/>
      <c r="DS54" s="1997"/>
      <c r="DT54" s="1997"/>
      <c r="DU54" s="1997"/>
      <c r="DV54" s="1997"/>
      <c r="DW54" s="1997"/>
      <c r="DX54" s="1997"/>
      <c r="DY54" s="1997"/>
      <c r="DZ54" s="1997"/>
      <c r="EA54" s="1997"/>
      <c r="EB54" s="1997"/>
      <c r="EC54" s="1997"/>
      <c r="ED54" s="1997"/>
      <c r="EE54" s="1997"/>
      <c r="EF54" s="1997"/>
      <c r="EG54" s="1997"/>
      <c r="EH54" s="1997"/>
      <c r="EI54" s="1997"/>
      <c r="EJ54" s="1997"/>
      <c r="EK54" s="1997"/>
      <c r="EL54" s="1997"/>
      <c r="EM54" s="1997"/>
      <c r="EN54" s="1997"/>
      <c r="EO54" s="1997"/>
      <c r="EP54" s="1997"/>
      <c r="EQ54" s="1997"/>
      <c r="ER54" s="1997"/>
      <c r="ES54" s="1997"/>
      <c r="ET54" s="1997"/>
      <c r="EU54" s="1997"/>
      <c r="EV54" s="1997"/>
      <c r="EW54" s="1997"/>
      <c r="EX54" s="1997"/>
      <c r="EY54" s="1997"/>
      <c r="EZ54" s="1997"/>
      <c r="FA54" s="1997"/>
      <c r="FB54" s="1997"/>
      <c r="FC54" s="1997"/>
      <c r="FD54" s="1997"/>
      <c r="FE54" s="1997"/>
      <c r="FF54" s="1997"/>
      <c r="FG54" s="1997"/>
      <c r="FH54" s="1997"/>
      <c r="FI54" s="1997"/>
      <c r="FJ54" s="1997"/>
      <c r="FK54" s="1997"/>
      <c r="FL54" s="1997"/>
      <c r="FM54" s="1997"/>
      <c r="FN54" s="1997"/>
      <c r="FO54" s="1997"/>
      <c r="FP54" s="1997"/>
      <c r="FQ54" s="1997"/>
      <c r="FR54" s="1997"/>
      <c r="FS54" s="1997"/>
      <c r="FT54" s="1997"/>
      <c r="FU54" s="1997"/>
      <c r="FV54" s="1997"/>
      <c r="FW54" s="1997"/>
      <c r="FX54" s="1997"/>
      <c r="FY54" s="1997"/>
      <c r="FZ54" s="1997"/>
      <c r="GA54" s="1997"/>
      <c r="GB54" s="1997"/>
      <c r="GC54" s="1997"/>
      <c r="GD54" s="1997"/>
      <c r="GE54" s="1997"/>
      <c r="GF54" s="1997"/>
      <c r="GG54" s="1997"/>
      <c r="GH54" s="1997"/>
      <c r="GI54" s="1997"/>
      <c r="GJ54" s="1997"/>
      <c r="GK54" s="1997"/>
      <c r="GL54" s="1997"/>
      <c r="GM54" s="1997"/>
      <c r="GN54" s="1997"/>
      <c r="GO54" s="1997"/>
      <c r="GP54" s="1997"/>
      <c r="GQ54" s="1997"/>
      <c r="GR54" s="1997"/>
      <c r="GS54" s="1997"/>
      <c r="GT54" s="1997"/>
      <c r="GU54" s="1997"/>
      <c r="GV54" s="1997"/>
      <c r="GW54" s="1997"/>
      <c r="GX54" s="1997"/>
      <c r="GY54" s="1997"/>
      <c r="GZ54" s="1997"/>
      <c r="HA54" s="1997"/>
      <c r="HB54" s="1997"/>
      <c r="HC54" s="1997"/>
      <c r="HD54" s="1997"/>
      <c r="HE54" s="1997"/>
      <c r="HF54" s="1997"/>
      <c r="HG54" s="1997"/>
      <c r="HH54" s="1997"/>
      <c r="HI54" s="1997"/>
      <c r="HJ54" s="1997"/>
      <c r="HK54" s="1997"/>
      <c r="HL54" s="1997"/>
      <c r="HM54" s="1997"/>
      <c r="HN54" s="1997"/>
      <c r="HO54" s="1997"/>
      <c r="HP54" s="1997"/>
      <c r="HQ54" s="1997"/>
      <c r="HR54" s="1997"/>
      <c r="HS54" s="1997"/>
      <c r="HT54" s="1997"/>
      <c r="HU54" s="1997"/>
      <c r="HV54" s="1997"/>
      <c r="HW54" s="1997"/>
      <c r="HX54" s="1997"/>
      <c r="HY54" s="1997"/>
      <c r="HZ54" s="1997"/>
      <c r="IA54" s="1997"/>
      <c r="IB54" s="1997"/>
      <c r="IC54" s="1997"/>
      <c r="ID54" s="1997"/>
      <c r="IE54" s="1997"/>
      <c r="IF54" s="1997"/>
      <c r="IG54" s="1997"/>
      <c r="IH54" s="1997"/>
      <c r="II54" s="1997"/>
      <c r="IJ54" s="1997"/>
      <c r="IK54" s="1997"/>
      <c r="IL54" s="1997"/>
      <c r="IM54" s="1997"/>
      <c r="IN54" s="1997"/>
      <c r="IO54" s="1997"/>
      <c r="IP54" s="1997"/>
      <c r="IQ54" s="1997"/>
    </row>
    <row r="55" spans="1:251" hidden="1">
      <c r="A55" s="1993"/>
      <c r="B55" s="1998"/>
      <c r="C55" s="1998"/>
      <c r="D55" s="2034"/>
      <c r="E55" s="1998"/>
      <c r="F55" s="1940">
        <f t="shared" si="14"/>
        <v>0</v>
      </c>
      <c r="G55" s="1993"/>
      <c r="H55" s="1940">
        <f t="shared" si="23"/>
        <v>0</v>
      </c>
      <c r="I55" s="1993"/>
      <c r="J55" s="1940">
        <f t="shared" si="5"/>
        <v>0</v>
      </c>
      <c r="K55" s="1993"/>
      <c r="L55" s="1940">
        <f t="shared" si="24"/>
        <v>0</v>
      </c>
      <c r="M55" s="1940">
        <f t="shared" si="25"/>
        <v>0</v>
      </c>
      <c r="N55" s="1940">
        <f t="shared" si="26"/>
        <v>0</v>
      </c>
      <c r="O55" s="1993"/>
      <c r="P55" s="1993"/>
      <c r="Q55" s="1940">
        <f t="shared" si="27"/>
        <v>0</v>
      </c>
      <c r="R55" s="1940">
        <f t="shared" si="9"/>
        <v>0</v>
      </c>
      <c r="S55" s="1940">
        <f t="shared" si="28"/>
        <v>0</v>
      </c>
      <c r="T55" s="1940">
        <f t="shared" si="29"/>
        <v>0</v>
      </c>
      <c r="U55" s="1940">
        <f t="shared" si="30"/>
        <v>0</v>
      </c>
      <c r="V55" s="1997"/>
      <c r="W55" s="1997"/>
      <c r="X55" s="1997"/>
      <c r="Y55" s="1997"/>
      <c r="Z55" s="1997"/>
      <c r="AA55" s="1997"/>
      <c r="AB55" s="1997"/>
      <c r="AC55" s="1997"/>
      <c r="AD55" s="1997"/>
      <c r="AE55" s="1997"/>
      <c r="AF55" s="1997"/>
      <c r="AG55" s="1997"/>
      <c r="AH55" s="1997"/>
      <c r="AI55" s="1997"/>
      <c r="AJ55" s="1997"/>
      <c r="AK55" s="1997"/>
      <c r="AL55" s="1997"/>
      <c r="AM55" s="1997"/>
      <c r="AN55" s="1997"/>
      <c r="AO55" s="1997"/>
      <c r="AP55" s="1997"/>
      <c r="AQ55" s="1997"/>
      <c r="AR55" s="1997"/>
      <c r="AS55" s="1997"/>
      <c r="AT55" s="1997"/>
      <c r="AU55" s="1997"/>
      <c r="AV55" s="1997"/>
      <c r="AW55" s="1997"/>
      <c r="AX55" s="1997"/>
      <c r="AY55" s="1997"/>
      <c r="AZ55" s="1997"/>
      <c r="BA55" s="1997"/>
      <c r="BB55" s="1997"/>
      <c r="BC55" s="1997"/>
      <c r="BD55" s="1997"/>
      <c r="BE55" s="1997"/>
      <c r="BF55" s="1997"/>
      <c r="BG55" s="1997"/>
      <c r="BH55" s="1997"/>
      <c r="BI55" s="1997"/>
      <c r="BJ55" s="1997"/>
      <c r="BK55" s="1997"/>
      <c r="BL55" s="1997"/>
      <c r="BM55" s="1997"/>
      <c r="BN55" s="1997"/>
      <c r="BO55" s="1997"/>
      <c r="BP55" s="1997"/>
      <c r="BQ55" s="1997"/>
      <c r="BR55" s="1997"/>
      <c r="BS55" s="1997"/>
      <c r="BT55" s="1997"/>
      <c r="BU55" s="1997"/>
      <c r="BV55" s="1997"/>
      <c r="BW55" s="1997"/>
      <c r="BX55" s="1997"/>
      <c r="BY55" s="1997"/>
      <c r="BZ55" s="1997"/>
      <c r="CA55" s="1997"/>
      <c r="CB55" s="1997"/>
      <c r="CC55" s="1997"/>
      <c r="CD55" s="1997"/>
      <c r="CE55" s="1997"/>
      <c r="CF55" s="1997"/>
      <c r="CG55" s="1997"/>
      <c r="CH55" s="1997"/>
      <c r="CI55" s="1997"/>
      <c r="CJ55" s="1997"/>
      <c r="CK55" s="1997"/>
      <c r="CL55" s="1997"/>
      <c r="CM55" s="1997"/>
      <c r="CN55" s="1997"/>
      <c r="CO55" s="1997"/>
      <c r="CP55" s="1997"/>
      <c r="CQ55" s="1997"/>
      <c r="CR55" s="1997"/>
      <c r="CS55" s="1997"/>
      <c r="CT55" s="1997"/>
      <c r="CU55" s="1997"/>
      <c r="CV55" s="1997"/>
      <c r="CW55" s="1997"/>
      <c r="CX55" s="1997"/>
      <c r="CY55" s="1997"/>
      <c r="CZ55" s="1997"/>
      <c r="DA55" s="1997"/>
      <c r="DB55" s="1997"/>
      <c r="DC55" s="1997"/>
      <c r="DD55" s="1997"/>
      <c r="DE55" s="1997"/>
      <c r="DF55" s="1997"/>
      <c r="DG55" s="1997"/>
      <c r="DH55" s="1997"/>
      <c r="DI55" s="1997"/>
      <c r="DJ55" s="1997"/>
      <c r="DK55" s="1997"/>
      <c r="DL55" s="1997"/>
      <c r="DM55" s="1997"/>
      <c r="DN55" s="1997"/>
      <c r="DO55" s="1997"/>
      <c r="DP55" s="1997"/>
      <c r="DQ55" s="1997"/>
      <c r="DR55" s="1997"/>
      <c r="DS55" s="1997"/>
      <c r="DT55" s="1997"/>
      <c r="DU55" s="1997"/>
      <c r="DV55" s="1997"/>
      <c r="DW55" s="1997"/>
      <c r="DX55" s="1997"/>
      <c r="DY55" s="1997"/>
      <c r="DZ55" s="1997"/>
      <c r="EA55" s="1997"/>
      <c r="EB55" s="1997"/>
      <c r="EC55" s="1997"/>
      <c r="ED55" s="1997"/>
      <c r="EE55" s="1997"/>
      <c r="EF55" s="1997"/>
      <c r="EG55" s="1997"/>
      <c r="EH55" s="1997"/>
      <c r="EI55" s="1997"/>
      <c r="EJ55" s="1997"/>
      <c r="EK55" s="1997"/>
      <c r="EL55" s="1997"/>
      <c r="EM55" s="1997"/>
      <c r="EN55" s="1997"/>
      <c r="EO55" s="1997"/>
      <c r="EP55" s="1997"/>
      <c r="EQ55" s="1997"/>
      <c r="ER55" s="1997"/>
      <c r="ES55" s="1997"/>
      <c r="ET55" s="1997"/>
      <c r="EU55" s="1997"/>
      <c r="EV55" s="1997"/>
      <c r="EW55" s="1997"/>
      <c r="EX55" s="1997"/>
      <c r="EY55" s="1997"/>
      <c r="EZ55" s="1997"/>
      <c r="FA55" s="1997"/>
      <c r="FB55" s="1997"/>
      <c r="FC55" s="1997"/>
      <c r="FD55" s="1997"/>
      <c r="FE55" s="1997"/>
      <c r="FF55" s="1997"/>
      <c r="FG55" s="1997"/>
      <c r="FH55" s="1997"/>
      <c r="FI55" s="1997"/>
      <c r="FJ55" s="1997"/>
      <c r="FK55" s="1997"/>
      <c r="FL55" s="1997"/>
      <c r="FM55" s="1997"/>
      <c r="FN55" s="1997"/>
      <c r="FO55" s="1997"/>
      <c r="FP55" s="1997"/>
      <c r="FQ55" s="1997"/>
      <c r="FR55" s="1997"/>
      <c r="FS55" s="1997"/>
      <c r="FT55" s="1997"/>
      <c r="FU55" s="1997"/>
      <c r="FV55" s="1997"/>
      <c r="FW55" s="1997"/>
      <c r="FX55" s="1997"/>
      <c r="FY55" s="1997"/>
      <c r="FZ55" s="1997"/>
      <c r="GA55" s="1997"/>
      <c r="GB55" s="1997"/>
      <c r="GC55" s="1997"/>
      <c r="GD55" s="1997"/>
      <c r="GE55" s="1997"/>
      <c r="GF55" s="1997"/>
      <c r="GG55" s="1997"/>
      <c r="GH55" s="1997"/>
      <c r="GI55" s="1997"/>
      <c r="GJ55" s="1997"/>
      <c r="GK55" s="1997"/>
      <c r="GL55" s="1997"/>
      <c r="GM55" s="1997"/>
      <c r="GN55" s="1997"/>
      <c r="GO55" s="1997"/>
      <c r="GP55" s="1997"/>
      <c r="GQ55" s="1997"/>
      <c r="GR55" s="1997"/>
      <c r="GS55" s="1997"/>
      <c r="GT55" s="1997"/>
      <c r="GU55" s="1997"/>
      <c r="GV55" s="1997"/>
      <c r="GW55" s="1997"/>
      <c r="GX55" s="1997"/>
      <c r="GY55" s="1997"/>
      <c r="GZ55" s="1997"/>
      <c r="HA55" s="1997"/>
      <c r="HB55" s="1997"/>
      <c r="HC55" s="1997"/>
      <c r="HD55" s="1997"/>
      <c r="HE55" s="1997"/>
      <c r="HF55" s="1997"/>
      <c r="HG55" s="1997"/>
      <c r="HH55" s="1997"/>
      <c r="HI55" s="1997"/>
      <c r="HJ55" s="1997"/>
      <c r="HK55" s="1997"/>
      <c r="HL55" s="1997"/>
      <c r="HM55" s="1997"/>
      <c r="HN55" s="1997"/>
      <c r="HO55" s="1997"/>
      <c r="HP55" s="1997"/>
      <c r="HQ55" s="1997"/>
      <c r="HR55" s="1997"/>
      <c r="HS55" s="1997"/>
      <c r="HT55" s="1997"/>
      <c r="HU55" s="1997"/>
      <c r="HV55" s="1997"/>
      <c r="HW55" s="1997"/>
      <c r="HX55" s="1997"/>
      <c r="HY55" s="1997"/>
      <c r="HZ55" s="1997"/>
      <c r="IA55" s="1997"/>
      <c r="IB55" s="1997"/>
      <c r="IC55" s="1997"/>
      <c r="ID55" s="1997"/>
      <c r="IE55" s="1997"/>
      <c r="IF55" s="1997"/>
      <c r="IG55" s="1997"/>
      <c r="IH55" s="1997"/>
      <c r="II55" s="1997"/>
      <c r="IJ55" s="1997"/>
      <c r="IK55" s="1997"/>
      <c r="IL55" s="1997"/>
      <c r="IM55" s="1997"/>
      <c r="IN55" s="1997"/>
      <c r="IO55" s="1997"/>
      <c r="IP55" s="1997"/>
      <c r="IQ55" s="1997"/>
    </row>
    <row r="56" spans="1:251" hidden="1">
      <c r="A56" s="1993"/>
      <c r="B56" s="1998"/>
      <c r="C56" s="1998"/>
      <c r="D56" s="2034"/>
      <c r="E56" s="1998"/>
      <c r="F56" s="1940">
        <f t="shared" si="14"/>
        <v>0</v>
      </c>
      <c r="G56" s="1993"/>
      <c r="H56" s="1940">
        <f t="shared" si="23"/>
        <v>0</v>
      </c>
      <c r="I56" s="1993"/>
      <c r="J56" s="1940">
        <f t="shared" si="5"/>
        <v>0</v>
      </c>
      <c r="K56" s="1993"/>
      <c r="L56" s="1940">
        <f t="shared" si="24"/>
        <v>0</v>
      </c>
      <c r="M56" s="1940">
        <f t="shared" si="25"/>
        <v>0</v>
      </c>
      <c r="N56" s="1940">
        <f t="shared" si="26"/>
        <v>0</v>
      </c>
      <c r="O56" s="1993"/>
      <c r="P56" s="1993"/>
      <c r="Q56" s="1940">
        <f t="shared" si="27"/>
        <v>0</v>
      </c>
      <c r="R56" s="1940">
        <f t="shared" si="9"/>
        <v>0</v>
      </c>
      <c r="S56" s="1940">
        <f t="shared" si="28"/>
        <v>0</v>
      </c>
      <c r="T56" s="1940">
        <f t="shared" si="29"/>
        <v>0</v>
      </c>
      <c r="U56" s="1940">
        <f t="shared" si="30"/>
        <v>0</v>
      </c>
      <c r="V56" s="1997"/>
      <c r="W56" s="1997"/>
      <c r="X56" s="1997"/>
      <c r="Y56" s="1997"/>
      <c r="Z56" s="1997"/>
      <c r="AA56" s="1997"/>
      <c r="AB56" s="1997"/>
      <c r="AC56" s="1997"/>
      <c r="AD56" s="1997"/>
      <c r="AE56" s="1997"/>
      <c r="AF56" s="1997"/>
      <c r="AG56" s="1997"/>
      <c r="AH56" s="1997"/>
      <c r="AI56" s="1997"/>
      <c r="AJ56" s="1997"/>
      <c r="AK56" s="1997"/>
      <c r="AL56" s="1997"/>
      <c r="AM56" s="1997"/>
      <c r="AN56" s="1997"/>
      <c r="AO56" s="1997"/>
      <c r="AP56" s="1997"/>
      <c r="AQ56" s="1997"/>
      <c r="AR56" s="1997"/>
      <c r="AS56" s="1997"/>
      <c r="AT56" s="1997"/>
      <c r="AU56" s="1997"/>
      <c r="AV56" s="1997"/>
      <c r="AW56" s="1997"/>
      <c r="AX56" s="1997"/>
      <c r="AY56" s="1997"/>
      <c r="AZ56" s="1997"/>
      <c r="BA56" s="1997"/>
      <c r="BB56" s="1997"/>
      <c r="BC56" s="1997"/>
      <c r="BD56" s="1997"/>
      <c r="BE56" s="1997"/>
      <c r="BF56" s="1997"/>
      <c r="BG56" s="1997"/>
      <c r="BH56" s="1997"/>
      <c r="BI56" s="1997"/>
      <c r="BJ56" s="1997"/>
      <c r="BK56" s="1997"/>
      <c r="BL56" s="1997"/>
      <c r="BM56" s="1997"/>
      <c r="BN56" s="1997"/>
      <c r="BO56" s="1997"/>
      <c r="BP56" s="1997"/>
      <c r="BQ56" s="1997"/>
      <c r="BR56" s="1997"/>
      <c r="BS56" s="1997"/>
      <c r="BT56" s="1997"/>
      <c r="BU56" s="1997"/>
      <c r="BV56" s="1997"/>
      <c r="BW56" s="1997"/>
      <c r="BX56" s="1997"/>
      <c r="BY56" s="1997"/>
      <c r="BZ56" s="1997"/>
      <c r="CA56" s="1997"/>
      <c r="CB56" s="1997"/>
      <c r="CC56" s="1997"/>
      <c r="CD56" s="1997"/>
      <c r="CE56" s="1997"/>
      <c r="CF56" s="1997"/>
      <c r="CG56" s="1997"/>
      <c r="CH56" s="1997"/>
      <c r="CI56" s="1997"/>
      <c r="CJ56" s="1997"/>
      <c r="CK56" s="1997"/>
      <c r="CL56" s="1997"/>
      <c r="CM56" s="1997"/>
      <c r="CN56" s="1997"/>
      <c r="CO56" s="1997"/>
      <c r="CP56" s="1997"/>
      <c r="CQ56" s="1997"/>
      <c r="CR56" s="1997"/>
      <c r="CS56" s="1997"/>
      <c r="CT56" s="1997"/>
      <c r="CU56" s="1997"/>
      <c r="CV56" s="1997"/>
      <c r="CW56" s="1997"/>
      <c r="CX56" s="1997"/>
      <c r="CY56" s="1997"/>
      <c r="CZ56" s="1997"/>
      <c r="DA56" s="1997"/>
      <c r="DB56" s="1997"/>
      <c r="DC56" s="1997"/>
      <c r="DD56" s="1997"/>
      <c r="DE56" s="1997"/>
      <c r="DF56" s="1997"/>
      <c r="DG56" s="1997"/>
      <c r="DH56" s="1997"/>
      <c r="DI56" s="1997"/>
      <c r="DJ56" s="1997"/>
      <c r="DK56" s="1997"/>
      <c r="DL56" s="1997"/>
      <c r="DM56" s="1997"/>
      <c r="DN56" s="1997"/>
      <c r="DO56" s="1997"/>
      <c r="DP56" s="1997"/>
      <c r="DQ56" s="1997"/>
      <c r="DR56" s="1997"/>
      <c r="DS56" s="1997"/>
      <c r="DT56" s="1997"/>
      <c r="DU56" s="1997"/>
      <c r="DV56" s="1997"/>
      <c r="DW56" s="1997"/>
      <c r="DX56" s="1997"/>
      <c r="DY56" s="1997"/>
      <c r="DZ56" s="1997"/>
      <c r="EA56" s="1997"/>
      <c r="EB56" s="1997"/>
      <c r="EC56" s="1997"/>
      <c r="ED56" s="1997"/>
      <c r="EE56" s="1997"/>
      <c r="EF56" s="1997"/>
      <c r="EG56" s="1997"/>
      <c r="EH56" s="1997"/>
      <c r="EI56" s="1997"/>
      <c r="EJ56" s="1997"/>
      <c r="EK56" s="1997"/>
      <c r="EL56" s="1997"/>
      <c r="EM56" s="1997"/>
      <c r="EN56" s="1997"/>
      <c r="EO56" s="1997"/>
      <c r="EP56" s="1997"/>
      <c r="EQ56" s="1997"/>
      <c r="ER56" s="1997"/>
      <c r="ES56" s="1997"/>
      <c r="ET56" s="1997"/>
      <c r="EU56" s="1997"/>
      <c r="EV56" s="1997"/>
      <c r="EW56" s="1997"/>
      <c r="EX56" s="1997"/>
      <c r="EY56" s="1997"/>
      <c r="EZ56" s="1997"/>
      <c r="FA56" s="1997"/>
      <c r="FB56" s="1997"/>
      <c r="FC56" s="1997"/>
      <c r="FD56" s="1997"/>
      <c r="FE56" s="1997"/>
      <c r="FF56" s="1997"/>
      <c r="FG56" s="1997"/>
      <c r="FH56" s="1997"/>
      <c r="FI56" s="1997"/>
      <c r="FJ56" s="1997"/>
      <c r="FK56" s="1997"/>
      <c r="FL56" s="1997"/>
      <c r="FM56" s="1997"/>
      <c r="FN56" s="1997"/>
      <c r="FO56" s="1997"/>
      <c r="FP56" s="1997"/>
      <c r="FQ56" s="1997"/>
      <c r="FR56" s="1997"/>
      <c r="FS56" s="1997"/>
      <c r="FT56" s="1997"/>
      <c r="FU56" s="1997"/>
      <c r="FV56" s="1997"/>
      <c r="FW56" s="1997"/>
      <c r="FX56" s="1997"/>
      <c r="FY56" s="1997"/>
      <c r="FZ56" s="1997"/>
      <c r="GA56" s="1997"/>
      <c r="GB56" s="1997"/>
      <c r="GC56" s="1997"/>
      <c r="GD56" s="1997"/>
      <c r="GE56" s="1997"/>
      <c r="GF56" s="1997"/>
      <c r="GG56" s="1997"/>
      <c r="GH56" s="1997"/>
      <c r="GI56" s="1997"/>
      <c r="GJ56" s="1997"/>
      <c r="GK56" s="1997"/>
      <c r="GL56" s="1997"/>
      <c r="GM56" s="1997"/>
      <c r="GN56" s="1997"/>
      <c r="GO56" s="1997"/>
      <c r="GP56" s="1997"/>
      <c r="GQ56" s="1997"/>
      <c r="GR56" s="1997"/>
      <c r="GS56" s="1997"/>
      <c r="GT56" s="1997"/>
      <c r="GU56" s="1997"/>
      <c r="GV56" s="1997"/>
      <c r="GW56" s="1997"/>
      <c r="GX56" s="1997"/>
      <c r="GY56" s="1997"/>
      <c r="GZ56" s="1997"/>
      <c r="HA56" s="1997"/>
      <c r="HB56" s="1997"/>
      <c r="HC56" s="1997"/>
      <c r="HD56" s="1997"/>
      <c r="HE56" s="1997"/>
      <c r="HF56" s="1997"/>
      <c r="HG56" s="1997"/>
      <c r="HH56" s="1997"/>
      <c r="HI56" s="1997"/>
      <c r="HJ56" s="1997"/>
      <c r="HK56" s="1997"/>
      <c r="HL56" s="1997"/>
      <c r="HM56" s="1997"/>
      <c r="HN56" s="1997"/>
      <c r="HO56" s="1997"/>
      <c r="HP56" s="1997"/>
      <c r="HQ56" s="1997"/>
      <c r="HR56" s="1997"/>
      <c r="HS56" s="1997"/>
      <c r="HT56" s="1997"/>
      <c r="HU56" s="1997"/>
      <c r="HV56" s="1997"/>
      <c r="HW56" s="1997"/>
      <c r="HX56" s="1997"/>
      <c r="HY56" s="1997"/>
      <c r="HZ56" s="1997"/>
      <c r="IA56" s="1997"/>
      <c r="IB56" s="1997"/>
      <c r="IC56" s="1997"/>
      <c r="ID56" s="1997"/>
      <c r="IE56" s="1997"/>
      <c r="IF56" s="1997"/>
      <c r="IG56" s="1997"/>
      <c r="IH56" s="1997"/>
      <c r="II56" s="1997"/>
      <c r="IJ56" s="1997"/>
      <c r="IK56" s="1997"/>
      <c r="IL56" s="1997"/>
      <c r="IM56" s="1997"/>
      <c r="IN56" s="1997"/>
      <c r="IO56" s="1997"/>
      <c r="IP56" s="1997"/>
      <c r="IQ56" s="1997"/>
    </row>
    <row r="57" spans="1:251" hidden="1">
      <c r="A57" s="1993"/>
      <c r="B57" s="1998"/>
      <c r="C57" s="1998"/>
      <c r="D57" s="2034"/>
      <c r="E57" s="1998"/>
      <c r="F57" s="1940">
        <f t="shared" si="14"/>
        <v>0</v>
      </c>
      <c r="G57" s="1993"/>
      <c r="H57" s="1940">
        <f t="shared" si="23"/>
        <v>0</v>
      </c>
      <c r="I57" s="1993"/>
      <c r="J57" s="1940">
        <f t="shared" si="5"/>
        <v>0</v>
      </c>
      <c r="K57" s="1993"/>
      <c r="L57" s="1940">
        <f t="shared" si="24"/>
        <v>0</v>
      </c>
      <c r="M57" s="1940">
        <f t="shared" si="25"/>
        <v>0</v>
      </c>
      <c r="N57" s="1940">
        <f t="shared" si="26"/>
        <v>0</v>
      </c>
      <c r="O57" s="1993"/>
      <c r="P57" s="1993"/>
      <c r="Q57" s="1940">
        <f t="shared" si="27"/>
        <v>0</v>
      </c>
      <c r="R57" s="1940">
        <f t="shared" si="9"/>
        <v>0</v>
      </c>
      <c r="S57" s="1940">
        <f t="shared" si="28"/>
        <v>0</v>
      </c>
      <c r="T57" s="1940">
        <f t="shared" si="29"/>
        <v>0</v>
      </c>
      <c r="U57" s="1940">
        <f t="shared" si="30"/>
        <v>0</v>
      </c>
      <c r="V57" s="1997"/>
      <c r="W57" s="1997"/>
      <c r="X57" s="1997"/>
      <c r="Y57" s="1997"/>
      <c r="Z57" s="1997"/>
      <c r="AA57" s="1997"/>
      <c r="AB57" s="1997"/>
      <c r="AC57" s="1997"/>
      <c r="AD57" s="1997"/>
      <c r="AE57" s="1997"/>
      <c r="AF57" s="1997"/>
      <c r="AG57" s="1997"/>
      <c r="AH57" s="1997"/>
      <c r="AI57" s="1997"/>
      <c r="AJ57" s="1997"/>
      <c r="AK57" s="1997"/>
      <c r="AL57" s="1997"/>
      <c r="AM57" s="1997"/>
      <c r="AN57" s="1997"/>
      <c r="AO57" s="1997"/>
      <c r="AP57" s="1997"/>
      <c r="AQ57" s="1997"/>
      <c r="AR57" s="1997"/>
      <c r="AS57" s="1997"/>
      <c r="AT57" s="1997"/>
      <c r="AU57" s="1997"/>
      <c r="AV57" s="1997"/>
      <c r="AW57" s="1997"/>
      <c r="AX57" s="1997"/>
      <c r="AY57" s="1997"/>
      <c r="AZ57" s="1997"/>
      <c r="BA57" s="1997"/>
      <c r="BB57" s="1997"/>
      <c r="BC57" s="1997"/>
      <c r="BD57" s="1997"/>
      <c r="BE57" s="1997"/>
      <c r="BF57" s="1997"/>
      <c r="BG57" s="1997"/>
      <c r="BH57" s="1997"/>
      <c r="BI57" s="1997"/>
      <c r="BJ57" s="1997"/>
      <c r="BK57" s="1997"/>
      <c r="BL57" s="1997"/>
      <c r="BM57" s="1997"/>
      <c r="BN57" s="1997"/>
      <c r="BO57" s="1997"/>
      <c r="BP57" s="1997"/>
      <c r="BQ57" s="1997"/>
      <c r="BR57" s="1997"/>
      <c r="BS57" s="1997"/>
      <c r="BT57" s="1997"/>
      <c r="BU57" s="1997"/>
      <c r="BV57" s="1997"/>
      <c r="BW57" s="1997"/>
      <c r="BX57" s="1997"/>
      <c r="BY57" s="1997"/>
      <c r="BZ57" s="1997"/>
      <c r="CA57" s="1997"/>
      <c r="CB57" s="1997"/>
      <c r="CC57" s="1997"/>
      <c r="CD57" s="1997"/>
      <c r="CE57" s="1997"/>
      <c r="CF57" s="1997"/>
      <c r="CG57" s="1997"/>
      <c r="CH57" s="1997"/>
      <c r="CI57" s="1997"/>
      <c r="CJ57" s="1997"/>
      <c r="CK57" s="1997"/>
      <c r="CL57" s="1997"/>
      <c r="CM57" s="1997"/>
      <c r="CN57" s="1997"/>
      <c r="CO57" s="1997"/>
      <c r="CP57" s="1997"/>
      <c r="CQ57" s="1997"/>
      <c r="CR57" s="1997"/>
      <c r="CS57" s="1997"/>
      <c r="CT57" s="1997"/>
      <c r="CU57" s="1997"/>
      <c r="CV57" s="1997"/>
      <c r="CW57" s="1997"/>
      <c r="CX57" s="1997"/>
      <c r="CY57" s="1997"/>
      <c r="CZ57" s="1997"/>
      <c r="DA57" s="1997"/>
      <c r="DB57" s="1997"/>
      <c r="DC57" s="1997"/>
      <c r="DD57" s="1997"/>
      <c r="DE57" s="1997"/>
      <c r="DF57" s="1997"/>
      <c r="DG57" s="1997"/>
      <c r="DH57" s="1997"/>
      <c r="DI57" s="1997"/>
      <c r="DJ57" s="1997"/>
      <c r="DK57" s="1997"/>
      <c r="DL57" s="1997"/>
      <c r="DM57" s="1997"/>
      <c r="DN57" s="1997"/>
      <c r="DO57" s="1997"/>
      <c r="DP57" s="1997"/>
      <c r="DQ57" s="1997"/>
      <c r="DR57" s="1997"/>
      <c r="DS57" s="1997"/>
      <c r="DT57" s="1997"/>
      <c r="DU57" s="1997"/>
      <c r="DV57" s="1997"/>
      <c r="DW57" s="1997"/>
      <c r="DX57" s="1997"/>
      <c r="DY57" s="1997"/>
      <c r="DZ57" s="1997"/>
      <c r="EA57" s="1997"/>
      <c r="EB57" s="1997"/>
      <c r="EC57" s="1997"/>
      <c r="ED57" s="1997"/>
      <c r="EE57" s="1997"/>
      <c r="EF57" s="1997"/>
      <c r="EG57" s="1997"/>
      <c r="EH57" s="1997"/>
      <c r="EI57" s="1997"/>
      <c r="EJ57" s="1997"/>
      <c r="EK57" s="1997"/>
      <c r="EL57" s="1997"/>
      <c r="EM57" s="1997"/>
      <c r="EN57" s="1997"/>
      <c r="EO57" s="1997"/>
      <c r="EP57" s="1997"/>
      <c r="EQ57" s="1997"/>
      <c r="ER57" s="1997"/>
      <c r="ES57" s="1997"/>
      <c r="ET57" s="1997"/>
      <c r="EU57" s="1997"/>
      <c r="EV57" s="1997"/>
      <c r="EW57" s="1997"/>
      <c r="EX57" s="1997"/>
      <c r="EY57" s="1997"/>
      <c r="EZ57" s="1997"/>
      <c r="FA57" s="1997"/>
      <c r="FB57" s="1997"/>
      <c r="FC57" s="1997"/>
      <c r="FD57" s="1997"/>
      <c r="FE57" s="1997"/>
      <c r="FF57" s="1997"/>
      <c r="FG57" s="1997"/>
      <c r="FH57" s="1997"/>
      <c r="FI57" s="1997"/>
      <c r="FJ57" s="1997"/>
      <c r="FK57" s="1997"/>
      <c r="FL57" s="1997"/>
      <c r="FM57" s="1997"/>
      <c r="FN57" s="1997"/>
      <c r="FO57" s="1997"/>
      <c r="FP57" s="1997"/>
      <c r="FQ57" s="1997"/>
      <c r="FR57" s="1997"/>
      <c r="FS57" s="1997"/>
      <c r="FT57" s="1997"/>
      <c r="FU57" s="1997"/>
      <c r="FV57" s="1997"/>
      <c r="FW57" s="1997"/>
      <c r="FX57" s="1997"/>
      <c r="FY57" s="1997"/>
      <c r="FZ57" s="1997"/>
      <c r="GA57" s="1997"/>
      <c r="GB57" s="1997"/>
      <c r="GC57" s="1997"/>
      <c r="GD57" s="1997"/>
      <c r="GE57" s="1997"/>
      <c r="GF57" s="1997"/>
      <c r="GG57" s="1997"/>
      <c r="GH57" s="1997"/>
      <c r="GI57" s="1997"/>
      <c r="GJ57" s="1997"/>
      <c r="GK57" s="1997"/>
      <c r="GL57" s="1997"/>
      <c r="GM57" s="1997"/>
      <c r="GN57" s="1997"/>
      <c r="GO57" s="1997"/>
      <c r="GP57" s="1997"/>
      <c r="GQ57" s="1997"/>
      <c r="GR57" s="1997"/>
      <c r="GS57" s="1997"/>
      <c r="GT57" s="1997"/>
      <c r="GU57" s="1997"/>
      <c r="GV57" s="1997"/>
      <c r="GW57" s="1997"/>
      <c r="GX57" s="1997"/>
      <c r="GY57" s="1997"/>
      <c r="GZ57" s="1997"/>
      <c r="HA57" s="1997"/>
      <c r="HB57" s="1997"/>
      <c r="HC57" s="1997"/>
      <c r="HD57" s="1997"/>
      <c r="HE57" s="1997"/>
      <c r="HF57" s="1997"/>
      <c r="HG57" s="1997"/>
      <c r="HH57" s="1997"/>
      <c r="HI57" s="1997"/>
      <c r="HJ57" s="1997"/>
      <c r="HK57" s="1997"/>
      <c r="HL57" s="1997"/>
      <c r="HM57" s="1997"/>
      <c r="HN57" s="1997"/>
      <c r="HO57" s="1997"/>
      <c r="HP57" s="1997"/>
      <c r="HQ57" s="1997"/>
      <c r="HR57" s="1997"/>
      <c r="HS57" s="1997"/>
      <c r="HT57" s="1997"/>
      <c r="HU57" s="1997"/>
      <c r="HV57" s="1997"/>
      <c r="HW57" s="1997"/>
      <c r="HX57" s="1997"/>
      <c r="HY57" s="1997"/>
      <c r="HZ57" s="1997"/>
      <c r="IA57" s="1997"/>
      <c r="IB57" s="1997"/>
      <c r="IC57" s="1997"/>
      <c r="ID57" s="1997"/>
      <c r="IE57" s="1997"/>
      <c r="IF57" s="1997"/>
      <c r="IG57" s="1997"/>
      <c r="IH57" s="1997"/>
      <c r="II57" s="1997"/>
      <c r="IJ57" s="1997"/>
      <c r="IK57" s="1997"/>
      <c r="IL57" s="1997"/>
      <c r="IM57" s="1997"/>
      <c r="IN57" s="1997"/>
      <c r="IO57" s="1997"/>
      <c r="IP57" s="1997"/>
      <c r="IQ57" s="1997"/>
    </row>
    <row r="58" spans="1:251" hidden="1">
      <c r="A58" s="1993"/>
      <c r="B58" s="1998"/>
      <c r="C58" s="1998"/>
      <c r="D58" s="2034"/>
      <c r="E58" s="1998"/>
      <c r="F58" s="1940">
        <f t="shared" si="14"/>
        <v>0</v>
      </c>
      <c r="G58" s="1993"/>
      <c r="H58" s="1940">
        <f t="shared" si="23"/>
        <v>0</v>
      </c>
      <c r="I58" s="1993"/>
      <c r="J58" s="1940">
        <f t="shared" si="5"/>
        <v>0</v>
      </c>
      <c r="K58" s="1993"/>
      <c r="L58" s="1940">
        <f t="shared" si="24"/>
        <v>0</v>
      </c>
      <c r="M58" s="1940">
        <f t="shared" si="25"/>
        <v>0</v>
      </c>
      <c r="N58" s="1940">
        <f t="shared" si="26"/>
        <v>0</v>
      </c>
      <c r="O58" s="1993"/>
      <c r="P58" s="1993"/>
      <c r="Q58" s="1940">
        <f t="shared" si="27"/>
        <v>0</v>
      </c>
      <c r="R58" s="1940">
        <f t="shared" si="9"/>
        <v>0</v>
      </c>
      <c r="S58" s="1940">
        <f t="shared" si="28"/>
        <v>0</v>
      </c>
      <c r="T58" s="1940">
        <f t="shared" si="29"/>
        <v>0</v>
      </c>
      <c r="U58" s="1940">
        <f t="shared" si="30"/>
        <v>0</v>
      </c>
      <c r="V58" s="1997"/>
      <c r="W58" s="1997"/>
      <c r="X58" s="1997"/>
      <c r="Y58" s="1997"/>
      <c r="Z58" s="1997"/>
      <c r="AA58" s="1997"/>
      <c r="AB58" s="1997"/>
      <c r="AC58" s="1997"/>
      <c r="AD58" s="1997"/>
      <c r="AE58" s="1997"/>
      <c r="AF58" s="1997"/>
      <c r="AG58" s="1997"/>
      <c r="AH58" s="1997"/>
      <c r="AI58" s="1997"/>
      <c r="AJ58" s="1997"/>
      <c r="AK58" s="1997"/>
      <c r="AL58" s="1997"/>
      <c r="AM58" s="1997"/>
      <c r="AN58" s="1997"/>
      <c r="AO58" s="1997"/>
      <c r="AP58" s="1997"/>
      <c r="AQ58" s="1997"/>
      <c r="AR58" s="1997"/>
      <c r="AS58" s="1997"/>
      <c r="AT58" s="1997"/>
      <c r="AU58" s="1997"/>
      <c r="AV58" s="1997"/>
      <c r="AW58" s="1997"/>
      <c r="AX58" s="1997"/>
      <c r="AY58" s="1997"/>
      <c r="AZ58" s="1997"/>
      <c r="BA58" s="1997"/>
      <c r="BB58" s="1997"/>
      <c r="BC58" s="1997"/>
      <c r="BD58" s="1997"/>
      <c r="BE58" s="1997"/>
      <c r="BF58" s="1997"/>
      <c r="BG58" s="1997"/>
      <c r="BH58" s="1997"/>
      <c r="BI58" s="1997"/>
      <c r="BJ58" s="1997"/>
      <c r="BK58" s="1997"/>
      <c r="BL58" s="1997"/>
      <c r="BM58" s="1997"/>
      <c r="BN58" s="1997"/>
      <c r="BO58" s="1997"/>
      <c r="BP58" s="1997"/>
      <c r="BQ58" s="1997"/>
      <c r="BR58" s="1997"/>
      <c r="BS58" s="1997"/>
      <c r="BT58" s="1997"/>
      <c r="BU58" s="1997"/>
      <c r="BV58" s="1997"/>
      <c r="BW58" s="1997"/>
      <c r="BX58" s="1997"/>
      <c r="BY58" s="1997"/>
      <c r="BZ58" s="1997"/>
      <c r="CA58" s="1997"/>
      <c r="CB58" s="1997"/>
      <c r="CC58" s="1997"/>
      <c r="CD58" s="1997"/>
      <c r="CE58" s="1997"/>
      <c r="CF58" s="1997"/>
      <c r="CG58" s="1997"/>
      <c r="CH58" s="1997"/>
      <c r="CI58" s="1997"/>
      <c r="CJ58" s="1997"/>
      <c r="CK58" s="1997"/>
      <c r="CL58" s="1997"/>
      <c r="CM58" s="1997"/>
      <c r="CN58" s="1997"/>
      <c r="CO58" s="1997"/>
      <c r="CP58" s="1997"/>
      <c r="CQ58" s="1997"/>
      <c r="CR58" s="1997"/>
      <c r="CS58" s="1997"/>
      <c r="CT58" s="1997"/>
      <c r="CU58" s="1997"/>
      <c r="CV58" s="1997"/>
      <c r="CW58" s="1997"/>
      <c r="CX58" s="1997"/>
      <c r="CY58" s="1997"/>
      <c r="CZ58" s="1997"/>
      <c r="DA58" s="1997"/>
      <c r="DB58" s="1997"/>
      <c r="DC58" s="1997"/>
      <c r="DD58" s="1997"/>
      <c r="DE58" s="1997"/>
      <c r="DF58" s="1997"/>
      <c r="DG58" s="1997"/>
      <c r="DH58" s="1997"/>
      <c r="DI58" s="1997"/>
      <c r="DJ58" s="1997"/>
      <c r="DK58" s="1997"/>
      <c r="DL58" s="1997"/>
      <c r="DM58" s="1997"/>
      <c r="DN58" s="1997"/>
      <c r="DO58" s="1997"/>
      <c r="DP58" s="1997"/>
      <c r="DQ58" s="1997"/>
      <c r="DR58" s="1997"/>
      <c r="DS58" s="1997"/>
      <c r="DT58" s="1997"/>
      <c r="DU58" s="1997"/>
      <c r="DV58" s="1997"/>
      <c r="DW58" s="1997"/>
      <c r="DX58" s="1997"/>
      <c r="DY58" s="1997"/>
      <c r="DZ58" s="1997"/>
      <c r="EA58" s="1997"/>
      <c r="EB58" s="1997"/>
      <c r="EC58" s="1997"/>
      <c r="ED58" s="1997"/>
      <c r="EE58" s="1997"/>
      <c r="EF58" s="1997"/>
      <c r="EG58" s="1997"/>
      <c r="EH58" s="1997"/>
      <c r="EI58" s="1997"/>
      <c r="EJ58" s="1997"/>
      <c r="EK58" s="1997"/>
      <c r="EL58" s="1997"/>
      <c r="EM58" s="1997"/>
      <c r="EN58" s="1997"/>
      <c r="EO58" s="1997"/>
      <c r="EP58" s="1997"/>
      <c r="EQ58" s="1997"/>
      <c r="ER58" s="1997"/>
      <c r="ES58" s="1997"/>
      <c r="ET58" s="1997"/>
      <c r="EU58" s="1997"/>
      <c r="EV58" s="1997"/>
      <c r="EW58" s="1997"/>
      <c r="EX58" s="1997"/>
      <c r="EY58" s="1997"/>
      <c r="EZ58" s="1997"/>
      <c r="FA58" s="1997"/>
      <c r="FB58" s="1997"/>
      <c r="FC58" s="1997"/>
      <c r="FD58" s="1997"/>
      <c r="FE58" s="1997"/>
      <c r="FF58" s="1997"/>
      <c r="FG58" s="1997"/>
      <c r="FH58" s="1997"/>
      <c r="FI58" s="1997"/>
      <c r="FJ58" s="1997"/>
      <c r="FK58" s="1997"/>
      <c r="FL58" s="1997"/>
      <c r="FM58" s="1997"/>
      <c r="FN58" s="1997"/>
      <c r="FO58" s="1997"/>
      <c r="FP58" s="1997"/>
      <c r="FQ58" s="1997"/>
      <c r="FR58" s="1997"/>
      <c r="FS58" s="1997"/>
      <c r="FT58" s="1997"/>
      <c r="FU58" s="1997"/>
      <c r="FV58" s="1997"/>
      <c r="FW58" s="1997"/>
      <c r="FX58" s="1997"/>
      <c r="FY58" s="1997"/>
      <c r="FZ58" s="1997"/>
      <c r="GA58" s="1997"/>
      <c r="GB58" s="1997"/>
      <c r="GC58" s="1997"/>
      <c r="GD58" s="1997"/>
      <c r="GE58" s="1997"/>
      <c r="GF58" s="1997"/>
      <c r="GG58" s="1997"/>
      <c r="GH58" s="1997"/>
      <c r="GI58" s="1997"/>
      <c r="GJ58" s="1997"/>
      <c r="GK58" s="1997"/>
      <c r="GL58" s="1997"/>
      <c r="GM58" s="1997"/>
      <c r="GN58" s="1997"/>
      <c r="GO58" s="1997"/>
      <c r="GP58" s="1997"/>
      <c r="GQ58" s="1997"/>
      <c r="GR58" s="1997"/>
      <c r="GS58" s="1997"/>
      <c r="GT58" s="1997"/>
      <c r="GU58" s="1997"/>
      <c r="GV58" s="1997"/>
      <c r="GW58" s="1997"/>
      <c r="GX58" s="1997"/>
      <c r="GY58" s="1997"/>
      <c r="GZ58" s="1997"/>
      <c r="HA58" s="1997"/>
      <c r="HB58" s="1997"/>
      <c r="HC58" s="1997"/>
      <c r="HD58" s="1997"/>
      <c r="HE58" s="1997"/>
      <c r="HF58" s="1997"/>
      <c r="HG58" s="1997"/>
      <c r="HH58" s="1997"/>
      <c r="HI58" s="1997"/>
      <c r="HJ58" s="1997"/>
      <c r="HK58" s="1997"/>
      <c r="HL58" s="1997"/>
      <c r="HM58" s="1997"/>
      <c r="HN58" s="1997"/>
      <c r="HO58" s="1997"/>
      <c r="HP58" s="1997"/>
      <c r="HQ58" s="1997"/>
      <c r="HR58" s="1997"/>
      <c r="HS58" s="1997"/>
      <c r="HT58" s="1997"/>
      <c r="HU58" s="1997"/>
      <c r="HV58" s="1997"/>
      <c r="HW58" s="1997"/>
      <c r="HX58" s="1997"/>
      <c r="HY58" s="1997"/>
      <c r="HZ58" s="1997"/>
      <c r="IA58" s="1997"/>
      <c r="IB58" s="1997"/>
      <c r="IC58" s="1997"/>
      <c r="ID58" s="1997"/>
      <c r="IE58" s="1997"/>
      <c r="IF58" s="1997"/>
      <c r="IG58" s="1997"/>
      <c r="IH58" s="1997"/>
      <c r="II58" s="1997"/>
      <c r="IJ58" s="1997"/>
      <c r="IK58" s="1997"/>
      <c r="IL58" s="1997"/>
      <c r="IM58" s="1997"/>
      <c r="IN58" s="1997"/>
      <c r="IO58" s="1997"/>
      <c r="IP58" s="1997"/>
      <c r="IQ58" s="1997"/>
    </row>
    <row r="59" spans="1:251" hidden="1">
      <c r="A59" s="1993"/>
      <c r="B59" s="1998"/>
      <c r="C59" s="1998"/>
      <c r="D59" s="2034"/>
      <c r="E59" s="1998"/>
      <c r="F59" s="1940">
        <f t="shared" si="14"/>
        <v>0</v>
      </c>
      <c r="G59" s="1993"/>
      <c r="H59" s="1940">
        <f t="shared" si="23"/>
        <v>0</v>
      </c>
      <c r="I59" s="1993"/>
      <c r="J59" s="1940">
        <f t="shared" si="5"/>
        <v>0</v>
      </c>
      <c r="K59" s="1993"/>
      <c r="L59" s="1940">
        <f t="shared" si="24"/>
        <v>0</v>
      </c>
      <c r="M59" s="1940">
        <f t="shared" si="25"/>
        <v>0</v>
      </c>
      <c r="N59" s="1940">
        <f t="shared" si="26"/>
        <v>0</v>
      </c>
      <c r="O59" s="1993"/>
      <c r="P59" s="1993"/>
      <c r="Q59" s="1940">
        <f t="shared" si="27"/>
        <v>0</v>
      </c>
      <c r="R59" s="1940">
        <f t="shared" si="9"/>
        <v>0</v>
      </c>
      <c r="S59" s="1940">
        <f t="shared" si="28"/>
        <v>0</v>
      </c>
      <c r="T59" s="1940">
        <f t="shared" si="29"/>
        <v>0</v>
      </c>
      <c r="U59" s="1940">
        <f t="shared" si="30"/>
        <v>0</v>
      </c>
      <c r="V59" s="1997"/>
      <c r="W59" s="1997"/>
      <c r="X59" s="1997"/>
      <c r="Y59" s="1997"/>
      <c r="Z59" s="1997"/>
      <c r="AA59" s="1997"/>
      <c r="AB59" s="1997"/>
      <c r="AC59" s="1997"/>
      <c r="AD59" s="1997"/>
      <c r="AE59" s="1997"/>
      <c r="AF59" s="1997"/>
      <c r="AG59" s="1997"/>
      <c r="AH59" s="1997"/>
      <c r="AI59" s="1997"/>
      <c r="AJ59" s="1997"/>
      <c r="AK59" s="1997"/>
      <c r="AL59" s="1997"/>
      <c r="AM59" s="1997"/>
      <c r="AN59" s="1997"/>
      <c r="AO59" s="1997"/>
      <c r="AP59" s="1997"/>
      <c r="AQ59" s="1997"/>
      <c r="AR59" s="1997"/>
      <c r="AS59" s="1997"/>
      <c r="AT59" s="1997"/>
      <c r="AU59" s="1997"/>
      <c r="AV59" s="1997"/>
      <c r="AW59" s="1997"/>
      <c r="AX59" s="1997"/>
      <c r="AY59" s="1997"/>
      <c r="AZ59" s="1997"/>
      <c r="BA59" s="1997"/>
      <c r="BB59" s="1997"/>
      <c r="BC59" s="1997"/>
      <c r="BD59" s="1997"/>
      <c r="BE59" s="1997"/>
      <c r="BF59" s="1997"/>
      <c r="BG59" s="1997"/>
      <c r="BH59" s="1997"/>
      <c r="BI59" s="1997"/>
      <c r="BJ59" s="1997"/>
      <c r="BK59" s="1997"/>
      <c r="BL59" s="1997"/>
      <c r="BM59" s="1997"/>
      <c r="BN59" s="1997"/>
      <c r="BO59" s="1997"/>
      <c r="BP59" s="1997"/>
      <c r="BQ59" s="1997"/>
      <c r="BR59" s="1997"/>
      <c r="BS59" s="1997"/>
      <c r="BT59" s="1997"/>
      <c r="BU59" s="1997"/>
      <c r="BV59" s="1997"/>
      <c r="BW59" s="1997"/>
      <c r="BX59" s="1997"/>
      <c r="BY59" s="1997"/>
      <c r="BZ59" s="1997"/>
      <c r="CA59" s="1997"/>
      <c r="CB59" s="1997"/>
      <c r="CC59" s="1997"/>
      <c r="CD59" s="1997"/>
      <c r="CE59" s="1997"/>
      <c r="CF59" s="1997"/>
      <c r="CG59" s="1997"/>
      <c r="CH59" s="1997"/>
      <c r="CI59" s="1997"/>
      <c r="CJ59" s="1997"/>
      <c r="CK59" s="1997"/>
      <c r="CL59" s="1997"/>
      <c r="CM59" s="1997"/>
      <c r="CN59" s="1997"/>
      <c r="CO59" s="1997"/>
      <c r="CP59" s="1997"/>
      <c r="CQ59" s="1997"/>
      <c r="CR59" s="1997"/>
      <c r="CS59" s="1997"/>
      <c r="CT59" s="1997"/>
      <c r="CU59" s="1997"/>
      <c r="CV59" s="1997"/>
      <c r="CW59" s="1997"/>
      <c r="CX59" s="1997"/>
      <c r="CY59" s="1997"/>
      <c r="CZ59" s="1997"/>
      <c r="DA59" s="1997"/>
      <c r="DB59" s="1997"/>
      <c r="DC59" s="1997"/>
      <c r="DD59" s="1997"/>
      <c r="DE59" s="1997"/>
      <c r="DF59" s="1997"/>
      <c r="DG59" s="1997"/>
      <c r="DH59" s="1997"/>
      <c r="DI59" s="1997"/>
      <c r="DJ59" s="1997"/>
      <c r="DK59" s="1997"/>
      <c r="DL59" s="1997"/>
      <c r="DM59" s="1997"/>
      <c r="DN59" s="1997"/>
      <c r="DO59" s="1997"/>
      <c r="DP59" s="1997"/>
      <c r="DQ59" s="1997"/>
      <c r="DR59" s="1997"/>
      <c r="DS59" s="1997"/>
      <c r="DT59" s="1997"/>
      <c r="DU59" s="1997"/>
      <c r="DV59" s="1997"/>
      <c r="DW59" s="1997"/>
      <c r="DX59" s="1997"/>
      <c r="DY59" s="1997"/>
      <c r="DZ59" s="1997"/>
      <c r="EA59" s="1997"/>
      <c r="EB59" s="1997"/>
      <c r="EC59" s="1997"/>
      <c r="ED59" s="1997"/>
      <c r="EE59" s="1997"/>
      <c r="EF59" s="1997"/>
      <c r="EG59" s="1997"/>
      <c r="EH59" s="1997"/>
      <c r="EI59" s="1997"/>
      <c r="EJ59" s="1997"/>
      <c r="EK59" s="1997"/>
      <c r="EL59" s="1997"/>
      <c r="EM59" s="1997"/>
      <c r="EN59" s="1997"/>
      <c r="EO59" s="1997"/>
      <c r="EP59" s="1997"/>
      <c r="EQ59" s="1997"/>
      <c r="ER59" s="1997"/>
      <c r="ES59" s="1997"/>
      <c r="ET59" s="1997"/>
      <c r="EU59" s="1997"/>
      <c r="EV59" s="1997"/>
      <c r="EW59" s="1997"/>
      <c r="EX59" s="1997"/>
      <c r="EY59" s="1997"/>
      <c r="EZ59" s="1997"/>
      <c r="FA59" s="1997"/>
      <c r="FB59" s="1997"/>
      <c r="FC59" s="1997"/>
      <c r="FD59" s="1997"/>
      <c r="FE59" s="1997"/>
      <c r="FF59" s="1997"/>
      <c r="FG59" s="1997"/>
      <c r="FH59" s="1997"/>
      <c r="FI59" s="1997"/>
      <c r="FJ59" s="1997"/>
      <c r="FK59" s="1997"/>
      <c r="FL59" s="1997"/>
      <c r="FM59" s="1997"/>
      <c r="FN59" s="1997"/>
      <c r="FO59" s="1997"/>
      <c r="FP59" s="1997"/>
      <c r="FQ59" s="1997"/>
      <c r="FR59" s="1997"/>
      <c r="FS59" s="1997"/>
      <c r="FT59" s="1997"/>
      <c r="FU59" s="1997"/>
      <c r="FV59" s="1997"/>
      <c r="FW59" s="1997"/>
      <c r="FX59" s="1997"/>
      <c r="FY59" s="1997"/>
      <c r="FZ59" s="1997"/>
      <c r="GA59" s="1997"/>
      <c r="GB59" s="1997"/>
      <c r="GC59" s="1997"/>
      <c r="GD59" s="1997"/>
      <c r="GE59" s="1997"/>
      <c r="GF59" s="1997"/>
      <c r="GG59" s="1997"/>
      <c r="GH59" s="1997"/>
      <c r="GI59" s="1997"/>
      <c r="GJ59" s="1997"/>
      <c r="GK59" s="1997"/>
      <c r="GL59" s="1997"/>
      <c r="GM59" s="1997"/>
      <c r="GN59" s="1997"/>
      <c r="GO59" s="1997"/>
      <c r="GP59" s="1997"/>
      <c r="GQ59" s="1997"/>
      <c r="GR59" s="1997"/>
      <c r="GS59" s="1997"/>
      <c r="GT59" s="1997"/>
      <c r="GU59" s="1997"/>
      <c r="GV59" s="1997"/>
      <c r="GW59" s="1997"/>
      <c r="GX59" s="1997"/>
      <c r="GY59" s="1997"/>
      <c r="GZ59" s="1997"/>
      <c r="HA59" s="1997"/>
      <c r="HB59" s="1997"/>
      <c r="HC59" s="1997"/>
      <c r="HD59" s="1997"/>
      <c r="HE59" s="1997"/>
      <c r="HF59" s="1997"/>
      <c r="HG59" s="1997"/>
      <c r="HH59" s="1997"/>
      <c r="HI59" s="1997"/>
      <c r="HJ59" s="1997"/>
      <c r="HK59" s="1997"/>
      <c r="HL59" s="1997"/>
      <c r="HM59" s="1997"/>
      <c r="HN59" s="1997"/>
      <c r="HO59" s="1997"/>
      <c r="HP59" s="1997"/>
      <c r="HQ59" s="1997"/>
      <c r="HR59" s="1997"/>
      <c r="HS59" s="1997"/>
      <c r="HT59" s="1997"/>
      <c r="HU59" s="1997"/>
      <c r="HV59" s="1997"/>
      <c r="HW59" s="1997"/>
      <c r="HX59" s="1997"/>
      <c r="HY59" s="1997"/>
      <c r="HZ59" s="1997"/>
      <c r="IA59" s="1997"/>
      <c r="IB59" s="1997"/>
      <c r="IC59" s="1997"/>
      <c r="ID59" s="1997"/>
      <c r="IE59" s="1997"/>
      <c r="IF59" s="1997"/>
      <c r="IG59" s="1997"/>
      <c r="IH59" s="1997"/>
      <c r="II59" s="1997"/>
      <c r="IJ59" s="1997"/>
      <c r="IK59" s="1997"/>
      <c r="IL59" s="1997"/>
      <c r="IM59" s="1997"/>
      <c r="IN59" s="1997"/>
      <c r="IO59" s="1997"/>
      <c r="IP59" s="1997"/>
      <c r="IQ59" s="1997"/>
    </row>
    <row r="60" spans="1:251" hidden="1">
      <c r="A60" s="1993"/>
      <c r="B60" s="1998"/>
      <c r="C60" s="1998"/>
      <c r="D60" s="2034"/>
      <c r="E60" s="1998"/>
      <c r="F60" s="1940">
        <f t="shared" si="14"/>
        <v>0</v>
      </c>
      <c r="G60" s="1993"/>
      <c r="H60" s="1940">
        <f t="shared" si="23"/>
        <v>0</v>
      </c>
      <c r="I60" s="1993"/>
      <c r="J60" s="1940">
        <f t="shared" si="5"/>
        <v>0</v>
      </c>
      <c r="K60" s="1993"/>
      <c r="L60" s="1940">
        <f t="shared" si="24"/>
        <v>0</v>
      </c>
      <c r="M60" s="1940">
        <f t="shared" si="25"/>
        <v>0</v>
      </c>
      <c r="N60" s="1940">
        <f t="shared" si="26"/>
        <v>0</v>
      </c>
      <c r="O60" s="1993"/>
      <c r="P60" s="1993"/>
      <c r="Q60" s="1940">
        <f t="shared" si="27"/>
        <v>0</v>
      </c>
      <c r="R60" s="1940">
        <f t="shared" si="9"/>
        <v>0</v>
      </c>
      <c r="S60" s="1940">
        <f t="shared" si="28"/>
        <v>0</v>
      </c>
      <c r="T60" s="1940">
        <f t="shared" si="29"/>
        <v>0</v>
      </c>
      <c r="U60" s="1940">
        <f t="shared" si="30"/>
        <v>0</v>
      </c>
      <c r="V60" s="1997"/>
      <c r="W60" s="1997"/>
      <c r="X60" s="1997"/>
      <c r="Y60" s="1997"/>
      <c r="Z60" s="1997"/>
      <c r="AA60" s="1997"/>
      <c r="AB60" s="1997"/>
      <c r="AC60" s="1997"/>
      <c r="AD60" s="1997"/>
      <c r="AE60" s="1997"/>
      <c r="AF60" s="1997"/>
      <c r="AG60" s="1997"/>
      <c r="AH60" s="1997"/>
      <c r="AI60" s="1997"/>
      <c r="AJ60" s="1997"/>
      <c r="AK60" s="1997"/>
      <c r="AL60" s="1997"/>
      <c r="AM60" s="1997"/>
      <c r="AN60" s="1997"/>
      <c r="AO60" s="1997"/>
      <c r="AP60" s="1997"/>
      <c r="AQ60" s="1997"/>
      <c r="AR60" s="1997"/>
      <c r="AS60" s="1997"/>
      <c r="AT60" s="1997"/>
      <c r="AU60" s="1997"/>
      <c r="AV60" s="1997"/>
      <c r="AW60" s="1997"/>
      <c r="AX60" s="1997"/>
      <c r="AY60" s="1997"/>
      <c r="AZ60" s="1997"/>
      <c r="BA60" s="1997"/>
      <c r="BB60" s="1997"/>
      <c r="BC60" s="1997"/>
      <c r="BD60" s="1997"/>
      <c r="BE60" s="1997"/>
      <c r="BF60" s="1997"/>
      <c r="BG60" s="1997"/>
      <c r="BH60" s="1997"/>
      <c r="BI60" s="1997"/>
      <c r="BJ60" s="1997"/>
      <c r="BK60" s="1997"/>
      <c r="BL60" s="1997"/>
      <c r="BM60" s="1997"/>
      <c r="BN60" s="1997"/>
      <c r="BO60" s="1997"/>
      <c r="BP60" s="1997"/>
      <c r="BQ60" s="1997"/>
      <c r="BR60" s="1997"/>
      <c r="BS60" s="1997"/>
      <c r="BT60" s="1997"/>
      <c r="BU60" s="1997"/>
      <c r="BV60" s="1997"/>
      <c r="BW60" s="1997"/>
      <c r="BX60" s="1997"/>
      <c r="BY60" s="1997"/>
      <c r="BZ60" s="1997"/>
      <c r="CA60" s="1997"/>
      <c r="CB60" s="1997"/>
      <c r="CC60" s="1997"/>
      <c r="CD60" s="1997"/>
      <c r="CE60" s="1997"/>
      <c r="CF60" s="1997"/>
      <c r="CG60" s="1997"/>
      <c r="CH60" s="1997"/>
      <c r="CI60" s="1997"/>
      <c r="CJ60" s="1997"/>
      <c r="CK60" s="1997"/>
      <c r="CL60" s="1997"/>
      <c r="CM60" s="1997"/>
      <c r="CN60" s="1997"/>
      <c r="CO60" s="1997"/>
      <c r="CP60" s="1997"/>
      <c r="CQ60" s="1997"/>
      <c r="CR60" s="1997"/>
      <c r="CS60" s="1997"/>
      <c r="CT60" s="1997"/>
      <c r="CU60" s="1997"/>
      <c r="CV60" s="1997"/>
      <c r="CW60" s="1997"/>
      <c r="CX60" s="1997"/>
      <c r="CY60" s="1997"/>
      <c r="CZ60" s="1997"/>
      <c r="DA60" s="1997"/>
      <c r="DB60" s="1997"/>
      <c r="DC60" s="1997"/>
      <c r="DD60" s="1997"/>
      <c r="DE60" s="1997"/>
      <c r="DF60" s="1997"/>
      <c r="DG60" s="1997"/>
      <c r="DH60" s="1997"/>
      <c r="DI60" s="1997"/>
      <c r="DJ60" s="1997"/>
      <c r="DK60" s="1997"/>
      <c r="DL60" s="1997"/>
      <c r="DM60" s="1997"/>
      <c r="DN60" s="1997"/>
      <c r="DO60" s="1997"/>
      <c r="DP60" s="1997"/>
      <c r="DQ60" s="1997"/>
      <c r="DR60" s="1997"/>
      <c r="DS60" s="1997"/>
      <c r="DT60" s="1997"/>
      <c r="DU60" s="1997"/>
      <c r="DV60" s="1997"/>
      <c r="DW60" s="1997"/>
      <c r="DX60" s="1997"/>
      <c r="DY60" s="1997"/>
      <c r="DZ60" s="1997"/>
      <c r="EA60" s="1997"/>
      <c r="EB60" s="1997"/>
      <c r="EC60" s="1997"/>
      <c r="ED60" s="1997"/>
      <c r="EE60" s="1997"/>
      <c r="EF60" s="1997"/>
      <c r="EG60" s="1997"/>
      <c r="EH60" s="1997"/>
      <c r="EI60" s="1997"/>
      <c r="EJ60" s="1997"/>
      <c r="EK60" s="1997"/>
      <c r="EL60" s="1997"/>
      <c r="EM60" s="1997"/>
      <c r="EN60" s="1997"/>
      <c r="EO60" s="1997"/>
      <c r="EP60" s="1997"/>
      <c r="EQ60" s="1997"/>
      <c r="ER60" s="1997"/>
      <c r="ES60" s="1997"/>
      <c r="ET60" s="1997"/>
      <c r="EU60" s="1997"/>
      <c r="EV60" s="1997"/>
      <c r="EW60" s="1997"/>
      <c r="EX60" s="1997"/>
      <c r="EY60" s="1997"/>
      <c r="EZ60" s="1997"/>
      <c r="FA60" s="1997"/>
      <c r="FB60" s="1997"/>
      <c r="FC60" s="1997"/>
      <c r="FD60" s="1997"/>
      <c r="FE60" s="1997"/>
      <c r="FF60" s="1997"/>
      <c r="FG60" s="1997"/>
      <c r="FH60" s="1997"/>
      <c r="FI60" s="1997"/>
      <c r="FJ60" s="1997"/>
      <c r="FK60" s="1997"/>
      <c r="FL60" s="1997"/>
      <c r="FM60" s="1997"/>
      <c r="FN60" s="1997"/>
      <c r="FO60" s="1997"/>
      <c r="FP60" s="1997"/>
      <c r="FQ60" s="1997"/>
      <c r="FR60" s="1997"/>
      <c r="FS60" s="1997"/>
      <c r="FT60" s="1997"/>
      <c r="FU60" s="1997"/>
      <c r="FV60" s="1997"/>
      <c r="FW60" s="1997"/>
      <c r="FX60" s="1997"/>
      <c r="FY60" s="1997"/>
      <c r="FZ60" s="1997"/>
      <c r="GA60" s="1997"/>
      <c r="GB60" s="1997"/>
      <c r="GC60" s="1997"/>
      <c r="GD60" s="1997"/>
      <c r="GE60" s="1997"/>
      <c r="GF60" s="1997"/>
      <c r="GG60" s="1997"/>
      <c r="GH60" s="1997"/>
      <c r="GI60" s="1997"/>
      <c r="GJ60" s="1997"/>
      <c r="GK60" s="1997"/>
      <c r="GL60" s="1997"/>
      <c r="GM60" s="1997"/>
      <c r="GN60" s="1997"/>
      <c r="GO60" s="1997"/>
      <c r="GP60" s="1997"/>
      <c r="GQ60" s="1997"/>
      <c r="GR60" s="1997"/>
      <c r="GS60" s="1997"/>
      <c r="GT60" s="1997"/>
      <c r="GU60" s="1997"/>
      <c r="GV60" s="1997"/>
      <c r="GW60" s="1997"/>
      <c r="GX60" s="1997"/>
      <c r="GY60" s="1997"/>
      <c r="GZ60" s="1997"/>
      <c r="HA60" s="1997"/>
      <c r="HB60" s="1997"/>
      <c r="HC60" s="1997"/>
      <c r="HD60" s="1997"/>
      <c r="HE60" s="1997"/>
      <c r="HF60" s="1997"/>
      <c r="HG60" s="1997"/>
      <c r="HH60" s="1997"/>
      <c r="HI60" s="1997"/>
      <c r="HJ60" s="1997"/>
      <c r="HK60" s="1997"/>
      <c r="HL60" s="1997"/>
      <c r="HM60" s="1997"/>
      <c r="HN60" s="1997"/>
      <c r="HO60" s="1997"/>
      <c r="HP60" s="1997"/>
      <c r="HQ60" s="1997"/>
      <c r="HR60" s="1997"/>
      <c r="HS60" s="1997"/>
      <c r="HT60" s="1997"/>
      <c r="HU60" s="1997"/>
      <c r="HV60" s="1997"/>
      <c r="HW60" s="1997"/>
      <c r="HX60" s="1997"/>
      <c r="HY60" s="1997"/>
      <c r="HZ60" s="1997"/>
      <c r="IA60" s="1997"/>
      <c r="IB60" s="1997"/>
      <c r="IC60" s="1997"/>
      <c r="ID60" s="1997"/>
      <c r="IE60" s="1997"/>
      <c r="IF60" s="1997"/>
      <c r="IG60" s="1997"/>
      <c r="IH60" s="1997"/>
      <c r="II60" s="1997"/>
      <c r="IJ60" s="1997"/>
      <c r="IK60" s="1997"/>
      <c r="IL60" s="1997"/>
      <c r="IM60" s="1997"/>
      <c r="IN60" s="1997"/>
      <c r="IO60" s="1997"/>
      <c r="IP60" s="1997"/>
      <c r="IQ60" s="1997"/>
    </row>
    <row r="61" spans="1:251" hidden="1">
      <c r="A61" s="1993"/>
      <c r="B61" s="1998"/>
      <c r="C61" s="1998"/>
      <c r="D61" s="2034"/>
      <c r="E61" s="1998"/>
      <c r="F61" s="1940">
        <f t="shared" si="14"/>
        <v>0</v>
      </c>
      <c r="G61" s="1993"/>
      <c r="H61" s="1940">
        <f t="shared" si="23"/>
        <v>0</v>
      </c>
      <c r="I61" s="1993"/>
      <c r="J61" s="1940">
        <f t="shared" si="5"/>
        <v>0</v>
      </c>
      <c r="K61" s="1993"/>
      <c r="L61" s="1940">
        <f t="shared" si="24"/>
        <v>0</v>
      </c>
      <c r="M61" s="1940">
        <f t="shared" si="25"/>
        <v>0</v>
      </c>
      <c r="N61" s="1940">
        <f t="shared" si="26"/>
        <v>0</v>
      </c>
      <c r="O61" s="1993"/>
      <c r="P61" s="1993"/>
      <c r="Q61" s="1940">
        <f t="shared" si="27"/>
        <v>0</v>
      </c>
      <c r="R61" s="1940">
        <f t="shared" si="9"/>
        <v>0</v>
      </c>
      <c r="S61" s="1940">
        <f t="shared" si="28"/>
        <v>0</v>
      </c>
      <c r="T61" s="1940">
        <f t="shared" si="29"/>
        <v>0</v>
      </c>
      <c r="U61" s="1940">
        <f t="shared" si="30"/>
        <v>0</v>
      </c>
      <c r="V61" s="1997"/>
      <c r="W61" s="1997"/>
      <c r="X61" s="1997"/>
      <c r="Y61" s="1997"/>
      <c r="Z61" s="1997"/>
      <c r="AA61" s="1997"/>
      <c r="AB61" s="1997"/>
      <c r="AC61" s="1997"/>
      <c r="AD61" s="1997"/>
      <c r="AE61" s="1997"/>
      <c r="AF61" s="1997"/>
      <c r="AG61" s="1997"/>
      <c r="AH61" s="1997"/>
      <c r="AI61" s="1997"/>
      <c r="AJ61" s="1997"/>
      <c r="AK61" s="1997"/>
      <c r="AL61" s="1997"/>
      <c r="AM61" s="1997"/>
      <c r="AN61" s="1997"/>
      <c r="AO61" s="1997"/>
      <c r="AP61" s="1997"/>
      <c r="AQ61" s="1997"/>
      <c r="AR61" s="1997"/>
      <c r="AS61" s="1997"/>
      <c r="AT61" s="1997"/>
      <c r="AU61" s="1997"/>
      <c r="AV61" s="1997"/>
      <c r="AW61" s="1997"/>
      <c r="AX61" s="1997"/>
      <c r="AY61" s="1997"/>
      <c r="AZ61" s="1997"/>
      <c r="BA61" s="1997"/>
      <c r="BB61" s="1997"/>
      <c r="BC61" s="1997"/>
      <c r="BD61" s="1997"/>
      <c r="BE61" s="1997"/>
      <c r="BF61" s="1997"/>
      <c r="BG61" s="1997"/>
      <c r="BH61" s="1997"/>
      <c r="BI61" s="1997"/>
      <c r="BJ61" s="1997"/>
      <c r="BK61" s="1997"/>
      <c r="BL61" s="1997"/>
      <c r="BM61" s="1997"/>
      <c r="BN61" s="1997"/>
      <c r="BO61" s="1997"/>
      <c r="BP61" s="1997"/>
      <c r="BQ61" s="1997"/>
      <c r="BR61" s="1997"/>
      <c r="BS61" s="1997"/>
      <c r="BT61" s="1997"/>
      <c r="BU61" s="1997"/>
      <c r="BV61" s="1997"/>
      <c r="BW61" s="1997"/>
      <c r="BX61" s="1997"/>
      <c r="BY61" s="1997"/>
      <c r="BZ61" s="1997"/>
      <c r="CA61" s="1997"/>
      <c r="CB61" s="1997"/>
      <c r="CC61" s="1997"/>
      <c r="CD61" s="1997"/>
      <c r="CE61" s="1997"/>
      <c r="CF61" s="1997"/>
      <c r="CG61" s="1997"/>
      <c r="CH61" s="1997"/>
      <c r="CI61" s="1997"/>
      <c r="CJ61" s="1997"/>
      <c r="CK61" s="1997"/>
      <c r="CL61" s="1997"/>
      <c r="CM61" s="1997"/>
      <c r="CN61" s="1997"/>
      <c r="CO61" s="1997"/>
      <c r="CP61" s="1997"/>
      <c r="CQ61" s="1997"/>
      <c r="CR61" s="1997"/>
      <c r="CS61" s="1997"/>
      <c r="CT61" s="1997"/>
      <c r="CU61" s="1997"/>
      <c r="CV61" s="1997"/>
      <c r="CW61" s="1997"/>
      <c r="CX61" s="1997"/>
      <c r="CY61" s="1997"/>
      <c r="CZ61" s="1997"/>
      <c r="DA61" s="1997"/>
      <c r="DB61" s="1997"/>
      <c r="DC61" s="1997"/>
      <c r="DD61" s="1997"/>
      <c r="DE61" s="1997"/>
      <c r="DF61" s="1997"/>
      <c r="DG61" s="1997"/>
      <c r="DH61" s="1997"/>
      <c r="DI61" s="1997"/>
      <c r="DJ61" s="1997"/>
      <c r="DK61" s="1997"/>
      <c r="DL61" s="1997"/>
      <c r="DM61" s="1997"/>
      <c r="DN61" s="1997"/>
      <c r="DO61" s="1997"/>
      <c r="DP61" s="1997"/>
      <c r="DQ61" s="1997"/>
      <c r="DR61" s="1997"/>
      <c r="DS61" s="1997"/>
      <c r="DT61" s="1997"/>
      <c r="DU61" s="1997"/>
      <c r="DV61" s="1997"/>
      <c r="DW61" s="1997"/>
      <c r="DX61" s="1997"/>
      <c r="DY61" s="1997"/>
      <c r="DZ61" s="1997"/>
      <c r="EA61" s="1997"/>
      <c r="EB61" s="1997"/>
      <c r="EC61" s="1997"/>
      <c r="ED61" s="1997"/>
      <c r="EE61" s="1997"/>
      <c r="EF61" s="1997"/>
      <c r="EG61" s="1997"/>
      <c r="EH61" s="1997"/>
      <c r="EI61" s="1997"/>
      <c r="EJ61" s="1997"/>
      <c r="EK61" s="1997"/>
      <c r="EL61" s="1997"/>
      <c r="EM61" s="1997"/>
      <c r="EN61" s="1997"/>
      <c r="EO61" s="1997"/>
      <c r="EP61" s="1997"/>
      <c r="EQ61" s="1997"/>
      <c r="ER61" s="1997"/>
      <c r="ES61" s="1997"/>
      <c r="ET61" s="1997"/>
      <c r="EU61" s="1997"/>
      <c r="EV61" s="1997"/>
      <c r="EW61" s="1997"/>
      <c r="EX61" s="1997"/>
      <c r="EY61" s="1997"/>
      <c r="EZ61" s="1997"/>
      <c r="FA61" s="1997"/>
      <c r="FB61" s="1997"/>
      <c r="FC61" s="1997"/>
      <c r="FD61" s="1997"/>
      <c r="FE61" s="1997"/>
      <c r="FF61" s="1997"/>
      <c r="FG61" s="1997"/>
      <c r="FH61" s="1997"/>
      <c r="FI61" s="1997"/>
      <c r="FJ61" s="1997"/>
      <c r="FK61" s="1997"/>
      <c r="FL61" s="1997"/>
      <c r="FM61" s="1997"/>
      <c r="FN61" s="1997"/>
      <c r="FO61" s="1997"/>
      <c r="FP61" s="1997"/>
      <c r="FQ61" s="1997"/>
      <c r="FR61" s="1997"/>
      <c r="FS61" s="1997"/>
      <c r="FT61" s="1997"/>
      <c r="FU61" s="1997"/>
      <c r="FV61" s="1997"/>
      <c r="FW61" s="1997"/>
      <c r="FX61" s="1997"/>
      <c r="FY61" s="1997"/>
      <c r="FZ61" s="1997"/>
      <c r="GA61" s="1997"/>
      <c r="GB61" s="1997"/>
      <c r="GC61" s="1997"/>
      <c r="GD61" s="1997"/>
      <c r="GE61" s="1997"/>
      <c r="GF61" s="1997"/>
      <c r="GG61" s="1997"/>
      <c r="GH61" s="1997"/>
      <c r="GI61" s="1997"/>
      <c r="GJ61" s="1997"/>
      <c r="GK61" s="1997"/>
      <c r="GL61" s="1997"/>
      <c r="GM61" s="1997"/>
      <c r="GN61" s="1997"/>
      <c r="GO61" s="1997"/>
      <c r="GP61" s="1997"/>
      <c r="GQ61" s="1997"/>
      <c r="GR61" s="1997"/>
      <c r="GS61" s="1997"/>
      <c r="GT61" s="1997"/>
      <c r="GU61" s="1997"/>
      <c r="GV61" s="1997"/>
      <c r="GW61" s="1997"/>
      <c r="GX61" s="1997"/>
      <c r="GY61" s="1997"/>
      <c r="GZ61" s="1997"/>
      <c r="HA61" s="1997"/>
      <c r="HB61" s="1997"/>
      <c r="HC61" s="1997"/>
      <c r="HD61" s="1997"/>
      <c r="HE61" s="1997"/>
      <c r="HF61" s="1997"/>
      <c r="HG61" s="1997"/>
      <c r="HH61" s="1997"/>
      <c r="HI61" s="1997"/>
      <c r="HJ61" s="1997"/>
      <c r="HK61" s="1997"/>
      <c r="HL61" s="1997"/>
      <c r="HM61" s="1997"/>
      <c r="HN61" s="1997"/>
      <c r="HO61" s="1997"/>
      <c r="HP61" s="1997"/>
      <c r="HQ61" s="1997"/>
      <c r="HR61" s="1997"/>
      <c r="HS61" s="1997"/>
      <c r="HT61" s="1997"/>
      <c r="HU61" s="1997"/>
      <c r="HV61" s="1997"/>
      <c r="HW61" s="1997"/>
      <c r="HX61" s="1997"/>
      <c r="HY61" s="1997"/>
      <c r="HZ61" s="1997"/>
      <c r="IA61" s="1997"/>
      <c r="IB61" s="1997"/>
      <c r="IC61" s="1997"/>
      <c r="ID61" s="1997"/>
      <c r="IE61" s="1997"/>
      <c r="IF61" s="1997"/>
      <c r="IG61" s="1997"/>
      <c r="IH61" s="1997"/>
      <c r="II61" s="1997"/>
      <c r="IJ61" s="1997"/>
      <c r="IK61" s="1997"/>
      <c r="IL61" s="1997"/>
      <c r="IM61" s="1997"/>
      <c r="IN61" s="1997"/>
      <c r="IO61" s="1997"/>
      <c r="IP61" s="1997"/>
      <c r="IQ61" s="1997"/>
    </row>
    <row r="62" spans="1:251" hidden="1">
      <c r="A62" s="1993"/>
      <c r="B62" s="1998"/>
      <c r="C62" s="1998"/>
      <c r="D62" s="2034"/>
      <c r="E62" s="1998"/>
      <c r="F62" s="1940">
        <f t="shared" si="14"/>
        <v>0</v>
      </c>
      <c r="G62" s="1993"/>
      <c r="H62" s="1940">
        <f t="shared" si="23"/>
        <v>0</v>
      </c>
      <c r="I62" s="1993"/>
      <c r="J62" s="1940">
        <f t="shared" si="5"/>
        <v>0</v>
      </c>
      <c r="K62" s="1993"/>
      <c r="L62" s="1940">
        <f t="shared" si="24"/>
        <v>0</v>
      </c>
      <c r="M62" s="1940">
        <f t="shared" si="25"/>
        <v>0</v>
      </c>
      <c r="N62" s="1940">
        <f t="shared" si="26"/>
        <v>0</v>
      </c>
      <c r="O62" s="1993"/>
      <c r="P62" s="1993"/>
      <c r="Q62" s="1940">
        <f t="shared" si="27"/>
        <v>0</v>
      </c>
      <c r="R62" s="1940">
        <f t="shared" si="9"/>
        <v>0</v>
      </c>
      <c r="S62" s="1940">
        <f t="shared" si="28"/>
        <v>0</v>
      </c>
      <c r="T62" s="1940">
        <f t="shared" si="29"/>
        <v>0</v>
      </c>
      <c r="U62" s="1940">
        <f t="shared" si="30"/>
        <v>0</v>
      </c>
      <c r="V62" s="1997"/>
      <c r="W62" s="1997"/>
      <c r="X62" s="1997"/>
      <c r="Y62" s="1997"/>
      <c r="Z62" s="1997"/>
      <c r="AA62" s="1997"/>
      <c r="AB62" s="1997"/>
      <c r="AC62" s="1997"/>
      <c r="AD62" s="1997"/>
      <c r="AE62" s="1997"/>
      <c r="AF62" s="1997"/>
      <c r="AG62" s="1997"/>
      <c r="AH62" s="1997"/>
      <c r="AI62" s="1997"/>
      <c r="AJ62" s="1997"/>
      <c r="AK62" s="1997"/>
      <c r="AL62" s="1997"/>
      <c r="AM62" s="1997"/>
      <c r="AN62" s="1997"/>
      <c r="AO62" s="1997"/>
      <c r="AP62" s="1997"/>
      <c r="AQ62" s="1997"/>
      <c r="AR62" s="1997"/>
      <c r="AS62" s="1997"/>
      <c r="AT62" s="1997"/>
      <c r="AU62" s="1997"/>
      <c r="AV62" s="1997"/>
      <c r="AW62" s="1997"/>
      <c r="AX62" s="1997"/>
      <c r="AY62" s="1997"/>
      <c r="AZ62" s="1997"/>
      <c r="BA62" s="1997"/>
      <c r="BB62" s="1997"/>
      <c r="BC62" s="1997"/>
      <c r="BD62" s="1997"/>
      <c r="BE62" s="1997"/>
      <c r="BF62" s="1997"/>
      <c r="BG62" s="1997"/>
      <c r="BH62" s="1997"/>
      <c r="BI62" s="1997"/>
      <c r="BJ62" s="1997"/>
      <c r="BK62" s="1997"/>
      <c r="BL62" s="1997"/>
      <c r="BM62" s="1997"/>
      <c r="BN62" s="1997"/>
      <c r="BO62" s="1997"/>
      <c r="BP62" s="1997"/>
      <c r="BQ62" s="1997"/>
      <c r="BR62" s="1997"/>
      <c r="BS62" s="1997"/>
      <c r="BT62" s="1997"/>
      <c r="BU62" s="1997"/>
      <c r="BV62" s="1997"/>
      <c r="BW62" s="1997"/>
      <c r="BX62" s="1997"/>
      <c r="BY62" s="1997"/>
      <c r="BZ62" s="1997"/>
      <c r="CA62" s="1997"/>
      <c r="CB62" s="1997"/>
      <c r="CC62" s="1997"/>
      <c r="CD62" s="1997"/>
      <c r="CE62" s="1997"/>
      <c r="CF62" s="1997"/>
      <c r="CG62" s="1997"/>
      <c r="CH62" s="1997"/>
      <c r="CI62" s="1997"/>
      <c r="CJ62" s="1997"/>
      <c r="CK62" s="1997"/>
      <c r="CL62" s="1997"/>
      <c r="CM62" s="1997"/>
      <c r="CN62" s="1997"/>
      <c r="CO62" s="1997"/>
      <c r="CP62" s="1997"/>
      <c r="CQ62" s="1997"/>
      <c r="CR62" s="1997"/>
      <c r="CS62" s="1997"/>
      <c r="CT62" s="1997"/>
      <c r="CU62" s="1997"/>
      <c r="CV62" s="1997"/>
      <c r="CW62" s="1997"/>
      <c r="CX62" s="1997"/>
      <c r="CY62" s="1997"/>
      <c r="CZ62" s="1997"/>
      <c r="DA62" s="1997"/>
      <c r="DB62" s="1997"/>
      <c r="DC62" s="1997"/>
      <c r="DD62" s="1997"/>
      <c r="DE62" s="1997"/>
      <c r="DF62" s="1997"/>
      <c r="DG62" s="1997"/>
      <c r="DH62" s="1997"/>
      <c r="DI62" s="1997"/>
      <c r="DJ62" s="1997"/>
      <c r="DK62" s="1997"/>
      <c r="DL62" s="1997"/>
      <c r="DM62" s="1997"/>
      <c r="DN62" s="1997"/>
      <c r="DO62" s="1997"/>
      <c r="DP62" s="1997"/>
      <c r="DQ62" s="1997"/>
      <c r="DR62" s="1997"/>
      <c r="DS62" s="1997"/>
      <c r="DT62" s="1997"/>
      <c r="DU62" s="1997"/>
      <c r="DV62" s="1997"/>
      <c r="DW62" s="1997"/>
      <c r="DX62" s="1997"/>
      <c r="DY62" s="1997"/>
      <c r="DZ62" s="1997"/>
      <c r="EA62" s="1997"/>
      <c r="EB62" s="1997"/>
      <c r="EC62" s="1997"/>
      <c r="ED62" s="1997"/>
      <c r="EE62" s="1997"/>
      <c r="EF62" s="1997"/>
      <c r="EG62" s="1997"/>
      <c r="EH62" s="1997"/>
      <c r="EI62" s="1997"/>
      <c r="EJ62" s="1997"/>
      <c r="EK62" s="1997"/>
      <c r="EL62" s="1997"/>
      <c r="EM62" s="1997"/>
      <c r="EN62" s="1997"/>
      <c r="EO62" s="1997"/>
      <c r="EP62" s="1997"/>
      <c r="EQ62" s="1997"/>
      <c r="ER62" s="1997"/>
      <c r="ES62" s="1997"/>
      <c r="ET62" s="1997"/>
      <c r="EU62" s="1997"/>
      <c r="EV62" s="1997"/>
      <c r="EW62" s="1997"/>
      <c r="EX62" s="1997"/>
      <c r="EY62" s="1997"/>
      <c r="EZ62" s="1997"/>
      <c r="FA62" s="1997"/>
      <c r="FB62" s="1997"/>
      <c r="FC62" s="1997"/>
      <c r="FD62" s="1997"/>
      <c r="FE62" s="1997"/>
      <c r="FF62" s="1997"/>
      <c r="FG62" s="1997"/>
      <c r="FH62" s="1997"/>
      <c r="FI62" s="1997"/>
      <c r="FJ62" s="1997"/>
      <c r="FK62" s="1997"/>
      <c r="FL62" s="1997"/>
      <c r="FM62" s="1997"/>
      <c r="FN62" s="1997"/>
      <c r="FO62" s="1997"/>
      <c r="FP62" s="1997"/>
      <c r="FQ62" s="1997"/>
      <c r="FR62" s="1997"/>
      <c r="FS62" s="1997"/>
      <c r="FT62" s="1997"/>
      <c r="FU62" s="1997"/>
      <c r="FV62" s="1997"/>
      <c r="FW62" s="1997"/>
      <c r="FX62" s="1997"/>
      <c r="FY62" s="1997"/>
      <c r="FZ62" s="1997"/>
      <c r="GA62" s="1997"/>
      <c r="GB62" s="1997"/>
      <c r="GC62" s="1997"/>
      <c r="GD62" s="1997"/>
      <c r="GE62" s="1997"/>
      <c r="GF62" s="1997"/>
      <c r="GG62" s="1997"/>
      <c r="GH62" s="1997"/>
      <c r="GI62" s="1997"/>
      <c r="GJ62" s="1997"/>
      <c r="GK62" s="1997"/>
      <c r="GL62" s="1997"/>
      <c r="GM62" s="1997"/>
      <c r="GN62" s="1997"/>
      <c r="GO62" s="1997"/>
      <c r="GP62" s="1997"/>
      <c r="GQ62" s="1997"/>
      <c r="GR62" s="1997"/>
      <c r="GS62" s="1997"/>
      <c r="GT62" s="1997"/>
      <c r="GU62" s="1997"/>
      <c r="GV62" s="1997"/>
      <c r="GW62" s="1997"/>
      <c r="GX62" s="1997"/>
      <c r="GY62" s="1997"/>
      <c r="GZ62" s="1997"/>
      <c r="HA62" s="1997"/>
      <c r="HB62" s="1997"/>
      <c r="HC62" s="1997"/>
      <c r="HD62" s="1997"/>
      <c r="HE62" s="1997"/>
      <c r="HF62" s="1997"/>
      <c r="HG62" s="1997"/>
      <c r="HH62" s="1997"/>
      <c r="HI62" s="1997"/>
      <c r="HJ62" s="1997"/>
      <c r="HK62" s="1997"/>
      <c r="HL62" s="1997"/>
      <c r="HM62" s="1997"/>
      <c r="HN62" s="1997"/>
      <c r="HO62" s="1997"/>
      <c r="HP62" s="1997"/>
      <c r="HQ62" s="1997"/>
      <c r="HR62" s="1997"/>
      <c r="HS62" s="1997"/>
      <c r="HT62" s="1997"/>
      <c r="HU62" s="1997"/>
      <c r="HV62" s="1997"/>
      <c r="HW62" s="1997"/>
      <c r="HX62" s="1997"/>
      <c r="HY62" s="1997"/>
      <c r="HZ62" s="1997"/>
      <c r="IA62" s="1997"/>
      <c r="IB62" s="1997"/>
      <c r="IC62" s="1997"/>
      <c r="ID62" s="1997"/>
      <c r="IE62" s="1997"/>
      <c r="IF62" s="1997"/>
      <c r="IG62" s="1997"/>
      <c r="IH62" s="1997"/>
      <c r="II62" s="1997"/>
      <c r="IJ62" s="1997"/>
      <c r="IK62" s="1997"/>
      <c r="IL62" s="1997"/>
      <c r="IM62" s="1997"/>
      <c r="IN62" s="1997"/>
      <c r="IO62" s="1997"/>
      <c r="IP62" s="1997"/>
      <c r="IQ62" s="1997"/>
    </row>
    <row r="63" spans="1:251" hidden="1">
      <c r="A63" s="1993"/>
      <c r="B63" s="1998"/>
      <c r="C63" s="1998"/>
      <c r="D63" s="2034"/>
      <c r="E63" s="1998"/>
      <c r="F63" s="1940">
        <f t="shared" si="14"/>
        <v>0</v>
      </c>
      <c r="G63" s="1993"/>
      <c r="H63" s="1940">
        <f t="shared" si="23"/>
        <v>0</v>
      </c>
      <c r="I63" s="1993"/>
      <c r="J63" s="1940">
        <f t="shared" si="5"/>
        <v>0</v>
      </c>
      <c r="K63" s="1993"/>
      <c r="L63" s="1940">
        <f t="shared" si="24"/>
        <v>0</v>
      </c>
      <c r="M63" s="1940">
        <f t="shared" si="25"/>
        <v>0</v>
      </c>
      <c r="N63" s="1940">
        <f t="shared" si="26"/>
        <v>0</v>
      </c>
      <c r="O63" s="1993"/>
      <c r="P63" s="1993"/>
      <c r="Q63" s="1940">
        <f t="shared" si="27"/>
        <v>0</v>
      </c>
      <c r="R63" s="1940">
        <f t="shared" si="9"/>
        <v>0</v>
      </c>
      <c r="S63" s="1940">
        <f t="shared" si="28"/>
        <v>0</v>
      </c>
      <c r="T63" s="1940">
        <f t="shared" si="29"/>
        <v>0</v>
      </c>
      <c r="U63" s="1940">
        <f t="shared" si="30"/>
        <v>0</v>
      </c>
      <c r="V63" s="1997"/>
      <c r="W63" s="1997"/>
      <c r="X63" s="1997"/>
      <c r="Y63" s="1997"/>
      <c r="Z63" s="1997"/>
      <c r="AA63" s="1997"/>
      <c r="AB63" s="1997"/>
      <c r="AC63" s="1997"/>
      <c r="AD63" s="1997"/>
      <c r="AE63" s="1997"/>
      <c r="AF63" s="1997"/>
      <c r="AG63" s="1997"/>
      <c r="AH63" s="1997"/>
      <c r="AI63" s="1997"/>
      <c r="AJ63" s="1997"/>
      <c r="AK63" s="1997"/>
      <c r="AL63" s="1997"/>
      <c r="AM63" s="1997"/>
      <c r="AN63" s="1997"/>
      <c r="AO63" s="1997"/>
      <c r="AP63" s="1997"/>
      <c r="AQ63" s="1997"/>
      <c r="AR63" s="1997"/>
      <c r="AS63" s="1997"/>
      <c r="AT63" s="1997"/>
      <c r="AU63" s="1997"/>
      <c r="AV63" s="1997"/>
      <c r="AW63" s="1997"/>
      <c r="AX63" s="1997"/>
      <c r="AY63" s="1997"/>
      <c r="AZ63" s="1997"/>
      <c r="BA63" s="1997"/>
      <c r="BB63" s="1997"/>
      <c r="BC63" s="1997"/>
      <c r="BD63" s="1997"/>
      <c r="BE63" s="1997"/>
      <c r="BF63" s="1997"/>
      <c r="BG63" s="1997"/>
      <c r="BH63" s="1997"/>
      <c r="BI63" s="1997"/>
      <c r="BJ63" s="1997"/>
      <c r="BK63" s="1997"/>
      <c r="BL63" s="1997"/>
      <c r="BM63" s="1997"/>
      <c r="BN63" s="1997"/>
      <c r="BO63" s="1997"/>
      <c r="BP63" s="1997"/>
      <c r="BQ63" s="1997"/>
      <c r="BR63" s="1997"/>
      <c r="BS63" s="1997"/>
      <c r="BT63" s="1997"/>
      <c r="BU63" s="1997"/>
      <c r="BV63" s="1997"/>
      <c r="BW63" s="1997"/>
      <c r="BX63" s="1997"/>
      <c r="BY63" s="1997"/>
      <c r="BZ63" s="1997"/>
      <c r="CA63" s="1997"/>
      <c r="CB63" s="1997"/>
      <c r="CC63" s="1997"/>
      <c r="CD63" s="1997"/>
      <c r="CE63" s="1997"/>
      <c r="CF63" s="1997"/>
      <c r="CG63" s="1997"/>
      <c r="CH63" s="1997"/>
      <c r="CI63" s="1997"/>
      <c r="CJ63" s="1997"/>
      <c r="CK63" s="1997"/>
      <c r="CL63" s="1997"/>
      <c r="CM63" s="1997"/>
      <c r="CN63" s="1997"/>
      <c r="CO63" s="1997"/>
      <c r="CP63" s="1997"/>
      <c r="CQ63" s="1997"/>
      <c r="CR63" s="1997"/>
      <c r="CS63" s="1997"/>
      <c r="CT63" s="1997"/>
      <c r="CU63" s="1997"/>
      <c r="CV63" s="1997"/>
      <c r="CW63" s="1997"/>
      <c r="CX63" s="1997"/>
      <c r="CY63" s="1997"/>
      <c r="CZ63" s="1997"/>
      <c r="DA63" s="1997"/>
      <c r="DB63" s="1997"/>
      <c r="DC63" s="1997"/>
      <c r="DD63" s="1997"/>
      <c r="DE63" s="1997"/>
      <c r="DF63" s="1997"/>
      <c r="DG63" s="1997"/>
      <c r="DH63" s="1997"/>
      <c r="DI63" s="1997"/>
      <c r="DJ63" s="1997"/>
      <c r="DK63" s="1997"/>
      <c r="DL63" s="1997"/>
      <c r="DM63" s="1997"/>
      <c r="DN63" s="1997"/>
      <c r="DO63" s="1997"/>
      <c r="DP63" s="1997"/>
      <c r="DQ63" s="1997"/>
      <c r="DR63" s="1997"/>
      <c r="DS63" s="1997"/>
      <c r="DT63" s="1997"/>
      <c r="DU63" s="1997"/>
      <c r="DV63" s="1997"/>
      <c r="DW63" s="1997"/>
      <c r="DX63" s="1997"/>
      <c r="DY63" s="1997"/>
      <c r="DZ63" s="1997"/>
      <c r="EA63" s="1997"/>
      <c r="EB63" s="1997"/>
      <c r="EC63" s="1997"/>
      <c r="ED63" s="1997"/>
      <c r="EE63" s="1997"/>
      <c r="EF63" s="1997"/>
      <c r="EG63" s="1997"/>
      <c r="EH63" s="1997"/>
      <c r="EI63" s="1997"/>
      <c r="EJ63" s="1997"/>
      <c r="EK63" s="1997"/>
      <c r="EL63" s="1997"/>
      <c r="EM63" s="1997"/>
      <c r="EN63" s="1997"/>
      <c r="EO63" s="1997"/>
      <c r="EP63" s="1997"/>
      <c r="EQ63" s="1997"/>
      <c r="ER63" s="1997"/>
      <c r="ES63" s="1997"/>
      <c r="ET63" s="1997"/>
      <c r="EU63" s="1997"/>
      <c r="EV63" s="1997"/>
      <c r="EW63" s="1997"/>
      <c r="EX63" s="1997"/>
      <c r="EY63" s="1997"/>
      <c r="EZ63" s="1997"/>
      <c r="FA63" s="1997"/>
      <c r="FB63" s="1997"/>
      <c r="FC63" s="1997"/>
      <c r="FD63" s="1997"/>
      <c r="FE63" s="1997"/>
      <c r="FF63" s="1997"/>
      <c r="FG63" s="1997"/>
      <c r="FH63" s="1997"/>
      <c r="FI63" s="1997"/>
      <c r="FJ63" s="1997"/>
      <c r="FK63" s="1997"/>
      <c r="FL63" s="1997"/>
      <c r="FM63" s="1997"/>
      <c r="FN63" s="1997"/>
      <c r="FO63" s="1997"/>
      <c r="FP63" s="1997"/>
      <c r="FQ63" s="1997"/>
      <c r="FR63" s="1997"/>
      <c r="FS63" s="1997"/>
      <c r="FT63" s="1997"/>
      <c r="FU63" s="1997"/>
      <c r="FV63" s="1997"/>
      <c r="FW63" s="1997"/>
      <c r="FX63" s="1997"/>
      <c r="FY63" s="1997"/>
      <c r="FZ63" s="1997"/>
      <c r="GA63" s="1997"/>
      <c r="GB63" s="1997"/>
      <c r="GC63" s="1997"/>
      <c r="GD63" s="1997"/>
      <c r="GE63" s="1997"/>
      <c r="GF63" s="1997"/>
      <c r="GG63" s="1997"/>
      <c r="GH63" s="1997"/>
      <c r="GI63" s="1997"/>
      <c r="GJ63" s="1997"/>
      <c r="GK63" s="1997"/>
      <c r="GL63" s="1997"/>
      <c r="GM63" s="1997"/>
      <c r="GN63" s="1997"/>
      <c r="GO63" s="1997"/>
      <c r="GP63" s="1997"/>
      <c r="GQ63" s="1997"/>
      <c r="GR63" s="1997"/>
      <c r="GS63" s="1997"/>
      <c r="GT63" s="1997"/>
      <c r="GU63" s="1997"/>
      <c r="GV63" s="1997"/>
      <c r="GW63" s="1997"/>
      <c r="GX63" s="1997"/>
      <c r="GY63" s="1997"/>
      <c r="GZ63" s="1997"/>
      <c r="HA63" s="1997"/>
      <c r="HB63" s="1997"/>
      <c r="HC63" s="1997"/>
      <c r="HD63" s="1997"/>
      <c r="HE63" s="1997"/>
      <c r="HF63" s="1997"/>
      <c r="HG63" s="1997"/>
      <c r="HH63" s="1997"/>
      <c r="HI63" s="1997"/>
      <c r="HJ63" s="1997"/>
      <c r="HK63" s="1997"/>
      <c r="HL63" s="1997"/>
      <c r="HM63" s="1997"/>
      <c r="HN63" s="1997"/>
      <c r="HO63" s="1997"/>
      <c r="HP63" s="1997"/>
      <c r="HQ63" s="1997"/>
      <c r="HR63" s="1997"/>
      <c r="HS63" s="1997"/>
      <c r="HT63" s="1997"/>
      <c r="HU63" s="1997"/>
      <c r="HV63" s="1997"/>
      <c r="HW63" s="1997"/>
      <c r="HX63" s="1997"/>
      <c r="HY63" s="1997"/>
      <c r="HZ63" s="1997"/>
      <c r="IA63" s="1997"/>
      <c r="IB63" s="1997"/>
      <c r="IC63" s="1997"/>
      <c r="ID63" s="1997"/>
      <c r="IE63" s="1997"/>
      <c r="IF63" s="1997"/>
      <c r="IG63" s="1997"/>
      <c r="IH63" s="1997"/>
      <c r="II63" s="1997"/>
      <c r="IJ63" s="1997"/>
      <c r="IK63" s="1997"/>
      <c r="IL63" s="1997"/>
      <c r="IM63" s="1997"/>
      <c r="IN63" s="1997"/>
      <c r="IO63" s="1997"/>
      <c r="IP63" s="1997"/>
      <c r="IQ63" s="1997"/>
    </row>
    <row r="64" spans="1:251" ht="30" hidden="1">
      <c r="A64" s="1993"/>
      <c r="B64" s="1993" t="s">
        <v>525</v>
      </c>
      <c r="C64" s="1993"/>
      <c r="D64" s="2021">
        <f>SUM(D65:D100)</f>
        <v>0</v>
      </c>
      <c r="E64" s="1993"/>
      <c r="F64" s="1940">
        <f>SUM(F65:F100)</f>
        <v>0</v>
      </c>
      <c r="G64" s="1993"/>
      <c r="H64" s="1940">
        <f>SUM(H65:H100)</f>
        <v>0</v>
      </c>
      <c r="I64" s="1993"/>
      <c r="J64" s="1940">
        <f>SUM(J65:J100)</f>
        <v>0</v>
      </c>
      <c r="K64" s="1993"/>
      <c r="L64" s="1940">
        <f t="shared" ref="L64:U64" si="31">SUM(L65:L100)</f>
        <v>0</v>
      </c>
      <c r="M64" s="1940">
        <f t="shared" si="31"/>
        <v>0</v>
      </c>
      <c r="N64" s="1940">
        <f t="shared" si="31"/>
        <v>0</v>
      </c>
      <c r="O64" s="1940">
        <f t="shared" si="31"/>
        <v>0</v>
      </c>
      <c r="P64" s="1940">
        <f t="shared" si="31"/>
        <v>0</v>
      </c>
      <c r="Q64" s="1940">
        <f t="shared" si="31"/>
        <v>0</v>
      </c>
      <c r="R64" s="1940">
        <f t="shared" si="31"/>
        <v>0</v>
      </c>
      <c r="S64" s="1940">
        <f t="shared" si="31"/>
        <v>0</v>
      </c>
      <c r="T64" s="1940">
        <f t="shared" si="31"/>
        <v>0</v>
      </c>
      <c r="U64" s="1940">
        <f t="shared" si="31"/>
        <v>0</v>
      </c>
      <c r="V64" s="1992"/>
      <c r="W64" s="1992"/>
      <c r="X64" s="1992"/>
      <c r="Y64" s="1992"/>
      <c r="Z64" s="1992"/>
      <c r="AA64" s="1992"/>
      <c r="AB64" s="1992"/>
      <c r="AC64" s="1992"/>
      <c r="AD64" s="1992"/>
      <c r="AE64" s="1992"/>
      <c r="AF64" s="1992"/>
      <c r="AG64" s="1992"/>
      <c r="AH64" s="1992"/>
      <c r="AI64" s="1992"/>
      <c r="AJ64" s="1992"/>
      <c r="AK64" s="1992"/>
      <c r="AL64" s="1992"/>
      <c r="AM64" s="1992"/>
      <c r="AN64" s="1992"/>
      <c r="AO64" s="1992"/>
      <c r="AP64" s="1992"/>
      <c r="AQ64" s="1992"/>
      <c r="AR64" s="1992"/>
      <c r="AS64" s="1992"/>
      <c r="AT64" s="1992"/>
      <c r="AU64" s="1992"/>
      <c r="AV64" s="1992"/>
      <c r="AW64" s="1992"/>
      <c r="AX64" s="1992"/>
      <c r="AY64" s="1992"/>
      <c r="AZ64" s="1992"/>
      <c r="BA64" s="1992"/>
      <c r="BB64" s="1992"/>
      <c r="BC64" s="1992"/>
      <c r="BD64" s="1992"/>
      <c r="BE64" s="1992"/>
      <c r="BF64" s="1992"/>
      <c r="BG64" s="1992"/>
      <c r="BH64" s="1992"/>
      <c r="BI64" s="1992"/>
      <c r="BJ64" s="1992"/>
      <c r="BK64" s="1992"/>
      <c r="BL64" s="1992"/>
      <c r="BM64" s="1992"/>
      <c r="BN64" s="1992"/>
      <c r="BO64" s="1992"/>
      <c r="BP64" s="1992"/>
      <c r="BQ64" s="1992"/>
      <c r="BR64" s="1992"/>
      <c r="BS64" s="1992"/>
      <c r="BT64" s="1992"/>
      <c r="BU64" s="1992"/>
      <c r="BV64" s="1992"/>
      <c r="BW64" s="1992"/>
      <c r="BX64" s="1992"/>
      <c r="BY64" s="1992"/>
      <c r="BZ64" s="1992"/>
      <c r="CA64" s="1992"/>
      <c r="CB64" s="1992"/>
      <c r="CC64" s="1992"/>
      <c r="CD64" s="1992"/>
      <c r="CE64" s="1992"/>
      <c r="CF64" s="1992"/>
      <c r="CG64" s="1992"/>
      <c r="CH64" s="1992"/>
      <c r="CI64" s="1992"/>
      <c r="CJ64" s="1992"/>
      <c r="CK64" s="1992"/>
      <c r="CL64" s="1992"/>
      <c r="CM64" s="1992"/>
      <c r="CN64" s="1992"/>
      <c r="CO64" s="1992"/>
      <c r="CP64" s="1992"/>
      <c r="CQ64" s="1992"/>
      <c r="CR64" s="1992"/>
      <c r="CS64" s="1992"/>
      <c r="CT64" s="1992"/>
      <c r="CU64" s="1992"/>
      <c r="CV64" s="1992"/>
      <c r="CW64" s="1992"/>
      <c r="CX64" s="1992"/>
      <c r="CY64" s="1992"/>
      <c r="CZ64" s="1992"/>
      <c r="DA64" s="1992"/>
      <c r="DB64" s="1992"/>
      <c r="DC64" s="1992"/>
      <c r="DD64" s="1992"/>
      <c r="DE64" s="1992"/>
      <c r="DF64" s="1992"/>
      <c r="DG64" s="1992"/>
      <c r="DH64" s="1992"/>
      <c r="DI64" s="1992"/>
      <c r="DJ64" s="1992"/>
      <c r="DK64" s="1992"/>
      <c r="DL64" s="1992"/>
      <c r="DM64" s="1992"/>
      <c r="DN64" s="1992"/>
      <c r="DO64" s="1992"/>
      <c r="DP64" s="1992"/>
      <c r="DQ64" s="1992"/>
      <c r="DR64" s="1992"/>
      <c r="DS64" s="1992"/>
      <c r="DT64" s="1992"/>
      <c r="DU64" s="1992"/>
      <c r="DV64" s="1992"/>
      <c r="DW64" s="1992"/>
      <c r="DX64" s="1992"/>
      <c r="DY64" s="1992"/>
      <c r="DZ64" s="1992"/>
      <c r="EA64" s="1992"/>
      <c r="EB64" s="1992"/>
      <c r="EC64" s="1992"/>
      <c r="ED64" s="1992"/>
      <c r="EE64" s="1992"/>
      <c r="EF64" s="1992"/>
      <c r="EG64" s="1992"/>
      <c r="EH64" s="1992"/>
      <c r="EI64" s="1992"/>
      <c r="EJ64" s="1992"/>
      <c r="EK64" s="1992"/>
      <c r="EL64" s="1992"/>
      <c r="EM64" s="1992"/>
      <c r="EN64" s="1992"/>
      <c r="EO64" s="1992"/>
      <c r="EP64" s="1992"/>
      <c r="EQ64" s="1992"/>
      <c r="ER64" s="1992"/>
      <c r="ES64" s="1992"/>
      <c r="ET64" s="1992"/>
      <c r="EU64" s="1992"/>
      <c r="EV64" s="1992"/>
      <c r="EW64" s="1992"/>
      <c r="EX64" s="1992"/>
      <c r="EY64" s="1992"/>
      <c r="EZ64" s="1992"/>
      <c r="FA64" s="1992"/>
      <c r="FB64" s="1992"/>
      <c r="FC64" s="1992"/>
      <c r="FD64" s="1992"/>
      <c r="FE64" s="1992"/>
      <c r="FF64" s="1992"/>
      <c r="FG64" s="1992"/>
      <c r="FH64" s="1992"/>
      <c r="FI64" s="1992"/>
      <c r="FJ64" s="1992"/>
      <c r="FK64" s="1992"/>
      <c r="FL64" s="1992"/>
      <c r="FM64" s="1992"/>
      <c r="FN64" s="1992"/>
      <c r="FO64" s="1992"/>
      <c r="FP64" s="1992"/>
      <c r="FQ64" s="1992"/>
      <c r="FR64" s="1992"/>
      <c r="FS64" s="1992"/>
      <c r="FT64" s="1992"/>
      <c r="FU64" s="1992"/>
      <c r="FV64" s="1992"/>
      <c r="FW64" s="1992"/>
      <c r="FX64" s="1992"/>
      <c r="FY64" s="1992"/>
      <c r="FZ64" s="1992"/>
      <c r="GA64" s="1992"/>
      <c r="GB64" s="1992"/>
      <c r="GC64" s="1992"/>
      <c r="GD64" s="1992"/>
      <c r="GE64" s="1992"/>
      <c r="GF64" s="1992"/>
      <c r="GG64" s="1992"/>
      <c r="GH64" s="1992"/>
      <c r="GI64" s="1992"/>
      <c r="GJ64" s="1992"/>
      <c r="GK64" s="1992"/>
      <c r="GL64" s="1992"/>
      <c r="GM64" s="1992"/>
      <c r="GN64" s="1992"/>
      <c r="GO64" s="1992"/>
      <c r="GP64" s="1992"/>
      <c r="GQ64" s="1992"/>
      <c r="GR64" s="1992"/>
      <c r="GS64" s="1992"/>
      <c r="GT64" s="1992"/>
      <c r="GU64" s="1992"/>
      <c r="GV64" s="1992"/>
      <c r="GW64" s="1992"/>
      <c r="GX64" s="1992"/>
      <c r="GY64" s="1992"/>
      <c r="GZ64" s="1992"/>
      <c r="HA64" s="1992"/>
      <c r="HB64" s="1992"/>
      <c r="HC64" s="1992"/>
      <c r="HD64" s="1992"/>
      <c r="HE64" s="1992"/>
      <c r="HF64" s="1992"/>
      <c r="HG64" s="1992"/>
      <c r="HH64" s="1992"/>
      <c r="HI64" s="1992"/>
      <c r="HJ64" s="1992"/>
      <c r="HK64" s="1992"/>
      <c r="HL64" s="1992"/>
      <c r="HM64" s="1992"/>
      <c r="HN64" s="1992"/>
      <c r="HO64" s="1992"/>
      <c r="HP64" s="1992"/>
      <c r="HQ64" s="1992"/>
      <c r="HR64" s="1992"/>
      <c r="HS64" s="1992"/>
      <c r="HT64" s="1992"/>
      <c r="HU64" s="1992"/>
      <c r="HV64" s="1992"/>
      <c r="HW64" s="1992"/>
      <c r="HX64" s="1992"/>
      <c r="HY64" s="1992"/>
      <c r="HZ64" s="1992"/>
      <c r="IA64" s="1992"/>
      <c r="IB64" s="1992"/>
      <c r="IC64" s="1992"/>
      <c r="ID64" s="1992"/>
      <c r="IE64" s="1992"/>
      <c r="IF64" s="1992"/>
      <c r="IG64" s="1992"/>
      <c r="IH64" s="1992"/>
      <c r="II64" s="1992"/>
      <c r="IJ64" s="1992"/>
      <c r="IK64" s="1992"/>
      <c r="IL64" s="1992"/>
      <c r="IM64" s="1992"/>
      <c r="IN64" s="1992"/>
      <c r="IO64" s="1992"/>
      <c r="IP64" s="1992"/>
      <c r="IQ64" s="1992"/>
    </row>
    <row r="65" spans="1:251" hidden="1">
      <c r="A65" s="1993"/>
      <c r="B65" s="1998" t="s">
        <v>526</v>
      </c>
      <c r="C65" s="1998"/>
      <c r="D65" s="2034"/>
      <c r="E65" s="1998"/>
      <c r="F65" s="1940">
        <f>ROUNDUP((E65*$Q$5),-3)</f>
        <v>0</v>
      </c>
      <c r="G65" s="1993"/>
      <c r="H65" s="1940">
        <f>D65*F65*G65</f>
        <v>0</v>
      </c>
      <c r="I65" s="1993"/>
      <c r="J65" s="1940">
        <f>I65*$Q$4</f>
        <v>0</v>
      </c>
      <c r="K65" s="1993"/>
      <c r="L65" s="1940">
        <f>K65*F65</f>
        <v>0</v>
      </c>
      <c r="M65" s="1940">
        <f>D65*G65*(J65+L65)</f>
        <v>0</v>
      </c>
      <c r="N65" s="1940">
        <f>H65+M65</f>
        <v>0</v>
      </c>
      <c r="O65" s="1993"/>
      <c r="P65" s="1993"/>
      <c r="Q65" s="1940">
        <f>N65+O65+P65</f>
        <v>0</v>
      </c>
      <c r="R65" s="1940">
        <f>Q65*10%</f>
        <v>0</v>
      </c>
      <c r="S65" s="1940">
        <f>(Q65-R65)*10%</f>
        <v>0</v>
      </c>
      <c r="T65" s="1940">
        <f>(Q65-R65)*6%</f>
        <v>0</v>
      </c>
      <c r="U65" s="1940">
        <f>(Q65-R65)*5%</f>
        <v>0</v>
      </c>
      <c r="V65" s="1997"/>
      <c r="W65" s="1997"/>
      <c r="X65" s="1997"/>
      <c r="Y65" s="1997"/>
      <c r="Z65" s="1997"/>
      <c r="AA65" s="1997"/>
      <c r="AB65" s="1997"/>
      <c r="AC65" s="1997"/>
      <c r="AD65" s="1997"/>
      <c r="AE65" s="1997"/>
      <c r="AF65" s="1997"/>
      <c r="AG65" s="1997"/>
      <c r="AH65" s="1997"/>
      <c r="AI65" s="1997"/>
      <c r="AJ65" s="1997"/>
      <c r="AK65" s="1997"/>
      <c r="AL65" s="1997"/>
      <c r="AM65" s="1997"/>
      <c r="AN65" s="1997"/>
      <c r="AO65" s="1997"/>
      <c r="AP65" s="1997"/>
      <c r="AQ65" s="1997"/>
      <c r="AR65" s="1997"/>
      <c r="AS65" s="1997"/>
      <c r="AT65" s="1997"/>
      <c r="AU65" s="1997"/>
      <c r="AV65" s="1997"/>
      <c r="AW65" s="1997"/>
      <c r="AX65" s="1997"/>
      <c r="AY65" s="1997"/>
      <c r="AZ65" s="1997"/>
      <c r="BA65" s="1997"/>
      <c r="BB65" s="1997"/>
      <c r="BC65" s="1997"/>
      <c r="BD65" s="1997"/>
      <c r="BE65" s="1997"/>
      <c r="BF65" s="1997"/>
      <c r="BG65" s="1997"/>
      <c r="BH65" s="1997"/>
      <c r="BI65" s="1997"/>
      <c r="BJ65" s="1997"/>
      <c r="BK65" s="1997"/>
      <c r="BL65" s="1997"/>
      <c r="BM65" s="1997"/>
      <c r="BN65" s="1997"/>
      <c r="BO65" s="1997"/>
      <c r="BP65" s="1997"/>
      <c r="BQ65" s="1997"/>
      <c r="BR65" s="1997"/>
      <c r="BS65" s="1997"/>
      <c r="BT65" s="1997"/>
      <c r="BU65" s="1997"/>
      <c r="BV65" s="1997"/>
      <c r="BW65" s="1997"/>
      <c r="BX65" s="1997"/>
      <c r="BY65" s="1997"/>
      <c r="BZ65" s="1997"/>
      <c r="CA65" s="1997"/>
      <c r="CB65" s="1997"/>
      <c r="CC65" s="1997"/>
      <c r="CD65" s="1997"/>
      <c r="CE65" s="1997"/>
      <c r="CF65" s="1997"/>
      <c r="CG65" s="1997"/>
      <c r="CH65" s="1997"/>
      <c r="CI65" s="1997"/>
      <c r="CJ65" s="1997"/>
      <c r="CK65" s="1997"/>
      <c r="CL65" s="1997"/>
      <c r="CM65" s="1997"/>
      <c r="CN65" s="1997"/>
      <c r="CO65" s="1997"/>
      <c r="CP65" s="1997"/>
      <c r="CQ65" s="1997"/>
      <c r="CR65" s="1997"/>
      <c r="CS65" s="1997"/>
      <c r="CT65" s="1997"/>
      <c r="CU65" s="1997"/>
      <c r="CV65" s="1997"/>
      <c r="CW65" s="1997"/>
      <c r="CX65" s="1997"/>
      <c r="CY65" s="1997"/>
      <c r="CZ65" s="1997"/>
      <c r="DA65" s="1997"/>
      <c r="DB65" s="1997"/>
      <c r="DC65" s="1997"/>
      <c r="DD65" s="1997"/>
      <c r="DE65" s="1997"/>
      <c r="DF65" s="1997"/>
      <c r="DG65" s="1997"/>
      <c r="DH65" s="1997"/>
      <c r="DI65" s="1997"/>
      <c r="DJ65" s="1997"/>
      <c r="DK65" s="1997"/>
      <c r="DL65" s="1997"/>
      <c r="DM65" s="1997"/>
      <c r="DN65" s="1997"/>
      <c r="DO65" s="1997"/>
      <c r="DP65" s="1997"/>
      <c r="DQ65" s="1997"/>
      <c r="DR65" s="1997"/>
      <c r="DS65" s="1997"/>
      <c r="DT65" s="1997"/>
      <c r="DU65" s="1997"/>
      <c r="DV65" s="1997"/>
      <c r="DW65" s="1997"/>
      <c r="DX65" s="1997"/>
      <c r="DY65" s="1997"/>
      <c r="DZ65" s="1997"/>
      <c r="EA65" s="1997"/>
      <c r="EB65" s="1997"/>
      <c r="EC65" s="1997"/>
      <c r="ED65" s="1997"/>
      <c r="EE65" s="1997"/>
      <c r="EF65" s="1997"/>
      <c r="EG65" s="1997"/>
      <c r="EH65" s="1997"/>
      <c r="EI65" s="1997"/>
      <c r="EJ65" s="1997"/>
      <c r="EK65" s="1997"/>
      <c r="EL65" s="1997"/>
      <c r="EM65" s="1997"/>
      <c r="EN65" s="1997"/>
      <c r="EO65" s="1997"/>
      <c r="EP65" s="1997"/>
      <c r="EQ65" s="1997"/>
      <c r="ER65" s="1997"/>
      <c r="ES65" s="1997"/>
      <c r="ET65" s="1997"/>
      <c r="EU65" s="1997"/>
      <c r="EV65" s="1997"/>
      <c r="EW65" s="1997"/>
      <c r="EX65" s="1997"/>
      <c r="EY65" s="1997"/>
      <c r="EZ65" s="1997"/>
      <c r="FA65" s="1997"/>
      <c r="FB65" s="1997"/>
      <c r="FC65" s="1997"/>
      <c r="FD65" s="1997"/>
      <c r="FE65" s="1997"/>
      <c r="FF65" s="1997"/>
      <c r="FG65" s="1997"/>
      <c r="FH65" s="1997"/>
      <c r="FI65" s="1997"/>
      <c r="FJ65" s="1997"/>
      <c r="FK65" s="1997"/>
      <c r="FL65" s="1997"/>
      <c r="FM65" s="1997"/>
      <c r="FN65" s="1997"/>
      <c r="FO65" s="1997"/>
      <c r="FP65" s="1997"/>
      <c r="FQ65" s="1997"/>
      <c r="FR65" s="1997"/>
      <c r="FS65" s="1997"/>
      <c r="FT65" s="1997"/>
      <c r="FU65" s="1997"/>
      <c r="FV65" s="1997"/>
      <c r="FW65" s="1997"/>
      <c r="FX65" s="1997"/>
      <c r="FY65" s="1997"/>
      <c r="FZ65" s="1997"/>
      <c r="GA65" s="1997"/>
      <c r="GB65" s="1997"/>
      <c r="GC65" s="1997"/>
      <c r="GD65" s="1997"/>
      <c r="GE65" s="1997"/>
      <c r="GF65" s="1997"/>
      <c r="GG65" s="1997"/>
      <c r="GH65" s="1997"/>
      <c r="GI65" s="1997"/>
      <c r="GJ65" s="1997"/>
      <c r="GK65" s="1997"/>
      <c r="GL65" s="1997"/>
      <c r="GM65" s="1997"/>
      <c r="GN65" s="1997"/>
      <c r="GO65" s="1997"/>
      <c r="GP65" s="1997"/>
      <c r="GQ65" s="1997"/>
      <c r="GR65" s="1997"/>
      <c r="GS65" s="1997"/>
      <c r="GT65" s="1997"/>
      <c r="GU65" s="1997"/>
      <c r="GV65" s="1997"/>
      <c r="GW65" s="1997"/>
      <c r="GX65" s="1997"/>
      <c r="GY65" s="1997"/>
      <c r="GZ65" s="1997"/>
      <c r="HA65" s="1997"/>
      <c r="HB65" s="1997"/>
      <c r="HC65" s="1997"/>
      <c r="HD65" s="1997"/>
      <c r="HE65" s="1997"/>
      <c r="HF65" s="1997"/>
      <c r="HG65" s="1997"/>
      <c r="HH65" s="1997"/>
      <c r="HI65" s="1997"/>
      <c r="HJ65" s="1997"/>
      <c r="HK65" s="1997"/>
      <c r="HL65" s="1997"/>
      <c r="HM65" s="1997"/>
      <c r="HN65" s="1997"/>
      <c r="HO65" s="1997"/>
      <c r="HP65" s="1997"/>
      <c r="HQ65" s="1997"/>
      <c r="HR65" s="1997"/>
      <c r="HS65" s="1997"/>
      <c r="HT65" s="1997"/>
      <c r="HU65" s="1997"/>
      <c r="HV65" s="1997"/>
      <c r="HW65" s="1997"/>
      <c r="HX65" s="1997"/>
      <c r="HY65" s="1997"/>
      <c r="HZ65" s="1997"/>
      <c r="IA65" s="1997"/>
      <c r="IB65" s="1997"/>
      <c r="IC65" s="1997"/>
      <c r="ID65" s="1997"/>
      <c r="IE65" s="1997"/>
      <c r="IF65" s="1997"/>
      <c r="IG65" s="1997"/>
      <c r="IH65" s="1997"/>
      <c r="II65" s="1997"/>
      <c r="IJ65" s="1997"/>
      <c r="IK65" s="1997"/>
      <c r="IL65" s="1997"/>
      <c r="IM65" s="1997"/>
      <c r="IN65" s="1997"/>
      <c r="IO65" s="1997"/>
      <c r="IP65" s="1997"/>
      <c r="IQ65" s="1997"/>
    </row>
    <row r="66" spans="1:251" hidden="1">
      <c r="A66" s="1993"/>
      <c r="B66" s="1993"/>
      <c r="C66" s="1998"/>
      <c r="D66" s="2034"/>
      <c r="E66" s="1998"/>
      <c r="F66" s="1940">
        <f>ROUNDUP((E66*$Q$5),-3)</f>
        <v>0</v>
      </c>
      <c r="G66" s="1993"/>
      <c r="H66" s="1940">
        <f>D66*F66*G66</f>
        <v>0</v>
      </c>
      <c r="I66" s="1993"/>
      <c r="J66" s="1940">
        <f>I66*$Q$4</f>
        <v>0</v>
      </c>
      <c r="K66" s="1993"/>
      <c r="L66" s="1940">
        <f>K66*F66</f>
        <v>0</v>
      </c>
      <c r="M66" s="1940">
        <f>D66*G66*(J66+L66)</f>
        <v>0</v>
      </c>
      <c r="N66" s="1940">
        <f>H66+M66</f>
        <v>0</v>
      </c>
      <c r="O66" s="1993"/>
      <c r="P66" s="1993"/>
      <c r="Q66" s="1940">
        <f>N66+O66+P66</f>
        <v>0</v>
      </c>
      <c r="R66" s="1940">
        <f>Q66*10%</f>
        <v>0</v>
      </c>
      <c r="S66" s="1940">
        <f>(Q66-R66)*10%</f>
        <v>0</v>
      </c>
      <c r="T66" s="1940">
        <f>(Q66-R66)*6%</f>
        <v>0</v>
      </c>
      <c r="U66" s="1940">
        <f>(Q66-R66)*5%</f>
        <v>0</v>
      </c>
      <c r="V66" s="1997"/>
      <c r="W66" s="1997"/>
      <c r="X66" s="1997"/>
      <c r="Y66" s="1997"/>
      <c r="Z66" s="1997"/>
      <c r="AA66" s="1997"/>
      <c r="AB66" s="1997"/>
      <c r="AC66" s="1997"/>
      <c r="AD66" s="1997"/>
      <c r="AE66" s="1997"/>
      <c r="AF66" s="1997"/>
      <c r="AG66" s="1997"/>
      <c r="AH66" s="1997"/>
      <c r="AI66" s="1997"/>
      <c r="AJ66" s="1997"/>
      <c r="AK66" s="1997"/>
      <c r="AL66" s="1997"/>
      <c r="AM66" s="1997"/>
      <c r="AN66" s="1997"/>
      <c r="AO66" s="1997"/>
      <c r="AP66" s="1997"/>
      <c r="AQ66" s="1997"/>
      <c r="AR66" s="1997"/>
      <c r="AS66" s="1997"/>
      <c r="AT66" s="1997"/>
      <c r="AU66" s="1997"/>
      <c r="AV66" s="1997"/>
      <c r="AW66" s="1997"/>
      <c r="AX66" s="1997"/>
      <c r="AY66" s="1997"/>
      <c r="AZ66" s="1997"/>
      <c r="BA66" s="1997"/>
      <c r="BB66" s="1997"/>
      <c r="BC66" s="1997"/>
      <c r="BD66" s="1997"/>
      <c r="BE66" s="1997"/>
      <c r="BF66" s="1997"/>
      <c r="BG66" s="1997"/>
      <c r="BH66" s="1997"/>
      <c r="BI66" s="1997"/>
      <c r="BJ66" s="1997"/>
      <c r="BK66" s="1997"/>
      <c r="BL66" s="1997"/>
      <c r="BM66" s="1997"/>
      <c r="BN66" s="1997"/>
      <c r="BO66" s="1997"/>
      <c r="BP66" s="1997"/>
      <c r="BQ66" s="1997"/>
      <c r="BR66" s="1997"/>
      <c r="BS66" s="1997"/>
      <c r="BT66" s="1997"/>
      <c r="BU66" s="1997"/>
      <c r="BV66" s="1997"/>
      <c r="BW66" s="1997"/>
      <c r="BX66" s="1997"/>
      <c r="BY66" s="1997"/>
      <c r="BZ66" s="1997"/>
      <c r="CA66" s="1997"/>
      <c r="CB66" s="1997"/>
      <c r="CC66" s="1997"/>
      <c r="CD66" s="1997"/>
      <c r="CE66" s="1997"/>
      <c r="CF66" s="1997"/>
      <c r="CG66" s="1997"/>
      <c r="CH66" s="1997"/>
      <c r="CI66" s="1997"/>
      <c r="CJ66" s="1997"/>
      <c r="CK66" s="1997"/>
      <c r="CL66" s="1997"/>
      <c r="CM66" s="1997"/>
      <c r="CN66" s="1997"/>
      <c r="CO66" s="1997"/>
      <c r="CP66" s="1997"/>
      <c r="CQ66" s="1997"/>
      <c r="CR66" s="1997"/>
      <c r="CS66" s="1997"/>
      <c r="CT66" s="1997"/>
      <c r="CU66" s="1997"/>
      <c r="CV66" s="1997"/>
      <c r="CW66" s="1997"/>
      <c r="CX66" s="1997"/>
      <c r="CY66" s="1997"/>
      <c r="CZ66" s="1997"/>
      <c r="DA66" s="1997"/>
      <c r="DB66" s="1997"/>
      <c r="DC66" s="1997"/>
      <c r="DD66" s="1997"/>
      <c r="DE66" s="1997"/>
      <c r="DF66" s="1997"/>
      <c r="DG66" s="1997"/>
      <c r="DH66" s="1997"/>
      <c r="DI66" s="1997"/>
      <c r="DJ66" s="1997"/>
      <c r="DK66" s="1997"/>
      <c r="DL66" s="1997"/>
      <c r="DM66" s="1997"/>
      <c r="DN66" s="1997"/>
      <c r="DO66" s="1997"/>
      <c r="DP66" s="1997"/>
      <c r="DQ66" s="1997"/>
      <c r="DR66" s="1997"/>
      <c r="DS66" s="1997"/>
      <c r="DT66" s="1997"/>
      <c r="DU66" s="1997"/>
      <c r="DV66" s="1997"/>
      <c r="DW66" s="1997"/>
      <c r="DX66" s="1997"/>
      <c r="DY66" s="1997"/>
      <c r="DZ66" s="1997"/>
      <c r="EA66" s="1997"/>
      <c r="EB66" s="1997"/>
      <c r="EC66" s="1997"/>
      <c r="ED66" s="1997"/>
      <c r="EE66" s="1997"/>
      <c r="EF66" s="1997"/>
      <c r="EG66" s="1997"/>
      <c r="EH66" s="1997"/>
      <c r="EI66" s="1997"/>
      <c r="EJ66" s="1997"/>
      <c r="EK66" s="1997"/>
      <c r="EL66" s="1997"/>
      <c r="EM66" s="1997"/>
      <c r="EN66" s="1997"/>
      <c r="EO66" s="1997"/>
      <c r="EP66" s="1997"/>
      <c r="EQ66" s="1997"/>
      <c r="ER66" s="1997"/>
      <c r="ES66" s="1997"/>
      <c r="ET66" s="1997"/>
      <c r="EU66" s="1997"/>
      <c r="EV66" s="1997"/>
      <c r="EW66" s="1997"/>
      <c r="EX66" s="1997"/>
      <c r="EY66" s="1997"/>
      <c r="EZ66" s="1997"/>
      <c r="FA66" s="1997"/>
      <c r="FB66" s="1997"/>
      <c r="FC66" s="1997"/>
      <c r="FD66" s="1997"/>
      <c r="FE66" s="1997"/>
      <c r="FF66" s="1997"/>
      <c r="FG66" s="1997"/>
      <c r="FH66" s="1997"/>
      <c r="FI66" s="1997"/>
      <c r="FJ66" s="1997"/>
      <c r="FK66" s="1997"/>
      <c r="FL66" s="1997"/>
      <c r="FM66" s="1997"/>
      <c r="FN66" s="1997"/>
      <c r="FO66" s="1997"/>
      <c r="FP66" s="1997"/>
      <c r="FQ66" s="1997"/>
      <c r="FR66" s="1997"/>
      <c r="FS66" s="1997"/>
      <c r="FT66" s="1997"/>
      <c r="FU66" s="1997"/>
      <c r="FV66" s="1997"/>
      <c r="FW66" s="1997"/>
      <c r="FX66" s="1997"/>
      <c r="FY66" s="1997"/>
      <c r="FZ66" s="1997"/>
      <c r="GA66" s="1997"/>
      <c r="GB66" s="1997"/>
      <c r="GC66" s="1997"/>
      <c r="GD66" s="1997"/>
      <c r="GE66" s="1997"/>
      <c r="GF66" s="1997"/>
      <c r="GG66" s="1997"/>
      <c r="GH66" s="1997"/>
      <c r="GI66" s="1997"/>
      <c r="GJ66" s="1997"/>
      <c r="GK66" s="1997"/>
      <c r="GL66" s="1997"/>
      <c r="GM66" s="1997"/>
      <c r="GN66" s="1997"/>
      <c r="GO66" s="1997"/>
      <c r="GP66" s="1997"/>
      <c r="GQ66" s="1997"/>
      <c r="GR66" s="1997"/>
      <c r="GS66" s="1997"/>
      <c r="GT66" s="1997"/>
      <c r="GU66" s="1997"/>
      <c r="GV66" s="1997"/>
      <c r="GW66" s="1997"/>
      <c r="GX66" s="1997"/>
      <c r="GY66" s="1997"/>
      <c r="GZ66" s="1997"/>
      <c r="HA66" s="1997"/>
      <c r="HB66" s="1997"/>
      <c r="HC66" s="1997"/>
      <c r="HD66" s="1997"/>
      <c r="HE66" s="1997"/>
      <c r="HF66" s="1997"/>
      <c r="HG66" s="1997"/>
      <c r="HH66" s="1997"/>
      <c r="HI66" s="1997"/>
      <c r="HJ66" s="1997"/>
      <c r="HK66" s="1997"/>
      <c r="HL66" s="1997"/>
      <c r="HM66" s="1997"/>
      <c r="HN66" s="1997"/>
      <c r="HO66" s="1997"/>
      <c r="HP66" s="1997"/>
      <c r="HQ66" s="1997"/>
      <c r="HR66" s="1997"/>
      <c r="HS66" s="1997"/>
      <c r="HT66" s="1997"/>
      <c r="HU66" s="1997"/>
      <c r="HV66" s="1997"/>
      <c r="HW66" s="1997"/>
      <c r="HX66" s="1997"/>
      <c r="HY66" s="1997"/>
      <c r="HZ66" s="1997"/>
      <c r="IA66" s="1997"/>
      <c r="IB66" s="1997"/>
      <c r="IC66" s="1997"/>
      <c r="ID66" s="1997"/>
      <c r="IE66" s="1997"/>
      <c r="IF66" s="1997"/>
      <c r="IG66" s="1997"/>
      <c r="IH66" s="1997"/>
      <c r="II66" s="1997"/>
      <c r="IJ66" s="1997"/>
      <c r="IK66" s="1997"/>
      <c r="IL66" s="1997"/>
      <c r="IM66" s="1997"/>
      <c r="IN66" s="1997"/>
      <c r="IO66" s="1997"/>
      <c r="IP66" s="1997"/>
      <c r="IQ66" s="1997"/>
    </row>
    <row r="67" spans="1:251" hidden="1">
      <c r="A67" s="1993"/>
      <c r="B67" s="1998"/>
      <c r="C67" s="1998"/>
      <c r="D67" s="2034"/>
      <c r="E67" s="1998"/>
      <c r="F67" s="1940">
        <f>ROUNDUP((E67*$Q$5),-3)</f>
        <v>0</v>
      </c>
      <c r="G67" s="1993"/>
      <c r="H67" s="1940">
        <f>D67*F67*G67</f>
        <v>0</v>
      </c>
      <c r="I67" s="1993"/>
      <c r="J67" s="1940">
        <f>I67*$Q$4</f>
        <v>0</v>
      </c>
      <c r="K67" s="1993"/>
      <c r="L67" s="1940">
        <f>K67*F67</f>
        <v>0</v>
      </c>
      <c r="M67" s="1940">
        <f>D67*G67*(J67+L67)</f>
        <v>0</v>
      </c>
      <c r="N67" s="1940">
        <f>H67+M67</f>
        <v>0</v>
      </c>
      <c r="O67" s="1993"/>
      <c r="P67" s="1993"/>
      <c r="Q67" s="1940">
        <f>N67+O67+P67</f>
        <v>0</v>
      </c>
      <c r="R67" s="1940">
        <f>Q67*10%</f>
        <v>0</v>
      </c>
      <c r="S67" s="1940">
        <f>(Q67-R67)*10%</f>
        <v>0</v>
      </c>
      <c r="T67" s="1940">
        <f>(Q67-R67)*6%</f>
        <v>0</v>
      </c>
      <c r="U67" s="1940">
        <f>(Q67-R67)*5%</f>
        <v>0</v>
      </c>
      <c r="V67" s="1997"/>
      <c r="W67" s="1997"/>
      <c r="X67" s="1997"/>
      <c r="Y67" s="1997"/>
      <c r="Z67" s="1997"/>
      <c r="AA67" s="1997"/>
      <c r="AB67" s="1997"/>
      <c r="AC67" s="1997"/>
      <c r="AD67" s="1997"/>
      <c r="AE67" s="1997"/>
      <c r="AF67" s="1997"/>
      <c r="AG67" s="1997"/>
      <c r="AH67" s="1997"/>
      <c r="AI67" s="1997"/>
      <c r="AJ67" s="1997"/>
      <c r="AK67" s="1997"/>
      <c r="AL67" s="1997"/>
      <c r="AM67" s="1997"/>
      <c r="AN67" s="1997"/>
      <c r="AO67" s="1997"/>
      <c r="AP67" s="1997"/>
      <c r="AQ67" s="1997"/>
      <c r="AR67" s="1997"/>
      <c r="AS67" s="1997"/>
      <c r="AT67" s="1997"/>
      <c r="AU67" s="1997"/>
      <c r="AV67" s="1997"/>
      <c r="AW67" s="1997"/>
      <c r="AX67" s="1997"/>
      <c r="AY67" s="1997"/>
      <c r="AZ67" s="1997"/>
      <c r="BA67" s="1997"/>
      <c r="BB67" s="1997"/>
      <c r="BC67" s="1997"/>
      <c r="BD67" s="1997"/>
      <c r="BE67" s="1997"/>
      <c r="BF67" s="1997"/>
      <c r="BG67" s="1997"/>
      <c r="BH67" s="1997"/>
      <c r="BI67" s="1997"/>
      <c r="BJ67" s="1997"/>
      <c r="BK67" s="1997"/>
      <c r="BL67" s="1997"/>
      <c r="BM67" s="1997"/>
      <c r="BN67" s="1997"/>
      <c r="BO67" s="1997"/>
      <c r="BP67" s="1997"/>
      <c r="BQ67" s="1997"/>
      <c r="BR67" s="1997"/>
      <c r="BS67" s="1997"/>
      <c r="BT67" s="1997"/>
      <c r="BU67" s="1997"/>
      <c r="BV67" s="1997"/>
      <c r="BW67" s="1997"/>
      <c r="BX67" s="1997"/>
      <c r="BY67" s="1997"/>
      <c r="BZ67" s="1997"/>
      <c r="CA67" s="1997"/>
      <c r="CB67" s="1997"/>
      <c r="CC67" s="1997"/>
      <c r="CD67" s="1997"/>
      <c r="CE67" s="1997"/>
      <c r="CF67" s="1997"/>
      <c r="CG67" s="1997"/>
      <c r="CH67" s="1997"/>
      <c r="CI67" s="1997"/>
      <c r="CJ67" s="1997"/>
      <c r="CK67" s="1997"/>
      <c r="CL67" s="1997"/>
      <c r="CM67" s="1997"/>
      <c r="CN67" s="1997"/>
      <c r="CO67" s="1997"/>
      <c r="CP67" s="1997"/>
      <c r="CQ67" s="1997"/>
      <c r="CR67" s="1997"/>
      <c r="CS67" s="1997"/>
      <c r="CT67" s="1997"/>
      <c r="CU67" s="1997"/>
      <c r="CV67" s="1997"/>
      <c r="CW67" s="1997"/>
      <c r="CX67" s="1997"/>
      <c r="CY67" s="1997"/>
      <c r="CZ67" s="1997"/>
      <c r="DA67" s="1997"/>
      <c r="DB67" s="1997"/>
      <c r="DC67" s="1997"/>
      <c r="DD67" s="1997"/>
      <c r="DE67" s="1997"/>
      <c r="DF67" s="1997"/>
      <c r="DG67" s="1997"/>
      <c r="DH67" s="1997"/>
      <c r="DI67" s="1997"/>
      <c r="DJ67" s="1997"/>
      <c r="DK67" s="1997"/>
      <c r="DL67" s="1997"/>
      <c r="DM67" s="1997"/>
      <c r="DN67" s="1997"/>
      <c r="DO67" s="1997"/>
      <c r="DP67" s="1997"/>
      <c r="DQ67" s="1997"/>
      <c r="DR67" s="1997"/>
      <c r="DS67" s="1997"/>
      <c r="DT67" s="1997"/>
      <c r="DU67" s="1997"/>
      <c r="DV67" s="1997"/>
      <c r="DW67" s="1997"/>
      <c r="DX67" s="1997"/>
      <c r="DY67" s="1997"/>
      <c r="DZ67" s="1997"/>
      <c r="EA67" s="1997"/>
      <c r="EB67" s="1997"/>
      <c r="EC67" s="1997"/>
      <c r="ED67" s="1997"/>
      <c r="EE67" s="1997"/>
      <c r="EF67" s="1997"/>
      <c r="EG67" s="1997"/>
      <c r="EH67" s="1997"/>
      <c r="EI67" s="1997"/>
      <c r="EJ67" s="1997"/>
      <c r="EK67" s="1997"/>
      <c r="EL67" s="1997"/>
      <c r="EM67" s="1997"/>
      <c r="EN67" s="1997"/>
      <c r="EO67" s="1997"/>
      <c r="EP67" s="1997"/>
      <c r="EQ67" s="1997"/>
      <c r="ER67" s="1997"/>
      <c r="ES67" s="1997"/>
      <c r="ET67" s="1997"/>
      <c r="EU67" s="1997"/>
      <c r="EV67" s="1997"/>
      <c r="EW67" s="1997"/>
      <c r="EX67" s="1997"/>
      <c r="EY67" s="1997"/>
      <c r="EZ67" s="1997"/>
      <c r="FA67" s="1997"/>
      <c r="FB67" s="1997"/>
      <c r="FC67" s="1997"/>
      <c r="FD67" s="1997"/>
      <c r="FE67" s="1997"/>
      <c r="FF67" s="1997"/>
      <c r="FG67" s="1997"/>
      <c r="FH67" s="1997"/>
      <c r="FI67" s="1997"/>
      <c r="FJ67" s="1997"/>
      <c r="FK67" s="1997"/>
      <c r="FL67" s="1997"/>
      <c r="FM67" s="1997"/>
      <c r="FN67" s="1997"/>
      <c r="FO67" s="1997"/>
      <c r="FP67" s="1997"/>
      <c r="FQ67" s="1997"/>
      <c r="FR67" s="1997"/>
      <c r="FS67" s="1997"/>
      <c r="FT67" s="1997"/>
      <c r="FU67" s="1997"/>
      <c r="FV67" s="1997"/>
      <c r="FW67" s="1997"/>
      <c r="FX67" s="1997"/>
      <c r="FY67" s="1997"/>
      <c r="FZ67" s="1997"/>
      <c r="GA67" s="1997"/>
      <c r="GB67" s="1997"/>
      <c r="GC67" s="1997"/>
      <c r="GD67" s="1997"/>
      <c r="GE67" s="1997"/>
      <c r="GF67" s="1997"/>
      <c r="GG67" s="1997"/>
      <c r="GH67" s="1997"/>
      <c r="GI67" s="1997"/>
      <c r="GJ67" s="1997"/>
      <c r="GK67" s="1997"/>
      <c r="GL67" s="1997"/>
      <c r="GM67" s="1997"/>
      <c r="GN67" s="1997"/>
      <c r="GO67" s="1997"/>
      <c r="GP67" s="1997"/>
      <c r="GQ67" s="1997"/>
      <c r="GR67" s="1997"/>
      <c r="GS67" s="1997"/>
      <c r="GT67" s="1997"/>
      <c r="GU67" s="1997"/>
      <c r="GV67" s="1997"/>
      <c r="GW67" s="1997"/>
      <c r="GX67" s="1997"/>
      <c r="GY67" s="1997"/>
      <c r="GZ67" s="1997"/>
      <c r="HA67" s="1997"/>
      <c r="HB67" s="1997"/>
      <c r="HC67" s="1997"/>
      <c r="HD67" s="1997"/>
      <c r="HE67" s="1997"/>
      <c r="HF67" s="1997"/>
      <c r="HG67" s="1997"/>
      <c r="HH67" s="1997"/>
      <c r="HI67" s="1997"/>
      <c r="HJ67" s="1997"/>
      <c r="HK67" s="1997"/>
      <c r="HL67" s="1997"/>
      <c r="HM67" s="1997"/>
      <c r="HN67" s="1997"/>
      <c r="HO67" s="1997"/>
      <c r="HP67" s="1997"/>
      <c r="HQ67" s="1997"/>
      <c r="HR67" s="1997"/>
      <c r="HS67" s="1997"/>
      <c r="HT67" s="1997"/>
      <c r="HU67" s="1997"/>
      <c r="HV67" s="1997"/>
      <c r="HW67" s="1997"/>
      <c r="HX67" s="1997"/>
      <c r="HY67" s="1997"/>
      <c r="HZ67" s="1997"/>
      <c r="IA67" s="1997"/>
      <c r="IB67" s="1997"/>
      <c r="IC67" s="1997"/>
      <c r="ID67" s="1997"/>
      <c r="IE67" s="1997"/>
      <c r="IF67" s="1997"/>
      <c r="IG67" s="1997"/>
      <c r="IH67" s="1997"/>
      <c r="II67" s="1997"/>
      <c r="IJ67" s="1997"/>
      <c r="IK67" s="1997"/>
      <c r="IL67" s="1997"/>
      <c r="IM67" s="1997"/>
      <c r="IN67" s="1997"/>
      <c r="IO67" s="1997"/>
      <c r="IP67" s="1997"/>
      <c r="IQ67" s="1997"/>
    </row>
    <row r="68" spans="1:251" hidden="1">
      <c r="A68" s="1993"/>
      <c r="B68" s="1998"/>
      <c r="C68" s="1998"/>
      <c r="D68" s="2034"/>
      <c r="E68" s="1998"/>
      <c r="F68" s="1940">
        <f>ROUNDUP((E68*$Q$5),-3)</f>
        <v>0</v>
      </c>
      <c r="G68" s="1993"/>
      <c r="H68" s="1940">
        <f>D68*F68*G68</f>
        <v>0</v>
      </c>
      <c r="I68" s="1993"/>
      <c r="J68" s="1940">
        <f>I68*$Q$4</f>
        <v>0</v>
      </c>
      <c r="K68" s="1993"/>
      <c r="L68" s="1940">
        <f>K68*F68</f>
        <v>0</v>
      </c>
      <c r="M68" s="1940">
        <f>D68*G68*(J68+L68)</f>
        <v>0</v>
      </c>
      <c r="N68" s="1940">
        <f>H68+M68</f>
        <v>0</v>
      </c>
      <c r="O68" s="1993"/>
      <c r="P68" s="1993"/>
      <c r="Q68" s="1940">
        <f>N68+O68+P68</f>
        <v>0</v>
      </c>
      <c r="R68" s="1940">
        <f>Q68*10%</f>
        <v>0</v>
      </c>
      <c r="S68" s="1940">
        <f>(Q68-R68)*10%</f>
        <v>0</v>
      </c>
      <c r="T68" s="1940">
        <f>(Q68-R68)*6%</f>
        <v>0</v>
      </c>
      <c r="U68" s="1940">
        <f>(Q68-R68)*5%</f>
        <v>0</v>
      </c>
      <c r="V68" s="1997"/>
      <c r="W68" s="1997"/>
      <c r="X68" s="1997"/>
      <c r="Y68" s="1997"/>
      <c r="Z68" s="1997"/>
      <c r="AA68" s="1997"/>
      <c r="AB68" s="1997"/>
      <c r="AC68" s="1997"/>
      <c r="AD68" s="1997"/>
      <c r="AE68" s="1997"/>
      <c r="AF68" s="1997"/>
      <c r="AG68" s="1997"/>
      <c r="AH68" s="1997"/>
      <c r="AI68" s="1997"/>
      <c r="AJ68" s="1997"/>
      <c r="AK68" s="1997"/>
      <c r="AL68" s="1997"/>
      <c r="AM68" s="1997"/>
      <c r="AN68" s="1997"/>
      <c r="AO68" s="1997"/>
      <c r="AP68" s="1997"/>
      <c r="AQ68" s="1997"/>
      <c r="AR68" s="1997"/>
      <c r="AS68" s="1997"/>
      <c r="AT68" s="1997"/>
      <c r="AU68" s="1997"/>
      <c r="AV68" s="1997"/>
      <c r="AW68" s="1997"/>
      <c r="AX68" s="1997"/>
      <c r="AY68" s="1997"/>
      <c r="AZ68" s="1997"/>
      <c r="BA68" s="1997"/>
      <c r="BB68" s="1997"/>
      <c r="BC68" s="1997"/>
      <c r="BD68" s="1997"/>
      <c r="BE68" s="1997"/>
      <c r="BF68" s="1997"/>
      <c r="BG68" s="1997"/>
      <c r="BH68" s="1997"/>
      <c r="BI68" s="1997"/>
      <c r="BJ68" s="1997"/>
      <c r="BK68" s="1997"/>
      <c r="BL68" s="1997"/>
      <c r="BM68" s="1997"/>
      <c r="BN68" s="1997"/>
      <c r="BO68" s="1997"/>
      <c r="BP68" s="1997"/>
      <c r="BQ68" s="1997"/>
      <c r="BR68" s="1997"/>
      <c r="BS68" s="1997"/>
      <c r="BT68" s="1997"/>
      <c r="BU68" s="1997"/>
      <c r="BV68" s="1997"/>
      <c r="BW68" s="1997"/>
      <c r="BX68" s="1997"/>
      <c r="BY68" s="1997"/>
      <c r="BZ68" s="1997"/>
      <c r="CA68" s="1997"/>
      <c r="CB68" s="1997"/>
      <c r="CC68" s="1997"/>
      <c r="CD68" s="1997"/>
      <c r="CE68" s="1997"/>
      <c r="CF68" s="1997"/>
      <c r="CG68" s="1997"/>
      <c r="CH68" s="1997"/>
      <c r="CI68" s="1997"/>
      <c r="CJ68" s="1997"/>
      <c r="CK68" s="1997"/>
      <c r="CL68" s="1997"/>
      <c r="CM68" s="1997"/>
      <c r="CN68" s="1997"/>
      <c r="CO68" s="1997"/>
      <c r="CP68" s="1997"/>
      <c r="CQ68" s="1997"/>
      <c r="CR68" s="1997"/>
      <c r="CS68" s="1997"/>
      <c r="CT68" s="1997"/>
      <c r="CU68" s="1997"/>
      <c r="CV68" s="1997"/>
      <c r="CW68" s="1997"/>
      <c r="CX68" s="1997"/>
      <c r="CY68" s="1997"/>
      <c r="CZ68" s="1997"/>
      <c r="DA68" s="1997"/>
      <c r="DB68" s="1997"/>
      <c r="DC68" s="1997"/>
      <c r="DD68" s="1997"/>
      <c r="DE68" s="1997"/>
      <c r="DF68" s="1997"/>
      <c r="DG68" s="1997"/>
      <c r="DH68" s="1997"/>
      <c r="DI68" s="1997"/>
      <c r="DJ68" s="1997"/>
      <c r="DK68" s="1997"/>
      <c r="DL68" s="1997"/>
      <c r="DM68" s="1997"/>
      <c r="DN68" s="1997"/>
      <c r="DO68" s="1997"/>
      <c r="DP68" s="1997"/>
      <c r="DQ68" s="1997"/>
      <c r="DR68" s="1997"/>
      <c r="DS68" s="1997"/>
      <c r="DT68" s="1997"/>
      <c r="DU68" s="1997"/>
      <c r="DV68" s="1997"/>
      <c r="DW68" s="1997"/>
      <c r="DX68" s="1997"/>
      <c r="DY68" s="1997"/>
      <c r="DZ68" s="1997"/>
      <c r="EA68" s="1997"/>
      <c r="EB68" s="1997"/>
      <c r="EC68" s="1997"/>
      <c r="ED68" s="1997"/>
      <c r="EE68" s="1997"/>
      <c r="EF68" s="1997"/>
      <c r="EG68" s="1997"/>
      <c r="EH68" s="1997"/>
      <c r="EI68" s="1997"/>
      <c r="EJ68" s="1997"/>
      <c r="EK68" s="1997"/>
      <c r="EL68" s="1997"/>
      <c r="EM68" s="1997"/>
      <c r="EN68" s="1997"/>
      <c r="EO68" s="1997"/>
      <c r="EP68" s="1997"/>
      <c r="EQ68" s="1997"/>
      <c r="ER68" s="1997"/>
      <c r="ES68" s="1997"/>
      <c r="ET68" s="1997"/>
      <c r="EU68" s="1997"/>
      <c r="EV68" s="1997"/>
      <c r="EW68" s="1997"/>
      <c r="EX68" s="1997"/>
      <c r="EY68" s="1997"/>
      <c r="EZ68" s="1997"/>
      <c r="FA68" s="1997"/>
      <c r="FB68" s="1997"/>
      <c r="FC68" s="1997"/>
      <c r="FD68" s="1997"/>
      <c r="FE68" s="1997"/>
      <c r="FF68" s="1997"/>
      <c r="FG68" s="1997"/>
      <c r="FH68" s="1997"/>
      <c r="FI68" s="1997"/>
      <c r="FJ68" s="1997"/>
      <c r="FK68" s="1997"/>
      <c r="FL68" s="1997"/>
      <c r="FM68" s="1997"/>
      <c r="FN68" s="1997"/>
      <c r="FO68" s="1997"/>
      <c r="FP68" s="1997"/>
      <c r="FQ68" s="1997"/>
      <c r="FR68" s="1997"/>
      <c r="FS68" s="1997"/>
      <c r="FT68" s="1997"/>
      <c r="FU68" s="1997"/>
      <c r="FV68" s="1997"/>
      <c r="FW68" s="1997"/>
      <c r="FX68" s="1997"/>
      <c r="FY68" s="1997"/>
      <c r="FZ68" s="1997"/>
      <c r="GA68" s="1997"/>
      <c r="GB68" s="1997"/>
      <c r="GC68" s="1997"/>
      <c r="GD68" s="1997"/>
      <c r="GE68" s="1997"/>
      <c r="GF68" s="1997"/>
      <c r="GG68" s="1997"/>
      <c r="GH68" s="1997"/>
      <c r="GI68" s="1997"/>
      <c r="GJ68" s="1997"/>
      <c r="GK68" s="1997"/>
      <c r="GL68" s="1997"/>
      <c r="GM68" s="1997"/>
      <c r="GN68" s="1997"/>
      <c r="GO68" s="1997"/>
      <c r="GP68" s="1997"/>
      <c r="GQ68" s="1997"/>
      <c r="GR68" s="1997"/>
      <c r="GS68" s="1997"/>
      <c r="GT68" s="1997"/>
      <c r="GU68" s="1997"/>
      <c r="GV68" s="1997"/>
      <c r="GW68" s="1997"/>
      <c r="GX68" s="1997"/>
      <c r="GY68" s="1997"/>
      <c r="GZ68" s="1997"/>
      <c r="HA68" s="1997"/>
      <c r="HB68" s="1997"/>
      <c r="HC68" s="1997"/>
      <c r="HD68" s="1997"/>
      <c r="HE68" s="1997"/>
      <c r="HF68" s="1997"/>
      <c r="HG68" s="1997"/>
      <c r="HH68" s="1997"/>
      <c r="HI68" s="1997"/>
      <c r="HJ68" s="1997"/>
      <c r="HK68" s="1997"/>
      <c r="HL68" s="1997"/>
      <c r="HM68" s="1997"/>
      <c r="HN68" s="1997"/>
      <c r="HO68" s="1997"/>
      <c r="HP68" s="1997"/>
      <c r="HQ68" s="1997"/>
      <c r="HR68" s="1997"/>
      <c r="HS68" s="1997"/>
      <c r="HT68" s="1997"/>
      <c r="HU68" s="1997"/>
      <c r="HV68" s="1997"/>
      <c r="HW68" s="1997"/>
      <c r="HX68" s="1997"/>
      <c r="HY68" s="1997"/>
      <c r="HZ68" s="1997"/>
      <c r="IA68" s="1997"/>
      <c r="IB68" s="1997"/>
      <c r="IC68" s="1997"/>
      <c r="ID68" s="1997"/>
      <c r="IE68" s="1997"/>
      <c r="IF68" s="1997"/>
      <c r="IG68" s="1997"/>
      <c r="IH68" s="1997"/>
      <c r="II68" s="1997"/>
      <c r="IJ68" s="1997"/>
      <c r="IK68" s="1997"/>
      <c r="IL68" s="1997"/>
      <c r="IM68" s="1997"/>
      <c r="IN68" s="1997"/>
      <c r="IO68" s="1997"/>
      <c r="IP68" s="1997"/>
      <c r="IQ68" s="1997"/>
    </row>
    <row r="69" spans="1:251" hidden="1">
      <c r="A69" s="1993"/>
      <c r="B69" s="1998"/>
      <c r="C69" s="1998"/>
      <c r="D69" s="2034"/>
      <c r="E69" s="1998"/>
      <c r="F69" s="1940">
        <f>ROUNDUP((E69*$Q$5),-3)</f>
        <v>0</v>
      </c>
      <c r="G69" s="1993"/>
      <c r="H69" s="1940">
        <f>D69*F69*G69</f>
        <v>0</v>
      </c>
      <c r="I69" s="1993"/>
      <c r="J69" s="1940">
        <f>I69*$Q$4</f>
        <v>0</v>
      </c>
      <c r="K69" s="1993"/>
      <c r="L69" s="1940">
        <f>K69*F69</f>
        <v>0</v>
      </c>
      <c r="M69" s="1940">
        <f>D69*G69*(J69+L69)</f>
        <v>0</v>
      </c>
      <c r="N69" s="1940">
        <f>H69+M69</f>
        <v>0</v>
      </c>
      <c r="O69" s="1993"/>
      <c r="P69" s="1993"/>
      <c r="Q69" s="1940">
        <f>N69+O69+P69</f>
        <v>0</v>
      </c>
      <c r="R69" s="1940">
        <f>Q69*10%</f>
        <v>0</v>
      </c>
      <c r="S69" s="1940">
        <f>(Q69-R69)*10%</f>
        <v>0</v>
      </c>
      <c r="T69" s="1940">
        <f>(Q69-R69)*6%</f>
        <v>0</v>
      </c>
      <c r="U69" s="1940">
        <f>(Q69-R69)*5%</f>
        <v>0</v>
      </c>
      <c r="V69" s="1997"/>
      <c r="W69" s="1997"/>
      <c r="X69" s="1997"/>
      <c r="Y69" s="1997"/>
      <c r="Z69" s="1997"/>
      <c r="AA69" s="1997"/>
      <c r="AB69" s="1997"/>
      <c r="AC69" s="1997"/>
      <c r="AD69" s="1997"/>
      <c r="AE69" s="1997"/>
      <c r="AF69" s="1997"/>
      <c r="AG69" s="1997"/>
      <c r="AH69" s="1997"/>
      <c r="AI69" s="1997"/>
      <c r="AJ69" s="1997"/>
      <c r="AK69" s="1997"/>
      <c r="AL69" s="1997"/>
      <c r="AM69" s="1997"/>
      <c r="AN69" s="1997"/>
      <c r="AO69" s="1997"/>
      <c r="AP69" s="1997"/>
      <c r="AQ69" s="1997"/>
      <c r="AR69" s="1997"/>
      <c r="AS69" s="1997"/>
      <c r="AT69" s="1997"/>
      <c r="AU69" s="1997"/>
      <c r="AV69" s="1997"/>
      <c r="AW69" s="1997"/>
      <c r="AX69" s="1997"/>
      <c r="AY69" s="1997"/>
      <c r="AZ69" s="1997"/>
      <c r="BA69" s="1997"/>
      <c r="BB69" s="1997"/>
      <c r="BC69" s="1997"/>
      <c r="BD69" s="1997"/>
      <c r="BE69" s="1997"/>
      <c r="BF69" s="1997"/>
      <c r="BG69" s="1997"/>
      <c r="BH69" s="1997"/>
      <c r="BI69" s="1997"/>
      <c r="BJ69" s="1997"/>
      <c r="BK69" s="1997"/>
      <c r="BL69" s="1997"/>
      <c r="BM69" s="1997"/>
      <c r="BN69" s="1997"/>
      <c r="BO69" s="1997"/>
      <c r="BP69" s="1997"/>
      <c r="BQ69" s="1997"/>
      <c r="BR69" s="1997"/>
      <c r="BS69" s="1997"/>
      <c r="BT69" s="1997"/>
      <c r="BU69" s="1997"/>
      <c r="BV69" s="1997"/>
      <c r="BW69" s="1997"/>
      <c r="BX69" s="1997"/>
      <c r="BY69" s="1997"/>
      <c r="BZ69" s="1997"/>
      <c r="CA69" s="1997"/>
      <c r="CB69" s="1997"/>
      <c r="CC69" s="1997"/>
      <c r="CD69" s="1997"/>
      <c r="CE69" s="1997"/>
      <c r="CF69" s="1997"/>
      <c r="CG69" s="1997"/>
      <c r="CH69" s="1997"/>
      <c r="CI69" s="1997"/>
      <c r="CJ69" s="1997"/>
      <c r="CK69" s="1997"/>
      <c r="CL69" s="1997"/>
      <c r="CM69" s="1997"/>
      <c r="CN69" s="1997"/>
      <c r="CO69" s="1997"/>
      <c r="CP69" s="1997"/>
      <c r="CQ69" s="1997"/>
      <c r="CR69" s="1997"/>
      <c r="CS69" s="1997"/>
      <c r="CT69" s="1997"/>
      <c r="CU69" s="1997"/>
      <c r="CV69" s="1997"/>
      <c r="CW69" s="1997"/>
      <c r="CX69" s="1997"/>
      <c r="CY69" s="1997"/>
      <c r="CZ69" s="1997"/>
      <c r="DA69" s="1997"/>
      <c r="DB69" s="1997"/>
      <c r="DC69" s="1997"/>
      <c r="DD69" s="1997"/>
      <c r="DE69" s="1997"/>
      <c r="DF69" s="1997"/>
      <c r="DG69" s="1997"/>
      <c r="DH69" s="1997"/>
      <c r="DI69" s="1997"/>
      <c r="DJ69" s="1997"/>
      <c r="DK69" s="1997"/>
      <c r="DL69" s="1997"/>
      <c r="DM69" s="1997"/>
      <c r="DN69" s="1997"/>
      <c r="DO69" s="1997"/>
      <c r="DP69" s="1997"/>
      <c r="DQ69" s="1997"/>
      <c r="DR69" s="1997"/>
      <c r="DS69" s="1997"/>
      <c r="DT69" s="1997"/>
      <c r="DU69" s="1997"/>
      <c r="DV69" s="1997"/>
      <c r="DW69" s="1997"/>
      <c r="DX69" s="1997"/>
      <c r="DY69" s="1997"/>
      <c r="DZ69" s="1997"/>
      <c r="EA69" s="1997"/>
      <c r="EB69" s="1997"/>
      <c r="EC69" s="1997"/>
      <c r="ED69" s="1997"/>
      <c r="EE69" s="1997"/>
      <c r="EF69" s="1997"/>
      <c r="EG69" s="1997"/>
      <c r="EH69" s="1997"/>
      <c r="EI69" s="1997"/>
      <c r="EJ69" s="1997"/>
      <c r="EK69" s="1997"/>
      <c r="EL69" s="1997"/>
      <c r="EM69" s="1997"/>
      <c r="EN69" s="1997"/>
      <c r="EO69" s="1997"/>
      <c r="EP69" s="1997"/>
      <c r="EQ69" s="1997"/>
      <c r="ER69" s="1997"/>
      <c r="ES69" s="1997"/>
      <c r="ET69" s="1997"/>
      <c r="EU69" s="1997"/>
      <c r="EV69" s="1997"/>
      <c r="EW69" s="1997"/>
      <c r="EX69" s="1997"/>
      <c r="EY69" s="1997"/>
      <c r="EZ69" s="1997"/>
      <c r="FA69" s="1997"/>
      <c r="FB69" s="1997"/>
      <c r="FC69" s="1997"/>
      <c r="FD69" s="1997"/>
      <c r="FE69" s="1997"/>
      <c r="FF69" s="1997"/>
      <c r="FG69" s="1997"/>
      <c r="FH69" s="1997"/>
      <c r="FI69" s="1997"/>
      <c r="FJ69" s="1997"/>
      <c r="FK69" s="1997"/>
      <c r="FL69" s="1997"/>
      <c r="FM69" s="1997"/>
      <c r="FN69" s="1997"/>
      <c r="FO69" s="1997"/>
      <c r="FP69" s="1997"/>
      <c r="FQ69" s="1997"/>
      <c r="FR69" s="1997"/>
      <c r="FS69" s="1997"/>
      <c r="FT69" s="1997"/>
      <c r="FU69" s="1997"/>
      <c r="FV69" s="1997"/>
      <c r="FW69" s="1997"/>
      <c r="FX69" s="1997"/>
      <c r="FY69" s="1997"/>
      <c r="FZ69" s="1997"/>
      <c r="GA69" s="1997"/>
      <c r="GB69" s="1997"/>
      <c r="GC69" s="1997"/>
      <c r="GD69" s="1997"/>
      <c r="GE69" s="1997"/>
      <c r="GF69" s="1997"/>
      <c r="GG69" s="1997"/>
      <c r="GH69" s="1997"/>
      <c r="GI69" s="1997"/>
      <c r="GJ69" s="1997"/>
      <c r="GK69" s="1997"/>
      <c r="GL69" s="1997"/>
      <c r="GM69" s="1997"/>
      <c r="GN69" s="1997"/>
      <c r="GO69" s="1997"/>
      <c r="GP69" s="1997"/>
      <c r="GQ69" s="1997"/>
      <c r="GR69" s="1997"/>
      <c r="GS69" s="1997"/>
      <c r="GT69" s="1997"/>
      <c r="GU69" s="1997"/>
      <c r="GV69" s="1997"/>
      <c r="GW69" s="1997"/>
      <c r="GX69" s="1997"/>
      <c r="GY69" s="1997"/>
      <c r="GZ69" s="1997"/>
      <c r="HA69" s="1997"/>
      <c r="HB69" s="1997"/>
      <c r="HC69" s="1997"/>
      <c r="HD69" s="1997"/>
      <c r="HE69" s="1997"/>
      <c r="HF69" s="1997"/>
      <c r="HG69" s="1997"/>
      <c r="HH69" s="1997"/>
      <c r="HI69" s="1997"/>
      <c r="HJ69" s="1997"/>
      <c r="HK69" s="1997"/>
      <c r="HL69" s="1997"/>
      <c r="HM69" s="1997"/>
      <c r="HN69" s="1997"/>
      <c r="HO69" s="1997"/>
      <c r="HP69" s="1997"/>
      <c r="HQ69" s="1997"/>
      <c r="HR69" s="1997"/>
      <c r="HS69" s="1997"/>
      <c r="HT69" s="1997"/>
      <c r="HU69" s="1997"/>
      <c r="HV69" s="1997"/>
      <c r="HW69" s="1997"/>
      <c r="HX69" s="1997"/>
      <c r="HY69" s="1997"/>
      <c r="HZ69" s="1997"/>
      <c r="IA69" s="1997"/>
      <c r="IB69" s="1997"/>
      <c r="IC69" s="1997"/>
      <c r="ID69" s="1997"/>
      <c r="IE69" s="1997"/>
      <c r="IF69" s="1997"/>
      <c r="IG69" s="1997"/>
      <c r="IH69" s="1997"/>
      <c r="II69" s="1997"/>
      <c r="IJ69" s="1997"/>
      <c r="IK69" s="1997"/>
      <c r="IL69" s="1997"/>
      <c r="IM69" s="1997"/>
      <c r="IN69" s="1997"/>
      <c r="IO69" s="1997"/>
      <c r="IP69" s="1997"/>
      <c r="IQ69" s="1997"/>
    </row>
    <row r="70" spans="1:251" hidden="1">
      <c r="A70" s="1993"/>
      <c r="B70" s="1998"/>
      <c r="C70" s="1998"/>
      <c r="D70" s="2034"/>
      <c r="E70" s="1998"/>
      <c r="F70" s="1940">
        <f t="shared" ref="F70:F100" si="32">ROUNDUP((E70*$Q$5),-3)</f>
        <v>0</v>
      </c>
      <c r="G70" s="1993"/>
      <c r="H70" s="1940">
        <f t="shared" ref="H70:H100" si="33">D70*F70*G70</f>
        <v>0</v>
      </c>
      <c r="I70" s="1993"/>
      <c r="J70" s="1940">
        <f t="shared" ref="J70:J100" si="34">I70*$Q$4</f>
        <v>0</v>
      </c>
      <c r="K70" s="1993"/>
      <c r="L70" s="1940">
        <f t="shared" ref="L70:L100" si="35">K70*F70</f>
        <v>0</v>
      </c>
      <c r="M70" s="1940">
        <f t="shared" ref="M70:M100" si="36">D70*G70*(J70+L70)</f>
        <v>0</v>
      </c>
      <c r="N70" s="1940">
        <f t="shared" ref="N70:N100" si="37">H70+M70</f>
        <v>0</v>
      </c>
      <c r="O70" s="1993"/>
      <c r="P70" s="1993"/>
      <c r="Q70" s="1940">
        <f t="shared" ref="Q70:Q100" si="38">N70+O70+P70</f>
        <v>0</v>
      </c>
      <c r="R70" s="1940">
        <f t="shared" ref="R70:R100" si="39">Q70*10%</f>
        <v>0</v>
      </c>
      <c r="S70" s="1940">
        <f t="shared" ref="S70:S100" si="40">(Q70-R70)*10%</f>
        <v>0</v>
      </c>
      <c r="T70" s="1940">
        <f t="shared" ref="T70:T100" si="41">(Q70-R70)*6%</f>
        <v>0</v>
      </c>
      <c r="U70" s="1940">
        <f t="shared" ref="U70:U100" si="42">(Q70-R70)*5%</f>
        <v>0</v>
      </c>
      <c r="V70" s="1997"/>
      <c r="W70" s="1997"/>
      <c r="X70" s="1997"/>
      <c r="Y70" s="1997"/>
      <c r="Z70" s="1997"/>
      <c r="AA70" s="1997"/>
      <c r="AB70" s="1997"/>
      <c r="AC70" s="1997"/>
      <c r="AD70" s="1997"/>
      <c r="AE70" s="1997"/>
      <c r="AF70" s="1997"/>
      <c r="AG70" s="1997"/>
      <c r="AH70" s="1997"/>
      <c r="AI70" s="1997"/>
      <c r="AJ70" s="1997"/>
      <c r="AK70" s="1997"/>
      <c r="AL70" s="1997"/>
      <c r="AM70" s="1997"/>
      <c r="AN70" s="1997"/>
      <c r="AO70" s="1997"/>
      <c r="AP70" s="1997"/>
      <c r="AQ70" s="1997"/>
      <c r="AR70" s="1997"/>
      <c r="AS70" s="1997"/>
      <c r="AT70" s="1997"/>
      <c r="AU70" s="1997"/>
      <c r="AV70" s="1997"/>
      <c r="AW70" s="1997"/>
      <c r="AX70" s="1997"/>
      <c r="AY70" s="1997"/>
      <c r="AZ70" s="1997"/>
      <c r="BA70" s="1997"/>
      <c r="BB70" s="1997"/>
      <c r="BC70" s="1997"/>
      <c r="BD70" s="1997"/>
      <c r="BE70" s="1997"/>
      <c r="BF70" s="1997"/>
      <c r="BG70" s="1997"/>
      <c r="BH70" s="1997"/>
      <c r="BI70" s="1997"/>
      <c r="BJ70" s="1997"/>
      <c r="BK70" s="1997"/>
      <c r="BL70" s="1997"/>
      <c r="BM70" s="1997"/>
      <c r="BN70" s="1997"/>
      <c r="BO70" s="1997"/>
      <c r="BP70" s="1997"/>
      <c r="BQ70" s="1997"/>
      <c r="BR70" s="1997"/>
      <c r="BS70" s="1997"/>
      <c r="BT70" s="1997"/>
      <c r="BU70" s="1997"/>
      <c r="BV70" s="1997"/>
      <c r="BW70" s="1997"/>
      <c r="BX70" s="1997"/>
      <c r="BY70" s="1997"/>
      <c r="BZ70" s="1997"/>
      <c r="CA70" s="1997"/>
      <c r="CB70" s="1997"/>
      <c r="CC70" s="1997"/>
      <c r="CD70" s="1997"/>
      <c r="CE70" s="1997"/>
      <c r="CF70" s="1997"/>
      <c r="CG70" s="1997"/>
      <c r="CH70" s="1997"/>
      <c r="CI70" s="1997"/>
      <c r="CJ70" s="1997"/>
      <c r="CK70" s="1997"/>
      <c r="CL70" s="1997"/>
      <c r="CM70" s="1997"/>
      <c r="CN70" s="1997"/>
      <c r="CO70" s="1997"/>
      <c r="CP70" s="1997"/>
      <c r="CQ70" s="1997"/>
      <c r="CR70" s="1997"/>
      <c r="CS70" s="1997"/>
      <c r="CT70" s="1997"/>
      <c r="CU70" s="1997"/>
      <c r="CV70" s="1997"/>
      <c r="CW70" s="1997"/>
      <c r="CX70" s="1997"/>
      <c r="CY70" s="1997"/>
      <c r="CZ70" s="1997"/>
      <c r="DA70" s="1997"/>
      <c r="DB70" s="1997"/>
      <c r="DC70" s="1997"/>
      <c r="DD70" s="1997"/>
      <c r="DE70" s="1997"/>
      <c r="DF70" s="1997"/>
      <c r="DG70" s="1997"/>
      <c r="DH70" s="1997"/>
      <c r="DI70" s="1997"/>
      <c r="DJ70" s="1997"/>
      <c r="DK70" s="1997"/>
      <c r="DL70" s="1997"/>
      <c r="DM70" s="1997"/>
      <c r="DN70" s="1997"/>
      <c r="DO70" s="1997"/>
      <c r="DP70" s="1997"/>
      <c r="DQ70" s="1997"/>
      <c r="DR70" s="1997"/>
      <c r="DS70" s="1997"/>
      <c r="DT70" s="1997"/>
      <c r="DU70" s="1997"/>
      <c r="DV70" s="1997"/>
      <c r="DW70" s="1997"/>
      <c r="DX70" s="1997"/>
      <c r="DY70" s="1997"/>
      <c r="DZ70" s="1997"/>
      <c r="EA70" s="1997"/>
      <c r="EB70" s="1997"/>
      <c r="EC70" s="1997"/>
      <c r="ED70" s="1997"/>
      <c r="EE70" s="1997"/>
      <c r="EF70" s="1997"/>
      <c r="EG70" s="1997"/>
      <c r="EH70" s="1997"/>
      <c r="EI70" s="1997"/>
      <c r="EJ70" s="1997"/>
      <c r="EK70" s="1997"/>
      <c r="EL70" s="1997"/>
      <c r="EM70" s="1997"/>
      <c r="EN70" s="1997"/>
      <c r="EO70" s="1997"/>
      <c r="EP70" s="1997"/>
      <c r="EQ70" s="1997"/>
      <c r="ER70" s="1997"/>
      <c r="ES70" s="1997"/>
      <c r="ET70" s="1997"/>
      <c r="EU70" s="1997"/>
      <c r="EV70" s="1997"/>
      <c r="EW70" s="1997"/>
      <c r="EX70" s="1997"/>
      <c r="EY70" s="1997"/>
      <c r="EZ70" s="1997"/>
      <c r="FA70" s="1997"/>
      <c r="FB70" s="1997"/>
      <c r="FC70" s="1997"/>
      <c r="FD70" s="1997"/>
      <c r="FE70" s="1997"/>
      <c r="FF70" s="1997"/>
      <c r="FG70" s="1997"/>
      <c r="FH70" s="1997"/>
      <c r="FI70" s="1997"/>
      <c r="FJ70" s="1997"/>
      <c r="FK70" s="1997"/>
      <c r="FL70" s="1997"/>
      <c r="FM70" s="1997"/>
      <c r="FN70" s="1997"/>
      <c r="FO70" s="1997"/>
      <c r="FP70" s="1997"/>
      <c r="FQ70" s="1997"/>
      <c r="FR70" s="1997"/>
      <c r="FS70" s="1997"/>
      <c r="FT70" s="1997"/>
      <c r="FU70" s="1997"/>
      <c r="FV70" s="1997"/>
      <c r="FW70" s="1997"/>
      <c r="FX70" s="1997"/>
      <c r="FY70" s="1997"/>
      <c r="FZ70" s="1997"/>
      <c r="GA70" s="1997"/>
      <c r="GB70" s="1997"/>
      <c r="GC70" s="1997"/>
      <c r="GD70" s="1997"/>
      <c r="GE70" s="1997"/>
      <c r="GF70" s="1997"/>
      <c r="GG70" s="1997"/>
      <c r="GH70" s="1997"/>
      <c r="GI70" s="1997"/>
      <c r="GJ70" s="1997"/>
      <c r="GK70" s="1997"/>
      <c r="GL70" s="1997"/>
      <c r="GM70" s="1997"/>
      <c r="GN70" s="1997"/>
      <c r="GO70" s="1997"/>
      <c r="GP70" s="1997"/>
      <c r="GQ70" s="1997"/>
      <c r="GR70" s="1997"/>
      <c r="GS70" s="1997"/>
      <c r="GT70" s="1997"/>
      <c r="GU70" s="1997"/>
      <c r="GV70" s="1997"/>
      <c r="GW70" s="1997"/>
      <c r="GX70" s="1997"/>
      <c r="GY70" s="1997"/>
      <c r="GZ70" s="1997"/>
      <c r="HA70" s="1997"/>
      <c r="HB70" s="1997"/>
      <c r="HC70" s="1997"/>
      <c r="HD70" s="1997"/>
      <c r="HE70" s="1997"/>
      <c r="HF70" s="1997"/>
      <c r="HG70" s="1997"/>
      <c r="HH70" s="1997"/>
      <c r="HI70" s="1997"/>
      <c r="HJ70" s="1997"/>
      <c r="HK70" s="1997"/>
      <c r="HL70" s="1997"/>
      <c r="HM70" s="1997"/>
      <c r="HN70" s="1997"/>
      <c r="HO70" s="1997"/>
      <c r="HP70" s="1997"/>
      <c r="HQ70" s="1997"/>
      <c r="HR70" s="1997"/>
      <c r="HS70" s="1997"/>
      <c r="HT70" s="1997"/>
      <c r="HU70" s="1997"/>
      <c r="HV70" s="1997"/>
      <c r="HW70" s="1997"/>
      <c r="HX70" s="1997"/>
      <c r="HY70" s="1997"/>
      <c r="HZ70" s="1997"/>
      <c r="IA70" s="1997"/>
      <c r="IB70" s="1997"/>
      <c r="IC70" s="1997"/>
      <c r="ID70" s="1997"/>
      <c r="IE70" s="1997"/>
      <c r="IF70" s="1997"/>
      <c r="IG70" s="1997"/>
      <c r="IH70" s="1997"/>
      <c r="II70" s="1997"/>
      <c r="IJ70" s="1997"/>
      <c r="IK70" s="1997"/>
      <c r="IL70" s="1997"/>
      <c r="IM70" s="1997"/>
      <c r="IN70" s="1997"/>
      <c r="IO70" s="1997"/>
      <c r="IP70" s="1997"/>
      <c r="IQ70" s="1997"/>
    </row>
    <row r="71" spans="1:251" hidden="1">
      <c r="A71" s="1993"/>
      <c r="B71" s="1998"/>
      <c r="C71" s="1998"/>
      <c r="D71" s="2034"/>
      <c r="E71" s="1998"/>
      <c r="F71" s="1940">
        <f t="shared" si="32"/>
        <v>0</v>
      </c>
      <c r="G71" s="1993"/>
      <c r="H71" s="1940">
        <f t="shared" si="33"/>
        <v>0</v>
      </c>
      <c r="I71" s="1993"/>
      <c r="J71" s="1940">
        <f t="shared" si="34"/>
        <v>0</v>
      </c>
      <c r="K71" s="1993"/>
      <c r="L71" s="1940">
        <f t="shared" si="35"/>
        <v>0</v>
      </c>
      <c r="M71" s="1940">
        <f t="shared" si="36"/>
        <v>0</v>
      </c>
      <c r="N71" s="1940">
        <f t="shared" si="37"/>
        <v>0</v>
      </c>
      <c r="O71" s="1993"/>
      <c r="P71" s="1993"/>
      <c r="Q71" s="1940">
        <f t="shared" si="38"/>
        <v>0</v>
      </c>
      <c r="R71" s="1940">
        <f t="shared" si="39"/>
        <v>0</v>
      </c>
      <c r="S71" s="1940">
        <f t="shared" si="40"/>
        <v>0</v>
      </c>
      <c r="T71" s="1940">
        <f t="shared" si="41"/>
        <v>0</v>
      </c>
      <c r="U71" s="1940">
        <f t="shared" si="42"/>
        <v>0</v>
      </c>
      <c r="V71" s="1997"/>
      <c r="W71" s="1997"/>
      <c r="X71" s="1997"/>
      <c r="Y71" s="1997"/>
      <c r="Z71" s="1997"/>
      <c r="AA71" s="1997"/>
      <c r="AB71" s="1997"/>
      <c r="AC71" s="1997"/>
      <c r="AD71" s="1997"/>
      <c r="AE71" s="1997"/>
      <c r="AF71" s="1997"/>
      <c r="AG71" s="1997"/>
      <c r="AH71" s="1997"/>
      <c r="AI71" s="1997"/>
      <c r="AJ71" s="1997"/>
      <c r="AK71" s="1997"/>
      <c r="AL71" s="1997"/>
      <c r="AM71" s="1997"/>
      <c r="AN71" s="1997"/>
      <c r="AO71" s="1997"/>
      <c r="AP71" s="1997"/>
      <c r="AQ71" s="1997"/>
      <c r="AR71" s="1997"/>
      <c r="AS71" s="1997"/>
      <c r="AT71" s="1997"/>
      <c r="AU71" s="1997"/>
      <c r="AV71" s="1997"/>
      <c r="AW71" s="1997"/>
      <c r="AX71" s="1997"/>
      <c r="AY71" s="1997"/>
      <c r="AZ71" s="1997"/>
      <c r="BA71" s="1997"/>
      <c r="BB71" s="1997"/>
      <c r="BC71" s="1997"/>
      <c r="BD71" s="1997"/>
      <c r="BE71" s="1997"/>
      <c r="BF71" s="1997"/>
      <c r="BG71" s="1997"/>
      <c r="BH71" s="1997"/>
      <c r="BI71" s="1997"/>
      <c r="BJ71" s="1997"/>
      <c r="BK71" s="1997"/>
      <c r="BL71" s="1997"/>
      <c r="BM71" s="1997"/>
      <c r="BN71" s="1997"/>
      <c r="BO71" s="1997"/>
      <c r="BP71" s="1997"/>
      <c r="BQ71" s="1997"/>
      <c r="BR71" s="1997"/>
      <c r="BS71" s="1997"/>
      <c r="BT71" s="1997"/>
      <c r="BU71" s="1997"/>
      <c r="BV71" s="1997"/>
      <c r="BW71" s="1997"/>
      <c r="BX71" s="1997"/>
      <c r="BY71" s="1997"/>
      <c r="BZ71" s="1997"/>
      <c r="CA71" s="1997"/>
      <c r="CB71" s="1997"/>
      <c r="CC71" s="1997"/>
      <c r="CD71" s="1997"/>
      <c r="CE71" s="1997"/>
      <c r="CF71" s="1997"/>
      <c r="CG71" s="1997"/>
      <c r="CH71" s="1997"/>
      <c r="CI71" s="1997"/>
      <c r="CJ71" s="1997"/>
      <c r="CK71" s="1997"/>
      <c r="CL71" s="1997"/>
      <c r="CM71" s="1997"/>
      <c r="CN71" s="1997"/>
      <c r="CO71" s="1997"/>
      <c r="CP71" s="1997"/>
      <c r="CQ71" s="1997"/>
      <c r="CR71" s="1997"/>
      <c r="CS71" s="1997"/>
      <c r="CT71" s="1997"/>
      <c r="CU71" s="1997"/>
      <c r="CV71" s="1997"/>
      <c r="CW71" s="1997"/>
      <c r="CX71" s="1997"/>
      <c r="CY71" s="1997"/>
      <c r="CZ71" s="1997"/>
      <c r="DA71" s="1997"/>
      <c r="DB71" s="1997"/>
      <c r="DC71" s="1997"/>
      <c r="DD71" s="1997"/>
      <c r="DE71" s="1997"/>
      <c r="DF71" s="1997"/>
      <c r="DG71" s="1997"/>
      <c r="DH71" s="1997"/>
      <c r="DI71" s="1997"/>
      <c r="DJ71" s="1997"/>
      <c r="DK71" s="1997"/>
      <c r="DL71" s="1997"/>
      <c r="DM71" s="1997"/>
      <c r="DN71" s="1997"/>
      <c r="DO71" s="1997"/>
      <c r="DP71" s="1997"/>
      <c r="DQ71" s="1997"/>
      <c r="DR71" s="1997"/>
      <c r="DS71" s="1997"/>
      <c r="DT71" s="1997"/>
      <c r="DU71" s="1997"/>
      <c r="DV71" s="1997"/>
      <c r="DW71" s="1997"/>
      <c r="DX71" s="1997"/>
      <c r="DY71" s="1997"/>
      <c r="DZ71" s="1997"/>
      <c r="EA71" s="1997"/>
      <c r="EB71" s="1997"/>
      <c r="EC71" s="1997"/>
      <c r="ED71" s="1997"/>
      <c r="EE71" s="1997"/>
      <c r="EF71" s="1997"/>
      <c r="EG71" s="1997"/>
      <c r="EH71" s="1997"/>
      <c r="EI71" s="1997"/>
      <c r="EJ71" s="1997"/>
      <c r="EK71" s="1997"/>
      <c r="EL71" s="1997"/>
      <c r="EM71" s="1997"/>
      <c r="EN71" s="1997"/>
      <c r="EO71" s="1997"/>
      <c r="EP71" s="1997"/>
      <c r="EQ71" s="1997"/>
      <c r="ER71" s="1997"/>
      <c r="ES71" s="1997"/>
      <c r="ET71" s="1997"/>
      <c r="EU71" s="1997"/>
      <c r="EV71" s="1997"/>
      <c r="EW71" s="1997"/>
      <c r="EX71" s="1997"/>
      <c r="EY71" s="1997"/>
      <c r="EZ71" s="1997"/>
      <c r="FA71" s="1997"/>
      <c r="FB71" s="1997"/>
      <c r="FC71" s="1997"/>
      <c r="FD71" s="1997"/>
      <c r="FE71" s="1997"/>
      <c r="FF71" s="1997"/>
      <c r="FG71" s="1997"/>
      <c r="FH71" s="1997"/>
      <c r="FI71" s="1997"/>
      <c r="FJ71" s="1997"/>
      <c r="FK71" s="1997"/>
      <c r="FL71" s="1997"/>
      <c r="FM71" s="1997"/>
      <c r="FN71" s="1997"/>
      <c r="FO71" s="1997"/>
      <c r="FP71" s="1997"/>
      <c r="FQ71" s="1997"/>
      <c r="FR71" s="1997"/>
      <c r="FS71" s="1997"/>
      <c r="FT71" s="1997"/>
      <c r="FU71" s="1997"/>
      <c r="FV71" s="1997"/>
      <c r="FW71" s="1997"/>
      <c r="FX71" s="1997"/>
      <c r="FY71" s="1997"/>
      <c r="FZ71" s="1997"/>
      <c r="GA71" s="1997"/>
      <c r="GB71" s="1997"/>
      <c r="GC71" s="1997"/>
      <c r="GD71" s="1997"/>
      <c r="GE71" s="1997"/>
      <c r="GF71" s="1997"/>
      <c r="GG71" s="1997"/>
      <c r="GH71" s="1997"/>
      <c r="GI71" s="1997"/>
      <c r="GJ71" s="1997"/>
      <c r="GK71" s="1997"/>
      <c r="GL71" s="1997"/>
      <c r="GM71" s="1997"/>
      <c r="GN71" s="1997"/>
      <c r="GO71" s="1997"/>
      <c r="GP71" s="1997"/>
      <c r="GQ71" s="1997"/>
      <c r="GR71" s="1997"/>
      <c r="GS71" s="1997"/>
      <c r="GT71" s="1997"/>
      <c r="GU71" s="1997"/>
      <c r="GV71" s="1997"/>
      <c r="GW71" s="1997"/>
      <c r="GX71" s="1997"/>
      <c r="GY71" s="1997"/>
      <c r="GZ71" s="1997"/>
      <c r="HA71" s="1997"/>
      <c r="HB71" s="1997"/>
      <c r="HC71" s="1997"/>
      <c r="HD71" s="1997"/>
      <c r="HE71" s="1997"/>
      <c r="HF71" s="1997"/>
      <c r="HG71" s="1997"/>
      <c r="HH71" s="1997"/>
      <c r="HI71" s="1997"/>
      <c r="HJ71" s="1997"/>
      <c r="HK71" s="1997"/>
      <c r="HL71" s="1997"/>
      <c r="HM71" s="1997"/>
      <c r="HN71" s="1997"/>
      <c r="HO71" s="1997"/>
      <c r="HP71" s="1997"/>
      <c r="HQ71" s="1997"/>
      <c r="HR71" s="1997"/>
      <c r="HS71" s="1997"/>
      <c r="HT71" s="1997"/>
      <c r="HU71" s="1997"/>
      <c r="HV71" s="1997"/>
      <c r="HW71" s="1997"/>
      <c r="HX71" s="1997"/>
      <c r="HY71" s="1997"/>
      <c r="HZ71" s="1997"/>
      <c r="IA71" s="1997"/>
      <c r="IB71" s="1997"/>
      <c r="IC71" s="1997"/>
      <c r="ID71" s="1997"/>
      <c r="IE71" s="1997"/>
      <c r="IF71" s="1997"/>
      <c r="IG71" s="1997"/>
      <c r="IH71" s="1997"/>
      <c r="II71" s="1997"/>
      <c r="IJ71" s="1997"/>
      <c r="IK71" s="1997"/>
      <c r="IL71" s="1997"/>
      <c r="IM71" s="1997"/>
      <c r="IN71" s="1997"/>
      <c r="IO71" s="1997"/>
      <c r="IP71" s="1997"/>
      <c r="IQ71" s="1997"/>
    </row>
    <row r="72" spans="1:251" hidden="1">
      <c r="A72" s="1993"/>
      <c r="B72" s="1998"/>
      <c r="C72" s="1998"/>
      <c r="D72" s="2034"/>
      <c r="E72" s="1998"/>
      <c r="F72" s="1940">
        <f t="shared" si="32"/>
        <v>0</v>
      </c>
      <c r="G72" s="1993"/>
      <c r="H72" s="1940">
        <f t="shared" si="33"/>
        <v>0</v>
      </c>
      <c r="I72" s="1993"/>
      <c r="J72" s="1940">
        <f t="shared" si="34"/>
        <v>0</v>
      </c>
      <c r="K72" s="1993"/>
      <c r="L72" s="1940">
        <f t="shared" si="35"/>
        <v>0</v>
      </c>
      <c r="M72" s="1940">
        <f t="shared" si="36"/>
        <v>0</v>
      </c>
      <c r="N72" s="1940">
        <f t="shared" si="37"/>
        <v>0</v>
      </c>
      <c r="O72" s="1993"/>
      <c r="P72" s="1993"/>
      <c r="Q72" s="1940">
        <f t="shared" si="38"/>
        <v>0</v>
      </c>
      <c r="R72" s="1940">
        <f t="shared" si="39"/>
        <v>0</v>
      </c>
      <c r="S72" s="1940">
        <f t="shared" si="40"/>
        <v>0</v>
      </c>
      <c r="T72" s="1940">
        <f t="shared" si="41"/>
        <v>0</v>
      </c>
      <c r="U72" s="1940">
        <f t="shared" si="42"/>
        <v>0</v>
      </c>
      <c r="V72" s="1997"/>
      <c r="W72" s="1997"/>
      <c r="X72" s="1997"/>
      <c r="Y72" s="1997"/>
      <c r="Z72" s="1997"/>
      <c r="AA72" s="1997"/>
      <c r="AB72" s="1997"/>
      <c r="AC72" s="1997"/>
      <c r="AD72" s="1997"/>
      <c r="AE72" s="1997"/>
      <c r="AF72" s="1997"/>
      <c r="AG72" s="1997"/>
      <c r="AH72" s="1997"/>
      <c r="AI72" s="1997"/>
      <c r="AJ72" s="1997"/>
      <c r="AK72" s="1997"/>
      <c r="AL72" s="1997"/>
      <c r="AM72" s="1997"/>
      <c r="AN72" s="1997"/>
      <c r="AO72" s="1997"/>
      <c r="AP72" s="1997"/>
      <c r="AQ72" s="1997"/>
      <c r="AR72" s="1997"/>
      <c r="AS72" s="1997"/>
      <c r="AT72" s="1997"/>
      <c r="AU72" s="1997"/>
      <c r="AV72" s="1997"/>
      <c r="AW72" s="1997"/>
      <c r="AX72" s="1997"/>
      <c r="AY72" s="1997"/>
      <c r="AZ72" s="1997"/>
      <c r="BA72" s="1997"/>
      <c r="BB72" s="1997"/>
      <c r="BC72" s="1997"/>
      <c r="BD72" s="1997"/>
      <c r="BE72" s="1997"/>
      <c r="BF72" s="1997"/>
      <c r="BG72" s="1997"/>
      <c r="BH72" s="1997"/>
      <c r="BI72" s="1997"/>
      <c r="BJ72" s="1997"/>
      <c r="BK72" s="1997"/>
      <c r="BL72" s="1997"/>
      <c r="BM72" s="1997"/>
      <c r="BN72" s="1997"/>
      <c r="BO72" s="1997"/>
      <c r="BP72" s="1997"/>
      <c r="BQ72" s="1997"/>
      <c r="BR72" s="1997"/>
      <c r="BS72" s="1997"/>
      <c r="BT72" s="1997"/>
      <c r="BU72" s="1997"/>
      <c r="BV72" s="1997"/>
      <c r="BW72" s="1997"/>
      <c r="BX72" s="1997"/>
      <c r="BY72" s="1997"/>
      <c r="BZ72" s="1997"/>
      <c r="CA72" s="1997"/>
      <c r="CB72" s="1997"/>
      <c r="CC72" s="1997"/>
      <c r="CD72" s="1997"/>
      <c r="CE72" s="1997"/>
      <c r="CF72" s="1997"/>
      <c r="CG72" s="1997"/>
      <c r="CH72" s="1997"/>
      <c r="CI72" s="1997"/>
      <c r="CJ72" s="1997"/>
      <c r="CK72" s="1997"/>
      <c r="CL72" s="1997"/>
      <c r="CM72" s="1997"/>
      <c r="CN72" s="1997"/>
      <c r="CO72" s="1997"/>
      <c r="CP72" s="1997"/>
      <c r="CQ72" s="1997"/>
      <c r="CR72" s="1997"/>
      <c r="CS72" s="1997"/>
      <c r="CT72" s="1997"/>
      <c r="CU72" s="1997"/>
      <c r="CV72" s="1997"/>
      <c r="CW72" s="1997"/>
      <c r="CX72" s="1997"/>
      <c r="CY72" s="1997"/>
      <c r="CZ72" s="1997"/>
      <c r="DA72" s="1997"/>
      <c r="DB72" s="1997"/>
      <c r="DC72" s="1997"/>
      <c r="DD72" s="1997"/>
      <c r="DE72" s="1997"/>
      <c r="DF72" s="1997"/>
      <c r="DG72" s="1997"/>
      <c r="DH72" s="1997"/>
      <c r="DI72" s="1997"/>
      <c r="DJ72" s="1997"/>
      <c r="DK72" s="1997"/>
      <c r="DL72" s="1997"/>
      <c r="DM72" s="1997"/>
      <c r="DN72" s="1997"/>
      <c r="DO72" s="1997"/>
      <c r="DP72" s="1997"/>
      <c r="DQ72" s="1997"/>
      <c r="DR72" s="1997"/>
      <c r="DS72" s="1997"/>
      <c r="DT72" s="1997"/>
      <c r="DU72" s="1997"/>
      <c r="DV72" s="1997"/>
      <c r="DW72" s="1997"/>
      <c r="DX72" s="1997"/>
      <c r="DY72" s="1997"/>
      <c r="DZ72" s="1997"/>
      <c r="EA72" s="1997"/>
      <c r="EB72" s="1997"/>
      <c r="EC72" s="1997"/>
      <c r="ED72" s="1997"/>
      <c r="EE72" s="1997"/>
      <c r="EF72" s="1997"/>
      <c r="EG72" s="1997"/>
      <c r="EH72" s="1997"/>
      <c r="EI72" s="1997"/>
      <c r="EJ72" s="1997"/>
      <c r="EK72" s="1997"/>
      <c r="EL72" s="1997"/>
      <c r="EM72" s="1997"/>
      <c r="EN72" s="1997"/>
      <c r="EO72" s="1997"/>
      <c r="EP72" s="1997"/>
      <c r="EQ72" s="1997"/>
      <c r="ER72" s="1997"/>
      <c r="ES72" s="1997"/>
      <c r="ET72" s="1997"/>
      <c r="EU72" s="1997"/>
      <c r="EV72" s="1997"/>
      <c r="EW72" s="1997"/>
      <c r="EX72" s="1997"/>
      <c r="EY72" s="1997"/>
      <c r="EZ72" s="1997"/>
      <c r="FA72" s="1997"/>
      <c r="FB72" s="1997"/>
      <c r="FC72" s="1997"/>
      <c r="FD72" s="1997"/>
      <c r="FE72" s="1997"/>
      <c r="FF72" s="1997"/>
      <c r="FG72" s="1997"/>
      <c r="FH72" s="1997"/>
      <c r="FI72" s="1997"/>
      <c r="FJ72" s="1997"/>
      <c r="FK72" s="1997"/>
      <c r="FL72" s="1997"/>
      <c r="FM72" s="1997"/>
      <c r="FN72" s="1997"/>
      <c r="FO72" s="1997"/>
      <c r="FP72" s="1997"/>
      <c r="FQ72" s="1997"/>
      <c r="FR72" s="1997"/>
      <c r="FS72" s="1997"/>
      <c r="FT72" s="1997"/>
      <c r="FU72" s="1997"/>
      <c r="FV72" s="1997"/>
      <c r="FW72" s="1997"/>
      <c r="FX72" s="1997"/>
      <c r="FY72" s="1997"/>
      <c r="FZ72" s="1997"/>
      <c r="GA72" s="1997"/>
      <c r="GB72" s="1997"/>
      <c r="GC72" s="1997"/>
      <c r="GD72" s="1997"/>
      <c r="GE72" s="1997"/>
      <c r="GF72" s="1997"/>
      <c r="GG72" s="1997"/>
      <c r="GH72" s="1997"/>
      <c r="GI72" s="1997"/>
      <c r="GJ72" s="1997"/>
      <c r="GK72" s="1997"/>
      <c r="GL72" s="1997"/>
      <c r="GM72" s="1997"/>
      <c r="GN72" s="1997"/>
      <c r="GO72" s="1997"/>
      <c r="GP72" s="1997"/>
      <c r="GQ72" s="1997"/>
      <c r="GR72" s="1997"/>
      <c r="GS72" s="1997"/>
      <c r="GT72" s="1997"/>
      <c r="GU72" s="1997"/>
      <c r="GV72" s="1997"/>
      <c r="GW72" s="1997"/>
      <c r="GX72" s="1997"/>
      <c r="GY72" s="1997"/>
      <c r="GZ72" s="1997"/>
      <c r="HA72" s="1997"/>
      <c r="HB72" s="1997"/>
      <c r="HC72" s="1997"/>
      <c r="HD72" s="1997"/>
      <c r="HE72" s="1997"/>
      <c r="HF72" s="1997"/>
      <c r="HG72" s="1997"/>
      <c r="HH72" s="1997"/>
      <c r="HI72" s="1997"/>
      <c r="HJ72" s="1997"/>
      <c r="HK72" s="1997"/>
      <c r="HL72" s="1997"/>
      <c r="HM72" s="1997"/>
      <c r="HN72" s="1997"/>
      <c r="HO72" s="1997"/>
      <c r="HP72" s="1997"/>
      <c r="HQ72" s="1997"/>
      <c r="HR72" s="1997"/>
      <c r="HS72" s="1997"/>
      <c r="HT72" s="1997"/>
      <c r="HU72" s="1997"/>
      <c r="HV72" s="1997"/>
      <c r="HW72" s="1997"/>
      <c r="HX72" s="1997"/>
      <c r="HY72" s="1997"/>
      <c r="HZ72" s="1997"/>
      <c r="IA72" s="1997"/>
      <c r="IB72" s="1997"/>
      <c r="IC72" s="1997"/>
      <c r="ID72" s="1997"/>
      <c r="IE72" s="1997"/>
      <c r="IF72" s="1997"/>
      <c r="IG72" s="1997"/>
      <c r="IH72" s="1997"/>
      <c r="II72" s="1997"/>
      <c r="IJ72" s="1997"/>
      <c r="IK72" s="1997"/>
      <c r="IL72" s="1997"/>
      <c r="IM72" s="1997"/>
      <c r="IN72" s="1997"/>
      <c r="IO72" s="1997"/>
      <c r="IP72" s="1997"/>
      <c r="IQ72" s="1997"/>
    </row>
    <row r="73" spans="1:251" hidden="1">
      <c r="A73" s="1993"/>
      <c r="B73" s="1998"/>
      <c r="C73" s="1998"/>
      <c r="D73" s="2034"/>
      <c r="E73" s="1998"/>
      <c r="F73" s="1940">
        <f t="shared" si="32"/>
        <v>0</v>
      </c>
      <c r="G73" s="1993"/>
      <c r="H73" s="1940">
        <f t="shared" si="33"/>
        <v>0</v>
      </c>
      <c r="I73" s="1993"/>
      <c r="J73" s="1940">
        <f t="shared" si="34"/>
        <v>0</v>
      </c>
      <c r="K73" s="1993"/>
      <c r="L73" s="1940">
        <f t="shared" si="35"/>
        <v>0</v>
      </c>
      <c r="M73" s="1940">
        <f t="shared" si="36"/>
        <v>0</v>
      </c>
      <c r="N73" s="1940">
        <f t="shared" si="37"/>
        <v>0</v>
      </c>
      <c r="O73" s="1993"/>
      <c r="P73" s="1993"/>
      <c r="Q73" s="1940">
        <f t="shared" si="38"/>
        <v>0</v>
      </c>
      <c r="R73" s="1940">
        <f t="shared" si="39"/>
        <v>0</v>
      </c>
      <c r="S73" s="1940">
        <f t="shared" si="40"/>
        <v>0</v>
      </c>
      <c r="T73" s="1940">
        <f t="shared" si="41"/>
        <v>0</v>
      </c>
      <c r="U73" s="1940">
        <f t="shared" si="42"/>
        <v>0</v>
      </c>
      <c r="V73" s="1997"/>
      <c r="W73" s="1997"/>
      <c r="X73" s="1997"/>
      <c r="Y73" s="1997"/>
      <c r="Z73" s="1997"/>
      <c r="AA73" s="1997"/>
      <c r="AB73" s="1997"/>
      <c r="AC73" s="1997"/>
      <c r="AD73" s="1997"/>
      <c r="AE73" s="1997"/>
      <c r="AF73" s="1997"/>
      <c r="AG73" s="1997"/>
      <c r="AH73" s="1997"/>
      <c r="AI73" s="1997"/>
      <c r="AJ73" s="1997"/>
      <c r="AK73" s="1997"/>
      <c r="AL73" s="1997"/>
      <c r="AM73" s="1997"/>
      <c r="AN73" s="1997"/>
      <c r="AO73" s="1997"/>
      <c r="AP73" s="1997"/>
      <c r="AQ73" s="1997"/>
      <c r="AR73" s="1997"/>
      <c r="AS73" s="1997"/>
      <c r="AT73" s="1997"/>
      <c r="AU73" s="1997"/>
      <c r="AV73" s="1997"/>
      <c r="AW73" s="1997"/>
      <c r="AX73" s="1997"/>
      <c r="AY73" s="1997"/>
      <c r="AZ73" s="1997"/>
      <c r="BA73" s="1997"/>
      <c r="BB73" s="1997"/>
      <c r="BC73" s="1997"/>
      <c r="BD73" s="1997"/>
      <c r="BE73" s="1997"/>
      <c r="BF73" s="1997"/>
      <c r="BG73" s="1997"/>
      <c r="BH73" s="1997"/>
      <c r="BI73" s="1997"/>
      <c r="BJ73" s="1997"/>
      <c r="BK73" s="1997"/>
      <c r="BL73" s="1997"/>
      <c r="BM73" s="1997"/>
      <c r="BN73" s="1997"/>
      <c r="BO73" s="1997"/>
      <c r="BP73" s="1997"/>
      <c r="BQ73" s="1997"/>
      <c r="BR73" s="1997"/>
      <c r="BS73" s="1997"/>
      <c r="BT73" s="1997"/>
      <c r="BU73" s="1997"/>
      <c r="BV73" s="1997"/>
      <c r="BW73" s="1997"/>
      <c r="BX73" s="1997"/>
      <c r="BY73" s="1997"/>
      <c r="BZ73" s="1997"/>
      <c r="CA73" s="1997"/>
      <c r="CB73" s="1997"/>
      <c r="CC73" s="1997"/>
      <c r="CD73" s="1997"/>
      <c r="CE73" s="1997"/>
      <c r="CF73" s="1997"/>
      <c r="CG73" s="1997"/>
      <c r="CH73" s="1997"/>
      <c r="CI73" s="1997"/>
      <c r="CJ73" s="1997"/>
      <c r="CK73" s="1997"/>
      <c r="CL73" s="1997"/>
      <c r="CM73" s="1997"/>
      <c r="CN73" s="1997"/>
      <c r="CO73" s="1997"/>
      <c r="CP73" s="1997"/>
      <c r="CQ73" s="1997"/>
      <c r="CR73" s="1997"/>
      <c r="CS73" s="1997"/>
      <c r="CT73" s="1997"/>
      <c r="CU73" s="1997"/>
      <c r="CV73" s="1997"/>
      <c r="CW73" s="1997"/>
      <c r="CX73" s="1997"/>
      <c r="CY73" s="1997"/>
      <c r="CZ73" s="1997"/>
      <c r="DA73" s="1997"/>
      <c r="DB73" s="1997"/>
      <c r="DC73" s="1997"/>
      <c r="DD73" s="1997"/>
      <c r="DE73" s="1997"/>
      <c r="DF73" s="1997"/>
      <c r="DG73" s="1997"/>
      <c r="DH73" s="1997"/>
      <c r="DI73" s="1997"/>
      <c r="DJ73" s="1997"/>
      <c r="DK73" s="1997"/>
      <c r="DL73" s="1997"/>
      <c r="DM73" s="1997"/>
      <c r="DN73" s="1997"/>
      <c r="DO73" s="1997"/>
      <c r="DP73" s="1997"/>
      <c r="DQ73" s="1997"/>
      <c r="DR73" s="1997"/>
      <c r="DS73" s="1997"/>
      <c r="DT73" s="1997"/>
      <c r="DU73" s="1997"/>
      <c r="DV73" s="1997"/>
      <c r="DW73" s="1997"/>
      <c r="DX73" s="1997"/>
      <c r="DY73" s="1997"/>
      <c r="DZ73" s="1997"/>
      <c r="EA73" s="1997"/>
      <c r="EB73" s="1997"/>
      <c r="EC73" s="1997"/>
      <c r="ED73" s="1997"/>
      <c r="EE73" s="1997"/>
      <c r="EF73" s="1997"/>
      <c r="EG73" s="1997"/>
      <c r="EH73" s="1997"/>
      <c r="EI73" s="1997"/>
      <c r="EJ73" s="1997"/>
      <c r="EK73" s="1997"/>
      <c r="EL73" s="1997"/>
      <c r="EM73" s="1997"/>
      <c r="EN73" s="1997"/>
      <c r="EO73" s="1997"/>
      <c r="EP73" s="1997"/>
      <c r="EQ73" s="1997"/>
      <c r="ER73" s="1997"/>
      <c r="ES73" s="1997"/>
      <c r="ET73" s="1997"/>
      <c r="EU73" s="1997"/>
      <c r="EV73" s="1997"/>
      <c r="EW73" s="1997"/>
      <c r="EX73" s="1997"/>
      <c r="EY73" s="1997"/>
      <c r="EZ73" s="1997"/>
      <c r="FA73" s="1997"/>
      <c r="FB73" s="1997"/>
      <c r="FC73" s="1997"/>
      <c r="FD73" s="1997"/>
      <c r="FE73" s="1997"/>
      <c r="FF73" s="1997"/>
      <c r="FG73" s="1997"/>
      <c r="FH73" s="1997"/>
      <c r="FI73" s="1997"/>
      <c r="FJ73" s="1997"/>
      <c r="FK73" s="1997"/>
      <c r="FL73" s="1997"/>
      <c r="FM73" s="1997"/>
      <c r="FN73" s="1997"/>
      <c r="FO73" s="1997"/>
      <c r="FP73" s="1997"/>
      <c r="FQ73" s="1997"/>
      <c r="FR73" s="1997"/>
      <c r="FS73" s="1997"/>
      <c r="FT73" s="1997"/>
      <c r="FU73" s="1997"/>
      <c r="FV73" s="1997"/>
      <c r="FW73" s="1997"/>
      <c r="FX73" s="1997"/>
      <c r="FY73" s="1997"/>
      <c r="FZ73" s="1997"/>
      <c r="GA73" s="1997"/>
      <c r="GB73" s="1997"/>
      <c r="GC73" s="1997"/>
      <c r="GD73" s="1997"/>
      <c r="GE73" s="1997"/>
      <c r="GF73" s="1997"/>
      <c r="GG73" s="1997"/>
      <c r="GH73" s="1997"/>
      <c r="GI73" s="1997"/>
      <c r="GJ73" s="1997"/>
      <c r="GK73" s="1997"/>
      <c r="GL73" s="1997"/>
      <c r="GM73" s="1997"/>
      <c r="GN73" s="1997"/>
      <c r="GO73" s="1997"/>
      <c r="GP73" s="1997"/>
      <c r="GQ73" s="1997"/>
      <c r="GR73" s="1997"/>
      <c r="GS73" s="1997"/>
      <c r="GT73" s="1997"/>
      <c r="GU73" s="1997"/>
      <c r="GV73" s="1997"/>
      <c r="GW73" s="1997"/>
      <c r="GX73" s="1997"/>
      <c r="GY73" s="1997"/>
      <c r="GZ73" s="1997"/>
      <c r="HA73" s="1997"/>
      <c r="HB73" s="1997"/>
      <c r="HC73" s="1997"/>
      <c r="HD73" s="1997"/>
      <c r="HE73" s="1997"/>
      <c r="HF73" s="1997"/>
      <c r="HG73" s="1997"/>
      <c r="HH73" s="1997"/>
      <c r="HI73" s="1997"/>
      <c r="HJ73" s="1997"/>
      <c r="HK73" s="1997"/>
      <c r="HL73" s="1997"/>
      <c r="HM73" s="1997"/>
      <c r="HN73" s="1997"/>
      <c r="HO73" s="1997"/>
      <c r="HP73" s="1997"/>
      <c r="HQ73" s="1997"/>
      <c r="HR73" s="1997"/>
      <c r="HS73" s="1997"/>
      <c r="HT73" s="1997"/>
      <c r="HU73" s="1997"/>
      <c r="HV73" s="1997"/>
      <c r="HW73" s="1997"/>
      <c r="HX73" s="1997"/>
      <c r="HY73" s="1997"/>
      <c r="HZ73" s="1997"/>
      <c r="IA73" s="1997"/>
      <c r="IB73" s="1997"/>
      <c r="IC73" s="1997"/>
      <c r="ID73" s="1997"/>
      <c r="IE73" s="1997"/>
      <c r="IF73" s="1997"/>
      <c r="IG73" s="1997"/>
      <c r="IH73" s="1997"/>
      <c r="II73" s="1997"/>
      <c r="IJ73" s="1997"/>
      <c r="IK73" s="1997"/>
      <c r="IL73" s="1997"/>
      <c r="IM73" s="1997"/>
      <c r="IN73" s="1997"/>
      <c r="IO73" s="1997"/>
      <c r="IP73" s="1997"/>
      <c r="IQ73" s="1997"/>
    </row>
    <row r="74" spans="1:251" hidden="1">
      <c r="A74" s="1993"/>
      <c r="B74" s="1998"/>
      <c r="C74" s="1998"/>
      <c r="D74" s="2034"/>
      <c r="E74" s="1998"/>
      <c r="F74" s="1940">
        <f t="shared" si="32"/>
        <v>0</v>
      </c>
      <c r="G74" s="1993"/>
      <c r="H74" s="1940">
        <f t="shared" si="33"/>
        <v>0</v>
      </c>
      <c r="I74" s="1993"/>
      <c r="J74" s="1940">
        <f t="shared" si="34"/>
        <v>0</v>
      </c>
      <c r="K74" s="1993"/>
      <c r="L74" s="1940">
        <f t="shared" si="35"/>
        <v>0</v>
      </c>
      <c r="M74" s="1940">
        <f t="shared" si="36"/>
        <v>0</v>
      </c>
      <c r="N74" s="1940">
        <f t="shared" si="37"/>
        <v>0</v>
      </c>
      <c r="O74" s="1993"/>
      <c r="P74" s="1993"/>
      <c r="Q74" s="1940">
        <f t="shared" si="38"/>
        <v>0</v>
      </c>
      <c r="R74" s="1940">
        <f t="shared" si="39"/>
        <v>0</v>
      </c>
      <c r="S74" s="1940">
        <f t="shared" si="40"/>
        <v>0</v>
      </c>
      <c r="T74" s="1940">
        <f t="shared" si="41"/>
        <v>0</v>
      </c>
      <c r="U74" s="1940">
        <f t="shared" si="42"/>
        <v>0</v>
      </c>
      <c r="V74" s="1997"/>
      <c r="W74" s="1997"/>
      <c r="X74" s="1997"/>
      <c r="Y74" s="1997"/>
      <c r="Z74" s="1997"/>
      <c r="AA74" s="1997"/>
      <c r="AB74" s="1997"/>
      <c r="AC74" s="1997"/>
      <c r="AD74" s="1997"/>
      <c r="AE74" s="1997"/>
      <c r="AF74" s="1997"/>
      <c r="AG74" s="1997"/>
      <c r="AH74" s="1997"/>
      <c r="AI74" s="1997"/>
      <c r="AJ74" s="1997"/>
      <c r="AK74" s="1997"/>
      <c r="AL74" s="1997"/>
      <c r="AM74" s="1997"/>
      <c r="AN74" s="1997"/>
      <c r="AO74" s="1997"/>
      <c r="AP74" s="1997"/>
      <c r="AQ74" s="1997"/>
      <c r="AR74" s="1997"/>
      <c r="AS74" s="1997"/>
      <c r="AT74" s="1997"/>
      <c r="AU74" s="1997"/>
      <c r="AV74" s="1997"/>
      <c r="AW74" s="1997"/>
      <c r="AX74" s="1997"/>
      <c r="AY74" s="1997"/>
      <c r="AZ74" s="1997"/>
      <c r="BA74" s="1997"/>
      <c r="BB74" s="1997"/>
      <c r="BC74" s="1997"/>
      <c r="BD74" s="1997"/>
      <c r="BE74" s="1997"/>
      <c r="BF74" s="1997"/>
      <c r="BG74" s="1997"/>
      <c r="BH74" s="1997"/>
      <c r="BI74" s="1997"/>
      <c r="BJ74" s="1997"/>
      <c r="BK74" s="1997"/>
      <c r="BL74" s="1997"/>
      <c r="BM74" s="1997"/>
      <c r="BN74" s="1997"/>
      <c r="BO74" s="1997"/>
      <c r="BP74" s="1997"/>
      <c r="BQ74" s="1997"/>
      <c r="BR74" s="1997"/>
      <c r="BS74" s="1997"/>
      <c r="BT74" s="1997"/>
      <c r="BU74" s="1997"/>
      <c r="BV74" s="1997"/>
      <c r="BW74" s="1997"/>
      <c r="BX74" s="1997"/>
      <c r="BY74" s="1997"/>
      <c r="BZ74" s="1997"/>
      <c r="CA74" s="1997"/>
      <c r="CB74" s="1997"/>
      <c r="CC74" s="1997"/>
      <c r="CD74" s="1997"/>
      <c r="CE74" s="1997"/>
      <c r="CF74" s="1997"/>
      <c r="CG74" s="1997"/>
      <c r="CH74" s="1997"/>
      <c r="CI74" s="1997"/>
      <c r="CJ74" s="1997"/>
      <c r="CK74" s="1997"/>
      <c r="CL74" s="1997"/>
      <c r="CM74" s="1997"/>
      <c r="CN74" s="1997"/>
      <c r="CO74" s="1997"/>
      <c r="CP74" s="1997"/>
      <c r="CQ74" s="1997"/>
      <c r="CR74" s="1997"/>
      <c r="CS74" s="1997"/>
      <c r="CT74" s="1997"/>
      <c r="CU74" s="1997"/>
      <c r="CV74" s="1997"/>
      <c r="CW74" s="1997"/>
      <c r="CX74" s="1997"/>
      <c r="CY74" s="1997"/>
      <c r="CZ74" s="1997"/>
      <c r="DA74" s="1997"/>
      <c r="DB74" s="1997"/>
      <c r="DC74" s="1997"/>
      <c r="DD74" s="1997"/>
      <c r="DE74" s="1997"/>
      <c r="DF74" s="1997"/>
      <c r="DG74" s="1997"/>
      <c r="DH74" s="1997"/>
      <c r="DI74" s="1997"/>
      <c r="DJ74" s="1997"/>
      <c r="DK74" s="1997"/>
      <c r="DL74" s="1997"/>
      <c r="DM74" s="1997"/>
      <c r="DN74" s="1997"/>
      <c r="DO74" s="1997"/>
      <c r="DP74" s="1997"/>
      <c r="DQ74" s="1997"/>
      <c r="DR74" s="1997"/>
      <c r="DS74" s="1997"/>
      <c r="DT74" s="1997"/>
      <c r="DU74" s="1997"/>
      <c r="DV74" s="1997"/>
      <c r="DW74" s="1997"/>
      <c r="DX74" s="1997"/>
      <c r="DY74" s="1997"/>
      <c r="DZ74" s="1997"/>
      <c r="EA74" s="1997"/>
      <c r="EB74" s="1997"/>
      <c r="EC74" s="1997"/>
      <c r="ED74" s="1997"/>
      <c r="EE74" s="1997"/>
      <c r="EF74" s="1997"/>
      <c r="EG74" s="1997"/>
      <c r="EH74" s="1997"/>
      <c r="EI74" s="1997"/>
      <c r="EJ74" s="1997"/>
      <c r="EK74" s="1997"/>
      <c r="EL74" s="1997"/>
      <c r="EM74" s="1997"/>
      <c r="EN74" s="1997"/>
      <c r="EO74" s="1997"/>
      <c r="EP74" s="1997"/>
      <c r="EQ74" s="1997"/>
      <c r="ER74" s="1997"/>
      <c r="ES74" s="1997"/>
      <c r="ET74" s="1997"/>
      <c r="EU74" s="1997"/>
      <c r="EV74" s="1997"/>
      <c r="EW74" s="1997"/>
      <c r="EX74" s="1997"/>
      <c r="EY74" s="1997"/>
      <c r="EZ74" s="1997"/>
      <c r="FA74" s="1997"/>
      <c r="FB74" s="1997"/>
      <c r="FC74" s="1997"/>
      <c r="FD74" s="1997"/>
      <c r="FE74" s="1997"/>
      <c r="FF74" s="1997"/>
      <c r="FG74" s="1997"/>
      <c r="FH74" s="1997"/>
      <c r="FI74" s="1997"/>
      <c r="FJ74" s="1997"/>
      <c r="FK74" s="1997"/>
      <c r="FL74" s="1997"/>
      <c r="FM74" s="1997"/>
      <c r="FN74" s="1997"/>
      <c r="FO74" s="1997"/>
      <c r="FP74" s="1997"/>
      <c r="FQ74" s="1997"/>
      <c r="FR74" s="1997"/>
      <c r="FS74" s="1997"/>
      <c r="FT74" s="1997"/>
      <c r="FU74" s="1997"/>
      <c r="FV74" s="1997"/>
      <c r="FW74" s="1997"/>
      <c r="FX74" s="1997"/>
      <c r="FY74" s="1997"/>
      <c r="FZ74" s="1997"/>
      <c r="GA74" s="1997"/>
      <c r="GB74" s="1997"/>
      <c r="GC74" s="1997"/>
      <c r="GD74" s="1997"/>
      <c r="GE74" s="1997"/>
      <c r="GF74" s="1997"/>
      <c r="GG74" s="1997"/>
      <c r="GH74" s="1997"/>
      <c r="GI74" s="1997"/>
      <c r="GJ74" s="1997"/>
      <c r="GK74" s="1997"/>
      <c r="GL74" s="1997"/>
      <c r="GM74" s="1997"/>
      <c r="GN74" s="1997"/>
      <c r="GO74" s="1997"/>
      <c r="GP74" s="1997"/>
      <c r="GQ74" s="1997"/>
      <c r="GR74" s="1997"/>
      <c r="GS74" s="1997"/>
      <c r="GT74" s="1997"/>
      <c r="GU74" s="1997"/>
      <c r="GV74" s="1997"/>
      <c r="GW74" s="1997"/>
      <c r="GX74" s="1997"/>
      <c r="GY74" s="1997"/>
      <c r="GZ74" s="1997"/>
      <c r="HA74" s="1997"/>
      <c r="HB74" s="1997"/>
      <c r="HC74" s="1997"/>
      <c r="HD74" s="1997"/>
      <c r="HE74" s="1997"/>
      <c r="HF74" s="1997"/>
      <c r="HG74" s="1997"/>
      <c r="HH74" s="1997"/>
      <c r="HI74" s="1997"/>
      <c r="HJ74" s="1997"/>
      <c r="HK74" s="1997"/>
      <c r="HL74" s="1997"/>
      <c r="HM74" s="1997"/>
      <c r="HN74" s="1997"/>
      <c r="HO74" s="1997"/>
      <c r="HP74" s="1997"/>
      <c r="HQ74" s="1997"/>
      <c r="HR74" s="1997"/>
      <c r="HS74" s="1997"/>
      <c r="HT74" s="1997"/>
      <c r="HU74" s="1997"/>
      <c r="HV74" s="1997"/>
      <c r="HW74" s="1997"/>
      <c r="HX74" s="1997"/>
      <c r="HY74" s="1997"/>
      <c r="HZ74" s="1997"/>
      <c r="IA74" s="1997"/>
      <c r="IB74" s="1997"/>
      <c r="IC74" s="1997"/>
      <c r="ID74" s="1997"/>
      <c r="IE74" s="1997"/>
      <c r="IF74" s="1997"/>
      <c r="IG74" s="1997"/>
      <c r="IH74" s="1997"/>
      <c r="II74" s="1997"/>
      <c r="IJ74" s="1997"/>
      <c r="IK74" s="1997"/>
      <c r="IL74" s="1997"/>
      <c r="IM74" s="1997"/>
      <c r="IN74" s="1997"/>
      <c r="IO74" s="1997"/>
      <c r="IP74" s="1997"/>
      <c r="IQ74" s="1997"/>
    </row>
    <row r="75" spans="1:251" hidden="1">
      <c r="A75" s="1993"/>
      <c r="B75" s="1998"/>
      <c r="C75" s="1998"/>
      <c r="D75" s="2034"/>
      <c r="E75" s="1998"/>
      <c r="F75" s="1940">
        <f t="shared" si="32"/>
        <v>0</v>
      </c>
      <c r="G75" s="1993"/>
      <c r="H75" s="1940">
        <f t="shared" si="33"/>
        <v>0</v>
      </c>
      <c r="I75" s="1993"/>
      <c r="J75" s="1940">
        <f t="shared" si="34"/>
        <v>0</v>
      </c>
      <c r="K75" s="1993"/>
      <c r="L75" s="1940">
        <f t="shared" si="35"/>
        <v>0</v>
      </c>
      <c r="M75" s="1940">
        <f t="shared" si="36"/>
        <v>0</v>
      </c>
      <c r="N75" s="1940">
        <f t="shared" si="37"/>
        <v>0</v>
      </c>
      <c r="O75" s="1993"/>
      <c r="P75" s="1993"/>
      <c r="Q75" s="1940">
        <f t="shared" si="38"/>
        <v>0</v>
      </c>
      <c r="R75" s="1940">
        <f t="shared" si="39"/>
        <v>0</v>
      </c>
      <c r="S75" s="1940">
        <f t="shared" si="40"/>
        <v>0</v>
      </c>
      <c r="T75" s="1940">
        <f t="shared" si="41"/>
        <v>0</v>
      </c>
      <c r="U75" s="1940">
        <f t="shared" si="42"/>
        <v>0</v>
      </c>
      <c r="V75" s="1997"/>
      <c r="W75" s="1997"/>
      <c r="X75" s="1997"/>
      <c r="Y75" s="1997"/>
      <c r="Z75" s="1997"/>
      <c r="AA75" s="1997"/>
      <c r="AB75" s="1997"/>
      <c r="AC75" s="1997"/>
      <c r="AD75" s="1997"/>
      <c r="AE75" s="1997"/>
      <c r="AF75" s="1997"/>
      <c r="AG75" s="1997"/>
      <c r="AH75" s="1997"/>
      <c r="AI75" s="1997"/>
      <c r="AJ75" s="1997"/>
      <c r="AK75" s="1997"/>
      <c r="AL75" s="1997"/>
      <c r="AM75" s="1997"/>
      <c r="AN75" s="1997"/>
      <c r="AO75" s="1997"/>
      <c r="AP75" s="1997"/>
      <c r="AQ75" s="1997"/>
      <c r="AR75" s="1997"/>
      <c r="AS75" s="1997"/>
      <c r="AT75" s="1997"/>
      <c r="AU75" s="1997"/>
      <c r="AV75" s="1997"/>
      <c r="AW75" s="1997"/>
      <c r="AX75" s="1997"/>
      <c r="AY75" s="1997"/>
      <c r="AZ75" s="1997"/>
      <c r="BA75" s="1997"/>
      <c r="BB75" s="1997"/>
      <c r="BC75" s="1997"/>
      <c r="BD75" s="1997"/>
      <c r="BE75" s="1997"/>
      <c r="BF75" s="1997"/>
      <c r="BG75" s="1997"/>
      <c r="BH75" s="1997"/>
      <c r="BI75" s="1997"/>
      <c r="BJ75" s="1997"/>
      <c r="BK75" s="1997"/>
      <c r="BL75" s="1997"/>
      <c r="BM75" s="1997"/>
      <c r="BN75" s="1997"/>
      <c r="BO75" s="1997"/>
      <c r="BP75" s="1997"/>
      <c r="BQ75" s="1997"/>
      <c r="BR75" s="1997"/>
      <c r="BS75" s="1997"/>
      <c r="BT75" s="1997"/>
      <c r="BU75" s="1997"/>
      <c r="BV75" s="1997"/>
      <c r="BW75" s="1997"/>
      <c r="BX75" s="1997"/>
      <c r="BY75" s="1997"/>
      <c r="BZ75" s="1997"/>
      <c r="CA75" s="1997"/>
      <c r="CB75" s="1997"/>
      <c r="CC75" s="1997"/>
      <c r="CD75" s="1997"/>
      <c r="CE75" s="1997"/>
      <c r="CF75" s="1997"/>
      <c r="CG75" s="1997"/>
      <c r="CH75" s="1997"/>
      <c r="CI75" s="1997"/>
      <c r="CJ75" s="1997"/>
      <c r="CK75" s="1997"/>
      <c r="CL75" s="1997"/>
      <c r="CM75" s="1997"/>
      <c r="CN75" s="1997"/>
      <c r="CO75" s="1997"/>
      <c r="CP75" s="1997"/>
      <c r="CQ75" s="1997"/>
      <c r="CR75" s="1997"/>
      <c r="CS75" s="1997"/>
      <c r="CT75" s="1997"/>
      <c r="CU75" s="1997"/>
      <c r="CV75" s="1997"/>
      <c r="CW75" s="1997"/>
      <c r="CX75" s="1997"/>
      <c r="CY75" s="1997"/>
      <c r="CZ75" s="1997"/>
      <c r="DA75" s="1997"/>
      <c r="DB75" s="1997"/>
      <c r="DC75" s="1997"/>
      <c r="DD75" s="1997"/>
      <c r="DE75" s="1997"/>
      <c r="DF75" s="1997"/>
      <c r="DG75" s="1997"/>
      <c r="DH75" s="1997"/>
      <c r="DI75" s="1997"/>
      <c r="DJ75" s="1997"/>
      <c r="DK75" s="1997"/>
      <c r="DL75" s="1997"/>
      <c r="DM75" s="1997"/>
      <c r="DN75" s="1997"/>
      <c r="DO75" s="1997"/>
      <c r="DP75" s="1997"/>
      <c r="DQ75" s="1997"/>
      <c r="DR75" s="1997"/>
      <c r="DS75" s="1997"/>
      <c r="DT75" s="1997"/>
      <c r="DU75" s="1997"/>
      <c r="DV75" s="1997"/>
      <c r="DW75" s="1997"/>
      <c r="DX75" s="1997"/>
      <c r="DY75" s="1997"/>
      <c r="DZ75" s="1997"/>
      <c r="EA75" s="1997"/>
      <c r="EB75" s="1997"/>
      <c r="EC75" s="1997"/>
      <c r="ED75" s="1997"/>
      <c r="EE75" s="1997"/>
      <c r="EF75" s="1997"/>
      <c r="EG75" s="1997"/>
      <c r="EH75" s="1997"/>
      <c r="EI75" s="1997"/>
      <c r="EJ75" s="1997"/>
      <c r="EK75" s="1997"/>
      <c r="EL75" s="1997"/>
      <c r="EM75" s="1997"/>
      <c r="EN75" s="1997"/>
      <c r="EO75" s="1997"/>
      <c r="EP75" s="1997"/>
      <c r="EQ75" s="1997"/>
      <c r="ER75" s="1997"/>
      <c r="ES75" s="1997"/>
      <c r="ET75" s="1997"/>
      <c r="EU75" s="1997"/>
      <c r="EV75" s="1997"/>
      <c r="EW75" s="1997"/>
      <c r="EX75" s="1997"/>
      <c r="EY75" s="1997"/>
      <c r="EZ75" s="1997"/>
      <c r="FA75" s="1997"/>
      <c r="FB75" s="1997"/>
      <c r="FC75" s="1997"/>
      <c r="FD75" s="1997"/>
      <c r="FE75" s="1997"/>
      <c r="FF75" s="1997"/>
      <c r="FG75" s="1997"/>
      <c r="FH75" s="1997"/>
      <c r="FI75" s="1997"/>
      <c r="FJ75" s="1997"/>
      <c r="FK75" s="1997"/>
      <c r="FL75" s="1997"/>
      <c r="FM75" s="1997"/>
      <c r="FN75" s="1997"/>
      <c r="FO75" s="1997"/>
      <c r="FP75" s="1997"/>
      <c r="FQ75" s="1997"/>
      <c r="FR75" s="1997"/>
      <c r="FS75" s="1997"/>
      <c r="FT75" s="1997"/>
      <c r="FU75" s="1997"/>
      <c r="FV75" s="1997"/>
      <c r="FW75" s="1997"/>
      <c r="FX75" s="1997"/>
      <c r="FY75" s="1997"/>
      <c r="FZ75" s="1997"/>
      <c r="GA75" s="1997"/>
      <c r="GB75" s="1997"/>
      <c r="GC75" s="1997"/>
      <c r="GD75" s="1997"/>
      <c r="GE75" s="1997"/>
      <c r="GF75" s="1997"/>
      <c r="GG75" s="1997"/>
      <c r="GH75" s="1997"/>
      <c r="GI75" s="1997"/>
      <c r="GJ75" s="1997"/>
      <c r="GK75" s="1997"/>
      <c r="GL75" s="1997"/>
      <c r="GM75" s="1997"/>
      <c r="GN75" s="1997"/>
      <c r="GO75" s="1997"/>
      <c r="GP75" s="1997"/>
      <c r="GQ75" s="1997"/>
      <c r="GR75" s="1997"/>
      <c r="GS75" s="1997"/>
      <c r="GT75" s="1997"/>
      <c r="GU75" s="1997"/>
      <c r="GV75" s="1997"/>
      <c r="GW75" s="1997"/>
      <c r="GX75" s="1997"/>
      <c r="GY75" s="1997"/>
      <c r="GZ75" s="1997"/>
      <c r="HA75" s="1997"/>
      <c r="HB75" s="1997"/>
      <c r="HC75" s="1997"/>
      <c r="HD75" s="1997"/>
      <c r="HE75" s="1997"/>
      <c r="HF75" s="1997"/>
      <c r="HG75" s="1997"/>
      <c r="HH75" s="1997"/>
      <c r="HI75" s="1997"/>
      <c r="HJ75" s="1997"/>
      <c r="HK75" s="1997"/>
      <c r="HL75" s="1997"/>
      <c r="HM75" s="1997"/>
      <c r="HN75" s="1997"/>
      <c r="HO75" s="1997"/>
      <c r="HP75" s="1997"/>
      <c r="HQ75" s="1997"/>
      <c r="HR75" s="1997"/>
      <c r="HS75" s="1997"/>
      <c r="HT75" s="1997"/>
      <c r="HU75" s="1997"/>
      <c r="HV75" s="1997"/>
      <c r="HW75" s="1997"/>
      <c r="HX75" s="1997"/>
      <c r="HY75" s="1997"/>
      <c r="HZ75" s="1997"/>
      <c r="IA75" s="1997"/>
      <c r="IB75" s="1997"/>
      <c r="IC75" s="1997"/>
      <c r="ID75" s="1997"/>
      <c r="IE75" s="1997"/>
      <c r="IF75" s="1997"/>
      <c r="IG75" s="1997"/>
      <c r="IH75" s="1997"/>
      <c r="II75" s="1997"/>
      <c r="IJ75" s="1997"/>
      <c r="IK75" s="1997"/>
      <c r="IL75" s="1997"/>
      <c r="IM75" s="1997"/>
      <c r="IN75" s="1997"/>
      <c r="IO75" s="1997"/>
      <c r="IP75" s="1997"/>
      <c r="IQ75" s="1997"/>
    </row>
    <row r="76" spans="1:251" hidden="1">
      <c r="A76" s="1993"/>
      <c r="B76" s="1998"/>
      <c r="C76" s="1998"/>
      <c r="D76" s="2034"/>
      <c r="E76" s="1998"/>
      <c r="F76" s="1940">
        <f t="shared" si="32"/>
        <v>0</v>
      </c>
      <c r="G76" s="1993"/>
      <c r="H76" s="1940">
        <f t="shared" si="33"/>
        <v>0</v>
      </c>
      <c r="I76" s="1993"/>
      <c r="J76" s="1940">
        <f t="shared" si="34"/>
        <v>0</v>
      </c>
      <c r="K76" s="1993"/>
      <c r="L76" s="1940">
        <f t="shared" si="35"/>
        <v>0</v>
      </c>
      <c r="M76" s="1940">
        <f t="shared" si="36"/>
        <v>0</v>
      </c>
      <c r="N76" s="1940">
        <f t="shared" si="37"/>
        <v>0</v>
      </c>
      <c r="O76" s="1993"/>
      <c r="P76" s="1993"/>
      <c r="Q76" s="1940">
        <f t="shared" si="38"/>
        <v>0</v>
      </c>
      <c r="R76" s="1940">
        <f t="shared" si="39"/>
        <v>0</v>
      </c>
      <c r="S76" s="1940">
        <f t="shared" si="40"/>
        <v>0</v>
      </c>
      <c r="T76" s="1940">
        <f t="shared" si="41"/>
        <v>0</v>
      </c>
      <c r="U76" s="1940">
        <f t="shared" si="42"/>
        <v>0</v>
      </c>
      <c r="V76" s="1997"/>
      <c r="W76" s="1997"/>
      <c r="X76" s="1997"/>
      <c r="Y76" s="1997"/>
      <c r="Z76" s="1997"/>
      <c r="AA76" s="1997"/>
      <c r="AB76" s="1997"/>
      <c r="AC76" s="1997"/>
      <c r="AD76" s="1997"/>
      <c r="AE76" s="1997"/>
      <c r="AF76" s="1997"/>
      <c r="AG76" s="1997"/>
      <c r="AH76" s="1997"/>
      <c r="AI76" s="1997"/>
      <c r="AJ76" s="1997"/>
      <c r="AK76" s="1997"/>
      <c r="AL76" s="1997"/>
      <c r="AM76" s="1997"/>
      <c r="AN76" s="1997"/>
      <c r="AO76" s="1997"/>
      <c r="AP76" s="1997"/>
      <c r="AQ76" s="1997"/>
      <c r="AR76" s="1997"/>
      <c r="AS76" s="1997"/>
      <c r="AT76" s="1997"/>
      <c r="AU76" s="1997"/>
      <c r="AV76" s="1997"/>
      <c r="AW76" s="1997"/>
      <c r="AX76" s="1997"/>
      <c r="AY76" s="1997"/>
      <c r="AZ76" s="1997"/>
      <c r="BA76" s="1997"/>
      <c r="BB76" s="1997"/>
      <c r="BC76" s="1997"/>
      <c r="BD76" s="1997"/>
      <c r="BE76" s="1997"/>
      <c r="BF76" s="1997"/>
      <c r="BG76" s="1997"/>
      <c r="BH76" s="1997"/>
      <c r="BI76" s="1997"/>
      <c r="BJ76" s="1997"/>
      <c r="BK76" s="1997"/>
      <c r="BL76" s="1997"/>
      <c r="BM76" s="1997"/>
      <c r="BN76" s="1997"/>
      <c r="BO76" s="1997"/>
      <c r="BP76" s="1997"/>
      <c r="BQ76" s="1997"/>
      <c r="BR76" s="1997"/>
      <c r="BS76" s="1997"/>
      <c r="BT76" s="1997"/>
      <c r="BU76" s="1997"/>
      <c r="BV76" s="1997"/>
      <c r="BW76" s="1997"/>
      <c r="BX76" s="1997"/>
      <c r="BY76" s="1997"/>
      <c r="BZ76" s="1997"/>
      <c r="CA76" s="1997"/>
      <c r="CB76" s="1997"/>
      <c r="CC76" s="1997"/>
      <c r="CD76" s="1997"/>
      <c r="CE76" s="1997"/>
      <c r="CF76" s="1997"/>
      <c r="CG76" s="1997"/>
      <c r="CH76" s="1997"/>
      <c r="CI76" s="1997"/>
      <c r="CJ76" s="1997"/>
      <c r="CK76" s="1997"/>
      <c r="CL76" s="1997"/>
      <c r="CM76" s="1997"/>
      <c r="CN76" s="1997"/>
      <c r="CO76" s="1997"/>
      <c r="CP76" s="1997"/>
      <c r="CQ76" s="1997"/>
      <c r="CR76" s="1997"/>
      <c r="CS76" s="1997"/>
      <c r="CT76" s="1997"/>
      <c r="CU76" s="1997"/>
      <c r="CV76" s="1997"/>
      <c r="CW76" s="1997"/>
      <c r="CX76" s="1997"/>
      <c r="CY76" s="1997"/>
      <c r="CZ76" s="1997"/>
      <c r="DA76" s="1997"/>
      <c r="DB76" s="1997"/>
      <c r="DC76" s="1997"/>
      <c r="DD76" s="1997"/>
      <c r="DE76" s="1997"/>
      <c r="DF76" s="1997"/>
      <c r="DG76" s="1997"/>
      <c r="DH76" s="1997"/>
      <c r="DI76" s="1997"/>
      <c r="DJ76" s="1997"/>
      <c r="DK76" s="1997"/>
      <c r="DL76" s="1997"/>
      <c r="DM76" s="1997"/>
      <c r="DN76" s="1997"/>
      <c r="DO76" s="1997"/>
      <c r="DP76" s="1997"/>
      <c r="DQ76" s="1997"/>
      <c r="DR76" s="1997"/>
      <c r="DS76" s="1997"/>
      <c r="DT76" s="1997"/>
      <c r="DU76" s="1997"/>
      <c r="DV76" s="1997"/>
      <c r="DW76" s="1997"/>
      <c r="DX76" s="1997"/>
      <c r="DY76" s="1997"/>
      <c r="DZ76" s="1997"/>
      <c r="EA76" s="1997"/>
      <c r="EB76" s="1997"/>
      <c r="EC76" s="1997"/>
      <c r="ED76" s="1997"/>
      <c r="EE76" s="1997"/>
      <c r="EF76" s="1997"/>
      <c r="EG76" s="1997"/>
      <c r="EH76" s="1997"/>
      <c r="EI76" s="1997"/>
      <c r="EJ76" s="1997"/>
      <c r="EK76" s="1997"/>
      <c r="EL76" s="1997"/>
      <c r="EM76" s="1997"/>
      <c r="EN76" s="1997"/>
      <c r="EO76" s="1997"/>
      <c r="EP76" s="1997"/>
      <c r="EQ76" s="1997"/>
      <c r="ER76" s="1997"/>
      <c r="ES76" s="1997"/>
      <c r="ET76" s="1997"/>
      <c r="EU76" s="1997"/>
      <c r="EV76" s="1997"/>
      <c r="EW76" s="1997"/>
      <c r="EX76" s="1997"/>
      <c r="EY76" s="1997"/>
      <c r="EZ76" s="1997"/>
      <c r="FA76" s="1997"/>
      <c r="FB76" s="1997"/>
      <c r="FC76" s="1997"/>
      <c r="FD76" s="1997"/>
      <c r="FE76" s="1997"/>
      <c r="FF76" s="1997"/>
      <c r="FG76" s="1997"/>
      <c r="FH76" s="1997"/>
      <c r="FI76" s="1997"/>
      <c r="FJ76" s="1997"/>
      <c r="FK76" s="1997"/>
      <c r="FL76" s="1997"/>
      <c r="FM76" s="1997"/>
      <c r="FN76" s="1997"/>
      <c r="FO76" s="1997"/>
      <c r="FP76" s="1997"/>
      <c r="FQ76" s="1997"/>
      <c r="FR76" s="1997"/>
      <c r="FS76" s="1997"/>
      <c r="FT76" s="1997"/>
      <c r="FU76" s="1997"/>
      <c r="FV76" s="1997"/>
      <c r="FW76" s="1997"/>
      <c r="FX76" s="1997"/>
      <c r="FY76" s="1997"/>
      <c r="FZ76" s="1997"/>
      <c r="GA76" s="1997"/>
      <c r="GB76" s="1997"/>
      <c r="GC76" s="1997"/>
      <c r="GD76" s="1997"/>
      <c r="GE76" s="1997"/>
      <c r="GF76" s="1997"/>
      <c r="GG76" s="1997"/>
      <c r="GH76" s="1997"/>
      <c r="GI76" s="1997"/>
      <c r="GJ76" s="1997"/>
      <c r="GK76" s="1997"/>
      <c r="GL76" s="1997"/>
      <c r="GM76" s="1997"/>
      <c r="GN76" s="1997"/>
      <c r="GO76" s="1997"/>
      <c r="GP76" s="1997"/>
      <c r="GQ76" s="1997"/>
      <c r="GR76" s="1997"/>
      <c r="GS76" s="1997"/>
      <c r="GT76" s="1997"/>
      <c r="GU76" s="1997"/>
      <c r="GV76" s="1997"/>
      <c r="GW76" s="1997"/>
      <c r="GX76" s="1997"/>
      <c r="GY76" s="1997"/>
      <c r="GZ76" s="1997"/>
      <c r="HA76" s="1997"/>
      <c r="HB76" s="1997"/>
      <c r="HC76" s="1997"/>
      <c r="HD76" s="1997"/>
      <c r="HE76" s="1997"/>
      <c r="HF76" s="1997"/>
      <c r="HG76" s="1997"/>
      <c r="HH76" s="1997"/>
      <c r="HI76" s="1997"/>
      <c r="HJ76" s="1997"/>
      <c r="HK76" s="1997"/>
      <c r="HL76" s="1997"/>
      <c r="HM76" s="1997"/>
      <c r="HN76" s="1997"/>
      <c r="HO76" s="1997"/>
      <c r="HP76" s="1997"/>
      <c r="HQ76" s="1997"/>
      <c r="HR76" s="1997"/>
      <c r="HS76" s="1997"/>
      <c r="HT76" s="1997"/>
      <c r="HU76" s="1997"/>
      <c r="HV76" s="1997"/>
      <c r="HW76" s="1997"/>
      <c r="HX76" s="1997"/>
      <c r="HY76" s="1997"/>
      <c r="HZ76" s="1997"/>
      <c r="IA76" s="1997"/>
      <c r="IB76" s="1997"/>
      <c r="IC76" s="1997"/>
      <c r="ID76" s="1997"/>
      <c r="IE76" s="1997"/>
      <c r="IF76" s="1997"/>
      <c r="IG76" s="1997"/>
      <c r="IH76" s="1997"/>
      <c r="II76" s="1997"/>
      <c r="IJ76" s="1997"/>
      <c r="IK76" s="1997"/>
      <c r="IL76" s="1997"/>
      <c r="IM76" s="1997"/>
      <c r="IN76" s="1997"/>
      <c r="IO76" s="1997"/>
      <c r="IP76" s="1997"/>
      <c r="IQ76" s="1997"/>
    </row>
    <row r="77" spans="1:251" hidden="1">
      <c r="A77" s="1993"/>
      <c r="B77" s="1998"/>
      <c r="C77" s="1998"/>
      <c r="D77" s="2034"/>
      <c r="E77" s="1998"/>
      <c r="F77" s="1940">
        <f t="shared" si="32"/>
        <v>0</v>
      </c>
      <c r="G77" s="1993"/>
      <c r="H77" s="1940">
        <f t="shared" si="33"/>
        <v>0</v>
      </c>
      <c r="I77" s="1993"/>
      <c r="J77" s="1940">
        <f t="shared" si="34"/>
        <v>0</v>
      </c>
      <c r="K77" s="1993"/>
      <c r="L77" s="1940">
        <f t="shared" si="35"/>
        <v>0</v>
      </c>
      <c r="M77" s="1940">
        <f t="shared" si="36"/>
        <v>0</v>
      </c>
      <c r="N77" s="1940">
        <f t="shared" si="37"/>
        <v>0</v>
      </c>
      <c r="O77" s="1993"/>
      <c r="P77" s="1993"/>
      <c r="Q77" s="1940">
        <f t="shared" si="38"/>
        <v>0</v>
      </c>
      <c r="R77" s="1940">
        <f t="shared" si="39"/>
        <v>0</v>
      </c>
      <c r="S77" s="1940">
        <f t="shared" si="40"/>
        <v>0</v>
      </c>
      <c r="T77" s="1940">
        <f t="shared" si="41"/>
        <v>0</v>
      </c>
      <c r="U77" s="1940">
        <f t="shared" si="42"/>
        <v>0</v>
      </c>
      <c r="V77" s="1997"/>
      <c r="W77" s="1997"/>
      <c r="X77" s="1997"/>
      <c r="Y77" s="1997"/>
      <c r="Z77" s="1997"/>
      <c r="AA77" s="1997"/>
      <c r="AB77" s="1997"/>
      <c r="AC77" s="1997"/>
      <c r="AD77" s="1997"/>
      <c r="AE77" s="1997"/>
      <c r="AF77" s="1997"/>
      <c r="AG77" s="1997"/>
      <c r="AH77" s="1997"/>
      <c r="AI77" s="1997"/>
      <c r="AJ77" s="1997"/>
      <c r="AK77" s="1997"/>
      <c r="AL77" s="1997"/>
      <c r="AM77" s="1997"/>
      <c r="AN77" s="1997"/>
      <c r="AO77" s="1997"/>
      <c r="AP77" s="1997"/>
      <c r="AQ77" s="1997"/>
      <c r="AR77" s="1997"/>
      <c r="AS77" s="1997"/>
      <c r="AT77" s="1997"/>
      <c r="AU77" s="1997"/>
      <c r="AV77" s="1997"/>
      <c r="AW77" s="1997"/>
      <c r="AX77" s="1997"/>
      <c r="AY77" s="1997"/>
      <c r="AZ77" s="1997"/>
      <c r="BA77" s="1997"/>
      <c r="BB77" s="1997"/>
      <c r="BC77" s="1997"/>
      <c r="BD77" s="1997"/>
      <c r="BE77" s="1997"/>
      <c r="BF77" s="1997"/>
      <c r="BG77" s="1997"/>
      <c r="BH77" s="1997"/>
      <c r="BI77" s="1997"/>
      <c r="BJ77" s="1997"/>
      <c r="BK77" s="1997"/>
      <c r="BL77" s="1997"/>
      <c r="BM77" s="1997"/>
      <c r="BN77" s="1997"/>
      <c r="BO77" s="1997"/>
      <c r="BP77" s="1997"/>
      <c r="BQ77" s="1997"/>
      <c r="BR77" s="1997"/>
      <c r="BS77" s="1997"/>
      <c r="BT77" s="1997"/>
      <c r="BU77" s="1997"/>
      <c r="BV77" s="1997"/>
      <c r="BW77" s="1997"/>
      <c r="BX77" s="1997"/>
      <c r="BY77" s="1997"/>
      <c r="BZ77" s="1997"/>
      <c r="CA77" s="1997"/>
      <c r="CB77" s="1997"/>
      <c r="CC77" s="1997"/>
      <c r="CD77" s="1997"/>
      <c r="CE77" s="1997"/>
      <c r="CF77" s="1997"/>
      <c r="CG77" s="1997"/>
      <c r="CH77" s="1997"/>
      <c r="CI77" s="1997"/>
      <c r="CJ77" s="1997"/>
      <c r="CK77" s="1997"/>
      <c r="CL77" s="1997"/>
      <c r="CM77" s="1997"/>
      <c r="CN77" s="1997"/>
      <c r="CO77" s="1997"/>
      <c r="CP77" s="1997"/>
      <c r="CQ77" s="1997"/>
      <c r="CR77" s="1997"/>
      <c r="CS77" s="1997"/>
      <c r="CT77" s="1997"/>
      <c r="CU77" s="1997"/>
      <c r="CV77" s="1997"/>
      <c r="CW77" s="1997"/>
      <c r="CX77" s="1997"/>
      <c r="CY77" s="1997"/>
      <c r="CZ77" s="1997"/>
      <c r="DA77" s="1997"/>
      <c r="DB77" s="1997"/>
      <c r="DC77" s="1997"/>
      <c r="DD77" s="1997"/>
      <c r="DE77" s="1997"/>
      <c r="DF77" s="1997"/>
      <c r="DG77" s="1997"/>
      <c r="DH77" s="1997"/>
      <c r="DI77" s="1997"/>
      <c r="DJ77" s="1997"/>
      <c r="DK77" s="1997"/>
      <c r="DL77" s="1997"/>
      <c r="DM77" s="1997"/>
      <c r="DN77" s="1997"/>
      <c r="DO77" s="1997"/>
      <c r="DP77" s="1997"/>
      <c r="DQ77" s="1997"/>
      <c r="DR77" s="1997"/>
      <c r="DS77" s="1997"/>
      <c r="DT77" s="1997"/>
      <c r="DU77" s="1997"/>
      <c r="DV77" s="1997"/>
      <c r="DW77" s="1997"/>
      <c r="DX77" s="1997"/>
      <c r="DY77" s="1997"/>
      <c r="DZ77" s="1997"/>
      <c r="EA77" s="1997"/>
      <c r="EB77" s="1997"/>
      <c r="EC77" s="1997"/>
      <c r="ED77" s="1997"/>
      <c r="EE77" s="1997"/>
      <c r="EF77" s="1997"/>
      <c r="EG77" s="1997"/>
      <c r="EH77" s="1997"/>
      <c r="EI77" s="1997"/>
      <c r="EJ77" s="1997"/>
      <c r="EK77" s="1997"/>
      <c r="EL77" s="1997"/>
      <c r="EM77" s="1997"/>
      <c r="EN77" s="1997"/>
      <c r="EO77" s="1997"/>
      <c r="EP77" s="1997"/>
      <c r="EQ77" s="1997"/>
      <c r="ER77" s="1997"/>
      <c r="ES77" s="1997"/>
      <c r="ET77" s="1997"/>
      <c r="EU77" s="1997"/>
      <c r="EV77" s="1997"/>
      <c r="EW77" s="1997"/>
      <c r="EX77" s="1997"/>
      <c r="EY77" s="1997"/>
      <c r="EZ77" s="1997"/>
      <c r="FA77" s="1997"/>
      <c r="FB77" s="1997"/>
      <c r="FC77" s="1997"/>
      <c r="FD77" s="1997"/>
      <c r="FE77" s="1997"/>
      <c r="FF77" s="1997"/>
      <c r="FG77" s="1997"/>
      <c r="FH77" s="1997"/>
      <c r="FI77" s="1997"/>
      <c r="FJ77" s="1997"/>
      <c r="FK77" s="1997"/>
      <c r="FL77" s="1997"/>
      <c r="FM77" s="1997"/>
      <c r="FN77" s="1997"/>
      <c r="FO77" s="1997"/>
      <c r="FP77" s="1997"/>
      <c r="FQ77" s="1997"/>
      <c r="FR77" s="1997"/>
      <c r="FS77" s="1997"/>
      <c r="FT77" s="1997"/>
      <c r="FU77" s="1997"/>
      <c r="FV77" s="1997"/>
      <c r="FW77" s="1997"/>
      <c r="FX77" s="1997"/>
      <c r="FY77" s="1997"/>
      <c r="FZ77" s="1997"/>
      <c r="GA77" s="1997"/>
      <c r="GB77" s="1997"/>
      <c r="GC77" s="1997"/>
      <c r="GD77" s="1997"/>
      <c r="GE77" s="1997"/>
      <c r="GF77" s="1997"/>
      <c r="GG77" s="1997"/>
      <c r="GH77" s="1997"/>
      <c r="GI77" s="1997"/>
      <c r="GJ77" s="1997"/>
      <c r="GK77" s="1997"/>
      <c r="GL77" s="1997"/>
      <c r="GM77" s="1997"/>
      <c r="GN77" s="1997"/>
      <c r="GO77" s="1997"/>
      <c r="GP77" s="1997"/>
      <c r="GQ77" s="1997"/>
      <c r="GR77" s="1997"/>
      <c r="GS77" s="1997"/>
      <c r="GT77" s="1997"/>
      <c r="GU77" s="1997"/>
      <c r="GV77" s="1997"/>
      <c r="GW77" s="1997"/>
      <c r="GX77" s="1997"/>
      <c r="GY77" s="1997"/>
      <c r="GZ77" s="1997"/>
      <c r="HA77" s="1997"/>
      <c r="HB77" s="1997"/>
      <c r="HC77" s="1997"/>
      <c r="HD77" s="1997"/>
      <c r="HE77" s="1997"/>
      <c r="HF77" s="1997"/>
      <c r="HG77" s="1997"/>
      <c r="HH77" s="1997"/>
      <c r="HI77" s="1997"/>
      <c r="HJ77" s="1997"/>
      <c r="HK77" s="1997"/>
      <c r="HL77" s="1997"/>
      <c r="HM77" s="1997"/>
      <c r="HN77" s="1997"/>
      <c r="HO77" s="1997"/>
      <c r="HP77" s="1997"/>
      <c r="HQ77" s="1997"/>
      <c r="HR77" s="1997"/>
      <c r="HS77" s="1997"/>
      <c r="HT77" s="1997"/>
      <c r="HU77" s="1997"/>
      <c r="HV77" s="1997"/>
      <c r="HW77" s="1997"/>
      <c r="HX77" s="1997"/>
      <c r="HY77" s="1997"/>
      <c r="HZ77" s="1997"/>
      <c r="IA77" s="1997"/>
      <c r="IB77" s="1997"/>
      <c r="IC77" s="1997"/>
      <c r="ID77" s="1997"/>
      <c r="IE77" s="1997"/>
      <c r="IF77" s="1997"/>
      <c r="IG77" s="1997"/>
      <c r="IH77" s="1997"/>
      <c r="II77" s="1997"/>
      <c r="IJ77" s="1997"/>
      <c r="IK77" s="1997"/>
      <c r="IL77" s="1997"/>
      <c r="IM77" s="1997"/>
      <c r="IN77" s="1997"/>
      <c r="IO77" s="1997"/>
      <c r="IP77" s="1997"/>
      <c r="IQ77" s="1997"/>
    </row>
    <row r="78" spans="1:251" hidden="1">
      <c r="A78" s="1993"/>
      <c r="B78" s="1998"/>
      <c r="C78" s="1998"/>
      <c r="D78" s="2034"/>
      <c r="E78" s="1998"/>
      <c r="F78" s="1940">
        <f t="shared" si="32"/>
        <v>0</v>
      </c>
      <c r="G78" s="1993"/>
      <c r="H78" s="1940">
        <f t="shared" si="33"/>
        <v>0</v>
      </c>
      <c r="I78" s="1993"/>
      <c r="J78" s="1940">
        <f t="shared" si="34"/>
        <v>0</v>
      </c>
      <c r="K78" s="1993"/>
      <c r="L78" s="1940">
        <f t="shared" si="35"/>
        <v>0</v>
      </c>
      <c r="M78" s="1940">
        <f t="shared" si="36"/>
        <v>0</v>
      </c>
      <c r="N78" s="1940">
        <f t="shared" si="37"/>
        <v>0</v>
      </c>
      <c r="O78" s="1993"/>
      <c r="P78" s="1993"/>
      <c r="Q78" s="1940">
        <f t="shared" si="38"/>
        <v>0</v>
      </c>
      <c r="R78" s="1940">
        <f t="shared" si="39"/>
        <v>0</v>
      </c>
      <c r="S78" s="1940">
        <f t="shared" si="40"/>
        <v>0</v>
      </c>
      <c r="T78" s="1940">
        <f t="shared" si="41"/>
        <v>0</v>
      </c>
      <c r="U78" s="1940">
        <f t="shared" si="42"/>
        <v>0</v>
      </c>
      <c r="V78" s="1997"/>
      <c r="W78" s="1997"/>
      <c r="X78" s="1997"/>
      <c r="Y78" s="1997"/>
      <c r="Z78" s="1997"/>
      <c r="AA78" s="1997"/>
      <c r="AB78" s="1997"/>
      <c r="AC78" s="1997"/>
      <c r="AD78" s="1997"/>
      <c r="AE78" s="1997"/>
      <c r="AF78" s="1997"/>
      <c r="AG78" s="1997"/>
      <c r="AH78" s="1997"/>
      <c r="AI78" s="1997"/>
      <c r="AJ78" s="1997"/>
      <c r="AK78" s="1997"/>
      <c r="AL78" s="1997"/>
      <c r="AM78" s="1997"/>
      <c r="AN78" s="1997"/>
      <c r="AO78" s="1997"/>
      <c r="AP78" s="1997"/>
      <c r="AQ78" s="1997"/>
      <c r="AR78" s="1997"/>
      <c r="AS78" s="1997"/>
      <c r="AT78" s="1997"/>
      <c r="AU78" s="1997"/>
      <c r="AV78" s="1997"/>
      <c r="AW78" s="1997"/>
      <c r="AX78" s="1997"/>
      <c r="AY78" s="1997"/>
      <c r="AZ78" s="1997"/>
      <c r="BA78" s="1997"/>
      <c r="BB78" s="1997"/>
      <c r="BC78" s="1997"/>
      <c r="BD78" s="1997"/>
      <c r="BE78" s="1997"/>
      <c r="BF78" s="1997"/>
      <c r="BG78" s="1997"/>
      <c r="BH78" s="1997"/>
      <c r="BI78" s="1997"/>
      <c r="BJ78" s="1997"/>
      <c r="BK78" s="1997"/>
      <c r="BL78" s="1997"/>
      <c r="BM78" s="1997"/>
      <c r="BN78" s="1997"/>
      <c r="BO78" s="1997"/>
      <c r="BP78" s="1997"/>
      <c r="BQ78" s="1997"/>
      <c r="BR78" s="1997"/>
      <c r="BS78" s="1997"/>
      <c r="BT78" s="1997"/>
      <c r="BU78" s="1997"/>
      <c r="BV78" s="1997"/>
      <c r="BW78" s="1997"/>
      <c r="BX78" s="1997"/>
      <c r="BY78" s="1997"/>
      <c r="BZ78" s="1997"/>
      <c r="CA78" s="1997"/>
      <c r="CB78" s="1997"/>
      <c r="CC78" s="1997"/>
      <c r="CD78" s="1997"/>
      <c r="CE78" s="1997"/>
      <c r="CF78" s="1997"/>
      <c r="CG78" s="1997"/>
      <c r="CH78" s="1997"/>
      <c r="CI78" s="1997"/>
      <c r="CJ78" s="1997"/>
      <c r="CK78" s="1997"/>
      <c r="CL78" s="1997"/>
      <c r="CM78" s="1997"/>
      <c r="CN78" s="1997"/>
      <c r="CO78" s="1997"/>
      <c r="CP78" s="1997"/>
      <c r="CQ78" s="1997"/>
      <c r="CR78" s="1997"/>
      <c r="CS78" s="1997"/>
      <c r="CT78" s="1997"/>
      <c r="CU78" s="1997"/>
      <c r="CV78" s="1997"/>
      <c r="CW78" s="1997"/>
      <c r="CX78" s="1997"/>
      <c r="CY78" s="1997"/>
      <c r="CZ78" s="1997"/>
      <c r="DA78" s="1997"/>
      <c r="DB78" s="1997"/>
      <c r="DC78" s="1997"/>
      <c r="DD78" s="1997"/>
      <c r="DE78" s="1997"/>
      <c r="DF78" s="1997"/>
      <c r="DG78" s="1997"/>
      <c r="DH78" s="1997"/>
      <c r="DI78" s="1997"/>
      <c r="DJ78" s="1997"/>
      <c r="DK78" s="1997"/>
      <c r="DL78" s="1997"/>
      <c r="DM78" s="1997"/>
      <c r="DN78" s="1997"/>
      <c r="DO78" s="1997"/>
      <c r="DP78" s="1997"/>
      <c r="DQ78" s="1997"/>
      <c r="DR78" s="1997"/>
      <c r="DS78" s="1997"/>
      <c r="DT78" s="1997"/>
      <c r="DU78" s="1997"/>
      <c r="DV78" s="1997"/>
      <c r="DW78" s="1997"/>
      <c r="DX78" s="1997"/>
      <c r="DY78" s="1997"/>
      <c r="DZ78" s="1997"/>
      <c r="EA78" s="1997"/>
      <c r="EB78" s="1997"/>
      <c r="EC78" s="1997"/>
      <c r="ED78" s="1997"/>
      <c r="EE78" s="1997"/>
      <c r="EF78" s="1997"/>
      <c r="EG78" s="1997"/>
      <c r="EH78" s="1997"/>
      <c r="EI78" s="1997"/>
      <c r="EJ78" s="1997"/>
      <c r="EK78" s="1997"/>
      <c r="EL78" s="1997"/>
      <c r="EM78" s="1997"/>
      <c r="EN78" s="1997"/>
      <c r="EO78" s="1997"/>
      <c r="EP78" s="1997"/>
      <c r="EQ78" s="1997"/>
      <c r="ER78" s="1997"/>
      <c r="ES78" s="1997"/>
      <c r="ET78" s="1997"/>
      <c r="EU78" s="1997"/>
      <c r="EV78" s="1997"/>
      <c r="EW78" s="1997"/>
      <c r="EX78" s="1997"/>
      <c r="EY78" s="1997"/>
      <c r="EZ78" s="1997"/>
      <c r="FA78" s="1997"/>
      <c r="FB78" s="1997"/>
      <c r="FC78" s="1997"/>
      <c r="FD78" s="1997"/>
      <c r="FE78" s="1997"/>
      <c r="FF78" s="1997"/>
      <c r="FG78" s="1997"/>
      <c r="FH78" s="1997"/>
      <c r="FI78" s="1997"/>
      <c r="FJ78" s="1997"/>
      <c r="FK78" s="1997"/>
      <c r="FL78" s="1997"/>
      <c r="FM78" s="1997"/>
      <c r="FN78" s="1997"/>
      <c r="FO78" s="1997"/>
      <c r="FP78" s="1997"/>
      <c r="FQ78" s="1997"/>
      <c r="FR78" s="1997"/>
      <c r="FS78" s="1997"/>
      <c r="FT78" s="1997"/>
      <c r="FU78" s="1997"/>
      <c r="FV78" s="1997"/>
      <c r="FW78" s="1997"/>
      <c r="FX78" s="1997"/>
      <c r="FY78" s="1997"/>
      <c r="FZ78" s="1997"/>
      <c r="GA78" s="1997"/>
      <c r="GB78" s="1997"/>
      <c r="GC78" s="1997"/>
      <c r="GD78" s="1997"/>
      <c r="GE78" s="1997"/>
      <c r="GF78" s="1997"/>
      <c r="GG78" s="1997"/>
      <c r="GH78" s="1997"/>
      <c r="GI78" s="1997"/>
      <c r="GJ78" s="1997"/>
      <c r="GK78" s="1997"/>
      <c r="GL78" s="1997"/>
      <c r="GM78" s="1997"/>
      <c r="GN78" s="1997"/>
      <c r="GO78" s="1997"/>
      <c r="GP78" s="1997"/>
      <c r="GQ78" s="1997"/>
      <c r="GR78" s="1997"/>
      <c r="GS78" s="1997"/>
      <c r="GT78" s="1997"/>
      <c r="GU78" s="1997"/>
      <c r="GV78" s="1997"/>
      <c r="GW78" s="1997"/>
      <c r="GX78" s="1997"/>
      <c r="GY78" s="1997"/>
      <c r="GZ78" s="1997"/>
      <c r="HA78" s="1997"/>
      <c r="HB78" s="1997"/>
      <c r="HC78" s="1997"/>
      <c r="HD78" s="1997"/>
      <c r="HE78" s="1997"/>
      <c r="HF78" s="1997"/>
      <c r="HG78" s="1997"/>
      <c r="HH78" s="1997"/>
      <c r="HI78" s="1997"/>
      <c r="HJ78" s="1997"/>
      <c r="HK78" s="1997"/>
      <c r="HL78" s="1997"/>
      <c r="HM78" s="1997"/>
      <c r="HN78" s="1997"/>
      <c r="HO78" s="1997"/>
      <c r="HP78" s="1997"/>
      <c r="HQ78" s="1997"/>
      <c r="HR78" s="1997"/>
      <c r="HS78" s="1997"/>
      <c r="HT78" s="1997"/>
      <c r="HU78" s="1997"/>
      <c r="HV78" s="1997"/>
      <c r="HW78" s="1997"/>
      <c r="HX78" s="1997"/>
      <c r="HY78" s="1997"/>
      <c r="HZ78" s="1997"/>
      <c r="IA78" s="1997"/>
      <c r="IB78" s="1997"/>
      <c r="IC78" s="1997"/>
      <c r="ID78" s="1997"/>
      <c r="IE78" s="1997"/>
      <c r="IF78" s="1997"/>
      <c r="IG78" s="1997"/>
      <c r="IH78" s="1997"/>
      <c r="II78" s="1997"/>
      <c r="IJ78" s="1997"/>
      <c r="IK78" s="1997"/>
      <c r="IL78" s="1997"/>
      <c r="IM78" s="1997"/>
      <c r="IN78" s="1997"/>
      <c r="IO78" s="1997"/>
      <c r="IP78" s="1997"/>
      <c r="IQ78" s="1997"/>
    </row>
    <row r="79" spans="1:251" hidden="1">
      <c r="A79" s="1993"/>
      <c r="B79" s="1998"/>
      <c r="C79" s="1998"/>
      <c r="D79" s="2034"/>
      <c r="E79" s="1998"/>
      <c r="F79" s="1940">
        <f t="shared" si="32"/>
        <v>0</v>
      </c>
      <c r="G79" s="1993"/>
      <c r="H79" s="1940">
        <f t="shared" si="33"/>
        <v>0</v>
      </c>
      <c r="I79" s="1993"/>
      <c r="J79" s="1940">
        <f t="shared" si="34"/>
        <v>0</v>
      </c>
      <c r="K79" s="1993"/>
      <c r="L79" s="1940">
        <f t="shared" si="35"/>
        <v>0</v>
      </c>
      <c r="M79" s="1940">
        <f t="shared" si="36"/>
        <v>0</v>
      </c>
      <c r="N79" s="1940">
        <f t="shared" si="37"/>
        <v>0</v>
      </c>
      <c r="O79" s="1993"/>
      <c r="P79" s="1993"/>
      <c r="Q79" s="1940">
        <f t="shared" si="38"/>
        <v>0</v>
      </c>
      <c r="R79" s="1940">
        <f t="shared" si="39"/>
        <v>0</v>
      </c>
      <c r="S79" s="1940">
        <f t="shared" si="40"/>
        <v>0</v>
      </c>
      <c r="T79" s="1940">
        <f t="shared" si="41"/>
        <v>0</v>
      </c>
      <c r="U79" s="1940">
        <f t="shared" si="42"/>
        <v>0</v>
      </c>
      <c r="V79" s="1997"/>
      <c r="W79" s="1997"/>
      <c r="X79" s="1997"/>
      <c r="Y79" s="1997"/>
      <c r="Z79" s="1997"/>
      <c r="AA79" s="1997"/>
      <c r="AB79" s="1997"/>
      <c r="AC79" s="1997"/>
      <c r="AD79" s="1997"/>
      <c r="AE79" s="1997"/>
      <c r="AF79" s="1997"/>
      <c r="AG79" s="1997"/>
      <c r="AH79" s="1997"/>
      <c r="AI79" s="1997"/>
      <c r="AJ79" s="1997"/>
      <c r="AK79" s="1997"/>
      <c r="AL79" s="1997"/>
      <c r="AM79" s="1997"/>
      <c r="AN79" s="1997"/>
      <c r="AO79" s="1997"/>
      <c r="AP79" s="1997"/>
      <c r="AQ79" s="1997"/>
      <c r="AR79" s="1997"/>
      <c r="AS79" s="1997"/>
      <c r="AT79" s="1997"/>
      <c r="AU79" s="1997"/>
      <c r="AV79" s="1997"/>
      <c r="AW79" s="1997"/>
      <c r="AX79" s="1997"/>
      <c r="AY79" s="1997"/>
      <c r="AZ79" s="1997"/>
      <c r="BA79" s="1997"/>
      <c r="BB79" s="1997"/>
      <c r="BC79" s="1997"/>
      <c r="BD79" s="1997"/>
      <c r="BE79" s="1997"/>
      <c r="BF79" s="1997"/>
      <c r="BG79" s="1997"/>
      <c r="BH79" s="1997"/>
      <c r="BI79" s="1997"/>
      <c r="BJ79" s="1997"/>
      <c r="BK79" s="1997"/>
      <c r="BL79" s="1997"/>
      <c r="BM79" s="1997"/>
      <c r="BN79" s="1997"/>
      <c r="BO79" s="1997"/>
      <c r="BP79" s="1997"/>
      <c r="BQ79" s="1997"/>
      <c r="BR79" s="1997"/>
      <c r="BS79" s="1997"/>
      <c r="BT79" s="1997"/>
      <c r="BU79" s="1997"/>
      <c r="BV79" s="1997"/>
      <c r="BW79" s="1997"/>
      <c r="BX79" s="1997"/>
      <c r="BY79" s="1997"/>
      <c r="BZ79" s="1997"/>
      <c r="CA79" s="1997"/>
      <c r="CB79" s="1997"/>
      <c r="CC79" s="1997"/>
      <c r="CD79" s="1997"/>
      <c r="CE79" s="1997"/>
      <c r="CF79" s="1997"/>
      <c r="CG79" s="1997"/>
      <c r="CH79" s="1997"/>
      <c r="CI79" s="1997"/>
      <c r="CJ79" s="1997"/>
      <c r="CK79" s="1997"/>
      <c r="CL79" s="1997"/>
      <c r="CM79" s="1997"/>
      <c r="CN79" s="1997"/>
      <c r="CO79" s="1997"/>
      <c r="CP79" s="1997"/>
      <c r="CQ79" s="1997"/>
      <c r="CR79" s="1997"/>
      <c r="CS79" s="1997"/>
      <c r="CT79" s="1997"/>
      <c r="CU79" s="1997"/>
      <c r="CV79" s="1997"/>
      <c r="CW79" s="1997"/>
      <c r="CX79" s="1997"/>
      <c r="CY79" s="1997"/>
      <c r="CZ79" s="1997"/>
      <c r="DA79" s="1997"/>
      <c r="DB79" s="1997"/>
      <c r="DC79" s="1997"/>
      <c r="DD79" s="1997"/>
      <c r="DE79" s="1997"/>
      <c r="DF79" s="1997"/>
      <c r="DG79" s="1997"/>
      <c r="DH79" s="1997"/>
      <c r="DI79" s="1997"/>
      <c r="DJ79" s="1997"/>
      <c r="DK79" s="1997"/>
      <c r="DL79" s="1997"/>
      <c r="DM79" s="1997"/>
      <c r="DN79" s="1997"/>
      <c r="DO79" s="1997"/>
      <c r="DP79" s="1997"/>
      <c r="DQ79" s="1997"/>
      <c r="DR79" s="1997"/>
      <c r="DS79" s="1997"/>
      <c r="DT79" s="1997"/>
      <c r="DU79" s="1997"/>
      <c r="DV79" s="1997"/>
      <c r="DW79" s="1997"/>
      <c r="DX79" s="1997"/>
      <c r="DY79" s="1997"/>
      <c r="DZ79" s="1997"/>
      <c r="EA79" s="1997"/>
      <c r="EB79" s="1997"/>
      <c r="EC79" s="1997"/>
      <c r="ED79" s="1997"/>
      <c r="EE79" s="1997"/>
      <c r="EF79" s="1997"/>
      <c r="EG79" s="1997"/>
      <c r="EH79" s="1997"/>
      <c r="EI79" s="1997"/>
      <c r="EJ79" s="1997"/>
      <c r="EK79" s="1997"/>
      <c r="EL79" s="1997"/>
      <c r="EM79" s="1997"/>
      <c r="EN79" s="1997"/>
      <c r="EO79" s="1997"/>
      <c r="EP79" s="1997"/>
      <c r="EQ79" s="1997"/>
      <c r="ER79" s="1997"/>
      <c r="ES79" s="1997"/>
      <c r="ET79" s="1997"/>
      <c r="EU79" s="1997"/>
      <c r="EV79" s="1997"/>
      <c r="EW79" s="1997"/>
      <c r="EX79" s="1997"/>
      <c r="EY79" s="1997"/>
      <c r="EZ79" s="1997"/>
      <c r="FA79" s="1997"/>
      <c r="FB79" s="1997"/>
      <c r="FC79" s="1997"/>
      <c r="FD79" s="1997"/>
      <c r="FE79" s="1997"/>
      <c r="FF79" s="1997"/>
      <c r="FG79" s="1997"/>
      <c r="FH79" s="1997"/>
      <c r="FI79" s="1997"/>
      <c r="FJ79" s="1997"/>
      <c r="FK79" s="1997"/>
      <c r="FL79" s="1997"/>
      <c r="FM79" s="1997"/>
      <c r="FN79" s="1997"/>
      <c r="FO79" s="1997"/>
      <c r="FP79" s="1997"/>
      <c r="FQ79" s="1997"/>
      <c r="FR79" s="1997"/>
      <c r="FS79" s="1997"/>
      <c r="FT79" s="1997"/>
      <c r="FU79" s="1997"/>
      <c r="FV79" s="1997"/>
      <c r="FW79" s="1997"/>
      <c r="FX79" s="1997"/>
      <c r="FY79" s="1997"/>
      <c r="FZ79" s="1997"/>
      <c r="GA79" s="1997"/>
      <c r="GB79" s="1997"/>
      <c r="GC79" s="1997"/>
      <c r="GD79" s="1997"/>
      <c r="GE79" s="1997"/>
      <c r="GF79" s="1997"/>
      <c r="GG79" s="1997"/>
      <c r="GH79" s="1997"/>
      <c r="GI79" s="1997"/>
      <c r="GJ79" s="1997"/>
      <c r="GK79" s="1997"/>
      <c r="GL79" s="1997"/>
      <c r="GM79" s="1997"/>
      <c r="GN79" s="1997"/>
      <c r="GO79" s="1997"/>
      <c r="GP79" s="1997"/>
      <c r="GQ79" s="1997"/>
      <c r="GR79" s="1997"/>
      <c r="GS79" s="1997"/>
      <c r="GT79" s="1997"/>
      <c r="GU79" s="1997"/>
      <c r="GV79" s="1997"/>
      <c r="GW79" s="1997"/>
      <c r="GX79" s="1997"/>
      <c r="GY79" s="1997"/>
      <c r="GZ79" s="1997"/>
      <c r="HA79" s="1997"/>
      <c r="HB79" s="1997"/>
      <c r="HC79" s="1997"/>
      <c r="HD79" s="1997"/>
      <c r="HE79" s="1997"/>
      <c r="HF79" s="1997"/>
      <c r="HG79" s="1997"/>
      <c r="HH79" s="1997"/>
      <c r="HI79" s="1997"/>
      <c r="HJ79" s="1997"/>
      <c r="HK79" s="1997"/>
      <c r="HL79" s="1997"/>
      <c r="HM79" s="1997"/>
      <c r="HN79" s="1997"/>
      <c r="HO79" s="1997"/>
      <c r="HP79" s="1997"/>
      <c r="HQ79" s="1997"/>
      <c r="HR79" s="1997"/>
      <c r="HS79" s="1997"/>
      <c r="HT79" s="1997"/>
      <c r="HU79" s="1997"/>
      <c r="HV79" s="1997"/>
      <c r="HW79" s="1997"/>
      <c r="HX79" s="1997"/>
      <c r="HY79" s="1997"/>
      <c r="HZ79" s="1997"/>
      <c r="IA79" s="1997"/>
      <c r="IB79" s="1997"/>
      <c r="IC79" s="1997"/>
      <c r="ID79" s="1997"/>
      <c r="IE79" s="1997"/>
      <c r="IF79" s="1997"/>
      <c r="IG79" s="1997"/>
      <c r="IH79" s="1997"/>
      <c r="II79" s="1997"/>
      <c r="IJ79" s="1997"/>
      <c r="IK79" s="1997"/>
      <c r="IL79" s="1997"/>
      <c r="IM79" s="1997"/>
      <c r="IN79" s="1997"/>
      <c r="IO79" s="1997"/>
      <c r="IP79" s="1997"/>
      <c r="IQ79" s="1997"/>
    </row>
    <row r="80" spans="1:251" hidden="1">
      <c r="A80" s="1993"/>
      <c r="B80" s="1998"/>
      <c r="C80" s="1998"/>
      <c r="D80" s="2034"/>
      <c r="E80" s="1998"/>
      <c r="F80" s="1940">
        <f t="shared" si="32"/>
        <v>0</v>
      </c>
      <c r="G80" s="1993"/>
      <c r="H80" s="1940">
        <f t="shared" si="33"/>
        <v>0</v>
      </c>
      <c r="I80" s="1993"/>
      <c r="J80" s="1940">
        <f t="shared" si="34"/>
        <v>0</v>
      </c>
      <c r="K80" s="1993"/>
      <c r="L80" s="1940">
        <f t="shared" si="35"/>
        <v>0</v>
      </c>
      <c r="M80" s="1940">
        <f t="shared" si="36"/>
        <v>0</v>
      </c>
      <c r="N80" s="1940">
        <f t="shared" si="37"/>
        <v>0</v>
      </c>
      <c r="O80" s="1993"/>
      <c r="P80" s="1993"/>
      <c r="Q80" s="1940">
        <f t="shared" si="38"/>
        <v>0</v>
      </c>
      <c r="R80" s="1940">
        <f t="shared" si="39"/>
        <v>0</v>
      </c>
      <c r="S80" s="1940">
        <f t="shared" si="40"/>
        <v>0</v>
      </c>
      <c r="T80" s="1940">
        <f t="shared" si="41"/>
        <v>0</v>
      </c>
      <c r="U80" s="1940">
        <f t="shared" si="42"/>
        <v>0</v>
      </c>
      <c r="V80" s="1997"/>
      <c r="W80" s="1997"/>
      <c r="X80" s="1997"/>
      <c r="Y80" s="1997"/>
      <c r="Z80" s="1997"/>
      <c r="AA80" s="1997"/>
      <c r="AB80" s="1997"/>
      <c r="AC80" s="1997"/>
      <c r="AD80" s="1997"/>
      <c r="AE80" s="1997"/>
      <c r="AF80" s="1997"/>
      <c r="AG80" s="1997"/>
      <c r="AH80" s="1997"/>
      <c r="AI80" s="1997"/>
      <c r="AJ80" s="1997"/>
      <c r="AK80" s="1997"/>
      <c r="AL80" s="1997"/>
      <c r="AM80" s="1997"/>
      <c r="AN80" s="1997"/>
      <c r="AO80" s="1997"/>
      <c r="AP80" s="1997"/>
      <c r="AQ80" s="1997"/>
      <c r="AR80" s="1997"/>
      <c r="AS80" s="1997"/>
      <c r="AT80" s="1997"/>
      <c r="AU80" s="1997"/>
      <c r="AV80" s="1997"/>
      <c r="AW80" s="1997"/>
      <c r="AX80" s="1997"/>
      <c r="AY80" s="1997"/>
      <c r="AZ80" s="1997"/>
      <c r="BA80" s="1997"/>
      <c r="BB80" s="1997"/>
      <c r="BC80" s="1997"/>
      <c r="BD80" s="1997"/>
      <c r="BE80" s="1997"/>
      <c r="BF80" s="1997"/>
      <c r="BG80" s="1997"/>
      <c r="BH80" s="1997"/>
      <c r="BI80" s="1997"/>
      <c r="BJ80" s="1997"/>
      <c r="BK80" s="1997"/>
      <c r="BL80" s="1997"/>
      <c r="BM80" s="1997"/>
      <c r="BN80" s="1997"/>
      <c r="BO80" s="1997"/>
      <c r="BP80" s="1997"/>
      <c r="BQ80" s="1997"/>
      <c r="BR80" s="1997"/>
      <c r="BS80" s="1997"/>
      <c r="BT80" s="1997"/>
      <c r="BU80" s="1997"/>
      <c r="BV80" s="1997"/>
      <c r="BW80" s="1997"/>
      <c r="BX80" s="1997"/>
      <c r="BY80" s="1997"/>
      <c r="BZ80" s="1997"/>
      <c r="CA80" s="1997"/>
      <c r="CB80" s="1997"/>
      <c r="CC80" s="1997"/>
      <c r="CD80" s="1997"/>
      <c r="CE80" s="1997"/>
      <c r="CF80" s="1997"/>
      <c r="CG80" s="1997"/>
      <c r="CH80" s="1997"/>
      <c r="CI80" s="1997"/>
      <c r="CJ80" s="1997"/>
      <c r="CK80" s="1997"/>
      <c r="CL80" s="1997"/>
      <c r="CM80" s="1997"/>
      <c r="CN80" s="1997"/>
      <c r="CO80" s="1997"/>
      <c r="CP80" s="1997"/>
      <c r="CQ80" s="1997"/>
      <c r="CR80" s="1997"/>
      <c r="CS80" s="1997"/>
      <c r="CT80" s="1997"/>
      <c r="CU80" s="1997"/>
      <c r="CV80" s="1997"/>
      <c r="CW80" s="1997"/>
      <c r="CX80" s="1997"/>
      <c r="CY80" s="1997"/>
      <c r="CZ80" s="1997"/>
      <c r="DA80" s="1997"/>
      <c r="DB80" s="1997"/>
      <c r="DC80" s="1997"/>
      <c r="DD80" s="1997"/>
      <c r="DE80" s="1997"/>
      <c r="DF80" s="1997"/>
      <c r="DG80" s="1997"/>
      <c r="DH80" s="1997"/>
      <c r="DI80" s="1997"/>
      <c r="DJ80" s="1997"/>
      <c r="DK80" s="1997"/>
      <c r="DL80" s="1997"/>
      <c r="DM80" s="1997"/>
      <c r="DN80" s="1997"/>
      <c r="DO80" s="1997"/>
      <c r="DP80" s="1997"/>
      <c r="DQ80" s="1997"/>
      <c r="DR80" s="1997"/>
      <c r="DS80" s="1997"/>
      <c r="DT80" s="1997"/>
      <c r="DU80" s="1997"/>
      <c r="DV80" s="1997"/>
      <c r="DW80" s="1997"/>
      <c r="DX80" s="1997"/>
      <c r="DY80" s="1997"/>
      <c r="DZ80" s="1997"/>
      <c r="EA80" s="1997"/>
      <c r="EB80" s="1997"/>
      <c r="EC80" s="1997"/>
      <c r="ED80" s="1997"/>
      <c r="EE80" s="1997"/>
      <c r="EF80" s="1997"/>
      <c r="EG80" s="1997"/>
      <c r="EH80" s="1997"/>
      <c r="EI80" s="1997"/>
      <c r="EJ80" s="1997"/>
      <c r="EK80" s="1997"/>
      <c r="EL80" s="1997"/>
      <c r="EM80" s="1997"/>
      <c r="EN80" s="1997"/>
      <c r="EO80" s="1997"/>
      <c r="EP80" s="1997"/>
      <c r="EQ80" s="1997"/>
      <c r="ER80" s="1997"/>
      <c r="ES80" s="1997"/>
      <c r="ET80" s="1997"/>
      <c r="EU80" s="1997"/>
      <c r="EV80" s="1997"/>
      <c r="EW80" s="1997"/>
      <c r="EX80" s="1997"/>
      <c r="EY80" s="1997"/>
      <c r="EZ80" s="1997"/>
      <c r="FA80" s="1997"/>
      <c r="FB80" s="1997"/>
      <c r="FC80" s="1997"/>
      <c r="FD80" s="1997"/>
      <c r="FE80" s="1997"/>
      <c r="FF80" s="1997"/>
      <c r="FG80" s="1997"/>
      <c r="FH80" s="1997"/>
      <c r="FI80" s="1997"/>
      <c r="FJ80" s="1997"/>
      <c r="FK80" s="1997"/>
      <c r="FL80" s="1997"/>
      <c r="FM80" s="1997"/>
      <c r="FN80" s="1997"/>
      <c r="FO80" s="1997"/>
      <c r="FP80" s="1997"/>
      <c r="FQ80" s="1997"/>
      <c r="FR80" s="1997"/>
      <c r="FS80" s="1997"/>
      <c r="FT80" s="1997"/>
      <c r="FU80" s="1997"/>
      <c r="FV80" s="1997"/>
      <c r="FW80" s="1997"/>
      <c r="FX80" s="1997"/>
      <c r="FY80" s="1997"/>
      <c r="FZ80" s="1997"/>
      <c r="GA80" s="1997"/>
      <c r="GB80" s="1997"/>
      <c r="GC80" s="1997"/>
      <c r="GD80" s="1997"/>
      <c r="GE80" s="1997"/>
      <c r="GF80" s="1997"/>
      <c r="GG80" s="1997"/>
      <c r="GH80" s="1997"/>
      <c r="GI80" s="1997"/>
      <c r="GJ80" s="1997"/>
      <c r="GK80" s="1997"/>
      <c r="GL80" s="1997"/>
      <c r="GM80" s="1997"/>
      <c r="GN80" s="1997"/>
      <c r="GO80" s="1997"/>
      <c r="GP80" s="1997"/>
      <c r="GQ80" s="1997"/>
      <c r="GR80" s="1997"/>
      <c r="GS80" s="1997"/>
      <c r="GT80" s="1997"/>
      <c r="GU80" s="1997"/>
      <c r="GV80" s="1997"/>
      <c r="GW80" s="1997"/>
      <c r="GX80" s="1997"/>
      <c r="GY80" s="1997"/>
      <c r="GZ80" s="1997"/>
      <c r="HA80" s="1997"/>
      <c r="HB80" s="1997"/>
      <c r="HC80" s="1997"/>
      <c r="HD80" s="1997"/>
      <c r="HE80" s="1997"/>
      <c r="HF80" s="1997"/>
      <c r="HG80" s="1997"/>
      <c r="HH80" s="1997"/>
      <c r="HI80" s="1997"/>
      <c r="HJ80" s="1997"/>
      <c r="HK80" s="1997"/>
      <c r="HL80" s="1997"/>
      <c r="HM80" s="1997"/>
      <c r="HN80" s="1997"/>
      <c r="HO80" s="1997"/>
      <c r="HP80" s="1997"/>
      <c r="HQ80" s="1997"/>
      <c r="HR80" s="1997"/>
      <c r="HS80" s="1997"/>
      <c r="HT80" s="1997"/>
      <c r="HU80" s="1997"/>
      <c r="HV80" s="1997"/>
      <c r="HW80" s="1997"/>
      <c r="HX80" s="1997"/>
      <c r="HY80" s="1997"/>
      <c r="HZ80" s="1997"/>
      <c r="IA80" s="1997"/>
      <c r="IB80" s="1997"/>
      <c r="IC80" s="1997"/>
      <c r="ID80" s="1997"/>
      <c r="IE80" s="1997"/>
      <c r="IF80" s="1997"/>
      <c r="IG80" s="1997"/>
      <c r="IH80" s="1997"/>
      <c r="II80" s="1997"/>
      <c r="IJ80" s="1997"/>
      <c r="IK80" s="1997"/>
      <c r="IL80" s="1997"/>
      <c r="IM80" s="1997"/>
      <c r="IN80" s="1997"/>
      <c r="IO80" s="1997"/>
      <c r="IP80" s="1997"/>
      <c r="IQ80" s="1997"/>
    </row>
    <row r="81" spans="1:251" hidden="1">
      <c r="A81" s="1993"/>
      <c r="B81" s="1998"/>
      <c r="C81" s="1998"/>
      <c r="D81" s="2034"/>
      <c r="E81" s="1998"/>
      <c r="F81" s="1940">
        <f t="shared" si="32"/>
        <v>0</v>
      </c>
      <c r="G81" s="1993"/>
      <c r="H81" s="1940">
        <f t="shared" si="33"/>
        <v>0</v>
      </c>
      <c r="I81" s="1993"/>
      <c r="J81" s="1940">
        <f t="shared" si="34"/>
        <v>0</v>
      </c>
      <c r="K81" s="1993"/>
      <c r="L81" s="1940">
        <f t="shared" si="35"/>
        <v>0</v>
      </c>
      <c r="M81" s="1940">
        <f t="shared" si="36"/>
        <v>0</v>
      </c>
      <c r="N81" s="1940">
        <f t="shared" si="37"/>
        <v>0</v>
      </c>
      <c r="O81" s="1993"/>
      <c r="P81" s="1993"/>
      <c r="Q81" s="1940">
        <f t="shared" si="38"/>
        <v>0</v>
      </c>
      <c r="R81" s="1940">
        <f t="shared" si="39"/>
        <v>0</v>
      </c>
      <c r="S81" s="1940">
        <f t="shared" si="40"/>
        <v>0</v>
      </c>
      <c r="T81" s="1940">
        <f t="shared" si="41"/>
        <v>0</v>
      </c>
      <c r="U81" s="1940">
        <f t="shared" si="42"/>
        <v>0</v>
      </c>
      <c r="V81" s="1997"/>
      <c r="W81" s="1997"/>
      <c r="X81" s="1997"/>
      <c r="Y81" s="1997"/>
      <c r="Z81" s="1997"/>
      <c r="AA81" s="1997"/>
      <c r="AB81" s="1997"/>
      <c r="AC81" s="1997"/>
      <c r="AD81" s="1997"/>
      <c r="AE81" s="1997"/>
      <c r="AF81" s="1997"/>
      <c r="AG81" s="1997"/>
      <c r="AH81" s="1997"/>
      <c r="AI81" s="1997"/>
      <c r="AJ81" s="1997"/>
      <c r="AK81" s="1997"/>
      <c r="AL81" s="1997"/>
      <c r="AM81" s="1997"/>
      <c r="AN81" s="1997"/>
      <c r="AO81" s="1997"/>
      <c r="AP81" s="1997"/>
      <c r="AQ81" s="1997"/>
      <c r="AR81" s="1997"/>
      <c r="AS81" s="1997"/>
      <c r="AT81" s="1997"/>
      <c r="AU81" s="1997"/>
      <c r="AV81" s="1997"/>
      <c r="AW81" s="1997"/>
      <c r="AX81" s="1997"/>
      <c r="AY81" s="1997"/>
      <c r="AZ81" s="1997"/>
      <c r="BA81" s="1997"/>
      <c r="BB81" s="1997"/>
      <c r="BC81" s="1997"/>
      <c r="BD81" s="1997"/>
      <c r="BE81" s="1997"/>
      <c r="BF81" s="1997"/>
      <c r="BG81" s="1997"/>
      <c r="BH81" s="1997"/>
      <c r="BI81" s="1997"/>
      <c r="BJ81" s="1997"/>
      <c r="BK81" s="1997"/>
      <c r="BL81" s="1997"/>
      <c r="BM81" s="1997"/>
      <c r="BN81" s="1997"/>
      <c r="BO81" s="1997"/>
      <c r="BP81" s="1997"/>
      <c r="BQ81" s="1997"/>
      <c r="BR81" s="1997"/>
      <c r="BS81" s="1997"/>
      <c r="BT81" s="1997"/>
      <c r="BU81" s="1997"/>
      <c r="BV81" s="1997"/>
      <c r="BW81" s="1997"/>
      <c r="BX81" s="1997"/>
      <c r="BY81" s="1997"/>
      <c r="BZ81" s="1997"/>
      <c r="CA81" s="1997"/>
      <c r="CB81" s="1997"/>
      <c r="CC81" s="1997"/>
      <c r="CD81" s="1997"/>
      <c r="CE81" s="1997"/>
      <c r="CF81" s="1997"/>
      <c r="CG81" s="1997"/>
      <c r="CH81" s="1997"/>
      <c r="CI81" s="1997"/>
      <c r="CJ81" s="1997"/>
      <c r="CK81" s="1997"/>
      <c r="CL81" s="1997"/>
      <c r="CM81" s="1997"/>
      <c r="CN81" s="1997"/>
      <c r="CO81" s="1997"/>
      <c r="CP81" s="1997"/>
      <c r="CQ81" s="1997"/>
      <c r="CR81" s="1997"/>
      <c r="CS81" s="1997"/>
      <c r="CT81" s="1997"/>
      <c r="CU81" s="1997"/>
      <c r="CV81" s="1997"/>
      <c r="CW81" s="1997"/>
      <c r="CX81" s="1997"/>
      <c r="CY81" s="1997"/>
      <c r="CZ81" s="1997"/>
      <c r="DA81" s="1997"/>
      <c r="DB81" s="1997"/>
      <c r="DC81" s="1997"/>
      <c r="DD81" s="1997"/>
      <c r="DE81" s="1997"/>
      <c r="DF81" s="1997"/>
      <c r="DG81" s="1997"/>
      <c r="DH81" s="1997"/>
      <c r="DI81" s="1997"/>
      <c r="DJ81" s="1997"/>
      <c r="DK81" s="1997"/>
      <c r="DL81" s="1997"/>
      <c r="DM81" s="1997"/>
      <c r="DN81" s="1997"/>
      <c r="DO81" s="1997"/>
      <c r="DP81" s="1997"/>
      <c r="DQ81" s="1997"/>
      <c r="DR81" s="1997"/>
      <c r="DS81" s="1997"/>
      <c r="DT81" s="1997"/>
      <c r="DU81" s="1997"/>
      <c r="DV81" s="1997"/>
      <c r="DW81" s="1997"/>
      <c r="DX81" s="1997"/>
      <c r="DY81" s="1997"/>
      <c r="DZ81" s="1997"/>
      <c r="EA81" s="1997"/>
      <c r="EB81" s="1997"/>
      <c r="EC81" s="1997"/>
      <c r="ED81" s="1997"/>
      <c r="EE81" s="1997"/>
      <c r="EF81" s="1997"/>
      <c r="EG81" s="1997"/>
      <c r="EH81" s="1997"/>
      <c r="EI81" s="1997"/>
      <c r="EJ81" s="1997"/>
      <c r="EK81" s="1997"/>
      <c r="EL81" s="1997"/>
      <c r="EM81" s="1997"/>
      <c r="EN81" s="1997"/>
      <c r="EO81" s="1997"/>
      <c r="EP81" s="1997"/>
      <c r="EQ81" s="1997"/>
      <c r="ER81" s="1997"/>
      <c r="ES81" s="1997"/>
      <c r="ET81" s="1997"/>
      <c r="EU81" s="1997"/>
      <c r="EV81" s="1997"/>
      <c r="EW81" s="1997"/>
      <c r="EX81" s="1997"/>
      <c r="EY81" s="1997"/>
      <c r="EZ81" s="1997"/>
      <c r="FA81" s="1997"/>
      <c r="FB81" s="1997"/>
      <c r="FC81" s="1997"/>
      <c r="FD81" s="1997"/>
      <c r="FE81" s="1997"/>
      <c r="FF81" s="1997"/>
      <c r="FG81" s="1997"/>
      <c r="FH81" s="1997"/>
      <c r="FI81" s="1997"/>
      <c r="FJ81" s="1997"/>
      <c r="FK81" s="1997"/>
      <c r="FL81" s="1997"/>
      <c r="FM81" s="1997"/>
      <c r="FN81" s="1997"/>
      <c r="FO81" s="1997"/>
      <c r="FP81" s="1997"/>
      <c r="FQ81" s="1997"/>
      <c r="FR81" s="1997"/>
      <c r="FS81" s="1997"/>
      <c r="FT81" s="1997"/>
      <c r="FU81" s="1997"/>
      <c r="FV81" s="1997"/>
      <c r="FW81" s="1997"/>
      <c r="FX81" s="1997"/>
      <c r="FY81" s="1997"/>
      <c r="FZ81" s="1997"/>
      <c r="GA81" s="1997"/>
      <c r="GB81" s="1997"/>
      <c r="GC81" s="1997"/>
      <c r="GD81" s="1997"/>
      <c r="GE81" s="1997"/>
      <c r="GF81" s="1997"/>
      <c r="GG81" s="1997"/>
      <c r="GH81" s="1997"/>
      <c r="GI81" s="1997"/>
      <c r="GJ81" s="1997"/>
      <c r="GK81" s="1997"/>
      <c r="GL81" s="1997"/>
      <c r="GM81" s="1997"/>
      <c r="GN81" s="1997"/>
      <c r="GO81" s="1997"/>
      <c r="GP81" s="1997"/>
      <c r="GQ81" s="1997"/>
      <c r="GR81" s="1997"/>
      <c r="GS81" s="1997"/>
      <c r="GT81" s="1997"/>
      <c r="GU81" s="1997"/>
      <c r="GV81" s="1997"/>
      <c r="GW81" s="1997"/>
      <c r="GX81" s="1997"/>
      <c r="GY81" s="1997"/>
      <c r="GZ81" s="1997"/>
      <c r="HA81" s="1997"/>
      <c r="HB81" s="1997"/>
      <c r="HC81" s="1997"/>
      <c r="HD81" s="1997"/>
      <c r="HE81" s="1997"/>
      <c r="HF81" s="1997"/>
      <c r="HG81" s="1997"/>
      <c r="HH81" s="1997"/>
      <c r="HI81" s="1997"/>
      <c r="HJ81" s="1997"/>
      <c r="HK81" s="1997"/>
      <c r="HL81" s="1997"/>
      <c r="HM81" s="1997"/>
      <c r="HN81" s="1997"/>
      <c r="HO81" s="1997"/>
      <c r="HP81" s="1997"/>
      <c r="HQ81" s="1997"/>
      <c r="HR81" s="1997"/>
      <c r="HS81" s="1997"/>
      <c r="HT81" s="1997"/>
      <c r="HU81" s="1997"/>
      <c r="HV81" s="1997"/>
      <c r="HW81" s="1997"/>
      <c r="HX81" s="1997"/>
      <c r="HY81" s="1997"/>
      <c r="HZ81" s="1997"/>
      <c r="IA81" s="1997"/>
      <c r="IB81" s="1997"/>
      <c r="IC81" s="1997"/>
      <c r="ID81" s="1997"/>
      <c r="IE81" s="1997"/>
      <c r="IF81" s="1997"/>
      <c r="IG81" s="1997"/>
      <c r="IH81" s="1997"/>
      <c r="II81" s="1997"/>
      <c r="IJ81" s="1997"/>
      <c r="IK81" s="1997"/>
      <c r="IL81" s="1997"/>
      <c r="IM81" s="1997"/>
      <c r="IN81" s="1997"/>
      <c r="IO81" s="1997"/>
      <c r="IP81" s="1997"/>
      <c r="IQ81" s="1997"/>
    </row>
    <row r="82" spans="1:251" hidden="1">
      <c r="A82" s="1993"/>
      <c r="B82" s="1998"/>
      <c r="C82" s="1998"/>
      <c r="D82" s="2034"/>
      <c r="E82" s="1998"/>
      <c r="F82" s="1940">
        <f t="shared" si="32"/>
        <v>0</v>
      </c>
      <c r="G82" s="1993"/>
      <c r="H82" s="1940">
        <f t="shared" si="33"/>
        <v>0</v>
      </c>
      <c r="I82" s="1993"/>
      <c r="J82" s="1940">
        <f t="shared" si="34"/>
        <v>0</v>
      </c>
      <c r="K82" s="1993"/>
      <c r="L82" s="1940">
        <f t="shared" si="35"/>
        <v>0</v>
      </c>
      <c r="M82" s="1940">
        <f t="shared" si="36"/>
        <v>0</v>
      </c>
      <c r="N82" s="1940">
        <f t="shared" si="37"/>
        <v>0</v>
      </c>
      <c r="O82" s="1993"/>
      <c r="P82" s="1993"/>
      <c r="Q82" s="1940">
        <f t="shared" si="38"/>
        <v>0</v>
      </c>
      <c r="R82" s="1940">
        <f t="shared" si="39"/>
        <v>0</v>
      </c>
      <c r="S82" s="1940">
        <f t="shared" si="40"/>
        <v>0</v>
      </c>
      <c r="T82" s="1940">
        <f t="shared" si="41"/>
        <v>0</v>
      </c>
      <c r="U82" s="1940">
        <f t="shared" si="42"/>
        <v>0</v>
      </c>
      <c r="V82" s="1997"/>
      <c r="W82" s="1997"/>
      <c r="X82" s="1997"/>
      <c r="Y82" s="1997"/>
      <c r="Z82" s="1997"/>
      <c r="AA82" s="1997"/>
      <c r="AB82" s="1997"/>
      <c r="AC82" s="1997"/>
      <c r="AD82" s="1997"/>
      <c r="AE82" s="1997"/>
      <c r="AF82" s="1997"/>
      <c r="AG82" s="1997"/>
      <c r="AH82" s="1997"/>
      <c r="AI82" s="1997"/>
      <c r="AJ82" s="1997"/>
      <c r="AK82" s="1997"/>
      <c r="AL82" s="1997"/>
      <c r="AM82" s="1997"/>
      <c r="AN82" s="1997"/>
      <c r="AO82" s="1997"/>
      <c r="AP82" s="1997"/>
      <c r="AQ82" s="1997"/>
      <c r="AR82" s="1997"/>
      <c r="AS82" s="1997"/>
      <c r="AT82" s="1997"/>
      <c r="AU82" s="1997"/>
      <c r="AV82" s="1997"/>
      <c r="AW82" s="1997"/>
      <c r="AX82" s="1997"/>
      <c r="AY82" s="1997"/>
      <c r="AZ82" s="1997"/>
      <c r="BA82" s="1997"/>
      <c r="BB82" s="1997"/>
      <c r="BC82" s="1997"/>
      <c r="BD82" s="1997"/>
      <c r="BE82" s="1997"/>
      <c r="BF82" s="1997"/>
      <c r="BG82" s="1997"/>
      <c r="BH82" s="1997"/>
      <c r="BI82" s="1997"/>
      <c r="BJ82" s="1997"/>
      <c r="BK82" s="1997"/>
      <c r="BL82" s="1997"/>
      <c r="BM82" s="1997"/>
      <c r="BN82" s="1997"/>
      <c r="BO82" s="1997"/>
      <c r="BP82" s="1997"/>
      <c r="BQ82" s="1997"/>
      <c r="BR82" s="1997"/>
      <c r="BS82" s="1997"/>
      <c r="BT82" s="1997"/>
      <c r="BU82" s="1997"/>
      <c r="BV82" s="1997"/>
      <c r="BW82" s="1997"/>
      <c r="BX82" s="1997"/>
      <c r="BY82" s="1997"/>
      <c r="BZ82" s="1997"/>
      <c r="CA82" s="1997"/>
      <c r="CB82" s="1997"/>
      <c r="CC82" s="1997"/>
      <c r="CD82" s="1997"/>
      <c r="CE82" s="1997"/>
      <c r="CF82" s="1997"/>
      <c r="CG82" s="1997"/>
      <c r="CH82" s="1997"/>
      <c r="CI82" s="1997"/>
      <c r="CJ82" s="1997"/>
      <c r="CK82" s="1997"/>
      <c r="CL82" s="1997"/>
      <c r="CM82" s="1997"/>
      <c r="CN82" s="1997"/>
      <c r="CO82" s="1997"/>
      <c r="CP82" s="1997"/>
      <c r="CQ82" s="1997"/>
      <c r="CR82" s="1997"/>
      <c r="CS82" s="1997"/>
      <c r="CT82" s="1997"/>
      <c r="CU82" s="1997"/>
      <c r="CV82" s="1997"/>
      <c r="CW82" s="1997"/>
      <c r="CX82" s="1997"/>
      <c r="CY82" s="1997"/>
      <c r="CZ82" s="1997"/>
      <c r="DA82" s="1997"/>
      <c r="DB82" s="1997"/>
      <c r="DC82" s="1997"/>
      <c r="DD82" s="1997"/>
      <c r="DE82" s="1997"/>
      <c r="DF82" s="1997"/>
      <c r="DG82" s="1997"/>
      <c r="DH82" s="1997"/>
      <c r="DI82" s="1997"/>
      <c r="DJ82" s="1997"/>
      <c r="DK82" s="1997"/>
      <c r="DL82" s="1997"/>
      <c r="DM82" s="1997"/>
      <c r="DN82" s="1997"/>
      <c r="DO82" s="1997"/>
      <c r="DP82" s="1997"/>
      <c r="DQ82" s="1997"/>
      <c r="DR82" s="1997"/>
      <c r="DS82" s="1997"/>
      <c r="DT82" s="1997"/>
      <c r="DU82" s="1997"/>
      <c r="DV82" s="1997"/>
      <c r="DW82" s="1997"/>
      <c r="DX82" s="1997"/>
      <c r="DY82" s="1997"/>
      <c r="DZ82" s="1997"/>
      <c r="EA82" s="1997"/>
      <c r="EB82" s="1997"/>
      <c r="EC82" s="1997"/>
      <c r="ED82" s="1997"/>
      <c r="EE82" s="1997"/>
      <c r="EF82" s="1997"/>
      <c r="EG82" s="1997"/>
      <c r="EH82" s="1997"/>
      <c r="EI82" s="1997"/>
      <c r="EJ82" s="1997"/>
      <c r="EK82" s="1997"/>
      <c r="EL82" s="1997"/>
      <c r="EM82" s="1997"/>
      <c r="EN82" s="1997"/>
      <c r="EO82" s="1997"/>
      <c r="EP82" s="1997"/>
      <c r="EQ82" s="1997"/>
      <c r="ER82" s="1997"/>
      <c r="ES82" s="1997"/>
      <c r="ET82" s="1997"/>
      <c r="EU82" s="1997"/>
      <c r="EV82" s="1997"/>
      <c r="EW82" s="1997"/>
      <c r="EX82" s="1997"/>
      <c r="EY82" s="1997"/>
      <c r="EZ82" s="1997"/>
      <c r="FA82" s="1997"/>
      <c r="FB82" s="1997"/>
      <c r="FC82" s="1997"/>
      <c r="FD82" s="1997"/>
      <c r="FE82" s="1997"/>
      <c r="FF82" s="1997"/>
      <c r="FG82" s="1997"/>
      <c r="FH82" s="1997"/>
      <c r="FI82" s="1997"/>
      <c r="FJ82" s="1997"/>
      <c r="FK82" s="1997"/>
      <c r="FL82" s="1997"/>
      <c r="FM82" s="1997"/>
      <c r="FN82" s="1997"/>
      <c r="FO82" s="1997"/>
      <c r="FP82" s="1997"/>
      <c r="FQ82" s="1997"/>
      <c r="FR82" s="1997"/>
      <c r="FS82" s="1997"/>
      <c r="FT82" s="1997"/>
      <c r="FU82" s="1997"/>
      <c r="FV82" s="1997"/>
      <c r="FW82" s="1997"/>
      <c r="FX82" s="1997"/>
      <c r="FY82" s="1997"/>
      <c r="FZ82" s="1997"/>
      <c r="GA82" s="1997"/>
      <c r="GB82" s="1997"/>
      <c r="GC82" s="1997"/>
      <c r="GD82" s="1997"/>
      <c r="GE82" s="1997"/>
      <c r="GF82" s="1997"/>
      <c r="GG82" s="1997"/>
      <c r="GH82" s="1997"/>
      <c r="GI82" s="1997"/>
      <c r="GJ82" s="1997"/>
      <c r="GK82" s="1997"/>
      <c r="GL82" s="1997"/>
      <c r="GM82" s="1997"/>
      <c r="GN82" s="1997"/>
      <c r="GO82" s="1997"/>
      <c r="GP82" s="1997"/>
      <c r="GQ82" s="1997"/>
      <c r="GR82" s="1997"/>
      <c r="GS82" s="1997"/>
      <c r="GT82" s="1997"/>
      <c r="GU82" s="1997"/>
      <c r="GV82" s="1997"/>
      <c r="GW82" s="1997"/>
      <c r="GX82" s="1997"/>
      <c r="GY82" s="1997"/>
      <c r="GZ82" s="1997"/>
      <c r="HA82" s="1997"/>
      <c r="HB82" s="1997"/>
      <c r="HC82" s="1997"/>
      <c r="HD82" s="1997"/>
      <c r="HE82" s="1997"/>
      <c r="HF82" s="1997"/>
      <c r="HG82" s="1997"/>
      <c r="HH82" s="1997"/>
      <c r="HI82" s="1997"/>
      <c r="HJ82" s="1997"/>
      <c r="HK82" s="1997"/>
      <c r="HL82" s="1997"/>
      <c r="HM82" s="1997"/>
      <c r="HN82" s="1997"/>
      <c r="HO82" s="1997"/>
      <c r="HP82" s="1997"/>
      <c r="HQ82" s="1997"/>
      <c r="HR82" s="1997"/>
      <c r="HS82" s="1997"/>
      <c r="HT82" s="1997"/>
      <c r="HU82" s="1997"/>
      <c r="HV82" s="1997"/>
      <c r="HW82" s="1997"/>
      <c r="HX82" s="1997"/>
      <c r="HY82" s="1997"/>
      <c r="HZ82" s="1997"/>
      <c r="IA82" s="1997"/>
      <c r="IB82" s="1997"/>
      <c r="IC82" s="1997"/>
      <c r="ID82" s="1997"/>
      <c r="IE82" s="1997"/>
      <c r="IF82" s="1997"/>
      <c r="IG82" s="1997"/>
      <c r="IH82" s="1997"/>
      <c r="II82" s="1997"/>
      <c r="IJ82" s="1997"/>
      <c r="IK82" s="1997"/>
      <c r="IL82" s="1997"/>
      <c r="IM82" s="1997"/>
      <c r="IN82" s="1997"/>
      <c r="IO82" s="1997"/>
      <c r="IP82" s="1997"/>
      <c r="IQ82" s="1997"/>
    </row>
    <row r="83" spans="1:251" hidden="1">
      <c r="A83" s="1993"/>
      <c r="B83" s="1998"/>
      <c r="C83" s="1998"/>
      <c r="D83" s="2034"/>
      <c r="E83" s="1998"/>
      <c r="F83" s="1940">
        <f t="shared" si="32"/>
        <v>0</v>
      </c>
      <c r="G83" s="1993"/>
      <c r="H83" s="1940">
        <f t="shared" si="33"/>
        <v>0</v>
      </c>
      <c r="I83" s="1993"/>
      <c r="J83" s="1940">
        <f t="shared" si="34"/>
        <v>0</v>
      </c>
      <c r="K83" s="1993"/>
      <c r="L83" s="1940">
        <f t="shared" si="35"/>
        <v>0</v>
      </c>
      <c r="M83" s="1940">
        <f t="shared" si="36"/>
        <v>0</v>
      </c>
      <c r="N83" s="1940">
        <f t="shared" si="37"/>
        <v>0</v>
      </c>
      <c r="O83" s="1993"/>
      <c r="P83" s="1993"/>
      <c r="Q83" s="1940">
        <f t="shared" si="38"/>
        <v>0</v>
      </c>
      <c r="R83" s="1940">
        <f t="shared" si="39"/>
        <v>0</v>
      </c>
      <c r="S83" s="1940">
        <f t="shared" si="40"/>
        <v>0</v>
      </c>
      <c r="T83" s="1940">
        <f t="shared" si="41"/>
        <v>0</v>
      </c>
      <c r="U83" s="1940">
        <f t="shared" si="42"/>
        <v>0</v>
      </c>
      <c r="V83" s="1997"/>
      <c r="W83" s="1997"/>
      <c r="X83" s="1997"/>
      <c r="Y83" s="1997"/>
      <c r="Z83" s="1997"/>
      <c r="AA83" s="1997"/>
      <c r="AB83" s="1997"/>
      <c r="AC83" s="1997"/>
      <c r="AD83" s="1997"/>
      <c r="AE83" s="1997"/>
      <c r="AF83" s="1997"/>
      <c r="AG83" s="1997"/>
      <c r="AH83" s="1997"/>
      <c r="AI83" s="1997"/>
      <c r="AJ83" s="1997"/>
      <c r="AK83" s="1997"/>
      <c r="AL83" s="1997"/>
      <c r="AM83" s="1997"/>
      <c r="AN83" s="1997"/>
      <c r="AO83" s="1997"/>
      <c r="AP83" s="1997"/>
      <c r="AQ83" s="1997"/>
      <c r="AR83" s="1997"/>
      <c r="AS83" s="1997"/>
      <c r="AT83" s="1997"/>
      <c r="AU83" s="1997"/>
      <c r="AV83" s="1997"/>
      <c r="AW83" s="1997"/>
      <c r="AX83" s="1997"/>
      <c r="AY83" s="1997"/>
      <c r="AZ83" s="1997"/>
      <c r="BA83" s="1997"/>
      <c r="BB83" s="1997"/>
      <c r="BC83" s="1997"/>
      <c r="BD83" s="1997"/>
      <c r="BE83" s="1997"/>
      <c r="BF83" s="1997"/>
      <c r="BG83" s="1997"/>
      <c r="BH83" s="1997"/>
      <c r="BI83" s="1997"/>
      <c r="BJ83" s="1997"/>
      <c r="BK83" s="1997"/>
      <c r="BL83" s="1997"/>
      <c r="BM83" s="1997"/>
      <c r="BN83" s="1997"/>
      <c r="BO83" s="1997"/>
      <c r="BP83" s="1997"/>
      <c r="BQ83" s="1997"/>
      <c r="BR83" s="1997"/>
      <c r="BS83" s="1997"/>
      <c r="BT83" s="1997"/>
      <c r="BU83" s="1997"/>
      <c r="BV83" s="1997"/>
      <c r="BW83" s="1997"/>
      <c r="BX83" s="1997"/>
      <c r="BY83" s="1997"/>
      <c r="BZ83" s="1997"/>
      <c r="CA83" s="1997"/>
      <c r="CB83" s="1997"/>
      <c r="CC83" s="1997"/>
      <c r="CD83" s="1997"/>
      <c r="CE83" s="1997"/>
      <c r="CF83" s="1997"/>
      <c r="CG83" s="1997"/>
      <c r="CH83" s="1997"/>
      <c r="CI83" s="1997"/>
      <c r="CJ83" s="1997"/>
      <c r="CK83" s="1997"/>
      <c r="CL83" s="1997"/>
      <c r="CM83" s="1997"/>
      <c r="CN83" s="1997"/>
      <c r="CO83" s="1997"/>
      <c r="CP83" s="1997"/>
      <c r="CQ83" s="1997"/>
      <c r="CR83" s="1997"/>
      <c r="CS83" s="1997"/>
      <c r="CT83" s="1997"/>
      <c r="CU83" s="1997"/>
      <c r="CV83" s="1997"/>
      <c r="CW83" s="1997"/>
      <c r="CX83" s="1997"/>
      <c r="CY83" s="1997"/>
      <c r="CZ83" s="1997"/>
      <c r="DA83" s="1997"/>
      <c r="DB83" s="1997"/>
      <c r="DC83" s="1997"/>
      <c r="DD83" s="1997"/>
      <c r="DE83" s="1997"/>
      <c r="DF83" s="1997"/>
      <c r="DG83" s="1997"/>
      <c r="DH83" s="1997"/>
      <c r="DI83" s="1997"/>
      <c r="DJ83" s="1997"/>
      <c r="DK83" s="1997"/>
      <c r="DL83" s="1997"/>
      <c r="DM83" s="1997"/>
      <c r="DN83" s="1997"/>
      <c r="DO83" s="1997"/>
      <c r="DP83" s="1997"/>
      <c r="DQ83" s="1997"/>
      <c r="DR83" s="1997"/>
      <c r="DS83" s="1997"/>
      <c r="DT83" s="1997"/>
      <c r="DU83" s="1997"/>
      <c r="DV83" s="1997"/>
      <c r="DW83" s="1997"/>
      <c r="DX83" s="1997"/>
      <c r="DY83" s="1997"/>
      <c r="DZ83" s="1997"/>
      <c r="EA83" s="1997"/>
      <c r="EB83" s="1997"/>
      <c r="EC83" s="1997"/>
      <c r="ED83" s="1997"/>
      <c r="EE83" s="1997"/>
      <c r="EF83" s="1997"/>
      <c r="EG83" s="1997"/>
      <c r="EH83" s="1997"/>
      <c r="EI83" s="1997"/>
      <c r="EJ83" s="1997"/>
      <c r="EK83" s="1997"/>
      <c r="EL83" s="1997"/>
      <c r="EM83" s="1997"/>
      <c r="EN83" s="1997"/>
      <c r="EO83" s="1997"/>
      <c r="EP83" s="1997"/>
      <c r="EQ83" s="1997"/>
      <c r="ER83" s="1997"/>
      <c r="ES83" s="1997"/>
      <c r="ET83" s="1997"/>
      <c r="EU83" s="1997"/>
      <c r="EV83" s="1997"/>
      <c r="EW83" s="1997"/>
      <c r="EX83" s="1997"/>
      <c r="EY83" s="1997"/>
      <c r="EZ83" s="1997"/>
      <c r="FA83" s="1997"/>
      <c r="FB83" s="1997"/>
      <c r="FC83" s="1997"/>
      <c r="FD83" s="1997"/>
      <c r="FE83" s="1997"/>
      <c r="FF83" s="1997"/>
      <c r="FG83" s="1997"/>
      <c r="FH83" s="1997"/>
      <c r="FI83" s="1997"/>
      <c r="FJ83" s="1997"/>
      <c r="FK83" s="1997"/>
      <c r="FL83" s="1997"/>
      <c r="FM83" s="1997"/>
      <c r="FN83" s="1997"/>
      <c r="FO83" s="1997"/>
      <c r="FP83" s="1997"/>
      <c r="FQ83" s="1997"/>
      <c r="FR83" s="1997"/>
      <c r="FS83" s="1997"/>
      <c r="FT83" s="1997"/>
      <c r="FU83" s="1997"/>
      <c r="FV83" s="1997"/>
      <c r="FW83" s="1997"/>
      <c r="FX83" s="1997"/>
      <c r="FY83" s="1997"/>
      <c r="FZ83" s="1997"/>
      <c r="GA83" s="1997"/>
      <c r="GB83" s="1997"/>
      <c r="GC83" s="1997"/>
      <c r="GD83" s="1997"/>
      <c r="GE83" s="1997"/>
      <c r="GF83" s="1997"/>
      <c r="GG83" s="1997"/>
      <c r="GH83" s="1997"/>
      <c r="GI83" s="1997"/>
      <c r="GJ83" s="1997"/>
      <c r="GK83" s="1997"/>
      <c r="GL83" s="1997"/>
      <c r="GM83" s="1997"/>
      <c r="GN83" s="1997"/>
      <c r="GO83" s="1997"/>
      <c r="GP83" s="1997"/>
      <c r="GQ83" s="1997"/>
      <c r="GR83" s="1997"/>
      <c r="GS83" s="1997"/>
      <c r="GT83" s="1997"/>
      <c r="GU83" s="1997"/>
      <c r="GV83" s="1997"/>
      <c r="GW83" s="1997"/>
      <c r="GX83" s="1997"/>
      <c r="GY83" s="1997"/>
      <c r="GZ83" s="1997"/>
      <c r="HA83" s="1997"/>
      <c r="HB83" s="1997"/>
      <c r="HC83" s="1997"/>
      <c r="HD83" s="1997"/>
      <c r="HE83" s="1997"/>
      <c r="HF83" s="1997"/>
      <c r="HG83" s="1997"/>
      <c r="HH83" s="1997"/>
      <c r="HI83" s="1997"/>
      <c r="HJ83" s="1997"/>
      <c r="HK83" s="1997"/>
      <c r="HL83" s="1997"/>
      <c r="HM83" s="1997"/>
      <c r="HN83" s="1997"/>
      <c r="HO83" s="1997"/>
      <c r="HP83" s="1997"/>
      <c r="HQ83" s="1997"/>
      <c r="HR83" s="1997"/>
      <c r="HS83" s="1997"/>
      <c r="HT83" s="1997"/>
      <c r="HU83" s="1997"/>
      <c r="HV83" s="1997"/>
      <c r="HW83" s="1997"/>
      <c r="HX83" s="1997"/>
      <c r="HY83" s="1997"/>
      <c r="HZ83" s="1997"/>
      <c r="IA83" s="1997"/>
      <c r="IB83" s="1997"/>
      <c r="IC83" s="1997"/>
      <c r="ID83" s="1997"/>
      <c r="IE83" s="1997"/>
      <c r="IF83" s="1997"/>
      <c r="IG83" s="1997"/>
      <c r="IH83" s="1997"/>
      <c r="II83" s="1997"/>
      <c r="IJ83" s="1997"/>
      <c r="IK83" s="1997"/>
      <c r="IL83" s="1997"/>
      <c r="IM83" s="1997"/>
      <c r="IN83" s="1997"/>
      <c r="IO83" s="1997"/>
      <c r="IP83" s="1997"/>
      <c r="IQ83" s="1997"/>
    </row>
    <row r="84" spans="1:251" hidden="1">
      <c r="A84" s="1993"/>
      <c r="B84" s="1998"/>
      <c r="C84" s="1998"/>
      <c r="D84" s="2034"/>
      <c r="E84" s="1998"/>
      <c r="F84" s="1940">
        <f t="shared" si="32"/>
        <v>0</v>
      </c>
      <c r="G84" s="1993"/>
      <c r="H84" s="1940">
        <f t="shared" si="33"/>
        <v>0</v>
      </c>
      <c r="I84" s="1993"/>
      <c r="J84" s="1940">
        <f t="shared" si="34"/>
        <v>0</v>
      </c>
      <c r="K84" s="1993"/>
      <c r="L84" s="1940">
        <f t="shared" si="35"/>
        <v>0</v>
      </c>
      <c r="M84" s="1940">
        <f t="shared" si="36"/>
        <v>0</v>
      </c>
      <c r="N84" s="1940">
        <f t="shared" si="37"/>
        <v>0</v>
      </c>
      <c r="O84" s="1993"/>
      <c r="P84" s="1993"/>
      <c r="Q84" s="1940">
        <f t="shared" si="38"/>
        <v>0</v>
      </c>
      <c r="R84" s="1940">
        <f t="shared" si="39"/>
        <v>0</v>
      </c>
      <c r="S84" s="1940">
        <f t="shared" si="40"/>
        <v>0</v>
      </c>
      <c r="T84" s="1940">
        <f t="shared" si="41"/>
        <v>0</v>
      </c>
      <c r="U84" s="1940">
        <f t="shared" si="42"/>
        <v>0</v>
      </c>
      <c r="V84" s="1997"/>
      <c r="W84" s="1997"/>
      <c r="X84" s="1997"/>
      <c r="Y84" s="1997"/>
      <c r="Z84" s="1997"/>
      <c r="AA84" s="1997"/>
      <c r="AB84" s="1997"/>
      <c r="AC84" s="1997"/>
      <c r="AD84" s="1997"/>
      <c r="AE84" s="1997"/>
      <c r="AF84" s="1997"/>
      <c r="AG84" s="1997"/>
      <c r="AH84" s="1997"/>
      <c r="AI84" s="1997"/>
      <c r="AJ84" s="1997"/>
      <c r="AK84" s="1997"/>
      <c r="AL84" s="1997"/>
      <c r="AM84" s="1997"/>
      <c r="AN84" s="1997"/>
      <c r="AO84" s="1997"/>
      <c r="AP84" s="1997"/>
      <c r="AQ84" s="1997"/>
      <c r="AR84" s="1997"/>
      <c r="AS84" s="1997"/>
      <c r="AT84" s="1997"/>
      <c r="AU84" s="1997"/>
      <c r="AV84" s="1997"/>
      <c r="AW84" s="1997"/>
      <c r="AX84" s="1997"/>
      <c r="AY84" s="1997"/>
      <c r="AZ84" s="1997"/>
      <c r="BA84" s="1997"/>
      <c r="BB84" s="1997"/>
      <c r="BC84" s="1997"/>
      <c r="BD84" s="1997"/>
      <c r="BE84" s="1997"/>
      <c r="BF84" s="1997"/>
      <c r="BG84" s="1997"/>
      <c r="BH84" s="1997"/>
      <c r="BI84" s="1997"/>
      <c r="BJ84" s="1997"/>
      <c r="BK84" s="1997"/>
      <c r="BL84" s="1997"/>
      <c r="BM84" s="1997"/>
      <c r="BN84" s="1997"/>
      <c r="BO84" s="1997"/>
      <c r="BP84" s="1997"/>
      <c r="BQ84" s="1997"/>
      <c r="BR84" s="1997"/>
      <c r="BS84" s="1997"/>
      <c r="BT84" s="1997"/>
      <c r="BU84" s="1997"/>
      <c r="BV84" s="1997"/>
      <c r="BW84" s="1997"/>
      <c r="BX84" s="1997"/>
      <c r="BY84" s="1997"/>
      <c r="BZ84" s="1997"/>
      <c r="CA84" s="1997"/>
      <c r="CB84" s="1997"/>
      <c r="CC84" s="1997"/>
      <c r="CD84" s="1997"/>
      <c r="CE84" s="1997"/>
      <c r="CF84" s="1997"/>
      <c r="CG84" s="1997"/>
      <c r="CH84" s="1997"/>
      <c r="CI84" s="1997"/>
      <c r="CJ84" s="1997"/>
      <c r="CK84" s="1997"/>
      <c r="CL84" s="1997"/>
      <c r="CM84" s="1997"/>
      <c r="CN84" s="1997"/>
      <c r="CO84" s="1997"/>
      <c r="CP84" s="1997"/>
      <c r="CQ84" s="1997"/>
      <c r="CR84" s="1997"/>
      <c r="CS84" s="1997"/>
      <c r="CT84" s="1997"/>
      <c r="CU84" s="1997"/>
      <c r="CV84" s="1997"/>
      <c r="CW84" s="1997"/>
      <c r="CX84" s="1997"/>
      <c r="CY84" s="1997"/>
      <c r="CZ84" s="1997"/>
      <c r="DA84" s="1997"/>
      <c r="DB84" s="1997"/>
      <c r="DC84" s="1997"/>
      <c r="DD84" s="1997"/>
      <c r="DE84" s="1997"/>
      <c r="DF84" s="1997"/>
      <c r="DG84" s="1997"/>
      <c r="DH84" s="1997"/>
      <c r="DI84" s="1997"/>
      <c r="DJ84" s="1997"/>
      <c r="DK84" s="1997"/>
      <c r="DL84" s="1997"/>
      <c r="DM84" s="1997"/>
      <c r="DN84" s="1997"/>
      <c r="DO84" s="1997"/>
      <c r="DP84" s="1997"/>
      <c r="DQ84" s="1997"/>
      <c r="DR84" s="1997"/>
      <c r="DS84" s="1997"/>
      <c r="DT84" s="1997"/>
      <c r="DU84" s="1997"/>
      <c r="DV84" s="1997"/>
      <c r="DW84" s="1997"/>
      <c r="DX84" s="1997"/>
      <c r="DY84" s="1997"/>
      <c r="DZ84" s="1997"/>
      <c r="EA84" s="1997"/>
      <c r="EB84" s="1997"/>
      <c r="EC84" s="1997"/>
      <c r="ED84" s="1997"/>
      <c r="EE84" s="1997"/>
      <c r="EF84" s="1997"/>
      <c r="EG84" s="1997"/>
      <c r="EH84" s="1997"/>
      <c r="EI84" s="1997"/>
      <c r="EJ84" s="1997"/>
      <c r="EK84" s="1997"/>
      <c r="EL84" s="1997"/>
      <c r="EM84" s="1997"/>
      <c r="EN84" s="1997"/>
      <c r="EO84" s="1997"/>
      <c r="EP84" s="1997"/>
      <c r="EQ84" s="1997"/>
      <c r="ER84" s="1997"/>
      <c r="ES84" s="1997"/>
      <c r="ET84" s="1997"/>
      <c r="EU84" s="1997"/>
      <c r="EV84" s="1997"/>
      <c r="EW84" s="1997"/>
      <c r="EX84" s="1997"/>
      <c r="EY84" s="1997"/>
      <c r="EZ84" s="1997"/>
      <c r="FA84" s="1997"/>
      <c r="FB84" s="1997"/>
      <c r="FC84" s="1997"/>
      <c r="FD84" s="1997"/>
      <c r="FE84" s="1997"/>
      <c r="FF84" s="1997"/>
      <c r="FG84" s="1997"/>
      <c r="FH84" s="1997"/>
      <c r="FI84" s="1997"/>
      <c r="FJ84" s="1997"/>
      <c r="FK84" s="1997"/>
      <c r="FL84" s="1997"/>
      <c r="FM84" s="1997"/>
      <c r="FN84" s="1997"/>
      <c r="FO84" s="1997"/>
      <c r="FP84" s="1997"/>
      <c r="FQ84" s="1997"/>
      <c r="FR84" s="1997"/>
      <c r="FS84" s="1997"/>
      <c r="FT84" s="1997"/>
      <c r="FU84" s="1997"/>
      <c r="FV84" s="1997"/>
      <c r="FW84" s="1997"/>
      <c r="FX84" s="1997"/>
      <c r="FY84" s="1997"/>
      <c r="FZ84" s="1997"/>
      <c r="GA84" s="1997"/>
      <c r="GB84" s="1997"/>
      <c r="GC84" s="1997"/>
      <c r="GD84" s="1997"/>
      <c r="GE84" s="1997"/>
      <c r="GF84" s="1997"/>
      <c r="GG84" s="1997"/>
      <c r="GH84" s="1997"/>
      <c r="GI84" s="1997"/>
      <c r="GJ84" s="1997"/>
      <c r="GK84" s="1997"/>
      <c r="GL84" s="1997"/>
      <c r="GM84" s="1997"/>
      <c r="GN84" s="1997"/>
      <c r="GO84" s="1997"/>
      <c r="GP84" s="1997"/>
      <c r="GQ84" s="1997"/>
      <c r="GR84" s="1997"/>
      <c r="GS84" s="1997"/>
      <c r="GT84" s="1997"/>
      <c r="GU84" s="1997"/>
      <c r="GV84" s="1997"/>
      <c r="GW84" s="1997"/>
      <c r="GX84" s="1997"/>
      <c r="GY84" s="1997"/>
      <c r="GZ84" s="1997"/>
      <c r="HA84" s="1997"/>
      <c r="HB84" s="1997"/>
      <c r="HC84" s="1997"/>
      <c r="HD84" s="1997"/>
      <c r="HE84" s="1997"/>
      <c r="HF84" s="1997"/>
      <c r="HG84" s="1997"/>
      <c r="HH84" s="1997"/>
      <c r="HI84" s="1997"/>
      <c r="HJ84" s="1997"/>
      <c r="HK84" s="1997"/>
      <c r="HL84" s="1997"/>
      <c r="HM84" s="1997"/>
      <c r="HN84" s="1997"/>
      <c r="HO84" s="1997"/>
      <c r="HP84" s="1997"/>
      <c r="HQ84" s="1997"/>
      <c r="HR84" s="1997"/>
      <c r="HS84" s="1997"/>
      <c r="HT84" s="1997"/>
      <c r="HU84" s="1997"/>
      <c r="HV84" s="1997"/>
      <c r="HW84" s="1997"/>
      <c r="HX84" s="1997"/>
      <c r="HY84" s="1997"/>
      <c r="HZ84" s="1997"/>
      <c r="IA84" s="1997"/>
      <c r="IB84" s="1997"/>
      <c r="IC84" s="1997"/>
      <c r="ID84" s="1997"/>
      <c r="IE84" s="1997"/>
      <c r="IF84" s="1997"/>
      <c r="IG84" s="1997"/>
      <c r="IH84" s="1997"/>
      <c r="II84" s="1997"/>
      <c r="IJ84" s="1997"/>
      <c r="IK84" s="1997"/>
      <c r="IL84" s="1997"/>
      <c r="IM84" s="1997"/>
      <c r="IN84" s="1997"/>
      <c r="IO84" s="1997"/>
      <c r="IP84" s="1997"/>
      <c r="IQ84" s="1997"/>
    </row>
    <row r="85" spans="1:251" hidden="1">
      <c r="A85" s="1993"/>
      <c r="B85" s="1998"/>
      <c r="C85" s="1998"/>
      <c r="D85" s="2034"/>
      <c r="E85" s="1998"/>
      <c r="F85" s="1940">
        <f t="shared" si="32"/>
        <v>0</v>
      </c>
      <c r="G85" s="1993"/>
      <c r="H85" s="1940">
        <f t="shared" si="33"/>
        <v>0</v>
      </c>
      <c r="I85" s="1993"/>
      <c r="J85" s="1940">
        <f t="shared" si="34"/>
        <v>0</v>
      </c>
      <c r="K85" s="1993"/>
      <c r="L85" s="1940">
        <f t="shared" si="35"/>
        <v>0</v>
      </c>
      <c r="M85" s="1940">
        <f t="shared" si="36"/>
        <v>0</v>
      </c>
      <c r="N85" s="1940">
        <f t="shared" si="37"/>
        <v>0</v>
      </c>
      <c r="O85" s="1993"/>
      <c r="P85" s="1993"/>
      <c r="Q85" s="1940">
        <f t="shared" si="38"/>
        <v>0</v>
      </c>
      <c r="R85" s="1940">
        <f t="shared" si="39"/>
        <v>0</v>
      </c>
      <c r="S85" s="1940">
        <f t="shared" si="40"/>
        <v>0</v>
      </c>
      <c r="T85" s="1940">
        <f t="shared" si="41"/>
        <v>0</v>
      </c>
      <c r="U85" s="1940">
        <f t="shared" si="42"/>
        <v>0</v>
      </c>
      <c r="V85" s="1997"/>
      <c r="W85" s="1997"/>
      <c r="X85" s="1997"/>
      <c r="Y85" s="1997"/>
      <c r="Z85" s="1997"/>
      <c r="AA85" s="1997"/>
      <c r="AB85" s="1997"/>
      <c r="AC85" s="1997"/>
      <c r="AD85" s="1997"/>
      <c r="AE85" s="1997"/>
      <c r="AF85" s="1997"/>
      <c r="AG85" s="1997"/>
      <c r="AH85" s="1997"/>
      <c r="AI85" s="1997"/>
      <c r="AJ85" s="1997"/>
      <c r="AK85" s="1997"/>
      <c r="AL85" s="1997"/>
      <c r="AM85" s="1997"/>
      <c r="AN85" s="1997"/>
      <c r="AO85" s="1997"/>
      <c r="AP85" s="1997"/>
      <c r="AQ85" s="1997"/>
      <c r="AR85" s="1997"/>
      <c r="AS85" s="1997"/>
      <c r="AT85" s="1997"/>
      <c r="AU85" s="1997"/>
      <c r="AV85" s="1997"/>
      <c r="AW85" s="1997"/>
      <c r="AX85" s="1997"/>
      <c r="AY85" s="1997"/>
      <c r="AZ85" s="1997"/>
      <c r="BA85" s="1997"/>
      <c r="BB85" s="1997"/>
      <c r="BC85" s="1997"/>
      <c r="BD85" s="1997"/>
      <c r="BE85" s="1997"/>
      <c r="BF85" s="1997"/>
      <c r="BG85" s="1997"/>
      <c r="BH85" s="1997"/>
      <c r="BI85" s="1997"/>
      <c r="BJ85" s="1997"/>
      <c r="BK85" s="1997"/>
      <c r="BL85" s="1997"/>
      <c r="BM85" s="1997"/>
      <c r="BN85" s="1997"/>
      <c r="BO85" s="1997"/>
      <c r="BP85" s="1997"/>
      <c r="BQ85" s="1997"/>
      <c r="BR85" s="1997"/>
      <c r="BS85" s="1997"/>
      <c r="BT85" s="1997"/>
      <c r="BU85" s="1997"/>
      <c r="BV85" s="1997"/>
      <c r="BW85" s="1997"/>
      <c r="BX85" s="1997"/>
      <c r="BY85" s="1997"/>
      <c r="BZ85" s="1997"/>
      <c r="CA85" s="1997"/>
      <c r="CB85" s="1997"/>
      <c r="CC85" s="1997"/>
      <c r="CD85" s="1997"/>
      <c r="CE85" s="1997"/>
      <c r="CF85" s="1997"/>
      <c r="CG85" s="1997"/>
      <c r="CH85" s="1997"/>
      <c r="CI85" s="1997"/>
      <c r="CJ85" s="1997"/>
      <c r="CK85" s="1997"/>
      <c r="CL85" s="1997"/>
      <c r="CM85" s="1997"/>
      <c r="CN85" s="1997"/>
      <c r="CO85" s="1997"/>
      <c r="CP85" s="1997"/>
      <c r="CQ85" s="1997"/>
      <c r="CR85" s="1997"/>
      <c r="CS85" s="1997"/>
      <c r="CT85" s="1997"/>
      <c r="CU85" s="1997"/>
      <c r="CV85" s="1997"/>
      <c r="CW85" s="1997"/>
      <c r="CX85" s="1997"/>
      <c r="CY85" s="1997"/>
      <c r="CZ85" s="1997"/>
      <c r="DA85" s="1997"/>
      <c r="DB85" s="1997"/>
      <c r="DC85" s="1997"/>
      <c r="DD85" s="1997"/>
      <c r="DE85" s="1997"/>
      <c r="DF85" s="1997"/>
      <c r="DG85" s="1997"/>
      <c r="DH85" s="1997"/>
      <c r="DI85" s="1997"/>
      <c r="DJ85" s="1997"/>
      <c r="DK85" s="1997"/>
      <c r="DL85" s="1997"/>
      <c r="DM85" s="1997"/>
      <c r="DN85" s="1997"/>
      <c r="DO85" s="1997"/>
      <c r="DP85" s="1997"/>
      <c r="DQ85" s="1997"/>
      <c r="DR85" s="1997"/>
      <c r="DS85" s="1997"/>
      <c r="DT85" s="1997"/>
      <c r="DU85" s="1997"/>
      <c r="DV85" s="1997"/>
      <c r="DW85" s="1997"/>
      <c r="DX85" s="1997"/>
      <c r="DY85" s="1997"/>
      <c r="DZ85" s="1997"/>
      <c r="EA85" s="1997"/>
      <c r="EB85" s="1997"/>
      <c r="EC85" s="1997"/>
      <c r="ED85" s="1997"/>
      <c r="EE85" s="1997"/>
      <c r="EF85" s="1997"/>
      <c r="EG85" s="1997"/>
      <c r="EH85" s="1997"/>
      <c r="EI85" s="1997"/>
      <c r="EJ85" s="1997"/>
      <c r="EK85" s="1997"/>
      <c r="EL85" s="1997"/>
      <c r="EM85" s="1997"/>
      <c r="EN85" s="1997"/>
      <c r="EO85" s="1997"/>
      <c r="EP85" s="1997"/>
      <c r="EQ85" s="1997"/>
      <c r="ER85" s="1997"/>
      <c r="ES85" s="1997"/>
      <c r="ET85" s="1997"/>
      <c r="EU85" s="1997"/>
      <c r="EV85" s="1997"/>
      <c r="EW85" s="1997"/>
      <c r="EX85" s="1997"/>
      <c r="EY85" s="1997"/>
      <c r="EZ85" s="1997"/>
      <c r="FA85" s="1997"/>
      <c r="FB85" s="1997"/>
      <c r="FC85" s="1997"/>
      <c r="FD85" s="1997"/>
      <c r="FE85" s="1997"/>
      <c r="FF85" s="1997"/>
      <c r="FG85" s="1997"/>
      <c r="FH85" s="1997"/>
      <c r="FI85" s="1997"/>
      <c r="FJ85" s="1997"/>
      <c r="FK85" s="1997"/>
      <c r="FL85" s="1997"/>
      <c r="FM85" s="1997"/>
      <c r="FN85" s="1997"/>
      <c r="FO85" s="1997"/>
      <c r="FP85" s="1997"/>
      <c r="FQ85" s="1997"/>
      <c r="FR85" s="1997"/>
      <c r="FS85" s="1997"/>
      <c r="FT85" s="1997"/>
      <c r="FU85" s="1997"/>
      <c r="FV85" s="1997"/>
      <c r="FW85" s="1997"/>
      <c r="FX85" s="1997"/>
      <c r="FY85" s="1997"/>
      <c r="FZ85" s="1997"/>
      <c r="GA85" s="1997"/>
      <c r="GB85" s="1997"/>
      <c r="GC85" s="1997"/>
      <c r="GD85" s="1997"/>
      <c r="GE85" s="1997"/>
      <c r="GF85" s="1997"/>
      <c r="GG85" s="1997"/>
      <c r="GH85" s="1997"/>
      <c r="GI85" s="1997"/>
      <c r="GJ85" s="1997"/>
      <c r="GK85" s="1997"/>
      <c r="GL85" s="1997"/>
      <c r="GM85" s="1997"/>
      <c r="GN85" s="1997"/>
      <c r="GO85" s="1997"/>
      <c r="GP85" s="1997"/>
      <c r="GQ85" s="1997"/>
      <c r="GR85" s="1997"/>
      <c r="GS85" s="1997"/>
      <c r="GT85" s="1997"/>
      <c r="GU85" s="1997"/>
      <c r="GV85" s="1997"/>
      <c r="GW85" s="1997"/>
      <c r="GX85" s="1997"/>
      <c r="GY85" s="1997"/>
      <c r="GZ85" s="1997"/>
      <c r="HA85" s="1997"/>
      <c r="HB85" s="1997"/>
      <c r="HC85" s="1997"/>
      <c r="HD85" s="1997"/>
      <c r="HE85" s="1997"/>
      <c r="HF85" s="1997"/>
      <c r="HG85" s="1997"/>
      <c r="HH85" s="1997"/>
      <c r="HI85" s="1997"/>
      <c r="HJ85" s="1997"/>
      <c r="HK85" s="1997"/>
      <c r="HL85" s="1997"/>
      <c r="HM85" s="1997"/>
      <c r="HN85" s="1997"/>
      <c r="HO85" s="1997"/>
      <c r="HP85" s="1997"/>
      <c r="HQ85" s="1997"/>
      <c r="HR85" s="1997"/>
      <c r="HS85" s="1997"/>
      <c r="HT85" s="1997"/>
      <c r="HU85" s="1997"/>
      <c r="HV85" s="1997"/>
      <c r="HW85" s="1997"/>
      <c r="HX85" s="1997"/>
      <c r="HY85" s="1997"/>
      <c r="HZ85" s="1997"/>
      <c r="IA85" s="1997"/>
      <c r="IB85" s="1997"/>
      <c r="IC85" s="1997"/>
      <c r="ID85" s="1997"/>
      <c r="IE85" s="1997"/>
      <c r="IF85" s="1997"/>
      <c r="IG85" s="1997"/>
      <c r="IH85" s="1997"/>
      <c r="II85" s="1997"/>
      <c r="IJ85" s="1997"/>
      <c r="IK85" s="1997"/>
      <c r="IL85" s="1997"/>
      <c r="IM85" s="1997"/>
      <c r="IN85" s="1997"/>
      <c r="IO85" s="1997"/>
      <c r="IP85" s="1997"/>
      <c r="IQ85" s="1997"/>
    </row>
    <row r="86" spans="1:251" hidden="1">
      <c r="A86" s="1993"/>
      <c r="B86" s="1998"/>
      <c r="C86" s="1998"/>
      <c r="D86" s="2034"/>
      <c r="E86" s="1998"/>
      <c r="F86" s="1940">
        <f t="shared" si="32"/>
        <v>0</v>
      </c>
      <c r="G86" s="1993"/>
      <c r="H86" s="1940">
        <f t="shared" si="33"/>
        <v>0</v>
      </c>
      <c r="I86" s="1993"/>
      <c r="J86" s="1940">
        <f t="shared" si="34"/>
        <v>0</v>
      </c>
      <c r="K86" s="1993"/>
      <c r="L86" s="1940">
        <f t="shared" si="35"/>
        <v>0</v>
      </c>
      <c r="M86" s="1940">
        <f t="shared" si="36"/>
        <v>0</v>
      </c>
      <c r="N86" s="1940">
        <f t="shared" si="37"/>
        <v>0</v>
      </c>
      <c r="O86" s="1993"/>
      <c r="P86" s="1993"/>
      <c r="Q86" s="1940">
        <f t="shared" si="38"/>
        <v>0</v>
      </c>
      <c r="R86" s="1940">
        <f t="shared" si="39"/>
        <v>0</v>
      </c>
      <c r="S86" s="1940">
        <f t="shared" si="40"/>
        <v>0</v>
      </c>
      <c r="T86" s="1940">
        <f t="shared" si="41"/>
        <v>0</v>
      </c>
      <c r="U86" s="1940">
        <f t="shared" si="42"/>
        <v>0</v>
      </c>
      <c r="V86" s="1997"/>
      <c r="W86" s="1997"/>
      <c r="X86" s="1997"/>
      <c r="Y86" s="1997"/>
      <c r="Z86" s="1997"/>
      <c r="AA86" s="1997"/>
      <c r="AB86" s="1997"/>
      <c r="AC86" s="1997"/>
      <c r="AD86" s="1997"/>
      <c r="AE86" s="1997"/>
      <c r="AF86" s="1997"/>
      <c r="AG86" s="1997"/>
      <c r="AH86" s="1997"/>
      <c r="AI86" s="1997"/>
      <c r="AJ86" s="1997"/>
      <c r="AK86" s="1997"/>
      <c r="AL86" s="1997"/>
      <c r="AM86" s="1997"/>
      <c r="AN86" s="1997"/>
      <c r="AO86" s="1997"/>
      <c r="AP86" s="1997"/>
      <c r="AQ86" s="1997"/>
      <c r="AR86" s="1997"/>
      <c r="AS86" s="1997"/>
      <c r="AT86" s="1997"/>
      <c r="AU86" s="1997"/>
      <c r="AV86" s="1997"/>
      <c r="AW86" s="1997"/>
      <c r="AX86" s="1997"/>
      <c r="AY86" s="1997"/>
      <c r="AZ86" s="1997"/>
      <c r="BA86" s="1997"/>
      <c r="BB86" s="1997"/>
      <c r="BC86" s="1997"/>
      <c r="BD86" s="1997"/>
      <c r="BE86" s="1997"/>
      <c r="BF86" s="1997"/>
      <c r="BG86" s="1997"/>
      <c r="BH86" s="1997"/>
      <c r="BI86" s="1997"/>
      <c r="BJ86" s="1997"/>
      <c r="BK86" s="1997"/>
      <c r="BL86" s="1997"/>
      <c r="BM86" s="1997"/>
      <c r="BN86" s="1997"/>
      <c r="BO86" s="1997"/>
      <c r="BP86" s="1997"/>
      <c r="BQ86" s="1997"/>
      <c r="BR86" s="1997"/>
      <c r="BS86" s="1997"/>
      <c r="BT86" s="1997"/>
      <c r="BU86" s="1997"/>
      <c r="BV86" s="1997"/>
      <c r="BW86" s="1997"/>
      <c r="BX86" s="1997"/>
      <c r="BY86" s="1997"/>
      <c r="BZ86" s="1997"/>
      <c r="CA86" s="1997"/>
      <c r="CB86" s="1997"/>
      <c r="CC86" s="1997"/>
      <c r="CD86" s="1997"/>
      <c r="CE86" s="1997"/>
      <c r="CF86" s="1997"/>
      <c r="CG86" s="1997"/>
      <c r="CH86" s="1997"/>
      <c r="CI86" s="1997"/>
      <c r="CJ86" s="1997"/>
      <c r="CK86" s="1997"/>
      <c r="CL86" s="1997"/>
      <c r="CM86" s="1997"/>
      <c r="CN86" s="1997"/>
      <c r="CO86" s="1997"/>
      <c r="CP86" s="1997"/>
      <c r="CQ86" s="1997"/>
      <c r="CR86" s="1997"/>
      <c r="CS86" s="1997"/>
      <c r="CT86" s="1997"/>
      <c r="CU86" s="1997"/>
      <c r="CV86" s="1997"/>
      <c r="CW86" s="1997"/>
      <c r="CX86" s="1997"/>
      <c r="CY86" s="1997"/>
      <c r="CZ86" s="1997"/>
      <c r="DA86" s="1997"/>
      <c r="DB86" s="1997"/>
      <c r="DC86" s="1997"/>
      <c r="DD86" s="1997"/>
      <c r="DE86" s="1997"/>
      <c r="DF86" s="1997"/>
      <c r="DG86" s="1997"/>
      <c r="DH86" s="1997"/>
      <c r="DI86" s="1997"/>
      <c r="DJ86" s="1997"/>
      <c r="DK86" s="1997"/>
      <c r="DL86" s="1997"/>
      <c r="DM86" s="1997"/>
      <c r="DN86" s="1997"/>
      <c r="DO86" s="1997"/>
      <c r="DP86" s="1997"/>
      <c r="DQ86" s="1997"/>
      <c r="DR86" s="1997"/>
      <c r="DS86" s="1997"/>
      <c r="DT86" s="1997"/>
      <c r="DU86" s="1997"/>
      <c r="DV86" s="1997"/>
      <c r="DW86" s="1997"/>
      <c r="DX86" s="1997"/>
      <c r="DY86" s="1997"/>
      <c r="DZ86" s="1997"/>
      <c r="EA86" s="1997"/>
      <c r="EB86" s="1997"/>
      <c r="EC86" s="1997"/>
      <c r="ED86" s="1997"/>
      <c r="EE86" s="1997"/>
      <c r="EF86" s="1997"/>
      <c r="EG86" s="1997"/>
      <c r="EH86" s="1997"/>
      <c r="EI86" s="1997"/>
      <c r="EJ86" s="1997"/>
      <c r="EK86" s="1997"/>
      <c r="EL86" s="1997"/>
      <c r="EM86" s="1997"/>
      <c r="EN86" s="1997"/>
      <c r="EO86" s="1997"/>
      <c r="EP86" s="1997"/>
      <c r="EQ86" s="1997"/>
      <c r="ER86" s="1997"/>
      <c r="ES86" s="1997"/>
      <c r="ET86" s="1997"/>
      <c r="EU86" s="1997"/>
      <c r="EV86" s="1997"/>
      <c r="EW86" s="1997"/>
      <c r="EX86" s="1997"/>
      <c r="EY86" s="1997"/>
      <c r="EZ86" s="1997"/>
      <c r="FA86" s="1997"/>
      <c r="FB86" s="1997"/>
      <c r="FC86" s="1997"/>
      <c r="FD86" s="1997"/>
      <c r="FE86" s="1997"/>
      <c r="FF86" s="1997"/>
      <c r="FG86" s="1997"/>
      <c r="FH86" s="1997"/>
      <c r="FI86" s="1997"/>
      <c r="FJ86" s="1997"/>
      <c r="FK86" s="1997"/>
      <c r="FL86" s="1997"/>
      <c r="FM86" s="1997"/>
      <c r="FN86" s="1997"/>
      <c r="FO86" s="1997"/>
      <c r="FP86" s="1997"/>
      <c r="FQ86" s="1997"/>
      <c r="FR86" s="1997"/>
      <c r="FS86" s="1997"/>
      <c r="FT86" s="1997"/>
      <c r="FU86" s="1997"/>
      <c r="FV86" s="1997"/>
      <c r="FW86" s="1997"/>
      <c r="FX86" s="1997"/>
      <c r="FY86" s="1997"/>
      <c r="FZ86" s="1997"/>
      <c r="GA86" s="1997"/>
      <c r="GB86" s="1997"/>
      <c r="GC86" s="1997"/>
      <c r="GD86" s="1997"/>
      <c r="GE86" s="1997"/>
      <c r="GF86" s="1997"/>
      <c r="GG86" s="1997"/>
      <c r="GH86" s="1997"/>
      <c r="GI86" s="1997"/>
      <c r="GJ86" s="1997"/>
      <c r="GK86" s="1997"/>
      <c r="GL86" s="1997"/>
      <c r="GM86" s="1997"/>
      <c r="GN86" s="1997"/>
      <c r="GO86" s="1997"/>
      <c r="GP86" s="1997"/>
      <c r="GQ86" s="1997"/>
      <c r="GR86" s="1997"/>
      <c r="GS86" s="1997"/>
      <c r="GT86" s="1997"/>
      <c r="GU86" s="1997"/>
      <c r="GV86" s="1997"/>
      <c r="GW86" s="1997"/>
      <c r="GX86" s="1997"/>
      <c r="GY86" s="1997"/>
      <c r="GZ86" s="1997"/>
      <c r="HA86" s="1997"/>
      <c r="HB86" s="1997"/>
      <c r="HC86" s="1997"/>
      <c r="HD86" s="1997"/>
      <c r="HE86" s="1997"/>
      <c r="HF86" s="1997"/>
      <c r="HG86" s="1997"/>
      <c r="HH86" s="1997"/>
      <c r="HI86" s="1997"/>
      <c r="HJ86" s="1997"/>
      <c r="HK86" s="1997"/>
      <c r="HL86" s="1997"/>
      <c r="HM86" s="1997"/>
      <c r="HN86" s="1997"/>
      <c r="HO86" s="1997"/>
      <c r="HP86" s="1997"/>
      <c r="HQ86" s="1997"/>
      <c r="HR86" s="1997"/>
      <c r="HS86" s="1997"/>
      <c r="HT86" s="1997"/>
      <c r="HU86" s="1997"/>
      <c r="HV86" s="1997"/>
      <c r="HW86" s="1997"/>
      <c r="HX86" s="1997"/>
      <c r="HY86" s="1997"/>
      <c r="HZ86" s="1997"/>
      <c r="IA86" s="1997"/>
      <c r="IB86" s="1997"/>
      <c r="IC86" s="1997"/>
      <c r="ID86" s="1997"/>
      <c r="IE86" s="1997"/>
      <c r="IF86" s="1997"/>
      <c r="IG86" s="1997"/>
      <c r="IH86" s="1997"/>
      <c r="II86" s="1997"/>
      <c r="IJ86" s="1997"/>
      <c r="IK86" s="1997"/>
      <c r="IL86" s="1997"/>
      <c r="IM86" s="1997"/>
      <c r="IN86" s="1997"/>
      <c r="IO86" s="1997"/>
      <c r="IP86" s="1997"/>
      <c r="IQ86" s="1997"/>
    </row>
    <row r="87" spans="1:251" hidden="1">
      <c r="A87" s="1993"/>
      <c r="B87" s="1998"/>
      <c r="C87" s="1998"/>
      <c r="D87" s="2034"/>
      <c r="E87" s="1998"/>
      <c r="F87" s="1940">
        <f t="shared" si="32"/>
        <v>0</v>
      </c>
      <c r="G87" s="1993"/>
      <c r="H87" s="1940">
        <f t="shared" si="33"/>
        <v>0</v>
      </c>
      <c r="I87" s="1993"/>
      <c r="J87" s="1940">
        <f t="shared" si="34"/>
        <v>0</v>
      </c>
      <c r="K87" s="1993"/>
      <c r="L87" s="1940">
        <f t="shared" si="35"/>
        <v>0</v>
      </c>
      <c r="M87" s="1940">
        <f t="shared" si="36"/>
        <v>0</v>
      </c>
      <c r="N87" s="1940">
        <f t="shared" si="37"/>
        <v>0</v>
      </c>
      <c r="O87" s="1993"/>
      <c r="P87" s="1993"/>
      <c r="Q87" s="1940">
        <f t="shared" si="38"/>
        <v>0</v>
      </c>
      <c r="R87" s="1940">
        <f t="shared" si="39"/>
        <v>0</v>
      </c>
      <c r="S87" s="1940">
        <f t="shared" si="40"/>
        <v>0</v>
      </c>
      <c r="T87" s="1940">
        <f t="shared" si="41"/>
        <v>0</v>
      </c>
      <c r="U87" s="1940">
        <f t="shared" si="42"/>
        <v>0</v>
      </c>
      <c r="V87" s="1997"/>
      <c r="W87" s="1997"/>
      <c r="X87" s="1997"/>
      <c r="Y87" s="1997"/>
      <c r="Z87" s="1997"/>
      <c r="AA87" s="1997"/>
      <c r="AB87" s="1997"/>
      <c r="AC87" s="1997"/>
      <c r="AD87" s="1997"/>
      <c r="AE87" s="1997"/>
      <c r="AF87" s="1997"/>
      <c r="AG87" s="1997"/>
      <c r="AH87" s="1997"/>
      <c r="AI87" s="1997"/>
      <c r="AJ87" s="1997"/>
      <c r="AK87" s="1997"/>
      <c r="AL87" s="1997"/>
      <c r="AM87" s="1997"/>
      <c r="AN87" s="1997"/>
      <c r="AO87" s="1997"/>
      <c r="AP87" s="1997"/>
      <c r="AQ87" s="1997"/>
      <c r="AR87" s="1997"/>
      <c r="AS87" s="1997"/>
      <c r="AT87" s="1997"/>
      <c r="AU87" s="1997"/>
      <c r="AV87" s="1997"/>
      <c r="AW87" s="1997"/>
      <c r="AX87" s="1997"/>
      <c r="AY87" s="1997"/>
      <c r="AZ87" s="1997"/>
      <c r="BA87" s="1997"/>
      <c r="BB87" s="1997"/>
      <c r="BC87" s="1997"/>
      <c r="BD87" s="1997"/>
      <c r="BE87" s="1997"/>
      <c r="BF87" s="1997"/>
      <c r="BG87" s="1997"/>
      <c r="BH87" s="1997"/>
      <c r="BI87" s="1997"/>
      <c r="BJ87" s="1997"/>
      <c r="BK87" s="1997"/>
      <c r="BL87" s="1997"/>
      <c r="BM87" s="1997"/>
      <c r="BN87" s="1997"/>
      <c r="BO87" s="1997"/>
      <c r="BP87" s="1997"/>
      <c r="BQ87" s="1997"/>
      <c r="BR87" s="1997"/>
      <c r="BS87" s="1997"/>
      <c r="BT87" s="1997"/>
      <c r="BU87" s="1997"/>
      <c r="BV87" s="1997"/>
      <c r="BW87" s="1997"/>
      <c r="BX87" s="1997"/>
      <c r="BY87" s="1997"/>
      <c r="BZ87" s="1997"/>
      <c r="CA87" s="1997"/>
      <c r="CB87" s="1997"/>
      <c r="CC87" s="1997"/>
      <c r="CD87" s="1997"/>
      <c r="CE87" s="1997"/>
      <c r="CF87" s="1997"/>
      <c r="CG87" s="1997"/>
      <c r="CH87" s="1997"/>
      <c r="CI87" s="1997"/>
      <c r="CJ87" s="1997"/>
      <c r="CK87" s="1997"/>
      <c r="CL87" s="1997"/>
      <c r="CM87" s="1997"/>
      <c r="CN87" s="1997"/>
      <c r="CO87" s="1997"/>
      <c r="CP87" s="1997"/>
      <c r="CQ87" s="1997"/>
      <c r="CR87" s="1997"/>
      <c r="CS87" s="1997"/>
      <c r="CT87" s="1997"/>
      <c r="CU87" s="1997"/>
      <c r="CV87" s="1997"/>
      <c r="CW87" s="1997"/>
      <c r="CX87" s="1997"/>
      <c r="CY87" s="1997"/>
      <c r="CZ87" s="1997"/>
      <c r="DA87" s="1997"/>
      <c r="DB87" s="1997"/>
      <c r="DC87" s="1997"/>
      <c r="DD87" s="1997"/>
      <c r="DE87" s="1997"/>
      <c r="DF87" s="1997"/>
      <c r="DG87" s="1997"/>
      <c r="DH87" s="1997"/>
      <c r="DI87" s="1997"/>
      <c r="DJ87" s="1997"/>
      <c r="DK87" s="1997"/>
      <c r="DL87" s="1997"/>
      <c r="DM87" s="1997"/>
      <c r="DN87" s="1997"/>
      <c r="DO87" s="1997"/>
      <c r="DP87" s="1997"/>
      <c r="DQ87" s="1997"/>
      <c r="DR87" s="1997"/>
      <c r="DS87" s="1997"/>
      <c r="DT87" s="1997"/>
      <c r="DU87" s="1997"/>
      <c r="DV87" s="1997"/>
      <c r="DW87" s="1997"/>
      <c r="DX87" s="1997"/>
      <c r="DY87" s="1997"/>
      <c r="DZ87" s="1997"/>
      <c r="EA87" s="1997"/>
      <c r="EB87" s="1997"/>
      <c r="EC87" s="1997"/>
      <c r="ED87" s="1997"/>
      <c r="EE87" s="1997"/>
      <c r="EF87" s="1997"/>
      <c r="EG87" s="1997"/>
      <c r="EH87" s="1997"/>
      <c r="EI87" s="1997"/>
      <c r="EJ87" s="1997"/>
      <c r="EK87" s="1997"/>
      <c r="EL87" s="1997"/>
      <c r="EM87" s="1997"/>
      <c r="EN87" s="1997"/>
      <c r="EO87" s="1997"/>
      <c r="EP87" s="1997"/>
      <c r="EQ87" s="1997"/>
      <c r="ER87" s="1997"/>
      <c r="ES87" s="1997"/>
      <c r="ET87" s="1997"/>
      <c r="EU87" s="1997"/>
      <c r="EV87" s="1997"/>
      <c r="EW87" s="1997"/>
      <c r="EX87" s="1997"/>
      <c r="EY87" s="1997"/>
      <c r="EZ87" s="1997"/>
      <c r="FA87" s="1997"/>
      <c r="FB87" s="1997"/>
      <c r="FC87" s="1997"/>
      <c r="FD87" s="1997"/>
      <c r="FE87" s="1997"/>
      <c r="FF87" s="1997"/>
      <c r="FG87" s="1997"/>
      <c r="FH87" s="1997"/>
      <c r="FI87" s="1997"/>
      <c r="FJ87" s="1997"/>
      <c r="FK87" s="1997"/>
      <c r="FL87" s="1997"/>
      <c r="FM87" s="1997"/>
      <c r="FN87" s="1997"/>
      <c r="FO87" s="1997"/>
      <c r="FP87" s="1997"/>
      <c r="FQ87" s="1997"/>
      <c r="FR87" s="1997"/>
      <c r="FS87" s="1997"/>
      <c r="FT87" s="1997"/>
      <c r="FU87" s="1997"/>
      <c r="FV87" s="1997"/>
      <c r="FW87" s="1997"/>
      <c r="FX87" s="1997"/>
      <c r="FY87" s="1997"/>
      <c r="FZ87" s="1997"/>
      <c r="GA87" s="1997"/>
      <c r="GB87" s="1997"/>
      <c r="GC87" s="1997"/>
      <c r="GD87" s="1997"/>
      <c r="GE87" s="1997"/>
      <c r="GF87" s="1997"/>
      <c r="GG87" s="1997"/>
      <c r="GH87" s="1997"/>
      <c r="GI87" s="1997"/>
      <c r="GJ87" s="1997"/>
      <c r="GK87" s="1997"/>
      <c r="GL87" s="1997"/>
      <c r="GM87" s="1997"/>
      <c r="GN87" s="1997"/>
      <c r="GO87" s="1997"/>
      <c r="GP87" s="1997"/>
      <c r="GQ87" s="1997"/>
      <c r="GR87" s="1997"/>
      <c r="GS87" s="1997"/>
      <c r="GT87" s="1997"/>
      <c r="GU87" s="1997"/>
      <c r="GV87" s="1997"/>
      <c r="GW87" s="1997"/>
      <c r="GX87" s="1997"/>
      <c r="GY87" s="1997"/>
      <c r="GZ87" s="1997"/>
      <c r="HA87" s="1997"/>
      <c r="HB87" s="1997"/>
      <c r="HC87" s="1997"/>
      <c r="HD87" s="1997"/>
      <c r="HE87" s="1997"/>
      <c r="HF87" s="1997"/>
      <c r="HG87" s="1997"/>
      <c r="HH87" s="1997"/>
      <c r="HI87" s="1997"/>
      <c r="HJ87" s="1997"/>
      <c r="HK87" s="1997"/>
      <c r="HL87" s="1997"/>
      <c r="HM87" s="1997"/>
      <c r="HN87" s="1997"/>
      <c r="HO87" s="1997"/>
      <c r="HP87" s="1997"/>
      <c r="HQ87" s="1997"/>
      <c r="HR87" s="1997"/>
      <c r="HS87" s="1997"/>
      <c r="HT87" s="1997"/>
      <c r="HU87" s="1997"/>
      <c r="HV87" s="1997"/>
      <c r="HW87" s="1997"/>
      <c r="HX87" s="1997"/>
      <c r="HY87" s="1997"/>
      <c r="HZ87" s="1997"/>
      <c r="IA87" s="1997"/>
      <c r="IB87" s="1997"/>
      <c r="IC87" s="1997"/>
      <c r="ID87" s="1997"/>
      <c r="IE87" s="1997"/>
      <c r="IF87" s="1997"/>
      <c r="IG87" s="1997"/>
      <c r="IH87" s="1997"/>
      <c r="II87" s="1997"/>
      <c r="IJ87" s="1997"/>
      <c r="IK87" s="1997"/>
      <c r="IL87" s="1997"/>
      <c r="IM87" s="1997"/>
      <c r="IN87" s="1997"/>
      <c r="IO87" s="1997"/>
      <c r="IP87" s="1997"/>
      <c r="IQ87" s="1997"/>
    </row>
    <row r="88" spans="1:251" hidden="1">
      <c r="A88" s="1993"/>
      <c r="B88" s="1998"/>
      <c r="C88" s="1998"/>
      <c r="D88" s="2034"/>
      <c r="E88" s="1998"/>
      <c r="F88" s="1940">
        <f t="shared" si="32"/>
        <v>0</v>
      </c>
      <c r="G88" s="1993"/>
      <c r="H88" s="1940">
        <f t="shared" si="33"/>
        <v>0</v>
      </c>
      <c r="I88" s="1993"/>
      <c r="J88" s="1940">
        <f t="shared" si="34"/>
        <v>0</v>
      </c>
      <c r="K88" s="1993"/>
      <c r="L88" s="1940">
        <f t="shared" si="35"/>
        <v>0</v>
      </c>
      <c r="M88" s="1940">
        <f t="shared" si="36"/>
        <v>0</v>
      </c>
      <c r="N88" s="1940">
        <f t="shared" si="37"/>
        <v>0</v>
      </c>
      <c r="O88" s="1993"/>
      <c r="P88" s="1993"/>
      <c r="Q88" s="1940">
        <f t="shared" si="38"/>
        <v>0</v>
      </c>
      <c r="R88" s="1940">
        <f t="shared" si="39"/>
        <v>0</v>
      </c>
      <c r="S88" s="1940">
        <f t="shared" si="40"/>
        <v>0</v>
      </c>
      <c r="T88" s="1940">
        <f t="shared" si="41"/>
        <v>0</v>
      </c>
      <c r="U88" s="1940">
        <f t="shared" si="42"/>
        <v>0</v>
      </c>
      <c r="V88" s="1997"/>
      <c r="W88" s="1997"/>
      <c r="X88" s="1997"/>
      <c r="Y88" s="1997"/>
      <c r="Z88" s="1997"/>
      <c r="AA88" s="1997"/>
      <c r="AB88" s="1997"/>
      <c r="AC88" s="1997"/>
      <c r="AD88" s="1997"/>
      <c r="AE88" s="1997"/>
      <c r="AF88" s="1997"/>
      <c r="AG88" s="1997"/>
      <c r="AH88" s="1997"/>
      <c r="AI88" s="1997"/>
      <c r="AJ88" s="1997"/>
      <c r="AK88" s="1997"/>
      <c r="AL88" s="1997"/>
      <c r="AM88" s="1997"/>
      <c r="AN88" s="1997"/>
      <c r="AO88" s="1997"/>
      <c r="AP88" s="1997"/>
      <c r="AQ88" s="1997"/>
      <c r="AR88" s="1997"/>
      <c r="AS88" s="1997"/>
      <c r="AT88" s="1997"/>
      <c r="AU88" s="1997"/>
      <c r="AV88" s="1997"/>
      <c r="AW88" s="1997"/>
      <c r="AX88" s="1997"/>
      <c r="AY88" s="1997"/>
      <c r="AZ88" s="1997"/>
      <c r="BA88" s="1997"/>
      <c r="BB88" s="1997"/>
      <c r="BC88" s="1997"/>
      <c r="BD88" s="1997"/>
      <c r="BE88" s="1997"/>
      <c r="BF88" s="1997"/>
      <c r="BG88" s="1997"/>
      <c r="BH88" s="1997"/>
      <c r="BI88" s="1997"/>
      <c r="BJ88" s="1997"/>
      <c r="BK88" s="1997"/>
      <c r="BL88" s="1997"/>
      <c r="BM88" s="1997"/>
      <c r="BN88" s="1997"/>
      <c r="BO88" s="1997"/>
      <c r="BP88" s="1997"/>
      <c r="BQ88" s="1997"/>
      <c r="BR88" s="1997"/>
      <c r="BS88" s="1997"/>
      <c r="BT88" s="1997"/>
      <c r="BU88" s="1997"/>
      <c r="BV88" s="1997"/>
      <c r="BW88" s="1997"/>
      <c r="BX88" s="1997"/>
      <c r="BY88" s="1997"/>
      <c r="BZ88" s="1997"/>
      <c r="CA88" s="1997"/>
      <c r="CB88" s="1997"/>
      <c r="CC88" s="1997"/>
      <c r="CD88" s="1997"/>
      <c r="CE88" s="1997"/>
      <c r="CF88" s="1997"/>
      <c r="CG88" s="1997"/>
      <c r="CH88" s="1997"/>
      <c r="CI88" s="1997"/>
      <c r="CJ88" s="1997"/>
      <c r="CK88" s="1997"/>
      <c r="CL88" s="1997"/>
      <c r="CM88" s="1997"/>
      <c r="CN88" s="1997"/>
      <c r="CO88" s="1997"/>
      <c r="CP88" s="1997"/>
      <c r="CQ88" s="1997"/>
      <c r="CR88" s="1997"/>
      <c r="CS88" s="1997"/>
      <c r="CT88" s="1997"/>
      <c r="CU88" s="1997"/>
      <c r="CV88" s="1997"/>
      <c r="CW88" s="1997"/>
      <c r="CX88" s="1997"/>
      <c r="CY88" s="1997"/>
      <c r="CZ88" s="1997"/>
      <c r="DA88" s="1997"/>
      <c r="DB88" s="1997"/>
      <c r="DC88" s="1997"/>
      <c r="DD88" s="1997"/>
      <c r="DE88" s="1997"/>
      <c r="DF88" s="1997"/>
      <c r="DG88" s="1997"/>
      <c r="DH88" s="1997"/>
      <c r="DI88" s="1997"/>
      <c r="DJ88" s="1997"/>
      <c r="DK88" s="1997"/>
      <c r="DL88" s="1997"/>
      <c r="DM88" s="1997"/>
      <c r="DN88" s="1997"/>
      <c r="DO88" s="1997"/>
      <c r="DP88" s="1997"/>
      <c r="DQ88" s="1997"/>
      <c r="DR88" s="1997"/>
      <c r="DS88" s="1997"/>
      <c r="DT88" s="1997"/>
      <c r="DU88" s="1997"/>
      <c r="DV88" s="1997"/>
      <c r="DW88" s="1997"/>
      <c r="DX88" s="1997"/>
      <c r="DY88" s="1997"/>
      <c r="DZ88" s="1997"/>
      <c r="EA88" s="1997"/>
      <c r="EB88" s="1997"/>
      <c r="EC88" s="1997"/>
      <c r="ED88" s="1997"/>
      <c r="EE88" s="1997"/>
      <c r="EF88" s="1997"/>
      <c r="EG88" s="1997"/>
      <c r="EH88" s="1997"/>
      <c r="EI88" s="1997"/>
      <c r="EJ88" s="1997"/>
      <c r="EK88" s="1997"/>
      <c r="EL88" s="1997"/>
      <c r="EM88" s="1997"/>
      <c r="EN88" s="1997"/>
      <c r="EO88" s="1997"/>
      <c r="EP88" s="1997"/>
      <c r="EQ88" s="1997"/>
      <c r="ER88" s="1997"/>
      <c r="ES88" s="1997"/>
      <c r="ET88" s="1997"/>
      <c r="EU88" s="1997"/>
      <c r="EV88" s="1997"/>
      <c r="EW88" s="1997"/>
      <c r="EX88" s="1997"/>
      <c r="EY88" s="1997"/>
      <c r="EZ88" s="1997"/>
      <c r="FA88" s="1997"/>
      <c r="FB88" s="1997"/>
      <c r="FC88" s="1997"/>
      <c r="FD88" s="1997"/>
      <c r="FE88" s="1997"/>
      <c r="FF88" s="1997"/>
      <c r="FG88" s="1997"/>
      <c r="FH88" s="1997"/>
      <c r="FI88" s="1997"/>
      <c r="FJ88" s="1997"/>
      <c r="FK88" s="1997"/>
      <c r="FL88" s="1997"/>
      <c r="FM88" s="1997"/>
      <c r="FN88" s="1997"/>
      <c r="FO88" s="1997"/>
      <c r="FP88" s="1997"/>
      <c r="FQ88" s="1997"/>
      <c r="FR88" s="1997"/>
      <c r="FS88" s="1997"/>
      <c r="FT88" s="1997"/>
      <c r="FU88" s="1997"/>
      <c r="FV88" s="1997"/>
      <c r="FW88" s="1997"/>
      <c r="FX88" s="1997"/>
      <c r="FY88" s="1997"/>
      <c r="FZ88" s="1997"/>
      <c r="GA88" s="1997"/>
      <c r="GB88" s="1997"/>
      <c r="GC88" s="1997"/>
      <c r="GD88" s="1997"/>
      <c r="GE88" s="1997"/>
      <c r="GF88" s="1997"/>
      <c r="GG88" s="1997"/>
      <c r="GH88" s="1997"/>
      <c r="GI88" s="1997"/>
      <c r="GJ88" s="1997"/>
      <c r="GK88" s="1997"/>
      <c r="GL88" s="1997"/>
      <c r="GM88" s="1997"/>
      <c r="GN88" s="1997"/>
      <c r="GO88" s="1997"/>
      <c r="GP88" s="1997"/>
      <c r="GQ88" s="1997"/>
      <c r="GR88" s="1997"/>
      <c r="GS88" s="1997"/>
      <c r="GT88" s="1997"/>
      <c r="GU88" s="1997"/>
      <c r="GV88" s="1997"/>
      <c r="GW88" s="1997"/>
      <c r="GX88" s="1997"/>
      <c r="GY88" s="1997"/>
      <c r="GZ88" s="1997"/>
      <c r="HA88" s="1997"/>
      <c r="HB88" s="1997"/>
      <c r="HC88" s="1997"/>
      <c r="HD88" s="1997"/>
      <c r="HE88" s="1997"/>
      <c r="HF88" s="1997"/>
      <c r="HG88" s="1997"/>
      <c r="HH88" s="1997"/>
      <c r="HI88" s="1997"/>
      <c r="HJ88" s="1997"/>
      <c r="HK88" s="1997"/>
      <c r="HL88" s="1997"/>
      <c r="HM88" s="1997"/>
      <c r="HN88" s="1997"/>
      <c r="HO88" s="1997"/>
      <c r="HP88" s="1997"/>
      <c r="HQ88" s="1997"/>
      <c r="HR88" s="1997"/>
      <c r="HS88" s="1997"/>
      <c r="HT88" s="1997"/>
      <c r="HU88" s="1997"/>
      <c r="HV88" s="1997"/>
      <c r="HW88" s="1997"/>
      <c r="HX88" s="1997"/>
      <c r="HY88" s="1997"/>
      <c r="HZ88" s="1997"/>
      <c r="IA88" s="1997"/>
      <c r="IB88" s="1997"/>
      <c r="IC88" s="1997"/>
      <c r="ID88" s="1997"/>
      <c r="IE88" s="1997"/>
      <c r="IF88" s="1997"/>
      <c r="IG88" s="1997"/>
      <c r="IH88" s="1997"/>
      <c r="II88" s="1997"/>
      <c r="IJ88" s="1997"/>
      <c r="IK88" s="1997"/>
      <c r="IL88" s="1997"/>
      <c r="IM88" s="1997"/>
      <c r="IN88" s="1997"/>
      <c r="IO88" s="1997"/>
      <c r="IP88" s="1997"/>
      <c r="IQ88" s="1997"/>
    </row>
    <row r="89" spans="1:251" hidden="1">
      <c r="A89" s="1993"/>
      <c r="B89" s="1998"/>
      <c r="C89" s="1998"/>
      <c r="D89" s="2034"/>
      <c r="E89" s="1998"/>
      <c r="F89" s="1940">
        <f t="shared" si="32"/>
        <v>0</v>
      </c>
      <c r="G89" s="1993"/>
      <c r="H89" s="1940">
        <f t="shared" si="33"/>
        <v>0</v>
      </c>
      <c r="I89" s="1993"/>
      <c r="J89" s="1940">
        <f t="shared" si="34"/>
        <v>0</v>
      </c>
      <c r="K89" s="1993"/>
      <c r="L89" s="1940">
        <f t="shared" si="35"/>
        <v>0</v>
      </c>
      <c r="M89" s="1940">
        <f t="shared" si="36"/>
        <v>0</v>
      </c>
      <c r="N89" s="1940">
        <f t="shared" si="37"/>
        <v>0</v>
      </c>
      <c r="O89" s="1993"/>
      <c r="P89" s="1993"/>
      <c r="Q89" s="1940">
        <f t="shared" si="38"/>
        <v>0</v>
      </c>
      <c r="R89" s="1940">
        <f t="shared" si="39"/>
        <v>0</v>
      </c>
      <c r="S89" s="1940">
        <f t="shared" si="40"/>
        <v>0</v>
      </c>
      <c r="T89" s="1940">
        <f t="shared" si="41"/>
        <v>0</v>
      </c>
      <c r="U89" s="1940">
        <f t="shared" si="42"/>
        <v>0</v>
      </c>
      <c r="V89" s="1997"/>
      <c r="W89" s="1997"/>
      <c r="X89" s="1997"/>
      <c r="Y89" s="1997"/>
      <c r="Z89" s="1997"/>
      <c r="AA89" s="1997"/>
      <c r="AB89" s="1997"/>
      <c r="AC89" s="1997"/>
      <c r="AD89" s="1997"/>
      <c r="AE89" s="1997"/>
      <c r="AF89" s="1997"/>
      <c r="AG89" s="1997"/>
      <c r="AH89" s="1997"/>
      <c r="AI89" s="1997"/>
      <c r="AJ89" s="1997"/>
      <c r="AK89" s="1997"/>
      <c r="AL89" s="1997"/>
      <c r="AM89" s="1997"/>
      <c r="AN89" s="1997"/>
      <c r="AO89" s="1997"/>
      <c r="AP89" s="1997"/>
      <c r="AQ89" s="1997"/>
      <c r="AR89" s="1997"/>
      <c r="AS89" s="1997"/>
      <c r="AT89" s="1997"/>
      <c r="AU89" s="1997"/>
      <c r="AV89" s="1997"/>
      <c r="AW89" s="1997"/>
      <c r="AX89" s="1997"/>
      <c r="AY89" s="1997"/>
      <c r="AZ89" s="1997"/>
      <c r="BA89" s="1997"/>
      <c r="BB89" s="1997"/>
      <c r="BC89" s="1997"/>
      <c r="BD89" s="1997"/>
      <c r="BE89" s="1997"/>
      <c r="BF89" s="1997"/>
      <c r="BG89" s="1997"/>
      <c r="BH89" s="1997"/>
      <c r="BI89" s="1997"/>
      <c r="BJ89" s="1997"/>
      <c r="BK89" s="1997"/>
      <c r="BL89" s="1997"/>
      <c r="BM89" s="1997"/>
      <c r="BN89" s="1997"/>
      <c r="BO89" s="1997"/>
      <c r="BP89" s="1997"/>
      <c r="BQ89" s="1997"/>
      <c r="BR89" s="1997"/>
      <c r="BS89" s="1997"/>
      <c r="BT89" s="1997"/>
      <c r="BU89" s="1997"/>
      <c r="BV89" s="1997"/>
      <c r="BW89" s="1997"/>
      <c r="BX89" s="1997"/>
      <c r="BY89" s="1997"/>
      <c r="BZ89" s="1997"/>
      <c r="CA89" s="1997"/>
      <c r="CB89" s="1997"/>
      <c r="CC89" s="1997"/>
      <c r="CD89" s="1997"/>
      <c r="CE89" s="1997"/>
      <c r="CF89" s="1997"/>
      <c r="CG89" s="1997"/>
      <c r="CH89" s="1997"/>
      <c r="CI89" s="1997"/>
      <c r="CJ89" s="1997"/>
      <c r="CK89" s="1997"/>
      <c r="CL89" s="1997"/>
      <c r="CM89" s="1997"/>
      <c r="CN89" s="1997"/>
      <c r="CO89" s="1997"/>
      <c r="CP89" s="1997"/>
      <c r="CQ89" s="1997"/>
      <c r="CR89" s="1997"/>
      <c r="CS89" s="1997"/>
      <c r="CT89" s="1997"/>
      <c r="CU89" s="1997"/>
      <c r="CV89" s="1997"/>
      <c r="CW89" s="1997"/>
      <c r="CX89" s="1997"/>
      <c r="CY89" s="1997"/>
      <c r="CZ89" s="1997"/>
      <c r="DA89" s="1997"/>
      <c r="DB89" s="1997"/>
      <c r="DC89" s="1997"/>
      <c r="DD89" s="1997"/>
      <c r="DE89" s="1997"/>
      <c r="DF89" s="1997"/>
      <c r="DG89" s="1997"/>
      <c r="DH89" s="1997"/>
      <c r="DI89" s="1997"/>
      <c r="DJ89" s="1997"/>
      <c r="DK89" s="1997"/>
      <c r="DL89" s="1997"/>
      <c r="DM89" s="1997"/>
      <c r="DN89" s="1997"/>
      <c r="DO89" s="1997"/>
      <c r="DP89" s="1997"/>
      <c r="DQ89" s="1997"/>
      <c r="DR89" s="1997"/>
      <c r="DS89" s="1997"/>
      <c r="DT89" s="1997"/>
      <c r="DU89" s="1997"/>
      <c r="DV89" s="1997"/>
      <c r="DW89" s="1997"/>
      <c r="DX89" s="1997"/>
      <c r="DY89" s="1997"/>
      <c r="DZ89" s="1997"/>
      <c r="EA89" s="1997"/>
      <c r="EB89" s="1997"/>
      <c r="EC89" s="1997"/>
      <c r="ED89" s="1997"/>
      <c r="EE89" s="1997"/>
      <c r="EF89" s="1997"/>
      <c r="EG89" s="1997"/>
      <c r="EH89" s="1997"/>
      <c r="EI89" s="1997"/>
      <c r="EJ89" s="1997"/>
      <c r="EK89" s="1997"/>
      <c r="EL89" s="1997"/>
      <c r="EM89" s="1997"/>
      <c r="EN89" s="1997"/>
      <c r="EO89" s="1997"/>
      <c r="EP89" s="1997"/>
      <c r="EQ89" s="1997"/>
      <c r="ER89" s="1997"/>
      <c r="ES89" s="1997"/>
      <c r="ET89" s="1997"/>
      <c r="EU89" s="1997"/>
      <c r="EV89" s="1997"/>
      <c r="EW89" s="1997"/>
      <c r="EX89" s="1997"/>
      <c r="EY89" s="1997"/>
      <c r="EZ89" s="1997"/>
      <c r="FA89" s="1997"/>
      <c r="FB89" s="1997"/>
      <c r="FC89" s="1997"/>
      <c r="FD89" s="1997"/>
      <c r="FE89" s="1997"/>
      <c r="FF89" s="1997"/>
      <c r="FG89" s="1997"/>
      <c r="FH89" s="1997"/>
      <c r="FI89" s="1997"/>
      <c r="FJ89" s="1997"/>
      <c r="FK89" s="1997"/>
      <c r="FL89" s="1997"/>
      <c r="FM89" s="1997"/>
      <c r="FN89" s="1997"/>
      <c r="FO89" s="1997"/>
      <c r="FP89" s="1997"/>
      <c r="FQ89" s="1997"/>
      <c r="FR89" s="1997"/>
      <c r="FS89" s="1997"/>
      <c r="FT89" s="1997"/>
      <c r="FU89" s="1997"/>
      <c r="FV89" s="1997"/>
      <c r="FW89" s="1997"/>
      <c r="FX89" s="1997"/>
      <c r="FY89" s="1997"/>
      <c r="FZ89" s="1997"/>
      <c r="GA89" s="1997"/>
      <c r="GB89" s="1997"/>
      <c r="GC89" s="1997"/>
      <c r="GD89" s="1997"/>
      <c r="GE89" s="1997"/>
      <c r="GF89" s="1997"/>
      <c r="GG89" s="1997"/>
      <c r="GH89" s="1997"/>
      <c r="GI89" s="1997"/>
      <c r="GJ89" s="1997"/>
      <c r="GK89" s="1997"/>
      <c r="GL89" s="1997"/>
      <c r="GM89" s="1997"/>
      <c r="GN89" s="1997"/>
      <c r="GO89" s="1997"/>
      <c r="GP89" s="1997"/>
      <c r="GQ89" s="1997"/>
      <c r="GR89" s="1997"/>
      <c r="GS89" s="1997"/>
      <c r="GT89" s="1997"/>
      <c r="GU89" s="1997"/>
      <c r="GV89" s="1997"/>
      <c r="GW89" s="1997"/>
      <c r="GX89" s="1997"/>
      <c r="GY89" s="1997"/>
      <c r="GZ89" s="1997"/>
      <c r="HA89" s="1997"/>
      <c r="HB89" s="1997"/>
      <c r="HC89" s="1997"/>
      <c r="HD89" s="1997"/>
      <c r="HE89" s="1997"/>
      <c r="HF89" s="1997"/>
      <c r="HG89" s="1997"/>
      <c r="HH89" s="1997"/>
      <c r="HI89" s="1997"/>
      <c r="HJ89" s="1997"/>
      <c r="HK89" s="1997"/>
      <c r="HL89" s="1997"/>
      <c r="HM89" s="1997"/>
      <c r="HN89" s="1997"/>
      <c r="HO89" s="1997"/>
      <c r="HP89" s="1997"/>
      <c r="HQ89" s="1997"/>
      <c r="HR89" s="1997"/>
      <c r="HS89" s="1997"/>
      <c r="HT89" s="1997"/>
      <c r="HU89" s="1997"/>
      <c r="HV89" s="1997"/>
      <c r="HW89" s="1997"/>
      <c r="HX89" s="1997"/>
      <c r="HY89" s="1997"/>
      <c r="HZ89" s="1997"/>
      <c r="IA89" s="1997"/>
      <c r="IB89" s="1997"/>
      <c r="IC89" s="1997"/>
      <c r="ID89" s="1997"/>
      <c r="IE89" s="1997"/>
      <c r="IF89" s="1997"/>
      <c r="IG89" s="1997"/>
      <c r="IH89" s="1997"/>
      <c r="II89" s="1997"/>
      <c r="IJ89" s="1997"/>
      <c r="IK89" s="1997"/>
      <c r="IL89" s="1997"/>
      <c r="IM89" s="1997"/>
      <c r="IN89" s="1997"/>
      <c r="IO89" s="1997"/>
      <c r="IP89" s="1997"/>
      <c r="IQ89" s="1997"/>
    </row>
    <row r="90" spans="1:251" hidden="1">
      <c r="A90" s="1993"/>
      <c r="B90" s="1998"/>
      <c r="C90" s="1998"/>
      <c r="D90" s="2034"/>
      <c r="E90" s="1998"/>
      <c r="F90" s="1940">
        <f t="shared" si="32"/>
        <v>0</v>
      </c>
      <c r="G90" s="1993"/>
      <c r="H90" s="1940">
        <f t="shared" si="33"/>
        <v>0</v>
      </c>
      <c r="I90" s="1993"/>
      <c r="J90" s="1940">
        <f t="shared" si="34"/>
        <v>0</v>
      </c>
      <c r="K90" s="1993"/>
      <c r="L90" s="1940">
        <f t="shared" si="35"/>
        <v>0</v>
      </c>
      <c r="M90" s="1940">
        <f t="shared" si="36"/>
        <v>0</v>
      </c>
      <c r="N90" s="1940">
        <f t="shared" si="37"/>
        <v>0</v>
      </c>
      <c r="O90" s="1993"/>
      <c r="P90" s="1993"/>
      <c r="Q90" s="1940">
        <f t="shared" si="38"/>
        <v>0</v>
      </c>
      <c r="R90" s="1940">
        <f t="shared" si="39"/>
        <v>0</v>
      </c>
      <c r="S90" s="1940">
        <f t="shared" si="40"/>
        <v>0</v>
      </c>
      <c r="T90" s="1940">
        <f t="shared" si="41"/>
        <v>0</v>
      </c>
      <c r="U90" s="1940">
        <f t="shared" si="42"/>
        <v>0</v>
      </c>
      <c r="V90" s="1997"/>
      <c r="W90" s="1997"/>
      <c r="X90" s="1997"/>
      <c r="Y90" s="1997"/>
      <c r="Z90" s="1997"/>
      <c r="AA90" s="1997"/>
      <c r="AB90" s="1997"/>
      <c r="AC90" s="1997"/>
      <c r="AD90" s="1997"/>
      <c r="AE90" s="1997"/>
      <c r="AF90" s="1997"/>
      <c r="AG90" s="1997"/>
      <c r="AH90" s="1997"/>
      <c r="AI90" s="1997"/>
      <c r="AJ90" s="1997"/>
      <c r="AK90" s="1997"/>
      <c r="AL90" s="1997"/>
      <c r="AM90" s="1997"/>
      <c r="AN90" s="1997"/>
      <c r="AO90" s="1997"/>
      <c r="AP90" s="1997"/>
      <c r="AQ90" s="1997"/>
      <c r="AR90" s="1997"/>
      <c r="AS90" s="1997"/>
      <c r="AT90" s="1997"/>
      <c r="AU90" s="1997"/>
      <c r="AV90" s="1997"/>
      <c r="AW90" s="1997"/>
      <c r="AX90" s="1997"/>
      <c r="AY90" s="1997"/>
      <c r="AZ90" s="1997"/>
      <c r="BA90" s="1997"/>
      <c r="BB90" s="1997"/>
      <c r="BC90" s="1997"/>
      <c r="BD90" s="1997"/>
      <c r="BE90" s="1997"/>
      <c r="BF90" s="1997"/>
      <c r="BG90" s="1997"/>
      <c r="BH90" s="1997"/>
      <c r="BI90" s="1997"/>
      <c r="BJ90" s="1997"/>
      <c r="BK90" s="1997"/>
      <c r="BL90" s="1997"/>
      <c r="BM90" s="1997"/>
      <c r="BN90" s="1997"/>
      <c r="BO90" s="1997"/>
      <c r="BP90" s="1997"/>
      <c r="BQ90" s="1997"/>
      <c r="BR90" s="1997"/>
      <c r="BS90" s="1997"/>
      <c r="BT90" s="1997"/>
      <c r="BU90" s="1997"/>
      <c r="BV90" s="1997"/>
      <c r="BW90" s="1997"/>
      <c r="BX90" s="1997"/>
      <c r="BY90" s="1997"/>
      <c r="BZ90" s="1997"/>
      <c r="CA90" s="1997"/>
      <c r="CB90" s="1997"/>
      <c r="CC90" s="1997"/>
      <c r="CD90" s="1997"/>
      <c r="CE90" s="1997"/>
      <c r="CF90" s="1997"/>
      <c r="CG90" s="1997"/>
      <c r="CH90" s="1997"/>
      <c r="CI90" s="1997"/>
      <c r="CJ90" s="1997"/>
      <c r="CK90" s="1997"/>
      <c r="CL90" s="1997"/>
      <c r="CM90" s="1997"/>
      <c r="CN90" s="1997"/>
      <c r="CO90" s="1997"/>
      <c r="CP90" s="1997"/>
      <c r="CQ90" s="1997"/>
      <c r="CR90" s="1997"/>
      <c r="CS90" s="1997"/>
      <c r="CT90" s="1997"/>
      <c r="CU90" s="1997"/>
      <c r="CV90" s="1997"/>
      <c r="CW90" s="1997"/>
      <c r="CX90" s="1997"/>
      <c r="CY90" s="1997"/>
      <c r="CZ90" s="1997"/>
      <c r="DA90" s="1997"/>
      <c r="DB90" s="1997"/>
      <c r="DC90" s="1997"/>
      <c r="DD90" s="1997"/>
      <c r="DE90" s="1997"/>
      <c r="DF90" s="1997"/>
      <c r="DG90" s="1997"/>
      <c r="DH90" s="1997"/>
      <c r="DI90" s="1997"/>
      <c r="DJ90" s="1997"/>
      <c r="DK90" s="1997"/>
      <c r="DL90" s="1997"/>
      <c r="DM90" s="1997"/>
      <c r="DN90" s="1997"/>
      <c r="DO90" s="1997"/>
      <c r="DP90" s="1997"/>
      <c r="DQ90" s="1997"/>
      <c r="DR90" s="1997"/>
      <c r="DS90" s="1997"/>
      <c r="DT90" s="1997"/>
      <c r="DU90" s="1997"/>
      <c r="DV90" s="1997"/>
      <c r="DW90" s="1997"/>
      <c r="DX90" s="1997"/>
      <c r="DY90" s="1997"/>
      <c r="DZ90" s="1997"/>
      <c r="EA90" s="1997"/>
      <c r="EB90" s="1997"/>
      <c r="EC90" s="1997"/>
      <c r="ED90" s="1997"/>
      <c r="EE90" s="1997"/>
      <c r="EF90" s="1997"/>
      <c r="EG90" s="1997"/>
      <c r="EH90" s="1997"/>
      <c r="EI90" s="1997"/>
      <c r="EJ90" s="1997"/>
      <c r="EK90" s="1997"/>
      <c r="EL90" s="1997"/>
      <c r="EM90" s="1997"/>
      <c r="EN90" s="1997"/>
      <c r="EO90" s="1997"/>
      <c r="EP90" s="1997"/>
      <c r="EQ90" s="1997"/>
      <c r="ER90" s="1997"/>
      <c r="ES90" s="1997"/>
      <c r="ET90" s="1997"/>
      <c r="EU90" s="1997"/>
      <c r="EV90" s="1997"/>
      <c r="EW90" s="1997"/>
      <c r="EX90" s="1997"/>
      <c r="EY90" s="1997"/>
      <c r="EZ90" s="1997"/>
      <c r="FA90" s="1997"/>
      <c r="FB90" s="1997"/>
      <c r="FC90" s="1997"/>
      <c r="FD90" s="1997"/>
      <c r="FE90" s="1997"/>
      <c r="FF90" s="1997"/>
      <c r="FG90" s="1997"/>
      <c r="FH90" s="1997"/>
      <c r="FI90" s="1997"/>
      <c r="FJ90" s="1997"/>
      <c r="FK90" s="1997"/>
      <c r="FL90" s="1997"/>
      <c r="FM90" s="1997"/>
      <c r="FN90" s="1997"/>
      <c r="FO90" s="1997"/>
      <c r="FP90" s="1997"/>
      <c r="FQ90" s="1997"/>
      <c r="FR90" s="1997"/>
      <c r="FS90" s="1997"/>
      <c r="FT90" s="1997"/>
      <c r="FU90" s="1997"/>
      <c r="FV90" s="1997"/>
      <c r="FW90" s="1997"/>
      <c r="FX90" s="1997"/>
      <c r="FY90" s="1997"/>
      <c r="FZ90" s="1997"/>
      <c r="GA90" s="1997"/>
      <c r="GB90" s="1997"/>
      <c r="GC90" s="1997"/>
      <c r="GD90" s="1997"/>
      <c r="GE90" s="1997"/>
      <c r="GF90" s="1997"/>
      <c r="GG90" s="1997"/>
      <c r="GH90" s="1997"/>
      <c r="GI90" s="1997"/>
      <c r="GJ90" s="1997"/>
      <c r="GK90" s="1997"/>
      <c r="GL90" s="1997"/>
      <c r="GM90" s="1997"/>
      <c r="GN90" s="1997"/>
      <c r="GO90" s="1997"/>
      <c r="GP90" s="1997"/>
      <c r="GQ90" s="1997"/>
      <c r="GR90" s="1997"/>
      <c r="GS90" s="1997"/>
      <c r="GT90" s="1997"/>
      <c r="GU90" s="1997"/>
      <c r="GV90" s="1997"/>
      <c r="GW90" s="1997"/>
      <c r="GX90" s="1997"/>
      <c r="GY90" s="1997"/>
      <c r="GZ90" s="1997"/>
      <c r="HA90" s="1997"/>
      <c r="HB90" s="1997"/>
      <c r="HC90" s="1997"/>
      <c r="HD90" s="1997"/>
      <c r="HE90" s="1997"/>
      <c r="HF90" s="1997"/>
      <c r="HG90" s="1997"/>
      <c r="HH90" s="1997"/>
      <c r="HI90" s="1997"/>
      <c r="HJ90" s="1997"/>
      <c r="HK90" s="1997"/>
      <c r="HL90" s="1997"/>
      <c r="HM90" s="1997"/>
      <c r="HN90" s="1997"/>
      <c r="HO90" s="1997"/>
      <c r="HP90" s="1997"/>
      <c r="HQ90" s="1997"/>
      <c r="HR90" s="1997"/>
      <c r="HS90" s="1997"/>
      <c r="HT90" s="1997"/>
      <c r="HU90" s="1997"/>
      <c r="HV90" s="1997"/>
      <c r="HW90" s="1997"/>
      <c r="HX90" s="1997"/>
      <c r="HY90" s="1997"/>
      <c r="HZ90" s="1997"/>
      <c r="IA90" s="1997"/>
      <c r="IB90" s="1997"/>
      <c r="IC90" s="1997"/>
      <c r="ID90" s="1997"/>
      <c r="IE90" s="1997"/>
      <c r="IF90" s="1997"/>
      <c r="IG90" s="1997"/>
      <c r="IH90" s="1997"/>
      <c r="II90" s="1997"/>
      <c r="IJ90" s="1997"/>
      <c r="IK90" s="1997"/>
      <c r="IL90" s="1997"/>
      <c r="IM90" s="1997"/>
      <c r="IN90" s="1997"/>
      <c r="IO90" s="1997"/>
      <c r="IP90" s="1997"/>
      <c r="IQ90" s="1997"/>
    </row>
    <row r="91" spans="1:251" hidden="1">
      <c r="A91" s="1993"/>
      <c r="B91" s="1998"/>
      <c r="C91" s="1998"/>
      <c r="D91" s="2034"/>
      <c r="E91" s="1998"/>
      <c r="F91" s="1940">
        <f t="shared" si="32"/>
        <v>0</v>
      </c>
      <c r="G91" s="1993"/>
      <c r="H91" s="1940">
        <f t="shared" si="33"/>
        <v>0</v>
      </c>
      <c r="I91" s="1993"/>
      <c r="J91" s="1940">
        <f t="shared" si="34"/>
        <v>0</v>
      </c>
      <c r="K91" s="1993"/>
      <c r="L91" s="1940">
        <f t="shared" si="35"/>
        <v>0</v>
      </c>
      <c r="M91" s="1940">
        <f t="shared" si="36"/>
        <v>0</v>
      </c>
      <c r="N91" s="1940">
        <f t="shared" si="37"/>
        <v>0</v>
      </c>
      <c r="O91" s="1993"/>
      <c r="P91" s="1993"/>
      <c r="Q91" s="1940">
        <f t="shared" si="38"/>
        <v>0</v>
      </c>
      <c r="R91" s="1940">
        <f t="shared" si="39"/>
        <v>0</v>
      </c>
      <c r="S91" s="1940">
        <f t="shared" si="40"/>
        <v>0</v>
      </c>
      <c r="T91" s="1940">
        <f t="shared" si="41"/>
        <v>0</v>
      </c>
      <c r="U91" s="1940">
        <f t="shared" si="42"/>
        <v>0</v>
      </c>
      <c r="V91" s="1997"/>
      <c r="W91" s="1997"/>
      <c r="X91" s="1997"/>
      <c r="Y91" s="1997"/>
      <c r="Z91" s="1997"/>
      <c r="AA91" s="1997"/>
      <c r="AB91" s="1997"/>
      <c r="AC91" s="1997"/>
      <c r="AD91" s="1997"/>
      <c r="AE91" s="1997"/>
      <c r="AF91" s="1997"/>
      <c r="AG91" s="1997"/>
      <c r="AH91" s="1997"/>
      <c r="AI91" s="1997"/>
      <c r="AJ91" s="1997"/>
      <c r="AK91" s="1997"/>
      <c r="AL91" s="1997"/>
      <c r="AM91" s="1997"/>
      <c r="AN91" s="1997"/>
      <c r="AO91" s="1997"/>
      <c r="AP91" s="1997"/>
      <c r="AQ91" s="1997"/>
      <c r="AR91" s="1997"/>
      <c r="AS91" s="1997"/>
      <c r="AT91" s="1997"/>
      <c r="AU91" s="1997"/>
      <c r="AV91" s="1997"/>
      <c r="AW91" s="1997"/>
      <c r="AX91" s="1997"/>
      <c r="AY91" s="1997"/>
      <c r="AZ91" s="1997"/>
      <c r="BA91" s="1997"/>
      <c r="BB91" s="1997"/>
      <c r="BC91" s="1997"/>
      <c r="BD91" s="1997"/>
      <c r="BE91" s="1997"/>
      <c r="BF91" s="1997"/>
      <c r="BG91" s="1997"/>
      <c r="BH91" s="1997"/>
      <c r="BI91" s="1997"/>
      <c r="BJ91" s="1997"/>
      <c r="BK91" s="1997"/>
      <c r="BL91" s="1997"/>
      <c r="BM91" s="1997"/>
      <c r="BN91" s="1997"/>
      <c r="BO91" s="1997"/>
      <c r="BP91" s="1997"/>
      <c r="BQ91" s="1997"/>
      <c r="BR91" s="1997"/>
      <c r="BS91" s="1997"/>
      <c r="BT91" s="1997"/>
      <c r="BU91" s="1997"/>
      <c r="BV91" s="1997"/>
      <c r="BW91" s="1997"/>
      <c r="BX91" s="1997"/>
      <c r="BY91" s="1997"/>
      <c r="BZ91" s="1997"/>
      <c r="CA91" s="1997"/>
      <c r="CB91" s="1997"/>
      <c r="CC91" s="1997"/>
      <c r="CD91" s="1997"/>
      <c r="CE91" s="1997"/>
      <c r="CF91" s="1997"/>
      <c r="CG91" s="1997"/>
      <c r="CH91" s="1997"/>
      <c r="CI91" s="1997"/>
      <c r="CJ91" s="1997"/>
      <c r="CK91" s="1997"/>
      <c r="CL91" s="1997"/>
      <c r="CM91" s="1997"/>
      <c r="CN91" s="1997"/>
      <c r="CO91" s="1997"/>
      <c r="CP91" s="1997"/>
      <c r="CQ91" s="1997"/>
      <c r="CR91" s="1997"/>
      <c r="CS91" s="1997"/>
      <c r="CT91" s="1997"/>
      <c r="CU91" s="1997"/>
      <c r="CV91" s="1997"/>
      <c r="CW91" s="1997"/>
      <c r="CX91" s="1997"/>
      <c r="CY91" s="1997"/>
      <c r="CZ91" s="1997"/>
      <c r="DA91" s="1997"/>
      <c r="DB91" s="1997"/>
      <c r="DC91" s="1997"/>
      <c r="DD91" s="1997"/>
      <c r="DE91" s="1997"/>
      <c r="DF91" s="1997"/>
      <c r="DG91" s="1997"/>
      <c r="DH91" s="1997"/>
      <c r="DI91" s="1997"/>
      <c r="DJ91" s="1997"/>
      <c r="DK91" s="1997"/>
      <c r="DL91" s="1997"/>
      <c r="DM91" s="1997"/>
      <c r="DN91" s="1997"/>
      <c r="DO91" s="1997"/>
      <c r="DP91" s="1997"/>
      <c r="DQ91" s="1997"/>
      <c r="DR91" s="1997"/>
      <c r="DS91" s="1997"/>
      <c r="DT91" s="1997"/>
      <c r="DU91" s="1997"/>
      <c r="DV91" s="1997"/>
      <c r="DW91" s="1997"/>
      <c r="DX91" s="1997"/>
      <c r="DY91" s="1997"/>
      <c r="DZ91" s="1997"/>
      <c r="EA91" s="1997"/>
      <c r="EB91" s="1997"/>
      <c r="EC91" s="1997"/>
      <c r="ED91" s="1997"/>
      <c r="EE91" s="1997"/>
      <c r="EF91" s="1997"/>
      <c r="EG91" s="1997"/>
      <c r="EH91" s="1997"/>
      <c r="EI91" s="1997"/>
      <c r="EJ91" s="1997"/>
      <c r="EK91" s="1997"/>
      <c r="EL91" s="1997"/>
      <c r="EM91" s="1997"/>
      <c r="EN91" s="1997"/>
      <c r="EO91" s="1997"/>
      <c r="EP91" s="1997"/>
      <c r="EQ91" s="1997"/>
      <c r="ER91" s="1997"/>
      <c r="ES91" s="1997"/>
      <c r="ET91" s="1997"/>
      <c r="EU91" s="1997"/>
      <c r="EV91" s="1997"/>
      <c r="EW91" s="1997"/>
      <c r="EX91" s="1997"/>
      <c r="EY91" s="1997"/>
      <c r="EZ91" s="1997"/>
      <c r="FA91" s="1997"/>
      <c r="FB91" s="1997"/>
      <c r="FC91" s="1997"/>
      <c r="FD91" s="1997"/>
      <c r="FE91" s="1997"/>
      <c r="FF91" s="1997"/>
      <c r="FG91" s="1997"/>
      <c r="FH91" s="1997"/>
      <c r="FI91" s="1997"/>
      <c r="FJ91" s="1997"/>
      <c r="FK91" s="1997"/>
      <c r="FL91" s="1997"/>
      <c r="FM91" s="1997"/>
      <c r="FN91" s="1997"/>
      <c r="FO91" s="1997"/>
      <c r="FP91" s="1997"/>
      <c r="FQ91" s="1997"/>
      <c r="FR91" s="1997"/>
      <c r="FS91" s="1997"/>
      <c r="FT91" s="1997"/>
      <c r="FU91" s="1997"/>
      <c r="FV91" s="1997"/>
      <c r="FW91" s="1997"/>
      <c r="FX91" s="1997"/>
      <c r="FY91" s="1997"/>
      <c r="FZ91" s="1997"/>
      <c r="GA91" s="1997"/>
      <c r="GB91" s="1997"/>
      <c r="GC91" s="1997"/>
      <c r="GD91" s="1997"/>
      <c r="GE91" s="1997"/>
      <c r="GF91" s="1997"/>
      <c r="GG91" s="1997"/>
      <c r="GH91" s="1997"/>
      <c r="GI91" s="1997"/>
      <c r="GJ91" s="1997"/>
      <c r="GK91" s="1997"/>
      <c r="GL91" s="1997"/>
      <c r="GM91" s="1997"/>
      <c r="GN91" s="1997"/>
      <c r="GO91" s="1997"/>
      <c r="GP91" s="1997"/>
      <c r="GQ91" s="1997"/>
      <c r="GR91" s="1997"/>
      <c r="GS91" s="1997"/>
      <c r="GT91" s="1997"/>
      <c r="GU91" s="1997"/>
      <c r="GV91" s="1997"/>
      <c r="GW91" s="1997"/>
      <c r="GX91" s="1997"/>
      <c r="GY91" s="1997"/>
      <c r="GZ91" s="1997"/>
      <c r="HA91" s="1997"/>
      <c r="HB91" s="1997"/>
      <c r="HC91" s="1997"/>
      <c r="HD91" s="1997"/>
      <c r="HE91" s="1997"/>
      <c r="HF91" s="1997"/>
      <c r="HG91" s="1997"/>
      <c r="HH91" s="1997"/>
      <c r="HI91" s="1997"/>
      <c r="HJ91" s="1997"/>
      <c r="HK91" s="1997"/>
      <c r="HL91" s="1997"/>
      <c r="HM91" s="1997"/>
      <c r="HN91" s="1997"/>
      <c r="HO91" s="1997"/>
      <c r="HP91" s="1997"/>
      <c r="HQ91" s="1997"/>
      <c r="HR91" s="1997"/>
      <c r="HS91" s="1997"/>
      <c r="HT91" s="1997"/>
      <c r="HU91" s="1997"/>
      <c r="HV91" s="1997"/>
      <c r="HW91" s="1997"/>
      <c r="HX91" s="1997"/>
      <c r="HY91" s="1997"/>
      <c r="HZ91" s="1997"/>
      <c r="IA91" s="1997"/>
      <c r="IB91" s="1997"/>
      <c r="IC91" s="1997"/>
      <c r="ID91" s="1997"/>
      <c r="IE91" s="1997"/>
      <c r="IF91" s="1997"/>
      <c r="IG91" s="1997"/>
      <c r="IH91" s="1997"/>
      <c r="II91" s="1997"/>
      <c r="IJ91" s="1997"/>
      <c r="IK91" s="1997"/>
      <c r="IL91" s="1997"/>
      <c r="IM91" s="1997"/>
      <c r="IN91" s="1997"/>
      <c r="IO91" s="1997"/>
      <c r="IP91" s="1997"/>
      <c r="IQ91" s="1997"/>
    </row>
    <row r="92" spans="1:251" hidden="1">
      <c r="A92" s="1993"/>
      <c r="B92" s="1998"/>
      <c r="C92" s="1998"/>
      <c r="D92" s="2034"/>
      <c r="E92" s="1998"/>
      <c r="F92" s="1940">
        <f t="shared" si="32"/>
        <v>0</v>
      </c>
      <c r="G92" s="1993"/>
      <c r="H92" s="1940">
        <f t="shared" si="33"/>
        <v>0</v>
      </c>
      <c r="I92" s="1993"/>
      <c r="J92" s="1940">
        <f t="shared" si="34"/>
        <v>0</v>
      </c>
      <c r="K92" s="1993"/>
      <c r="L92" s="1940">
        <f t="shared" si="35"/>
        <v>0</v>
      </c>
      <c r="M92" s="1940">
        <f t="shared" si="36"/>
        <v>0</v>
      </c>
      <c r="N92" s="1940">
        <f t="shared" si="37"/>
        <v>0</v>
      </c>
      <c r="O92" s="1993"/>
      <c r="P92" s="1993"/>
      <c r="Q92" s="1940">
        <f t="shared" si="38"/>
        <v>0</v>
      </c>
      <c r="R92" s="1940">
        <f t="shared" si="39"/>
        <v>0</v>
      </c>
      <c r="S92" s="1940">
        <f t="shared" si="40"/>
        <v>0</v>
      </c>
      <c r="T92" s="1940">
        <f t="shared" si="41"/>
        <v>0</v>
      </c>
      <c r="U92" s="1940">
        <f t="shared" si="42"/>
        <v>0</v>
      </c>
      <c r="V92" s="1997"/>
      <c r="W92" s="1997"/>
      <c r="X92" s="1997"/>
      <c r="Y92" s="1997"/>
      <c r="Z92" s="1997"/>
      <c r="AA92" s="1997"/>
      <c r="AB92" s="1997"/>
      <c r="AC92" s="1997"/>
      <c r="AD92" s="1997"/>
      <c r="AE92" s="1997"/>
      <c r="AF92" s="1997"/>
      <c r="AG92" s="1997"/>
      <c r="AH92" s="1997"/>
      <c r="AI92" s="1997"/>
      <c r="AJ92" s="1997"/>
      <c r="AK92" s="1997"/>
      <c r="AL92" s="1997"/>
      <c r="AM92" s="1997"/>
      <c r="AN92" s="1997"/>
      <c r="AO92" s="1997"/>
      <c r="AP92" s="1997"/>
      <c r="AQ92" s="1997"/>
      <c r="AR92" s="1997"/>
      <c r="AS92" s="1997"/>
      <c r="AT92" s="1997"/>
      <c r="AU92" s="1997"/>
      <c r="AV92" s="1997"/>
      <c r="AW92" s="1997"/>
      <c r="AX92" s="1997"/>
      <c r="AY92" s="1997"/>
      <c r="AZ92" s="1997"/>
      <c r="BA92" s="1997"/>
      <c r="BB92" s="1997"/>
      <c r="BC92" s="1997"/>
      <c r="BD92" s="1997"/>
      <c r="BE92" s="1997"/>
      <c r="BF92" s="1997"/>
      <c r="BG92" s="1997"/>
      <c r="BH92" s="1997"/>
      <c r="BI92" s="1997"/>
      <c r="BJ92" s="1997"/>
      <c r="BK92" s="1997"/>
      <c r="BL92" s="1997"/>
      <c r="BM92" s="1997"/>
      <c r="BN92" s="1997"/>
      <c r="BO92" s="1997"/>
      <c r="BP92" s="1997"/>
      <c r="BQ92" s="1997"/>
      <c r="BR92" s="1997"/>
      <c r="BS92" s="1997"/>
      <c r="BT92" s="1997"/>
      <c r="BU92" s="1997"/>
      <c r="BV92" s="1997"/>
      <c r="BW92" s="1997"/>
      <c r="BX92" s="1997"/>
      <c r="BY92" s="1997"/>
      <c r="BZ92" s="1997"/>
      <c r="CA92" s="1997"/>
      <c r="CB92" s="1997"/>
      <c r="CC92" s="1997"/>
      <c r="CD92" s="1997"/>
      <c r="CE92" s="1997"/>
      <c r="CF92" s="1997"/>
      <c r="CG92" s="1997"/>
      <c r="CH92" s="1997"/>
      <c r="CI92" s="1997"/>
      <c r="CJ92" s="1997"/>
      <c r="CK92" s="1997"/>
      <c r="CL92" s="1997"/>
      <c r="CM92" s="1997"/>
      <c r="CN92" s="1997"/>
      <c r="CO92" s="1997"/>
      <c r="CP92" s="1997"/>
      <c r="CQ92" s="1997"/>
      <c r="CR92" s="1997"/>
      <c r="CS92" s="1997"/>
      <c r="CT92" s="1997"/>
      <c r="CU92" s="1997"/>
      <c r="CV92" s="1997"/>
      <c r="CW92" s="1997"/>
      <c r="CX92" s="1997"/>
      <c r="CY92" s="1997"/>
      <c r="CZ92" s="1997"/>
      <c r="DA92" s="1997"/>
      <c r="DB92" s="1997"/>
      <c r="DC92" s="1997"/>
      <c r="DD92" s="1997"/>
      <c r="DE92" s="1997"/>
      <c r="DF92" s="1997"/>
      <c r="DG92" s="1997"/>
      <c r="DH92" s="1997"/>
      <c r="DI92" s="1997"/>
      <c r="DJ92" s="1997"/>
      <c r="DK92" s="1997"/>
      <c r="DL92" s="1997"/>
      <c r="DM92" s="1997"/>
      <c r="DN92" s="1997"/>
      <c r="DO92" s="1997"/>
      <c r="DP92" s="1997"/>
      <c r="DQ92" s="1997"/>
      <c r="DR92" s="1997"/>
      <c r="DS92" s="1997"/>
      <c r="DT92" s="1997"/>
      <c r="DU92" s="1997"/>
      <c r="DV92" s="1997"/>
      <c r="DW92" s="1997"/>
      <c r="DX92" s="1997"/>
      <c r="DY92" s="1997"/>
      <c r="DZ92" s="1997"/>
      <c r="EA92" s="1997"/>
      <c r="EB92" s="1997"/>
      <c r="EC92" s="1997"/>
      <c r="ED92" s="1997"/>
      <c r="EE92" s="1997"/>
      <c r="EF92" s="1997"/>
      <c r="EG92" s="1997"/>
      <c r="EH92" s="1997"/>
      <c r="EI92" s="1997"/>
      <c r="EJ92" s="1997"/>
      <c r="EK92" s="1997"/>
      <c r="EL92" s="1997"/>
      <c r="EM92" s="1997"/>
      <c r="EN92" s="1997"/>
      <c r="EO92" s="1997"/>
      <c r="EP92" s="1997"/>
      <c r="EQ92" s="1997"/>
      <c r="ER92" s="1997"/>
      <c r="ES92" s="1997"/>
      <c r="ET92" s="1997"/>
      <c r="EU92" s="1997"/>
      <c r="EV92" s="1997"/>
      <c r="EW92" s="1997"/>
      <c r="EX92" s="1997"/>
      <c r="EY92" s="1997"/>
      <c r="EZ92" s="1997"/>
      <c r="FA92" s="1997"/>
      <c r="FB92" s="1997"/>
      <c r="FC92" s="1997"/>
      <c r="FD92" s="1997"/>
      <c r="FE92" s="1997"/>
      <c r="FF92" s="1997"/>
      <c r="FG92" s="1997"/>
      <c r="FH92" s="1997"/>
      <c r="FI92" s="1997"/>
      <c r="FJ92" s="1997"/>
      <c r="FK92" s="1997"/>
      <c r="FL92" s="1997"/>
      <c r="FM92" s="1997"/>
      <c r="FN92" s="1997"/>
      <c r="FO92" s="1997"/>
      <c r="FP92" s="1997"/>
      <c r="FQ92" s="1997"/>
      <c r="FR92" s="1997"/>
      <c r="FS92" s="1997"/>
      <c r="FT92" s="1997"/>
      <c r="FU92" s="1997"/>
      <c r="FV92" s="1997"/>
      <c r="FW92" s="1997"/>
      <c r="FX92" s="1997"/>
      <c r="FY92" s="1997"/>
      <c r="FZ92" s="1997"/>
      <c r="GA92" s="1997"/>
      <c r="GB92" s="1997"/>
      <c r="GC92" s="1997"/>
      <c r="GD92" s="1997"/>
      <c r="GE92" s="1997"/>
      <c r="GF92" s="1997"/>
      <c r="GG92" s="1997"/>
      <c r="GH92" s="1997"/>
      <c r="GI92" s="1997"/>
      <c r="GJ92" s="1997"/>
      <c r="GK92" s="1997"/>
      <c r="GL92" s="1997"/>
      <c r="GM92" s="1997"/>
      <c r="GN92" s="1997"/>
      <c r="GO92" s="1997"/>
      <c r="GP92" s="1997"/>
      <c r="GQ92" s="1997"/>
      <c r="GR92" s="1997"/>
      <c r="GS92" s="1997"/>
      <c r="GT92" s="1997"/>
      <c r="GU92" s="1997"/>
      <c r="GV92" s="1997"/>
      <c r="GW92" s="1997"/>
      <c r="GX92" s="1997"/>
      <c r="GY92" s="1997"/>
      <c r="GZ92" s="1997"/>
      <c r="HA92" s="1997"/>
      <c r="HB92" s="1997"/>
      <c r="HC92" s="1997"/>
      <c r="HD92" s="1997"/>
      <c r="HE92" s="1997"/>
      <c r="HF92" s="1997"/>
      <c r="HG92" s="1997"/>
      <c r="HH92" s="1997"/>
      <c r="HI92" s="1997"/>
      <c r="HJ92" s="1997"/>
      <c r="HK92" s="1997"/>
      <c r="HL92" s="1997"/>
      <c r="HM92" s="1997"/>
      <c r="HN92" s="1997"/>
      <c r="HO92" s="1997"/>
      <c r="HP92" s="1997"/>
      <c r="HQ92" s="1997"/>
      <c r="HR92" s="1997"/>
      <c r="HS92" s="1997"/>
      <c r="HT92" s="1997"/>
      <c r="HU92" s="1997"/>
      <c r="HV92" s="1997"/>
      <c r="HW92" s="1997"/>
      <c r="HX92" s="1997"/>
      <c r="HY92" s="1997"/>
      <c r="HZ92" s="1997"/>
      <c r="IA92" s="1997"/>
      <c r="IB92" s="1997"/>
      <c r="IC92" s="1997"/>
      <c r="ID92" s="1997"/>
      <c r="IE92" s="1997"/>
      <c r="IF92" s="1997"/>
      <c r="IG92" s="1997"/>
      <c r="IH92" s="1997"/>
      <c r="II92" s="1997"/>
      <c r="IJ92" s="1997"/>
      <c r="IK92" s="1997"/>
      <c r="IL92" s="1997"/>
      <c r="IM92" s="1997"/>
      <c r="IN92" s="1997"/>
      <c r="IO92" s="1997"/>
      <c r="IP92" s="1997"/>
      <c r="IQ92" s="1997"/>
    </row>
    <row r="93" spans="1:251" hidden="1">
      <c r="A93" s="1993"/>
      <c r="B93" s="1998"/>
      <c r="C93" s="1998"/>
      <c r="D93" s="2034"/>
      <c r="E93" s="1998"/>
      <c r="F93" s="1940">
        <f t="shared" si="32"/>
        <v>0</v>
      </c>
      <c r="G93" s="1993"/>
      <c r="H93" s="1940">
        <f t="shared" si="33"/>
        <v>0</v>
      </c>
      <c r="I93" s="1993"/>
      <c r="J93" s="1940">
        <f t="shared" si="34"/>
        <v>0</v>
      </c>
      <c r="K93" s="1993"/>
      <c r="L93" s="1940">
        <f t="shared" si="35"/>
        <v>0</v>
      </c>
      <c r="M93" s="1940">
        <f t="shared" si="36"/>
        <v>0</v>
      </c>
      <c r="N93" s="1940">
        <f t="shared" si="37"/>
        <v>0</v>
      </c>
      <c r="O93" s="1993"/>
      <c r="P93" s="1993"/>
      <c r="Q93" s="1940">
        <f t="shared" si="38"/>
        <v>0</v>
      </c>
      <c r="R93" s="1940">
        <f t="shared" si="39"/>
        <v>0</v>
      </c>
      <c r="S93" s="1940">
        <f t="shared" si="40"/>
        <v>0</v>
      </c>
      <c r="T93" s="1940">
        <f t="shared" si="41"/>
        <v>0</v>
      </c>
      <c r="U93" s="1940">
        <f t="shared" si="42"/>
        <v>0</v>
      </c>
      <c r="V93" s="1997"/>
      <c r="W93" s="1997"/>
      <c r="X93" s="1997"/>
      <c r="Y93" s="1997"/>
      <c r="Z93" s="1997"/>
      <c r="AA93" s="1997"/>
      <c r="AB93" s="1997"/>
      <c r="AC93" s="1997"/>
      <c r="AD93" s="1997"/>
      <c r="AE93" s="1997"/>
      <c r="AF93" s="1997"/>
      <c r="AG93" s="1997"/>
      <c r="AH93" s="1997"/>
      <c r="AI93" s="1997"/>
      <c r="AJ93" s="1997"/>
      <c r="AK93" s="1997"/>
      <c r="AL93" s="1997"/>
      <c r="AM93" s="1997"/>
      <c r="AN93" s="1997"/>
      <c r="AO93" s="1997"/>
      <c r="AP93" s="1997"/>
      <c r="AQ93" s="1997"/>
      <c r="AR93" s="1997"/>
      <c r="AS93" s="1997"/>
      <c r="AT93" s="1997"/>
      <c r="AU93" s="1997"/>
      <c r="AV93" s="1997"/>
      <c r="AW93" s="1997"/>
      <c r="AX93" s="1997"/>
      <c r="AY93" s="1997"/>
      <c r="AZ93" s="1997"/>
      <c r="BA93" s="1997"/>
      <c r="BB93" s="1997"/>
      <c r="BC93" s="1997"/>
      <c r="BD93" s="1997"/>
      <c r="BE93" s="1997"/>
      <c r="BF93" s="1997"/>
      <c r="BG93" s="1997"/>
      <c r="BH93" s="1997"/>
      <c r="BI93" s="1997"/>
      <c r="BJ93" s="1997"/>
      <c r="BK93" s="1997"/>
      <c r="BL93" s="1997"/>
      <c r="BM93" s="1997"/>
      <c r="BN93" s="1997"/>
      <c r="BO93" s="1997"/>
      <c r="BP93" s="1997"/>
      <c r="BQ93" s="1997"/>
      <c r="BR93" s="1997"/>
      <c r="BS93" s="1997"/>
      <c r="BT93" s="1997"/>
      <c r="BU93" s="1997"/>
      <c r="BV93" s="1997"/>
      <c r="BW93" s="1997"/>
      <c r="BX93" s="1997"/>
      <c r="BY93" s="1997"/>
      <c r="BZ93" s="1997"/>
      <c r="CA93" s="1997"/>
      <c r="CB93" s="1997"/>
      <c r="CC93" s="1997"/>
      <c r="CD93" s="1997"/>
      <c r="CE93" s="1997"/>
      <c r="CF93" s="1997"/>
      <c r="CG93" s="1997"/>
      <c r="CH93" s="1997"/>
      <c r="CI93" s="1997"/>
      <c r="CJ93" s="1997"/>
      <c r="CK93" s="1997"/>
      <c r="CL93" s="1997"/>
      <c r="CM93" s="1997"/>
      <c r="CN93" s="1997"/>
      <c r="CO93" s="1997"/>
      <c r="CP93" s="1997"/>
      <c r="CQ93" s="1997"/>
      <c r="CR93" s="1997"/>
      <c r="CS93" s="1997"/>
      <c r="CT93" s="1997"/>
      <c r="CU93" s="1997"/>
      <c r="CV93" s="1997"/>
      <c r="CW93" s="1997"/>
      <c r="CX93" s="1997"/>
      <c r="CY93" s="1997"/>
      <c r="CZ93" s="1997"/>
      <c r="DA93" s="1997"/>
      <c r="DB93" s="1997"/>
      <c r="DC93" s="1997"/>
      <c r="DD93" s="1997"/>
      <c r="DE93" s="1997"/>
      <c r="DF93" s="1997"/>
      <c r="DG93" s="1997"/>
      <c r="DH93" s="1997"/>
      <c r="DI93" s="1997"/>
      <c r="DJ93" s="1997"/>
      <c r="DK93" s="1997"/>
      <c r="DL93" s="1997"/>
      <c r="DM93" s="1997"/>
      <c r="DN93" s="1997"/>
      <c r="DO93" s="1997"/>
      <c r="DP93" s="1997"/>
      <c r="DQ93" s="1997"/>
      <c r="DR93" s="1997"/>
      <c r="DS93" s="1997"/>
      <c r="DT93" s="1997"/>
      <c r="DU93" s="1997"/>
      <c r="DV93" s="1997"/>
      <c r="DW93" s="1997"/>
      <c r="DX93" s="1997"/>
      <c r="DY93" s="1997"/>
      <c r="DZ93" s="1997"/>
      <c r="EA93" s="1997"/>
      <c r="EB93" s="1997"/>
      <c r="EC93" s="1997"/>
      <c r="ED93" s="1997"/>
      <c r="EE93" s="1997"/>
      <c r="EF93" s="1997"/>
      <c r="EG93" s="1997"/>
      <c r="EH93" s="1997"/>
      <c r="EI93" s="1997"/>
      <c r="EJ93" s="1997"/>
      <c r="EK93" s="1997"/>
      <c r="EL93" s="1997"/>
      <c r="EM93" s="1997"/>
      <c r="EN93" s="1997"/>
      <c r="EO93" s="1997"/>
      <c r="EP93" s="1997"/>
      <c r="EQ93" s="1997"/>
      <c r="ER93" s="1997"/>
      <c r="ES93" s="1997"/>
      <c r="ET93" s="1997"/>
      <c r="EU93" s="1997"/>
      <c r="EV93" s="1997"/>
      <c r="EW93" s="1997"/>
      <c r="EX93" s="1997"/>
      <c r="EY93" s="1997"/>
      <c r="EZ93" s="1997"/>
      <c r="FA93" s="1997"/>
      <c r="FB93" s="1997"/>
      <c r="FC93" s="1997"/>
      <c r="FD93" s="1997"/>
      <c r="FE93" s="1997"/>
      <c r="FF93" s="1997"/>
      <c r="FG93" s="1997"/>
      <c r="FH93" s="1997"/>
      <c r="FI93" s="1997"/>
      <c r="FJ93" s="1997"/>
      <c r="FK93" s="1997"/>
      <c r="FL93" s="1997"/>
      <c r="FM93" s="1997"/>
      <c r="FN93" s="1997"/>
      <c r="FO93" s="1997"/>
      <c r="FP93" s="1997"/>
      <c r="FQ93" s="1997"/>
      <c r="FR93" s="1997"/>
      <c r="FS93" s="1997"/>
      <c r="FT93" s="1997"/>
      <c r="FU93" s="1997"/>
      <c r="FV93" s="1997"/>
      <c r="FW93" s="1997"/>
      <c r="FX93" s="1997"/>
      <c r="FY93" s="1997"/>
      <c r="FZ93" s="1997"/>
      <c r="GA93" s="1997"/>
      <c r="GB93" s="1997"/>
      <c r="GC93" s="1997"/>
      <c r="GD93" s="1997"/>
      <c r="GE93" s="1997"/>
      <c r="GF93" s="1997"/>
      <c r="GG93" s="1997"/>
      <c r="GH93" s="1997"/>
      <c r="GI93" s="1997"/>
      <c r="GJ93" s="1997"/>
      <c r="GK93" s="1997"/>
      <c r="GL93" s="1997"/>
      <c r="GM93" s="1997"/>
      <c r="GN93" s="1997"/>
      <c r="GO93" s="1997"/>
      <c r="GP93" s="1997"/>
      <c r="GQ93" s="1997"/>
      <c r="GR93" s="1997"/>
      <c r="GS93" s="1997"/>
      <c r="GT93" s="1997"/>
      <c r="GU93" s="1997"/>
      <c r="GV93" s="1997"/>
      <c r="GW93" s="1997"/>
      <c r="GX93" s="1997"/>
      <c r="GY93" s="1997"/>
      <c r="GZ93" s="1997"/>
      <c r="HA93" s="1997"/>
      <c r="HB93" s="1997"/>
      <c r="HC93" s="1997"/>
      <c r="HD93" s="1997"/>
      <c r="HE93" s="1997"/>
      <c r="HF93" s="1997"/>
      <c r="HG93" s="1997"/>
      <c r="HH93" s="1997"/>
      <c r="HI93" s="1997"/>
      <c r="HJ93" s="1997"/>
      <c r="HK93" s="1997"/>
      <c r="HL93" s="1997"/>
      <c r="HM93" s="1997"/>
      <c r="HN93" s="1997"/>
      <c r="HO93" s="1997"/>
      <c r="HP93" s="1997"/>
      <c r="HQ93" s="1997"/>
      <c r="HR93" s="1997"/>
      <c r="HS93" s="1997"/>
      <c r="HT93" s="1997"/>
      <c r="HU93" s="1997"/>
      <c r="HV93" s="1997"/>
      <c r="HW93" s="1997"/>
      <c r="HX93" s="1997"/>
      <c r="HY93" s="1997"/>
      <c r="HZ93" s="1997"/>
      <c r="IA93" s="1997"/>
      <c r="IB93" s="1997"/>
      <c r="IC93" s="1997"/>
      <c r="ID93" s="1997"/>
      <c r="IE93" s="1997"/>
      <c r="IF93" s="1997"/>
      <c r="IG93" s="1997"/>
      <c r="IH93" s="1997"/>
      <c r="II93" s="1997"/>
      <c r="IJ93" s="1997"/>
      <c r="IK93" s="1997"/>
      <c r="IL93" s="1997"/>
      <c r="IM93" s="1997"/>
      <c r="IN93" s="1997"/>
      <c r="IO93" s="1997"/>
      <c r="IP93" s="1997"/>
      <c r="IQ93" s="1997"/>
    </row>
    <row r="94" spans="1:251" hidden="1">
      <c r="A94" s="1993"/>
      <c r="B94" s="1998"/>
      <c r="C94" s="1998"/>
      <c r="D94" s="2034"/>
      <c r="E94" s="1998"/>
      <c r="F94" s="1940">
        <f t="shared" si="32"/>
        <v>0</v>
      </c>
      <c r="G94" s="1993"/>
      <c r="H94" s="1940">
        <f t="shared" si="33"/>
        <v>0</v>
      </c>
      <c r="I94" s="1993"/>
      <c r="J94" s="1940">
        <f t="shared" si="34"/>
        <v>0</v>
      </c>
      <c r="K94" s="1993"/>
      <c r="L94" s="1940">
        <f t="shared" si="35"/>
        <v>0</v>
      </c>
      <c r="M94" s="1940">
        <f t="shared" si="36"/>
        <v>0</v>
      </c>
      <c r="N94" s="1940">
        <f t="shared" si="37"/>
        <v>0</v>
      </c>
      <c r="O94" s="1993"/>
      <c r="P94" s="1993"/>
      <c r="Q94" s="1940">
        <f t="shared" si="38"/>
        <v>0</v>
      </c>
      <c r="R94" s="1940">
        <f t="shared" si="39"/>
        <v>0</v>
      </c>
      <c r="S94" s="1940">
        <f t="shared" si="40"/>
        <v>0</v>
      </c>
      <c r="T94" s="1940">
        <f t="shared" si="41"/>
        <v>0</v>
      </c>
      <c r="U94" s="1940">
        <f t="shared" si="42"/>
        <v>0</v>
      </c>
      <c r="V94" s="1997"/>
      <c r="W94" s="1997"/>
      <c r="X94" s="1997"/>
      <c r="Y94" s="1997"/>
      <c r="Z94" s="1997"/>
      <c r="AA94" s="1997"/>
      <c r="AB94" s="1997"/>
      <c r="AC94" s="1997"/>
      <c r="AD94" s="1997"/>
      <c r="AE94" s="1997"/>
      <c r="AF94" s="1997"/>
      <c r="AG94" s="1997"/>
      <c r="AH94" s="1997"/>
      <c r="AI94" s="1997"/>
      <c r="AJ94" s="1997"/>
      <c r="AK94" s="1997"/>
      <c r="AL94" s="1997"/>
      <c r="AM94" s="1997"/>
      <c r="AN94" s="1997"/>
      <c r="AO94" s="1997"/>
      <c r="AP94" s="1997"/>
      <c r="AQ94" s="1997"/>
      <c r="AR94" s="1997"/>
      <c r="AS94" s="1997"/>
      <c r="AT94" s="1997"/>
      <c r="AU94" s="1997"/>
      <c r="AV94" s="1997"/>
      <c r="AW94" s="1997"/>
      <c r="AX94" s="1997"/>
      <c r="AY94" s="1997"/>
      <c r="AZ94" s="1997"/>
      <c r="BA94" s="1997"/>
      <c r="BB94" s="1997"/>
      <c r="BC94" s="1997"/>
      <c r="BD94" s="1997"/>
      <c r="BE94" s="1997"/>
      <c r="BF94" s="1997"/>
      <c r="BG94" s="1997"/>
      <c r="BH94" s="1997"/>
      <c r="BI94" s="1997"/>
      <c r="BJ94" s="1997"/>
      <c r="BK94" s="1997"/>
      <c r="BL94" s="1997"/>
      <c r="BM94" s="1997"/>
      <c r="BN94" s="1997"/>
      <c r="BO94" s="1997"/>
      <c r="BP94" s="1997"/>
      <c r="BQ94" s="1997"/>
      <c r="BR94" s="1997"/>
      <c r="BS94" s="1997"/>
      <c r="BT94" s="1997"/>
      <c r="BU94" s="1997"/>
      <c r="BV94" s="1997"/>
      <c r="BW94" s="1997"/>
      <c r="BX94" s="1997"/>
      <c r="BY94" s="1997"/>
      <c r="BZ94" s="1997"/>
      <c r="CA94" s="1997"/>
      <c r="CB94" s="1997"/>
      <c r="CC94" s="1997"/>
      <c r="CD94" s="1997"/>
      <c r="CE94" s="1997"/>
      <c r="CF94" s="1997"/>
      <c r="CG94" s="1997"/>
      <c r="CH94" s="1997"/>
      <c r="CI94" s="1997"/>
      <c r="CJ94" s="1997"/>
      <c r="CK94" s="1997"/>
      <c r="CL94" s="1997"/>
      <c r="CM94" s="1997"/>
      <c r="CN94" s="1997"/>
      <c r="CO94" s="1997"/>
      <c r="CP94" s="1997"/>
      <c r="CQ94" s="1997"/>
      <c r="CR94" s="1997"/>
      <c r="CS94" s="1997"/>
      <c r="CT94" s="1997"/>
      <c r="CU94" s="1997"/>
      <c r="CV94" s="1997"/>
      <c r="CW94" s="1997"/>
      <c r="CX94" s="1997"/>
      <c r="CY94" s="1997"/>
      <c r="CZ94" s="1997"/>
      <c r="DA94" s="1997"/>
      <c r="DB94" s="1997"/>
      <c r="DC94" s="1997"/>
      <c r="DD94" s="1997"/>
      <c r="DE94" s="1997"/>
      <c r="DF94" s="1997"/>
      <c r="DG94" s="1997"/>
      <c r="DH94" s="1997"/>
      <c r="DI94" s="1997"/>
      <c r="DJ94" s="1997"/>
      <c r="DK94" s="1997"/>
      <c r="DL94" s="1997"/>
      <c r="DM94" s="1997"/>
      <c r="DN94" s="1997"/>
      <c r="DO94" s="1997"/>
      <c r="DP94" s="1997"/>
      <c r="DQ94" s="1997"/>
      <c r="DR94" s="1997"/>
      <c r="DS94" s="1997"/>
      <c r="DT94" s="1997"/>
      <c r="DU94" s="1997"/>
      <c r="DV94" s="1997"/>
      <c r="DW94" s="1997"/>
      <c r="DX94" s="1997"/>
      <c r="DY94" s="1997"/>
      <c r="DZ94" s="1997"/>
      <c r="EA94" s="1997"/>
      <c r="EB94" s="1997"/>
      <c r="EC94" s="1997"/>
      <c r="ED94" s="1997"/>
      <c r="EE94" s="1997"/>
      <c r="EF94" s="1997"/>
      <c r="EG94" s="1997"/>
      <c r="EH94" s="1997"/>
      <c r="EI94" s="1997"/>
      <c r="EJ94" s="1997"/>
      <c r="EK94" s="1997"/>
      <c r="EL94" s="1997"/>
      <c r="EM94" s="1997"/>
      <c r="EN94" s="1997"/>
      <c r="EO94" s="1997"/>
      <c r="EP94" s="1997"/>
      <c r="EQ94" s="1997"/>
      <c r="ER94" s="1997"/>
      <c r="ES94" s="1997"/>
      <c r="ET94" s="1997"/>
      <c r="EU94" s="1997"/>
      <c r="EV94" s="1997"/>
      <c r="EW94" s="1997"/>
      <c r="EX94" s="1997"/>
      <c r="EY94" s="1997"/>
      <c r="EZ94" s="1997"/>
      <c r="FA94" s="1997"/>
      <c r="FB94" s="1997"/>
      <c r="FC94" s="1997"/>
      <c r="FD94" s="1997"/>
      <c r="FE94" s="1997"/>
      <c r="FF94" s="1997"/>
      <c r="FG94" s="1997"/>
      <c r="FH94" s="1997"/>
      <c r="FI94" s="1997"/>
      <c r="FJ94" s="1997"/>
      <c r="FK94" s="1997"/>
      <c r="FL94" s="1997"/>
      <c r="FM94" s="1997"/>
      <c r="FN94" s="1997"/>
      <c r="FO94" s="1997"/>
      <c r="FP94" s="1997"/>
      <c r="FQ94" s="1997"/>
      <c r="FR94" s="1997"/>
      <c r="FS94" s="1997"/>
      <c r="FT94" s="1997"/>
      <c r="FU94" s="1997"/>
      <c r="FV94" s="1997"/>
      <c r="FW94" s="1997"/>
      <c r="FX94" s="1997"/>
      <c r="FY94" s="1997"/>
      <c r="FZ94" s="1997"/>
      <c r="GA94" s="1997"/>
      <c r="GB94" s="1997"/>
      <c r="GC94" s="1997"/>
      <c r="GD94" s="1997"/>
      <c r="GE94" s="1997"/>
      <c r="GF94" s="1997"/>
      <c r="GG94" s="1997"/>
      <c r="GH94" s="1997"/>
      <c r="GI94" s="1997"/>
      <c r="GJ94" s="1997"/>
      <c r="GK94" s="1997"/>
      <c r="GL94" s="1997"/>
      <c r="GM94" s="1997"/>
      <c r="GN94" s="1997"/>
      <c r="GO94" s="1997"/>
      <c r="GP94" s="1997"/>
      <c r="GQ94" s="1997"/>
      <c r="GR94" s="1997"/>
      <c r="GS94" s="1997"/>
      <c r="GT94" s="1997"/>
      <c r="GU94" s="1997"/>
      <c r="GV94" s="1997"/>
      <c r="GW94" s="1997"/>
      <c r="GX94" s="1997"/>
      <c r="GY94" s="1997"/>
      <c r="GZ94" s="1997"/>
      <c r="HA94" s="1997"/>
      <c r="HB94" s="1997"/>
      <c r="HC94" s="1997"/>
      <c r="HD94" s="1997"/>
      <c r="HE94" s="1997"/>
      <c r="HF94" s="1997"/>
      <c r="HG94" s="1997"/>
      <c r="HH94" s="1997"/>
      <c r="HI94" s="1997"/>
      <c r="HJ94" s="1997"/>
      <c r="HK94" s="1997"/>
      <c r="HL94" s="1997"/>
      <c r="HM94" s="1997"/>
      <c r="HN94" s="1997"/>
      <c r="HO94" s="1997"/>
      <c r="HP94" s="1997"/>
      <c r="HQ94" s="1997"/>
      <c r="HR94" s="1997"/>
      <c r="HS94" s="1997"/>
      <c r="HT94" s="1997"/>
      <c r="HU94" s="1997"/>
      <c r="HV94" s="1997"/>
      <c r="HW94" s="1997"/>
      <c r="HX94" s="1997"/>
      <c r="HY94" s="1997"/>
      <c r="HZ94" s="1997"/>
      <c r="IA94" s="1997"/>
      <c r="IB94" s="1997"/>
      <c r="IC94" s="1997"/>
      <c r="ID94" s="1997"/>
      <c r="IE94" s="1997"/>
      <c r="IF94" s="1997"/>
      <c r="IG94" s="1997"/>
      <c r="IH94" s="1997"/>
      <c r="II94" s="1997"/>
      <c r="IJ94" s="1997"/>
      <c r="IK94" s="1997"/>
      <c r="IL94" s="1997"/>
      <c r="IM94" s="1997"/>
      <c r="IN94" s="1997"/>
      <c r="IO94" s="1997"/>
      <c r="IP94" s="1997"/>
      <c r="IQ94" s="1997"/>
    </row>
    <row r="95" spans="1:251" hidden="1">
      <c r="A95" s="1993"/>
      <c r="B95" s="1998"/>
      <c r="C95" s="1998"/>
      <c r="D95" s="2034"/>
      <c r="E95" s="1998"/>
      <c r="F95" s="1940">
        <f t="shared" si="32"/>
        <v>0</v>
      </c>
      <c r="G95" s="1993"/>
      <c r="H95" s="1940">
        <f t="shared" si="33"/>
        <v>0</v>
      </c>
      <c r="I95" s="1993"/>
      <c r="J95" s="1940">
        <f t="shared" si="34"/>
        <v>0</v>
      </c>
      <c r="K95" s="1993"/>
      <c r="L95" s="1940">
        <f t="shared" si="35"/>
        <v>0</v>
      </c>
      <c r="M95" s="1940">
        <f t="shared" si="36"/>
        <v>0</v>
      </c>
      <c r="N95" s="1940">
        <f t="shared" si="37"/>
        <v>0</v>
      </c>
      <c r="O95" s="1993"/>
      <c r="P95" s="1993"/>
      <c r="Q95" s="1940">
        <f t="shared" si="38"/>
        <v>0</v>
      </c>
      <c r="R95" s="1940">
        <f t="shared" si="39"/>
        <v>0</v>
      </c>
      <c r="S95" s="1940">
        <f t="shared" si="40"/>
        <v>0</v>
      </c>
      <c r="T95" s="1940">
        <f t="shared" si="41"/>
        <v>0</v>
      </c>
      <c r="U95" s="1940">
        <f t="shared" si="42"/>
        <v>0</v>
      </c>
      <c r="V95" s="1997"/>
      <c r="W95" s="1997"/>
      <c r="X95" s="1997"/>
      <c r="Y95" s="1997"/>
      <c r="Z95" s="1997"/>
      <c r="AA95" s="1997"/>
      <c r="AB95" s="1997"/>
      <c r="AC95" s="1997"/>
      <c r="AD95" s="1997"/>
      <c r="AE95" s="1997"/>
      <c r="AF95" s="1997"/>
      <c r="AG95" s="1997"/>
      <c r="AH95" s="1997"/>
      <c r="AI95" s="1997"/>
      <c r="AJ95" s="1997"/>
      <c r="AK95" s="1997"/>
      <c r="AL95" s="1997"/>
      <c r="AM95" s="1997"/>
      <c r="AN95" s="1997"/>
      <c r="AO95" s="1997"/>
      <c r="AP95" s="1997"/>
      <c r="AQ95" s="1997"/>
      <c r="AR95" s="1997"/>
      <c r="AS95" s="1997"/>
      <c r="AT95" s="1997"/>
      <c r="AU95" s="1997"/>
      <c r="AV95" s="1997"/>
      <c r="AW95" s="1997"/>
      <c r="AX95" s="1997"/>
      <c r="AY95" s="1997"/>
      <c r="AZ95" s="1997"/>
      <c r="BA95" s="1997"/>
      <c r="BB95" s="1997"/>
      <c r="BC95" s="1997"/>
      <c r="BD95" s="1997"/>
      <c r="BE95" s="1997"/>
      <c r="BF95" s="1997"/>
      <c r="BG95" s="1997"/>
      <c r="BH95" s="1997"/>
      <c r="BI95" s="1997"/>
      <c r="BJ95" s="1997"/>
      <c r="BK95" s="1997"/>
      <c r="BL95" s="1997"/>
      <c r="BM95" s="1997"/>
      <c r="BN95" s="1997"/>
      <c r="BO95" s="1997"/>
      <c r="BP95" s="1997"/>
      <c r="BQ95" s="1997"/>
      <c r="BR95" s="1997"/>
      <c r="BS95" s="1997"/>
      <c r="BT95" s="1997"/>
      <c r="BU95" s="1997"/>
      <c r="BV95" s="1997"/>
      <c r="BW95" s="1997"/>
      <c r="BX95" s="1997"/>
      <c r="BY95" s="1997"/>
      <c r="BZ95" s="1997"/>
      <c r="CA95" s="1997"/>
      <c r="CB95" s="1997"/>
      <c r="CC95" s="1997"/>
      <c r="CD95" s="1997"/>
      <c r="CE95" s="1997"/>
      <c r="CF95" s="1997"/>
      <c r="CG95" s="1997"/>
      <c r="CH95" s="1997"/>
      <c r="CI95" s="1997"/>
      <c r="CJ95" s="1997"/>
      <c r="CK95" s="1997"/>
      <c r="CL95" s="1997"/>
      <c r="CM95" s="1997"/>
      <c r="CN95" s="1997"/>
      <c r="CO95" s="1997"/>
      <c r="CP95" s="1997"/>
      <c r="CQ95" s="1997"/>
      <c r="CR95" s="1997"/>
      <c r="CS95" s="1997"/>
      <c r="CT95" s="1997"/>
      <c r="CU95" s="1997"/>
      <c r="CV95" s="1997"/>
      <c r="CW95" s="1997"/>
      <c r="CX95" s="1997"/>
      <c r="CY95" s="1997"/>
      <c r="CZ95" s="1997"/>
      <c r="DA95" s="1997"/>
      <c r="DB95" s="1997"/>
      <c r="DC95" s="1997"/>
      <c r="DD95" s="1997"/>
      <c r="DE95" s="1997"/>
      <c r="DF95" s="1997"/>
      <c r="DG95" s="1997"/>
      <c r="DH95" s="1997"/>
      <c r="DI95" s="1997"/>
      <c r="DJ95" s="1997"/>
      <c r="DK95" s="1997"/>
      <c r="DL95" s="1997"/>
      <c r="DM95" s="1997"/>
      <c r="DN95" s="1997"/>
      <c r="DO95" s="1997"/>
      <c r="DP95" s="1997"/>
      <c r="DQ95" s="1997"/>
      <c r="DR95" s="1997"/>
      <c r="DS95" s="1997"/>
      <c r="DT95" s="1997"/>
      <c r="DU95" s="1997"/>
      <c r="DV95" s="1997"/>
      <c r="DW95" s="1997"/>
      <c r="DX95" s="1997"/>
      <c r="DY95" s="1997"/>
      <c r="DZ95" s="1997"/>
      <c r="EA95" s="1997"/>
      <c r="EB95" s="1997"/>
      <c r="EC95" s="1997"/>
      <c r="ED95" s="1997"/>
      <c r="EE95" s="1997"/>
      <c r="EF95" s="1997"/>
      <c r="EG95" s="1997"/>
      <c r="EH95" s="1997"/>
      <c r="EI95" s="1997"/>
      <c r="EJ95" s="1997"/>
      <c r="EK95" s="1997"/>
      <c r="EL95" s="1997"/>
      <c r="EM95" s="1997"/>
      <c r="EN95" s="1997"/>
      <c r="EO95" s="1997"/>
      <c r="EP95" s="1997"/>
      <c r="EQ95" s="1997"/>
      <c r="ER95" s="1997"/>
      <c r="ES95" s="1997"/>
      <c r="ET95" s="1997"/>
      <c r="EU95" s="1997"/>
      <c r="EV95" s="1997"/>
      <c r="EW95" s="1997"/>
      <c r="EX95" s="1997"/>
      <c r="EY95" s="1997"/>
      <c r="EZ95" s="1997"/>
      <c r="FA95" s="1997"/>
      <c r="FB95" s="1997"/>
      <c r="FC95" s="1997"/>
      <c r="FD95" s="1997"/>
      <c r="FE95" s="1997"/>
      <c r="FF95" s="1997"/>
      <c r="FG95" s="1997"/>
      <c r="FH95" s="1997"/>
      <c r="FI95" s="1997"/>
      <c r="FJ95" s="1997"/>
      <c r="FK95" s="1997"/>
      <c r="FL95" s="1997"/>
      <c r="FM95" s="1997"/>
      <c r="FN95" s="1997"/>
      <c r="FO95" s="1997"/>
      <c r="FP95" s="1997"/>
      <c r="FQ95" s="1997"/>
      <c r="FR95" s="1997"/>
      <c r="FS95" s="1997"/>
      <c r="FT95" s="1997"/>
      <c r="FU95" s="1997"/>
      <c r="FV95" s="1997"/>
      <c r="FW95" s="1997"/>
      <c r="FX95" s="1997"/>
      <c r="FY95" s="1997"/>
      <c r="FZ95" s="1997"/>
      <c r="GA95" s="1997"/>
      <c r="GB95" s="1997"/>
      <c r="GC95" s="1997"/>
      <c r="GD95" s="1997"/>
      <c r="GE95" s="1997"/>
      <c r="GF95" s="1997"/>
      <c r="GG95" s="1997"/>
      <c r="GH95" s="1997"/>
      <c r="GI95" s="1997"/>
      <c r="GJ95" s="1997"/>
      <c r="GK95" s="1997"/>
      <c r="GL95" s="1997"/>
      <c r="GM95" s="1997"/>
      <c r="GN95" s="1997"/>
      <c r="GO95" s="1997"/>
      <c r="GP95" s="1997"/>
      <c r="GQ95" s="1997"/>
      <c r="GR95" s="1997"/>
      <c r="GS95" s="1997"/>
      <c r="GT95" s="1997"/>
      <c r="GU95" s="1997"/>
      <c r="GV95" s="1997"/>
      <c r="GW95" s="1997"/>
      <c r="GX95" s="1997"/>
      <c r="GY95" s="1997"/>
      <c r="GZ95" s="1997"/>
      <c r="HA95" s="1997"/>
      <c r="HB95" s="1997"/>
      <c r="HC95" s="1997"/>
      <c r="HD95" s="1997"/>
      <c r="HE95" s="1997"/>
      <c r="HF95" s="1997"/>
      <c r="HG95" s="1997"/>
      <c r="HH95" s="1997"/>
      <c r="HI95" s="1997"/>
      <c r="HJ95" s="1997"/>
      <c r="HK95" s="1997"/>
      <c r="HL95" s="1997"/>
      <c r="HM95" s="1997"/>
      <c r="HN95" s="1997"/>
      <c r="HO95" s="1997"/>
      <c r="HP95" s="1997"/>
      <c r="HQ95" s="1997"/>
      <c r="HR95" s="1997"/>
      <c r="HS95" s="1997"/>
      <c r="HT95" s="1997"/>
      <c r="HU95" s="1997"/>
      <c r="HV95" s="1997"/>
      <c r="HW95" s="1997"/>
      <c r="HX95" s="1997"/>
      <c r="HY95" s="1997"/>
      <c r="HZ95" s="1997"/>
      <c r="IA95" s="1997"/>
      <c r="IB95" s="1997"/>
      <c r="IC95" s="1997"/>
      <c r="ID95" s="1997"/>
      <c r="IE95" s="1997"/>
      <c r="IF95" s="1997"/>
      <c r="IG95" s="1997"/>
      <c r="IH95" s="1997"/>
      <c r="II95" s="1997"/>
      <c r="IJ95" s="1997"/>
      <c r="IK95" s="1997"/>
      <c r="IL95" s="1997"/>
      <c r="IM95" s="1997"/>
      <c r="IN95" s="1997"/>
      <c r="IO95" s="1997"/>
      <c r="IP95" s="1997"/>
      <c r="IQ95" s="1997"/>
    </row>
    <row r="96" spans="1:251" hidden="1">
      <c r="A96" s="1993"/>
      <c r="B96" s="1998"/>
      <c r="C96" s="1998"/>
      <c r="D96" s="2034"/>
      <c r="E96" s="1998"/>
      <c r="F96" s="1940">
        <f t="shared" si="32"/>
        <v>0</v>
      </c>
      <c r="G96" s="1993"/>
      <c r="H96" s="1940">
        <f t="shared" si="33"/>
        <v>0</v>
      </c>
      <c r="I96" s="1993"/>
      <c r="J96" s="1940">
        <f t="shared" si="34"/>
        <v>0</v>
      </c>
      <c r="K96" s="1993"/>
      <c r="L96" s="1940">
        <f t="shared" si="35"/>
        <v>0</v>
      </c>
      <c r="M96" s="1940">
        <f t="shared" si="36"/>
        <v>0</v>
      </c>
      <c r="N96" s="1940">
        <f t="shared" si="37"/>
        <v>0</v>
      </c>
      <c r="O96" s="1993"/>
      <c r="P96" s="1993"/>
      <c r="Q96" s="1940">
        <f t="shared" si="38"/>
        <v>0</v>
      </c>
      <c r="R96" s="1940">
        <f t="shared" si="39"/>
        <v>0</v>
      </c>
      <c r="S96" s="1940">
        <f t="shared" si="40"/>
        <v>0</v>
      </c>
      <c r="T96" s="1940">
        <f t="shared" si="41"/>
        <v>0</v>
      </c>
      <c r="U96" s="1940">
        <f t="shared" si="42"/>
        <v>0</v>
      </c>
      <c r="V96" s="1997"/>
      <c r="W96" s="1997"/>
      <c r="X96" s="1997"/>
      <c r="Y96" s="1997"/>
      <c r="Z96" s="1997"/>
      <c r="AA96" s="1997"/>
      <c r="AB96" s="1997"/>
      <c r="AC96" s="1997"/>
      <c r="AD96" s="1997"/>
      <c r="AE96" s="1997"/>
      <c r="AF96" s="1997"/>
      <c r="AG96" s="1997"/>
      <c r="AH96" s="1997"/>
      <c r="AI96" s="1997"/>
      <c r="AJ96" s="1997"/>
      <c r="AK96" s="1997"/>
      <c r="AL96" s="1997"/>
      <c r="AM96" s="1997"/>
      <c r="AN96" s="1997"/>
      <c r="AO96" s="1997"/>
      <c r="AP96" s="1997"/>
      <c r="AQ96" s="1997"/>
      <c r="AR96" s="1997"/>
      <c r="AS96" s="1997"/>
      <c r="AT96" s="1997"/>
      <c r="AU96" s="1997"/>
      <c r="AV96" s="1997"/>
      <c r="AW96" s="1997"/>
      <c r="AX96" s="1997"/>
      <c r="AY96" s="1997"/>
      <c r="AZ96" s="1997"/>
      <c r="BA96" s="1997"/>
      <c r="BB96" s="1997"/>
      <c r="BC96" s="1997"/>
      <c r="BD96" s="1997"/>
      <c r="BE96" s="1997"/>
      <c r="BF96" s="1997"/>
      <c r="BG96" s="1997"/>
      <c r="BH96" s="1997"/>
      <c r="BI96" s="1997"/>
      <c r="BJ96" s="1997"/>
      <c r="BK96" s="1997"/>
      <c r="BL96" s="1997"/>
      <c r="BM96" s="1997"/>
      <c r="BN96" s="1997"/>
      <c r="BO96" s="1997"/>
      <c r="BP96" s="1997"/>
      <c r="BQ96" s="1997"/>
      <c r="BR96" s="1997"/>
      <c r="BS96" s="1997"/>
      <c r="BT96" s="1997"/>
      <c r="BU96" s="1997"/>
      <c r="BV96" s="1997"/>
      <c r="BW96" s="1997"/>
      <c r="BX96" s="1997"/>
      <c r="BY96" s="1997"/>
      <c r="BZ96" s="1997"/>
      <c r="CA96" s="1997"/>
      <c r="CB96" s="1997"/>
      <c r="CC96" s="1997"/>
      <c r="CD96" s="1997"/>
      <c r="CE96" s="1997"/>
      <c r="CF96" s="1997"/>
      <c r="CG96" s="1997"/>
      <c r="CH96" s="1997"/>
      <c r="CI96" s="1997"/>
      <c r="CJ96" s="1997"/>
      <c r="CK96" s="1997"/>
      <c r="CL96" s="1997"/>
      <c r="CM96" s="1997"/>
      <c r="CN96" s="1997"/>
      <c r="CO96" s="1997"/>
      <c r="CP96" s="1997"/>
      <c r="CQ96" s="1997"/>
      <c r="CR96" s="1997"/>
      <c r="CS96" s="1997"/>
      <c r="CT96" s="1997"/>
      <c r="CU96" s="1997"/>
      <c r="CV96" s="1997"/>
      <c r="CW96" s="1997"/>
      <c r="CX96" s="1997"/>
      <c r="CY96" s="1997"/>
      <c r="CZ96" s="1997"/>
      <c r="DA96" s="1997"/>
      <c r="DB96" s="1997"/>
      <c r="DC96" s="1997"/>
      <c r="DD96" s="1997"/>
      <c r="DE96" s="1997"/>
      <c r="DF96" s="1997"/>
      <c r="DG96" s="1997"/>
      <c r="DH96" s="1997"/>
      <c r="DI96" s="1997"/>
      <c r="DJ96" s="1997"/>
      <c r="DK96" s="1997"/>
      <c r="DL96" s="1997"/>
      <c r="DM96" s="1997"/>
      <c r="DN96" s="1997"/>
      <c r="DO96" s="1997"/>
      <c r="DP96" s="1997"/>
      <c r="DQ96" s="1997"/>
      <c r="DR96" s="1997"/>
      <c r="DS96" s="1997"/>
      <c r="DT96" s="1997"/>
      <c r="DU96" s="1997"/>
      <c r="DV96" s="1997"/>
      <c r="DW96" s="1997"/>
      <c r="DX96" s="1997"/>
      <c r="DY96" s="1997"/>
      <c r="DZ96" s="1997"/>
      <c r="EA96" s="1997"/>
      <c r="EB96" s="1997"/>
      <c r="EC96" s="1997"/>
      <c r="ED96" s="1997"/>
      <c r="EE96" s="1997"/>
      <c r="EF96" s="1997"/>
      <c r="EG96" s="1997"/>
      <c r="EH96" s="1997"/>
      <c r="EI96" s="1997"/>
      <c r="EJ96" s="1997"/>
      <c r="EK96" s="1997"/>
      <c r="EL96" s="1997"/>
      <c r="EM96" s="1997"/>
      <c r="EN96" s="1997"/>
      <c r="EO96" s="1997"/>
      <c r="EP96" s="1997"/>
      <c r="EQ96" s="1997"/>
      <c r="ER96" s="1997"/>
      <c r="ES96" s="1997"/>
      <c r="ET96" s="1997"/>
      <c r="EU96" s="1997"/>
      <c r="EV96" s="1997"/>
      <c r="EW96" s="1997"/>
      <c r="EX96" s="1997"/>
      <c r="EY96" s="1997"/>
      <c r="EZ96" s="1997"/>
      <c r="FA96" s="1997"/>
      <c r="FB96" s="1997"/>
      <c r="FC96" s="1997"/>
      <c r="FD96" s="1997"/>
      <c r="FE96" s="1997"/>
      <c r="FF96" s="1997"/>
      <c r="FG96" s="1997"/>
      <c r="FH96" s="1997"/>
      <c r="FI96" s="1997"/>
      <c r="FJ96" s="1997"/>
      <c r="FK96" s="1997"/>
      <c r="FL96" s="1997"/>
      <c r="FM96" s="1997"/>
      <c r="FN96" s="1997"/>
      <c r="FO96" s="1997"/>
      <c r="FP96" s="1997"/>
      <c r="FQ96" s="1997"/>
      <c r="FR96" s="1997"/>
      <c r="FS96" s="1997"/>
      <c r="FT96" s="1997"/>
      <c r="FU96" s="1997"/>
      <c r="FV96" s="1997"/>
      <c r="FW96" s="1997"/>
      <c r="FX96" s="1997"/>
      <c r="FY96" s="1997"/>
      <c r="FZ96" s="1997"/>
      <c r="GA96" s="1997"/>
      <c r="GB96" s="1997"/>
      <c r="GC96" s="1997"/>
      <c r="GD96" s="1997"/>
      <c r="GE96" s="1997"/>
      <c r="GF96" s="1997"/>
      <c r="GG96" s="1997"/>
      <c r="GH96" s="1997"/>
      <c r="GI96" s="1997"/>
      <c r="GJ96" s="1997"/>
      <c r="GK96" s="1997"/>
      <c r="GL96" s="1997"/>
      <c r="GM96" s="1997"/>
      <c r="GN96" s="1997"/>
      <c r="GO96" s="1997"/>
      <c r="GP96" s="1997"/>
      <c r="GQ96" s="1997"/>
      <c r="GR96" s="1997"/>
      <c r="GS96" s="1997"/>
      <c r="GT96" s="1997"/>
      <c r="GU96" s="1997"/>
      <c r="GV96" s="1997"/>
      <c r="GW96" s="1997"/>
      <c r="GX96" s="1997"/>
      <c r="GY96" s="1997"/>
      <c r="GZ96" s="1997"/>
      <c r="HA96" s="1997"/>
      <c r="HB96" s="1997"/>
      <c r="HC96" s="1997"/>
      <c r="HD96" s="1997"/>
      <c r="HE96" s="1997"/>
      <c r="HF96" s="1997"/>
      <c r="HG96" s="1997"/>
      <c r="HH96" s="1997"/>
      <c r="HI96" s="1997"/>
      <c r="HJ96" s="1997"/>
      <c r="HK96" s="1997"/>
      <c r="HL96" s="1997"/>
      <c r="HM96" s="1997"/>
      <c r="HN96" s="1997"/>
      <c r="HO96" s="1997"/>
      <c r="HP96" s="1997"/>
      <c r="HQ96" s="1997"/>
      <c r="HR96" s="1997"/>
      <c r="HS96" s="1997"/>
      <c r="HT96" s="1997"/>
      <c r="HU96" s="1997"/>
      <c r="HV96" s="1997"/>
      <c r="HW96" s="1997"/>
      <c r="HX96" s="1997"/>
      <c r="HY96" s="1997"/>
      <c r="HZ96" s="1997"/>
      <c r="IA96" s="1997"/>
      <c r="IB96" s="1997"/>
      <c r="IC96" s="1997"/>
      <c r="ID96" s="1997"/>
      <c r="IE96" s="1997"/>
      <c r="IF96" s="1997"/>
      <c r="IG96" s="1997"/>
      <c r="IH96" s="1997"/>
      <c r="II96" s="1997"/>
      <c r="IJ96" s="1997"/>
      <c r="IK96" s="1997"/>
      <c r="IL96" s="1997"/>
      <c r="IM96" s="1997"/>
      <c r="IN96" s="1997"/>
      <c r="IO96" s="1997"/>
      <c r="IP96" s="1997"/>
      <c r="IQ96" s="1997"/>
    </row>
    <row r="97" spans="1:251" hidden="1">
      <c r="A97" s="1993"/>
      <c r="B97" s="1998"/>
      <c r="C97" s="1998"/>
      <c r="D97" s="2034"/>
      <c r="E97" s="1998"/>
      <c r="F97" s="1940">
        <f t="shared" si="32"/>
        <v>0</v>
      </c>
      <c r="G97" s="1993"/>
      <c r="H97" s="1940">
        <f t="shared" si="33"/>
        <v>0</v>
      </c>
      <c r="I97" s="1993"/>
      <c r="J97" s="1940">
        <f t="shared" si="34"/>
        <v>0</v>
      </c>
      <c r="K97" s="1993"/>
      <c r="L97" s="1940">
        <f t="shared" si="35"/>
        <v>0</v>
      </c>
      <c r="M97" s="1940">
        <f t="shared" si="36"/>
        <v>0</v>
      </c>
      <c r="N97" s="1940">
        <f t="shared" si="37"/>
        <v>0</v>
      </c>
      <c r="O97" s="1993"/>
      <c r="P97" s="1993"/>
      <c r="Q97" s="1940">
        <f t="shared" si="38"/>
        <v>0</v>
      </c>
      <c r="R97" s="1940">
        <f t="shared" si="39"/>
        <v>0</v>
      </c>
      <c r="S97" s="1940">
        <f t="shared" si="40"/>
        <v>0</v>
      </c>
      <c r="T97" s="1940">
        <f t="shared" si="41"/>
        <v>0</v>
      </c>
      <c r="U97" s="1940">
        <f t="shared" si="42"/>
        <v>0</v>
      </c>
      <c r="V97" s="1997"/>
      <c r="W97" s="1997"/>
      <c r="X97" s="1997"/>
      <c r="Y97" s="1997"/>
      <c r="Z97" s="1997"/>
      <c r="AA97" s="1997"/>
      <c r="AB97" s="1997"/>
      <c r="AC97" s="1997"/>
      <c r="AD97" s="1997"/>
      <c r="AE97" s="1997"/>
      <c r="AF97" s="1997"/>
      <c r="AG97" s="1997"/>
      <c r="AH97" s="1997"/>
      <c r="AI97" s="1997"/>
      <c r="AJ97" s="1997"/>
      <c r="AK97" s="1997"/>
      <c r="AL97" s="1997"/>
      <c r="AM97" s="1997"/>
      <c r="AN97" s="1997"/>
      <c r="AO97" s="1997"/>
      <c r="AP97" s="1997"/>
      <c r="AQ97" s="1997"/>
      <c r="AR97" s="1997"/>
      <c r="AS97" s="1997"/>
      <c r="AT97" s="1997"/>
      <c r="AU97" s="1997"/>
      <c r="AV97" s="1997"/>
      <c r="AW97" s="1997"/>
      <c r="AX97" s="1997"/>
      <c r="AY97" s="1997"/>
      <c r="AZ97" s="1997"/>
      <c r="BA97" s="1997"/>
      <c r="BB97" s="1997"/>
      <c r="BC97" s="1997"/>
      <c r="BD97" s="1997"/>
      <c r="BE97" s="1997"/>
      <c r="BF97" s="1997"/>
      <c r="BG97" s="1997"/>
      <c r="BH97" s="1997"/>
      <c r="BI97" s="1997"/>
      <c r="BJ97" s="1997"/>
      <c r="BK97" s="1997"/>
      <c r="BL97" s="1997"/>
      <c r="BM97" s="1997"/>
      <c r="BN97" s="1997"/>
      <c r="BO97" s="1997"/>
      <c r="BP97" s="1997"/>
      <c r="BQ97" s="1997"/>
      <c r="BR97" s="1997"/>
      <c r="BS97" s="1997"/>
      <c r="BT97" s="1997"/>
      <c r="BU97" s="1997"/>
      <c r="BV97" s="1997"/>
      <c r="BW97" s="1997"/>
      <c r="BX97" s="1997"/>
      <c r="BY97" s="1997"/>
      <c r="BZ97" s="1997"/>
      <c r="CA97" s="1997"/>
      <c r="CB97" s="1997"/>
      <c r="CC97" s="1997"/>
      <c r="CD97" s="1997"/>
      <c r="CE97" s="1997"/>
      <c r="CF97" s="1997"/>
      <c r="CG97" s="1997"/>
      <c r="CH97" s="1997"/>
      <c r="CI97" s="1997"/>
      <c r="CJ97" s="1997"/>
      <c r="CK97" s="1997"/>
      <c r="CL97" s="1997"/>
      <c r="CM97" s="1997"/>
      <c r="CN97" s="1997"/>
      <c r="CO97" s="1997"/>
      <c r="CP97" s="1997"/>
      <c r="CQ97" s="1997"/>
      <c r="CR97" s="1997"/>
      <c r="CS97" s="1997"/>
      <c r="CT97" s="1997"/>
      <c r="CU97" s="1997"/>
      <c r="CV97" s="1997"/>
      <c r="CW97" s="1997"/>
      <c r="CX97" s="1997"/>
      <c r="CY97" s="1997"/>
      <c r="CZ97" s="1997"/>
      <c r="DA97" s="1997"/>
      <c r="DB97" s="1997"/>
      <c r="DC97" s="1997"/>
      <c r="DD97" s="1997"/>
      <c r="DE97" s="1997"/>
      <c r="DF97" s="1997"/>
      <c r="DG97" s="1997"/>
      <c r="DH97" s="1997"/>
      <c r="DI97" s="1997"/>
      <c r="DJ97" s="1997"/>
      <c r="DK97" s="1997"/>
      <c r="DL97" s="1997"/>
      <c r="DM97" s="1997"/>
      <c r="DN97" s="1997"/>
      <c r="DO97" s="1997"/>
      <c r="DP97" s="1997"/>
      <c r="DQ97" s="1997"/>
      <c r="DR97" s="1997"/>
      <c r="DS97" s="1997"/>
      <c r="DT97" s="1997"/>
      <c r="DU97" s="1997"/>
      <c r="DV97" s="1997"/>
      <c r="DW97" s="1997"/>
      <c r="DX97" s="1997"/>
      <c r="DY97" s="1997"/>
      <c r="DZ97" s="1997"/>
      <c r="EA97" s="1997"/>
      <c r="EB97" s="1997"/>
      <c r="EC97" s="1997"/>
      <c r="ED97" s="1997"/>
      <c r="EE97" s="1997"/>
      <c r="EF97" s="1997"/>
      <c r="EG97" s="1997"/>
      <c r="EH97" s="1997"/>
      <c r="EI97" s="1997"/>
      <c r="EJ97" s="1997"/>
      <c r="EK97" s="1997"/>
      <c r="EL97" s="1997"/>
      <c r="EM97" s="1997"/>
      <c r="EN97" s="1997"/>
      <c r="EO97" s="1997"/>
      <c r="EP97" s="1997"/>
      <c r="EQ97" s="1997"/>
      <c r="ER97" s="1997"/>
      <c r="ES97" s="1997"/>
      <c r="ET97" s="1997"/>
      <c r="EU97" s="1997"/>
      <c r="EV97" s="1997"/>
      <c r="EW97" s="1997"/>
      <c r="EX97" s="1997"/>
      <c r="EY97" s="1997"/>
      <c r="EZ97" s="1997"/>
      <c r="FA97" s="1997"/>
      <c r="FB97" s="1997"/>
      <c r="FC97" s="1997"/>
      <c r="FD97" s="1997"/>
      <c r="FE97" s="1997"/>
      <c r="FF97" s="1997"/>
      <c r="FG97" s="1997"/>
      <c r="FH97" s="1997"/>
      <c r="FI97" s="1997"/>
      <c r="FJ97" s="1997"/>
      <c r="FK97" s="1997"/>
      <c r="FL97" s="1997"/>
      <c r="FM97" s="1997"/>
      <c r="FN97" s="1997"/>
      <c r="FO97" s="1997"/>
      <c r="FP97" s="1997"/>
      <c r="FQ97" s="1997"/>
      <c r="FR97" s="1997"/>
      <c r="FS97" s="1997"/>
      <c r="FT97" s="1997"/>
      <c r="FU97" s="1997"/>
      <c r="FV97" s="1997"/>
      <c r="FW97" s="1997"/>
      <c r="FX97" s="1997"/>
      <c r="FY97" s="1997"/>
      <c r="FZ97" s="1997"/>
      <c r="GA97" s="1997"/>
      <c r="GB97" s="1997"/>
      <c r="GC97" s="1997"/>
      <c r="GD97" s="1997"/>
      <c r="GE97" s="1997"/>
      <c r="GF97" s="1997"/>
      <c r="GG97" s="1997"/>
      <c r="GH97" s="1997"/>
      <c r="GI97" s="1997"/>
      <c r="GJ97" s="1997"/>
      <c r="GK97" s="1997"/>
      <c r="GL97" s="1997"/>
      <c r="GM97" s="1997"/>
      <c r="GN97" s="1997"/>
      <c r="GO97" s="1997"/>
      <c r="GP97" s="1997"/>
      <c r="GQ97" s="1997"/>
      <c r="GR97" s="1997"/>
      <c r="GS97" s="1997"/>
      <c r="GT97" s="1997"/>
      <c r="GU97" s="1997"/>
      <c r="GV97" s="1997"/>
      <c r="GW97" s="1997"/>
      <c r="GX97" s="1997"/>
      <c r="GY97" s="1997"/>
      <c r="GZ97" s="1997"/>
      <c r="HA97" s="1997"/>
      <c r="HB97" s="1997"/>
      <c r="HC97" s="1997"/>
      <c r="HD97" s="1997"/>
      <c r="HE97" s="1997"/>
      <c r="HF97" s="1997"/>
      <c r="HG97" s="1997"/>
      <c r="HH97" s="1997"/>
      <c r="HI97" s="1997"/>
      <c r="HJ97" s="1997"/>
      <c r="HK97" s="1997"/>
      <c r="HL97" s="1997"/>
      <c r="HM97" s="1997"/>
      <c r="HN97" s="1997"/>
      <c r="HO97" s="1997"/>
      <c r="HP97" s="1997"/>
      <c r="HQ97" s="1997"/>
      <c r="HR97" s="1997"/>
      <c r="HS97" s="1997"/>
      <c r="HT97" s="1997"/>
      <c r="HU97" s="1997"/>
      <c r="HV97" s="1997"/>
      <c r="HW97" s="1997"/>
      <c r="HX97" s="1997"/>
      <c r="HY97" s="1997"/>
      <c r="HZ97" s="1997"/>
      <c r="IA97" s="1997"/>
      <c r="IB97" s="1997"/>
      <c r="IC97" s="1997"/>
      <c r="ID97" s="1997"/>
      <c r="IE97" s="1997"/>
      <c r="IF97" s="1997"/>
      <c r="IG97" s="1997"/>
      <c r="IH97" s="1997"/>
      <c r="II97" s="1997"/>
      <c r="IJ97" s="1997"/>
      <c r="IK97" s="1997"/>
      <c r="IL97" s="1997"/>
      <c r="IM97" s="1997"/>
      <c r="IN97" s="1997"/>
      <c r="IO97" s="1997"/>
      <c r="IP97" s="1997"/>
      <c r="IQ97" s="1997"/>
    </row>
    <row r="98" spans="1:251" hidden="1">
      <c r="A98" s="1993"/>
      <c r="B98" s="1998"/>
      <c r="C98" s="1998"/>
      <c r="D98" s="2034"/>
      <c r="E98" s="1998"/>
      <c r="F98" s="1940">
        <f t="shared" si="32"/>
        <v>0</v>
      </c>
      <c r="G98" s="1993"/>
      <c r="H98" s="1940">
        <f t="shared" si="33"/>
        <v>0</v>
      </c>
      <c r="I98" s="1993"/>
      <c r="J98" s="1940">
        <f t="shared" si="34"/>
        <v>0</v>
      </c>
      <c r="K98" s="1993"/>
      <c r="L98" s="1940">
        <f t="shared" si="35"/>
        <v>0</v>
      </c>
      <c r="M98" s="1940">
        <f t="shared" si="36"/>
        <v>0</v>
      </c>
      <c r="N98" s="1940">
        <f t="shared" si="37"/>
        <v>0</v>
      </c>
      <c r="O98" s="1993"/>
      <c r="P98" s="1993"/>
      <c r="Q98" s="1940">
        <f t="shared" si="38"/>
        <v>0</v>
      </c>
      <c r="R98" s="1940">
        <f t="shared" si="39"/>
        <v>0</v>
      </c>
      <c r="S98" s="1940">
        <f t="shared" si="40"/>
        <v>0</v>
      </c>
      <c r="T98" s="1940">
        <f t="shared" si="41"/>
        <v>0</v>
      </c>
      <c r="U98" s="1940">
        <f t="shared" si="42"/>
        <v>0</v>
      </c>
      <c r="V98" s="1997"/>
      <c r="W98" s="1997"/>
      <c r="X98" s="1997"/>
      <c r="Y98" s="1997"/>
      <c r="Z98" s="1997"/>
      <c r="AA98" s="1997"/>
      <c r="AB98" s="1997"/>
      <c r="AC98" s="1997"/>
      <c r="AD98" s="1997"/>
      <c r="AE98" s="1997"/>
      <c r="AF98" s="1997"/>
      <c r="AG98" s="1997"/>
      <c r="AH98" s="1997"/>
      <c r="AI98" s="1997"/>
      <c r="AJ98" s="1997"/>
      <c r="AK98" s="1997"/>
      <c r="AL98" s="1997"/>
      <c r="AM98" s="1997"/>
      <c r="AN98" s="1997"/>
      <c r="AO98" s="1997"/>
      <c r="AP98" s="1997"/>
      <c r="AQ98" s="1997"/>
      <c r="AR98" s="1997"/>
      <c r="AS98" s="1997"/>
      <c r="AT98" s="1997"/>
      <c r="AU98" s="1997"/>
      <c r="AV98" s="1997"/>
      <c r="AW98" s="1997"/>
      <c r="AX98" s="1997"/>
      <c r="AY98" s="1997"/>
      <c r="AZ98" s="1997"/>
      <c r="BA98" s="1997"/>
      <c r="BB98" s="1997"/>
      <c r="BC98" s="1997"/>
      <c r="BD98" s="1997"/>
      <c r="BE98" s="1997"/>
      <c r="BF98" s="1997"/>
      <c r="BG98" s="1997"/>
      <c r="BH98" s="1997"/>
      <c r="BI98" s="1997"/>
      <c r="BJ98" s="1997"/>
      <c r="BK98" s="1997"/>
      <c r="BL98" s="1997"/>
      <c r="BM98" s="1997"/>
      <c r="BN98" s="1997"/>
      <c r="BO98" s="1997"/>
      <c r="BP98" s="1997"/>
      <c r="BQ98" s="1997"/>
      <c r="BR98" s="1997"/>
      <c r="BS98" s="1997"/>
      <c r="BT98" s="1997"/>
      <c r="BU98" s="1997"/>
      <c r="BV98" s="1997"/>
      <c r="BW98" s="1997"/>
      <c r="BX98" s="1997"/>
      <c r="BY98" s="1997"/>
      <c r="BZ98" s="1997"/>
      <c r="CA98" s="1997"/>
      <c r="CB98" s="1997"/>
      <c r="CC98" s="1997"/>
      <c r="CD98" s="1997"/>
      <c r="CE98" s="1997"/>
      <c r="CF98" s="1997"/>
      <c r="CG98" s="1997"/>
      <c r="CH98" s="1997"/>
      <c r="CI98" s="1997"/>
      <c r="CJ98" s="1997"/>
      <c r="CK98" s="1997"/>
      <c r="CL98" s="1997"/>
      <c r="CM98" s="1997"/>
      <c r="CN98" s="1997"/>
      <c r="CO98" s="1997"/>
      <c r="CP98" s="1997"/>
      <c r="CQ98" s="1997"/>
      <c r="CR98" s="1997"/>
      <c r="CS98" s="1997"/>
      <c r="CT98" s="1997"/>
      <c r="CU98" s="1997"/>
      <c r="CV98" s="1997"/>
      <c r="CW98" s="1997"/>
      <c r="CX98" s="1997"/>
      <c r="CY98" s="1997"/>
      <c r="CZ98" s="1997"/>
      <c r="DA98" s="1997"/>
      <c r="DB98" s="1997"/>
      <c r="DC98" s="1997"/>
      <c r="DD98" s="1997"/>
      <c r="DE98" s="1997"/>
      <c r="DF98" s="1997"/>
      <c r="DG98" s="1997"/>
      <c r="DH98" s="1997"/>
      <c r="DI98" s="1997"/>
      <c r="DJ98" s="1997"/>
      <c r="DK98" s="1997"/>
      <c r="DL98" s="1997"/>
      <c r="DM98" s="1997"/>
      <c r="DN98" s="1997"/>
      <c r="DO98" s="1997"/>
      <c r="DP98" s="1997"/>
      <c r="DQ98" s="1997"/>
      <c r="DR98" s="1997"/>
      <c r="DS98" s="1997"/>
      <c r="DT98" s="1997"/>
      <c r="DU98" s="1997"/>
      <c r="DV98" s="1997"/>
      <c r="DW98" s="1997"/>
      <c r="DX98" s="1997"/>
      <c r="DY98" s="1997"/>
      <c r="DZ98" s="1997"/>
      <c r="EA98" s="1997"/>
      <c r="EB98" s="1997"/>
      <c r="EC98" s="1997"/>
      <c r="ED98" s="1997"/>
      <c r="EE98" s="1997"/>
      <c r="EF98" s="1997"/>
      <c r="EG98" s="1997"/>
      <c r="EH98" s="1997"/>
      <c r="EI98" s="1997"/>
      <c r="EJ98" s="1997"/>
      <c r="EK98" s="1997"/>
      <c r="EL98" s="1997"/>
      <c r="EM98" s="1997"/>
      <c r="EN98" s="1997"/>
      <c r="EO98" s="1997"/>
      <c r="EP98" s="1997"/>
      <c r="EQ98" s="1997"/>
      <c r="ER98" s="1997"/>
      <c r="ES98" s="1997"/>
      <c r="ET98" s="1997"/>
      <c r="EU98" s="1997"/>
      <c r="EV98" s="1997"/>
      <c r="EW98" s="1997"/>
      <c r="EX98" s="1997"/>
      <c r="EY98" s="1997"/>
      <c r="EZ98" s="1997"/>
      <c r="FA98" s="1997"/>
      <c r="FB98" s="1997"/>
      <c r="FC98" s="1997"/>
      <c r="FD98" s="1997"/>
      <c r="FE98" s="1997"/>
      <c r="FF98" s="1997"/>
      <c r="FG98" s="1997"/>
      <c r="FH98" s="1997"/>
      <c r="FI98" s="1997"/>
      <c r="FJ98" s="1997"/>
      <c r="FK98" s="1997"/>
      <c r="FL98" s="1997"/>
      <c r="FM98" s="1997"/>
      <c r="FN98" s="1997"/>
      <c r="FO98" s="1997"/>
      <c r="FP98" s="1997"/>
      <c r="FQ98" s="1997"/>
      <c r="FR98" s="1997"/>
      <c r="FS98" s="1997"/>
      <c r="FT98" s="1997"/>
      <c r="FU98" s="1997"/>
      <c r="FV98" s="1997"/>
      <c r="FW98" s="1997"/>
      <c r="FX98" s="1997"/>
      <c r="FY98" s="1997"/>
      <c r="FZ98" s="1997"/>
      <c r="GA98" s="1997"/>
      <c r="GB98" s="1997"/>
      <c r="GC98" s="1997"/>
      <c r="GD98" s="1997"/>
      <c r="GE98" s="1997"/>
      <c r="GF98" s="1997"/>
      <c r="GG98" s="1997"/>
      <c r="GH98" s="1997"/>
      <c r="GI98" s="1997"/>
      <c r="GJ98" s="1997"/>
      <c r="GK98" s="1997"/>
      <c r="GL98" s="1997"/>
      <c r="GM98" s="1997"/>
      <c r="GN98" s="1997"/>
      <c r="GO98" s="1997"/>
      <c r="GP98" s="1997"/>
      <c r="GQ98" s="1997"/>
      <c r="GR98" s="1997"/>
      <c r="GS98" s="1997"/>
      <c r="GT98" s="1997"/>
      <c r="GU98" s="1997"/>
      <c r="GV98" s="1997"/>
      <c r="GW98" s="1997"/>
      <c r="GX98" s="1997"/>
      <c r="GY98" s="1997"/>
      <c r="GZ98" s="1997"/>
      <c r="HA98" s="1997"/>
      <c r="HB98" s="1997"/>
      <c r="HC98" s="1997"/>
      <c r="HD98" s="1997"/>
      <c r="HE98" s="1997"/>
      <c r="HF98" s="1997"/>
      <c r="HG98" s="1997"/>
      <c r="HH98" s="1997"/>
      <c r="HI98" s="1997"/>
      <c r="HJ98" s="1997"/>
      <c r="HK98" s="1997"/>
      <c r="HL98" s="1997"/>
      <c r="HM98" s="1997"/>
      <c r="HN98" s="1997"/>
      <c r="HO98" s="1997"/>
      <c r="HP98" s="1997"/>
      <c r="HQ98" s="1997"/>
      <c r="HR98" s="1997"/>
      <c r="HS98" s="1997"/>
      <c r="HT98" s="1997"/>
      <c r="HU98" s="1997"/>
      <c r="HV98" s="1997"/>
      <c r="HW98" s="1997"/>
      <c r="HX98" s="1997"/>
      <c r="HY98" s="1997"/>
      <c r="HZ98" s="1997"/>
      <c r="IA98" s="1997"/>
      <c r="IB98" s="1997"/>
      <c r="IC98" s="1997"/>
      <c r="ID98" s="1997"/>
      <c r="IE98" s="1997"/>
      <c r="IF98" s="1997"/>
      <c r="IG98" s="1997"/>
      <c r="IH98" s="1997"/>
      <c r="II98" s="1997"/>
      <c r="IJ98" s="1997"/>
      <c r="IK98" s="1997"/>
      <c r="IL98" s="1997"/>
      <c r="IM98" s="1997"/>
      <c r="IN98" s="1997"/>
      <c r="IO98" s="1997"/>
      <c r="IP98" s="1997"/>
      <c r="IQ98" s="1997"/>
    </row>
    <row r="99" spans="1:251" hidden="1">
      <c r="A99" s="1993"/>
      <c r="B99" s="1998"/>
      <c r="C99" s="1998"/>
      <c r="D99" s="2034"/>
      <c r="E99" s="1998"/>
      <c r="F99" s="1940">
        <f t="shared" si="32"/>
        <v>0</v>
      </c>
      <c r="G99" s="1993"/>
      <c r="H99" s="1940">
        <f t="shared" si="33"/>
        <v>0</v>
      </c>
      <c r="I99" s="1993"/>
      <c r="J99" s="1940">
        <f t="shared" si="34"/>
        <v>0</v>
      </c>
      <c r="K99" s="1993"/>
      <c r="L99" s="1940">
        <f t="shared" si="35"/>
        <v>0</v>
      </c>
      <c r="M99" s="1940">
        <f t="shared" si="36"/>
        <v>0</v>
      </c>
      <c r="N99" s="1940">
        <f t="shared" si="37"/>
        <v>0</v>
      </c>
      <c r="O99" s="1993"/>
      <c r="P99" s="1993"/>
      <c r="Q99" s="1940">
        <f t="shared" si="38"/>
        <v>0</v>
      </c>
      <c r="R99" s="1940">
        <f t="shared" si="39"/>
        <v>0</v>
      </c>
      <c r="S99" s="1940">
        <f t="shared" si="40"/>
        <v>0</v>
      </c>
      <c r="T99" s="1940">
        <f t="shared" si="41"/>
        <v>0</v>
      </c>
      <c r="U99" s="1940">
        <f t="shared" si="42"/>
        <v>0</v>
      </c>
      <c r="V99" s="1997"/>
      <c r="W99" s="1997"/>
      <c r="X99" s="1997"/>
      <c r="Y99" s="1997"/>
      <c r="Z99" s="1997"/>
      <c r="AA99" s="1997"/>
      <c r="AB99" s="1997"/>
      <c r="AC99" s="1997"/>
      <c r="AD99" s="1997"/>
      <c r="AE99" s="1997"/>
      <c r="AF99" s="1997"/>
      <c r="AG99" s="1997"/>
      <c r="AH99" s="1997"/>
      <c r="AI99" s="1997"/>
      <c r="AJ99" s="1997"/>
      <c r="AK99" s="1997"/>
      <c r="AL99" s="1997"/>
      <c r="AM99" s="1997"/>
      <c r="AN99" s="1997"/>
      <c r="AO99" s="1997"/>
      <c r="AP99" s="1997"/>
      <c r="AQ99" s="1997"/>
      <c r="AR99" s="1997"/>
      <c r="AS99" s="1997"/>
      <c r="AT99" s="1997"/>
      <c r="AU99" s="1997"/>
      <c r="AV99" s="1997"/>
      <c r="AW99" s="1997"/>
      <c r="AX99" s="1997"/>
      <c r="AY99" s="1997"/>
      <c r="AZ99" s="1997"/>
      <c r="BA99" s="1997"/>
      <c r="BB99" s="1997"/>
      <c r="BC99" s="1997"/>
      <c r="BD99" s="1997"/>
      <c r="BE99" s="1997"/>
      <c r="BF99" s="1997"/>
      <c r="BG99" s="1997"/>
      <c r="BH99" s="1997"/>
      <c r="BI99" s="1997"/>
      <c r="BJ99" s="1997"/>
      <c r="BK99" s="1997"/>
      <c r="BL99" s="1997"/>
      <c r="BM99" s="1997"/>
      <c r="BN99" s="1997"/>
      <c r="BO99" s="1997"/>
      <c r="BP99" s="1997"/>
      <c r="BQ99" s="1997"/>
      <c r="BR99" s="1997"/>
      <c r="BS99" s="1997"/>
      <c r="BT99" s="1997"/>
      <c r="BU99" s="1997"/>
      <c r="BV99" s="1997"/>
      <c r="BW99" s="1997"/>
      <c r="BX99" s="1997"/>
      <c r="BY99" s="1997"/>
      <c r="BZ99" s="1997"/>
      <c r="CA99" s="1997"/>
      <c r="CB99" s="1997"/>
      <c r="CC99" s="1997"/>
      <c r="CD99" s="1997"/>
      <c r="CE99" s="1997"/>
      <c r="CF99" s="1997"/>
      <c r="CG99" s="1997"/>
      <c r="CH99" s="1997"/>
      <c r="CI99" s="1997"/>
      <c r="CJ99" s="1997"/>
      <c r="CK99" s="1997"/>
      <c r="CL99" s="1997"/>
      <c r="CM99" s="1997"/>
      <c r="CN99" s="1997"/>
      <c r="CO99" s="1997"/>
      <c r="CP99" s="1997"/>
      <c r="CQ99" s="1997"/>
      <c r="CR99" s="1997"/>
      <c r="CS99" s="1997"/>
      <c r="CT99" s="1997"/>
      <c r="CU99" s="1997"/>
      <c r="CV99" s="1997"/>
      <c r="CW99" s="1997"/>
      <c r="CX99" s="1997"/>
      <c r="CY99" s="1997"/>
      <c r="CZ99" s="1997"/>
      <c r="DA99" s="1997"/>
      <c r="DB99" s="1997"/>
      <c r="DC99" s="1997"/>
      <c r="DD99" s="1997"/>
      <c r="DE99" s="1997"/>
      <c r="DF99" s="1997"/>
      <c r="DG99" s="1997"/>
      <c r="DH99" s="1997"/>
      <c r="DI99" s="1997"/>
      <c r="DJ99" s="1997"/>
      <c r="DK99" s="1997"/>
      <c r="DL99" s="1997"/>
      <c r="DM99" s="1997"/>
      <c r="DN99" s="1997"/>
      <c r="DO99" s="1997"/>
      <c r="DP99" s="1997"/>
      <c r="DQ99" s="1997"/>
      <c r="DR99" s="1997"/>
      <c r="DS99" s="1997"/>
      <c r="DT99" s="1997"/>
      <c r="DU99" s="1997"/>
      <c r="DV99" s="1997"/>
      <c r="DW99" s="1997"/>
      <c r="DX99" s="1997"/>
      <c r="DY99" s="1997"/>
      <c r="DZ99" s="1997"/>
      <c r="EA99" s="1997"/>
      <c r="EB99" s="1997"/>
      <c r="EC99" s="1997"/>
      <c r="ED99" s="1997"/>
      <c r="EE99" s="1997"/>
      <c r="EF99" s="1997"/>
      <c r="EG99" s="1997"/>
      <c r="EH99" s="1997"/>
      <c r="EI99" s="1997"/>
      <c r="EJ99" s="1997"/>
      <c r="EK99" s="1997"/>
      <c r="EL99" s="1997"/>
      <c r="EM99" s="1997"/>
      <c r="EN99" s="1997"/>
      <c r="EO99" s="1997"/>
      <c r="EP99" s="1997"/>
      <c r="EQ99" s="1997"/>
      <c r="ER99" s="1997"/>
      <c r="ES99" s="1997"/>
      <c r="ET99" s="1997"/>
      <c r="EU99" s="1997"/>
      <c r="EV99" s="1997"/>
      <c r="EW99" s="1997"/>
      <c r="EX99" s="1997"/>
      <c r="EY99" s="1997"/>
      <c r="EZ99" s="1997"/>
      <c r="FA99" s="1997"/>
      <c r="FB99" s="1997"/>
      <c r="FC99" s="1997"/>
      <c r="FD99" s="1997"/>
      <c r="FE99" s="1997"/>
      <c r="FF99" s="1997"/>
      <c r="FG99" s="1997"/>
      <c r="FH99" s="1997"/>
      <c r="FI99" s="1997"/>
      <c r="FJ99" s="1997"/>
      <c r="FK99" s="1997"/>
      <c r="FL99" s="1997"/>
      <c r="FM99" s="1997"/>
      <c r="FN99" s="1997"/>
      <c r="FO99" s="1997"/>
      <c r="FP99" s="1997"/>
      <c r="FQ99" s="1997"/>
      <c r="FR99" s="1997"/>
      <c r="FS99" s="1997"/>
      <c r="FT99" s="1997"/>
      <c r="FU99" s="1997"/>
      <c r="FV99" s="1997"/>
      <c r="FW99" s="1997"/>
      <c r="FX99" s="1997"/>
      <c r="FY99" s="1997"/>
      <c r="FZ99" s="1997"/>
      <c r="GA99" s="1997"/>
      <c r="GB99" s="1997"/>
      <c r="GC99" s="1997"/>
      <c r="GD99" s="1997"/>
      <c r="GE99" s="1997"/>
      <c r="GF99" s="1997"/>
      <c r="GG99" s="1997"/>
      <c r="GH99" s="1997"/>
      <c r="GI99" s="1997"/>
      <c r="GJ99" s="1997"/>
      <c r="GK99" s="1997"/>
      <c r="GL99" s="1997"/>
      <c r="GM99" s="1997"/>
      <c r="GN99" s="1997"/>
      <c r="GO99" s="1997"/>
      <c r="GP99" s="1997"/>
      <c r="GQ99" s="1997"/>
      <c r="GR99" s="1997"/>
      <c r="GS99" s="1997"/>
      <c r="GT99" s="1997"/>
      <c r="GU99" s="1997"/>
      <c r="GV99" s="1997"/>
      <c r="GW99" s="1997"/>
      <c r="GX99" s="1997"/>
      <c r="GY99" s="1997"/>
      <c r="GZ99" s="1997"/>
      <c r="HA99" s="1997"/>
      <c r="HB99" s="1997"/>
      <c r="HC99" s="1997"/>
      <c r="HD99" s="1997"/>
      <c r="HE99" s="1997"/>
      <c r="HF99" s="1997"/>
      <c r="HG99" s="1997"/>
      <c r="HH99" s="1997"/>
      <c r="HI99" s="1997"/>
      <c r="HJ99" s="1997"/>
      <c r="HK99" s="1997"/>
      <c r="HL99" s="1997"/>
      <c r="HM99" s="1997"/>
      <c r="HN99" s="1997"/>
      <c r="HO99" s="1997"/>
      <c r="HP99" s="1997"/>
      <c r="HQ99" s="1997"/>
      <c r="HR99" s="1997"/>
      <c r="HS99" s="1997"/>
      <c r="HT99" s="1997"/>
      <c r="HU99" s="1997"/>
      <c r="HV99" s="1997"/>
      <c r="HW99" s="1997"/>
      <c r="HX99" s="1997"/>
      <c r="HY99" s="1997"/>
      <c r="HZ99" s="1997"/>
      <c r="IA99" s="1997"/>
      <c r="IB99" s="1997"/>
      <c r="IC99" s="1997"/>
      <c r="ID99" s="1997"/>
      <c r="IE99" s="1997"/>
      <c r="IF99" s="1997"/>
      <c r="IG99" s="1997"/>
      <c r="IH99" s="1997"/>
      <c r="II99" s="1997"/>
      <c r="IJ99" s="1997"/>
      <c r="IK99" s="1997"/>
      <c r="IL99" s="1997"/>
      <c r="IM99" s="1997"/>
      <c r="IN99" s="1997"/>
      <c r="IO99" s="1997"/>
      <c r="IP99" s="1997"/>
      <c r="IQ99" s="1997"/>
    </row>
    <row r="100" spans="1:251" hidden="1">
      <c r="A100" s="1993"/>
      <c r="B100" s="1998"/>
      <c r="C100" s="1998"/>
      <c r="D100" s="2034"/>
      <c r="E100" s="1998"/>
      <c r="F100" s="1940">
        <f t="shared" si="32"/>
        <v>0</v>
      </c>
      <c r="G100" s="1993"/>
      <c r="H100" s="1940">
        <f t="shared" si="33"/>
        <v>0</v>
      </c>
      <c r="I100" s="1993"/>
      <c r="J100" s="1940">
        <f t="shared" si="34"/>
        <v>0</v>
      </c>
      <c r="K100" s="1993"/>
      <c r="L100" s="1940">
        <f t="shared" si="35"/>
        <v>0</v>
      </c>
      <c r="M100" s="1940">
        <f t="shared" si="36"/>
        <v>0</v>
      </c>
      <c r="N100" s="1940">
        <f t="shared" si="37"/>
        <v>0</v>
      </c>
      <c r="O100" s="1993"/>
      <c r="P100" s="1993"/>
      <c r="Q100" s="1940">
        <f t="shared" si="38"/>
        <v>0</v>
      </c>
      <c r="R100" s="1940">
        <f t="shared" si="39"/>
        <v>0</v>
      </c>
      <c r="S100" s="1940">
        <f t="shared" si="40"/>
        <v>0</v>
      </c>
      <c r="T100" s="1940">
        <f t="shared" si="41"/>
        <v>0</v>
      </c>
      <c r="U100" s="1940">
        <f t="shared" si="42"/>
        <v>0</v>
      </c>
      <c r="V100" s="1997"/>
      <c r="W100" s="1997"/>
      <c r="X100" s="1997"/>
      <c r="Y100" s="1997"/>
      <c r="Z100" s="1997"/>
      <c r="AA100" s="1997"/>
      <c r="AB100" s="1997"/>
      <c r="AC100" s="1997"/>
      <c r="AD100" s="1997"/>
      <c r="AE100" s="1997"/>
      <c r="AF100" s="1997"/>
      <c r="AG100" s="1997"/>
      <c r="AH100" s="1997"/>
      <c r="AI100" s="1997"/>
      <c r="AJ100" s="1997"/>
      <c r="AK100" s="1997"/>
      <c r="AL100" s="1997"/>
      <c r="AM100" s="1997"/>
      <c r="AN100" s="1997"/>
      <c r="AO100" s="1997"/>
      <c r="AP100" s="1997"/>
      <c r="AQ100" s="1997"/>
      <c r="AR100" s="1997"/>
      <c r="AS100" s="1997"/>
      <c r="AT100" s="1997"/>
      <c r="AU100" s="1997"/>
      <c r="AV100" s="1997"/>
      <c r="AW100" s="1997"/>
      <c r="AX100" s="1997"/>
      <c r="AY100" s="1997"/>
      <c r="AZ100" s="1997"/>
      <c r="BA100" s="1997"/>
      <c r="BB100" s="1997"/>
      <c r="BC100" s="1997"/>
      <c r="BD100" s="1997"/>
      <c r="BE100" s="1997"/>
      <c r="BF100" s="1997"/>
      <c r="BG100" s="1997"/>
      <c r="BH100" s="1997"/>
      <c r="BI100" s="1997"/>
      <c r="BJ100" s="1997"/>
      <c r="BK100" s="1997"/>
      <c r="BL100" s="1997"/>
      <c r="BM100" s="1997"/>
      <c r="BN100" s="1997"/>
      <c r="BO100" s="1997"/>
      <c r="BP100" s="1997"/>
      <c r="BQ100" s="1997"/>
      <c r="BR100" s="1997"/>
      <c r="BS100" s="1997"/>
      <c r="BT100" s="1997"/>
      <c r="BU100" s="1997"/>
      <c r="BV100" s="1997"/>
      <c r="BW100" s="1997"/>
      <c r="BX100" s="1997"/>
      <c r="BY100" s="1997"/>
      <c r="BZ100" s="1997"/>
      <c r="CA100" s="1997"/>
      <c r="CB100" s="1997"/>
      <c r="CC100" s="1997"/>
      <c r="CD100" s="1997"/>
      <c r="CE100" s="1997"/>
      <c r="CF100" s="1997"/>
      <c r="CG100" s="1997"/>
      <c r="CH100" s="1997"/>
      <c r="CI100" s="1997"/>
      <c r="CJ100" s="1997"/>
      <c r="CK100" s="1997"/>
      <c r="CL100" s="1997"/>
      <c r="CM100" s="1997"/>
      <c r="CN100" s="1997"/>
      <c r="CO100" s="1997"/>
      <c r="CP100" s="1997"/>
      <c r="CQ100" s="1997"/>
      <c r="CR100" s="1997"/>
      <c r="CS100" s="1997"/>
      <c r="CT100" s="1997"/>
      <c r="CU100" s="1997"/>
      <c r="CV100" s="1997"/>
      <c r="CW100" s="1997"/>
      <c r="CX100" s="1997"/>
      <c r="CY100" s="1997"/>
      <c r="CZ100" s="1997"/>
      <c r="DA100" s="1997"/>
      <c r="DB100" s="1997"/>
      <c r="DC100" s="1997"/>
      <c r="DD100" s="1997"/>
      <c r="DE100" s="1997"/>
      <c r="DF100" s="1997"/>
      <c r="DG100" s="1997"/>
      <c r="DH100" s="1997"/>
      <c r="DI100" s="1997"/>
      <c r="DJ100" s="1997"/>
      <c r="DK100" s="1997"/>
      <c r="DL100" s="1997"/>
      <c r="DM100" s="1997"/>
      <c r="DN100" s="1997"/>
      <c r="DO100" s="1997"/>
      <c r="DP100" s="1997"/>
      <c r="DQ100" s="1997"/>
      <c r="DR100" s="1997"/>
      <c r="DS100" s="1997"/>
      <c r="DT100" s="1997"/>
      <c r="DU100" s="1997"/>
      <c r="DV100" s="1997"/>
      <c r="DW100" s="1997"/>
      <c r="DX100" s="1997"/>
      <c r="DY100" s="1997"/>
      <c r="DZ100" s="1997"/>
      <c r="EA100" s="1997"/>
      <c r="EB100" s="1997"/>
      <c r="EC100" s="1997"/>
      <c r="ED100" s="1997"/>
      <c r="EE100" s="1997"/>
      <c r="EF100" s="1997"/>
      <c r="EG100" s="1997"/>
      <c r="EH100" s="1997"/>
      <c r="EI100" s="1997"/>
      <c r="EJ100" s="1997"/>
      <c r="EK100" s="1997"/>
      <c r="EL100" s="1997"/>
      <c r="EM100" s="1997"/>
      <c r="EN100" s="1997"/>
      <c r="EO100" s="1997"/>
      <c r="EP100" s="1997"/>
      <c r="EQ100" s="1997"/>
      <c r="ER100" s="1997"/>
      <c r="ES100" s="1997"/>
      <c r="ET100" s="1997"/>
      <c r="EU100" s="1997"/>
      <c r="EV100" s="1997"/>
      <c r="EW100" s="1997"/>
      <c r="EX100" s="1997"/>
      <c r="EY100" s="1997"/>
      <c r="EZ100" s="1997"/>
      <c r="FA100" s="1997"/>
      <c r="FB100" s="1997"/>
      <c r="FC100" s="1997"/>
      <c r="FD100" s="1997"/>
      <c r="FE100" s="1997"/>
      <c r="FF100" s="1997"/>
      <c r="FG100" s="1997"/>
      <c r="FH100" s="1997"/>
      <c r="FI100" s="1997"/>
      <c r="FJ100" s="1997"/>
      <c r="FK100" s="1997"/>
      <c r="FL100" s="1997"/>
      <c r="FM100" s="1997"/>
      <c r="FN100" s="1997"/>
      <c r="FO100" s="1997"/>
      <c r="FP100" s="1997"/>
      <c r="FQ100" s="1997"/>
      <c r="FR100" s="1997"/>
      <c r="FS100" s="1997"/>
      <c r="FT100" s="1997"/>
      <c r="FU100" s="1997"/>
      <c r="FV100" s="1997"/>
      <c r="FW100" s="1997"/>
      <c r="FX100" s="1997"/>
      <c r="FY100" s="1997"/>
      <c r="FZ100" s="1997"/>
      <c r="GA100" s="1997"/>
      <c r="GB100" s="1997"/>
      <c r="GC100" s="1997"/>
      <c r="GD100" s="1997"/>
      <c r="GE100" s="1997"/>
      <c r="GF100" s="1997"/>
      <c r="GG100" s="1997"/>
      <c r="GH100" s="1997"/>
      <c r="GI100" s="1997"/>
      <c r="GJ100" s="1997"/>
      <c r="GK100" s="1997"/>
      <c r="GL100" s="1997"/>
      <c r="GM100" s="1997"/>
      <c r="GN100" s="1997"/>
      <c r="GO100" s="1997"/>
      <c r="GP100" s="1997"/>
      <c r="GQ100" s="1997"/>
      <c r="GR100" s="1997"/>
      <c r="GS100" s="1997"/>
      <c r="GT100" s="1997"/>
      <c r="GU100" s="1997"/>
      <c r="GV100" s="1997"/>
      <c r="GW100" s="1997"/>
      <c r="GX100" s="1997"/>
      <c r="GY100" s="1997"/>
      <c r="GZ100" s="1997"/>
      <c r="HA100" s="1997"/>
      <c r="HB100" s="1997"/>
      <c r="HC100" s="1997"/>
      <c r="HD100" s="1997"/>
      <c r="HE100" s="1997"/>
      <c r="HF100" s="1997"/>
      <c r="HG100" s="1997"/>
      <c r="HH100" s="1997"/>
      <c r="HI100" s="1997"/>
      <c r="HJ100" s="1997"/>
      <c r="HK100" s="1997"/>
      <c r="HL100" s="1997"/>
      <c r="HM100" s="1997"/>
      <c r="HN100" s="1997"/>
      <c r="HO100" s="1997"/>
      <c r="HP100" s="1997"/>
      <c r="HQ100" s="1997"/>
      <c r="HR100" s="1997"/>
      <c r="HS100" s="1997"/>
      <c r="HT100" s="1997"/>
      <c r="HU100" s="1997"/>
      <c r="HV100" s="1997"/>
      <c r="HW100" s="1997"/>
      <c r="HX100" s="1997"/>
      <c r="HY100" s="1997"/>
      <c r="HZ100" s="1997"/>
      <c r="IA100" s="1997"/>
      <c r="IB100" s="1997"/>
      <c r="IC100" s="1997"/>
      <c r="ID100" s="1997"/>
      <c r="IE100" s="1997"/>
      <c r="IF100" s="1997"/>
      <c r="IG100" s="1997"/>
      <c r="IH100" s="1997"/>
      <c r="II100" s="1997"/>
      <c r="IJ100" s="1997"/>
      <c r="IK100" s="1997"/>
      <c r="IL100" s="1997"/>
      <c r="IM100" s="1997"/>
      <c r="IN100" s="1997"/>
      <c r="IO100" s="1997"/>
      <c r="IP100" s="1997"/>
      <c r="IQ100" s="1997"/>
    </row>
    <row r="101" spans="1:251" hidden="1">
      <c r="A101" s="1993"/>
      <c r="B101" s="1993" t="s">
        <v>527</v>
      </c>
      <c r="C101" s="1993"/>
      <c r="D101" s="2021">
        <f>SUM(D102:D109)</f>
        <v>0</v>
      </c>
      <c r="E101" s="1993"/>
      <c r="F101" s="1940">
        <f>SUM(F102:F109)</f>
        <v>0</v>
      </c>
      <c r="G101" s="1993"/>
      <c r="H101" s="1940">
        <f t="shared" ref="H101:U101" si="43">SUM(H102:H109)</f>
        <v>0</v>
      </c>
      <c r="I101" s="1993"/>
      <c r="J101" s="1940">
        <f t="shared" si="43"/>
        <v>0</v>
      </c>
      <c r="K101" s="1993"/>
      <c r="L101" s="1940">
        <f t="shared" si="43"/>
        <v>0</v>
      </c>
      <c r="M101" s="1940">
        <f t="shared" si="43"/>
        <v>0</v>
      </c>
      <c r="N101" s="1940">
        <f t="shared" si="43"/>
        <v>0</v>
      </c>
      <c r="O101" s="1940">
        <f t="shared" si="43"/>
        <v>0</v>
      </c>
      <c r="P101" s="1940">
        <f>SUM(P102:P109)</f>
        <v>0</v>
      </c>
      <c r="Q101" s="1940">
        <f t="shared" si="43"/>
        <v>0</v>
      </c>
      <c r="R101" s="1940">
        <f t="shared" si="43"/>
        <v>0</v>
      </c>
      <c r="S101" s="1940">
        <f t="shared" si="43"/>
        <v>0</v>
      </c>
      <c r="T101" s="1940">
        <f t="shared" si="43"/>
        <v>0</v>
      </c>
      <c r="U101" s="1940">
        <f t="shared" si="43"/>
        <v>0</v>
      </c>
      <c r="V101" s="1992"/>
      <c r="W101" s="1992"/>
      <c r="X101" s="1992"/>
      <c r="Y101" s="1992"/>
      <c r="Z101" s="1992"/>
      <c r="AA101" s="1992"/>
      <c r="AB101" s="1992"/>
      <c r="AC101" s="1992"/>
      <c r="AD101" s="1992"/>
      <c r="AE101" s="1992"/>
      <c r="AF101" s="1992"/>
      <c r="AG101" s="1992"/>
      <c r="AH101" s="1992"/>
      <c r="AI101" s="1992"/>
      <c r="AJ101" s="1992"/>
      <c r="AK101" s="1992"/>
      <c r="AL101" s="1992"/>
      <c r="AM101" s="1992"/>
      <c r="AN101" s="1992"/>
      <c r="AO101" s="1992"/>
      <c r="AP101" s="1992"/>
      <c r="AQ101" s="1992"/>
      <c r="AR101" s="1992"/>
      <c r="AS101" s="1992"/>
      <c r="AT101" s="1992"/>
      <c r="AU101" s="1992"/>
      <c r="AV101" s="1992"/>
      <c r="AW101" s="1992"/>
      <c r="AX101" s="1992"/>
      <c r="AY101" s="1992"/>
      <c r="AZ101" s="1992"/>
      <c r="BA101" s="1992"/>
      <c r="BB101" s="1992"/>
      <c r="BC101" s="1992"/>
      <c r="BD101" s="1992"/>
      <c r="BE101" s="1992"/>
      <c r="BF101" s="1992"/>
      <c r="BG101" s="1992"/>
      <c r="BH101" s="1992"/>
      <c r="BI101" s="1992"/>
      <c r="BJ101" s="1992"/>
      <c r="BK101" s="1992"/>
      <c r="BL101" s="1992"/>
      <c r="BM101" s="1992"/>
      <c r="BN101" s="1992"/>
      <c r="BO101" s="1992"/>
      <c r="BP101" s="1992"/>
      <c r="BQ101" s="1992"/>
      <c r="BR101" s="1992"/>
      <c r="BS101" s="1992"/>
      <c r="BT101" s="1992"/>
      <c r="BU101" s="1992"/>
      <c r="BV101" s="1992"/>
      <c r="BW101" s="1992"/>
      <c r="BX101" s="1992"/>
      <c r="BY101" s="1992"/>
      <c r="BZ101" s="1992"/>
      <c r="CA101" s="1992"/>
      <c r="CB101" s="1992"/>
      <c r="CC101" s="1992"/>
      <c r="CD101" s="1992"/>
      <c r="CE101" s="1992"/>
      <c r="CF101" s="1992"/>
      <c r="CG101" s="1992"/>
      <c r="CH101" s="1992"/>
      <c r="CI101" s="1992"/>
      <c r="CJ101" s="1992"/>
      <c r="CK101" s="1992"/>
      <c r="CL101" s="1992"/>
      <c r="CM101" s="1992"/>
      <c r="CN101" s="1992"/>
      <c r="CO101" s="1992"/>
      <c r="CP101" s="1992"/>
      <c r="CQ101" s="1992"/>
      <c r="CR101" s="1992"/>
      <c r="CS101" s="1992"/>
      <c r="CT101" s="1992"/>
      <c r="CU101" s="1992"/>
      <c r="CV101" s="1992"/>
      <c r="CW101" s="1992"/>
      <c r="CX101" s="1992"/>
      <c r="CY101" s="1992"/>
      <c r="CZ101" s="1992"/>
      <c r="DA101" s="1992"/>
      <c r="DB101" s="1992"/>
      <c r="DC101" s="1992"/>
      <c r="DD101" s="1992"/>
      <c r="DE101" s="1992"/>
      <c r="DF101" s="1992"/>
      <c r="DG101" s="1992"/>
      <c r="DH101" s="1992"/>
      <c r="DI101" s="1992"/>
      <c r="DJ101" s="1992"/>
      <c r="DK101" s="1992"/>
      <c r="DL101" s="1992"/>
      <c r="DM101" s="1992"/>
      <c r="DN101" s="1992"/>
      <c r="DO101" s="1992"/>
      <c r="DP101" s="1992"/>
      <c r="DQ101" s="1992"/>
      <c r="DR101" s="1992"/>
      <c r="DS101" s="1992"/>
      <c r="DT101" s="1992"/>
      <c r="DU101" s="1992"/>
      <c r="DV101" s="1992"/>
      <c r="DW101" s="1992"/>
      <c r="DX101" s="1992"/>
      <c r="DY101" s="1992"/>
      <c r="DZ101" s="1992"/>
      <c r="EA101" s="1992"/>
      <c r="EB101" s="1992"/>
      <c r="EC101" s="1992"/>
      <c r="ED101" s="1992"/>
      <c r="EE101" s="1992"/>
      <c r="EF101" s="1992"/>
      <c r="EG101" s="1992"/>
      <c r="EH101" s="1992"/>
      <c r="EI101" s="1992"/>
      <c r="EJ101" s="1992"/>
      <c r="EK101" s="1992"/>
      <c r="EL101" s="1992"/>
      <c r="EM101" s="1992"/>
      <c r="EN101" s="1992"/>
      <c r="EO101" s="1992"/>
      <c r="EP101" s="1992"/>
      <c r="EQ101" s="1992"/>
      <c r="ER101" s="1992"/>
      <c r="ES101" s="1992"/>
      <c r="ET101" s="1992"/>
      <c r="EU101" s="1992"/>
      <c r="EV101" s="1992"/>
      <c r="EW101" s="1992"/>
      <c r="EX101" s="1992"/>
      <c r="EY101" s="1992"/>
      <c r="EZ101" s="1992"/>
      <c r="FA101" s="1992"/>
      <c r="FB101" s="1992"/>
      <c r="FC101" s="1992"/>
      <c r="FD101" s="1992"/>
      <c r="FE101" s="1992"/>
      <c r="FF101" s="1992"/>
      <c r="FG101" s="1992"/>
      <c r="FH101" s="1992"/>
      <c r="FI101" s="1992"/>
      <c r="FJ101" s="1992"/>
      <c r="FK101" s="1992"/>
      <c r="FL101" s="1992"/>
      <c r="FM101" s="1992"/>
      <c r="FN101" s="1992"/>
      <c r="FO101" s="1992"/>
      <c r="FP101" s="1992"/>
      <c r="FQ101" s="1992"/>
      <c r="FR101" s="1992"/>
      <c r="FS101" s="1992"/>
      <c r="FT101" s="1992"/>
      <c r="FU101" s="1992"/>
      <c r="FV101" s="1992"/>
      <c r="FW101" s="1992"/>
      <c r="FX101" s="1992"/>
      <c r="FY101" s="1992"/>
      <c r="FZ101" s="1992"/>
      <c r="GA101" s="1992"/>
      <c r="GB101" s="1992"/>
      <c r="GC101" s="1992"/>
      <c r="GD101" s="1992"/>
      <c r="GE101" s="1992"/>
      <c r="GF101" s="1992"/>
      <c r="GG101" s="1992"/>
      <c r="GH101" s="1992"/>
      <c r="GI101" s="1992"/>
      <c r="GJ101" s="1992"/>
      <c r="GK101" s="1992"/>
      <c r="GL101" s="1992"/>
      <c r="GM101" s="1992"/>
      <c r="GN101" s="1992"/>
      <c r="GO101" s="1992"/>
      <c r="GP101" s="1992"/>
      <c r="GQ101" s="1992"/>
      <c r="GR101" s="1992"/>
      <c r="GS101" s="1992"/>
      <c r="GT101" s="1992"/>
      <c r="GU101" s="1992"/>
      <c r="GV101" s="1992"/>
      <c r="GW101" s="1992"/>
      <c r="GX101" s="1992"/>
      <c r="GY101" s="1992"/>
      <c r="GZ101" s="1992"/>
      <c r="HA101" s="1992"/>
      <c r="HB101" s="1992"/>
      <c r="HC101" s="1992"/>
      <c r="HD101" s="1992"/>
      <c r="HE101" s="1992"/>
      <c r="HF101" s="1992"/>
      <c r="HG101" s="1992"/>
      <c r="HH101" s="1992"/>
      <c r="HI101" s="1992"/>
      <c r="HJ101" s="1992"/>
      <c r="HK101" s="1992"/>
      <c r="HL101" s="1992"/>
      <c r="HM101" s="1992"/>
      <c r="HN101" s="1992"/>
      <c r="HO101" s="1992"/>
      <c r="HP101" s="1992"/>
      <c r="HQ101" s="1992"/>
      <c r="HR101" s="1992"/>
      <c r="HS101" s="1992"/>
      <c r="HT101" s="1992"/>
      <c r="HU101" s="1992"/>
      <c r="HV101" s="1992"/>
      <c r="HW101" s="1992"/>
      <c r="HX101" s="1992"/>
      <c r="HY101" s="1992"/>
      <c r="HZ101" s="1992"/>
      <c r="IA101" s="1992"/>
      <c r="IB101" s="1992"/>
      <c r="IC101" s="1992"/>
      <c r="ID101" s="1992"/>
      <c r="IE101" s="1992"/>
      <c r="IF101" s="1992"/>
      <c r="IG101" s="1992"/>
      <c r="IH101" s="1992"/>
      <c r="II101" s="1992"/>
      <c r="IJ101" s="1992"/>
      <c r="IK101" s="1992"/>
      <c r="IL101" s="1992"/>
      <c r="IM101" s="1992"/>
      <c r="IN101" s="1992"/>
      <c r="IO101" s="1992"/>
      <c r="IP101" s="1992"/>
      <c r="IQ101" s="1992"/>
    </row>
    <row r="102" spans="1:251" hidden="1">
      <c r="A102" s="1993"/>
      <c r="B102" s="1993" t="s">
        <v>327</v>
      </c>
      <c r="C102" s="1993"/>
      <c r="D102" s="2021"/>
      <c r="E102" s="1993"/>
      <c r="F102" s="1940">
        <f t="shared" ref="F102:F109" si="44">ROUNDUP((E102*$Q$5),-3)</f>
        <v>0</v>
      </c>
      <c r="G102" s="1993"/>
      <c r="H102" s="1940">
        <f t="shared" ref="H102:H109" si="45">D102*F102*G102</f>
        <v>0</v>
      </c>
      <c r="I102" s="1993"/>
      <c r="J102" s="1940">
        <f t="shared" ref="J102:J109" si="46">I102*$Q$4</f>
        <v>0</v>
      </c>
      <c r="K102" s="1993"/>
      <c r="L102" s="1940">
        <f t="shared" ref="L102:L109" si="47">K102*F102</f>
        <v>0</v>
      </c>
      <c r="M102" s="1940">
        <f t="shared" ref="M102:M109" si="48">D102*G102*(J102+L102)</f>
        <v>0</v>
      </c>
      <c r="N102" s="1940">
        <f t="shared" ref="N102:N109" si="49">H102+M102</f>
        <v>0</v>
      </c>
      <c r="O102" s="1993"/>
      <c r="P102" s="1993"/>
      <c r="Q102" s="1940">
        <f t="shared" ref="Q102:Q109" si="50">N102+O102+P102</f>
        <v>0</v>
      </c>
      <c r="R102" s="1940">
        <f t="shared" ref="R102:R109" si="51">Q102*10%</f>
        <v>0</v>
      </c>
      <c r="S102" s="1940">
        <f t="shared" ref="S102:S109" si="52">(Q102-R102)*10%</f>
        <v>0</v>
      </c>
      <c r="T102" s="1940">
        <f t="shared" ref="T102:T109" si="53">(Q102-R102)*6%</f>
        <v>0</v>
      </c>
      <c r="U102" s="1940">
        <f t="shared" ref="U102:U109" si="54">(Q102-R102)*5%</f>
        <v>0</v>
      </c>
      <c r="V102" s="1992"/>
      <c r="W102" s="1992"/>
      <c r="X102" s="1992"/>
      <c r="Y102" s="1992"/>
      <c r="Z102" s="1992"/>
      <c r="AA102" s="1992"/>
      <c r="AB102" s="1992"/>
      <c r="AC102" s="1992"/>
      <c r="AD102" s="1992"/>
      <c r="AE102" s="1992"/>
      <c r="AF102" s="1992"/>
      <c r="AG102" s="1992"/>
      <c r="AH102" s="1992"/>
      <c r="AI102" s="1992"/>
      <c r="AJ102" s="1992"/>
      <c r="AK102" s="1992"/>
      <c r="AL102" s="1992"/>
      <c r="AM102" s="1992"/>
      <c r="AN102" s="1992"/>
      <c r="AO102" s="1992"/>
      <c r="AP102" s="1992"/>
      <c r="AQ102" s="1992"/>
      <c r="AR102" s="1992"/>
      <c r="AS102" s="1992"/>
      <c r="AT102" s="1992"/>
      <c r="AU102" s="1992"/>
      <c r="AV102" s="1992"/>
      <c r="AW102" s="1992"/>
      <c r="AX102" s="1992"/>
      <c r="AY102" s="1992"/>
      <c r="AZ102" s="1992"/>
      <c r="BA102" s="1992"/>
      <c r="BB102" s="1992"/>
      <c r="BC102" s="1992"/>
      <c r="BD102" s="1992"/>
      <c r="BE102" s="1992"/>
      <c r="BF102" s="1992"/>
      <c r="BG102" s="1992"/>
      <c r="BH102" s="1992"/>
      <c r="BI102" s="1992"/>
      <c r="BJ102" s="1992"/>
      <c r="BK102" s="1992"/>
      <c r="BL102" s="1992"/>
      <c r="BM102" s="1992"/>
      <c r="BN102" s="1992"/>
      <c r="BO102" s="1992"/>
      <c r="BP102" s="1992"/>
      <c r="BQ102" s="1992"/>
      <c r="BR102" s="1992"/>
      <c r="BS102" s="1992"/>
      <c r="BT102" s="1992"/>
      <c r="BU102" s="1992"/>
      <c r="BV102" s="1992"/>
      <c r="BW102" s="1992"/>
      <c r="BX102" s="1992"/>
      <c r="BY102" s="1992"/>
      <c r="BZ102" s="1992"/>
      <c r="CA102" s="1992"/>
      <c r="CB102" s="1992"/>
      <c r="CC102" s="1992"/>
      <c r="CD102" s="1992"/>
      <c r="CE102" s="1992"/>
      <c r="CF102" s="1992"/>
      <c r="CG102" s="1992"/>
      <c r="CH102" s="1992"/>
      <c r="CI102" s="1992"/>
      <c r="CJ102" s="1992"/>
      <c r="CK102" s="1992"/>
      <c r="CL102" s="1992"/>
      <c r="CM102" s="1992"/>
      <c r="CN102" s="1992"/>
      <c r="CO102" s="1992"/>
      <c r="CP102" s="1992"/>
      <c r="CQ102" s="1992"/>
      <c r="CR102" s="1992"/>
      <c r="CS102" s="1992"/>
      <c r="CT102" s="1992"/>
      <c r="CU102" s="1992"/>
      <c r="CV102" s="1992"/>
      <c r="CW102" s="1992"/>
      <c r="CX102" s="1992"/>
      <c r="CY102" s="1992"/>
      <c r="CZ102" s="1992"/>
      <c r="DA102" s="1992"/>
      <c r="DB102" s="1992"/>
      <c r="DC102" s="1992"/>
      <c r="DD102" s="1992"/>
      <c r="DE102" s="1992"/>
      <c r="DF102" s="1992"/>
      <c r="DG102" s="1992"/>
      <c r="DH102" s="1992"/>
      <c r="DI102" s="1992"/>
      <c r="DJ102" s="1992"/>
      <c r="DK102" s="1992"/>
      <c r="DL102" s="1992"/>
      <c r="DM102" s="1992"/>
      <c r="DN102" s="1992"/>
      <c r="DO102" s="1992"/>
      <c r="DP102" s="1992"/>
      <c r="DQ102" s="1992"/>
      <c r="DR102" s="1992"/>
      <c r="DS102" s="1992"/>
      <c r="DT102" s="1992"/>
      <c r="DU102" s="1992"/>
      <c r="DV102" s="1992"/>
      <c r="DW102" s="1992"/>
      <c r="DX102" s="1992"/>
      <c r="DY102" s="1992"/>
      <c r="DZ102" s="1992"/>
      <c r="EA102" s="1992"/>
      <c r="EB102" s="1992"/>
      <c r="EC102" s="1992"/>
      <c r="ED102" s="1992"/>
      <c r="EE102" s="1992"/>
      <c r="EF102" s="1992"/>
      <c r="EG102" s="1992"/>
      <c r="EH102" s="1992"/>
      <c r="EI102" s="1992"/>
      <c r="EJ102" s="1992"/>
      <c r="EK102" s="1992"/>
      <c r="EL102" s="1992"/>
      <c r="EM102" s="1992"/>
      <c r="EN102" s="1992"/>
      <c r="EO102" s="1992"/>
      <c r="EP102" s="1992"/>
      <c r="EQ102" s="1992"/>
      <c r="ER102" s="1992"/>
      <c r="ES102" s="1992"/>
      <c r="ET102" s="1992"/>
      <c r="EU102" s="1992"/>
      <c r="EV102" s="1992"/>
      <c r="EW102" s="1992"/>
      <c r="EX102" s="1992"/>
      <c r="EY102" s="1992"/>
      <c r="EZ102" s="1992"/>
      <c r="FA102" s="1992"/>
      <c r="FB102" s="1992"/>
      <c r="FC102" s="1992"/>
      <c r="FD102" s="1992"/>
      <c r="FE102" s="1992"/>
      <c r="FF102" s="1992"/>
      <c r="FG102" s="1992"/>
      <c r="FH102" s="1992"/>
      <c r="FI102" s="1992"/>
      <c r="FJ102" s="1992"/>
      <c r="FK102" s="1992"/>
      <c r="FL102" s="1992"/>
      <c r="FM102" s="1992"/>
      <c r="FN102" s="1992"/>
      <c r="FO102" s="1992"/>
      <c r="FP102" s="1992"/>
      <c r="FQ102" s="1992"/>
      <c r="FR102" s="1992"/>
      <c r="FS102" s="1992"/>
      <c r="FT102" s="1992"/>
      <c r="FU102" s="1992"/>
      <c r="FV102" s="1992"/>
      <c r="FW102" s="1992"/>
      <c r="FX102" s="1992"/>
      <c r="FY102" s="1992"/>
      <c r="FZ102" s="1992"/>
      <c r="GA102" s="1992"/>
      <c r="GB102" s="1992"/>
      <c r="GC102" s="1992"/>
      <c r="GD102" s="1992"/>
      <c r="GE102" s="1992"/>
      <c r="GF102" s="1992"/>
      <c r="GG102" s="1992"/>
      <c r="GH102" s="1992"/>
      <c r="GI102" s="1992"/>
      <c r="GJ102" s="1992"/>
      <c r="GK102" s="1992"/>
      <c r="GL102" s="1992"/>
      <c r="GM102" s="1992"/>
      <c r="GN102" s="1992"/>
      <c r="GO102" s="1992"/>
      <c r="GP102" s="1992"/>
      <c r="GQ102" s="1992"/>
      <c r="GR102" s="1992"/>
      <c r="GS102" s="1992"/>
      <c r="GT102" s="1992"/>
      <c r="GU102" s="1992"/>
      <c r="GV102" s="1992"/>
      <c r="GW102" s="1992"/>
      <c r="GX102" s="1992"/>
      <c r="GY102" s="1992"/>
      <c r="GZ102" s="1992"/>
      <c r="HA102" s="1992"/>
      <c r="HB102" s="1992"/>
      <c r="HC102" s="1992"/>
      <c r="HD102" s="1992"/>
      <c r="HE102" s="1992"/>
      <c r="HF102" s="1992"/>
      <c r="HG102" s="1992"/>
      <c r="HH102" s="1992"/>
      <c r="HI102" s="1992"/>
      <c r="HJ102" s="1992"/>
      <c r="HK102" s="1992"/>
      <c r="HL102" s="1992"/>
      <c r="HM102" s="1992"/>
      <c r="HN102" s="1992"/>
      <c r="HO102" s="1992"/>
      <c r="HP102" s="1992"/>
      <c r="HQ102" s="1992"/>
      <c r="HR102" s="1992"/>
      <c r="HS102" s="1992"/>
      <c r="HT102" s="1992"/>
      <c r="HU102" s="1992"/>
      <c r="HV102" s="1992"/>
      <c r="HW102" s="1992"/>
      <c r="HX102" s="1992"/>
      <c r="HY102" s="1992"/>
      <c r="HZ102" s="1992"/>
      <c r="IA102" s="1992"/>
      <c r="IB102" s="1992"/>
      <c r="IC102" s="1992"/>
      <c r="ID102" s="1992"/>
      <c r="IE102" s="1992"/>
      <c r="IF102" s="1992"/>
      <c r="IG102" s="1992"/>
      <c r="IH102" s="1992"/>
      <c r="II102" s="1992"/>
      <c r="IJ102" s="1992"/>
      <c r="IK102" s="1992"/>
      <c r="IL102" s="1992"/>
      <c r="IM102" s="1992"/>
      <c r="IN102" s="1992"/>
      <c r="IO102" s="1992"/>
      <c r="IP102" s="1992"/>
      <c r="IQ102" s="1992"/>
    </row>
    <row r="103" spans="1:251" hidden="1">
      <c r="A103" s="1993"/>
      <c r="B103" s="1993"/>
      <c r="C103" s="1993"/>
      <c r="D103" s="2021"/>
      <c r="E103" s="1993"/>
      <c r="F103" s="1940">
        <f t="shared" si="44"/>
        <v>0</v>
      </c>
      <c r="G103" s="1993"/>
      <c r="H103" s="1940">
        <f t="shared" si="45"/>
        <v>0</v>
      </c>
      <c r="I103" s="1993"/>
      <c r="J103" s="1940">
        <f t="shared" si="46"/>
        <v>0</v>
      </c>
      <c r="K103" s="1993"/>
      <c r="L103" s="1940">
        <f t="shared" si="47"/>
        <v>0</v>
      </c>
      <c r="M103" s="1940">
        <f t="shared" si="48"/>
        <v>0</v>
      </c>
      <c r="N103" s="1940">
        <f t="shared" si="49"/>
        <v>0</v>
      </c>
      <c r="O103" s="1993"/>
      <c r="P103" s="1993"/>
      <c r="Q103" s="1940">
        <f t="shared" si="50"/>
        <v>0</v>
      </c>
      <c r="R103" s="1940">
        <f t="shared" si="51"/>
        <v>0</v>
      </c>
      <c r="S103" s="1940">
        <f t="shared" si="52"/>
        <v>0</v>
      </c>
      <c r="T103" s="1940">
        <f t="shared" si="53"/>
        <v>0</v>
      </c>
      <c r="U103" s="1940">
        <f t="shared" si="54"/>
        <v>0</v>
      </c>
      <c r="V103" s="1992"/>
      <c r="W103" s="1992"/>
      <c r="X103" s="1992"/>
      <c r="Y103" s="1992"/>
      <c r="Z103" s="1992"/>
      <c r="AA103" s="1992"/>
      <c r="AB103" s="1992"/>
      <c r="AC103" s="1992"/>
      <c r="AD103" s="1992"/>
      <c r="AE103" s="1992"/>
      <c r="AF103" s="1992"/>
      <c r="AG103" s="1992"/>
      <c r="AH103" s="1992"/>
      <c r="AI103" s="1992"/>
      <c r="AJ103" s="1992"/>
      <c r="AK103" s="1992"/>
      <c r="AL103" s="1992"/>
      <c r="AM103" s="1992"/>
      <c r="AN103" s="1992"/>
      <c r="AO103" s="1992"/>
      <c r="AP103" s="1992"/>
      <c r="AQ103" s="1992"/>
      <c r="AR103" s="1992"/>
      <c r="AS103" s="1992"/>
      <c r="AT103" s="1992"/>
      <c r="AU103" s="1992"/>
      <c r="AV103" s="1992"/>
      <c r="AW103" s="1992"/>
      <c r="AX103" s="1992"/>
      <c r="AY103" s="1992"/>
      <c r="AZ103" s="1992"/>
      <c r="BA103" s="1992"/>
      <c r="BB103" s="1992"/>
      <c r="BC103" s="1992"/>
      <c r="BD103" s="1992"/>
      <c r="BE103" s="1992"/>
      <c r="BF103" s="1992"/>
      <c r="BG103" s="1992"/>
      <c r="BH103" s="1992"/>
      <c r="BI103" s="1992"/>
      <c r="BJ103" s="1992"/>
      <c r="BK103" s="1992"/>
      <c r="BL103" s="1992"/>
      <c r="BM103" s="1992"/>
      <c r="BN103" s="1992"/>
      <c r="BO103" s="1992"/>
      <c r="BP103" s="1992"/>
      <c r="BQ103" s="1992"/>
      <c r="BR103" s="1992"/>
      <c r="BS103" s="1992"/>
      <c r="BT103" s="1992"/>
      <c r="BU103" s="1992"/>
      <c r="BV103" s="1992"/>
      <c r="BW103" s="1992"/>
      <c r="BX103" s="1992"/>
      <c r="BY103" s="1992"/>
      <c r="BZ103" s="1992"/>
      <c r="CA103" s="1992"/>
      <c r="CB103" s="1992"/>
      <c r="CC103" s="1992"/>
      <c r="CD103" s="1992"/>
      <c r="CE103" s="1992"/>
      <c r="CF103" s="1992"/>
      <c r="CG103" s="1992"/>
      <c r="CH103" s="1992"/>
      <c r="CI103" s="1992"/>
      <c r="CJ103" s="1992"/>
      <c r="CK103" s="1992"/>
      <c r="CL103" s="1992"/>
      <c r="CM103" s="1992"/>
      <c r="CN103" s="1992"/>
      <c r="CO103" s="1992"/>
      <c r="CP103" s="1992"/>
      <c r="CQ103" s="1992"/>
      <c r="CR103" s="1992"/>
      <c r="CS103" s="1992"/>
      <c r="CT103" s="1992"/>
      <c r="CU103" s="1992"/>
      <c r="CV103" s="1992"/>
      <c r="CW103" s="1992"/>
      <c r="CX103" s="1992"/>
      <c r="CY103" s="1992"/>
      <c r="CZ103" s="1992"/>
      <c r="DA103" s="1992"/>
      <c r="DB103" s="1992"/>
      <c r="DC103" s="1992"/>
      <c r="DD103" s="1992"/>
      <c r="DE103" s="1992"/>
      <c r="DF103" s="1992"/>
      <c r="DG103" s="1992"/>
      <c r="DH103" s="1992"/>
      <c r="DI103" s="1992"/>
      <c r="DJ103" s="1992"/>
      <c r="DK103" s="1992"/>
      <c r="DL103" s="1992"/>
      <c r="DM103" s="1992"/>
      <c r="DN103" s="1992"/>
      <c r="DO103" s="1992"/>
      <c r="DP103" s="1992"/>
      <c r="DQ103" s="1992"/>
      <c r="DR103" s="1992"/>
      <c r="DS103" s="1992"/>
      <c r="DT103" s="1992"/>
      <c r="DU103" s="1992"/>
      <c r="DV103" s="1992"/>
      <c r="DW103" s="1992"/>
      <c r="DX103" s="1992"/>
      <c r="DY103" s="1992"/>
      <c r="DZ103" s="1992"/>
      <c r="EA103" s="1992"/>
      <c r="EB103" s="1992"/>
      <c r="EC103" s="1992"/>
      <c r="ED103" s="1992"/>
      <c r="EE103" s="1992"/>
      <c r="EF103" s="1992"/>
      <c r="EG103" s="1992"/>
      <c r="EH103" s="1992"/>
      <c r="EI103" s="1992"/>
      <c r="EJ103" s="1992"/>
      <c r="EK103" s="1992"/>
      <c r="EL103" s="1992"/>
      <c r="EM103" s="1992"/>
      <c r="EN103" s="1992"/>
      <c r="EO103" s="1992"/>
      <c r="EP103" s="1992"/>
      <c r="EQ103" s="1992"/>
      <c r="ER103" s="1992"/>
      <c r="ES103" s="1992"/>
      <c r="ET103" s="1992"/>
      <c r="EU103" s="1992"/>
      <c r="EV103" s="1992"/>
      <c r="EW103" s="1992"/>
      <c r="EX103" s="1992"/>
      <c r="EY103" s="1992"/>
      <c r="EZ103" s="1992"/>
      <c r="FA103" s="1992"/>
      <c r="FB103" s="1992"/>
      <c r="FC103" s="1992"/>
      <c r="FD103" s="1992"/>
      <c r="FE103" s="1992"/>
      <c r="FF103" s="1992"/>
      <c r="FG103" s="1992"/>
      <c r="FH103" s="1992"/>
      <c r="FI103" s="1992"/>
      <c r="FJ103" s="1992"/>
      <c r="FK103" s="1992"/>
      <c r="FL103" s="1992"/>
      <c r="FM103" s="1992"/>
      <c r="FN103" s="1992"/>
      <c r="FO103" s="1992"/>
      <c r="FP103" s="1992"/>
      <c r="FQ103" s="1992"/>
      <c r="FR103" s="1992"/>
      <c r="FS103" s="1992"/>
      <c r="FT103" s="1992"/>
      <c r="FU103" s="1992"/>
      <c r="FV103" s="1992"/>
      <c r="FW103" s="1992"/>
      <c r="FX103" s="1992"/>
      <c r="FY103" s="1992"/>
      <c r="FZ103" s="1992"/>
      <c r="GA103" s="1992"/>
      <c r="GB103" s="1992"/>
      <c r="GC103" s="1992"/>
      <c r="GD103" s="1992"/>
      <c r="GE103" s="1992"/>
      <c r="GF103" s="1992"/>
      <c r="GG103" s="1992"/>
      <c r="GH103" s="1992"/>
      <c r="GI103" s="1992"/>
      <c r="GJ103" s="1992"/>
      <c r="GK103" s="1992"/>
      <c r="GL103" s="1992"/>
      <c r="GM103" s="1992"/>
      <c r="GN103" s="1992"/>
      <c r="GO103" s="1992"/>
      <c r="GP103" s="1992"/>
      <c r="GQ103" s="1992"/>
      <c r="GR103" s="1992"/>
      <c r="GS103" s="1992"/>
      <c r="GT103" s="1992"/>
      <c r="GU103" s="1992"/>
      <c r="GV103" s="1992"/>
      <c r="GW103" s="1992"/>
      <c r="GX103" s="1992"/>
      <c r="GY103" s="1992"/>
      <c r="GZ103" s="1992"/>
      <c r="HA103" s="1992"/>
      <c r="HB103" s="1992"/>
      <c r="HC103" s="1992"/>
      <c r="HD103" s="1992"/>
      <c r="HE103" s="1992"/>
      <c r="HF103" s="1992"/>
      <c r="HG103" s="1992"/>
      <c r="HH103" s="1992"/>
      <c r="HI103" s="1992"/>
      <c r="HJ103" s="1992"/>
      <c r="HK103" s="1992"/>
      <c r="HL103" s="1992"/>
      <c r="HM103" s="1992"/>
      <c r="HN103" s="1992"/>
      <c r="HO103" s="1992"/>
      <c r="HP103" s="1992"/>
      <c r="HQ103" s="1992"/>
      <c r="HR103" s="1992"/>
      <c r="HS103" s="1992"/>
      <c r="HT103" s="1992"/>
      <c r="HU103" s="1992"/>
      <c r="HV103" s="1992"/>
      <c r="HW103" s="1992"/>
      <c r="HX103" s="1992"/>
      <c r="HY103" s="1992"/>
      <c r="HZ103" s="1992"/>
      <c r="IA103" s="1992"/>
      <c r="IB103" s="1992"/>
      <c r="IC103" s="1992"/>
      <c r="ID103" s="1992"/>
      <c r="IE103" s="1992"/>
      <c r="IF103" s="1992"/>
      <c r="IG103" s="1992"/>
      <c r="IH103" s="1992"/>
      <c r="II103" s="1992"/>
      <c r="IJ103" s="1992"/>
      <c r="IK103" s="1992"/>
      <c r="IL103" s="1992"/>
      <c r="IM103" s="1992"/>
      <c r="IN103" s="1992"/>
      <c r="IO103" s="1992"/>
      <c r="IP103" s="1992"/>
      <c r="IQ103" s="1992"/>
    </row>
    <row r="104" spans="1:251" hidden="1">
      <c r="A104" s="1993"/>
      <c r="B104" s="1993"/>
      <c r="C104" s="1993"/>
      <c r="D104" s="2021"/>
      <c r="E104" s="1993"/>
      <c r="F104" s="1940">
        <f t="shared" si="44"/>
        <v>0</v>
      </c>
      <c r="G104" s="1993"/>
      <c r="H104" s="1940">
        <f t="shared" si="45"/>
        <v>0</v>
      </c>
      <c r="I104" s="1993"/>
      <c r="J104" s="1940">
        <f t="shared" si="46"/>
        <v>0</v>
      </c>
      <c r="K104" s="1993"/>
      <c r="L104" s="1940">
        <f t="shared" si="47"/>
        <v>0</v>
      </c>
      <c r="M104" s="1940">
        <f t="shared" si="48"/>
        <v>0</v>
      </c>
      <c r="N104" s="1940">
        <f t="shared" si="49"/>
        <v>0</v>
      </c>
      <c r="O104" s="1993"/>
      <c r="P104" s="1993"/>
      <c r="Q104" s="1940">
        <f t="shared" si="50"/>
        <v>0</v>
      </c>
      <c r="R104" s="1940">
        <f t="shared" si="51"/>
        <v>0</v>
      </c>
      <c r="S104" s="1940">
        <f t="shared" si="52"/>
        <v>0</v>
      </c>
      <c r="T104" s="1940">
        <f t="shared" si="53"/>
        <v>0</v>
      </c>
      <c r="U104" s="1940">
        <f t="shared" si="54"/>
        <v>0</v>
      </c>
      <c r="V104" s="1997"/>
      <c r="W104" s="1997"/>
      <c r="X104" s="1997"/>
      <c r="Y104" s="1997"/>
      <c r="Z104" s="1997"/>
      <c r="AA104" s="1997"/>
      <c r="AB104" s="1997"/>
      <c r="AC104" s="1997"/>
      <c r="AD104" s="1997"/>
      <c r="AE104" s="1997"/>
      <c r="AF104" s="1997"/>
      <c r="AG104" s="1997"/>
      <c r="AH104" s="1997"/>
      <c r="AI104" s="1997"/>
      <c r="AJ104" s="1997"/>
      <c r="AK104" s="1997"/>
      <c r="AL104" s="1997"/>
      <c r="AM104" s="1997"/>
      <c r="AN104" s="1997"/>
      <c r="AO104" s="1997"/>
      <c r="AP104" s="1997"/>
      <c r="AQ104" s="1997"/>
      <c r="AR104" s="1997"/>
      <c r="AS104" s="1997"/>
      <c r="AT104" s="1997"/>
      <c r="AU104" s="1997"/>
      <c r="AV104" s="1997"/>
      <c r="AW104" s="1997"/>
      <c r="AX104" s="1997"/>
      <c r="AY104" s="1997"/>
      <c r="AZ104" s="1997"/>
      <c r="BA104" s="1997"/>
      <c r="BB104" s="1997"/>
      <c r="BC104" s="1997"/>
      <c r="BD104" s="1997"/>
      <c r="BE104" s="1997"/>
      <c r="BF104" s="1997"/>
      <c r="BG104" s="1997"/>
      <c r="BH104" s="1997"/>
      <c r="BI104" s="1997"/>
      <c r="BJ104" s="1997"/>
      <c r="BK104" s="1997"/>
      <c r="BL104" s="1997"/>
      <c r="BM104" s="1997"/>
      <c r="BN104" s="1997"/>
      <c r="BO104" s="1997"/>
      <c r="BP104" s="1997"/>
      <c r="BQ104" s="1997"/>
      <c r="BR104" s="1997"/>
      <c r="BS104" s="1997"/>
      <c r="BT104" s="1997"/>
      <c r="BU104" s="1997"/>
      <c r="BV104" s="1997"/>
      <c r="BW104" s="1997"/>
      <c r="BX104" s="1997"/>
      <c r="BY104" s="1997"/>
      <c r="BZ104" s="1997"/>
      <c r="CA104" s="1997"/>
      <c r="CB104" s="1997"/>
      <c r="CC104" s="1997"/>
      <c r="CD104" s="1997"/>
      <c r="CE104" s="1997"/>
      <c r="CF104" s="1997"/>
      <c r="CG104" s="1997"/>
      <c r="CH104" s="1997"/>
      <c r="CI104" s="1997"/>
      <c r="CJ104" s="1997"/>
      <c r="CK104" s="1997"/>
      <c r="CL104" s="1997"/>
      <c r="CM104" s="1997"/>
      <c r="CN104" s="1997"/>
      <c r="CO104" s="1997"/>
      <c r="CP104" s="1997"/>
      <c r="CQ104" s="1997"/>
      <c r="CR104" s="1997"/>
      <c r="CS104" s="1997"/>
      <c r="CT104" s="1997"/>
      <c r="CU104" s="1997"/>
      <c r="CV104" s="1997"/>
      <c r="CW104" s="1997"/>
      <c r="CX104" s="1997"/>
      <c r="CY104" s="1997"/>
      <c r="CZ104" s="1997"/>
      <c r="DA104" s="1997"/>
      <c r="DB104" s="1997"/>
      <c r="DC104" s="1997"/>
      <c r="DD104" s="1997"/>
      <c r="DE104" s="1997"/>
      <c r="DF104" s="1997"/>
      <c r="DG104" s="1997"/>
      <c r="DH104" s="1997"/>
      <c r="DI104" s="1997"/>
      <c r="DJ104" s="1997"/>
      <c r="DK104" s="1997"/>
      <c r="DL104" s="1997"/>
      <c r="DM104" s="1997"/>
      <c r="DN104" s="1997"/>
      <c r="DO104" s="1997"/>
      <c r="DP104" s="1997"/>
      <c r="DQ104" s="1997"/>
      <c r="DR104" s="1997"/>
      <c r="DS104" s="1997"/>
      <c r="DT104" s="1997"/>
      <c r="DU104" s="1997"/>
      <c r="DV104" s="1997"/>
      <c r="DW104" s="1997"/>
      <c r="DX104" s="1997"/>
      <c r="DY104" s="1997"/>
      <c r="DZ104" s="1997"/>
      <c r="EA104" s="1997"/>
      <c r="EB104" s="1997"/>
      <c r="EC104" s="1997"/>
      <c r="ED104" s="1997"/>
      <c r="EE104" s="1997"/>
      <c r="EF104" s="1997"/>
      <c r="EG104" s="1997"/>
      <c r="EH104" s="1997"/>
      <c r="EI104" s="1997"/>
      <c r="EJ104" s="1997"/>
      <c r="EK104" s="1997"/>
      <c r="EL104" s="1997"/>
      <c r="EM104" s="1997"/>
      <c r="EN104" s="1997"/>
      <c r="EO104" s="1997"/>
      <c r="EP104" s="1997"/>
      <c r="EQ104" s="1997"/>
      <c r="ER104" s="1997"/>
      <c r="ES104" s="1997"/>
      <c r="ET104" s="1997"/>
      <c r="EU104" s="1997"/>
      <c r="EV104" s="1997"/>
      <c r="EW104" s="1997"/>
      <c r="EX104" s="1997"/>
      <c r="EY104" s="1997"/>
      <c r="EZ104" s="1997"/>
      <c r="FA104" s="1997"/>
      <c r="FB104" s="1997"/>
      <c r="FC104" s="1997"/>
      <c r="FD104" s="1997"/>
      <c r="FE104" s="1997"/>
      <c r="FF104" s="1997"/>
      <c r="FG104" s="1997"/>
      <c r="FH104" s="1997"/>
      <c r="FI104" s="1997"/>
      <c r="FJ104" s="1997"/>
      <c r="FK104" s="1997"/>
      <c r="FL104" s="1997"/>
      <c r="FM104" s="1997"/>
      <c r="FN104" s="1997"/>
      <c r="FO104" s="1997"/>
      <c r="FP104" s="1997"/>
      <c r="FQ104" s="1997"/>
      <c r="FR104" s="1997"/>
      <c r="FS104" s="1997"/>
      <c r="FT104" s="1997"/>
      <c r="FU104" s="1997"/>
      <c r="FV104" s="1997"/>
      <c r="FW104" s="1997"/>
      <c r="FX104" s="1997"/>
      <c r="FY104" s="1997"/>
      <c r="FZ104" s="1997"/>
      <c r="GA104" s="1997"/>
      <c r="GB104" s="1997"/>
      <c r="GC104" s="1997"/>
      <c r="GD104" s="1997"/>
      <c r="GE104" s="1997"/>
      <c r="GF104" s="1997"/>
      <c r="GG104" s="1997"/>
      <c r="GH104" s="1997"/>
      <c r="GI104" s="1997"/>
      <c r="GJ104" s="1997"/>
      <c r="GK104" s="1997"/>
      <c r="GL104" s="1997"/>
      <c r="GM104" s="1997"/>
      <c r="GN104" s="1997"/>
      <c r="GO104" s="1997"/>
      <c r="GP104" s="1997"/>
      <c r="GQ104" s="1997"/>
      <c r="GR104" s="1997"/>
      <c r="GS104" s="1997"/>
      <c r="GT104" s="1997"/>
      <c r="GU104" s="1997"/>
      <c r="GV104" s="1997"/>
      <c r="GW104" s="1997"/>
      <c r="GX104" s="1997"/>
      <c r="GY104" s="1997"/>
      <c r="GZ104" s="1997"/>
      <c r="HA104" s="1997"/>
      <c r="HB104" s="1997"/>
      <c r="HC104" s="1997"/>
      <c r="HD104" s="1997"/>
      <c r="HE104" s="1997"/>
      <c r="HF104" s="1997"/>
      <c r="HG104" s="1997"/>
      <c r="HH104" s="1997"/>
      <c r="HI104" s="1997"/>
      <c r="HJ104" s="1997"/>
      <c r="HK104" s="1997"/>
      <c r="HL104" s="1997"/>
      <c r="HM104" s="1997"/>
      <c r="HN104" s="1997"/>
      <c r="HO104" s="1997"/>
      <c r="HP104" s="1997"/>
      <c r="HQ104" s="1997"/>
      <c r="HR104" s="1997"/>
      <c r="HS104" s="1997"/>
      <c r="HT104" s="1997"/>
      <c r="HU104" s="1997"/>
      <c r="HV104" s="1997"/>
      <c r="HW104" s="1997"/>
      <c r="HX104" s="1997"/>
      <c r="HY104" s="1997"/>
      <c r="HZ104" s="1997"/>
      <c r="IA104" s="1997"/>
      <c r="IB104" s="1997"/>
      <c r="IC104" s="1997"/>
      <c r="ID104" s="1997"/>
      <c r="IE104" s="1997"/>
      <c r="IF104" s="1997"/>
      <c r="IG104" s="1997"/>
      <c r="IH104" s="1997"/>
      <c r="II104" s="1997"/>
      <c r="IJ104" s="1997"/>
      <c r="IK104" s="1997"/>
      <c r="IL104" s="1997"/>
      <c r="IM104" s="1997"/>
      <c r="IN104" s="1997"/>
      <c r="IO104" s="1997"/>
      <c r="IP104" s="1997"/>
      <c r="IQ104" s="1997"/>
    </row>
    <row r="105" spans="1:251" hidden="1">
      <c r="A105" s="1993"/>
      <c r="B105" s="1993"/>
      <c r="C105" s="1993"/>
      <c r="D105" s="2021"/>
      <c r="E105" s="1993"/>
      <c r="F105" s="1940">
        <f t="shared" si="44"/>
        <v>0</v>
      </c>
      <c r="G105" s="1993"/>
      <c r="H105" s="1940">
        <f t="shared" si="45"/>
        <v>0</v>
      </c>
      <c r="I105" s="1993"/>
      <c r="J105" s="1940">
        <f t="shared" si="46"/>
        <v>0</v>
      </c>
      <c r="K105" s="1993"/>
      <c r="L105" s="1940">
        <f t="shared" si="47"/>
        <v>0</v>
      </c>
      <c r="M105" s="1940">
        <f t="shared" si="48"/>
        <v>0</v>
      </c>
      <c r="N105" s="1940">
        <f t="shared" si="49"/>
        <v>0</v>
      </c>
      <c r="O105" s="1993"/>
      <c r="P105" s="1993"/>
      <c r="Q105" s="1940">
        <f t="shared" si="50"/>
        <v>0</v>
      </c>
      <c r="R105" s="1940">
        <f t="shared" si="51"/>
        <v>0</v>
      </c>
      <c r="S105" s="1940">
        <f t="shared" si="52"/>
        <v>0</v>
      </c>
      <c r="T105" s="1940">
        <f t="shared" si="53"/>
        <v>0</v>
      </c>
      <c r="U105" s="1940">
        <f t="shared" si="54"/>
        <v>0</v>
      </c>
      <c r="V105" s="1997"/>
      <c r="W105" s="1997"/>
      <c r="X105" s="1997"/>
      <c r="Y105" s="1997"/>
      <c r="Z105" s="1997"/>
      <c r="AA105" s="1997"/>
      <c r="AB105" s="1997"/>
      <c r="AC105" s="1997"/>
      <c r="AD105" s="1997"/>
      <c r="AE105" s="1997"/>
      <c r="AF105" s="1997"/>
      <c r="AG105" s="1997"/>
      <c r="AH105" s="1997"/>
      <c r="AI105" s="1997"/>
      <c r="AJ105" s="1997"/>
      <c r="AK105" s="1997"/>
      <c r="AL105" s="1997"/>
      <c r="AM105" s="1997"/>
      <c r="AN105" s="1997"/>
      <c r="AO105" s="1997"/>
      <c r="AP105" s="1997"/>
      <c r="AQ105" s="1997"/>
      <c r="AR105" s="1997"/>
      <c r="AS105" s="1997"/>
      <c r="AT105" s="1997"/>
      <c r="AU105" s="1997"/>
      <c r="AV105" s="1997"/>
      <c r="AW105" s="1997"/>
      <c r="AX105" s="1997"/>
      <c r="AY105" s="1997"/>
      <c r="AZ105" s="1997"/>
      <c r="BA105" s="1997"/>
      <c r="BB105" s="1997"/>
      <c r="BC105" s="1997"/>
      <c r="BD105" s="1997"/>
      <c r="BE105" s="1997"/>
      <c r="BF105" s="1997"/>
      <c r="BG105" s="1997"/>
      <c r="BH105" s="1997"/>
      <c r="BI105" s="1997"/>
      <c r="BJ105" s="1997"/>
      <c r="BK105" s="1997"/>
      <c r="BL105" s="1997"/>
      <c r="BM105" s="1997"/>
      <c r="BN105" s="1997"/>
      <c r="BO105" s="1997"/>
      <c r="BP105" s="1997"/>
      <c r="BQ105" s="1997"/>
      <c r="BR105" s="1997"/>
      <c r="BS105" s="1997"/>
      <c r="BT105" s="1997"/>
      <c r="BU105" s="1997"/>
      <c r="BV105" s="1997"/>
      <c r="BW105" s="1997"/>
      <c r="BX105" s="1997"/>
      <c r="BY105" s="1997"/>
      <c r="BZ105" s="1997"/>
      <c r="CA105" s="1997"/>
      <c r="CB105" s="1997"/>
      <c r="CC105" s="1997"/>
      <c r="CD105" s="1997"/>
      <c r="CE105" s="1997"/>
      <c r="CF105" s="1997"/>
      <c r="CG105" s="1997"/>
      <c r="CH105" s="1997"/>
      <c r="CI105" s="1997"/>
      <c r="CJ105" s="1997"/>
      <c r="CK105" s="1997"/>
      <c r="CL105" s="1997"/>
      <c r="CM105" s="1997"/>
      <c r="CN105" s="1997"/>
      <c r="CO105" s="1997"/>
      <c r="CP105" s="1997"/>
      <c r="CQ105" s="1997"/>
      <c r="CR105" s="1997"/>
      <c r="CS105" s="1997"/>
      <c r="CT105" s="1997"/>
      <c r="CU105" s="1997"/>
      <c r="CV105" s="1997"/>
      <c r="CW105" s="1997"/>
      <c r="CX105" s="1997"/>
      <c r="CY105" s="1997"/>
      <c r="CZ105" s="1997"/>
      <c r="DA105" s="1997"/>
      <c r="DB105" s="1997"/>
      <c r="DC105" s="1997"/>
      <c r="DD105" s="1997"/>
      <c r="DE105" s="1997"/>
      <c r="DF105" s="1997"/>
      <c r="DG105" s="1997"/>
      <c r="DH105" s="1997"/>
      <c r="DI105" s="1997"/>
      <c r="DJ105" s="1997"/>
      <c r="DK105" s="1997"/>
      <c r="DL105" s="1997"/>
      <c r="DM105" s="1997"/>
      <c r="DN105" s="1997"/>
      <c r="DO105" s="1997"/>
      <c r="DP105" s="1997"/>
      <c r="DQ105" s="1997"/>
      <c r="DR105" s="1997"/>
      <c r="DS105" s="1997"/>
      <c r="DT105" s="1997"/>
      <c r="DU105" s="1997"/>
      <c r="DV105" s="1997"/>
      <c r="DW105" s="1997"/>
      <c r="DX105" s="1997"/>
      <c r="DY105" s="1997"/>
      <c r="DZ105" s="1997"/>
      <c r="EA105" s="1997"/>
      <c r="EB105" s="1997"/>
      <c r="EC105" s="1997"/>
      <c r="ED105" s="1997"/>
      <c r="EE105" s="1997"/>
      <c r="EF105" s="1997"/>
      <c r="EG105" s="1997"/>
      <c r="EH105" s="1997"/>
      <c r="EI105" s="1997"/>
      <c r="EJ105" s="1997"/>
      <c r="EK105" s="1997"/>
      <c r="EL105" s="1997"/>
      <c r="EM105" s="1997"/>
      <c r="EN105" s="1997"/>
      <c r="EO105" s="1997"/>
      <c r="EP105" s="1997"/>
      <c r="EQ105" s="1997"/>
      <c r="ER105" s="1997"/>
      <c r="ES105" s="1997"/>
      <c r="ET105" s="1997"/>
      <c r="EU105" s="1997"/>
      <c r="EV105" s="1997"/>
      <c r="EW105" s="1997"/>
      <c r="EX105" s="1997"/>
      <c r="EY105" s="1997"/>
      <c r="EZ105" s="1997"/>
      <c r="FA105" s="1997"/>
      <c r="FB105" s="1997"/>
      <c r="FC105" s="1997"/>
      <c r="FD105" s="1997"/>
      <c r="FE105" s="1997"/>
      <c r="FF105" s="1997"/>
      <c r="FG105" s="1997"/>
      <c r="FH105" s="1997"/>
      <c r="FI105" s="1997"/>
      <c r="FJ105" s="1997"/>
      <c r="FK105" s="1997"/>
      <c r="FL105" s="1997"/>
      <c r="FM105" s="1997"/>
      <c r="FN105" s="1997"/>
      <c r="FO105" s="1997"/>
      <c r="FP105" s="1997"/>
      <c r="FQ105" s="1997"/>
      <c r="FR105" s="1997"/>
      <c r="FS105" s="1997"/>
      <c r="FT105" s="1997"/>
      <c r="FU105" s="1997"/>
      <c r="FV105" s="1997"/>
      <c r="FW105" s="1997"/>
      <c r="FX105" s="1997"/>
      <c r="FY105" s="1997"/>
      <c r="FZ105" s="1997"/>
      <c r="GA105" s="1997"/>
      <c r="GB105" s="1997"/>
      <c r="GC105" s="1997"/>
      <c r="GD105" s="1997"/>
      <c r="GE105" s="1997"/>
      <c r="GF105" s="1997"/>
      <c r="GG105" s="1997"/>
      <c r="GH105" s="1997"/>
      <c r="GI105" s="1997"/>
      <c r="GJ105" s="1997"/>
      <c r="GK105" s="1997"/>
      <c r="GL105" s="1997"/>
      <c r="GM105" s="1997"/>
      <c r="GN105" s="1997"/>
      <c r="GO105" s="1997"/>
      <c r="GP105" s="1997"/>
      <c r="GQ105" s="1997"/>
      <c r="GR105" s="1997"/>
      <c r="GS105" s="1997"/>
      <c r="GT105" s="1997"/>
      <c r="GU105" s="1997"/>
      <c r="GV105" s="1997"/>
      <c r="GW105" s="1997"/>
      <c r="GX105" s="1997"/>
      <c r="GY105" s="1997"/>
      <c r="GZ105" s="1997"/>
      <c r="HA105" s="1997"/>
      <c r="HB105" s="1997"/>
      <c r="HC105" s="1997"/>
      <c r="HD105" s="1997"/>
      <c r="HE105" s="1997"/>
      <c r="HF105" s="1997"/>
      <c r="HG105" s="1997"/>
      <c r="HH105" s="1997"/>
      <c r="HI105" s="1997"/>
      <c r="HJ105" s="1997"/>
      <c r="HK105" s="1997"/>
      <c r="HL105" s="1997"/>
      <c r="HM105" s="1997"/>
      <c r="HN105" s="1997"/>
      <c r="HO105" s="1997"/>
      <c r="HP105" s="1997"/>
      <c r="HQ105" s="1997"/>
      <c r="HR105" s="1997"/>
      <c r="HS105" s="1997"/>
      <c r="HT105" s="1997"/>
      <c r="HU105" s="1997"/>
      <c r="HV105" s="1997"/>
      <c r="HW105" s="1997"/>
      <c r="HX105" s="1997"/>
      <c r="HY105" s="1997"/>
      <c r="HZ105" s="1997"/>
      <c r="IA105" s="1997"/>
      <c r="IB105" s="1997"/>
      <c r="IC105" s="1997"/>
      <c r="ID105" s="1997"/>
      <c r="IE105" s="1997"/>
      <c r="IF105" s="1997"/>
      <c r="IG105" s="1997"/>
      <c r="IH105" s="1997"/>
      <c r="II105" s="1997"/>
      <c r="IJ105" s="1997"/>
      <c r="IK105" s="1997"/>
      <c r="IL105" s="1997"/>
      <c r="IM105" s="1997"/>
      <c r="IN105" s="1997"/>
      <c r="IO105" s="1997"/>
      <c r="IP105" s="1997"/>
      <c r="IQ105" s="1997"/>
    </row>
    <row r="106" spans="1:251" hidden="1">
      <c r="A106" s="1993"/>
      <c r="B106" s="1993"/>
      <c r="C106" s="1993"/>
      <c r="D106" s="2021"/>
      <c r="E106" s="1993"/>
      <c r="F106" s="1940">
        <f t="shared" si="44"/>
        <v>0</v>
      </c>
      <c r="G106" s="1993"/>
      <c r="H106" s="1940">
        <f t="shared" si="45"/>
        <v>0</v>
      </c>
      <c r="I106" s="1993"/>
      <c r="J106" s="1940">
        <f t="shared" si="46"/>
        <v>0</v>
      </c>
      <c r="K106" s="1993"/>
      <c r="L106" s="1940">
        <f t="shared" si="47"/>
        <v>0</v>
      </c>
      <c r="M106" s="1940">
        <f t="shared" si="48"/>
        <v>0</v>
      </c>
      <c r="N106" s="1940">
        <f t="shared" si="49"/>
        <v>0</v>
      </c>
      <c r="O106" s="1993"/>
      <c r="P106" s="1993"/>
      <c r="Q106" s="1940">
        <f t="shared" si="50"/>
        <v>0</v>
      </c>
      <c r="R106" s="1940">
        <f t="shared" si="51"/>
        <v>0</v>
      </c>
      <c r="S106" s="1940">
        <f t="shared" si="52"/>
        <v>0</v>
      </c>
      <c r="T106" s="1940">
        <f t="shared" si="53"/>
        <v>0</v>
      </c>
      <c r="U106" s="1940">
        <f t="shared" si="54"/>
        <v>0</v>
      </c>
      <c r="V106" s="1997"/>
      <c r="W106" s="1997"/>
      <c r="X106" s="1997"/>
      <c r="Y106" s="1997"/>
      <c r="Z106" s="1997"/>
      <c r="AA106" s="1997"/>
      <c r="AB106" s="1997"/>
      <c r="AC106" s="1997"/>
      <c r="AD106" s="1997"/>
      <c r="AE106" s="1997"/>
      <c r="AF106" s="1997"/>
      <c r="AG106" s="1997"/>
      <c r="AH106" s="1997"/>
      <c r="AI106" s="1997"/>
      <c r="AJ106" s="1997"/>
      <c r="AK106" s="1997"/>
      <c r="AL106" s="1997"/>
      <c r="AM106" s="1997"/>
      <c r="AN106" s="1997"/>
      <c r="AO106" s="1997"/>
      <c r="AP106" s="1997"/>
      <c r="AQ106" s="1997"/>
      <c r="AR106" s="1997"/>
      <c r="AS106" s="1997"/>
      <c r="AT106" s="1997"/>
      <c r="AU106" s="1997"/>
      <c r="AV106" s="1997"/>
      <c r="AW106" s="1997"/>
      <c r="AX106" s="1997"/>
      <c r="AY106" s="1997"/>
      <c r="AZ106" s="1997"/>
      <c r="BA106" s="1997"/>
      <c r="BB106" s="1997"/>
      <c r="BC106" s="1997"/>
      <c r="BD106" s="1997"/>
      <c r="BE106" s="1997"/>
      <c r="BF106" s="1997"/>
      <c r="BG106" s="1997"/>
      <c r="BH106" s="1997"/>
      <c r="BI106" s="1997"/>
      <c r="BJ106" s="1997"/>
      <c r="BK106" s="1997"/>
      <c r="BL106" s="1997"/>
      <c r="BM106" s="1997"/>
      <c r="BN106" s="1997"/>
      <c r="BO106" s="1997"/>
      <c r="BP106" s="1997"/>
      <c r="BQ106" s="1997"/>
      <c r="BR106" s="1997"/>
      <c r="BS106" s="1997"/>
      <c r="BT106" s="1997"/>
      <c r="BU106" s="1997"/>
      <c r="BV106" s="1997"/>
      <c r="BW106" s="1997"/>
      <c r="BX106" s="1997"/>
      <c r="BY106" s="1997"/>
      <c r="BZ106" s="1997"/>
      <c r="CA106" s="1997"/>
      <c r="CB106" s="1997"/>
      <c r="CC106" s="1997"/>
      <c r="CD106" s="1997"/>
      <c r="CE106" s="1997"/>
      <c r="CF106" s="1997"/>
      <c r="CG106" s="1997"/>
      <c r="CH106" s="1997"/>
      <c r="CI106" s="1997"/>
      <c r="CJ106" s="1997"/>
      <c r="CK106" s="1997"/>
      <c r="CL106" s="1997"/>
      <c r="CM106" s="1997"/>
      <c r="CN106" s="1997"/>
      <c r="CO106" s="1997"/>
      <c r="CP106" s="1997"/>
      <c r="CQ106" s="1997"/>
      <c r="CR106" s="1997"/>
      <c r="CS106" s="1997"/>
      <c r="CT106" s="1997"/>
      <c r="CU106" s="1997"/>
      <c r="CV106" s="1997"/>
      <c r="CW106" s="1997"/>
      <c r="CX106" s="1997"/>
      <c r="CY106" s="1997"/>
      <c r="CZ106" s="1997"/>
      <c r="DA106" s="1997"/>
      <c r="DB106" s="1997"/>
      <c r="DC106" s="1997"/>
      <c r="DD106" s="1997"/>
      <c r="DE106" s="1997"/>
      <c r="DF106" s="1997"/>
      <c r="DG106" s="1997"/>
      <c r="DH106" s="1997"/>
      <c r="DI106" s="1997"/>
      <c r="DJ106" s="1997"/>
      <c r="DK106" s="1997"/>
      <c r="DL106" s="1997"/>
      <c r="DM106" s="1997"/>
      <c r="DN106" s="1997"/>
      <c r="DO106" s="1997"/>
      <c r="DP106" s="1997"/>
      <c r="DQ106" s="1997"/>
      <c r="DR106" s="1997"/>
      <c r="DS106" s="1997"/>
      <c r="DT106" s="1997"/>
      <c r="DU106" s="1997"/>
      <c r="DV106" s="1997"/>
      <c r="DW106" s="1997"/>
      <c r="DX106" s="1997"/>
      <c r="DY106" s="1997"/>
      <c r="DZ106" s="1997"/>
      <c r="EA106" s="1997"/>
      <c r="EB106" s="1997"/>
      <c r="EC106" s="1997"/>
      <c r="ED106" s="1997"/>
      <c r="EE106" s="1997"/>
      <c r="EF106" s="1997"/>
      <c r="EG106" s="1997"/>
      <c r="EH106" s="1997"/>
      <c r="EI106" s="1997"/>
      <c r="EJ106" s="1997"/>
      <c r="EK106" s="1997"/>
      <c r="EL106" s="1997"/>
      <c r="EM106" s="1997"/>
      <c r="EN106" s="1997"/>
      <c r="EO106" s="1997"/>
      <c r="EP106" s="1997"/>
      <c r="EQ106" s="1997"/>
      <c r="ER106" s="1997"/>
      <c r="ES106" s="1997"/>
      <c r="ET106" s="1997"/>
      <c r="EU106" s="1997"/>
      <c r="EV106" s="1997"/>
      <c r="EW106" s="1997"/>
      <c r="EX106" s="1997"/>
      <c r="EY106" s="1997"/>
      <c r="EZ106" s="1997"/>
      <c r="FA106" s="1997"/>
      <c r="FB106" s="1997"/>
      <c r="FC106" s="1997"/>
      <c r="FD106" s="1997"/>
      <c r="FE106" s="1997"/>
      <c r="FF106" s="1997"/>
      <c r="FG106" s="1997"/>
      <c r="FH106" s="1997"/>
      <c r="FI106" s="1997"/>
      <c r="FJ106" s="1997"/>
      <c r="FK106" s="1997"/>
      <c r="FL106" s="1997"/>
      <c r="FM106" s="1997"/>
      <c r="FN106" s="1997"/>
      <c r="FO106" s="1997"/>
      <c r="FP106" s="1997"/>
      <c r="FQ106" s="1997"/>
      <c r="FR106" s="1997"/>
      <c r="FS106" s="1997"/>
      <c r="FT106" s="1997"/>
      <c r="FU106" s="1997"/>
      <c r="FV106" s="1997"/>
      <c r="FW106" s="1997"/>
      <c r="FX106" s="1997"/>
      <c r="FY106" s="1997"/>
      <c r="FZ106" s="1997"/>
      <c r="GA106" s="1997"/>
      <c r="GB106" s="1997"/>
      <c r="GC106" s="1997"/>
      <c r="GD106" s="1997"/>
      <c r="GE106" s="1997"/>
      <c r="GF106" s="1997"/>
      <c r="GG106" s="1997"/>
      <c r="GH106" s="1997"/>
      <c r="GI106" s="1997"/>
      <c r="GJ106" s="1997"/>
      <c r="GK106" s="1997"/>
      <c r="GL106" s="1997"/>
      <c r="GM106" s="1997"/>
      <c r="GN106" s="1997"/>
      <c r="GO106" s="1997"/>
      <c r="GP106" s="1997"/>
      <c r="GQ106" s="1997"/>
      <c r="GR106" s="1997"/>
      <c r="GS106" s="1997"/>
      <c r="GT106" s="1997"/>
      <c r="GU106" s="1997"/>
      <c r="GV106" s="1997"/>
      <c r="GW106" s="1997"/>
      <c r="GX106" s="1997"/>
      <c r="GY106" s="1997"/>
      <c r="GZ106" s="1997"/>
      <c r="HA106" s="1997"/>
      <c r="HB106" s="1997"/>
      <c r="HC106" s="1997"/>
      <c r="HD106" s="1997"/>
      <c r="HE106" s="1997"/>
      <c r="HF106" s="1997"/>
      <c r="HG106" s="1997"/>
      <c r="HH106" s="1997"/>
      <c r="HI106" s="1997"/>
      <c r="HJ106" s="1997"/>
      <c r="HK106" s="1997"/>
      <c r="HL106" s="1997"/>
      <c r="HM106" s="1997"/>
      <c r="HN106" s="1997"/>
      <c r="HO106" s="1997"/>
      <c r="HP106" s="1997"/>
      <c r="HQ106" s="1997"/>
      <c r="HR106" s="1997"/>
      <c r="HS106" s="1997"/>
      <c r="HT106" s="1997"/>
      <c r="HU106" s="1997"/>
      <c r="HV106" s="1997"/>
      <c r="HW106" s="1997"/>
      <c r="HX106" s="1997"/>
      <c r="HY106" s="1997"/>
      <c r="HZ106" s="1997"/>
      <c r="IA106" s="1997"/>
      <c r="IB106" s="1997"/>
      <c r="IC106" s="1997"/>
      <c r="ID106" s="1997"/>
      <c r="IE106" s="1997"/>
      <c r="IF106" s="1997"/>
      <c r="IG106" s="1997"/>
      <c r="IH106" s="1997"/>
      <c r="II106" s="1997"/>
      <c r="IJ106" s="1997"/>
      <c r="IK106" s="1997"/>
      <c r="IL106" s="1997"/>
      <c r="IM106" s="1997"/>
      <c r="IN106" s="1997"/>
      <c r="IO106" s="1997"/>
      <c r="IP106" s="1997"/>
      <c r="IQ106" s="1997"/>
    </row>
    <row r="107" spans="1:251" hidden="1">
      <c r="A107" s="1993"/>
      <c r="B107" s="1993"/>
      <c r="C107" s="1993"/>
      <c r="D107" s="2021"/>
      <c r="E107" s="1993"/>
      <c r="F107" s="1940">
        <f t="shared" si="44"/>
        <v>0</v>
      </c>
      <c r="G107" s="1993"/>
      <c r="H107" s="1940">
        <f t="shared" si="45"/>
        <v>0</v>
      </c>
      <c r="I107" s="1993"/>
      <c r="J107" s="1940">
        <f t="shared" si="46"/>
        <v>0</v>
      </c>
      <c r="K107" s="1993"/>
      <c r="L107" s="1940">
        <f t="shared" si="47"/>
        <v>0</v>
      </c>
      <c r="M107" s="1940">
        <f t="shared" si="48"/>
        <v>0</v>
      </c>
      <c r="N107" s="1940">
        <f t="shared" si="49"/>
        <v>0</v>
      </c>
      <c r="O107" s="1993"/>
      <c r="P107" s="1993"/>
      <c r="Q107" s="1940">
        <f t="shared" si="50"/>
        <v>0</v>
      </c>
      <c r="R107" s="1940">
        <f t="shared" si="51"/>
        <v>0</v>
      </c>
      <c r="S107" s="1940">
        <f t="shared" si="52"/>
        <v>0</v>
      </c>
      <c r="T107" s="1940">
        <f t="shared" si="53"/>
        <v>0</v>
      </c>
      <c r="U107" s="1940">
        <f t="shared" si="54"/>
        <v>0</v>
      </c>
      <c r="V107" s="1997"/>
      <c r="W107" s="1997"/>
      <c r="X107" s="1997"/>
      <c r="Y107" s="1997"/>
      <c r="Z107" s="1997"/>
      <c r="AA107" s="1997"/>
      <c r="AB107" s="1997"/>
      <c r="AC107" s="1997"/>
      <c r="AD107" s="1997"/>
      <c r="AE107" s="1997"/>
      <c r="AF107" s="1997"/>
      <c r="AG107" s="1997"/>
      <c r="AH107" s="1997"/>
      <c r="AI107" s="1997"/>
      <c r="AJ107" s="1997"/>
      <c r="AK107" s="1997"/>
      <c r="AL107" s="1997"/>
      <c r="AM107" s="1997"/>
      <c r="AN107" s="1997"/>
      <c r="AO107" s="1997"/>
      <c r="AP107" s="1997"/>
      <c r="AQ107" s="1997"/>
      <c r="AR107" s="1997"/>
      <c r="AS107" s="1997"/>
      <c r="AT107" s="1997"/>
      <c r="AU107" s="1997"/>
      <c r="AV107" s="1997"/>
      <c r="AW107" s="1997"/>
      <c r="AX107" s="1997"/>
      <c r="AY107" s="1997"/>
      <c r="AZ107" s="1997"/>
      <c r="BA107" s="1997"/>
      <c r="BB107" s="1997"/>
      <c r="BC107" s="1997"/>
      <c r="BD107" s="1997"/>
      <c r="BE107" s="1997"/>
      <c r="BF107" s="1997"/>
      <c r="BG107" s="1997"/>
      <c r="BH107" s="1997"/>
      <c r="BI107" s="1997"/>
      <c r="BJ107" s="1997"/>
      <c r="BK107" s="1997"/>
      <c r="BL107" s="1997"/>
      <c r="BM107" s="1997"/>
      <c r="BN107" s="1997"/>
      <c r="BO107" s="1997"/>
      <c r="BP107" s="1997"/>
      <c r="BQ107" s="1997"/>
      <c r="BR107" s="1997"/>
      <c r="BS107" s="1997"/>
      <c r="BT107" s="1997"/>
      <c r="BU107" s="1997"/>
      <c r="BV107" s="1997"/>
      <c r="BW107" s="1997"/>
      <c r="BX107" s="1997"/>
      <c r="BY107" s="1997"/>
      <c r="BZ107" s="1997"/>
      <c r="CA107" s="1997"/>
      <c r="CB107" s="1997"/>
      <c r="CC107" s="1997"/>
      <c r="CD107" s="1997"/>
      <c r="CE107" s="1997"/>
      <c r="CF107" s="1997"/>
      <c r="CG107" s="1997"/>
      <c r="CH107" s="1997"/>
      <c r="CI107" s="1997"/>
      <c r="CJ107" s="1997"/>
      <c r="CK107" s="1997"/>
      <c r="CL107" s="1997"/>
      <c r="CM107" s="1997"/>
      <c r="CN107" s="1997"/>
      <c r="CO107" s="1997"/>
      <c r="CP107" s="1997"/>
      <c r="CQ107" s="1997"/>
      <c r="CR107" s="1997"/>
      <c r="CS107" s="1997"/>
      <c r="CT107" s="1997"/>
      <c r="CU107" s="1997"/>
      <c r="CV107" s="1997"/>
      <c r="CW107" s="1997"/>
      <c r="CX107" s="1997"/>
      <c r="CY107" s="1997"/>
      <c r="CZ107" s="1997"/>
      <c r="DA107" s="1997"/>
      <c r="DB107" s="1997"/>
      <c r="DC107" s="1997"/>
      <c r="DD107" s="1997"/>
      <c r="DE107" s="1997"/>
      <c r="DF107" s="1997"/>
      <c r="DG107" s="1997"/>
      <c r="DH107" s="1997"/>
      <c r="DI107" s="1997"/>
      <c r="DJ107" s="1997"/>
      <c r="DK107" s="1997"/>
      <c r="DL107" s="1997"/>
      <c r="DM107" s="1997"/>
      <c r="DN107" s="1997"/>
      <c r="DO107" s="1997"/>
      <c r="DP107" s="1997"/>
      <c r="DQ107" s="1997"/>
      <c r="DR107" s="1997"/>
      <c r="DS107" s="1997"/>
      <c r="DT107" s="1997"/>
      <c r="DU107" s="1997"/>
      <c r="DV107" s="1997"/>
      <c r="DW107" s="1997"/>
      <c r="DX107" s="1997"/>
      <c r="DY107" s="1997"/>
      <c r="DZ107" s="1997"/>
      <c r="EA107" s="1997"/>
      <c r="EB107" s="1997"/>
      <c r="EC107" s="1997"/>
      <c r="ED107" s="1997"/>
      <c r="EE107" s="1997"/>
      <c r="EF107" s="1997"/>
      <c r="EG107" s="1997"/>
      <c r="EH107" s="1997"/>
      <c r="EI107" s="1997"/>
      <c r="EJ107" s="1997"/>
      <c r="EK107" s="1997"/>
      <c r="EL107" s="1997"/>
      <c r="EM107" s="1997"/>
      <c r="EN107" s="1997"/>
      <c r="EO107" s="1997"/>
      <c r="EP107" s="1997"/>
      <c r="EQ107" s="1997"/>
      <c r="ER107" s="1997"/>
      <c r="ES107" s="1997"/>
      <c r="ET107" s="1997"/>
      <c r="EU107" s="1997"/>
      <c r="EV107" s="1997"/>
      <c r="EW107" s="1997"/>
      <c r="EX107" s="1997"/>
      <c r="EY107" s="1997"/>
      <c r="EZ107" s="1997"/>
      <c r="FA107" s="1997"/>
      <c r="FB107" s="1997"/>
      <c r="FC107" s="1997"/>
      <c r="FD107" s="1997"/>
      <c r="FE107" s="1997"/>
      <c r="FF107" s="1997"/>
      <c r="FG107" s="1997"/>
      <c r="FH107" s="1997"/>
      <c r="FI107" s="1997"/>
      <c r="FJ107" s="1997"/>
      <c r="FK107" s="1997"/>
      <c r="FL107" s="1997"/>
      <c r="FM107" s="1997"/>
      <c r="FN107" s="1997"/>
      <c r="FO107" s="1997"/>
      <c r="FP107" s="1997"/>
      <c r="FQ107" s="1997"/>
      <c r="FR107" s="1997"/>
      <c r="FS107" s="1997"/>
      <c r="FT107" s="1997"/>
      <c r="FU107" s="1997"/>
      <c r="FV107" s="1997"/>
      <c r="FW107" s="1997"/>
      <c r="FX107" s="1997"/>
      <c r="FY107" s="1997"/>
      <c r="FZ107" s="1997"/>
      <c r="GA107" s="1997"/>
      <c r="GB107" s="1997"/>
      <c r="GC107" s="1997"/>
      <c r="GD107" s="1997"/>
      <c r="GE107" s="1997"/>
      <c r="GF107" s="1997"/>
      <c r="GG107" s="1997"/>
      <c r="GH107" s="1997"/>
      <c r="GI107" s="1997"/>
      <c r="GJ107" s="1997"/>
      <c r="GK107" s="1997"/>
      <c r="GL107" s="1997"/>
      <c r="GM107" s="1997"/>
      <c r="GN107" s="1997"/>
      <c r="GO107" s="1997"/>
      <c r="GP107" s="1997"/>
      <c r="GQ107" s="1997"/>
      <c r="GR107" s="1997"/>
      <c r="GS107" s="1997"/>
      <c r="GT107" s="1997"/>
      <c r="GU107" s="1997"/>
      <c r="GV107" s="1997"/>
      <c r="GW107" s="1997"/>
      <c r="GX107" s="1997"/>
      <c r="GY107" s="1997"/>
      <c r="GZ107" s="1997"/>
      <c r="HA107" s="1997"/>
      <c r="HB107" s="1997"/>
      <c r="HC107" s="1997"/>
      <c r="HD107" s="1997"/>
      <c r="HE107" s="1997"/>
      <c r="HF107" s="1997"/>
      <c r="HG107" s="1997"/>
      <c r="HH107" s="1997"/>
      <c r="HI107" s="1997"/>
      <c r="HJ107" s="1997"/>
      <c r="HK107" s="1997"/>
      <c r="HL107" s="1997"/>
      <c r="HM107" s="1997"/>
      <c r="HN107" s="1997"/>
      <c r="HO107" s="1997"/>
      <c r="HP107" s="1997"/>
      <c r="HQ107" s="1997"/>
      <c r="HR107" s="1997"/>
      <c r="HS107" s="1997"/>
      <c r="HT107" s="1997"/>
      <c r="HU107" s="1997"/>
      <c r="HV107" s="1997"/>
      <c r="HW107" s="1997"/>
      <c r="HX107" s="1997"/>
      <c r="HY107" s="1997"/>
      <c r="HZ107" s="1997"/>
      <c r="IA107" s="1997"/>
      <c r="IB107" s="1997"/>
      <c r="IC107" s="1997"/>
      <c r="ID107" s="1997"/>
      <c r="IE107" s="1997"/>
      <c r="IF107" s="1997"/>
      <c r="IG107" s="1997"/>
      <c r="IH107" s="1997"/>
      <c r="II107" s="1997"/>
      <c r="IJ107" s="1997"/>
      <c r="IK107" s="1997"/>
      <c r="IL107" s="1997"/>
      <c r="IM107" s="1997"/>
      <c r="IN107" s="1997"/>
      <c r="IO107" s="1997"/>
      <c r="IP107" s="1997"/>
      <c r="IQ107" s="1997"/>
    </row>
    <row r="108" spans="1:251" hidden="1">
      <c r="A108" s="1993"/>
      <c r="B108" s="1993"/>
      <c r="C108" s="1993"/>
      <c r="D108" s="2021"/>
      <c r="E108" s="1993"/>
      <c r="F108" s="1940">
        <f t="shared" si="44"/>
        <v>0</v>
      </c>
      <c r="G108" s="1993"/>
      <c r="H108" s="1940">
        <f t="shared" si="45"/>
        <v>0</v>
      </c>
      <c r="I108" s="1993"/>
      <c r="J108" s="1940">
        <f t="shared" si="46"/>
        <v>0</v>
      </c>
      <c r="K108" s="1993"/>
      <c r="L108" s="1940">
        <f t="shared" si="47"/>
        <v>0</v>
      </c>
      <c r="M108" s="1940">
        <f t="shared" si="48"/>
        <v>0</v>
      </c>
      <c r="N108" s="1940">
        <f t="shared" si="49"/>
        <v>0</v>
      </c>
      <c r="O108" s="1993"/>
      <c r="P108" s="1993"/>
      <c r="Q108" s="1940">
        <f t="shared" si="50"/>
        <v>0</v>
      </c>
      <c r="R108" s="1940">
        <f t="shared" si="51"/>
        <v>0</v>
      </c>
      <c r="S108" s="1940">
        <f t="shared" si="52"/>
        <v>0</v>
      </c>
      <c r="T108" s="1940">
        <f t="shared" si="53"/>
        <v>0</v>
      </c>
      <c r="U108" s="1940">
        <f t="shared" si="54"/>
        <v>0</v>
      </c>
      <c r="V108" s="1997"/>
      <c r="W108" s="1997"/>
      <c r="X108" s="1997"/>
      <c r="Y108" s="1997"/>
      <c r="Z108" s="1997"/>
      <c r="AA108" s="1997"/>
      <c r="AB108" s="1997"/>
      <c r="AC108" s="1997"/>
      <c r="AD108" s="1997"/>
      <c r="AE108" s="1997"/>
      <c r="AF108" s="1997"/>
      <c r="AG108" s="1997"/>
      <c r="AH108" s="1997"/>
      <c r="AI108" s="1997"/>
      <c r="AJ108" s="1997"/>
      <c r="AK108" s="1997"/>
      <c r="AL108" s="1997"/>
      <c r="AM108" s="1997"/>
      <c r="AN108" s="1997"/>
      <c r="AO108" s="1997"/>
      <c r="AP108" s="1997"/>
      <c r="AQ108" s="1997"/>
      <c r="AR108" s="1997"/>
      <c r="AS108" s="1997"/>
      <c r="AT108" s="1997"/>
      <c r="AU108" s="1997"/>
      <c r="AV108" s="1997"/>
      <c r="AW108" s="1997"/>
      <c r="AX108" s="1997"/>
      <c r="AY108" s="1997"/>
      <c r="AZ108" s="1997"/>
      <c r="BA108" s="1997"/>
      <c r="BB108" s="1997"/>
      <c r="BC108" s="1997"/>
      <c r="BD108" s="1997"/>
      <c r="BE108" s="1997"/>
      <c r="BF108" s="1997"/>
      <c r="BG108" s="1997"/>
      <c r="BH108" s="1997"/>
      <c r="BI108" s="1997"/>
      <c r="BJ108" s="1997"/>
      <c r="BK108" s="1997"/>
      <c r="BL108" s="1997"/>
      <c r="BM108" s="1997"/>
      <c r="BN108" s="1997"/>
      <c r="BO108" s="1997"/>
      <c r="BP108" s="1997"/>
      <c r="BQ108" s="1997"/>
      <c r="BR108" s="1997"/>
      <c r="BS108" s="1997"/>
      <c r="BT108" s="1997"/>
      <c r="BU108" s="1997"/>
      <c r="BV108" s="1997"/>
      <c r="BW108" s="1997"/>
      <c r="BX108" s="1997"/>
      <c r="BY108" s="1997"/>
      <c r="BZ108" s="1997"/>
      <c r="CA108" s="1997"/>
      <c r="CB108" s="1997"/>
      <c r="CC108" s="1997"/>
      <c r="CD108" s="1997"/>
      <c r="CE108" s="1997"/>
      <c r="CF108" s="1997"/>
      <c r="CG108" s="1997"/>
      <c r="CH108" s="1997"/>
      <c r="CI108" s="1997"/>
      <c r="CJ108" s="1997"/>
      <c r="CK108" s="1997"/>
      <c r="CL108" s="1997"/>
      <c r="CM108" s="1997"/>
      <c r="CN108" s="1997"/>
      <c r="CO108" s="1997"/>
      <c r="CP108" s="1997"/>
      <c r="CQ108" s="1997"/>
      <c r="CR108" s="1997"/>
      <c r="CS108" s="1997"/>
      <c r="CT108" s="1997"/>
      <c r="CU108" s="1997"/>
      <c r="CV108" s="1997"/>
      <c r="CW108" s="1997"/>
      <c r="CX108" s="1997"/>
      <c r="CY108" s="1997"/>
      <c r="CZ108" s="1997"/>
      <c r="DA108" s="1997"/>
      <c r="DB108" s="1997"/>
      <c r="DC108" s="1997"/>
      <c r="DD108" s="1997"/>
      <c r="DE108" s="1997"/>
      <c r="DF108" s="1997"/>
      <c r="DG108" s="1997"/>
      <c r="DH108" s="1997"/>
      <c r="DI108" s="1997"/>
      <c r="DJ108" s="1997"/>
      <c r="DK108" s="1997"/>
      <c r="DL108" s="1997"/>
      <c r="DM108" s="1997"/>
      <c r="DN108" s="1997"/>
      <c r="DO108" s="1997"/>
      <c r="DP108" s="1997"/>
      <c r="DQ108" s="1997"/>
      <c r="DR108" s="1997"/>
      <c r="DS108" s="1997"/>
      <c r="DT108" s="1997"/>
      <c r="DU108" s="1997"/>
      <c r="DV108" s="1997"/>
      <c r="DW108" s="1997"/>
      <c r="DX108" s="1997"/>
      <c r="DY108" s="1997"/>
      <c r="DZ108" s="1997"/>
      <c r="EA108" s="1997"/>
      <c r="EB108" s="1997"/>
      <c r="EC108" s="1997"/>
      <c r="ED108" s="1997"/>
      <c r="EE108" s="1997"/>
      <c r="EF108" s="1997"/>
      <c r="EG108" s="1997"/>
      <c r="EH108" s="1997"/>
      <c r="EI108" s="1997"/>
      <c r="EJ108" s="1997"/>
      <c r="EK108" s="1997"/>
      <c r="EL108" s="1997"/>
      <c r="EM108" s="1997"/>
      <c r="EN108" s="1997"/>
      <c r="EO108" s="1997"/>
      <c r="EP108" s="1997"/>
      <c r="EQ108" s="1997"/>
      <c r="ER108" s="1997"/>
      <c r="ES108" s="1997"/>
      <c r="ET108" s="1997"/>
      <c r="EU108" s="1997"/>
      <c r="EV108" s="1997"/>
      <c r="EW108" s="1997"/>
      <c r="EX108" s="1997"/>
      <c r="EY108" s="1997"/>
      <c r="EZ108" s="1997"/>
      <c r="FA108" s="1997"/>
      <c r="FB108" s="1997"/>
      <c r="FC108" s="1997"/>
      <c r="FD108" s="1997"/>
      <c r="FE108" s="1997"/>
      <c r="FF108" s="1997"/>
      <c r="FG108" s="1997"/>
      <c r="FH108" s="1997"/>
      <c r="FI108" s="1997"/>
      <c r="FJ108" s="1997"/>
      <c r="FK108" s="1997"/>
      <c r="FL108" s="1997"/>
      <c r="FM108" s="1997"/>
      <c r="FN108" s="1997"/>
      <c r="FO108" s="1997"/>
      <c r="FP108" s="1997"/>
      <c r="FQ108" s="1997"/>
      <c r="FR108" s="1997"/>
      <c r="FS108" s="1997"/>
      <c r="FT108" s="1997"/>
      <c r="FU108" s="1997"/>
      <c r="FV108" s="1997"/>
      <c r="FW108" s="1997"/>
      <c r="FX108" s="1997"/>
      <c r="FY108" s="1997"/>
      <c r="FZ108" s="1997"/>
      <c r="GA108" s="1997"/>
      <c r="GB108" s="1997"/>
      <c r="GC108" s="1997"/>
      <c r="GD108" s="1997"/>
      <c r="GE108" s="1997"/>
      <c r="GF108" s="1997"/>
      <c r="GG108" s="1997"/>
      <c r="GH108" s="1997"/>
      <c r="GI108" s="1997"/>
      <c r="GJ108" s="1997"/>
      <c r="GK108" s="1997"/>
      <c r="GL108" s="1997"/>
      <c r="GM108" s="1997"/>
      <c r="GN108" s="1997"/>
      <c r="GO108" s="1997"/>
      <c r="GP108" s="1997"/>
      <c r="GQ108" s="1997"/>
      <c r="GR108" s="1997"/>
      <c r="GS108" s="1997"/>
      <c r="GT108" s="1997"/>
      <c r="GU108" s="1997"/>
      <c r="GV108" s="1997"/>
      <c r="GW108" s="1997"/>
      <c r="GX108" s="1997"/>
      <c r="GY108" s="1997"/>
      <c r="GZ108" s="1997"/>
      <c r="HA108" s="1997"/>
      <c r="HB108" s="1997"/>
      <c r="HC108" s="1997"/>
      <c r="HD108" s="1997"/>
      <c r="HE108" s="1997"/>
      <c r="HF108" s="1997"/>
      <c r="HG108" s="1997"/>
      <c r="HH108" s="1997"/>
      <c r="HI108" s="1997"/>
      <c r="HJ108" s="1997"/>
      <c r="HK108" s="1997"/>
      <c r="HL108" s="1997"/>
      <c r="HM108" s="1997"/>
      <c r="HN108" s="1997"/>
      <c r="HO108" s="1997"/>
      <c r="HP108" s="1997"/>
      <c r="HQ108" s="1997"/>
      <c r="HR108" s="1997"/>
      <c r="HS108" s="1997"/>
      <c r="HT108" s="1997"/>
      <c r="HU108" s="1997"/>
      <c r="HV108" s="1997"/>
      <c r="HW108" s="1997"/>
      <c r="HX108" s="1997"/>
      <c r="HY108" s="1997"/>
      <c r="HZ108" s="1997"/>
      <c r="IA108" s="1997"/>
      <c r="IB108" s="1997"/>
      <c r="IC108" s="1997"/>
      <c r="ID108" s="1997"/>
      <c r="IE108" s="1997"/>
      <c r="IF108" s="1997"/>
      <c r="IG108" s="1997"/>
      <c r="IH108" s="1997"/>
      <c r="II108" s="1997"/>
      <c r="IJ108" s="1997"/>
      <c r="IK108" s="1997"/>
      <c r="IL108" s="1997"/>
      <c r="IM108" s="1997"/>
      <c r="IN108" s="1997"/>
      <c r="IO108" s="1997"/>
      <c r="IP108" s="1997"/>
      <c r="IQ108" s="1997"/>
    </row>
    <row r="109" spans="1:251" ht="14.25" hidden="1" customHeight="1">
      <c r="A109" s="1993"/>
      <c r="B109" s="1993"/>
      <c r="C109" s="1993"/>
      <c r="D109" s="2021"/>
      <c r="E109" s="1993"/>
      <c r="F109" s="1940">
        <f t="shared" si="44"/>
        <v>0</v>
      </c>
      <c r="G109" s="1993"/>
      <c r="H109" s="1940">
        <f t="shared" si="45"/>
        <v>0</v>
      </c>
      <c r="I109" s="1993"/>
      <c r="J109" s="1940">
        <f t="shared" si="46"/>
        <v>0</v>
      </c>
      <c r="K109" s="1993"/>
      <c r="L109" s="1940">
        <f t="shared" si="47"/>
        <v>0</v>
      </c>
      <c r="M109" s="1940">
        <f t="shared" si="48"/>
        <v>0</v>
      </c>
      <c r="N109" s="1940">
        <f t="shared" si="49"/>
        <v>0</v>
      </c>
      <c r="O109" s="1993"/>
      <c r="P109" s="1993"/>
      <c r="Q109" s="1940">
        <f t="shared" si="50"/>
        <v>0</v>
      </c>
      <c r="R109" s="1940">
        <f t="shared" si="51"/>
        <v>0</v>
      </c>
      <c r="S109" s="1940">
        <f t="shared" si="52"/>
        <v>0</v>
      </c>
      <c r="T109" s="1940">
        <f t="shared" si="53"/>
        <v>0</v>
      </c>
      <c r="U109" s="1940">
        <f t="shared" si="54"/>
        <v>0</v>
      </c>
      <c r="V109" s="1997"/>
      <c r="W109" s="1997"/>
      <c r="X109" s="1997"/>
      <c r="Y109" s="1997"/>
      <c r="Z109" s="1997"/>
      <c r="AA109" s="1997"/>
      <c r="AB109" s="1997"/>
      <c r="AC109" s="1997"/>
      <c r="AD109" s="1997"/>
      <c r="AE109" s="1997"/>
      <c r="AF109" s="1997"/>
      <c r="AG109" s="1997"/>
      <c r="AH109" s="1997"/>
      <c r="AI109" s="1997"/>
      <c r="AJ109" s="1997"/>
      <c r="AK109" s="1997"/>
      <c r="AL109" s="1997"/>
      <c r="AM109" s="1997"/>
      <c r="AN109" s="1997"/>
      <c r="AO109" s="1997"/>
      <c r="AP109" s="1997"/>
      <c r="AQ109" s="1997"/>
      <c r="AR109" s="1997"/>
      <c r="AS109" s="1997"/>
      <c r="AT109" s="1997"/>
      <c r="AU109" s="1997"/>
      <c r="AV109" s="1997"/>
      <c r="AW109" s="1997"/>
      <c r="AX109" s="1997"/>
      <c r="AY109" s="1997"/>
      <c r="AZ109" s="1997"/>
      <c r="BA109" s="1997"/>
      <c r="BB109" s="1997"/>
      <c r="BC109" s="1997"/>
      <c r="BD109" s="1997"/>
      <c r="BE109" s="1997"/>
      <c r="BF109" s="1997"/>
      <c r="BG109" s="1997"/>
      <c r="BH109" s="1997"/>
      <c r="BI109" s="1997"/>
      <c r="BJ109" s="1997"/>
      <c r="BK109" s="1997"/>
      <c r="BL109" s="1997"/>
      <c r="BM109" s="1997"/>
      <c r="BN109" s="1997"/>
      <c r="BO109" s="1997"/>
      <c r="BP109" s="1997"/>
      <c r="BQ109" s="1997"/>
      <c r="BR109" s="1997"/>
      <c r="BS109" s="1997"/>
      <c r="BT109" s="1997"/>
      <c r="BU109" s="1997"/>
      <c r="BV109" s="1997"/>
      <c r="BW109" s="1997"/>
      <c r="BX109" s="1997"/>
      <c r="BY109" s="1997"/>
      <c r="BZ109" s="1997"/>
      <c r="CA109" s="1997"/>
      <c r="CB109" s="1997"/>
      <c r="CC109" s="1997"/>
      <c r="CD109" s="1997"/>
      <c r="CE109" s="1997"/>
      <c r="CF109" s="1997"/>
      <c r="CG109" s="1997"/>
      <c r="CH109" s="1997"/>
      <c r="CI109" s="1997"/>
      <c r="CJ109" s="1997"/>
      <c r="CK109" s="1997"/>
      <c r="CL109" s="1997"/>
      <c r="CM109" s="1997"/>
      <c r="CN109" s="1997"/>
      <c r="CO109" s="1997"/>
      <c r="CP109" s="1997"/>
      <c r="CQ109" s="1997"/>
      <c r="CR109" s="1997"/>
      <c r="CS109" s="1997"/>
      <c r="CT109" s="1997"/>
      <c r="CU109" s="1997"/>
      <c r="CV109" s="1997"/>
      <c r="CW109" s="1997"/>
      <c r="CX109" s="1997"/>
      <c r="CY109" s="1997"/>
      <c r="CZ109" s="1997"/>
      <c r="DA109" s="1997"/>
      <c r="DB109" s="1997"/>
      <c r="DC109" s="1997"/>
      <c r="DD109" s="1997"/>
      <c r="DE109" s="1997"/>
      <c r="DF109" s="1997"/>
      <c r="DG109" s="1997"/>
      <c r="DH109" s="1997"/>
      <c r="DI109" s="1997"/>
      <c r="DJ109" s="1997"/>
      <c r="DK109" s="1997"/>
      <c r="DL109" s="1997"/>
      <c r="DM109" s="1997"/>
      <c r="DN109" s="1997"/>
      <c r="DO109" s="1997"/>
      <c r="DP109" s="1997"/>
      <c r="DQ109" s="1997"/>
      <c r="DR109" s="1997"/>
      <c r="DS109" s="1997"/>
      <c r="DT109" s="1997"/>
      <c r="DU109" s="1997"/>
      <c r="DV109" s="1997"/>
      <c r="DW109" s="1997"/>
      <c r="DX109" s="1997"/>
      <c r="DY109" s="1997"/>
      <c r="DZ109" s="1997"/>
      <c r="EA109" s="1997"/>
      <c r="EB109" s="1997"/>
      <c r="EC109" s="1997"/>
      <c r="ED109" s="1997"/>
      <c r="EE109" s="1997"/>
      <c r="EF109" s="1997"/>
      <c r="EG109" s="1997"/>
      <c r="EH109" s="1997"/>
      <c r="EI109" s="1997"/>
      <c r="EJ109" s="1997"/>
      <c r="EK109" s="1997"/>
      <c r="EL109" s="1997"/>
      <c r="EM109" s="1997"/>
      <c r="EN109" s="1997"/>
      <c r="EO109" s="1997"/>
      <c r="EP109" s="1997"/>
      <c r="EQ109" s="1997"/>
      <c r="ER109" s="1997"/>
      <c r="ES109" s="1997"/>
      <c r="ET109" s="1997"/>
      <c r="EU109" s="1997"/>
      <c r="EV109" s="1997"/>
      <c r="EW109" s="1997"/>
      <c r="EX109" s="1997"/>
      <c r="EY109" s="1997"/>
      <c r="EZ109" s="1997"/>
      <c r="FA109" s="1997"/>
      <c r="FB109" s="1997"/>
      <c r="FC109" s="1997"/>
      <c r="FD109" s="1997"/>
      <c r="FE109" s="1997"/>
      <c r="FF109" s="1997"/>
      <c r="FG109" s="1997"/>
      <c r="FH109" s="1997"/>
      <c r="FI109" s="1997"/>
      <c r="FJ109" s="1997"/>
      <c r="FK109" s="1997"/>
      <c r="FL109" s="1997"/>
      <c r="FM109" s="1997"/>
      <c r="FN109" s="1997"/>
      <c r="FO109" s="1997"/>
      <c r="FP109" s="1997"/>
      <c r="FQ109" s="1997"/>
      <c r="FR109" s="1997"/>
      <c r="FS109" s="1997"/>
      <c r="FT109" s="1997"/>
      <c r="FU109" s="1997"/>
      <c r="FV109" s="1997"/>
      <c r="FW109" s="1997"/>
      <c r="FX109" s="1997"/>
      <c r="FY109" s="1997"/>
      <c r="FZ109" s="1997"/>
      <c r="GA109" s="1997"/>
      <c r="GB109" s="1997"/>
      <c r="GC109" s="1997"/>
      <c r="GD109" s="1997"/>
      <c r="GE109" s="1997"/>
      <c r="GF109" s="1997"/>
      <c r="GG109" s="1997"/>
      <c r="GH109" s="1997"/>
      <c r="GI109" s="1997"/>
      <c r="GJ109" s="1997"/>
      <c r="GK109" s="1997"/>
      <c r="GL109" s="1997"/>
      <c r="GM109" s="1997"/>
      <c r="GN109" s="1997"/>
      <c r="GO109" s="1997"/>
      <c r="GP109" s="1997"/>
      <c r="GQ109" s="1997"/>
      <c r="GR109" s="1997"/>
      <c r="GS109" s="1997"/>
      <c r="GT109" s="1997"/>
      <c r="GU109" s="1997"/>
      <c r="GV109" s="1997"/>
      <c r="GW109" s="1997"/>
      <c r="GX109" s="1997"/>
      <c r="GY109" s="1997"/>
      <c r="GZ109" s="1997"/>
      <c r="HA109" s="1997"/>
      <c r="HB109" s="1997"/>
      <c r="HC109" s="1997"/>
      <c r="HD109" s="1997"/>
      <c r="HE109" s="1997"/>
      <c r="HF109" s="1997"/>
      <c r="HG109" s="1997"/>
      <c r="HH109" s="1997"/>
      <c r="HI109" s="1997"/>
      <c r="HJ109" s="1997"/>
      <c r="HK109" s="1997"/>
      <c r="HL109" s="1997"/>
      <c r="HM109" s="1997"/>
      <c r="HN109" s="1997"/>
      <c r="HO109" s="1997"/>
      <c r="HP109" s="1997"/>
      <c r="HQ109" s="1997"/>
      <c r="HR109" s="1997"/>
      <c r="HS109" s="1997"/>
      <c r="HT109" s="1997"/>
      <c r="HU109" s="1997"/>
      <c r="HV109" s="1997"/>
      <c r="HW109" s="1997"/>
      <c r="HX109" s="1997"/>
      <c r="HY109" s="1997"/>
      <c r="HZ109" s="1997"/>
      <c r="IA109" s="1997"/>
      <c r="IB109" s="1997"/>
      <c r="IC109" s="1997"/>
      <c r="ID109" s="1997"/>
      <c r="IE109" s="1997"/>
      <c r="IF109" s="1997"/>
      <c r="IG109" s="1997"/>
      <c r="IH109" s="1997"/>
      <c r="II109" s="1997"/>
      <c r="IJ109" s="1997"/>
      <c r="IK109" s="1997"/>
      <c r="IL109" s="1997"/>
      <c r="IM109" s="1997"/>
      <c r="IN109" s="1997"/>
      <c r="IO109" s="1997"/>
      <c r="IP109" s="1997"/>
      <c r="IQ109" s="1997"/>
    </row>
    <row r="110" spans="1:251">
      <c r="A110" s="1993"/>
      <c r="B110" s="2014" t="s">
        <v>528</v>
      </c>
      <c r="C110" s="1993"/>
      <c r="D110" s="2021">
        <f>SUM(D112:D130)</f>
        <v>59</v>
      </c>
      <c r="E110" s="1993"/>
      <c r="F110" s="1940">
        <f>SUM(F112:F130)</f>
        <v>856000</v>
      </c>
      <c r="G110" s="1993"/>
      <c r="H110" s="1940">
        <f>SUM(H112:H130)</f>
        <v>53808000</v>
      </c>
      <c r="I110" s="1993"/>
      <c r="J110" s="1940">
        <f>SUM(J112:J130)</f>
        <v>0</v>
      </c>
      <c r="K110" s="1993"/>
      <c r="L110" s="1940">
        <f t="shared" ref="L110:U110" si="55">SUM(L112:L130)</f>
        <v>7600</v>
      </c>
      <c r="M110" s="1940">
        <f t="shared" si="55"/>
        <v>5380800</v>
      </c>
      <c r="N110" s="1940">
        <f t="shared" si="55"/>
        <v>59188800</v>
      </c>
      <c r="O110" s="1940">
        <f t="shared" si="55"/>
        <v>8968000</v>
      </c>
      <c r="P110" s="1940">
        <f t="shared" si="55"/>
        <v>17936000</v>
      </c>
      <c r="Q110" s="1940">
        <f t="shared" si="55"/>
        <v>86092800</v>
      </c>
      <c r="R110" s="1940">
        <f t="shared" si="55"/>
        <v>8609280</v>
      </c>
      <c r="S110" s="1940">
        <f t="shared" si="55"/>
        <v>7748352</v>
      </c>
      <c r="T110" s="1940">
        <f t="shared" si="55"/>
        <v>4649011.2000000002</v>
      </c>
      <c r="U110" s="1940">
        <f t="shared" si="55"/>
        <v>3874176</v>
      </c>
      <c r="V110" s="1997"/>
      <c r="W110" s="1997"/>
      <c r="X110" s="1997"/>
      <c r="Y110" s="1997"/>
      <c r="Z110" s="1997"/>
      <c r="AA110" s="1997"/>
      <c r="AB110" s="1997"/>
      <c r="AC110" s="1997"/>
      <c r="AD110" s="1997"/>
      <c r="AE110" s="1997"/>
      <c r="AF110" s="1997"/>
      <c r="AG110" s="1997"/>
      <c r="AH110" s="1997"/>
      <c r="AI110" s="1997"/>
      <c r="AJ110" s="1997"/>
      <c r="AK110" s="1997"/>
      <c r="AL110" s="1997"/>
      <c r="AM110" s="1997"/>
      <c r="AN110" s="1997"/>
      <c r="AO110" s="1997"/>
      <c r="AP110" s="1997"/>
      <c r="AQ110" s="1997"/>
      <c r="AR110" s="1997"/>
      <c r="AS110" s="1997"/>
      <c r="AT110" s="1997"/>
      <c r="AU110" s="1997"/>
      <c r="AV110" s="1997"/>
      <c r="AW110" s="1997"/>
      <c r="AX110" s="1997"/>
      <c r="AY110" s="1997"/>
      <c r="AZ110" s="1997"/>
      <c r="BA110" s="1997"/>
      <c r="BB110" s="1997"/>
      <c r="BC110" s="1997"/>
      <c r="BD110" s="1997"/>
      <c r="BE110" s="1997"/>
      <c r="BF110" s="1997"/>
      <c r="BG110" s="1997"/>
      <c r="BH110" s="1997"/>
      <c r="BI110" s="1997"/>
      <c r="BJ110" s="1997"/>
      <c r="BK110" s="1997"/>
      <c r="BL110" s="1997"/>
      <c r="BM110" s="1997"/>
      <c r="BN110" s="1997"/>
      <c r="BO110" s="1997"/>
      <c r="BP110" s="1997"/>
      <c r="BQ110" s="1997"/>
      <c r="BR110" s="1997"/>
      <c r="BS110" s="1997"/>
      <c r="BT110" s="1997"/>
      <c r="BU110" s="1997"/>
      <c r="BV110" s="1997"/>
      <c r="BW110" s="1997"/>
      <c r="BX110" s="1997"/>
      <c r="BY110" s="1997"/>
      <c r="BZ110" s="1997"/>
      <c r="CA110" s="1997"/>
      <c r="CB110" s="1997"/>
      <c r="CC110" s="1997"/>
      <c r="CD110" s="1997"/>
      <c r="CE110" s="1997"/>
      <c r="CF110" s="1997"/>
      <c r="CG110" s="1997"/>
      <c r="CH110" s="1997"/>
      <c r="CI110" s="1997"/>
      <c r="CJ110" s="1997"/>
      <c r="CK110" s="1997"/>
      <c r="CL110" s="1997"/>
      <c r="CM110" s="1997"/>
      <c r="CN110" s="1997"/>
      <c r="CO110" s="1997"/>
      <c r="CP110" s="1997"/>
      <c r="CQ110" s="1997"/>
      <c r="CR110" s="1997"/>
      <c r="CS110" s="1997"/>
      <c r="CT110" s="1997"/>
      <c r="CU110" s="1997"/>
      <c r="CV110" s="1997"/>
      <c r="CW110" s="1997"/>
      <c r="CX110" s="1997"/>
      <c r="CY110" s="1997"/>
      <c r="CZ110" s="1997"/>
      <c r="DA110" s="1997"/>
      <c r="DB110" s="1997"/>
      <c r="DC110" s="1997"/>
      <c r="DD110" s="1997"/>
      <c r="DE110" s="1997"/>
      <c r="DF110" s="1997"/>
      <c r="DG110" s="1997"/>
      <c r="DH110" s="1997"/>
      <c r="DI110" s="1997"/>
      <c r="DJ110" s="1997"/>
      <c r="DK110" s="1997"/>
      <c r="DL110" s="1997"/>
      <c r="DM110" s="1997"/>
      <c r="DN110" s="1997"/>
      <c r="DO110" s="1997"/>
      <c r="DP110" s="1997"/>
      <c r="DQ110" s="1997"/>
      <c r="DR110" s="1997"/>
      <c r="DS110" s="1997"/>
      <c r="DT110" s="1997"/>
      <c r="DU110" s="1997"/>
      <c r="DV110" s="1997"/>
      <c r="DW110" s="1997"/>
      <c r="DX110" s="1997"/>
      <c r="DY110" s="1997"/>
      <c r="DZ110" s="1997"/>
      <c r="EA110" s="1997"/>
      <c r="EB110" s="1997"/>
      <c r="EC110" s="1997"/>
      <c r="ED110" s="1997"/>
      <c r="EE110" s="1997"/>
      <c r="EF110" s="1997"/>
      <c r="EG110" s="1997"/>
      <c r="EH110" s="1997"/>
      <c r="EI110" s="1997"/>
      <c r="EJ110" s="1997"/>
      <c r="EK110" s="1997"/>
      <c r="EL110" s="1997"/>
      <c r="EM110" s="1997"/>
      <c r="EN110" s="1997"/>
      <c r="EO110" s="1997"/>
      <c r="EP110" s="1997"/>
      <c r="EQ110" s="1997"/>
      <c r="ER110" s="1997"/>
      <c r="ES110" s="1997"/>
      <c r="ET110" s="1997"/>
      <c r="EU110" s="1997"/>
      <c r="EV110" s="1997"/>
      <c r="EW110" s="1997"/>
      <c r="EX110" s="1997"/>
      <c r="EY110" s="1997"/>
      <c r="EZ110" s="1997"/>
      <c r="FA110" s="1997"/>
      <c r="FB110" s="1997"/>
      <c r="FC110" s="1997"/>
      <c r="FD110" s="1997"/>
      <c r="FE110" s="1997"/>
      <c r="FF110" s="1997"/>
      <c r="FG110" s="1997"/>
      <c r="FH110" s="1997"/>
      <c r="FI110" s="1997"/>
      <c r="FJ110" s="1997"/>
      <c r="FK110" s="1997"/>
      <c r="FL110" s="1997"/>
      <c r="FM110" s="1997"/>
      <c r="FN110" s="1997"/>
      <c r="FO110" s="1997"/>
      <c r="FP110" s="1997"/>
      <c r="FQ110" s="1997"/>
      <c r="FR110" s="1997"/>
      <c r="FS110" s="1997"/>
      <c r="FT110" s="1997"/>
      <c r="FU110" s="1997"/>
      <c r="FV110" s="1997"/>
      <c r="FW110" s="1997"/>
      <c r="FX110" s="1997"/>
      <c r="FY110" s="1997"/>
      <c r="FZ110" s="1997"/>
      <c r="GA110" s="1997"/>
      <c r="GB110" s="1997"/>
      <c r="GC110" s="1997"/>
      <c r="GD110" s="1997"/>
      <c r="GE110" s="1997"/>
      <c r="GF110" s="1997"/>
      <c r="GG110" s="1997"/>
      <c r="GH110" s="1997"/>
      <c r="GI110" s="1997"/>
      <c r="GJ110" s="1997"/>
      <c r="GK110" s="1997"/>
      <c r="GL110" s="1997"/>
      <c r="GM110" s="1997"/>
      <c r="GN110" s="1997"/>
      <c r="GO110" s="1997"/>
      <c r="GP110" s="1997"/>
      <c r="GQ110" s="1997"/>
      <c r="GR110" s="1997"/>
      <c r="GS110" s="1997"/>
      <c r="GT110" s="1997"/>
      <c r="GU110" s="1997"/>
      <c r="GV110" s="1997"/>
      <c r="GW110" s="1997"/>
      <c r="GX110" s="1997"/>
      <c r="GY110" s="1997"/>
      <c r="GZ110" s="1997"/>
      <c r="HA110" s="1997"/>
      <c r="HB110" s="1997"/>
      <c r="HC110" s="1997"/>
      <c r="HD110" s="1997"/>
      <c r="HE110" s="1997"/>
      <c r="HF110" s="1997"/>
      <c r="HG110" s="1997"/>
      <c r="HH110" s="1997"/>
      <c r="HI110" s="1997"/>
      <c r="HJ110" s="1997"/>
      <c r="HK110" s="1997"/>
      <c r="HL110" s="1997"/>
      <c r="HM110" s="1997"/>
      <c r="HN110" s="1997"/>
      <c r="HO110" s="1997"/>
      <c r="HP110" s="1997"/>
      <c r="HQ110" s="1997"/>
      <c r="HR110" s="1997"/>
      <c r="HS110" s="1997"/>
      <c r="HT110" s="1997"/>
      <c r="HU110" s="1997"/>
      <c r="HV110" s="1997"/>
      <c r="HW110" s="1997"/>
      <c r="HX110" s="1997"/>
      <c r="HY110" s="1997"/>
      <c r="HZ110" s="1997"/>
      <c r="IA110" s="1997"/>
      <c r="IB110" s="1997"/>
      <c r="IC110" s="1997"/>
      <c r="ID110" s="1997"/>
      <c r="IE110" s="1997"/>
      <c r="IF110" s="1997"/>
      <c r="IG110" s="1997"/>
      <c r="IH110" s="1997"/>
      <c r="II110" s="1997"/>
      <c r="IJ110" s="1997"/>
      <c r="IK110" s="1997"/>
      <c r="IL110" s="1997"/>
      <c r="IM110" s="1997"/>
      <c r="IN110" s="1997"/>
      <c r="IO110" s="1997"/>
      <c r="IP110" s="1997"/>
      <c r="IQ110" s="1997"/>
    </row>
    <row r="111" spans="1:251">
      <c r="A111" s="1993"/>
      <c r="B111" s="2014" t="s">
        <v>529</v>
      </c>
      <c r="C111" s="1993"/>
      <c r="D111" s="2021"/>
      <c r="E111" s="1993"/>
      <c r="F111" s="1940"/>
      <c r="G111" s="1993"/>
      <c r="H111" s="1940"/>
      <c r="I111" s="1993"/>
      <c r="J111" s="1940"/>
      <c r="K111" s="1993"/>
      <c r="L111" s="1940"/>
      <c r="M111" s="1940"/>
      <c r="N111" s="1940"/>
      <c r="O111" s="1940"/>
      <c r="P111" s="1940"/>
      <c r="Q111" s="1940"/>
      <c r="R111" s="1940"/>
      <c r="S111" s="1940"/>
      <c r="T111" s="1940"/>
      <c r="U111" s="1940"/>
      <c r="V111" s="1997"/>
      <c r="W111" s="1997"/>
      <c r="X111" s="1997"/>
      <c r="Y111" s="1997"/>
      <c r="Z111" s="1997"/>
      <c r="AA111" s="1997"/>
      <c r="AB111" s="1997"/>
      <c r="AC111" s="1997"/>
      <c r="AD111" s="1997"/>
      <c r="AE111" s="1997"/>
      <c r="AF111" s="1997"/>
      <c r="AG111" s="1997"/>
      <c r="AH111" s="1997"/>
      <c r="AI111" s="1997"/>
      <c r="AJ111" s="1997"/>
      <c r="AK111" s="1997"/>
      <c r="AL111" s="1997"/>
      <c r="AM111" s="1997"/>
      <c r="AN111" s="1997"/>
      <c r="AO111" s="1997"/>
      <c r="AP111" s="1997"/>
      <c r="AQ111" s="1997"/>
      <c r="AR111" s="1997"/>
      <c r="AS111" s="1997"/>
      <c r="AT111" s="1997"/>
      <c r="AU111" s="1997"/>
      <c r="AV111" s="1997"/>
      <c r="AW111" s="1997"/>
      <c r="AX111" s="1997"/>
      <c r="AY111" s="1997"/>
      <c r="AZ111" s="1997"/>
      <c r="BA111" s="1997"/>
      <c r="BB111" s="1997"/>
      <c r="BC111" s="1997"/>
      <c r="BD111" s="1997"/>
      <c r="BE111" s="1997"/>
      <c r="BF111" s="1997"/>
      <c r="BG111" s="1997"/>
      <c r="BH111" s="1997"/>
      <c r="BI111" s="1997"/>
      <c r="BJ111" s="1997"/>
      <c r="BK111" s="1997"/>
      <c r="BL111" s="1997"/>
      <c r="BM111" s="1997"/>
      <c r="BN111" s="1997"/>
      <c r="BO111" s="1997"/>
      <c r="BP111" s="1997"/>
      <c r="BQ111" s="1997"/>
      <c r="BR111" s="1997"/>
      <c r="BS111" s="1997"/>
      <c r="BT111" s="1997"/>
      <c r="BU111" s="1997"/>
      <c r="BV111" s="1997"/>
      <c r="BW111" s="1997"/>
      <c r="BX111" s="1997"/>
      <c r="BY111" s="1997"/>
      <c r="BZ111" s="1997"/>
      <c r="CA111" s="1997"/>
      <c r="CB111" s="1997"/>
      <c r="CC111" s="1997"/>
      <c r="CD111" s="1997"/>
      <c r="CE111" s="1997"/>
      <c r="CF111" s="1997"/>
      <c r="CG111" s="1997"/>
      <c r="CH111" s="1997"/>
      <c r="CI111" s="1997"/>
      <c r="CJ111" s="1997"/>
      <c r="CK111" s="1997"/>
      <c r="CL111" s="1997"/>
      <c r="CM111" s="1997"/>
      <c r="CN111" s="1997"/>
      <c r="CO111" s="1997"/>
      <c r="CP111" s="1997"/>
      <c r="CQ111" s="1997"/>
      <c r="CR111" s="1997"/>
      <c r="CS111" s="1997"/>
      <c r="CT111" s="1997"/>
      <c r="CU111" s="1997"/>
      <c r="CV111" s="1997"/>
      <c r="CW111" s="1997"/>
      <c r="CX111" s="1997"/>
      <c r="CY111" s="1997"/>
      <c r="CZ111" s="1997"/>
      <c r="DA111" s="1997"/>
      <c r="DB111" s="1997"/>
      <c r="DC111" s="1997"/>
      <c r="DD111" s="1997"/>
      <c r="DE111" s="1997"/>
      <c r="DF111" s="1997"/>
      <c r="DG111" s="1997"/>
      <c r="DH111" s="1997"/>
      <c r="DI111" s="1997"/>
      <c r="DJ111" s="1997"/>
      <c r="DK111" s="1997"/>
      <c r="DL111" s="1997"/>
      <c r="DM111" s="1997"/>
      <c r="DN111" s="1997"/>
      <c r="DO111" s="1997"/>
      <c r="DP111" s="1997"/>
      <c r="DQ111" s="1997"/>
      <c r="DR111" s="1997"/>
      <c r="DS111" s="1997"/>
      <c r="DT111" s="1997"/>
      <c r="DU111" s="1997"/>
      <c r="DV111" s="1997"/>
      <c r="DW111" s="1997"/>
      <c r="DX111" s="1997"/>
      <c r="DY111" s="1997"/>
      <c r="DZ111" s="1997"/>
      <c r="EA111" s="1997"/>
      <c r="EB111" s="1997"/>
      <c r="EC111" s="1997"/>
      <c r="ED111" s="1997"/>
      <c r="EE111" s="1997"/>
      <c r="EF111" s="1997"/>
      <c r="EG111" s="1997"/>
      <c r="EH111" s="1997"/>
      <c r="EI111" s="1997"/>
      <c r="EJ111" s="1997"/>
      <c r="EK111" s="1997"/>
      <c r="EL111" s="1997"/>
      <c r="EM111" s="1997"/>
      <c r="EN111" s="1997"/>
      <c r="EO111" s="1997"/>
      <c r="EP111" s="1997"/>
      <c r="EQ111" s="1997"/>
      <c r="ER111" s="1997"/>
      <c r="ES111" s="1997"/>
      <c r="ET111" s="1997"/>
      <c r="EU111" s="1997"/>
      <c r="EV111" s="1997"/>
      <c r="EW111" s="1997"/>
      <c r="EX111" s="1997"/>
      <c r="EY111" s="1997"/>
      <c r="EZ111" s="1997"/>
      <c r="FA111" s="1997"/>
      <c r="FB111" s="1997"/>
      <c r="FC111" s="1997"/>
      <c r="FD111" s="1997"/>
      <c r="FE111" s="1997"/>
      <c r="FF111" s="1997"/>
      <c r="FG111" s="1997"/>
      <c r="FH111" s="1997"/>
      <c r="FI111" s="1997"/>
      <c r="FJ111" s="1997"/>
      <c r="FK111" s="1997"/>
      <c r="FL111" s="1997"/>
      <c r="FM111" s="1997"/>
      <c r="FN111" s="1997"/>
      <c r="FO111" s="1997"/>
      <c r="FP111" s="1997"/>
      <c r="FQ111" s="1997"/>
      <c r="FR111" s="1997"/>
      <c r="FS111" s="1997"/>
      <c r="FT111" s="1997"/>
      <c r="FU111" s="1997"/>
      <c r="FV111" s="1997"/>
      <c r="FW111" s="1997"/>
      <c r="FX111" s="1997"/>
      <c r="FY111" s="1997"/>
      <c r="FZ111" s="1997"/>
      <c r="GA111" s="1997"/>
      <c r="GB111" s="1997"/>
      <c r="GC111" s="1997"/>
      <c r="GD111" s="1997"/>
      <c r="GE111" s="1997"/>
      <c r="GF111" s="1997"/>
      <c r="GG111" s="1997"/>
      <c r="GH111" s="1997"/>
      <c r="GI111" s="1997"/>
      <c r="GJ111" s="1997"/>
      <c r="GK111" s="1997"/>
      <c r="GL111" s="1997"/>
      <c r="GM111" s="1997"/>
      <c r="GN111" s="1997"/>
      <c r="GO111" s="1997"/>
      <c r="GP111" s="1997"/>
      <c r="GQ111" s="1997"/>
      <c r="GR111" s="1997"/>
      <c r="GS111" s="1997"/>
      <c r="GT111" s="1997"/>
      <c r="GU111" s="1997"/>
      <c r="GV111" s="1997"/>
      <c r="GW111" s="1997"/>
      <c r="GX111" s="1997"/>
      <c r="GY111" s="1997"/>
      <c r="GZ111" s="1997"/>
      <c r="HA111" s="1997"/>
      <c r="HB111" s="1997"/>
      <c r="HC111" s="1997"/>
      <c r="HD111" s="1997"/>
      <c r="HE111" s="1997"/>
      <c r="HF111" s="1997"/>
      <c r="HG111" s="1997"/>
      <c r="HH111" s="1997"/>
      <c r="HI111" s="1997"/>
      <c r="HJ111" s="1997"/>
      <c r="HK111" s="1997"/>
      <c r="HL111" s="1997"/>
      <c r="HM111" s="1997"/>
      <c r="HN111" s="1997"/>
      <c r="HO111" s="1997"/>
      <c r="HP111" s="1997"/>
      <c r="HQ111" s="1997"/>
      <c r="HR111" s="1997"/>
      <c r="HS111" s="1997"/>
      <c r="HT111" s="1997"/>
      <c r="HU111" s="1997"/>
      <c r="HV111" s="1997"/>
      <c r="HW111" s="1997"/>
      <c r="HX111" s="1997"/>
      <c r="HY111" s="1997"/>
      <c r="HZ111" s="1997"/>
      <c r="IA111" s="1997"/>
      <c r="IB111" s="1997"/>
      <c r="IC111" s="1997"/>
      <c r="ID111" s="1997"/>
      <c r="IE111" s="1997"/>
      <c r="IF111" s="1997"/>
      <c r="IG111" s="1997"/>
      <c r="IH111" s="1997"/>
      <c r="II111" s="1997"/>
      <c r="IJ111" s="1997"/>
      <c r="IK111" s="1997"/>
      <c r="IL111" s="1997"/>
      <c r="IM111" s="1997"/>
      <c r="IN111" s="1997"/>
      <c r="IO111" s="1997"/>
      <c r="IP111" s="1997"/>
      <c r="IQ111" s="1997"/>
    </row>
    <row r="112" spans="1:251" ht="27" customHeight="1">
      <c r="A112" s="2021">
        <v>1</v>
      </c>
      <c r="B112" s="2012" t="s">
        <v>530</v>
      </c>
      <c r="C112" s="1995"/>
      <c r="D112" s="2035">
        <f>'штатка школа МШ'!D112</f>
        <v>0</v>
      </c>
      <c r="E112" s="1993"/>
      <c r="F112" s="1996">
        <f>72000+10000</f>
        <v>82000</v>
      </c>
      <c r="G112" s="1993">
        <v>12</v>
      </c>
      <c r="H112" s="1940">
        <f>D112*F112*G112</f>
        <v>0</v>
      </c>
      <c r="I112" s="1993"/>
      <c r="J112" s="1940">
        <f>I112*$Q$4</f>
        <v>0</v>
      </c>
      <c r="K112" s="1993"/>
      <c r="L112" s="1940">
        <f>K112*F112</f>
        <v>0</v>
      </c>
      <c r="M112" s="1940">
        <f>D112*G112*(J112+L112)</f>
        <v>0</v>
      </c>
      <c r="N112" s="1940">
        <f>H112+M112</f>
        <v>0</v>
      </c>
      <c r="O112" s="1993">
        <f>D112*F112*2</f>
        <v>0</v>
      </c>
      <c r="P112" s="1993">
        <f>F112*D112*4</f>
        <v>0</v>
      </c>
      <c r="Q112" s="1940">
        <f>N112+O112+P112</f>
        <v>0</v>
      </c>
      <c r="R112" s="1940">
        <f>Q112*10%</f>
        <v>0</v>
      </c>
      <c r="S112" s="1940">
        <f>(Q112-R112)*10%</f>
        <v>0</v>
      </c>
      <c r="T112" s="1940">
        <f>(Q112-R112)*6%</f>
        <v>0</v>
      </c>
      <c r="U112" s="1940">
        <f>(Q112-R112)*5%</f>
        <v>0</v>
      </c>
      <c r="V112" s="1997"/>
      <c r="W112" s="1997"/>
      <c r="X112" s="1997"/>
      <c r="Y112" s="1997"/>
      <c r="Z112" s="1997"/>
      <c r="AA112" s="1997"/>
      <c r="AB112" s="1997"/>
      <c r="AC112" s="1997"/>
      <c r="AD112" s="1997"/>
      <c r="AE112" s="1997"/>
      <c r="AF112" s="1997"/>
      <c r="AG112" s="1997"/>
      <c r="AH112" s="1997"/>
      <c r="AI112" s="1997"/>
      <c r="AJ112" s="1997"/>
      <c r="AK112" s="1997"/>
      <c r="AL112" s="1997"/>
      <c r="AM112" s="1997"/>
      <c r="AN112" s="1997"/>
      <c r="AO112" s="1997"/>
      <c r="AP112" s="1997"/>
      <c r="AQ112" s="1997"/>
      <c r="AR112" s="1997"/>
      <c r="AS112" s="1997"/>
      <c r="AT112" s="1997"/>
      <c r="AU112" s="1997"/>
      <c r="AV112" s="1997"/>
      <c r="AW112" s="1997"/>
      <c r="AX112" s="1997"/>
      <c r="AY112" s="1997"/>
      <c r="AZ112" s="1997"/>
      <c r="BA112" s="1997"/>
      <c r="BB112" s="1997"/>
      <c r="BC112" s="1997"/>
      <c r="BD112" s="1997"/>
      <c r="BE112" s="1997"/>
      <c r="BF112" s="1997"/>
      <c r="BG112" s="1997"/>
      <c r="BH112" s="1997"/>
      <c r="BI112" s="1997"/>
      <c r="BJ112" s="1997"/>
      <c r="BK112" s="1997"/>
      <c r="BL112" s="1997"/>
      <c r="BM112" s="1997"/>
      <c r="BN112" s="1997"/>
      <c r="BO112" s="1997"/>
      <c r="BP112" s="1997"/>
      <c r="BQ112" s="1997"/>
      <c r="BR112" s="1997"/>
      <c r="BS112" s="1997"/>
      <c r="BT112" s="1997"/>
      <c r="BU112" s="1997"/>
      <c r="BV112" s="1997"/>
      <c r="BW112" s="1997"/>
      <c r="BX112" s="1997"/>
      <c r="BY112" s="1997"/>
      <c r="BZ112" s="1997"/>
      <c r="CA112" s="1997"/>
      <c r="CB112" s="1997"/>
      <c r="CC112" s="1997"/>
      <c r="CD112" s="1997"/>
      <c r="CE112" s="1997"/>
      <c r="CF112" s="1997"/>
      <c r="CG112" s="1997"/>
      <c r="CH112" s="1997"/>
      <c r="CI112" s="1997"/>
      <c r="CJ112" s="1997"/>
      <c r="CK112" s="1997"/>
      <c r="CL112" s="1997"/>
      <c r="CM112" s="1997"/>
      <c r="CN112" s="1997"/>
      <c r="CO112" s="1997"/>
      <c r="CP112" s="1997"/>
      <c r="CQ112" s="1997"/>
      <c r="CR112" s="1997"/>
      <c r="CS112" s="1997"/>
      <c r="CT112" s="1997"/>
      <c r="CU112" s="1997"/>
      <c r="CV112" s="1997"/>
      <c r="CW112" s="1997"/>
      <c r="CX112" s="1997"/>
      <c r="CY112" s="1997"/>
      <c r="CZ112" s="1997"/>
      <c r="DA112" s="1997"/>
      <c r="DB112" s="1997"/>
      <c r="DC112" s="1997"/>
      <c r="DD112" s="1997"/>
      <c r="DE112" s="1997"/>
      <c r="DF112" s="1997"/>
      <c r="DG112" s="1997"/>
      <c r="DH112" s="1997"/>
      <c r="DI112" s="1997"/>
      <c r="DJ112" s="1997"/>
      <c r="DK112" s="1997"/>
      <c r="DL112" s="1997"/>
      <c r="DM112" s="1997"/>
      <c r="DN112" s="1997"/>
      <c r="DO112" s="1997"/>
      <c r="DP112" s="1997"/>
      <c r="DQ112" s="1997"/>
      <c r="DR112" s="1997"/>
      <c r="DS112" s="1997"/>
      <c r="DT112" s="1997"/>
      <c r="DU112" s="1997"/>
      <c r="DV112" s="1997"/>
      <c r="DW112" s="1997"/>
      <c r="DX112" s="1997"/>
      <c r="DY112" s="1997"/>
      <c r="DZ112" s="1997"/>
      <c r="EA112" s="1997"/>
      <c r="EB112" s="1997"/>
      <c r="EC112" s="1997"/>
      <c r="ED112" s="1997"/>
      <c r="EE112" s="1997"/>
      <c r="EF112" s="1997"/>
      <c r="EG112" s="1997"/>
      <c r="EH112" s="1997"/>
      <c r="EI112" s="1997"/>
      <c r="EJ112" s="1997"/>
      <c r="EK112" s="1997"/>
      <c r="EL112" s="1997"/>
      <c r="EM112" s="1997"/>
      <c r="EN112" s="1997"/>
      <c r="EO112" s="1997"/>
      <c r="EP112" s="1997"/>
      <c r="EQ112" s="1997"/>
      <c r="ER112" s="1997"/>
      <c r="ES112" s="1997"/>
      <c r="ET112" s="1997"/>
      <c r="EU112" s="1997"/>
      <c r="EV112" s="1997"/>
      <c r="EW112" s="1997"/>
      <c r="EX112" s="1997"/>
      <c r="EY112" s="1997"/>
      <c r="EZ112" s="1997"/>
      <c r="FA112" s="1997"/>
      <c r="FB112" s="1997"/>
      <c r="FC112" s="1997"/>
      <c r="FD112" s="1997"/>
      <c r="FE112" s="1997"/>
      <c r="FF112" s="1997"/>
      <c r="FG112" s="1997"/>
      <c r="FH112" s="1997"/>
      <c r="FI112" s="1997"/>
      <c r="FJ112" s="1997"/>
      <c r="FK112" s="1997"/>
      <c r="FL112" s="1997"/>
      <c r="FM112" s="1997"/>
      <c r="FN112" s="1997"/>
      <c r="FO112" s="1997"/>
      <c r="FP112" s="1997"/>
      <c r="FQ112" s="1997"/>
      <c r="FR112" s="1997"/>
      <c r="FS112" s="1997"/>
      <c r="FT112" s="1997"/>
      <c r="FU112" s="1997"/>
      <c r="FV112" s="1997"/>
      <c r="FW112" s="1997"/>
      <c r="FX112" s="1997"/>
      <c r="FY112" s="1997"/>
      <c r="FZ112" s="1997"/>
      <c r="GA112" s="1997"/>
      <c r="GB112" s="1997"/>
      <c r="GC112" s="1997"/>
      <c r="GD112" s="1997"/>
      <c r="GE112" s="1997"/>
      <c r="GF112" s="1997"/>
      <c r="GG112" s="1997"/>
      <c r="GH112" s="1997"/>
      <c r="GI112" s="1997"/>
      <c r="GJ112" s="1997"/>
      <c r="GK112" s="1997"/>
      <c r="GL112" s="1997"/>
      <c r="GM112" s="1997"/>
      <c r="GN112" s="1997"/>
      <c r="GO112" s="1997"/>
      <c r="GP112" s="1997"/>
      <c r="GQ112" s="1997"/>
      <c r="GR112" s="1997"/>
      <c r="GS112" s="1997"/>
      <c r="GT112" s="1997"/>
      <c r="GU112" s="1997"/>
      <c r="GV112" s="1997"/>
      <c r="GW112" s="1997"/>
      <c r="GX112" s="1997"/>
      <c r="GY112" s="1997"/>
      <c r="GZ112" s="1997"/>
      <c r="HA112" s="1997"/>
      <c r="HB112" s="1997"/>
      <c r="HC112" s="1997"/>
      <c r="HD112" s="1997"/>
      <c r="HE112" s="1997"/>
      <c r="HF112" s="1997"/>
      <c r="HG112" s="1997"/>
      <c r="HH112" s="1997"/>
      <c r="HI112" s="1997"/>
      <c r="HJ112" s="1997"/>
      <c r="HK112" s="1997"/>
      <c r="HL112" s="1997"/>
      <c r="HM112" s="1997"/>
      <c r="HN112" s="1997"/>
      <c r="HO112" s="1997"/>
      <c r="HP112" s="1997"/>
      <c r="HQ112" s="1997"/>
      <c r="HR112" s="1997"/>
      <c r="HS112" s="1997"/>
      <c r="HT112" s="1997"/>
      <c r="HU112" s="1997"/>
      <c r="HV112" s="1997"/>
      <c r="HW112" s="1997"/>
      <c r="HX112" s="1997"/>
      <c r="HY112" s="1997"/>
      <c r="HZ112" s="1997"/>
      <c r="IA112" s="1997"/>
      <c r="IB112" s="1997"/>
      <c r="IC112" s="1997"/>
      <c r="ID112" s="1997"/>
      <c r="IE112" s="1997"/>
      <c r="IF112" s="1997"/>
      <c r="IG112" s="1997"/>
      <c r="IH112" s="1997"/>
      <c r="II112" s="1997"/>
      <c r="IJ112" s="1997"/>
      <c r="IK112" s="1997"/>
      <c r="IL112" s="1997"/>
      <c r="IM112" s="1997"/>
      <c r="IN112" s="1997"/>
      <c r="IO112" s="1997"/>
      <c r="IP112" s="1997"/>
      <c r="IQ112" s="1997"/>
    </row>
    <row r="113" spans="1:251">
      <c r="A113" s="2021">
        <v>2</v>
      </c>
      <c r="B113" s="2012" t="s">
        <v>531</v>
      </c>
      <c r="C113" s="1995"/>
      <c r="D113" s="2035">
        <f>ROUND((26303+3291)/500,0)</f>
        <v>59</v>
      </c>
      <c r="E113" s="1993"/>
      <c r="F113" s="1996">
        <f>66000+10000</f>
        <v>76000</v>
      </c>
      <c r="G113" s="1993">
        <v>12</v>
      </c>
      <c r="H113" s="1940">
        <f>D113*F113*G113</f>
        <v>53808000</v>
      </c>
      <c r="I113" s="1993"/>
      <c r="J113" s="1940">
        <f>I113*$Q$4</f>
        <v>0</v>
      </c>
      <c r="K113" s="1993">
        <v>0.1</v>
      </c>
      <c r="L113" s="1940">
        <f>K113*F113</f>
        <v>7600</v>
      </c>
      <c r="M113" s="1940">
        <f>D113*G113*(J113+L113)</f>
        <v>5380800</v>
      </c>
      <c r="N113" s="1940">
        <f>H113+M113</f>
        <v>59188800</v>
      </c>
      <c r="O113" s="1993">
        <f>F113*D113*2</f>
        <v>8968000</v>
      </c>
      <c r="P113" s="1993">
        <f>F113*D113*4</f>
        <v>17936000</v>
      </c>
      <c r="Q113" s="1940">
        <f>N113+O113+P113</f>
        <v>86092800</v>
      </c>
      <c r="R113" s="1940">
        <f>Q113*10%</f>
        <v>8609280</v>
      </c>
      <c r="S113" s="1940">
        <f>(Q113-R113)*10%</f>
        <v>7748352</v>
      </c>
      <c r="T113" s="1940">
        <f>(Q113-R113)*6%</f>
        <v>4649011.2000000002</v>
      </c>
      <c r="U113" s="1940">
        <f>(Q113-R113)*5%</f>
        <v>3874176</v>
      </c>
      <c r="V113" s="1997"/>
      <c r="W113" s="1997"/>
      <c r="X113" s="1997"/>
      <c r="Y113" s="1997"/>
      <c r="Z113" s="1997"/>
      <c r="AA113" s="1997"/>
      <c r="AB113" s="1997"/>
      <c r="AC113" s="1997"/>
      <c r="AD113" s="1997"/>
      <c r="AE113" s="1997"/>
      <c r="AF113" s="1997"/>
      <c r="AG113" s="1997"/>
      <c r="AH113" s="1997"/>
      <c r="AI113" s="1997"/>
      <c r="AJ113" s="1997"/>
      <c r="AK113" s="1997"/>
      <c r="AL113" s="1997"/>
      <c r="AM113" s="1997"/>
      <c r="AN113" s="1997"/>
      <c r="AO113" s="1997"/>
      <c r="AP113" s="1997"/>
      <c r="AQ113" s="1997"/>
      <c r="AR113" s="1997"/>
      <c r="AS113" s="1997"/>
      <c r="AT113" s="1997"/>
      <c r="AU113" s="1997"/>
      <c r="AV113" s="1997"/>
      <c r="AW113" s="1997"/>
      <c r="AX113" s="1997"/>
      <c r="AY113" s="1997"/>
      <c r="AZ113" s="1997"/>
      <c r="BA113" s="1997"/>
      <c r="BB113" s="1997"/>
      <c r="BC113" s="1997"/>
      <c r="BD113" s="1997"/>
      <c r="BE113" s="1997"/>
      <c r="BF113" s="1997"/>
      <c r="BG113" s="1997"/>
      <c r="BH113" s="1997"/>
      <c r="BI113" s="1997"/>
      <c r="BJ113" s="1997"/>
      <c r="BK113" s="1997"/>
      <c r="BL113" s="1997"/>
      <c r="BM113" s="1997"/>
      <c r="BN113" s="1997"/>
      <c r="BO113" s="1997"/>
      <c r="BP113" s="1997"/>
      <c r="BQ113" s="1997"/>
      <c r="BR113" s="1997"/>
      <c r="BS113" s="1997"/>
      <c r="BT113" s="1997"/>
      <c r="BU113" s="1997"/>
      <c r="BV113" s="1997"/>
      <c r="BW113" s="1997"/>
      <c r="BX113" s="1997"/>
      <c r="BY113" s="1997"/>
      <c r="BZ113" s="1997"/>
      <c r="CA113" s="1997"/>
      <c r="CB113" s="1997"/>
      <c r="CC113" s="1997"/>
      <c r="CD113" s="1997"/>
      <c r="CE113" s="1997"/>
      <c r="CF113" s="1997"/>
      <c r="CG113" s="1997"/>
      <c r="CH113" s="1997"/>
      <c r="CI113" s="1997"/>
      <c r="CJ113" s="1997"/>
      <c r="CK113" s="1997"/>
      <c r="CL113" s="1997"/>
      <c r="CM113" s="1997"/>
      <c r="CN113" s="1997"/>
      <c r="CO113" s="1997"/>
      <c r="CP113" s="1997"/>
      <c r="CQ113" s="1997"/>
      <c r="CR113" s="1997"/>
      <c r="CS113" s="1997"/>
      <c r="CT113" s="1997"/>
      <c r="CU113" s="1997"/>
      <c r="CV113" s="1997"/>
      <c r="CW113" s="1997"/>
      <c r="CX113" s="1997"/>
      <c r="CY113" s="1997"/>
      <c r="CZ113" s="1997"/>
      <c r="DA113" s="1997"/>
      <c r="DB113" s="1997"/>
      <c r="DC113" s="1997"/>
      <c r="DD113" s="1997"/>
      <c r="DE113" s="1997"/>
      <c r="DF113" s="1997"/>
      <c r="DG113" s="1997"/>
      <c r="DH113" s="1997"/>
      <c r="DI113" s="1997"/>
      <c r="DJ113" s="1997"/>
      <c r="DK113" s="1997"/>
      <c r="DL113" s="1997"/>
      <c r="DM113" s="1997"/>
      <c r="DN113" s="1997"/>
      <c r="DO113" s="1997"/>
      <c r="DP113" s="1997"/>
      <c r="DQ113" s="1997"/>
      <c r="DR113" s="1997"/>
      <c r="DS113" s="1997"/>
      <c r="DT113" s="1997"/>
      <c r="DU113" s="1997"/>
      <c r="DV113" s="1997"/>
      <c r="DW113" s="1997"/>
      <c r="DX113" s="1997"/>
      <c r="DY113" s="1997"/>
      <c r="DZ113" s="1997"/>
      <c r="EA113" s="1997"/>
      <c r="EB113" s="1997"/>
      <c r="EC113" s="1997"/>
      <c r="ED113" s="1997"/>
      <c r="EE113" s="1997"/>
      <c r="EF113" s="1997"/>
      <c r="EG113" s="1997"/>
      <c r="EH113" s="1997"/>
      <c r="EI113" s="1997"/>
      <c r="EJ113" s="1997"/>
      <c r="EK113" s="1997"/>
      <c r="EL113" s="1997"/>
      <c r="EM113" s="1997"/>
      <c r="EN113" s="1997"/>
      <c r="EO113" s="1997"/>
      <c r="EP113" s="1997"/>
      <c r="EQ113" s="1997"/>
      <c r="ER113" s="1997"/>
      <c r="ES113" s="1997"/>
      <c r="ET113" s="1997"/>
      <c r="EU113" s="1997"/>
      <c r="EV113" s="1997"/>
      <c r="EW113" s="1997"/>
      <c r="EX113" s="1997"/>
      <c r="EY113" s="1997"/>
      <c r="EZ113" s="1997"/>
      <c r="FA113" s="1997"/>
      <c r="FB113" s="1997"/>
      <c r="FC113" s="1997"/>
      <c r="FD113" s="1997"/>
      <c r="FE113" s="1997"/>
      <c r="FF113" s="1997"/>
      <c r="FG113" s="1997"/>
      <c r="FH113" s="1997"/>
      <c r="FI113" s="1997"/>
      <c r="FJ113" s="1997"/>
      <c r="FK113" s="1997"/>
      <c r="FL113" s="1997"/>
      <c r="FM113" s="1997"/>
      <c r="FN113" s="1997"/>
      <c r="FO113" s="1997"/>
      <c r="FP113" s="1997"/>
      <c r="FQ113" s="1997"/>
      <c r="FR113" s="1997"/>
      <c r="FS113" s="1997"/>
      <c r="FT113" s="1997"/>
      <c r="FU113" s="1997"/>
      <c r="FV113" s="1997"/>
      <c r="FW113" s="1997"/>
      <c r="FX113" s="1997"/>
      <c r="FY113" s="1997"/>
      <c r="FZ113" s="1997"/>
      <c r="GA113" s="1997"/>
      <c r="GB113" s="1997"/>
      <c r="GC113" s="1997"/>
      <c r="GD113" s="1997"/>
      <c r="GE113" s="1997"/>
      <c r="GF113" s="1997"/>
      <c r="GG113" s="1997"/>
      <c r="GH113" s="1997"/>
      <c r="GI113" s="1997"/>
      <c r="GJ113" s="1997"/>
      <c r="GK113" s="1997"/>
      <c r="GL113" s="1997"/>
      <c r="GM113" s="1997"/>
      <c r="GN113" s="1997"/>
      <c r="GO113" s="1997"/>
      <c r="GP113" s="1997"/>
      <c r="GQ113" s="1997"/>
      <c r="GR113" s="1997"/>
      <c r="GS113" s="1997"/>
      <c r="GT113" s="1997"/>
      <c r="GU113" s="1997"/>
      <c r="GV113" s="1997"/>
      <c r="GW113" s="1997"/>
      <c r="GX113" s="1997"/>
      <c r="GY113" s="1997"/>
      <c r="GZ113" s="1997"/>
      <c r="HA113" s="1997"/>
      <c r="HB113" s="1997"/>
      <c r="HC113" s="1997"/>
      <c r="HD113" s="1997"/>
      <c r="HE113" s="1997"/>
      <c r="HF113" s="1997"/>
      <c r="HG113" s="1997"/>
      <c r="HH113" s="1997"/>
      <c r="HI113" s="1997"/>
      <c r="HJ113" s="1997"/>
      <c r="HK113" s="1997"/>
      <c r="HL113" s="1997"/>
      <c r="HM113" s="1997"/>
      <c r="HN113" s="1997"/>
      <c r="HO113" s="1997"/>
      <c r="HP113" s="1997"/>
      <c r="HQ113" s="1997"/>
      <c r="HR113" s="1997"/>
      <c r="HS113" s="1997"/>
      <c r="HT113" s="1997"/>
      <c r="HU113" s="1997"/>
      <c r="HV113" s="1997"/>
      <c r="HW113" s="1997"/>
      <c r="HX113" s="1997"/>
      <c r="HY113" s="1997"/>
      <c r="HZ113" s="1997"/>
      <c r="IA113" s="1997"/>
      <c r="IB113" s="1997"/>
      <c r="IC113" s="1997"/>
      <c r="ID113" s="1997"/>
      <c r="IE113" s="1997"/>
      <c r="IF113" s="1997"/>
      <c r="IG113" s="1997"/>
      <c r="IH113" s="1997"/>
      <c r="II113" s="1997"/>
      <c r="IJ113" s="1997"/>
      <c r="IK113" s="1997"/>
      <c r="IL113" s="1997"/>
      <c r="IM113" s="1997"/>
      <c r="IN113" s="1997"/>
      <c r="IO113" s="1997"/>
      <c r="IP113" s="1997"/>
      <c r="IQ113" s="1997"/>
    </row>
    <row r="114" spans="1:251">
      <c r="A114" s="2021">
        <v>3</v>
      </c>
      <c r="B114" s="2012" t="s">
        <v>532</v>
      </c>
      <c r="C114" s="1995"/>
      <c r="D114" s="2035">
        <f>'штатка школа МШ'!D114</f>
        <v>0</v>
      </c>
      <c r="E114" s="1993"/>
      <c r="F114" s="1996">
        <f>66000+10000</f>
        <v>76000</v>
      </c>
      <c r="G114" s="1993">
        <v>12</v>
      </c>
      <c r="H114" s="1940">
        <f t="shared" ref="H114:H130" si="56">D114*F114*G114</f>
        <v>0</v>
      </c>
      <c r="I114" s="1993"/>
      <c r="J114" s="1940">
        <f t="shared" ref="J114:J130" si="57">I114*$Q$4</f>
        <v>0</v>
      </c>
      <c r="K114" s="1993"/>
      <c r="L114" s="1940">
        <f t="shared" ref="L114:L130" si="58">K114*F114</f>
        <v>0</v>
      </c>
      <c r="M114" s="1940">
        <f t="shared" ref="M114:M130" si="59">D114*G114*(J114+L114)</f>
        <v>0</v>
      </c>
      <c r="N114" s="1940">
        <f t="shared" ref="N114:N130" si="60">H114+M114</f>
        <v>0</v>
      </c>
      <c r="O114" s="1993">
        <f t="shared" ref="O114:O130" si="61">F114*D114*2</f>
        <v>0</v>
      </c>
      <c r="P114" s="1993">
        <f>F114*D114*4</f>
        <v>0</v>
      </c>
      <c r="Q114" s="1940">
        <f t="shared" ref="Q114:Q130" si="62">N114+O114+P114</f>
        <v>0</v>
      </c>
      <c r="R114" s="1940">
        <f t="shared" ref="R114:R130" si="63">Q114*10%</f>
        <v>0</v>
      </c>
      <c r="S114" s="1940">
        <f t="shared" ref="S114:S130" si="64">(Q114-R114)*10%</f>
        <v>0</v>
      </c>
      <c r="T114" s="1940">
        <f t="shared" ref="T114:T130" si="65">(Q114-R114)*6%</f>
        <v>0</v>
      </c>
      <c r="U114" s="1940">
        <f t="shared" ref="U114:U130" si="66">(Q114-R114)*5%</f>
        <v>0</v>
      </c>
      <c r="V114" s="1997"/>
      <c r="W114" s="1997"/>
      <c r="X114" s="1997"/>
      <c r="Y114" s="1997"/>
      <c r="Z114" s="1997"/>
      <c r="AA114" s="1997"/>
      <c r="AB114" s="1997"/>
      <c r="AC114" s="1997"/>
      <c r="AD114" s="1997"/>
      <c r="AE114" s="1997"/>
      <c r="AF114" s="1997"/>
      <c r="AG114" s="1997"/>
      <c r="AH114" s="1997"/>
      <c r="AI114" s="1997"/>
      <c r="AJ114" s="1997"/>
      <c r="AK114" s="1997"/>
      <c r="AL114" s="1997"/>
      <c r="AM114" s="1997"/>
      <c r="AN114" s="1997"/>
      <c r="AO114" s="1997"/>
      <c r="AP114" s="1997"/>
      <c r="AQ114" s="1997"/>
      <c r="AR114" s="1997"/>
      <c r="AS114" s="1997"/>
      <c r="AT114" s="1997"/>
      <c r="AU114" s="1997"/>
      <c r="AV114" s="1997"/>
      <c r="AW114" s="1997"/>
      <c r="AX114" s="1997"/>
      <c r="AY114" s="1997"/>
      <c r="AZ114" s="1997"/>
      <c r="BA114" s="1997"/>
      <c r="BB114" s="1997"/>
      <c r="BC114" s="1997"/>
      <c r="BD114" s="1997"/>
      <c r="BE114" s="1997"/>
      <c r="BF114" s="1997"/>
      <c r="BG114" s="1997"/>
      <c r="BH114" s="1997"/>
      <c r="BI114" s="1997"/>
      <c r="BJ114" s="1997"/>
      <c r="BK114" s="1997"/>
      <c r="BL114" s="1997"/>
      <c r="BM114" s="1997"/>
      <c r="BN114" s="1997"/>
      <c r="BO114" s="1997"/>
      <c r="BP114" s="1997"/>
      <c r="BQ114" s="1997"/>
      <c r="BR114" s="1997"/>
      <c r="BS114" s="1997"/>
      <c r="BT114" s="1997"/>
      <c r="BU114" s="1997"/>
      <c r="BV114" s="1997"/>
      <c r="BW114" s="1997"/>
      <c r="BX114" s="1997"/>
      <c r="BY114" s="1997"/>
      <c r="BZ114" s="1997"/>
      <c r="CA114" s="1997"/>
      <c r="CB114" s="1997"/>
      <c r="CC114" s="1997"/>
      <c r="CD114" s="1997"/>
      <c r="CE114" s="1997"/>
      <c r="CF114" s="1997"/>
      <c r="CG114" s="1997"/>
      <c r="CH114" s="1997"/>
      <c r="CI114" s="1997"/>
      <c r="CJ114" s="1997"/>
      <c r="CK114" s="1997"/>
      <c r="CL114" s="1997"/>
      <c r="CM114" s="1997"/>
      <c r="CN114" s="1997"/>
      <c r="CO114" s="1997"/>
      <c r="CP114" s="1997"/>
      <c r="CQ114" s="1997"/>
      <c r="CR114" s="1997"/>
      <c r="CS114" s="1997"/>
      <c r="CT114" s="1997"/>
      <c r="CU114" s="1997"/>
      <c r="CV114" s="1997"/>
      <c r="CW114" s="1997"/>
      <c r="CX114" s="1997"/>
      <c r="CY114" s="1997"/>
      <c r="CZ114" s="1997"/>
      <c r="DA114" s="1997"/>
      <c r="DB114" s="1997"/>
      <c r="DC114" s="1997"/>
      <c r="DD114" s="1997"/>
      <c r="DE114" s="1997"/>
      <c r="DF114" s="1997"/>
      <c r="DG114" s="1997"/>
      <c r="DH114" s="1997"/>
      <c r="DI114" s="1997"/>
      <c r="DJ114" s="1997"/>
      <c r="DK114" s="1997"/>
      <c r="DL114" s="1997"/>
      <c r="DM114" s="1997"/>
      <c r="DN114" s="1997"/>
      <c r="DO114" s="1997"/>
      <c r="DP114" s="1997"/>
      <c r="DQ114" s="1997"/>
      <c r="DR114" s="1997"/>
      <c r="DS114" s="1997"/>
      <c r="DT114" s="1997"/>
      <c r="DU114" s="1997"/>
      <c r="DV114" s="1997"/>
      <c r="DW114" s="1997"/>
      <c r="DX114" s="1997"/>
      <c r="DY114" s="1997"/>
      <c r="DZ114" s="1997"/>
      <c r="EA114" s="1997"/>
      <c r="EB114" s="1997"/>
      <c r="EC114" s="1997"/>
      <c r="ED114" s="1997"/>
      <c r="EE114" s="1997"/>
      <c r="EF114" s="1997"/>
      <c r="EG114" s="1997"/>
      <c r="EH114" s="1997"/>
      <c r="EI114" s="1997"/>
      <c r="EJ114" s="1997"/>
      <c r="EK114" s="1997"/>
      <c r="EL114" s="1997"/>
      <c r="EM114" s="1997"/>
      <c r="EN114" s="1997"/>
      <c r="EO114" s="1997"/>
      <c r="EP114" s="1997"/>
      <c r="EQ114" s="1997"/>
      <c r="ER114" s="1997"/>
      <c r="ES114" s="1997"/>
      <c r="ET114" s="1997"/>
      <c r="EU114" s="1997"/>
      <c r="EV114" s="1997"/>
      <c r="EW114" s="1997"/>
      <c r="EX114" s="1997"/>
      <c r="EY114" s="1997"/>
      <c r="EZ114" s="1997"/>
      <c r="FA114" s="1997"/>
      <c r="FB114" s="1997"/>
      <c r="FC114" s="1997"/>
      <c r="FD114" s="1997"/>
      <c r="FE114" s="1997"/>
      <c r="FF114" s="1997"/>
      <c r="FG114" s="1997"/>
      <c r="FH114" s="1997"/>
      <c r="FI114" s="1997"/>
      <c r="FJ114" s="1997"/>
      <c r="FK114" s="1997"/>
      <c r="FL114" s="1997"/>
      <c r="FM114" s="1997"/>
      <c r="FN114" s="1997"/>
      <c r="FO114" s="1997"/>
      <c r="FP114" s="1997"/>
      <c r="FQ114" s="1997"/>
      <c r="FR114" s="1997"/>
      <c r="FS114" s="1997"/>
      <c r="FT114" s="1997"/>
      <c r="FU114" s="1997"/>
      <c r="FV114" s="1997"/>
      <c r="FW114" s="1997"/>
      <c r="FX114" s="1997"/>
      <c r="FY114" s="1997"/>
      <c r="FZ114" s="1997"/>
      <c r="GA114" s="1997"/>
      <c r="GB114" s="1997"/>
      <c r="GC114" s="1997"/>
      <c r="GD114" s="1997"/>
      <c r="GE114" s="1997"/>
      <c r="GF114" s="1997"/>
      <c r="GG114" s="1997"/>
      <c r="GH114" s="1997"/>
      <c r="GI114" s="1997"/>
      <c r="GJ114" s="1997"/>
      <c r="GK114" s="1997"/>
      <c r="GL114" s="1997"/>
      <c r="GM114" s="1997"/>
      <c r="GN114" s="1997"/>
      <c r="GO114" s="1997"/>
      <c r="GP114" s="1997"/>
      <c r="GQ114" s="1997"/>
      <c r="GR114" s="1997"/>
      <c r="GS114" s="1997"/>
      <c r="GT114" s="1997"/>
      <c r="GU114" s="1997"/>
      <c r="GV114" s="1997"/>
      <c r="GW114" s="1997"/>
      <c r="GX114" s="1997"/>
      <c r="GY114" s="1997"/>
      <c r="GZ114" s="1997"/>
      <c r="HA114" s="1997"/>
      <c r="HB114" s="1997"/>
      <c r="HC114" s="1997"/>
      <c r="HD114" s="1997"/>
      <c r="HE114" s="1997"/>
      <c r="HF114" s="1997"/>
      <c r="HG114" s="1997"/>
      <c r="HH114" s="1997"/>
      <c r="HI114" s="1997"/>
      <c r="HJ114" s="1997"/>
      <c r="HK114" s="1997"/>
      <c r="HL114" s="1997"/>
      <c r="HM114" s="1997"/>
      <c r="HN114" s="1997"/>
      <c r="HO114" s="1997"/>
      <c r="HP114" s="1997"/>
      <c r="HQ114" s="1997"/>
      <c r="HR114" s="1997"/>
      <c r="HS114" s="1997"/>
      <c r="HT114" s="1997"/>
      <c r="HU114" s="1997"/>
      <c r="HV114" s="1997"/>
      <c r="HW114" s="1997"/>
      <c r="HX114" s="1997"/>
      <c r="HY114" s="1997"/>
      <c r="HZ114" s="1997"/>
      <c r="IA114" s="1997"/>
      <c r="IB114" s="1997"/>
      <c r="IC114" s="1997"/>
      <c r="ID114" s="1997"/>
      <c r="IE114" s="1997"/>
      <c r="IF114" s="1997"/>
      <c r="IG114" s="1997"/>
      <c r="IH114" s="1997"/>
      <c r="II114" s="1997"/>
      <c r="IJ114" s="1997"/>
      <c r="IK114" s="1997"/>
      <c r="IL114" s="1997"/>
      <c r="IM114" s="1997"/>
      <c r="IN114" s="1997"/>
      <c r="IO114" s="1997"/>
      <c r="IP114" s="1997"/>
      <c r="IQ114" s="1997"/>
    </row>
    <row r="115" spans="1:251">
      <c r="A115" s="2021">
        <v>4</v>
      </c>
      <c r="B115" s="2012" t="s">
        <v>533</v>
      </c>
      <c r="C115" s="1995"/>
      <c r="D115" s="2035">
        <f>'штатка школа МШ'!D115</f>
        <v>0</v>
      </c>
      <c r="E115" s="1993"/>
      <c r="F115" s="1996">
        <f>72000+10000</f>
        <v>82000</v>
      </c>
      <c r="G115" s="1993">
        <v>12</v>
      </c>
      <c r="H115" s="1940">
        <f t="shared" si="56"/>
        <v>0</v>
      </c>
      <c r="I115" s="1993"/>
      <c r="J115" s="1940">
        <f t="shared" si="57"/>
        <v>0</v>
      </c>
      <c r="K115" s="1993"/>
      <c r="L115" s="1940">
        <f t="shared" si="58"/>
        <v>0</v>
      </c>
      <c r="M115" s="1940">
        <f t="shared" si="59"/>
        <v>0</v>
      </c>
      <c r="N115" s="1940">
        <f t="shared" si="60"/>
        <v>0</v>
      </c>
      <c r="O115" s="1993">
        <f t="shared" si="61"/>
        <v>0</v>
      </c>
      <c r="P115" s="1993">
        <f>F115*D115*4</f>
        <v>0</v>
      </c>
      <c r="Q115" s="1940">
        <f t="shared" si="62"/>
        <v>0</v>
      </c>
      <c r="R115" s="1940">
        <f t="shared" si="63"/>
        <v>0</v>
      </c>
      <c r="S115" s="1940">
        <f t="shared" si="64"/>
        <v>0</v>
      </c>
      <c r="T115" s="1940">
        <f t="shared" si="65"/>
        <v>0</v>
      </c>
      <c r="U115" s="1940">
        <f t="shared" si="66"/>
        <v>0</v>
      </c>
      <c r="V115" s="1997"/>
      <c r="W115" s="1997"/>
      <c r="X115" s="1997"/>
      <c r="Y115" s="1997"/>
      <c r="Z115" s="1997"/>
      <c r="AA115" s="1997"/>
      <c r="AB115" s="1997"/>
      <c r="AC115" s="1997"/>
      <c r="AD115" s="1997"/>
      <c r="AE115" s="1997"/>
      <c r="AF115" s="1997"/>
      <c r="AG115" s="1997"/>
      <c r="AH115" s="1997"/>
      <c r="AI115" s="1997"/>
      <c r="AJ115" s="1997"/>
      <c r="AK115" s="1997"/>
      <c r="AL115" s="1997"/>
      <c r="AM115" s="1997"/>
      <c r="AN115" s="1997"/>
      <c r="AO115" s="1997"/>
      <c r="AP115" s="1997"/>
      <c r="AQ115" s="1997"/>
      <c r="AR115" s="1997"/>
      <c r="AS115" s="1997"/>
      <c r="AT115" s="1997"/>
      <c r="AU115" s="1997"/>
      <c r="AV115" s="1997"/>
      <c r="AW115" s="1997"/>
      <c r="AX115" s="1997"/>
      <c r="AY115" s="1997"/>
      <c r="AZ115" s="1997"/>
      <c r="BA115" s="1997"/>
      <c r="BB115" s="1997"/>
      <c r="BC115" s="1997"/>
      <c r="BD115" s="1997"/>
      <c r="BE115" s="1997"/>
      <c r="BF115" s="1997"/>
      <c r="BG115" s="1997"/>
      <c r="BH115" s="1997"/>
      <c r="BI115" s="1997"/>
      <c r="BJ115" s="1997"/>
      <c r="BK115" s="1997"/>
      <c r="BL115" s="1997"/>
      <c r="BM115" s="1997"/>
      <c r="BN115" s="1997"/>
      <c r="BO115" s="1997"/>
      <c r="BP115" s="1997"/>
      <c r="BQ115" s="1997"/>
      <c r="BR115" s="1997"/>
      <c r="BS115" s="1997"/>
      <c r="BT115" s="1997"/>
      <c r="BU115" s="1997"/>
      <c r="BV115" s="1997"/>
      <c r="BW115" s="1997"/>
      <c r="BX115" s="1997"/>
      <c r="BY115" s="1997"/>
      <c r="BZ115" s="1997"/>
      <c r="CA115" s="1997"/>
      <c r="CB115" s="1997"/>
      <c r="CC115" s="1997"/>
      <c r="CD115" s="1997"/>
      <c r="CE115" s="1997"/>
      <c r="CF115" s="1997"/>
      <c r="CG115" s="1997"/>
      <c r="CH115" s="1997"/>
      <c r="CI115" s="1997"/>
      <c r="CJ115" s="1997"/>
      <c r="CK115" s="1997"/>
      <c r="CL115" s="1997"/>
      <c r="CM115" s="1997"/>
      <c r="CN115" s="1997"/>
      <c r="CO115" s="1997"/>
      <c r="CP115" s="1997"/>
      <c r="CQ115" s="1997"/>
      <c r="CR115" s="1997"/>
      <c r="CS115" s="1997"/>
      <c r="CT115" s="1997"/>
      <c r="CU115" s="1997"/>
      <c r="CV115" s="1997"/>
      <c r="CW115" s="1997"/>
      <c r="CX115" s="1997"/>
      <c r="CY115" s="1997"/>
      <c r="CZ115" s="1997"/>
      <c r="DA115" s="1997"/>
      <c r="DB115" s="1997"/>
      <c r="DC115" s="1997"/>
      <c r="DD115" s="1997"/>
      <c r="DE115" s="1997"/>
      <c r="DF115" s="1997"/>
      <c r="DG115" s="1997"/>
      <c r="DH115" s="1997"/>
      <c r="DI115" s="1997"/>
      <c r="DJ115" s="1997"/>
      <c r="DK115" s="1997"/>
      <c r="DL115" s="1997"/>
      <c r="DM115" s="1997"/>
      <c r="DN115" s="1997"/>
      <c r="DO115" s="1997"/>
      <c r="DP115" s="1997"/>
      <c r="DQ115" s="1997"/>
      <c r="DR115" s="1997"/>
      <c r="DS115" s="1997"/>
      <c r="DT115" s="1997"/>
      <c r="DU115" s="1997"/>
      <c r="DV115" s="1997"/>
      <c r="DW115" s="1997"/>
      <c r="DX115" s="1997"/>
      <c r="DY115" s="1997"/>
      <c r="DZ115" s="1997"/>
      <c r="EA115" s="1997"/>
      <c r="EB115" s="1997"/>
      <c r="EC115" s="1997"/>
      <c r="ED115" s="1997"/>
      <c r="EE115" s="1997"/>
      <c r="EF115" s="1997"/>
      <c r="EG115" s="1997"/>
      <c r="EH115" s="1997"/>
      <c r="EI115" s="1997"/>
      <c r="EJ115" s="1997"/>
      <c r="EK115" s="1997"/>
      <c r="EL115" s="1997"/>
      <c r="EM115" s="1997"/>
      <c r="EN115" s="1997"/>
      <c r="EO115" s="1997"/>
      <c r="EP115" s="1997"/>
      <c r="EQ115" s="1997"/>
      <c r="ER115" s="1997"/>
      <c r="ES115" s="1997"/>
      <c r="ET115" s="1997"/>
      <c r="EU115" s="1997"/>
      <c r="EV115" s="1997"/>
      <c r="EW115" s="1997"/>
      <c r="EX115" s="1997"/>
      <c r="EY115" s="1997"/>
      <c r="EZ115" s="1997"/>
      <c r="FA115" s="1997"/>
      <c r="FB115" s="1997"/>
      <c r="FC115" s="1997"/>
      <c r="FD115" s="1997"/>
      <c r="FE115" s="1997"/>
      <c r="FF115" s="1997"/>
      <c r="FG115" s="1997"/>
      <c r="FH115" s="1997"/>
      <c r="FI115" s="1997"/>
      <c r="FJ115" s="1997"/>
      <c r="FK115" s="1997"/>
      <c r="FL115" s="1997"/>
      <c r="FM115" s="1997"/>
      <c r="FN115" s="1997"/>
      <c r="FO115" s="1997"/>
      <c r="FP115" s="1997"/>
      <c r="FQ115" s="1997"/>
      <c r="FR115" s="1997"/>
      <c r="FS115" s="1997"/>
      <c r="FT115" s="1997"/>
      <c r="FU115" s="1997"/>
      <c r="FV115" s="1997"/>
      <c r="FW115" s="1997"/>
      <c r="FX115" s="1997"/>
      <c r="FY115" s="1997"/>
      <c r="FZ115" s="1997"/>
      <c r="GA115" s="1997"/>
      <c r="GB115" s="1997"/>
      <c r="GC115" s="1997"/>
      <c r="GD115" s="1997"/>
      <c r="GE115" s="1997"/>
      <c r="GF115" s="1997"/>
      <c r="GG115" s="1997"/>
      <c r="GH115" s="1997"/>
      <c r="GI115" s="1997"/>
      <c r="GJ115" s="1997"/>
      <c r="GK115" s="1997"/>
      <c r="GL115" s="1997"/>
      <c r="GM115" s="1997"/>
      <c r="GN115" s="1997"/>
      <c r="GO115" s="1997"/>
      <c r="GP115" s="1997"/>
      <c r="GQ115" s="1997"/>
      <c r="GR115" s="1997"/>
      <c r="GS115" s="1997"/>
      <c r="GT115" s="1997"/>
      <c r="GU115" s="1997"/>
      <c r="GV115" s="1997"/>
      <c r="GW115" s="1997"/>
      <c r="GX115" s="1997"/>
      <c r="GY115" s="1997"/>
      <c r="GZ115" s="1997"/>
      <c r="HA115" s="1997"/>
      <c r="HB115" s="1997"/>
      <c r="HC115" s="1997"/>
      <c r="HD115" s="1997"/>
      <c r="HE115" s="1997"/>
      <c r="HF115" s="1997"/>
      <c r="HG115" s="1997"/>
      <c r="HH115" s="1997"/>
      <c r="HI115" s="1997"/>
      <c r="HJ115" s="1997"/>
      <c r="HK115" s="1997"/>
      <c r="HL115" s="1997"/>
      <c r="HM115" s="1997"/>
      <c r="HN115" s="1997"/>
      <c r="HO115" s="1997"/>
      <c r="HP115" s="1997"/>
      <c r="HQ115" s="1997"/>
      <c r="HR115" s="1997"/>
      <c r="HS115" s="1997"/>
      <c r="HT115" s="1997"/>
      <c r="HU115" s="1997"/>
      <c r="HV115" s="1997"/>
      <c r="HW115" s="1997"/>
      <c r="HX115" s="1997"/>
      <c r="HY115" s="1997"/>
      <c r="HZ115" s="1997"/>
      <c r="IA115" s="1997"/>
      <c r="IB115" s="1997"/>
      <c r="IC115" s="1997"/>
      <c r="ID115" s="1997"/>
      <c r="IE115" s="1997"/>
      <c r="IF115" s="1997"/>
      <c r="IG115" s="1997"/>
      <c r="IH115" s="1997"/>
      <c r="II115" s="1997"/>
      <c r="IJ115" s="1997"/>
      <c r="IK115" s="1997"/>
      <c r="IL115" s="1997"/>
      <c r="IM115" s="1997"/>
      <c r="IN115" s="1997"/>
      <c r="IO115" s="1997"/>
      <c r="IP115" s="1997"/>
      <c r="IQ115" s="1997"/>
    </row>
    <row r="116" spans="1:251">
      <c r="A116" s="2021">
        <v>5</v>
      </c>
      <c r="B116" s="2012" t="s">
        <v>534</v>
      </c>
      <c r="C116" s="1995"/>
      <c r="D116" s="2035">
        <f>'штатка школа МШ'!D116</f>
        <v>0</v>
      </c>
      <c r="E116" s="1993"/>
      <c r="F116" s="1996">
        <f>72000+28000</f>
        <v>100000</v>
      </c>
      <c r="G116" s="1993">
        <v>12</v>
      </c>
      <c r="H116" s="1940">
        <f t="shared" si="56"/>
        <v>0</v>
      </c>
      <c r="I116" s="1993"/>
      <c r="J116" s="1940">
        <f t="shared" si="57"/>
        <v>0</v>
      </c>
      <c r="K116" s="1993"/>
      <c r="L116" s="1940">
        <f t="shared" si="58"/>
        <v>0</v>
      </c>
      <c r="M116" s="1940">
        <f t="shared" si="59"/>
        <v>0</v>
      </c>
      <c r="N116" s="1940">
        <f t="shared" si="60"/>
        <v>0</v>
      </c>
      <c r="O116" s="1993">
        <f t="shared" si="61"/>
        <v>0</v>
      </c>
      <c r="P116" s="1993">
        <f>F116*D116*4</f>
        <v>0</v>
      </c>
      <c r="Q116" s="1940">
        <f t="shared" si="62"/>
        <v>0</v>
      </c>
      <c r="R116" s="1940">
        <f t="shared" si="63"/>
        <v>0</v>
      </c>
      <c r="S116" s="1940">
        <f t="shared" si="64"/>
        <v>0</v>
      </c>
      <c r="T116" s="1940">
        <f t="shared" si="65"/>
        <v>0</v>
      </c>
      <c r="U116" s="1940">
        <f t="shared" si="66"/>
        <v>0</v>
      </c>
      <c r="V116" s="1997"/>
      <c r="W116" s="1997"/>
      <c r="X116" s="1997"/>
      <c r="Y116" s="1997"/>
      <c r="Z116" s="1997"/>
      <c r="AA116" s="1997"/>
      <c r="AB116" s="1997"/>
      <c r="AC116" s="1997"/>
      <c r="AD116" s="1997"/>
      <c r="AE116" s="1997"/>
      <c r="AF116" s="1997"/>
      <c r="AG116" s="1997"/>
      <c r="AH116" s="1997"/>
      <c r="AI116" s="1997"/>
      <c r="AJ116" s="1997"/>
      <c r="AK116" s="1997"/>
      <c r="AL116" s="1997"/>
      <c r="AM116" s="1997"/>
      <c r="AN116" s="1997"/>
      <c r="AO116" s="1997"/>
      <c r="AP116" s="1997"/>
      <c r="AQ116" s="1997"/>
      <c r="AR116" s="1997"/>
      <c r="AS116" s="1997"/>
      <c r="AT116" s="1997"/>
      <c r="AU116" s="1997"/>
      <c r="AV116" s="1997"/>
      <c r="AW116" s="1997"/>
      <c r="AX116" s="1997"/>
      <c r="AY116" s="1997"/>
      <c r="AZ116" s="1997"/>
      <c r="BA116" s="1997"/>
      <c r="BB116" s="1997"/>
      <c r="BC116" s="1997"/>
      <c r="BD116" s="1997"/>
      <c r="BE116" s="1997"/>
      <c r="BF116" s="1997"/>
      <c r="BG116" s="1997"/>
      <c r="BH116" s="1997"/>
      <c r="BI116" s="1997"/>
      <c r="BJ116" s="1997"/>
      <c r="BK116" s="1997"/>
      <c r="BL116" s="1997"/>
      <c r="BM116" s="1997"/>
      <c r="BN116" s="1997"/>
      <c r="BO116" s="1997"/>
      <c r="BP116" s="1997"/>
      <c r="BQ116" s="1997"/>
      <c r="BR116" s="1997"/>
      <c r="BS116" s="1997"/>
      <c r="BT116" s="1997"/>
      <c r="BU116" s="1997"/>
      <c r="BV116" s="1997"/>
      <c r="BW116" s="1997"/>
      <c r="BX116" s="1997"/>
      <c r="BY116" s="1997"/>
      <c r="BZ116" s="1997"/>
      <c r="CA116" s="1997"/>
      <c r="CB116" s="1997"/>
      <c r="CC116" s="1997"/>
      <c r="CD116" s="1997"/>
      <c r="CE116" s="1997"/>
      <c r="CF116" s="1997"/>
      <c r="CG116" s="1997"/>
      <c r="CH116" s="1997"/>
      <c r="CI116" s="1997"/>
      <c r="CJ116" s="1997"/>
      <c r="CK116" s="1997"/>
      <c r="CL116" s="1997"/>
      <c r="CM116" s="1997"/>
      <c r="CN116" s="1997"/>
      <c r="CO116" s="1997"/>
      <c r="CP116" s="1997"/>
      <c r="CQ116" s="1997"/>
      <c r="CR116" s="1997"/>
      <c r="CS116" s="1997"/>
      <c r="CT116" s="1997"/>
      <c r="CU116" s="1997"/>
      <c r="CV116" s="1997"/>
      <c r="CW116" s="1997"/>
      <c r="CX116" s="1997"/>
      <c r="CY116" s="1997"/>
      <c r="CZ116" s="1997"/>
      <c r="DA116" s="1997"/>
      <c r="DB116" s="1997"/>
      <c r="DC116" s="1997"/>
      <c r="DD116" s="1997"/>
      <c r="DE116" s="1997"/>
      <c r="DF116" s="1997"/>
      <c r="DG116" s="1997"/>
      <c r="DH116" s="1997"/>
      <c r="DI116" s="1997"/>
      <c r="DJ116" s="1997"/>
      <c r="DK116" s="1997"/>
      <c r="DL116" s="1997"/>
      <c r="DM116" s="1997"/>
      <c r="DN116" s="1997"/>
      <c r="DO116" s="1997"/>
      <c r="DP116" s="1997"/>
      <c r="DQ116" s="1997"/>
      <c r="DR116" s="1997"/>
      <c r="DS116" s="1997"/>
      <c r="DT116" s="1997"/>
      <c r="DU116" s="1997"/>
      <c r="DV116" s="1997"/>
      <c r="DW116" s="1997"/>
      <c r="DX116" s="1997"/>
      <c r="DY116" s="1997"/>
      <c r="DZ116" s="1997"/>
      <c r="EA116" s="1997"/>
      <c r="EB116" s="1997"/>
      <c r="EC116" s="1997"/>
      <c r="ED116" s="1997"/>
      <c r="EE116" s="1997"/>
      <c r="EF116" s="1997"/>
      <c r="EG116" s="1997"/>
      <c r="EH116" s="1997"/>
      <c r="EI116" s="1997"/>
      <c r="EJ116" s="1997"/>
      <c r="EK116" s="1997"/>
      <c r="EL116" s="1997"/>
      <c r="EM116" s="1997"/>
      <c r="EN116" s="1997"/>
      <c r="EO116" s="1997"/>
      <c r="EP116" s="1997"/>
      <c r="EQ116" s="1997"/>
      <c r="ER116" s="1997"/>
      <c r="ES116" s="1997"/>
      <c r="ET116" s="1997"/>
      <c r="EU116" s="1997"/>
      <c r="EV116" s="1997"/>
      <c r="EW116" s="1997"/>
      <c r="EX116" s="1997"/>
      <c r="EY116" s="1997"/>
      <c r="EZ116" s="1997"/>
      <c r="FA116" s="1997"/>
      <c r="FB116" s="1997"/>
      <c r="FC116" s="1997"/>
      <c r="FD116" s="1997"/>
      <c r="FE116" s="1997"/>
      <c r="FF116" s="1997"/>
      <c r="FG116" s="1997"/>
      <c r="FH116" s="1997"/>
      <c r="FI116" s="1997"/>
      <c r="FJ116" s="1997"/>
      <c r="FK116" s="1997"/>
      <c r="FL116" s="1997"/>
      <c r="FM116" s="1997"/>
      <c r="FN116" s="1997"/>
      <c r="FO116" s="1997"/>
      <c r="FP116" s="1997"/>
      <c r="FQ116" s="1997"/>
      <c r="FR116" s="1997"/>
      <c r="FS116" s="1997"/>
      <c r="FT116" s="1997"/>
      <c r="FU116" s="1997"/>
      <c r="FV116" s="1997"/>
      <c r="FW116" s="1997"/>
      <c r="FX116" s="1997"/>
      <c r="FY116" s="1997"/>
      <c r="FZ116" s="1997"/>
      <c r="GA116" s="1997"/>
      <c r="GB116" s="1997"/>
      <c r="GC116" s="1997"/>
      <c r="GD116" s="1997"/>
      <c r="GE116" s="1997"/>
      <c r="GF116" s="1997"/>
      <c r="GG116" s="1997"/>
      <c r="GH116" s="1997"/>
      <c r="GI116" s="1997"/>
      <c r="GJ116" s="1997"/>
      <c r="GK116" s="1997"/>
      <c r="GL116" s="1997"/>
      <c r="GM116" s="1997"/>
      <c r="GN116" s="1997"/>
      <c r="GO116" s="1997"/>
      <c r="GP116" s="1997"/>
      <c r="GQ116" s="1997"/>
      <c r="GR116" s="1997"/>
      <c r="GS116" s="1997"/>
      <c r="GT116" s="1997"/>
      <c r="GU116" s="1997"/>
      <c r="GV116" s="1997"/>
      <c r="GW116" s="1997"/>
      <c r="GX116" s="1997"/>
      <c r="GY116" s="1997"/>
      <c r="GZ116" s="1997"/>
      <c r="HA116" s="1997"/>
      <c r="HB116" s="1997"/>
      <c r="HC116" s="1997"/>
      <c r="HD116" s="1997"/>
      <c r="HE116" s="1997"/>
      <c r="HF116" s="1997"/>
      <c r="HG116" s="1997"/>
      <c r="HH116" s="1997"/>
      <c r="HI116" s="1997"/>
      <c r="HJ116" s="1997"/>
      <c r="HK116" s="1997"/>
      <c r="HL116" s="1997"/>
      <c r="HM116" s="1997"/>
      <c r="HN116" s="1997"/>
      <c r="HO116" s="1997"/>
      <c r="HP116" s="1997"/>
      <c r="HQ116" s="1997"/>
      <c r="HR116" s="1997"/>
      <c r="HS116" s="1997"/>
      <c r="HT116" s="1997"/>
      <c r="HU116" s="1997"/>
      <c r="HV116" s="1997"/>
      <c r="HW116" s="1997"/>
      <c r="HX116" s="1997"/>
      <c r="HY116" s="1997"/>
      <c r="HZ116" s="1997"/>
      <c r="IA116" s="1997"/>
      <c r="IB116" s="1997"/>
      <c r="IC116" s="1997"/>
      <c r="ID116" s="1997"/>
      <c r="IE116" s="1997"/>
      <c r="IF116" s="1997"/>
      <c r="IG116" s="1997"/>
      <c r="IH116" s="1997"/>
      <c r="II116" s="1997"/>
      <c r="IJ116" s="1997"/>
      <c r="IK116" s="1997"/>
      <c r="IL116" s="1997"/>
      <c r="IM116" s="1997"/>
      <c r="IN116" s="1997"/>
      <c r="IO116" s="1997"/>
      <c r="IP116" s="1997"/>
      <c r="IQ116" s="1997"/>
    </row>
    <row r="117" spans="1:251" hidden="1">
      <c r="A117" s="2021"/>
      <c r="B117" s="2012" t="s">
        <v>980</v>
      </c>
      <c r="C117" s="1995"/>
      <c r="D117" s="2035"/>
      <c r="E117" s="1993"/>
      <c r="F117" s="1996"/>
      <c r="G117" s="1993">
        <v>12</v>
      </c>
      <c r="H117" s="1940">
        <f t="shared" si="56"/>
        <v>0</v>
      </c>
      <c r="I117" s="1993"/>
      <c r="J117" s="1940">
        <f t="shared" si="57"/>
        <v>0</v>
      </c>
      <c r="K117" s="1993"/>
      <c r="L117" s="1940">
        <f t="shared" si="58"/>
        <v>0</v>
      </c>
      <c r="M117" s="1940">
        <f t="shared" si="59"/>
        <v>0</v>
      </c>
      <c r="N117" s="1940">
        <f t="shared" si="60"/>
        <v>0</v>
      </c>
      <c r="O117" s="1993">
        <f t="shared" si="61"/>
        <v>0</v>
      </c>
      <c r="P117" s="1993">
        <f t="shared" ref="P117:P121" si="67">F117*D117*4</f>
        <v>0</v>
      </c>
      <c r="Q117" s="1940">
        <f t="shared" si="62"/>
        <v>0</v>
      </c>
      <c r="R117" s="1940">
        <f t="shared" si="63"/>
        <v>0</v>
      </c>
      <c r="S117" s="1940">
        <f t="shared" si="64"/>
        <v>0</v>
      </c>
      <c r="T117" s="1940">
        <f t="shared" si="65"/>
        <v>0</v>
      </c>
      <c r="U117" s="1940">
        <f t="shared" si="66"/>
        <v>0</v>
      </c>
      <c r="V117" s="1997"/>
      <c r="W117" s="1997"/>
      <c r="X117" s="1997"/>
      <c r="Y117" s="1997"/>
      <c r="Z117" s="1997"/>
      <c r="AA117" s="1997"/>
      <c r="AB117" s="1997"/>
      <c r="AC117" s="1997"/>
      <c r="AD117" s="1997"/>
      <c r="AE117" s="1997"/>
      <c r="AF117" s="1997"/>
      <c r="AG117" s="1997"/>
      <c r="AH117" s="1997"/>
      <c r="AI117" s="1997"/>
      <c r="AJ117" s="1997"/>
      <c r="AK117" s="1997"/>
      <c r="AL117" s="1997"/>
      <c r="AM117" s="1997"/>
      <c r="AN117" s="1997"/>
      <c r="AO117" s="1997"/>
      <c r="AP117" s="1997"/>
      <c r="AQ117" s="1997"/>
      <c r="AR117" s="1997"/>
      <c r="AS117" s="1997"/>
      <c r="AT117" s="1997"/>
      <c r="AU117" s="1997"/>
      <c r="AV117" s="1997"/>
      <c r="AW117" s="1997"/>
      <c r="AX117" s="1997"/>
      <c r="AY117" s="1997"/>
      <c r="AZ117" s="1997"/>
      <c r="BA117" s="1997"/>
      <c r="BB117" s="1997"/>
      <c r="BC117" s="1997"/>
      <c r="BD117" s="1997"/>
      <c r="BE117" s="1997"/>
      <c r="BF117" s="1997"/>
      <c r="BG117" s="1997"/>
      <c r="BH117" s="1997"/>
      <c r="BI117" s="1997"/>
      <c r="BJ117" s="1997"/>
      <c r="BK117" s="1997"/>
      <c r="BL117" s="1997"/>
      <c r="BM117" s="1997"/>
      <c r="BN117" s="1997"/>
      <c r="BO117" s="1997"/>
      <c r="BP117" s="1997"/>
      <c r="BQ117" s="1997"/>
      <c r="BR117" s="1997"/>
      <c r="BS117" s="1997"/>
      <c r="BT117" s="1997"/>
      <c r="BU117" s="1997"/>
      <c r="BV117" s="1997"/>
      <c r="BW117" s="1997"/>
      <c r="BX117" s="1997"/>
      <c r="BY117" s="1997"/>
      <c r="BZ117" s="1997"/>
      <c r="CA117" s="1997"/>
      <c r="CB117" s="1997"/>
      <c r="CC117" s="1997"/>
      <c r="CD117" s="1997"/>
      <c r="CE117" s="1997"/>
      <c r="CF117" s="1997"/>
      <c r="CG117" s="1997"/>
      <c r="CH117" s="1997"/>
      <c r="CI117" s="1997"/>
      <c r="CJ117" s="1997"/>
      <c r="CK117" s="1997"/>
      <c r="CL117" s="1997"/>
      <c r="CM117" s="1997"/>
      <c r="CN117" s="1997"/>
      <c r="CO117" s="1997"/>
      <c r="CP117" s="1997"/>
      <c r="CQ117" s="1997"/>
      <c r="CR117" s="1997"/>
      <c r="CS117" s="1997"/>
      <c r="CT117" s="1997"/>
      <c r="CU117" s="1997"/>
      <c r="CV117" s="1997"/>
      <c r="CW117" s="1997"/>
      <c r="CX117" s="1997"/>
      <c r="CY117" s="1997"/>
      <c r="CZ117" s="1997"/>
      <c r="DA117" s="1997"/>
      <c r="DB117" s="1997"/>
      <c r="DC117" s="1997"/>
      <c r="DD117" s="1997"/>
      <c r="DE117" s="1997"/>
      <c r="DF117" s="1997"/>
      <c r="DG117" s="1997"/>
      <c r="DH117" s="1997"/>
      <c r="DI117" s="1997"/>
      <c r="DJ117" s="1997"/>
      <c r="DK117" s="1997"/>
      <c r="DL117" s="1997"/>
      <c r="DM117" s="1997"/>
      <c r="DN117" s="1997"/>
      <c r="DO117" s="1997"/>
      <c r="DP117" s="1997"/>
      <c r="DQ117" s="1997"/>
      <c r="DR117" s="1997"/>
      <c r="DS117" s="1997"/>
      <c r="DT117" s="1997"/>
      <c r="DU117" s="1997"/>
      <c r="DV117" s="1997"/>
      <c r="DW117" s="1997"/>
      <c r="DX117" s="1997"/>
      <c r="DY117" s="1997"/>
      <c r="DZ117" s="1997"/>
      <c r="EA117" s="1997"/>
      <c r="EB117" s="1997"/>
      <c r="EC117" s="1997"/>
      <c r="ED117" s="1997"/>
      <c r="EE117" s="1997"/>
      <c r="EF117" s="1997"/>
      <c r="EG117" s="1997"/>
      <c r="EH117" s="1997"/>
      <c r="EI117" s="1997"/>
      <c r="EJ117" s="1997"/>
      <c r="EK117" s="1997"/>
      <c r="EL117" s="1997"/>
      <c r="EM117" s="1997"/>
      <c r="EN117" s="1997"/>
      <c r="EO117" s="1997"/>
      <c r="EP117" s="1997"/>
      <c r="EQ117" s="1997"/>
      <c r="ER117" s="1997"/>
      <c r="ES117" s="1997"/>
      <c r="ET117" s="1997"/>
      <c r="EU117" s="1997"/>
      <c r="EV117" s="1997"/>
      <c r="EW117" s="1997"/>
      <c r="EX117" s="1997"/>
      <c r="EY117" s="1997"/>
      <c r="EZ117" s="1997"/>
      <c r="FA117" s="1997"/>
      <c r="FB117" s="1997"/>
      <c r="FC117" s="1997"/>
      <c r="FD117" s="1997"/>
      <c r="FE117" s="1997"/>
      <c r="FF117" s="1997"/>
      <c r="FG117" s="1997"/>
      <c r="FH117" s="1997"/>
      <c r="FI117" s="1997"/>
      <c r="FJ117" s="1997"/>
      <c r="FK117" s="1997"/>
      <c r="FL117" s="1997"/>
      <c r="FM117" s="1997"/>
      <c r="FN117" s="1997"/>
      <c r="FO117" s="1997"/>
      <c r="FP117" s="1997"/>
      <c r="FQ117" s="1997"/>
      <c r="FR117" s="1997"/>
      <c r="FS117" s="1997"/>
      <c r="FT117" s="1997"/>
      <c r="FU117" s="1997"/>
      <c r="FV117" s="1997"/>
      <c r="FW117" s="1997"/>
      <c r="FX117" s="1997"/>
      <c r="FY117" s="1997"/>
      <c r="FZ117" s="1997"/>
      <c r="GA117" s="1997"/>
      <c r="GB117" s="1997"/>
      <c r="GC117" s="1997"/>
      <c r="GD117" s="1997"/>
      <c r="GE117" s="1997"/>
      <c r="GF117" s="1997"/>
      <c r="GG117" s="1997"/>
      <c r="GH117" s="1997"/>
      <c r="GI117" s="1997"/>
      <c r="GJ117" s="1997"/>
      <c r="GK117" s="1997"/>
      <c r="GL117" s="1997"/>
      <c r="GM117" s="1997"/>
      <c r="GN117" s="1997"/>
      <c r="GO117" s="1997"/>
      <c r="GP117" s="1997"/>
      <c r="GQ117" s="1997"/>
      <c r="GR117" s="1997"/>
      <c r="GS117" s="1997"/>
      <c r="GT117" s="1997"/>
      <c r="GU117" s="1997"/>
      <c r="GV117" s="1997"/>
      <c r="GW117" s="1997"/>
      <c r="GX117" s="1997"/>
      <c r="GY117" s="1997"/>
      <c r="GZ117" s="1997"/>
      <c r="HA117" s="1997"/>
      <c r="HB117" s="1997"/>
      <c r="HC117" s="1997"/>
      <c r="HD117" s="1997"/>
      <c r="HE117" s="1997"/>
      <c r="HF117" s="1997"/>
      <c r="HG117" s="1997"/>
      <c r="HH117" s="1997"/>
      <c r="HI117" s="1997"/>
      <c r="HJ117" s="1997"/>
      <c r="HK117" s="1997"/>
      <c r="HL117" s="1997"/>
      <c r="HM117" s="1997"/>
      <c r="HN117" s="1997"/>
      <c r="HO117" s="1997"/>
      <c r="HP117" s="1997"/>
      <c r="HQ117" s="1997"/>
      <c r="HR117" s="1997"/>
      <c r="HS117" s="1997"/>
      <c r="HT117" s="1997"/>
      <c r="HU117" s="1997"/>
      <c r="HV117" s="1997"/>
      <c r="HW117" s="1997"/>
      <c r="HX117" s="1997"/>
      <c r="HY117" s="1997"/>
      <c r="HZ117" s="1997"/>
      <c r="IA117" s="1997"/>
      <c r="IB117" s="1997"/>
      <c r="IC117" s="1997"/>
      <c r="ID117" s="1997"/>
      <c r="IE117" s="1997"/>
      <c r="IF117" s="1997"/>
      <c r="IG117" s="1997"/>
      <c r="IH117" s="1997"/>
      <c r="II117" s="1997"/>
      <c r="IJ117" s="1997"/>
      <c r="IK117" s="1997"/>
      <c r="IL117" s="1997"/>
      <c r="IM117" s="1997"/>
      <c r="IN117" s="1997"/>
      <c r="IO117" s="1997"/>
      <c r="IP117" s="1997"/>
      <c r="IQ117" s="1997"/>
    </row>
    <row r="118" spans="1:251" hidden="1">
      <c r="A118" s="2021"/>
      <c r="B118" s="2012" t="s">
        <v>536</v>
      </c>
      <c r="C118" s="1995"/>
      <c r="D118" s="2035"/>
      <c r="E118" s="1993"/>
      <c r="F118" s="1996"/>
      <c r="G118" s="1993">
        <v>12</v>
      </c>
      <c r="H118" s="1940">
        <f t="shared" si="56"/>
        <v>0</v>
      </c>
      <c r="I118" s="1993"/>
      <c r="J118" s="1940">
        <f t="shared" si="57"/>
        <v>0</v>
      </c>
      <c r="K118" s="1993"/>
      <c r="L118" s="1940">
        <f t="shared" si="58"/>
        <v>0</v>
      </c>
      <c r="M118" s="1940">
        <f t="shared" si="59"/>
        <v>0</v>
      </c>
      <c r="N118" s="1940">
        <f t="shared" si="60"/>
        <v>0</v>
      </c>
      <c r="O118" s="1993">
        <f t="shared" si="61"/>
        <v>0</v>
      </c>
      <c r="P118" s="1993">
        <f t="shared" si="67"/>
        <v>0</v>
      </c>
      <c r="Q118" s="1940">
        <f t="shared" si="62"/>
        <v>0</v>
      </c>
      <c r="R118" s="1940">
        <f t="shared" si="63"/>
        <v>0</v>
      </c>
      <c r="S118" s="1940">
        <f t="shared" si="64"/>
        <v>0</v>
      </c>
      <c r="T118" s="1940">
        <f t="shared" si="65"/>
        <v>0</v>
      </c>
      <c r="U118" s="1940">
        <f t="shared" si="66"/>
        <v>0</v>
      </c>
      <c r="V118" s="1997"/>
      <c r="W118" s="1997"/>
      <c r="X118" s="1997"/>
      <c r="Y118" s="1997"/>
      <c r="Z118" s="1997"/>
      <c r="AA118" s="1997"/>
      <c r="AB118" s="1997"/>
      <c r="AC118" s="1997"/>
      <c r="AD118" s="1997"/>
      <c r="AE118" s="1997"/>
      <c r="AF118" s="1997"/>
      <c r="AG118" s="1997"/>
      <c r="AH118" s="1997"/>
      <c r="AI118" s="1997"/>
      <c r="AJ118" s="1997"/>
      <c r="AK118" s="1997"/>
      <c r="AL118" s="1997"/>
      <c r="AM118" s="1997"/>
      <c r="AN118" s="1997"/>
      <c r="AO118" s="1997"/>
      <c r="AP118" s="1997"/>
      <c r="AQ118" s="1997"/>
      <c r="AR118" s="1997"/>
      <c r="AS118" s="1997"/>
      <c r="AT118" s="1997"/>
      <c r="AU118" s="1997"/>
      <c r="AV118" s="1997"/>
      <c r="AW118" s="1997"/>
      <c r="AX118" s="1997"/>
      <c r="AY118" s="1997"/>
      <c r="AZ118" s="1997"/>
      <c r="BA118" s="1997"/>
      <c r="BB118" s="1997"/>
      <c r="BC118" s="1997"/>
      <c r="BD118" s="1997"/>
      <c r="BE118" s="1997"/>
      <c r="BF118" s="1997"/>
      <c r="BG118" s="1997"/>
      <c r="BH118" s="1997"/>
      <c r="BI118" s="1997"/>
      <c r="BJ118" s="1997"/>
      <c r="BK118" s="1997"/>
      <c r="BL118" s="1997"/>
      <c r="BM118" s="1997"/>
      <c r="BN118" s="1997"/>
      <c r="BO118" s="1997"/>
      <c r="BP118" s="1997"/>
      <c r="BQ118" s="1997"/>
      <c r="BR118" s="1997"/>
      <c r="BS118" s="1997"/>
      <c r="BT118" s="1997"/>
      <c r="BU118" s="1997"/>
      <c r="BV118" s="1997"/>
      <c r="BW118" s="1997"/>
      <c r="BX118" s="1997"/>
      <c r="BY118" s="1997"/>
      <c r="BZ118" s="1997"/>
      <c r="CA118" s="1997"/>
      <c r="CB118" s="1997"/>
      <c r="CC118" s="1997"/>
      <c r="CD118" s="1997"/>
      <c r="CE118" s="1997"/>
      <c r="CF118" s="1997"/>
      <c r="CG118" s="1997"/>
      <c r="CH118" s="1997"/>
      <c r="CI118" s="1997"/>
      <c r="CJ118" s="1997"/>
      <c r="CK118" s="1997"/>
      <c r="CL118" s="1997"/>
      <c r="CM118" s="1997"/>
      <c r="CN118" s="1997"/>
      <c r="CO118" s="1997"/>
      <c r="CP118" s="1997"/>
      <c r="CQ118" s="1997"/>
      <c r="CR118" s="1997"/>
      <c r="CS118" s="1997"/>
      <c r="CT118" s="1997"/>
      <c r="CU118" s="1997"/>
      <c r="CV118" s="1997"/>
      <c r="CW118" s="1997"/>
      <c r="CX118" s="1997"/>
      <c r="CY118" s="1997"/>
      <c r="CZ118" s="1997"/>
      <c r="DA118" s="1997"/>
      <c r="DB118" s="1997"/>
      <c r="DC118" s="1997"/>
      <c r="DD118" s="1997"/>
      <c r="DE118" s="1997"/>
      <c r="DF118" s="1997"/>
      <c r="DG118" s="1997"/>
      <c r="DH118" s="1997"/>
      <c r="DI118" s="1997"/>
      <c r="DJ118" s="1997"/>
      <c r="DK118" s="1997"/>
      <c r="DL118" s="1997"/>
      <c r="DM118" s="1997"/>
      <c r="DN118" s="1997"/>
      <c r="DO118" s="1997"/>
      <c r="DP118" s="1997"/>
      <c r="DQ118" s="1997"/>
      <c r="DR118" s="1997"/>
      <c r="DS118" s="1997"/>
      <c r="DT118" s="1997"/>
      <c r="DU118" s="1997"/>
      <c r="DV118" s="1997"/>
      <c r="DW118" s="1997"/>
      <c r="DX118" s="1997"/>
      <c r="DY118" s="1997"/>
      <c r="DZ118" s="1997"/>
      <c r="EA118" s="1997"/>
      <c r="EB118" s="1997"/>
      <c r="EC118" s="1997"/>
      <c r="ED118" s="1997"/>
      <c r="EE118" s="1997"/>
      <c r="EF118" s="1997"/>
      <c r="EG118" s="1997"/>
      <c r="EH118" s="1997"/>
      <c r="EI118" s="1997"/>
      <c r="EJ118" s="1997"/>
      <c r="EK118" s="1997"/>
      <c r="EL118" s="1997"/>
      <c r="EM118" s="1997"/>
      <c r="EN118" s="1997"/>
      <c r="EO118" s="1997"/>
      <c r="EP118" s="1997"/>
      <c r="EQ118" s="1997"/>
      <c r="ER118" s="1997"/>
      <c r="ES118" s="1997"/>
      <c r="ET118" s="1997"/>
      <c r="EU118" s="1997"/>
      <c r="EV118" s="1997"/>
      <c r="EW118" s="1997"/>
      <c r="EX118" s="1997"/>
      <c r="EY118" s="1997"/>
      <c r="EZ118" s="1997"/>
      <c r="FA118" s="1997"/>
      <c r="FB118" s="1997"/>
      <c r="FC118" s="1997"/>
      <c r="FD118" s="1997"/>
      <c r="FE118" s="1997"/>
      <c r="FF118" s="1997"/>
      <c r="FG118" s="1997"/>
      <c r="FH118" s="1997"/>
      <c r="FI118" s="1997"/>
      <c r="FJ118" s="1997"/>
      <c r="FK118" s="1997"/>
      <c r="FL118" s="1997"/>
      <c r="FM118" s="1997"/>
      <c r="FN118" s="1997"/>
      <c r="FO118" s="1997"/>
      <c r="FP118" s="1997"/>
      <c r="FQ118" s="1997"/>
      <c r="FR118" s="1997"/>
      <c r="FS118" s="1997"/>
      <c r="FT118" s="1997"/>
      <c r="FU118" s="1997"/>
      <c r="FV118" s="1997"/>
      <c r="FW118" s="1997"/>
      <c r="FX118" s="1997"/>
      <c r="FY118" s="1997"/>
      <c r="FZ118" s="1997"/>
      <c r="GA118" s="1997"/>
      <c r="GB118" s="1997"/>
      <c r="GC118" s="1997"/>
      <c r="GD118" s="1997"/>
      <c r="GE118" s="1997"/>
      <c r="GF118" s="1997"/>
      <c r="GG118" s="1997"/>
      <c r="GH118" s="1997"/>
      <c r="GI118" s="1997"/>
      <c r="GJ118" s="1997"/>
      <c r="GK118" s="1997"/>
      <c r="GL118" s="1997"/>
      <c r="GM118" s="1997"/>
      <c r="GN118" s="1997"/>
      <c r="GO118" s="1997"/>
      <c r="GP118" s="1997"/>
      <c r="GQ118" s="1997"/>
      <c r="GR118" s="1997"/>
      <c r="GS118" s="1997"/>
      <c r="GT118" s="1997"/>
      <c r="GU118" s="1997"/>
      <c r="GV118" s="1997"/>
      <c r="GW118" s="1997"/>
      <c r="GX118" s="1997"/>
      <c r="GY118" s="1997"/>
      <c r="GZ118" s="1997"/>
      <c r="HA118" s="1997"/>
      <c r="HB118" s="1997"/>
      <c r="HC118" s="1997"/>
      <c r="HD118" s="1997"/>
      <c r="HE118" s="1997"/>
      <c r="HF118" s="1997"/>
      <c r="HG118" s="1997"/>
      <c r="HH118" s="1997"/>
      <c r="HI118" s="1997"/>
      <c r="HJ118" s="1997"/>
      <c r="HK118" s="1997"/>
      <c r="HL118" s="1997"/>
      <c r="HM118" s="1997"/>
      <c r="HN118" s="1997"/>
      <c r="HO118" s="1997"/>
      <c r="HP118" s="1997"/>
      <c r="HQ118" s="1997"/>
      <c r="HR118" s="1997"/>
      <c r="HS118" s="1997"/>
      <c r="HT118" s="1997"/>
      <c r="HU118" s="1997"/>
      <c r="HV118" s="1997"/>
      <c r="HW118" s="1997"/>
      <c r="HX118" s="1997"/>
      <c r="HY118" s="1997"/>
      <c r="HZ118" s="1997"/>
      <c r="IA118" s="1997"/>
      <c r="IB118" s="1997"/>
      <c r="IC118" s="1997"/>
      <c r="ID118" s="1997"/>
      <c r="IE118" s="1997"/>
      <c r="IF118" s="1997"/>
      <c r="IG118" s="1997"/>
      <c r="IH118" s="1997"/>
      <c r="II118" s="1997"/>
      <c r="IJ118" s="1997"/>
      <c r="IK118" s="1997"/>
      <c r="IL118" s="1997"/>
      <c r="IM118" s="1997"/>
      <c r="IN118" s="1997"/>
      <c r="IO118" s="1997"/>
      <c r="IP118" s="1997"/>
      <c r="IQ118" s="1997"/>
    </row>
    <row r="119" spans="1:251" hidden="1">
      <c r="A119" s="2021"/>
      <c r="B119" s="2012" t="s">
        <v>537</v>
      </c>
      <c r="C119" s="1995"/>
      <c r="D119" s="2035"/>
      <c r="E119" s="1993"/>
      <c r="F119" s="1996"/>
      <c r="G119" s="1993">
        <v>12</v>
      </c>
      <c r="H119" s="1940">
        <f t="shared" si="56"/>
        <v>0</v>
      </c>
      <c r="I119" s="1993"/>
      <c r="J119" s="1940">
        <f t="shared" si="57"/>
        <v>0</v>
      </c>
      <c r="K119" s="1993"/>
      <c r="L119" s="1940">
        <f t="shared" si="58"/>
        <v>0</v>
      </c>
      <c r="M119" s="1940">
        <f t="shared" si="59"/>
        <v>0</v>
      </c>
      <c r="N119" s="1940">
        <f t="shared" si="60"/>
        <v>0</v>
      </c>
      <c r="O119" s="1993">
        <f t="shared" si="61"/>
        <v>0</v>
      </c>
      <c r="P119" s="1993">
        <f t="shared" si="67"/>
        <v>0</v>
      </c>
      <c r="Q119" s="1940">
        <f t="shared" si="62"/>
        <v>0</v>
      </c>
      <c r="R119" s="1940">
        <f t="shared" si="63"/>
        <v>0</v>
      </c>
      <c r="S119" s="1940">
        <f t="shared" si="64"/>
        <v>0</v>
      </c>
      <c r="T119" s="1940">
        <f t="shared" si="65"/>
        <v>0</v>
      </c>
      <c r="U119" s="1940">
        <f t="shared" si="66"/>
        <v>0</v>
      </c>
      <c r="V119" s="1997"/>
      <c r="W119" s="1997"/>
      <c r="X119" s="1997"/>
      <c r="Y119" s="1997"/>
      <c r="Z119" s="1997"/>
      <c r="AA119" s="1997"/>
      <c r="AB119" s="1997"/>
      <c r="AC119" s="1997"/>
      <c r="AD119" s="1997"/>
      <c r="AE119" s="1997"/>
      <c r="AF119" s="1997"/>
      <c r="AG119" s="1997"/>
      <c r="AH119" s="1997"/>
      <c r="AI119" s="1997"/>
      <c r="AJ119" s="1997"/>
      <c r="AK119" s="1997"/>
      <c r="AL119" s="1997"/>
      <c r="AM119" s="1997"/>
      <c r="AN119" s="1997"/>
      <c r="AO119" s="1997"/>
      <c r="AP119" s="1997"/>
      <c r="AQ119" s="1997"/>
      <c r="AR119" s="1997"/>
      <c r="AS119" s="1997"/>
      <c r="AT119" s="1997"/>
      <c r="AU119" s="1997"/>
      <c r="AV119" s="1997"/>
      <c r="AW119" s="1997"/>
      <c r="AX119" s="1997"/>
      <c r="AY119" s="1997"/>
      <c r="AZ119" s="1997"/>
      <c r="BA119" s="1997"/>
      <c r="BB119" s="1997"/>
      <c r="BC119" s="1997"/>
      <c r="BD119" s="1997"/>
      <c r="BE119" s="1997"/>
      <c r="BF119" s="1997"/>
      <c r="BG119" s="1997"/>
      <c r="BH119" s="1997"/>
      <c r="BI119" s="1997"/>
      <c r="BJ119" s="1997"/>
      <c r="BK119" s="1997"/>
      <c r="BL119" s="1997"/>
      <c r="BM119" s="1997"/>
      <c r="BN119" s="1997"/>
      <c r="BO119" s="1997"/>
      <c r="BP119" s="1997"/>
      <c r="BQ119" s="1997"/>
      <c r="BR119" s="1997"/>
      <c r="BS119" s="1997"/>
      <c r="BT119" s="1997"/>
      <c r="BU119" s="1997"/>
      <c r="BV119" s="1997"/>
      <c r="BW119" s="1997"/>
      <c r="BX119" s="1997"/>
      <c r="BY119" s="1997"/>
      <c r="BZ119" s="1997"/>
      <c r="CA119" s="1997"/>
      <c r="CB119" s="1997"/>
      <c r="CC119" s="1997"/>
      <c r="CD119" s="1997"/>
      <c r="CE119" s="1997"/>
      <c r="CF119" s="1997"/>
      <c r="CG119" s="1997"/>
      <c r="CH119" s="1997"/>
      <c r="CI119" s="1997"/>
      <c r="CJ119" s="1997"/>
      <c r="CK119" s="1997"/>
      <c r="CL119" s="1997"/>
      <c r="CM119" s="1997"/>
      <c r="CN119" s="1997"/>
      <c r="CO119" s="1997"/>
      <c r="CP119" s="1997"/>
      <c r="CQ119" s="1997"/>
      <c r="CR119" s="1997"/>
      <c r="CS119" s="1997"/>
      <c r="CT119" s="1997"/>
      <c r="CU119" s="1997"/>
      <c r="CV119" s="1997"/>
      <c r="CW119" s="1997"/>
      <c r="CX119" s="1997"/>
      <c r="CY119" s="1997"/>
      <c r="CZ119" s="1997"/>
      <c r="DA119" s="1997"/>
      <c r="DB119" s="1997"/>
      <c r="DC119" s="1997"/>
      <c r="DD119" s="1997"/>
      <c r="DE119" s="1997"/>
      <c r="DF119" s="1997"/>
      <c r="DG119" s="1997"/>
      <c r="DH119" s="1997"/>
      <c r="DI119" s="1997"/>
      <c r="DJ119" s="1997"/>
      <c r="DK119" s="1997"/>
      <c r="DL119" s="1997"/>
      <c r="DM119" s="1997"/>
      <c r="DN119" s="1997"/>
      <c r="DO119" s="1997"/>
      <c r="DP119" s="1997"/>
      <c r="DQ119" s="1997"/>
      <c r="DR119" s="1997"/>
      <c r="DS119" s="1997"/>
      <c r="DT119" s="1997"/>
      <c r="DU119" s="1997"/>
      <c r="DV119" s="1997"/>
      <c r="DW119" s="1997"/>
      <c r="DX119" s="1997"/>
      <c r="DY119" s="1997"/>
      <c r="DZ119" s="1997"/>
      <c r="EA119" s="1997"/>
      <c r="EB119" s="1997"/>
      <c r="EC119" s="1997"/>
      <c r="ED119" s="1997"/>
      <c r="EE119" s="1997"/>
      <c r="EF119" s="1997"/>
      <c r="EG119" s="1997"/>
      <c r="EH119" s="1997"/>
      <c r="EI119" s="1997"/>
      <c r="EJ119" s="1997"/>
      <c r="EK119" s="1997"/>
      <c r="EL119" s="1997"/>
      <c r="EM119" s="1997"/>
      <c r="EN119" s="1997"/>
      <c r="EO119" s="1997"/>
      <c r="EP119" s="1997"/>
      <c r="EQ119" s="1997"/>
      <c r="ER119" s="1997"/>
      <c r="ES119" s="1997"/>
      <c r="ET119" s="1997"/>
      <c r="EU119" s="1997"/>
      <c r="EV119" s="1997"/>
      <c r="EW119" s="1997"/>
      <c r="EX119" s="1997"/>
      <c r="EY119" s="1997"/>
      <c r="EZ119" s="1997"/>
      <c r="FA119" s="1997"/>
      <c r="FB119" s="1997"/>
      <c r="FC119" s="1997"/>
      <c r="FD119" s="1997"/>
      <c r="FE119" s="1997"/>
      <c r="FF119" s="1997"/>
      <c r="FG119" s="1997"/>
      <c r="FH119" s="1997"/>
      <c r="FI119" s="1997"/>
      <c r="FJ119" s="1997"/>
      <c r="FK119" s="1997"/>
      <c r="FL119" s="1997"/>
      <c r="FM119" s="1997"/>
      <c r="FN119" s="1997"/>
      <c r="FO119" s="1997"/>
      <c r="FP119" s="1997"/>
      <c r="FQ119" s="1997"/>
      <c r="FR119" s="1997"/>
      <c r="FS119" s="1997"/>
      <c r="FT119" s="1997"/>
      <c r="FU119" s="1997"/>
      <c r="FV119" s="1997"/>
      <c r="FW119" s="1997"/>
      <c r="FX119" s="1997"/>
      <c r="FY119" s="1997"/>
      <c r="FZ119" s="1997"/>
      <c r="GA119" s="1997"/>
      <c r="GB119" s="1997"/>
      <c r="GC119" s="1997"/>
      <c r="GD119" s="1997"/>
      <c r="GE119" s="1997"/>
      <c r="GF119" s="1997"/>
      <c r="GG119" s="1997"/>
      <c r="GH119" s="1997"/>
      <c r="GI119" s="1997"/>
      <c r="GJ119" s="1997"/>
      <c r="GK119" s="1997"/>
      <c r="GL119" s="1997"/>
      <c r="GM119" s="1997"/>
      <c r="GN119" s="1997"/>
      <c r="GO119" s="1997"/>
      <c r="GP119" s="1997"/>
      <c r="GQ119" s="1997"/>
      <c r="GR119" s="1997"/>
      <c r="GS119" s="1997"/>
      <c r="GT119" s="1997"/>
      <c r="GU119" s="1997"/>
      <c r="GV119" s="1997"/>
      <c r="GW119" s="1997"/>
      <c r="GX119" s="1997"/>
      <c r="GY119" s="1997"/>
      <c r="GZ119" s="1997"/>
      <c r="HA119" s="1997"/>
      <c r="HB119" s="1997"/>
      <c r="HC119" s="1997"/>
      <c r="HD119" s="1997"/>
      <c r="HE119" s="1997"/>
      <c r="HF119" s="1997"/>
      <c r="HG119" s="1997"/>
      <c r="HH119" s="1997"/>
      <c r="HI119" s="1997"/>
      <c r="HJ119" s="1997"/>
      <c r="HK119" s="1997"/>
      <c r="HL119" s="1997"/>
      <c r="HM119" s="1997"/>
      <c r="HN119" s="1997"/>
      <c r="HO119" s="1997"/>
      <c r="HP119" s="1997"/>
      <c r="HQ119" s="1997"/>
      <c r="HR119" s="1997"/>
      <c r="HS119" s="1997"/>
      <c r="HT119" s="1997"/>
      <c r="HU119" s="1997"/>
      <c r="HV119" s="1997"/>
      <c r="HW119" s="1997"/>
      <c r="HX119" s="1997"/>
      <c r="HY119" s="1997"/>
      <c r="HZ119" s="1997"/>
      <c r="IA119" s="1997"/>
      <c r="IB119" s="1997"/>
      <c r="IC119" s="1997"/>
      <c r="ID119" s="1997"/>
      <c r="IE119" s="1997"/>
      <c r="IF119" s="1997"/>
      <c r="IG119" s="1997"/>
      <c r="IH119" s="1997"/>
      <c r="II119" s="1997"/>
      <c r="IJ119" s="1997"/>
      <c r="IK119" s="1997"/>
      <c r="IL119" s="1997"/>
      <c r="IM119" s="1997"/>
      <c r="IN119" s="1997"/>
      <c r="IO119" s="1997"/>
      <c r="IP119" s="1997"/>
      <c r="IQ119" s="1997"/>
    </row>
    <row r="120" spans="1:251" hidden="1">
      <c r="A120" s="2021"/>
      <c r="B120" s="1625" t="s">
        <v>538</v>
      </c>
      <c r="C120" s="1995"/>
      <c r="D120" s="2036"/>
      <c r="E120" s="1993"/>
      <c r="F120" s="1959"/>
      <c r="G120" s="1993">
        <v>12</v>
      </c>
      <c r="H120" s="1940">
        <f t="shared" si="56"/>
        <v>0</v>
      </c>
      <c r="I120" s="1993"/>
      <c r="J120" s="1940">
        <f t="shared" si="57"/>
        <v>0</v>
      </c>
      <c r="K120" s="1993"/>
      <c r="L120" s="1940">
        <f t="shared" si="58"/>
        <v>0</v>
      </c>
      <c r="M120" s="1940">
        <f t="shared" si="59"/>
        <v>0</v>
      </c>
      <c r="N120" s="1940">
        <f t="shared" si="60"/>
        <v>0</v>
      </c>
      <c r="O120" s="1993">
        <f t="shared" si="61"/>
        <v>0</v>
      </c>
      <c r="P120" s="1993">
        <f t="shared" si="67"/>
        <v>0</v>
      </c>
      <c r="Q120" s="1940">
        <f t="shared" si="62"/>
        <v>0</v>
      </c>
      <c r="R120" s="1940">
        <f t="shared" si="63"/>
        <v>0</v>
      </c>
      <c r="S120" s="1940">
        <f t="shared" si="64"/>
        <v>0</v>
      </c>
      <c r="T120" s="1940">
        <f t="shared" si="65"/>
        <v>0</v>
      </c>
      <c r="U120" s="1940">
        <f t="shared" si="66"/>
        <v>0</v>
      </c>
      <c r="V120" s="1997"/>
      <c r="W120" s="1997"/>
      <c r="X120" s="1997"/>
      <c r="Y120" s="1997"/>
      <c r="Z120" s="1997"/>
      <c r="AA120" s="1997"/>
      <c r="AB120" s="1997"/>
      <c r="AC120" s="1997"/>
      <c r="AD120" s="1997"/>
      <c r="AE120" s="1997"/>
      <c r="AF120" s="1997"/>
      <c r="AG120" s="1997"/>
      <c r="AH120" s="1997"/>
      <c r="AI120" s="1997"/>
      <c r="AJ120" s="1997"/>
      <c r="AK120" s="1997"/>
      <c r="AL120" s="1997"/>
      <c r="AM120" s="1997"/>
      <c r="AN120" s="1997"/>
      <c r="AO120" s="1997"/>
      <c r="AP120" s="1997"/>
      <c r="AQ120" s="1997"/>
      <c r="AR120" s="1997"/>
      <c r="AS120" s="1997"/>
      <c r="AT120" s="1997"/>
      <c r="AU120" s="1997"/>
      <c r="AV120" s="1997"/>
      <c r="AW120" s="1997"/>
      <c r="AX120" s="1997"/>
      <c r="AY120" s="1997"/>
      <c r="AZ120" s="1997"/>
      <c r="BA120" s="1997"/>
      <c r="BB120" s="1997"/>
      <c r="BC120" s="1997"/>
      <c r="BD120" s="1997"/>
      <c r="BE120" s="1997"/>
      <c r="BF120" s="1997"/>
      <c r="BG120" s="1997"/>
      <c r="BH120" s="1997"/>
      <c r="BI120" s="1997"/>
      <c r="BJ120" s="1997"/>
      <c r="BK120" s="1997"/>
      <c r="BL120" s="1997"/>
      <c r="BM120" s="1997"/>
      <c r="BN120" s="1997"/>
      <c r="BO120" s="1997"/>
      <c r="BP120" s="1997"/>
      <c r="BQ120" s="1997"/>
      <c r="BR120" s="1997"/>
      <c r="BS120" s="1997"/>
      <c r="BT120" s="1997"/>
      <c r="BU120" s="1997"/>
      <c r="BV120" s="1997"/>
      <c r="BW120" s="1997"/>
      <c r="BX120" s="1997"/>
      <c r="BY120" s="1997"/>
      <c r="BZ120" s="1997"/>
      <c r="CA120" s="1997"/>
      <c r="CB120" s="1997"/>
      <c r="CC120" s="1997"/>
      <c r="CD120" s="1997"/>
      <c r="CE120" s="1997"/>
      <c r="CF120" s="1997"/>
      <c r="CG120" s="1997"/>
      <c r="CH120" s="1997"/>
      <c r="CI120" s="1997"/>
      <c r="CJ120" s="1997"/>
      <c r="CK120" s="1997"/>
      <c r="CL120" s="1997"/>
      <c r="CM120" s="1997"/>
      <c r="CN120" s="1997"/>
      <c r="CO120" s="1997"/>
      <c r="CP120" s="1997"/>
      <c r="CQ120" s="1997"/>
      <c r="CR120" s="1997"/>
      <c r="CS120" s="1997"/>
      <c r="CT120" s="1997"/>
      <c r="CU120" s="1997"/>
      <c r="CV120" s="1997"/>
      <c r="CW120" s="1997"/>
      <c r="CX120" s="1997"/>
      <c r="CY120" s="1997"/>
      <c r="CZ120" s="1997"/>
      <c r="DA120" s="1997"/>
      <c r="DB120" s="1997"/>
      <c r="DC120" s="1997"/>
      <c r="DD120" s="1997"/>
      <c r="DE120" s="1997"/>
      <c r="DF120" s="1997"/>
      <c r="DG120" s="1997"/>
      <c r="DH120" s="1997"/>
      <c r="DI120" s="1997"/>
      <c r="DJ120" s="1997"/>
      <c r="DK120" s="1997"/>
      <c r="DL120" s="1997"/>
      <c r="DM120" s="1997"/>
      <c r="DN120" s="1997"/>
      <c r="DO120" s="1997"/>
      <c r="DP120" s="1997"/>
      <c r="DQ120" s="1997"/>
      <c r="DR120" s="1997"/>
      <c r="DS120" s="1997"/>
      <c r="DT120" s="1997"/>
      <c r="DU120" s="1997"/>
      <c r="DV120" s="1997"/>
      <c r="DW120" s="1997"/>
      <c r="DX120" s="1997"/>
      <c r="DY120" s="1997"/>
      <c r="DZ120" s="1997"/>
      <c r="EA120" s="1997"/>
      <c r="EB120" s="1997"/>
      <c r="EC120" s="1997"/>
      <c r="ED120" s="1997"/>
      <c r="EE120" s="1997"/>
      <c r="EF120" s="1997"/>
      <c r="EG120" s="1997"/>
      <c r="EH120" s="1997"/>
      <c r="EI120" s="1997"/>
      <c r="EJ120" s="1997"/>
      <c r="EK120" s="1997"/>
      <c r="EL120" s="1997"/>
      <c r="EM120" s="1997"/>
      <c r="EN120" s="1997"/>
      <c r="EO120" s="1997"/>
      <c r="EP120" s="1997"/>
      <c r="EQ120" s="1997"/>
      <c r="ER120" s="1997"/>
      <c r="ES120" s="1997"/>
      <c r="ET120" s="1997"/>
      <c r="EU120" s="1997"/>
      <c r="EV120" s="1997"/>
      <c r="EW120" s="1997"/>
      <c r="EX120" s="1997"/>
      <c r="EY120" s="1997"/>
      <c r="EZ120" s="1997"/>
      <c r="FA120" s="1997"/>
      <c r="FB120" s="1997"/>
      <c r="FC120" s="1997"/>
      <c r="FD120" s="1997"/>
      <c r="FE120" s="1997"/>
      <c r="FF120" s="1997"/>
      <c r="FG120" s="1997"/>
      <c r="FH120" s="1997"/>
      <c r="FI120" s="1997"/>
      <c r="FJ120" s="1997"/>
      <c r="FK120" s="1997"/>
      <c r="FL120" s="1997"/>
      <c r="FM120" s="1997"/>
      <c r="FN120" s="1997"/>
      <c r="FO120" s="1997"/>
      <c r="FP120" s="1997"/>
      <c r="FQ120" s="1997"/>
      <c r="FR120" s="1997"/>
      <c r="FS120" s="1997"/>
      <c r="FT120" s="1997"/>
      <c r="FU120" s="1997"/>
      <c r="FV120" s="1997"/>
      <c r="FW120" s="1997"/>
      <c r="FX120" s="1997"/>
      <c r="FY120" s="1997"/>
      <c r="FZ120" s="1997"/>
      <c r="GA120" s="1997"/>
      <c r="GB120" s="1997"/>
      <c r="GC120" s="1997"/>
      <c r="GD120" s="1997"/>
      <c r="GE120" s="1997"/>
      <c r="GF120" s="1997"/>
      <c r="GG120" s="1997"/>
      <c r="GH120" s="1997"/>
      <c r="GI120" s="1997"/>
      <c r="GJ120" s="1997"/>
      <c r="GK120" s="1997"/>
      <c r="GL120" s="1997"/>
      <c r="GM120" s="1997"/>
      <c r="GN120" s="1997"/>
      <c r="GO120" s="1997"/>
      <c r="GP120" s="1997"/>
      <c r="GQ120" s="1997"/>
      <c r="GR120" s="1997"/>
      <c r="GS120" s="1997"/>
      <c r="GT120" s="1997"/>
      <c r="GU120" s="1997"/>
      <c r="GV120" s="1997"/>
      <c r="GW120" s="1997"/>
      <c r="GX120" s="1997"/>
      <c r="GY120" s="1997"/>
      <c r="GZ120" s="1997"/>
      <c r="HA120" s="1997"/>
      <c r="HB120" s="1997"/>
      <c r="HC120" s="1997"/>
      <c r="HD120" s="1997"/>
      <c r="HE120" s="1997"/>
      <c r="HF120" s="1997"/>
      <c r="HG120" s="1997"/>
      <c r="HH120" s="1997"/>
      <c r="HI120" s="1997"/>
      <c r="HJ120" s="1997"/>
      <c r="HK120" s="1997"/>
      <c r="HL120" s="1997"/>
      <c r="HM120" s="1997"/>
      <c r="HN120" s="1997"/>
      <c r="HO120" s="1997"/>
      <c r="HP120" s="1997"/>
      <c r="HQ120" s="1997"/>
      <c r="HR120" s="1997"/>
      <c r="HS120" s="1997"/>
      <c r="HT120" s="1997"/>
      <c r="HU120" s="1997"/>
      <c r="HV120" s="1997"/>
      <c r="HW120" s="1997"/>
      <c r="HX120" s="1997"/>
      <c r="HY120" s="1997"/>
      <c r="HZ120" s="1997"/>
      <c r="IA120" s="1997"/>
      <c r="IB120" s="1997"/>
      <c r="IC120" s="1997"/>
      <c r="ID120" s="1997"/>
      <c r="IE120" s="1997"/>
      <c r="IF120" s="1997"/>
      <c r="IG120" s="1997"/>
      <c r="IH120" s="1997"/>
      <c r="II120" s="1997"/>
      <c r="IJ120" s="1997"/>
      <c r="IK120" s="1997"/>
      <c r="IL120" s="1997"/>
      <c r="IM120" s="1997"/>
      <c r="IN120" s="1997"/>
      <c r="IO120" s="1997"/>
      <c r="IP120" s="1997"/>
      <c r="IQ120" s="1997"/>
    </row>
    <row r="121" spans="1:251" hidden="1">
      <c r="A121" s="2021"/>
      <c r="B121" s="1625" t="s">
        <v>539</v>
      </c>
      <c r="C121" s="1995"/>
      <c r="D121" s="2036"/>
      <c r="E121" s="1993"/>
      <c r="F121" s="1959"/>
      <c r="G121" s="1993">
        <v>12</v>
      </c>
      <c r="H121" s="1940">
        <f t="shared" si="56"/>
        <v>0</v>
      </c>
      <c r="I121" s="1993"/>
      <c r="J121" s="1940">
        <f t="shared" si="57"/>
        <v>0</v>
      </c>
      <c r="K121" s="1993"/>
      <c r="L121" s="1940">
        <f t="shared" si="58"/>
        <v>0</v>
      </c>
      <c r="M121" s="1940">
        <f t="shared" si="59"/>
        <v>0</v>
      </c>
      <c r="N121" s="1940">
        <f t="shared" si="60"/>
        <v>0</v>
      </c>
      <c r="O121" s="1993">
        <f t="shared" si="61"/>
        <v>0</v>
      </c>
      <c r="P121" s="1993">
        <f t="shared" si="67"/>
        <v>0</v>
      </c>
      <c r="Q121" s="1940">
        <f t="shared" si="62"/>
        <v>0</v>
      </c>
      <c r="R121" s="1940">
        <f t="shared" si="63"/>
        <v>0</v>
      </c>
      <c r="S121" s="1940">
        <f t="shared" si="64"/>
        <v>0</v>
      </c>
      <c r="T121" s="1940">
        <f t="shared" si="65"/>
        <v>0</v>
      </c>
      <c r="U121" s="1940">
        <f t="shared" si="66"/>
        <v>0</v>
      </c>
      <c r="V121" s="1997"/>
      <c r="W121" s="1997"/>
      <c r="X121" s="1997"/>
      <c r="Y121" s="1997"/>
      <c r="Z121" s="1997"/>
      <c r="AA121" s="1997"/>
      <c r="AB121" s="1997"/>
      <c r="AC121" s="1997"/>
      <c r="AD121" s="1997"/>
      <c r="AE121" s="1997"/>
      <c r="AF121" s="1997"/>
      <c r="AG121" s="1997"/>
      <c r="AH121" s="1997"/>
      <c r="AI121" s="1997"/>
      <c r="AJ121" s="1997"/>
      <c r="AK121" s="1997"/>
      <c r="AL121" s="1997"/>
      <c r="AM121" s="1997"/>
      <c r="AN121" s="1997"/>
      <c r="AO121" s="1997"/>
      <c r="AP121" s="1997"/>
      <c r="AQ121" s="1997"/>
      <c r="AR121" s="1997"/>
      <c r="AS121" s="1997"/>
      <c r="AT121" s="1997"/>
      <c r="AU121" s="1997"/>
      <c r="AV121" s="1997"/>
      <c r="AW121" s="1997"/>
      <c r="AX121" s="1997"/>
      <c r="AY121" s="1997"/>
      <c r="AZ121" s="1997"/>
      <c r="BA121" s="1997"/>
      <c r="BB121" s="1997"/>
      <c r="BC121" s="1997"/>
      <c r="BD121" s="1997"/>
      <c r="BE121" s="1997"/>
      <c r="BF121" s="1997"/>
      <c r="BG121" s="1997"/>
      <c r="BH121" s="1997"/>
      <c r="BI121" s="1997"/>
      <c r="BJ121" s="1997"/>
      <c r="BK121" s="1997"/>
      <c r="BL121" s="1997"/>
      <c r="BM121" s="1997"/>
      <c r="BN121" s="1997"/>
      <c r="BO121" s="1997"/>
      <c r="BP121" s="1997"/>
      <c r="BQ121" s="1997"/>
      <c r="BR121" s="1997"/>
      <c r="BS121" s="1997"/>
      <c r="BT121" s="1997"/>
      <c r="BU121" s="1997"/>
      <c r="BV121" s="1997"/>
      <c r="BW121" s="1997"/>
      <c r="BX121" s="1997"/>
      <c r="BY121" s="1997"/>
      <c r="BZ121" s="1997"/>
      <c r="CA121" s="1997"/>
      <c r="CB121" s="1997"/>
      <c r="CC121" s="1997"/>
      <c r="CD121" s="1997"/>
      <c r="CE121" s="1997"/>
      <c r="CF121" s="1997"/>
      <c r="CG121" s="1997"/>
      <c r="CH121" s="1997"/>
      <c r="CI121" s="1997"/>
      <c r="CJ121" s="1997"/>
      <c r="CK121" s="1997"/>
      <c r="CL121" s="1997"/>
      <c r="CM121" s="1997"/>
      <c r="CN121" s="1997"/>
      <c r="CO121" s="1997"/>
      <c r="CP121" s="1997"/>
      <c r="CQ121" s="1997"/>
      <c r="CR121" s="1997"/>
      <c r="CS121" s="1997"/>
      <c r="CT121" s="1997"/>
      <c r="CU121" s="1997"/>
      <c r="CV121" s="1997"/>
      <c r="CW121" s="1997"/>
      <c r="CX121" s="1997"/>
      <c r="CY121" s="1997"/>
      <c r="CZ121" s="1997"/>
      <c r="DA121" s="1997"/>
      <c r="DB121" s="1997"/>
      <c r="DC121" s="1997"/>
      <c r="DD121" s="1997"/>
      <c r="DE121" s="1997"/>
      <c r="DF121" s="1997"/>
      <c r="DG121" s="1997"/>
      <c r="DH121" s="1997"/>
      <c r="DI121" s="1997"/>
      <c r="DJ121" s="1997"/>
      <c r="DK121" s="1997"/>
      <c r="DL121" s="1997"/>
      <c r="DM121" s="1997"/>
      <c r="DN121" s="1997"/>
      <c r="DO121" s="1997"/>
      <c r="DP121" s="1997"/>
      <c r="DQ121" s="1997"/>
      <c r="DR121" s="1997"/>
      <c r="DS121" s="1997"/>
      <c r="DT121" s="1997"/>
      <c r="DU121" s="1997"/>
      <c r="DV121" s="1997"/>
      <c r="DW121" s="1997"/>
      <c r="DX121" s="1997"/>
      <c r="DY121" s="1997"/>
      <c r="DZ121" s="1997"/>
      <c r="EA121" s="1997"/>
      <c r="EB121" s="1997"/>
      <c r="EC121" s="1997"/>
      <c r="ED121" s="1997"/>
      <c r="EE121" s="1997"/>
      <c r="EF121" s="1997"/>
      <c r="EG121" s="1997"/>
      <c r="EH121" s="1997"/>
      <c r="EI121" s="1997"/>
      <c r="EJ121" s="1997"/>
      <c r="EK121" s="1997"/>
      <c r="EL121" s="1997"/>
      <c r="EM121" s="1997"/>
      <c r="EN121" s="1997"/>
      <c r="EO121" s="1997"/>
      <c r="EP121" s="1997"/>
      <c r="EQ121" s="1997"/>
      <c r="ER121" s="1997"/>
      <c r="ES121" s="1997"/>
      <c r="ET121" s="1997"/>
      <c r="EU121" s="1997"/>
      <c r="EV121" s="1997"/>
      <c r="EW121" s="1997"/>
      <c r="EX121" s="1997"/>
      <c r="EY121" s="1997"/>
      <c r="EZ121" s="1997"/>
      <c r="FA121" s="1997"/>
      <c r="FB121" s="1997"/>
      <c r="FC121" s="1997"/>
      <c r="FD121" s="1997"/>
      <c r="FE121" s="1997"/>
      <c r="FF121" s="1997"/>
      <c r="FG121" s="1997"/>
      <c r="FH121" s="1997"/>
      <c r="FI121" s="1997"/>
      <c r="FJ121" s="1997"/>
      <c r="FK121" s="1997"/>
      <c r="FL121" s="1997"/>
      <c r="FM121" s="1997"/>
      <c r="FN121" s="1997"/>
      <c r="FO121" s="1997"/>
      <c r="FP121" s="1997"/>
      <c r="FQ121" s="1997"/>
      <c r="FR121" s="1997"/>
      <c r="FS121" s="1997"/>
      <c r="FT121" s="1997"/>
      <c r="FU121" s="1997"/>
      <c r="FV121" s="1997"/>
      <c r="FW121" s="1997"/>
      <c r="FX121" s="1997"/>
      <c r="FY121" s="1997"/>
      <c r="FZ121" s="1997"/>
      <c r="GA121" s="1997"/>
      <c r="GB121" s="1997"/>
      <c r="GC121" s="1997"/>
      <c r="GD121" s="1997"/>
      <c r="GE121" s="1997"/>
      <c r="GF121" s="1997"/>
      <c r="GG121" s="1997"/>
      <c r="GH121" s="1997"/>
      <c r="GI121" s="1997"/>
      <c r="GJ121" s="1997"/>
      <c r="GK121" s="1997"/>
      <c r="GL121" s="1997"/>
      <c r="GM121" s="1997"/>
      <c r="GN121" s="1997"/>
      <c r="GO121" s="1997"/>
      <c r="GP121" s="1997"/>
      <c r="GQ121" s="1997"/>
      <c r="GR121" s="1997"/>
      <c r="GS121" s="1997"/>
      <c r="GT121" s="1997"/>
      <c r="GU121" s="1997"/>
      <c r="GV121" s="1997"/>
      <c r="GW121" s="1997"/>
      <c r="GX121" s="1997"/>
      <c r="GY121" s="1997"/>
      <c r="GZ121" s="1997"/>
      <c r="HA121" s="1997"/>
      <c r="HB121" s="1997"/>
      <c r="HC121" s="1997"/>
      <c r="HD121" s="1997"/>
      <c r="HE121" s="1997"/>
      <c r="HF121" s="1997"/>
      <c r="HG121" s="1997"/>
      <c r="HH121" s="1997"/>
      <c r="HI121" s="1997"/>
      <c r="HJ121" s="1997"/>
      <c r="HK121" s="1997"/>
      <c r="HL121" s="1997"/>
      <c r="HM121" s="1997"/>
      <c r="HN121" s="1997"/>
      <c r="HO121" s="1997"/>
      <c r="HP121" s="1997"/>
      <c r="HQ121" s="1997"/>
      <c r="HR121" s="1997"/>
      <c r="HS121" s="1997"/>
      <c r="HT121" s="1997"/>
      <c r="HU121" s="1997"/>
      <c r="HV121" s="1997"/>
      <c r="HW121" s="1997"/>
      <c r="HX121" s="1997"/>
      <c r="HY121" s="1997"/>
      <c r="HZ121" s="1997"/>
      <c r="IA121" s="1997"/>
      <c r="IB121" s="1997"/>
      <c r="IC121" s="1997"/>
      <c r="ID121" s="1997"/>
      <c r="IE121" s="1997"/>
      <c r="IF121" s="1997"/>
      <c r="IG121" s="1997"/>
      <c r="IH121" s="1997"/>
      <c r="II121" s="1997"/>
      <c r="IJ121" s="1997"/>
      <c r="IK121" s="1997"/>
      <c r="IL121" s="1997"/>
      <c r="IM121" s="1997"/>
      <c r="IN121" s="1997"/>
      <c r="IO121" s="1997"/>
      <c r="IP121" s="1997"/>
      <c r="IQ121" s="1997"/>
    </row>
    <row r="122" spans="1:251" hidden="1">
      <c r="A122" s="2021"/>
      <c r="B122" s="1625" t="s">
        <v>531</v>
      </c>
      <c r="C122" s="1995"/>
      <c r="D122" s="2036"/>
      <c r="E122" s="1993"/>
      <c r="F122" s="1959"/>
      <c r="G122" s="1993"/>
      <c r="H122" s="1940">
        <f t="shared" si="56"/>
        <v>0</v>
      </c>
      <c r="I122" s="1993"/>
      <c r="J122" s="1940">
        <f t="shared" si="57"/>
        <v>0</v>
      </c>
      <c r="K122" s="1993"/>
      <c r="L122" s="1940">
        <f t="shared" si="58"/>
        <v>0</v>
      </c>
      <c r="M122" s="1940">
        <f t="shared" si="59"/>
        <v>0</v>
      </c>
      <c r="N122" s="1940">
        <f t="shared" si="60"/>
        <v>0</v>
      </c>
      <c r="O122" s="1993">
        <f t="shared" si="61"/>
        <v>0</v>
      </c>
      <c r="P122" s="1993">
        <f>D122*F122</f>
        <v>0</v>
      </c>
      <c r="Q122" s="1940">
        <f t="shared" si="62"/>
        <v>0</v>
      </c>
      <c r="R122" s="1940">
        <f t="shared" si="63"/>
        <v>0</v>
      </c>
      <c r="S122" s="1940">
        <f t="shared" si="64"/>
        <v>0</v>
      </c>
      <c r="T122" s="1940">
        <f t="shared" si="65"/>
        <v>0</v>
      </c>
      <c r="U122" s="1940">
        <f t="shared" si="66"/>
        <v>0</v>
      </c>
      <c r="V122" s="1997"/>
      <c r="W122" s="1997"/>
      <c r="X122" s="1997"/>
      <c r="Y122" s="1997"/>
      <c r="Z122" s="1997"/>
      <c r="AA122" s="1997"/>
      <c r="AB122" s="1997"/>
      <c r="AC122" s="1997"/>
      <c r="AD122" s="1997"/>
      <c r="AE122" s="1997"/>
      <c r="AF122" s="1997"/>
      <c r="AG122" s="1997"/>
      <c r="AH122" s="1997"/>
      <c r="AI122" s="1997"/>
      <c r="AJ122" s="1997"/>
      <c r="AK122" s="1997"/>
      <c r="AL122" s="1997"/>
      <c r="AM122" s="1997"/>
      <c r="AN122" s="1997"/>
      <c r="AO122" s="1997"/>
      <c r="AP122" s="1997"/>
      <c r="AQ122" s="1997"/>
      <c r="AR122" s="1997"/>
      <c r="AS122" s="1997"/>
      <c r="AT122" s="1997"/>
      <c r="AU122" s="1997"/>
      <c r="AV122" s="1997"/>
      <c r="AW122" s="1997"/>
      <c r="AX122" s="1997"/>
      <c r="AY122" s="1997"/>
      <c r="AZ122" s="1997"/>
      <c r="BA122" s="1997"/>
      <c r="BB122" s="1997"/>
      <c r="BC122" s="1997"/>
      <c r="BD122" s="1997"/>
      <c r="BE122" s="1997"/>
      <c r="BF122" s="1997"/>
      <c r="BG122" s="1997"/>
      <c r="BH122" s="1997"/>
      <c r="BI122" s="1997"/>
      <c r="BJ122" s="1997"/>
      <c r="BK122" s="1997"/>
      <c r="BL122" s="1997"/>
      <c r="BM122" s="1997"/>
      <c r="BN122" s="1997"/>
      <c r="BO122" s="1997"/>
      <c r="BP122" s="1997"/>
      <c r="BQ122" s="1997"/>
      <c r="BR122" s="1997"/>
      <c r="BS122" s="1997"/>
      <c r="BT122" s="1997"/>
      <c r="BU122" s="1997"/>
      <c r="BV122" s="1997"/>
      <c r="BW122" s="1997"/>
      <c r="BX122" s="1997"/>
      <c r="BY122" s="1997"/>
      <c r="BZ122" s="1997"/>
      <c r="CA122" s="1997"/>
      <c r="CB122" s="1997"/>
      <c r="CC122" s="1997"/>
      <c r="CD122" s="1997"/>
      <c r="CE122" s="1997"/>
      <c r="CF122" s="1997"/>
      <c r="CG122" s="1997"/>
      <c r="CH122" s="1997"/>
      <c r="CI122" s="1997"/>
      <c r="CJ122" s="1997"/>
      <c r="CK122" s="1997"/>
      <c r="CL122" s="1997"/>
      <c r="CM122" s="1997"/>
      <c r="CN122" s="1997"/>
      <c r="CO122" s="1997"/>
      <c r="CP122" s="1997"/>
      <c r="CQ122" s="1997"/>
      <c r="CR122" s="1997"/>
      <c r="CS122" s="1997"/>
      <c r="CT122" s="1997"/>
      <c r="CU122" s="1997"/>
      <c r="CV122" s="1997"/>
      <c r="CW122" s="1997"/>
      <c r="CX122" s="1997"/>
      <c r="CY122" s="1997"/>
      <c r="CZ122" s="1997"/>
      <c r="DA122" s="1997"/>
      <c r="DB122" s="1997"/>
      <c r="DC122" s="1997"/>
      <c r="DD122" s="1997"/>
      <c r="DE122" s="1997"/>
      <c r="DF122" s="1997"/>
      <c r="DG122" s="1997"/>
      <c r="DH122" s="1997"/>
      <c r="DI122" s="1997"/>
      <c r="DJ122" s="1997"/>
      <c r="DK122" s="1997"/>
      <c r="DL122" s="1997"/>
      <c r="DM122" s="1997"/>
      <c r="DN122" s="1997"/>
      <c r="DO122" s="1997"/>
      <c r="DP122" s="1997"/>
      <c r="DQ122" s="1997"/>
      <c r="DR122" s="1997"/>
      <c r="DS122" s="1997"/>
      <c r="DT122" s="1997"/>
      <c r="DU122" s="1997"/>
      <c r="DV122" s="1997"/>
      <c r="DW122" s="1997"/>
      <c r="DX122" s="1997"/>
      <c r="DY122" s="1997"/>
      <c r="DZ122" s="1997"/>
      <c r="EA122" s="1997"/>
      <c r="EB122" s="1997"/>
      <c r="EC122" s="1997"/>
      <c r="ED122" s="1997"/>
      <c r="EE122" s="1997"/>
      <c r="EF122" s="1997"/>
      <c r="EG122" s="1997"/>
      <c r="EH122" s="1997"/>
      <c r="EI122" s="1997"/>
      <c r="EJ122" s="1997"/>
      <c r="EK122" s="1997"/>
      <c r="EL122" s="1997"/>
      <c r="EM122" s="1997"/>
      <c r="EN122" s="1997"/>
      <c r="EO122" s="1997"/>
      <c r="EP122" s="1997"/>
      <c r="EQ122" s="1997"/>
      <c r="ER122" s="1997"/>
      <c r="ES122" s="1997"/>
      <c r="ET122" s="1997"/>
      <c r="EU122" s="1997"/>
      <c r="EV122" s="1997"/>
      <c r="EW122" s="1997"/>
      <c r="EX122" s="1997"/>
      <c r="EY122" s="1997"/>
      <c r="EZ122" s="1997"/>
      <c r="FA122" s="1997"/>
      <c r="FB122" s="1997"/>
      <c r="FC122" s="1997"/>
      <c r="FD122" s="1997"/>
      <c r="FE122" s="1997"/>
      <c r="FF122" s="1997"/>
      <c r="FG122" s="1997"/>
      <c r="FH122" s="1997"/>
      <c r="FI122" s="1997"/>
      <c r="FJ122" s="1997"/>
      <c r="FK122" s="1997"/>
      <c r="FL122" s="1997"/>
      <c r="FM122" s="1997"/>
      <c r="FN122" s="1997"/>
      <c r="FO122" s="1997"/>
      <c r="FP122" s="1997"/>
      <c r="FQ122" s="1997"/>
      <c r="FR122" s="1997"/>
      <c r="FS122" s="1997"/>
      <c r="FT122" s="1997"/>
      <c r="FU122" s="1997"/>
      <c r="FV122" s="1997"/>
      <c r="FW122" s="1997"/>
      <c r="FX122" s="1997"/>
      <c r="FY122" s="1997"/>
      <c r="FZ122" s="1997"/>
      <c r="GA122" s="1997"/>
      <c r="GB122" s="1997"/>
      <c r="GC122" s="1997"/>
      <c r="GD122" s="1997"/>
      <c r="GE122" s="1997"/>
      <c r="GF122" s="1997"/>
      <c r="GG122" s="1997"/>
      <c r="GH122" s="1997"/>
      <c r="GI122" s="1997"/>
      <c r="GJ122" s="1997"/>
      <c r="GK122" s="1997"/>
      <c r="GL122" s="1997"/>
      <c r="GM122" s="1997"/>
      <c r="GN122" s="1997"/>
      <c r="GO122" s="1997"/>
      <c r="GP122" s="1997"/>
      <c r="GQ122" s="1997"/>
      <c r="GR122" s="1997"/>
      <c r="GS122" s="1997"/>
      <c r="GT122" s="1997"/>
      <c r="GU122" s="1997"/>
      <c r="GV122" s="1997"/>
      <c r="GW122" s="1997"/>
      <c r="GX122" s="1997"/>
      <c r="GY122" s="1997"/>
      <c r="GZ122" s="1997"/>
      <c r="HA122" s="1997"/>
      <c r="HB122" s="1997"/>
      <c r="HC122" s="1997"/>
      <c r="HD122" s="1997"/>
      <c r="HE122" s="1997"/>
      <c r="HF122" s="1997"/>
      <c r="HG122" s="1997"/>
      <c r="HH122" s="1997"/>
      <c r="HI122" s="1997"/>
      <c r="HJ122" s="1997"/>
      <c r="HK122" s="1997"/>
      <c r="HL122" s="1997"/>
      <c r="HM122" s="1997"/>
      <c r="HN122" s="1997"/>
      <c r="HO122" s="1997"/>
      <c r="HP122" s="1997"/>
      <c r="HQ122" s="1997"/>
      <c r="HR122" s="1997"/>
      <c r="HS122" s="1997"/>
      <c r="HT122" s="1997"/>
      <c r="HU122" s="1997"/>
      <c r="HV122" s="1997"/>
      <c r="HW122" s="1997"/>
      <c r="HX122" s="1997"/>
      <c r="HY122" s="1997"/>
      <c r="HZ122" s="1997"/>
      <c r="IA122" s="1997"/>
      <c r="IB122" s="1997"/>
      <c r="IC122" s="1997"/>
      <c r="ID122" s="1997"/>
      <c r="IE122" s="1997"/>
      <c r="IF122" s="1997"/>
      <c r="IG122" s="1997"/>
      <c r="IH122" s="1997"/>
      <c r="II122" s="1997"/>
      <c r="IJ122" s="1997"/>
      <c r="IK122" s="1997"/>
      <c r="IL122" s="1997"/>
      <c r="IM122" s="1997"/>
      <c r="IN122" s="1997"/>
      <c r="IO122" s="1997"/>
      <c r="IP122" s="1997"/>
      <c r="IQ122" s="1997"/>
    </row>
    <row r="123" spans="1:251" ht="27">
      <c r="A123" s="2021"/>
      <c r="B123" s="2013" t="s">
        <v>540</v>
      </c>
      <c r="C123" s="1995"/>
      <c r="D123" s="2037"/>
      <c r="E123" s="1993"/>
      <c r="F123" s="1940">
        <f>ROUNDUP((E123*$Q$5),-3)</f>
        <v>0</v>
      </c>
      <c r="G123" s="1993"/>
      <c r="H123" s="1940">
        <f t="shared" si="56"/>
        <v>0</v>
      </c>
      <c r="I123" s="1993"/>
      <c r="J123" s="1940">
        <f t="shared" si="57"/>
        <v>0</v>
      </c>
      <c r="K123" s="1993"/>
      <c r="L123" s="1940">
        <f t="shared" si="58"/>
        <v>0</v>
      </c>
      <c r="M123" s="1940">
        <f t="shared" si="59"/>
        <v>0</v>
      </c>
      <c r="N123" s="1940">
        <f t="shared" si="60"/>
        <v>0</v>
      </c>
      <c r="O123" s="1993">
        <f t="shared" si="61"/>
        <v>0</v>
      </c>
      <c r="P123" s="1993"/>
      <c r="Q123" s="1940">
        <f t="shared" si="62"/>
        <v>0</v>
      </c>
      <c r="R123" s="1940">
        <f t="shared" si="63"/>
        <v>0</v>
      </c>
      <c r="S123" s="1940">
        <f t="shared" si="64"/>
        <v>0</v>
      </c>
      <c r="T123" s="1940">
        <f t="shared" si="65"/>
        <v>0</v>
      </c>
      <c r="U123" s="1940">
        <f t="shared" si="66"/>
        <v>0</v>
      </c>
      <c r="V123" s="1997"/>
      <c r="W123" s="1997"/>
      <c r="X123" s="1997"/>
      <c r="Y123" s="1997"/>
      <c r="Z123" s="1997"/>
      <c r="AA123" s="1997"/>
      <c r="AB123" s="1997"/>
      <c r="AC123" s="1997"/>
      <c r="AD123" s="1997"/>
      <c r="AE123" s="1997"/>
      <c r="AF123" s="1997"/>
      <c r="AG123" s="1997"/>
      <c r="AH123" s="1997"/>
      <c r="AI123" s="1997"/>
      <c r="AJ123" s="1997"/>
      <c r="AK123" s="1997"/>
      <c r="AL123" s="1997"/>
      <c r="AM123" s="1997"/>
      <c r="AN123" s="1997"/>
      <c r="AO123" s="1997"/>
      <c r="AP123" s="1997"/>
      <c r="AQ123" s="1997"/>
      <c r="AR123" s="1997"/>
      <c r="AS123" s="1997"/>
      <c r="AT123" s="1997"/>
      <c r="AU123" s="1997"/>
      <c r="AV123" s="1997"/>
      <c r="AW123" s="1997"/>
      <c r="AX123" s="1997"/>
      <c r="AY123" s="1997"/>
      <c r="AZ123" s="1997"/>
      <c r="BA123" s="1997"/>
      <c r="BB123" s="1997"/>
      <c r="BC123" s="1997"/>
      <c r="BD123" s="1997"/>
      <c r="BE123" s="1997"/>
      <c r="BF123" s="1997"/>
      <c r="BG123" s="1997"/>
      <c r="BH123" s="1997"/>
      <c r="BI123" s="1997"/>
      <c r="BJ123" s="1997"/>
      <c r="BK123" s="1997"/>
      <c r="BL123" s="1997"/>
      <c r="BM123" s="1997"/>
      <c r="BN123" s="1997"/>
      <c r="BO123" s="1997"/>
      <c r="BP123" s="1997"/>
      <c r="BQ123" s="1997"/>
      <c r="BR123" s="1997"/>
      <c r="BS123" s="1997"/>
      <c r="BT123" s="1997"/>
      <c r="BU123" s="1997"/>
      <c r="BV123" s="1997"/>
      <c r="BW123" s="1997"/>
      <c r="BX123" s="1997"/>
      <c r="BY123" s="1997"/>
      <c r="BZ123" s="1997"/>
      <c r="CA123" s="1997"/>
      <c r="CB123" s="1997"/>
      <c r="CC123" s="1997"/>
      <c r="CD123" s="1997"/>
      <c r="CE123" s="1997"/>
      <c r="CF123" s="1997"/>
      <c r="CG123" s="1997"/>
      <c r="CH123" s="1997"/>
      <c r="CI123" s="1997"/>
      <c r="CJ123" s="1997"/>
      <c r="CK123" s="1997"/>
      <c r="CL123" s="1997"/>
      <c r="CM123" s="1997"/>
      <c r="CN123" s="1997"/>
      <c r="CO123" s="1997"/>
      <c r="CP123" s="1997"/>
      <c r="CQ123" s="1997"/>
      <c r="CR123" s="1997"/>
      <c r="CS123" s="1997"/>
      <c r="CT123" s="1997"/>
      <c r="CU123" s="1997"/>
      <c r="CV123" s="1997"/>
      <c r="CW123" s="1997"/>
      <c r="CX123" s="1997"/>
      <c r="CY123" s="1997"/>
      <c r="CZ123" s="1997"/>
      <c r="DA123" s="1997"/>
      <c r="DB123" s="1997"/>
      <c r="DC123" s="1997"/>
      <c r="DD123" s="1997"/>
      <c r="DE123" s="1997"/>
      <c r="DF123" s="1997"/>
      <c r="DG123" s="1997"/>
      <c r="DH123" s="1997"/>
      <c r="DI123" s="1997"/>
      <c r="DJ123" s="1997"/>
      <c r="DK123" s="1997"/>
      <c r="DL123" s="1997"/>
      <c r="DM123" s="1997"/>
      <c r="DN123" s="1997"/>
      <c r="DO123" s="1997"/>
      <c r="DP123" s="1997"/>
      <c r="DQ123" s="1997"/>
      <c r="DR123" s="1997"/>
      <c r="DS123" s="1997"/>
      <c r="DT123" s="1997"/>
      <c r="DU123" s="1997"/>
      <c r="DV123" s="1997"/>
      <c r="DW123" s="1997"/>
      <c r="DX123" s="1997"/>
      <c r="DY123" s="1997"/>
      <c r="DZ123" s="1997"/>
      <c r="EA123" s="1997"/>
      <c r="EB123" s="1997"/>
      <c r="EC123" s="1997"/>
      <c r="ED123" s="1997"/>
      <c r="EE123" s="1997"/>
      <c r="EF123" s="1997"/>
      <c r="EG123" s="1997"/>
      <c r="EH123" s="1997"/>
      <c r="EI123" s="1997"/>
      <c r="EJ123" s="1997"/>
      <c r="EK123" s="1997"/>
      <c r="EL123" s="1997"/>
      <c r="EM123" s="1997"/>
      <c r="EN123" s="1997"/>
      <c r="EO123" s="1997"/>
      <c r="EP123" s="1997"/>
      <c r="EQ123" s="1997"/>
      <c r="ER123" s="1997"/>
      <c r="ES123" s="1997"/>
      <c r="ET123" s="1997"/>
      <c r="EU123" s="1997"/>
      <c r="EV123" s="1997"/>
      <c r="EW123" s="1997"/>
      <c r="EX123" s="1997"/>
      <c r="EY123" s="1997"/>
      <c r="EZ123" s="1997"/>
      <c r="FA123" s="1997"/>
      <c r="FB123" s="1997"/>
      <c r="FC123" s="1997"/>
      <c r="FD123" s="1997"/>
      <c r="FE123" s="1997"/>
      <c r="FF123" s="1997"/>
      <c r="FG123" s="1997"/>
      <c r="FH123" s="1997"/>
      <c r="FI123" s="1997"/>
      <c r="FJ123" s="1997"/>
      <c r="FK123" s="1997"/>
      <c r="FL123" s="1997"/>
      <c r="FM123" s="1997"/>
      <c r="FN123" s="1997"/>
      <c r="FO123" s="1997"/>
      <c r="FP123" s="1997"/>
      <c r="FQ123" s="1997"/>
      <c r="FR123" s="1997"/>
      <c r="FS123" s="1997"/>
      <c r="FT123" s="1997"/>
      <c r="FU123" s="1997"/>
      <c r="FV123" s="1997"/>
      <c r="FW123" s="1997"/>
      <c r="FX123" s="1997"/>
      <c r="FY123" s="1997"/>
      <c r="FZ123" s="1997"/>
      <c r="GA123" s="1997"/>
      <c r="GB123" s="1997"/>
      <c r="GC123" s="1997"/>
      <c r="GD123" s="1997"/>
      <c r="GE123" s="1997"/>
      <c r="GF123" s="1997"/>
      <c r="GG123" s="1997"/>
      <c r="GH123" s="1997"/>
      <c r="GI123" s="1997"/>
      <c r="GJ123" s="1997"/>
      <c r="GK123" s="1997"/>
      <c r="GL123" s="1997"/>
      <c r="GM123" s="1997"/>
      <c r="GN123" s="1997"/>
      <c r="GO123" s="1997"/>
      <c r="GP123" s="1997"/>
      <c r="GQ123" s="1997"/>
      <c r="GR123" s="1997"/>
      <c r="GS123" s="1997"/>
      <c r="GT123" s="1997"/>
      <c r="GU123" s="1997"/>
      <c r="GV123" s="1997"/>
      <c r="GW123" s="1997"/>
      <c r="GX123" s="1997"/>
      <c r="GY123" s="1997"/>
      <c r="GZ123" s="1997"/>
      <c r="HA123" s="1997"/>
      <c r="HB123" s="1997"/>
      <c r="HC123" s="1997"/>
      <c r="HD123" s="1997"/>
      <c r="HE123" s="1997"/>
      <c r="HF123" s="1997"/>
      <c r="HG123" s="1997"/>
      <c r="HH123" s="1997"/>
      <c r="HI123" s="1997"/>
      <c r="HJ123" s="1997"/>
      <c r="HK123" s="1997"/>
      <c r="HL123" s="1997"/>
      <c r="HM123" s="1997"/>
      <c r="HN123" s="1997"/>
      <c r="HO123" s="1997"/>
      <c r="HP123" s="1997"/>
      <c r="HQ123" s="1997"/>
      <c r="HR123" s="1997"/>
      <c r="HS123" s="1997"/>
      <c r="HT123" s="1997"/>
      <c r="HU123" s="1997"/>
      <c r="HV123" s="1997"/>
      <c r="HW123" s="1997"/>
      <c r="HX123" s="1997"/>
      <c r="HY123" s="1997"/>
      <c r="HZ123" s="1997"/>
      <c r="IA123" s="1997"/>
      <c r="IB123" s="1997"/>
      <c r="IC123" s="1997"/>
      <c r="ID123" s="1997"/>
      <c r="IE123" s="1997"/>
      <c r="IF123" s="1997"/>
      <c r="IG123" s="1997"/>
      <c r="IH123" s="1997"/>
      <c r="II123" s="1997"/>
      <c r="IJ123" s="1997"/>
      <c r="IK123" s="1997"/>
      <c r="IL123" s="1997"/>
      <c r="IM123" s="1997"/>
      <c r="IN123" s="1997"/>
      <c r="IO123" s="1997"/>
      <c r="IP123" s="1997"/>
      <c r="IQ123" s="1997"/>
    </row>
    <row r="124" spans="1:251" hidden="1">
      <c r="A124" s="2021"/>
      <c r="B124" s="2012" t="s">
        <v>541</v>
      </c>
      <c r="C124" s="1995"/>
      <c r="D124" s="2037"/>
      <c r="E124" s="1993"/>
      <c r="F124" s="1996"/>
      <c r="G124" s="1993">
        <v>12</v>
      </c>
      <c r="H124" s="1940">
        <f t="shared" si="56"/>
        <v>0</v>
      </c>
      <c r="I124" s="1993"/>
      <c r="J124" s="1940">
        <f t="shared" si="57"/>
        <v>0</v>
      </c>
      <c r="K124" s="1993"/>
      <c r="L124" s="1940">
        <f t="shared" si="58"/>
        <v>0</v>
      </c>
      <c r="M124" s="1940">
        <f t="shared" si="59"/>
        <v>0</v>
      </c>
      <c r="N124" s="1940">
        <f t="shared" si="60"/>
        <v>0</v>
      </c>
      <c r="O124" s="1993">
        <f t="shared" si="61"/>
        <v>0</v>
      </c>
      <c r="P124" s="1993">
        <f>F124*D124*4</f>
        <v>0</v>
      </c>
      <c r="Q124" s="1940">
        <f t="shared" si="62"/>
        <v>0</v>
      </c>
      <c r="R124" s="1940">
        <f t="shared" si="63"/>
        <v>0</v>
      </c>
      <c r="S124" s="1940">
        <f t="shared" si="64"/>
        <v>0</v>
      </c>
      <c r="T124" s="1940">
        <f t="shared" si="65"/>
        <v>0</v>
      </c>
      <c r="U124" s="1940">
        <f t="shared" si="66"/>
        <v>0</v>
      </c>
      <c r="V124" s="1997"/>
      <c r="W124" s="1997"/>
      <c r="X124" s="1997"/>
      <c r="Y124" s="1997"/>
      <c r="Z124" s="1997"/>
      <c r="AA124" s="1997"/>
      <c r="AB124" s="1997"/>
      <c r="AC124" s="1997"/>
      <c r="AD124" s="1997"/>
      <c r="AE124" s="1997"/>
      <c r="AF124" s="1997"/>
      <c r="AG124" s="1997"/>
      <c r="AH124" s="1997"/>
      <c r="AI124" s="1997"/>
      <c r="AJ124" s="1997"/>
      <c r="AK124" s="1997"/>
      <c r="AL124" s="1997"/>
      <c r="AM124" s="1997"/>
      <c r="AN124" s="1997"/>
      <c r="AO124" s="1997"/>
      <c r="AP124" s="1997"/>
      <c r="AQ124" s="1997"/>
      <c r="AR124" s="1997"/>
      <c r="AS124" s="1997"/>
      <c r="AT124" s="1997"/>
      <c r="AU124" s="1997"/>
      <c r="AV124" s="1997"/>
      <c r="AW124" s="1997"/>
      <c r="AX124" s="1997"/>
      <c r="AY124" s="1997"/>
      <c r="AZ124" s="1997"/>
      <c r="BA124" s="1997"/>
      <c r="BB124" s="1997"/>
      <c r="BC124" s="1997"/>
      <c r="BD124" s="1997"/>
      <c r="BE124" s="1997"/>
      <c r="BF124" s="1997"/>
      <c r="BG124" s="1997"/>
      <c r="BH124" s="1997"/>
      <c r="BI124" s="1997"/>
      <c r="BJ124" s="1997"/>
      <c r="BK124" s="1997"/>
      <c r="BL124" s="1997"/>
      <c r="BM124" s="1997"/>
      <c r="BN124" s="1997"/>
      <c r="BO124" s="1997"/>
      <c r="BP124" s="1997"/>
      <c r="BQ124" s="1997"/>
      <c r="BR124" s="1997"/>
      <c r="BS124" s="1997"/>
      <c r="BT124" s="1997"/>
      <c r="BU124" s="1997"/>
      <c r="BV124" s="1997"/>
      <c r="BW124" s="1997"/>
      <c r="BX124" s="1997"/>
      <c r="BY124" s="1997"/>
      <c r="BZ124" s="1997"/>
      <c r="CA124" s="1997"/>
      <c r="CB124" s="1997"/>
      <c r="CC124" s="1997"/>
      <c r="CD124" s="1997"/>
      <c r="CE124" s="1997"/>
      <c r="CF124" s="1997"/>
      <c r="CG124" s="1997"/>
      <c r="CH124" s="1997"/>
      <c r="CI124" s="1997"/>
      <c r="CJ124" s="1997"/>
      <c r="CK124" s="1997"/>
      <c r="CL124" s="1997"/>
      <c r="CM124" s="1997"/>
      <c r="CN124" s="1997"/>
      <c r="CO124" s="1997"/>
      <c r="CP124" s="1997"/>
      <c r="CQ124" s="1997"/>
      <c r="CR124" s="1997"/>
      <c r="CS124" s="1997"/>
      <c r="CT124" s="1997"/>
      <c r="CU124" s="1997"/>
      <c r="CV124" s="1997"/>
      <c r="CW124" s="1997"/>
      <c r="CX124" s="1997"/>
      <c r="CY124" s="1997"/>
      <c r="CZ124" s="1997"/>
      <c r="DA124" s="1997"/>
      <c r="DB124" s="1997"/>
      <c r="DC124" s="1997"/>
      <c r="DD124" s="1997"/>
      <c r="DE124" s="1997"/>
      <c r="DF124" s="1997"/>
      <c r="DG124" s="1997"/>
      <c r="DH124" s="1997"/>
      <c r="DI124" s="1997"/>
      <c r="DJ124" s="1997"/>
      <c r="DK124" s="1997"/>
      <c r="DL124" s="1997"/>
      <c r="DM124" s="1997"/>
      <c r="DN124" s="1997"/>
      <c r="DO124" s="1997"/>
      <c r="DP124" s="1997"/>
      <c r="DQ124" s="1997"/>
      <c r="DR124" s="1997"/>
      <c r="DS124" s="1997"/>
      <c r="DT124" s="1997"/>
      <c r="DU124" s="1997"/>
      <c r="DV124" s="1997"/>
      <c r="DW124" s="1997"/>
      <c r="DX124" s="1997"/>
      <c r="DY124" s="1997"/>
      <c r="DZ124" s="1997"/>
      <c r="EA124" s="1997"/>
      <c r="EB124" s="1997"/>
      <c r="EC124" s="1997"/>
      <c r="ED124" s="1997"/>
      <c r="EE124" s="1997"/>
      <c r="EF124" s="1997"/>
      <c r="EG124" s="1997"/>
      <c r="EH124" s="1997"/>
      <c r="EI124" s="1997"/>
      <c r="EJ124" s="1997"/>
      <c r="EK124" s="1997"/>
      <c r="EL124" s="1997"/>
      <c r="EM124" s="1997"/>
      <c r="EN124" s="1997"/>
      <c r="EO124" s="1997"/>
      <c r="EP124" s="1997"/>
      <c r="EQ124" s="1997"/>
      <c r="ER124" s="1997"/>
      <c r="ES124" s="1997"/>
      <c r="ET124" s="1997"/>
      <c r="EU124" s="1997"/>
      <c r="EV124" s="1997"/>
      <c r="EW124" s="1997"/>
      <c r="EX124" s="1997"/>
      <c r="EY124" s="1997"/>
      <c r="EZ124" s="1997"/>
      <c r="FA124" s="1997"/>
      <c r="FB124" s="1997"/>
      <c r="FC124" s="1997"/>
      <c r="FD124" s="1997"/>
      <c r="FE124" s="1997"/>
      <c r="FF124" s="1997"/>
      <c r="FG124" s="1997"/>
      <c r="FH124" s="1997"/>
      <c r="FI124" s="1997"/>
      <c r="FJ124" s="1997"/>
      <c r="FK124" s="1997"/>
      <c r="FL124" s="1997"/>
      <c r="FM124" s="1997"/>
      <c r="FN124" s="1997"/>
      <c r="FO124" s="1997"/>
      <c r="FP124" s="1997"/>
      <c r="FQ124" s="1997"/>
      <c r="FR124" s="1997"/>
      <c r="FS124" s="1997"/>
      <c r="FT124" s="1997"/>
      <c r="FU124" s="1997"/>
      <c r="FV124" s="1997"/>
      <c r="FW124" s="1997"/>
      <c r="FX124" s="1997"/>
      <c r="FY124" s="1997"/>
      <c r="FZ124" s="1997"/>
      <c r="GA124" s="1997"/>
      <c r="GB124" s="1997"/>
      <c r="GC124" s="1997"/>
      <c r="GD124" s="1997"/>
      <c r="GE124" s="1997"/>
      <c r="GF124" s="1997"/>
      <c r="GG124" s="1997"/>
      <c r="GH124" s="1997"/>
      <c r="GI124" s="1997"/>
      <c r="GJ124" s="1997"/>
      <c r="GK124" s="1997"/>
      <c r="GL124" s="1997"/>
      <c r="GM124" s="1997"/>
      <c r="GN124" s="1997"/>
      <c r="GO124" s="1997"/>
      <c r="GP124" s="1997"/>
      <c r="GQ124" s="1997"/>
      <c r="GR124" s="1997"/>
      <c r="GS124" s="1997"/>
      <c r="GT124" s="1997"/>
      <c r="GU124" s="1997"/>
      <c r="GV124" s="1997"/>
      <c r="GW124" s="1997"/>
      <c r="GX124" s="1997"/>
      <c r="GY124" s="1997"/>
      <c r="GZ124" s="1997"/>
      <c r="HA124" s="1997"/>
      <c r="HB124" s="1997"/>
      <c r="HC124" s="1997"/>
      <c r="HD124" s="1997"/>
      <c r="HE124" s="1997"/>
      <c r="HF124" s="1997"/>
      <c r="HG124" s="1997"/>
      <c r="HH124" s="1997"/>
      <c r="HI124" s="1997"/>
      <c r="HJ124" s="1997"/>
      <c r="HK124" s="1997"/>
      <c r="HL124" s="1997"/>
      <c r="HM124" s="1997"/>
      <c r="HN124" s="1997"/>
      <c r="HO124" s="1997"/>
      <c r="HP124" s="1997"/>
      <c r="HQ124" s="1997"/>
      <c r="HR124" s="1997"/>
      <c r="HS124" s="1997"/>
      <c r="HT124" s="1997"/>
      <c r="HU124" s="1997"/>
      <c r="HV124" s="1997"/>
      <c r="HW124" s="1997"/>
      <c r="HX124" s="1997"/>
      <c r="HY124" s="1997"/>
      <c r="HZ124" s="1997"/>
      <c r="IA124" s="1997"/>
      <c r="IB124" s="1997"/>
      <c r="IC124" s="1997"/>
      <c r="ID124" s="1997"/>
      <c r="IE124" s="1997"/>
      <c r="IF124" s="1997"/>
      <c r="IG124" s="1997"/>
      <c r="IH124" s="1997"/>
      <c r="II124" s="1997"/>
      <c r="IJ124" s="1997"/>
      <c r="IK124" s="1997"/>
      <c r="IL124" s="1997"/>
      <c r="IM124" s="1997"/>
      <c r="IN124" s="1997"/>
      <c r="IO124" s="1997"/>
      <c r="IP124" s="1997"/>
      <c r="IQ124" s="1997"/>
    </row>
    <row r="125" spans="1:251" hidden="1">
      <c r="A125" s="2021"/>
      <c r="B125" s="2012" t="s">
        <v>542</v>
      </c>
      <c r="C125" s="1995"/>
      <c r="D125" s="2037"/>
      <c r="E125" s="1993"/>
      <c r="F125" s="1996"/>
      <c r="G125" s="1993">
        <v>12</v>
      </c>
      <c r="H125" s="1940">
        <f t="shared" si="56"/>
        <v>0</v>
      </c>
      <c r="I125" s="1993"/>
      <c r="J125" s="1940">
        <f t="shared" si="57"/>
        <v>0</v>
      </c>
      <c r="K125" s="1993"/>
      <c r="L125" s="1940">
        <f t="shared" si="58"/>
        <v>0</v>
      </c>
      <c r="M125" s="1940">
        <f t="shared" si="59"/>
        <v>0</v>
      </c>
      <c r="N125" s="1940">
        <f t="shared" si="60"/>
        <v>0</v>
      </c>
      <c r="O125" s="1993">
        <f t="shared" si="61"/>
        <v>0</v>
      </c>
      <c r="P125" s="1993">
        <f t="shared" ref="P125:P129" si="68">F125*D125*4</f>
        <v>0</v>
      </c>
      <c r="Q125" s="1940">
        <f t="shared" si="62"/>
        <v>0</v>
      </c>
      <c r="R125" s="1940">
        <f t="shared" si="63"/>
        <v>0</v>
      </c>
      <c r="S125" s="1940">
        <f t="shared" si="64"/>
        <v>0</v>
      </c>
      <c r="T125" s="1940">
        <f t="shared" si="65"/>
        <v>0</v>
      </c>
      <c r="U125" s="1940">
        <f t="shared" si="66"/>
        <v>0</v>
      </c>
      <c r="V125" s="1997"/>
      <c r="W125" s="1997"/>
      <c r="X125" s="1997"/>
      <c r="Y125" s="1997"/>
      <c r="Z125" s="1997"/>
      <c r="AA125" s="1997"/>
      <c r="AB125" s="1997"/>
      <c r="AC125" s="1997"/>
      <c r="AD125" s="1997"/>
      <c r="AE125" s="1997"/>
      <c r="AF125" s="1997"/>
      <c r="AG125" s="1997"/>
      <c r="AH125" s="1997"/>
      <c r="AI125" s="1997"/>
      <c r="AJ125" s="1997"/>
      <c r="AK125" s="1997"/>
      <c r="AL125" s="1997"/>
      <c r="AM125" s="1997"/>
      <c r="AN125" s="1997"/>
      <c r="AO125" s="1997"/>
      <c r="AP125" s="1997"/>
      <c r="AQ125" s="1997"/>
      <c r="AR125" s="1997"/>
      <c r="AS125" s="1997"/>
      <c r="AT125" s="1997"/>
      <c r="AU125" s="1997"/>
      <c r="AV125" s="1997"/>
      <c r="AW125" s="1997"/>
      <c r="AX125" s="1997"/>
      <c r="AY125" s="1997"/>
      <c r="AZ125" s="1997"/>
      <c r="BA125" s="1997"/>
      <c r="BB125" s="1997"/>
      <c r="BC125" s="1997"/>
      <c r="BD125" s="1997"/>
      <c r="BE125" s="1997"/>
      <c r="BF125" s="1997"/>
      <c r="BG125" s="1997"/>
      <c r="BH125" s="1997"/>
      <c r="BI125" s="1997"/>
      <c r="BJ125" s="1997"/>
      <c r="BK125" s="1997"/>
      <c r="BL125" s="1997"/>
      <c r="BM125" s="1997"/>
      <c r="BN125" s="1997"/>
      <c r="BO125" s="1997"/>
      <c r="BP125" s="1997"/>
      <c r="BQ125" s="1997"/>
      <c r="BR125" s="1997"/>
      <c r="BS125" s="1997"/>
      <c r="BT125" s="1997"/>
      <c r="BU125" s="1997"/>
      <c r="BV125" s="1997"/>
      <c r="BW125" s="1997"/>
      <c r="BX125" s="1997"/>
      <c r="BY125" s="1997"/>
      <c r="BZ125" s="1997"/>
      <c r="CA125" s="1997"/>
      <c r="CB125" s="1997"/>
      <c r="CC125" s="1997"/>
      <c r="CD125" s="1997"/>
      <c r="CE125" s="1997"/>
      <c r="CF125" s="1997"/>
      <c r="CG125" s="1997"/>
      <c r="CH125" s="1997"/>
      <c r="CI125" s="1997"/>
      <c r="CJ125" s="1997"/>
      <c r="CK125" s="1997"/>
      <c r="CL125" s="1997"/>
      <c r="CM125" s="1997"/>
      <c r="CN125" s="1997"/>
      <c r="CO125" s="1997"/>
      <c r="CP125" s="1997"/>
      <c r="CQ125" s="1997"/>
      <c r="CR125" s="1997"/>
      <c r="CS125" s="1997"/>
      <c r="CT125" s="1997"/>
      <c r="CU125" s="1997"/>
      <c r="CV125" s="1997"/>
      <c r="CW125" s="1997"/>
      <c r="CX125" s="1997"/>
      <c r="CY125" s="1997"/>
      <c r="CZ125" s="1997"/>
      <c r="DA125" s="1997"/>
      <c r="DB125" s="1997"/>
      <c r="DC125" s="1997"/>
      <c r="DD125" s="1997"/>
      <c r="DE125" s="1997"/>
      <c r="DF125" s="1997"/>
      <c r="DG125" s="1997"/>
      <c r="DH125" s="1997"/>
      <c r="DI125" s="1997"/>
      <c r="DJ125" s="1997"/>
      <c r="DK125" s="1997"/>
      <c r="DL125" s="1997"/>
      <c r="DM125" s="1997"/>
      <c r="DN125" s="1997"/>
      <c r="DO125" s="1997"/>
      <c r="DP125" s="1997"/>
      <c r="DQ125" s="1997"/>
      <c r="DR125" s="1997"/>
      <c r="DS125" s="1997"/>
      <c r="DT125" s="1997"/>
      <c r="DU125" s="1997"/>
      <c r="DV125" s="1997"/>
      <c r="DW125" s="1997"/>
      <c r="DX125" s="1997"/>
      <c r="DY125" s="1997"/>
      <c r="DZ125" s="1997"/>
      <c r="EA125" s="1997"/>
      <c r="EB125" s="1997"/>
      <c r="EC125" s="1997"/>
      <c r="ED125" s="1997"/>
      <c r="EE125" s="1997"/>
      <c r="EF125" s="1997"/>
      <c r="EG125" s="1997"/>
      <c r="EH125" s="1997"/>
      <c r="EI125" s="1997"/>
      <c r="EJ125" s="1997"/>
      <c r="EK125" s="1997"/>
      <c r="EL125" s="1997"/>
      <c r="EM125" s="1997"/>
      <c r="EN125" s="1997"/>
      <c r="EO125" s="1997"/>
      <c r="EP125" s="1997"/>
      <c r="EQ125" s="1997"/>
      <c r="ER125" s="1997"/>
      <c r="ES125" s="1997"/>
      <c r="ET125" s="1997"/>
      <c r="EU125" s="1997"/>
      <c r="EV125" s="1997"/>
      <c r="EW125" s="1997"/>
      <c r="EX125" s="1997"/>
      <c r="EY125" s="1997"/>
      <c r="EZ125" s="1997"/>
      <c r="FA125" s="1997"/>
      <c r="FB125" s="1997"/>
      <c r="FC125" s="1997"/>
      <c r="FD125" s="1997"/>
      <c r="FE125" s="1997"/>
      <c r="FF125" s="1997"/>
      <c r="FG125" s="1997"/>
      <c r="FH125" s="1997"/>
      <c r="FI125" s="1997"/>
      <c r="FJ125" s="1997"/>
      <c r="FK125" s="1997"/>
      <c r="FL125" s="1997"/>
      <c r="FM125" s="1997"/>
      <c r="FN125" s="1997"/>
      <c r="FO125" s="1997"/>
      <c r="FP125" s="1997"/>
      <c r="FQ125" s="1997"/>
      <c r="FR125" s="1997"/>
      <c r="FS125" s="1997"/>
      <c r="FT125" s="1997"/>
      <c r="FU125" s="1997"/>
      <c r="FV125" s="1997"/>
      <c r="FW125" s="1997"/>
      <c r="FX125" s="1997"/>
      <c r="FY125" s="1997"/>
      <c r="FZ125" s="1997"/>
      <c r="GA125" s="1997"/>
      <c r="GB125" s="1997"/>
      <c r="GC125" s="1997"/>
      <c r="GD125" s="1997"/>
      <c r="GE125" s="1997"/>
      <c r="GF125" s="1997"/>
      <c r="GG125" s="1997"/>
      <c r="GH125" s="1997"/>
      <c r="GI125" s="1997"/>
      <c r="GJ125" s="1997"/>
      <c r="GK125" s="1997"/>
      <c r="GL125" s="1997"/>
      <c r="GM125" s="1997"/>
      <c r="GN125" s="1997"/>
      <c r="GO125" s="1997"/>
      <c r="GP125" s="1997"/>
      <c r="GQ125" s="1997"/>
      <c r="GR125" s="1997"/>
      <c r="GS125" s="1997"/>
      <c r="GT125" s="1997"/>
      <c r="GU125" s="1997"/>
      <c r="GV125" s="1997"/>
      <c r="GW125" s="1997"/>
      <c r="GX125" s="1997"/>
      <c r="GY125" s="1997"/>
      <c r="GZ125" s="1997"/>
      <c r="HA125" s="1997"/>
      <c r="HB125" s="1997"/>
      <c r="HC125" s="1997"/>
      <c r="HD125" s="1997"/>
      <c r="HE125" s="1997"/>
      <c r="HF125" s="1997"/>
      <c r="HG125" s="1997"/>
      <c r="HH125" s="1997"/>
      <c r="HI125" s="1997"/>
      <c r="HJ125" s="1997"/>
      <c r="HK125" s="1997"/>
      <c r="HL125" s="1997"/>
      <c r="HM125" s="1997"/>
      <c r="HN125" s="1997"/>
      <c r="HO125" s="1997"/>
      <c r="HP125" s="1997"/>
      <c r="HQ125" s="1997"/>
      <c r="HR125" s="1997"/>
      <c r="HS125" s="1997"/>
      <c r="HT125" s="1997"/>
      <c r="HU125" s="1997"/>
      <c r="HV125" s="1997"/>
      <c r="HW125" s="1997"/>
      <c r="HX125" s="1997"/>
      <c r="HY125" s="1997"/>
      <c r="HZ125" s="1997"/>
      <c r="IA125" s="1997"/>
      <c r="IB125" s="1997"/>
      <c r="IC125" s="1997"/>
      <c r="ID125" s="1997"/>
      <c r="IE125" s="1997"/>
      <c r="IF125" s="1997"/>
      <c r="IG125" s="1997"/>
      <c r="IH125" s="1997"/>
      <c r="II125" s="1997"/>
      <c r="IJ125" s="1997"/>
      <c r="IK125" s="1997"/>
      <c r="IL125" s="1997"/>
      <c r="IM125" s="1997"/>
      <c r="IN125" s="1997"/>
      <c r="IO125" s="1997"/>
      <c r="IP125" s="1997"/>
      <c r="IQ125" s="1997"/>
    </row>
    <row r="126" spans="1:251" hidden="1">
      <c r="A126" s="2021"/>
      <c r="B126" s="2012" t="s">
        <v>543</v>
      </c>
      <c r="C126" s="1995"/>
      <c r="D126" s="2037"/>
      <c r="E126" s="1993"/>
      <c r="F126" s="1996"/>
      <c r="G126" s="1993">
        <v>12</v>
      </c>
      <c r="H126" s="1940">
        <f t="shared" si="56"/>
        <v>0</v>
      </c>
      <c r="I126" s="1993"/>
      <c r="J126" s="1940">
        <f t="shared" si="57"/>
        <v>0</v>
      </c>
      <c r="K126" s="1993"/>
      <c r="L126" s="1940">
        <f t="shared" si="58"/>
        <v>0</v>
      </c>
      <c r="M126" s="1940">
        <f t="shared" si="59"/>
        <v>0</v>
      </c>
      <c r="N126" s="1940">
        <f t="shared" si="60"/>
        <v>0</v>
      </c>
      <c r="O126" s="1993">
        <f t="shared" si="61"/>
        <v>0</v>
      </c>
      <c r="P126" s="1993">
        <f t="shared" si="68"/>
        <v>0</v>
      </c>
      <c r="Q126" s="1940">
        <f t="shared" si="62"/>
        <v>0</v>
      </c>
      <c r="R126" s="1940">
        <f t="shared" si="63"/>
        <v>0</v>
      </c>
      <c r="S126" s="1940">
        <f t="shared" si="64"/>
        <v>0</v>
      </c>
      <c r="T126" s="1940">
        <f t="shared" si="65"/>
        <v>0</v>
      </c>
      <c r="U126" s="1940">
        <f t="shared" si="66"/>
        <v>0</v>
      </c>
      <c r="V126" s="1997"/>
      <c r="W126" s="1997"/>
      <c r="X126" s="1997"/>
      <c r="Y126" s="1997"/>
      <c r="Z126" s="1997"/>
      <c r="AA126" s="1997"/>
      <c r="AB126" s="1997"/>
      <c r="AC126" s="1997"/>
      <c r="AD126" s="1997"/>
      <c r="AE126" s="1997"/>
      <c r="AF126" s="1997"/>
      <c r="AG126" s="1997"/>
      <c r="AH126" s="1997"/>
      <c r="AI126" s="1997"/>
      <c r="AJ126" s="1997"/>
      <c r="AK126" s="1997"/>
      <c r="AL126" s="1997"/>
      <c r="AM126" s="1997"/>
      <c r="AN126" s="1997"/>
      <c r="AO126" s="1997"/>
      <c r="AP126" s="1997"/>
      <c r="AQ126" s="1997"/>
      <c r="AR126" s="1997"/>
      <c r="AS126" s="1997"/>
      <c r="AT126" s="1997"/>
      <c r="AU126" s="1997"/>
      <c r="AV126" s="1997"/>
      <c r="AW126" s="1997"/>
      <c r="AX126" s="1997"/>
      <c r="AY126" s="1997"/>
      <c r="AZ126" s="1997"/>
      <c r="BA126" s="1997"/>
      <c r="BB126" s="1997"/>
      <c r="BC126" s="1997"/>
      <c r="BD126" s="1997"/>
      <c r="BE126" s="1997"/>
      <c r="BF126" s="1997"/>
      <c r="BG126" s="1997"/>
      <c r="BH126" s="1997"/>
      <c r="BI126" s="1997"/>
      <c r="BJ126" s="1997"/>
      <c r="BK126" s="1997"/>
      <c r="BL126" s="1997"/>
      <c r="BM126" s="1997"/>
      <c r="BN126" s="1997"/>
      <c r="BO126" s="1997"/>
      <c r="BP126" s="1997"/>
      <c r="BQ126" s="1997"/>
      <c r="BR126" s="1997"/>
      <c r="BS126" s="1997"/>
      <c r="BT126" s="1997"/>
      <c r="BU126" s="1997"/>
      <c r="BV126" s="1997"/>
      <c r="BW126" s="1997"/>
      <c r="BX126" s="1997"/>
      <c r="BY126" s="1997"/>
      <c r="BZ126" s="1997"/>
      <c r="CA126" s="1997"/>
      <c r="CB126" s="1997"/>
      <c r="CC126" s="1997"/>
      <c r="CD126" s="1997"/>
      <c r="CE126" s="1997"/>
      <c r="CF126" s="1997"/>
      <c r="CG126" s="1997"/>
      <c r="CH126" s="1997"/>
      <c r="CI126" s="1997"/>
      <c r="CJ126" s="1997"/>
      <c r="CK126" s="1997"/>
      <c r="CL126" s="1997"/>
      <c r="CM126" s="1997"/>
      <c r="CN126" s="1997"/>
      <c r="CO126" s="1997"/>
      <c r="CP126" s="1997"/>
      <c r="CQ126" s="1997"/>
      <c r="CR126" s="1997"/>
      <c r="CS126" s="1997"/>
      <c r="CT126" s="1997"/>
      <c r="CU126" s="1997"/>
      <c r="CV126" s="1997"/>
      <c r="CW126" s="1997"/>
      <c r="CX126" s="1997"/>
      <c r="CY126" s="1997"/>
      <c r="CZ126" s="1997"/>
      <c r="DA126" s="1997"/>
      <c r="DB126" s="1997"/>
      <c r="DC126" s="1997"/>
      <c r="DD126" s="1997"/>
      <c r="DE126" s="1997"/>
      <c r="DF126" s="1997"/>
      <c r="DG126" s="1997"/>
      <c r="DH126" s="1997"/>
      <c r="DI126" s="1997"/>
      <c r="DJ126" s="1997"/>
      <c r="DK126" s="1997"/>
      <c r="DL126" s="1997"/>
      <c r="DM126" s="1997"/>
      <c r="DN126" s="1997"/>
      <c r="DO126" s="1997"/>
      <c r="DP126" s="1997"/>
      <c r="DQ126" s="1997"/>
      <c r="DR126" s="1997"/>
      <c r="DS126" s="1997"/>
      <c r="DT126" s="1997"/>
      <c r="DU126" s="1997"/>
      <c r="DV126" s="1997"/>
      <c r="DW126" s="1997"/>
      <c r="DX126" s="1997"/>
      <c r="DY126" s="1997"/>
      <c r="DZ126" s="1997"/>
      <c r="EA126" s="1997"/>
      <c r="EB126" s="1997"/>
      <c r="EC126" s="1997"/>
      <c r="ED126" s="1997"/>
      <c r="EE126" s="1997"/>
      <c r="EF126" s="1997"/>
      <c r="EG126" s="1997"/>
      <c r="EH126" s="1997"/>
      <c r="EI126" s="1997"/>
      <c r="EJ126" s="1997"/>
      <c r="EK126" s="1997"/>
      <c r="EL126" s="1997"/>
      <c r="EM126" s="1997"/>
      <c r="EN126" s="1997"/>
      <c r="EO126" s="1997"/>
      <c r="EP126" s="1997"/>
      <c r="EQ126" s="1997"/>
      <c r="ER126" s="1997"/>
      <c r="ES126" s="1997"/>
      <c r="ET126" s="1997"/>
      <c r="EU126" s="1997"/>
      <c r="EV126" s="1997"/>
      <c r="EW126" s="1997"/>
      <c r="EX126" s="1997"/>
      <c r="EY126" s="1997"/>
      <c r="EZ126" s="1997"/>
      <c r="FA126" s="1997"/>
      <c r="FB126" s="1997"/>
      <c r="FC126" s="1997"/>
      <c r="FD126" s="1997"/>
      <c r="FE126" s="1997"/>
      <c r="FF126" s="1997"/>
      <c r="FG126" s="1997"/>
      <c r="FH126" s="1997"/>
      <c r="FI126" s="1997"/>
      <c r="FJ126" s="1997"/>
      <c r="FK126" s="1997"/>
      <c r="FL126" s="1997"/>
      <c r="FM126" s="1997"/>
      <c r="FN126" s="1997"/>
      <c r="FO126" s="1997"/>
      <c r="FP126" s="1997"/>
      <c r="FQ126" s="1997"/>
      <c r="FR126" s="1997"/>
      <c r="FS126" s="1997"/>
      <c r="FT126" s="1997"/>
      <c r="FU126" s="1997"/>
      <c r="FV126" s="1997"/>
      <c r="FW126" s="1997"/>
      <c r="FX126" s="1997"/>
      <c r="FY126" s="1997"/>
      <c r="FZ126" s="1997"/>
      <c r="GA126" s="1997"/>
      <c r="GB126" s="1997"/>
      <c r="GC126" s="1997"/>
      <c r="GD126" s="1997"/>
      <c r="GE126" s="1997"/>
      <c r="GF126" s="1997"/>
      <c r="GG126" s="1997"/>
      <c r="GH126" s="1997"/>
      <c r="GI126" s="1997"/>
      <c r="GJ126" s="1997"/>
      <c r="GK126" s="1997"/>
      <c r="GL126" s="1997"/>
      <c r="GM126" s="1997"/>
      <c r="GN126" s="1997"/>
      <c r="GO126" s="1997"/>
      <c r="GP126" s="1997"/>
      <c r="GQ126" s="1997"/>
      <c r="GR126" s="1997"/>
      <c r="GS126" s="1997"/>
      <c r="GT126" s="1997"/>
      <c r="GU126" s="1997"/>
      <c r="GV126" s="1997"/>
      <c r="GW126" s="1997"/>
      <c r="GX126" s="1997"/>
      <c r="GY126" s="1997"/>
      <c r="GZ126" s="1997"/>
      <c r="HA126" s="1997"/>
      <c r="HB126" s="1997"/>
      <c r="HC126" s="1997"/>
      <c r="HD126" s="1997"/>
      <c r="HE126" s="1997"/>
      <c r="HF126" s="1997"/>
      <c r="HG126" s="1997"/>
      <c r="HH126" s="1997"/>
      <c r="HI126" s="1997"/>
      <c r="HJ126" s="1997"/>
      <c r="HK126" s="1997"/>
      <c r="HL126" s="1997"/>
      <c r="HM126" s="1997"/>
      <c r="HN126" s="1997"/>
      <c r="HO126" s="1997"/>
      <c r="HP126" s="1997"/>
      <c r="HQ126" s="1997"/>
      <c r="HR126" s="1997"/>
      <c r="HS126" s="1997"/>
      <c r="HT126" s="1997"/>
      <c r="HU126" s="1997"/>
      <c r="HV126" s="1997"/>
      <c r="HW126" s="1997"/>
      <c r="HX126" s="1997"/>
      <c r="HY126" s="1997"/>
      <c r="HZ126" s="1997"/>
      <c r="IA126" s="1997"/>
      <c r="IB126" s="1997"/>
      <c r="IC126" s="1997"/>
      <c r="ID126" s="1997"/>
      <c r="IE126" s="1997"/>
      <c r="IF126" s="1997"/>
      <c r="IG126" s="1997"/>
      <c r="IH126" s="1997"/>
      <c r="II126" s="1997"/>
      <c r="IJ126" s="1997"/>
      <c r="IK126" s="1997"/>
      <c r="IL126" s="1997"/>
      <c r="IM126" s="1997"/>
      <c r="IN126" s="1997"/>
      <c r="IO126" s="1997"/>
      <c r="IP126" s="1997"/>
      <c r="IQ126" s="1997"/>
    </row>
    <row r="127" spans="1:251">
      <c r="A127" s="2021">
        <v>6</v>
      </c>
      <c r="B127" s="2012" t="s">
        <v>544</v>
      </c>
      <c r="C127" s="1995"/>
      <c r="D127" s="2037">
        <f>'штатка школа МШ'!D127</f>
        <v>0</v>
      </c>
      <c r="E127" s="1993"/>
      <c r="F127" s="1996">
        <v>240000</v>
      </c>
      <c r="G127" s="1993">
        <v>12</v>
      </c>
      <c r="H127" s="1940">
        <f t="shared" si="56"/>
        <v>0</v>
      </c>
      <c r="I127" s="1993"/>
      <c r="J127" s="1940">
        <f t="shared" si="57"/>
        <v>0</v>
      </c>
      <c r="K127" s="1993"/>
      <c r="L127" s="1940">
        <f t="shared" si="58"/>
        <v>0</v>
      </c>
      <c r="M127" s="1940">
        <f t="shared" si="59"/>
        <v>0</v>
      </c>
      <c r="N127" s="1940">
        <f t="shared" si="60"/>
        <v>0</v>
      </c>
      <c r="O127" s="1993">
        <f t="shared" si="61"/>
        <v>0</v>
      </c>
      <c r="P127" s="1993">
        <f>F127*D127*4</f>
        <v>0</v>
      </c>
      <c r="Q127" s="1940">
        <f t="shared" si="62"/>
        <v>0</v>
      </c>
      <c r="R127" s="1940">
        <f t="shared" si="63"/>
        <v>0</v>
      </c>
      <c r="S127" s="1940">
        <f t="shared" si="64"/>
        <v>0</v>
      </c>
      <c r="T127" s="1940">
        <f t="shared" si="65"/>
        <v>0</v>
      </c>
      <c r="U127" s="1940">
        <f t="shared" si="66"/>
        <v>0</v>
      </c>
      <c r="V127" s="1997"/>
      <c r="W127" s="1997"/>
      <c r="X127" s="1997"/>
      <c r="Y127" s="1997"/>
      <c r="Z127" s="1997"/>
      <c r="AA127" s="1997"/>
      <c r="AB127" s="1997"/>
      <c r="AC127" s="1997"/>
      <c r="AD127" s="1997"/>
      <c r="AE127" s="1997"/>
      <c r="AF127" s="1997"/>
      <c r="AG127" s="1997"/>
      <c r="AH127" s="1997"/>
      <c r="AI127" s="1997"/>
      <c r="AJ127" s="1997"/>
      <c r="AK127" s="1997"/>
      <c r="AL127" s="1997"/>
      <c r="AM127" s="1997"/>
      <c r="AN127" s="1997"/>
      <c r="AO127" s="1997"/>
      <c r="AP127" s="1997"/>
      <c r="AQ127" s="1997"/>
      <c r="AR127" s="1997"/>
      <c r="AS127" s="1997"/>
      <c r="AT127" s="1997"/>
      <c r="AU127" s="1997"/>
      <c r="AV127" s="1997"/>
      <c r="AW127" s="1997"/>
      <c r="AX127" s="1997"/>
      <c r="AY127" s="1997"/>
      <c r="AZ127" s="1997"/>
      <c r="BA127" s="1997"/>
      <c r="BB127" s="1997"/>
      <c r="BC127" s="1997"/>
      <c r="BD127" s="1997"/>
      <c r="BE127" s="1997"/>
      <c r="BF127" s="1997"/>
      <c r="BG127" s="1997"/>
      <c r="BH127" s="1997"/>
      <c r="BI127" s="1997"/>
      <c r="BJ127" s="1997"/>
      <c r="BK127" s="1997"/>
      <c r="BL127" s="1997"/>
      <c r="BM127" s="1997"/>
      <c r="BN127" s="1997"/>
      <c r="BO127" s="1997"/>
      <c r="BP127" s="1997"/>
      <c r="BQ127" s="1997"/>
      <c r="BR127" s="1997"/>
      <c r="BS127" s="1997"/>
      <c r="BT127" s="1997"/>
      <c r="BU127" s="1997"/>
      <c r="BV127" s="1997"/>
      <c r="BW127" s="1997"/>
      <c r="BX127" s="1997"/>
      <c r="BY127" s="1997"/>
      <c r="BZ127" s="1997"/>
      <c r="CA127" s="1997"/>
      <c r="CB127" s="1997"/>
      <c r="CC127" s="1997"/>
      <c r="CD127" s="1997"/>
      <c r="CE127" s="1997"/>
      <c r="CF127" s="1997"/>
      <c r="CG127" s="1997"/>
      <c r="CH127" s="1997"/>
      <c r="CI127" s="1997"/>
      <c r="CJ127" s="1997"/>
      <c r="CK127" s="1997"/>
      <c r="CL127" s="1997"/>
      <c r="CM127" s="1997"/>
      <c r="CN127" s="1997"/>
      <c r="CO127" s="1997"/>
      <c r="CP127" s="1997"/>
      <c r="CQ127" s="1997"/>
      <c r="CR127" s="1997"/>
      <c r="CS127" s="1997"/>
      <c r="CT127" s="1997"/>
      <c r="CU127" s="1997"/>
      <c r="CV127" s="1997"/>
      <c r="CW127" s="1997"/>
      <c r="CX127" s="1997"/>
      <c r="CY127" s="1997"/>
      <c r="CZ127" s="1997"/>
      <c r="DA127" s="1997"/>
      <c r="DB127" s="1997"/>
      <c r="DC127" s="1997"/>
      <c r="DD127" s="1997"/>
      <c r="DE127" s="1997"/>
      <c r="DF127" s="1997"/>
      <c r="DG127" s="1997"/>
      <c r="DH127" s="1997"/>
      <c r="DI127" s="1997"/>
      <c r="DJ127" s="1997"/>
      <c r="DK127" s="1997"/>
      <c r="DL127" s="1997"/>
      <c r="DM127" s="1997"/>
      <c r="DN127" s="1997"/>
      <c r="DO127" s="1997"/>
      <c r="DP127" s="1997"/>
      <c r="DQ127" s="1997"/>
      <c r="DR127" s="1997"/>
      <c r="DS127" s="1997"/>
      <c r="DT127" s="1997"/>
      <c r="DU127" s="1997"/>
      <c r="DV127" s="1997"/>
      <c r="DW127" s="1997"/>
      <c r="DX127" s="1997"/>
      <c r="DY127" s="1997"/>
      <c r="DZ127" s="1997"/>
      <c r="EA127" s="1997"/>
      <c r="EB127" s="1997"/>
      <c r="EC127" s="1997"/>
      <c r="ED127" s="1997"/>
      <c r="EE127" s="1997"/>
      <c r="EF127" s="1997"/>
      <c r="EG127" s="1997"/>
      <c r="EH127" s="1997"/>
      <c r="EI127" s="1997"/>
      <c r="EJ127" s="1997"/>
      <c r="EK127" s="1997"/>
      <c r="EL127" s="1997"/>
      <c r="EM127" s="1997"/>
      <c r="EN127" s="1997"/>
      <c r="EO127" s="1997"/>
      <c r="EP127" s="1997"/>
      <c r="EQ127" s="1997"/>
      <c r="ER127" s="1997"/>
      <c r="ES127" s="1997"/>
      <c r="ET127" s="1997"/>
      <c r="EU127" s="1997"/>
      <c r="EV127" s="1997"/>
      <c r="EW127" s="1997"/>
      <c r="EX127" s="1997"/>
      <c r="EY127" s="1997"/>
      <c r="EZ127" s="1997"/>
      <c r="FA127" s="1997"/>
      <c r="FB127" s="1997"/>
      <c r="FC127" s="1997"/>
      <c r="FD127" s="1997"/>
      <c r="FE127" s="1997"/>
      <c r="FF127" s="1997"/>
      <c r="FG127" s="1997"/>
      <c r="FH127" s="1997"/>
      <c r="FI127" s="1997"/>
      <c r="FJ127" s="1997"/>
      <c r="FK127" s="1997"/>
      <c r="FL127" s="1997"/>
      <c r="FM127" s="1997"/>
      <c r="FN127" s="1997"/>
      <c r="FO127" s="1997"/>
      <c r="FP127" s="1997"/>
      <c r="FQ127" s="1997"/>
      <c r="FR127" s="1997"/>
      <c r="FS127" s="1997"/>
      <c r="FT127" s="1997"/>
      <c r="FU127" s="1997"/>
      <c r="FV127" s="1997"/>
      <c r="FW127" s="1997"/>
      <c r="FX127" s="1997"/>
      <c r="FY127" s="1997"/>
      <c r="FZ127" s="1997"/>
      <c r="GA127" s="1997"/>
      <c r="GB127" s="1997"/>
      <c r="GC127" s="1997"/>
      <c r="GD127" s="1997"/>
      <c r="GE127" s="1997"/>
      <c r="GF127" s="1997"/>
      <c r="GG127" s="1997"/>
      <c r="GH127" s="1997"/>
      <c r="GI127" s="1997"/>
      <c r="GJ127" s="1997"/>
      <c r="GK127" s="1997"/>
      <c r="GL127" s="1997"/>
      <c r="GM127" s="1997"/>
      <c r="GN127" s="1997"/>
      <c r="GO127" s="1997"/>
      <c r="GP127" s="1997"/>
      <c r="GQ127" s="1997"/>
      <c r="GR127" s="1997"/>
      <c r="GS127" s="1997"/>
      <c r="GT127" s="1997"/>
      <c r="GU127" s="1997"/>
      <c r="GV127" s="1997"/>
      <c r="GW127" s="1997"/>
      <c r="GX127" s="1997"/>
      <c r="GY127" s="1997"/>
      <c r="GZ127" s="1997"/>
      <c r="HA127" s="1997"/>
      <c r="HB127" s="1997"/>
      <c r="HC127" s="1997"/>
      <c r="HD127" s="1997"/>
      <c r="HE127" s="1997"/>
      <c r="HF127" s="1997"/>
      <c r="HG127" s="1997"/>
      <c r="HH127" s="1997"/>
      <c r="HI127" s="1997"/>
      <c r="HJ127" s="1997"/>
      <c r="HK127" s="1997"/>
      <c r="HL127" s="1997"/>
      <c r="HM127" s="1997"/>
      <c r="HN127" s="1997"/>
      <c r="HO127" s="1997"/>
      <c r="HP127" s="1997"/>
      <c r="HQ127" s="1997"/>
      <c r="HR127" s="1997"/>
      <c r="HS127" s="1997"/>
      <c r="HT127" s="1997"/>
      <c r="HU127" s="1997"/>
      <c r="HV127" s="1997"/>
      <c r="HW127" s="1997"/>
      <c r="HX127" s="1997"/>
      <c r="HY127" s="1997"/>
      <c r="HZ127" s="1997"/>
      <c r="IA127" s="1997"/>
      <c r="IB127" s="1997"/>
      <c r="IC127" s="1997"/>
      <c r="ID127" s="1997"/>
      <c r="IE127" s="1997"/>
      <c r="IF127" s="1997"/>
      <c r="IG127" s="1997"/>
      <c r="IH127" s="1997"/>
      <c r="II127" s="1997"/>
      <c r="IJ127" s="1997"/>
      <c r="IK127" s="1997"/>
      <c r="IL127" s="1997"/>
      <c r="IM127" s="1997"/>
      <c r="IN127" s="1997"/>
      <c r="IO127" s="1997"/>
      <c r="IP127" s="1997"/>
      <c r="IQ127" s="1997"/>
    </row>
    <row r="128" spans="1:251">
      <c r="A128" s="2021">
        <v>7</v>
      </c>
      <c r="B128" s="2012" t="s">
        <v>545</v>
      </c>
      <c r="C128" s="1995"/>
      <c r="D128" s="2037">
        <f>'штатка школа МШ'!D128</f>
        <v>0</v>
      </c>
      <c r="E128" s="1993"/>
      <c r="F128" s="1996">
        <f>78000+22000</f>
        <v>100000</v>
      </c>
      <c r="G128" s="1993">
        <v>12</v>
      </c>
      <c r="H128" s="1940">
        <f t="shared" si="56"/>
        <v>0</v>
      </c>
      <c r="I128" s="1993"/>
      <c r="J128" s="1940">
        <f t="shared" si="57"/>
        <v>0</v>
      </c>
      <c r="K128" s="1993"/>
      <c r="L128" s="1940">
        <f t="shared" si="58"/>
        <v>0</v>
      </c>
      <c r="M128" s="1940">
        <f t="shared" si="59"/>
        <v>0</v>
      </c>
      <c r="N128" s="1940">
        <f t="shared" si="60"/>
        <v>0</v>
      </c>
      <c r="O128" s="1993">
        <f t="shared" si="61"/>
        <v>0</v>
      </c>
      <c r="P128" s="1993">
        <f>F128*D128*4</f>
        <v>0</v>
      </c>
      <c r="Q128" s="1940">
        <f t="shared" si="62"/>
        <v>0</v>
      </c>
      <c r="R128" s="1940">
        <f t="shared" si="63"/>
        <v>0</v>
      </c>
      <c r="S128" s="1940">
        <f t="shared" si="64"/>
        <v>0</v>
      </c>
      <c r="T128" s="1940">
        <f t="shared" si="65"/>
        <v>0</v>
      </c>
      <c r="U128" s="1940">
        <f t="shared" si="66"/>
        <v>0</v>
      </c>
      <c r="V128" s="1997"/>
      <c r="W128" s="1997"/>
      <c r="X128" s="1997"/>
      <c r="Y128" s="1997"/>
      <c r="Z128" s="1997"/>
      <c r="AA128" s="1997"/>
      <c r="AB128" s="1997"/>
      <c r="AC128" s="1997"/>
      <c r="AD128" s="1997"/>
      <c r="AE128" s="1997"/>
      <c r="AF128" s="1997"/>
      <c r="AG128" s="1997"/>
      <c r="AH128" s="1997"/>
      <c r="AI128" s="1997"/>
      <c r="AJ128" s="1997"/>
      <c r="AK128" s="1997"/>
      <c r="AL128" s="1997"/>
      <c r="AM128" s="1997"/>
      <c r="AN128" s="1997"/>
      <c r="AO128" s="1997"/>
      <c r="AP128" s="1997"/>
      <c r="AQ128" s="1997"/>
      <c r="AR128" s="1997"/>
      <c r="AS128" s="1997"/>
      <c r="AT128" s="1997"/>
      <c r="AU128" s="1997"/>
      <c r="AV128" s="1997"/>
      <c r="AW128" s="1997"/>
      <c r="AX128" s="1997"/>
      <c r="AY128" s="1997"/>
      <c r="AZ128" s="1997"/>
      <c r="BA128" s="1997"/>
      <c r="BB128" s="1997"/>
      <c r="BC128" s="1997"/>
      <c r="BD128" s="1997"/>
      <c r="BE128" s="1997"/>
      <c r="BF128" s="1997"/>
      <c r="BG128" s="1997"/>
      <c r="BH128" s="1997"/>
      <c r="BI128" s="1997"/>
      <c r="BJ128" s="1997"/>
      <c r="BK128" s="1997"/>
      <c r="BL128" s="1997"/>
      <c r="BM128" s="1997"/>
      <c r="BN128" s="1997"/>
      <c r="BO128" s="1997"/>
      <c r="BP128" s="1997"/>
      <c r="BQ128" s="1997"/>
      <c r="BR128" s="1997"/>
      <c r="BS128" s="1997"/>
      <c r="BT128" s="1997"/>
      <c r="BU128" s="1997"/>
      <c r="BV128" s="1997"/>
      <c r="BW128" s="1997"/>
      <c r="BX128" s="1997"/>
      <c r="BY128" s="1997"/>
      <c r="BZ128" s="1997"/>
      <c r="CA128" s="1997"/>
      <c r="CB128" s="1997"/>
      <c r="CC128" s="1997"/>
      <c r="CD128" s="1997"/>
      <c r="CE128" s="1997"/>
      <c r="CF128" s="1997"/>
      <c r="CG128" s="1997"/>
      <c r="CH128" s="1997"/>
      <c r="CI128" s="1997"/>
      <c r="CJ128" s="1997"/>
      <c r="CK128" s="1997"/>
      <c r="CL128" s="1997"/>
      <c r="CM128" s="1997"/>
      <c r="CN128" s="1997"/>
      <c r="CO128" s="1997"/>
      <c r="CP128" s="1997"/>
      <c r="CQ128" s="1997"/>
      <c r="CR128" s="1997"/>
      <c r="CS128" s="1997"/>
      <c r="CT128" s="1997"/>
      <c r="CU128" s="1997"/>
      <c r="CV128" s="1997"/>
      <c r="CW128" s="1997"/>
      <c r="CX128" s="1997"/>
      <c r="CY128" s="1997"/>
      <c r="CZ128" s="1997"/>
      <c r="DA128" s="1997"/>
      <c r="DB128" s="1997"/>
      <c r="DC128" s="1997"/>
      <c r="DD128" s="1997"/>
      <c r="DE128" s="1997"/>
      <c r="DF128" s="1997"/>
      <c r="DG128" s="1997"/>
      <c r="DH128" s="1997"/>
      <c r="DI128" s="1997"/>
      <c r="DJ128" s="1997"/>
      <c r="DK128" s="1997"/>
      <c r="DL128" s="1997"/>
      <c r="DM128" s="1997"/>
      <c r="DN128" s="1997"/>
      <c r="DO128" s="1997"/>
      <c r="DP128" s="1997"/>
      <c r="DQ128" s="1997"/>
      <c r="DR128" s="1997"/>
      <c r="DS128" s="1997"/>
      <c r="DT128" s="1997"/>
      <c r="DU128" s="1997"/>
      <c r="DV128" s="1997"/>
      <c r="DW128" s="1997"/>
      <c r="DX128" s="1997"/>
      <c r="DY128" s="1997"/>
      <c r="DZ128" s="1997"/>
      <c r="EA128" s="1997"/>
      <c r="EB128" s="1997"/>
      <c r="EC128" s="1997"/>
      <c r="ED128" s="1997"/>
      <c r="EE128" s="1997"/>
      <c r="EF128" s="1997"/>
      <c r="EG128" s="1997"/>
      <c r="EH128" s="1997"/>
      <c r="EI128" s="1997"/>
      <c r="EJ128" s="1997"/>
      <c r="EK128" s="1997"/>
      <c r="EL128" s="1997"/>
      <c r="EM128" s="1997"/>
      <c r="EN128" s="1997"/>
      <c r="EO128" s="1997"/>
      <c r="EP128" s="1997"/>
      <c r="EQ128" s="1997"/>
      <c r="ER128" s="1997"/>
      <c r="ES128" s="1997"/>
      <c r="ET128" s="1997"/>
      <c r="EU128" s="1997"/>
      <c r="EV128" s="1997"/>
      <c r="EW128" s="1997"/>
      <c r="EX128" s="1997"/>
      <c r="EY128" s="1997"/>
      <c r="EZ128" s="1997"/>
      <c r="FA128" s="1997"/>
      <c r="FB128" s="1997"/>
      <c r="FC128" s="1997"/>
      <c r="FD128" s="1997"/>
      <c r="FE128" s="1997"/>
      <c r="FF128" s="1997"/>
      <c r="FG128" s="1997"/>
      <c r="FH128" s="1997"/>
      <c r="FI128" s="1997"/>
      <c r="FJ128" s="1997"/>
      <c r="FK128" s="1997"/>
      <c r="FL128" s="1997"/>
      <c r="FM128" s="1997"/>
      <c r="FN128" s="1997"/>
      <c r="FO128" s="1997"/>
      <c r="FP128" s="1997"/>
      <c r="FQ128" s="1997"/>
      <c r="FR128" s="1997"/>
      <c r="FS128" s="1997"/>
      <c r="FT128" s="1997"/>
      <c r="FU128" s="1997"/>
      <c r="FV128" s="1997"/>
      <c r="FW128" s="1997"/>
      <c r="FX128" s="1997"/>
      <c r="FY128" s="1997"/>
      <c r="FZ128" s="1997"/>
      <c r="GA128" s="1997"/>
      <c r="GB128" s="1997"/>
      <c r="GC128" s="1997"/>
      <c r="GD128" s="1997"/>
      <c r="GE128" s="1997"/>
      <c r="GF128" s="1997"/>
      <c r="GG128" s="1997"/>
      <c r="GH128" s="1997"/>
      <c r="GI128" s="1997"/>
      <c r="GJ128" s="1997"/>
      <c r="GK128" s="1997"/>
      <c r="GL128" s="1997"/>
      <c r="GM128" s="1997"/>
      <c r="GN128" s="1997"/>
      <c r="GO128" s="1997"/>
      <c r="GP128" s="1997"/>
      <c r="GQ128" s="1997"/>
      <c r="GR128" s="1997"/>
      <c r="GS128" s="1997"/>
      <c r="GT128" s="1997"/>
      <c r="GU128" s="1997"/>
      <c r="GV128" s="1997"/>
      <c r="GW128" s="1997"/>
      <c r="GX128" s="1997"/>
      <c r="GY128" s="1997"/>
      <c r="GZ128" s="1997"/>
      <c r="HA128" s="1997"/>
      <c r="HB128" s="1997"/>
      <c r="HC128" s="1997"/>
      <c r="HD128" s="1997"/>
      <c r="HE128" s="1997"/>
      <c r="HF128" s="1997"/>
      <c r="HG128" s="1997"/>
      <c r="HH128" s="1997"/>
      <c r="HI128" s="1997"/>
      <c r="HJ128" s="1997"/>
      <c r="HK128" s="1997"/>
      <c r="HL128" s="1997"/>
      <c r="HM128" s="1997"/>
      <c r="HN128" s="1997"/>
      <c r="HO128" s="1997"/>
      <c r="HP128" s="1997"/>
      <c r="HQ128" s="1997"/>
      <c r="HR128" s="1997"/>
      <c r="HS128" s="1997"/>
      <c r="HT128" s="1997"/>
      <c r="HU128" s="1997"/>
      <c r="HV128" s="1997"/>
      <c r="HW128" s="1997"/>
      <c r="HX128" s="1997"/>
      <c r="HY128" s="1997"/>
      <c r="HZ128" s="1997"/>
      <c r="IA128" s="1997"/>
      <c r="IB128" s="1997"/>
      <c r="IC128" s="1997"/>
      <c r="ID128" s="1997"/>
      <c r="IE128" s="1997"/>
      <c r="IF128" s="1997"/>
      <c r="IG128" s="1997"/>
      <c r="IH128" s="1997"/>
      <c r="II128" s="1997"/>
      <c r="IJ128" s="1997"/>
      <c r="IK128" s="1997"/>
      <c r="IL128" s="1997"/>
      <c r="IM128" s="1997"/>
      <c r="IN128" s="1997"/>
      <c r="IO128" s="1997"/>
      <c r="IP128" s="1997"/>
      <c r="IQ128" s="1997"/>
    </row>
    <row r="129" spans="1:251" hidden="1">
      <c r="A129" s="2021"/>
      <c r="B129" s="2012" t="s">
        <v>986</v>
      </c>
      <c r="C129" s="1995"/>
      <c r="D129" s="2037"/>
      <c r="E129" s="1993"/>
      <c r="F129" s="1996"/>
      <c r="G129" s="1993">
        <v>12</v>
      </c>
      <c r="H129" s="1940">
        <f t="shared" si="56"/>
        <v>0</v>
      </c>
      <c r="I129" s="1993"/>
      <c r="J129" s="1940">
        <f t="shared" si="57"/>
        <v>0</v>
      </c>
      <c r="K129" s="1993"/>
      <c r="L129" s="1940">
        <f t="shared" si="58"/>
        <v>0</v>
      </c>
      <c r="M129" s="1940">
        <f t="shared" si="59"/>
        <v>0</v>
      </c>
      <c r="N129" s="1940">
        <f t="shared" si="60"/>
        <v>0</v>
      </c>
      <c r="O129" s="1993">
        <f t="shared" si="61"/>
        <v>0</v>
      </c>
      <c r="P129" s="1993">
        <f t="shared" si="68"/>
        <v>0</v>
      </c>
      <c r="Q129" s="1940">
        <f t="shared" si="62"/>
        <v>0</v>
      </c>
      <c r="R129" s="1940">
        <f t="shared" si="63"/>
        <v>0</v>
      </c>
      <c r="S129" s="1940">
        <f t="shared" si="64"/>
        <v>0</v>
      </c>
      <c r="T129" s="1940">
        <f t="shared" si="65"/>
        <v>0</v>
      </c>
      <c r="U129" s="1940">
        <f t="shared" si="66"/>
        <v>0</v>
      </c>
      <c r="V129" s="1997"/>
      <c r="W129" s="1997"/>
      <c r="X129" s="1997"/>
      <c r="Y129" s="1997"/>
      <c r="Z129" s="1997"/>
      <c r="AA129" s="1997"/>
      <c r="AB129" s="1997"/>
      <c r="AC129" s="1997"/>
      <c r="AD129" s="1997"/>
      <c r="AE129" s="1997"/>
      <c r="AF129" s="1997"/>
      <c r="AG129" s="1997"/>
      <c r="AH129" s="1997"/>
      <c r="AI129" s="1997"/>
      <c r="AJ129" s="1997"/>
      <c r="AK129" s="1997"/>
      <c r="AL129" s="1997"/>
      <c r="AM129" s="1997"/>
      <c r="AN129" s="1997"/>
      <c r="AO129" s="1997"/>
      <c r="AP129" s="1997"/>
      <c r="AQ129" s="1997"/>
      <c r="AR129" s="1997"/>
      <c r="AS129" s="1997"/>
      <c r="AT129" s="1997"/>
      <c r="AU129" s="1997"/>
      <c r="AV129" s="1997"/>
      <c r="AW129" s="1997"/>
      <c r="AX129" s="1997"/>
      <c r="AY129" s="1997"/>
      <c r="AZ129" s="1997"/>
      <c r="BA129" s="1997"/>
      <c r="BB129" s="1997"/>
      <c r="BC129" s="1997"/>
      <c r="BD129" s="1997"/>
      <c r="BE129" s="1997"/>
      <c r="BF129" s="1997"/>
      <c r="BG129" s="1997"/>
      <c r="BH129" s="1997"/>
      <c r="BI129" s="1997"/>
      <c r="BJ129" s="1997"/>
      <c r="BK129" s="1997"/>
      <c r="BL129" s="1997"/>
      <c r="BM129" s="1997"/>
      <c r="BN129" s="1997"/>
      <c r="BO129" s="1997"/>
      <c r="BP129" s="1997"/>
      <c r="BQ129" s="1997"/>
      <c r="BR129" s="1997"/>
      <c r="BS129" s="1997"/>
      <c r="BT129" s="1997"/>
      <c r="BU129" s="1997"/>
      <c r="BV129" s="1997"/>
      <c r="BW129" s="1997"/>
      <c r="BX129" s="1997"/>
      <c r="BY129" s="1997"/>
      <c r="BZ129" s="1997"/>
      <c r="CA129" s="1997"/>
      <c r="CB129" s="1997"/>
      <c r="CC129" s="1997"/>
      <c r="CD129" s="1997"/>
      <c r="CE129" s="1997"/>
      <c r="CF129" s="1997"/>
      <c r="CG129" s="1997"/>
      <c r="CH129" s="1997"/>
      <c r="CI129" s="1997"/>
      <c r="CJ129" s="1997"/>
      <c r="CK129" s="1997"/>
      <c r="CL129" s="1997"/>
      <c r="CM129" s="1997"/>
      <c r="CN129" s="1997"/>
      <c r="CO129" s="1997"/>
      <c r="CP129" s="1997"/>
      <c r="CQ129" s="1997"/>
      <c r="CR129" s="1997"/>
      <c r="CS129" s="1997"/>
      <c r="CT129" s="1997"/>
      <c r="CU129" s="1997"/>
      <c r="CV129" s="1997"/>
      <c r="CW129" s="1997"/>
      <c r="CX129" s="1997"/>
      <c r="CY129" s="1997"/>
      <c r="CZ129" s="1997"/>
      <c r="DA129" s="1997"/>
      <c r="DB129" s="1997"/>
      <c r="DC129" s="1997"/>
      <c r="DD129" s="1997"/>
      <c r="DE129" s="1997"/>
      <c r="DF129" s="1997"/>
      <c r="DG129" s="1997"/>
      <c r="DH129" s="1997"/>
      <c r="DI129" s="1997"/>
      <c r="DJ129" s="1997"/>
      <c r="DK129" s="1997"/>
      <c r="DL129" s="1997"/>
      <c r="DM129" s="1997"/>
      <c r="DN129" s="1997"/>
      <c r="DO129" s="1997"/>
      <c r="DP129" s="1997"/>
      <c r="DQ129" s="1997"/>
      <c r="DR129" s="1997"/>
      <c r="DS129" s="1997"/>
      <c r="DT129" s="1997"/>
      <c r="DU129" s="1997"/>
      <c r="DV129" s="1997"/>
      <c r="DW129" s="1997"/>
      <c r="DX129" s="1997"/>
      <c r="DY129" s="1997"/>
      <c r="DZ129" s="1997"/>
      <c r="EA129" s="1997"/>
      <c r="EB129" s="1997"/>
      <c r="EC129" s="1997"/>
      <c r="ED129" s="1997"/>
      <c r="EE129" s="1997"/>
      <c r="EF129" s="1997"/>
      <c r="EG129" s="1997"/>
      <c r="EH129" s="1997"/>
      <c r="EI129" s="1997"/>
      <c r="EJ129" s="1997"/>
      <c r="EK129" s="1997"/>
      <c r="EL129" s="1997"/>
      <c r="EM129" s="1997"/>
      <c r="EN129" s="1997"/>
      <c r="EO129" s="1997"/>
      <c r="EP129" s="1997"/>
      <c r="EQ129" s="1997"/>
      <c r="ER129" s="1997"/>
      <c r="ES129" s="1997"/>
      <c r="ET129" s="1997"/>
      <c r="EU129" s="1997"/>
      <c r="EV129" s="1997"/>
      <c r="EW129" s="1997"/>
      <c r="EX129" s="1997"/>
      <c r="EY129" s="1997"/>
      <c r="EZ129" s="1997"/>
      <c r="FA129" s="1997"/>
      <c r="FB129" s="1997"/>
      <c r="FC129" s="1997"/>
      <c r="FD129" s="1997"/>
      <c r="FE129" s="1997"/>
      <c r="FF129" s="1997"/>
      <c r="FG129" s="1997"/>
      <c r="FH129" s="1997"/>
      <c r="FI129" s="1997"/>
      <c r="FJ129" s="1997"/>
      <c r="FK129" s="1997"/>
      <c r="FL129" s="1997"/>
      <c r="FM129" s="1997"/>
      <c r="FN129" s="1997"/>
      <c r="FO129" s="1997"/>
      <c r="FP129" s="1997"/>
      <c r="FQ129" s="1997"/>
      <c r="FR129" s="1997"/>
      <c r="FS129" s="1997"/>
      <c r="FT129" s="1997"/>
      <c r="FU129" s="1997"/>
      <c r="FV129" s="1997"/>
      <c r="FW129" s="1997"/>
      <c r="FX129" s="1997"/>
      <c r="FY129" s="1997"/>
      <c r="FZ129" s="1997"/>
      <c r="GA129" s="1997"/>
      <c r="GB129" s="1997"/>
      <c r="GC129" s="1997"/>
      <c r="GD129" s="1997"/>
      <c r="GE129" s="1997"/>
      <c r="GF129" s="1997"/>
      <c r="GG129" s="1997"/>
      <c r="GH129" s="1997"/>
      <c r="GI129" s="1997"/>
      <c r="GJ129" s="1997"/>
      <c r="GK129" s="1997"/>
      <c r="GL129" s="1997"/>
      <c r="GM129" s="1997"/>
      <c r="GN129" s="1997"/>
      <c r="GO129" s="1997"/>
      <c r="GP129" s="1997"/>
      <c r="GQ129" s="1997"/>
      <c r="GR129" s="1997"/>
      <c r="GS129" s="1997"/>
      <c r="GT129" s="1997"/>
      <c r="GU129" s="1997"/>
      <c r="GV129" s="1997"/>
      <c r="GW129" s="1997"/>
      <c r="GX129" s="1997"/>
      <c r="GY129" s="1997"/>
      <c r="GZ129" s="1997"/>
      <c r="HA129" s="1997"/>
      <c r="HB129" s="1997"/>
      <c r="HC129" s="1997"/>
      <c r="HD129" s="1997"/>
      <c r="HE129" s="1997"/>
      <c r="HF129" s="1997"/>
      <c r="HG129" s="1997"/>
      <c r="HH129" s="1997"/>
      <c r="HI129" s="1997"/>
      <c r="HJ129" s="1997"/>
      <c r="HK129" s="1997"/>
      <c r="HL129" s="1997"/>
      <c r="HM129" s="1997"/>
      <c r="HN129" s="1997"/>
      <c r="HO129" s="1997"/>
      <c r="HP129" s="1997"/>
      <c r="HQ129" s="1997"/>
      <c r="HR129" s="1997"/>
      <c r="HS129" s="1997"/>
      <c r="HT129" s="1997"/>
      <c r="HU129" s="1997"/>
      <c r="HV129" s="1997"/>
      <c r="HW129" s="1997"/>
      <c r="HX129" s="1997"/>
      <c r="HY129" s="1997"/>
      <c r="HZ129" s="1997"/>
      <c r="IA129" s="1997"/>
      <c r="IB129" s="1997"/>
      <c r="IC129" s="1997"/>
      <c r="ID129" s="1997"/>
      <c r="IE129" s="1997"/>
      <c r="IF129" s="1997"/>
      <c r="IG129" s="1997"/>
      <c r="IH129" s="1997"/>
      <c r="II129" s="1997"/>
      <c r="IJ129" s="1997"/>
      <c r="IK129" s="1997"/>
      <c r="IL129" s="1997"/>
      <c r="IM129" s="1997"/>
      <c r="IN129" s="1997"/>
      <c r="IO129" s="1997"/>
      <c r="IP129" s="1997"/>
      <c r="IQ129" s="1997"/>
    </row>
    <row r="130" spans="1:251">
      <c r="A130" s="2021">
        <v>8</v>
      </c>
      <c r="B130" s="2012" t="s">
        <v>546</v>
      </c>
      <c r="C130" s="1995"/>
      <c r="D130" s="2037">
        <f>'штатка школа МШ'!D130</f>
        <v>0</v>
      </c>
      <c r="E130" s="1993"/>
      <c r="F130" s="1996">
        <f>72000+28000</f>
        <v>100000</v>
      </c>
      <c r="G130" s="1993">
        <v>12</v>
      </c>
      <c r="H130" s="1940">
        <f t="shared" si="56"/>
        <v>0</v>
      </c>
      <c r="I130" s="1993"/>
      <c r="J130" s="1940">
        <f t="shared" si="57"/>
        <v>0</v>
      </c>
      <c r="K130" s="1993"/>
      <c r="L130" s="1940">
        <f t="shared" si="58"/>
        <v>0</v>
      </c>
      <c r="M130" s="1940">
        <f t="shared" si="59"/>
        <v>0</v>
      </c>
      <c r="N130" s="1940">
        <f t="shared" si="60"/>
        <v>0</v>
      </c>
      <c r="O130" s="1993">
        <f t="shared" si="61"/>
        <v>0</v>
      </c>
      <c r="P130" s="1993">
        <f>F130*D130*4</f>
        <v>0</v>
      </c>
      <c r="Q130" s="1940">
        <f t="shared" si="62"/>
        <v>0</v>
      </c>
      <c r="R130" s="1940">
        <f t="shared" si="63"/>
        <v>0</v>
      </c>
      <c r="S130" s="1940">
        <f t="shared" si="64"/>
        <v>0</v>
      </c>
      <c r="T130" s="1940">
        <f t="shared" si="65"/>
        <v>0</v>
      </c>
      <c r="U130" s="1940">
        <f t="shared" si="66"/>
        <v>0</v>
      </c>
      <c r="V130" s="1997"/>
      <c r="W130" s="1997"/>
      <c r="X130" s="1997"/>
      <c r="Y130" s="1997"/>
      <c r="Z130" s="1997"/>
      <c r="AA130" s="1997"/>
      <c r="AB130" s="1997"/>
      <c r="AC130" s="1997"/>
      <c r="AD130" s="1997"/>
      <c r="AE130" s="1997"/>
      <c r="AF130" s="1997"/>
      <c r="AG130" s="1997"/>
      <c r="AH130" s="1997"/>
      <c r="AI130" s="1997"/>
      <c r="AJ130" s="1997"/>
      <c r="AK130" s="1997"/>
      <c r="AL130" s="1997"/>
      <c r="AM130" s="1997"/>
      <c r="AN130" s="1997"/>
      <c r="AO130" s="1997"/>
      <c r="AP130" s="1997"/>
      <c r="AQ130" s="1997"/>
      <c r="AR130" s="1997"/>
      <c r="AS130" s="1997"/>
      <c r="AT130" s="1997"/>
      <c r="AU130" s="1997"/>
      <c r="AV130" s="1997"/>
      <c r="AW130" s="1997"/>
      <c r="AX130" s="1997"/>
      <c r="AY130" s="1997"/>
      <c r="AZ130" s="1997"/>
      <c r="BA130" s="1997"/>
      <c r="BB130" s="1997"/>
      <c r="BC130" s="1997"/>
      <c r="BD130" s="1997"/>
      <c r="BE130" s="1997"/>
      <c r="BF130" s="1997"/>
      <c r="BG130" s="1997"/>
      <c r="BH130" s="1997"/>
      <c r="BI130" s="1997"/>
      <c r="BJ130" s="1997"/>
      <c r="BK130" s="1997"/>
      <c r="BL130" s="1997"/>
      <c r="BM130" s="1997"/>
      <c r="BN130" s="1997"/>
      <c r="BO130" s="1997"/>
      <c r="BP130" s="1997"/>
      <c r="BQ130" s="1997"/>
      <c r="BR130" s="1997"/>
      <c r="BS130" s="1997"/>
      <c r="BT130" s="1997"/>
      <c r="BU130" s="1997"/>
      <c r="BV130" s="1997"/>
      <c r="BW130" s="1997"/>
      <c r="BX130" s="1997"/>
      <c r="BY130" s="1997"/>
      <c r="BZ130" s="1997"/>
      <c r="CA130" s="1997"/>
      <c r="CB130" s="1997"/>
      <c r="CC130" s="1997"/>
      <c r="CD130" s="1997"/>
      <c r="CE130" s="1997"/>
      <c r="CF130" s="1997"/>
      <c r="CG130" s="1997"/>
      <c r="CH130" s="1997"/>
      <c r="CI130" s="1997"/>
      <c r="CJ130" s="1997"/>
      <c r="CK130" s="1997"/>
      <c r="CL130" s="1997"/>
      <c r="CM130" s="1997"/>
      <c r="CN130" s="1997"/>
      <c r="CO130" s="1997"/>
      <c r="CP130" s="1997"/>
      <c r="CQ130" s="1997"/>
      <c r="CR130" s="1997"/>
      <c r="CS130" s="1997"/>
      <c r="CT130" s="1997"/>
      <c r="CU130" s="1997"/>
      <c r="CV130" s="1997"/>
      <c r="CW130" s="1997"/>
      <c r="CX130" s="1997"/>
      <c r="CY130" s="1997"/>
      <c r="CZ130" s="1997"/>
      <c r="DA130" s="1997"/>
      <c r="DB130" s="1997"/>
      <c r="DC130" s="1997"/>
      <c r="DD130" s="1997"/>
      <c r="DE130" s="1997"/>
      <c r="DF130" s="1997"/>
      <c r="DG130" s="1997"/>
      <c r="DH130" s="1997"/>
      <c r="DI130" s="1997"/>
      <c r="DJ130" s="1997"/>
      <c r="DK130" s="1997"/>
      <c r="DL130" s="1997"/>
      <c r="DM130" s="1997"/>
      <c r="DN130" s="1997"/>
      <c r="DO130" s="1997"/>
      <c r="DP130" s="1997"/>
      <c r="DQ130" s="1997"/>
      <c r="DR130" s="1997"/>
      <c r="DS130" s="1997"/>
      <c r="DT130" s="1997"/>
      <c r="DU130" s="1997"/>
      <c r="DV130" s="1997"/>
      <c r="DW130" s="1997"/>
      <c r="DX130" s="1997"/>
      <c r="DY130" s="1997"/>
      <c r="DZ130" s="1997"/>
      <c r="EA130" s="1997"/>
      <c r="EB130" s="1997"/>
      <c r="EC130" s="1997"/>
      <c r="ED130" s="1997"/>
      <c r="EE130" s="1997"/>
      <c r="EF130" s="1997"/>
      <c r="EG130" s="1997"/>
      <c r="EH130" s="1997"/>
      <c r="EI130" s="1997"/>
      <c r="EJ130" s="1997"/>
      <c r="EK130" s="1997"/>
      <c r="EL130" s="1997"/>
      <c r="EM130" s="1997"/>
      <c r="EN130" s="1997"/>
      <c r="EO130" s="1997"/>
      <c r="EP130" s="1997"/>
      <c r="EQ130" s="1997"/>
      <c r="ER130" s="1997"/>
      <c r="ES130" s="1997"/>
      <c r="ET130" s="1997"/>
      <c r="EU130" s="1997"/>
      <c r="EV130" s="1997"/>
      <c r="EW130" s="1997"/>
      <c r="EX130" s="1997"/>
      <c r="EY130" s="1997"/>
      <c r="EZ130" s="1997"/>
      <c r="FA130" s="1997"/>
      <c r="FB130" s="1997"/>
      <c r="FC130" s="1997"/>
      <c r="FD130" s="1997"/>
      <c r="FE130" s="1997"/>
      <c r="FF130" s="1997"/>
      <c r="FG130" s="1997"/>
      <c r="FH130" s="1997"/>
      <c r="FI130" s="1997"/>
      <c r="FJ130" s="1997"/>
      <c r="FK130" s="1997"/>
      <c r="FL130" s="1997"/>
      <c r="FM130" s="1997"/>
      <c r="FN130" s="1997"/>
      <c r="FO130" s="1997"/>
      <c r="FP130" s="1997"/>
      <c r="FQ130" s="1997"/>
      <c r="FR130" s="1997"/>
      <c r="FS130" s="1997"/>
      <c r="FT130" s="1997"/>
      <c r="FU130" s="1997"/>
      <c r="FV130" s="1997"/>
      <c r="FW130" s="1997"/>
      <c r="FX130" s="1997"/>
      <c r="FY130" s="1997"/>
      <c r="FZ130" s="1997"/>
      <c r="GA130" s="1997"/>
      <c r="GB130" s="1997"/>
      <c r="GC130" s="1997"/>
      <c r="GD130" s="1997"/>
      <c r="GE130" s="1997"/>
      <c r="GF130" s="1997"/>
      <c r="GG130" s="1997"/>
      <c r="GH130" s="1997"/>
      <c r="GI130" s="1997"/>
      <c r="GJ130" s="1997"/>
      <c r="GK130" s="1997"/>
      <c r="GL130" s="1997"/>
      <c r="GM130" s="1997"/>
      <c r="GN130" s="1997"/>
      <c r="GO130" s="1997"/>
      <c r="GP130" s="1997"/>
      <c r="GQ130" s="1997"/>
      <c r="GR130" s="1997"/>
      <c r="GS130" s="1997"/>
      <c r="GT130" s="1997"/>
      <c r="GU130" s="1997"/>
      <c r="GV130" s="1997"/>
      <c r="GW130" s="1997"/>
      <c r="GX130" s="1997"/>
      <c r="GY130" s="1997"/>
      <c r="GZ130" s="1997"/>
      <c r="HA130" s="1997"/>
      <c r="HB130" s="1997"/>
      <c r="HC130" s="1997"/>
      <c r="HD130" s="1997"/>
      <c r="HE130" s="1997"/>
      <c r="HF130" s="1997"/>
      <c r="HG130" s="1997"/>
      <c r="HH130" s="1997"/>
      <c r="HI130" s="1997"/>
      <c r="HJ130" s="1997"/>
      <c r="HK130" s="1997"/>
      <c r="HL130" s="1997"/>
      <c r="HM130" s="1997"/>
      <c r="HN130" s="1997"/>
      <c r="HO130" s="1997"/>
      <c r="HP130" s="1997"/>
      <c r="HQ130" s="1997"/>
      <c r="HR130" s="1997"/>
      <c r="HS130" s="1997"/>
      <c r="HT130" s="1997"/>
      <c r="HU130" s="1997"/>
      <c r="HV130" s="1997"/>
      <c r="HW130" s="1997"/>
      <c r="HX130" s="1997"/>
      <c r="HY130" s="1997"/>
      <c r="HZ130" s="1997"/>
      <c r="IA130" s="1997"/>
      <c r="IB130" s="1997"/>
      <c r="IC130" s="1997"/>
      <c r="ID130" s="1997"/>
      <c r="IE130" s="1997"/>
      <c r="IF130" s="1997"/>
      <c r="IG130" s="1997"/>
      <c r="IH130" s="1997"/>
      <c r="II130" s="1997"/>
      <c r="IJ130" s="1997"/>
      <c r="IK130" s="1997"/>
      <c r="IL130" s="1997"/>
      <c r="IM130" s="1997"/>
      <c r="IN130" s="1997"/>
      <c r="IO130" s="1997"/>
      <c r="IP130" s="1997"/>
      <c r="IQ130" s="1997"/>
    </row>
    <row r="131" spans="1:251">
      <c r="A131" s="1999"/>
      <c r="B131" s="2000"/>
      <c r="C131" s="2000"/>
      <c r="D131" s="2000"/>
      <c r="E131" s="1999"/>
      <c r="F131" s="1999"/>
      <c r="G131" s="1999"/>
      <c r="H131" s="1999"/>
      <c r="I131" s="1999"/>
      <c r="J131" s="1999"/>
      <c r="K131" s="1999"/>
      <c r="L131" s="1999"/>
      <c r="M131" s="1999"/>
      <c r="N131" s="1999"/>
      <c r="O131" s="1999"/>
      <c r="P131" s="1999"/>
      <c r="Q131" s="1999"/>
      <c r="R131" s="1997"/>
      <c r="S131" s="1997"/>
      <c r="T131" s="1997"/>
      <c r="U131" s="1997"/>
      <c r="V131" s="1997"/>
      <c r="W131" s="1997"/>
      <c r="X131" s="1997"/>
      <c r="Y131" s="1997"/>
      <c r="Z131" s="1997"/>
      <c r="AA131" s="1997"/>
      <c r="AB131" s="1997"/>
      <c r="AC131" s="1997"/>
      <c r="AD131" s="1997"/>
      <c r="AE131" s="1997"/>
      <c r="AF131" s="1997"/>
      <c r="AG131" s="1997"/>
      <c r="AH131" s="1997"/>
      <c r="AI131" s="1997"/>
      <c r="AJ131" s="1997"/>
      <c r="AK131" s="1997"/>
      <c r="AL131" s="1997"/>
      <c r="AM131" s="1997"/>
      <c r="AN131" s="1997"/>
      <c r="AO131" s="1997"/>
      <c r="AP131" s="1997"/>
      <c r="AQ131" s="1997"/>
      <c r="AR131" s="1997"/>
      <c r="AS131" s="1997"/>
      <c r="AT131" s="1997"/>
      <c r="AU131" s="1997"/>
      <c r="AV131" s="1997"/>
      <c r="AW131" s="1997"/>
      <c r="AX131" s="1997"/>
      <c r="AY131" s="1997"/>
      <c r="AZ131" s="1997"/>
      <c r="BA131" s="1997"/>
      <c r="BB131" s="1997"/>
      <c r="BC131" s="1997"/>
      <c r="BD131" s="1997"/>
      <c r="BE131" s="1997"/>
      <c r="BF131" s="1997"/>
      <c r="BG131" s="1997"/>
      <c r="BH131" s="1997"/>
      <c r="BI131" s="1997"/>
      <c r="BJ131" s="1997"/>
      <c r="BK131" s="1997"/>
      <c r="BL131" s="1997"/>
      <c r="BM131" s="1997"/>
      <c r="BN131" s="1997"/>
      <c r="BO131" s="1997"/>
      <c r="BP131" s="1997"/>
      <c r="BQ131" s="1997"/>
      <c r="BR131" s="1997"/>
      <c r="BS131" s="1997"/>
      <c r="BT131" s="1997"/>
      <c r="BU131" s="1997"/>
      <c r="BV131" s="1997"/>
      <c r="BW131" s="1997"/>
      <c r="BX131" s="1997"/>
      <c r="BY131" s="1997"/>
      <c r="BZ131" s="1997"/>
      <c r="CA131" s="1997"/>
      <c r="CB131" s="1997"/>
      <c r="CC131" s="1997"/>
      <c r="CD131" s="1997"/>
      <c r="CE131" s="1997"/>
      <c r="CF131" s="1997"/>
      <c r="CG131" s="1997"/>
      <c r="CH131" s="1997"/>
      <c r="CI131" s="1997"/>
      <c r="CJ131" s="1997"/>
      <c r="CK131" s="1997"/>
      <c r="CL131" s="1997"/>
      <c r="CM131" s="1997"/>
      <c r="CN131" s="1997"/>
      <c r="CO131" s="1997"/>
      <c r="CP131" s="1997"/>
      <c r="CQ131" s="1997"/>
      <c r="CR131" s="1997"/>
      <c r="CS131" s="1997"/>
      <c r="CT131" s="1997"/>
      <c r="CU131" s="1997"/>
      <c r="CV131" s="1997"/>
      <c r="CW131" s="1997"/>
      <c r="CX131" s="1997"/>
      <c r="CY131" s="1997"/>
      <c r="CZ131" s="1997"/>
      <c r="DA131" s="1997"/>
      <c r="DB131" s="1997"/>
      <c r="DC131" s="1997"/>
      <c r="DD131" s="1997"/>
      <c r="DE131" s="1997"/>
      <c r="DF131" s="1997"/>
      <c r="DG131" s="1997"/>
      <c r="DH131" s="1997"/>
      <c r="DI131" s="1997"/>
      <c r="DJ131" s="1997"/>
      <c r="DK131" s="1997"/>
      <c r="DL131" s="1997"/>
      <c r="DM131" s="1997"/>
      <c r="DN131" s="1997"/>
      <c r="DO131" s="1997"/>
      <c r="DP131" s="1997"/>
      <c r="DQ131" s="1997"/>
      <c r="DR131" s="1997"/>
      <c r="DS131" s="1997"/>
      <c r="DT131" s="1997"/>
      <c r="DU131" s="1997"/>
      <c r="DV131" s="1997"/>
      <c r="DW131" s="1997"/>
      <c r="DX131" s="1997"/>
      <c r="DY131" s="1997"/>
      <c r="DZ131" s="1997"/>
      <c r="EA131" s="1997"/>
      <c r="EB131" s="1997"/>
      <c r="EC131" s="1997"/>
      <c r="ED131" s="1997"/>
      <c r="EE131" s="1997"/>
      <c r="EF131" s="1997"/>
      <c r="EG131" s="1997"/>
      <c r="EH131" s="1997"/>
      <c r="EI131" s="1997"/>
      <c r="EJ131" s="1997"/>
      <c r="EK131" s="1997"/>
      <c r="EL131" s="1997"/>
      <c r="EM131" s="1997"/>
      <c r="EN131" s="1997"/>
      <c r="EO131" s="1997"/>
      <c r="EP131" s="1997"/>
      <c r="EQ131" s="1997"/>
      <c r="ER131" s="1997"/>
      <c r="ES131" s="1997"/>
      <c r="ET131" s="1997"/>
      <c r="EU131" s="1997"/>
      <c r="EV131" s="1997"/>
      <c r="EW131" s="1997"/>
      <c r="EX131" s="1997"/>
      <c r="EY131" s="1997"/>
      <c r="EZ131" s="1997"/>
      <c r="FA131" s="1997"/>
      <c r="FB131" s="1997"/>
      <c r="FC131" s="1997"/>
      <c r="FD131" s="1997"/>
      <c r="FE131" s="1997"/>
      <c r="FF131" s="1997"/>
      <c r="FG131" s="1997"/>
      <c r="FH131" s="1997"/>
      <c r="FI131" s="1997"/>
      <c r="FJ131" s="1997"/>
      <c r="FK131" s="1997"/>
      <c r="FL131" s="1997"/>
      <c r="FM131" s="1997"/>
      <c r="FN131" s="1997"/>
      <c r="FO131" s="1997"/>
      <c r="FP131" s="1997"/>
      <c r="FQ131" s="1997"/>
      <c r="FR131" s="1997"/>
      <c r="FS131" s="1997"/>
      <c r="FT131" s="1997"/>
      <c r="FU131" s="1997"/>
      <c r="FV131" s="1997"/>
      <c r="FW131" s="1997"/>
      <c r="FX131" s="1997"/>
      <c r="FY131" s="1997"/>
      <c r="FZ131" s="1997"/>
      <c r="GA131" s="1997"/>
      <c r="GB131" s="1997"/>
      <c r="GC131" s="1997"/>
      <c r="GD131" s="1997"/>
      <c r="GE131" s="1997"/>
      <c r="GF131" s="1997"/>
      <c r="GG131" s="1997"/>
      <c r="GH131" s="1997"/>
      <c r="GI131" s="1997"/>
      <c r="GJ131" s="1997"/>
      <c r="GK131" s="1997"/>
      <c r="GL131" s="1997"/>
      <c r="GM131" s="1997"/>
      <c r="GN131" s="1997"/>
      <c r="GO131" s="1997"/>
      <c r="GP131" s="1997"/>
      <c r="GQ131" s="1997"/>
      <c r="GR131" s="1997"/>
      <c r="GS131" s="1997"/>
      <c r="GT131" s="1997"/>
      <c r="GU131" s="1997"/>
      <c r="GV131" s="1997"/>
      <c r="GW131" s="1997"/>
      <c r="GX131" s="1997"/>
      <c r="GY131" s="1997"/>
      <c r="GZ131" s="1997"/>
      <c r="HA131" s="1997"/>
      <c r="HB131" s="1997"/>
      <c r="HC131" s="1997"/>
      <c r="HD131" s="1997"/>
      <c r="HE131" s="1997"/>
      <c r="HF131" s="1997"/>
      <c r="HG131" s="1997"/>
      <c r="HH131" s="1997"/>
      <c r="HI131" s="1997"/>
      <c r="HJ131" s="1997"/>
      <c r="HK131" s="1997"/>
      <c r="HL131" s="1997"/>
      <c r="HM131" s="1997"/>
      <c r="HN131" s="1997"/>
      <c r="HO131" s="1997"/>
      <c r="HP131" s="1997"/>
      <c r="HQ131" s="1997"/>
      <c r="HR131" s="1997"/>
      <c r="HS131" s="1997"/>
      <c r="HT131" s="1997"/>
      <c r="HU131" s="1997"/>
      <c r="HV131" s="1997"/>
      <c r="HW131" s="1997"/>
      <c r="HX131" s="1997"/>
      <c r="HY131" s="1997"/>
      <c r="HZ131" s="1997"/>
      <c r="IA131" s="1997"/>
      <c r="IB131" s="1997"/>
      <c r="IC131" s="1997"/>
      <c r="ID131" s="1997"/>
      <c r="IE131" s="1997"/>
      <c r="IF131" s="1997"/>
      <c r="IG131" s="1997"/>
      <c r="IH131" s="1997"/>
      <c r="II131" s="1997"/>
      <c r="IJ131" s="1997"/>
      <c r="IK131" s="1997"/>
      <c r="IL131" s="1997"/>
      <c r="IM131" s="1997"/>
      <c r="IN131" s="1997"/>
      <c r="IO131" s="1997"/>
      <c r="IP131" s="1997"/>
      <c r="IQ131" s="1997"/>
    </row>
    <row r="132" spans="1:251" ht="15.75">
      <c r="B132" s="2042" t="s">
        <v>368</v>
      </c>
      <c r="C132" s="2002"/>
      <c r="D132" s="2002"/>
      <c r="E132" s="2003"/>
      <c r="F132" s="2004"/>
      <c r="G132" s="2005"/>
      <c r="H132" s="2005"/>
      <c r="I132" s="2005"/>
      <c r="J132" s="2003"/>
      <c r="K132" s="2005"/>
      <c r="L132" s="2005"/>
      <c r="M132" s="3813"/>
      <c r="N132" s="3813"/>
      <c r="O132" s="2006"/>
      <c r="P132" s="2006"/>
      <c r="Q132" s="2006"/>
      <c r="R132" s="1933"/>
      <c r="S132" s="1933"/>
      <c r="T132" s="1933"/>
      <c r="U132" s="1933"/>
    </row>
    <row r="133" spans="1:251" ht="15.75">
      <c r="B133" s="2042" t="s">
        <v>370</v>
      </c>
      <c r="C133" s="2002"/>
      <c r="D133" s="2002"/>
      <c r="E133" s="2003"/>
      <c r="F133" s="2004"/>
      <c r="G133" s="2005"/>
      <c r="H133" s="2042" t="s">
        <v>371</v>
      </c>
      <c r="I133" s="2005"/>
      <c r="J133" s="2003"/>
      <c r="K133" s="2005"/>
      <c r="L133" s="2005"/>
      <c r="M133" s="1932"/>
      <c r="N133" s="1932"/>
      <c r="O133" s="2006"/>
      <c r="P133" s="2006"/>
      <c r="Q133" s="2006"/>
      <c r="R133" s="1933"/>
      <c r="S133" s="1933"/>
      <c r="T133" s="1933"/>
      <c r="U133" s="1933"/>
    </row>
    <row r="134" spans="1:251" ht="15.75">
      <c r="B134" s="2042"/>
      <c r="C134" s="2008"/>
      <c r="D134" s="2009"/>
      <c r="E134" s="2007"/>
      <c r="F134" s="2004"/>
      <c r="G134" s="2005"/>
      <c r="H134" s="2042"/>
      <c r="I134" s="2005"/>
      <c r="K134" s="2005"/>
      <c r="L134" s="2005"/>
      <c r="M134" s="1932"/>
      <c r="N134" s="1932"/>
      <c r="O134" s="2006"/>
      <c r="P134" s="2006"/>
      <c r="Q134" s="2006"/>
      <c r="R134" s="1933"/>
      <c r="S134" s="1933"/>
      <c r="T134" s="1933"/>
      <c r="U134" s="1933"/>
    </row>
    <row r="135" spans="1:251" ht="15.75">
      <c r="B135" s="2042" t="s">
        <v>372</v>
      </c>
      <c r="C135" s="2008"/>
      <c r="D135" s="2009"/>
      <c r="E135" s="2007"/>
      <c r="F135" s="2004"/>
      <c r="G135" s="2005"/>
      <c r="H135" s="2042" t="s">
        <v>373</v>
      </c>
      <c r="I135" s="2005"/>
      <c r="J135" s="2007"/>
      <c r="K135" s="2005"/>
      <c r="L135" s="2005"/>
      <c r="M135" s="1932"/>
      <c r="N135" s="1932"/>
      <c r="O135" s="1933"/>
      <c r="P135" s="1933"/>
      <c r="Q135" s="1933"/>
      <c r="R135" s="1933"/>
      <c r="S135" s="1933"/>
      <c r="T135" s="1933"/>
      <c r="U135" s="1933"/>
    </row>
    <row r="136" spans="1:251" ht="15.75">
      <c r="B136" s="2042"/>
      <c r="C136" s="2008"/>
      <c r="D136" s="2009"/>
      <c r="E136" s="2007"/>
      <c r="F136" s="2010"/>
      <c r="G136" s="2005"/>
      <c r="H136" s="2042"/>
      <c r="I136" s="2005"/>
      <c r="J136" s="2011"/>
      <c r="K136" s="2005"/>
      <c r="L136" s="2005"/>
    </row>
    <row r="137" spans="1:251" ht="15.75">
      <c r="B137" s="2042" t="s">
        <v>375</v>
      </c>
      <c r="C137" s="2011"/>
      <c r="D137" s="2011"/>
      <c r="E137" s="2011"/>
      <c r="F137" s="2010"/>
      <c r="G137" s="2005"/>
      <c r="H137" s="2042" t="s">
        <v>377</v>
      </c>
      <c r="I137" s="2005"/>
      <c r="J137" s="2007"/>
      <c r="K137" s="2005"/>
      <c r="L137" s="2005"/>
    </row>
    <row r="140" spans="1:251">
      <c r="B140" s="1991"/>
    </row>
  </sheetData>
  <sheetProtection formatColumns="0" insertRows="0" deleteRows="0"/>
  <mergeCells count="19">
    <mergeCell ref="N7:N8"/>
    <mergeCell ref="A7:A8"/>
    <mergeCell ref="B7:B8"/>
    <mergeCell ref="C7:C8"/>
    <mergeCell ref="D7:D8"/>
    <mergeCell ref="E7:E8"/>
    <mergeCell ref="F7:F8"/>
    <mergeCell ref="G7:G8"/>
    <mergeCell ref="H7:H8"/>
    <mergeCell ref="I7:J7"/>
    <mergeCell ref="K7:L7"/>
    <mergeCell ref="M7:M8"/>
    <mergeCell ref="U7:U8"/>
    <mergeCell ref="O7:O8"/>
    <mergeCell ref="P7:P8"/>
    <mergeCell ref="Q7:Q8"/>
    <mergeCell ref="R7:R8"/>
    <mergeCell ref="S7:S8"/>
    <mergeCell ref="T7:T8"/>
  </mergeCells>
  <pageMargins left="0" right="0" top="0" bottom="0" header="0" footer="0"/>
  <pageSetup paperSize="9" scale="56" fitToHeight="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FFFF00"/>
    <pageSetUpPr fitToPage="1"/>
  </sheetPr>
  <dimension ref="A1:IQ32"/>
  <sheetViews>
    <sheetView workbookViewId="0">
      <selection activeCell="F22" sqref="F22"/>
    </sheetView>
  </sheetViews>
  <sheetFormatPr defaultColWidth="11.5703125" defaultRowHeight="15"/>
  <cols>
    <col min="1" max="1" width="4.42578125" style="188" customWidth="1"/>
    <col min="2" max="2" width="29.28515625" style="188" customWidth="1"/>
    <col min="3" max="3" width="24.28515625" style="188" hidden="1" customWidth="1"/>
    <col min="4" max="4" width="13.5703125" style="188" customWidth="1"/>
    <col min="5" max="5" width="10.28515625" style="194" hidden="1" customWidth="1"/>
    <col min="6" max="6" width="12.42578125" style="194" customWidth="1"/>
    <col min="7" max="7" width="15" style="194" bestFit="1" customWidth="1"/>
    <col min="8" max="8" width="19.42578125" style="187" bestFit="1" customWidth="1"/>
    <col min="9" max="9" width="7.85546875" style="187" hidden="1" customWidth="1"/>
    <col min="10" max="10" width="19.140625" style="187" hidden="1" customWidth="1"/>
    <col min="11" max="11" width="7.85546875" style="194" bestFit="1" customWidth="1"/>
    <col min="12" max="12" width="9" style="187" customWidth="1"/>
    <col min="13" max="13" width="15.28515625" style="187" bestFit="1" customWidth="1"/>
    <col min="14" max="14" width="14.28515625" style="187" bestFit="1" customWidth="1"/>
    <col min="15" max="15" width="16.140625" style="188" bestFit="1" customWidth="1"/>
    <col min="16" max="16" width="13.140625" style="188" bestFit="1" customWidth="1"/>
    <col min="17" max="17" width="14.28515625" style="188" bestFit="1" customWidth="1"/>
    <col min="18" max="19" width="13.140625" style="188" bestFit="1" customWidth="1"/>
    <col min="20" max="21" width="13.140625" style="188" customWidth="1"/>
    <col min="22" max="22" width="14.42578125" style="188" customWidth="1"/>
    <col min="23" max="23" width="14.5703125" style="1923" bestFit="1" customWidth="1"/>
    <col min="24" max="24" width="9.140625" style="188" hidden="1" customWidth="1"/>
    <col min="25" max="244" width="9.140625" style="188" customWidth="1"/>
    <col min="245" max="245" width="3.7109375" style="188" customWidth="1"/>
    <col min="246" max="246" width="26.7109375" style="188" customWidth="1"/>
    <col min="247" max="247" width="19.140625" style="188" customWidth="1"/>
    <col min="248" max="248" width="7.42578125" style="188" customWidth="1"/>
    <col min="249" max="249" width="11.85546875" style="188" customWidth="1"/>
    <col min="250" max="250" width="12.5703125" style="188" customWidth="1"/>
    <col min="251" max="16384" width="11.5703125" style="188"/>
  </cols>
  <sheetData>
    <row r="1" spans="1:251" ht="15.75">
      <c r="R1" s="962" t="s">
        <v>267</v>
      </c>
      <c r="S1" s="961" t="s">
        <v>268</v>
      </c>
    </row>
    <row r="2" spans="1:251" s="949" customFormat="1" ht="15.75">
      <c r="B2" s="955" t="s">
        <v>973</v>
      </c>
      <c r="C2" s="950"/>
      <c r="D2" s="950"/>
      <c r="E2" s="950"/>
      <c r="F2" s="950"/>
      <c r="G2" s="950"/>
      <c r="H2" s="951"/>
      <c r="I2" s="951"/>
      <c r="J2" s="951"/>
      <c r="K2" s="952"/>
      <c r="L2" s="952"/>
      <c r="M2" s="952"/>
      <c r="N2" s="950"/>
      <c r="W2" s="1926"/>
    </row>
    <row r="3" spans="1:251">
      <c r="K3" s="190"/>
      <c r="L3" s="190"/>
      <c r="M3" s="190"/>
    </row>
    <row r="4" spans="1:251" s="949" customFormat="1" ht="15.75">
      <c r="B4" s="956" t="s">
        <v>989</v>
      </c>
      <c r="E4" s="953"/>
      <c r="F4" s="953"/>
      <c r="G4" s="953"/>
      <c r="H4" s="951"/>
      <c r="I4" s="951"/>
      <c r="J4" s="951"/>
      <c r="K4" s="953"/>
      <c r="L4" s="951"/>
      <c r="M4" s="951"/>
      <c r="N4" s="954"/>
      <c r="O4" s="953"/>
      <c r="P4" s="2468" t="s">
        <v>501</v>
      </c>
      <c r="Q4" s="2469">
        <v>1852</v>
      </c>
      <c r="R4" s="2470" t="s">
        <v>502</v>
      </c>
      <c r="W4" s="1926"/>
    </row>
    <row r="5" spans="1:251" ht="15.75">
      <c r="A5" s="168" t="s">
        <v>990</v>
      </c>
      <c r="B5" s="82"/>
      <c r="N5" s="189"/>
      <c r="O5" s="194"/>
      <c r="P5" s="2471" t="s">
        <v>504</v>
      </c>
      <c r="Q5" s="2472">
        <f>17439*1.1</f>
        <v>19182.900000000001</v>
      </c>
      <c r="R5" s="2470" t="s">
        <v>505</v>
      </c>
    </row>
    <row r="6" spans="1:251">
      <c r="A6" s="191"/>
      <c r="B6" s="191"/>
      <c r="C6" s="191"/>
      <c r="D6" s="191"/>
      <c r="E6" s="211">
        <f>12*K10</f>
        <v>0</v>
      </c>
      <c r="F6" s="192"/>
      <c r="G6" s="192"/>
      <c r="H6" s="212"/>
      <c r="I6" s="212"/>
      <c r="J6" s="212"/>
      <c r="K6" s="211">
        <f>E6-(E6*19%)</f>
        <v>0</v>
      </c>
      <c r="L6" s="212"/>
      <c r="M6" s="212"/>
      <c r="N6" s="212"/>
      <c r="O6" s="265">
        <f>O10*19%</f>
        <v>521664</v>
      </c>
      <c r="P6" s="2471" t="s">
        <v>506</v>
      </c>
      <c r="Q6" s="2469">
        <v>19966</v>
      </c>
      <c r="R6" s="2470" t="s">
        <v>502</v>
      </c>
    </row>
    <row r="7" spans="1:251" ht="39.75" customHeight="1">
      <c r="A7" s="3920" t="s">
        <v>34</v>
      </c>
      <c r="B7" s="3920" t="s">
        <v>507</v>
      </c>
      <c r="C7" s="3920" t="s">
        <v>277</v>
      </c>
      <c r="D7" s="3921" t="s">
        <v>508</v>
      </c>
      <c r="E7" s="3923" t="s">
        <v>509</v>
      </c>
      <c r="F7" s="3924" t="s">
        <v>510</v>
      </c>
      <c r="G7" s="3924" t="s">
        <v>511</v>
      </c>
      <c r="H7" s="3925" t="s">
        <v>512</v>
      </c>
      <c r="I7" s="3924" t="s">
        <v>513</v>
      </c>
      <c r="J7" s="3924"/>
      <c r="K7" s="3924" t="s">
        <v>514</v>
      </c>
      <c r="L7" s="3924"/>
      <c r="M7" s="3927" t="s">
        <v>515</v>
      </c>
      <c r="N7" s="3919" t="s">
        <v>516</v>
      </c>
      <c r="O7" s="3930" t="s">
        <v>517</v>
      </c>
      <c r="P7" s="3924" t="s">
        <v>518</v>
      </c>
      <c r="Q7" s="3919" t="s">
        <v>519</v>
      </c>
      <c r="R7" s="3929" t="s">
        <v>313</v>
      </c>
      <c r="S7" s="3929" t="s">
        <v>314</v>
      </c>
      <c r="T7" s="3929" t="s">
        <v>116</v>
      </c>
      <c r="U7" s="3929" t="s">
        <v>315</v>
      </c>
      <c r="V7" s="3929" t="s">
        <v>44</v>
      </c>
      <c r="W7" s="3976" t="s">
        <v>976</v>
      </c>
    </row>
    <row r="8" spans="1:251" ht="97.9" customHeight="1">
      <c r="A8" s="3920"/>
      <c r="B8" s="3920"/>
      <c r="C8" s="3920"/>
      <c r="D8" s="3922"/>
      <c r="E8" s="3923"/>
      <c r="F8" s="3924"/>
      <c r="G8" s="3924"/>
      <c r="H8" s="3926"/>
      <c r="I8" s="610" t="s">
        <v>520</v>
      </c>
      <c r="J8" s="610" t="s">
        <v>345</v>
      </c>
      <c r="K8" s="610" t="s">
        <v>520</v>
      </c>
      <c r="L8" s="610" t="s">
        <v>345</v>
      </c>
      <c r="M8" s="3928"/>
      <c r="N8" s="3919"/>
      <c r="O8" s="3928"/>
      <c r="P8" s="3924"/>
      <c r="Q8" s="3919"/>
      <c r="R8" s="3929"/>
      <c r="S8" s="3929"/>
      <c r="T8" s="3929"/>
      <c r="U8" s="3929"/>
      <c r="V8" s="3929"/>
      <c r="W8" s="3976"/>
    </row>
    <row r="9" spans="1:251" ht="17.45" hidden="1" customHeight="1">
      <c r="A9" s="544">
        <v>1</v>
      </c>
      <c r="B9" s="545">
        <f t="shared" ref="B9:U9" si="0">A9+1</f>
        <v>2</v>
      </c>
      <c r="C9" s="545">
        <f t="shared" si="0"/>
        <v>3</v>
      </c>
      <c r="D9" s="545">
        <f t="shared" si="0"/>
        <v>4</v>
      </c>
      <c r="E9" s="545">
        <f t="shared" si="0"/>
        <v>5</v>
      </c>
      <c r="F9" s="545">
        <f t="shared" si="0"/>
        <v>6</v>
      </c>
      <c r="G9" s="545">
        <f t="shared" si="0"/>
        <v>7</v>
      </c>
      <c r="H9" s="545">
        <f t="shared" si="0"/>
        <v>8</v>
      </c>
      <c r="I9" s="545">
        <f t="shared" si="0"/>
        <v>9</v>
      </c>
      <c r="J9" s="545">
        <f t="shared" si="0"/>
        <v>10</v>
      </c>
      <c r="K9" s="545">
        <f t="shared" si="0"/>
        <v>11</v>
      </c>
      <c r="L9" s="545">
        <f t="shared" si="0"/>
        <v>12</v>
      </c>
      <c r="M9" s="545">
        <f t="shared" si="0"/>
        <v>13</v>
      </c>
      <c r="N9" s="545">
        <f t="shared" si="0"/>
        <v>14</v>
      </c>
      <c r="O9" s="545">
        <f t="shared" si="0"/>
        <v>15</v>
      </c>
      <c r="P9" s="545">
        <f t="shared" si="0"/>
        <v>16</v>
      </c>
      <c r="Q9" s="545">
        <f t="shared" si="0"/>
        <v>17</v>
      </c>
      <c r="R9" s="545">
        <f t="shared" si="0"/>
        <v>18</v>
      </c>
      <c r="S9" s="545">
        <f t="shared" si="0"/>
        <v>19</v>
      </c>
      <c r="T9" s="545">
        <f t="shared" si="0"/>
        <v>20</v>
      </c>
      <c r="U9" s="545">
        <f t="shared" si="0"/>
        <v>21</v>
      </c>
      <c r="V9" s="545">
        <v>20</v>
      </c>
      <c r="W9" s="3034">
        <v>21</v>
      </c>
    </row>
    <row r="10" spans="1:251">
      <c r="A10" s="347"/>
      <c r="B10" s="347" t="s">
        <v>306</v>
      </c>
      <c r="C10" s="347"/>
      <c r="D10" s="2027">
        <f>D12+D13</f>
        <v>13</v>
      </c>
      <c r="E10" s="348">
        <f t="shared" ref="E10" si="1">E13</f>
        <v>0</v>
      </c>
      <c r="F10" s="348"/>
      <c r="G10" s="348"/>
      <c r="H10" s="348">
        <f>H13+H12</f>
        <v>16473600</v>
      </c>
      <c r="I10" s="348">
        <f t="shared" ref="I10:L10" si="2">I13+I12</f>
        <v>0</v>
      </c>
      <c r="J10" s="348">
        <f t="shared" si="2"/>
        <v>0</v>
      </c>
      <c r="K10" s="348">
        <f t="shared" si="2"/>
        <v>0</v>
      </c>
      <c r="L10" s="348">
        <f t="shared" si="2"/>
        <v>9880</v>
      </c>
      <c r="M10" s="348">
        <f>M13+M12</f>
        <v>711360</v>
      </c>
      <c r="N10" s="348">
        <f>N13+N12</f>
        <v>17184960</v>
      </c>
      <c r="O10" s="348">
        <f t="shared" ref="O10:V10" si="3">O13+O12</f>
        <v>2745600</v>
      </c>
      <c r="P10" s="348">
        <f t="shared" si="3"/>
        <v>5491200</v>
      </c>
      <c r="Q10" s="348">
        <f t="shared" si="3"/>
        <v>25421760</v>
      </c>
      <c r="R10" s="348">
        <f t="shared" si="3"/>
        <v>2542176</v>
      </c>
      <c r="S10" s="348">
        <f t="shared" si="3"/>
        <v>2287958.4</v>
      </c>
      <c r="T10" s="348">
        <f t="shared" si="3"/>
        <v>1372775.0399999998</v>
      </c>
      <c r="U10" s="348">
        <f t="shared" si="3"/>
        <v>1143979.2</v>
      </c>
      <c r="V10" s="348">
        <f t="shared" si="3"/>
        <v>2516754.2399999998</v>
      </c>
      <c r="W10" s="3471">
        <f>SUM(W15:W21)</f>
        <v>254217.60000000001</v>
      </c>
      <c r="X10" s="188">
        <v>0.01</v>
      </c>
    </row>
    <row r="11" spans="1:251" ht="28.5" hidden="1">
      <c r="A11" s="347"/>
      <c r="B11" s="1920" t="s">
        <v>521</v>
      </c>
      <c r="C11" s="347"/>
      <c r="D11" s="2027">
        <v>1</v>
      </c>
      <c r="E11" s="348"/>
      <c r="F11" s="348"/>
      <c r="G11" s="348"/>
      <c r="H11" s="348"/>
      <c r="I11" s="348"/>
      <c r="J11" s="348"/>
      <c r="K11" s="348"/>
      <c r="L11" s="348"/>
      <c r="M11" s="348"/>
      <c r="N11" s="348"/>
      <c r="O11" s="348"/>
      <c r="P11" s="348"/>
      <c r="Q11" s="348"/>
      <c r="R11" s="348"/>
      <c r="S11" s="348"/>
      <c r="T11" s="348"/>
      <c r="U11" s="348"/>
      <c r="V11" s="3036"/>
      <c r="W11" s="3034"/>
      <c r="X11" s="188">
        <v>0.01</v>
      </c>
    </row>
    <row r="12" spans="1:251" hidden="1">
      <c r="A12" s="2024">
        <v>1</v>
      </c>
      <c r="B12" s="1956" t="s">
        <v>972</v>
      </c>
      <c r="C12" s="1955"/>
      <c r="D12" s="2034">
        <v>0</v>
      </c>
      <c r="E12" s="1955"/>
      <c r="F12" s="1021">
        <v>0</v>
      </c>
      <c r="G12" s="946">
        <v>12</v>
      </c>
      <c r="H12" s="2498">
        <f>D12*F12*G12</f>
        <v>0</v>
      </c>
      <c r="I12" s="2498"/>
      <c r="J12" s="2498"/>
      <c r="K12" s="2498"/>
      <c r="L12" s="2498"/>
      <c r="M12" s="2498"/>
      <c r="N12" s="2498">
        <f>H12</f>
        <v>0</v>
      </c>
      <c r="O12" s="2498">
        <f>F12*2</f>
        <v>0</v>
      </c>
      <c r="P12" s="2498">
        <f>F12*D12*4</f>
        <v>0</v>
      </c>
      <c r="Q12" s="2498">
        <f>N12+O12+P12</f>
        <v>0</v>
      </c>
      <c r="R12" s="350">
        <f t="shared" ref="R12:R14" si="4">Q12*10%</f>
        <v>0</v>
      </c>
      <c r="S12" s="350">
        <f>(Q12-R12)*10%</f>
        <v>0</v>
      </c>
      <c r="T12" s="327">
        <f t="shared" ref="T12:T14" si="5">(Q12-R12)*6%</f>
        <v>0</v>
      </c>
      <c r="U12" s="327">
        <f t="shared" ref="U12:U14" si="6">(Q12-R12)*5%</f>
        <v>0</v>
      </c>
      <c r="V12" s="3036">
        <f t="shared" ref="V12:V21" si="7">T12+U12</f>
        <v>0</v>
      </c>
      <c r="W12" s="3034"/>
      <c r="X12" s="188">
        <v>0.01</v>
      </c>
    </row>
    <row r="13" spans="1:251">
      <c r="A13" s="942"/>
      <c r="B13" s="2016" t="s">
        <v>528</v>
      </c>
      <c r="C13" s="942"/>
      <c r="D13" s="3240">
        <f>SUM(D15:D21)</f>
        <v>13</v>
      </c>
      <c r="E13" s="942"/>
      <c r="F13" s="350">
        <f>SUM(F15:F21)</f>
        <v>673400</v>
      </c>
      <c r="G13" s="947"/>
      <c r="H13" s="350">
        <f>SUM(H15:H21)</f>
        <v>16473600</v>
      </c>
      <c r="I13" s="947"/>
      <c r="J13" s="350">
        <f>SUM(J15:J21)</f>
        <v>0</v>
      </c>
      <c r="K13" s="947"/>
      <c r="L13" s="350">
        <f t="shared" ref="L13:U13" si="8">SUM(L15:L21)</f>
        <v>9880</v>
      </c>
      <c r="M13" s="350">
        <f t="shared" si="8"/>
        <v>711360</v>
      </c>
      <c r="N13" s="350">
        <f t="shared" si="8"/>
        <v>17184960</v>
      </c>
      <c r="O13" s="350">
        <f t="shared" si="8"/>
        <v>2745600</v>
      </c>
      <c r="P13" s="350">
        <f t="shared" si="8"/>
        <v>5491200</v>
      </c>
      <c r="Q13" s="350">
        <f t="shared" si="8"/>
        <v>25421760</v>
      </c>
      <c r="R13" s="350">
        <f t="shared" si="8"/>
        <v>2542176</v>
      </c>
      <c r="S13" s="350">
        <f t="shared" si="8"/>
        <v>2287958.4</v>
      </c>
      <c r="T13" s="350">
        <f t="shared" si="8"/>
        <v>1372775.0399999998</v>
      </c>
      <c r="U13" s="350">
        <f t="shared" si="8"/>
        <v>1143979.2</v>
      </c>
      <c r="V13" s="3036">
        <f t="shared" si="7"/>
        <v>2516754.2399999998</v>
      </c>
      <c r="W13" s="1942">
        <f>SUM(W15:W21)</f>
        <v>254217.60000000001</v>
      </c>
      <c r="X13" s="188">
        <v>0.01</v>
      </c>
      <c r="Y13" s="193"/>
      <c r="Z13" s="193"/>
      <c r="AA13" s="193"/>
      <c r="AB13" s="193"/>
      <c r="AC13" s="193"/>
      <c r="AD13" s="193"/>
      <c r="AE13" s="193"/>
      <c r="AF13" s="193"/>
      <c r="AG13" s="193"/>
      <c r="AH13" s="193"/>
      <c r="AI13" s="193"/>
      <c r="AJ13" s="193"/>
      <c r="AK13" s="193"/>
      <c r="AL13" s="193"/>
      <c r="AM13" s="193"/>
      <c r="AN13" s="193"/>
      <c r="AO13" s="193"/>
      <c r="AP13" s="193"/>
      <c r="AQ13" s="193"/>
      <c r="AR13" s="193"/>
      <c r="AS13" s="193"/>
      <c r="AT13" s="193"/>
      <c r="AU13" s="193"/>
      <c r="AV13" s="193"/>
      <c r="AW13" s="193"/>
      <c r="AX13" s="193"/>
      <c r="AY13" s="193"/>
      <c r="AZ13" s="193"/>
      <c r="BA13" s="193"/>
      <c r="BB13" s="193"/>
      <c r="BC13" s="193"/>
      <c r="BD13" s="193"/>
      <c r="BE13" s="193"/>
      <c r="BF13" s="193"/>
      <c r="BG13" s="193"/>
      <c r="BH13" s="193"/>
      <c r="BI13" s="193"/>
      <c r="BJ13" s="193"/>
      <c r="BK13" s="193"/>
      <c r="BL13" s="193"/>
      <c r="BM13" s="193"/>
      <c r="BN13" s="193"/>
      <c r="BO13" s="193"/>
      <c r="BP13" s="193"/>
      <c r="BQ13" s="193"/>
      <c r="BR13" s="193"/>
      <c r="BS13" s="193"/>
      <c r="BT13" s="193"/>
      <c r="BU13" s="193"/>
      <c r="BV13" s="193"/>
      <c r="BW13" s="193"/>
      <c r="BX13" s="193"/>
      <c r="BY13" s="193"/>
      <c r="BZ13" s="193"/>
      <c r="CA13" s="193"/>
      <c r="CB13" s="193"/>
      <c r="CC13" s="193"/>
      <c r="CD13" s="193"/>
      <c r="CE13" s="193"/>
      <c r="CF13" s="193"/>
      <c r="CG13" s="193"/>
      <c r="CH13" s="193"/>
      <c r="CI13" s="193"/>
      <c r="CJ13" s="193"/>
      <c r="CK13" s="193"/>
      <c r="CL13" s="193"/>
      <c r="CM13" s="193"/>
      <c r="CN13" s="193"/>
      <c r="CO13" s="193"/>
      <c r="CP13" s="193"/>
      <c r="CQ13" s="193"/>
      <c r="CR13" s="193"/>
      <c r="CS13" s="193"/>
      <c r="CT13" s="193"/>
      <c r="CU13" s="193"/>
      <c r="CV13" s="193"/>
      <c r="CW13" s="193"/>
      <c r="CX13" s="193"/>
      <c r="CY13" s="193"/>
      <c r="CZ13" s="193"/>
      <c r="DA13" s="193"/>
      <c r="DB13" s="193"/>
      <c r="DC13" s="193"/>
      <c r="DD13" s="193"/>
      <c r="DE13" s="193"/>
      <c r="DF13" s="193"/>
      <c r="DG13" s="193"/>
      <c r="DH13" s="193"/>
      <c r="DI13" s="193"/>
      <c r="DJ13" s="193"/>
      <c r="DK13" s="193"/>
      <c r="DL13" s="193"/>
      <c r="DM13" s="193"/>
      <c r="DN13" s="193"/>
      <c r="DO13" s="193"/>
      <c r="DP13" s="193"/>
      <c r="DQ13" s="193"/>
      <c r="DR13" s="193"/>
      <c r="DS13" s="193"/>
      <c r="DT13" s="193"/>
      <c r="DU13" s="193"/>
      <c r="DV13" s="193"/>
      <c r="DW13" s="193"/>
      <c r="DX13" s="193"/>
      <c r="DY13" s="193"/>
      <c r="DZ13" s="193"/>
      <c r="EA13" s="193"/>
      <c r="EB13" s="193"/>
      <c r="EC13" s="193"/>
      <c r="ED13" s="193"/>
      <c r="EE13" s="193"/>
      <c r="EF13" s="193"/>
      <c r="EG13" s="193"/>
      <c r="EH13" s="193"/>
      <c r="EI13" s="193"/>
      <c r="EJ13" s="193"/>
      <c r="EK13" s="193"/>
      <c r="EL13" s="193"/>
      <c r="EM13" s="193"/>
      <c r="EN13" s="193"/>
      <c r="EO13" s="193"/>
      <c r="EP13" s="193"/>
      <c r="EQ13" s="193"/>
      <c r="ER13" s="193"/>
      <c r="ES13" s="193"/>
      <c r="ET13" s="193"/>
      <c r="EU13" s="193"/>
      <c r="EV13" s="193"/>
      <c r="EW13" s="193"/>
      <c r="EX13" s="193"/>
      <c r="EY13" s="193"/>
      <c r="EZ13" s="193"/>
      <c r="FA13" s="193"/>
      <c r="FB13" s="193"/>
      <c r="FC13" s="193"/>
      <c r="FD13" s="193"/>
      <c r="FE13" s="193"/>
      <c r="FF13" s="193"/>
      <c r="FG13" s="193"/>
      <c r="FH13" s="193"/>
      <c r="FI13" s="193"/>
      <c r="FJ13" s="193"/>
      <c r="FK13" s="193"/>
      <c r="FL13" s="193"/>
      <c r="FM13" s="193"/>
      <c r="FN13" s="193"/>
      <c r="FO13" s="193"/>
      <c r="FP13" s="193"/>
      <c r="FQ13" s="193"/>
      <c r="FR13" s="193"/>
      <c r="FS13" s="193"/>
      <c r="FT13" s="193"/>
      <c r="FU13" s="193"/>
      <c r="FV13" s="193"/>
      <c r="FW13" s="193"/>
      <c r="FX13" s="193"/>
      <c r="FY13" s="193"/>
      <c r="FZ13" s="193"/>
      <c r="GA13" s="193"/>
      <c r="GB13" s="193"/>
      <c r="GC13" s="193"/>
      <c r="GD13" s="193"/>
      <c r="GE13" s="193"/>
      <c r="GF13" s="193"/>
      <c r="GG13" s="193"/>
      <c r="GH13" s="193"/>
      <c r="GI13" s="193"/>
      <c r="GJ13" s="193"/>
      <c r="GK13" s="193"/>
      <c r="GL13" s="193"/>
      <c r="GM13" s="193"/>
      <c r="GN13" s="193"/>
      <c r="GO13" s="193"/>
      <c r="GP13" s="193"/>
      <c r="GQ13" s="193"/>
      <c r="GR13" s="193"/>
      <c r="GS13" s="193"/>
      <c r="GT13" s="193"/>
      <c r="GU13" s="193"/>
      <c r="GV13" s="193"/>
      <c r="GW13" s="193"/>
      <c r="GX13" s="193"/>
      <c r="GY13" s="193"/>
      <c r="GZ13" s="193"/>
      <c r="HA13" s="193"/>
      <c r="HB13" s="193"/>
      <c r="HC13" s="193"/>
      <c r="HD13" s="193"/>
      <c r="HE13" s="193"/>
      <c r="HF13" s="193"/>
      <c r="HG13" s="193"/>
      <c r="HH13" s="193"/>
      <c r="HI13" s="193"/>
      <c r="HJ13" s="193"/>
      <c r="HK13" s="193"/>
      <c r="HL13" s="193"/>
      <c r="HM13" s="193"/>
      <c r="HN13" s="193"/>
      <c r="HO13" s="193"/>
      <c r="HP13" s="193"/>
      <c r="HQ13" s="193"/>
      <c r="HR13" s="193"/>
      <c r="HS13" s="193"/>
      <c r="HT13" s="193"/>
      <c r="HU13" s="193"/>
      <c r="HV13" s="193"/>
      <c r="HW13" s="193"/>
      <c r="HX13" s="193"/>
      <c r="HY13" s="193"/>
      <c r="HZ13" s="193"/>
      <c r="IA13" s="193"/>
      <c r="IB13" s="193"/>
      <c r="IC13" s="193"/>
      <c r="ID13" s="193"/>
      <c r="IE13" s="193"/>
      <c r="IF13" s="193"/>
      <c r="IG13" s="193"/>
      <c r="IH13" s="193"/>
      <c r="II13" s="193"/>
      <c r="IJ13" s="193"/>
      <c r="IK13" s="193"/>
      <c r="IL13" s="193"/>
      <c r="IM13" s="193"/>
      <c r="IN13" s="193"/>
      <c r="IO13" s="193"/>
      <c r="IP13" s="193"/>
      <c r="IQ13" s="193"/>
    </row>
    <row r="14" spans="1:251">
      <c r="A14" s="942"/>
      <c r="B14" s="2016" t="s">
        <v>529</v>
      </c>
      <c r="C14" s="942"/>
      <c r="D14" s="2024"/>
      <c r="E14" s="942"/>
      <c r="F14" s="350"/>
      <c r="G14" s="947"/>
      <c r="H14" s="350"/>
      <c r="I14" s="947"/>
      <c r="J14" s="350"/>
      <c r="K14" s="947"/>
      <c r="L14" s="350"/>
      <c r="M14" s="350"/>
      <c r="N14" s="350"/>
      <c r="O14" s="350"/>
      <c r="P14" s="350"/>
      <c r="Q14" s="350"/>
      <c r="R14" s="350">
        <f t="shared" si="4"/>
        <v>0</v>
      </c>
      <c r="S14" s="350">
        <f t="shared" ref="S14" si="9">(Q14-R14)*10%</f>
        <v>0</v>
      </c>
      <c r="T14" s="327">
        <f t="shared" si="5"/>
        <v>0</v>
      </c>
      <c r="U14" s="327">
        <f t="shared" si="6"/>
        <v>0</v>
      </c>
      <c r="V14" s="3036">
        <f t="shared" si="7"/>
        <v>0</v>
      </c>
      <c r="W14" s="1942"/>
      <c r="X14" s="188">
        <v>0.01</v>
      </c>
      <c r="Y14" s="193"/>
      <c r="Z14" s="193"/>
      <c r="AA14" s="193"/>
      <c r="AB14" s="193"/>
      <c r="AC14" s="193"/>
      <c r="AD14" s="193"/>
      <c r="AE14" s="193"/>
      <c r="AF14" s="193"/>
      <c r="AG14" s="193"/>
      <c r="AH14" s="193"/>
      <c r="AI14" s="193"/>
      <c r="AJ14" s="193"/>
      <c r="AK14" s="193"/>
      <c r="AL14" s="193"/>
      <c r="AM14" s="193"/>
      <c r="AN14" s="193"/>
      <c r="AO14" s="193"/>
      <c r="AP14" s="193"/>
      <c r="AQ14" s="193"/>
      <c r="AR14" s="193"/>
      <c r="AS14" s="193"/>
      <c r="AT14" s="193"/>
      <c r="AU14" s="193"/>
      <c r="AV14" s="193"/>
      <c r="AW14" s="193"/>
      <c r="AX14" s="193"/>
      <c r="AY14" s="193"/>
      <c r="AZ14" s="193"/>
      <c r="BA14" s="193"/>
      <c r="BB14" s="193"/>
      <c r="BC14" s="193"/>
      <c r="BD14" s="193"/>
      <c r="BE14" s="193"/>
      <c r="BF14" s="193"/>
      <c r="BG14" s="193"/>
      <c r="BH14" s="193"/>
      <c r="BI14" s="193"/>
      <c r="BJ14" s="193"/>
      <c r="BK14" s="193"/>
      <c r="BL14" s="193"/>
      <c r="BM14" s="193"/>
      <c r="BN14" s="193"/>
      <c r="BO14" s="193"/>
      <c r="BP14" s="193"/>
      <c r="BQ14" s="193"/>
      <c r="BR14" s="193"/>
      <c r="BS14" s="193"/>
      <c r="BT14" s="193"/>
      <c r="BU14" s="193"/>
      <c r="BV14" s="193"/>
      <c r="BW14" s="193"/>
      <c r="BX14" s="193"/>
      <c r="BY14" s="193"/>
      <c r="BZ14" s="193"/>
      <c r="CA14" s="193"/>
      <c r="CB14" s="193"/>
      <c r="CC14" s="193"/>
      <c r="CD14" s="193"/>
      <c r="CE14" s="193"/>
      <c r="CF14" s="193"/>
      <c r="CG14" s="193"/>
      <c r="CH14" s="193"/>
      <c r="CI14" s="193"/>
      <c r="CJ14" s="193"/>
      <c r="CK14" s="193"/>
      <c r="CL14" s="193"/>
      <c r="CM14" s="193"/>
      <c r="CN14" s="193"/>
      <c r="CO14" s="193"/>
      <c r="CP14" s="193"/>
      <c r="CQ14" s="193"/>
      <c r="CR14" s="193"/>
      <c r="CS14" s="193"/>
      <c r="CT14" s="193"/>
      <c r="CU14" s="193"/>
      <c r="CV14" s="193"/>
      <c r="CW14" s="193"/>
      <c r="CX14" s="193"/>
      <c r="CY14" s="193"/>
      <c r="CZ14" s="193"/>
      <c r="DA14" s="193"/>
      <c r="DB14" s="193"/>
      <c r="DC14" s="193"/>
      <c r="DD14" s="193"/>
      <c r="DE14" s="193"/>
      <c r="DF14" s="193"/>
      <c r="DG14" s="193"/>
      <c r="DH14" s="193"/>
      <c r="DI14" s="193"/>
      <c r="DJ14" s="193"/>
      <c r="DK14" s="193"/>
      <c r="DL14" s="193"/>
      <c r="DM14" s="193"/>
      <c r="DN14" s="193"/>
      <c r="DO14" s="193"/>
      <c r="DP14" s="193"/>
      <c r="DQ14" s="193"/>
      <c r="DR14" s="193"/>
      <c r="DS14" s="193"/>
      <c r="DT14" s="193"/>
      <c r="DU14" s="193"/>
      <c r="DV14" s="193"/>
      <c r="DW14" s="193"/>
      <c r="DX14" s="193"/>
      <c r="DY14" s="193"/>
      <c r="DZ14" s="193"/>
      <c r="EA14" s="193"/>
      <c r="EB14" s="193"/>
      <c r="EC14" s="193"/>
      <c r="ED14" s="193"/>
      <c r="EE14" s="193"/>
      <c r="EF14" s="193"/>
      <c r="EG14" s="193"/>
      <c r="EH14" s="193"/>
      <c r="EI14" s="193"/>
      <c r="EJ14" s="193"/>
      <c r="EK14" s="193"/>
      <c r="EL14" s="193"/>
      <c r="EM14" s="193"/>
      <c r="EN14" s="193"/>
      <c r="EO14" s="193"/>
      <c r="EP14" s="193"/>
      <c r="EQ14" s="193"/>
      <c r="ER14" s="193"/>
      <c r="ES14" s="193"/>
      <c r="ET14" s="193"/>
      <c r="EU14" s="193"/>
      <c r="EV14" s="193"/>
      <c r="EW14" s="193"/>
      <c r="EX14" s="193"/>
      <c r="EY14" s="193"/>
      <c r="EZ14" s="193"/>
      <c r="FA14" s="193"/>
      <c r="FB14" s="193"/>
      <c r="FC14" s="193"/>
      <c r="FD14" s="193"/>
      <c r="FE14" s="193"/>
      <c r="FF14" s="193"/>
      <c r="FG14" s="193"/>
      <c r="FH14" s="193"/>
      <c r="FI14" s="193"/>
      <c r="FJ14" s="193"/>
      <c r="FK14" s="193"/>
      <c r="FL14" s="193"/>
      <c r="FM14" s="193"/>
      <c r="FN14" s="193"/>
      <c r="FO14" s="193"/>
      <c r="FP14" s="193"/>
      <c r="FQ14" s="193"/>
      <c r="FR14" s="193"/>
      <c r="FS14" s="193"/>
      <c r="FT14" s="193"/>
      <c r="FU14" s="193"/>
      <c r="FV14" s="193"/>
      <c r="FW14" s="193"/>
      <c r="FX14" s="193"/>
      <c r="FY14" s="193"/>
      <c r="FZ14" s="193"/>
      <c r="GA14" s="193"/>
      <c r="GB14" s="193"/>
      <c r="GC14" s="193"/>
      <c r="GD14" s="193"/>
      <c r="GE14" s="193"/>
      <c r="GF14" s="193"/>
      <c r="GG14" s="193"/>
      <c r="GH14" s="193"/>
      <c r="GI14" s="193"/>
      <c r="GJ14" s="193"/>
      <c r="GK14" s="193"/>
      <c r="GL14" s="193"/>
      <c r="GM14" s="193"/>
      <c r="GN14" s="193"/>
      <c r="GO14" s="193"/>
      <c r="GP14" s="193"/>
      <c r="GQ14" s="193"/>
      <c r="GR14" s="193"/>
      <c r="GS14" s="193"/>
      <c r="GT14" s="193"/>
      <c r="GU14" s="193"/>
      <c r="GV14" s="193"/>
      <c r="GW14" s="193"/>
      <c r="GX14" s="193"/>
      <c r="GY14" s="193"/>
      <c r="GZ14" s="193"/>
      <c r="HA14" s="193"/>
      <c r="HB14" s="193"/>
      <c r="HC14" s="193"/>
      <c r="HD14" s="193"/>
      <c r="HE14" s="193"/>
      <c r="HF14" s="193"/>
      <c r="HG14" s="193"/>
      <c r="HH14" s="193"/>
      <c r="HI14" s="193"/>
      <c r="HJ14" s="193"/>
      <c r="HK14" s="193"/>
      <c r="HL14" s="193"/>
      <c r="HM14" s="193"/>
      <c r="HN14" s="193"/>
      <c r="HO14" s="193"/>
      <c r="HP14" s="193"/>
      <c r="HQ14" s="193"/>
      <c r="HR14" s="193"/>
      <c r="HS14" s="193"/>
      <c r="HT14" s="193"/>
      <c r="HU14" s="193"/>
      <c r="HV14" s="193"/>
      <c r="HW14" s="193"/>
      <c r="HX14" s="193"/>
      <c r="HY14" s="193"/>
      <c r="HZ14" s="193"/>
      <c r="IA14" s="193"/>
      <c r="IB14" s="193"/>
      <c r="IC14" s="193"/>
      <c r="ID14" s="193"/>
      <c r="IE14" s="193"/>
      <c r="IF14" s="193"/>
      <c r="IG14" s="193"/>
      <c r="IH14" s="193"/>
      <c r="II14" s="193"/>
      <c r="IJ14" s="193"/>
      <c r="IK14" s="193"/>
      <c r="IL14" s="193"/>
      <c r="IM14" s="193"/>
      <c r="IN14" s="193"/>
      <c r="IO14" s="193"/>
      <c r="IP14" s="193"/>
      <c r="IQ14" s="193"/>
    </row>
    <row r="15" spans="1:251" ht="24.75" customHeight="1">
      <c r="A15" s="2024">
        <v>2</v>
      </c>
      <c r="B15" s="1022" t="s">
        <v>530</v>
      </c>
      <c r="C15" s="943"/>
      <c r="D15" s="2029">
        <v>2</v>
      </c>
      <c r="E15" s="942"/>
      <c r="F15" s="1021">
        <f>(72000+10000)*1.3</f>
        <v>106600</v>
      </c>
      <c r="G15" s="946">
        <v>12</v>
      </c>
      <c r="H15" s="350">
        <f>D15*F15*G15</f>
        <v>2558400</v>
      </c>
      <c r="I15" s="946"/>
      <c r="J15" s="350">
        <f>I15*$Q$4</f>
        <v>0</v>
      </c>
      <c r="K15" s="946"/>
      <c r="L15" s="350">
        <f>K15*F15</f>
        <v>0</v>
      </c>
      <c r="M15" s="350">
        <f>D15*G15*(J15+L15)</f>
        <v>0</v>
      </c>
      <c r="N15" s="350">
        <f>H15+M15</f>
        <v>2558400</v>
      </c>
      <c r="O15" s="946">
        <f>F15*D15*2</f>
        <v>426400</v>
      </c>
      <c r="P15" s="946">
        <f t="shared" ref="P15:P21" si="10">F15*D15*4</f>
        <v>852800</v>
      </c>
      <c r="Q15" s="350">
        <f>N15+O15+P15</f>
        <v>3837600</v>
      </c>
      <c r="R15" s="350">
        <f>Q15*10%</f>
        <v>383760</v>
      </c>
      <c r="S15" s="350">
        <f>(Q15-R15)*10%</f>
        <v>345384</v>
      </c>
      <c r="T15" s="327">
        <f>(Q15-R15)*6%</f>
        <v>207230.4</v>
      </c>
      <c r="U15" s="327">
        <f>(Q15-R15)*5%</f>
        <v>172692</v>
      </c>
      <c r="V15" s="3036">
        <f>T15+U15</f>
        <v>379922.4</v>
      </c>
      <c r="W15" s="1942">
        <f>Q15*X15</f>
        <v>38376</v>
      </c>
      <c r="X15" s="188">
        <v>0.01</v>
      </c>
      <c r="Y15" s="193"/>
      <c r="Z15" s="193"/>
      <c r="AA15" s="193"/>
      <c r="AB15" s="193"/>
      <c r="AC15" s="193"/>
      <c r="AD15" s="193"/>
      <c r="AE15" s="193"/>
      <c r="AF15" s="193"/>
      <c r="AG15" s="193"/>
      <c r="AH15" s="193"/>
      <c r="AI15" s="193"/>
      <c r="AJ15" s="193"/>
      <c r="AK15" s="193"/>
      <c r="AL15" s="193"/>
      <c r="AM15" s="193"/>
      <c r="AN15" s="193"/>
      <c r="AO15" s="193"/>
      <c r="AP15" s="193"/>
      <c r="AQ15" s="193"/>
      <c r="AR15" s="193"/>
      <c r="AS15" s="193"/>
      <c r="AT15" s="193"/>
      <c r="AU15" s="193"/>
      <c r="AV15" s="193"/>
      <c r="AW15" s="193"/>
      <c r="AX15" s="193"/>
      <c r="AY15" s="193"/>
      <c r="AZ15" s="193"/>
      <c r="BA15" s="193"/>
      <c r="BB15" s="193"/>
      <c r="BC15" s="193"/>
      <c r="BD15" s="193"/>
      <c r="BE15" s="193"/>
      <c r="BF15" s="193"/>
      <c r="BG15" s="193"/>
      <c r="BH15" s="193"/>
      <c r="BI15" s="193"/>
      <c r="BJ15" s="193"/>
      <c r="BK15" s="193"/>
      <c r="BL15" s="193"/>
      <c r="BM15" s="193"/>
      <c r="BN15" s="193"/>
      <c r="BO15" s="193"/>
      <c r="BP15" s="193"/>
      <c r="BQ15" s="193"/>
      <c r="BR15" s="193"/>
      <c r="BS15" s="193"/>
      <c r="BT15" s="193"/>
      <c r="BU15" s="193"/>
      <c r="BV15" s="193"/>
      <c r="BW15" s="193"/>
      <c r="BX15" s="193"/>
      <c r="BY15" s="193"/>
      <c r="BZ15" s="193"/>
      <c r="CA15" s="193"/>
      <c r="CB15" s="193"/>
      <c r="CC15" s="193"/>
      <c r="CD15" s="193"/>
      <c r="CE15" s="193"/>
      <c r="CF15" s="193"/>
      <c r="CG15" s="193"/>
      <c r="CH15" s="193"/>
      <c r="CI15" s="193"/>
      <c r="CJ15" s="193"/>
      <c r="CK15" s="193"/>
      <c r="CL15" s="193"/>
      <c r="CM15" s="193"/>
      <c r="CN15" s="193"/>
      <c r="CO15" s="193"/>
      <c r="CP15" s="193"/>
      <c r="CQ15" s="193"/>
      <c r="CR15" s="193"/>
      <c r="CS15" s="193"/>
      <c r="CT15" s="193"/>
      <c r="CU15" s="193"/>
      <c r="CV15" s="193"/>
      <c r="CW15" s="193"/>
      <c r="CX15" s="193"/>
      <c r="CY15" s="193"/>
      <c r="CZ15" s="193"/>
      <c r="DA15" s="193"/>
      <c r="DB15" s="193"/>
      <c r="DC15" s="193"/>
      <c r="DD15" s="193"/>
      <c r="DE15" s="193"/>
      <c r="DF15" s="193"/>
      <c r="DG15" s="193"/>
      <c r="DH15" s="193"/>
      <c r="DI15" s="193"/>
      <c r="DJ15" s="193"/>
      <c r="DK15" s="193"/>
      <c r="DL15" s="193"/>
      <c r="DM15" s="193"/>
      <c r="DN15" s="193"/>
      <c r="DO15" s="193"/>
      <c r="DP15" s="193"/>
      <c r="DQ15" s="193"/>
      <c r="DR15" s="193"/>
      <c r="DS15" s="193"/>
      <c r="DT15" s="193"/>
      <c r="DU15" s="193"/>
      <c r="DV15" s="193"/>
      <c r="DW15" s="193"/>
      <c r="DX15" s="193"/>
      <c r="DY15" s="193"/>
      <c r="DZ15" s="193"/>
      <c r="EA15" s="193"/>
      <c r="EB15" s="193"/>
      <c r="EC15" s="193"/>
      <c r="ED15" s="193"/>
      <c r="EE15" s="193"/>
      <c r="EF15" s="193"/>
      <c r="EG15" s="193"/>
      <c r="EH15" s="193"/>
      <c r="EI15" s="193"/>
      <c r="EJ15" s="193"/>
      <c r="EK15" s="193"/>
      <c r="EL15" s="193"/>
      <c r="EM15" s="193"/>
      <c r="EN15" s="193"/>
      <c r="EO15" s="193"/>
      <c r="EP15" s="193"/>
      <c r="EQ15" s="193"/>
      <c r="ER15" s="193"/>
      <c r="ES15" s="193"/>
      <c r="ET15" s="193"/>
      <c r="EU15" s="193"/>
      <c r="EV15" s="193"/>
      <c r="EW15" s="193"/>
      <c r="EX15" s="193"/>
      <c r="EY15" s="193"/>
      <c r="EZ15" s="193"/>
      <c r="FA15" s="193"/>
      <c r="FB15" s="193"/>
      <c r="FC15" s="193"/>
      <c r="FD15" s="193"/>
      <c r="FE15" s="193"/>
      <c r="FF15" s="193"/>
      <c r="FG15" s="193"/>
      <c r="FH15" s="193"/>
      <c r="FI15" s="193"/>
      <c r="FJ15" s="193"/>
      <c r="FK15" s="193"/>
      <c r="FL15" s="193"/>
      <c r="FM15" s="193"/>
      <c r="FN15" s="193"/>
      <c r="FO15" s="193"/>
      <c r="FP15" s="193"/>
      <c r="FQ15" s="193"/>
      <c r="FR15" s="193"/>
      <c r="FS15" s="193"/>
      <c r="FT15" s="193"/>
      <c r="FU15" s="193"/>
      <c r="FV15" s="193"/>
      <c r="FW15" s="193"/>
      <c r="FX15" s="193"/>
      <c r="FY15" s="193"/>
      <c r="FZ15" s="193"/>
      <c r="GA15" s="193"/>
      <c r="GB15" s="193"/>
      <c r="GC15" s="193"/>
      <c r="GD15" s="193"/>
      <c r="GE15" s="193"/>
      <c r="GF15" s="193"/>
      <c r="GG15" s="193"/>
      <c r="GH15" s="193"/>
      <c r="GI15" s="193"/>
      <c r="GJ15" s="193"/>
      <c r="GK15" s="193"/>
      <c r="GL15" s="193"/>
      <c r="GM15" s="193"/>
      <c r="GN15" s="193"/>
      <c r="GO15" s="193"/>
      <c r="GP15" s="193"/>
      <c r="GQ15" s="193"/>
      <c r="GR15" s="193"/>
      <c r="GS15" s="193"/>
      <c r="GT15" s="193"/>
      <c r="GU15" s="193"/>
      <c r="GV15" s="193"/>
      <c r="GW15" s="193"/>
      <c r="GX15" s="193"/>
      <c r="GY15" s="193"/>
      <c r="GZ15" s="193"/>
      <c r="HA15" s="193"/>
      <c r="HB15" s="193"/>
      <c r="HC15" s="193"/>
      <c r="HD15" s="193"/>
      <c r="HE15" s="193"/>
      <c r="HF15" s="193"/>
      <c r="HG15" s="193"/>
      <c r="HH15" s="193"/>
      <c r="HI15" s="193"/>
      <c r="HJ15" s="193"/>
      <c r="HK15" s="193"/>
      <c r="HL15" s="193"/>
      <c r="HM15" s="193"/>
      <c r="HN15" s="193"/>
      <c r="HO15" s="193"/>
      <c r="HP15" s="193"/>
      <c r="HQ15" s="193"/>
      <c r="HR15" s="193"/>
      <c r="HS15" s="193"/>
      <c r="HT15" s="193"/>
      <c r="HU15" s="193"/>
      <c r="HV15" s="193"/>
      <c r="HW15" s="193"/>
      <c r="HX15" s="193"/>
      <c r="HY15" s="193"/>
      <c r="HZ15" s="193"/>
      <c r="IA15" s="193"/>
      <c r="IB15" s="193"/>
      <c r="IC15" s="193"/>
      <c r="ID15" s="193"/>
      <c r="IE15" s="193"/>
      <c r="IF15" s="193"/>
      <c r="IG15" s="193"/>
      <c r="IH15" s="193"/>
      <c r="II15" s="193"/>
      <c r="IJ15" s="193"/>
      <c r="IK15" s="193"/>
      <c r="IL15" s="193"/>
      <c r="IM15" s="193"/>
      <c r="IN15" s="193"/>
      <c r="IO15" s="193"/>
      <c r="IP15" s="193"/>
      <c r="IQ15" s="193"/>
    </row>
    <row r="16" spans="1:251" ht="18.75" customHeight="1">
      <c r="A16" s="2024">
        <v>3</v>
      </c>
      <c r="B16" s="1022" t="s">
        <v>531</v>
      </c>
      <c r="C16" s="943"/>
      <c r="D16" s="3498">
        <v>6</v>
      </c>
      <c r="E16" s="942"/>
      <c r="F16" s="1021">
        <f>(66000+10000)*1.3</f>
        <v>98800</v>
      </c>
      <c r="G16" s="946">
        <v>12</v>
      </c>
      <c r="H16" s="350">
        <f>D16*F16*G16</f>
        <v>7113600</v>
      </c>
      <c r="I16" s="946"/>
      <c r="J16" s="350">
        <f>I16*$Q$4</f>
        <v>0</v>
      </c>
      <c r="K16" s="1025">
        <v>0.1</v>
      </c>
      <c r="L16" s="350">
        <f>K16*F16</f>
        <v>9880</v>
      </c>
      <c r="M16" s="350">
        <f>D16*G16*(J16+L16)</f>
        <v>711360</v>
      </c>
      <c r="N16" s="350">
        <f>H16+M16</f>
        <v>7824960</v>
      </c>
      <c r="O16" s="946">
        <f t="shared" ref="O16:O21" si="11">F16*D16*2</f>
        <v>1185600</v>
      </c>
      <c r="P16" s="946">
        <f t="shared" si="10"/>
        <v>2371200</v>
      </c>
      <c r="Q16" s="350">
        <f>N16+O16+P16</f>
        <v>11381760</v>
      </c>
      <c r="R16" s="350">
        <f>Q16*10%</f>
        <v>1138176</v>
      </c>
      <c r="S16" s="350">
        <f>(Q16-R16)*10%</f>
        <v>1024358.4</v>
      </c>
      <c r="T16" s="327">
        <f>(Q16-R16)*6%</f>
        <v>614615.03999999992</v>
      </c>
      <c r="U16" s="327">
        <f>(Q16-R16)*5%</f>
        <v>512179.20000000001</v>
      </c>
      <c r="V16" s="3036">
        <f t="shared" si="7"/>
        <v>1126794.24</v>
      </c>
      <c r="W16" s="1942">
        <f t="shared" ref="W16:W21" si="12">Q16*X16</f>
        <v>113817.60000000001</v>
      </c>
      <c r="X16" s="188">
        <v>0.01</v>
      </c>
      <c r="Y16" s="193"/>
      <c r="Z16" s="193"/>
      <c r="AA16" s="193"/>
      <c r="AB16" s="193"/>
      <c r="AC16" s="193"/>
      <c r="AD16" s="193"/>
      <c r="AE16" s="193"/>
      <c r="AF16" s="193"/>
      <c r="AG16" s="193"/>
      <c r="AH16" s="193"/>
      <c r="AI16" s="193"/>
      <c r="AJ16" s="193"/>
      <c r="AK16" s="193"/>
      <c r="AL16" s="193"/>
      <c r="AM16" s="193"/>
      <c r="AN16" s="193"/>
      <c r="AO16" s="193"/>
      <c r="AP16" s="193"/>
      <c r="AQ16" s="193"/>
      <c r="AR16" s="193"/>
      <c r="AS16" s="193"/>
      <c r="AT16" s="193"/>
      <c r="AU16" s="193"/>
      <c r="AV16" s="193"/>
      <c r="AW16" s="193"/>
      <c r="AX16" s="193"/>
      <c r="AY16" s="193"/>
      <c r="AZ16" s="193"/>
      <c r="BA16" s="193"/>
      <c r="BB16" s="193"/>
      <c r="BC16" s="193"/>
      <c r="BD16" s="193"/>
      <c r="BE16" s="193"/>
      <c r="BF16" s="193"/>
      <c r="BG16" s="193"/>
      <c r="BH16" s="193"/>
      <c r="BI16" s="193"/>
      <c r="BJ16" s="193"/>
      <c r="BK16" s="193"/>
      <c r="BL16" s="193"/>
      <c r="BM16" s="193"/>
      <c r="BN16" s="193"/>
      <c r="BO16" s="193"/>
      <c r="BP16" s="193"/>
      <c r="BQ16" s="193"/>
      <c r="BR16" s="193"/>
      <c r="BS16" s="193"/>
      <c r="BT16" s="193"/>
      <c r="BU16" s="193"/>
      <c r="BV16" s="193"/>
      <c r="BW16" s="193"/>
      <c r="BX16" s="193"/>
      <c r="BY16" s="193"/>
      <c r="BZ16" s="193"/>
      <c r="CA16" s="193"/>
      <c r="CB16" s="193"/>
      <c r="CC16" s="193"/>
      <c r="CD16" s="193"/>
      <c r="CE16" s="193"/>
      <c r="CF16" s="193"/>
      <c r="CG16" s="193"/>
      <c r="CH16" s="193"/>
      <c r="CI16" s="193"/>
      <c r="CJ16" s="193"/>
      <c r="CK16" s="193"/>
      <c r="CL16" s="193"/>
      <c r="CM16" s="193"/>
      <c r="CN16" s="193"/>
      <c r="CO16" s="193"/>
      <c r="CP16" s="193"/>
      <c r="CQ16" s="193"/>
      <c r="CR16" s="193"/>
      <c r="CS16" s="193"/>
      <c r="CT16" s="193"/>
      <c r="CU16" s="193"/>
      <c r="CV16" s="193"/>
      <c r="CW16" s="193"/>
      <c r="CX16" s="193"/>
      <c r="CY16" s="193"/>
      <c r="CZ16" s="193"/>
      <c r="DA16" s="193"/>
      <c r="DB16" s="193"/>
      <c r="DC16" s="193"/>
      <c r="DD16" s="193"/>
      <c r="DE16" s="193"/>
      <c r="DF16" s="193"/>
      <c r="DG16" s="193"/>
      <c r="DH16" s="193"/>
      <c r="DI16" s="193"/>
      <c r="DJ16" s="193"/>
      <c r="DK16" s="193"/>
      <c r="DL16" s="193"/>
      <c r="DM16" s="193"/>
      <c r="DN16" s="193"/>
      <c r="DO16" s="193"/>
      <c r="DP16" s="193"/>
      <c r="DQ16" s="193"/>
      <c r="DR16" s="193"/>
      <c r="DS16" s="193"/>
      <c r="DT16" s="193"/>
      <c r="DU16" s="193"/>
      <c r="DV16" s="193"/>
      <c r="DW16" s="193"/>
      <c r="DX16" s="193"/>
      <c r="DY16" s="193"/>
      <c r="DZ16" s="193"/>
      <c r="EA16" s="193"/>
      <c r="EB16" s="193"/>
      <c r="EC16" s="193"/>
      <c r="ED16" s="193"/>
      <c r="EE16" s="193"/>
      <c r="EF16" s="193"/>
      <c r="EG16" s="193"/>
      <c r="EH16" s="193"/>
      <c r="EI16" s="193"/>
      <c r="EJ16" s="193"/>
      <c r="EK16" s="193"/>
      <c r="EL16" s="193"/>
      <c r="EM16" s="193"/>
      <c r="EN16" s="193"/>
      <c r="EO16" s="193"/>
      <c r="EP16" s="193"/>
      <c r="EQ16" s="193"/>
      <c r="ER16" s="193"/>
      <c r="ES16" s="193"/>
      <c r="ET16" s="193"/>
      <c r="EU16" s="193"/>
      <c r="EV16" s="193"/>
      <c r="EW16" s="193"/>
      <c r="EX16" s="193"/>
      <c r="EY16" s="193"/>
      <c r="EZ16" s="193"/>
      <c r="FA16" s="193"/>
      <c r="FB16" s="193"/>
      <c r="FC16" s="193"/>
      <c r="FD16" s="193"/>
      <c r="FE16" s="193"/>
      <c r="FF16" s="193"/>
      <c r="FG16" s="193"/>
      <c r="FH16" s="193"/>
      <c r="FI16" s="193"/>
      <c r="FJ16" s="193"/>
      <c r="FK16" s="193"/>
      <c r="FL16" s="193"/>
      <c r="FM16" s="193"/>
      <c r="FN16" s="193"/>
      <c r="FO16" s="193"/>
      <c r="FP16" s="193"/>
      <c r="FQ16" s="193"/>
      <c r="FR16" s="193"/>
      <c r="FS16" s="193"/>
      <c r="FT16" s="193"/>
      <c r="FU16" s="193"/>
      <c r="FV16" s="193"/>
      <c r="FW16" s="193"/>
      <c r="FX16" s="193"/>
      <c r="FY16" s="193"/>
      <c r="FZ16" s="193"/>
      <c r="GA16" s="193"/>
      <c r="GB16" s="193"/>
      <c r="GC16" s="193"/>
      <c r="GD16" s="193"/>
      <c r="GE16" s="193"/>
      <c r="GF16" s="193"/>
      <c r="GG16" s="193"/>
      <c r="GH16" s="193"/>
      <c r="GI16" s="193"/>
      <c r="GJ16" s="193"/>
      <c r="GK16" s="193"/>
      <c r="GL16" s="193"/>
      <c r="GM16" s="193"/>
      <c r="GN16" s="193"/>
      <c r="GO16" s="193"/>
      <c r="GP16" s="193"/>
      <c r="GQ16" s="193"/>
      <c r="GR16" s="193"/>
      <c r="GS16" s="193"/>
      <c r="GT16" s="193"/>
      <c r="GU16" s="193"/>
      <c r="GV16" s="193"/>
      <c r="GW16" s="193"/>
      <c r="GX16" s="193"/>
      <c r="GY16" s="193"/>
      <c r="GZ16" s="193"/>
      <c r="HA16" s="193"/>
      <c r="HB16" s="193"/>
      <c r="HC16" s="193"/>
      <c r="HD16" s="193"/>
      <c r="HE16" s="193"/>
      <c r="HF16" s="193"/>
      <c r="HG16" s="193"/>
      <c r="HH16" s="193"/>
      <c r="HI16" s="193"/>
      <c r="HJ16" s="193"/>
      <c r="HK16" s="193"/>
      <c r="HL16" s="193"/>
      <c r="HM16" s="193"/>
      <c r="HN16" s="193"/>
      <c r="HO16" s="193"/>
      <c r="HP16" s="193"/>
      <c r="HQ16" s="193"/>
      <c r="HR16" s="193"/>
      <c r="HS16" s="193"/>
      <c r="HT16" s="193"/>
      <c r="HU16" s="193"/>
      <c r="HV16" s="193"/>
      <c r="HW16" s="193"/>
      <c r="HX16" s="193"/>
      <c r="HY16" s="193"/>
      <c r="HZ16" s="193"/>
      <c r="IA16" s="193"/>
      <c r="IB16" s="193"/>
      <c r="IC16" s="193"/>
      <c r="ID16" s="193"/>
      <c r="IE16" s="193"/>
      <c r="IF16" s="193"/>
      <c r="IG16" s="193"/>
      <c r="IH16" s="193"/>
      <c r="II16" s="193"/>
      <c r="IJ16" s="193"/>
      <c r="IK16" s="193"/>
      <c r="IL16" s="193"/>
      <c r="IM16" s="193"/>
      <c r="IN16" s="193"/>
      <c r="IO16" s="193"/>
      <c r="IP16" s="193"/>
      <c r="IQ16" s="193"/>
    </row>
    <row r="17" spans="1:251">
      <c r="A17" s="2024">
        <v>4</v>
      </c>
      <c r="B17" s="1022" t="s">
        <v>979</v>
      </c>
      <c r="C17" s="943"/>
      <c r="D17" s="2029">
        <v>1</v>
      </c>
      <c r="E17" s="942"/>
      <c r="F17" s="1021">
        <f>82000*1.3</f>
        <v>106600</v>
      </c>
      <c r="G17" s="946">
        <v>12</v>
      </c>
      <c r="H17" s="350">
        <f t="shared" ref="H17:H21" si="13">D17*F17*G17</f>
        <v>1279200</v>
      </c>
      <c r="I17" s="946"/>
      <c r="J17" s="350">
        <f t="shared" ref="J17:J21" si="14">I17*$Q$4</f>
        <v>0</v>
      </c>
      <c r="K17" s="946"/>
      <c r="L17" s="350">
        <f t="shared" ref="L17:L21" si="15">K17*F17</f>
        <v>0</v>
      </c>
      <c r="M17" s="350">
        <f t="shared" ref="M17:M21" si="16">D17*G17*(J17+L17)</f>
        <v>0</v>
      </c>
      <c r="N17" s="350">
        <f t="shared" ref="N17:N21" si="17">H17+M17</f>
        <v>1279200</v>
      </c>
      <c r="O17" s="946">
        <f t="shared" si="11"/>
        <v>213200</v>
      </c>
      <c r="P17" s="946">
        <f t="shared" si="10"/>
        <v>426400</v>
      </c>
      <c r="Q17" s="350">
        <f t="shared" ref="Q17:Q21" si="18">N17+O17+P17</f>
        <v>1918800</v>
      </c>
      <c r="R17" s="350">
        <f t="shared" ref="R17:R21" si="19">Q17*10%</f>
        <v>191880</v>
      </c>
      <c r="S17" s="350">
        <f t="shared" ref="S17:S21" si="20">(Q17-R17)*10%</f>
        <v>172692</v>
      </c>
      <c r="T17" s="327">
        <f t="shared" ref="T17:T21" si="21">(Q17-R17)*6%</f>
        <v>103615.2</v>
      </c>
      <c r="U17" s="327">
        <f t="shared" ref="U17:U21" si="22">(Q17-R17)*5%</f>
        <v>86346</v>
      </c>
      <c r="V17" s="3036">
        <f t="shared" si="7"/>
        <v>189961.2</v>
      </c>
      <c r="W17" s="1942">
        <f t="shared" si="12"/>
        <v>19188</v>
      </c>
      <c r="X17" s="188">
        <v>0.01</v>
      </c>
      <c r="Y17" s="193"/>
      <c r="Z17" s="193"/>
      <c r="AA17" s="193"/>
      <c r="AB17" s="193"/>
      <c r="AC17" s="193"/>
      <c r="AD17" s="193"/>
      <c r="AE17" s="193"/>
      <c r="AF17" s="193"/>
      <c r="AG17" s="193"/>
      <c r="AH17" s="193"/>
      <c r="AI17" s="193"/>
      <c r="AJ17" s="193"/>
      <c r="AK17" s="193"/>
      <c r="AL17" s="193"/>
      <c r="AM17" s="193"/>
      <c r="AN17" s="193"/>
      <c r="AO17" s="193"/>
      <c r="AP17" s="193"/>
      <c r="AQ17" s="193"/>
      <c r="AR17" s="193"/>
      <c r="AS17" s="193"/>
      <c r="AT17" s="193"/>
      <c r="AU17" s="193"/>
      <c r="AV17" s="193"/>
      <c r="AW17" s="193"/>
      <c r="AX17" s="193"/>
      <c r="AY17" s="193"/>
      <c r="AZ17" s="193"/>
      <c r="BA17" s="193"/>
      <c r="BB17" s="193"/>
      <c r="BC17" s="193"/>
      <c r="BD17" s="193"/>
      <c r="BE17" s="193"/>
      <c r="BF17" s="193"/>
      <c r="BG17" s="193"/>
      <c r="BH17" s="193"/>
      <c r="BI17" s="193"/>
      <c r="BJ17" s="193"/>
      <c r="BK17" s="193"/>
      <c r="BL17" s="193"/>
      <c r="BM17" s="193"/>
      <c r="BN17" s="193"/>
      <c r="BO17" s="193"/>
      <c r="BP17" s="193"/>
      <c r="BQ17" s="193"/>
      <c r="BR17" s="193"/>
      <c r="BS17" s="193"/>
      <c r="BT17" s="193"/>
      <c r="BU17" s="193"/>
      <c r="BV17" s="193"/>
      <c r="BW17" s="193"/>
      <c r="BX17" s="193"/>
      <c r="BY17" s="193"/>
      <c r="BZ17" s="193"/>
      <c r="CA17" s="193"/>
      <c r="CB17" s="193"/>
      <c r="CC17" s="193"/>
      <c r="CD17" s="193"/>
      <c r="CE17" s="193"/>
      <c r="CF17" s="193"/>
      <c r="CG17" s="193"/>
      <c r="CH17" s="193"/>
      <c r="CI17" s="193"/>
      <c r="CJ17" s="193"/>
      <c r="CK17" s="193"/>
      <c r="CL17" s="193"/>
      <c r="CM17" s="193"/>
      <c r="CN17" s="193"/>
      <c r="CO17" s="193"/>
      <c r="CP17" s="193"/>
      <c r="CQ17" s="193"/>
      <c r="CR17" s="193"/>
      <c r="CS17" s="193"/>
      <c r="CT17" s="193"/>
      <c r="CU17" s="193"/>
      <c r="CV17" s="193"/>
      <c r="CW17" s="193"/>
      <c r="CX17" s="193"/>
      <c r="CY17" s="193"/>
      <c r="CZ17" s="193"/>
      <c r="DA17" s="193"/>
      <c r="DB17" s="193"/>
      <c r="DC17" s="193"/>
      <c r="DD17" s="193"/>
      <c r="DE17" s="193"/>
      <c r="DF17" s="193"/>
      <c r="DG17" s="193"/>
      <c r="DH17" s="193"/>
      <c r="DI17" s="193"/>
      <c r="DJ17" s="193"/>
      <c r="DK17" s="193"/>
      <c r="DL17" s="193"/>
      <c r="DM17" s="193"/>
      <c r="DN17" s="193"/>
      <c r="DO17" s="193"/>
      <c r="DP17" s="193"/>
      <c r="DQ17" s="193"/>
      <c r="DR17" s="193"/>
      <c r="DS17" s="193"/>
      <c r="DT17" s="193"/>
      <c r="DU17" s="193"/>
      <c r="DV17" s="193"/>
      <c r="DW17" s="193"/>
      <c r="DX17" s="193"/>
      <c r="DY17" s="193"/>
      <c r="DZ17" s="193"/>
      <c r="EA17" s="193"/>
      <c r="EB17" s="193"/>
      <c r="EC17" s="193"/>
      <c r="ED17" s="193"/>
      <c r="EE17" s="193"/>
      <c r="EF17" s="193"/>
      <c r="EG17" s="193"/>
      <c r="EH17" s="193"/>
      <c r="EI17" s="193"/>
      <c r="EJ17" s="193"/>
      <c r="EK17" s="193"/>
      <c r="EL17" s="193"/>
      <c r="EM17" s="193"/>
      <c r="EN17" s="193"/>
      <c r="EO17" s="193"/>
      <c r="EP17" s="193"/>
      <c r="EQ17" s="193"/>
      <c r="ER17" s="193"/>
      <c r="ES17" s="193"/>
      <c r="ET17" s="193"/>
      <c r="EU17" s="193"/>
      <c r="EV17" s="193"/>
      <c r="EW17" s="193"/>
      <c r="EX17" s="193"/>
      <c r="EY17" s="193"/>
      <c r="EZ17" s="193"/>
      <c r="FA17" s="193"/>
      <c r="FB17" s="193"/>
      <c r="FC17" s="193"/>
      <c r="FD17" s="193"/>
      <c r="FE17" s="193"/>
      <c r="FF17" s="193"/>
      <c r="FG17" s="193"/>
      <c r="FH17" s="193"/>
      <c r="FI17" s="193"/>
      <c r="FJ17" s="193"/>
      <c r="FK17" s="193"/>
      <c r="FL17" s="193"/>
      <c r="FM17" s="193"/>
      <c r="FN17" s="193"/>
      <c r="FO17" s="193"/>
      <c r="FP17" s="193"/>
      <c r="FQ17" s="193"/>
      <c r="FR17" s="193"/>
      <c r="FS17" s="193"/>
      <c r="FT17" s="193"/>
      <c r="FU17" s="193"/>
      <c r="FV17" s="193"/>
      <c r="FW17" s="193"/>
      <c r="FX17" s="193"/>
      <c r="FY17" s="193"/>
      <c r="FZ17" s="193"/>
      <c r="GA17" s="193"/>
      <c r="GB17" s="193"/>
      <c r="GC17" s="193"/>
      <c r="GD17" s="193"/>
      <c r="GE17" s="193"/>
      <c r="GF17" s="193"/>
      <c r="GG17" s="193"/>
      <c r="GH17" s="193"/>
      <c r="GI17" s="193"/>
      <c r="GJ17" s="193"/>
      <c r="GK17" s="193"/>
      <c r="GL17" s="193"/>
      <c r="GM17" s="193"/>
      <c r="GN17" s="193"/>
      <c r="GO17" s="193"/>
      <c r="GP17" s="193"/>
      <c r="GQ17" s="193"/>
      <c r="GR17" s="193"/>
      <c r="GS17" s="193"/>
      <c r="GT17" s="193"/>
      <c r="GU17" s="193"/>
      <c r="GV17" s="193"/>
      <c r="GW17" s="193"/>
      <c r="GX17" s="193"/>
      <c r="GY17" s="193"/>
      <c r="GZ17" s="193"/>
      <c r="HA17" s="193"/>
      <c r="HB17" s="193"/>
      <c r="HC17" s="193"/>
      <c r="HD17" s="193"/>
      <c r="HE17" s="193"/>
      <c r="HF17" s="193"/>
      <c r="HG17" s="193"/>
      <c r="HH17" s="193"/>
      <c r="HI17" s="193"/>
      <c r="HJ17" s="193"/>
      <c r="HK17" s="193"/>
      <c r="HL17" s="193"/>
      <c r="HM17" s="193"/>
      <c r="HN17" s="193"/>
      <c r="HO17" s="193"/>
      <c r="HP17" s="193"/>
      <c r="HQ17" s="193"/>
      <c r="HR17" s="193"/>
      <c r="HS17" s="193"/>
      <c r="HT17" s="193"/>
      <c r="HU17" s="193"/>
      <c r="HV17" s="193"/>
      <c r="HW17" s="193"/>
      <c r="HX17" s="193"/>
      <c r="HY17" s="193"/>
      <c r="HZ17" s="193"/>
      <c r="IA17" s="193"/>
      <c r="IB17" s="193"/>
      <c r="IC17" s="193"/>
      <c r="ID17" s="193"/>
      <c r="IE17" s="193"/>
      <c r="IF17" s="193"/>
      <c r="IG17" s="193"/>
      <c r="IH17" s="193"/>
      <c r="II17" s="193"/>
      <c r="IJ17" s="193"/>
      <c r="IK17" s="193"/>
      <c r="IL17" s="193"/>
      <c r="IM17" s="193"/>
      <c r="IN17" s="193"/>
      <c r="IO17" s="193"/>
      <c r="IP17" s="193"/>
      <c r="IQ17" s="193"/>
    </row>
    <row r="18" spans="1:251" ht="15.75" hidden="1" customHeight="1">
      <c r="A18" s="2024"/>
      <c r="B18" s="1022"/>
      <c r="C18" s="943"/>
      <c r="D18" s="2029"/>
      <c r="E18" s="942"/>
      <c r="F18" s="1021"/>
      <c r="G18" s="946"/>
      <c r="H18" s="350">
        <f t="shared" si="13"/>
        <v>0</v>
      </c>
      <c r="I18" s="946"/>
      <c r="J18" s="350">
        <f t="shared" si="14"/>
        <v>0</v>
      </c>
      <c r="K18" s="946"/>
      <c r="L18" s="350">
        <f t="shared" si="15"/>
        <v>0</v>
      </c>
      <c r="M18" s="350">
        <f t="shared" si="16"/>
        <v>0</v>
      </c>
      <c r="N18" s="350">
        <f t="shared" si="17"/>
        <v>0</v>
      </c>
      <c r="O18" s="946">
        <f t="shared" si="11"/>
        <v>0</v>
      </c>
      <c r="P18" s="946">
        <f t="shared" si="10"/>
        <v>0</v>
      </c>
      <c r="Q18" s="350">
        <f t="shared" si="18"/>
        <v>0</v>
      </c>
      <c r="R18" s="350">
        <f t="shared" si="19"/>
        <v>0</v>
      </c>
      <c r="S18" s="350">
        <f t="shared" si="20"/>
        <v>0</v>
      </c>
      <c r="T18" s="327">
        <f t="shared" si="21"/>
        <v>0</v>
      </c>
      <c r="U18" s="327">
        <f t="shared" si="22"/>
        <v>0</v>
      </c>
      <c r="V18" s="3036">
        <f t="shared" si="7"/>
        <v>0</v>
      </c>
      <c r="W18" s="1942">
        <f t="shared" si="12"/>
        <v>0</v>
      </c>
      <c r="X18" s="188">
        <v>0.01</v>
      </c>
      <c r="Y18" s="193"/>
      <c r="Z18" s="193"/>
      <c r="AA18" s="193"/>
      <c r="AB18" s="193"/>
      <c r="AC18" s="193"/>
      <c r="AD18" s="193"/>
      <c r="AE18" s="193"/>
      <c r="AF18" s="193"/>
      <c r="AG18" s="193"/>
      <c r="AH18" s="193"/>
      <c r="AI18" s="193"/>
      <c r="AJ18" s="193"/>
      <c r="AK18" s="193"/>
      <c r="AL18" s="193"/>
      <c r="AM18" s="193"/>
      <c r="AN18" s="193"/>
      <c r="AO18" s="193"/>
      <c r="AP18" s="193"/>
      <c r="AQ18" s="193"/>
      <c r="AR18" s="193"/>
      <c r="AS18" s="193"/>
      <c r="AT18" s="193"/>
      <c r="AU18" s="193"/>
      <c r="AV18" s="193"/>
      <c r="AW18" s="193"/>
      <c r="AX18" s="193"/>
      <c r="AY18" s="193"/>
      <c r="AZ18" s="193"/>
      <c r="BA18" s="193"/>
      <c r="BB18" s="193"/>
      <c r="BC18" s="193"/>
      <c r="BD18" s="193"/>
      <c r="BE18" s="193"/>
      <c r="BF18" s="193"/>
      <c r="BG18" s="193"/>
      <c r="BH18" s="193"/>
      <c r="BI18" s="193"/>
      <c r="BJ18" s="193"/>
      <c r="BK18" s="193"/>
      <c r="BL18" s="193"/>
      <c r="BM18" s="193"/>
      <c r="BN18" s="193"/>
      <c r="BO18" s="193"/>
      <c r="BP18" s="193"/>
      <c r="BQ18" s="193"/>
      <c r="BR18" s="193"/>
      <c r="BS18" s="193"/>
      <c r="BT18" s="193"/>
      <c r="BU18" s="193"/>
      <c r="BV18" s="193"/>
      <c r="BW18" s="193"/>
      <c r="BX18" s="193"/>
      <c r="BY18" s="193"/>
      <c r="BZ18" s="193"/>
      <c r="CA18" s="193"/>
      <c r="CB18" s="193"/>
      <c r="CC18" s="193"/>
      <c r="CD18" s="193"/>
      <c r="CE18" s="193"/>
      <c r="CF18" s="193"/>
      <c r="CG18" s="193"/>
      <c r="CH18" s="193"/>
      <c r="CI18" s="193"/>
      <c r="CJ18" s="193"/>
      <c r="CK18" s="193"/>
      <c r="CL18" s="193"/>
      <c r="CM18" s="193"/>
      <c r="CN18" s="193"/>
      <c r="CO18" s="193"/>
      <c r="CP18" s="193"/>
      <c r="CQ18" s="193"/>
      <c r="CR18" s="193"/>
      <c r="CS18" s="193"/>
      <c r="CT18" s="193"/>
      <c r="CU18" s="193"/>
      <c r="CV18" s="193"/>
      <c r="CW18" s="193"/>
      <c r="CX18" s="193"/>
      <c r="CY18" s="193"/>
      <c r="CZ18" s="193"/>
      <c r="DA18" s="193"/>
      <c r="DB18" s="193"/>
      <c r="DC18" s="193"/>
      <c r="DD18" s="193"/>
      <c r="DE18" s="193"/>
      <c r="DF18" s="193"/>
      <c r="DG18" s="193"/>
      <c r="DH18" s="193"/>
      <c r="DI18" s="193"/>
      <c r="DJ18" s="193"/>
      <c r="DK18" s="193"/>
      <c r="DL18" s="193"/>
      <c r="DM18" s="193"/>
      <c r="DN18" s="193"/>
      <c r="DO18" s="193"/>
      <c r="DP18" s="193"/>
      <c r="DQ18" s="193"/>
      <c r="DR18" s="193"/>
      <c r="DS18" s="193"/>
      <c r="DT18" s="193"/>
      <c r="DU18" s="193"/>
      <c r="DV18" s="193"/>
      <c r="DW18" s="193"/>
      <c r="DX18" s="193"/>
      <c r="DY18" s="193"/>
      <c r="DZ18" s="193"/>
      <c r="EA18" s="193"/>
      <c r="EB18" s="193"/>
      <c r="EC18" s="193"/>
      <c r="ED18" s="193"/>
      <c r="EE18" s="193"/>
      <c r="EF18" s="193"/>
      <c r="EG18" s="193"/>
      <c r="EH18" s="193"/>
      <c r="EI18" s="193"/>
      <c r="EJ18" s="193"/>
      <c r="EK18" s="193"/>
      <c r="EL18" s="193"/>
      <c r="EM18" s="193"/>
      <c r="EN18" s="193"/>
      <c r="EO18" s="193"/>
      <c r="EP18" s="193"/>
      <c r="EQ18" s="193"/>
      <c r="ER18" s="193"/>
      <c r="ES18" s="193"/>
      <c r="ET18" s="193"/>
      <c r="EU18" s="193"/>
      <c r="EV18" s="193"/>
      <c r="EW18" s="193"/>
      <c r="EX18" s="193"/>
      <c r="EY18" s="193"/>
      <c r="EZ18" s="193"/>
      <c r="FA18" s="193"/>
      <c r="FB18" s="193"/>
      <c r="FC18" s="193"/>
      <c r="FD18" s="193"/>
      <c r="FE18" s="193"/>
      <c r="FF18" s="193"/>
      <c r="FG18" s="193"/>
      <c r="FH18" s="193"/>
      <c r="FI18" s="193"/>
      <c r="FJ18" s="193"/>
      <c r="FK18" s="193"/>
      <c r="FL18" s="193"/>
      <c r="FM18" s="193"/>
      <c r="FN18" s="193"/>
      <c r="FO18" s="193"/>
      <c r="FP18" s="193"/>
      <c r="FQ18" s="193"/>
      <c r="FR18" s="193"/>
      <c r="FS18" s="193"/>
      <c r="FT18" s="193"/>
      <c r="FU18" s="193"/>
      <c r="FV18" s="193"/>
      <c r="FW18" s="193"/>
      <c r="FX18" s="193"/>
      <c r="FY18" s="193"/>
      <c r="FZ18" s="193"/>
      <c r="GA18" s="193"/>
      <c r="GB18" s="193"/>
      <c r="GC18" s="193"/>
      <c r="GD18" s="193"/>
      <c r="GE18" s="193"/>
      <c r="GF18" s="193"/>
      <c r="GG18" s="193"/>
      <c r="GH18" s="193"/>
      <c r="GI18" s="193"/>
      <c r="GJ18" s="193"/>
      <c r="GK18" s="193"/>
      <c r="GL18" s="193"/>
      <c r="GM18" s="193"/>
      <c r="GN18" s="193"/>
      <c r="GO18" s="193"/>
      <c r="GP18" s="193"/>
      <c r="GQ18" s="193"/>
      <c r="GR18" s="193"/>
      <c r="GS18" s="193"/>
      <c r="GT18" s="193"/>
      <c r="GU18" s="193"/>
      <c r="GV18" s="193"/>
      <c r="GW18" s="193"/>
      <c r="GX18" s="193"/>
      <c r="GY18" s="193"/>
      <c r="GZ18" s="193"/>
      <c r="HA18" s="193"/>
      <c r="HB18" s="193"/>
      <c r="HC18" s="193"/>
      <c r="HD18" s="193"/>
      <c r="HE18" s="193"/>
      <c r="HF18" s="193"/>
      <c r="HG18" s="193"/>
      <c r="HH18" s="193"/>
      <c r="HI18" s="193"/>
      <c r="HJ18" s="193"/>
      <c r="HK18" s="193"/>
      <c r="HL18" s="193"/>
      <c r="HM18" s="193"/>
      <c r="HN18" s="193"/>
      <c r="HO18" s="193"/>
      <c r="HP18" s="193"/>
      <c r="HQ18" s="193"/>
      <c r="HR18" s="193"/>
      <c r="HS18" s="193"/>
      <c r="HT18" s="193"/>
      <c r="HU18" s="193"/>
      <c r="HV18" s="193"/>
      <c r="HW18" s="193"/>
      <c r="HX18" s="193"/>
      <c r="HY18" s="193"/>
      <c r="HZ18" s="193"/>
      <c r="IA18" s="193"/>
      <c r="IB18" s="193"/>
      <c r="IC18" s="193"/>
      <c r="ID18" s="193"/>
      <c r="IE18" s="193"/>
      <c r="IF18" s="193"/>
      <c r="IG18" s="193"/>
      <c r="IH18" s="193"/>
      <c r="II18" s="193"/>
      <c r="IJ18" s="193"/>
      <c r="IK18" s="193"/>
      <c r="IL18" s="193"/>
      <c r="IM18" s="193"/>
      <c r="IN18" s="193"/>
      <c r="IO18" s="193"/>
      <c r="IP18" s="193"/>
      <c r="IQ18" s="193"/>
    </row>
    <row r="19" spans="1:251">
      <c r="A19" s="2024">
        <v>5</v>
      </c>
      <c r="B19" s="1022" t="s">
        <v>535</v>
      </c>
      <c r="C19" s="943"/>
      <c r="D19" s="2029">
        <v>2</v>
      </c>
      <c r="E19" s="942"/>
      <c r="F19" s="1021">
        <f>(66000+10000)*1.3</f>
        <v>98800</v>
      </c>
      <c r="G19" s="946">
        <v>12</v>
      </c>
      <c r="H19" s="350">
        <f t="shared" si="13"/>
        <v>2371200</v>
      </c>
      <c r="I19" s="946"/>
      <c r="J19" s="350">
        <f t="shared" si="14"/>
        <v>0</v>
      </c>
      <c r="K19" s="946"/>
      <c r="L19" s="350">
        <f t="shared" si="15"/>
        <v>0</v>
      </c>
      <c r="M19" s="350">
        <f t="shared" si="16"/>
        <v>0</v>
      </c>
      <c r="N19" s="350">
        <f t="shared" si="17"/>
        <v>2371200</v>
      </c>
      <c r="O19" s="946">
        <f t="shared" si="11"/>
        <v>395200</v>
      </c>
      <c r="P19" s="946">
        <f t="shared" si="10"/>
        <v>790400</v>
      </c>
      <c r="Q19" s="350">
        <f t="shared" si="18"/>
        <v>3556800</v>
      </c>
      <c r="R19" s="350">
        <f t="shared" si="19"/>
        <v>355680</v>
      </c>
      <c r="S19" s="350">
        <f t="shared" si="20"/>
        <v>320112</v>
      </c>
      <c r="T19" s="327">
        <f t="shared" si="21"/>
        <v>192067.19999999998</v>
      </c>
      <c r="U19" s="327">
        <f t="shared" si="22"/>
        <v>160056</v>
      </c>
      <c r="V19" s="3036">
        <f t="shared" si="7"/>
        <v>352123.19999999995</v>
      </c>
      <c r="W19" s="1942">
        <f t="shared" si="12"/>
        <v>35568</v>
      </c>
      <c r="X19" s="188">
        <v>0.01</v>
      </c>
      <c r="Y19" s="193"/>
      <c r="Z19" s="193"/>
      <c r="AA19" s="193"/>
      <c r="AB19" s="193"/>
      <c r="AC19" s="193"/>
      <c r="AD19" s="193"/>
      <c r="AE19" s="193"/>
      <c r="AF19" s="193"/>
      <c r="AG19" s="193"/>
      <c r="AH19" s="193"/>
      <c r="AI19" s="193"/>
      <c r="AJ19" s="193"/>
      <c r="AK19" s="193"/>
      <c r="AL19" s="193"/>
      <c r="AM19" s="193"/>
      <c r="AN19" s="193"/>
      <c r="AO19" s="193"/>
      <c r="AP19" s="193"/>
      <c r="AQ19" s="193"/>
      <c r="AR19" s="193"/>
      <c r="AS19" s="193"/>
      <c r="AT19" s="193"/>
      <c r="AU19" s="193"/>
      <c r="AV19" s="193"/>
      <c r="AW19" s="193"/>
      <c r="AX19" s="193"/>
      <c r="AY19" s="193"/>
      <c r="AZ19" s="193"/>
      <c r="BA19" s="193"/>
      <c r="BB19" s="193"/>
      <c r="BC19" s="193"/>
      <c r="BD19" s="193"/>
      <c r="BE19" s="193"/>
      <c r="BF19" s="193"/>
      <c r="BG19" s="193"/>
      <c r="BH19" s="193"/>
      <c r="BI19" s="193"/>
      <c r="BJ19" s="193"/>
      <c r="BK19" s="193"/>
      <c r="BL19" s="193"/>
      <c r="BM19" s="193"/>
      <c r="BN19" s="193"/>
      <c r="BO19" s="193"/>
      <c r="BP19" s="193"/>
      <c r="BQ19" s="193"/>
      <c r="BR19" s="193"/>
      <c r="BS19" s="193"/>
      <c r="BT19" s="193"/>
      <c r="BU19" s="193"/>
      <c r="BV19" s="193"/>
      <c r="BW19" s="193"/>
      <c r="BX19" s="193"/>
      <c r="BY19" s="193"/>
      <c r="BZ19" s="193"/>
      <c r="CA19" s="193"/>
      <c r="CB19" s="193"/>
      <c r="CC19" s="193"/>
      <c r="CD19" s="193"/>
      <c r="CE19" s="193"/>
      <c r="CF19" s="193"/>
      <c r="CG19" s="193"/>
      <c r="CH19" s="193"/>
      <c r="CI19" s="193"/>
      <c r="CJ19" s="193"/>
      <c r="CK19" s="193"/>
      <c r="CL19" s="193"/>
      <c r="CM19" s="193"/>
      <c r="CN19" s="193"/>
      <c r="CO19" s="193"/>
      <c r="CP19" s="193"/>
      <c r="CQ19" s="193"/>
      <c r="CR19" s="193"/>
      <c r="CS19" s="193"/>
      <c r="CT19" s="193"/>
      <c r="CU19" s="193"/>
      <c r="CV19" s="193"/>
      <c r="CW19" s="193"/>
      <c r="CX19" s="193"/>
      <c r="CY19" s="193"/>
      <c r="CZ19" s="193"/>
      <c r="DA19" s="193"/>
      <c r="DB19" s="193"/>
      <c r="DC19" s="193"/>
      <c r="DD19" s="193"/>
      <c r="DE19" s="193"/>
      <c r="DF19" s="193"/>
      <c r="DG19" s="193"/>
      <c r="DH19" s="193"/>
      <c r="DI19" s="193"/>
      <c r="DJ19" s="193"/>
      <c r="DK19" s="193"/>
      <c r="DL19" s="193"/>
      <c r="DM19" s="193"/>
      <c r="DN19" s="193"/>
      <c r="DO19" s="193"/>
      <c r="DP19" s="193"/>
      <c r="DQ19" s="193"/>
      <c r="DR19" s="193"/>
      <c r="DS19" s="193"/>
      <c r="DT19" s="193"/>
      <c r="DU19" s="193"/>
      <c r="DV19" s="193"/>
      <c r="DW19" s="193"/>
      <c r="DX19" s="193"/>
      <c r="DY19" s="193"/>
      <c r="DZ19" s="193"/>
      <c r="EA19" s="193"/>
      <c r="EB19" s="193"/>
      <c r="EC19" s="193"/>
      <c r="ED19" s="193"/>
      <c r="EE19" s="193"/>
      <c r="EF19" s="193"/>
      <c r="EG19" s="193"/>
      <c r="EH19" s="193"/>
      <c r="EI19" s="193"/>
      <c r="EJ19" s="193"/>
      <c r="EK19" s="193"/>
      <c r="EL19" s="193"/>
      <c r="EM19" s="193"/>
      <c r="EN19" s="193"/>
      <c r="EO19" s="193"/>
      <c r="EP19" s="193"/>
      <c r="EQ19" s="193"/>
      <c r="ER19" s="193"/>
      <c r="ES19" s="193"/>
      <c r="ET19" s="193"/>
      <c r="EU19" s="193"/>
      <c r="EV19" s="193"/>
      <c r="EW19" s="193"/>
      <c r="EX19" s="193"/>
      <c r="EY19" s="193"/>
      <c r="EZ19" s="193"/>
      <c r="FA19" s="193"/>
      <c r="FB19" s="193"/>
      <c r="FC19" s="193"/>
      <c r="FD19" s="193"/>
      <c r="FE19" s="193"/>
      <c r="FF19" s="193"/>
      <c r="FG19" s="193"/>
      <c r="FH19" s="193"/>
      <c r="FI19" s="193"/>
      <c r="FJ19" s="193"/>
      <c r="FK19" s="193"/>
      <c r="FL19" s="193"/>
      <c r="FM19" s="193"/>
      <c r="FN19" s="193"/>
      <c r="FO19" s="193"/>
      <c r="FP19" s="193"/>
      <c r="FQ19" s="193"/>
      <c r="FR19" s="193"/>
      <c r="FS19" s="193"/>
      <c r="FT19" s="193"/>
      <c r="FU19" s="193"/>
      <c r="FV19" s="193"/>
      <c r="FW19" s="193"/>
      <c r="FX19" s="193"/>
      <c r="FY19" s="193"/>
      <c r="FZ19" s="193"/>
      <c r="GA19" s="193"/>
      <c r="GB19" s="193"/>
      <c r="GC19" s="193"/>
      <c r="GD19" s="193"/>
      <c r="GE19" s="193"/>
      <c r="GF19" s="193"/>
      <c r="GG19" s="193"/>
      <c r="GH19" s="193"/>
      <c r="GI19" s="193"/>
      <c r="GJ19" s="193"/>
      <c r="GK19" s="193"/>
      <c r="GL19" s="193"/>
      <c r="GM19" s="193"/>
      <c r="GN19" s="193"/>
      <c r="GO19" s="193"/>
      <c r="GP19" s="193"/>
      <c r="GQ19" s="193"/>
      <c r="GR19" s="193"/>
      <c r="GS19" s="193"/>
      <c r="GT19" s="193"/>
      <c r="GU19" s="193"/>
      <c r="GV19" s="193"/>
      <c r="GW19" s="193"/>
      <c r="GX19" s="193"/>
      <c r="GY19" s="193"/>
      <c r="GZ19" s="193"/>
      <c r="HA19" s="193"/>
      <c r="HB19" s="193"/>
      <c r="HC19" s="193"/>
      <c r="HD19" s="193"/>
      <c r="HE19" s="193"/>
      <c r="HF19" s="193"/>
      <c r="HG19" s="193"/>
      <c r="HH19" s="193"/>
      <c r="HI19" s="193"/>
      <c r="HJ19" s="193"/>
      <c r="HK19" s="193"/>
      <c r="HL19" s="193"/>
      <c r="HM19" s="193"/>
      <c r="HN19" s="193"/>
      <c r="HO19" s="193"/>
      <c r="HP19" s="193"/>
      <c r="HQ19" s="193"/>
      <c r="HR19" s="193"/>
      <c r="HS19" s="193"/>
      <c r="HT19" s="193"/>
      <c r="HU19" s="193"/>
      <c r="HV19" s="193"/>
      <c r="HW19" s="193"/>
      <c r="HX19" s="193"/>
      <c r="HY19" s="193"/>
      <c r="HZ19" s="193"/>
      <c r="IA19" s="193"/>
      <c r="IB19" s="193"/>
      <c r="IC19" s="193"/>
      <c r="ID19" s="193"/>
      <c r="IE19" s="193"/>
      <c r="IF19" s="193"/>
      <c r="IG19" s="193"/>
      <c r="IH19" s="193"/>
      <c r="II19" s="193"/>
      <c r="IJ19" s="193"/>
      <c r="IK19" s="193"/>
      <c r="IL19" s="193"/>
      <c r="IM19" s="193"/>
      <c r="IN19" s="193"/>
      <c r="IO19" s="193"/>
      <c r="IP19" s="193"/>
      <c r="IQ19" s="193"/>
    </row>
    <row r="20" spans="1:251">
      <c r="A20" s="2024">
        <v>6</v>
      </c>
      <c r="B20" s="1022" t="s">
        <v>536</v>
      </c>
      <c r="C20" s="943"/>
      <c r="D20" s="2029">
        <v>1</v>
      </c>
      <c r="E20" s="942"/>
      <c r="F20" s="1021">
        <f>120000*1.3</f>
        <v>156000</v>
      </c>
      <c r="G20" s="946">
        <v>12</v>
      </c>
      <c r="H20" s="350">
        <f t="shared" si="13"/>
        <v>1872000</v>
      </c>
      <c r="I20" s="946"/>
      <c r="J20" s="350">
        <f t="shared" si="14"/>
        <v>0</v>
      </c>
      <c r="K20" s="946"/>
      <c r="L20" s="350">
        <f t="shared" si="15"/>
        <v>0</v>
      </c>
      <c r="M20" s="350">
        <f t="shared" si="16"/>
        <v>0</v>
      </c>
      <c r="N20" s="350">
        <f t="shared" si="17"/>
        <v>1872000</v>
      </c>
      <c r="O20" s="946">
        <f t="shared" si="11"/>
        <v>312000</v>
      </c>
      <c r="P20" s="946">
        <f t="shared" si="10"/>
        <v>624000</v>
      </c>
      <c r="Q20" s="350">
        <f t="shared" si="18"/>
        <v>2808000</v>
      </c>
      <c r="R20" s="350">
        <f t="shared" si="19"/>
        <v>280800</v>
      </c>
      <c r="S20" s="350">
        <f t="shared" si="20"/>
        <v>252720</v>
      </c>
      <c r="T20" s="327">
        <f t="shared" si="21"/>
        <v>151632</v>
      </c>
      <c r="U20" s="327">
        <f t="shared" si="22"/>
        <v>126360</v>
      </c>
      <c r="V20" s="3036">
        <f t="shared" si="7"/>
        <v>277992</v>
      </c>
      <c r="W20" s="1942">
        <f t="shared" si="12"/>
        <v>28080</v>
      </c>
      <c r="X20" s="188">
        <v>0.01</v>
      </c>
      <c r="Y20" s="193"/>
      <c r="Z20" s="193"/>
      <c r="AA20" s="193"/>
      <c r="AB20" s="193"/>
      <c r="AC20" s="193"/>
      <c r="AD20" s="193"/>
      <c r="AE20" s="193"/>
      <c r="AF20" s="193"/>
      <c r="AG20" s="193"/>
      <c r="AH20" s="193"/>
      <c r="AI20" s="193"/>
      <c r="AJ20" s="193"/>
      <c r="AK20" s="193"/>
      <c r="AL20" s="193"/>
      <c r="AM20" s="193"/>
      <c r="AN20" s="193"/>
      <c r="AO20" s="193"/>
      <c r="AP20" s="193"/>
      <c r="AQ20" s="193"/>
      <c r="AR20" s="193"/>
      <c r="AS20" s="193"/>
      <c r="AT20" s="193"/>
      <c r="AU20" s="193"/>
      <c r="AV20" s="193"/>
      <c r="AW20" s="193"/>
      <c r="AX20" s="193"/>
      <c r="AY20" s="193"/>
      <c r="AZ20" s="193"/>
      <c r="BA20" s="193"/>
      <c r="BB20" s="193"/>
      <c r="BC20" s="193"/>
      <c r="BD20" s="193"/>
      <c r="BE20" s="193"/>
      <c r="BF20" s="193"/>
      <c r="BG20" s="193"/>
      <c r="BH20" s="193"/>
      <c r="BI20" s="193"/>
      <c r="BJ20" s="193"/>
      <c r="BK20" s="193"/>
      <c r="BL20" s="193"/>
      <c r="BM20" s="193"/>
      <c r="BN20" s="193"/>
      <c r="BO20" s="193"/>
      <c r="BP20" s="193"/>
      <c r="BQ20" s="193"/>
      <c r="BR20" s="193"/>
      <c r="BS20" s="193"/>
      <c r="BT20" s="193"/>
      <c r="BU20" s="193"/>
      <c r="BV20" s="193"/>
      <c r="BW20" s="193"/>
      <c r="BX20" s="193"/>
      <c r="BY20" s="193"/>
      <c r="BZ20" s="193"/>
      <c r="CA20" s="193"/>
      <c r="CB20" s="193"/>
      <c r="CC20" s="193"/>
      <c r="CD20" s="193"/>
      <c r="CE20" s="193"/>
      <c r="CF20" s="193"/>
      <c r="CG20" s="193"/>
      <c r="CH20" s="193"/>
      <c r="CI20" s="193"/>
      <c r="CJ20" s="193"/>
      <c r="CK20" s="193"/>
      <c r="CL20" s="193"/>
      <c r="CM20" s="193"/>
      <c r="CN20" s="193"/>
      <c r="CO20" s="193"/>
      <c r="CP20" s="193"/>
      <c r="CQ20" s="193"/>
      <c r="CR20" s="193"/>
      <c r="CS20" s="193"/>
      <c r="CT20" s="193"/>
      <c r="CU20" s="193"/>
      <c r="CV20" s="193"/>
      <c r="CW20" s="193"/>
      <c r="CX20" s="193"/>
      <c r="CY20" s="193"/>
      <c r="CZ20" s="193"/>
      <c r="DA20" s="193"/>
      <c r="DB20" s="193"/>
      <c r="DC20" s="193"/>
      <c r="DD20" s="193"/>
      <c r="DE20" s="193"/>
      <c r="DF20" s="193"/>
      <c r="DG20" s="193"/>
      <c r="DH20" s="193"/>
      <c r="DI20" s="193"/>
      <c r="DJ20" s="193"/>
      <c r="DK20" s="193"/>
      <c r="DL20" s="193"/>
      <c r="DM20" s="193"/>
      <c r="DN20" s="193"/>
      <c r="DO20" s="193"/>
      <c r="DP20" s="193"/>
      <c r="DQ20" s="193"/>
      <c r="DR20" s="193"/>
      <c r="DS20" s="193"/>
      <c r="DT20" s="193"/>
      <c r="DU20" s="193"/>
      <c r="DV20" s="193"/>
      <c r="DW20" s="193"/>
      <c r="DX20" s="193"/>
      <c r="DY20" s="193"/>
      <c r="DZ20" s="193"/>
      <c r="EA20" s="193"/>
      <c r="EB20" s="193"/>
      <c r="EC20" s="193"/>
      <c r="ED20" s="193"/>
      <c r="EE20" s="193"/>
      <c r="EF20" s="193"/>
      <c r="EG20" s="193"/>
      <c r="EH20" s="193"/>
      <c r="EI20" s="193"/>
      <c r="EJ20" s="193"/>
      <c r="EK20" s="193"/>
      <c r="EL20" s="193"/>
      <c r="EM20" s="193"/>
      <c r="EN20" s="193"/>
      <c r="EO20" s="193"/>
      <c r="EP20" s="193"/>
      <c r="EQ20" s="193"/>
      <c r="ER20" s="193"/>
      <c r="ES20" s="193"/>
      <c r="ET20" s="193"/>
      <c r="EU20" s="193"/>
      <c r="EV20" s="193"/>
      <c r="EW20" s="193"/>
      <c r="EX20" s="193"/>
      <c r="EY20" s="193"/>
      <c r="EZ20" s="193"/>
      <c r="FA20" s="193"/>
      <c r="FB20" s="193"/>
      <c r="FC20" s="193"/>
      <c r="FD20" s="193"/>
      <c r="FE20" s="193"/>
      <c r="FF20" s="193"/>
      <c r="FG20" s="193"/>
      <c r="FH20" s="193"/>
      <c r="FI20" s="193"/>
      <c r="FJ20" s="193"/>
      <c r="FK20" s="193"/>
      <c r="FL20" s="193"/>
      <c r="FM20" s="193"/>
      <c r="FN20" s="193"/>
      <c r="FO20" s="193"/>
      <c r="FP20" s="193"/>
      <c r="FQ20" s="193"/>
      <c r="FR20" s="193"/>
      <c r="FS20" s="193"/>
      <c r="FT20" s="193"/>
      <c r="FU20" s="193"/>
      <c r="FV20" s="193"/>
      <c r="FW20" s="193"/>
      <c r="FX20" s="193"/>
      <c r="FY20" s="193"/>
      <c r="FZ20" s="193"/>
      <c r="GA20" s="193"/>
      <c r="GB20" s="193"/>
      <c r="GC20" s="193"/>
      <c r="GD20" s="193"/>
      <c r="GE20" s="193"/>
      <c r="GF20" s="193"/>
      <c r="GG20" s="193"/>
      <c r="GH20" s="193"/>
      <c r="GI20" s="193"/>
      <c r="GJ20" s="193"/>
      <c r="GK20" s="193"/>
      <c r="GL20" s="193"/>
      <c r="GM20" s="193"/>
      <c r="GN20" s="193"/>
      <c r="GO20" s="193"/>
      <c r="GP20" s="193"/>
      <c r="GQ20" s="193"/>
      <c r="GR20" s="193"/>
      <c r="GS20" s="193"/>
      <c r="GT20" s="193"/>
      <c r="GU20" s="193"/>
      <c r="GV20" s="193"/>
      <c r="GW20" s="193"/>
      <c r="GX20" s="193"/>
      <c r="GY20" s="193"/>
      <c r="GZ20" s="193"/>
      <c r="HA20" s="193"/>
      <c r="HB20" s="193"/>
      <c r="HC20" s="193"/>
      <c r="HD20" s="193"/>
      <c r="HE20" s="193"/>
      <c r="HF20" s="193"/>
      <c r="HG20" s="193"/>
      <c r="HH20" s="193"/>
      <c r="HI20" s="193"/>
      <c r="HJ20" s="193"/>
      <c r="HK20" s="193"/>
      <c r="HL20" s="193"/>
      <c r="HM20" s="193"/>
      <c r="HN20" s="193"/>
      <c r="HO20" s="193"/>
      <c r="HP20" s="193"/>
      <c r="HQ20" s="193"/>
      <c r="HR20" s="193"/>
      <c r="HS20" s="193"/>
      <c r="HT20" s="193"/>
      <c r="HU20" s="193"/>
      <c r="HV20" s="193"/>
      <c r="HW20" s="193"/>
      <c r="HX20" s="193"/>
      <c r="HY20" s="193"/>
      <c r="HZ20" s="193"/>
      <c r="IA20" s="193"/>
      <c r="IB20" s="193"/>
      <c r="IC20" s="193"/>
      <c r="ID20" s="193"/>
      <c r="IE20" s="193"/>
      <c r="IF20" s="193"/>
      <c r="IG20" s="193"/>
      <c r="IH20" s="193"/>
      <c r="II20" s="193"/>
      <c r="IJ20" s="193"/>
      <c r="IK20" s="193"/>
      <c r="IL20" s="193"/>
      <c r="IM20" s="193"/>
      <c r="IN20" s="193"/>
      <c r="IO20" s="193"/>
      <c r="IP20" s="193"/>
      <c r="IQ20" s="193"/>
    </row>
    <row r="21" spans="1:251">
      <c r="A21" s="2024">
        <v>7</v>
      </c>
      <c r="B21" s="1022" t="s">
        <v>537</v>
      </c>
      <c r="C21" s="943"/>
      <c r="D21" s="2029">
        <v>1</v>
      </c>
      <c r="E21" s="942"/>
      <c r="F21" s="1021">
        <f>(72000+10000)*1.3</f>
        <v>106600</v>
      </c>
      <c r="G21" s="946">
        <v>12</v>
      </c>
      <c r="H21" s="350">
        <f t="shared" si="13"/>
        <v>1279200</v>
      </c>
      <c r="I21" s="946"/>
      <c r="J21" s="350">
        <f t="shared" si="14"/>
        <v>0</v>
      </c>
      <c r="K21" s="946"/>
      <c r="L21" s="350">
        <f t="shared" si="15"/>
        <v>0</v>
      </c>
      <c r="M21" s="350">
        <f t="shared" si="16"/>
        <v>0</v>
      </c>
      <c r="N21" s="350">
        <f t="shared" si="17"/>
        <v>1279200</v>
      </c>
      <c r="O21" s="946">
        <f t="shared" si="11"/>
        <v>213200</v>
      </c>
      <c r="P21" s="946">
        <f t="shared" si="10"/>
        <v>426400</v>
      </c>
      <c r="Q21" s="350">
        <f t="shared" si="18"/>
        <v>1918800</v>
      </c>
      <c r="R21" s="350">
        <f t="shared" si="19"/>
        <v>191880</v>
      </c>
      <c r="S21" s="350">
        <f t="shared" si="20"/>
        <v>172692</v>
      </c>
      <c r="T21" s="327">
        <f t="shared" si="21"/>
        <v>103615.2</v>
      </c>
      <c r="U21" s="327">
        <f t="shared" si="22"/>
        <v>86346</v>
      </c>
      <c r="V21" s="3036">
        <f t="shared" si="7"/>
        <v>189961.2</v>
      </c>
      <c r="W21" s="1942">
        <f t="shared" si="12"/>
        <v>19188</v>
      </c>
      <c r="X21" s="188">
        <v>0.01</v>
      </c>
      <c r="Y21" s="193"/>
      <c r="Z21" s="193"/>
      <c r="AA21" s="193"/>
      <c r="AB21" s="193"/>
      <c r="AC21" s="193"/>
      <c r="AD21" s="193"/>
      <c r="AE21" s="193"/>
      <c r="AF21" s="193"/>
      <c r="AG21" s="193"/>
      <c r="AH21" s="193"/>
      <c r="AI21" s="193"/>
      <c r="AJ21" s="193"/>
      <c r="AK21" s="193"/>
      <c r="AL21" s="193"/>
      <c r="AM21" s="193"/>
      <c r="AN21" s="193"/>
      <c r="AO21" s="193"/>
      <c r="AP21" s="193"/>
      <c r="AQ21" s="193"/>
      <c r="AR21" s="193"/>
      <c r="AS21" s="193"/>
      <c r="AT21" s="193"/>
      <c r="AU21" s="193"/>
      <c r="AV21" s="193"/>
      <c r="AW21" s="193"/>
      <c r="AX21" s="193"/>
      <c r="AY21" s="193"/>
      <c r="AZ21" s="193"/>
      <c r="BA21" s="193"/>
      <c r="BB21" s="193"/>
      <c r="BC21" s="193"/>
      <c r="BD21" s="193"/>
      <c r="BE21" s="193"/>
      <c r="BF21" s="193"/>
      <c r="BG21" s="193"/>
      <c r="BH21" s="193"/>
      <c r="BI21" s="193"/>
      <c r="BJ21" s="193"/>
      <c r="BK21" s="193"/>
      <c r="BL21" s="193"/>
      <c r="BM21" s="193"/>
      <c r="BN21" s="193"/>
      <c r="BO21" s="193"/>
      <c r="BP21" s="193"/>
      <c r="BQ21" s="193"/>
      <c r="BR21" s="193"/>
      <c r="BS21" s="193"/>
      <c r="BT21" s="193"/>
      <c r="BU21" s="193"/>
      <c r="BV21" s="193"/>
      <c r="BW21" s="193"/>
      <c r="BX21" s="193"/>
      <c r="BY21" s="193"/>
      <c r="BZ21" s="193"/>
      <c r="CA21" s="193"/>
      <c r="CB21" s="193"/>
      <c r="CC21" s="193"/>
      <c r="CD21" s="193"/>
      <c r="CE21" s="193"/>
      <c r="CF21" s="193"/>
      <c r="CG21" s="193"/>
      <c r="CH21" s="193"/>
      <c r="CI21" s="193"/>
      <c r="CJ21" s="193"/>
      <c r="CK21" s="193"/>
      <c r="CL21" s="193"/>
      <c r="CM21" s="193"/>
      <c r="CN21" s="193"/>
      <c r="CO21" s="193"/>
      <c r="CP21" s="193"/>
      <c r="CQ21" s="193"/>
      <c r="CR21" s="193"/>
      <c r="CS21" s="193"/>
      <c r="CT21" s="193"/>
      <c r="CU21" s="193"/>
      <c r="CV21" s="193"/>
      <c r="CW21" s="193"/>
      <c r="CX21" s="193"/>
      <c r="CY21" s="193"/>
      <c r="CZ21" s="193"/>
      <c r="DA21" s="193"/>
      <c r="DB21" s="193"/>
      <c r="DC21" s="193"/>
      <c r="DD21" s="193"/>
      <c r="DE21" s="193"/>
      <c r="DF21" s="193"/>
      <c r="DG21" s="193"/>
      <c r="DH21" s="193"/>
      <c r="DI21" s="193"/>
      <c r="DJ21" s="193"/>
      <c r="DK21" s="193"/>
      <c r="DL21" s="193"/>
      <c r="DM21" s="193"/>
      <c r="DN21" s="193"/>
      <c r="DO21" s="193"/>
      <c r="DP21" s="193"/>
      <c r="DQ21" s="193"/>
      <c r="DR21" s="193"/>
      <c r="DS21" s="193"/>
      <c r="DT21" s="193"/>
      <c r="DU21" s="193"/>
      <c r="DV21" s="193"/>
      <c r="DW21" s="193"/>
      <c r="DX21" s="193"/>
      <c r="DY21" s="193"/>
      <c r="DZ21" s="193"/>
      <c r="EA21" s="193"/>
      <c r="EB21" s="193"/>
      <c r="EC21" s="193"/>
      <c r="ED21" s="193"/>
      <c r="EE21" s="193"/>
      <c r="EF21" s="193"/>
      <c r="EG21" s="193"/>
      <c r="EH21" s="193"/>
      <c r="EI21" s="193"/>
      <c r="EJ21" s="193"/>
      <c r="EK21" s="193"/>
      <c r="EL21" s="193"/>
      <c r="EM21" s="193"/>
      <c r="EN21" s="193"/>
      <c r="EO21" s="193"/>
      <c r="EP21" s="193"/>
      <c r="EQ21" s="193"/>
      <c r="ER21" s="193"/>
      <c r="ES21" s="193"/>
      <c r="ET21" s="193"/>
      <c r="EU21" s="193"/>
      <c r="EV21" s="193"/>
      <c r="EW21" s="193"/>
      <c r="EX21" s="193"/>
      <c r="EY21" s="193"/>
      <c r="EZ21" s="193"/>
      <c r="FA21" s="193"/>
      <c r="FB21" s="193"/>
      <c r="FC21" s="193"/>
      <c r="FD21" s="193"/>
      <c r="FE21" s="193"/>
      <c r="FF21" s="193"/>
      <c r="FG21" s="193"/>
      <c r="FH21" s="193"/>
      <c r="FI21" s="193"/>
      <c r="FJ21" s="193"/>
      <c r="FK21" s="193"/>
      <c r="FL21" s="193"/>
      <c r="FM21" s="193"/>
      <c r="FN21" s="193"/>
      <c r="FO21" s="193"/>
      <c r="FP21" s="193"/>
      <c r="FQ21" s="193"/>
      <c r="FR21" s="193"/>
      <c r="FS21" s="193"/>
      <c r="FT21" s="193"/>
      <c r="FU21" s="193"/>
      <c r="FV21" s="193"/>
      <c r="FW21" s="193"/>
      <c r="FX21" s="193"/>
      <c r="FY21" s="193"/>
      <c r="FZ21" s="193"/>
      <c r="GA21" s="193"/>
      <c r="GB21" s="193"/>
      <c r="GC21" s="193"/>
      <c r="GD21" s="193"/>
      <c r="GE21" s="193"/>
      <c r="GF21" s="193"/>
      <c r="GG21" s="193"/>
      <c r="GH21" s="193"/>
      <c r="GI21" s="193"/>
      <c r="GJ21" s="193"/>
      <c r="GK21" s="193"/>
      <c r="GL21" s="193"/>
      <c r="GM21" s="193"/>
      <c r="GN21" s="193"/>
      <c r="GO21" s="193"/>
      <c r="GP21" s="193"/>
      <c r="GQ21" s="193"/>
      <c r="GR21" s="193"/>
      <c r="GS21" s="193"/>
      <c r="GT21" s="193"/>
      <c r="GU21" s="193"/>
      <c r="GV21" s="193"/>
      <c r="GW21" s="193"/>
      <c r="GX21" s="193"/>
      <c r="GY21" s="193"/>
      <c r="GZ21" s="193"/>
      <c r="HA21" s="193"/>
      <c r="HB21" s="193"/>
      <c r="HC21" s="193"/>
      <c r="HD21" s="193"/>
      <c r="HE21" s="193"/>
      <c r="HF21" s="193"/>
      <c r="HG21" s="193"/>
      <c r="HH21" s="193"/>
      <c r="HI21" s="193"/>
      <c r="HJ21" s="193"/>
      <c r="HK21" s="193"/>
      <c r="HL21" s="193"/>
      <c r="HM21" s="193"/>
      <c r="HN21" s="193"/>
      <c r="HO21" s="193"/>
      <c r="HP21" s="193"/>
      <c r="HQ21" s="193"/>
      <c r="HR21" s="193"/>
      <c r="HS21" s="193"/>
      <c r="HT21" s="193"/>
      <c r="HU21" s="193"/>
      <c r="HV21" s="193"/>
      <c r="HW21" s="193"/>
      <c r="HX21" s="193"/>
      <c r="HY21" s="193"/>
      <c r="HZ21" s="193"/>
      <c r="IA21" s="193"/>
      <c r="IB21" s="193"/>
      <c r="IC21" s="193"/>
      <c r="ID21" s="193"/>
      <c r="IE21" s="193"/>
      <c r="IF21" s="193"/>
      <c r="IG21" s="193"/>
      <c r="IH21" s="193"/>
      <c r="II21" s="193"/>
      <c r="IJ21" s="193"/>
      <c r="IK21" s="193"/>
      <c r="IL21" s="193"/>
      <c r="IM21" s="193"/>
      <c r="IN21" s="193"/>
      <c r="IO21" s="193"/>
      <c r="IP21" s="193"/>
      <c r="IQ21" s="193"/>
    </row>
    <row r="22" spans="1:251">
      <c r="A22" s="351"/>
      <c r="B22" s="352"/>
      <c r="C22" s="352"/>
      <c r="D22" s="352"/>
      <c r="E22" s="353"/>
      <c r="F22" s="354"/>
      <c r="G22" s="354"/>
      <c r="H22" s="354"/>
      <c r="I22" s="354"/>
      <c r="J22" s="354"/>
      <c r="K22" s="354"/>
      <c r="L22" s="354"/>
      <c r="M22" s="354"/>
      <c r="N22" s="354"/>
      <c r="O22" s="354"/>
      <c r="P22" s="354"/>
      <c r="Q22" s="354"/>
      <c r="R22" s="193"/>
      <c r="S22" s="193"/>
      <c r="T22" s="193"/>
      <c r="U22" s="193"/>
      <c r="V22" s="193"/>
      <c r="W22" s="1947"/>
      <c r="X22" s="193"/>
      <c r="Y22" s="193"/>
      <c r="Z22" s="193"/>
      <c r="AA22" s="193"/>
      <c r="AB22" s="193"/>
      <c r="AC22" s="193"/>
      <c r="AD22" s="193"/>
      <c r="AE22" s="193"/>
      <c r="AF22" s="193"/>
      <c r="AG22" s="193"/>
      <c r="AH22" s="193"/>
      <c r="AI22" s="193"/>
      <c r="AJ22" s="193"/>
      <c r="AK22" s="193"/>
      <c r="AL22" s="193"/>
      <c r="AM22" s="193"/>
      <c r="AN22" s="193"/>
      <c r="AO22" s="193"/>
      <c r="AP22" s="193"/>
      <c r="AQ22" s="193"/>
      <c r="AR22" s="193"/>
      <c r="AS22" s="193"/>
      <c r="AT22" s="193"/>
      <c r="AU22" s="193"/>
      <c r="AV22" s="193"/>
      <c r="AW22" s="193"/>
      <c r="AX22" s="193"/>
      <c r="AY22" s="193"/>
      <c r="AZ22" s="193"/>
      <c r="BA22" s="193"/>
      <c r="BB22" s="193"/>
      <c r="BC22" s="193"/>
      <c r="BD22" s="193"/>
      <c r="BE22" s="193"/>
      <c r="BF22" s="193"/>
      <c r="BG22" s="193"/>
      <c r="BH22" s="193"/>
      <c r="BI22" s="193"/>
      <c r="BJ22" s="193"/>
      <c r="BK22" s="193"/>
      <c r="BL22" s="193"/>
      <c r="BM22" s="193"/>
      <c r="BN22" s="193"/>
      <c r="BO22" s="193"/>
      <c r="BP22" s="193"/>
      <c r="BQ22" s="193"/>
      <c r="BR22" s="193"/>
      <c r="BS22" s="193"/>
      <c r="BT22" s="193"/>
      <c r="BU22" s="193"/>
      <c r="BV22" s="193"/>
      <c r="BW22" s="193"/>
      <c r="BX22" s="193"/>
      <c r="BY22" s="193"/>
      <c r="BZ22" s="193"/>
      <c r="CA22" s="193"/>
      <c r="CB22" s="193"/>
      <c r="CC22" s="193"/>
      <c r="CD22" s="193"/>
      <c r="CE22" s="193"/>
      <c r="CF22" s="193"/>
      <c r="CG22" s="193"/>
      <c r="CH22" s="193"/>
      <c r="CI22" s="193"/>
      <c r="CJ22" s="193"/>
      <c r="CK22" s="193"/>
      <c r="CL22" s="193"/>
      <c r="CM22" s="193"/>
      <c r="CN22" s="193"/>
      <c r="CO22" s="193"/>
      <c r="CP22" s="193"/>
      <c r="CQ22" s="193"/>
      <c r="CR22" s="193"/>
      <c r="CS22" s="193"/>
      <c r="CT22" s="193"/>
      <c r="CU22" s="193"/>
      <c r="CV22" s="193"/>
      <c r="CW22" s="193"/>
      <c r="CX22" s="193"/>
      <c r="CY22" s="193"/>
      <c r="CZ22" s="193"/>
      <c r="DA22" s="193"/>
      <c r="DB22" s="193"/>
      <c r="DC22" s="193"/>
      <c r="DD22" s="193"/>
      <c r="DE22" s="193"/>
      <c r="DF22" s="193"/>
      <c r="DG22" s="193"/>
      <c r="DH22" s="193"/>
      <c r="DI22" s="193"/>
      <c r="DJ22" s="193"/>
      <c r="DK22" s="193"/>
      <c r="DL22" s="193"/>
      <c r="DM22" s="193"/>
      <c r="DN22" s="193"/>
      <c r="DO22" s="193"/>
      <c r="DP22" s="193"/>
      <c r="DQ22" s="193"/>
      <c r="DR22" s="193"/>
      <c r="DS22" s="193"/>
      <c r="DT22" s="193"/>
      <c r="DU22" s="193"/>
      <c r="DV22" s="193"/>
      <c r="DW22" s="193"/>
      <c r="DX22" s="193"/>
      <c r="DY22" s="193"/>
      <c r="DZ22" s="193"/>
      <c r="EA22" s="193"/>
      <c r="EB22" s="193"/>
      <c r="EC22" s="193"/>
      <c r="ED22" s="193"/>
      <c r="EE22" s="193"/>
      <c r="EF22" s="193"/>
      <c r="EG22" s="193"/>
      <c r="EH22" s="193"/>
      <c r="EI22" s="193"/>
      <c r="EJ22" s="193"/>
      <c r="EK22" s="193"/>
      <c r="EL22" s="193"/>
      <c r="EM22" s="193"/>
      <c r="EN22" s="193"/>
      <c r="EO22" s="193"/>
      <c r="EP22" s="193"/>
      <c r="EQ22" s="193"/>
      <c r="ER22" s="193"/>
      <c r="ES22" s="193"/>
      <c r="ET22" s="193"/>
      <c r="EU22" s="193"/>
      <c r="EV22" s="193"/>
      <c r="EW22" s="193"/>
      <c r="EX22" s="193"/>
      <c r="EY22" s="193"/>
      <c r="EZ22" s="193"/>
      <c r="FA22" s="193"/>
      <c r="FB22" s="193"/>
      <c r="FC22" s="193"/>
      <c r="FD22" s="193"/>
      <c r="FE22" s="193"/>
      <c r="FF22" s="193"/>
      <c r="FG22" s="193"/>
      <c r="FH22" s="193"/>
      <c r="FI22" s="193"/>
      <c r="FJ22" s="193"/>
      <c r="FK22" s="193"/>
      <c r="FL22" s="193"/>
      <c r="FM22" s="193"/>
      <c r="FN22" s="193"/>
      <c r="FO22" s="193"/>
      <c r="FP22" s="193"/>
      <c r="FQ22" s="193"/>
      <c r="FR22" s="193"/>
      <c r="FS22" s="193"/>
      <c r="FT22" s="193"/>
      <c r="FU22" s="193"/>
      <c r="FV22" s="193"/>
      <c r="FW22" s="193"/>
      <c r="FX22" s="193"/>
      <c r="FY22" s="193"/>
      <c r="FZ22" s="193"/>
      <c r="GA22" s="193"/>
      <c r="GB22" s="193"/>
      <c r="GC22" s="193"/>
      <c r="GD22" s="193"/>
      <c r="GE22" s="193"/>
      <c r="GF22" s="193"/>
      <c r="GG22" s="193"/>
      <c r="GH22" s="193"/>
      <c r="GI22" s="193"/>
      <c r="GJ22" s="193"/>
      <c r="GK22" s="193"/>
      <c r="GL22" s="193"/>
      <c r="GM22" s="193"/>
      <c r="GN22" s="193"/>
      <c r="GO22" s="193"/>
      <c r="GP22" s="193"/>
      <c r="GQ22" s="193"/>
      <c r="GR22" s="193"/>
      <c r="GS22" s="193"/>
      <c r="GT22" s="193"/>
      <c r="GU22" s="193"/>
      <c r="GV22" s="193"/>
      <c r="GW22" s="193"/>
      <c r="GX22" s="193"/>
      <c r="GY22" s="193"/>
      <c r="GZ22" s="193"/>
      <c r="HA22" s="193"/>
      <c r="HB22" s="193"/>
      <c r="HC22" s="193"/>
      <c r="HD22" s="193"/>
      <c r="HE22" s="193"/>
      <c r="HF22" s="193"/>
      <c r="HG22" s="193"/>
      <c r="HH22" s="193"/>
      <c r="HI22" s="193"/>
      <c r="HJ22" s="193"/>
      <c r="HK22" s="193"/>
      <c r="HL22" s="193"/>
      <c r="HM22" s="193"/>
      <c r="HN22" s="193"/>
      <c r="HO22" s="193"/>
      <c r="HP22" s="193"/>
      <c r="HQ22" s="193"/>
      <c r="HR22" s="193"/>
      <c r="HS22" s="193"/>
      <c r="HT22" s="193"/>
      <c r="HU22" s="193"/>
      <c r="HV22" s="193"/>
      <c r="HW22" s="193"/>
      <c r="HX22" s="193"/>
      <c r="HY22" s="193"/>
      <c r="HZ22" s="193"/>
      <c r="IA22" s="193"/>
      <c r="IB22" s="193"/>
      <c r="IC22" s="193"/>
      <c r="ID22" s="193"/>
      <c r="IE22" s="193"/>
      <c r="IF22" s="193"/>
      <c r="IG22" s="193"/>
      <c r="IH22" s="193"/>
      <c r="II22" s="193"/>
      <c r="IJ22" s="193"/>
      <c r="IK22" s="193"/>
      <c r="IL22" s="193"/>
      <c r="IM22" s="193"/>
      <c r="IN22" s="193"/>
      <c r="IO22" s="193"/>
      <c r="IP22" s="193"/>
      <c r="IQ22" s="193"/>
    </row>
    <row r="23" spans="1:251" ht="15.75">
      <c r="B23" s="300"/>
      <c r="C23" s="514"/>
      <c r="D23" s="514"/>
      <c r="E23" s="1075"/>
      <c r="F23" s="419"/>
      <c r="G23" s="406"/>
      <c r="H23" s="406"/>
      <c r="I23" s="406"/>
      <c r="J23" s="1075"/>
      <c r="K23" s="406"/>
      <c r="L23" s="406"/>
      <c r="M23" s="716"/>
      <c r="N23" s="958"/>
      <c r="O23" s="959"/>
      <c r="P23" s="959"/>
      <c r="Q23" s="959"/>
      <c r="R23" s="949"/>
      <c r="S23" s="949"/>
      <c r="T23" s="949"/>
      <c r="U23" s="949"/>
    </row>
    <row r="24" spans="1:251" ht="15.75">
      <c r="B24" s="2042" t="s">
        <v>368</v>
      </c>
      <c r="C24" s="514"/>
      <c r="D24" s="514"/>
      <c r="E24" s="1075"/>
      <c r="F24" s="419"/>
      <c r="G24" s="406"/>
      <c r="H24" s="406"/>
      <c r="I24" s="406"/>
      <c r="J24" s="1075" t="s">
        <v>369</v>
      </c>
      <c r="K24" s="406"/>
      <c r="L24" s="406"/>
      <c r="M24" s="3804"/>
      <c r="N24" s="3804"/>
      <c r="O24" s="959"/>
      <c r="P24" s="959"/>
      <c r="Q24" s="959"/>
      <c r="R24" s="949"/>
      <c r="S24" s="949"/>
      <c r="T24" s="949"/>
      <c r="U24" s="949"/>
    </row>
    <row r="25" spans="1:251" ht="15.75">
      <c r="B25" s="2042" t="s">
        <v>370</v>
      </c>
      <c r="C25" s="514"/>
      <c r="D25" s="514"/>
      <c r="E25" s="1075"/>
      <c r="F25" s="419"/>
      <c r="G25" s="406"/>
      <c r="H25" s="2042" t="s">
        <v>371</v>
      </c>
      <c r="I25" s="406"/>
      <c r="J25" s="1075"/>
      <c r="K25" s="406"/>
      <c r="L25" s="406"/>
      <c r="M25" s="960"/>
      <c r="N25" s="960"/>
      <c r="O25" s="959"/>
      <c r="P25" s="959">
        <v>0</v>
      </c>
      <c r="Q25" s="959"/>
      <c r="R25" s="949"/>
      <c r="S25" s="949"/>
      <c r="T25" s="949"/>
      <c r="U25" s="949"/>
    </row>
    <row r="26" spans="1:251" ht="15.75">
      <c r="B26" s="2042"/>
      <c r="C26" s="1076"/>
      <c r="D26" s="475"/>
      <c r="E26" s="1077"/>
      <c r="F26" s="419"/>
      <c r="G26" s="406"/>
      <c r="H26" s="2042"/>
      <c r="I26" s="406"/>
      <c r="J26" s="188"/>
      <c r="K26" s="406"/>
      <c r="L26" s="406"/>
      <c r="M26" s="960"/>
      <c r="N26" s="960"/>
      <c r="O26" s="959"/>
      <c r="P26" s="959"/>
      <c r="Q26" s="959"/>
      <c r="R26" s="949"/>
      <c r="S26" s="949"/>
      <c r="T26" s="949"/>
      <c r="U26" s="949"/>
    </row>
    <row r="27" spans="1:251" ht="15.75">
      <c r="B27" s="2042" t="s">
        <v>451</v>
      </c>
      <c r="C27" s="1076"/>
      <c r="D27" s="475"/>
      <c r="E27" s="1077"/>
      <c r="F27" s="419"/>
      <c r="G27" s="406"/>
      <c r="H27" s="2042" t="s">
        <v>452</v>
      </c>
      <c r="I27" s="406"/>
      <c r="J27" s="1074" t="s">
        <v>374</v>
      </c>
      <c r="K27" s="406"/>
      <c r="L27" s="406"/>
      <c r="M27" s="960"/>
      <c r="N27" s="960"/>
      <c r="O27" s="949"/>
      <c r="P27" s="949"/>
      <c r="Q27" s="949"/>
      <c r="R27" s="949"/>
      <c r="S27" s="949"/>
      <c r="T27" s="949"/>
      <c r="U27" s="949"/>
    </row>
    <row r="28" spans="1:251" ht="15.75">
      <c r="B28" s="2042"/>
      <c r="C28" s="1076"/>
      <c r="D28" s="475"/>
      <c r="E28" s="1077"/>
      <c r="F28" s="580"/>
      <c r="G28" s="406"/>
      <c r="H28" s="2042"/>
      <c r="I28" s="406"/>
      <c r="J28" s="1078"/>
      <c r="K28" s="406"/>
      <c r="L28" s="406"/>
    </row>
    <row r="29" spans="1:251" ht="15.75">
      <c r="B29" s="2042" t="s">
        <v>375</v>
      </c>
      <c r="C29" s="1078"/>
      <c r="D29" s="1078"/>
      <c r="E29" s="1078"/>
      <c r="F29" s="580"/>
      <c r="G29" s="406"/>
      <c r="H29" s="2042" t="s">
        <v>377</v>
      </c>
      <c r="I29" s="406"/>
      <c r="J29" s="1074" t="s">
        <v>376</v>
      </c>
      <c r="K29" s="406"/>
      <c r="L29" s="406"/>
    </row>
    <row r="32" spans="1:251">
      <c r="B32" s="2886"/>
    </row>
  </sheetData>
  <sheetProtection formatColumns="0" insertRows="0" deleteRows="0"/>
  <mergeCells count="21">
    <mergeCell ref="W7:W8"/>
    <mergeCell ref="Q7:Q8"/>
    <mergeCell ref="R7:R8"/>
    <mergeCell ref="S7:S8"/>
    <mergeCell ref="T7:T8"/>
    <mergeCell ref="V7:V8"/>
    <mergeCell ref="U7:U8"/>
    <mergeCell ref="O7:O8"/>
    <mergeCell ref="P7:P8"/>
    <mergeCell ref="N7:N8"/>
    <mergeCell ref="A7:A8"/>
    <mergeCell ref="B7:B8"/>
    <mergeCell ref="C7:C8"/>
    <mergeCell ref="D7:D8"/>
    <mergeCell ref="E7:E8"/>
    <mergeCell ref="F7:F8"/>
    <mergeCell ref="G7:G8"/>
    <mergeCell ref="H7:H8"/>
    <mergeCell ref="I7:J7"/>
    <mergeCell ref="K7:L7"/>
    <mergeCell ref="M7:M8"/>
  </mergeCells>
  <pageMargins left="0" right="0" top="0" bottom="0" header="0" footer="0"/>
  <pageSetup paperSize="9" scale="61" fitToHeight="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Лист7">
    <tabColor theme="3" tint="0.79998168889431442"/>
    <pageSetUpPr fitToPage="1"/>
  </sheetPr>
  <dimension ref="A1:W26"/>
  <sheetViews>
    <sheetView workbookViewId="0">
      <selection activeCell="C23" sqref="C23"/>
    </sheetView>
  </sheetViews>
  <sheetFormatPr defaultColWidth="9.140625" defaultRowHeight="15"/>
  <cols>
    <col min="1" max="1" width="4" style="406" customWidth="1"/>
    <col min="2" max="2" width="19.28515625" style="406" customWidth="1"/>
    <col min="3" max="3" width="18.140625" style="406" customWidth="1"/>
    <col min="4" max="4" width="6.85546875" style="406" customWidth="1"/>
    <col min="5" max="5" width="7.85546875" style="406" customWidth="1"/>
    <col min="6" max="6" width="13" style="406" customWidth="1"/>
    <col min="7" max="7" width="12.7109375" style="406" customWidth="1"/>
    <col min="8" max="9" width="11" style="406" customWidth="1"/>
    <col min="10" max="11" width="14.5703125" style="406" customWidth="1"/>
    <col min="12" max="12" width="15.140625" style="406" bestFit="1" customWidth="1"/>
    <col min="13" max="14" width="12.85546875" style="406" customWidth="1"/>
    <col min="15" max="15" width="0" style="406" hidden="1" customWidth="1"/>
    <col min="16" max="16" width="9.28515625" style="406" bestFit="1" customWidth="1"/>
    <col min="17" max="17" width="13.140625" style="406" bestFit="1" customWidth="1"/>
    <col min="18" max="18" width="9.28515625" style="406" bestFit="1" customWidth="1"/>
    <col min="19" max="19" width="13.140625" style="406" bestFit="1" customWidth="1"/>
    <col min="20" max="20" width="9.140625" style="406"/>
    <col min="21" max="21" width="11" style="406" bestFit="1" customWidth="1"/>
    <col min="22" max="22" width="9.140625" style="406"/>
    <col min="23" max="23" width="12" style="406" bestFit="1" customWidth="1"/>
    <col min="24" max="16384" width="9.140625" style="406"/>
  </cols>
  <sheetData>
    <row r="1" spans="1:23" ht="15.75">
      <c r="M1" s="407" t="s">
        <v>267</v>
      </c>
      <c r="N1" s="671" t="s">
        <v>991</v>
      </c>
    </row>
    <row r="2" spans="1:23" s="909" customFormat="1" ht="15.75">
      <c r="A2" s="908" t="s">
        <v>992</v>
      </c>
    </row>
    <row r="3" spans="1:23">
      <c r="A3" s="49"/>
      <c r="E3" s="406" t="s">
        <v>993</v>
      </c>
    </row>
    <row r="4" spans="1:23" s="909" customFormat="1" ht="15.75">
      <c r="A4" s="656" t="s">
        <v>994</v>
      </c>
      <c r="C4" s="910"/>
      <c r="D4" s="910"/>
      <c r="E4" s="910"/>
      <c r="O4" s="406"/>
    </row>
    <row r="5" spans="1:23" ht="15.75">
      <c r="A5" s="168" t="s">
        <v>990</v>
      </c>
      <c r="C5" s="407"/>
      <c r="D5" s="407"/>
      <c r="E5" s="407"/>
    </row>
    <row r="7" spans="1:23" ht="16.5" customHeight="1">
      <c r="A7" s="3982" t="s">
        <v>2</v>
      </c>
      <c r="B7" s="3982" t="s">
        <v>478</v>
      </c>
      <c r="C7" s="3982" t="s">
        <v>995</v>
      </c>
      <c r="D7" s="3982" t="s">
        <v>996</v>
      </c>
      <c r="E7" s="3983" t="s">
        <v>997</v>
      </c>
      <c r="F7" s="3979" t="s">
        <v>998</v>
      </c>
      <c r="G7" s="3980"/>
      <c r="H7" s="3980"/>
      <c r="I7" s="3981"/>
      <c r="J7" s="3982" t="s">
        <v>999</v>
      </c>
      <c r="K7" s="3983" t="s">
        <v>1000</v>
      </c>
      <c r="L7" s="3982" t="s">
        <v>345</v>
      </c>
      <c r="M7" s="3979" t="s">
        <v>1001</v>
      </c>
      <c r="N7" s="3981"/>
      <c r="P7" s="3977" t="s">
        <v>1002</v>
      </c>
      <c r="Q7" s="3977" t="s">
        <v>1003</v>
      </c>
      <c r="R7" s="3977" t="s">
        <v>1004</v>
      </c>
      <c r="S7" s="3977" t="s">
        <v>1005</v>
      </c>
      <c r="T7" s="3977" t="s">
        <v>1006</v>
      </c>
      <c r="U7" s="3977" t="s">
        <v>1007</v>
      </c>
      <c r="V7" s="3977" t="s">
        <v>1008</v>
      </c>
      <c r="W7" s="3977" t="s">
        <v>1009</v>
      </c>
    </row>
    <row r="8" spans="1:23" ht="71.25">
      <c r="A8" s="3982"/>
      <c r="B8" s="3982"/>
      <c r="C8" s="3982"/>
      <c r="D8" s="3982"/>
      <c r="E8" s="3984"/>
      <c r="F8" s="408" t="s">
        <v>1010</v>
      </c>
      <c r="G8" s="408" t="s">
        <v>1011</v>
      </c>
      <c r="H8" s="408" t="s">
        <v>1012</v>
      </c>
      <c r="I8" s="408" t="s">
        <v>1013</v>
      </c>
      <c r="J8" s="3982"/>
      <c r="K8" s="3984"/>
      <c r="L8" s="3982"/>
      <c r="M8" s="409" t="s">
        <v>7</v>
      </c>
      <c r="N8" s="3542" t="s">
        <v>8</v>
      </c>
      <c r="O8" s="406">
        <v>1.06</v>
      </c>
      <c r="P8" s="3978"/>
      <c r="Q8" s="3978"/>
      <c r="R8" s="3978"/>
      <c r="S8" s="3978"/>
      <c r="T8" s="3978"/>
      <c r="U8" s="3978"/>
      <c r="V8" s="3978"/>
      <c r="W8" s="3978"/>
    </row>
    <row r="9" spans="1:23">
      <c r="A9" s="410"/>
      <c r="B9" s="411" t="s">
        <v>306</v>
      </c>
      <c r="C9" s="410"/>
      <c r="D9" s="410"/>
      <c r="E9" s="603"/>
      <c r="F9" s="603">
        <f>SUM(F10:F12)</f>
        <v>0</v>
      </c>
      <c r="G9" s="603">
        <f>SUM(G10:G12)</f>
        <v>0</v>
      </c>
      <c r="H9" s="603">
        <f>SUM(H10:H12)</f>
        <v>0</v>
      </c>
      <c r="I9" s="603">
        <f>SUM(I10:I12)</f>
        <v>0</v>
      </c>
      <c r="J9" s="603"/>
      <c r="K9" s="603"/>
      <c r="L9" s="3544">
        <f>SUM(L10:L13)</f>
        <v>16976.96</v>
      </c>
      <c r="M9" s="628">
        <f>SUM(M10:M12)</f>
        <v>0</v>
      </c>
      <c r="N9" s="628">
        <f>SUM(N10:N12)</f>
        <v>0</v>
      </c>
      <c r="O9" s="1186">
        <v>1.1200000000000001</v>
      </c>
      <c r="P9" s="1186"/>
      <c r="Q9" s="3546">
        <f>SUM(Q10:Q13)</f>
        <v>0</v>
      </c>
      <c r="R9" s="3546"/>
      <c r="S9" s="3546">
        <f>SUM(S10:S13)</f>
        <v>0</v>
      </c>
      <c r="T9" s="3546"/>
      <c r="U9" s="3546">
        <f>SUM(U10:U13)</f>
        <v>0</v>
      </c>
      <c r="V9" s="3546"/>
      <c r="W9" s="3546">
        <f>SUM(W10:W13)</f>
        <v>16976.96</v>
      </c>
    </row>
    <row r="10" spans="1:23" ht="38.25" hidden="1">
      <c r="A10" s="911">
        <v>1</v>
      </c>
      <c r="B10" s="2825" t="s">
        <v>1014</v>
      </c>
      <c r="C10" s="2825" t="s">
        <v>1015</v>
      </c>
      <c r="D10" s="1072" t="s">
        <v>1016</v>
      </c>
      <c r="E10" s="912">
        <v>2</v>
      </c>
      <c r="F10" s="912"/>
      <c r="G10" s="912"/>
      <c r="H10" s="912"/>
      <c r="I10" s="937">
        <f>F10-G10-H10</f>
        <v>0</v>
      </c>
      <c r="J10" s="3313"/>
      <c r="K10" s="2458">
        <f>J10*$O$8*$O$9</f>
        <v>0</v>
      </c>
      <c r="L10" s="2458">
        <f>ROUND(I10*K10,2)</f>
        <v>0</v>
      </c>
      <c r="M10" s="913"/>
      <c r="N10" s="3545"/>
      <c r="P10" s="2458"/>
      <c r="Q10" s="2458">
        <f>ROUND(P10*K10,2)</f>
        <v>0</v>
      </c>
      <c r="R10" s="2458"/>
      <c r="S10" s="2458">
        <f>ROUND(R10*K10,2)</f>
        <v>0</v>
      </c>
      <c r="T10" s="2458"/>
      <c r="U10" s="2458"/>
      <c r="V10" s="2458"/>
      <c r="W10" s="2458"/>
    </row>
    <row r="11" spans="1:23" ht="38.25" hidden="1">
      <c r="A11" s="911">
        <v>2</v>
      </c>
      <c r="B11" s="2825" t="s">
        <v>1017</v>
      </c>
      <c r="C11" s="2825" t="s">
        <v>1018</v>
      </c>
      <c r="D11" s="3600" t="s">
        <v>1016</v>
      </c>
      <c r="E11" s="3601">
        <v>2</v>
      </c>
      <c r="F11" s="3601"/>
      <c r="G11" s="3601"/>
      <c r="H11" s="3601"/>
      <c r="I11" s="3602">
        <f t="shared" ref="I11:I13" si="0">F11-G11-H11</f>
        <v>0</v>
      </c>
      <c r="J11" s="3603"/>
      <c r="K11" s="2458">
        <f t="shared" ref="K11:K12" si="1">J11*$O$8*$O$9</f>
        <v>0</v>
      </c>
      <c r="L11" s="2458">
        <f t="shared" ref="L11:L12" si="2">ROUND(I11*K11,2)</f>
        <v>0</v>
      </c>
      <c r="M11" s="3604"/>
      <c r="N11" s="3604"/>
      <c r="P11" s="2458"/>
      <c r="Q11" s="2458">
        <f t="shared" ref="Q11:Q13" si="3">ROUND(P11*K11,2)</f>
        <v>0</v>
      </c>
      <c r="R11" s="2458"/>
      <c r="S11" s="2458">
        <f t="shared" ref="S11:S13" si="4">ROUND(R11*K11,2)</f>
        <v>0</v>
      </c>
      <c r="T11" s="2458"/>
      <c r="U11" s="2458"/>
      <c r="V11" s="2458"/>
      <c r="W11" s="2458"/>
    </row>
    <row r="12" spans="1:23" ht="38.25" hidden="1">
      <c r="A12" s="911">
        <v>3</v>
      </c>
      <c r="B12" s="2825" t="s">
        <v>1019</v>
      </c>
      <c r="C12" s="3599" t="s">
        <v>1020</v>
      </c>
      <c r="D12" s="1072" t="s">
        <v>1016</v>
      </c>
      <c r="E12" s="912">
        <v>2</v>
      </c>
      <c r="F12" s="912"/>
      <c r="G12" s="912"/>
      <c r="H12" s="912"/>
      <c r="I12" s="937">
        <f t="shared" si="0"/>
        <v>0</v>
      </c>
      <c r="J12" s="3313"/>
      <c r="K12" s="2458">
        <f t="shared" si="1"/>
        <v>0</v>
      </c>
      <c r="L12" s="2458">
        <f t="shared" si="2"/>
        <v>0</v>
      </c>
      <c r="M12" s="913"/>
      <c r="N12" s="913"/>
      <c r="O12" s="1186"/>
      <c r="P12" s="2458"/>
      <c r="Q12" s="2458">
        <f t="shared" si="3"/>
        <v>0</v>
      </c>
      <c r="R12" s="2458"/>
      <c r="S12" s="2458">
        <f t="shared" si="4"/>
        <v>0</v>
      </c>
      <c r="T12" s="2458"/>
      <c r="U12" s="2458"/>
      <c r="V12" s="2458"/>
      <c r="W12" s="2458"/>
    </row>
    <row r="13" spans="1:23" ht="38.25">
      <c r="A13" s="911">
        <v>4</v>
      </c>
      <c r="B13" s="3547" t="s">
        <v>1021</v>
      </c>
      <c r="C13" s="3547" t="s">
        <v>1021</v>
      </c>
      <c r="D13" s="1072" t="s">
        <v>1022</v>
      </c>
      <c r="E13" s="937"/>
      <c r="F13" s="937">
        <v>11</v>
      </c>
      <c r="G13" s="937"/>
      <c r="H13" s="937"/>
      <c r="I13" s="937">
        <f t="shared" si="0"/>
        <v>11</v>
      </c>
      <c r="J13" s="937">
        <v>1300</v>
      </c>
      <c r="K13" s="2458">
        <f>ROUND(J13*$O$8*$O$9,2)</f>
        <v>1543.36</v>
      </c>
      <c r="L13" s="2458">
        <f>ROUND(I13*K13,2)</f>
        <v>16976.96</v>
      </c>
      <c r="M13" s="937"/>
      <c r="N13" s="937"/>
      <c r="O13" s="937"/>
      <c r="P13" s="2458"/>
      <c r="Q13" s="2458">
        <f t="shared" si="3"/>
        <v>0</v>
      </c>
      <c r="R13" s="2458"/>
      <c r="S13" s="3234">
        <f t="shared" si="4"/>
        <v>0</v>
      </c>
      <c r="T13" s="2458"/>
      <c r="U13" s="2458">
        <f>ROUND(T13*K13,2)</f>
        <v>0</v>
      </c>
      <c r="V13" s="2458">
        <v>11</v>
      </c>
      <c r="W13" s="2458">
        <f>ROUND(V13*K13,2)</f>
        <v>16976.96</v>
      </c>
    </row>
    <row r="14" spans="1:23">
      <c r="A14" s="3597"/>
      <c r="B14" s="3598"/>
      <c r="C14" s="3598"/>
    </row>
    <row r="15" spans="1:23">
      <c r="A15" s="3597"/>
      <c r="B15" s="3598"/>
      <c r="C15" s="3598"/>
    </row>
    <row r="16" spans="1:23" ht="15.75">
      <c r="A16" s="656" t="s">
        <v>368</v>
      </c>
      <c r="B16" s="656"/>
      <c r="F16" s="909"/>
      <c r="G16" s="909"/>
      <c r="H16" s="909"/>
      <c r="I16" s="2041"/>
      <c r="J16" s="909"/>
      <c r="K16" s="909"/>
      <c r="L16" s="909"/>
      <c r="M16" s="909"/>
      <c r="N16" s="909"/>
    </row>
    <row r="17" spans="1:18" ht="15.75">
      <c r="A17" s="656" t="s">
        <v>370</v>
      </c>
      <c r="B17" s="656"/>
      <c r="F17" s="909"/>
      <c r="G17" s="909"/>
      <c r="H17" s="909"/>
      <c r="I17" s="656" t="s">
        <v>371</v>
      </c>
      <c r="J17" s="909"/>
      <c r="K17" s="909"/>
      <c r="L17" s="909"/>
      <c r="M17" s="909"/>
      <c r="N17" s="909"/>
    </row>
    <row r="18" spans="1:18" ht="15.75">
      <c r="A18" s="656"/>
      <c r="B18" s="656"/>
      <c r="F18" s="909"/>
      <c r="G18" s="909"/>
      <c r="H18" s="909"/>
      <c r="I18" s="656"/>
      <c r="J18" s="909"/>
      <c r="K18" s="909"/>
      <c r="L18" s="909"/>
      <c r="M18" s="909"/>
      <c r="N18" s="3645">
        <v>24656.93</v>
      </c>
      <c r="P18" s="406">
        <f>ROUND(1300*1.12*1.06,2)</f>
        <v>1543.36</v>
      </c>
    </row>
    <row r="19" spans="1:18" ht="15.75">
      <c r="A19" s="656" t="s">
        <v>451</v>
      </c>
      <c r="B19" s="656"/>
      <c r="F19" s="909"/>
      <c r="G19" s="909"/>
      <c r="H19" s="909"/>
      <c r="I19" s="656" t="s">
        <v>452</v>
      </c>
      <c r="J19" s="909"/>
      <c r="K19" s="909"/>
      <c r="L19" s="909"/>
      <c r="M19" s="909"/>
      <c r="N19" s="909">
        <f>N18/K13</f>
        <v>15.976136481443087</v>
      </c>
      <c r="P19" s="3646">
        <f>N18/P18</f>
        <v>15.976136481443087</v>
      </c>
    </row>
    <row r="20" spans="1:18" ht="15.75">
      <c r="A20" s="656"/>
      <c r="B20" s="656"/>
      <c r="F20" s="909"/>
      <c r="G20" s="909"/>
      <c r="H20" s="909"/>
      <c r="I20" s="656"/>
      <c r="J20" s="909"/>
      <c r="K20" s="909"/>
      <c r="L20" s="909"/>
      <c r="M20" s="909"/>
      <c r="N20" s="909"/>
      <c r="P20" s="406">
        <f>16*1456</f>
        <v>23296</v>
      </c>
      <c r="Q20" s="406">
        <f>15*1543.36</f>
        <v>23150.399999999998</v>
      </c>
    </row>
    <row r="21" spans="1:18" ht="15.75">
      <c r="A21" s="656" t="s">
        <v>375</v>
      </c>
      <c r="B21" s="656"/>
      <c r="F21" s="909"/>
      <c r="G21" s="909"/>
      <c r="H21" s="909"/>
      <c r="I21" s="656" t="s">
        <v>377</v>
      </c>
      <c r="J21" s="909"/>
      <c r="K21" s="909"/>
      <c r="L21" s="909"/>
      <c r="M21" s="909"/>
      <c r="N21" s="909"/>
      <c r="P21" s="3646">
        <f>P20-N18</f>
        <v>-1360.9300000000003</v>
      </c>
      <c r="Q21" s="3646">
        <f>Q20-N18</f>
        <v>-1506.5300000000025</v>
      </c>
    </row>
    <row r="23" spans="1:18">
      <c r="R23" s="406">
        <v>6122.07</v>
      </c>
    </row>
    <row r="24" spans="1:18">
      <c r="R24" s="406">
        <f>R23/P18</f>
        <v>3.9667154779183083</v>
      </c>
    </row>
    <row r="25" spans="1:18">
      <c r="R25" s="406">
        <f>4*1300*1.12*1.06</f>
        <v>6173.4400000000014</v>
      </c>
    </row>
    <row r="26" spans="1:18">
      <c r="R26" s="406">
        <f>R23-R25</f>
        <v>-51.37000000000171</v>
      </c>
    </row>
  </sheetData>
  <sheetProtection formatColumns="0" insertRows="0" deleteRows="0"/>
  <mergeCells count="18">
    <mergeCell ref="A7:A8"/>
    <mergeCell ref="B7:B8"/>
    <mergeCell ref="C7:C8"/>
    <mergeCell ref="D7:D8"/>
    <mergeCell ref="E7:E8"/>
    <mergeCell ref="F7:I7"/>
    <mergeCell ref="J7:J8"/>
    <mergeCell ref="L7:L8"/>
    <mergeCell ref="M7:N7"/>
    <mergeCell ref="K7:K8"/>
    <mergeCell ref="T7:T8"/>
    <mergeCell ref="U7:U8"/>
    <mergeCell ref="V7:V8"/>
    <mergeCell ref="W7:W8"/>
    <mergeCell ref="P7:P8"/>
    <mergeCell ref="Q7:Q8"/>
    <mergeCell ref="R7:R8"/>
    <mergeCell ref="S7:S8"/>
  </mergeCells>
  <pageMargins left="0" right="0" top="0" bottom="0" header="0" footer="0"/>
  <pageSetup paperSize="9" scale="55" fitToHeight="0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Лист8">
    <tabColor rgb="FFFFFF00"/>
    <pageSetUpPr fitToPage="1"/>
  </sheetPr>
  <dimension ref="A1:M70"/>
  <sheetViews>
    <sheetView workbookViewId="0">
      <pane xSplit="2" ySplit="44" topLeftCell="C51" activePane="bottomRight" state="frozen"/>
      <selection pane="topRight" activeCell="C1" sqref="C1"/>
      <selection pane="bottomLeft" activeCell="A45" sqref="A45"/>
      <selection pane="bottomRight" activeCell="K60" sqref="K60"/>
    </sheetView>
  </sheetViews>
  <sheetFormatPr defaultColWidth="9.140625" defaultRowHeight="12.75"/>
  <cols>
    <col min="1" max="1" width="6.5703125" style="1822" customWidth="1"/>
    <col min="2" max="2" width="32.42578125" style="1822" customWidth="1"/>
    <col min="3" max="3" width="11.85546875" style="1823" customWidth="1"/>
    <col min="4" max="4" width="11.7109375" style="1822" customWidth="1"/>
    <col min="5" max="5" width="16.140625" style="1822" customWidth="1"/>
    <col min="6" max="6" width="11.28515625" style="1822" customWidth="1"/>
    <col min="7" max="7" width="15.5703125" style="1822" customWidth="1"/>
    <col min="8" max="8" width="12" style="1822" customWidth="1"/>
    <col min="9" max="9" width="16.85546875" style="1822" customWidth="1"/>
    <col min="10" max="10" width="12.5703125" style="1822" customWidth="1"/>
    <col min="11" max="11" width="17.42578125" style="1822" customWidth="1"/>
    <col min="12" max="12" width="9.140625" style="1822"/>
    <col min="13" max="14" width="11.7109375" style="1822" customWidth="1"/>
    <col min="15" max="16384" width="9.140625" style="1822"/>
  </cols>
  <sheetData>
    <row r="1" spans="1:11">
      <c r="H1" s="1824" t="s">
        <v>267</v>
      </c>
      <c r="I1" s="1825" t="s">
        <v>1023</v>
      </c>
      <c r="J1" s="1826"/>
    </row>
    <row r="2" spans="1:11">
      <c r="A2" s="3991" t="s">
        <v>1024</v>
      </c>
      <c r="B2" s="3991"/>
      <c r="C2" s="3991"/>
      <c r="D2" s="3991"/>
      <c r="E2" s="3991"/>
      <c r="F2" s="3991"/>
      <c r="G2" s="3991"/>
      <c r="H2" s="3991"/>
      <c r="I2" s="3991"/>
      <c r="J2" s="3037"/>
      <c r="K2" s="3037"/>
    </row>
    <row r="3" spans="1:11">
      <c r="A3" s="3038"/>
      <c r="B3" s="3038"/>
      <c r="C3" s="3038"/>
      <c r="D3" s="3038"/>
      <c r="E3" s="3038"/>
      <c r="F3" s="3038"/>
      <c r="G3" s="3038"/>
      <c r="H3" s="3038"/>
      <c r="I3" s="3038"/>
      <c r="J3" s="3037"/>
      <c r="K3" s="3037"/>
    </row>
    <row r="4" spans="1:11" ht="18.75" customHeight="1">
      <c r="A4" s="3039" t="s">
        <v>1025</v>
      </c>
      <c r="B4" s="3040"/>
      <c r="C4" s="3041"/>
      <c r="D4" s="3040"/>
      <c r="E4" s="3040"/>
      <c r="F4" s="3040"/>
      <c r="G4" s="3040"/>
      <c r="H4" s="3040"/>
      <c r="I4" s="3040"/>
      <c r="J4" s="3037"/>
      <c r="K4" s="3037"/>
    </row>
    <row r="5" spans="1:11" hidden="1">
      <c r="A5" s="3042" t="s">
        <v>1026</v>
      </c>
      <c r="B5" s="3043"/>
      <c r="C5" s="3043"/>
      <c r="D5" s="3043"/>
      <c r="E5" s="3043"/>
      <c r="F5" s="3043"/>
      <c r="G5" s="3043"/>
      <c r="H5" s="3043"/>
      <c r="I5" s="3043"/>
      <c r="J5" s="3037"/>
      <c r="K5" s="3037"/>
    </row>
    <row r="6" spans="1:11" hidden="1">
      <c r="A6" s="3042"/>
      <c r="B6" s="3043"/>
      <c r="C6" s="3043"/>
      <c r="D6" s="3043"/>
      <c r="E6" s="3043"/>
      <c r="F6" s="3043"/>
      <c r="G6" s="3043"/>
      <c r="H6" s="3043"/>
      <c r="I6" s="3043"/>
      <c r="J6" s="3037"/>
      <c r="K6" s="3037"/>
    </row>
    <row r="7" spans="1:11" ht="15.6" hidden="1" customHeight="1">
      <c r="A7" s="3992" t="s">
        <v>1027</v>
      </c>
      <c r="B7" s="3992"/>
      <c r="C7" s="3992"/>
      <c r="D7" s="3992"/>
      <c r="E7" s="3992"/>
      <c r="F7" s="3992"/>
      <c r="G7" s="3043"/>
      <c r="H7" s="3044"/>
      <c r="I7" s="3043"/>
      <c r="J7" s="3037"/>
      <c r="K7" s="3037"/>
    </row>
    <row r="8" spans="1:11" s="1832" customFormat="1" ht="42.75" hidden="1" customHeight="1">
      <c r="A8" s="3987" t="s">
        <v>2</v>
      </c>
      <c r="B8" s="3987" t="s">
        <v>1028</v>
      </c>
      <c r="C8" s="3993" t="s">
        <v>1029</v>
      </c>
      <c r="D8" s="3987" t="s">
        <v>1030</v>
      </c>
      <c r="E8" s="3987" t="s">
        <v>1031</v>
      </c>
      <c r="F8" s="3987" t="s">
        <v>1032</v>
      </c>
      <c r="G8" s="3987" t="s">
        <v>1033</v>
      </c>
      <c r="H8" s="3987"/>
      <c r="I8" s="3987"/>
      <c r="J8" s="3045"/>
      <c r="K8" s="3045"/>
    </row>
    <row r="9" spans="1:11" s="1832" customFormat="1" ht="16.5" hidden="1" customHeight="1">
      <c r="A9" s="3987"/>
      <c r="B9" s="3987"/>
      <c r="C9" s="3994"/>
      <c r="D9" s="3987"/>
      <c r="E9" s="3987"/>
      <c r="F9" s="3987"/>
      <c r="G9" s="3987" t="s">
        <v>1034</v>
      </c>
      <c r="H9" s="3987" t="s">
        <v>1035</v>
      </c>
      <c r="I9" s="3987"/>
      <c r="J9" s="3045"/>
      <c r="K9" s="3045"/>
    </row>
    <row r="10" spans="1:11" s="1832" customFormat="1" ht="63.75" hidden="1">
      <c r="A10" s="3987"/>
      <c r="B10" s="3987"/>
      <c r="C10" s="3995"/>
      <c r="D10" s="3987"/>
      <c r="E10" s="3987"/>
      <c r="F10" s="3987"/>
      <c r="G10" s="3987"/>
      <c r="H10" s="3046" t="s">
        <v>1036</v>
      </c>
      <c r="I10" s="3046" t="s">
        <v>1037</v>
      </c>
      <c r="J10" s="3045"/>
      <c r="K10" s="3045"/>
    </row>
    <row r="11" spans="1:11" ht="25.5" hidden="1" customHeight="1">
      <c r="A11" s="3047">
        <v>1</v>
      </c>
      <c r="B11" s="3048"/>
      <c r="C11" s="3049"/>
      <c r="D11" s="3050">
        <v>2</v>
      </c>
      <c r="E11" s="3051">
        <v>12</v>
      </c>
      <c r="F11" s="3052">
        <v>100</v>
      </c>
      <c r="G11" s="3052"/>
      <c r="H11" s="3052"/>
      <c r="I11" s="3052"/>
      <c r="J11" s="3037"/>
      <c r="K11" s="3037"/>
    </row>
    <row r="12" spans="1:11" ht="18" hidden="1" customHeight="1">
      <c r="A12" s="3053"/>
      <c r="B12" s="3053"/>
      <c r="C12" s="3053"/>
      <c r="D12" s="3053"/>
      <c r="E12" s="3053"/>
      <c r="F12" s="3053"/>
      <c r="G12" s="3053"/>
      <c r="H12" s="3053"/>
      <c r="I12" s="3053"/>
      <c r="J12" s="3037"/>
      <c r="K12" s="3037"/>
    </row>
    <row r="13" spans="1:11" s="1842" customFormat="1" ht="21.75" hidden="1" customHeight="1">
      <c r="A13" s="3054"/>
      <c r="B13" s="3986" t="s">
        <v>1038</v>
      </c>
      <c r="C13" s="3986"/>
      <c r="D13" s="3986"/>
      <c r="E13" s="3986"/>
      <c r="F13" s="3986"/>
      <c r="G13" s="3986"/>
      <c r="H13" s="3986"/>
      <c r="I13" s="3986"/>
      <c r="J13" s="3055"/>
      <c r="K13" s="3055"/>
    </row>
    <row r="14" spans="1:11" s="1842" customFormat="1" ht="20.25" hidden="1" customHeight="1">
      <c r="A14" s="3054"/>
      <c r="B14" s="3985" t="s">
        <v>1039</v>
      </c>
      <c r="C14" s="3985"/>
      <c r="D14" s="3985"/>
      <c r="E14" s="3985"/>
      <c r="F14" s="3985"/>
      <c r="G14" s="3985"/>
      <c r="H14" s="3985"/>
      <c r="I14" s="3054"/>
      <c r="J14" s="3055"/>
      <c r="K14" s="3055"/>
    </row>
    <row r="15" spans="1:11" s="1842" customFormat="1" ht="16.5" hidden="1" customHeight="1">
      <c r="A15" s="3054"/>
      <c r="B15" s="3985" t="s">
        <v>1040</v>
      </c>
      <c r="C15" s="3985"/>
      <c r="D15" s="3985"/>
      <c r="E15" s="3985"/>
      <c r="F15" s="3985"/>
      <c r="G15" s="3985"/>
      <c r="H15" s="3985"/>
      <c r="I15" s="3055"/>
      <c r="J15" s="3055"/>
      <c r="K15" s="3055"/>
    </row>
    <row r="16" spans="1:11" s="1842" customFormat="1" ht="20.25" hidden="1" customHeight="1">
      <c r="A16" s="3054"/>
      <c r="B16" s="3985" t="s">
        <v>1041</v>
      </c>
      <c r="C16" s="3985"/>
      <c r="D16" s="3985"/>
      <c r="E16" s="3985"/>
      <c r="F16" s="3985"/>
      <c r="G16" s="3985"/>
      <c r="H16" s="3985"/>
      <c r="I16" s="3055"/>
      <c r="J16" s="3055"/>
      <c r="K16" s="3055"/>
    </row>
    <row r="17" spans="1:11" s="1842" customFormat="1" ht="15.75" hidden="1" customHeight="1">
      <c r="A17" s="3054"/>
      <c r="B17" s="3054"/>
      <c r="C17" s="3054"/>
      <c r="D17" s="3054"/>
      <c r="E17" s="3054"/>
      <c r="F17" s="3054"/>
      <c r="G17" s="3054"/>
      <c r="H17" s="3054"/>
      <c r="I17" s="3055"/>
      <c r="J17" s="3055"/>
      <c r="K17" s="3055"/>
    </row>
    <row r="18" spans="1:11" s="1842" customFormat="1" ht="20.25" hidden="1" customHeight="1">
      <c r="A18" s="3986" t="s">
        <v>1042</v>
      </c>
      <c r="B18" s="3986"/>
      <c r="C18" s="3054"/>
      <c r="D18" s="3054"/>
      <c r="E18" s="3986"/>
      <c r="F18" s="3986"/>
      <c r="G18" s="3054"/>
      <c r="H18" s="3054"/>
      <c r="I18" s="3054"/>
      <c r="J18" s="3055"/>
      <c r="K18" s="3055"/>
    </row>
    <row r="19" spans="1:11" s="1845" customFormat="1" ht="24.75" hidden="1" customHeight="1">
      <c r="A19" s="3056" t="s">
        <v>1043</v>
      </c>
      <c r="B19" s="3056"/>
      <c r="C19" s="3056"/>
      <c r="D19" s="3056"/>
      <c r="E19" s="3056"/>
      <c r="F19" s="3056"/>
      <c r="G19" s="3056"/>
      <c r="H19" s="3056"/>
      <c r="I19" s="3056"/>
      <c r="J19" s="3057"/>
      <c r="K19" s="3057"/>
    </row>
    <row r="20" spans="1:11" s="1850" customFormat="1" ht="15.75" hidden="1" customHeight="1">
      <c r="A20" s="3058" t="s">
        <v>1044</v>
      </c>
      <c r="B20" s="3059"/>
      <c r="C20" s="3060"/>
      <c r="D20" s="3061">
        <f>0.01*E11*F11*(1+0.01*(G11+H11+I11))</f>
        <v>12</v>
      </c>
      <c r="E20" s="3059" t="s">
        <v>1045</v>
      </c>
      <c r="F20" s="3988"/>
      <c r="G20" s="3988"/>
      <c r="H20" s="3060"/>
      <c r="I20" s="3059"/>
      <c r="J20" s="3059"/>
      <c r="K20" s="3059"/>
    </row>
    <row r="21" spans="1:11" s="1853" customFormat="1" ht="19.5" hidden="1" customHeight="1">
      <c r="A21" s="3056" t="s">
        <v>1046</v>
      </c>
      <c r="B21" s="3056"/>
      <c r="C21" s="3056"/>
      <c r="D21" s="3062"/>
      <c r="E21" s="3056"/>
      <c r="F21" s="3056"/>
      <c r="G21" s="3056"/>
      <c r="H21" s="3062"/>
      <c r="I21" s="3063"/>
      <c r="J21" s="3063"/>
      <c r="K21" s="3063"/>
    </row>
    <row r="22" spans="1:11" s="1850" customFormat="1" ht="21.75" hidden="1" customHeight="1">
      <c r="A22" s="3058" t="s">
        <v>1047</v>
      </c>
      <c r="B22" s="3059"/>
      <c r="C22" s="3060"/>
      <c r="D22" s="3061">
        <f>0.01*E11*F11*(1+0.01*(H11+I11))</f>
        <v>12</v>
      </c>
      <c r="E22" s="3059" t="s">
        <v>1045</v>
      </c>
      <c r="F22" s="3988"/>
      <c r="G22" s="3988"/>
      <c r="H22" s="3060"/>
      <c r="I22" s="3059"/>
      <c r="J22" s="3059"/>
      <c r="K22" s="3059"/>
    </row>
    <row r="23" spans="1:11" s="1842" customFormat="1" ht="11.65" hidden="1" customHeight="1">
      <c r="A23" s="3064"/>
      <c r="B23" s="3064"/>
      <c r="C23" s="3064"/>
      <c r="D23" s="3064"/>
      <c r="E23" s="3064"/>
      <c r="F23" s="3064"/>
      <c r="G23" s="3064"/>
      <c r="H23" s="3064"/>
      <c r="I23" s="3064"/>
      <c r="J23" s="3055"/>
      <c r="K23" s="3055"/>
    </row>
    <row r="24" spans="1:11" s="1842" customFormat="1" ht="50.25" hidden="1" customHeight="1">
      <c r="A24" s="3990" t="s">
        <v>1048</v>
      </c>
      <c r="B24" s="3990"/>
      <c r="C24" s="3990"/>
      <c r="D24" s="3990"/>
      <c r="E24" s="3990"/>
      <c r="F24" s="3990"/>
      <c r="G24" s="3990"/>
      <c r="H24" s="3990"/>
      <c r="I24" s="3990"/>
      <c r="J24" s="3055"/>
      <c r="K24" s="3055"/>
    </row>
    <row r="25" spans="1:11" ht="13.5" hidden="1" customHeight="1">
      <c r="A25" s="3989"/>
      <c r="B25" s="3989"/>
      <c r="C25" s="3989"/>
      <c r="D25" s="3989"/>
      <c r="E25" s="3989"/>
      <c r="F25" s="3037"/>
      <c r="G25" s="3065"/>
      <c r="H25" s="3037"/>
      <c r="I25" s="3038"/>
      <c r="J25" s="3037"/>
      <c r="K25" s="3037"/>
    </row>
    <row r="26" spans="1:11" s="1857" customFormat="1" ht="38.25" hidden="1">
      <c r="A26" s="3046" t="s">
        <v>34</v>
      </c>
      <c r="B26" s="3066" t="s">
        <v>1049</v>
      </c>
      <c r="C26" s="3067" t="s">
        <v>1050</v>
      </c>
      <c r="D26" s="3046" t="s">
        <v>1051</v>
      </c>
      <c r="E26" s="3046" t="s">
        <v>1052</v>
      </c>
      <c r="F26" s="3046" t="s">
        <v>1053</v>
      </c>
      <c r="G26" s="3046" t="s">
        <v>320</v>
      </c>
      <c r="H26" s="3068" t="s">
        <v>7</v>
      </c>
      <c r="I26" s="3068" t="s">
        <v>8</v>
      </c>
      <c r="J26" s="3069"/>
      <c r="K26" s="3069"/>
    </row>
    <row r="27" spans="1:11" ht="21" hidden="1" customHeight="1">
      <c r="A27" s="3070">
        <v>1</v>
      </c>
      <c r="B27" s="3070" t="s">
        <v>1054</v>
      </c>
      <c r="C27" s="3048"/>
      <c r="D27" s="3071"/>
      <c r="E27" s="3072">
        <f>C27*D27</f>
        <v>0</v>
      </c>
      <c r="F27" s="3073"/>
      <c r="G27" s="3072">
        <f>E27*F27</f>
        <v>0</v>
      </c>
      <c r="H27" s="3074"/>
      <c r="I27" s="3074"/>
      <c r="J27" s="3037"/>
      <c r="K27" s="3037"/>
    </row>
    <row r="28" spans="1:11" ht="21" hidden="1" customHeight="1">
      <c r="A28" s="3070">
        <v>2</v>
      </c>
      <c r="B28" s="3070" t="s">
        <v>1055</v>
      </c>
      <c r="C28" s="3048"/>
      <c r="D28" s="3071"/>
      <c r="E28" s="3072">
        <f t="shared" ref="E28:E38" si="0">C28*D28</f>
        <v>0</v>
      </c>
      <c r="F28" s="3073"/>
      <c r="G28" s="3072">
        <f t="shared" ref="G28:G38" si="1">E28*F28</f>
        <v>0</v>
      </c>
      <c r="H28" s="3074"/>
      <c r="I28" s="3074"/>
      <c r="J28" s="3037"/>
      <c r="K28" s="3037"/>
    </row>
    <row r="29" spans="1:11" ht="21" hidden="1" customHeight="1">
      <c r="A29" s="3070">
        <v>3</v>
      </c>
      <c r="B29" s="3070" t="s">
        <v>1056</v>
      </c>
      <c r="C29" s="3048"/>
      <c r="D29" s="3071"/>
      <c r="E29" s="3072">
        <f t="shared" si="0"/>
        <v>0</v>
      </c>
      <c r="F29" s="3073"/>
      <c r="G29" s="3072">
        <f>E29*F29</f>
        <v>0</v>
      </c>
      <c r="H29" s="3074"/>
      <c r="I29" s="3074"/>
      <c r="J29" s="3037"/>
      <c r="K29" s="3037"/>
    </row>
    <row r="30" spans="1:11" ht="21" hidden="1" customHeight="1">
      <c r="A30" s="3070">
        <v>4</v>
      </c>
      <c r="B30" s="3070" t="s">
        <v>1057</v>
      </c>
      <c r="C30" s="3048"/>
      <c r="D30" s="3071"/>
      <c r="E30" s="3072">
        <f t="shared" si="0"/>
        <v>0</v>
      </c>
      <c r="F30" s="3073"/>
      <c r="G30" s="3072">
        <f t="shared" si="1"/>
        <v>0</v>
      </c>
      <c r="H30" s="3074"/>
      <c r="I30" s="3074"/>
      <c r="J30" s="3037"/>
      <c r="K30" s="3037"/>
    </row>
    <row r="31" spans="1:11" ht="21" hidden="1" customHeight="1">
      <c r="A31" s="3070">
        <v>5</v>
      </c>
      <c r="B31" s="3070" t="s">
        <v>1058</v>
      </c>
      <c r="C31" s="3048"/>
      <c r="D31" s="3071"/>
      <c r="E31" s="3072">
        <f t="shared" si="0"/>
        <v>0</v>
      </c>
      <c r="F31" s="3073"/>
      <c r="G31" s="3072">
        <f t="shared" si="1"/>
        <v>0</v>
      </c>
      <c r="H31" s="3074"/>
      <c r="I31" s="3074"/>
      <c r="J31" s="3037"/>
      <c r="K31" s="3037"/>
    </row>
    <row r="32" spans="1:11" ht="21" hidden="1" customHeight="1">
      <c r="A32" s="3070">
        <v>6</v>
      </c>
      <c r="B32" s="3070" t="s">
        <v>1059</v>
      </c>
      <c r="C32" s="3048"/>
      <c r="D32" s="3071"/>
      <c r="E32" s="3072">
        <f t="shared" si="0"/>
        <v>0</v>
      </c>
      <c r="F32" s="3073"/>
      <c r="G32" s="3072">
        <f t="shared" si="1"/>
        <v>0</v>
      </c>
      <c r="H32" s="3074"/>
      <c r="I32" s="3074"/>
      <c r="J32" s="3037"/>
      <c r="K32" s="3037"/>
    </row>
    <row r="33" spans="1:11" ht="21" hidden="1" customHeight="1">
      <c r="A33" s="3070">
        <v>7</v>
      </c>
      <c r="B33" s="3070" t="s">
        <v>1060</v>
      </c>
      <c r="C33" s="3048"/>
      <c r="D33" s="3071"/>
      <c r="E33" s="3072">
        <f t="shared" si="0"/>
        <v>0</v>
      </c>
      <c r="F33" s="3073"/>
      <c r="G33" s="3072">
        <f t="shared" si="1"/>
        <v>0</v>
      </c>
      <c r="H33" s="3074"/>
      <c r="I33" s="3074"/>
      <c r="J33" s="3037"/>
      <c r="K33" s="3037"/>
    </row>
    <row r="34" spans="1:11" ht="21" hidden="1" customHeight="1">
      <c r="A34" s="3070">
        <v>8</v>
      </c>
      <c r="B34" s="3070" t="s">
        <v>1061</v>
      </c>
      <c r="C34" s="3048"/>
      <c r="D34" s="3071"/>
      <c r="E34" s="3072">
        <f t="shared" si="0"/>
        <v>0</v>
      </c>
      <c r="F34" s="3073"/>
      <c r="G34" s="3072">
        <f t="shared" si="1"/>
        <v>0</v>
      </c>
      <c r="H34" s="3074"/>
      <c r="I34" s="3074"/>
      <c r="J34" s="3037"/>
      <c r="K34" s="3037"/>
    </row>
    <row r="35" spans="1:11" ht="21" hidden="1" customHeight="1">
      <c r="A35" s="3070">
        <v>9</v>
      </c>
      <c r="B35" s="3070" t="s">
        <v>1062</v>
      </c>
      <c r="C35" s="3048"/>
      <c r="D35" s="3071"/>
      <c r="E35" s="3072">
        <f t="shared" si="0"/>
        <v>0</v>
      </c>
      <c r="F35" s="3073"/>
      <c r="G35" s="3072">
        <f t="shared" si="1"/>
        <v>0</v>
      </c>
      <c r="H35" s="3074"/>
      <c r="I35" s="3074"/>
      <c r="J35" s="3037"/>
      <c r="K35" s="3037"/>
    </row>
    <row r="36" spans="1:11" ht="21" hidden="1" customHeight="1">
      <c r="A36" s="3070">
        <v>10</v>
      </c>
      <c r="B36" s="3070" t="s">
        <v>1063</v>
      </c>
      <c r="C36" s="3048"/>
      <c r="D36" s="3071"/>
      <c r="E36" s="3072">
        <f t="shared" si="0"/>
        <v>0</v>
      </c>
      <c r="F36" s="3073"/>
      <c r="G36" s="3072">
        <f t="shared" si="1"/>
        <v>0</v>
      </c>
      <c r="H36" s="3074"/>
      <c r="I36" s="3074"/>
      <c r="J36" s="3037"/>
      <c r="K36" s="3037"/>
    </row>
    <row r="37" spans="1:11" ht="21" hidden="1" customHeight="1">
      <c r="A37" s="3070">
        <v>11</v>
      </c>
      <c r="B37" s="3070" t="s">
        <v>1064</v>
      </c>
      <c r="C37" s="3048"/>
      <c r="D37" s="3071"/>
      <c r="E37" s="3072">
        <f t="shared" si="0"/>
        <v>0</v>
      </c>
      <c r="F37" s="3073"/>
      <c r="G37" s="3072">
        <f t="shared" si="1"/>
        <v>0</v>
      </c>
      <c r="H37" s="3074"/>
      <c r="I37" s="3074"/>
      <c r="J37" s="3037"/>
      <c r="K37" s="3037"/>
    </row>
    <row r="38" spans="1:11" ht="21" hidden="1" customHeight="1">
      <c r="A38" s="3070">
        <v>12</v>
      </c>
      <c r="B38" s="3070" t="s">
        <v>1065</v>
      </c>
      <c r="C38" s="3048"/>
      <c r="D38" s="3071"/>
      <c r="E38" s="3072">
        <f t="shared" si="0"/>
        <v>0</v>
      </c>
      <c r="F38" s="3073"/>
      <c r="G38" s="3072">
        <f t="shared" si="1"/>
        <v>0</v>
      </c>
      <c r="H38" s="3074"/>
      <c r="I38" s="3074"/>
      <c r="J38" s="3037"/>
      <c r="K38" s="3037"/>
    </row>
    <row r="39" spans="1:11" ht="21" hidden="1" customHeight="1">
      <c r="A39" s="3070"/>
      <c r="B39" s="3075" t="s">
        <v>20</v>
      </c>
      <c r="C39" s="3046">
        <f>SUM(C27:C38)</f>
        <v>0</v>
      </c>
      <c r="D39" s="3046"/>
      <c r="E39" s="3076">
        <f>SUM(E27:E38)</f>
        <v>0</v>
      </c>
      <c r="F39" s="3076"/>
      <c r="G39" s="3076">
        <f>SUM(G27:G38)</f>
        <v>0</v>
      </c>
      <c r="H39" s="3076">
        <f>SUM(H27:H38)</f>
        <v>0</v>
      </c>
      <c r="I39" s="3076">
        <f>SUM(I27:I38)</f>
        <v>0</v>
      </c>
      <c r="J39" s="3037"/>
      <c r="K39" s="3037"/>
    </row>
    <row r="40" spans="1:11" ht="33.75" hidden="1" customHeight="1">
      <c r="A40" s="3070"/>
      <c r="B40" s="3070" t="s">
        <v>1066</v>
      </c>
      <c r="C40" s="3077"/>
      <c r="D40" s="3078"/>
      <c r="E40" s="3079"/>
      <c r="F40" s="3079"/>
      <c r="G40" s="3079"/>
      <c r="H40" s="3079"/>
      <c r="I40" s="3079"/>
      <c r="J40" s="3037"/>
      <c r="K40" s="3037"/>
    </row>
    <row r="41" spans="1:11" ht="34.5" hidden="1" customHeight="1">
      <c r="A41" s="3070"/>
      <c r="B41" s="3075" t="s">
        <v>1067</v>
      </c>
      <c r="C41" s="3078"/>
      <c r="D41" s="3078"/>
      <c r="E41" s="3080">
        <f>E39-E40</f>
        <v>0</v>
      </c>
      <c r="F41" s="3078"/>
      <c r="G41" s="3080">
        <f>G39-G40</f>
        <v>0</v>
      </c>
      <c r="H41" s="3080">
        <f>H39-H40</f>
        <v>0</v>
      </c>
      <c r="I41" s="3080">
        <f>I39-I40</f>
        <v>0</v>
      </c>
      <c r="J41" s="3037"/>
      <c r="K41" s="3037" t="s">
        <v>1068</v>
      </c>
    </row>
    <row r="42" spans="1:11" ht="21" hidden="1" customHeight="1">
      <c r="A42" s="3081"/>
      <c r="B42" s="3082"/>
      <c r="C42" s="3082"/>
      <c r="D42" s="3043"/>
      <c r="E42" s="3083"/>
      <c r="F42" s="3083"/>
      <c r="G42" s="3083"/>
      <c r="H42" s="3083"/>
      <c r="I42" s="3083"/>
      <c r="J42" s="3083"/>
      <c r="K42" s="3037"/>
    </row>
    <row r="43" spans="1:11" ht="12.75" hidden="1" customHeight="1">
      <c r="A43" s="3084" t="s">
        <v>1069</v>
      </c>
      <c r="B43" s="3084"/>
      <c r="C43" s="3084"/>
      <c r="D43" s="3084"/>
      <c r="E43" s="3084"/>
      <c r="F43" s="3084"/>
      <c r="G43" s="3085"/>
      <c r="H43" s="3085"/>
      <c r="I43" s="3086"/>
      <c r="J43" s="3037"/>
      <c r="K43" s="3037"/>
    </row>
    <row r="44" spans="1:11">
      <c r="A44" s="3085"/>
      <c r="B44" s="3085"/>
      <c r="C44" s="3085"/>
      <c r="D44" s="3085"/>
      <c r="E44" s="3087"/>
      <c r="F44" s="3085"/>
      <c r="G44" s="3085"/>
      <c r="H44" s="3085"/>
      <c r="I44" s="3040"/>
      <c r="J44" s="3040"/>
      <c r="K44" s="3040"/>
    </row>
    <row r="45" spans="1:11" ht="15.75" customHeight="1">
      <c r="A45" s="3997" t="s">
        <v>1070</v>
      </c>
      <c r="B45" s="3997" t="s">
        <v>1071</v>
      </c>
      <c r="C45" s="3997" t="s">
        <v>1072</v>
      </c>
      <c r="D45" s="3997" t="s">
        <v>1073</v>
      </c>
      <c r="E45" s="3997" t="s">
        <v>1074</v>
      </c>
      <c r="F45" s="3997" t="s">
        <v>1075</v>
      </c>
      <c r="G45" s="3997" t="s">
        <v>1076</v>
      </c>
      <c r="H45" s="3997" t="s">
        <v>1077</v>
      </c>
      <c r="I45" s="3997" t="s">
        <v>1078</v>
      </c>
      <c r="J45" s="3996" t="s">
        <v>255</v>
      </c>
      <c r="K45" s="3996"/>
    </row>
    <row r="46" spans="1:11">
      <c r="A46" s="3997"/>
      <c r="B46" s="3997"/>
      <c r="C46" s="3997"/>
      <c r="D46" s="3997"/>
      <c r="E46" s="3997"/>
      <c r="F46" s="3997"/>
      <c r="G46" s="3997"/>
      <c r="H46" s="3997"/>
      <c r="I46" s="3997"/>
      <c r="J46" s="3088" t="s">
        <v>7</v>
      </c>
      <c r="K46" s="3088" t="s">
        <v>8</v>
      </c>
    </row>
    <row r="47" spans="1:11" ht="59.25" customHeight="1">
      <c r="A47" s="3089">
        <v>3</v>
      </c>
      <c r="B47" s="3089" t="s">
        <v>1079</v>
      </c>
      <c r="C47" s="3090" t="s">
        <v>1080</v>
      </c>
      <c r="D47" s="3051">
        <f>6/2</f>
        <v>3</v>
      </c>
      <c r="E47" s="3051">
        <v>44.375</v>
      </c>
      <c r="F47" s="3051">
        <v>7</v>
      </c>
      <c r="G47" s="3091">
        <f>ROUND(D47*E47*F47,3)</f>
        <v>931.875</v>
      </c>
      <c r="H47" s="3092">
        <f>ROUND(145,0)</f>
        <v>145</v>
      </c>
      <c r="I47" s="3396">
        <f>ROUND(G47*H47,2)</f>
        <v>135121.88</v>
      </c>
      <c r="J47" s="3093"/>
      <c r="K47" s="3094">
        <f t="shared" ref="K47:K50" si="2">I47</f>
        <v>135121.88</v>
      </c>
    </row>
    <row r="48" spans="1:11" ht="59.25" customHeight="1">
      <c r="A48" s="3089">
        <v>4</v>
      </c>
      <c r="B48" s="3089" t="s">
        <v>1081</v>
      </c>
      <c r="C48" s="3090" t="s">
        <v>1080</v>
      </c>
      <c r="D48" s="3051">
        <f>8.9/2</f>
        <v>4.45</v>
      </c>
      <c r="E48" s="3051">
        <v>61.75</v>
      </c>
      <c r="F48" s="3051">
        <v>5</v>
      </c>
      <c r="G48" s="3091">
        <f>ROUND(D48*E48*F48,3)</f>
        <v>1373.9380000000001</v>
      </c>
      <c r="H48" s="3095">
        <f>ROUND(185,0)</f>
        <v>185</v>
      </c>
      <c r="I48" s="3396">
        <f>ROUND(G48*H48,2)</f>
        <v>254178.53</v>
      </c>
      <c r="J48" s="3093"/>
      <c r="K48" s="3094">
        <f t="shared" si="2"/>
        <v>254178.53</v>
      </c>
    </row>
    <row r="49" spans="1:13" ht="59.25" customHeight="1">
      <c r="A49" s="3089">
        <v>5</v>
      </c>
      <c r="B49" s="3089" t="s">
        <v>1082</v>
      </c>
      <c r="C49" s="3090" t="s">
        <v>1080</v>
      </c>
      <c r="D49" s="3051">
        <f>6/2</f>
        <v>3</v>
      </c>
      <c r="E49" s="3051">
        <v>44.375</v>
      </c>
      <c r="F49" s="3051">
        <v>7</v>
      </c>
      <c r="G49" s="3091">
        <f>ROUND(D49*E49*F49,3)</f>
        <v>931.875</v>
      </c>
      <c r="H49" s="3092">
        <f>ROUND(145,0)</f>
        <v>145</v>
      </c>
      <c r="I49" s="3396">
        <f>ROUND(G49*H49,2)</f>
        <v>135121.88</v>
      </c>
      <c r="J49" s="3093"/>
      <c r="K49" s="3094">
        <f t="shared" si="2"/>
        <v>135121.88</v>
      </c>
    </row>
    <row r="50" spans="1:13" ht="59.25" customHeight="1">
      <c r="A50" s="3089">
        <v>6</v>
      </c>
      <c r="B50" s="3089" t="s">
        <v>1083</v>
      </c>
      <c r="C50" s="3090" t="s">
        <v>1080</v>
      </c>
      <c r="D50" s="3051">
        <f>8.9/2</f>
        <v>4.45</v>
      </c>
      <c r="E50" s="3051">
        <v>61.75</v>
      </c>
      <c r="F50" s="3051">
        <v>5</v>
      </c>
      <c r="G50" s="3091">
        <f>ROUND(D50*E50*F50,3)</f>
        <v>1373.9380000000001</v>
      </c>
      <c r="H50" s="3095">
        <f>ROUND(185,0)</f>
        <v>185</v>
      </c>
      <c r="I50" s="3396">
        <f>ROUND(G50*H50,2)</f>
        <v>254178.53</v>
      </c>
      <c r="J50" s="3093"/>
      <c r="K50" s="3094">
        <f t="shared" si="2"/>
        <v>254178.53</v>
      </c>
    </row>
    <row r="51" spans="1:13" ht="22.5" customHeight="1">
      <c r="A51" s="3089">
        <v>7</v>
      </c>
      <c r="B51" s="3046" t="s">
        <v>20</v>
      </c>
      <c r="C51" s="3090"/>
      <c r="D51" s="3051"/>
      <c r="E51" s="3051"/>
      <c r="F51" s="3051"/>
      <c r="G51" s="3096"/>
      <c r="H51" s="3097"/>
      <c r="I51" s="3401">
        <f>SUM(I47:I50)</f>
        <v>778600.82000000007</v>
      </c>
      <c r="J51" s="3096"/>
      <c r="K51" s="3098">
        <f>SUM(K47:K50)</f>
        <v>778600.82000000007</v>
      </c>
    </row>
    <row r="52" spans="1:13" ht="51.75" customHeight="1">
      <c r="A52" s="3089">
        <v>10</v>
      </c>
      <c r="B52" s="3089" t="s">
        <v>1084</v>
      </c>
      <c r="C52" s="3090" t="s">
        <v>1080</v>
      </c>
      <c r="D52" s="3051">
        <f>0.95/2</f>
        <v>0.47499999999999998</v>
      </c>
      <c r="E52" s="3051">
        <v>120</v>
      </c>
      <c r="F52" s="3051">
        <v>5.7</v>
      </c>
      <c r="G52" s="3398">
        <f>ROUND(D52*E52*F52,3)</f>
        <v>324.89999999999998</v>
      </c>
      <c r="H52" s="3400">
        <f>111.61*1.12-0.0032</f>
        <v>125</v>
      </c>
      <c r="I52" s="3106">
        <f>ROUND(G52*H52,2)</f>
        <v>40612.5</v>
      </c>
      <c r="J52" s="3099"/>
      <c r="K52" s="3094">
        <f>I52</f>
        <v>40612.5</v>
      </c>
    </row>
    <row r="53" spans="1:13" ht="30" customHeight="1">
      <c r="A53" s="3089">
        <v>11</v>
      </c>
      <c r="B53" s="3046" t="s">
        <v>20</v>
      </c>
      <c r="C53" s="3090"/>
      <c r="D53" s="3051"/>
      <c r="E53" s="3051"/>
      <c r="F53" s="3051"/>
      <c r="G53" s="3091">
        <f>G52</f>
        <v>324.89999999999998</v>
      </c>
      <c r="H53" s="3100"/>
      <c r="I53" s="3401">
        <f>I52</f>
        <v>40612.5</v>
      </c>
      <c r="J53" s="3091">
        <f>J52</f>
        <v>0</v>
      </c>
      <c r="K53" s="3101">
        <f>K52</f>
        <v>40612.5</v>
      </c>
    </row>
    <row r="54" spans="1:13" ht="54" customHeight="1">
      <c r="A54" s="3089">
        <v>14</v>
      </c>
      <c r="B54" s="3089" t="s">
        <v>1085</v>
      </c>
      <c r="C54" s="3090" t="s">
        <v>1080</v>
      </c>
      <c r="D54" s="3051">
        <f>0.95/2</f>
        <v>0.47499999999999998</v>
      </c>
      <c r="E54" s="3051">
        <v>120</v>
      </c>
      <c r="F54" s="3051">
        <v>5.7</v>
      </c>
      <c r="G54" s="3399">
        <f>ROUND(D54*E54*F54,3)</f>
        <v>324.89999999999998</v>
      </c>
      <c r="H54" s="3095">
        <f>H52</f>
        <v>125</v>
      </c>
      <c r="I54" s="3106">
        <f>ROUND(G54*H54,2)</f>
        <v>40612.5</v>
      </c>
      <c r="J54" s="3102"/>
      <c r="K54" s="3094">
        <f>I54</f>
        <v>40612.5</v>
      </c>
      <c r="M54" s="3295">
        <f>I53+I55</f>
        <v>81225</v>
      </c>
    </row>
    <row r="55" spans="1:13" ht="30" customHeight="1">
      <c r="A55" s="3089">
        <v>15</v>
      </c>
      <c r="B55" s="3046" t="s">
        <v>20</v>
      </c>
      <c r="C55" s="3090"/>
      <c r="D55" s="3051"/>
      <c r="E55" s="3051"/>
      <c r="F55" s="3051"/>
      <c r="G55" s="3091">
        <f>G54</f>
        <v>324.89999999999998</v>
      </c>
      <c r="H55" s="3100"/>
      <c r="I55" s="3401">
        <f>I54</f>
        <v>40612.5</v>
      </c>
      <c r="J55" s="3103">
        <f>J54</f>
        <v>0</v>
      </c>
      <c r="K55" s="3104">
        <f>K54</f>
        <v>40612.5</v>
      </c>
    </row>
    <row r="56" spans="1:13" ht="50.25" customHeight="1">
      <c r="A56" s="3089">
        <v>26</v>
      </c>
      <c r="B56" s="3089" t="s">
        <v>1086</v>
      </c>
      <c r="C56" s="3090" t="s">
        <v>1080</v>
      </c>
      <c r="D56" s="3051">
        <f>1.46/2</f>
        <v>0.73</v>
      </c>
      <c r="E56" s="3105">
        <f>ROUND(407/3,0)</f>
        <v>136</v>
      </c>
      <c r="F56" s="3051">
        <v>3</v>
      </c>
      <c r="G56" s="3091">
        <f>D56*E56*F56</f>
        <v>297.84000000000003</v>
      </c>
      <c r="H56" s="3095">
        <f>H54</f>
        <v>125</v>
      </c>
      <c r="I56" s="3396">
        <v>0</v>
      </c>
      <c r="J56" s="3107"/>
      <c r="K56" s="3104">
        <f>I56</f>
        <v>0</v>
      </c>
    </row>
    <row r="57" spans="1:13" ht="30" customHeight="1">
      <c r="A57" s="3089">
        <v>27</v>
      </c>
      <c r="B57" s="3046" t="s">
        <v>20</v>
      </c>
      <c r="C57" s="3090"/>
      <c r="D57" s="3051"/>
      <c r="E57" s="3051"/>
      <c r="F57" s="3051"/>
      <c r="G57" s="3091">
        <f>G56</f>
        <v>297.84000000000003</v>
      </c>
      <c r="H57" s="3100"/>
      <c r="I57" s="3397">
        <f>I56</f>
        <v>0</v>
      </c>
      <c r="J57" s="3091">
        <f>J56</f>
        <v>0</v>
      </c>
      <c r="K57" s="3108">
        <f>K56</f>
        <v>0</v>
      </c>
    </row>
    <row r="58" spans="1:13" ht="34.5" customHeight="1">
      <c r="A58" s="3089">
        <v>30</v>
      </c>
      <c r="B58" s="3089" t="s">
        <v>1087</v>
      </c>
      <c r="C58" s="3090" t="s">
        <v>1080</v>
      </c>
      <c r="D58" s="3051">
        <f>1.46/2</f>
        <v>0.73</v>
      </c>
      <c r="E58" s="3105">
        <f>ROUND(407/3,0)</f>
        <v>136</v>
      </c>
      <c r="F58" s="3051">
        <v>3</v>
      </c>
      <c r="G58" s="3091">
        <f>D58*E58*F58</f>
        <v>297.84000000000003</v>
      </c>
      <c r="H58" s="3095">
        <f>H56</f>
        <v>125</v>
      </c>
      <c r="I58" s="3396">
        <v>0</v>
      </c>
      <c r="J58" s="3107"/>
      <c r="K58" s="3108">
        <f>I58</f>
        <v>0</v>
      </c>
    </row>
    <row r="59" spans="1:13">
      <c r="A59" s="3047"/>
      <c r="B59" s="3046" t="s">
        <v>20</v>
      </c>
      <c r="C59" s="3090"/>
      <c r="D59" s="3051"/>
      <c r="E59" s="3051"/>
      <c r="F59" s="3051"/>
      <c r="G59" s="3091">
        <f>G58</f>
        <v>297.84000000000003</v>
      </c>
      <c r="H59" s="3100"/>
      <c r="I59" s="3397">
        <f>I58</f>
        <v>0</v>
      </c>
      <c r="J59" s="3091">
        <f>J58</f>
        <v>0</v>
      </c>
      <c r="K59" s="3098">
        <f>K58</f>
        <v>0</v>
      </c>
    </row>
    <row r="60" spans="1:13" ht="13.5">
      <c r="A60" s="3109"/>
      <c r="B60" s="3998" t="s">
        <v>1088</v>
      </c>
      <c r="C60" s="3999"/>
      <c r="D60" s="3999"/>
      <c r="E60" s="3999"/>
      <c r="F60" s="3999"/>
      <c r="G60" s="3999"/>
      <c r="H60" s="4000"/>
      <c r="I60" s="3402"/>
      <c r="J60" s="3110"/>
      <c r="K60" s="3110"/>
    </row>
    <row r="61" spans="1:13">
      <c r="A61" s="3040"/>
      <c r="B61" s="3040"/>
      <c r="C61" s="3041"/>
      <c r="D61" s="3040"/>
      <c r="E61" s="3040"/>
      <c r="F61" s="3040"/>
      <c r="G61" s="3040"/>
      <c r="H61" s="3040"/>
      <c r="I61" s="3111"/>
      <c r="J61" s="3112"/>
      <c r="K61" s="3040"/>
    </row>
    <row r="62" spans="1:13" s="1823" customFormat="1">
      <c r="A62" s="3037"/>
      <c r="B62" s="3113"/>
      <c r="C62" s="3114"/>
      <c r="D62" s="3114"/>
      <c r="E62" s="3115"/>
      <c r="F62" s="2632"/>
      <c r="G62" s="2632"/>
      <c r="H62" s="2632"/>
      <c r="I62" s="3111"/>
      <c r="J62" s="3115"/>
      <c r="K62" s="2632"/>
    </row>
    <row r="63" spans="1:13" s="2052" customFormat="1">
      <c r="A63" s="3116"/>
      <c r="B63" s="3117" t="s">
        <v>368</v>
      </c>
      <c r="C63" s="3118"/>
      <c r="D63" s="3118"/>
      <c r="E63" s="3119"/>
      <c r="F63" s="3120"/>
      <c r="G63" s="3119"/>
      <c r="H63" s="2161"/>
      <c r="I63" s="2161"/>
      <c r="J63" s="2161"/>
      <c r="K63" s="2161"/>
    </row>
    <row r="64" spans="1:13" s="2052" customFormat="1">
      <c r="A64" s="3116"/>
      <c r="B64" s="3117" t="s">
        <v>370</v>
      </c>
      <c r="C64" s="3118"/>
      <c r="D64" s="3118"/>
      <c r="E64" s="3119"/>
      <c r="F64" s="3120"/>
      <c r="G64" s="3119" t="s">
        <v>371</v>
      </c>
      <c r="H64" s="2161"/>
      <c r="I64" s="2161"/>
      <c r="J64" s="2161"/>
      <c r="K64" s="2161"/>
    </row>
    <row r="65" spans="1:11" s="2052" customFormat="1">
      <c r="A65" s="3116"/>
      <c r="B65" s="3117"/>
      <c r="C65" s="3118"/>
      <c r="D65" s="3118"/>
      <c r="E65" s="3118"/>
      <c r="F65" s="3120"/>
      <c r="G65" s="3120"/>
      <c r="H65" s="2161"/>
      <c r="I65" s="2161"/>
      <c r="J65" s="2161"/>
      <c r="K65" s="2161"/>
    </row>
    <row r="66" spans="1:11" s="2052" customFormat="1">
      <c r="A66" s="3116"/>
      <c r="B66" s="3117" t="s">
        <v>451</v>
      </c>
      <c r="C66" s="3118"/>
      <c r="D66" s="3118"/>
      <c r="E66" s="3118"/>
      <c r="F66" s="3120"/>
      <c r="G66" s="3118" t="s">
        <v>452</v>
      </c>
      <c r="H66" s="2161"/>
      <c r="I66" s="2161"/>
      <c r="J66" s="2161"/>
      <c r="K66" s="2161"/>
    </row>
    <row r="67" spans="1:11" s="2052" customFormat="1">
      <c r="A67" s="3116"/>
      <c r="B67" s="3117"/>
      <c r="C67" s="3118"/>
      <c r="D67" s="3118"/>
      <c r="E67" s="3118"/>
      <c r="F67" s="3120"/>
      <c r="G67" s="3121"/>
      <c r="H67" s="2161"/>
      <c r="I67" s="2161"/>
      <c r="J67" s="2161"/>
      <c r="K67" s="2161"/>
    </row>
    <row r="68" spans="1:11" s="2052" customFormat="1">
      <c r="A68" s="3116"/>
      <c r="B68" s="3117" t="s">
        <v>375</v>
      </c>
      <c r="C68" s="3121"/>
      <c r="D68" s="3121"/>
      <c r="E68" s="3121"/>
      <c r="F68" s="3120"/>
      <c r="G68" s="3118" t="s">
        <v>453</v>
      </c>
      <c r="H68" s="2161"/>
      <c r="I68" s="2161"/>
      <c r="J68" s="2161"/>
      <c r="K68" s="2161"/>
    </row>
    <row r="69" spans="1:11">
      <c r="A69" s="3040"/>
      <c r="B69" s="3040"/>
      <c r="C69" s="3041"/>
      <c r="D69" s="3040"/>
      <c r="E69" s="3040"/>
      <c r="F69" s="3040"/>
      <c r="G69" s="3040"/>
      <c r="H69" s="3040"/>
      <c r="I69" s="3040"/>
      <c r="J69" s="3040"/>
      <c r="K69" s="3040"/>
    </row>
    <row r="70" spans="1:11">
      <c r="A70" s="3040"/>
      <c r="B70" s="3040"/>
      <c r="C70" s="3041"/>
      <c r="D70" s="3040"/>
      <c r="E70" s="3040"/>
      <c r="F70" s="3040"/>
      <c r="G70" s="3040"/>
      <c r="H70" s="3040"/>
      <c r="I70" s="3040"/>
      <c r="J70" s="3040"/>
      <c r="K70" s="3040"/>
    </row>
  </sheetData>
  <mergeCells count="32">
    <mergeCell ref="B60:H60"/>
    <mergeCell ref="F45:F46"/>
    <mergeCell ref="G45:G46"/>
    <mergeCell ref="H45:H46"/>
    <mergeCell ref="I45:I46"/>
    <mergeCell ref="J45:K45"/>
    <mergeCell ref="A45:A46"/>
    <mergeCell ref="B45:B46"/>
    <mergeCell ref="C45:C46"/>
    <mergeCell ref="D45:D46"/>
    <mergeCell ref="E45:E46"/>
    <mergeCell ref="A2:I2"/>
    <mergeCell ref="A7:F7"/>
    <mergeCell ref="A8:A10"/>
    <mergeCell ref="B8:B10"/>
    <mergeCell ref="C8:C10"/>
    <mergeCell ref="F22:G22"/>
    <mergeCell ref="E18:F18"/>
    <mergeCell ref="A25:E25"/>
    <mergeCell ref="F20:G20"/>
    <mergeCell ref="A24:I24"/>
    <mergeCell ref="B16:H16"/>
    <mergeCell ref="A18:B18"/>
    <mergeCell ref="B13:I13"/>
    <mergeCell ref="D8:D10"/>
    <mergeCell ref="B15:H15"/>
    <mergeCell ref="G8:I8"/>
    <mergeCell ref="B14:H14"/>
    <mergeCell ref="H9:I9"/>
    <mergeCell ref="E8:E10"/>
    <mergeCell ref="F8:F10"/>
    <mergeCell ref="G9:G10"/>
  </mergeCells>
  <phoneticPr fontId="40" type="noConversion"/>
  <pageMargins left="0" right="0" top="0" bottom="0" header="0" footer="0"/>
  <pageSetup paperSize="9" scale="74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C00000"/>
  </sheetPr>
  <dimension ref="A1:X69"/>
  <sheetViews>
    <sheetView topLeftCell="C2" workbookViewId="0">
      <selection activeCell="C16" sqref="C16"/>
    </sheetView>
  </sheetViews>
  <sheetFormatPr defaultRowHeight="15"/>
  <cols>
    <col min="1" max="1" width="5.28515625" customWidth="1"/>
    <col min="2" max="2" width="19.5703125" customWidth="1"/>
    <col min="3" max="3" width="22.28515625" customWidth="1"/>
    <col min="14" max="16" width="0" hidden="1" customWidth="1"/>
    <col min="17" max="17" width="9.28515625" customWidth="1"/>
    <col min="18" max="18" width="9.5703125" customWidth="1"/>
    <col min="19" max="20" width="9.140625" customWidth="1"/>
    <col min="22" max="22" width="11.7109375" customWidth="1"/>
    <col min="23" max="23" width="12.28515625" customWidth="1"/>
    <col min="24" max="24" width="13.85546875" customWidth="1"/>
  </cols>
  <sheetData>
    <row r="1" spans="1:24" ht="15.75">
      <c r="A1" s="406"/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  <c r="P1" s="406"/>
      <c r="Q1" s="406"/>
      <c r="R1" s="406"/>
      <c r="S1" s="406"/>
      <c r="T1" s="406"/>
      <c r="U1" s="406"/>
      <c r="V1" s="406"/>
      <c r="W1" s="914" t="s">
        <v>267</v>
      </c>
      <c r="X1" s="762" t="s">
        <v>593</v>
      </c>
    </row>
    <row r="2" spans="1:24" ht="15.75">
      <c r="A2" s="1122" t="s">
        <v>1089</v>
      </c>
      <c r="B2" s="909"/>
      <c r="C2" s="909"/>
      <c r="D2" s="909"/>
      <c r="E2" s="909"/>
      <c r="F2" s="909"/>
      <c r="G2" s="909"/>
      <c r="H2" s="909"/>
      <c r="I2" s="909"/>
      <c r="J2" s="909"/>
      <c r="K2" s="909"/>
      <c r="L2" s="909"/>
      <c r="M2" s="909"/>
      <c r="N2" s="909"/>
      <c r="O2" s="909"/>
      <c r="P2" s="909"/>
      <c r="Q2" s="909"/>
      <c r="R2" s="909"/>
      <c r="S2" s="909"/>
      <c r="T2" s="909"/>
      <c r="U2" s="909"/>
      <c r="V2" s="909"/>
      <c r="W2" s="909"/>
      <c r="X2" s="909"/>
    </row>
    <row r="3" spans="1:24">
      <c r="A3" s="49"/>
      <c r="B3" s="406"/>
      <c r="C3" s="406"/>
      <c r="D3" s="406"/>
      <c r="E3" s="406"/>
      <c r="F3" s="406"/>
      <c r="G3" s="406"/>
      <c r="H3" s="406"/>
      <c r="I3" s="406"/>
      <c r="J3" s="406"/>
      <c r="K3" s="406"/>
      <c r="L3" s="406"/>
      <c r="M3" s="406"/>
      <c r="N3" s="406"/>
      <c r="O3" s="406"/>
      <c r="P3" s="406"/>
      <c r="Q3" s="406"/>
      <c r="R3" s="406"/>
      <c r="S3" s="406"/>
      <c r="T3" s="406"/>
      <c r="U3" s="406"/>
      <c r="V3" s="406"/>
      <c r="W3" s="406"/>
      <c r="X3" s="406"/>
    </row>
    <row r="4" spans="1:24" ht="15.75">
      <c r="A4" s="1123" t="s">
        <v>1090</v>
      </c>
      <c r="B4" s="909"/>
      <c r="C4" s="910"/>
      <c r="D4" s="910"/>
      <c r="E4" s="910"/>
      <c r="F4" s="909"/>
      <c r="G4" s="909"/>
      <c r="H4" s="909"/>
      <c r="I4" s="909"/>
      <c r="J4" s="909"/>
      <c r="K4" s="909"/>
      <c r="L4" s="909"/>
      <c r="M4" s="909"/>
      <c r="N4" s="909"/>
      <c r="O4" s="909"/>
      <c r="P4" s="909"/>
      <c r="Q4" s="909"/>
      <c r="R4" s="909"/>
      <c r="S4" s="909"/>
      <c r="T4" s="909"/>
      <c r="U4" s="909"/>
      <c r="V4" s="909"/>
      <c r="W4" s="909"/>
      <c r="X4" s="909"/>
    </row>
    <row r="5" spans="1:24" ht="15.75">
      <c r="A5" s="168" t="s">
        <v>990</v>
      </c>
      <c r="B5" s="406"/>
      <c r="C5" s="407"/>
      <c r="D5" s="407"/>
      <c r="E5" s="407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6"/>
      <c r="R5" s="406"/>
      <c r="S5" s="406"/>
      <c r="T5" s="406"/>
      <c r="U5" s="406"/>
      <c r="V5" s="406"/>
      <c r="W5" s="406"/>
      <c r="X5" s="406"/>
    </row>
    <row r="6" spans="1:24">
      <c r="A6" s="406"/>
      <c r="B6" s="406"/>
      <c r="C6" s="406"/>
      <c r="D6" s="406"/>
      <c r="E6" s="406"/>
      <c r="F6" s="406"/>
      <c r="G6" s="406"/>
      <c r="H6" s="406"/>
      <c r="I6" s="406"/>
      <c r="J6" s="406"/>
      <c r="K6" s="406"/>
      <c r="L6" s="406"/>
      <c r="M6" s="406"/>
      <c r="N6" s="406"/>
      <c r="O6" s="406"/>
      <c r="P6" s="406"/>
      <c r="Q6" s="406"/>
      <c r="R6" s="406"/>
      <c r="S6" s="406"/>
      <c r="T6" s="406"/>
      <c r="U6" s="406"/>
      <c r="V6" s="406"/>
      <c r="W6" s="406"/>
      <c r="X6" s="406"/>
    </row>
    <row r="7" spans="1:24" ht="28.5" customHeight="1">
      <c r="A7" s="3983" t="s">
        <v>1091</v>
      </c>
      <c r="B7" s="3983" t="s">
        <v>478</v>
      </c>
      <c r="C7" s="3983" t="s">
        <v>995</v>
      </c>
      <c r="D7" s="3983" t="s">
        <v>996</v>
      </c>
      <c r="E7" s="3979" t="s">
        <v>1092</v>
      </c>
      <c r="F7" s="3980"/>
      <c r="G7" s="3980"/>
      <c r="H7" s="3980"/>
      <c r="I7" s="3981"/>
      <c r="J7" s="3979" t="s">
        <v>1093</v>
      </c>
      <c r="K7" s="3980"/>
      <c r="L7" s="3981"/>
      <c r="M7" s="3982" t="s">
        <v>922</v>
      </c>
      <c r="N7" s="3982"/>
      <c r="O7" s="3982"/>
      <c r="P7" s="3982"/>
      <c r="Q7" s="3982"/>
      <c r="R7" s="3982"/>
      <c r="S7" s="3982"/>
      <c r="T7" s="3982"/>
      <c r="U7" s="3983" t="s">
        <v>999</v>
      </c>
      <c r="V7" s="3983" t="s">
        <v>345</v>
      </c>
      <c r="W7" s="3979" t="s">
        <v>1001</v>
      </c>
      <c r="X7" s="3981"/>
    </row>
    <row r="8" spans="1:24" ht="15" customHeight="1">
      <c r="A8" s="4001"/>
      <c r="B8" s="4001"/>
      <c r="C8" s="4001"/>
      <c r="D8" s="4001"/>
      <c r="E8" s="3979" t="s">
        <v>1094</v>
      </c>
      <c r="F8" s="3981"/>
      <c r="G8" s="3979" t="s">
        <v>1095</v>
      </c>
      <c r="H8" s="3981"/>
      <c r="I8" s="3983" t="s">
        <v>1096</v>
      </c>
      <c r="J8" s="3983" t="s">
        <v>1097</v>
      </c>
      <c r="K8" s="3983" t="s">
        <v>1098</v>
      </c>
      <c r="L8" s="3983" t="s">
        <v>1096</v>
      </c>
      <c r="M8" s="3983" t="s">
        <v>1099</v>
      </c>
      <c r="N8" s="3979" t="s">
        <v>1100</v>
      </c>
      <c r="O8" s="3981"/>
      <c r="P8" s="3983" t="s">
        <v>1101</v>
      </c>
      <c r="Q8" s="3983" t="s">
        <v>1102</v>
      </c>
      <c r="R8" s="3983" t="s">
        <v>1103</v>
      </c>
      <c r="S8" s="3983" t="s">
        <v>1012</v>
      </c>
      <c r="T8" s="3983" t="s">
        <v>1013</v>
      </c>
      <c r="U8" s="4001"/>
      <c r="V8" s="4001"/>
      <c r="W8" s="3983" t="s">
        <v>7</v>
      </c>
      <c r="X8" s="3983" t="s">
        <v>8</v>
      </c>
    </row>
    <row r="9" spans="1:24" ht="71.25">
      <c r="A9" s="3984"/>
      <c r="B9" s="3984"/>
      <c r="C9" s="3984"/>
      <c r="D9" s="3984"/>
      <c r="E9" s="408" t="s">
        <v>7</v>
      </c>
      <c r="F9" s="408" t="s">
        <v>8</v>
      </c>
      <c r="G9" s="408" t="s">
        <v>7</v>
      </c>
      <c r="H9" s="408" t="s">
        <v>8</v>
      </c>
      <c r="I9" s="3984"/>
      <c r="J9" s="3984"/>
      <c r="K9" s="3984"/>
      <c r="L9" s="3984"/>
      <c r="M9" s="3984"/>
      <c r="N9" s="638" t="s">
        <v>1104</v>
      </c>
      <c r="O9" s="638" t="s">
        <v>1105</v>
      </c>
      <c r="P9" s="3984"/>
      <c r="Q9" s="3984"/>
      <c r="R9" s="3984"/>
      <c r="S9" s="3984"/>
      <c r="T9" s="3984"/>
      <c r="U9" s="3984"/>
      <c r="V9" s="3984"/>
      <c r="W9" s="3984"/>
      <c r="X9" s="3984"/>
    </row>
    <row r="10" spans="1:24">
      <c r="A10" s="410">
        <v>1</v>
      </c>
      <c r="B10" s="410">
        <v>2</v>
      </c>
      <c r="C10" s="410">
        <v>3</v>
      </c>
      <c r="D10" s="410">
        <v>4</v>
      </c>
      <c r="E10" s="410">
        <v>5</v>
      </c>
      <c r="F10" s="410">
        <v>6</v>
      </c>
      <c r="G10" s="410">
        <v>7</v>
      </c>
      <c r="H10" s="410">
        <v>8</v>
      </c>
      <c r="I10" s="410">
        <v>9</v>
      </c>
      <c r="J10" s="410">
        <v>10</v>
      </c>
      <c r="K10" s="410">
        <v>11</v>
      </c>
      <c r="L10" s="410">
        <v>12</v>
      </c>
      <c r="M10" s="410">
        <v>13</v>
      </c>
      <c r="N10" s="410">
        <v>14</v>
      </c>
      <c r="O10" s="410">
        <v>15</v>
      </c>
      <c r="P10" s="410" t="s">
        <v>1106</v>
      </c>
      <c r="Q10" s="410">
        <v>17</v>
      </c>
      <c r="R10" s="410"/>
      <c r="S10" s="410">
        <v>18</v>
      </c>
      <c r="T10" s="410">
        <v>19</v>
      </c>
      <c r="U10" s="410">
        <v>20</v>
      </c>
      <c r="V10" s="410">
        <v>21</v>
      </c>
      <c r="W10" s="410" t="s">
        <v>1107</v>
      </c>
      <c r="X10" s="410" t="s">
        <v>1108</v>
      </c>
    </row>
    <row r="11" spans="1:24">
      <c r="A11" s="410"/>
      <c r="B11" s="411" t="s">
        <v>306</v>
      </c>
      <c r="C11" s="410"/>
      <c r="D11" s="410"/>
      <c r="E11" s="410"/>
      <c r="F11" s="410"/>
      <c r="G11" s="410"/>
      <c r="H11" s="410"/>
      <c r="I11" s="410"/>
      <c r="J11" s="410"/>
      <c r="K11" s="410"/>
      <c r="L11" s="410"/>
      <c r="M11" s="410"/>
      <c r="N11" s="932">
        <f>SUM(N12:N60)</f>
        <v>2884</v>
      </c>
      <c r="O11" s="932">
        <f>SUM(O12:O60)</f>
        <v>0</v>
      </c>
      <c r="P11" s="932">
        <f>SUM(P12:P60)</f>
        <v>2884</v>
      </c>
      <c r="Q11" s="410"/>
      <c r="R11" s="410"/>
      <c r="S11" s="410"/>
      <c r="T11" s="932">
        <f>SUM(T12:T60)</f>
        <v>2884</v>
      </c>
      <c r="U11" s="410"/>
      <c r="V11" s="628">
        <f>SUM(V12:V50)</f>
        <v>911494.47999999986</v>
      </c>
      <c r="W11" s="1124">
        <f>SUM(W12:W50)</f>
        <v>580041.94000000018</v>
      </c>
      <c r="X11" s="1124">
        <f>SUM(X12:X50)</f>
        <v>331452.5400000001</v>
      </c>
    </row>
    <row r="12" spans="1:24">
      <c r="A12" s="911">
        <v>1</v>
      </c>
      <c r="B12" s="1056" t="s">
        <v>1109</v>
      </c>
      <c r="C12" s="1577" t="s">
        <v>1110</v>
      </c>
      <c r="D12" s="1044" t="s">
        <v>1022</v>
      </c>
      <c r="E12" s="912">
        <v>6</v>
      </c>
      <c r="F12" s="912">
        <v>3</v>
      </c>
      <c r="G12" s="912">
        <v>1</v>
      </c>
      <c r="H12" s="912">
        <v>1</v>
      </c>
      <c r="I12" s="912"/>
      <c r="J12" s="912">
        <v>1</v>
      </c>
      <c r="K12" s="912"/>
      <c r="L12" s="912"/>
      <c r="M12" s="912"/>
      <c r="N12" s="931">
        <f>(E12+F12)*J12+(G12+H12)*K12</f>
        <v>9</v>
      </c>
      <c r="O12" s="931">
        <f t="shared" ref="O12:O50" si="0">I12*L12</f>
        <v>0</v>
      </c>
      <c r="P12" s="931">
        <f t="shared" ref="P12:P50" si="1">N12+O12</f>
        <v>9</v>
      </c>
      <c r="Q12" s="912"/>
      <c r="R12" s="912"/>
      <c r="S12" s="912">
        <f>Q12+R12</f>
        <v>0</v>
      </c>
      <c r="T12" s="931">
        <f>P12-S12</f>
        <v>9</v>
      </c>
      <c r="U12" s="912">
        <f>125*1.07</f>
        <v>133.75</v>
      </c>
      <c r="V12" s="1125">
        <f t="shared" ref="V12:V50" si="2">T12*U12</f>
        <v>1203.75</v>
      </c>
      <c r="W12" s="1126">
        <f>ROUND((V12/(E12+F12+G12+H12+I12)*(E12+G12)),2)</f>
        <v>766.02</v>
      </c>
      <c r="X12" s="1126">
        <f>V12-W12</f>
        <v>437.73</v>
      </c>
    </row>
    <row r="13" spans="1:24" ht="38.25">
      <c r="A13" s="911">
        <v>2</v>
      </c>
      <c r="B13" s="1534" t="s">
        <v>1111</v>
      </c>
      <c r="C13" s="1042" t="s">
        <v>1112</v>
      </c>
      <c r="D13" s="1044" t="s">
        <v>1022</v>
      </c>
      <c r="E13" s="912">
        <v>6</v>
      </c>
      <c r="F13" s="912">
        <v>3</v>
      </c>
      <c r="G13" s="912">
        <v>1</v>
      </c>
      <c r="H13" s="912">
        <v>1</v>
      </c>
      <c r="I13" s="912"/>
      <c r="J13" s="912">
        <v>1</v>
      </c>
      <c r="K13" s="912"/>
      <c r="L13" s="912"/>
      <c r="M13" s="912"/>
      <c r="N13" s="931">
        <f t="shared" ref="N13:N50" si="3">(E13+F13)*J13+(G13+H13)*K13</f>
        <v>9</v>
      </c>
      <c r="O13" s="931">
        <f t="shared" si="0"/>
        <v>0</v>
      </c>
      <c r="P13" s="931">
        <f t="shared" si="1"/>
        <v>9</v>
      </c>
      <c r="Q13" s="912"/>
      <c r="R13" s="912"/>
      <c r="S13" s="912">
        <f t="shared" ref="S13:S50" si="4">Q13+R13</f>
        <v>0</v>
      </c>
      <c r="T13" s="931">
        <f>P13-S13</f>
        <v>9</v>
      </c>
      <c r="U13" s="912">
        <f>109*1.07</f>
        <v>116.63000000000001</v>
      </c>
      <c r="V13" s="1125">
        <f t="shared" si="2"/>
        <v>1049.67</v>
      </c>
      <c r="W13" s="1126">
        <f t="shared" ref="W13:W50" si="5">ROUND((V13/(E13+F13+G13+H13+I13)*(E13+G13)),2)</f>
        <v>667.97</v>
      </c>
      <c r="X13" s="1126">
        <f t="shared" ref="X13:X50" si="6">V13-W13</f>
        <v>381.70000000000005</v>
      </c>
    </row>
    <row r="14" spans="1:24">
      <c r="A14" s="911">
        <v>3</v>
      </c>
      <c r="B14" s="1534" t="s">
        <v>1113</v>
      </c>
      <c r="C14" s="1042" t="s">
        <v>1114</v>
      </c>
      <c r="D14" s="1044" t="s">
        <v>1022</v>
      </c>
      <c r="E14" s="912">
        <v>6</v>
      </c>
      <c r="F14" s="912">
        <v>3</v>
      </c>
      <c r="G14" s="912">
        <v>1</v>
      </c>
      <c r="H14" s="912">
        <v>1</v>
      </c>
      <c r="I14" s="912"/>
      <c r="J14" s="912">
        <v>1</v>
      </c>
      <c r="K14" s="912"/>
      <c r="L14" s="912"/>
      <c r="M14" s="912"/>
      <c r="N14" s="931">
        <f t="shared" si="3"/>
        <v>9</v>
      </c>
      <c r="O14" s="931">
        <f t="shared" si="0"/>
        <v>0</v>
      </c>
      <c r="P14" s="931">
        <f t="shared" si="1"/>
        <v>9</v>
      </c>
      <c r="Q14" s="912"/>
      <c r="R14" s="912"/>
      <c r="S14" s="912">
        <f t="shared" si="4"/>
        <v>0</v>
      </c>
      <c r="T14" s="931">
        <f>P14-S14</f>
        <v>9</v>
      </c>
      <c r="U14" s="912">
        <f>1150*1.07</f>
        <v>1230.5</v>
      </c>
      <c r="V14" s="1125">
        <f t="shared" si="2"/>
        <v>11074.5</v>
      </c>
      <c r="W14" s="1126">
        <f t="shared" si="5"/>
        <v>7047.41</v>
      </c>
      <c r="X14" s="1126">
        <f t="shared" si="6"/>
        <v>4027.09</v>
      </c>
    </row>
    <row r="15" spans="1:24" ht="25.5">
      <c r="A15" s="911">
        <v>4</v>
      </c>
      <c r="B15" s="1746" t="s">
        <v>1115</v>
      </c>
      <c r="C15" s="1042" t="s">
        <v>1116</v>
      </c>
      <c r="D15" s="1044" t="s">
        <v>1022</v>
      </c>
      <c r="E15" s="912">
        <v>6</v>
      </c>
      <c r="F15" s="912">
        <v>3</v>
      </c>
      <c r="G15" s="912">
        <v>1</v>
      </c>
      <c r="H15" s="912">
        <v>1</v>
      </c>
      <c r="I15" s="912"/>
      <c r="J15" s="912">
        <v>1</v>
      </c>
      <c r="K15" s="912"/>
      <c r="L15" s="912"/>
      <c r="M15" s="912"/>
      <c r="N15" s="931">
        <f t="shared" si="3"/>
        <v>9</v>
      </c>
      <c r="O15" s="931">
        <f t="shared" si="0"/>
        <v>0</v>
      </c>
      <c r="P15" s="931">
        <f t="shared" si="1"/>
        <v>9</v>
      </c>
      <c r="Q15" s="912"/>
      <c r="R15" s="912"/>
      <c r="S15" s="912">
        <f t="shared" si="4"/>
        <v>0</v>
      </c>
      <c r="T15" s="931">
        <f>P15-S15</f>
        <v>9</v>
      </c>
      <c r="U15" s="912">
        <f>720*1.07</f>
        <v>770.40000000000009</v>
      </c>
      <c r="V15" s="1125">
        <f t="shared" si="2"/>
        <v>6933.6</v>
      </c>
      <c r="W15" s="1126">
        <f t="shared" si="5"/>
        <v>4412.29</v>
      </c>
      <c r="X15" s="1126">
        <f t="shared" si="6"/>
        <v>2521.3100000000004</v>
      </c>
    </row>
    <row r="16" spans="1:24" ht="38.25">
      <c r="A16" s="911">
        <v>5</v>
      </c>
      <c r="B16" s="1534" t="s">
        <v>1117</v>
      </c>
      <c r="C16" s="1042" t="s">
        <v>1118</v>
      </c>
      <c r="D16" s="1044" t="s">
        <v>1119</v>
      </c>
      <c r="E16" s="912">
        <v>6</v>
      </c>
      <c r="F16" s="912">
        <v>3</v>
      </c>
      <c r="G16" s="912">
        <v>1</v>
      </c>
      <c r="H16" s="912">
        <v>1</v>
      </c>
      <c r="I16" s="912"/>
      <c r="J16" s="912">
        <v>50</v>
      </c>
      <c r="K16" s="912"/>
      <c r="L16" s="912"/>
      <c r="M16" s="912"/>
      <c r="N16" s="931">
        <f t="shared" si="3"/>
        <v>450</v>
      </c>
      <c r="O16" s="931">
        <f t="shared" si="0"/>
        <v>0</v>
      </c>
      <c r="P16" s="931">
        <f t="shared" si="1"/>
        <v>450</v>
      </c>
      <c r="Q16" s="912"/>
      <c r="R16" s="912"/>
      <c r="S16" s="912">
        <f t="shared" si="4"/>
        <v>0</v>
      </c>
      <c r="T16" s="931">
        <f t="shared" ref="T16:T50" si="7">P16-S16</f>
        <v>450</v>
      </c>
      <c r="U16" s="912">
        <f>650*1.07</f>
        <v>695.5</v>
      </c>
      <c r="V16" s="1125">
        <f t="shared" si="2"/>
        <v>312975</v>
      </c>
      <c r="W16" s="1126">
        <f t="shared" si="5"/>
        <v>199165.91</v>
      </c>
      <c r="X16" s="1126">
        <f t="shared" si="6"/>
        <v>113809.09</v>
      </c>
    </row>
    <row r="17" spans="1:24" ht="25.5">
      <c r="A17" s="911">
        <v>6</v>
      </c>
      <c r="B17" s="1534" t="s">
        <v>1117</v>
      </c>
      <c r="C17" s="1042" t="s">
        <v>1120</v>
      </c>
      <c r="D17" s="1044" t="s">
        <v>1119</v>
      </c>
      <c r="E17" s="912">
        <v>6</v>
      </c>
      <c r="F17" s="912">
        <v>3</v>
      </c>
      <c r="G17" s="912">
        <v>1</v>
      </c>
      <c r="H17" s="912">
        <v>1</v>
      </c>
      <c r="I17" s="912"/>
      <c r="J17" s="912"/>
      <c r="K17" s="912">
        <v>12</v>
      </c>
      <c r="L17" s="912"/>
      <c r="M17" s="912"/>
      <c r="N17" s="931">
        <f t="shared" si="3"/>
        <v>24</v>
      </c>
      <c r="O17" s="931">
        <f t="shared" si="0"/>
        <v>0</v>
      </c>
      <c r="P17" s="931">
        <f t="shared" si="1"/>
        <v>24</v>
      </c>
      <c r="Q17" s="912"/>
      <c r="R17" s="912"/>
      <c r="S17" s="912">
        <f t="shared" si="4"/>
        <v>0</v>
      </c>
      <c r="T17" s="931">
        <f t="shared" si="7"/>
        <v>24</v>
      </c>
      <c r="U17" s="912">
        <f>1300*1.07</f>
        <v>1391</v>
      </c>
      <c r="V17" s="1125">
        <f t="shared" si="2"/>
        <v>33384</v>
      </c>
      <c r="W17" s="1126">
        <f t="shared" si="5"/>
        <v>21244.36</v>
      </c>
      <c r="X17" s="1126">
        <f t="shared" si="6"/>
        <v>12139.64</v>
      </c>
    </row>
    <row r="18" spans="1:24" ht="25.5">
      <c r="A18" s="911">
        <v>7</v>
      </c>
      <c r="B18" s="1534" t="s">
        <v>1121</v>
      </c>
      <c r="C18" s="1042" t="s">
        <v>1122</v>
      </c>
      <c r="D18" s="1044" t="s">
        <v>1022</v>
      </c>
      <c r="E18" s="912">
        <v>6</v>
      </c>
      <c r="F18" s="912">
        <v>3</v>
      </c>
      <c r="G18" s="912">
        <v>1</v>
      </c>
      <c r="H18" s="912">
        <v>1</v>
      </c>
      <c r="I18" s="912"/>
      <c r="J18" s="912">
        <v>5</v>
      </c>
      <c r="K18" s="912"/>
      <c r="L18" s="912"/>
      <c r="M18" s="912"/>
      <c r="N18" s="931">
        <f t="shared" si="3"/>
        <v>45</v>
      </c>
      <c r="O18" s="931">
        <f t="shared" si="0"/>
        <v>0</v>
      </c>
      <c r="P18" s="931">
        <f t="shared" si="1"/>
        <v>45</v>
      </c>
      <c r="Q18" s="912"/>
      <c r="R18" s="912"/>
      <c r="S18" s="912">
        <f t="shared" si="4"/>
        <v>0</v>
      </c>
      <c r="T18" s="931">
        <f t="shared" si="7"/>
        <v>45</v>
      </c>
      <c r="U18" s="912">
        <f>95*1.07</f>
        <v>101.65</v>
      </c>
      <c r="V18" s="1125">
        <f t="shared" si="2"/>
        <v>4574.25</v>
      </c>
      <c r="W18" s="1126">
        <f t="shared" si="5"/>
        <v>2910.89</v>
      </c>
      <c r="X18" s="1126">
        <f t="shared" si="6"/>
        <v>1663.3600000000001</v>
      </c>
    </row>
    <row r="19" spans="1:24" ht="25.5">
      <c r="A19" s="911">
        <v>8</v>
      </c>
      <c r="B19" s="1534" t="s">
        <v>1123</v>
      </c>
      <c r="C19" s="1042" t="s">
        <v>1124</v>
      </c>
      <c r="D19" s="1044" t="s">
        <v>1022</v>
      </c>
      <c r="E19" s="912">
        <v>6</v>
      </c>
      <c r="F19" s="912">
        <v>3</v>
      </c>
      <c r="G19" s="912">
        <v>1</v>
      </c>
      <c r="H19" s="912">
        <v>1</v>
      </c>
      <c r="I19" s="912"/>
      <c r="J19" s="912">
        <v>1</v>
      </c>
      <c r="K19" s="912"/>
      <c r="L19" s="912"/>
      <c r="M19" s="912"/>
      <c r="N19" s="931">
        <f t="shared" si="3"/>
        <v>9</v>
      </c>
      <c r="O19" s="931">
        <f t="shared" si="0"/>
        <v>0</v>
      </c>
      <c r="P19" s="931">
        <f t="shared" si="1"/>
        <v>9</v>
      </c>
      <c r="Q19" s="912"/>
      <c r="R19" s="912"/>
      <c r="S19" s="912">
        <f t="shared" si="4"/>
        <v>0</v>
      </c>
      <c r="T19" s="931">
        <f t="shared" si="7"/>
        <v>9</v>
      </c>
      <c r="U19" s="912">
        <f>809*1.07</f>
        <v>865.63</v>
      </c>
      <c r="V19" s="1125">
        <f t="shared" si="2"/>
        <v>7790.67</v>
      </c>
      <c r="W19" s="1126">
        <f t="shared" si="5"/>
        <v>4957.7</v>
      </c>
      <c r="X19" s="1126">
        <f t="shared" si="6"/>
        <v>2832.9700000000003</v>
      </c>
    </row>
    <row r="20" spans="1:24" ht="25.5">
      <c r="A20" s="911">
        <v>9</v>
      </c>
      <c r="B20" s="1534" t="s">
        <v>1123</v>
      </c>
      <c r="C20" s="1042" t="s">
        <v>1125</v>
      </c>
      <c r="D20" s="1044" t="s">
        <v>1022</v>
      </c>
      <c r="E20" s="912">
        <v>6</v>
      </c>
      <c r="F20" s="912">
        <v>3</v>
      </c>
      <c r="G20" s="912">
        <v>1</v>
      </c>
      <c r="H20" s="912">
        <v>1</v>
      </c>
      <c r="I20" s="912"/>
      <c r="J20" s="912">
        <v>1</v>
      </c>
      <c r="K20" s="912"/>
      <c r="L20" s="912"/>
      <c r="M20" s="912"/>
      <c r="N20" s="931">
        <f t="shared" si="3"/>
        <v>9</v>
      </c>
      <c r="O20" s="931">
        <f t="shared" si="0"/>
        <v>0</v>
      </c>
      <c r="P20" s="931">
        <f t="shared" si="1"/>
        <v>9</v>
      </c>
      <c r="Q20" s="912"/>
      <c r="R20" s="912"/>
      <c r="S20" s="912">
        <f t="shared" si="4"/>
        <v>0</v>
      </c>
      <c r="T20" s="931">
        <f t="shared" si="7"/>
        <v>9</v>
      </c>
      <c r="U20" s="912">
        <f>1395*1.07</f>
        <v>1492.65</v>
      </c>
      <c r="V20" s="1125">
        <f t="shared" si="2"/>
        <v>13433.85</v>
      </c>
      <c r="W20" s="1126">
        <f t="shared" si="5"/>
        <v>8548.81</v>
      </c>
      <c r="X20" s="1126">
        <f t="shared" si="6"/>
        <v>4885.0400000000009</v>
      </c>
    </row>
    <row r="21" spans="1:24" ht="25.5">
      <c r="A21" s="911">
        <v>10</v>
      </c>
      <c r="B21" s="1534" t="s">
        <v>1126</v>
      </c>
      <c r="C21" s="1042" t="s">
        <v>1127</v>
      </c>
      <c r="D21" s="1044" t="s">
        <v>1119</v>
      </c>
      <c r="E21" s="912">
        <v>6</v>
      </c>
      <c r="F21" s="912">
        <v>3</v>
      </c>
      <c r="G21" s="912">
        <v>1</v>
      </c>
      <c r="H21" s="912">
        <v>1</v>
      </c>
      <c r="I21" s="912"/>
      <c r="J21" s="912">
        <v>30</v>
      </c>
      <c r="K21" s="912"/>
      <c r="L21" s="912"/>
      <c r="M21" s="912"/>
      <c r="N21" s="931">
        <f t="shared" si="3"/>
        <v>270</v>
      </c>
      <c r="O21" s="931">
        <f t="shared" si="0"/>
        <v>0</v>
      </c>
      <c r="P21" s="931">
        <f t="shared" si="1"/>
        <v>270</v>
      </c>
      <c r="Q21" s="912"/>
      <c r="R21" s="912"/>
      <c r="S21" s="912">
        <f t="shared" si="4"/>
        <v>0</v>
      </c>
      <c r="T21" s="931">
        <f t="shared" si="7"/>
        <v>270</v>
      </c>
      <c r="U21" s="912">
        <f>86*1.07</f>
        <v>92.02000000000001</v>
      </c>
      <c r="V21" s="1125">
        <f t="shared" si="2"/>
        <v>24845.4</v>
      </c>
      <c r="W21" s="1126">
        <f t="shared" si="5"/>
        <v>15810.71</v>
      </c>
      <c r="X21" s="1126">
        <f t="shared" si="6"/>
        <v>9034.6900000000023</v>
      </c>
    </row>
    <row r="22" spans="1:24" ht="25.5">
      <c r="A22" s="911">
        <v>11</v>
      </c>
      <c r="B22" s="1534" t="s">
        <v>1126</v>
      </c>
      <c r="C22" s="1042" t="s">
        <v>1128</v>
      </c>
      <c r="D22" s="1044" t="s">
        <v>1119</v>
      </c>
      <c r="E22" s="912">
        <v>6</v>
      </c>
      <c r="F22" s="912">
        <v>3</v>
      </c>
      <c r="G22" s="912">
        <v>1</v>
      </c>
      <c r="H22" s="912">
        <v>1</v>
      </c>
      <c r="I22" s="912"/>
      <c r="J22" s="912">
        <v>30</v>
      </c>
      <c r="K22" s="912"/>
      <c r="L22" s="912"/>
      <c r="M22" s="912"/>
      <c r="N22" s="931">
        <f t="shared" si="3"/>
        <v>270</v>
      </c>
      <c r="O22" s="931">
        <f t="shared" si="0"/>
        <v>0</v>
      </c>
      <c r="P22" s="931">
        <f t="shared" si="1"/>
        <v>270</v>
      </c>
      <c r="Q22" s="912"/>
      <c r="R22" s="912"/>
      <c r="S22" s="912">
        <f t="shared" si="4"/>
        <v>0</v>
      </c>
      <c r="T22" s="931">
        <f t="shared" si="7"/>
        <v>270</v>
      </c>
      <c r="U22" s="912">
        <f>185*1.07</f>
        <v>197.95000000000002</v>
      </c>
      <c r="V22" s="1125">
        <f t="shared" si="2"/>
        <v>53446.500000000007</v>
      </c>
      <c r="W22" s="1126">
        <f t="shared" si="5"/>
        <v>34011.410000000003</v>
      </c>
      <c r="X22" s="1126">
        <f t="shared" si="6"/>
        <v>19435.090000000004</v>
      </c>
    </row>
    <row r="23" spans="1:24" ht="25.5">
      <c r="A23" s="911">
        <v>12</v>
      </c>
      <c r="B23" s="1534" t="s">
        <v>1126</v>
      </c>
      <c r="C23" s="1042" t="s">
        <v>1129</v>
      </c>
      <c r="D23" s="1044" t="s">
        <v>1119</v>
      </c>
      <c r="E23" s="912">
        <v>6</v>
      </c>
      <c r="F23" s="912">
        <v>3</v>
      </c>
      <c r="G23" s="912">
        <v>1</v>
      </c>
      <c r="H23" s="912">
        <v>1</v>
      </c>
      <c r="I23" s="912"/>
      <c r="J23" s="912">
        <v>30</v>
      </c>
      <c r="K23" s="912"/>
      <c r="L23" s="912"/>
      <c r="M23" s="912"/>
      <c r="N23" s="931">
        <f t="shared" si="3"/>
        <v>270</v>
      </c>
      <c r="O23" s="931">
        <f t="shared" si="0"/>
        <v>0</v>
      </c>
      <c r="P23" s="931">
        <f t="shared" si="1"/>
        <v>270</v>
      </c>
      <c r="Q23" s="912"/>
      <c r="R23" s="912"/>
      <c r="S23" s="912">
        <f t="shared" si="4"/>
        <v>0</v>
      </c>
      <c r="T23" s="931">
        <f t="shared" si="7"/>
        <v>270</v>
      </c>
      <c r="U23" s="912">
        <f>455*1.07</f>
        <v>486.85</v>
      </c>
      <c r="V23" s="1125">
        <f t="shared" si="2"/>
        <v>131449.5</v>
      </c>
      <c r="W23" s="1126">
        <f t="shared" si="5"/>
        <v>83649.679999999993</v>
      </c>
      <c r="X23" s="1126">
        <f t="shared" si="6"/>
        <v>47799.820000000007</v>
      </c>
    </row>
    <row r="24" spans="1:24" ht="38.25">
      <c r="A24" s="911">
        <v>13</v>
      </c>
      <c r="B24" s="1534" t="s">
        <v>1130</v>
      </c>
      <c r="C24" s="1042" t="s">
        <v>1131</v>
      </c>
      <c r="D24" s="1044" t="s">
        <v>1119</v>
      </c>
      <c r="E24" s="912">
        <v>6</v>
      </c>
      <c r="F24" s="912">
        <v>3</v>
      </c>
      <c r="G24" s="912">
        <v>1</v>
      </c>
      <c r="H24" s="912">
        <v>1</v>
      </c>
      <c r="I24" s="912"/>
      <c r="J24" s="912">
        <v>10</v>
      </c>
      <c r="K24" s="912"/>
      <c r="L24" s="912"/>
      <c r="M24" s="912"/>
      <c r="N24" s="931">
        <f t="shared" si="3"/>
        <v>90</v>
      </c>
      <c r="O24" s="931">
        <f t="shared" si="0"/>
        <v>0</v>
      </c>
      <c r="P24" s="931">
        <f t="shared" si="1"/>
        <v>90</v>
      </c>
      <c r="Q24" s="912"/>
      <c r="R24" s="912"/>
      <c r="S24" s="912">
        <f t="shared" si="4"/>
        <v>0</v>
      </c>
      <c r="T24" s="931">
        <f t="shared" si="7"/>
        <v>90</v>
      </c>
      <c r="U24" s="912">
        <f>166*1.07</f>
        <v>177.62</v>
      </c>
      <c r="V24" s="1125">
        <f t="shared" si="2"/>
        <v>15985.800000000001</v>
      </c>
      <c r="W24" s="1126">
        <f t="shared" si="5"/>
        <v>10172.780000000001</v>
      </c>
      <c r="X24" s="1126">
        <f t="shared" si="6"/>
        <v>5813.02</v>
      </c>
    </row>
    <row r="25" spans="1:24">
      <c r="A25" s="911">
        <v>14</v>
      </c>
      <c r="B25" s="1534" t="s">
        <v>1132</v>
      </c>
      <c r="C25" s="1042" t="s">
        <v>1133</v>
      </c>
      <c r="D25" s="1044" t="s">
        <v>1022</v>
      </c>
      <c r="E25" s="912">
        <v>6</v>
      </c>
      <c r="F25" s="912">
        <v>3</v>
      </c>
      <c r="G25" s="912">
        <v>1</v>
      </c>
      <c r="H25" s="912">
        <v>1</v>
      </c>
      <c r="I25" s="912"/>
      <c r="J25" s="912">
        <v>1</v>
      </c>
      <c r="K25" s="912"/>
      <c r="L25" s="912"/>
      <c r="M25" s="912"/>
      <c r="N25" s="931">
        <f t="shared" si="3"/>
        <v>9</v>
      </c>
      <c r="O25" s="931">
        <f t="shared" si="0"/>
        <v>0</v>
      </c>
      <c r="P25" s="931">
        <f t="shared" si="1"/>
        <v>9</v>
      </c>
      <c r="Q25" s="912"/>
      <c r="R25" s="912"/>
      <c r="S25" s="912">
        <f t="shared" si="4"/>
        <v>0</v>
      </c>
      <c r="T25" s="931">
        <f t="shared" si="7"/>
        <v>9</v>
      </c>
      <c r="U25" s="912">
        <f>2650*1.07</f>
        <v>2835.5</v>
      </c>
      <c r="V25" s="1125">
        <f t="shared" si="2"/>
        <v>25519.5</v>
      </c>
      <c r="W25" s="1126">
        <f t="shared" si="5"/>
        <v>16239.68</v>
      </c>
      <c r="X25" s="1126">
        <f t="shared" si="6"/>
        <v>9279.82</v>
      </c>
    </row>
    <row r="26" spans="1:24">
      <c r="A26" s="911">
        <v>15</v>
      </c>
      <c r="B26" s="1056" t="s">
        <v>1134</v>
      </c>
      <c r="C26" s="1043" t="s">
        <v>1135</v>
      </c>
      <c r="D26" s="1044" t="s">
        <v>1022</v>
      </c>
      <c r="E26" s="912">
        <v>6</v>
      </c>
      <c r="F26" s="912">
        <v>3</v>
      </c>
      <c r="G26" s="912">
        <v>1</v>
      </c>
      <c r="H26" s="912">
        <v>1</v>
      </c>
      <c r="I26" s="912"/>
      <c r="J26" s="912">
        <v>12</v>
      </c>
      <c r="K26" s="912"/>
      <c r="L26" s="912"/>
      <c r="M26" s="912"/>
      <c r="N26" s="931">
        <f t="shared" si="3"/>
        <v>108</v>
      </c>
      <c r="O26" s="931">
        <f t="shared" si="0"/>
        <v>0</v>
      </c>
      <c r="P26" s="931">
        <f t="shared" si="1"/>
        <v>108</v>
      </c>
      <c r="Q26" s="912"/>
      <c r="R26" s="912"/>
      <c r="S26" s="912">
        <f t="shared" si="4"/>
        <v>0</v>
      </c>
      <c r="T26" s="931">
        <f t="shared" si="7"/>
        <v>108</v>
      </c>
      <c r="U26" s="912">
        <f>35*1.07</f>
        <v>37.450000000000003</v>
      </c>
      <c r="V26" s="1125">
        <f t="shared" si="2"/>
        <v>4044.6000000000004</v>
      </c>
      <c r="W26" s="1126">
        <f t="shared" si="5"/>
        <v>2573.84</v>
      </c>
      <c r="X26" s="1126">
        <f t="shared" si="6"/>
        <v>1470.7600000000002</v>
      </c>
    </row>
    <row r="27" spans="1:24">
      <c r="A27" s="911">
        <v>16</v>
      </c>
      <c r="B27" s="1056" t="s">
        <v>1136</v>
      </c>
      <c r="C27" s="1042" t="s">
        <v>1137</v>
      </c>
      <c r="D27" s="1044" t="s">
        <v>1022</v>
      </c>
      <c r="E27" s="912">
        <v>6</v>
      </c>
      <c r="F27" s="912">
        <v>3</v>
      </c>
      <c r="G27" s="912">
        <v>1</v>
      </c>
      <c r="H27" s="912">
        <v>1</v>
      </c>
      <c r="I27" s="912"/>
      <c r="J27" s="912">
        <v>5</v>
      </c>
      <c r="K27" s="912"/>
      <c r="L27" s="912"/>
      <c r="M27" s="912"/>
      <c r="N27" s="931">
        <f t="shared" si="3"/>
        <v>45</v>
      </c>
      <c r="O27" s="931">
        <f t="shared" si="0"/>
        <v>0</v>
      </c>
      <c r="P27" s="931">
        <f t="shared" si="1"/>
        <v>45</v>
      </c>
      <c r="Q27" s="912"/>
      <c r="R27" s="912"/>
      <c r="S27" s="912">
        <f t="shared" si="4"/>
        <v>0</v>
      </c>
      <c r="T27" s="931">
        <f t="shared" si="7"/>
        <v>45</v>
      </c>
      <c r="U27" s="912">
        <f>127*1.07</f>
        <v>135.89000000000001</v>
      </c>
      <c r="V27" s="1125">
        <f t="shared" si="2"/>
        <v>6115.0500000000011</v>
      </c>
      <c r="W27" s="1126">
        <f t="shared" si="5"/>
        <v>3891.4</v>
      </c>
      <c r="X27" s="1126">
        <f t="shared" si="6"/>
        <v>2223.650000000001</v>
      </c>
    </row>
    <row r="28" spans="1:24">
      <c r="A28" s="911">
        <v>17</v>
      </c>
      <c r="B28" s="1534" t="s">
        <v>1138</v>
      </c>
      <c r="C28" s="1042" t="s">
        <v>1139</v>
      </c>
      <c r="D28" s="1044" t="s">
        <v>1022</v>
      </c>
      <c r="E28" s="912">
        <v>6</v>
      </c>
      <c r="F28" s="912">
        <v>3</v>
      </c>
      <c r="G28" s="912">
        <v>1</v>
      </c>
      <c r="H28" s="912">
        <v>1</v>
      </c>
      <c r="I28" s="912"/>
      <c r="J28" s="912"/>
      <c r="K28" s="912">
        <v>5</v>
      </c>
      <c r="L28" s="912"/>
      <c r="M28" s="912"/>
      <c r="N28" s="931">
        <f t="shared" si="3"/>
        <v>10</v>
      </c>
      <c r="O28" s="931">
        <f t="shared" si="0"/>
        <v>0</v>
      </c>
      <c r="P28" s="931">
        <f t="shared" si="1"/>
        <v>10</v>
      </c>
      <c r="Q28" s="912"/>
      <c r="R28" s="912"/>
      <c r="S28" s="912">
        <f t="shared" si="4"/>
        <v>0</v>
      </c>
      <c r="T28" s="931">
        <f t="shared" si="7"/>
        <v>10</v>
      </c>
      <c r="U28" s="912">
        <f>300*1.07</f>
        <v>321</v>
      </c>
      <c r="V28" s="1125">
        <f t="shared" si="2"/>
        <v>3210</v>
      </c>
      <c r="W28" s="1126">
        <f t="shared" si="5"/>
        <v>2042.73</v>
      </c>
      <c r="X28" s="1126">
        <f t="shared" si="6"/>
        <v>1167.27</v>
      </c>
    </row>
    <row r="29" spans="1:24" ht="25.5">
      <c r="A29" s="911">
        <v>18</v>
      </c>
      <c r="B29" s="1534" t="s">
        <v>1140</v>
      </c>
      <c r="C29" s="1042" t="s">
        <v>1141</v>
      </c>
      <c r="D29" s="1044" t="s">
        <v>1022</v>
      </c>
      <c r="E29" s="912">
        <v>6</v>
      </c>
      <c r="F29" s="912">
        <v>3</v>
      </c>
      <c r="G29" s="912">
        <v>1</v>
      </c>
      <c r="H29" s="912">
        <v>1</v>
      </c>
      <c r="I29" s="912"/>
      <c r="J29" s="912"/>
      <c r="K29" s="912">
        <v>50</v>
      </c>
      <c r="L29" s="912"/>
      <c r="M29" s="912"/>
      <c r="N29" s="931">
        <f t="shared" si="3"/>
        <v>100</v>
      </c>
      <c r="O29" s="931">
        <f t="shared" si="0"/>
        <v>0</v>
      </c>
      <c r="P29" s="931">
        <f t="shared" si="1"/>
        <v>100</v>
      </c>
      <c r="Q29" s="912"/>
      <c r="R29" s="912"/>
      <c r="S29" s="912">
        <f t="shared" si="4"/>
        <v>0</v>
      </c>
      <c r="T29" s="931">
        <f t="shared" si="7"/>
        <v>100</v>
      </c>
      <c r="U29" s="912">
        <f>18*1.07</f>
        <v>19.260000000000002</v>
      </c>
      <c r="V29" s="1125">
        <f t="shared" si="2"/>
        <v>1926.0000000000002</v>
      </c>
      <c r="W29" s="1126">
        <f t="shared" si="5"/>
        <v>1225.6400000000001</v>
      </c>
      <c r="X29" s="1126">
        <f t="shared" si="6"/>
        <v>700.36000000000013</v>
      </c>
    </row>
    <row r="30" spans="1:24" ht="38.25">
      <c r="A30" s="911">
        <v>19</v>
      </c>
      <c r="B30" s="1056" t="s">
        <v>1142</v>
      </c>
      <c r="C30" s="1042" t="s">
        <v>1143</v>
      </c>
      <c r="D30" s="1044" t="s">
        <v>1022</v>
      </c>
      <c r="E30" s="912">
        <v>6</v>
      </c>
      <c r="F30" s="912">
        <v>3</v>
      </c>
      <c r="G30" s="912">
        <v>1</v>
      </c>
      <c r="H30" s="912">
        <v>1</v>
      </c>
      <c r="I30" s="912"/>
      <c r="J30" s="912">
        <v>4</v>
      </c>
      <c r="K30" s="912"/>
      <c r="L30" s="912"/>
      <c r="M30" s="912"/>
      <c r="N30" s="931">
        <f t="shared" si="3"/>
        <v>36</v>
      </c>
      <c r="O30" s="931">
        <f t="shared" si="0"/>
        <v>0</v>
      </c>
      <c r="P30" s="931">
        <f t="shared" si="1"/>
        <v>36</v>
      </c>
      <c r="Q30" s="912"/>
      <c r="R30" s="912"/>
      <c r="S30" s="912">
        <f t="shared" si="4"/>
        <v>0</v>
      </c>
      <c r="T30" s="931">
        <f t="shared" si="7"/>
        <v>36</v>
      </c>
      <c r="U30" s="912">
        <f>89*1.07</f>
        <v>95.23</v>
      </c>
      <c r="V30" s="1125">
        <f t="shared" si="2"/>
        <v>3428.28</v>
      </c>
      <c r="W30" s="1126">
        <f t="shared" si="5"/>
        <v>2181.63</v>
      </c>
      <c r="X30" s="1126">
        <f t="shared" si="6"/>
        <v>1246.6500000000001</v>
      </c>
    </row>
    <row r="31" spans="1:24" ht="25.5">
      <c r="A31" s="911">
        <v>20</v>
      </c>
      <c r="B31" s="1534" t="s">
        <v>1144</v>
      </c>
      <c r="C31" s="1042" t="s">
        <v>1145</v>
      </c>
      <c r="D31" s="1044" t="s">
        <v>1022</v>
      </c>
      <c r="E31" s="912">
        <v>6</v>
      </c>
      <c r="F31" s="912">
        <v>3</v>
      </c>
      <c r="G31" s="912">
        <v>1</v>
      </c>
      <c r="H31" s="912">
        <v>1</v>
      </c>
      <c r="I31" s="912"/>
      <c r="J31" s="912">
        <v>2</v>
      </c>
      <c r="K31" s="912"/>
      <c r="L31" s="912"/>
      <c r="M31" s="912"/>
      <c r="N31" s="931">
        <f t="shared" si="3"/>
        <v>18</v>
      </c>
      <c r="O31" s="931">
        <f t="shared" si="0"/>
        <v>0</v>
      </c>
      <c r="P31" s="931">
        <f t="shared" si="1"/>
        <v>18</v>
      </c>
      <c r="Q31" s="912"/>
      <c r="R31" s="912"/>
      <c r="S31" s="912">
        <f t="shared" si="4"/>
        <v>0</v>
      </c>
      <c r="T31" s="931">
        <f t="shared" si="7"/>
        <v>18</v>
      </c>
      <c r="U31" s="912">
        <f>22*1.07</f>
        <v>23.540000000000003</v>
      </c>
      <c r="V31" s="1125">
        <f t="shared" si="2"/>
        <v>423.72</v>
      </c>
      <c r="W31" s="1126">
        <f t="shared" si="5"/>
        <v>269.64</v>
      </c>
      <c r="X31" s="1126">
        <f t="shared" si="6"/>
        <v>154.08000000000004</v>
      </c>
    </row>
    <row r="32" spans="1:24">
      <c r="A32" s="911">
        <v>21</v>
      </c>
      <c r="B32" s="1534" t="s">
        <v>1146</v>
      </c>
      <c r="C32" s="1042" t="s">
        <v>1147</v>
      </c>
      <c r="D32" s="1044" t="s">
        <v>1022</v>
      </c>
      <c r="E32" s="912">
        <v>6</v>
      </c>
      <c r="F32" s="912">
        <v>3</v>
      </c>
      <c r="G32" s="912">
        <v>1</v>
      </c>
      <c r="H32" s="912">
        <v>1</v>
      </c>
      <c r="I32" s="912"/>
      <c r="J32" s="912">
        <v>1</v>
      </c>
      <c r="K32" s="912"/>
      <c r="L32" s="912"/>
      <c r="M32" s="912"/>
      <c r="N32" s="931">
        <f t="shared" si="3"/>
        <v>9</v>
      </c>
      <c r="O32" s="931">
        <f t="shared" si="0"/>
        <v>0</v>
      </c>
      <c r="P32" s="931">
        <f t="shared" si="1"/>
        <v>9</v>
      </c>
      <c r="Q32" s="912"/>
      <c r="R32" s="912"/>
      <c r="S32" s="912">
        <f t="shared" si="4"/>
        <v>0</v>
      </c>
      <c r="T32" s="931">
        <f t="shared" si="7"/>
        <v>9</v>
      </c>
      <c r="U32" s="912">
        <f>140*1.07</f>
        <v>149.80000000000001</v>
      </c>
      <c r="V32" s="1125">
        <f t="shared" si="2"/>
        <v>1348.2</v>
      </c>
      <c r="W32" s="1126">
        <f t="shared" si="5"/>
        <v>857.95</v>
      </c>
      <c r="X32" s="1126">
        <f t="shared" si="6"/>
        <v>490.25</v>
      </c>
    </row>
    <row r="33" spans="1:24" ht="28.5" customHeight="1">
      <c r="A33" s="911">
        <v>22</v>
      </c>
      <c r="B33" s="1534" t="s">
        <v>1148</v>
      </c>
      <c r="C33" s="1042" t="s">
        <v>1149</v>
      </c>
      <c r="D33" s="1044" t="s">
        <v>1022</v>
      </c>
      <c r="E33" s="912">
        <v>6</v>
      </c>
      <c r="F33" s="912">
        <v>3</v>
      </c>
      <c r="G33" s="912">
        <v>1</v>
      </c>
      <c r="H33" s="912">
        <v>1</v>
      </c>
      <c r="I33" s="912"/>
      <c r="J33" s="912">
        <v>3</v>
      </c>
      <c r="K33" s="912"/>
      <c r="L33" s="912"/>
      <c r="M33" s="912"/>
      <c r="N33" s="931">
        <f t="shared" si="3"/>
        <v>27</v>
      </c>
      <c r="O33" s="931">
        <f t="shared" si="0"/>
        <v>0</v>
      </c>
      <c r="P33" s="931">
        <f t="shared" si="1"/>
        <v>27</v>
      </c>
      <c r="Q33" s="912"/>
      <c r="R33" s="912"/>
      <c r="S33" s="912">
        <f t="shared" si="4"/>
        <v>0</v>
      </c>
      <c r="T33" s="931">
        <f t="shared" si="7"/>
        <v>27</v>
      </c>
      <c r="U33" s="912">
        <f>1130*1.07</f>
        <v>1209.1000000000001</v>
      </c>
      <c r="V33" s="1125">
        <f t="shared" si="2"/>
        <v>32645.700000000004</v>
      </c>
      <c r="W33" s="1126">
        <f t="shared" si="5"/>
        <v>20774.54</v>
      </c>
      <c r="X33" s="1126">
        <f t="shared" si="6"/>
        <v>11871.160000000003</v>
      </c>
    </row>
    <row r="34" spans="1:24" ht="25.5">
      <c r="A34" s="911">
        <v>23</v>
      </c>
      <c r="B34" s="1534" t="s">
        <v>1148</v>
      </c>
      <c r="C34" s="1042" t="s">
        <v>1150</v>
      </c>
      <c r="D34" s="1044" t="s">
        <v>1022</v>
      </c>
      <c r="E34" s="912">
        <v>6</v>
      </c>
      <c r="F34" s="912">
        <v>3</v>
      </c>
      <c r="G34" s="912">
        <v>1</v>
      </c>
      <c r="H34" s="912">
        <v>1</v>
      </c>
      <c r="I34" s="912"/>
      <c r="J34" s="912">
        <v>3</v>
      </c>
      <c r="K34" s="912"/>
      <c r="L34" s="912"/>
      <c r="M34" s="912"/>
      <c r="N34" s="931">
        <f t="shared" si="3"/>
        <v>27</v>
      </c>
      <c r="O34" s="931">
        <f t="shared" si="0"/>
        <v>0</v>
      </c>
      <c r="P34" s="931">
        <f t="shared" si="1"/>
        <v>27</v>
      </c>
      <c r="Q34" s="912"/>
      <c r="R34" s="912"/>
      <c r="S34" s="912">
        <f t="shared" si="4"/>
        <v>0</v>
      </c>
      <c r="T34" s="931">
        <f t="shared" si="7"/>
        <v>27</v>
      </c>
      <c r="U34" s="912">
        <f>632*1.07</f>
        <v>676.24</v>
      </c>
      <c r="V34" s="1125">
        <f t="shared" si="2"/>
        <v>18258.48</v>
      </c>
      <c r="W34" s="1126">
        <f t="shared" si="5"/>
        <v>11619.03</v>
      </c>
      <c r="X34" s="1126">
        <f t="shared" si="6"/>
        <v>6639.4499999999989</v>
      </c>
    </row>
    <row r="35" spans="1:24" ht="25.5">
      <c r="A35" s="911">
        <v>24</v>
      </c>
      <c r="B35" s="1056" t="s">
        <v>1151</v>
      </c>
      <c r="C35" s="1042" t="s">
        <v>1152</v>
      </c>
      <c r="D35" s="1044" t="s">
        <v>1153</v>
      </c>
      <c r="E35" s="912">
        <v>6</v>
      </c>
      <c r="F35" s="912">
        <v>3</v>
      </c>
      <c r="G35" s="912">
        <v>1</v>
      </c>
      <c r="H35" s="912">
        <v>1</v>
      </c>
      <c r="I35" s="912"/>
      <c r="J35" s="912">
        <v>3</v>
      </c>
      <c r="K35" s="912"/>
      <c r="L35" s="912"/>
      <c r="M35" s="912"/>
      <c r="N35" s="931">
        <f t="shared" si="3"/>
        <v>27</v>
      </c>
      <c r="O35" s="931">
        <f t="shared" si="0"/>
        <v>0</v>
      </c>
      <c r="P35" s="931">
        <f t="shared" si="1"/>
        <v>27</v>
      </c>
      <c r="Q35" s="912"/>
      <c r="R35" s="912"/>
      <c r="S35" s="912">
        <f t="shared" si="4"/>
        <v>0</v>
      </c>
      <c r="T35" s="931">
        <f t="shared" si="7"/>
        <v>27</v>
      </c>
      <c r="U35" s="912">
        <f>564*1.07</f>
        <v>603.48</v>
      </c>
      <c r="V35" s="1125">
        <f t="shared" si="2"/>
        <v>16293.960000000001</v>
      </c>
      <c r="W35" s="1126">
        <f t="shared" si="5"/>
        <v>10368.879999999999</v>
      </c>
      <c r="X35" s="1126">
        <f t="shared" si="6"/>
        <v>5925.0800000000017</v>
      </c>
    </row>
    <row r="36" spans="1:24" ht="51">
      <c r="A36" s="911">
        <v>25</v>
      </c>
      <c r="B36" s="1534" t="s">
        <v>1154</v>
      </c>
      <c r="C36" s="1042" t="s">
        <v>1155</v>
      </c>
      <c r="D36" s="1044" t="s">
        <v>1022</v>
      </c>
      <c r="E36" s="912">
        <v>6</v>
      </c>
      <c r="F36" s="912">
        <v>3</v>
      </c>
      <c r="G36" s="912">
        <v>1</v>
      </c>
      <c r="H36" s="912">
        <v>1</v>
      </c>
      <c r="I36" s="912"/>
      <c r="J36" s="912">
        <v>1</v>
      </c>
      <c r="K36" s="912"/>
      <c r="L36" s="912"/>
      <c r="M36" s="912"/>
      <c r="N36" s="931">
        <f t="shared" si="3"/>
        <v>9</v>
      </c>
      <c r="O36" s="931">
        <f t="shared" si="0"/>
        <v>0</v>
      </c>
      <c r="P36" s="931">
        <f t="shared" si="1"/>
        <v>9</v>
      </c>
      <c r="Q36" s="912"/>
      <c r="R36" s="912"/>
      <c r="S36" s="912">
        <f t="shared" si="4"/>
        <v>0</v>
      </c>
      <c r="T36" s="931">
        <f t="shared" si="7"/>
        <v>9</v>
      </c>
      <c r="U36" s="912">
        <f>420*1.07</f>
        <v>449.40000000000003</v>
      </c>
      <c r="V36" s="1125">
        <f t="shared" si="2"/>
        <v>4044.6000000000004</v>
      </c>
      <c r="W36" s="1126">
        <f t="shared" si="5"/>
        <v>2573.84</v>
      </c>
      <c r="X36" s="1126">
        <f t="shared" si="6"/>
        <v>1470.7600000000002</v>
      </c>
    </row>
    <row r="37" spans="1:24" ht="102">
      <c r="A37" s="911">
        <v>26</v>
      </c>
      <c r="B37" s="1056" t="s">
        <v>1156</v>
      </c>
      <c r="C37" s="1042" t="s">
        <v>1157</v>
      </c>
      <c r="D37" s="1044" t="s">
        <v>1022</v>
      </c>
      <c r="E37" s="912">
        <v>6</v>
      </c>
      <c r="F37" s="912">
        <v>3</v>
      </c>
      <c r="G37" s="912">
        <v>1</v>
      </c>
      <c r="H37" s="912">
        <v>1</v>
      </c>
      <c r="I37" s="912"/>
      <c r="J37" s="912"/>
      <c r="K37" s="912">
        <v>60</v>
      </c>
      <c r="L37" s="912"/>
      <c r="M37" s="912"/>
      <c r="N37" s="931">
        <f t="shared" si="3"/>
        <v>120</v>
      </c>
      <c r="O37" s="931">
        <f t="shared" si="0"/>
        <v>0</v>
      </c>
      <c r="P37" s="931">
        <f t="shared" si="1"/>
        <v>120</v>
      </c>
      <c r="Q37" s="912"/>
      <c r="R37" s="912"/>
      <c r="S37" s="912">
        <f t="shared" si="4"/>
        <v>0</v>
      </c>
      <c r="T37" s="931">
        <f t="shared" si="7"/>
        <v>120</v>
      </c>
      <c r="U37" s="912">
        <f>375*1.07</f>
        <v>401.25</v>
      </c>
      <c r="V37" s="1125">
        <f t="shared" si="2"/>
        <v>48150</v>
      </c>
      <c r="W37" s="1126">
        <f t="shared" si="5"/>
        <v>30640.91</v>
      </c>
      <c r="X37" s="1126">
        <f t="shared" si="6"/>
        <v>17509.09</v>
      </c>
    </row>
    <row r="38" spans="1:24">
      <c r="A38" s="911">
        <v>27</v>
      </c>
      <c r="B38" s="1534" t="s">
        <v>1158</v>
      </c>
      <c r="C38" s="1042" t="s">
        <v>1159</v>
      </c>
      <c r="D38" s="1044" t="s">
        <v>1022</v>
      </c>
      <c r="E38" s="912">
        <v>6</v>
      </c>
      <c r="F38" s="912">
        <v>3</v>
      </c>
      <c r="G38" s="912">
        <v>1</v>
      </c>
      <c r="H38" s="912">
        <v>1</v>
      </c>
      <c r="I38" s="912"/>
      <c r="J38" s="912">
        <v>10</v>
      </c>
      <c r="K38" s="912"/>
      <c r="L38" s="912"/>
      <c r="M38" s="912"/>
      <c r="N38" s="931">
        <f t="shared" si="3"/>
        <v>90</v>
      </c>
      <c r="O38" s="931">
        <f t="shared" si="0"/>
        <v>0</v>
      </c>
      <c r="P38" s="931">
        <f t="shared" si="1"/>
        <v>90</v>
      </c>
      <c r="Q38" s="912"/>
      <c r="R38" s="912"/>
      <c r="S38" s="912">
        <f t="shared" si="4"/>
        <v>0</v>
      </c>
      <c r="T38" s="931">
        <f t="shared" si="7"/>
        <v>90</v>
      </c>
      <c r="U38" s="912">
        <f>445*1.07</f>
        <v>476.15000000000003</v>
      </c>
      <c r="V38" s="1125">
        <f t="shared" si="2"/>
        <v>42853.5</v>
      </c>
      <c r="W38" s="1126">
        <f t="shared" si="5"/>
        <v>27270.41</v>
      </c>
      <c r="X38" s="1126">
        <f t="shared" si="6"/>
        <v>15583.09</v>
      </c>
    </row>
    <row r="39" spans="1:24" ht="25.5">
      <c r="A39" s="911">
        <v>28</v>
      </c>
      <c r="B39" s="1056" t="s">
        <v>1160</v>
      </c>
      <c r="C39" s="1043" t="s">
        <v>1161</v>
      </c>
      <c r="D39" s="1044" t="s">
        <v>1022</v>
      </c>
      <c r="E39" s="912">
        <v>6</v>
      </c>
      <c r="F39" s="912">
        <v>3</v>
      </c>
      <c r="G39" s="912">
        <v>1</v>
      </c>
      <c r="H39" s="912">
        <v>1</v>
      </c>
      <c r="I39" s="912"/>
      <c r="J39" s="912">
        <v>12</v>
      </c>
      <c r="K39" s="912"/>
      <c r="L39" s="912"/>
      <c r="M39" s="912"/>
      <c r="N39" s="931">
        <f t="shared" si="3"/>
        <v>108</v>
      </c>
      <c r="O39" s="931">
        <f t="shared" si="0"/>
        <v>0</v>
      </c>
      <c r="P39" s="931">
        <f t="shared" si="1"/>
        <v>108</v>
      </c>
      <c r="Q39" s="912"/>
      <c r="R39" s="912"/>
      <c r="S39" s="912">
        <f t="shared" si="4"/>
        <v>0</v>
      </c>
      <c r="T39" s="931">
        <f t="shared" si="7"/>
        <v>108</v>
      </c>
      <c r="U39" s="912">
        <f>32*1.07</f>
        <v>34.24</v>
      </c>
      <c r="V39" s="1125">
        <f t="shared" si="2"/>
        <v>3697.92</v>
      </c>
      <c r="W39" s="1126">
        <f t="shared" si="5"/>
        <v>2353.2199999999998</v>
      </c>
      <c r="X39" s="1126">
        <f t="shared" si="6"/>
        <v>1344.7000000000003</v>
      </c>
    </row>
    <row r="40" spans="1:24" ht="51">
      <c r="A40" s="911">
        <v>29</v>
      </c>
      <c r="B40" s="1056" t="s">
        <v>1160</v>
      </c>
      <c r="C40" s="1043" t="s">
        <v>1162</v>
      </c>
      <c r="D40" s="1044" t="s">
        <v>1022</v>
      </c>
      <c r="E40" s="912">
        <v>6</v>
      </c>
      <c r="F40" s="912">
        <v>3</v>
      </c>
      <c r="G40" s="912">
        <v>1</v>
      </c>
      <c r="H40" s="912">
        <v>1</v>
      </c>
      <c r="I40" s="912"/>
      <c r="J40" s="912">
        <v>12</v>
      </c>
      <c r="K40" s="912"/>
      <c r="L40" s="912"/>
      <c r="M40" s="912"/>
      <c r="N40" s="931">
        <f t="shared" si="3"/>
        <v>108</v>
      </c>
      <c r="O40" s="931">
        <f t="shared" si="0"/>
        <v>0</v>
      </c>
      <c r="P40" s="931">
        <f t="shared" si="1"/>
        <v>108</v>
      </c>
      <c r="Q40" s="912"/>
      <c r="R40" s="912"/>
      <c r="S40" s="912">
        <f t="shared" si="4"/>
        <v>0</v>
      </c>
      <c r="T40" s="931">
        <f t="shared" si="7"/>
        <v>108</v>
      </c>
      <c r="U40" s="912">
        <f>95*1.07</f>
        <v>101.65</v>
      </c>
      <c r="V40" s="1125">
        <f t="shared" si="2"/>
        <v>10978.2</v>
      </c>
      <c r="W40" s="1126">
        <f t="shared" si="5"/>
        <v>6986.13</v>
      </c>
      <c r="X40" s="1126">
        <f t="shared" si="6"/>
        <v>3992.0700000000006</v>
      </c>
    </row>
    <row r="41" spans="1:24" ht="25.5">
      <c r="A41" s="911">
        <v>30</v>
      </c>
      <c r="B41" s="1534" t="s">
        <v>1163</v>
      </c>
      <c r="C41" s="1042" t="s">
        <v>1164</v>
      </c>
      <c r="D41" s="1044" t="s">
        <v>1022</v>
      </c>
      <c r="E41" s="912">
        <v>6</v>
      </c>
      <c r="F41" s="912">
        <v>3</v>
      </c>
      <c r="G41" s="912">
        <v>1</v>
      </c>
      <c r="H41" s="912">
        <v>1</v>
      </c>
      <c r="I41" s="912"/>
      <c r="J41" s="912">
        <v>5</v>
      </c>
      <c r="K41" s="912"/>
      <c r="L41" s="912"/>
      <c r="M41" s="912"/>
      <c r="N41" s="931">
        <f t="shared" si="3"/>
        <v>45</v>
      </c>
      <c r="O41" s="931">
        <f t="shared" si="0"/>
        <v>0</v>
      </c>
      <c r="P41" s="931">
        <f t="shared" si="1"/>
        <v>45</v>
      </c>
      <c r="Q41" s="912"/>
      <c r="R41" s="912"/>
      <c r="S41" s="912">
        <f t="shared" si="4"/>
        <v>0</v>
      </c>
      <c r="T41" s="931">
        <f t="shared" si="7"/>
        <v>45</v>
      </c>
      <c r="U41" s="912">
        <f>475*1.07</f>
        <v>508.25000000000006</v>
      </c>
      <c r="V41" s="1125">
        <f t="shared" si="2"/>
        <v>22871.250000000004</v>
      </c>
      <c r="W41" s="1126">
        <f t="shared" si="5"/>
        <v>14554.43</v>
      </c>
      <c r="X41" s="1126">
        <f t="shared" si="6"/>
        <v>8316.8200000000033</v>
      </c>
    </row>
    <row r="42" spans="1:24" ht="67.5" customHeight="1">
      <c r="A42" s="911">
        <v>31</v>
      </c>
      <c r="B42" s="1056" t="s">
        <v>1165</v>
      </c>
      <c r="C42" s="1042" t="s">
        <v>1166</v>
      </c>
      <c r="D42" s="1044" t="s">
        <v>1022</v>
      </c>
      <c r="E42" s="912">
        <v>6</v>
      </c>
      <c r="F42" s="912">
        <v>3</v>
      </c>
      <c r="G42" s="912">
        <v>1</v>
      </c>
      <c r="H42" s="912">
        <v>1</v>
      </c>
      <c r="I42" s="912"/>
      <c r="J42" s="912">
        <v>12</v>
      </c>
      <c r="K42" s="912"/>
      <c r="L42" s="912"/>
      <c r="M42" s="912"/>
      <c r="N42" s="931">
        <f t="shared" si="3"/>
        <v>108</v>
      </c>
      <c r="O42" s="931">
        <f t="shared" si="0"/>
        <v>0</v>
      </c>
      <c r="P42" s="931">
        <f t="shared" si="1"/>
        <v>108</v>
      </c>
      <c r="Q42" s="912"/>
      <c r="R42" s="912"/>
      <c r="S42" s="912">
        <f t="shared" si="4"/>
        <v>0</v>
      </c>
      <c r="T42" s="931">
        <f t="shared" si="7"/>
        <v>108</v>
      </c>
      <c r="U42" s="912">
        <f>98*1.07</f>
        <v>104.86</v>
      </c>
      <c r="V42" s="1125">
        <f t="shared" si="2"/>
        <v>11324.88</v>
      </c>
      <c r="W42" s="1126">
        <f t="shared" si="5"/>
        <v>7206.74</v>
      </c>
      <c r="X42" s="1126">
        <f t="shared" si="6"/>
        <v>4118.1399999999994</v>
      </c>
    </row>
    <row r="43" spans="1:24" ht="25.5">
      <c r="A43" s="911">
        <v>32</v>
      </c>
      <c r="B43" s="1056" t="s">
        <v>1167</v>
      </c>
      <c r="C43" s="1043" t="s">
        <v>1168</v>
      </c>
      <c r="D43" s="1044" t="s">
        <v>1119</v>
      </c>
      <c r="E43" s="912">
        <v>6</v>
      </c>
      <c r="F43" s="912">
        <v>3</v>
      </c>
      <c r="G43" s="912">
        <v>1</v>
      </c>
      <c r="H43" s="912">
        <v>1</v>
      </c>
      <c r="I43" s="912"/>
      <c r="J43" s="912">
        <v>12</v>
      </c>
      <c r="K43" s="912"/>
      <c r="L43" s="912"/>
      <c r="M43" s="912"/>
      <c r="N43" s="931">
        <f t="shared" si="3"/>
        <v>108</v>
      </c>
      <c r="O43" s="931">
        <f t="shared" si="0"/>
        <v>0</v>
      </c>
      <c r="P43" s="931">
        <f t="shared" si="1"/>
        <v>108</v>
      </c>
      <c r="Q43" s="912"/>
      <c r="R43" s="912"/>
      <c r="S43" s="912">
        <f t="shared" si="4"/>
        <v>0</v>
      </c>
      <c r="T43" s="931">
        <f t="shared" si="7"/>
        <v>108</v>
      </c>
      <c r="U43" s="912">
        <f>48*1.07</f>
        <v>51.36</v>
      </c>
      <c r="V43" s="1125">
        <f t="shared" si="2"/>
        <v>5546.88</v>
      </c>
      <c r="W43" s="1126">
        <f t="shared" si="5"/>
        <v>3529.83</v>
      </c>
      <c r="X43" s="1126">
        <f t="shared" si="6"/>
        <v>2017.0500000000002</v>
      </c>
    </row>
    <row r="44" spans="1:24" ht="25.5">
      <c r="A44" s="911">
        <v>33</v>
      </c>
      <c r="B44" s="1056" t="s">
        <v>1169</v>
      </c>
      <c r="C44" s="1043" t="s">
        <v>1170</v>
      </c>
      <c r="D44" s="1044" t="s">
        <v>1119</v>
      </c>
      <c r="E44" s="912">
        <v>6</v>
      </c>
      <c r="F44" s="912">
        <v>3</v>
      </c>
      <c r="G44" s="912">
        <v>1</v>
      </c>
      <c r="H44" s="912">
        <v>1</v>
      </c>
      <c r="I44" s="912"/>
      <c r="J44" s="912">
        <v>12</v>
      </c>
      <c r="K44" s="912"/>
      <c r="L44" s="912"/>
      <c r="M44" s="912"/>
      <c r="N44" s="931">
        <f t="shared" si="3"/>
        <v>108</v>
      </c>
      <c r="O44" s="931">
        <f t="shared" si="0"/>
        <v>0</v>
      </c>
      <c r="P44" s="931">
        <f t="shared" si="1"/>
        <v>108</v>
      </c>
      <c r="Q44" s="912"/>
      <c r="R44" s="912"/>
      <c r="S44" s="912">
        <f t="shared" si="4"/>
        <v>0</v>
      </c>
      <c r="T44" s="931">
        <f t="shared" si="7"/>
        <v>108</v>
      </c>
      <c r="U44" s="912">
        <f>131*1.07</f>
        <v>140.17000000000002</v>
      </c>
      <c r="V44" s="1125">
        <f t="shared" si="2"/>
        <v>15138.360000000002</v>
      </c>
      <c r="W44" s="1126">
        <f t="shared" si="5"/>
        <v>9633.5</v>
      </c>
      <c r="X44" s="1126">
        <f t="shared" si="6"/>
        <v>5504.8600000000024</v>
      </c>
    </row>
    <row r="45" spans="1:24" ht="25.5">
      <c r="A45" s="911">
        <v>34</v>
      </c>
      <c r="B45" s="1056" t="s">
        <v>1171</v>
      </c>
      <c r="C45" s="1043" t="s">
        <v>1172</v>
      </c>
      <c r="D45" s="1044" t="s">
        <v>1119</v>
      </c>
      <c r="E45" s="912">
        <v>6</v>
      </c>
      <c r="F45" s="912">
        <v>3</v>
      </c>
      <c r="G45" s="912">
        <v>1</v>
      </c>
      <c r="H45" s="912">
        <v>1</v>
      </c>
      <c r="I45" s="912"/>
      <c r="J45" s="912">
        <v>12</v>
      </c>
      <c r="K45" s="912"/>
      <c r="L45" s="912"/>
      <c r="M45" s="912"/>
      <c r="N45" s="931">
        <f t="shared" si="3"/>
        <v>108</v>
      </c>
      <c r="O45" s="931">
        <f t="shared" si="0"/>
        <v>0</v>
      </c>
      <c r="P45" s="931">
        <f t="shared" si="1"/>
        <v>108</v>
      </c>
      <c r="Q45" s="912"/>
      <c r="R45" s="912"/>
      <c r="S45" s="912">
        <f t="shared" si="4"/>
        <v>0</v>
      </c>
      <c r="T45" s="931">
        <f t="shared" si="7"/>
        <v>108</v>
      </c>
      <c r="U45" s="912">
        <f>27*1.07</f>
        <v>28.89</v>
      </c>
      <c r="V45" s="1125">
        <f t="shared" si="2"/>
        <v>3120.12</v>
      </c>
      <c r="W45" s="1126">
        <f t="shared" si="5"/>
        <v>1985.53</v>
      </c>
      <c r="X45" s="1126">
        <f t="shared" si="6"/>
        <v>1134.5899999999999</v>
      </c>
    </row>
    <row r="46" spans="1:24" ht="25.5">
      <c r="A46" s="911">
        <v>35</v>
      </c>
      <c r="B46" s="1056" t="s">
        <v>1173</v>
      </c>
      <c r="C46" s="1043" t="s">
        <v>1174</v>
      </c>
      <c r="D46" s="1044" t="s">
        <v>1119</v>
      </c>
      <c r="E46" s="912">
        <v>6</v>
      </c>
      <c r="F46" s="912">
        <v>3</v>
      </c>
      <c r="G46" s="912">
        <v>1</v>
      </c>
      <c r="H46" s="912">
        <v>1</v>
      </c>
      <c r="I46" s="912"/>
      <c r="J46" s="912">
        <v>6</v>
      </c>
      <c r="K46" s="912"/>
      <c r="L46" s="912"/>
      <c r="M46" s="912"/>
      <c r="N46" s="931">
        <f t="shared" si="3"/>
        <v>54</v>
      </c>
      <c r="O46" s="931">
        <f t="shared" si="0"/>
        <v>0</v>
      </c>
      <c r="P46" s="931">
        <f t="shared" si="1"/>
        <v>54</v>
      </c>
      <c r="Q46" s="912"/>
      <c r="R46" s="912"/>
      <c r="S46" s="912">
        <f t="shared" si="4"/>
        <v>0</v>
      </c>
      <c r="T46" s="931">
        <f t="shared" si="7"/>
        <v>54</v>
      </c>
      <c r="U46" s="912">
        <f>135*1.07</f>
        <v>144.45000000000002</v>
      </c>
      <c r="V46" s="1125">
        <f t="shared" si="2"/>
        <v>7800.3000000000011</v>
      </c>
      <c r="W46" s="1126">
        <f t="shared" si="5"/>
        <v>4963.83</v>
      </c>
      <c r="X46" s="1126">
        <f t="shared" si="6"/>
        <v>2836.4700000000012</v>
      </c>
    </row>
    <row r="47" spans="1:24">
      <c r="A47" s="911">
        <v>36</v>
      </c>
      <c r="B47" s="1056" t="s">
        <v>1175</v>
      </c>
      <c r="C47" s="1043" t="s">
        <v>1176</v>
      </c>
      <c r="D47" s="1044" t="s">
        <v>1022</v>
      </c>
      <c r="E47" s="912">
        <v>6</v>
      </c>
      <c r="F47" s="912">
        <v>3</v>
      </c>
      <c r="G47" s="912">
        <v>1</v>
      </c>
      <c r="H47" s="912">
        <v>1</v>
      </c>
      <c r="I47" s="912"/>
      <c r="J47" s="912">
        <v>1</v>
      </c>
      <c r="K47" s="912"/>
      <c r="L47" s="912"/>
      <c r="M47" s="912"/>
      <c r="N47" s="931">
        <f t="shared" si="3"/>
        <v>9</v>
      </c>
      <c r="O47" s="931">
        <f t="shared" si="0"/>
        <v>0</v>
      </c>
      <c r="P47" s="931">
        <f t="shared" si="1"/>
        <v>9</v>
      </c>
      <c r="Q47" s="912"/>
      <c r="R47" s="912"/>
      <c r="S47" s="912">
        <f t="shared" si="4"/>
        <v>0</v>
      </c>
      <c r="T47" s="931">
        <f t="shared" si="7"/>
        <v>9</v>
      </c>
      <c r="U47" s="912">
        <f>340*1.07</f>
        <v>363.8</v>
      </c>
      <c r="V47" s="1125">
        <f t="shared" si="2"/>
        <v>3274.2000000000003</v>
      </c>
      <c r="W47" s="1126">
        <f t="shared" si="5"/>
        <v>2083.58</v>
      </c>
      <c r="X47" s="1126">
        <f t="shared" si="6"/>
        <v>1190.6200000000003</v>
      </c>
    </row>
    <row r="48" spans="1:24" ht="25.5">
      <c r="A48" s="911">
        <v>37</v>
      </c>
      <c r="B48" s="1056" t="s">
        <v>1177</v>
      </c>
      <c r="C48" s="1043" t="s">
        <v>1178</v>
      </c>
      <c r="D48" s="1044" t="s">
        <v>1022</v>
      </c>
      <c r="E48" s="912">
        <v>6</v>
      </c>
      <c r="F48" s="912">
        <v>3</v>
      </c>
      <c r="G48" s="912">
        <v>1</v>
      </c>
      <c r="H48" s="912">
        <v>1</v>
      </c>
      <c r="I48" s="912"/>
      <c r="J48" s="912">
        <v>1</v>
      </c>
      <c r="K48" s="912"/>
      <c r="L48" s="912"/>
      <c r="M48" s="912"/>
      <c r="N48" s="931">
        <f t="shared" si="3"/>
        <v>9</v>
      </c>
      <c r="O48" s="931">
        <f t="shared" si="0"/>
        <v>0</v>
      </c>
      <c r="P48" s="931">
        <f t="shared" si="1"/>
        <v>9</v>
      </c>
      <c r="Q48" s="912"/>
      <c r="R48" s="912"/>
      <c r="S48" s="912">
        <f t="shared" si="4"/>
        <v>0</v>
      </c>
      <c r="T48" s="931">
        <f t="shared" si="7"/>
        <v>9</v>
      </c>
      <c r="U48" s="912">
        <f>94*1.07</f>
        <v>100.58000000000001</v>
      </c>
      <c r="V48" s="1125">
        <f t="shared" si="2"/>
        <v>905.22000000000014</v>
      </c>
      <c r="W48" s="1126">
        <f t="shared" si="5"/>
        <v>576.04999999999995</v>
      </c>
      <c r="X48" s="1126">
        <f t="shared" si="6"/>
        <v>329.17000000000019</v>
      </c>
    </row>
    <row r="49" spans="1:24" ht="51">
      <c r="A49" s="911">
        <v>38</v>
      </c>
      <c r="B49" s="1056" t="s">
        <v>1179</v>
      </c>
      <c r="C49" s="1043" t="s">
        <v>1180</v>
      </c>
      <c r="D49" s="1044" t="s">
        <v>1022</v>
      </c>
      <c r="E49" s="912">
        <v>6</v>
      </c>
      <c r="F49" s="912">
        <v>3</v>
      </c>
      <c r="G49" s="912">
        <v>1</v>
      </c>
      <c r="H49" s="912">
        <v>1</v>
      </c>
      <c r="I49" s="912"/>
      <c r="J49" s="912">
        <v>1</v>
      </c>
      <c r="K49" s="912"/>
      <c r="L49" s="912"/>
      <c r="M49" s="912"/>
      <c r="N49" s="931">
        <f t="shared" si="3"/>
        <v>9</v>
      </c>
      <c r="O49" s="931">
        <f t="shared" si="0"/>
        <v>0</v>
      </c>
      <c r="P49" s="931">
        <f t="shared" si="1"/>
        <v>9</v>
      </c>
      <c r="Q49" s="912"/>
      <c r="R49" s="912"/>
      <c r="S49" s="912">
        <f t="shared" si="4"/>
        <v>0</v>
      </c>
      <c r="T49" s="931">
        <f t="shared" si="7"/>
        <v>9</v>
      </c>
      <c r="U49" s="912">
        <f>9*1.07</f>
        <v>9.6300000000000008</v>
      </c>
      <c r="V49" s="1125">
        <f t="shared" si="2"/>
        <v>86.67</v>
      </c>
      <c r="W49" s="1126">
        <f t="shared" si="5"/>
        <v>55.15</v>
      </c>
      <c r="X49" s="1126">
        <f t="shared" si="6"/>
        <v>31.520000000000003</v>
      </c>
    </row>
    <row r="50" spans="1:24">
      <c r="A50" s="911">
        <v>39</v>
      </c>
      <c r="B50" s="1534" t="s">
        <v>1181</v>
      </c>
      <c r="C50" s="1042" t="s">
        <v>1182</v>
      </c>
      <c r="D50" s="1130" t="s">
        <v>1022</v>
      </c>
      <c r="E50" s="1044">
        <v>6</v>
      </c>
      <c r="F50" s="912">
        <v>3</v>
      </c>
      <c r="G50" s="912">
        <v>1</v>
      </c>
      <c r="H50" s="912">
        <v>1</v>
      </c>
      <c r="I50" s="912"/>
      <c r="J50" s="912"/>
      <c r="K50" s="912">
        <v>1</v>
      </c>
      <c r="L50" s="912"/>
      <c r="M50" s="912"/>
      <c r="N50" s="931">
        <f t="shared" si="3"/>
        <v>2</v>
      </c>
      <c r="O50" s="931">
        <f t="shared" si="0"/>
        <v>0</v>
      </c>
      <c r="P50" s="931">
        <f t="shared" si="1"/>
        <v>2</v>
      </c>
      <c r="Q50" s="912"/>
      <c r="R50" s="912"/>
      <c r="S50" s="912">
        <f t="shared" si="4"/>
        <v>0</v>
      </c>
      <c r="T50" s="931">
        <f t="shared" si="7"/>
        <v>2</v>
      </c>
      <c r="U50" s="912">
        <f>160*1.07</f>
        <v>171.20000000000002</v>
      </c>
      <c r="V50" s="1125">
        <f t="shared" si="2"/>
        <v>342.40000000000003</v>
      </c>
      <c r="W50" s="1126">
        <f t="shared" si="5"/>
        <v>217.89</v>
      </c>
      <c r="X50" s="1126">
        <f t="shared" si="6"/>
        <v>124.51000000000005</v>
      </c>
    </row>
    <row r="51" spans="1:24" ht="0.75" customHeight="1">
      <c r="A51" s="911"/>
      <c r="B51" s="1042"/>
      <c r="C51" s="1042"/>
      <c r="D51" s="1044"/>
      <c r="E51" s="912"/>
      <c r="F51" s="912"/>
      <c r="G51" s="912"/>
      <c r="H51" s="912"/>
      <c r="I51" s="912"/>
      <c r="J51" s="912"/>
      <c r="K51" s="912"/>
      <c r="L51" s="912"/>
      <c r="M51" s="912"/>
      <c r="N51" s="931"/>
      <c r="O51" s="931"/>
      <c r="P51" s="931"/>
      <c r="Q51" s="912"/>
      <c r="R51" s="912"/>
      <c r="S51" s="912"/>
      <c r="T51" s="931"/>
      <c r="U51" s="912"/>
      <c r="V51" s="1125"/>
      <c r="W51" s="1126"/>
      <c r="X51" s="1126"/>
    </row>
    <row r="52" spans="1:24" hidden="1">
      <c r="A52" s="911"/>
      <c r="B52" s="1127"/>
      <c r="C52" s="1128"/>
      <c r="D52" s="1129"/>
      <c r="E52" s="912"/>
      <c r="F52" s="912"/>
      <c r="G52" s="912"/>
      <c r="H52" s="912"/>
      <c r="I52" s="912"/>
      <c r="J52" s="912"/>
      <c r="K52" s="912"/>
      <c r="L52" s="912"/>
      <c r="M52" s="912"/>
      <c r="N52" s="931"/>
      <c r="O52" s="931"/>
      <c r="P52" s="931"/>
      <c r="Q52" s="912"/>
      <c r="R52" s="912"/>
      <c r="S52" s="912"/>
      <c r="T52" s="931"/>
      <c r="U52" s="912"/>
      <c r="V52" s="1125"/>
      <c r="W52" s="1126"/>
      <c r="X52" s="1126"/>
    </row>
    <row r="53" spans="1:24" hidden="1">
      <c r="A53" s="911"/>
      <c r="B53" s="1127"/>
      <c r="C53" s="1128"/>
      <c r="D53" s="1129"/>
      <c r="E53" s="912"/>
      <c r="F53" s="912"/>
      <c r="G53" s="912"/>
      <c r="H53" s="912"/>
      <c r="I53" s="912"/>
      <c r="J53" s="912"/>
      <c r="K53" s="912"/>
      <c r="L53" s="912"/>
      <c r="M53" s="912"/>
      <c r="N53" s="931"/>
      <c r="O53" s="931"/>
      <c r="P53" s="931"/>
      <c r="Q53" s="912"/>
      <c r="R53" s="912"/>
      <c r="S53" s="912"/>
      <c r="T53" s="931"/>
      <c r="U53" s="912"/>
      <c r="V53" s="1125"/>
      <c r="W53" s="1126"/>
      <c r="X53" s="1126"/>
    </row>
    <row r="54" spans="1:24" hidden="1">
      <c r="A54" s="911"/>
      <c r="B54" s="1127"/>
      <c r="C54" s="1128"/>
      <c r="D54" s="1129"/>
      <c r="E54" s="912"/>
      <c r="F54" s="912"/>
      <c r="G54" s="912"/>
      <c r="H54" s="912"/>
      <c r="I54" s="912"/>
      <c r="J54" s="912"/>
      <c r="K54" s="912"/>
      <c r="L54" s="912"/>
      <c r="M54" s="912"/>
      <c r="N54" s="931"/>
      <c r="O54" s="931"/>
      <c r="P54" s="931"/>
      <c r="Q54" s="912"/>
      <c r="R54" s="912"/>
      <c r="S54" s="912"/>
      <c r="T54" s="931"/>
      <c r="U54" s="912"/>
      <c r="V54" s="1125"/>
      <c r="W54" s="1126"/>
      <c r="X54" s="1126"/>
    </row>
    <row r="55" spans="1:24" hidden="1">
      <c r="A55" s="911"/>
      <c r="B55" s="1127"/>
      <c r="C55" s="1128"/>
      <c r="D55" s="1129"/>
      <c r="E55" s="912"/>
      <c r="F55" s="912"/>
      <c r="G55" s="912"/>
      <c r="H55" s="912"/>
      <c r="I55" s="912"/>
      <c r="J55" s="912"/>
      <c r="K55" s="912"/>
      <c r="L55" s="912"/>
      <c r="M55" s="912"/>
      <c r="N55" s="931"/>
      <c r="O55" s="931"/>
      <c r="P55" s="931"/>
      <c r="Q55" s="912"/>
      <c r="R55" s="912"/>
      <c r="S55" s="912"/>
      <c r="T55" s="931"/>
      <c r="U55" s="912"/>
      <c r="V55" s="1125"/>
      <c r="W55" s="1126"/>
      <c r="X55" s="1126"/>
    </row>
    <row r="56" spans="1:24" hidden="1">
      <c r="A56" s="911"/>
      <c r="B56" s="1127"/>
      <c r="C56" s="1128"/>
      <c r="D56" s="1129"/>
      <c r="E56" s="912"/>
      <c r="F56" s="912"/>
      <c r="G56" s="912"/>
      <c r="H56" s="912"/>
      <c r="I56" s="912"/>
      <c r="J56" s="912"/>
      <c r="K56" s="912"/>
      <c r="L56" s="912"/>
      <c r="M56" s="912"/>
      <c r="N56" s="931"/>
      <c r="O56" s="931"/>
      <c r="P56" s="931"/>
      <c r="Q56" s="912"/>
      <c r="R56" s="912"/>
      <c r="S56" s="912"/>
      <c r="T56" s="931"/>
      <c r="U56" s="912"/>
      <c r="V56" s="1125"/>
      <c r="W56" s="1126"/>
      <c r="X56" s="1126"/>
    </row>
    <row r="57" spans="1:24" hidden="1">
      <c r="A57" s="911"/>
      <c r="B57" s="1127"/>
      <c r="C57" s="1128"/>
      <c r="D57" s="1129"/>
      <c r="E57" s="912"/>
      <c r="F57" s="912"/>
      <c r="G57" s="912"/>
      <c r="H57" s="912"/>
      <c r="I57" s="912"/>
      <c r="J57" s="912"/>
      <c r="K57" s="912"/>
      <c r="L57" s="912"/>
      <c r="M57" s="912"/>
      <c r="N57" s="931"/>
      <c r="O57" s="931"/>
      <c r="P57" s="931"/>
      <c r="Q57" s="912"/>
      <c r="R57" s="912"/>
      <c r="S57" s="912"/>
      <c r="T57" s="931"/>
      <c r="U57" s="912"/>
      <c r="V57" s="1125"/>
      <c r="W57" s="1126"/>
      <c r="X57" s="1126"/>
    </row>
    <row r="58" spans="1:24" hidden="1">
      <c r="A58" s="911"/>
      <c r="B58" s="1127"/>
      <c r="C58" s="1128"/>
      <c r="D58" s="1129"/>
      <c r="E58" s="912"/>
      <c r="F58" s="912"/>
      <c r="G58" s="912"/>
      <c r="H58" s="912"/>
      <c r="I58" s="912"/>
      <c r="J58" s="912"/>
      <c r="K58" s="912"/>
      <c r="L58" s="912"/>
      <c r="M58" s="912"/>
      <c r="N58" s="931"/>
      <c r="O58" s="931"/>
      <c r="P58" s="931"/>
      <c r="Q58" s="912"/>
      <c r="R58" s="912"/>
      <c r="S58" s="912"/>
      <c r="T58" s="931"/>
      <c r="U58" s="912"/>
      <c r="V58" s="1125"/>
      <c r="W58" s="1126"/>
      <c r="X58" s="1126"/>
    </row>
    <row r="59" spans="1:24" hidden="1">
      <c r="A59" s="911"/>
      <c r="B59" s="1127"/>
      <c r="C59" s="1128"/>
      <c r="D59" s="1129"/>
      <c r="E59" s="912"/>
      <c r="F59" s="912"/>
      <c r="G59" s="912"/>
      <c r="H59" s="912"/>
      <c r="I59" s="912"/>
      <c r="J59" s="912"/>
      <c r="K59" s="912"/>
      <c r="L59" s="912"/>
      <c r="M59" s="912"/>
      <c r="N59" s="931"/>
      <c r="O59" s="931"/>
      <c r="P59" s="931"/>
      <c r="Q59" s="912"/>
      <c r="R59" s="912"/>
      <c r="S59" s="912"/>
      <c r="T59" s="931"/>
      <c r="U59" s="912"/>
      <c r="V59" s="1125"/>
      <c r="W59" s="1126"/>
      <c r="X59" s="1126"/>
    </row>
    <row r="60" spans="1:24" hidden="1">
      <c r="A60" s="911"/>
      <c r="B60" s="1127"/>
      <c r="C60" s="1128"/>
      <c r="D60" s="1129"/>
      <c r="E60" s="912"/>
      <c r="F60" s="912"/>
      <c r="G60" s="912"/>
      <c r="H60" s="912"/>
      <c r="I60" s="912"/>
      <c r="J60" s="912"/>
      <c r="K60" s="912"/>
      <c r="L60" s="912"/>
      <c r="M60" s="912"/>
      <c r="N60" s="931"/>
      <c r="O60" s="931"/>
      <c r="P60" s="931"/>
      <c r="Q60" s="912"/>
      <c r="R60" s="912"/>
      <c r="S60" s="912"/>
      <c r="T60" s="931"/>
      <c r="U60" s="912"/>
      <c r="V60" s="1125"/>
      <c r="W60" s="1126"/>
      <c r="X60" s="1126"/>
    </row>
    <row r="62" spans="1:24" ht="15.75">
      <c r="B62" s="300" t="s">
        <v>329</v>
      </c>
      <c r="C62" s="514"/>
      <c r="D62" s="514"/>
      <c r="E62" s="1075"/>
      <c r="F62" s="419"/>
      <c r="G62" s="406"/>
      <c r="H62" s="406"/>
      <c r="I62" s="406"/>
      <c r="J62" s="1075" t="s">
        <v>448</v>
      </c>
      <c r="K62" s="406"/>
    </row>
    <row r="63" spans="1:24" ht="15.75">
      <c r="B63" s="300"/>
      <c r="C63" s="514"/>
      <c r="D63" s="514"/>
      <c r="E63" s="1075"/>
      <c r="F63" s="419"/>
      <c r="G63" s="406"/>
      <c r="H63" s="406"/>
      <c r="I63" s="406"/>
      <c r="J63" s="1075"/>
      <c r="K63" s="406"/>
    </row>
    <row r="64" spans="1:24" ht="15.75">
      <c r="B64" s="426" t="s">
        <v>330</v>
      </c>
      <c r="C64" s="514"/>
      <c r="D64" s="514"/>
      <c r="E64" s="1075"/>
      <c r="F64" s="419"/>
      <c r="G64" s="406"/>
      <c r="H64" s="406"/>
      <c r="I64" s="406"/>
      <c r="J64" s="1075" t="s">
        <v>369</v>
      </c>
      <c r="K64" s="406"/>
    </row>
    <row r="65" spans="2:11" ht="15.75">
      <c r="B65" s="426"/>
      <c r="C65" s="514"/>
      <c r="D65" s="514"/>
      <c r="E65" s="1075"/>
      <c r="F65" s="419"/>
      <c r="G65" s="406"/>
      <c r="H65" s="406"/>
      <c r="I65" s="406"/>
      <c r="J65" s="1075"/>
      <c r="K65" s="406"/>
    </row>
    <row r="66" spans="2:11" ht="15.75">
      <c r="B66" s="1073" t="s">
        <v>547</v>
      </c>
      <c r="C66" s="1076"/>
      <c r="D66" s="475"/>
      <c r="E66" s="1077"/>
      <c r="F66" s="419"/>
      <c r="G66" s="406"/>
      <c r="H66" s="406"/>
      <c r="I66" s="406"/>
      <c r="J66" s="1074" t="s">
        <v>374</v>
      </c>
      <c r="K66" s="406"/>
    </row>
    <row r="67" spans="2:11" ht="15.75">
      <c r="B67" s="1073" t="s">
        <v>548</v>
      </c>
      <c r="C67" s="1076"/>
      <c r="D67" s="475"/>
      <c r="E67" s="1077"/>
      <c r="F67" s="419"/>
      <c r="G67" s="406"/>
      <c r="H67" s="406"/>
      <c r="I67" s="406"/>
      <c r="J67" s="1074"/>
      <c r="K67" s="406"/>
    </row>
    <row r="68" spans="2:11" ht="15.75">
      <c r="B68" s="1073"/>
      <c r="C68" s="1076"/>
      <c r="D68" s="475"/>
      <c r="E68" s="1077"/>
      <c r="F68" s="580"/>
      <c r="G68" s="406"/>
      <c r="H68" s="406"/>
      <c r="I68" s="406"/>
      <c r="J68" s="1078"/>
      <c r="K68" s="406"/>
    </row>
    <row r="69" spans="2:11" ht="15.75">
      <c r="B69" s="1073" t="s">
        <v>375</v>
      </c>
      <c r="C69" s="1078"/>
      <c r="D69" s="1078"/>
      <c r="E69" s="1078"/>
      <c r="F69" s="580"/>
      <c r="G69" s="406"/>
      <c r="H69" s="406"/>
      <c r="I69" s="406"/>
      <c r="J69" s="1074" t="s">
        <v>376</v>
      </c>
      <c r="K69" s="406"/>
    </row>
  </sheetData>
  <mergeCells count="25">
    <mergeCell ref="U7:U9"/>
    <mergeCell ref="A7:A9"/>
    <mergeCell ref="B7:B9"/>
    <mergeCell ref="C7:C9"/>
    <mergeCell ref="D7:D9"/>
    <mergeCell ref="E7:I7"/>
    <mergeCell ref="E8:F8"/>
    <mergeCell ref="G8:H8"/>
    <mergeCell ref="I8:I9"/>
    <mergeCell ref="V7:V9"/>
    <mergeCell ref="W7:X7"/>
    <mergeCell ref="J8:J9"/>
    <mergeCell ref="K8:K9"/>
    <mergeCell ref="L8:L9"/>
    <mergeCell ref="T8:T9"/>
    <mergeCell ref="W8:W9"/>
    <mergeCell ref="X8:X9"/>
    <mergeCell ref="M8:M9"/>
    <mergeCell ref="N8:O8"/>
    <mergeCell ref="P8:P9"/>
    <mergeCell ref="Q8:Q9"/>
    <mergeCell ref="R8:R9"/>
    <mergeCell ref="S8:S9"/>
    <mergeCell ref="J7:L7"/>
    <mergeCell ref="M7:T7"/>
  </mergeCells>
  <pageMargins left="0.7" right="0.7" top="0.75" bottom="0.75" header="0.3" footer="0.3"/>
  <pageSetup paperSize="9" scale="52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FF0000"/>
  </sheetPr>
  <dimension ref="A1:N70"/>
  <sheetViews>
    <sheetView workbookViewId="0">
      <selection activeCell="B15" sqref="B15"/>
    </sheetView>
  </sheetViews>
  <sheetFormatPr defaultRowHeight="15"/>
  <cols>
    <col min="1" max="1" width="5.28515625" customWidth="1"/>
    <col min="2" max="2" width="19.5703125" customWidth="1"/>
    <col min="3" max="3" width="22.28515625" customWidth="1"/>
    <col min="5" max="10" width="0" hidden="1" customWidth="1"/>
    <col min="11" max="11" width="11.5703125" hidden="1" customWidth="1"/>
    <col min="13" max="13" width="12" customWidth="1"/>
    <col min="14" max="14" width="13.5703125" customWidth="1"/>
  </cols>
  <sheetData>
    <row r="1" spans="1:14">
      <c r="A1" s="406"/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</row>
    <row r="2" spans="1:14" ht="15.75">
      <c r="A2" s="1122" t="s">
        <v>1089</v>
      </c>
      <c r="B2" s="909"/>
      <c r="C2" s="909"/>
      <c r="D2" s="909"/>
      <c r="E2" s="909"/>
      <c r="F2" s="909"/>
      <c r="G2" s="909"/>
      <c r="H2" s="909"/>
      <c r="I2" s="909"/>
      <c r="J2" s="909"/>
      <c r="K2" s="909"/>
      <c r="L2" s="909"/>
    </row>
    <row r="3" spans="1:14">
      <c r="A3" s="49"/>
      <c r="B3" s="406"/>
      <c r="C3" s="406"/>
      <c r="D3" s="406"/>
      <c r="E3" s="406"/>
      <c r="F3" s="406"/>
      <c r="G3" s="406"/>
      <c r="H3" s="406"/>
      <c r="I3" s="406"/>
      <c r="J3" s="406"/>
      <c r="K3" s="406"/>
      <c r="L3" s="406"/>
    </row>
    <row r="4" spans="1:14" ht="15.75">
      <c r="A4" s="1123" t="s">
        <v>1090</v>
      </c>
      <c r="B4" s="909"/>
      <c r="C4" s="910"/>
      <c r="D4" s="910"/>
      <c r="E4" s="909"/>
      <c r="F4" s="909"/>
      <c r="G4" s="909"/>
      <c r="H4" s="909"/>
      <c r="I4" s="909"/>
      <c r="J4" s="909"/>
      <c r="K4" s="909"/>
      <c r="L4" s="909"/>
    </row>
    <row r="5" spans="1:14" ht="15.75">
      <c r="A5" s="168" t="s">
        <v>990</v>
      </c>
      <c r="B5" s="406"/>
      <c r="C5" s="407"/>
      <c r="D5" s="407"/>
      <c r="E5" s="406"/>
      <c r="F5" s="406"/>
      <c r="G5" s="406"/>
      <c r="H5" s="406"/>
      <c r="I5" s="406"/>
      <c r="J5" s="406"/>
      <c r="K5" s="406"/>
      <c r="L5" s="406"/>
    </row>
    <row r="6" spans="1:14">
      <c r="A6" s="406"/>
      <c r="B6" s="406"/>
      <c r="C6" s="406"/>
      <c r="D6" s="406"/>
      <c r="E6" s="406"/>
      <c r="F6" s="406"/>
      <c r="G6" s="406"/>
      <c r="H6" s="406"/>
      <c r="I6" s="406"/>
      <c r="J6" s="406"/>
      <c r="K6" s="406"/>
      <c r="L6" s="406"/>
    </row>
    <row r="7" spans="1:14" ht="28.5" customHeight="1">
      <c r="A7" s="3983" t="s">
        <v>1091</v>
      </c>
      <c r="B7" s="3983" t="s">
        <v>478</v>
      </c>
      <c r="C7" s="3983" t="s">
        <v>995</v>
      </c>
      <c r="D7" s="3983" t="s">
        <v>996</v>
      </c>
      <c r="E7" s="3982"/>
      <c r="F7" s="3982"/>
      <c r="G7" s="3982"/>
      <c r="H7" s="3982"/>
      <c r="I7" s="3982"/>
      <c r="J7" s="3982"/>
      <c r="K7" s="3982"/>
      <c r="L7" s="3983" t="s">
        <v>1183</v>
      </c>
      <c r="M7" s="4002" t="s">
        <v>1184</v>
      </c>
      <c r="N7" s="4002" t="s">
        <v>1185</v>
      </c>
    </row>
    <row r="8" spans="1:14" ht="15" customHeight="1">
      <c r="A8" s="4001"/>
      <c r="B8" s="4001"/>
      <c r="C8" s="4001"/>
      <c r="D8" s="4001"/>
      <c r="E8" s="3979" t="s">
        <v>1100</v>
      </c>
      <c r="F8" s="3981"/>
      <c r="G8" s="3983" t="s">
        <v>1101</v>
      </c>
      <c r="H8" s="3983" t="s">
        <v>1102</v>
      </c>
      <c r="I8" s="3983" t="s">
        <v>1103</v>
      </c>
      <c r="J8" s="3983" t="s">
        <v>1012</v>
      </c>
      <c r="K8" s="3983" t="s">
        <v>1013</v>
      </c>
      <c r="L8" s="4001"/>
      <c r="M8" s="4002"/>
      <c r="N8" s="4002"/>
    </row>
    <row r="9" spans="1:14" ht="71.25">
      <c r="A9" s="3984"/>
      <c r="B9" s="3984"/>
      <c r="C9" s="3984"/>
      <c r="D9" s="3984"/>
      <c r="E9" s="638" t="s">
        <v>1104</v>
      </c>
      <c r="F9" s="638" t="s">
        <v>1105</v>
      </c>
      <c r="G9" s="3984"/>
      <c r="H9" s="3984"/>
      <c r="I9" s="3984"/>
      <c r="J9" s="3984"/>
      <c r="K9" s="3984"/>
      <c r="L9" s="3984"/>
      <c r="M9" s="4002"/>
      <c r="N9" s="4002"/>
    </row>
    <row r="10" spans="1:14">
      <c r="A10" s="410">
        <v>1</v>
      </c>
      <c r="B10" s="410">
        <v>2</v>
      </c>
      <c r="C10" s="410">
        <v>3</v>
      </c>
      <c r="D10" s="410">
        <v>4</v>
      </c>
      <c r="E10" s="410">
        <v>14</v>
      </c>
      <c r="F10" s="410">
        <v>15</v>
      </c>
      <c r="G10" s="410" t="s">
        <v>1106</v>
      </c>
      <c r="H10" s="410">
        <v>17</v>
      </c>
      <c r="I10" s="410"/>
      <c r="J10" s="410">
        <v>18</v>
      </c>
      <c r="K10" s="410">
        <v>19</v>
      </c>
      <c r="L10" s="410">
        <v>20</v>
      </c>
      <c r="M10" s="1186"/>
      <c r="N10" s="1186"/>
    </row>
    <row r="11" spans="1:14">
      <c r="A11" s="410"/>
      <c r="B11" s="411" t="s">
        <v>306</v>
      </c>
      <c r="C11" s="410"/>
      <c r="D11" s="410"/>
      <c r="E11" s="932" t="e">
        <f>SUM(E12:E61)</f>
        <v>#REF!</v>
      </c>
      <c r="F11" s="932" t="e">
        <f>SUM(F12:F61)</f>
        <v>#REF!</v>
      </c>
      <c r="G11" s="932" t="e">
        <f>SUM(G12:G61)</f>
        <v>#REF!</v>
      </c>
      <c r="H11" s="410"/>
      <c r="I11" s="410"/>
      <c r="J11" s="410"/>
      <c r="K11" s="932" t="e">
        <f>SUM(K12:K61)</f>
        <v>#REF!</v>
      </c>
      <c r="L11" s="410"/>
      <c r="M11" s="1186"/>
      <c r="N11" s="1186"/>
    </row>
    <row r="12" spans="1:14">
      <c r="A12" s="911">
        <v>1</v>
      </c>
      <c r="B12" s="1043" t="s">
        <v>1109</v>
      </c>
      <c r="C12" s="1577" t="s">
        <v>1110</v>
      </c>
      <c r="D12" s="1044" t="s">
        <v>1022</v>
      </c>
      <c r="E12" s="931" t="e">
        <f>(#REF!+#REF!)*#REF!+(#REF!+#REF!)*#REF!</f>
        <v>#REF!</v>
      </c>
      <c r="F12" s="931" t="e">
        <f>#REF!*#REF!</f>
        <v>#REF!</v>
      </c>
      <c r="G12" s="931" t="e">
        <f t="shared" ref="G12:G51" si="0">E12+F12</f>
        <v>#REF!</v>
      </c>
      <c r="H12" s="912"/>
      <c r="I12" s="912"/>
      <c r="J12" s="912">
        <f>H12+I12</f>
        <v>0</v>
      </c>
      <c r="K12" s="931" t="e">
        <f>G12-J12</f>
        <v>#REF!</v>
      </c>
      <c r="L12" s="912">
        <f>125</f>
        <v>125</v>
      </c>
      <c r="M12" s="1186">
        <v>213.47</v>
      </c>
      <c r="N12" s="1186">
        <v>217.53</v>
      </c>
    </row>
    <row r="13" spans="1:14" ht="38.25">
      <c r="A13" s="911">
        <v>2</v>
      </c>
      <c r="B13" s="1042" t="s">
        <v>1111</v>
      </c>
      <c r="C13" s="1042" t="s">
        <v>1112</v>
      </c>
      <c r="D13" s="1044" t="s">
        <v>1022</v>
      </c>
      <c r="E13" s="931" t="e">
        <f>(#REF!+#REF!)*#REF!+(#REF!+#REF!)*#REF!</f>
        <v>#REF!</v>
      </c>
      <c r="F13" s="931" t="e">
        <f>#REF!*#REF!</f>
        <v>#REF!</v>
      </c>
      <c r="G13" s="931" t="e">
        <f t="shared" si="0"/>
        <v>#REF!</v>
      </c>
      <c r="H13" s="912"/>
      <c r="I13" s="912"/>
      <c r="J13" s="912">
        <f t="shared" ref="J13:J51" si="1">H13+I13</f>
        <v>0</v>
      </c>
      <c r="K13" s="931" t="e">
        <f>G13-J13</f>
        <v>#REF!</v>
      </c>
      <c r="L13" s="912">
        <f>109</f>
        <v>109</v>
      </c>
      <c r="M13" s="1186">
        <v>122.46</v>
      </c>
      <c r="N13" s="1186">
        <v>124.79</v>
      </c>
    </row>
    <row r="14" spans="1:14">
      <c r="A14" s="911">
        <v>3</v>
      </c>
      <c r="B14" s="1042" t="s">
        <v>1113</v>
      </c>
      <c r="C14" s="1042" t="s">
        <v>1114</v>
      </c>
      <c r="D14" s="1044" t="s">
        <v>1022</v>
      </c>
      <c r="E14" s="931" t="e">
        <f>(#REF!+#REF!)*#REF!+(#REF!+#REF!)*#REF!</f>
        <v>#REF!</v>
      </c>
      <c r="F14" s="931" t="e">
        <f>#REF!*#REF!</f>
        <v>#REF!</v>
      </c>
      <c r="G14" s="931" t="e">
        <f t="shared" si="0"/>
        <v>#REF!</v>
      </c>
      <c r="H14" s="912"/>
      <c r="I14" s="912"/>
      <c r="J14" s="912">
        <f t="shared" si="1"/>
        <v>0</v>
      </c>
      <c r="K14" s="931" t="e">
        <f>G14-J14</f>
        <v>#REF!</v>
      </c>
      <c r="L14" s="912">
        <f>1150</f>
        <v>1150</v>
      </c>
      <c r="M14" s="1186">
        <v>1292.03</v>
      </c>
      <c r="N14" s="1186">
        <v>2500</v>
      </c>
    </row>
    <row r="15" spans="1:14" ht="25.5">
      <c r="A15" s="911">
        <v>4</v>
      </c>
      <c r="B15" s="1042" t="s">
        <v>1115</v>
      </c>
      <c r="C15" s="1042" t="s">
        <v>1116</v>
      </c>
      <c r="D15" s="1044" t="s">
        <v>1022</v>
      </c>
      <c r="E15" s="931" t="e">
        <f>(#REF!+#REF!)*#REF!+(#REF!+#REF!)*#REF!</f>
        <v>#REF!</v>
      </c>
      <c r="F15" s="931" t="e">
        <f>#REF!*#REF!</f>
        <v>#REF!</v>
      </c>
      <c r="G15" s="931" t="e">
        <f t="shared" si="0"/>
        <v>#REF!</v>
      </c>
      <c r="H15" s="912"/>
      <c r="I15" s="912"/>
      <c r="J15" s="912">
        <f t="shared" si="1"/>
        <v>0</v>
      </c>
      <c r="K15" s="931" t="e">
        <f>G15-J15</f>
        <v>#REF!</v>
      </c>
      <c r="L15" s="912">
        <f>720</f>
        <v>720</v>
      </c>
      <c r="M15" s="1186">
        <v>808.92</v>
      </c>
      <c r="N15" s="1186">
        <v>1850</v>
      </c>
    </row>
    <row r="16" spans="1:14" ht="38.25">
      <c r="A16" s="911">
        <v>5</v>
      </c>
      <c r="B16" s="1042" t="s">
        <v>1117</v>
      </c>
      <c r="C16" s="1042" t="s">
        <v>1118</v>
      </c>
      <c r="D16" s="1044" t="s">
        <v>1119</v>
      </c>
      <c r="E16" s="931" t="e">
        <f>(#REF!+#REF!)*#REF!+(#REF!+#REF!)*#REF!</f>
        <v>#REF!</v>
      </c>
      <c r="F16" s="931" t="e">
        <f>#REF!*#REF!</f>
        <v>#REF!</v>
      </c>
      <c r="G16" s="931" t="e">
        <f t="shared" si="0"/>
        <v>#REF!</v>
      </c>
      <c r="H16" s="912"/>
      <c r="I16" s="912"/>
      <c r="J16" s="912">
        <f t="shared" si="1"/>
        <v>0</v>
      </c>
      <c r="K16" s="931" t="e">
        <f t="shared" ref="K16:K51" si="2">G16-J16</f>
        <v>#REF!</v>
      </c>
      <c r="L16" s="912">
        <f>650</f>
        <v>650</v>
      </c>
      <c r="M16" s="1186">
        <v>730.28</v>
      </c>
      <c r="N16" s="1186">
        <v>658</v>
      </c>
    </row>
    <row r="17" spans="1:14" ht="25.5">
      <c r="A17" s="911">
        <v>6</v>
      </c>
      <c r="B17" s="1042" t="s">
        <v>1117</v>
      </c>
      <c r="C17" s="1042" t="s">
        <v>1120</v>
      </c>
      <c r="D17" s="1044" t="s">
        <v>1119</v>
      </c>
      <c r="E17" s="931" t="e">
        <f>(#REF!+#REF!)*#REF!+(#REF!+#REF!)*#REF!</f>
        <v>#REF!</v>
      </c>
      <c r="F17" s="931" t="e">
        <f>#REF!*#REF!</f>
        <v>#REF!</v>
      </c>
      <c r="G17" s="931" t="e">
        <f t="shared" si="0"/>
        <v>#REF!</v>
      </c>
      <c r="H17" s="912"/>
      <c r="I17" s="912"/>
      <c r="J17" s="912">
        <f t="shared" si="1"/>
        <v>0</v>
      </c>
      <c r="K17" s="931" t="e">
        <f t="shared" si="2"/>
        <v>#REF!</v>
      </c>
      <c r="L17" s="912">
        <f>1300</f>
        <v>1300</v>
      </c>
      <c r="M17" s="1186">
        <v>1460.55</v>
      </c>
      <c r="N17" s="1186">
        <v>1350</v>
      </c>
    </row>
    <row r="18" spans="1:14" ht="25.5">
      <c r="A18" s="911">
        <v>7</v>
      </c>
      <c r="B18" s="1042" t="s">
        <v>1121</v>
      </c>
      <c r="C18" s="1042" t="s">
        <v>1122</v>
      </c>
      <c r="D18" s="1044" t="s">
        <v>1022</v>
      </c>
      <c r="E18" s="931" t="e">
        <f>(#REF!+#REF!)*#REF!+(#REF!+#REF!)*#REF!</f>
        <v>#REF!</v>
      </c>
      <c r="F18" s="931" t="e">
        <f>#REF!*#REF!</f>
        <v>#REF!</v>
      </c>
      <c r="G18" s="931" t="e">
        <f t="shared" si="0"/>
        <v>#REF!</v>
      </c>
      <c r="H18" s="912"/>
      <c r="I18" s="912"/>
      <c r="J18" s="912">
        <f t="shared" si="1"/>
        <v>0</v>
      </c>
      <c r="K18" s="931" t="e">
        <f t="shared" si="2"/>
        <v>#REF!</v>
      </c>
      <c r="L18" s="912">
        <f>95</f>
        <v>95</v>
      </c>
      <c r="M18" s="1186">
        <v>106.73</v>
      </c>
      <c r="N18" s="1186">
        <v>100</v>
      </c>
    </row>
    <row r="19" spans="1:14" ht="25.5">
      <c r="A19" s="911">
        <v>9</v>
      </c>
      <c r="B19" s="1042" t="s">
        <v>1123</v>
      </c>
      <c r="C19" s="1042" t="s">
        <v>1124</v>
      </c>
      <c r="D19" s="1044" t="s">
        <v>1022</v>
      </c>
      <c r="E19" s="931" t="e">
        <f>(#REF!+#REF!)*#REF!+(#REF!+#REF!)*#REF!</f>
        <v>#REF!</v>
      </c>
      <c r="F19" s="931" t="e">
        <f>#REF!*#REF!</f>
        <v>#REF!</v>
      </c>
      <c r="G19" s="931" t="e">
        <f t="shared" si="0"/>
        <v>#REF!</v>
      </c>
      <c r="H19" s="912"/>
      <c r="I19" s="912"/>
      <c r="J19" s="912">
        <f t="shared" si="1"/>
        <v>0</v>
      </c>
      <c r="K19" s="931" t="e">
        <f t="shared" si="2"/>
        <v>#REF!</v>
      </c>
      <c r="L19" s="912">
        <f>809</f>
        <v>809</v>
      </c>
      <c r="M19" s="1186">
        <v>908.91</v>
      </c>
      <c r="N19" s="1186">
        <v>950</v>
      </c>
    </row>
    <row r="20" spans="1:14" ht="25.5">
      <c r="A20" s="911">
        <v>10</v>
      </c>
      <c r="B20" s="1042" t="s">
        <v>1123</v>
      </c>
      <c r="C20" s="1042" t="s">
        <v>1125</v>
      </c>
      <c r="D20" s="1044" t="s">
        <v>1022</v>
      </c>
      <c r="E20" s="931" t="e">
        <f>(#REF!+#REF!)*#REF!+(#REF!+#REF!)*#REF!</f>
        <v>#REF!</v>
      </c>
      <c r="F20" s="931" t="e">
        <f>#REF!*#REF!</f>
        <v>#REF!</v>
      </c>
      <c r="G20" s="931" t="e">
        <f t="shared" si="0"/>
        <v>#REF!</v>
      </c>
      <c r="H20" s="912"/>
      <c r="I20" s="912"/>
      <c r="J20" s="912">
        <f t="shared" si="1"/>
        <v>0</v>
      </c>
      <c r="K20" s="931" t="e">
        <f t="shared" si="2"/>
        <v>#REF!</v>
      </c>
      <c r="L20" s="912">
        <f>1395</f>
        <v>1395</v>
      </c>
      <c r="M20" s="1186">
        <v>1567.28</v>
      </c>
      <c r="N20" s="1186">
        <v>1400</v>
      </c>
    </row>
    <row r="21" spans="1:14" ht="25.5">
      <c r="A21" s="911">
        <v>12</v>
      </c>
      <c r="B21" s="1042" t="s">
        <v>1126</v>
      </c>
      <c r="C21" s="1042" t="s">
        <v>1127</v>
      </c>
      <c r="D21" s="1044" t="s">
        <v>1119</v>
      </c>
      <c r="E21" s="931" t="e">
        <f>(#REF!+#REF!)*#REF!+(#REF!+#REF!)*#REF!</f>
        <v>#REF!</v>
      </c>
      <c r="F21" s="931" t="e">
        <f>#REF!*#REF!</f>
        <v>#REF!</v>
      </c>
      <c r="G21" s="931" t="e">
        <f t="shared" si="0"/>
        <v>#REF!</v>
      </c>
      <c r="H21" s="912"/>
      <c r="I21" s="912"/>
      <c r="J21" s="912">
        <f t="shared" si="1"/>
        <v>0</v>
      </c>
      <c r="K21" s="931" t="e">
        <f t="shared" si="2"/>
        <v>#REF!</v>
      </c>
      <c r="L21" s="912">
        <f>86</f>
        <v>86</v>
      </c>
      <c r="M21" s="1186">
        <v>96.62</v>
      </c>
      <c r="N21" s="1186">
        <v>120</v>
      </c>
    </row>
    <row r="22" spans="1:14" ht="25.5">
      <c r="A22" s="911">
        <v>13</v>
      </c>
      <c r="B22" s="1042" t="s">
        <v>1126</v>
      </c>
      <c r="C22" s="1042" t="s">
        <v>1128</v>
      </c>
      <c r="D22" s="1044" t="s">
        <v>1119</v>
      </c>
      <c r="E22" s="931" t="e">
        <f>(#REF!+#REF!)*#REF!+(#REF!+#REF!)*#REF!</f>
        <v>#REF!</v>
      </c>
      <c r="F22" s="931" t="e">
        <f>#REF!*#REF!</f>
        <v>#REF!</v>
      </c>
      <c r="G22" s="931" t="e">
        <f t="shared" si="0"/>
        <v>#REF!</v>
      </c>
      <c r="H22" s="912"/>
      <c r="I22" s="912"/>
      <c r="J22" s="912">
        <f t="shared" si="1"/>
        <v>0</v>
      </c>
      <c r="K22" s="931" t="e">
        <f t="shared" si="2"/>
        <v>#REF!</v>
      </c>
      <c r="L22" s="912">
        <f>185</f>
        <v>185</v>
      </c>
      <c r="M22" s="1186">
        <v>207.85</v>
      </c>
      <c r="N22" s="1186"/>
    </row>
    <row r="23" spans="1:14" ht="25.5">
      <c r="A23" s="911">
        <v>14</v>
      </c>
      <c r="B23" s="1042" t="s">
        <v>1126</v>
      </c>
      <c r="C23" s="1042" t="s">
        <v>1129</v>
      </c>
      <c r="D23" s="1044" t="s">
        <v>1119</v>
      </c>
      <c r="E23" s="931" t="e">
        <f>(#REF!+#REF!)*#REF!+(#REF!+#REF!)*#REF!</f>
        <v>#REF!</v>
      </c>
      <c r="F23" s="931" t="e">
        <f>#REF!*#REF!</f>
        <v>#REF!</v>
      </c>
      <c r="G23" s="931" t="e">
        <f t="shared" si="0"/>
        <v>#REF!</v>
      </c>
      <c r="H23" s="912"/>
      <c r="I23" s="912"/>
      <c r="J23" s="912">
        <f t="shared" si="1"/>
        <v>0</v>
      </c>
      <c r="K23" s="931" t="e">
        <f t="shared" si="2"/>
        <v>#REF!</v>
      </c>
      <c r="L23" s="912">
        <f>455</f>
        <v>455</v>
      </c>
      <c r="M23" s="1186">
        <v>511.19</v>
      </c>
      <c r="N23" s="1186"/>
    </row>
    <row r="24" spans="1:14" ht="38.25">
      <c r="A24" s="911">
        <v>15</v>
      </c>
      <c r="B24" s="1042" t="s">
        <v>1130</v>
      </c>
      <c r="C24" s="1042" t="s">
        <v>1131</v>
      </c>
      <c r="D24" s="1044" t="s">
        <v>1119</v>
      </c>
      <c r="E24" s="931" t="e">
        <f>(#REF!+#REF!)*#REF!+(#REF!+#REF!)*#REF!</f>
        <v>#REF!</v>
      </c>
      <c r="F24" s="931" t="e">
        <f>#REF!*#REF!</f>
        <v>#REF!</v>
      </c>
      <c r="G24" s="931" t="e">
        <f t="shared" si="0"/>
        <v>#REF!</v>
      </c>
      <c r="H24" s="912"/>
      <c r="I24" s="912"/>
      <c r="J24" s="912">
        <f t="shared" si="1"/>
        <v>0</v>
      </c>
      <c r="K24" s="931" t="e">
        <f t="shared" si="2"/>
        <v>#REF!</v>
      </c>
      <c r="L24" s="912">
        <f>166</f>
        <v>166</v>
      </c>
      <c r="M24" s="1186">
        <v>186.5</v>
      </c>
      <c r="N24" s="1186">
        <v>170</v>
      </c>
    </row>
    <row r="25" spans="1:14">
      <c r="A25" s="911">
        <v>16</v>
      </c>
      <c r="B25" s="1042" t="s">
        <v>1132</v>
      </c>
      <c r="C25" s="1042" t="s">
        <v>1133</v>
      </c>
      <c r="D25" s="1044" t="s">
        <v>1022</v>
      </c>
      <c r="E25" s="931" t="e">
        <f>(#REF!+#REF!)*#REF!+(#REF!+#REF!)*#REF!</f>
        <v>#REF!</v>
      </c>
      <c r="F25" s="931" t="e">
        <f>#REF!*#REF!</f>
        <v>#REF!</v>
      </c>
      <c r="G25" s="931" t="e">
        <f t="shared" si="0"/>
        <v>#REF!</v>
      </c>
      <c r="H25" s="912"/>
      <c r="I25" s="912"/>
      <c r="J25" s="912">
        <f t="shared" si="1"/>
        <v>0</v>
      </c>
      <c r="K25" s="931" t="e">
        <f t="shared" si="2"/>
        <v>#REF!</v>
      </c>
      <c r="L25" s="912">
        <f>2650</f>
        <v>2650</v>
      </c>
      <c r="M25" s="1186">
        <v>2977.28</v>
      </c>
      <c r="N25" s="1186">
        <v>4312</v>
      </c>
    </row>
    <row r="26" spans="1:14">
      <c r="A26" s="911">
        <v>17</v>
      </c>
      <c r="B26" s="1043" t="s">
        <v>1134</v>
      </c>
      <c r="C26" s="1043" t="s">
        <v>1135</v>
      </c>
      <c r="D26" s="1044" t="s">
        <v>1022</v>
      </c>
      <c r="E26" s="931" t="e">
        <f>(#REF!+#REF!)*#REF!+(#REF!+#REF!)*#REF!</f>
        <v>#REF!</v>
      </c>
      <c r="F26" s="931" t="e">
        <f>#REF!*#REF!</f>
        <v>#REF!</v>
      </c>
      <c r="G26" s="931" t="e">
        <f t="shared" si="0"/>
        <v>#REF!</v>
      </c>
      <c r="H26" s="912"/>
      <c r="I26" s="912"/>
      <c r="J26" s="912">
        <f t="shared" si="1"/>
        <v>0</v>
      </c>
      <c r="K26" s="931" t="e">
        <f t="shared" si="2"/>
        <v>#REF!</v>
      </c>
      <c r="L26" s="912">
        <f>35</f>
        <v>35</v>
      </c>
      <c r="M26" s="1186">
        <v>39.32</v>
      </c>
      <c r="N26" s="1186">
        <v>40</v>
      </c>
    </row>
    <row r="27" spans="1:14">
      <c r="A27" s="911">
        <v>18</v>
      </c>
      <c r="B27" s="1043" t="s">
        <v>1136</v>
      </c>
      <c r="C27" s="1042" t="s">
        <v>1137</v>
      </c>
      <c r="D27" s="1044" t="s">
        <v>1022</v>
      </c>
      <c r="E27" s="931" t="e">
        <f>(#REF!+#REF!)*#REF!+(#REF!+#REF!)*#REF!</f>
        <v>#REF!</v>
      </c>
      <c r="F27" s="931" t="e">
        <f>#REF!*#REF!</f>
        <v>#REF!</v>
      </c>
      <c r="G27" s="931" t="e">
        <f t="shared" si="0"/>
        <v>#REF!</v>
      </c>
      <c r="H27" s="912"/>
      <c r="I27" s="912"/>
      <c r="J27" s="912">
        <f t="shared" si="1"/>
        <v>0</v>
      </c>
      <c r="K27" s="931" t="e">
        <f t="shared" si="2"/>
        <v>#REF!</v>
      </c>
      <c r="L27" s="912">
        <f>127</f>
        <v>127</v>
      </c>
      <c r="M27" s="1186">
        <v>142.68</v>
      </c>
      <c r="N27" s="1186"/>
    </row>
    <row r="28" spans="1:14">
      <c r="A28" s="911">
        <v>20</v>
      </c>
      <c r="B28" s="1042" t="s">
        <v>1138</v>
      </c>
      <c r="C28" s="1042" t="s">
        <v>1139</v>
      </c>
      <c r="D28" s="1044" t="s">
        <v>1022</v>
      </c>
      <c r="E28" s="931" t="e">
        <f>(#REF!+#REF!)*#REF!+(#REF!+#REF!)*#REF!</f>
        <v>#REF!</v>
      </c>
      <c r="F28" s="931" t="e">
        <f>#REF!*#REF!</f>
        <v>#REF!</v>
      </c>
      <c r="G28" s="931" t="e">
        <f t="shared" si="0"/>
        <v>#REF!</v>
      </c>
      <c r="H28" s="912"/>
      <c r="I28" s="912"/>
      <c r="J28" s="912">
        <f t="shared" si="1"/>
        <v>0</v>
      </c>
      <c r="K28" s="931" t="e">
        <f t="shared" si="2"/>
        <v>#REF!</v>
      </c>
      <c r="L28" s="912">
        <f>300</f>
        <v>300</v>
      </c>
      <c r="M28" s="1186">
        <v>337.05</v>
      </c>
      <c r="N28" s="1186">
        <v>450</v>
      </c>
    </row>
    <row r="29" spans="1:14" ht="25.5">
      <c r="A29" s="911">
        <v>22</v>
      </c>
      <c r="B29" s="1042" t="s">
        <v>1140</v>
      </c>
      <c r="C29" s="1042" t="s">
        <v>1141</v>
      </c>
      <c r="D29" s="1044" t="s">
        <v>1022</v>
      </c>
      <c r="E29" s="931" t="e">
        <f>(#REF!+#REF!)*#REF!+(#REF!+#REF!)*#REF!</f>
        <v>#REF!</v>
      </c>
      <c r="F29" s="931" t="e">
        <f>#REF!*#REF!</f>
        <v>#REF!</v>
      </c>
      <c r="G29" s="931" t="e">
        <f t="shared" si="0"/>
        <v>#REF!</v>
      </c>
      <c r="H29" s="912"/>
      <c r="I29" s="912"/>
      <c r="J29" s="912">
        <f t="shared" si="1"/>
        <v>0</v>
      </c>
      <c r="K29" s="931" t="e">
        <f t="shared" si="2"/>
        <v>#REF!</v>
      </c>
      <c r="L29" s="912">
        <f>18</f>
        <v>18</v>
      </c>
      <c r="M29" s="1186">
        <v>20.22</v>
      </c>
      <c r="N29" s="1186">
        <v>52</v>
      </c>
    </row>
    <row r="30" spans="1:14" ht="38.25">
      <c r="A30" s="911">
        <v>24</v>
      </c>
      <c r="B30" s="1043" t="s">
        <v>1142</v>
      </c>
      <c r="C30" s="1042" t="s">
        <v>1143</v>
      </c>
      <c r="D30" s="1044" t="s">
        <v>1022</v>
      </c>
      <c r="E30" s="931" t="e">
        <f>(#REF!+#REF!)*#REF!+(#REF!+#REF!)*#REF!</f>
        <v>#REF!</v>
      </c>
      <c r="F30" s="931" t="e">
        <f>#REF!*#REF!</f>
        <v>#REF!</v>
      </c>
      <c r="G30" s="931" t="e">
        <f t="shared" si="0"/>
        <v>#REF!</v>
      </c>
      <c r="H30" s="912"/>
      <c r="I30" s="912"/>
      <c r="J30" s="912">
        <f t="shared" si="1"/>
        <v>0</v>
      </c>
      <c r="K30" s="931" t="e">
        <f t="shared" si="2"/>
        <v>#REF!</v>
      </c>
      <c r="L30" s="912">
        <f>89</f>
        <v>89</v>
      </c>
      <c r="M30" s="1186">
        <v>99.99</v>
      </c>
      <c r="N30" s="1186">
        <v>90</v>
      </c>
    </row>
    <row r="31" spans="1:14" ht="25.5">
      <c r="A31" s="911">
        <v>26</v>
      </c>
      <c r="B31" s="1042" t="s">
        <v>1144</v>
      </c>
      <c r="C31" s="1042" t="s">
        <v>1145</v>
      </c>
      <c r="D31" s="1044" t="s">
        <v>1022</v>
      </c>
      <c r="E31" s="931" t="e">
        <f>(#REF!+#REF!)*#REF!+(#REF!+#REF!)*#REF!</f>
        <v>#REF!</v>
      </c>
      <c r="F31" s="931" t="e">
        <f>#REF!*#REF!</f>
        <v>#REF!</v>
      </c>
      <c r="G31" s="931" t="e">
        <f t="shared" si="0"/>
        <v>#REF!</v>
      </c>
      <c r="H31" s="912"/>
      <c r="I31" s="912"/>
      <c r="J31" s="912">
        <f t="shared" si="1"/>
        <v>0</v>
      </c>
      <c r="K31" s="931" t="e">
        <f t="shared" si="2"/>
        <v>#REF!</v>
      </c>
      <c r="L31" s="912">
        <f>22</f>
        <v>22</v>
      </c>
      <c r="M31" s="1186">
        <v>24.72</v>
      </c>
      <c r="N31" s="1186">
        <v>30</v>
      </c>
    </row>
    <row r="32" spans="1:14">
      <c r="A32" s="911"/>
      <c r="B32" s="1042" t="s">
        <v>1146</v>
      </c>
      <c r="C32" s="1042" t="s">
        <v>1147</v>
      </c>
      <c r="D32" s="1044" t="s">
        <v>1022</v>
      </c>
      <c r="E32" s="931" t="e">
        <f>(#REF!+#REF!)*#REF!+(#REF!+#REF!)*#REF!</f>
        <v>#REF!</v>
      </c>
      <c r="F32" s="931" t="e">
        <f>#REF!*#REF!</f>
        <v>#REF!</v>
      </c>
      <c r="G32" s="931" t="e">
        <f t="shared" si="0"/>
        <v>#REF!</v>
      </c>
      <c r="H32" s="912"/>
      <c r="I32" s="912"/>
      <c r="J32" s="912">
        <f t="shared" si="1"/>
        <v>0</v>
      </c>
      <c r="K32" s="931" t="e">
        <f t="shared" si="2"/>
        <v>#REF!</v>
      </c>
      <c r="L32" s="912">
        <f>140</f>
        <v>140</v>
      </c>
      <c r="M32" s="1186">
        <v>157.29</v>
      </c>
      <c r="N32" s="1186">
        <v>160.29</v>
      </c>
    </row>
    <row r="33" spans="1:14" ht="28.5" customHeight="1">
      <c r="A33" s="911">
        <v>28</v>
      </c>
      <c r="B33" s="1042" t="s">
        <v>1148</v>
      </c>
      <c r="C33" s="1042" t="s">
        <v>1149</v>
      </c>
      <c r="D33" s="1044" t="s">
        <v>1022</v>
      </c>
      <c r="E33" s="931" t="e">
        <f>(#REF!+#REF!)*#REF!+(#REF!+#REF!)*#REF!</f>
        <v>#REF!</v>
      </c>
      <c r="F33" s="931" t="e">
        <f>#REF!*#REF!</f>
        <v>#REF!</v>
      </c>
      <c r="G33" s="931" t="e">
        <f t="shared" si="0"/>
        <v>#REF!</v>
      </c>
      <c r="H33" s="912"/>
      <c r="I33" s="912"/>
      <c r="J33" s="912">
        <f t="shared" si="1"/>
        <v>0</v>
      </c>
      <c r="K33" s="931" t="e">
        <f t="shared" si="2"/>
        <v>#REF!</v>
      </c>
      <c r="L33" s="912">
        <f>1130</f>
        <v>1130</v>
      </c>
      <c r="M33" s="1186">
        <v>1269.56</v>
      </c>
      <c r="N33" s="1186">
        <v>1293.74</v>
      </c>
    </row>
    <row r="34" spans="1:14" ht="25.5">
      <c r="A34" s="911">
        <v>29</v>
      </c>
      <c r="B34" s="1042" t="s">
        <v>1148</v>
      </c>
      <c r="C34" s="1042" t="s">
        <v>1150</v>
      </c>
      <c r="D34" s="1044" t="s">
        <v>1022</v>
      </c>
      <c r="E34" s="931" t="e">
        <f>(#REF!+#REF!)*#REF!+(#REF!+#REF!)*#REF!</f>
        <v>#REF!</v>
      </c>
      <c r="F34" s="931" t="e">
        <f>#REF!*#REF!</f>
        <v>#REF!</v>
      </c>
      <c r="G34" s="931" t="e">
        <f t="shared" si="0"/>
        <v>#REF!</v>
      </c>
      <c r="H34" s="912"/>
      <c r="I34" s="912"/>
      <c r="J34" s="912">
        <f t="shared" si="1"/>
        <v>0</v>
      </c>
      <c r="K34" s="931" t="e">
        <f t="shared" si="2"/>
        <v>#REF!</v>
      </c>
      <c r="L34" s="912">
        <f>632</f>
        <v>632</v>
      </c>
      <c r="M34" s="1186">
        <v>710.05</v>
      </c>
      <c r="N34" s="1186">
        <v>723.58</v>
      </c>
    </row>
    <row r="35" spans="1:14" ht="25.5">
      <c r="A35" s="911">
        <v>30</v>
      </c>
      <c r="B35" s="1043" t="s">
        <v>1151</v>
      </c>
      <c r="C35" s="1042" t="s">
        <v>1152</v>
      </c>
      <c r="D35" s="1044" t="s">
        <v>1153</v>
      </c>
      <c r="E35" s="931" t="e">
        <f>(#REF!+#REF!)*#REF!+(#REF!+#REF!)*#REF!</f>
        <v>#REF!</v>
      </c>
      <c r="F35" s="931" t="e">
        <f>#REF!*#REF!</f>
        <v>#REF!</v>
      </c>
      <c r="G35" s="931" t="e">
        <f t="shared" si="0"/>
        <v>#REF!</v>
      </c>
      <c r="H35" s="912"/>
      <c r="I35" s="912"/>
      <c r="J35" s="912">
        <f t="shared" si="1"/>
        <v>0</v>
      </c>
      <c r="K35" s="931" t="e">
        <f t="shared" si="2"/>
        <v>#REF!</v>
      </c>
      <c r="L35" s="912">
        <f>564</f>
        <v>564</v>
      </c>
      <c r="M35" s="1186">
        <v>633.65</v>
      </c>
      <c r="N35" s="1186">
        <v>645.72</v>
      </c>
    </row>
    <row r="36" spans="1:14" ht="25.5">
      <c r="A36" s="911">
        <v>31</v>
      </c>
      <c r="B36" s="1593" t="s">
        <v>1186</v>
      </c>
      <c r="C36" s="1042" t="s">
        <v>1187</v>
      </c>
      <c r="D36" s="1044" t="s">
        <v>1022</v>
      </c>
      <c r="E36" s="931" t="e">
        <f>(#REF!+#REF!)*#REF!+(#REF!+#REF!)*#REF!</f>
        <v>#REF!</v>
      </c>
      <c r="F36" s="931" t="e">
        <f>#REF!*#REF!</f>
        <v>#REF!</v>
      </c>
      <c r="G36" s="931" t="e">
        <f t="shared" si="0"/>
        <v>#REF!</v>
      </c>
      <c r="H36" s="912"/>
      <c r="I36" s="912"/>
      <c r="J36" s="912">
        <f t="shared" si="1"/>
        <v>0</v>
      </c>
      <c r="K36" s="931" t="e">
        <f t="shared" si="2"/>
        <v>#REF!</v>
      </c>
      <c r="L36" s="912">
        <f>200</f>
        <v>200</v>
      </c>
      <c r="M36" s="1186">
        <v>224.7</v>
      </c>
      <c r="N36" s="1186">
        <v>228.98</v>
      </c>
    </row>
    <row r="37" spans="1:14" ht="51">
      <c r="A37" s="911">
        <v>32</v>
      </c>
      <c r="B37" s="1042" t="s">
        <v>1154</v>
      </c>
      <c r="C37" s="1042" t="s">
        <v>1155</v>
      </c>
      <c r="D37" s="1044" t="s">
        <v>1022</v>
      </c>
      <c r="E37" s="931" t="e">
        <f>(#REF!+#REF!)*#REF!+(#REF!+#REF!)*#REF!</f>
        <v>#REF!</v>
      </c>
      <c r="F37" s="931" t="e">
        <f>#REF!*#REF!</f>
        <v>#REF!</v>
      </c>
      <c r="G37" s="931" t="e">
        <f t="shared" si="0"/>
        <v>#REF!</v>
      </c>
      <c r="H37" s="912"/>
      <c r="I37" s="912"/>
      <c r="J37" s="912">
        <f t="shared" si="1"/>
        <v>0</v>
      </c>
      <c r="K37" s="931" t="e">
        <f t="shared" si="2"/>
        <v>#REF!</v>
      </c>
      <c r="L37" s="912">
        <f>420</f>
        <v>420</v>
      </c>
      <c r="M37" s="1186">
        <v>471.87</v>
      </c>
      <c r="N37" s="1186">
        <v>480.86</v>
      </c>
    </row>
    <row r="38" spans="1:14" ht="102">
      <c r="A38" s="911">
        <v>35</v>
      </c>
      <c r="B38" s="1043" t="s">
        <v>1156</v>
      </c>
      <c r="C38" s="1042" t="s">
        <v>1157</v>
      </c>
      <c r="D38" s="1044" t="s">
        <v>1022</v>
      </c>
      <c r="E38" s="931" t="e">
        <f>(#REF!+#REF!)*#REF!+(#REF!+#REF!)*#REF!</f>
        <v>#REF!</v>
      </c>
      <c r="F38" s="931" t="e">
        <f>#REF!*#REF!</f>
        <v>#REF!</v>
      </c>
      <c r="G38" s="931" t="e">
        <f t="shared" si="0"/>
        <v>#REF!</v>
      </c>
      <c r="H38" s="912"/>
      <c r="I38" s="912"/>
      <c r="J38" s="912">
        <f t="shared" si="1"/>
        <v>0</v>
      </c>
      <c r="K38" s="931" t="e">
        <f t="shared" si="2"/>
        <v>#REF!</v>
      </c>
      <c r="L38" s="912">
        <f>375</f>
        <v>375</v>
      </c>
      <c r="M38" s="1186">
        <v>393.23</v>
      </c>
      <c r="N38" s="1186">
        <v>429.34</v>
      </c>
    </row>
    <row r="39" spans="1:14">
      <c r="A39" s="911">
        <v>39</v>
      </c>
      <c r="B39" s="1042" t="s">
        <v>1158</v>
      </c>
      <c r="C39" s="1042" t="s">
        <v>1159</v>
      </c>
      <c r="D39" s="1044" t="s">
        <v>1022</v>
      </c>
      <c r="E39" s="931" t="e">
        <f>(#REF!+#REF!)*#REF!+(#REF!+#REF!)*#REF!</f>
        <v>#REF!</v>
      </c>
      <c r="F39" s="931" t="e">
        <f>#REF!*#REF!</f>
        <v>#REF!</v>
      </c>
      <c r="G39" s="931" t="e">
        <f t="shared" si="0"/>
        <v>#REF!</v>
      </c>
      <c r="H39" s="912"/>
      <c r="I39" s="912"/>
      <c r="J39" s="912">
        <f t="shared" si="1"/>
        <v>0</v>
      </c>
      <c r="K39" s="931" t="e">
        <f t="shared" si="2"/>
        <v>#REF!</v>
      </c>
      <c r="L39" s="912">
        <f>445</f>
        <v>445</v>
      </c>
      <c r="M39" s="1186">
        <v>499.96</v>
      </c>
      <c r="N39" s="1186">
        <v>509.48</v>
      </c>
    </row>
    <row r="40" spans="1:14" ht="25.5">
      <c r="A40" s="911">
        <v>40</v>
      </c>
      <c r="B40" s="1043" t="s">
        <v>1160</v>
      </c>
      <c r="C40" s="1043" t="s">
        <v>1161</v>
      </c>
      <c r="D40" s="1044" t="s">
        <v>1022</v>
      </c>
      <c r="E40" s="931" t="e">
        <f>(#REF!+#REF!)*#REF!+(#REF!+#REF!)*#REF!</f>
        <v>#REF!</v>
      </c>
      <c r="F40" s="931" t="e">
        <f>#REF!*#REF!</f>
        <v>#REF!</v>
      </c>
      <c r="G40" s="931" t="e">
        <f t="shared" si="0"/>
        <v>#REF!</v>
      </c>
      <c r="H40" s="912"/>
      <c r="I40" s="912"/>
      <c r="J40" s="912">
        <f t="shared" si="1"/>
        <v>0</v>
      </c>
      <c r="K40" s="931" t="e">
        <f t="shared" si="2"/>
        <v>#REF!</v>
      </c>
      <c r="L40" s="912">
        <f>32</f>
        <v>32</v>
      </c>
      <c r="M40" s="1186">
        <v>35.950000000000003</v>
      </c>
      <c r="N40" s="1186">
        <v>36.64</v>
      </c>
    </row>
    <row r="41" spans="1:14" ht="51">
      <c r="A41" s="911">
        <v>41</v>
      </c>
      <c r="B41" s="1043" t="s">
        <v>1160</v>
      </c>
      <c r="C41" s="1043" t="s">
        <v>1162</v>
      </c>
      <c r="D41" s="1044" t="s">
        <v>1022</v>
      </c>
      <c r="E41" s="931" t="e">
        <f>(#REF!+#REF!)*#REF!+(#REF!+#REF!)*#REF!</f>
        <v>#REF!</v>
      </c>
      <c r="F41" s="931" t="e">
        <f>#REF!*#REF!</f>
        <v>#REF!</v>
      </c>
      <c r="G41" s="931" t="e">
        <f t="shared" si="0"/>
        <v>#REF!</v>
      </c>
      <c r="H41" s="912"/>
      <c r="I41" s="912"/>
      <c r="J41" s="912">
        <f t="shared" si="1"/>
        <v>0</v>
      </c>
      <c r="K41" s="931" t="e">
        <f t="shared" si="2"/>
        <v>#REF!</v>
      </c>
      <c r="L41" s="912">
        <f>95</f>
        <v>95</v>
      </c>
      <c r="M41" s="1186">
        <v>106.73</v>
      </c>
      <c r="N41" s="1186">
        <v>108.77</v>
      </c>
    </row>
    <row r="42" spans="1:14" ht="25.5">
      <c r="A42" s="911">
        <v>43</v>
      </c>
      <c r="B42" s="1042" t="s">
        <v>1163</v>
      </c>
      <c r="C42" s="1042" t="s">
        <v>1164</v>
      </c>
      <c r="D42" s="1044" t="s">
        <v>1022</v>
      </c>
      <c r="E42" s="931" t="e">
        <f>(#REF!+#REF!)*#REF!+(#REF!+#REF!)*#REF!</f>
        <v>#REF!</v>
      </c>
      <c r="F42" s="931" t="e">
        <f>#REF!*#REF!</f>
        <v>#REF!</v>
      </c>
      <c r="G42" s="931" t="e">
        <f t="shared" si="0"/>
        <v>#REF!</v>
      </c>
      <c r="H42" s="912"/>
      <c r="I42" s="912"/>
      <c r="J42" s="912">
        <f t="shared" si="1"/>
        <v>0</v>
      </c>
      <c r="K42" s="931" t="e">
        <f t="shared" si="2"/>
        <v>#REF!</v>
      </c>
      <c r="L42" s="912">
        <f>475</f>
        <v>475</v>
      </c>
      <c r="M42" s="1186">
        <v>533.66</v>
      </c>
      <c r="N42" s="1186">
        <v>543.83000000000004</v>
      </c>
    </row>
    <row r="43" spans="1:14" ht="67.5" customHeight="1">
      <c r="A43" s="911">
        <v>44</v>
      </c>
      <c r="B43" s="1043" t="s">
        <v>1165</v>
      </c>
      <c r="C43" s="1042" t="s">
        <v>1166</v>
      </c>
      <c r="D43" s="1044" t="s">
        <v>1022</v>
      </c>
      <c r="E43" s="931" t="e">
        <f>(#REF!+#REF!)*#REF!+(#REF!+#REF!)*#REF!</f>
        <v>#REF!</v>
      </c>
      <c r="F43" s="931" t="e">
        <f>#REF!*#REF!</f>
        <v>#REF!</v>
      </c>
      <c r="G43" s="931" t="e">
        <f t="shared" si="0"/>
        <v>#REF!</v>
      </c>
      <c r="H43" s="912"/>
      <c r="I43" s="912"/>
      <c r="J43" s="912">
        <f t="shared" si="1"/>
        <v>0</v>
      </c>
      <c r="K43" s="931" t="e">
        <f t="shared" si="2"/>
        <v>#REF!</v>
      </c>
      <c r="L43" s="912">
        <f>98</f>
        <v>98</v>
      </c>
      <c r="M43" s="1186">
        <v>110.1</v>
      </c>
      <c r="N43" s="1186">
        <v>112.2</v>
      </c>
    </row>
    <row r="44" spans="1:14" ht="25.5">
      <c r="A44" s="911">
        <v>45</v>
      </c>
      <c r="B44" s="1043" t="s">
        <v>1167</v>
      </c>
      <c r="C44" s="1043" t="s">
        <v>1168</v>
      </c>
      <c r="D44" s="1044" t="s">
        <v>1119</v>
      </c>
      <c r="E44" s="931" t="e">
        <f>(#REF!+#REF!)*#REF!+(#REF!+#REF!)*#REF!</f>
        <v>#REF!</v>
      </c>
      <c r="F44" s="931" t="e">
        <f>#REF!*#REF!</f>
        <v>#REF!</v>
      </c>
      <c r="G44" s="931" t="e">
        <f t="shared" si="0"/>
        <v>#REF!</v>
      </c>
      <c r="H44" s="912"/>
      <c r="I44" s="912"/>
      <c r="J44" s="912">
        <f t="shared" si="1"/>
        <v>0</v>
      </c>
      <c r="K44" s="931" t="e">
        <f t="shared" si="2"/>
        <v>#REF!</v>
      </c>
      <c r="L44" s="912">
        <f>48</f>
        <v>48</v>
      </c>
      <c r="M44" s="1186">
        <v>53.93</v>
      </c>
      <c r="N44" s="1186">
        <v>54.96</v>
      </c>
    </row>
    <row r="45" spans="1:14" ht="25.5">
      <c r="A45" s="911">
        <v>46</v>
      </c>
      <c r="B45" s="1043" t="s">
        <v>1169</v>
      </c>
      <c r="C45" s="1043" t="s">
        <v>1170</v>
      </c>
      <c r="D45" s="1044" t="s">
        <v>1119</v>
      </c>
      <c r="E45" s="931" t="e">
        <f>(#REF!+#REF!)*#REF!+(#REF!+#REF!)*#REF!</f>
        <v>#REF!</v>
      </c>
      <c r="F45" s="931" t="e">
        <f>#REF!*#REF!</f>
        <v>#REF!</v>
      </c>
      <c r="G45" s="931" t="e">
        <f t="shared" si="0"/>
        <v>#REF!</v>
      </c>
      <c r="H45" s="912"/>
      <c r="I45" s="912"/>
      <c r="J45" s="912">
        <f t="shared" si="1"/>
        <v>0</v>
      </c>
      <c r="K45" s="931" t="e">
        <f t="shared" si="2"/>
        <v>#REF!</v>
      </c>
      <c r="L45" s="912">
        <f>131</f>
        <v>131</v>
      </c>
      <c r="M45" s="1186">
        <v>147.18</v>
      </c>
      <c r="N45" s="1186">
        <v>149.97999999999999</v>
      </c>
    </row>
    <row r="46" spans="1:14" ht="25.5">
      <c r="A46" s="911">
        <v>47</v>
      </c>
      <c r="B46" s="1043" t="s">
        <v>1171</v>
      </c>
      <c r="C46" s="1043" t="s">
        <v>1172</v>
      </c>
      <c r="D46" s="1044" t="s">
        <v>1119</v>
      </c>
      <c r="E46" s="931" t="e">
        <f>(#REF!+#REF!)*#REF!+(#REF!+#REF!)*#REF!</f>
        <v>#REF!</v>
      </c>
      <c r="F46" s="931" t="e">
        <f>#REF!*#REF!</f>
        <v>#REF!</v>
      </c>
      <c r="G46" s="931" t="e">
        <f t="shared" si="0"/>
        <v>#REF!</v>
      </c>
      <c r="H46" s="912"/>
      <c r="I46" s="912"/>
      <c r="J46" s="912">
        <f t="shared" si="1"/>
        <v>0</v>
      </c>
      <c r="K46" s="931" t="e">
        <f t="shared" si="2"/>
        <v>#REF!</v>
      </c>
      <c r="L46" s="912">
        <f>27</f>
        <v>27</v>
      </c>
      <c r="M46" s="1186">
        <v>30.33</v>
      </c>
      <c r="N46" s="1186">
        <v>30.91</v>
      </c>
    </row>
    <row r="47" spans="1:14" ht="25.5">
      <c r="A47" s="911">
        <v>48</v>
      </c>
      <c r="B47" s="1043" t="s">
        <v>1173</v>
      </c>
      <c r="C47" s="1043" t="s">
        <v>1174</v>
      </c>
      <c r="D47" s="1044" t="s">
        <v>1119</v>
      </c>
      <c r="E47" s="931" t="e">
        <f>(#REF!+#REF!)*#REF!+(#REF!+#REF!)*#REF!</f>
        <v>#REF!</v>
      </c>
      <c r="F47" s="931" t="e">
        <f>#REF!*#REF!</f>
        <v>#REF!</v>
      </c>
      <c r="G47" s="931" t="e">
        <f t="shared" si="0"/>
        <v>#REF!</v>
      </c>
      <c r="H47" s="912"/>
      <c r="I47" s="912"/>
      <c r="J47" s="912">
        <f t="shared" si="1"/>
        <v>0</v>
      </c>
      <c r="K47" s="931" t="e">
        <f t="shared" si="2"/>
        <v>#REF!</v>
      </c>
      <c r="L47" s="912">
        <f>135</f>
        <v>135</v>
      </c>
      <c r="M47" s="1186">
        <v>260.64999999999998</v>
      </c>
      <c r="N47" s="1186">
        <v>265.62</v>
      </c>
    </row>
    <row r="48" spans="1:14">
      <c r="A48" s="911">
        <v>49</v>
      </c>
      <c r="B48" s="1043" t="s">
        <v>1175</v>
      </c>
      <c r="C48" s="1043" t="s">
        <v>1176</v>
      </c>
      <c r="D48" s="1044" t="s">
        <v>1022</v>
      </c>
      <c r="E48" s="931" t="e">
        <f>(#REF!+#REF!)*#REF!+(#REF!+#REF!)*#REF!</f>
        <v>#REF!</v>
      </c>
      <c r="F48" s="931" t="e">
        <f>#REF!*#REF!</f>
        <v>#REF!</v>
      </c>
      <c r="G48" s="931" t="e">
        <f t="shared" si="0"/>
        <v>#REF!</v>
      </c>
      <c r="H48" s="912"/>
      <c r="I48" s="912"/>
      <c r="J48" s="912">
        <f t="shared" si="1"/>
        <v>0</v>
      </c>
      <c r="K48" s="931" t="e">
        <f t="shared" si="2"/>
        <v>#REF!</v>
      </c>
      <c r="L48" s="912">
        <f>340</f>
        <v>340</v>
      </c>
      <c r="M48" s="1186">
        <v>381.99</v>
      </c>
      <c r="N48" s="1186">
        <v>389.27</v>
      </c>
    </row>
    <row r="49" spans="1:14" ht="25.5">
      <c r="A49" s="911">
        <v>50</v>
      </c>
      <c r="B49" s="1043" t="s">
        <v>1177</v>
      </c>
      <c r="C49" s="1043" t="s">
        <v>1178</v>
      </c>
      <c r="D49" s="1044" t="s">
        <v>1022</v>
      </c>
      <c r="E49" s="931" t="e">
        <f>(#REF!+#REF!)*#REF!+(#REF!+#REF!)*#REF!</f>
        <v>#REF!</v>
      </c>
      <c r="F49" s="931" t="e">
        <f>#REF!*#REF!</f>
        <v>#REF!</v>
      </c>
      <c r="G49" s="931" t="e">
        <f t="shared" si="0"/>
        <v>#REF!</v>
      </c>
      <c r="H49" s="912"/>
      <c r="I49" s="912"/>
      <c r="J49" s="912">
        <f t="shared" si="1"/>
        <v>0</v>
      </c>
      <c r="K49" s="931" t="e">
        <f t="shared" si="2"/>
        <v>#REF!</v>
      </c>
      <c r="L49" s="912">
        <f>94</f>
        <v>94</v>
      </c>
      <c r="M49" s="1186">
        <v>105.61</v>
      </c>
      <c r="N49" s="1186">
        <v>107.62</v>
      </c>
    </row>
    <row r="50" spans="1:14" ht="51">
      <c r="A50" s="911">
        <v>52</v>
      </c>
      <c r="B50" s="1043" t="s">
        <v>1179</v>
      </c>
      <c r="C50" s="1043" t="s">
        <v>1180</v>
      </c>
      <c r="D50" s="1044" t="s">
        <v>1022</v>
      </c>
      <c r="E50" s="931" t="e">
        <f>(#REF!+#REF!)*#REF!+(#REF!+#REF!)*#REF!</f>
        <v>#REF!</v>
      </c>
      <c r="F50" s="931" t="e">
        <f>#REF!*#REF!</f>
        <v>#REF!</v>
      </c>
      <c r="G50" s="931" t="e">
        <f t="shared" si="0"/>
        <v>#REF!</v>
      </c>
      <c r="H50" s="912"/>
      <c r="I50" s="912"/>
      <c r="J50" s="912">
        <f t="shared" si="1"/>
        <v>0</v>
      </c>
      <c r="K50" s="931" t="e">
        <f t="shared" si="2"/>
        <v>#REF!</v>
      </c>
      <c r="L50" s="912">
        <f>9</f>
        <v>9</v>
      </c>
      <c r="M50" s="1186">
        <v>10.11</v>
      </c>
      <c r="N50" s="1186">
        <v>10.3</v>
      </c>
    </row>
    <row r="51" spans="1:14">
      <c r="A51" s="911">
        <v>53</v>
      </c>
      <c r="B51" s="1042" t="s">
        <v>1181</v>
      </c>
      <c r="C51" s="1042" t="s">
        <v>1182</v>
      </c>
      <c r="D51" s="1130" t="s">
        <v>1022</v>
      </c>
      <c r="E51" s="931" t="e">
        <f>(#REF!+#REF!)*#REF!+(#REF!+#REF!)*#REF!</f>
        <v>#REF!</v>
      </c>
      <c r="F51" s="931" t="e">
        <f>#REF!*#REF!</f>
        <v>#REF!</v>
      </c>
      <c r="G51" s="931" t="e">
        <f t="shared" si="0"/>
        <v>#REF!</v>
      </c>
      <c r="H51" s="912"/>
      <c r="I51" s="912"/>
      <c r="J51" s="912">
        <f t="shared" si="1"/>
        <v>0</v>
      </c>
      <c r="K51" s="931" t="e">
        <f t="shared" si="2"/>
        <v>#REF!</v>
      </c>
      <c r="L51" s="912">
        <f>160</f>
        <v>160</v>
      </c>
      <c r="M51" s="1186">
        <v>179.76</v>
      </c>
      <c r="N51" s="1186">
        <v>183.18</v>
      </c>
    </row>
    <row r="52" spans="1:14" ht="0.75" customHeight="1">
      <c r="A52" s="911"/>
      <c r="B52" s="1042"/>
      <c r="C52" s="1042"/>
      <c r="D52" s="1044"/>
      <c r="E52" s="931"/>
      <c r="F52" s="931"/>
      <c r="G52" s="931"/>
      <c r="H52" s="912"/>
      <c r="I52" s="912"/>
      <c r="J52" s="912"/>
      <c r="K52" s="931"/>
      <c r="L52" s="912"/>
    </row>
    <row r="53" spans="1:14" hidden="1">
      <c r="A53" s="911"/>
      <c r="B53" s="1127"/>
      <c r="C53" s="1128"/>
      <c r="D53" s="1129"/>
      <c r="E53" s="931"/>
      <c r="F53" s="931"/>
      <c r="G53" s="931"/>
      <c r="H53" s="912"/>
      <c r="I53" s="912"/>
      <c r="J53" s="912"/>
      <c r="K53" s="931"/>
      <c r="L53" s="912"/>
    </row>
    <row r="54" spans="1:14" hidden="1">
      <c r="A54" s="911"/>
      <c r="B54" s="1127"/>
      <c r="C54" s="1128"/>
      <c r="D54" s="1129"/>
      <c r="E54" s="931"/>
      <c r="F54" s="931"/>
      <c r="G54" s="931"/>
      <c r="H54" s="912"/>
      <c r="I54" s="912"/>
      <c r="J54" s="912"/>
      <c r="K54" s="931"/>
      <c r="L54" s="912"/>
    </row>
    <row r="55" spans="1:14" hidden="1">
      <c r="A55" s="911"/>
      <c r="B55" s="1127"/>
      <c r="C55" s="1128"/>
      <c r="D55" s="1129"/>
      <c r="E55" s="931"/>
      <c r="F55" s="931"/>
      <c r="G55" s="931"/>
      <c r="H55" s="912"/>
      <c r="I55" s="912"/>
      <c r="J55" s="912"/>
      <c r="K55" s="931"/>
      <c r="L55" s="912"/>
    </row>
    <row r="56" spans="1:14" hidden="1">
      <c r="A56" s="911"/>
      <c r="B56" s="1127"/>
      <c r="C56" s="1128"/>
      <c r="D56" s="1129"/>
      <c r="E56" s="931"/>
      <c r="F56" s="931"/>
      <c r="G56" s="931"/>
      <c r="H56" s="912"/>
      <c r="I56" s="912"/>
      <c r="J56" s="912"/>
      <c r="K56" s="931"/>
      <c r="L56" s="912"/>
    </row>
    <row r="57" spans="1:14" hidden="1">
      <c r="A57" s="911"/>
      <c r="B57" s="1127"/>
      <c r="C57" s="1128"/>
      <c r="D57" s="1129"/>
      <c r="E57" s="931"/>
      <c r="F57" s="931"/>
      <c r="G57" s="931"/>
      <c r="H57" s="912"/>
      <c r="I57" s="912"/>
      <c r="J57" s="912"/>
      <c r="K57" s="931"/>
      <c r="L57" s="912"/>
    </row>
    <row r="58" spans="1:14" hidden="1">
      <c r="A58" s="911"/>
      <c r="B58" s="1127"/>
      <c r="C58" s="1128"/>
      <c r="D58" s="1129"/>
      <c r="E58" s="931"/>
      <c r="F58" s="931"/>
      <c r="G58" s="931"/>
      <c r="H58" s="912"/>
      <c r="I58" s="912"/>
      <c r="J58" s="912"/>
      <c r="K58" s="931"/>
      <c r="L58" s="912"/>
    </row>
    <row r="59" spans="1:14" hidden="1">
      <c r="A59" s="911"/>
      <c r="B59" s="1127"/>
      <c r="C59" s="1128"/>
      <c r="D59" s="1129"/>
      <c r="E59" s="931"/>
      <c r="F59" s="931"/>
      <c r="G59" s="931"/>
      <c r="H59" s="912"/>
      <c r="I59" s="912"/>
      <c r="J59" s="912"/>
      <c r="K59" s="931"/>
      <c r="L59" s="912"/>
    </row>
    <row r="60" spans="1:14" hidden="1">
      <c r="A60" s="911"/>
      <c r="B60" s="1127"/>
      <c r="C60" s="1128"/>
      <c r="D60" s="1129"/>
      <c r="E60" s="931"/>
      <c r="F60" s="931"/>
      <c r="G60" s="931"/>
      <c r="H60" s="912"/>
      <c r="I60" s="912"/>
      <c r="J60" s="912"/>
      <c r="K60" s="931"/>
      <c r="L60" s="912"/>
    </row>
    <row r="61" spans="1:14" hidden="1">
      <c r="A61" s="911"/>
      <c r="B61" s="1127"/>
      <c r="C61" s="1128"/>
      <c r="D61" s="1129"/>
      <c r="E61" s="931"/>
      <c r="F61" s="931"/>
      <c r="G61" s="931"/>
      <c r="H61" s="912"/>
      <c r="I61" s="912"/>
      <c r="J61" s="912"/>
      <c r="K61" s="931"/>
      <c r="L61" s="912"/>
    </row>
    <row r="63" spans="1:14" ht="15.75">
      <c r="B63" s="300" t="s">
        <v>329</v>
      </c>
      <c r="C63" s="514"/>
      <c r="D63" s="514"/>
    </row>
    <row r="64" spans="1:14" ht="15.75">
      <c r="B64" s="300"/>
      <c r="C64" s="514"/>
      <c r="D64" s="514"/>
    </row>
    <row r="65" spans="2:4" ht="15.75">
      <c r="B65" s="426" t="s">
        <v>330</v>
      </c>
      <c r="C65" s="514"/>
      <c r="D65" s="514"/>
    </row>
    <row r="66" spans="2:4" ht="15.75">
      <c r="B66" s="426"/>
      <c r="C66" s="514"/>
      <c r="D66" s="514"/>
    </row>
    <row r="67" spans="2:4" ht="15.75">
      <c r="B67" s="1073" t="s">
        <v>547</v>
      </c>
      <c r="C67" s="1076"/>
      <c r="D67" s="475"/>
    </row>
    <row r="68" spans="2:4" ht="15.75">
      <c r="B68" s="1073" t="s">
        <v>548</v>
      </c>
      <c r="C68" s="1076"/>
      <c r="D68" s="475"/>
    </row>
    <row r="69" spans="2:4" ht="15.75">
      <c r="B69" s="1073"/>
      <c r="C69" s="1076"/>
      <c r="D69" s="475"/>
    </row>
    <row r="70" spans="2:4" ht="15.75">
      <c r="B70" s="1073" t="s">
        <v>375</v>
      </c>
      <c r="C70" s="1078"/>
      <c r="D70" s="1078"/>
    </row>
  </sheetData>
  <mergeCells count="14">
    <mergeCell ref="A7:A9"/>
    <mergeCell ref="B7:B9"/>
    <mergeCell ref="C7:C9"/>
    <mergeCell ref="D7:D9"/>
    <mergeCell ref="K8:K9"/>
    <mergeCell ref="M7:M9"/>
    <mergeCell ref="N7:N9"/>
    <mergeCell ref="E8:F8"/>
    <mergeCell ref="G8:G9"/>
    <mergeCell ref="H8:H9"/>
    <mergeCell ref="I8:I9"/>
    <mergeCell ref="J8:J9"/>
    <mergeCell ref="E7:K7"/>
    <mergeCell ref="L7:L9"/>
  </mergeCells>
  <pageMargins left="0.7" right="0.7" top="0.75" bottom="0.75" header="0.3" footer="0.3"/>
  <pageSetup paperSize="9" scale="52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Лист10">
    <tabColor rgb="FFFF0000"/>
    <pageSetUpPr fitToPage="1"/>
  </sheetPr>
  <dimension ref="A1:Z563"/>
  <sheetViews>
    <sheetView workbookViewId="0">
      <selection activeCell="Q13" sqref="Q13"/>
    </sheetView>
  </sheetViews>
  <sheetFormatPr defaultColWidth="9.140625" defaultRowHeight="12.75"/>
  <cols>
    <col min="1" max="1" width="5.5703125" style="1580" customWidth="1"/>
    <col min="2" max="2" width="26" style="1580" customWidth="1"/>
    <col min="3" max="3" width="38.85546875" style="357" customWidth="1"/>
    <col min="4" max="4" width="8.28515625" style="1580" customWidth="1"/>
    <col min="5" max="5" width="10.42578125" style="1580" customWidth="1"/>
    <col min="6" max="6" width="6.140625" style="1580" customWidth="1"/>
    <col min="7" max="7" width="7.5703125" style="1580" customWidth="1"/>
    <col min="8" max="8" width="13.7109375" style="1580" customWidth="1"/>
    <col min="9" max="9" width="9.140625" style="1580" customWidth="1"/>
    <col min="10" max="10" width="9.85546875" style="1580" customWidth="1"/>
    <col min="11" max="11" width="13.7109375" style="1580" customWidth="1"/>
    <col min="12" max="12" width="16" style="1580" customWidth="1"/>
    <col min="13" max="13" width="14.28515625" style="1580" customWidth="1"/>
    <col min="14" max="14" width="15.140625" style="1580" customWidth="1"/>
    <col min="15" max="15" width="13" style="1580" customWidth="1"/>
    <col min="16" max="16" width="10.42578125" style="1580" customWidth="1"/>
    <col min="17" max="17" width="14.85546875" style="1580" customWidth="1"/>
    <col min="18" max="20" width="21" style="1580" customWidth="1"/>
    <col min="21" max="21" width="11.28515625" style="1580" customWidth="1"/>
    <col min="22" max="16384" width="9.140625" style="1580"/>
  </cols>
  <sheetData>
    <row r="1" spans="1:26">
      <c r="S1" s="1580" t="s">
        <v>267</v>
      </c>
      <c r="T1" s="357" t="s">
        <v>596</v>
      </c>
    </row>
    <row r="2" spans="1:26" s="1636" customFormat="1">
      <c r="A2" s="1595" t="s">
        <v>1188</v>
      </c>
      <c r="C2" s="924"/>
    </row>
    <row r="3" spans="1:26">
      <c r="A3" s="120"/>
      <c r="D3" s="1580" t="s">
        <v>1189</v>
      </c>
    </row>
    <row r="4" spans="1:26" s="1636" customFormat="1">
      <c r="A4" s="1644" t="s">
        <v>1190</v>
      </c>
      <c r="C4" s="924"/>
    </row>
    <row r="5" spans="1:26">
      <c r="A5" s="1580" t="s">
        <v>990</v>
      </c>
    </row>
    <row r="7" spans="1:26" ht="30" customHeight="1">
      <c r="A7" s="4003" t="s">
        <v>2</v>
      </c>
      <c r="B7" s="4003" t="s">
        <v>478</v>
      </c>
      <c r="C7" s="4003" t="s">
        <v>995</v>
      </c>
      <c r="D7" s="4003" t="s">
        <v>996</v>
      </c>
      <c r="E7" s="4003" t="s">
        <v>1191</v>
      </c>
      <c r="F7" s="4003" t="s">
        <v>255</v>
      </c>
      <c r="G7" s="4003"/>
      <c r="H7" s="4007" t="s">
        <v>1192</v>
      </c>
      <c r="I7" s="4004" t="s">
        <v>1193</v>
      </c>
      <c r="J7" s="4005"/>
      <c r="K7" s="4006"/>
      <c r="L7" s="4004" t="s">
        <v>922</v>
      </c>
      <c r="M7" s="4005"/>
      <c r="N7" s="4005"/>
      <c r="O7" s="4005"/>
      <c r="P7" s="4006"/>
      <c r="Q7" s="4003" t="s">
        <v>999</v>
      </c>
      <c r="R7" s="4003" t="s">
        <v>345</v>
      </c>
      <c r="S7" s="4004" t="s">
        <v>1001</v>
      </c>
      <c r="T7" s="4006"/>
    </row>
    <row r="8" spans="1:26" ht="38.25">
      <c r="A8" s="4003"/>
      <c r="B8" s="4003"/>
      <c r="C8" s="4003"/>
      <c r="D8" s="4003"/>
      <c r="E8" s="4003"/>
      <c r="F8" s="1601" t="s">
        <v>7</v>
      </c>
      <c r="G8" s="1601" t="s">
        <v>8</v>
      </c>
      <c r="H8" s="4008"/>
      <c r="I8" s="1601" t="s">
        <v>7</v>
      </c>
      <c r="J8" s="1601" t="s">
        <v>8</v>
      </c>
      <c r="K8" s="1601" t="s">
        <v>1096</v>
      </c>
      <c r="L8" s="1601" t="s">
        <v>1099</v>
      </c>
      <c r="M8" s="1601" t="s">
        <v>1194</v>
      </c>
      <c r="N8" s="1601" t="s">
        <v>1011</v>
      </c>
      <c r="O8" s="1601" t="s">
        <v>1012</v>
      </c>
      <c r="P8" s="1601" t="s">
        <v>1013</v>
      </c>
      <c r="Q8" s="4003"/>
      <c r="R8" s="4003"/>
      <c r="S8" s="1603" t="s">
        <v>7</v>
      </c>
      <c r="T8" s="1603" t="s">
        <v>8</v>
      </c>
      <c r="W8" s="1580">
        <v>211</v>
      </c>
      <c r="X8" s="1580">
        <v>100</v>
      </c>
    </row>
    <row r="9" spans="1:26" ht="13.5">
      <c r="A9" s="1604"/>
      <c r="B9" s="1605" t="s">
        <v>306</v>
      </c>
      <c r="C9" s="1606"/>
      <c r="D9" s="1604"/>
      <c r="E9" s="1607">
        <f t="shared" ref="E9:O9" si="0">SUM(E11:E133)</f>
        <v>0</v>
      </c>
      <c r="F9" s="1607">
        <f t="shared" si="0"/>
        <v>0</v>
      </c>
      <c r="G9" s="1607">
        <f t="shared" si="0"/>
        <v>0</v>
      </c>
      <c r="H9" s="1607">
        <f t="shared" si="0"/>
        <v>0</v>
      </c>
      <c r="I9" s="1607">
        <f t="shared" si="0"/>
        <v>594</v>
      </c>
      <c r="J9" s="1607">
        <f t="shared" si="0"/>
        <v>20295</v>
      </c>
      <c r="K9" s="1607">
        <f t="shared" si="0"/>
        <v>0</v>
      </c>
      <c r="L9" s="1607">
        <v>0</v>
      </c>
      <c r="M9" s="1607">
        <v>0</v>
      </c>
      <c r="N9" s="1607">
        <f t="shared" si="0"/>
        <v>0</v>
      </c>
      <c r="O9" s="1607">
        <f t="shared" si="0"/>
        <v>0</v>
      </c>
      <c r="P9" s="1607">
        <v>0</v>
      </c>
      <c r="Q9" s="1607">
        <v>0</v>
      </c>
      <c r="R9" s="1608">
        <v>0</v>
      </c>
      <c r="S9" s="1608">
        <f>S10+S43+S344</f>
        <v>2260268.4981042659</v>
      </c>
      <c r="T9" s="1608">
        <f>T10+T43+T344</f>
        <v>72764467.187440753</v>
      </c>
      <c r="W9" s="1580">
        <v>6</v>
      </c>
    </row>
    <row r="10" spans="1:26" ht="13.5">
      <c r="A10" s="1604"/>
      <c r="B10" s="1605" t="s">
        <v>1195</v>
      </c>
      <c r="C10" s="1606"/>
      <c r="D10" s="1604"/>
      <c r="E10" s="1607"/>
      <c r="F10" s="1607"/>
      <c r="G10" s="1607"/>
      <c r="H10" s="1607"/>
      <c r="I10" s="1607"/>
      <c r="J10" s="1607"/>
      <c r="K10" s="1607"/>
      <c r="L10" s="1607"/>
      <c r="M10" s="1607"/>
      <c r="N10" s="1607"/>
      <c r="O10" s="1607"/>
      <c r="P10" s="1607"/>
      <c r="Q10" s="1607"/>
      <c r="R10" s="1608">
        <f>SUM(R11:R42)</f>
        <v>15011634.550000004</v>
      </c>
      <c r="S10" s="1608">
        <f>SUM(S12:S42)</f>
        <v>426871.1246445498</v>
      </c>
      <c r="T10" s="1608">
        <f>SUM(T11:T37)</f>
        <v>11059754.867535546</v>
      </c>
      <c r="U10" s="1580" t="s">
        <v>1004</v>
      </c>
      <c r="V10" s="1580" t="s">
        <v>1002</v>
      </c>
      <c r="W10" s="1580" t="s">
        <v>1006</v>
      </c>
      <c r="X10" s="1580" t="s">
        <v>1196</v>
      </c>
      <c r="Y10" s="1580" t="s">
        <v>1197</v>
      </c>
      <c r="Z10" s="1580" t="s">
        <v>1198</v>
      </c>
    </row>
    <row r="11" spans="1:26" ht="25.5" hidden="1" customHeight="1">
      <c r="A11" s="1609">
        <v>12</v>
      </c>
      <c r="B11" s="1056" t="s">
        <v>1199</v>
      </c>
      <c r="C11" s="917" t="s">
        <v>1200</v>
      </c>
      <c r="D11" s="1609" t="s">
        <v>1022</v>
      </c>
      <c r="E11" s="1581">
        <f>F11+G11</f>
        <v>0</v>
      </c>
      <c r="F11" s="1609"/>
      <c r="G11" s="1609"/>
      <c r="H11" s="1609"/>
      <c r="I11" s="1609"/>
      <c r="J11" s="1609"/>
      <c r="K11" s="1609"/>
      <c r="L11" s="1581"/>
      <c r="M11" s="1581"/>
      <c r="N11" s="1609"/>
      <c r="O11" s="1609"/>
      <c r="P11" s="1581">
        <f t="shared" ref="P11:P19" si="1">L11-O11</f>
        <v>0</v>
      </c>
      <c r="Q11" s="1610"/>
      <c r="R11" s="1611">
        <f t="shared" ref="R11:R19" si="2">P11*Q11</f>
        <v>0</v>
      </c>
      <c r="S11" s="1611"/>
      <c r="T11" s="1611"/>
    </row>
    <row r="12" spans="1:26" ht="51">
      <c r="A12" s="1609">
        <v>1</v>
      </c>
      <c r="B12" s="1056" t="s">
        <v>1201</v>
      </c>
      <c r="C12" s="917" t="s">
        <v>1202</v>
      </c>
      <c r="D12" s="1056" t="s">
        <v>1203</v>
      </c>
      <c r="E12" s="1581"/>
      <c r="F12" s="1609"/>
      <c r="G12" s="1609"/>
      <c r="H12" s="1609"/>
      <c r="I12" s="1609">
        <v>6</v>
      </c>
      <c r="J12" s="1609">
        <v>205</v>
      </c>
      <c r="K12" s="1609"/>
      <c r="L12" s="1056">
        <f>319+319+121+227+273+87</f>
        <v>1346</v>
      </c>
      <c r="M12" s="1056">
        <f>87+121+227+319+319+273</f>
        <v>1346</v>
      </c>
      <c r="N12" s="1609"/>
      <c r="O12" s="1609"/>
      <c r="P12" s="1581">
        <f t="shared" si="1"/>
        <v>1346</v>
      </c>
      <c r="Q12" s="1610">
        <f>75*1.07</f>
        <v>80.25</v>
      </c>
      <c r="R12" s="1611">
        <f t="shared" si="2"/>
        <v>108016.5</v>
      </c>
      <c r="S12" s="1611">
        <f t="shared" ref="S12:S19" si="3">R12*(I12/(I12+J12+K12))</f>
        <v>3071.5592417061612</v>
      </c>
      <c r="T12" s="1611">
        <f t="shared" ref="T12:T19" si="4">R12-S12</f>
        <v>104944.94075829384</v>
      </c>
    </row>
    <row r="13" spans="1:26" ht="38.25">
      <c r="A13" s="1609">
        <v>2</v>
      </c>
      <c r="B13" s="1579" t="s">
        <v>1204</v>
      </c>
      <c r="C13" s="917" t="s">
        <v>1205</v>
      </c>
      <c r="D13" s="1056" t="s">
        <v>1203</v>
      </c>
      <c r="E13" s="1581"/>
      <c r="F13" s="1609"/>
      <c r="G13" s="1609"/>
      <c r="H13" s="1609"/>
      <c r="I13" s="1609">
        <v>6</v>
      </c>
      <c r="J13" s="1609">
        <v>205</v>
      </c>
      <c r="K13" s="1609"/>
      <c r="L13" s="1583">
        <v>30</v>
      </c>
      <c r="M13" s="1583"/>
      <c r="N13" s="1609"/>
      <c r="O13" s="1609"/>
      <c r="P13" s="1581">
        <f t="shared" si="1"/>
        <v>30</v>
      </c>
      <c r="Q13" s="1610">
        <f>3778*1.07</f>
        <v>4042.46</v>
      </c>
      <c r="R13" s="1611">
        <f t="shared" si="2"/>
        <v>121273.8</v>
      </c>
      <c r="S13" s="1611">
        <f t="shared" si="3"/>
        <v>3448.5440758293839</v>
      </c>
      <c r="T13" s="1611">
        <f t="shared" si="4"/>
        <v>117825.25592417062</v>
      </c>
    </row>
    <row r="14" spans="1:26" ht="63.75">
      <c r="A14" s="1609">
        <v>3</v>
      </c>
      <c r="B14" s="1579" t="s">
        <v>1206</v>
      </c>
      <c r="C14" s="917" t="s">
        <v>1207</v>
      </c>
      <c r="D14" s="1056" t="s">
        <v>1203</v>
      </c>
      <c r="E14" s="1581"/>
      <c r="F14" s="1609"/>
      <c r="G14" s="1609"/>
      <c r="H14" s="1609"/>
      <c r="I14" s="1609">
        <v>6</v>
      </c>
      <c r="J14" s="1609">
        <v>205</v>
      </c>
      <c r="K14" s="1609"/>
      <c r="L14" s="1583">
        <v>30</v>
      </c>
      <c r="M14" s="1583"/>
      <c r="N14" s="1609"/>
      <c r="O14" s="1609"/>
      <c r="P14" s="1581">
        <f t="shared" si="1"/>
        <v>30</v>
      </c>
      <c r="Q14" s="1610">
        <f>5152*1.07</f>
        <v>5512.64</v>
      </c>
      <c r="R14" s="1611">
        <f t="shared" si="2"/>
        <v>165379.20000000001</v>
      </c>
      <c r="S14" s="1611">
        <f t="shared" si="3"/>
        <v>4702.7260663507113</v>
      </c>
      <c r="T14" s="1611">
        <f t="shared" si="4"/>
        <v>160676.47393364931</v>
      </c>
    </row>
    <row r="15" spans="1:26" ht="91.5" customHeight="1">
      <c r="A15" s="1609">
        <v>4</v>
      </c>
      <c r="B15" s="1579" t="s">
        <v>1208</v>
      </c>
      <c r="C15" s="917" t="s">
        <v>1209</v>
      </c>
      <c r="D15" s="1056" t="s">
        <v>1203</v>
      </c>
      <c r="E15" s="1581"/>
      <c r="F15" s="1609"/>
      <c r="G15" s="1609"/>
      <c r="H15" s="1609"/>
      <c r="I15" s="1609">
        <v>6</v>
      </c>
      <c r="J15" s="1609">
        <v>205</v>
      </c>
      <c r="K15" s="1609"/>
      <c r="L15" s="1583">
        <v>30</v>
      </c>
      <c r="M15" s="1583"/>
      <c r="N15" s="1609"/>
      <c r="O15" s="1609"/>
      <c r="P15" s="1581">
        <f t="shared" si="1"/>
        <v>30</v>
      </c>
      <c r="Q15" s="1610">
        <f>9159*1.07</f>
        <v>9800.130000000001</v>
      </c>
      <c r="R15" s="1611">
        <f t="shared" si="2"/>
        <v>294003.90000000002</v>
      </c>
      <c r="S15" s="1611">
        <f t="shared" si="3"/>
        <v>8360.3004739336502</v>
      </c>
      <c r="T15" s="1611">
        <f t="shared" si="4"/>
        <v>285643.59952606639</v>
      </c>
    </row>
    <row r="16" spans="1:26" ht="51">
      <c r="A16" s="1609">
        <v>5</v>
      </c>
      <c r="B16" s="1056" t="s">
        <v>1210</v>
      </c>
      <c r="C16" s="917" t="s">
        <v>1211</v>
      </c>
      <c r="D16" s="1609" t="s">
        <v>1022</v>
      </c>
      <c r="E16" s="1581">
        <f>F16+G16</f>
        <v>0</v>
      </c>
      <c r="F16" s="1609"/>
      <c r="G16" s="1609"/>
      <c r="H16" s="1609"/>
      <c r="I16" s="1609">
        <v>6</v>
      </c>
      <c r="J16" s="1609">
        <v>205</v>
      </c>
      <c r="K16" s="1609"/>
      <c r="L16" s="1581">
        <v>1940</v>
      </c>
      <c r="M16" s="1581">
        <v>1940</v>
      </c>
      <c r="N16" s="1609"/>
      <c r="O16" s="1609"/>
      <c r="P16" s="1581">
        <f t="shared" si="1"/>
        <v>1940</v>
      </c>
      <c r="Q16" s="1610">
        <f>135*1.07</f>
        <v>144.45000000000002</v>
      </c>
      <c r="R16" s="1611">
        <f t="shared" si="2"/>
        <v>280233.00000000006</v>
      </c>
      <c r="S16" s="1611">
        <f t="shared" si="3"/>
        <v>7968.710900473935</v>
      </c>
      <c r="T16" s="1611">
        <f t="shared" si="4"/>
        <v>272264.28909952613</v>
      </c>
    </row>
    <row r="17" spans="1:26" ht="48.75" hidden="1" customHeight="1">
      <c r="A17" s="1609">
        <v>13</v>
      </c>
      <c r="B17" s="1056" t="s">
        <v>1212</v>
      </c>
      <c r="C17" s="917" t="s">
        <v>1213</v>
      </c>
      <c r="D17" s="1609" t="s">
        <v>1022</v>
      </c>
      <c r="E17" s="1581">
        <f>F17+G17</f>
        <v>0</v>
      </c>
      <c r="F17" s="1609"/>
      <c r="G17" s="1609"/>
      <c r="H17" s="1609"/>
      <c r="I17" s="1609"/>
      <c r="J17" s="1609"/>
      <c r="K17" s="1609"/>
      <c r="L17" s="1581"/>
      <c r="M17" s="1581"/>
      <c r="N17" s="1609"/>
      <c r="O17" s="1609"/>
      <c r="P17" s="1581">
        <f t="shared" si="1"/>
        <v>0</v>
      </c>
      <c r="Q17" s="1610"/>
      <c r="R17" s="1611">
        <f t="shared" si="2"/>
        <v>0</v>
      </c>
      <c r="S17" s="1611"/>
      <c r="T17" s="1611"/>
    </row>
    <row r="18" spans="1:26" ht="25.5">
      <c r="A18" s="1609">
        <v>6</v>
      </c>
      <c r="B18" s="1056" t="s">
        <v>1214</v>
      </c>
      <c r="C18" s="917" t="s">
        <v>1215</v>
      </c>
      <c r="D18" s="1609" t="s">
        <v>1022</v>
      </c>
      <c r="E18" s="1581">
        <f>F18+G18</f>
        <v>0</v>
      </c>
      <c r="F18" s="1609"/>
      <c r="G18" s="1609"/>
      <c r="H18" s="1609"/>
      <c r="I18" s="1609">
        <v>6</v>
      </c>
      <c r="J18" s="1609">
        <v>205</v>
      </c>
      <c r="K18" s="1609"/>
      <c r="L18" s="1581">
        <f>101+63+50+16</f>
        <v>230</v>
      </c>
      <c r="M18" s="1609">
        <v>230</v>
      </c>
      <c r="N18" s="1609"/>
      <c r="O18" s="1609"/>
      <c r="P18" s="1581">
        <f t="shared" si="1"/>
        <v>230</v>
      </c>
      <c r="Q18" s="1610">
        <f>3500*1.07</f>
        <v>3745</v>
      </c>
      <c r="R18" s="1611">
        <f t="shared" si="2"/>
        <v>861350</v>
      </c>
      <c r="S18" s="1611">
        <f t="shared" si="3"/>
        <v>24493.364928909952</v>
      </c>
      <c r="T18" s="1611">
        <f t="shared" si="4"/>
        <v>836856.63507109007</v>
      </c>
      <c r="U18" s="1580">
        <v>137</v>
      </c>
      <c r="V18" s="1580">
        <v>137</v>
      </c>
      <c r="W18" s="1580">
        <v>30</v>
      </c>
      <c r="X18" s="1580">
        <v>64</v>
      </c>
      <c r="Y18" s="1580">
        <v>80</v>
      </c>
      <c r="Z18" s="1580">
        <v>86</v>
      </c>
    </row>
    <row r="19" spans="1:26" ht="38.25">
      <c r="A19" s="1609">
        <v>7</v>
      </c>
      <c r="B19" s="1056" t="s">
        <v>1216</v>
      </c>
      <c r="C19" s="917" t="s">
        <v>1217</v>
      </c>
      <c r="D19" s="1056" t="s">
        <v>1218</v>
      </c>
      <c r="E19" s="1581"/>
      <c r="F19" s="1609"/>
      <c r="G19" s="1609"/>
      <c r="H19" s="1609"/>
      <c r="I19" s="1609">
        <v>6</v>
      </c>
      <c r="J19" s="1609">
        <v>205</v>
      </c>
      <c r="K19" s="1609"/>
      <c r="L19" s="1056">
        <v>1800</v>
      </c>
      <c r="M19" s="1056">
        <v>1800</v>
      </c>
      <c r="N19" s="1609"/>
      <c r="O19" s="1609"/>
      <c r="P19" s="1581">
        <f t="shared" si="1"/>
        <v>1800</v>
      </c>
      <c r="Q19" s="1610">
        <f>280*1.07</f>
        <v>299.60000000000002</v>
      </c>
      <c r="R19" s="1611">
        <f t="shared" si="2"/>
        <v>539280</v>
      </c>
      <c r="S19" s="1611">
        <f t="shared" si="3"/>
        <v>15334.976303317535</v>
      </c>
      <c r="T19" s="1611">
        <f t="shared" si="4"/>
        <v>523945.02369668247</v>
      </c>
    </row>
    <row r="20" spans="1:26" ht="26.25" hidden="1" customHeight="1">
      <c r="A20" s="1609">
        <v>20</v>
      </c>
      <c r="B20" s="1056" t="s">
        <v>1219</v>
      </c>
      <c r="C20" s="917"/>
      <c r="D20" s="1056" t="s">
        <v>1203</v>
      </c>
      <c r="E20" s="1581"/>
      <c r="F20" s="1609"/>
      <c r="G20" s="1609"/>
      <c r="H20" s="1609"/>
      <c r="I20" s="1609"/>
      <c r="J20" s="1609"/>
      <c r="K20" s="1609"/>
      <c r="L20" s="1056"/>
      <c r="M20" s="1056"/>
      <c r="N20" s="1609"/>
      <c r="O20" s="1609"/>
      <c r="P20" s="1581"/>
      <c r="Q20" s="1610"/>
      <c r="R20" s="1611"/>
      <c r="S20" s="1611"/>
      <c r="T20" s="1611"/>
    </row>
    <row r="21" spans="1:26">
      <c r="A21" s="1609">
        <v>8</v>
      </c>
      <c r="B21" s="1056" t="s">
        <v>1220</v>
      </c>
      <c r="C21" s="1056" t="s">
        <v>1221</v>
      </c>
      <c r="D21" s="1056" t="s">
        <v>1022</v>
      </c>
      <c r="E21" s="1581"/>
      <c r="F21" s="1609"/>
      <c r="G21" s="1609"/>
      <c r="H21" s="1609"/>
      <c r="I21" s="1609"/>
      <c r="J21" s="1609"/>
      <c r="K21" s="1609"/>
      <c r="L21" s="1583"/>
      <c r="M21" s="1583"/>
      <c r="N21" s="1609"/>
      <c r="O21" s="1609"/>
      <c r="P21" s="1581"/>
      <c r="Q21" s="1610"/>
      <c r="R21" s="1611"/>
      <c r="S21" s="1611"/>
      <c r="T21" s="1611"/>
    </row>
    <row r="22" spans="1:26" ht="27.75" hidden="1" customHeight="1">
      <c r="A22" s="1609">
        <v>9</v>
      </c>
      <c r="B22" s="1056" t="s">
        <v>1222</v>
      </c>
      <c r="C22" s="917"/>
      <c r="D22" s="1056" t="s">
        <v>1203</v>
      </c>
      <c r="E22" s="1581"/>
      <c r="F22" s="1609"/>
      <c r="G22" s="1609"/>
      <c r="H22" s="1609"/>
      <c r="I22" s="1609"/>
      <c r="J22" s="1609"/>
      <c r="K22" s="1609"/>
      <c r="L22" s="1056"/>
      <c r="M22" s="1056"/>
      <c r="N22" s="1609"/>
      <c r="O22" s="1609"/>
      <c r="P22" s="1581"/>
      <c r="Q22" s="1610"/>
      <c r="R22" s="1611"/>
      <c r="S22" s="1611"/>
      <c r="T22" s="1611"/>
    </row>
    <row r="23" spans="1:26" ht="25.5">
      <c r="A23" s="1609">
        <v>9</v>
      </c>
      <c r="B23" s="1056" t="s">
        <v>1223</v>
      </c>
      <c r="C23" s="917" t="s">
        <v>1224</v>
      </c>
      <c r="D23" s="1609" t="s">
        <v>1022</v>
      </c>
      <c r="E23" s="1581">
        <f>F23+G23</f>
        <v>0</v>
      </c>
      <c r="F23" s="1609"/>
      <c r="G23" s="1609"/>
      <c r="H23" s="1609"/>
      <c r="I23" s="1609">
        <v>6</v>
      </c>
      <c r="J23" s="1609">
        <v>205</v>
      </c>
      <c r="K23" s="1609"/>
      <c r="L23" s="1581">
        <v>299</v>
      </c>
      <c r="M23" s="1609">
        <f>160+70+49+20</f>
        <v>299</v>
      </c>
      <c r="N23" s="1609"/>
      <c r="O23" s="1609"/>
      <c r="P23" s="1581">
        <f>L23-O23</f>
        <v>299</v>
      </c>
      <c r="Q23" s="1610">
        <f>1500*1.07</f>
        <v>1605</v>
      </c>
      <c r="R23" s="1611">
        <f>P23*Q23</f>
        <v>479895</v>
      </c>
      <c r="S23" s="1611">
        <f>R23*(I23/(I23+J23+K23))</f>
        <v>13646.303317535545</v>
      </c>
      <c r="T23" s="1611">
        <f>R23-S23</f>
        <v>466248.69668246445</v>
      </c>
      <c r="U23" s="1580">
        <v>72</v>
      </c>
      <c r="V23" s="1580">
        <v>72</v>
      </c>
      <c r="W23" s="1580">
        <v>20</v>
      </c>
      <c r="X23" s="1580">
        <v>49</v>
      </c>
      <c r="Y23" s="1580">
        <v>29</v>
      </c>
      <c r="Z23" s="1580">
        <v>38</v>
      </c>
    </row>
    <row r="24" spans="1:26" ht="38.25">
      <c r="A24" s="1609">
        <v>10</v>
      </c>
      <c r="B24" s="1056" t="s">
        <v>1225</v>
      </c>
      <c r="C24" s="917" t="s">
        <v>1226</v>
      </c>
      <c r="D24" s="1056" t="s">
        <v>1022</v>
      </c>
      <c r="E24" s="1581"/>
      <c r="F24" s="1609"/>
      <c r="G24" s="1609"/>
      <c r="H24" s="1609"/>
      <c r="I24" s="1609">
        <v>6</v>
      </c>
      <c r="J24" s="1609">
        <v>205</v>
      </c>
      <c r="K24" s="1609"/>
      <c r="L24" s="1056">
        <v>500</v>
      </c>
      <c r="M24" s="1056">
        <v>500</v>
      </c>
      <c r="N24" s="1609"/>
      <c r="O24" s="1609"/>
      <c r="P24" s="1581">
        <f>L24-O24</f>
        <v>500</v>
      </c>
      <c r="Q24" s="1610">
        <f>150*1.07</f>
        <v>160.5</v>
      </c>
      <c r="R24" s="1611">
        <f>P24*Q24</f>
        <v>80250</v>
      </c>
      <c r="S24" s="1611">
        <f>R24*(I24/(I24+J24+K24))</f>
        <v>2281.990521327014</v>
      </c>
      <c r="T24" s="1611">
        <f>R24-S24</f>
        <v>77968.00947867299</v>
      </c>
    </row>
    <row r="25" spans="1:26" ht="51">
      <c r="A25" s="1609">
        <v>11</v>
      </c>
      <c r="B25" s="1056" t="s">
        <v>1227</v>
      </c>
      <c r="C25" s="1614" t="s">
        <v>1228</v>
      </c>
      <c r="D25" s="1609" t="s">
        <v>1022</v>
      </c>
      <c r="E25" s="1581">
        <f>F25+G25</f>
        <v>0</v>
      </c>
      <c r="F25" s="1609"/>
      <c r="G25" s="1609"/>
      <c r="H25" s="1609"/>
      <c r="I25" s="1609">
        <v>6</v>
      </c>
      <c r="J25" s="1609">
        <v>205</v>
      </c>
      <c r="K25" s="1609"/>
      <c r="L25" s="1581">
        <v>500</v>
      </c>
      <c r="M25" s="1609">
        <v>500</v>
      </c>
      <c r="N25" s="1609"/>
      <c r="O25" s="1609"/>
      <c r="P25" s="1581">
        <f>L25-O25</f>
        <v>500</v>
      </c>
      <c r="Q25" s="1610">
        <f>100*1.07</f>
        <v>107</v>
      </c>
      <c r="R25" s="1611">
        <f>P25*Q25</f>
        <v>53500</v>
      </c>
      <c r="S25" s="1611">
        <f>R25*(I25/(I25+J25+K25))</f>
        <v>1521.3270142180095</v>
      </c>
      <c r="T25" s="1611">
        <f>R25-S25</f>
        <v>51978.672985781988</v>
      </c>
      <c r="U25" s="1580">
        <v>62</v>
      </c>
      <c r="V25" s="1580">
        <v>62</v>
      </c>
      <c r="W25" s="1580">
        <v>86</v>
      </c>
      <c r="X25" s="1580">
        <v>328</v>
      </c>
      <c r="Y25" s="1580">
        <v>52</v>
      </c>
      <c r="Z25" s="1580">
        <v>77</v>
      </c>
    </row>
    <row r="26" spans="1:26" ht="31.5" hidden="1" customHeight="1">
      <c r="A26" s="1609">
        <v>15</v>
      </c>
      <c r="B26" s="1056" t="s">
        <v>1229</v>
      </c>
      <c r="C26" s="1614"/>
      <c r="D26" s="1609" t="s">
        <v>1022</v>
      </c>
      <c r="E26" s="1581"/>
      <c r="F26" s="1609"/>
      <c r="G26" s="1609"/>
      <c r="H26" s="1609"/>
      <c r="I26" s="1609"/>
      <c r="J26" s="1609"/>
      <c r="K26" s="1609"/>
      <c r="L26" s="1581"/>
      <c r="M26" s="1581"/>
      <c r="N26" s="1609"/>
      <c r="O26" s="1609"/>
      <c r="P26" s="1581"/>
      <c r="Q26" s="1610"/>
      <c r="R26" s="1611"/>
      <c r="S26" s="1611"/>
      <c r="T26" s="1611"/>
    </row>
    <row r="27" spans="1:26" ht="35.25" customHeight="1">
      <c r="A27" s="1609">
        <v>12</v>
      </c>
      <c r="B27" s="1056" t="s">
        <v>1230</v>
      </c>
      <c r="C27" s="1614"/>
      <c r="D27" s="1056" t="s">
        <v>1203</v>
      </c>
      <c r="E27" s="1581"/>
      <c r="F27" s="1609"/>
      <c r="G27" s="1609"/>
      <c r="H27" s="1609"/>
      <c r="I27" s="1609">
        <v>6</v>
      </c>
      <c r="J27" s="1609">
        <v>205</v>
      </c>
      <c r="K27" s="1609"/>
      <c r="L27" s="1583">
        <v>120</v>
      </c>
      <c r="M27" s="1583">
        <v>120</v>
      </c>
      <c r="N27" s="1609"/>
      <c r="O27" s="1609"/>
      <c r="P27" s="1581">
        <f>L27-O27</f>
        <v>120</v>
      </c>
      <c r="Q27" s="1610">
        <f>864*1.07</f>
        <v>924.48</v>
      </c>
      <c r="R27" s="1611">
        <f>P27*Q27</f>
        <v>110937.60000000001</v>
      </c>
      <c r="S27" s="1611">
        <f>R27*(I27/(I27+J27+K27))</f>
        <v>3154.6236966824645</v>
      </c>
      <c r="T27" s="1611">
        <f>R27-S27</f>
        <v>107782.97630331754</v>
      </c>
    </row>
    <row r="28" spans="1:26">
      <c r="A28" s="1609">
        <v>13</v>
      </c>
      <c r="B28" s="1056" t="s">
        <v>1231</v>
      </c>
      <c r="C28" s="1614" t="s">
        <v>1232</v>
      </c>
      <c r="D28" s="1609" t="s">
        <v>1022</v>
      </c>
      <c r="E28" s="1581">
        <f>F28+G28</f>
        <v>0</v>
      </c>
      <c r="F28" s="1609"/>
      <c r="G28" s="1609"/>
      <c r="H28" s="1609"/>
      <c r="I28" s="1609">
        <v>6</v>
      </c>
      <c r="J28" s="1609">
        <v>205</v>
      </c>
      <c r="K28" s="1609"/>
      <c r="L28" s="1581">
        <f>71+3</f>
        <v>74</v>
      </c>
      <c r="M28" s="1609">
        <v>74</v>
      </c>
      <c r="N28" s="1609"/>
      <c r="O28" s="1609"/>
      <c r="P28" s="1581">
        <f>L28-O28</f>
        <v>74</v>
      </c>
      <c r="Q28" s="1610">
        <f>4194*1.07</f>
        <v>4487.58</v>
      </c>
      <c r="R28" s="1611">
        <f>P28*Q28</f>
        <v>332080.92</v>
      </c>
      <c r="S28" s="1611">
        <f>R28*(I28/(I28+J28+K28))</f>
        <v>9443.05933649289</v>
      </c>
      <c r="T28" s="1611">
        <f>R28-S28</f>
        <v>322637.86066350708</v>
      </c>
      <c r="U28" s="1580">
        <v>3</v>
      </c>
      <c r="V28" s="1580">
        <v>3</v>
      </c>
      <c r="W28" s="1580">
        <v>36</v>
      </c>
    </row>
    <row r="29" spans="1:26" hidden="1">
      <c r="A29" s="1609">
        <v>15</v>
      </c>
      <c r="B29" s="1056" t="s">
        <v>1233</v>
      </c>
      <c r="C29" s="1652" t="s">
        <v>1234</v>
      </c>
      <c r="D29" s="1056" t="s">
        <v>1022</v>
      </c>
      <c r="E29" s="1581"/>
      <c r="F29" s="1609"/>
      <c r="G29" s="1609"/>
      <c r="H29" s="1609"/>
      <c r="I29" s="1609"/>
      <c r="J29" s="1609"/>
      <c r="K29" s="1609"/>
      <c r="L29" s="1583"/>
      <c r="M29" s="1583"/>
      <c r="N29" s="1609"/>
      <c r="O29" s="1609"/>
      <c r="P29" s="1581"/>
      <c r="Q29" s="1610"/>
      <c r="R29" s="1611"/>
      <c r="S29" s="1611"/>
      <c r="T29" s="1611"/>
    </row>
    <row r="30" spans="1:26">
      <c r="A30" s="1609">
        <v>14</v>
      </c>
      <c r="B30" s="1056" t="s">
        <v>1235</v>
      </c>
      <c r="C30" s="1614" t="s">
        <v>1236</v>
      </c>
      <c r="D30" s="1609" t="s">
        <v>1022</v>
      </c>
      <c r="E30" s="1581">
        <f>F30+G30</f>
        <v>0</v>
      </c>
      <c r="F30" s="1609"/>
      <c r="G30" s="1609"/>
      <c r="H30" s="1609"/>
      <c r="I30" s="1609">
        <v>6</v>
      </c>
      <c r="J30" s="1609">
        <v>205</v>
      </c>
      <c r="K30" s="1609"/>
      <c r="L30" s="1581">
        <v>32</v>
      </c>
      <c r="M30" s="1581">
        <f>20+12</f>
        <v>32</v>
      </c>
      <c r="N30" s="1609"/>
      <c r="O30" s="1609"/>
      <c r="P30" s="1581">
        <f t="shared" ref="P30:P35" si="5">L30-O30</f>
        <v>32</v>
      </c>
      <c r="Q30" s="1610">
        <f>150*1.07</f>
        <v>160.5</v>
      </c>
      <c r="R30" s="1611">
        <f t="shared" ref="R30:R35" si="6">P30*Q30</f>
        <v>5136</v>
      </c>
      <c r="S30" s="1611">
        <f t="shared" ref="S30:S35" si="7">R30*(I30/(I30+J30+K30))</f>
        <v>146.04739336492889</v>
      </c>
      <c r="T30" s="1611">
        <f t="shared" ref="T30:T35" si="8">R30-S30</f>
        <v>4989.9526066350709</v>
      </c>
    </row>
    <row r="31" spans="1:26">
      <c r="A31" s="1609">
        <v>15</v>
      </c>
      <c r="B31" s="1056" t="s">
        <v>1237</v>
      </c>
      <c r="C31" s="1614" t="s">
        <v>1238</v>
      </c>
      <c r="D31" s="1609" t="s">
        <v>1119</v>
      </c>
      <c r="E31" s="1581">
        <f>F31+G31</f>
        <v>0</v>
      </c>
      <c r="F31" s="1609"/>
      <c r="G31" s="1609"/>
      <c r="H31" s="1609"/>
      <c r="I31" s="1609">
        <v>6</v>
      </c>
      <c r="J31" s="1609">
        <v>205</v>
      </c>
      <c r="K31" s="1609"/>
      <c r="L31" s="1581">
        <v>16</v>
      </c>
      <c r="M31" s="1581">
        <v>16</v>
      </c>
      <c r="N31" s="1609"/>
      <c r="O31" s="1609"/>
      <c r="P31" s="1581">
        <f t="shared" si="5"/>
        <v>16</v>
      </c>
      <c r="Q31" s="1610">
        <f>100*1.07</f>
        <v>107</v>
      </c>
      <c r="R31" s="1611">
        <f t="shared" si="6"/>
        <v>1712</v>
      </c>
      <c r="S31" s="1611">
        <f t="shared" si="7"/>
        <v>48.682464454976298</v>
      </c>
      <c r="T31" s="1611">
        <f t="shared" si="8"/>
        <v>1663.3175355450237</v>
      </c>
    </row>
    <row r="32" spans="1:26" ht="25.5">
      <c r="A32" s="1609">
        <v>16</v>
      </c>
      <c r="B32" s="1056" t="s">
        <v>1239</v>
      </c>
      <c r="C32" s="1614" t="s">
        <v>1240</v>
      </c>
      <c r="D32" s="1609" t="s">
        <v>1119</v>
      </c>
      <c r="E32" s="1581">
        <f>F32+G32</f>
        <v>0</v>
      </c>
      <c r="F32" s="1609"/>
      <c r="G32" s="1609"/>
      <c r="H32" s="1609"/>
      <c r="I32" s="1609">
        <v>6</v>
      </c>
      <c r="J32" s="1609">
        <v>205</v>
      </c>
      <c r="K32" s="1609"/>
      <c r="L32" s="1581">
        <v>1940</v>
      </c>
      <c r="M32" s="1581">
        <v>1940</v>
      </c>
      <c r="N32" s="1609"/>
      <c r="O32" s="1609"/>
      <c r="P32" s="1581">
        <f t="shared" si="5"/>
        <v>1940</v>
      </c>
      <c r="Q32" s="1610">
        <f>224*1.07</f>
        <v>239.68</v>
      </c>
      <c r="R32" s="1611">
        <f t="shared" si="6"/>
        <v>464979.20000000001</v>
      </c>
      <c r="S32" s="1611">
        <f t="shared" si="7"/>
        <v>13222.157345971564</v>
      </c>
      <c r="T32" s="1611">
        <f t="shared" si="8"/>
        <v>451757.04265402845</v>
      </c>
    </row>
    <row r="33" spans="1:26" ht="38.25">
      <c r="A33" s="1609">
        <v>17</v>
      </c>
      <c r="B33" s="1579" t="s">
        <v>1241</v>
      </c>
      <c r="C33" s="1614" t="s">
        <v>1242</v>
      </c>
      <c r="D33" s="1609" t="s">
        <v>1022</v>
      </c>
      <c r="E33" s="1581"/>
      <c r="F33" s="1609"/>
      <c r="G33" s="1609"/>
      <c r="H33" s="1609"/>
      <c r="I33" s="1609">
        <v>6</v>
      </c>
      <c r="J33" s="1609">
        <v>205</v>
      </c>
      <c r="K33" s="1609"/>
      <c r="L33" s="1581">
        <v>13077</v>
      </c>
      <c r="M33" s="1583">
        <v>13904</v>
      </c>
      <c r="N33" s="1609"/>
      <c r="O33" s="1609"/>
      <c r="P33" s="1581">
        <f t="shared" si="5"/>
        <v>13077</v>
      </c>
      <c r="Q33" s="1610">
        <f>447*1.07</f>
        <v>478.29</v>
      </c>
      <c r="R33" s="1611">
        <f t="shared" si="6"/>
        <v>6254598.3300000001</v>
      </c>
      <c r="S33" s="1611">
        <f t="shared" si="7"/>
        <v>177855.87668246444</v>
      </c>
      <c r="T33" s="1611">
        <f t="shared" si="8"/>
        <v>6076742.453317536</v>
      </c>
      <c r="U33" s="1580" t="s">
        <v>1243</v>
      </c>
    </row>
    <row r="34" spans="1:26" ht="38.25">
      <c r="A34" s="1609">
        <v>18</v>
      </c>
      <c r="B34" s="1056" t="s">
        <v>1244</v>
      </c>
      <c r="C34" s="1614" t="s">
        <v>1245</v>
      </c>
      <c r="D34" s="1609" t="s">
        <v>1119</v>
      </c>
      <c r="E34" s="1581">
        <f>F34+G34</f>
        <v>0</v>
      </c>
      <c r="F34" s="1609"/>
      <c r="G34" s="1609"/>
      <c r="H34" s="1609"/>
      <c r="I34" s="1609">
        <v>6</v>
      </c>
      <c r="J34" s="1609">
        <v>205</v>
      </c>
      <c r="K34" s="1609"/>
      <c r="L34" s="1581">
        <v>52</v>
      </c>
      <c r="M34" s="1581">
        <v>52</v>
      </c>
      <c r="N34" s="1609"/>
      <c r="O34" s="1609"/>
      <c r="P34" s="1581">
        <f t="shared" si="5"/>
        <v>52</v>
      </c>
      <c r="Q34" s="1610">
        <f>1179*1.07</f>
        <v>1261.53</v>
      </c>
      <c r="R34" s="1611">
        <f t="shared" si="6"/>
        <v>65599.56</v>
      </c>
      <c r="S34" s="1611">
        <f t="shared" si="7"/>
        <v>1865.3903317535544</v>
      </c>
      <c r="T34" s="1611">
        <f t="shared" si="8"/>
        <v>63734.169668246446</v>
      </c>
      <c r="U34" s="1580">
        <v>17</v>
      </c>
      <c r="V34" s="1580">
        <v>17</v>
      </c>
      <c r="W34" s="1580">
        <v>17</v>
      </c>
    </row>
    <row r="35" spans="1:26" ht="137.25" customHeight="1">
      <c r="A35" s="1609">
        <v>19</v>
      </c>
      <c r="B35" s="1056" t="s">
        <v>1241</v>
      </c>
      <c r="C35" s="1652" t="s">
        <v>1246</v>
      </c>
      <c r="D35" s="1056" t="s">
        <v>1022</v>
      </c>
      <c r="E35" s="1581"/>
      <c r="F35" s="1609"/>
      <c r="G35" s="1609"/>
      <c r="H35" s="1609"/>
      <c r="I35" s="1609">
        <v>6</v>
      </c>
      <c r="J35" s="1609">
        <v>205</v>
      </c>
      <c r="K35" s="1609"/>
      <c r="L35" s="1583">
        <v>66</v>
      </c>
      <c r="M35" s="1583">
        <v>66</v>
      </c>
      <c r="N35" s="1609"/>
      <c r="O35" s="1609"/>
      <c r="P35" s="1581">
        <f t="shared" si="5"/>
        <v>66</v>
      </c>
      <c r="Q35" s="1610">
        <f>16500*1.07</f>
        <v>17655</v>
      </c>
      <c r="R35" s="1611">
        <f t="shared" si="6"/>
        <v>1165230</v>
      </c>
      <c r="S35" s="1611">
        <f t="shared" si="7"/>
        <v>33134.502369668247</v>
      </c>
      <c r="T35" s="1611">
        <f t="shared" si="8"/>
        <v>1132095.4976303317</v>
      </c>
    </row>
    <row r="36" spans="1:26" ht="25.5" hidden="1">
      <c r="A36" s="1609">
        <v>20</v>
      </c>
      <c r="B36" s="1056" t="s">
        <v>1247</v>
      </c>
      <c r="C36" s="1652" t="s">
        <v>1248</v>
      </c>
      <c r="D36" s="1056" t="s">
        <v>1022</v>
      </c>
      <c r="E36" s="1581"/>
      <c r="F36" s="1609"/>
      <c r="G36" s="1609"/>
      <c r="H36" s="1609"/>
      <c r="I36" s="1609"/>
      <c r="J36" s="1609"/>
      <c r="K36" s="1609"/>
      <c r="L36" s="1583"/>
      <c r="M36" s="1583"/>
      <c r="N36" s="1609"/>
      <c r="O36" s="1609"/>
      <c r="P36" s="1581"/>
      <c r="Q36" s="1610"/>
      <c r="R36" s="1611"/>
      <c r="S36" s="1611"/>
      <c r="T36" s="1611"/>
    </row>
    <row r="37" spans="1:26" ht="51" hidden="1">
      <c r="A37" s="1609">
        <v>21</v>
      </c>
      <c r="B37" s="1056" t="s">
        <v>1249</v>
      </c>
      <c r="C37" s="1056" t="s">
        <v>1250</v>
      </c>
      <c r="D37" s="1056" t="s">
        <v>1022</v>
      </c>
      <c r="E37" s="1581"/>
      <c r="F37" s="1609"/>
      <c r="G37" s="1609"/>
      <c r="H37" s="1609"/>
      <c r="I37" s="1609"/>
      <c r="J37" s="1609"/>
      <c r="K37" s="1609"/>
      <c r="L37" s="1583"/>
      <c r="M37" s="1583"/>
      <c r="N37" s="1609"/>
      <c r="O37" s="1609"/>
      <c r="P37" s="1581"/>
      <c r="Q37" s="1610"/>
      <c r="R37" s="1611"/>
      <c r="S37" s="1611"/>
      <c r="T37" s="1611"/>
    </row>
    <row r="38" spans="1:26" ht="25.5">
      <c r="A38" s="1609">
        <v>20</v>
      </c>
      <c r="B38" s="1056" t="s">
        <v>1251</v>
      </c>
      <c r="C38" s="1614" t="s">
        <v>1252</v>
      </c>
      <c r="D38" s="1609" t="s">
        <v>1022</v>
      </c>
      <c r="E38" s="1581">
        <f>F38+G38</f>
        <v>0</v>
      </c>
      <c r="F38" s="1609"/>
      <c r="G38" s="1609"/>
      <c r="H38" s="1609"/>
      <c r="I38" s="1609">
        <v>6</v>
      </c>
      <c r="J38" s="1609">
        <v>205</v>
      </c>
      <c r="K38" s="1609"/>
      <c r="L38" s="1581">
        <v>1601</v>
      </c>
      <c r="M38" s="1609">
        <f>87+328+194+227+765</f>
        <v>1601</v>
      </c>
      <c r="N38" s="1609"/>
      <c r="O38" s="1609"/>
      <c r="P38" s="1581">
        <f>L38-O38</f>
        <v>1601</v>
      </c>
      <c r="Q38" s="1610">
        <f>234*1.07</f>
        <v>250.38000000000002</v>
      </c>
      <c r="R38" s="1611">
        <f>P38*Q38</f>
        <v>400858.38000000006</v>
      </c>
      <c r="S38" s="1611">
        <f>R38*(I38/(I38+J38+K38))</f>
        <v>11398.816492890997</v>
      </c>
      <c r="T38" s="1611">
        <f>R38-S38</f>
        <v>389459.56350710907</v>
      </c>
      <c r="U38" s="1580">
        <v>349</v>
      </c>
      <c r="V38" s="1580">
        <v>349</v>
      </c>
      <c r="W38" s="1580">
        <v>98</v>
      </c>
      <c r="X38" s="1580">
        <v>369</v>
      </c>
      <c r="Y38" s="1580">
        <v>218</v>
      </c>
      <c r="Z38" s="1580">
        <v>325</v>
      </c>
    </row>
    <row r="39" spans="1:26" ht="25.5">
      <c r="A39" s="1609">
        <v>21</v>
      </c>
      <c r="B39" s="1056" t="s">
        <v>1253</v>
      </c>
      <c r="C39" s="1614" t="s">
        <v>1254</v>
      </c>
      <c r="D39" s="1609" t="s">
        <v>1022</v>
      </c>
      <c r="E39" s="1581">
        <f>F39+G39</f>
        <v>0</v>
      </c>
      <c r="F39" s="1609"/>
      <c r="G39" s="1609"/>
      <c r="H39" s="1609"/>
      <c r="I39" s="1609">
        <v>6</v>
      </c>
      <c r="J39" s="1609">
        <v>205</v>
      </c>
      <c r="K39" s="1609"/>
      <c r="L39" s="1581">
        <v>1940</v>
      </c>
      <c r="M39" s="1581">
        <v>1940</v>
      </c>
      <c r="N39" s="1609"/>
      <c r="O39" s="1609"/>
      <c r="P39" s="1581">
        <f>L39-O39</f>
        <v>1940</v>
      </c>
      <c r="Q39" s="1610">
        <f>554*1.07</f>
        <v>592.78000000000009</v>
      </c>
      <c r="R39" s="1611">
        <f>P39*Q39</f>
        <v>1149993.2000000002</v>
      </c>
      <c r="S39" s="1611">
        <f>R39*(I39/(I39+J39+K39))</f>
        <v>32701.228436018962</v>
      </c>
      <c r="T39" s="1611">
        <f>R39-S39</f>
        <v>1117291.9715639811</v>
      </c>
    </row>
    <row r="40" spans="1:26" ht="29.25" customHeight="1">
      <c r="A40" s="1609">
        <v>22</v>
      </c>
      <c r="B40" s="1056" t="s">
        <v>1255</v>
      </c>
      <c r="C40" s="1614" t="s">
        <v>1256</v>
      </c>
      <c r="D40" s="1609" t="s">
        <v>1022</v>
      </c>
      <c r="E40" s="1581">
        <f>F40+G40</f>
        <v>0</v>
      </c>
      <c r="F40" s="1609"/>
      <c r="G40" s="1609"/>
      <c r="H40" s="1609"/>
      <c r="I40" s="1609">
        <v>6</v>
      </c>
      <c r="J40" s="1609">
        <v>205</v>
      </c>
      <c r="K40" s="1609"/>
      <c r="L40" s="1609">
        <f>87+328+194+227+765</f>
        <v>1601</v>
      </c>
      <c r="M40" s="1609">
        <f>87+328+194+227+765</f>
        <v>1601</v>
      </c>
      <c r="N40" s="1609"/>
      <c r="O40" s="1609"/>
      <c r="P40" s="1581">
        <f>L40-O40</f>
        <v>1601</v>
      </c>
      <c r="Q40" s="1610">
        <f>628*1.07</f>
        <v>671.96</v>
      </c>
      <c r="R40" s="1611">
        <f>P40*Q40</f>
        <v>1075807.96</v>
      </c>
      <c r="S40" s="1611">
        <f>R40*(I40/(I40+J40+K40))</f>
        <v>30591.695545023693</v>
      </c>
      <c r="T40" s="1611">
        <f>R40-S40</f>
        <v>1045216.2644549763</v>
      </c>
      <c r="U40" s="1580">
        <v>310</v>
      </c>
      <c r="V40" s="1580">
        <v>310</v>
      </c>
      <c r="W40" s="1580">
        <v>86</v>
      </c>
      <c r="X40" s="1580">
        <v>328</v>
      </c>
      <c r="Y40" s="1580">
        <v>194</v>
      </c>
      <c r="Z40" s="1580">
        <v>289</v>
      </c>
    </row>
    <row r="41" spans="1:26" ht="31.5" hidden="1" customHeight="1">
      <c r="A41" s="1609">
        <v>23</v>
      </c>
      <c r="B41" s="1056" t="s">
        <v>1257</v>
      </c>
      <c r="C41" s="1614"/>
      <c r="D41" s="1581"/>
      <c r="E41" s="1581"/>
      <c r="F41" s="1581"/>
      <c r="G41" s="1581"/>
      <c r="H41" s="1581"/>
      <c r="I41" s="1581"/>
      <c r="J41" s="1581"/>
      <c r="K41" s="1581"/>
      <c r="L41" s="1581"/>
      <c r="M41" s="1581"/>
      <c r="N41" s="1581"/>
      <c r="O41" s="1581"/>
      <c r="P41" s="1581"/>
      <c r="Q41" s="1581"/>
      <c r="R41" s="1581"/>
      <c r="S41" s="1581"/>
      <c r="T41" s="1581"/>
    </row>
    <row r="42" spans="1:26">
      <c r="A42" s="1609">
        <v>24</v>
      </c>
      <c r="B42" s="1056" t="s">
        <v>1258</v>
      </c>
      <c r="C42" s="1614" t="s">
        <v>1259</v>
      </c>
      <c r="D42" s="1056" t="s">
        <v>1203</v>
      </c>
      <c r="E42" s="1581"/>
      <c r="F42" s="1609"/>
      <c r="G42" s="1609"/>
      <c r="H42" s="1609"/>
      <c r="I42" s="1609">
        <v>6</v>
      </c>
      <c r="J42" s="1609">
        <v>205</v>
      </c>
      <c r="K42" s="1609"/>
      <c r="L42" s="1056">
        <v>1800</v>
      </c>
      <c r="M42" s="1056">
        <v>1800</v>
      </c>
      <c r="N42" s="1609"/>
      <c r="O42" s="1609"/>
      <c r="P42" s="1581">
        <f>L42-O42</f>
        <v>1800</v>
      </c>
      <c r="Q42" s="1610">
        <f>520*1.07</f>
        <v>556.4</v>
      </c>
      <c r="R42" s="1611">
        <f>P42*Q42</f>
        <v>1001520</v>
      </c>
      <c r="S42" s="1611">
        <f>R42*(I42/(I42+J42+K42))</f>
        <v>28479.241706161138</v>
      </c>
      <c r="T42" s="1611">
        <f>R42-S42</f>
        <v>973040.75829383882</v>
      </c>
    </row>
    <row r="43" spans="1:26">
      <c r="A43" s="1609"/>
      <c r="B43" s="1616" t="s">
        <v>1260</v>
      </c>
      <c r="C43" s="1614"/>
      <c r="D43" s="1056"/>
      <c r="E43" s="1581"/>
      <c r="F43" s="1609"/>
      <c r="G43" s="1609"/>
      <c r="H43" s="1609"/>
      <c r="I43" s="1609"/>
      <c r="J43" s="1609"/>
      <c r="K43" s="1609"/>
      <c r="L43" s="1583"/>
      <c r="M43" s="1583"/>
      <c r="N43" s="1609"/>
      <c r="O43" s="1609"/>
      <c r="P43" s="1581"/>
      <c r="Q43" s="1610"/>
      <c r="R43" s="1617">
        <f>SUM(R44:R343)</f>
        <v>33509155.800000001</v>
      </c>
      <c r="S43" s="1617">
        <f>SUM(S44:S334)</f>
        <v>911943.29289099539</v>
      </c>
      <c r="T43" s="1617">
        <f>SUM(T44:T325)</f>
        <v>30221697.90047393</v>
      </c>
    </row>
    <row r="44" spans="1:26">
      <c r="A44" s="1609">
        <v>25</v>
      </c>
      <c r="B44" s="1625" t="s">
        <v>1261</v>
      </c>
      <c r="C44" s="1621" t="s">
        <v>1262</v>
      </c>
      <c r="D44" s="1610" t="s">
        <v>1263</v>
      </c>
      <c r="E44" s="1581"/>
      <c r="F44" s="1581"/>
      <c r="G44" s="1581"/>
      <c r="H44" s="1581"/>
      <c r="I44" s="1609">
        <v>6</v>
      </c>
      <c r="J44" s="1609">
        <v>205</v>
      </c>
      <c r="K44" s="1581"/>
      <c r="L44" s="1610">
        <v>4199</v>
      </c>
      <c r="M44" s="1610">
        <v>4199</v>
      </c>
      <c r="N44" s="1581"/>
      <c r="O44" s="1581"/>
      <c r="P44" s="1581">
        <f t="shared" ref="P44:P78" si="9">L44-O44</f>
        <v>4199</v>
      </c>
      <c r="Q44" s="1556">
        <f>430*1.07</f>
        <v>460.1</v>
      </c>
      <c r="R44" s="1611">
        <f t="shared" ref="R44:R78" si="10">P44*Q44</f>
        <v>1931959.9000000001</v>
      </c>
      <c r="S44" s="1611">
        <f t="shared" ref="S44:S78" si="11">R44*(I44/(I44+J44+K44))</f>
        <v>54937.248341232225</v>
      </c>
      <c r="T44" s="1611">
        <f t="shared" ref="T44:T78" si="12">R44-S44</f>
        <v>1877022.6516587678</v>
      </c>
    </row>
    <row r="45" spans="1:26" ht="25.5">
      <c r="A45" s="1609">
        <v>26</v>
      </c>
      <c r="B45" s="1618" t="s">
        <v>1264</v>
      </c>
      <c r="C45" s="1621" t="s">
        <v>1265</v>
      </c>
      <c r="D45" s="1618" t="s">
        <v>1022</v>
      </c>
      <c r="E45" s="1581"/>
      <c r="F45" s="1581"/>
      <c r="G45" s="1581"/>
      <c r="H45" s="1581"/>
      <c r="I45" s="1609">
        <v>6</v>
      </c>
      <c r="J45" s="1609">
        <v>205</v>
      </c>
      <c r="K45" s="1581"/>
      <c r="L45" s="1622">
        <v>3</v>
      </c>
      <c r="M45" s="1622">
        <v>3</v>
      </c>
      <c r="N45" s="1581"/>
      <c r="O45" s="1581"/>
      <c r="P45" s="1581">
        <f t="shared" si="9"/>
        <v>3</v>
      </c>
      <c r="Q45" s="1556">
        <f>49000*1.07</f>
        <v>52430</v>
      </c>
      <c r="R45" s="1611">
        <f t="shared" si="10"/>
        <v>157290</v>
      </c>
      <c r="S45" s="1611">
        <f t="shared" si="11"/>
        <v>4472.7014218009481</v>
      </c>
      <c r="T45" s="1611">
        <f t="shared" si="12"/>
        <v>152817.29857819906</v>
      </c>
    </row>
    <row r="46" spans="1:26" ht="34.5" customHeight="1">
      <c r="A46" s="1609">
        <v>27</v>
      </c>
      <c r="B46" s="1618" t="s">
        <v>1266</v>
      </c>
      <c r="C46" s="1614" t="s">
        <v>1267</v>
      </c>
      <c r="D46" s="1619" t="s">
        <v>1268</v>
      </c>
      <c r="E46" s="1581"/>
      <c r="F46" s="1609"/>
      <c r="G46" s="1609"/>
      <c r="H46" s="1609"/>
      <c r="I46" s="1609">
        <v>6</v>
      </c>
      <c r="J46" s="1609">
        <v>205</v>
      </c>
      <c r="K46" s="1609"/>
      <c r="L46" s="1623">
        <v>3</v>
      </c>
      <c r="M46" s="1623">
        <v>3</v>
      </c>
      <c r="N46" s="1609"/>
      <c r="O46" s="1609"/>
      <c r="P46" s="1581">
        <f t="shared" si="9"/>
        <v>3</v>
      </c>
      <c r="Q46" s="1610">
        <f>14000*1.07</f>
        <v>14980</v>
      </c>
      <c r="R46" s="1611">
        <f t="shared" si="10"/>
        <v>44940</v>
      </c>
      <c r="S46" s="1611">
        <f t="shared" si="11"/>
        <v>1277.914691943128</v>
      </c>
      <c r="T46" s="1611">
        <f t="shared" si="12"/>
        <v>43662.08530805687</v>
      </c>
    </row>
    <row r="47" spans="1:26" ht="25.5">
      <c r="A47" s="1609">
        <v>28</v>
      </c>
      <c r="B47" s="1618" t="s">
        <v>1266</v>
      </c>
      <c r="C47" s="1614" t="s">
        <v>1269</v>
      </c>
      <c r="D47" s="1619" t="s">
        <v>1268</v>
      </c>
      <c r="E47" s="1581"/>
      <c r="F47" s="1609"/>
      <c r="G47" s="1609"/>
      <c r="H47" s="1609"/>
      <c r="I47" s="1609">
        <v>6</v>
      </c>
      <c r="J47" s="1609">
        <v>205</v>
      </c>
      <c r="K47" s="1609"/>
      <c r="L47" s="1623">
        <v>4</v>
      </c>
      <c r="M47" s="1623">
        <v>4</v>
      </c>
      <c r="N47" s="1609"/>
      <c r="O47" s="1609"/>
      <c r="P47" s="1581">
        <f t="shared" si="9"/>
        <v>4</v>
      </c>
      <c r="Q47" s="1610">
        <f>12000*1.07</f>
        <v>12840</v>
      </c>
      <c r="R47" s="1611">
        <f t="shared" si="10"/>
        <v>51360</v>
      </c>
      <c r="S47" s="1611">
        <f t="shared" si="11"/>
        <v>1460.4739336492889</v>
      </c>
      <c r="T47" s="1611">
        <f t="shared" si="12"/>
        <v>49899.526066350714</v>
      </c>
    </row>
    <row r="48" spans="1:26" ht="25.5">
      <c r="A48" s="1609">
        <v>29</v>
      </c>
      <c r="B48" s="1618" t="s">
        <v>1266</v>
      </c>
      <c r="C48" s="1614" t="s">
        <v>1270</v>
      </c>
      <c r="D48" s="1619" t="s">
        <v>1268</v>
      </c>
      <c r="E48" s="1581"/>
      <c r="F48" s="1609"/>
      <c r="G48" s="1609"/>
      <c r="H48" s="1609"/>
      <c r="I48" s="1609">
        <v>6</v>
      </c>
      <c r="J48" s="1609">
        <v>205</v>
      </c>
      <c r="K48" s="1609"/>
      <c r="L48" s="1623">
        <v>3</v>
      </c>
      <c r="M48" s="1623">
        <v>3</v>
      </c>
      <c r="N48" s="1609"/>
      <c r="O48" s="1609"/>
      <c r="P48" s="1581">
        <f t="shared" si="9"/>
        <v>3</v>
      </c>
      <c r="Q48" s="1610">
        <f>11000*1.07</f>
        <v>11770</v>
      </c>
      <c r="R48" s="1611">
        <f t="shared" si="10"/>
        <v>35310</v>
      </c>
      <c r="S48" s="1611">
        <f t="shared" si="11"/>
        <v>1004.0758293838862</v>
      </c>
      <c r="T48" s="1611">
        <f t="shared" si="12"/>
        <v>34305.924170616112</v>
      </c>
    </row>
    <row r="49" spans="1:20" ht="25.5">
      <c r="A49" s="1609">
        <v>30</v>
      </c>
      <c r="B49" s="1618" t="s">
        <v>1266</v>
      </c>
      <c r="C49" s="1614" t="s">
        <v>1271</v>
      </c>
      <c r="D49" s="1619" t="s">
        <v>1268</v>
      </c>
      <c r="E49" s="1581"/>
      <c r="F49" s="1609"/>
      <c r="G49" s="1609"/>
      <c r="H49" s="1609"/>
      <c r="I49" s="1609">
        <v>6</v>
      </c>
      <c r="J49" s="1609">
        <v>205</v>
      </c>
      <c r="K49" s="1609"/>
      <c r="L49" s="1623">
        <v>3</v>
      </c>
      <c r="M49" s="1623">
        <v>3</v>
      </c>
      <c r="N49" s="1609"/>
      <c r="O49" s="1609"/>
      <c r="P49" s="1581">
        <f t="shared" si="9"/>
        <v>3</v>
      </c>
      <c r="Q49" s="1610">
        <f>10000*1.07</f>
        <v>10700</v>
      </c>
      <c r="R49" s="1611">
        <f t="shared" si="10"/>
        <v>32100</v>
      </c>
      <c r="S49" s="1611">
        <f t="shared" si="11"/>
        <v>912.79620853080564</v>
      </c>
      <c r="T49" s="1611">
        <f t="shared" si="12"/>
        <v>31187.203791469194</v>
      </c>
    </row>
    <row r="50" spans="1:20" ht="25.5">
      <c r="A50" s="1609">
        <v>31</v>
      </c>
      <c r="B50" s="1618" t="s">
        <v>1266</v>
      </c>
      <c r="C50" s="1614" t="s">
        <v>1272</v>
      </c>
      <c r="D50" s="1619" t="s">
        <v>1268</v>
      </c>
      <c r="E50" s="1581"/>
      <c r="F50" s="1609"/>
      <c r="G50" s="1609"/>
      <c r="H50" s="1609"/>
      <c r="I50" s="1609">
        <v>6</v>
      </c>
      <c r="J50" s="1609">
        <v>205</v>
      </c>
      <c r="K50" s="1609"/>
      <c r="L50" s="1619">
        <v>15</v>
      </c>
      <c r="M50" s="1619">
        <v>15</v>
      </c>
      <c r="N50" s="1609"/>
      <c r="O50" s="1609"/>
      <c r="P50" s="1581">
        <f t="shared" si="9"/>
        <v>15</v>
      </c>
      <c r="Q50" s="1610">
        <f>1210*1.07</f>
        <v>1294.7</v>
      </c>
      <c r="R50" s="1611">
        <f t="shared" si="10"/>
        <v>19420.5</v>
      </c>
      <c r="S50" s="1611">
        <f t="shared" si="11"/>
        <v>552.24170616113747</v>
      </c>
      <c r="T50" s="1611">
        <f t="shared" si="12"/>
        <v>18868.258293838862</v>
      </c>
    </row>
    <row r="51" spans="1:20" ht="25.5">
      <c r="A51" s="1609">
        <v>32</v>
      </c>
      <c r="B51" s="1618" t="s">
        <v>1273</v>
      </c>
      <c r="C51" s="1614" t="s">
        <v>1274</v>
      </c>
      <c r="D51" s="1619" t="s">
        <v>1268</v>
      </c>
      <c r="E51" s="1581"/>
      <c r="F51" s="1609"/>
      <c r="G51" s="1609"/>
      <c r="H51" s="1609"/>
      <c r="I51" s="1609">
        <v>6</v>
      </c>
      <c r="J51" s="1609">
        <v>205</v>
      </c>
      <c r="K51" s="1609"/>
      <c r="L51" s="1619">
        <v>35</v>
      </c>
      <c r="M51" s="1619">
        <v>35</v>
      </c>
      <c r="N51" s="1609"/>
      <c r="O51" s="1609"/>
      <c r="P51" s="1581">
        <f t="shared" si="9"/>
        <v>35</v>
      </c>
      <c r="Q51" s="1610">
        <f>1210*1.07</f>
        <v>1294.7</v>
      </c>
      <c r="R51" s="1611">
        <f t="shared" si="10"/>
        <v>45314.5</v>
      </c>
      <c r="S51" s="1611">
        <f t="shared" si="11"/>
        <v>1288.5639810426539</v>
      </c>
      <c r="T51" s="1611">
        <f t="shared" si="12"/>
        <v>44025.936018957349</v>
      </c>
    </row>
    <row r="52" spans="1:20" ht="25.5">
      <c r="A52" s="1609">
        <v>33</v>
      </c>
      <c r="B52" s="1618" t="s">
        <v>1266</v>
      </c>
      <c r="C52" s="1614" t="s">
        <v>1275</v>
      </c>
      <c r="D52" s="1619" t="s">
        <v>1268</v>
      </c>
      <c r="E52" s="1581"/>
      <c r="F52" s="1609"/>
      <c r="G52" s="1609"/>
      <c r="H52" s="1609"/>
      <c r="I52" s="1609">
        <v>6</v>
      </c>
      <c r="J52" s="1609">
        <v>205</v>
      </c>
      <c r="K52" s="1609"/>
      <c r="L52" s="1619">
        <v>35</v>
      </c>
      <c r="M52" s="1619">
        <v>35</v>
      </c>
      <c r="N52" s="1609"/>
      <c r="O52" s="1609"/>
      <c r="P52" s="1581">
        <f t="shared" si="9"/>
        <v>35</v>
      </c>
      <c r="Q52" s="1610">
        <f>1360*1.07</f>
        <v>1455.2</v>
      </c>
      <c r="R52" s="1611">
        <f t="shared" si="10"/>
        <v>50932</v>
      </c>
      <c r="S52" s="1611">
        <f t="shared" si="11"/>
        <v>1448.3033175355449</v>
      </c>
      <c r="T52" s="1611">
        <f t="shared" si="12"/>
        <v>49483.696682464455</v>
      </c>
    </row>
    <row r="53" spans="1:20" ht="25.5">
      <c r="A53" s="1609">
        <v>34</v>
      </c>
      <c r="B53" s="1618" t="s">
        <v>1273</v>
      </c>
      <c r="C53" s="1614" t="s">
        <v>1276</v>
      </c>
      <c r="D53" s="1619" t="s">
        <v>1268</v>
      </c>
      <c r="E53" s="1581"/>
      <c r="F53" s="1609"/>
      <c r="G53" s="1609"/>
      <c r="H53" s="1609"/>
      <c r="I53" s="1609">
        <v>6</v>
      </c>
      <c r="J53" s="1609">
        <v>205</v>
      </c>
      <c r="K53" s="1609"/>
      <c r="L53" s="1619">
        <v>35</v>
      </c>
      <c r="M53" s="1619">
        <v>35</v>
      </c>
      <c r="N53" s="1609"/>
      <c r="O53" s="1609"/>
      <c r="P53" s="1581">
        <f t="shared" si="9"/>
        <v>35</v>
      </c>
      <c r="Q53" s="1610">
        <f>1360*1.07</f>
        <v>1455.2</v>
      </c>
      <c r="R53" s="1611">
        <f t="shared" si="10"/>
        <v>50932</v>
      </c>
      <c r="S53" s="1611">
        <f t="shared" si="11"/>
        <v>1448.3033175355449</v>
      </c>
      <c r="T53" s="1611">
        <f t="shared" si="12"/>
        <v>49483.696682464455</v>
      </c>
    </row>
    <row r="54" spans="1:20" ht="25.5">
      <c r="A54" s="1609">
        <v>35</v>
      </c>
      <c r="B54" s="1618" t="s">
        <v>1266</v>
      </c>
      <c r="C54" s="1614" t="s">
        <v>1277</v>
      </c>
      <c r="D54" s="1619" t="s">
        <v>1268</v>
      </c>
      <c r="E54" s="1581"/>
      <c r="F54" s="1609"/>
      <c r="G54" s="1609"/>
      <c r="H54" s="1609"/>
      <c r="I54" s="1609">
        <v>6</v>
      </c>
      <c r="J54" s="1609">
        <v>205</v>
      </c>
      <c r="K54" s="1609"/>
      <c r="L54" s="1619">
        <v>35</v>
      </c>
      <c r="M54" s="1619">
        <v>35</v>
      </c>
      <c r="N54" s="1609"/>
      <c r="O54" s="1609"/>
      <c r="P54" s="1581">
        <f t="shared" si="9"/>
        <v>35</v>
      </c>
      <c r="Q54" s="1610">
        <f>1590*1.07</f>
        <v>1701.3000000000002</v>
      </c>
      <c r="R54" s="1611">
        <f t="shared" si="10"/>
        <v>59545.500000000007</v>
      </c>
      <c r="S54" s="1611">
        <f t="shared" si="11"/>
        <v>1693.2369668246447</v>
      </c>
      <c r="T54" s="1611">
        <f t="shared" si="12"/>
        <v>57852.263033175361</v>
      </c>
    </row>
    <row r="55" spans="1:20" ht="25.5">
      <c r="A55" s="1609">
        <v>36</v>
      </c>
      <c r="B55" s="1618" t="s">
        <v>1266</v>
      </c>
      <c r="C55" s="1614" t="s">
        <v>1278</v>
      </c>
      <c r="D55" s="1619" t="s">
        <v>1268</v>
      </c>
      <c r="E55" s="1581"/>
      <c r="F55" s="1609"/>
      <c r="G55" s="1609"/>
      <c r="H55" s="1609"/>
      <c r="I55" s="1609">
        <v>6</v>
      </c>
      <c r="J55" s="1609">
        <v>205</v>
      </c>
      <c r="K55" s="1609"/>
      <c r="L55" s="1619">
        <v>35</v>
      </c>
      <c r="M55" s="1619">
        <v>35</v>
      </c>
      <c r="N55" s="1609"/>
      <c r="O55" s="1609"/>
      <c r="P55" s="1581">
        <f t="shared" si="9"/>
        <v>35</v>
      </c>
      <c r="Q55" s="1610">
        <f>490*1.07</f>
        <v>524.30000000000007</v>
      </c>
      <c r="R55" s="1611">
        <f t="shared" si="10"/>
        <v>18350.500000000004</v>
      </c>
      <c r="S55" s="1611">
        <f t="shared" si="11"/>
        <v>521.81516587677731</v>
      </c>
      <c r="T55" s="1611">
        <f t="shared" si="12"/>
        <v>17828.684834123225</v>
      </c>
    </row>
    <row r="56" spans="1:20" ht="25.5">
      <c r="A56" s="1609">
        <v>37</v>
      </c>
      <c r="B56" s="1618" t="s">
        <v>1266</v>
      </c>
      <c r="C56" s="1614" t="s">
        <v>1279</v>
      </c>
      <c r="D56" s="1619" t="s">
        <v>1268</v>
      </c>
      <c r="E56" s="1581"/>
      <c r="F56" s="1609"/>
      <c r="G56" s="1609"/>
      <c r="H56" s="1609"/>
      <c r="I56" s="1609">
        <v>6</v>
      </c>
      <c r="J56" s="1609">
        <v>205</v>
      </c>
      <c r="K56" s="1609"/>
      <c r="L56" s="1619">
        <v>35</v>
      </c>
      <c r="M56" s="1619">
        <v>35</v>
      </c>
      <c r="N56" s="1609"/>
      <c r="O56" s="1609"/>
      <c r="P56" s="1581">
        <f t="shared" si="9"/>
        <v>35</v>
      </c>
      <c r="Q56" s="1610">
        <f>540*1.07</f>
        <v>577.80000000000007</v>
      </c>
      <c r="R56" s="1611">
        <f t="shared" si="10"/>
        <v>20223.000000000004</v>
      </c>
      <c r="S56" s="1611">
        <f t="shared" si="11"/>
        <v>575.06161137440768</v>
      </c>
      <c r="T56" s="1611">
        <f t="shared" si="12"/>
        <v>19647.938388625596</v>
      </c>
    </row>
    <row r="57" spans="1:20" ht="25.5">
      <c r="A57" s="1609">
        <v>38</v>
      </c>
      <c r="B57" s="1618" t="s">
        <v>1266</v>
      </c>
      <c r="C57" s="1614" t="s">
        <v>1280</v>
      </c>
      <c r="D57" s="1619" t="s">
        <v>1268</v>
      </c>
      <c r="E57" s="1581"/>
      <c r="F57" s="1609"/>
      <c r="G57" s="1609"/>
      <c r="H57" s="1609"/>
      <c r="I57" s="1609">
        <v>6</v>
      </c>
      <c r="J57" s="1609">
        <v>205</v>
      </c>
      <c r="K57" s="1609"/>
      <c r="L57" s="1619">
        <v>35</v>
      </c>
      <c r="M57" s="1619">
        <v>35</v>
      </c>
      <c r="N57" s="1609"/>
      <c r="O57" s="1609"/>
      <c r="P57" s="1581">
        <f t="shared" si="9"/>
        <v>35</v>
      </c>
      <c r="Q57" s="1610">
        <f>560*1.07</f>
        <v>599.20000000000005</v>
      </c>
      <c r="R57" s="1611">
        <f t="shared" si="10"/>
        <v>20972</v>
      </c>
      <c r="S57" s="1611">
        <f t="shared" si="11"/>
        <v>596.36018957345971</v>
      </c>
      <c r="T57" s="1611">
        <f t="shared" si="12"/>
        <v>20375.639810426539</v>
      </c>
    </row>
    <row r="58" spans="1:20" ht="25.5">
      <c r="A58" s="1609">
        <v>39</v>
      </c>
      <c r="B58" s="1618" t="s">
        <v>1266</v>
      </c>
      <c r="C58" s="1614" t="s">
        <v>1281</v>
      </c>
      <c r="D58" s="1619" t="s">
        <v>1268</v>
      </c>
      <c r="E58" s="1581"/>
      <c r="F58" s="1609"/>
      <c r="G58" s="1609"/>
      <c r="H58" s="1609"/>
      <c r="I58" s="1609">
        <v>6</v>
      </c>
      <c r="J58" s="1609">
        <v>205</v>
      </c>
      <c r="K58" s="1609"/>
      <c r="L58" s="1619">
        <v>35</v>
      </c>
      <c r="M58" s="1619">
        <v>35</v>
      </c>
      <c r="N58" s="1609"/>
      <c r="O58" s="1609"/>
      <c r="P58" s="1581">
        <f t="shared" si="9"/>
        <v>35</v>
      </c>
      <c r="Q58" s="1610">
        <f>620*1.07</f>
        <v>663.40000000000009</v>
      </c>
      <c r="R58" s="1611">
        <f t="shared" si="10"/>
        <v>23219.000000000004</v>
      </c>
      <c r="S58" s="1611">
        <f t="shared" si="11"/>
        <v>660.25592417061614</v>
      </c>
      <c r="T58" s="1611">
        <f t="shared" si="12"/>
        <v>22558.744075829389</v>
      </c>
    </row>
    <row r="59" spans="1:20" ht="25.5">
      <c r="A59" s="1609">
        <v>40</v>
      </c>
      <c r="B59" s="1618" t="s">
        <v>1282</v>
      </c>
      <c r="C59" s="1614" t="s">
        <v>1283</v>
      </c>
      <c r="D59" s="1619" t="s">
        <v>1268</v>
      </c>
      <c r="E59" s="1581"/>
      <c r="F59" s="1609"/>
      <c r="G59" s="1609"/>
      <c r="H59" s="1609"/>
      <c r="I59" s="1609">
        <v>6</v>
      </c>
      <c r="J59" s="1609">
        <v>205</v>
      </c>
      <c r="K59" s="1609"/>
      <c r="L59" s="1619">
        <v>25</v>
      </c>
      <c r="M59" s="1619">
        <v>25</v>
      </c>
      <c r="N59" s="1609"/>
      <c r="O59" s="1609"/>
      <c r="P59" s="1581">
        <f t="shared" si="9"/>
        <v>25</v>
      </c>
      <c r="Q59" s="1610">
        <f>620*1.07</f>
        <v>663.40000000000009</v>
      </c>
      <c r="R59" s="1611">
        <f t="shared" si="10"/>
        <v>16585.000000000004</v>
      </c>
      <c r="S59" s="1611">
        <f t="shared" si="11"/>
        <v>471.61137440758301</v>
      </c>
      <c r="T59" s="1611">
        <f t="shared" si="12"/>
        <v>16113.388625592421</v>
      </c>
    </row>
    <row r="60" spans="1:20" ht="25.5">
      <c r="A60" s="1609">
        <v>41</v>
      </c>
      <c r="B60" s="1618" t="s">
        <v>1266</v>
      </c>
      <c r="C60" s="1614" t="s">
        <v>1284</v>
      </c>
      <c r="D60" s="1619" t="s">
        <v>1268</v>
      </c>
      <c r="E60" s="1581"/>
      <c r="F60" s="1609"/>
      <c r="G60" s="1609"/>
      <c r="H60" s="1609"/>
      <c r="I60" s="1609">
        <v>6</v>
      </c>
      <c r="J60" s="1609">
        <v>205</v>
      </c>
      <c r="K60" s="1609"/>
      <c r="L60" s="1619">
        <v>25</v>
      </c>
      <c r="M60" s="1619">
        <v>25</v>
      </c>
      <c r="N60" s="1609"/>
      <c r="O60" s="1609"/>
      <c r="P60" s="1581">
        <f t="shared" si="9"/>
        <v>25</v>
      </c>
      <c r="Q60" s="1610">
        <f>710*1.07</f>
        <v>759.7</v>
      </c>
      <c r="R60" s="1611">
        <f t="shared" si="10"/>
        <v>18992.5</v>
      </c>
      <c r="S60" s="1611">
        <f t="shared" si="11"/>
        <v>540.07109004739334</v>
      </c>
      <c r="T60" s="1611">
        <f t="shared" si="12"/>
        <v>18452.428909952607</v>
      </c>
    </row>
    <row r="61" spans="1:20">
      <c r="A61" s="1609">
        <v>42</v>
      </c>
      <c r="B61" s="1620" t="s">
        <v>1285</v>
      </c>
      <c r="C61" s="1621" t="s">
        <v>1286</v>
      </c>
      <c r="D61" s="1620" t="s">
        <v>1022</v>
      </c>
      <c r="E61" s="1581"/>
      <c r="F61" s="1581"/>
      <c r="G61" s="1581"/>
      <c r="H61" s="1581"/>
      <c r="I61" s="1609">
        <v>6</v>
      </c>
      <c r="J61" s="1609">
        <v>205</v>
      </c>
      <c r="K61" s="1581"/>
      <c r="L61" s="1620"/>
      <c r="M61" s="1620"/>
      <c r="N61" s="1581"/>
      <c r="O61" s="1581"/>
      <c r="P61" s="1581">
        <f t="shared" si="9"/>
        <v>0</v>
      </c>
      <c r="Q61" s="1581"/>
      <c r="R61" s="1611">
        <f t="shared" si="10"/>
        <v>0</v>
      </c>
      <c r="S61" s="1611">
        <f t="shared" si="11"/>
        <v>0</v>
      </c>
      <c r="T61" s="1611">
        <f t="shared" si="12"/>
        <v>0</v>
      </c>
    </row>
    <row r="62" spans="1:20">
      <c r="A62" s="1609">
        <v>43</v>
      </c>
      <c r="B62" s="1620" t="s">
        <v>1285</v>
      </c>
      <c r="C62" s="1621" t="s">
        <v>1287</v>
      </c>
      <c r="D62" s="1620" t="s">
        <v>1022</v>
      </c>
      <c r="E62" s="1581"/>
      <c r="F62" s="1581"/>
      <c r="G62" s="1581"/>
      <c r="H62" s="1581"/>
      <c r="I62" s="1609">
        <v>6</v>
      </c>
      <c r="J62" s="1609">
        <v>205</v>
      </c>
      <c r="K62" s="1581"/>
      <c r="L62" s="1620"/>
      <c r="M62" s="1620"/>
      <c r="N62" s="1581"/>
      <c r="O62" s="1581"/>
      <c r="P62" s="1581">
        <f t="shared" si="9"/>
        <v>0</v>
      </c>
      <c r="Q62" s="1581"/>
      <c r="R62" s="1611">
        <f t="shared" si="10"/>
        <v>0</v>
      </c>
      <c r="S62" s="1611">
        <f t="shared" si="11"/>
        <v>0</v>
      </c>
      <c r="T62" s="1611">
        <f t="shared" si="12"/>
        <v>0</v>
      </c>
    </row>
    <row r="63" spans="1:20">
      <c r="A63" s="1609">
        <v>44</v>
      </c>
      <c r="B63" s="1622" t="s">
        <v>1288</v>
      </c>
      <c r="C63" s="1621" t="s">
        <v>1289</v>
      </c>
      <c r="D63" s="1622" t="s">
        <v>1290</v>
      </c>
      <c r="E63" s="1581"/>
      <c r="F63" s="1581"/>
      <c r="G63" s="1581"/>
      <c r="H63" s="1581"/>
      <c r="I63" s="1609">
        <v>6</v>
      </c>
      <c r="J63" s="1609">
        <v>205</v>
      </c>
      <c r="K63" s="1581"/>
      <c r="L63" s="1610">
        <v>6000</v>
      </c>
      <c r="M63" s="1610">
        <v>6000</v>
      </c>
      <c r="N63" s="1581"/>
      <c r="O63" s="1581"/>
      <c r="P63" s="1581">
        <f t="shared" si="9"/>
        <v>6000</v>
      </c>
      <c r="Q63" s="1581">
        <f>ROUND(2.5*1.07,2)</f>
        <v>2.68</v>
      </c>
      <c r="R63" s="1611">
        <f t="shared" si="10"/>
        <v>16080.000000000002</v>
      </c>
      <c r="S63" s="1611">
        <f t="shared" si="11"/>
        <v>457.25118483412325</v>
      </c>
      <c r="T63" s="1611">
        <f t="shared" si="12"/>
        <v>15622.748815165878</v>
      </c>
    </row>
    <row r="64" spans="1:20">
      <c r="A64" s="1609">
        <v>45</v>
      </c>
      <c r="B64" s="1622" t="s">
        <v>1288</v>
      </c>
      <c r="C64" s="1621" t="s">
        <v>1291</v>
      </c>
      <c r="D64" s="1622" t="s">
        <v>1290</v>
      </c>
      <c r="E64" s="1581"/>
      <c r="F64" s="1581"/>
      <c r="G64" s="1581"/>
      <c r="H64" s="1581"/>
      <c r="I64" s="1609">
        <v>6</v>
      </c>
      <c r="J64" s="1609">
        <v>205</v>
      </c>
      <c r="K64" s="1581"/>
      <c r="L64" s="1610">
        <v>4000</v>
      </c>
      <c r="M64" s="1610">
        <v>4000</v>
      </c>
      <c r="N64" s="1581"/>
      <c r="O64" s="1581"/>
      <c r="P64" s="1581">
        <f t="shared" si="9"/>
        <v>4000</v>
      </c>
      <c r="Q64" s="1581">
        <f>6*1.07</f>
        <v>6.42</v>
      </c>
      <c r="R64" s="1611">
        <f t="shared" si="10"/>
        <v>25680</v>
      </c>
      <c r="S64" s="1611">
        <f t="shared" si="11"/>
        <v>730.23696682464447</v>
      </c>
      <c r="T64" s="1611">
        <f t="shared" si="12"/>
        <v>24949.763033175357</v>
      </c>
    </row>
    <row r="65" spans="1:21" ht="25.5">
      <c r="A65" s="1609">
        <v>46</v>
      </c>
      <c r="B65" s="1620" t="s">
        <v>1288</v>
      </c>
      <c r="C65" s="1621" t="s">
        <v>1292</v>
      </c>
      <c r="D65" s="1620" t="s">
        <v>1022</v>
      </c>
      <c r="E65" s="1581"/>
      <c r="F65" s="1581"/>
      <c r="G65" s="1581"/>
      <c r="H65" s="1581"/>
      <c r="I65" s="1609">
        <v>6</v>
      </c>
      <c r="J65" s="1609">
        <v>205</v>
      </c>
      <c r="K65" s="1581"/>
      <c r="L65" s="1620">
        <v>50</v>
      </c>
      <c r="M65" s="1620">
        <v>50</v>
      </c>
      <c r="N65" s="1581"/>
      <c r="O65" s="1581"/>
      <c r="P65" s="1581">
        <f t="shared" si="9"/>
        <v>50</v>
      </c>
      <c r="Q65" s="1581">
        <f>140*1.07</f>
        <v>149.80000000000001</v>
      </c>
      <c r="R65" s="1611">
        <f t="shared" si="10"/>
        <v>7490.0000000000009</v>
      </c>
      <c r="S65" s="1611">
        <f t="shared" si="11"/>
        <v>212.98578199052133</v>
      </c>
      <c r="T65" s="1611">
        <f t="shared" si="12"/>
        <v>7277.0142180094799</v>
      </c>
    </row>
    <row r="66" spans="1:21" ht="25.5">
      <c r="A66" s="1609">
        <v>47</v>
      </c>
      <c r="B66" s="1620" t="s">
        <v>1288</v>
      </c>
      <c r="C66" s="1621" t="s">
        <v>1293</v>
      </c>
      <c r="D66" s="1620" t="s">
        <v>1022</v>
      </c>
      <c r="E66" s="1581"/>
      <c r="F66" s="1581"/>
      <c r="G66" s="1581"/>
      <c r="H66" s="1581"/>
      <c r="I66" s="1609">
        <v>6</v>
      </c>
      <c r="J66" s="1609">
        <v>205</v>
      </c>
      <c r="K66" s="1581"/>
      <c r="L66" s="1620">
        <v>50</v>
      </c>
      <c r="M66" s="1620">
        <v>50</v>
      </c>
      <c r="N66" s="1581"/>
      <c r="O66" s="1581"/>
      <c r="P66" s="1581">
        <f t="shared" si="9"/>
        <v>50</v>
      </c>
      <c r="Q66" s="1581">
        <f>50*1.07</f>
        <v>53.5</v>
      </c>
      <c r="R66" s="1611">
        <f t="shared" si="10"/>
        <v>2675</v>
      </c>
      <c r="S66" s="1611">
        <f t="shared" si="11"/>
        <v>76.066350710900466</v>
      </c>
      <c r="T66" s="1611">
        <f t="shared" si="12"/>
        <v>2598.9336492890993</v>
      </c>
    </row>
    <row r="67" spans="1:21">
      <c r="A67" s="1609">
        <v>48</v>
      </c>
      <c r="B67" s="1618" t="s">
        <v>1294</v>
      </c>
      <c r="C67" s="1614" t="s">
        <v>1295</v>
      </c>
      <c r="D67" s="1619" t="s">
        <v>1268</v>
      </c>
      <c r="E67" s="1581"/>
      <c r="F67" s="1609"/>
      <c r="G67" s="1609"/>
      <c r="H67" s="1609"/>
      <c r="I67" s="1609">
        <v>6</v>
      </c>
      <c r="J67" s="1609">
        <v>205</v>
      </c>
      <c r="K67" s="1609"/>
      <c r="L67" s="1623">
        <v>60</v>
      </c>
      <c r="M67" s="1623">
        <v>60</v>
      </c>
      <c r="N67" s="1609"/>
      <c r="O67" s="1609"/>
      <c r="P67" s="1581">
        <f t="shared" si="9"/>
        <v>60</v>
      </c>
      <c r="Q67" s="1610">
        <f>400*1.07</f>
        <v>428</v>
      </c>
      <c r="R67" s="1611">
        <f t="shared" si="10"/>
        <v>25680</v>
      </c>
      <c r="S67" s="1611">
        <f t="shared" si="11"/>
        <v>730.23696682464447</v>
      </c>
      <c r="T67" s="1611">
        <f t="shared" si="12"/>
        <v>24949.763033175357</v>
      </c>
    </row>
    <row r="68" spans="1:21">
      <c r="A68" s="1609">
        <v>49</v>
      </c>
      <c r="B68" s="1618" t="s">
        <v>1294</v>
      </c>
      <c r="C68" s="1614" t="s">
        <v>1296</v>
      </c>
      <c r="D68" s="1619" t="s">
        <v>1268</v>
      </c>
      <c r="E68" s="1581"/>
      <c r="F68" s="1609"/>
      <c r="G68" s="1609"/>
      <c r="H68" s="1609"/>
      <c r="I68" s="1609">
        <v>6</v>
      </c>
      <c r="J68" s="1609">
        <v>205</v>
      </c>
      <c r="K68" s="1609"/>
      <c r="L68" s="1623">
        <v>60</v>
      </c>
      <c r="M68" s="1623">
        <v>60</v>
      </c>
      <c r="N68" s="1609"/>
      <c r="O68" s="1609"/>
      <c r="P68" s="1581">
        <f t="shared" si="9"/>
        <v>60</v>
      </c>
      <c r="Q68" s="1610">
        <f>100*1.07</f>
        <v>107</v>
      </c>
      <c r="R68" s="1611">
        <f t="shared" si="10"/>
        <v>6420</v>
      </c>
      <c r="S68" s="1611">
        <f t="shared" si="11"/>
        <v>182.55924170616112</v>
      </c>
      <c r="T68" s="1611">
        <f t="shared" si="12"/>
        <v>6237.4407582938393</v>
      </c>
    </row>
    <row r="69" spans="1:21">
      <c r="A69" s="1609">
        <v>50</v>
      </c>
      <c r="B69" s="1618" t="s">
        <v>1297</v>
      </c>
      <c r="C69" s="1614" t="s">
        <v>1298</v>
      </c>
      <c r="D69" s="1619" t="s">
        <v>1268</v>
      </c>
      <c r="E69" s="1581"/>
      <c r="F69" s="1609"/>
      <c r="G69" s="1609"/>
      <c r="H69" s="1609"/>
      <c r="I69" s="1609">
        <v>6</v>
      </c>
      <c r="J69" s="1609">
        <v>205</v>
      </c>
      <c r="K69" s="1609"/>
      <c r="L69" s="1623">
        <v>60</v>
      </c>
      <c r="M69" s="1623">
        <v>60</v>
      </c>
      <c r="N69" s="1609"/>
      <c r="O69" s="1609"/>
      <c r="P69" s="1581">
        <f t="shared" si="9"/>
        <v>60</v>
      </c>
      <c r="Q69" s="1610">
        <f>390*1.07</f>
        <v>417.3</v>
      </c>
      <c r="R69" s="1611">
        <f t="shared" si="10"/>
        <v>25038</v>
      </c>
      <c r="S69" s="1611">
        <f t="shared" si="11"/>
        <v>711.98104265402844</v>
      </c>
      <c r="T69" s="1611">
        <f t="shared" si="12"/>
        <v>24326.018957345972</v>
      </c>
    </row>
    <row r="70" spans="1:21" hidden="1">
      <c r="A70" s="1609">
        <v>51</v>
      </c>
      <c r="B70" s="1618" t="s">
        <v>1294</v>
      </c>
      <c r="C70" s="1614" t="s">
        <v>1299</v>
      </c>
      <c r="D70" s="1619" t="s">
        <v>1268</v>
      </c>
      <c r="E70" s="1581"/>
      <c r="F70" s="1609"/>
      <c r="G70" s="1609"/>
      <c r="H70" s="1609"/>
      <c r="I70" s="1609">
        <v>6</v>
      </c>
      <c r="J70" s="1609">
        <v>205</v>
      </c>
      <c r="K70" s="1609"/>
      <c r="L70" s="1623"/>
      <c r="M70" s="1623"/>
      <c r="N70" s="1609"/>
      <c r="O70" s="1609"/>
      <c r="P70" s="1581">
        <f t="shared" si="9"/>
        <v>0</v>
      </c>
      <c r="Q70" s="1610"/>
      <c r="R70" s="1611">
        <f t="shared" si="10"/>
        <v>0</v>
      </c>
      <c r="S70" s="1611">
        <f t="shared" si="11"/>
        <v>0</v>
      </c>
      <c r="T70" s="1611">
        <f t="shared" si="12"/>
        <v>0</v>
      </c>
    </row>
    <row r="71" spans="1:21" ht="25.5">
      <c r="A71" s="1609">
        <v>52</v>
      </c>
      <c r="B71" s="1620" t="s">
        <v>1300</v>
      </c>
      <c r="C71" s="1621" t="s">
        <v>1301</v>
      </c>
      <c r="D71" s="1620" t="s">
        <v>1022</v>
      </c>
      <c r="E71" s="1581"/>
      <c r="F71" s="1581"/>
      <c r="G71" s="1581"/>
      <c r="H71" s="1581"/>
      <c r="I71" s="1609">
        <v>6</v>
      </c>
      <c r="J71" s="1609">
        <v>205</v>
      </c>
      <c r="K71" s="1581"/>
      <c r="L71" s="1620">
        <v>5</v>
      </c>
      <c r="M71" s="1620">
        <v>5</v>
      </c>
      <c r="N71" s="1581"/>
      <c r="O71" s="1581"/>
      <c r="P71" s="1581">
        <f t="shared" si="9"/>
        <v>5</v>
      </c>
      <c r="Q71" s="1581">
        <f>190*1.07</f>
        <v>203.3</v>
      </c>
      <c r="R71" s="1611">
        <f t="shared" si="10"/>
        <v>1016.5</v>
      </c>
      <c r="S71" s="1611">
        <f t="shared" si="11"/>
        <v>28.90521327014218</v>
      </c>
      <c r="T71" s="1611">
        <f t="shared" si="12"/>
        <v>987.59478672985779</v>
      </c>
      <c r="U71" s="1580" t="s">
        <v>1302</v>
      </c>
    </row>
    <row r="72" spans="1:21" ht="38.25">
      <c r="A72" s="1609">
        <v>53</v>
      </c>
      <c r="B72" s="1618" t="s">
        <v>1303</v>
      </c>
      <c r="C72" s="1621" t="s">
        <v>1304</v>
      </c>
      <c r="D72" s="1622" t="s">
        <v>1263</v>
      </c>
      <c r="E72" s="1581"/>
      <c r="F72" s="1581"/>
      <c r="G72" s="1581"/>
      <c r="H72" s="1581"/>
      <c r="I72" s="1609">
        <v>6</v>
      </c>
      <c r="J72" s="1609">
        <v>205</v>
      </c>
      <c r="K72" s="1581"/>
      <c r="L72" s="1622">
        <f>M72</f>
        <v>54279</v>
      </c>
      <c r="M72" s="1622">
        <f>32020+14060+4199+4000</f>
        <v>54279</v>
      </c>
      <c r="N72" s="1581"/>
      <c r="O72" s="1581"/>
      <c r="P72" s="1581">
        <f t="shared" si="9"/>
        <v>54279</v>
      </c>
      <c r="Q72" s="1581">
        <f>40*1.07</f>
        <v>42.800000000000004</v>
      </c>
      <c r="R72" s="1611">
        <f t="shared" si="10"/>
        <v>2323141.2000000002</v>
      </c>
      <c r="S72" s="1611">
        <f t="shared" si="11"/>
        <v>66060.88720379147</v>
      </c>
      <c r="T72" s="1611">
        <f t="shared" si="12"/>
        <v>2257080.3127962085</v>
      </c>
    </row>
    <row r="73" spans="1:21">
      <c r="A73" s="1609">
        <v>54</v>
      </c>
      <c r="B73" s="1620" t="s">
        <v>1305</v>
      </c>
      <c r="C73" s="1621" t="s">
        <v>1306</v>
      </c>
      <c r="D73" s="1620" t="s">
        <v>1268</v>
      </c>
      <c r="E73" s="1581"/>
      <c r="F73" s="1581"/>
      <c r="G73" s="1581"/>
      <c r="H73" s="1581"/>
      <c r="I73" s="1609">
        <v>6</v>
      </c>
      <c r="J73" s="1609">
        <v>205</v>
      </c>
      <c r="K73" s="1581"/>
      <c r="L73" s="1620">
        <v>5</v>
      </c>
      <c r="M73" s="1620">
        <v>5</v>
      </c>
      <c r="N73" s="1581"/>
      <c r="O73" s="1581"/>
      <c r="P73" s="1581">
        <f t="shared" si="9"/>
        <v>5</v>
      </c>
      <c r="Q73" s="1581">
        <f>550*1.07</f>
        <v>588.5</v>
      </c>
      <c r="R73" s="1611">
        <f t="shared" si="10"/>
        <v>2942.5</v>
      </c>
      <c r="S73" s="1611">
        <f t="shared" si="11"/>
        <v>83.672985781990519</v>
      </c>
      <c r="T73" s="1611">
        <f t="shared" si="12"/>
        <v>2858.8270142180095</v>
      </c>
    </row>
    <row r="74" spans="1:21">
      <c r="A74" s="1609">
        <v>55</v>
      </c>
      <c r="B74" s="1620" t="s">
        <v>1305</v>
      </c>
      <c r="C74" s="1621" t="s">
        <v>1307</v>
      </c>
      <c r="D74" s="1620" t="s">
        <v>1268</v>
      </c>
      <c r="E74" s="1581"/>
      <c r="F74" s="1581"/>
      <c r="G74" s="1581"/>
      <c r="H74" s="1581"/>
      <c r="I74" s="1609">
        <v>6</v>
      </c>
      <c r="J74" s="1609">
        <v>205</v>
      </c>
      <c r="K74" s="1581"/>
      <c r="L74" s="1620">
        <v>5</v>
      </c>
      <c r="M74" s="1620">
        <v>5</v>
      </c>
      <c r="N74" s="1581"/>
      <c r="O74" s="1581"/>
      <c r="P74" s="1581">
        <f t="shared" si="9"/>
        <v>5</v>
      </c>
      <c r="Q74" s="1581">
        <f>650*1.07</f>
        <v>695.5</v>
      </c>
      <c r="R74" s="1611">
        <f t="shared" si="10"/>
        <v>3477.5</v>
      </c>
      <c r="S74" s="1611">
        <f t="shared" si="11"/>
        <v>98.886255924170612</v>
      </c>
      <c r="T74" s="1611">
        <f t="shared" si="12"/>
        <v>3378.6137440758293</v>
      </c>
    </row>
    <row r="75" spans="1:21">
      <c r="A75" s="1609">
        <v>56</v>
      </c>
      <c r="B75" s="1620" t="s">
        <v>1308</v>
      </c>
      <c r="C75" s="1621" t="s">
        <v>1309</v>
      </c>
      <c r="D75" s="1620" t="s">
        <v>1268</v>
      </c>
      <c r="E75" s="1581"/>
      <c r="F75" s="1581"/>
      <c r="G75" s="1581"/>
      <c r="H75" s="1581"/>
      <c r="I75" s="1609">
        <v>6</v>
      </c>
      <c r="J75" s="1609">
        <v>205</v>
      </c>
      <c r="K75" s="1581"/>
      <c r="L75" s="1620">
        <v>5</v>
      </c>
      <c r="M75" s="1620">
        <v>5</v>
      </c>
      <c r="N75" s="1581"/>
      <c r="O75" s="1581"/>
      <c r="P75" s="1581">
        <f t="shared" si="9"/>
        <v>5</v>
      </c>
      <c r="Q75" s="1581">
        <f>850*1.07</f>
        <v>909.5</v>
      </c>
      <c r="R75" s="1611">
        <f t="shared" si="10"/>
        <v>4547.5</v>
      </c>
      <c r="S75" s="1611">
        <f t="shared" si="11"/>
        <v>129.31279620853081</v>
      </c>
      <c r="T75" s="1611">
        <f t="shared" si="12"/>
        <v>4418.1872037914691</v>
      </c>
    </row>
    <row r="76" spans="1:21">
      <c r="A76" s="1609">
        <v>57</v>
      </c>
      <c r="B76" s="1618" t="s">
        <v>1310</v>
      </c>
      <c r="C76" s="1621" t="s">
        <v>1311</v>
      </c>
      <c r="D76" s="1618" t="s">
        <v>1022</v>
      </c>
      <c r="E76" s="1581"/>
      <c r="F76" s="1581"/>
      <c r="G76" s="1581"/>
      <c r="H76" s="1581"/>
      <c r="I76" s="1609">
        <v>6</v>
      </c>
      <c r="J76" s="1609">
        <v>205</v>
      </c>
      <c r="K76" s="1581"/>
      <c r="L76" s="1618">
        <v>8</v>
      </c>
      <c r="M76" s="1618">
        <v>8</v>
      </c>
      <c r="N76" s="1581"/>
      <c r="O76" s="1581"/>
      <c r="P76" s="1581">
        <f t="shared" si="9"/>
        <v>8</v>
      </c>
      <c r="Q76" s="1581">
        <f>2000*1.07</f>
        <v>2140</v>
      </c>
      <c r="R76" s="1611">
        <f t="shared" si="10"/>
        <v>17120</v>
      </c>
      <c r="S76" s="1611">
        <f t="shared" si="11"/>
        <v>486.82464454976304</v>
      </c>
      <c r="T76" s="1611">
        <f t="shared" si="12"/>
        <v>16633.175355450236</v>
      </c>
    </row>
    <row r="77" spans="1:21" hidden="1">
      <c r="A77" s="1609"/>
      <c r="B77" s="1618" t="s">
        <v>1312</v>
      </c>
      <c r="C77" s="1621" t="s">
        <v>1313</v>
      </c>
      <c r="D77" s="1618"/>
      <c r="E77" s="1581"/>
      <c r="F77" s="1581"/>
      <c r="G77" s="1581"/>
      <c r="H77" s="1581"/>
      <c r="I77" s="1609"/>
      <c r="J77" s="1609"/>
      <c r="K77" s="1581"/>
      <c r="L77" s="1618"/>
      <c r="M77" s="1618"/>
      <c r="N77" s="1581"/>
      <c r="O77" s="1581"/>
      <c r="P77" s="1581"/>
      <c r="Q77" s="1581"/>
      <c r="R77" s="1611"/>
      <c r="S77" s="1611"/>
      <c r="T77" s="1611"/>
    </row>
    <row r="78" spans="1:21">
      <c r="A78" s="1609">
        <v>58</v>
      </c>
      <c r="B78" s="1618" t="s">
        <v>1314</v>
      </c>
      <c r="C78" s="1621" t="s">
        <v>1315</v>
      </c>
      <c r="D78" s="1618" t="s">
        <v>1022</v>
      </c>
      <c r="E78" s="1581"/>
      <c r="F78" s="1581"/>
      <c r="G78" s="1581"/>
      <c r="H78" s="1581"/>
      <c r="I78" s="1609">
        <v>6</v>
      </c>
      <c r="J78" s="1609">
        <v>205</v>
      </c>
      <c r="K78" s="1581"/>
      <c r="L78" s="1622">
        <v>70</v>
      </c>
      <c r="M78" s="1622">
        <v>70</v>
      </c>
      <c r="N78" s="1581"/>
      <c r="O78" s="1581"/>
      <c r="P78" s="1581">
        <f t="shared" si="9"/>
        <v>70</v>
      </c>
      <c r="Q78" s="1581">
        <f>670*1.07</f>
        <v>716.90000000000009</v>
      </c>
      <c r="R78" s="1611">
        <f t="shared" si="10"/>
        <v>50183.000000000007</v>
      </c>
      <c r="S78" s="1611">
        <f t="shared" si="11"/>
        <v>1427.004739336493</v>
      </c>
      <c r="T78" s="1611">
        <f t="shared" si="12"/>
        <v>48755.995260663512</v>
      </c>
    </row>
    <row r="79" spans="1:21" hidden="1">
      <c r="A79" s="1609"/>
      <c r="B79" s="1618" t="s">
        <v>1314</v>
      </c>
      <c r="C79" s="1621" t="s">
        <v>1316</v>
      </c>
      <c r="D79" s="1618" t="s">
        <v>1022</v>
      </c>
      <c r="E79" s="1581"/>
      <c r="F79" s="1581"/>
      <c r="G79" s="1581"/>
      <c r="H79" s="1581"/>
      <c r="I79" s="1609"/>
      <c r="J79" s="1609"/>
      <c r="K79" s="1581"/>
      <c r="L79" s="1622"/>
      <c r="M79" s="1622"/>
      <c r="N79" s="1581"/>
      <c r="O79" s="1581"/>
      <c r="P79" s="1581"/>
      <c r="Q79" s="1581"/>
      <c r="R79" s="1611"/>
      <c r="S79" s="1611"/>
      <c r="T79" s="1611"/>
    </row>
    <row r="80" spans="1:21" ht="19.5" hidden="1" customHeight="1">
      <c r="A80" s="1609"/>
      <c r="B80" s="1618" t="s">
        <v>1314</v>
      </c>
      <c r="C80" s="1621" t="s">
        <v>1317</v>
      </c>
      <c r="D80" s="1618" t="s">
        <v>1022</v>
      </c>
      <c r="E80" s="1581"/>
      <c r="F80" s="1581"/>
      <c r="G80" s="1581"/>
      <c r="H80" s="1581"/>
      <c r="I80" s="1609"/>
      <c r="J80" s="1609"/>
      <c r="K80" s="1581"/>
      <c r="L80" s="1622"/>
      <c r="M80" s="1622"/>
      <c r="N80" s="1581"/>
      <c r="O80" s="1581"/>
      <c r="P80" s="1581"/>
      <c r="Q80" s="1581"/>
      <c r="R80" s="1611"/>
      <c r="S80" s="1611"/>
      <c r="T80" s="1611"/>
    </row>
    <row r="81" spans="1:21" ht="18.75" hidden="1" customHeight="1">
      <c r="A81" s="1581"/>
      <c r="B81" s="1056" t="s">
        <v>1318</v>
      </c>
      <c r="C81" s="1646" t="s">
        <v>1319</v>
      </c>
      <c r="D81" s="1609" t="s">
        <v>1022</v>
      </c>
      <c r="E81" s="1581"/>
      <c r="F81" s="1609"/>
      <c r="G81" s="1609"/>
      <c r="H81" s="1609"/>
      <c r="I81" s="1609"/>
      <c r="J81" s="1609"/>
      <c r="K81" s="1609"/>
      <c r="L81" s="1581"/>
      <c r="M81" s="1581"/>
      <c r="N81" s="1609"/>
      <c r="O81" s="1609"/>
      <c r="P81" s="1581"/>
      <c r="Q81" s="1610"/>
      <c r="R81" s="1611"/>
      <c r="S81" s="1611"/>
      <c r="T81" s="1611"/>
    </row>
    <row r="82" spans="1:21" hidden="1">
      <c r="A82" s="1609">
        <v>181</v>
      </c>
      <c r="B82" s="1618" t="s">
        <v>1320</v>
      </c>
      <c r="C82" s="1621" t="s">
        <v>1321</v>
      </c>
      <c r="D82" s="1618" t="s">
        <v>1022</v>
      </c>
      <c r="E82" s="1581"/>
      <c r="F82" s="1581"/>
      <c r="G82" s="1581"/>
      <c r="H82" s="1581"/>
      <c r="I82" s="1609"/>
      <c r="J82" s="1609"/>
      <c r="K82" s="1581"/>
      <c r="L82" s="1622"/>
      <c r="M82" s="1622"/>
      <c r="N82" s="1581"/>
      <c r="O82" s="1581"/>
      <c r="P82" s="1581"/>
      <c r="Q82" s="1581"/>
      <c r="R82" s="1611"/>
      <c r="S82" s="1611"/>
      <c r="T82" s="1611"/>
    </row>
    <row r="83" spans="1:21" hidden="1">
      <c r="A83" s="1609">
        <v>182</v>
      </c>
      <c r="B83" s="1618" t="s">
        <v>1322</v>
      </c>
      <c r="C83" s="1621" t="s">
        <v>1323</v>
      </c>
      <c r="D83" s="1618" t="s">
        <v>1022</v>
      </c>
      <c r="E83" s="1581"/>
      <c r="F83" s="1581"/>
      <c r="G83" s="1581"/>
      <c r="H83" s="1581"/>
      <c r="I83" s="1609"/>
      <c r="J83" s="1609"/>
      <c r="K83" s="1581"/>
      <c r="L83" s="1622"/>
      <c r="M83" s="1622"/>
      <c r="N83" s="1581"/>
      <c r="O83" s="1581"/>
      <c r="P83" s="1581"/>
      <c r="Q83" s="1581"/>
      <c r="R83" s="1611"/>
      <c r="S83" s="1611"/>
      <c r="T83" s="1611"/>
    </row>
    <row r="84" spans="1:21" hidden="1">
      <c r="A84" s="1609">
        <v>141</v>
      </c>
      <c r="B84" s="1618" t="s">
        <v>1324</v>
      </c>
      <c r="C84" s="1621"/>
      <c r="D84" s="1618" t="s">
        <v>1325</v>
      </c>
      <c r="E84" s="1581"/>
      <c r="F84" s="1581"/>
      <c r="G84" s="1581"/>
      <c r="H84" s="1581"/>
      <c r="I84" s="1609">
        <v>6</v>
      </c>
      <c r="J84" s="1609">
        <v>205</v>
      </c>
      <c r="K84" s="1581"/>
      <c r="L84" s="1618"/>
      <c r="M84" s="1618"/>
      <c r="N84" s="1581"/>
      <c r="O84" s="1581"/>
      <c r="P84" s="1581">
        <f t="shared" ref="P84:P89" si="13">L84-O84</f>
        <v>0</v>
      </c>
      <c r="Q84" s="1581"/>
      <c r="R84" s="1611">
        <f t="shared" ref="R84:R89" si="14">P84*Q84</f>
        <v>0</v>
      </c>
      <c r="S84" s="1611">
        <f t="shared" ref="S84:S89" si="15">R84*(I84/(I84+J84+K84))</f>
        <v>0</v>
      </c>
      <c r="T84" s="1611">
        <f t="shared" ref="T84:T89" si="16">R84-S84</f>
        <v>0</v>
      </c>
    </row>
    <row r="85" spans="1:21">
      <c r="A85" s="1609">
        <v>59</v>
      </c>
      <c r="B85" s="1622" t="s">
        <v>1326</v>
      </c>
      <c r="C85" s="1621" t="s">
        <v>1327</v>
      </c>
      <c r="D85" s="1622" t="s">
        <v>1022</v>
      </c>
      <c r="E85" s="1581"/>
      <c r="F85" s="1581"/>
      <c r="G85" s="1581"/>
      <c r="H85" s="1581"/>
      <c r="I85" s="1609">
        <v>6</v>
      </c>
      <c r="J85" s="1609">
        <v>205</v>
      </c>
      <c r="K85" s="1581"/>
      <c r="L85" s="1610">
        <v>5</v>
      </c>
      <c r="M85" s="1610">
        <v>5</v>
      </c>
      <c r="N85" s="1581"/>
      <c r="O85" s="1581"/>
      <c r="P85" s="1581">
        <f t="shared" si="13"/>
        <v>5</v>
      </c>
      <c r="Q85" s="1581">
        <f>2000*1.07</f>
        <v>2140</v>
      </c>
      <c r="R85" s="1611">
        <f t="shared" si="14"/>
        <v>10700</v>
      </c>
      <c r="S85" s="1611">
        <f t="shared" si="15"/>
        <v>304.26540284360186</v>
      </c>
      <c r="T85" s="1611">
        <f t="shared" si="16"/>
        <v>10395.734597156397</v>
      </c>
      <c r="U85" s="1580">
        <v>5000</v>
      </c>
    </row>
    <row r="86" spans="1:21" ht="25.5">
      <c r="A86" s="1609">
        <v>60</v>
      </c>
      <c r="B86" s="1618" t="s">
        <v>1328</v>
      </c>
      <c r="C86" s="1621" t="s">
        <v>1329</v>
      </c>
      <c r="D86" s="1622" t="s">
        <v>1263</v>
      </c>
      <c r="E86" s="1581"/>
      <c r="F86" s="1581"/>
      <c r="G86" s="1581"/>
      <c r="H86" s="1581"/>
      <c r="I86" s="1609">
        <v>6</v>
      </c>
      <c r="J86" s="1609">
        <v>205</v>
      </c>
      <c r="K86" s="1581"/>
      <c r="L86" s="1618">
        <v>95</v>
      </c>
      <c r="M86" s="1618">
        <f>46+23+20+6</f>
        <v>95</v>
      </c>
      <c r="N86" s="1581"/>
      <c r="O86" s="1581"/>
      <c r="P86" s="1581">
        <f t="shared" si="13"/>
        <v>95</v>
      </c>
      <c r="Q86" s="1581">
        <f>10000*1.07</f>
        <v>10700</v>
      </c>
      <c r="R86" s="1611">
        <f t="shared" si="14"/>
        <v>1016500</v>
      </c>
      <c r="S86" s="1611">
        <f t="shared" si="15"/>
        <v>28905.21327014218</v>
      </c>
      <c r="T86" s="1611">
        <f t="shared" si="16"/>
        <v>987594.78672985779</v>
      </c>
    </row>
    <row r="87" spans="1:21">
      <c r="A87" s="1609">
        <v>61</v>
      </c>
      <c r="B87" s="1618" t="s">
        <v>1330</v>
      </c>
      <c r="C87" s="1621" t="s">
        <v>1331</v>
      </c>
      <c r="D87" s="1618" t="s">
        <v>1022</v>
      </c>
      <c r="E87" s="1581"/>
      <c r="F87" s="1581"/>
      <c r="G87" s="1581"/>
      <c r="H87" s="1581"/>
      <c r="I87" s="1609">
        <v>6</v>
      </c>
      <c r="J87" s="1609">
        <v>205</v>
      </c>
      <c r="K87" s="1581"/>
      <c r="L87" s="1622">
        <v>210</v>
      </c>
      <c r="M87" s="1622">
        <v>210</v>
      </c>
      <c r="N87" s="1581"/>
      <c r="O87" s="1581"/>
      <c r="P87" s="1581">
        <f t="shared" si="13"/>
        <v>210</v>
      </c>
      <c r="Q87" s="1581">
        <f>400*1.07</f>
        <v>428</v>
      </c>
      <c r="R87" s="1611">
        <f t="shared" si="14"/>
        <v>89880</v>
      </c>
      <c r="S87" s="1611">
        <f t="shared" si="15"/>
        <v>2555.829383886256</v>
      </c>
      <c r="T87" s="1611">
        <f t="shared" si="16"/>
        <v>87324.170616113741</v>
      </c>
    </row>
    <row r="88" spans="1:21">
      <c r="A88" s="1609">
        <v>62</v>
      </c>
      <c r="B88" s="1618" t="s">
        <v>1330</v>
      </c>
      <c r="C88" s="1614" t="s">
        <v>1332</v>
      </c>
      <c r="D88" s="1619" t="s">
        <v>1268</v>
      </c>
      <c r="E88" s="1581"/>
      <c r="F88" s="1609"/>
      <c r="G88" s="1609"/>
      <c r="H88" s="1609"/>
      <c r="I88" s="1609">
        <v>6</v>
      </c>
      <c r="J88" s="1609">
        <v>205</v>
      </c>
      <c r="K88" s="1609"/>
      <c r="L88" s="1619"/>
      <c r="M88" s="1619"/>
      <c r="N88" s="1609"/>
      <c r="O88" s="1609"/>
      <c r="P88" s="1581">
        <f t="shared" si="13"/>
        <v>0</v>
      </c>
      <c r="Q88" s="1610"/>
      <c r="R88" s="1611">
        <f t="shared" si="14"/>
        <v>0</v>
      </c>
      <c r="S88" s="1611">
        <f t="shared" si="15"/>
        <v>0</v>
      </c>
      <c r="T88" s="1611">
        <f t="shared" si="16"/>
        <v>0</v>
      </c>
    </row>
    <row r="89" spans="1:21" ht="38.25">
      <c r="A89" s="1609">
        <v>63</v>
      </c>
      <c r="B89" s="1618" t="s">
        <v>1333</v>
      </c>
      <c r="C89" s="1621" t="s">
        <v>1334</v>
      </c>
      <c r="D89" s="1618" t="s">
        <v>1335</v>
      </c>
      <c r="E89" s="1581"/>
      <c r="F89" s="1581"/>
      <c r="G89" s="1581"/>
      <c r="H89" s="1581"/>
      <c r="I89" s="1609">
        <v>6</v>
      </c>
      <c r="J89" s="1609">
        <v>205</v>
      </c>
      <c r="K89" s="1581"/>
      <c r="L89" s="1618">
        <v>21</v>
      </c>
      <c r="M89" s="1618">
        <v>21</v>
      </c>
      <c r="N89" s="1581"/>
      <c r="O89" s="1581"/>
      <c r="P89" s="1581">
        <f t="shared" si="13"/>
        <v>21</v>
      </c>
      <c r="Q89" s="1581">
        <f>12000*1.07</f>
        <v>12840</v>
      </c>
      <c r="R89" s="1611">
        <f t="shared" si="14"/>
        <v>269640</v>
      </c>
      <c r="S89" s="1611">
        <f t="shared" si="15"/>
        <v>7667.4881516587675</v>
      </c>
      <c r="T89" s="1611">
        <f t="shared" si="16"/>
        <v>261972.51184834124</v>
      </c>
    </row>
    <row r="90" spans="1:21" ht="38.25" hidden="1">
      <c r="A90" s="1609"/>
      <c r="B90" s="1618" t="s">
        <v>1333</v>
      </c>
      <c r="C90" s="1621" t="s">
        <v>1336</v>
      </c>
      <c r="D90" s="1618" t="s">
        <v>1335</v>
      </c>
      <c r="E90" s="1581"/>
      <c r="F90" s="1581"/>
      <c r="G90" s="1581"/>
      <c r="H90" s="1581"/>
      <c r="I90" s="1609"/>
      <c r="J90" s="1609"/>
      <c r="K90" s="1581"/>
      <c r="L90" s="1618"/>
      <c r="M90" s="1618"/>
      <c r="N90" s="1581"/>
      <c r="O90" s="1581"/>
      <c r="P90" s="1581"/>
      <c r="Q90" s="1581"/>
      <c r="R90" s="1611"/>
      <c r="S90" s="1611"/>
      <c r="T90" s="1611"/>
    </row>
    <row r="91" spans="1:21" ht="25.5" hidden="1">
      <c r="A91" s="1609"/>
      <c r="B91" s="1618" t="s">
        <v>1333</v>
      </c>
      <c r="C91" s="1621" t="s">
        <v>1337</v>
      </c>
      <c r="D91" s="1618" t="s">
        <v>1338</v>
      </c>
      <c r="E91" s="1581"/>
      <c r="F91" s="1581"/>
      <c r="G91" s="1581"/>
      <c r="H91" s="1581"/>
      <c r="I91" s="1609"/>
      <c r="J91" s="1609"/>
      <c r="K91" s="1581"/>
      <c r="L91" s="1618"/>
      <c r="M91" s="1618"/>
      <c r="N91" s="1581"/>
      <c r="O91" s="1581"/>
      <c r="P91" s="1581"/>
      <c r="Q91" s="1581"/>
      <c r="R91" s="1611"/>
      <c r="S91" s="1611"/>
      <c r="T91" s="1611"/>
    </row>
    <row r="92" spans="1:21" hidden="1">
      <c r="A92" s="1609"/>
      <c r="B92" s="1618"/>
      <c r="C92" s="1621"/>
      <c r="D92" s="1618"/>
      <c r="E92" s="1581"/>
      <c r="F92" s="1581"/>
      <c r="G92" s="1581"/>
      <c r="H92" s="1581"/>
      <c r="I92" s="1609"/>
      <c r="J92" s="1609"/>
      <c r="K92" s="1581"/>
      <c r="L92" s="1618"/>
      <c r="M92" s="1618"/>
      <c r="N92" s="1581"/>
      <c r="O92" s="1581"/>
      <c r="P92" s="1581"/>
      <c r="Q92" s="1581"/>
      <c r="R92" s="1611"/>
      <c r="S92" s="1611"/>
      <c r="T92" s="1611"/>
    </row>
    <row r="93" spans="1:21">
      <c r="A93" s="1609">
        <v>64</v>
      </c>
      <c r="B93" s="1618" t="s">
        <v>1339</v>
      </c>
      <c r="C93" s="1621" t="s">
        <v>1340</v>
      </c>
      <c r="D93" s="1618" t="s">
        <v>1022</v>
      </c>
      <c r="E93" s="1581"/>
      <c r="F93" s="1581"/>
      <c r="G93" s="1581"/>
      <c r="H93" s="1581"/>
      <c r="I93" s="1609">
        <v>6</v>
      </c>
      <c r="J93" s="1609">
        <v>205</v>
      </c>
      <c r="K93" s="1581"/>
      <c r="L93" s="1622">
        <v>30</v>
      </c>
      <c r="M93" s="1622">
        <v>30</v>
      </c>
      <c r="N93" s="1581"/>
      <c r="O93" s="1581"/>
      <c r="P93" s="1581">
        <f t="shared" ref="P93:P99" si="17">L93-O93</f>
        <v>30</v>
      </c>
      <c r="Q93" s="1581">
        <f>265*1.07</f>
        <v>283.55</v>
      </c>
      <c r="R93" s="1611">
        <f t="shared" ref="R93:R99" si="18">P93*Q93</f>
        <v>8506.5</v>
      </c>
      <c r="S93" s="1611">
        <f t="shared" ref="S93:S99" si="19">R93*(I93/(I93+J93+K93))</f>
        <v>241.89099526066349</v>
      </c>
      <c r="T93" s="1611">
        <f t="shared" ref="T93:T99" si="20">R93-S93</f>
        <v>8264.6090047393373</v>
      </c>
      <c r="U93" s="1580">
        <v>1000</v>
      </c>
    </row>
    <row r="94" spans="1:21">
      <c r="A94" s="1609">
        <v>65</v>
      </c>
      <c r="B94" s="1618" t="s">
        <v>1341</v>
      </c>
      <c r="C94" s="1621" t="s">
        <v>1342</v>
      </c>
      <c r="D94" s="1618" t="s">
        <v>1022</v>
      </c>
      <c r="E94" s="1581"/>
      <c r="F94" s="1581"/>
      <c r="G94" s="1581"/>
      <c r="H94" s="1581"/>
      <c r="I94" s="1609">
        <v>6</v>
      </c>
      <c r="J94" s="1609">
        <v>205</v>
      </c>
      <c r="K94" s="1581"/>
      <c r="L94" s="1622">
        <v>100</v>
      </c>
      <c r="M94" s="1622">
        <v>100</v>
      </c>
      <c r="N94" s="1581"/>
      <c r="O94" s="1581"/>
      <c r="P94" s="1581">
        <f t="shared" si="17"/>
        <v>100</v>
      </c>
      <c r="Q94" s="1581">
        <f>450*1.07</f>
        <v>481.5</v>
      </c>
      <c r="R94" s="1611">
        <f t="shared" si="18"/>
        <v>48150</v>
      </c>
      <c r="S94" s="1611">
        <f t="shared" si="19"/>
        <v>1369.1943127962086</v>
      </c>
      <c r="T94" s="1611">
        <f t="shared" si="20"/>
        <v>46780.805687203792</v>
      </c>
    </row>
    <row r="95" spans="1:21" ht="38.25">
      <c r="A95" s="1609">
        <v>66</v>
      </c>
      <c r="B95" s="1619" t="s">
        <v>1343</v>
      </c>
      <c r="C95" s="1614" t="s">
        <v>1344</v>
      </c>
      <c r="D95" s="1619" t="s">
        <v>1268</v>
      </c>
      <c r="E95" s="1581"/>
      <c r="F95" s="1609"/>
      <c r="G95" s="1609"/>
      <c r="H95" s="1609"/>
      <c r="I95" s="1609">
        <v>6</v>
      </c>
      <c r="J95" s="1609">
        <v>205</v>
      </c>
      <c r="K95" s="1609"/>
      <c r="L95" s="1619">
        <v>50</v>
      </c>
      <c r="M95" s="1619"/>
      <c r="N95" s="1609"/>
      <c r="O95" s="1609"/>
      <c r="P95" s="1581">
        <f t="shared" si="17"/>
        <v>50</v>
      </c>
      <c r="Q95" s="1610">
        <f>400*1.07</f>
        <v>428</v>
      </c>
      <c r="R95" s="1611">
        <f t="shared" si="18"/>
        <v>21400</v>
      </c>
      <c r="S95" s="1611">
        <f t="shared" si="19"/>
        <v>608.53080568720372</v>
      </c>
      <c r="T95" s="1611">
        <f t="shared" si="20"/>
        <v>20791.469194312795</v>
      </c>
    </row>
    <row r="96" spans="1:21" ht="38.25">
      <c r="A96" s="1609">
        <v>67</v>
      </c>
      <c r="B96" s="1619" t="s">
        <v>1341</v>
      </c>
      <c r="C96" s="1614" t="s">
        <v>1345</v>
      </c>
      <c r="D96" s="1619" t="s">
        <v>1268</v>
      </c>
      <c r="E96" s="1581"/>
      <c r="F96" s="1609"/>
      <c r="G96" s="1609"/>
      <c r="H96" s="1609"/>
      <c r="I96" s="1609">
        <v>6</v>
      </c>
      <c r="J96" s="1609">
        <v>205</v>
      </c>
      <c r="K96" s="1609"/>
      <c r="L96" s="1619">
        <v>50</v>
      </c>
      <c r="M96" s="1619"/>
      <c r="N96" s="1609"/>
      <c r="O96" s="1609"/>
      <c r="P96" s="1581">
        <f t="shared" si="17"/>
        <v>50</v>
      </c>
      <c r="Q96" s="1610">
        <f>480*1.07</f>
        <v>513.6</v>
      </c>
      <c r="R96" s="1611">
        <f t="shared" si="18"/>
        <v>25680</v>
      </c>
      <c r="S96" s="1611">
        <f t="shared" si="19"/>
        <v>730.23696682464447</v>
      </c>
      <c r="T96" s="1611">
        <f t="shared" si="20"/>
        <v>24949.763033175357</v>
      </c>
    </row>
    <row r="97" spans="1:20" ht="38.25">
      <c r="A97" s="1609">
        <v>68</v>
      </c>
      <c r="B97" s="1619" t="s">
        <v>1346</v>
      </c>
      <c r="C97" s="1614" t="s">
        <v>1347</v>
      </c>
      <c r="D97" s="1619" t="s">
        <v>1268</v>
      </c>
      <c r="E97" s="1581"/>
      <c r="F97" s="1609"/>
      <c r="G97" s="1609"/>
      <c r="H97" s="1609"/>
      <c r="I97" s="1609">
        <v>6</v>
      </c>
      <c r="J97" s="1609">
        <v>205</v>
      </c>
      <c r="K97" s="1609"/>
      <c r="L97" s="1619">
        <v>50</v>
      </c>
      <c r="M97" s="1619"/>
      <c r="N97" s="1609"/>
      <c r="O97" s="1609"/>
      <c r="P97" s="1581">
        <f t="shared" si="17"/>
        <v>50</v>
      </c>
      <c r="Q97" s="1610">
        <f>380*1.07</f>
        <v>406.6</v>
      </c>
      <c r="R97" s="1611">
        <f t="shared" si="18"/>
        <v>20330</v>
      </c>
      <c r="S97" s="1611">
        <f t="shared" si="19"/>
        <v>578.10426540284357</v>
      </c>
      <c r="T97" s="1611">
        <f t="shared" si="20"/>
        <v>19751.895734597158</v>
      </c>
    </row>
    <row r="98" spans="1:20" ht="38.25">
      <c r="A98" s="1609">
        <v>69</v>
      </c>
      <c r="B98" s="1619" t="s">
        <v>1343</v>
      </c>
      <c r="C98" s="1614" t="s">
        <v>1348</v>
      </c>
      <c r="D98" s="1619" t="s">
        <v>1268</v>
      </c>
      <c r="E98" s="1581"/>
      <c r="F98" s="1609"/>
      <c r="G98" s="1609"/>
      <c r="H98" s="1609"/>
      <c r="I98" s="1609">
        <v>6</v>
      </c>
      <c r="J98" s="1609">
        <v>205</v>
      </c>
      <c r="K98" s="1609"/>
      <c r="L98" s="1619">
        <v>50</v>
      </c>
      <c r="M98" s="1619"/>
      <c r="N98" s="1609"/>
      <c r="O98" s="1609"/>
      <c r="P98" s="1581">
        <f t="shared" si="17"/>
        <v>50</v>
      </c>
      <c r="Q98" s="1610">
        <f>450*1.07</f>
        <v>481.5</v>
      </c>
      <c r="R98" s="1611">
        <f t="shared" si="18"/>
        <v>24075</v>
      </c>
      <c r="S98" s="1611">
        <f t="shared" si="19"/>
        <v>684.59715639810429</v>
      </c>
      <c r="T98" s="1611">
        <f t="shared" si="20"/>
        <v>23390.402843601896</v>
      </c>
    </row>
    <row r="99" spans="1:20">
      <c r="A99" s="1609">
        <v>70</v>
      </c>
      <c r="B99" s="1620" t="s">
        <v>1349</v>
      </c>
      <c r="C99" s="1621" t="s">
        <v>1350</v>
      </c>
      <c r="D99" s="1620" t="s">
        <v>1351</v>
      </c>
      <c r="E99" s="1581"/>
      <c r="F99" s="1581"/>
      <c r="G99" s="1581"/>
      <c r="H99" s="1581"/>
      <c r="I99" s="1609">
        <v>6</v>
      </c>
      <c r="J99" s="1609">
        <v>205</v>
      </c>
      <c r="K99" s="1581"/>
      <c r="L99" s="1620">
        <v>15</v>
      </c>
      <c r="M99" s="1620">
        <v>15</v>
      </c>
      <c r="N99" s="1581"/>
      <c r="O99" s="1581"/>
      <c r="P99" s="1581">
        <f t="shared" si="17"/>
        <v>15</v>
      </c>
      <c r="Q99" s="1581">
        <f>1600*1.07</f>
        <v>1712</v>
      </c>
      <c r="R99" s="1611">
        <f t="shared" si="18"/>
        <v>25680</v>
      </c>
      <c r="S99" s="1611">
        <f t="shared" si="19"/>
        <v>730.23696682464447</v>
      </c>
      <c r="T99" s="1611">
        <f t="shared" si="20"/>
        <v>24949.763033175357</v>
      </c>
    </row>
    <row r="100" spans="1:20">
      <c r="A100" s="1609">
        <v>71</v>
      </c>
      <c r="B100" s="1622" t="s">
        <v>1349</v>
      </c>
      <c r="C100" s="1621" t="s">
        <v>1352</v>
      </c>
      <c r="D100" s="1622" t="s">
        <v>1351</v>
      </c>
      <c r="E100" s="1581"/>
      <c r="F100" s="1581"/>
      <c r="G100" s="1581"/>
      <c r="H100" s="1581"/>
      <c r="I100" s="1609"/>
      <c r="J100" s="1609"/>
      <c r="K100" s="1581"/>
      <c r="L100" s="1610"/>
      <c r="M100" s="1610"/>
      <c r="N100" s="1581"/>
      <c r="O100" s="1581"/>
      <c r="P100" s="1581"/>
      <c r="Q100" s="1581"/>
      <c r="R100" s="1611"/>
      <c r="S100" s="1611"/>
      <c r="T100" s="1611"/>
    </row>
    <row r="101" spans="1:20" ht="25.5">
      <c r="A101" s="1609">
        <v>72</v>
      </c>
      <c r="B101" s="1618" t="s">
        <v>1353</v>
      </c>
      <c r="C101" s="1621" t="s">
        <v>1354</v>
      </c>
      <c r="D101" s="1618" t="s">
        <v>1022</v>
      </c>
      <c r="E101" s="1581"/>
      <c r="F101" s="1581"/>
      <c r="G101" s="1581"/>
      <c r="H101" s="1581"/>
      <c r="I101" s="1609">
        <v>6</v>
      </c>
      <c r="J101" s="1609">
        <v>205</v>
      </c>
      <c r="K101" s="1581"/>
      <c r="L101" s="1618">
        <v>120</v>
      </c>
      <c r="M101" s="1618">
        <v>120</v>
      </c>
      <c r="N101" s="1581"/>
      <c r="O101" s="1581"/>
      <c r="P101" s="1581">
        <f>L101-O101</f>
        <v>120</v>
      </c>
      <c r="Q101" s="1581">
        <f>1500*1.07</f>
        <v>1605</v>
      </c>
      <c r="R101" s="1611">
        <f>P101*Q101</f>
        <v>192600</v>
      </c>
      <c r="S101" s="1611">
        <f>R101*(I101/(I101+J101+K101))</f>
        <v>5476.7772511848343</v>
      </c>
      <c r="T101" s="1611">
        <f>R101-S101</f>
        <v>187123.22274881517</v>
      </c>
    </row>
    <row r="102" spans="1:20" ht="38.25">
      <c r="A102" s="1609">
        <v>73</v>
      </c>
      <c r="B102" s="1622" t="s">
        <v>1355</v>
      </c>
      <c r="C102" s="1621" t="s">
        <v>1356</v>
      </c>
      <c r="D102" s="1622" t="s">
        <v>1022</v>
      </c>
      <c r="E102" s="1581"/>
      <c r="F102" s="1581"/>
      <c r="G102" s="1581"/>
      <c r="H102" s="1581"/>
      <c r="I102" s="1609">
        <v>6</v>
      </c>
      <c r="J102" s="1609">
        <v>205</v>
      </c>
      <c r="K102" s="1581"/>
      <c r="L102" s="1610">
        <v>16</v>
      </c>
      <c r="M102" s="1610">
        <v>16</v>
      </c>
      <c r="N102" s="1581"/>
      <c r="O102" s="1581"/>
      <c r="P102" s="1581">
        <f>L102-O102</f>
        <v>16</v>
      </c>
      <c r="Q102" s="1581">
        <f>2800*1.07</f>
        <v>2996</v>
      </c>
      <c r="R102" s="1611">
        <f>P102*Q102</f>
        <v>47936</v>
      </c>
      <c r="S102" s="1611">
        <f>R102*(I102/(I102+J102+K102))</f>
        <v>1363.1090047393363</v>
      </c>
      <c r="T102" s="1611">
        <f>R102-S102</f>
        <v>46572.890995260663</v>
      </c>
    </row>
    <row r="103" spans="1:20" ht="25.5" hidden="1">
      <c r="A103" s="1581"/>
      <c r="B103" s="1056" t="s">
        <v>1357</v>
      </c>
      <c r="C103" s="1614" t="s">
        <v>1358</v>
      </c>
      <c r="D103" s="1056" t="s">
        <v>1022</v>
      </c>
      <c r="E103" s="1581"/>
      <c r="F103" s="1609"/>
      <c r="G103" s="1609"/>
      <c r="H103" s="1609"/>
      <c r="I103" s="1609"/>
      <c r="J103" s="1609"/>
      <c r="K103" s="1609"/>
      <c r="L103" s="1056"/>
      <c r="M103" s="1056"/>
      <c r="N103" s="1609"/>
      <c r="O103" s="1609"/>
      <c r="P103" s="1581"/>
      <c r="Q103" s="1610"/>
      <c r="R103" s="1611"/>
      <c r="S103" s="1611"/>
      <c r="T103" s="1611"/>
    </row>
    <row r="104" spans="1:20">
      <c r="A104" s="1609">
        <v>74</v>
      </c>
      <c r="B104" s="1620" t="s">
        <v>1359</v>
      </c>
      <c r="C104" s="1621" t="s">
        <v>1360</v>
      </c>
      <c r="D104" s="1620" t="s">
        <v>1022</v>
      </c>
      <c r="E104" s="1581"/>
      <c r="F104" s="1581"/>
      <c r="G104" s="1581"/>
      <c r="H104" s="1581"/>
      <c r="I104" s="1609">
        <v>6</v>
      </c>
      <c r="J104" s="1609">
        <v>205</v>
      </c>
      <c r="K104" s="1581"/>
      <c r="L104" s="1620">
        <v>5</v>
      </c>
      <c r="M104" s="1620">
        <v>5</v>
      </c>
      <c r="N104" s="1581"/>
      <c r="O104" s="1581"/>
      <c r="P104" s="1581">
        <f t="shared" ref="P104:P111" si="21">L104-O104</f>
        <v>5</v>
      </c>
      <c r="Q104" s="1581">
        <f>100*1.07</f>
        <v>107</v>
      </c>
      <c r="R104" s="1611">
        <f t="shared" ref="R104:R111" si="22">P104*Q104</f>
        <v>535</v>
      </c>
      <c r="S104" s="1611">
        <f t="shared" ref="S104:S111" si="23">R104*(I104/(I104+J104+K104))</f>
        <v>15.213270142180095</v>
      </c>
      <c r="T104" s="1611">
        <f t="shared" ref="T104:T111" si="24">R104-S104</f>
        <v>519.78672985781986</v>
      </c>
    </row>
    <row r="105" spans="1:20">
      <c r="A105" s="1609">
        <v>75</v>
      </c>
      <c r="B105" s="1620" t="s">
        <v>1361</v>
      </c>
      <c r="C105" s="1621" t="s">
        <v>1362</v>
      </c>
      <c r="D105" s="1620" t="s">
        <v>1022</v>
      </c>
      <c r="E105" s="1581"/>
      <c r="F105" s="1581"/>
      <c r="G105" s="1581"/>
      <c r="H105" s="1581"/>
      <c r="I105" s="1609">
        <v>6</v>
      </c>
      <c r="J105" s="1609">
        <v>205</v>
      </c>
      <c r="K105" s="1581"/>
      <c r="L105" s="1620">
        <v>5</v>
      </c>
      <c r="M105" s="1620">
        <v>5</v>
      </c>
      <c r="N105" s="1581"/>
      <c r="O105" s="1581"/>
      <c r="P105" s="1581">
        <f t="shared" si="21"/>
        <v>5</v>
      </c>
      <c r="Q105" s="1581">
        <f>1580*1.07</f>
        <v>1690.6000000000001</v>
      </c>
      <c r="R105" s="1611">
        <f t="shared" si="22"/>
        <v>8453</v>
      </c>
      <c r="S105" s="1611">
        <f t="shared" si="23"/>
        <v>240.36966824644549</v>
      </c>
      <c r="T105" s="1611">
        <f t="shared" si="24"/>
        <v>8212.6303317535549</v>
      </c>
    </row>
    <row r="106" spans="1:20">
      <c r="A106" s="1609">
        <v>76</v>
      </c>
      <c r="B106" s="1618" t="s">
        <v>1359</v>
      </c>
      <c r="C106" s="1621" t="s">
        <v>1363</v>
      </c>
      <c r="D106" s="1618" t="s">
        <v>1268</v>
      </c>
      <c r="E106" s="1581"/>
      <c r="F106" s="1581"/>
      <c r="G106" s="1581"/>
      <c r="H106" s="1581"/>
      <c r="I106" s="1609">
        <v>6</v>
      </c>
      <c r="J106" s="1609">
        <v>205</v>
      </c>
      <c r="K106" s="1581"/>
      <c r="L106" s="1618">
        <v>125</v>
      </c>
      <c r="M106" s="1618">
        <v>125</v>
      </c>
      <c r="N106" s="1581"/>
      <c r="O106" s="1581"/>
      <c r="P106" s="1581">
        <f t="shared" si="21"/>
        <v>125</v>
      </c>
      <c r="Q106" s="1581">
        <f>1900*1.07</f>
        <v>2033.0000000000002</v>
      </c>
      <c r="R106" s="1611">
        <f t="shared" si="22"/>
        <v>254125.00000000003</v>
      </c>
      <c r="S106" s="1611">
        <f t="shared" si="23"/>
        <v>7226.3033175355458</v>
      </c>
      <c r="T106" s="1611">
        <f t="shared" si="24"/>
        <v>246898.69668246448</v>
      </c>
    </row>
    <row r="107" spans="1:20">
      <c r="A107" s="1609">
        <v>77</v>
      </c>
      <c r="B107" s="1618" t="s">
        <v>1364</v>
      </c>
      <c r="C107" s="1621" t="s">
        <v>1365</v>
      </c>
      <c r="D107" s="1618" t="s">
        <v>1022</v>
      </c>
      <c r="E107" s="1581"/>
      <c r="F107" s="1581"/>
      <c r="G107" s="1581"/>
      <c r="H107" s="1581"/>
      <c r="I107" s="1609">
        <v>6</v>
      </c>
      <c r="J107" s="1609">
        <v>205</v>
      </c>
      <c r="K107" s="1581"/>
      <c r="L107" s="1622">
        <v>100</v>
      </c>
      <c r="M107" s="1622">
        <v>100</v>
      </c>
      <c r="N107" s="1581"/>
      <c r="O107" s="1581"/>
      <c r="P107" s="1581">
        <f t="shared" si="21"/>
        <v>100</v>
      </c>
      <c r="Q107" s="1581">
        <f>1800*1.07</f>
        <v>1926</v>
      </c>
      <c r="R107" s="1611">
        <f t="shared" si="22"/>
        <v>192600</v>
      </c>
      <c r="S107" s="1611">
        <f t="shared" si="23"/>
        <v>5476.7772511848343</v>
      </c>
      <c r="T107" s="1611">
        <f t="shared" si="24"/>
        <v>187123.22274881517</v>
      </c>
    </row>
    <row r="108" spans="1:20">
      <c r="A108" s="1609">
        <v>78</v>
      </c>
      <c r="B108" s="1618" t="s">
        <v>1366</v>
      </c>
      <c r="C108" s="1621" t="s">
        <v>1367</v>
      </c>
      <c r="D108" s="1618" t="s">
        <v>1022</v>
      </c>
      <c r="E108" s="1581"/>
      <c r="F108" s="1581"/>
      <c r="G108" s="1581"/>
      <c r="H108" s="1581"/>
      <c r="I108" s="1609">
        <v>6</v>
      </c>
      <c r="J108" s="1609">
        <v>205</v>
      </c>
      <c r="K108" s="1581"/>
      <c r="L108" s="1622">
        <v>150</v>
      </c>
      <c r="M108" s="1622">
        <v>150</v>
      </c>
      <c r="N108" s="1581"/>
      <c r="O108" s="1581"/>
      <c r="P108" s="1581">
        <f t="shared" si="21"/>
        <v>150</v>
      </c>
      <c r="Q108" s="1581">
        <f>1800*1.07</f>
        <v>1926</v>
      </c>
      <c r="R108" s="1611">
        <f t="shared" si="22"/>
        <v>288900</v>
      </c>
      <c r="S108" s="1611">
        <f t="shared" si="23"/>
        <v>8215.1658767772515</v>
      </c>
      <c r="T108" s="1611">
        <f t="shared" si="24"/>
        <v>280684.83412322274</v>
      </c>
    </row>
    <row r="109" spans="1:20">
      <c r="A109" s="1609">
        <v>79</v>
      </c>
      <c r="B109" s="1619" t="s">
        <v>1368</v>
      </c>
      <c r="C109" s="1614" t="s">
        <v>1369</v>
      </c>
      <c r="D109" s="1619" t="s">
        <v>1268</v>
      </c>
      <c r="E109" s="1581"/>
      <c r="F109" s="1609"/>
      <c r="G109" s="1609"/>
      <c r="H109" s="1609"/>
      <c r="I109" s="1609">
        <v>6</v>
      </c>
      <c r="J109" s="1609">
        <v>205</v>
      </c>
      <c r="K109" s="1609"/>
      <c r="L109" s="1619">
        <v>90</v>
      </c>
      <c r="M109" s="1619"/>
      <c r="N109" s="1609"/>
      <c r="O109" s="1609"/>
      <c r="P109" s="1581">
        <f t="shared" si="21"/>
        <v>90</v>
      </c>
      <c r="Q109" s="1610">
        <f>1200*1.07</f>
        <v>1284</v>
      </c>
      <c r="R109" s="1611">
        <f t="shared" si="22"/>
        <v>115560</v>
      </c>
      <c r="S109" s="1611">
        <f t="shared" si="23"/>
        <v>3286.0663507109002</v>
      </c>
      <c r="T109" s="1611">
        <f t="shared" si="24"/>
        <v>112273.9336492891</v>
      </c>
    </row>
    <row r="110" spans="1:20">
      <c r="A110" s="1609">
        <v>80</v>
      </c>
      <c r="B110" s="1619" t="s">
        <v>1368</v>
      </c>
      <c r="C110" s="1614" t="s">
        <v>1370</v>
      </c>
      <c r="D110" s="1619" t="s">
        <v>1268</v>
      </c>
      <c r="E110" s="1581"/>
      <c r="F110" s="1609"/>
      <c r="G110" s="1609"/>
      <c r="H110" s="1609"/>
      <c r="I110" s="1609">
        <v>6</v>
      </c>
      <c r="J110" s="1609">
        <v>205</v>
      </c>
      <c r="K110" s="1609"/>
      <c r="L110" s="1619">
        <v>90</v>
      </c>
      <c r="M110" s="1619"/>
      <c r="N110" s="1609"/>
      <c r="O110" s="1609"/>
      <c r="P110" s="1581">
        <f t="shared" si="21"/>
        <v>90</v>
      </c>
      <c r="Q110" s="1610">
        <f>1200*1.07</f>
        <v>1284</v>
      </c>
      <c r="R110" s="1611">
        <f t="shared" si="22"/>
        <v>115560</v>
      </c>
      <c r="S110" s="1611">
        <f t="shared" si="23"/>
        <v>3286.0663507109002</v>
      </c>
      <c r="T110" s="1611">
        <f t="shared" si="24"/>
        <v>112273.9336492891</v>
      </c>
    </row>
    <row r="111" spans="1:20">
      <c r="A111" s="1609">
        <v>81</v>
      </c>
      <c r="B111" s="1619" t="s">
        <v>1371</v>
      </c>
      <c r="C111" s="1621" t="s">
        <v>1372</v>
      </c>
      <c r="D111" s="1619" t="s">
        <v>1268</v>
      </c>
      <c r="E111" s="1581"/>
      <c r="F111" s="1581"/>
      <c r="G111" s="1581"/>
      <c r="H111" s="1609"/>
      <c r="I111" s="1609">
        <v>6</v>
      </c>
      <c r="J111" s="1609">
        <v>205</v>
      </c>
      <c r="K111" s="1609"/>
      <c r="L111" s="1619">
        <v>2600</v>
      </c>
      <c r="M111" s="1619"/>
      <c r="N111" s="1609"/>
      <c r="O111" s="1609"/>
      <c r="P111" s="1581">
        <f t="shared" si="21"/>
        <v>2600</v>
      </c>
      <c r="Q111" s="1609">
        <f>50*1.07</f>
        <v>53.5</v>
      </c>
      <c r="R111" s="1611">
        <f t="shared" si="22"/>
        <v>139100</v>
      </c>
      <c r="S111" s="1611">
        <f t="shared" si="23"/>
        <v>3955.4502369668244</v>
      </c>
      <c r="T111" s="1611">
        <f t="shared" si="24"/>
        <v>135144.54976303317</v>
      </c>
    </row>
    <row r="112" spans="1:20" ht="25.5" hidden="1">
      <c r="A112" s="1609"/>
      <c r="B112" s="1618" t="s">
        <v>1373</v>
      </c>
      <c r="C112" s="1621" t="s">
        <v>1374</v>
      </c>
      <c r="D112" s="1618" t="s">
        <v>1022</v>
      </c>
      <c r="E112" s="1581"/>
      <c r="F112" s="1581"/>
      <c r="G112" s="1581"/>
      <c r="H112" s="1581"/>
      <c r="I112" s="1609"/>
      <c r="J112" s="1609"/>
      <c r="K112" s="1581"/>
      <c r="L112" s="1622"/>
      <c r="M112" s="1622"/>
      <c r="N112" s="1581"/>
      <c r="O112" s="1581"/>
      <c r="P112" s="1581"/>
      <c r="Q112" s="1581"/>
      <c r="R112" s="1611"/>
      <c r="S112" s="1611"/>
      <c r="T112" s="1611"/>
    </row>
    <row r="113" spans="1:20">
      <c r="A113" s="1609">
        <v>82</v>
      </c>
      <c r="B113" s="1620" t="s">
        <v>1375</v>
      </c>
      <c r="C113" s="1621" t="s">
        <v>1376</v>
      </c>
      <c r="D113" s="1620" t="s">
        <v>1351</v>
      </c>
      <c r="E113" s="1581"/>
      <c r="F113" s="1581"/>
      <c r="G113" s="1581"/>
      <c r="H113" s="1581"/>
      <c r="I113" s="1609">
        <v>6</v>
      </c>
      <c r="J113" s="1609">
        <v>205</v>
      </c>
      <c r="K113" s="1581"/>
      <c r="L113" s="1620">
        <v>80</v>
      </c>
      <c r="M113" s="1620">
        <v>80</v>
      </c>
      <c r="N113" s="1581"/>
      <c r="O113" s="1581"/>
      <c r="P113" s="1581">
        <f>L113-O113</f>
        <v>80</v>
      </c>
      <c r="Q113" s="1581">
        <f>1000*1.07</f>
        <v>1070</v>
      </c>
      <c r="R113" s="1611">
        <f>P113*Q113</f>
        <v>85600</v>
      </c>
      <c r="S113" s="1611">
        <f>R113*(I113/(I113+J113+K113))</f>
        <v>2434.1232227488149</v>
      </c>
      <c r="T113" s="1611">
        <f>R113-S113</f>
        <v>83165.876777251178</v>
      </c>
    </row>
    <row r="114" spans="1:20" hidden="1">
      <c r="A114" s="1609">
        <v>219</v>
      </c>
      <c r="B114" s="1620" t="s">
        <v>1377</v>
      </c>
      <c r="C114" s="1621"/>
      <c r="D114" s="1620" t="s">
        <v>1022</v>
      </c>
      <c r="E114" s="1581"/>
      <c r="F114" s="1581"/>
      <c r="G114" s="1581"/>
      <c r="H114" s="1581"/>
      <c r="I114" s="1609">
        <v>6</v>
      </c>
      <c r="J114" s="1609">
        <v>205</v>
      </c>
      <c r="K114" s="1581"/>
      <c r="L114" s="1620"/>
      <c r="M114" s="1620"/>
      <c r="N114" s="1581"/>
      <c r="O114" s="1581"/>
      <c r="P114" s="1581"/>
      <c r="Q114" s="1581"/>
      <c r="R114" s="1611">
        <f>P114*Q114</f>
        <v>0</v>
      </c>
      <c r="S114" s="1611">
        <f>R114*(I114/(I114+J114+K114))</f>
        <v>0</v>
      </c>
      <c r="T114" s="1611">
        <f>R114-S114</f>
        <v>0</v>
      </c>
    </row>
    <row r="115" spans="1:20" hidden="1">
      <c r="A115" s="1609">
        <v>253</v>
      </c>
      <c r="B115" s="1610" t="s">
        <v>1378</v>
      </c>
      <c r="C115" s="1621" t="s">
        <v>1379</v>
      </c>
      <c r="D115" s="1610" t="s">
        <v>1022</v>
      </c>
      <c r="E115" s="1581"/>
      <c r="F115" s="1581"/>
      <c r="G115" s="1581"/>
      <c r="H115" s="1581"/>
      <c r="I115" s="1609">
        <v>6</v>
      </c>
      <c r="J115" s="1609">
        <v>205</v>
      </c>
      <c r="K115" s="1581"/>
      <c r="L115" s="1610"/>
      <c r="M115" s="1610"/>
      <c r="N115" s="1581"/>
      <c r="O115" s="1581"/>
      <c r="P115" s="1581"/>
      <c r="Q115" s="1581"/>
      <c r="R115" s="1611"/>
      <c r="S115" s="1611"/>
      <c r="T115" s="1611"/>
    </row>
    <row r="116" spans="1:20">
      <c r="A116" s="1609">
        <v>83</v>
      </c>
      <c r="B116" s="1618" t="s">
        <v>1380</v>
      </c>
      <c r="C116" s="1621" t="s">
        <v>1381</v>
      </c>
      <c r="D116" s="1618" t="s">
        <v>1022</v>
      </c>
      <c r="E116" s="1581"/>
      <c r="F116" s="1581"/>
      <c r="G116" s="1581"/>
      <c r="H116" s="1581"/>
      <c r="I116" s="1609">
        <v>6</v>
      </c>
      <c r="J116" s="1609">
        <v>205</v>
      </c>
      <c r="K116" s="1581"/>
      <c r="L116" s="1618">
        <v>35</v>
      </c>
      <c r="M116" s="1618"/>
      <c r="N116" s="1581"/>
      <c r="O116" s="1581"/>
      <c r="P116" s="1581">
        <f>L116-O116</f>
        <v>35</v>
      </c>
      <c r="Q116" s="1581">
        <f>2500*1.07</f>
        <v>2675</v>
      </c>
      <c r="R116" s="1611">
        <f>P116*Q116</f>
        <v>93625</v>
      </c>
      <c r="S116" s="1611">
        <f>R116*(I116/(I116+J116+K116))</f>
        <v>2662.3222748815165</v>
      </c>
      <c r="T116" s="1611">
        <f>R116-S116</f>
        <v>90962.677725118483</v>
      </c>
    </row>
    <row r="117" spans="1:20">
      <c r="A117" s="1609">
        <v>84</v>
      </c>
      <c r="B117" s="1620" t="s">
        <v>1380</v>
      </c>
      <c r="C117" s="1621" t="s">
        <v>1382</v>
      </c>
      <c r="D117" s="1620" t="s">
        <v>1022</v>
      </c>
      <c r="E117" s="1581"/>
      <c r="F117" s="1581"/>
      <c r="G117" s="1581"/>
      <c r="H117" s="1581"/>
      <c r="I117" s="1609">
        <v>6</v>
      </c>
      <c r="J117" s="1609">
        <v>205</v>
      </c>
      <c r="K117" s="1581"/>
      <c r="L117" s="1620">
        <v>10</v>
      </c>
      <c r="M117" s="1620">
        <v>10</v>
      </c>
      <c r="N117" s="1581"/>
      <c r="O117" s="1581"/>
      <c r="P117" s="1581">
        <f>L117-O117</f>
        <v>10</v>
      </c>
      <c r="Q117" s="1581">
        <f>353*1.07</f>
        <v>377.71000000000004</v>
      </c>
      <c r="R117" s="1611">
        <f>P117*Q117</f>
        <v>3777.1000000000004</v>
      </c>
      <c r="S117" s="1611">
        <f>R117*(I117/(I117+J117+K117))</f>
        <v>107.40568720379147</v>
      </c>
      <c r="T117" s="1611">
        <f>R117-S117</f>
        <v>3669.694312796209</v>
      </c>
    </row>
    <row r="118" spans="1:20">
      <c r="A118" s="1609">
        <v>85</v>
      </c>
      <c r="B118" s="1622" t="s">
        <v>1378</v>
      </c>
      <c r="C118" s="1621" t="s">
        <v>1383</v>
      </c>
      <c r="D118" s="1622" t="s">
        <v>1022</v>
      </c>
      <c r="E118" s="1581"/>
      <c r="F118" s="1581"/>
      <c r="G118" s="1581"/>
      <c r="H118" s="1581"/>
      <c r="I118" s="1609">
        <v>6</v>
      </c>
      <c r="J118" s="1609">
        <v>205</v>
      </c>
      <c r="K118" s="1581"/>
      <c r="L118" s="1622">
        <v>10</v>
      </c>
      <c r="M118" s="1622">
        <v>10</v>
      </c>
      <c r="N118" s="1581"/>
      <c r="O118" s="1581"/>
      <c r="P118" s="1581">
        <f>L118-O118</f>
        <v>10</v>
      </c>
      <c r="Q118" s="1581">
        <f>700*1.07</f>
        <v>749</v>
      </c>
      <c r="R118" s="1611">
        <f>P118*Q118</f>
        <v>7490</v>
      </c>
      <c r="S118" s="1611">
        <f>R118*(I118/(I118+J118+K118))</f>
        <v>212.9857819905213</v>
      </c>
      <c r="T118" s="1611">
        <f>R118-S118</f>
        <v>7277.014218009479</v>
      </c>
    </row>
    <row r="119" spans="1:20">
      <c r="A119" s="1609">
        <v>86</v>
      </c>
      <c r="B119" s="1610" t="s">
        <v>1380</v>
      </c>
      <c r="C119" s="1621" t="s">
        <v>1384</v>
      </c>
      <c r="D119" s="1610" t="s">
        <v>1022</v>
      </c>
      <c r="E119" s="1581"/>
      <c r="F119" s="1581"/>
      <c r="G119" s="1581"/>
      <c r="H119" s="1581"/>
      <c r="I119" s="1609">
        <v>6</v>
      </c>
      <c r="J119" s="1609">
        <v>205</v>
      </c>
      <c r="K119" s="1581"/>
      <c r="L119" s="1610">
        <v>50</v>
      </c>
      <c r="M119" s="1610">
        <v>50</v>
      </c>
      <c r="N119" s="1581"/>
      <c r="O119" s="1581"/>
      <c r="P119" s="1581">
        <f>L119-O119</f>
        <v>50</v>
      </c>
      <c r="Q119" s="1581">
        <f>500*1.07</f>
        <v>535</v>
      </c>
      <c r="R119" s="1611">
        <f>P119*Q119</f>
        <v>26750</v>
      </c>
      <c r="S119" s="1611">
        <f>R119*(I119/(I119+J119+K119))</f>
        <v>760.66350710900474</v>
      </c>
      <c r="T119" s="1611">
        <f>R119-S119</f>
        <v>25989.336492890994</v>
      </c>
    </row>
    <row r="120" spans="1:20" ht="38.25">
      <c r="A120" s="1609">
        <v>87</v>
      </c>
      <c r="B120" s="1620" t="s">
        <v>1380</v>
      </c>
      <c r="C120" s="1621" t="s">
        <v>1385</v>
      </c>
      <c r="D120" s="1620" t="s">
        <v>1022</v>
      </c>
      <c r="E120" s="1581"/>
      <c r="F120" s="1581"/>
      <c r="G120" s="1581"/>
      <c r="H120" s="1581"/>
      <c r="I120" s="1609">
        <v>6</v>
      </c>
      <c r="J120" s="1609">
        <v>205</v>
      </c>
      <c r="K120" s="1581"/>
      <c r="L120" s="1620">
        <v>200</v>
      </c>
      <c r="M120" s="1620">
        <v>200</v>
      </c>
      <c r="N120" s="1581"/>
      <c r="O120" s="1581"/>
      <c r="P120" s="1581">
        <f>L120-O120</f>
        <v>200</v>
      </c>
      <c r="Q120" s="1581">
        <f>300*1.07</f>
        <v>321</v>
      </c>
      <c r="R120" s="1611">
        <f>P120*Q120</f>
        <v>64200</v>
      </c>
      <c r="S120" s="1611">
        <f>R120*(I120/(I120+J120+K120))</f>
        <v>1825.5924170616113</v>
      </c>
      <c r="T120" s="1611">
        <f>R120-S120</f>
        <v>62374.407582938387</v>
      </c>
    </row>
    <row r="121" spans="1:20" ht="0.75" customHeight="1">
      <c r="A121" s="1609">
        <v>145</v>
      </c>
      <c r="B121" s="1618" t="s">
        <v>1386</v>
      </c>
      <c r="C121" s="1621"/>
      <c r="D121" s="1618" t="s">
        <v>1022</v>
      </c>
      <c r="E121" s="1581"/>
      <c r="F121" s="1581"/>
      <c r="G121" s="1581"/>
      <c r="H121" s="1581"/>
      <c r="I121" s="1609"/>
      <c r="J121" s="1609"/>
      <c r="K121" s="1581"/>
      <c r="L121" s="1618"/>
      <c r="M121" s="1618"/>
      <c r="N121" s="1581"/>
      <c r="O121" s="1581"/>
      <c r="P121" s="1581"/>
      <c r="Q121" s="1581"/>
      <c r="R121" s="1611"/>
      <c r="S121" s="1611"/>
      <c r="T121" s="1611"/>
    </row>
    <row r="122" spans="1:20">
      <c r="A122" s="1609">
        <v>88</v>
      </c>
      <c r="B122" s="1618" t="s">
        <v>1387</v>
      </c>
      <c r="C122" s="1621" t="s">
        <v>1388</v>
      </c>
      <c r="D122" s="1618" t="s">
        <v>1268</v>
      </c>
      <c r="E122" s="1581"/>
      <c r="F122" s="1581"/>
      <c r="G122" s="1581"/>
      <c r="H122" s="1581"/>
      <c r="I122" s="1609">
        <v>6</v>
      </c>
      <c r="J122" s="1609">
        <v>205</v>
      </c>
      <c r="K122" s="1581"/>
      <c r="L122" s="1620">
        <v>132</v>
      </c>
      <c r="M122" s="1620">
        <v>132</v>
      </c>
      <c r="N122" s="1581"/>
      <c r="O122" s="1581"/>
      <c r="P122" s="1581">
        <f t="shared" ref="P122:P141" si="25">L122-O122</f>
        <v>132</v>
      </c>
      <c r="Q122" s="1581">
        <f>600*1.07</f>
        <v>642</v>
      </c>
      <c r="R122" s="1611">
        <f t="shared" ref="R122:R141" si="26">P122*Q122</f>
        <v>84744</v>
      </c>
      <c r="S122" s="1611">
        <f t="shared" ref="S122:S141" si="27">R122*(I122/(I122+J122+K122))</f>
        <v>2409.7819905213269</v>
      </c>
      <c r="T122" s="1611">
        <f t="shared" ref="T122:T141" si="28">R122-S122</f>
        <v>82334.218009478675</v>
      </c>
    </row>
    <row r="123" spans="1:20" hidden="1">
      <c r="A123" s="1609">
        <v>153</v>
      </c>
      <c r="B123" s="1618" t="s">
        <v>1389</v>
      </c>
      <c r="C123" s="1621"/>
      <c r="D123" s="1618" t="s">
        <v>1022</v>
      </c>
      <c r="E123" s="1581"/>
      <c r="F123" s="1581"/>
      <c r="G123" s="1581"/>
      <c r="H123" s="1581"/>
      <c r="I123" s="1609">
        <v>6</v>
      </c>
      <c r="J123" s="1609">
        <v>205</v>
      </c>
      <c r="K123" s="1581"/>
      <c r="L123" s="1618"/>
      <c r="M123" s="1618"/>
      <c r="N123" s="1581"/>
      <c r="O123" s="1581"/>
      <c r="P123" s="1581">
        <f t="shared" si="25"/>
        <v>0</v>
      </c>
      <c r="Q123" s="1581"/>
      <c r="R123" s="1611">
        <f t="shared" si="26"/>
        <v>0</v>
      </c>
      <c r="S123" s="1611">
        <f t="shared" si="27"/>
        <v>0</v>
      </c>
      <c r="T123" s="1611">
        <f t="shared" si="28"/>
        <v>0</v>
      </c>
    </row>
    <row r="124" spans="1:20" ht="38.25">
      <c r="A124" s="1581">
        <v>89</v>
      </c>
      <c r="B124" s="1056" t="s">
        <v>1390</v>
      </c>
      <c r="C124" s="1614" t="s">
        <v>1391</v>
      </c>
      <c r="D124" s="1056" t="s">
        <v>1203</v>
      </c>
      <c r="E124" s="1581"/>
      <c r="F124" s="1609"/>
      <c r="G124" s="1609"/>
      <c r="H124" s="1609"/>
      <c r="I124" s="1609">
        <v>6</v>
      </c>
      <c r="J124" s="1609">
        <v>205</v>
      </c>
      <c r="K124" s="1609"/>
      <c r="L124" s="1056">
        <v>600</v>
      </c>
      <c r="M124" s="1056">
        <v>600</v>
      </c>
      <c r="N124" s="1609"/>
      <c r="O124" s="1609"/>
      <c r="P124" s="1581">
        <f t="shared" si="25"/>
        <v>600</v>
      </c>
      <c r="Q124" s="1610">
        <f>140*1.07</f>
        <v>149.80000000000001</v>
      </c>
      <c r="R124" s="1611">
        <f t="shared" si="26"/>
        <v>89880</v>
      </c>
      <c r="S124" s="1611">
        <f t="shared" si="27"/>
        <v>2555.829383886256</v>
      </c>
      <c r="T124" s="1611">
        <f t="shared" si="28"/>
        <v>87324.170616113741</v>
      </c>
    </row>
    <row r="125" spans="1:20">
      <c r="A125" s="1609">
        <v>90</v>
      </c>
      <c r="B125" s="1622" t="s">
        <v>1392</v>
      </c>
      <c r="C125" s="1621"/>
      <c r="D125" s="1622" t="s">
        <v>1022</v>
      </c>
      <c r="E125" s="1581"/>
      <c r="F125" s="1581"/>
      <c r="G125" s="1581"/>
      <c r="H125" s="1581"/>
      <c r="I125" s="1609">
        <v>6</v>
      </c>
      <c r="J125" s="1609">
        <v>205</v>
      </c>
      <c r="K125" s="1581"/>
      <c r="L125" s="1610"/>
      <c r="M125" s="1610"/>
      <c r="N125" s="1581"/>
      <c r="O125" s="1581"/>
      <c r="P125" s="1581">
        <f t="shared" si="25"/>
        <v>0</v>
      </c>
      <c r="Q125" s="1581"/>
      <c r="R125" s="1611">
        <f t="shared" si="26"/>
        <v>0</v>
      </c>
      <c r="S125" s="1611">
        <f t="shared" si="27"/>
        <v>0</v>
      </c>
      <c r="T125" s="1611">
        <f t="shared" si="28"/>
        <v>0</v>
      </c>
    </row>
    <row r="126" spans="1:20">
      <c r="A126" s="1581">
        <v>91</v>
      </c>
      <c r="B126" s="1622" t="s">
        <v>1393</v>
      </c>
      <c r="C126" s="1621" t="s">
        <v>1394</v>
      </c>
      <c r="D126" s="1622" t="s">
        <v>1395</v>
      </c>
      <c r="E126" s="1581"/>
      <c r="F126" s="1581"/>
      <c r="G126" s="1581"/>
      <c r="H126" s="1581"/>
      <c r="I126" s="1609">
        <v>6</v>
      </c>
      <c r="J126" s="1609">
        <v>205</v>
      </c>
      <c r="K126" s="1581"/>
      <c r="L126" s="1610">
        <v>20</v>
      </c>
      <c r="M126" s="1610">
        <v>20</v>
      </c>
      <c r="N126" s="1581"/>
      <c r="O126" s="1581"/>
      <c r="P126" s="1581">
        <f t="shared" si="25"/>
        <v>20</v>
      </c>
      <c r="Q126" s="1581">
        <f>30*1.07</f>
        <v>32.1</v>
      </c>
      <c r="R126" s="1611">
        <f t="shared" si="26"/>
        <v>642</v>
      </c>
      <c r="S126" s="1611">
        <f t="shared" si="27"/>
        <v>18.255924170616112</v>
      </c>
      <c r="T126" s="1611">
        <f t="shared" si="28"/>
        <v>623.74407582938386</v>
      </c>
    </row>
    <row r="127" spans="1:20">
      <c r="A127" s="1609">
        <v>92</v>
      </c>
      <c r="B127" s="1619" t="s">
        <v>1396</v>
      </c>
      <c r="C127" s="1614" t="s">
        <v>1397</v>
      </c>
      <c r="D127" s="1619" t="s">
        <v>1263</v>
      </c>
      <c r="E127" s="1581"/>
      <c r="F127" s="1609"/>
      <c r="G127" s="1609"/>
      <c r="H127" s="1609"/>
      <c r="I127" s="1609">
        <v>6</v>
      </c>
      <c r="J127" s="1609">
        <v>205</v>
      </c>
      <c r="K127" s="1609"/>
      <c r="L127" s="1619">
        <v>70</v>
      </c>
      <c r="M127" s="1619"/>
      <c r="N127" s="1609"/>
      <c r="O127" s="1609"/>
      <c r="P127" s="1581">
        <f t="shared" si="25"/>
        <v>70</v>
      </c>
      <c r="Q127" s="1609">
        <f>250*1.07</f>
        <v>267.5</v>
      </c>
      <c r="R127" s="1611">
        <f t="shared" si="26"/>
        <v>18725</v>
      </c>
      <c r="S127" s="1611">
        <f t="shared" si="27"/>
        <v>532.46445497630327</v>
      </c>
      <c r="T127" s="1611">
        <f t="shared" si="28"/>
        <v>18192.535545023697</v>
      </c>
    </row>
    <row r="128" spans="1:20">
      <c r="A128" s="1581">
        <v>93</v>
      </c>
      <c r="B128" s="1619" t="s">
        <v>1396</v>
      </c>
      <c r="C128" s="1614" t="s">
        <v>1398</v>
      </c>
      <c r="D128" s="1619" t="s">
        <v>1263</v>
      </c>
      <c r="E128" s="1581"/>
      <c r="F128" s="1609"/>
      <c r="G128" s="1609"/>
      <c r="H128" s="1609"/>
      <c r="I128" s="1609">
        <v>6</v>
      </c>
      <c r="J128" s="1609">
        <v>205</v>
      </c>
      <c r="K128" s="1609"/>
      <c r="L128" s="1619">
        <v>195</v>
      </c>
      <c r="M128" s="1619"/>
      <c r="N128" s="1609"/>
      <c r="O128" s="1609"/>
      <c r="P128" s="1581">
        <f t="shared" si="25"/>
        <v>195</v>
      </c>
      <c r="Q128" s="1609">
        <f>320*1.07</f>
        <v>342.40000000000003</v>
      </c>
      <c r="R128" s="1611">
        <f t="shared" si="26"/>
        <v>66768</v>
      </c>
      <c r="S128" s="1611">
        <f t="shared" si="27"/>
        <v>1898.6161137440758</v>
      </c>
      <c r="T128" s="1611">
        <f t="shared" si="28"/>
        <v>64869.383886255921</v>
      </c>
    </row>
    <row r="129" spans="1:21">
      <c r="A129" s="1609">
        <v>94</v>
      </c>
      <c r="B129" s="1619" t="s">
        <v>1399</v>
      </c>
      <c r="C129" s="1614" t="s">
        <v>1400</v>
      </c>
      <c r="D129" s="1619" t="s">
        <v>1268</v>
      </c>
      <c r="E129" s="1581"/>
      <c r="F129" s="1609"/>
      <c r="G129" s="1609"/>
      <c r="H129" s="1609"/>
      <c r="I129" s="1609">
        <v>6</v>
      </c>
      <c r="J129" s="1609">
        <v>205</v>
      </c>
      <c r="K129" s="1609"/>
      <c r="L129" s="1619">
        <v>12</v>
      </c>
      <c r="M129" s="1619"/>
      <c r="N129" s="1609"/>
      <c r="O129" s="1609"/>
      <c r="P129" s="1581">
        <f t="shared" si="25"/>
        <v>12</v>
      </c>
      <c r="Q129" s="1610">
        <f>3000*1.07</f>
        <v>3210</v>
      </c>
      <c r="R129" s="1611">
        <f t="shared" si="26"/>
        <v>38520</v>
      </c>
      <c r="S129" s="1611">
        <f t="shared" si="27"/>
        <v>1095.3554502369668</v>
      </c>
      <c r="T129" s="1611">
        <f t="shared" si="28"/>
        <v>37424.644549763034</v>
      </c>
      <c r="U129" s="1580">
        <v>1000</v>
      </c>
    </row>
    <row r="130" spans="1:21" hidden="1">
      <c r="A130" s="1609">
        <v>191</v>
      </c>
      <c r="B130" s="1620" t="s">
        <v>1401</v>
      </c>
      <c r="C130" s="1621" t="s">
        <v>1402</v>
      </c>
      <c r="D130" s="1620" t="s">
        <v>1022</v>
      </c>
      <c r="E130" s="1581"/>
      <c r="F130" s="1581"/>
      <c r="G130" s="1581"/>
      <c r="H130" s="1581"/>
      <c r="I130" s="1609">
        <v>6</v>
      </c>
      <c r="J130" s="1609">
        <v>205</v>
      </c>
      <c r="K130" s="1581"/>
      <c r="L130" s="1620"/>
      <c r="M130" s="1620"/>
      <c r="N130" s="1581"/>
      <c r="O130" s="1581"/>
      <c r="P130" s="1581">
        <f t="shared" si="25"/>
        <v>0</v>
      </c>
      <c r="Q130" s="1581"/>
      <c r="R130" s="1611">
        <f t="shared" si="26"/>
        <v>0</v>
      </c>
      <c r="S130" s="1611">
        <f t="shared" si="27"/>
        <v>0</v>
      </c>
      <c r="T130" s="1611">
        <f t="shared" si="28"/>
        <v>0</v>
      </c>
    </row>
    <row r="131" spans="1:21" ht="25.5">
      <c r="A131" s="1609">
        <v>95</v>
      </c>
      <c r="B131" s="1618" t="s">
        <v>1403</v>
      </c>
      <c r="C131" s="1621" t="s">
        <v>1404</v>
      </c>
      <c r="D131" s="1618" t="s">
        <v>1022</v>
      </c>
      <c r="E131" s="1581"/>
      <c r="F131" s="1581"/>
      <c r="G131" s="1581"/>
      <c r="H131" s="1581"/>
      <c r="I131" s="1609">
        <v>6</v>
      </c>
      <c r="J131" s="1609">
        <v>205</v>
      </c>
      <c r="K131" s="1581"/>
      <c r="L131" s="1622">
        <v>1</v>
      </c>
      <c r="M131" s="1622">
        <v>1</v>
      </c>
      <c r="N131" s="1581"/>
      <c r="O131" s="1581"/>
      <c r="P131" s="1581">
        <f t="shared" si="25"/>
        <v>1</v>
      </c>
      <c r="Q131" s="1581">
        <f>1300*1.07</f>
        <v>1391</v>
      </c>
      <c r="R131" s="1611">
        <f t="shared" si="26"/>
        <v>1391</v>
      </c>
      <c r="S131" s="1611">
        <f t="shared" si="27"/>
        <v>39.554502369668242</v>
      </c>
      <c r="T131" s="1611">
        <f t="shared" si="28"/>
        <v>1351.4454976303318</v>
      </c>
    </row>
    <row r="132" spans="1:21">
      <c r="A132" s="1609">
        <v>96</v>
      </c>
      <c r="B132" s="1618" t="s">
        <v>1405</v>
      </c>
      <c r="C132" s="1621" t="s">
        <v>1406</v>
      </c>
      <c r="D132" s="1618" t="s">
        <v>1022</v>
      </c>
      <c r="E132" s="1581"/>
      <c r="F132" s="1581"/>
      <c r="G132" s="1581"/>
      <c r="H132" s="1581"/>
      <c r="I132" s="1609">
        <v>6</v>
      </c>
      <c r="J132" s="1609">
        <v>205</v>
      </c>
      <c r="K132" s="1581"/>
      <c r="L132" s="1622">
        <v>1</v>
      </c>
      <c r="M132" s="1622">
        <v>1</v>
      </c>
      <c r="N132" s="1581"/>
      <c r="O132" s="1581"/>
      <c r="P132" s="1581">
        <f t="shared" si="25"/>
        <v>1</v>
      </c>
      <c r="Q132" s="1581">
        <f>900*1.07</f>
        <v>963</v>
      </c>
      <c r="R132" s="1611">
        <f t="shared" si="26"/>
        <v>963</v>
      </c>
      <c r="S132" s="1611">
        <f t="shared" si="27"/>
        <v>27.383886255924171</v>
      </c>
      <c r="T132" s="1611">
        <f t="shared" si="28"/>
        <v>935.61611374407585</v>
      </c>
    </row>
    <row r="133" spans="1:21">
      <c r="A133" s="1609">
        <v>97</v>
      </c>
      <c r="B133" s="1618" t="s">
        <v>1407</v>
      </c>
      <c r="C133" s="1621" t="s">
        <v>1408</v>
      </c>
      <c r="D133" s="1618" t="s">
        <v>1022</v>
      </c>
      <c r="E133" s="1581"/>
      <c r="F133" s="1581"/>
      <c r="G133" s="1581"/>
      <c r="H133" s="1581"/>
      <c r="I133" s="1609">
        <v>6</v>
      </c>
      <c r="J133" s="1609">
        <v>205</v>
      </c>
      <c r="K133" s="1581"/>
      <c r="L133" s="1622">
        <v>1</v>
      </c>
      <c r="M133" s="1622">
        <v>1</v>
      </c>
      <c r="N133" s="1581"/>
      <c r="O133" s="1581"/>
      <c r="P133" s="1581">
        <f t="shared" si="25"/>
        <v>1</v>
      </c>
      <c r="Q133" s="1581">
        <f>1100*1.07</f>
        <v>1177</v>
      </c>
      <c r="R133" s="1611">
        <f t="shared" si="26"/>
        <v>1177</v>
      </c>
      <c r="S133" s="1611">
        <f t="shared" si="27"/>
        <v>33.469194312796205</v>
      </c>
      <c r="T133" s="1611">
        <f t="shared" si="28"/>
        <v>1143.5308056872038</v>
      </c>
    </row>
    <row r="134" spans="1:21">
      <c r="A134" s="1609">
        <v>98</v>
      </c>
      <c r="B134" s="1619" t="s">
        <v>1409</v>
      </c>
      <c r="C134" s="917" t="s">
        <v>1410</v>
      </c>
      <c r="D134" s="1619" t="s">
        <v>1411</v>
      </c>
      <c r="E134" s="1581"/>
      <c r="F134" s="1609"/>
      <c r="G134" s="1609"/>
      <c r="H134" s="1609"/>
      <c r="I134" s="1609">
        <v>6</v>
      </c>
      <c r="J134" s="1609">
        <v>205</v>
      </c>
      <c r="K134" s="1609"/>
      <c r="L134" s="1619">
        <v>550</v>
      </c>
      <c r="M134" s="1619">
        <v>700</v>
      </c>
      <c r="N134" s="1609"/>
      <c r="O134" s="1609"/>
      <c r="P134" s="1581">
        <f t="shared" si="25"/>
        <v>550</v>
      </c>
      <c r="Q134" s="1609">
        <f>650*1.07</f>
        <v>695.5</v>
      </c>
      <c r="R134" s="1611">
        <f t="shared" si="26"/>
        <v>382525</v>
      </c>
      <c r="S134" s="1611">
        <f t="shared" si="27"/>
        <v>10877.488151658767</v>
      </c>
      <c r="T134" s="1611">
        <f t="shared" si="28"/>
        <v>371647.51184834121</v>
      </c>
      <c r="U134" s="1580">
        <v>300</v>
      </c>
    </row>
    <row r="135" spans="1:21">
      <c r="A135" s="1609">
        <v>99</v>
      </c>
      <c r="B135" s="1619" t="s">
        <v>1409</v>
      </c>
      <c r="C135" s="917" t="s">
        <v>1412</v>
      </c>
      <c r="D135" s="1619" t="s">
        <v>1411</v>
      </c>
      <c r="E135" s="1581"/>
      <c r="F135" s="1609"/>
      <c r="G135" s="1609"/>
      <c r="H135" s="1609"/>
      <c r="I135" s="1609">
        <v>6</v>
      </c>
      <c r="J135" s="1609">
        <v>205</v>
      </c>
      <c r="K135" s="1609"/>
      <c r="L135" s="1619">
        <v>550</v>
      </c>
      <c r="M135" s="1619">
        <v>700</v>
      </c>
      <c r="N135" s="1609"/>
      <c r="O135" s="1609"/>
      <c r="P135" s="1581">
        <f t="shared" si="25"/>
        <v>550</v>
      </c>
      <c r="Q135" s="1609">
        <f>750*1.07</f>
        <v>802.5</v>
      </c>
      <c r="R135" s="1611">
        <f t="shared" si="26"/>
        <v>441375</v>
      </c>
      <c r="S135" s="1611">
        <f t="shared" si="27"/>
        <v>12550.947867298577</v>
      </c>
      <c r="T135" s="1611">
        <f t="shared" si="28"/>
        <v>428824.05213270144</v>
      </c>
    </row>
    <row r="136" spans="1:21">
      <c r="A136" s="1609">
        <v>100</v>
      </c>
      <c r="B136" s="1618" t="s">
        <v>1413</v>
      </c>
      <c r="C136" s="1579" t="s">
        <v>1414</v>
      </c>
      <c r="D136" s="1618" t="s">
        <v>1415</v>
      </c>
      <c r="E136" s="1581"/>
      <c r="F136" s="1581"/>
      <c r="G136" s="1581"/>
      <c r="H136" s="1581"/>
      <c r="I136" s="1609">
        <v>6</v>
      </c>
      <c r="J136" s="1609">
        <v>205</v>
      </c>
      <c r="K136" s="1581"/>
      <c r="L136" s="1618">
        <v>650</v>
      </c>
      <c r="M136" s="1618">
        <v>700</v>
      </c>
      <c r="N136" s="1581"/>
      <c r="O136" s="1581"/>
      <c r="P136" s="1581">
        <f t="shared" si="25"/>
        <v>650</v>
      </c>
      <c r="Q136" s="1581">
        <f>450*1.07</f>
        <v>481.5</v>
      </c>
      <c r="R136" s="1611">
        <f t="shared" si="26"/>
        <v>312975</v>
      </c>
      <c r="S136" s="1611">
        <f t="shared" si="27"/>
        <v>8899.7630331753553</v>
      </c>
      <c r="T136" s="1611">
        <f t="shared" si="28"/>
        <v>304075.23696682462</v>
      </c>
    </row>
    <row r="137" spans="1:21">
      <c r="A137" s="1609">
        <v>101</v>
      </c>
      <c r="B137" s="1619" t="s">
        <v>1416</v>
      </c>
      <c r="C137" s="917" t="s">
        <v>1417</v>
      </c>
      <c r="D137" s="1619" t="s">
        <v>1411</v>
      </c>
      <c r="E137" s="1581"/>
      <c r="F137" s="1609"/>
      <c r="G137" s="1609"/>
      <c r="H137" s="1609"/>
      <c r="I137" s="1609">
        <v>6</v>
      </c>
      <c r="J137" s="1609">
        <v>205</v>
      </c>
      <c r="K137" s="1609"/>
      <c r="L137" s="1619">
        <v>550</v>
      </c>
      <c r="M137" s="1619">
        <v>700</v>
      </c>
      <c r="N137" s="1609"/>
      <c r="O137" s="1609"/>
      <c r="P137" s="1581">
        <f t="shared" si="25"/>
        <v>550</v>
      </c>
      <c r="Q137" s="1609">
        <f>600*1.07</f>
        <v>642</v>
      </c>
      <c r="R137" s="1611">
        <f t="shared" si="26"/>
        <v>353100</v>
      </c>
      <c r="S137" s="1611">
        <f t="shared" si="27"/>
        <v>10040.758293838862</v>
      </c>
      <c r="T137" s="1611">
        <f t="shared" si="28"/>
        <v>343059.24170616112</v>
      </c>
    </row>
    <row r="138" spans="1:21">
      <c r="A138" s="1609">
        <v>102</v>
      </c>
      <c r="B138" s="1619" t="s">
        <v>1416</v>
      </c>
      <c r="C138" s="917" t="s">
        <v>1418</v>
      </c>
      <c r="D138" s="1619" t="s">
        <v>1415</v>
      </c>
      <c r="E138" s="1581"/>
      <c r="F138" s="1609"/>
      <c r="G138" s="1609"/>
      <c r="H138" s="1609"/>
      <c r="I138" s="1609">
        <v>6</v>
      </c>
      <c r="J138" s="1609">
        <v>205</v>
      </c>
      <c r="K138" s="1609"/>
      <c r="L138" s="1619">
        <v>450</v>
      </c>
      <c r="M138" s="1619">
        <v>600</v>
      </c>
      <c r="N138" s="1609"/>
      <c r="O138" s="1609"/>
      <c r="P138" s="1581">
        <f t="shared" si="25"/>
        <v>450</v>
      </c>
      <c r="Q138" s="1609">
        <f>800*1.07</f>
        <v>856</v>
      </c>
      <c r="R138" s="1611">
        <f t="shared" si="26"/>
        <v>385200</v>
      </c>
      <c r="S138" s="1611">
        <f t="shared" si="27"/>
        <v>10953.554502369669</v>
      </c>
      <c r="T138" s="1611">
        <f t="shared" si="28"/>
        <v>374246.44549763034</v>
      </c>
    </row>
    <row r="139" spans="1:21">
      <c r="A139" s="1609">
        <v>103</v>
      </c>
      <c r="B139" s="1610" t="s">
        <v>1419</v>
      </c>
      <c r="C139" s="1579" t="s">
        <v>1420</v>
      </c>
      <c r="D139" s="1610" t="s">
        <v>1415</v>
      </c>
      <c r="E139" s="1581"/>
      <c r="F139" s="1581"/>
      <c r="G139" s="1581"/>
      <c r="H139" s="1581"/>
      <c r="I139" s="1609">
        <v>6</v>
      </c>
      <c r="J139" s="1609">
        <v>205</v>
      </c>
      <c r="K139" s="1581"/>
      <c r="L139" s="1610">
        <v>300</v>
      </c>
      <c r="M139" s="1610">
        <v>300</v>
      </c>
      <c r="N139" s="1581"/>
      <c r="O139" s="1581"/>
      <c r="P139" s="1581">
        <f t="shared" si="25"/>
        <v>300</v>
      </c>
      <c r="Q139" s="1581">
        <f>350*1.07</f>
        <v>374.5</v>
      </c>
      <c r="R139" s="1611">
        <f t="shared" si="26"/>
        <v>112350</v>
      </c>
      <c r="S139" s="1611">
        <f t="shared" si="27"/>
        <v>3194.7867298578199</v>
      </c>
      <c r="T139" s="1611">
        <f t="shared" si="28"/>
        <v>109155.21327014218</v>
      </c>
    </row>
    <row r="140" spans="1:21">
      <c r="A140" s="1609">
        <v>104</v>
      </c>
      <c r="B140" s="1618" t="s">
        <v>1421</v>
      </c>
      <c r="C140" s="1579" t="s">
        <v>1422</v>
      </c>
      <c r="D140" s="1618" t="s">
        <v>1022</v>
      </c>
      <c r="E140" s="1581"/>
      <c r="F140" s="1581"/>
      <c r="G140" s="1581"/>
      <c r="H140" s="1581"/>
      <c r="I140" s="1609">
        <v>6</v>
      </c>
      <c r="J140" s="1609">
        <v>205</v>
      </c>
      <c r="K140" s="1581"/>
      <c r="L140" s="1622">
        <v>50</v>
      </c>
      <c r="M140" s="1622">
        <v>50</v>
      </c>
      <c r="N140" s="1581"/>
      <c r="O140" s="1581"/>
      <c r="P140" s="1581">
        <f t="shared" si="25"/>
        <v>50</v>
      </c>
      <c r="Q140" s="1581">
        <f>140*1.07</f>
        <v>149.80000000000001</v>
      </c>
      <c r="R140" s="1611">
        <f t="shared" si="26"/>
        <v>7490.0000000000009</v>
      </c>
      <c r="S140" s="1611">
        <f t="shared" si="27"/>
        <v>212.98578199052133</v>
      </c>
      <c r="T140" s="1611">
        <f t="shared" si="28"/>
        <v>7277.0142180094799</v>
      </c>
    </row>
    <row r="141" spans="1:21">
      <c r="A141" s="1609">
        <v>105</v>
      </c>
      <c r="B141" s="1618" t="s">
        <v>1423</v>
      </c>
      <c r="C141" s="1579" t="s">
        <v>1424</v>
      </c>
      <c r="D141" s="1618" t="s">
        <v>1022</v>
      </c>
      <c r="E141" s="1581"/>
      <c r="F141" s="1581"/>
      <c r="G141" s="1581"/>
      <c r="H141" s="1581"/>
      <c r="I141" s="1609">
        <v>6</v>
      </c>
      <c r="J141" s="1609">
        <v>205</v>
      </c>
      <c r="K141" s="1581"/>
      <c r="L141" s="1622">
        <v>50</v>
      </c>
      <c r="M141" s="1622">
        <v>50</v>
      </c>
      <c r="N141" s="1581"/>
      <c r="O141" s="1581"/>
      <c r="P141" s="1581">
        <f t="shared" si="25"/>
        <v>50</v>
      </c>
      <c r="Q141" s="1581">
        <f>153*1.07</f>
        <v>163.71</v>
      </c>
      <c r="R141" s="1611">
        <f t="shared" si="26"/>
        <v>8185.5</v>
      </c>
      <c r="S141" s="1611">
        <f t="shared" si="27"/>
        <v>232.76303317535545</v>
      </c>
      <c r="T141" s="1611">
        <f t="shared" si="28"/>
        <v>7952.7369668246447</v>
      </c>
    </row>
    <row r="142" spans="1:21">
      <c r="A142" s="1609">
        <v>106</v>
      </c>
      <c r="B142" s="1619" t="s">
        <v>1425</v>
      </c>
      <c r="C142" s="917" t="s">
        <v>1426</v>
      </c>
      <c r="D142" s="1619" t="s">
        <v>1411</v>
      </c>
      <c r="E142" s="1581"/>
      <c r="F142" s="1609"/>
      <c r="G142" s="1609"/>
      <c r="H142" s="1609"/>
      <c r="I142" s="1609">
        <v>6</v>
      </c>
      <c r="J142" s="1609">
        <v>205</v>
      </c>
      <c r="K142" s="1609"/>
      <c r="L142" s="1619">
        <v>175</v>
      </c>
      <c r="M142" s="1619">
        <v>300</v>
      </c>
      <c r="N142" s="1609"/>
      <c r="O142" s="1609"/>
      <c r="P142" s="1581">
        <f t="shared" ref="P142:P172" si="29">L142-O142</f>
        <v>175</v>
      </c>
      <c r="Q142" s="1609">
        <f>1000*1.07</f>
        <v>1070</v>
      </c>
      <c r="R142" s="1611">
        <f t="shared" ref="R142:R172" si="30">P142*Q142</f>
        <v>187250</v>
      </c>
      <c r="S142" s="1611">
        <f t="shared" ref="S142:S172" si="31">R142*(I142/(I142+J142+K142))</f>
        <v>5324.644549763033</v>
      </c>
      <c r="T142" s="1611">
        <f t="shared" ref="T142:T172" si="32">R142-S142</f>
        <v>181925.35545023697</v>
      </c>
    </row>
    <row r="143" spans="1:21">
      <c r="A143" s="1609">
        <v>107</v>
      </c>
      <c r="B143" s="1619" t="s">
        <v>1427</v>
      </c>
      <c r="C143" s="917" t="s">
        <v>1428</v>
      </c>
      <c r="D143" s="1619" t="s">
        <v>1411</v>
      </c>
      <c r="E143" s="1581"/>
      <c r="F143" s="1609"/>
      <c r="G143" s="1609"/>
      <c r="H143" s="1609"/>
      <c r="I143" s="1609">
        <v>6</v>
      </c>
      <c r="J143" s="1609">
        <v>205</v>
      </c>
      <c r="K143" s="1609"/>
      <c r="L143" s="1619">
        <v>175</v>
      </c>
      <c r="M143" s="1619">
        <v>300</v>
      </c>
      <c r="N143" s="1609"/>
      <c r="O143" s="1609"/>
      <c r="P143" s="1581">
        <f t="shared" si="29"/>
        <v>175</v>
      </c>
      <c r="Q143" s="1610">
        <f>1900*1.07</f>
        <v>2033.0000000000002</v>
      </c>
      <c r="R143" s="1611">
        <f t="shared" si="30"/>
        <v>355775.00000000006</v>
      </c>
      <c r="S143" s="1611">
        <f t="shared" si="31"/>
        <v>10116.824644549764</v>
      </c>
      <c r="T143" s="1611">
        <f t="shared" si="32"/>
        <v>345658.17535545031</v>
      </c>
    </row>
    <row r="144" spans="1:21">
      <c r="A144" s="1609">
        <v>108</v>
      </c>
      <c r="B144" s="1620" t="s">
        <v>1429</v>
      </c>
      <c r="C144" s="1579" t="s">
        <v>1430</v>
      </c>
      <c r="D144" s="1620" t="s">
        <v>1022</v>
      </c>
      <c r="E144" s="1581"/>
      <c r="F144" s="1581"/>
      <c r="G144" s="1581"/>
      <c r="H144" s="1581"/>
      <c r="I144" s="1609">
        <v>6</v>
      </c>
      <c r="J144" s="1609">
        <v>205</v>
      </c>
      <c r="K144" s="1581"/>
      <c r="L144" s="1620">
        <v>3</v>
      </c>
      <c r="M144" s="1620">
        <v>3</v>
      </c>
      <c r="N144" s="1581"/>
      <c r="O144" s="1581"/>
      <c r="P144" s="1581">
        <f t="shared" si="29"/>
        <v>3</v>
      </c>
      <c r="Q144" s="1581">
        <f>500*1.07</f>
        <v>535</v>
      </c>
      <c r="R144" s="1611">
        <f t="shared" si="30"/>
        <v>1605</v>
      </c>
      <c r="S144" s="1611">
        <f t="shared" si="31"/>
        <v>45.639810426540279</v>
      </c>
      <c r="T144" s="1611">
        <f t="shared" si="32"/>
        <v>1559.3601895734598</v>
      </c>
    </row>
    <row r="145" spans="1:21" hidden="1">
      <c r="A145" s="1609">
        <v>109</v>
      </c>
      <c r="B145" s="1618" t="s">
        <v>1431</v>
      </c>
      <c r="C145" s="1579" t="s">
        <v>1432</v>
      </c>
      <c r="D145" s="1618" t="s">
        <v>1022</v>
      </c>
      <c r="E145" s="1581"/>
      <c r="F145" s="1581"/>
      <c r="G145" s="1581"/>
      <c r="H145" s="1581"/>
      <c r="I145" s="1609">
        <v>6</v>
      </c>
      <c r="J145" s="1609">
        <v>205</v>
      </c>
      <c r="K145" s="1581"/>
      <c r="L145" s="1622"/>
      <c r="M145" s="1622"/>
      <c r="N145" s="1581"/>
      <c r="O145" s="1581"/>
      <c r="P145" s="1581">
        <f t="shared" si="29"/>
        <v>0</v>
      </c>
      <c r="Q145" s="1581"/>
      <c r="R145" s="1611">
        <f t="shared" si="30"/>
        <v>0</v>
      </c>
      <c r="S145" s="1611">
        <f t="shared" si="31"/>
        <v>0</v>
      </c>
      <c r="T145" s="1611">
        <f t="shared" si="32"/>
        <v>0</v>
      </c>
    </row>
    <row r="146" spans="1:21" hidden="1">
      <c r="A146" s="1609">
        <v>110</v>
      </c>
      <c r="B146" s="1618" t="s">
        <v>1433</v>
      </c>
      <c r="C146" s="1579" t="s">
        <v>1434</v>
      </c>
      <c r="D146" s="1618" t="s">
        <v>1022</v>
      </c>
      <c r="E146" s="1581"/>
      <c r="F146" s="1581"/>
      <c r="G146" s="1581"/>
      <c r="H146" s="1581"/>
      <c r="I146" s="1609">
        <v>6</v>
      </c>
      <c r="J146" s="1609">
        <v>205</v>
      </c>
      <c r="K146" s="1581"/>
      <c r="L146" s="1622"/>
      <c r="M146" s="1622"/>
      <c r="N146" s="1581"/>
      <c r="O146" s="1581"/>
      <c r="P146" s="1581">
        <f t="shared" si="29"/>
        <v>0</v>
      </c>
      <c r="Q146" s="1581"/>
      <c r="R146" s="1611">
        <f t="shared" si="30"/>
        <v>0</v>
      </c>
      <c r="S146" s="1611">
        <f t="shared" si="31"/>
        <v>0</v>
      </c>
      <c r="T146" s="1611">
        <f t="shared" si="32"/>
        <v>0</v>
      </c>
    </row>
    <row r="147" spans="1:21">
      <c r="A147" s="1609">
        <v>109</v>
      </c>
      <c r="B147" s="1579" t="s">
        <v>1435</v>
      </c>
      <c r="C147" s="1647" t="s">
        <v>1436</v>
      </c>
      <c r="D147" s="1618" t="s">
        <v>1022</v>
      </c>
      <c r="E147" s="1581"/>
      <c r="F147" s="1581"/>
      <c r="G147" s="1581"/>
      <c r="H147" s="1581"/>
      <c r="I147" s="1609">
        <v>6</v>
      </c>
      <c r="J147" s="1609">
        <v>205</v>
      </c>
      <c r="K147" s="1581"/>
      <c r="L147" s="1622">
        <v>10</v>
      </c>
      <c r="M147" s="1622">
        <v>10</v>
      </c>
      <c r="N147" s="1581"/>
      <c r="O147" s="1581"/>
      <c r="P147" s="1581">
        <f t="shared" si="29"/>
        <v>10</v>
      </c>
      <c r="Q147" s="1581">
        <f>7000*1.07</f>
        <v>7490</v>
      </c>
      <c r="R147" s="1611">
        <f t="shared" si="30"/>
        <v>74900</v>
      </c>
      <c r="S147" s="1611">
        <f t="shared" si="31"/>
        <v>2129.8578199052131</v>
      </c>
      <c r="T147" s="1611">
        <f t="shared" si="32"/>
        <v>72770.142180094786</v>
      </c>
    </row>
    <row r="148" spans="1:21" ht="34.5" customHeight="1">
      <c r="A148" s="1609">
        <v>110</v>
      </c>
      <c r="B148" s="1618" t="s">
        <v>1437</v>
      </c>
      <c r="C148" s="1579" t="s">
        <v>1438</v>
      </c>
      <c r="D148" s="1618" t="s">
        <v>1022</v>
      </c>
      <c r="E148" s="1581"/>
      <c r="F148" s="1581"/>
      <c r="G148" s="1581"/>
      <c r="H148" s="1581"/>
      <c r="I148" s="1609">
        <v>6</v>
      </c>
      <c r="J148" s="1609">
        <v>205</v>
      </c>
      <c r="K148" s="1581"/>
      <c r="L148" s="1618">
        <v>35</v>
      </c>
      <c r="M148" s="1618">
        <v>35</v>
      </c>
      <c r="N148" s="1581"/>
      <c r="O148" s="1581"/>
      <c r="P148" s="1581">
        <f t="shared" si="29"/>
        <v>35</v>
      </c>
      <c r="Q148" s="1581">
        <f>200*1.07</f>
        <v>214</v>
      </c>
      <c r="R148" s="1611">
        <f t="shared" si="30"/>
        <v>7490</v>
      </c>
      <c r="S148" s="1611">
        <f t="shared" si="31"/>
        <v>212.9857819905213</v>
      </c>
      <c r="T148" s="1611">
        <f t="shared" si="32"/>
        <v>7277.014218009479</v>
      </c>
    </row>
    <row r="149" spans="1:21" ht="34.5" hidden="1" customHeight="1">
      <c r="A149" s="1609">
        <v>111</v>
      </c>
      <c r="B149" s="1618" t="s">
        <v>1437</v>
      </c>
      <c r="C149" s="1579" t="s">
        <v>1439</v>
      </c>
      <c r="D149" s="1618"/>
      <c r="E149" s="1581"/>
      <c r="F149" s="1581"/>
      <c r="G149" s="1581"/>
      <c r="H149" s="1581"/>
      <c r="I149" s="1609"/>
      <c r="J149" s="1609"/>
      <c r="K149" s="1581"/>
      <c r="L149" s="1618"/>
      <c r="M149" s="1618"/>
      <c r="N149" s="1581"/>
      <c r="O149" s="1581"/>
      <c r="P149" s="1581"/>
      <c r="Q149" s="1581"/>
      <c r="R149" s="1611"/>
      <c r="S149" s="1611"/>
      <c r="T149" s="1611"/>
    </row>
    <row r="150" spans="1:21">
      <c r="A150" s="1609">
        <v>112</v>
      </c>
      <c r="B150" s="1618" t="s">
        <v>1440</v>
      </c>
      <c r="C150" s="1579" t="s">
        <v>1441</v>
      </c>
      <c r="D150" s="1618" t="s">
        <v>1022</v>
      </c>
      <c r="E150" s="1581"/>
      <c r="F150" s="1581"/>
      <c r="G150" s="1581"/>
      <c r="H150" s="1581"/>
      <c r="I150" s="1609">
        <v>6</v>
      </c>
      <c r="J150" s="1609">
        <v>205</v>
      </c>
      <c r="K150" s="1581"/>
      <c r="L150" s="1618">
        <v>18</v>
      </c>
      <c r="M150" s="1618">
        <v>18</v>
      </c>
      <c r="N150" s="1581"/>
      <c r="O150" s="1581"/>
      <c r="P150" s="1581">
        <f t="shared" si="29"/>
        <v>18</v>
      </c>
      <c r="Q150" s="1581">
        <f>1500*1.07</f>
        <v>1605</v>
      </c>
      <c r="R150" s="1611">
        <f t="shared" si="30"/>
        <v>28890</v>
      </c>
      <c r="S150" s="1611">
        <f t="shared" si="31"/>
        <v>821.51658767772506</v>
      </c>
      <c r="T150" s="1611">
        <f t="shared" si="32"/>
        <v>28068.483412322275</v>
      </c>
    </row>
    <row r="151" spans="1:21">
      <c r="A151" s="1609">
        <v>113</v>
      </c>
      <c r="B151" s="1618" t="s">
        <v>1442</v>
      </c>
      <c r="C151" s="1579" t="s">
        <v>1443</v>
      </c>
      <c r="D151" s="1618" t="s">
        <v>1022</v>
      </c>
      <c r="E151" s="1581"/>
      <c r="F151" s="1581"/>
      <c r="G151" s="1581"/>
      <c r="H151" s="1581"/>
      <c r="I151" s="1609">
        <v>6</v>
      </c>
      <c r="J151" s="1609">
        <v>205</v>
      </c>
      <c r="K151" s="1581"/>
      <c r="L151" s="1618">
        <v>15</v>
      </c>
      <c r="M151" s="1618">
        <v>15</v>
      </c>
      <c r="N151" s="1581"/>
      <c r="O151" s="1581"/>
      <c r="P151" s="1581">
        <f t="shared" si="29"/>
        <v>15</v>
      </c>
      <c r="Q151" s="1581">
        <f>7000*1.07</f>
        <v>7490</v>
      </c>
      <c r="R151" s="1611">
        <f t="shared" si="30"/>
        <v>112350</v>
      </c>
      <c r="S151" s="1611">
        <f t="shared" si="31"/>
        <v>3194.7867298578199</v>
      </c>
      <c r="T151" s="1611">
        <f t="shared" si="32"/>
        <v>109155.21327014218</v>
      </c>
    </row>
    <row r="152" spans="1:21">
      <c r="A152" s="1609">
        <v>114</v>
      </c>
      <c r="B152" s="1620" t="s">
        <v>1444</v>
      </c>
      <c r="C152" s="1579" t="s">
        <v>1445</v>
      </c>
      <c r="D152" s="1620" t="s">
        <v>1022</v>
      </c>
      <c r="E152" s="1581"/>
      <c r="F152" s="1581"/>
      <c r="G152" s="1581"/>
      <c r="H152" s="1581"/>
      <c r="I152" s="1609">
        <v>6</v>
      </c>
      <c r="J152" s="1609">
        <v>205</v>
      </c>
      <c r="K152" s="1581"/>
      <c r="L152" s="1620">
        <v>15</v>
      </c>
      <c r="M152" s="1620">
        <v>15</v>
      </c>
      <c r="N152" s="1581"/>
      <c r="O152" s="1581"/>
      <c r="P152" s="1581">
        <f t="shared" si="29"/>
        <v>15</v>
      </c>
      <c r="Q152" s="1581">
        <f>3000*1.07</f>
        <v>3210</v>
      </c>
      <c r="R152" s="1611">
        <f t="shared" si="30"/>
        <v>48150</v>
      </c>
      <c r="S152" s="1611">
        <f t="shared" si="31"/>
        <v>1369.1943127962086</v>
      </c>
      <c r="T152" s="1611">
        <f t="shared" si="32"/>
        <v>46780.805687203792</v>
      </c>
    </row>
    <row r="153" spans="1:21" ht="38.25">
      <c r="A153" s="1609">
        <v>115</v>
      </c>
      <c r="B153" s="1618" t="s">
        <v>1446</v>
      </c>
      <c r="C153" s="917" t="s">
        <v>1447</v>
      </c>
      <c r="D153" s="1619" t="s">
        <v>1268</v>
      </c>
      <c r="E153" s="1581"/>
      <c r="F153" s="1609"/>
      <c r="G153" s="1609"/>
      <c r="H153" s="1609"/>
      <c r="I153" s="1609">
        <v>6</v>
      </c>
      <c r="J153" s="1609">
        <v>205</v>
      </c>
      <c r="K153" s="1609"/>
      <c r="L153" s="1623">
        <v>260</v>
      </c>
      <c r="M153" s="1623">
        <v>270</v>
      </c>
      <c r="N153" s="1609"/>
      <c r="O153" s="1609"/>
      <c r="P153" s="1581">
        <f t="shared" si="29"/>
        <v>260</v>
      </c>
      <c r="Q153" s="1610">
        <f>250*1.07</f>
        <v>267.5</v>
      </c>
      <c r="R153" s="1611">
        <f t="shared" si="30"/>
        <v>69550</v>
      </c>
      <c r="S153" s="1611">
        <f t="shared" si="31"/>
        <v>1977.7251184834122</v>
      </c>
      <c r="T153" s="1611">
        <f t="shared" si="32"/>
        <v>67572.274881516583</v>
      </c>
    </row>
    <row r="154" spans="1:21" ht="25.5">
      <c r="A154" s="1609">
        <v>116</v>
      </c>
      <c r="B154" s="1618" t="s">
        <v>1446</v>
      </c>
      <c r="C154" s="917" t="s">
        <v>1448</v>
      </c>
      <c r="D154" s="1619" t="s">
        <v>1268</v>
      </c>
      <c r="E154" s="1581"/>
      <c r="F154" s="1609"/>
      <c r="G154" s="1609"/>
      <c r="H154" s="1609"/>
      <c r="I154" s="1609">
        <v>6</v>
      </c>
      <c r="J154" s="1609">
        <v>205</v>
      </c>
      <c r="K154" s="1609"/>
      <c r="L154" s="1623">
        <v>260</v>
      </c>
      <c r="M154" s="1623">
        <v>270</v>
      </c>
      <c r="N154" s="1609"/>
      <c r="O154" s="1609"/>
      <c r="P154" s="1581">
        <f t="shared" si="29"/>
        <v>260</v>
      </c>
      <c r="Q154" s="1610">
        <f>300*1.07</f>
        <v>321</v>
      </c>
      <c r="R154" s="1611">
        <f t="shared" si="30"/>
        <v>83460</v>
      </c>
      <c r="S154" s="1611">
        <f t="shared" si="31"/>
        <v>2373.2701421800948</v>
      </c>
      <c r="T154" s="1611">
        <f t="shared" si="32"/>
        <v>81086.729857819912</v>
      </c>
    </row>
    <row r="155" spans="1:21" ht="25.5">
      <c r="A155" s="1609">
        <v>117</v>
      </c>
      <c r="B155" s="1618" t="s">
        <v>1449</v>
      </c>
      <c r="C155" s="1579" t="s">
        <v>1450</v>
      </c>
      <c r="D155" s="1618" t="s">
        <v>1022</v>
      </c>
      <c r="E155" s="1581"/>
      <c r="F155" s="1581"/>
      <c r="G155" s="1581"/>
      <c r="H155" s="1581"/>
      <c r="I155" s="1609">
        <v>6</v>
      </c>
      <c r="J155" s="1609">
        <v>205</v>
      </c>
      <c r="K155" s="1581"/>
      <c r="L155" s="1622">
        <v>7</v>
      </c>
      <c r="M155" s="1622">
        <v>7</v>
      </c>
      <c r="N155" s="1581"/>
      <c r="O155" s="1581"/>
      <c r="P155" s="1581">
        <f t="shared" si="29"/>
        <v>7</v>
      </c>
      <c r="Q155" s="1581">
        <f>5000*1.07</f>
        <v>5350</v>
      </c>
      <c r="R155" s="1611">
        <f t="shared" si="30"/>
        <v>37450</v>
      </c>
      <c r="S155" s="1611">
        <f t="shared" si="31"/>
        <v>1064.9289099526065</v>
      </c>
      <c r="T155" s="1611">
        <f t="shared" si="32"/>
        <v>36385.071090047393</v>
      </c>
    </row>
    <row r="156" spans="1:21" ht="25.5" hidden="1">
      <c r="A156" s="1609">
        <v>97</v>
      </c>
      <c r="B156" s="1619" t="s">
        <v>1451</v>
      </c>
      <c r="C156" s="917" t="s">
        <v>1450</v>
      </c>
      <c r="D156" s="1619" t="s">
        <v>1268</v>
      </c>
      <c r="E156" s="1581"/>
      <c r="F156" s="1609"/>
      <c r="G156" s="1609"/>
      <c r="H156" s="1609"/>
      <c r="I156" s="1609">
        <v>6</v>
      </c>
      <c r="J156" s="1609">
        <v>205</v>
      </c>
      <c r="K156" s="1609"/>
      <c r="L156" s="1619"/>
      <c r="M156" s="1619"/>
      <c r="N156" s="1609"/>
      <c r="O156" s="1609"/>
      <c r="P156" s="1581">
        <f t="shared" si="29"/>
        <v>0</v>
      </c>
      <c r="Q156" s="1610"/>
      <c r="R156" s="1611">
        <f t="shared" si="30"/>
        <v>0</v>
      </c>
      <c r="S156" s="1611">
        <f t="shared" si="31"/>
        <v>0</v>
      </c>
      <c r="T156" s="1611">
        <f t="shared" si="32"/>
        <v>0</v>
      </c>
      <c r="U156" s="1580">
        <v>1500</v>
      </c>
    </row>
    <row r="157" spans="1:21" ht="38.25">
      <c r="A157" s="1609">
        <v>118</v>
      </c>
      <c r="B157" s="1619" t="s">
        <v>1452</v>
      </c>
      <c r="C157" s="917" t="s">
        <v>1453</v>
      </c>
      <c r="D157" s="1619" t="s">
        <v>1268</v>
      </c>
      <c r="E157" s="1581"/>
      <c r="F157" s="1609"/>
      <c r="G157" s="1609"/>
      <c r="H157" s="1609"/>
      <c r="I157" s="1609">
        <v>6</v>
      </c>
      <c r="J157" s="1609">
        <v>205</v>
      </c>
      <c r="K157" s="1609"/>
      <c r="L157" s="1619">
        <v>3</v>
      </c>
      <c r="M157" s="1619">
        <v>3</v>
      </c>
      <c r="N157" s="1609"/>
      <c r="O157" s="1609"/>
      <c r="P157" s="1581">
        <f t="shared" si="29"/>
        <v>3</v>
      </c>
      <c r="Q157" s="1610">
        <f>4000*1.07</f>
        <v>4280</v>
      </c>
      <c r="R157" s="1611">
        <f t="shared" si="30"/>
        <v>12840</v>
      </c>
      <c r="S157" s="1611">
        <f t="shared" si="31"/>
        <v>365.11848341232223</v>
      </c>
      <c r="T157" s="1611">
        <f t="shared" si="32"/>
        <v>12474.881516587679</v>
      </c>
    </row>
    <row r="158" spans="1:21">
      <c r="A158" s="1609">
        <v>119</v>
      </c>
      <c r="B158" s="1618" t="s">
        <v>1454</v>
      </c>
      <c r="C158" s="1579" t="s">
        <v>1455</v>
      </c>
      <c r="D158" s="1618" t="s">
        <v>1268</v>
      </c>
      <c r="E158" s="1581"/>
      <c r="F158" s="1581"/>
      <c r="G158" s="1581"/>
      <c r="H158" s="1581"/>
      <c r="I158" s="1609">
        <v>6</v>
      </c>
      <c r="J158" s="1609">
        <v>205</v>
      </c>
      <c r="K158" s="1581"/>
      <c r="L158" s="1618">
        <v>21</v>
      </c>
      <c r="M158" s="1618">
        <v>24</v>
      </c>
      <c r="N158" s="1581"/>
      <c r="O158" s="1581"/>
      <c r="P158" s="1581">
        <f t="shared" si="29"/>
        <v>21</v>
      </c>
      <c r="Q158" s="1581">
        <f>2600*1.07</f>
        <v>2782</v>
      </c>
      <c r="R158" s="1611">
        <f t="shared" si="30"/>
        <v>58422</v>
      </c>
      <c r="S158" s="1611">
        <f t="shared" si="31"/>
        <v>1661.2890995260664</v>
      </c>
      <c r="T158" s="1611">
        <f t="shared" si="32"/>
        <v>56760.710900473932</v>
      </c>
    </row>
    <row r="159" spans="1:21">
      <c r="A159" s="1609">
        <v>120</v>
      </c>
      <c r="B159" s="1618" t="s">
        <v>1456</v>
      </c>
      <c r="C159" s="1579" t="s">
        <v>1457</v>
      </c>
      <c r="D159" s="1618" t="s">
        <v>1268</v>
      </c>
      <c r="E159" s="1581"/>
      <c r="F159" s="1581"/>
      <c r="G159" s="1581"/>
      <c r="H159" s="1581"/>
      <c r="I159" s="1609">
        <v>6</v>
      </c>
      <c r="J159" s="1609">
        <v>205</v>
      </c>
      <c r="K159" s="1581"/>
      <c r="L159" s="1618">
        <v>21</v>
      </c>
      <c r="M159" s="1618">
        <v>24</v>
      </c>
      <c r="N159" s="1581"/>
      <c r="O159" s="1581"/>
      <c r="P159" s="1581">
        <f t="shared" si="29"/>
        <v>21</v>
      </c>
      <c r="Q159" s="1581">
        <f>3900*1.07</f>
        <v>4173</v>
      </c>
      <c r="R159" s="1611">
        <f t="shared" si="30"/>
        <v>87633</v>
      </c>
      <c r="S159" s="1611">
        <f t="shared" si="31"/>
        <v>2491.9336492890993</v>
      </c>
      <c r="T159" s="1611">
        <f t="shared" si="32"/>
        <v>85141.066350710898</v>
      </c>
    </row>
    <row r="160" spans="1:21">
      <c r="A160" s="1609">
        <v>121</v>
      </c>
      <c r="B160" s="1618" t="s">
        <v>1458</v>
      </c>
      <c r="C160" s="1579" t="s">
        <v>1457</v>
      </c>
      <c r="D160" s="1618" t="s">
        <v>1268</v>
      </c>
      <c r="E160" s="1581"/>
      <c r="F160" s="1581"/>
      <c r="G160" s="1581"/>
      <c r="H160" s="1581"/>
      <c r="I160" s="1609">
        <v>6</v>
      </c>
      <c r="J160" s="1609">
        <v>205</v>
      </c>
      <c r="K160" s="1581"/>
      <c r="L160" s="1618">
        <v>7</v>
      </c>
      <c r="M160" s="1618">
        <v>8</v>
      </c>
      <c r="N160" s="1581"/>
      <c r="O160" s="1581"/>
      <c r="P160" s="1581">
        <f t="shared" si="29"/>
        <v>7</v>
      </c>
      <c r="Q160" s="1581">
        <f>4700*1.07</f>
        <v>5029</v>
      </c>
      <c r="R160" s="1611">
        <f t="shared" si="30"/>
        <v>35203</v>
      </c>
      <c r="S160" s="1611">
        <f t="shared" si="31"/>
        <v>1001.0331753554502</v>
      </c>
      <c r="T160" s="1611">
        <f t="shared" si="32"/>
        <v>34201.966824644551</v>
      </c>
    </row>
    <row r="161" spans="1:21">
      <c r="A161" s="1609">
        <v>122</v>
      </c>
      <c r="B161" s="1618" t="s">
        <v>1459</v>
      </c>
      <c r="C161" s="1579" t="s">
        <v>1457</v>
      </c>
      <c r="D161" s="1618" t="s">
        <v>1268</v>
      </c>
      <c r="E161" s="1581"/>
      <c r="F161" s="1581"/>
      <c r="G161" s="1581"/>
      <c r="H161" s="1581"/>
      <c r="I161" s="1609">
        <v>6</v>
      </c>
      <c r="J161" s="1609">
        <v>205</v>
      </c>
      <c r="K161" s="1581"/>
      <c r="L161" s="1618">
        <v>4</v>
      </c>
      <c r="M161" s="1618">
        <v>4</v>
      </c>
      <c r="N161" s="1581"/>
      <c r="O161" s="1581"/>
      <c r="P161" s="1581">
        <f t="shared" si="29"/>
        <v>4</v>
      </c>
      <c r="Q161" s="1581">
        <f>6100*1.07</f>
        <v>6527</v>
      </c>
      <c r="R161" s="1611">
        <f t="shared" si="30"/>
        <v>26108</v>
      </c>
      <c r="S161" s="1611">
        <f t="shared" si="31"/>
        <v>742.4075829383886</v>
      </c>
      <c r="T161" s="1611">
        <f t="shared" si="32"/>
        <v>25365.592417061613</v>
      </c>
    </row>
    <row r="162" spans="1:21">
      <c r="A162" s="1609">
        <v>123</v>
      </c>
      <c r="B162" s="1619" t="s">
        <v>1460</v>
      </c>
      <c r="C162" s="1579" t="s">
        <v>1461</v>
      </c>
      <c r="D162" s="1619" t="s">
        <v>1268</v>
      </c>
      <c r="E162" s="1581"/>
      <c r="F162" s="1581"/>
      <c r="G162" s="1581"/>
      <c r="H162" s="1609"/>
      <c r="I162" s="1609">
        <v>6</v>
      </c>
      <c r="J162" s="1609">
        <v>205</v>
      </c>
      <c r="K162" s="1609"/>
      <c r="L162" s="1619">
        <v>75</v>
      </c>
      <c r="M162" s="1619">
        <v>90</v>
      </c>
      <c r="N162" s="1609"/>
      <c r="O162" s="1609"/>
      <c r="P162" s="1581">
        <f t="shared" si="29"/>
        <v>75</v>
      </c>
      <c r="Q162" s="1609">
        <f>5000*1.07</f>
        <v>5350</v>
      </c>
      <c r="R162" s="1611">
        <f t="shared" si="30"/>
        <v>401250</v>
      </c>
      <c r="S162" s="1611">
        <f t="shared" si="31"/>
        <v>11409.95260663507</v>
      </c>
      <c r="T162" s="1611">
        <f t="shared" si="32"/>
        <v>389840.04739336495</v>
      </c>
    </row>
    <row r="163" spans="1:21" ht="25.5">
      <c r="A163" s="1609">
        <v>124</v>
      </c>
      <c r="B163" s="1620" t="s">
        <v>1462</v>
      </c>
      <c r="C163" s="1579" t="s">
        <v>1463</v>
      </c>
      <c r="D163" s="1620" t="s">
        <v>1268</v>
      </c>
      <c r="E163" s="1581"/>
      <c r="F163" s="1581"/>
      <c r="G163" s="1581"/>
      <c r="H163" s="1581"/>
      <c r="I163" s="1609">
        <v>6</v>
      </c>
      <c r="J163" s="1609">
        <v>205</v>
      </c>
      <c r="K163" s="1581"/>
      <c r="L163" s="1620">
        <v>50</v>
      </c>
      <c r="M163" s="1620">
        <v>50</v>
      </c>
      <c r="N163" s="1581"/>
      <c r="O163" s="1581"/>
      <c r="P163" s="1581">
        <f t="shared" si="29"/>
        <v>50</v>
      </c>
      <c r="Q163" s="1581">
        <f>550*1.07</f>
        <v>588.5</v>
      </c>
      <c r="R163" s="1611">
        <f t="shared" si="30"/>
        <v>29425</v>
      </c>
      <c r="S163" s="1611">
        <f t="shared" si="31"/>
        <v>836.72985781990519</v>
      </c>
      <c r="T163" s="1611">
        <f t="shared" si="32"/>
        <v>28588.270142180096</v>
      </c>
    </row>
    <row r="164" spans="1:21" ht="25.5">
      <c r="A164" s="1609">
        <v>125</v>
      </c>
      <c r="B164" s="1625" t="s">
        <v>1464</v>
      </c>
      <c r="C164" s="1579" t="s">
        <v>1465</v>
      </c>
      <c r="D164" s="1625" t="s">
        <v>1268</v>
      </c>
      <c r="E164" s="1581"/>
      <c r="F164" s="1581"/>
      <c r="G164" s="1581"/>
      <c r="H164" s="1581"/>
      <c r="I164" s="1609">
        <v>6</v>
      </c>
      <c r="J164" s="1609">
        <v>205</v>
      </c>
      <c r="K164" s="1581"/>
      <c r="L164" s="1625">
        <v>50</v>
      </c>
      <c r="M164" s="1625">
        <v>100</v>
      </c>
      <c r="N164" s="1581"/>
      <c r="O164" s="1581"/>
      <c r="P164" s="1581">
        <f t="shared" si="29"/>
        <v>50</v>
      </c>
      <c r="Q164" s="1581">
        <f>800*1.07</f>
        <v>856</v>
      </c>
      <c r="R164" s="1611">
        <f t="shared" si="30"/>
        <v>42800</v>
      </c>
      <c r="S164" s="1611">
        <f t="shared" si="31"/>
        <v>1217.0616113744074</v>
      </c>
      <c r="T164" s="1611">
        <f t="shared" si="32"/>
        <v>41582.938388625589</v>
      </c>
    </row>
    <row r="165" spans="1:21" ht="25.5">
      <c r="A165" s="1609">
        <v>126</v>
      </c>
      <c r="B165" s="1625" t="s">
        <v>1464</v>
      </c>
      <c r="C165" s="1579" t="s">
        <v>1466</v>
      </c>
      <c r="D165" s="1625" t="s">
        <v>1268</v>
      </c>
      <c r="E165" s="1581"/>
      <c r="F165" s="1581"/>
      <c r="G165" s="1581"/>
      <c r="H165" s="1581"/>
      <c r="I165" s="1609">
        <v>6</v>
      </c>
      <c r="J165" s="1609">
        <v>205</v>
      </c>
      <c r="K165" s="1581"/>
      <c r="L165" s="1625">
        <v>50</v>
      </c>
      <c r="M165" s="1625">
        <v>100</v>
      </c>
      <c r="N165" s="1581"/>
      <c r="O165" s="1581"/>
      <c r="P165" s="1581">
        <f t="shared" si="29"/>
        <v>50</v>
      </c>
      <c r="Q165" s="1581">
        <f>680*1.07</f>
        <v>727.6</v>
      </c>
      <c r="R165" s="1611">
        <f t="shared" si="30"/>
        <v>36380</v>
      </c>
      <c r="S165" s="1611">
        <f t="shared" si="31"/>
        <v>1034.5023696682465</v>
      </c>
      <c r="T165" s="1611">
        <f t="shared" si="32"/>
        <v>35345.497630331753</v>
      </c>
    </row>
    <row r="166" spans="1:21" ht="25.5">
      <c r="A166" s="1609">
        <v>127</v>
      </c>
      <c r="B166" s="1625" t="s">
        <v>1464</v>
      </c>
      <c r="C166" s="1579" t="s">
        <v>1467</v>
      </c>
      <c r="D166" s="1625" t="s">
        <v>1268</v>
      </c>
      <c r="E166" s="1581"/>
      <c r="F166" s="1581"/>
      <c r="G166" s="1581"/>
      <c r="H166" s="1581"/>
      <c r="I166" s="1609">
        <v>6</v>
      </c>
      <c r="J166" s="1609">
        <v>205</v>
      </c>
      <c r="K166" s="1581"/>
      <c r="L166" s="1625">
        <v>50</v>
      </c>
      <c r="M166" s="1625">
        <v>100</v>
      </c>
      <c r="N166" s="1581"/>
      <c r="O166" s="1581"/>
      <c r="P166" s="1581">
        <f t="shared" si="29"/>
        <v>50</v>
      </c>
      <c r="Q166" s="1581">
        <f>1120*1.07</f>
        <v>1198.4000000000001</v>
      </c>
      <c r="R166" s="1611">
        <f t="shared" si="30"/>
        <v>59920.000000000007</v>
      </c>
      <c r="S166" s="1611">
        <f t="shared" si="31"/>
        <v>1703.8862559241707</v>
      </c>
      <c r="T166" s="1611">
        <f t="shared" si="32"/>
        <v>58216.113744075839</v>
      </c>
    </row>
    <row r="167" spans="1:21">
      <c r="A167" s="1609">
        <v>128</v>
      </c>
      <c r="B167" s="1618" t="s">
        <v>1468</v>
      </c>
      <c r="C167" s="1579"/>
      <c r="D167" s="1618" t="s">
        <v>1022</v>
      </c>
      <c r="E167" s="1581"/>
      <c r="F167" s="1581"/>
      <c r="G167" s="1581"/>
      <c r="H167" s="1581"/>
      <c r="I167" s="1609">
        <v>6</v>
      </c>
      <c r="J167" s="1609">
        <v>205</v>
      </c>
      <c r="K167" s="1581"/>
      <c r="L167" s="1618">
        <v>1</v>
      </c>
      <c r="M167" s="1618">
        <v>1</v>
      </c>
      <c r="N167" s="1581"/>
      <c r="O167" s="1581"/>
      <c r="P167" s="1581">
        <f t="shared" si="29"/>
        <v>1</v>
      </c>
      <c r="Q167" s="1581">
        <f>50000*1.07</f>
        <v>53500</v>
      </c>
      <c r="R167" s="1611">
        <f t="shared" si="30"/>
        <v>53500</v>
      </c>
      <c r="S167" s="1611">
        <f t="shared" si="31"/>
        <v>1521.3270142180095</v>
      </c>
      <c r="T167" s="1611">
        <f t="shared" si="32"/>
        <v>51978.672985781988</v>
      </c>
    </row>
    <row r="168" spans="1:21">
      <c r="A168" s="1609">
        <v>129</v>
      </c>
      <c r="B168" s="1618" t="s">
        <v>1469</v>
      </c>
      <c r="C168" s="1668" t="s">
        <v>1470</v>
      </c>
      <c r="D168" s="1618" t="s">
        <v>1268</v>
      </c>
      <c r="E168" s="1581"/>
      <c r="F168" s="1581"/>
      <c r="G168" s="1581"/>
      <c r="H168" s="1581"/>
      <c r="I168" s="1609">
        <v>6</v>
      </c>
      <c r="J168" s="1609">
        <v>205</v>
      </c>
      <c r="K168" s="1581"/>
      <c r="L168" s="1620">
        <v>50</v>
      </c>
      <c r="M168" s="1620">
        <v>50</v>
      </c>
      <c r="N168" s="1581"/>
      <c r="O168" s="1581"/>
      <c r="P168" s="1581">
        <f t="shared" si="29"/>
        <v>50</v>
      </c>
      <c r="Q168" s="1581">
        <f>710*1.07</f>
        <v>759.7</v>
      </c>
      <c r="R168" s="1611">
        <f t="shared" si="30"/>
        <v>37985</v>
      </c>
      <c r="S168" s="1611">
        <f t="shared" si="31"/>
        <v>1080.1421800947867</v>
      </c>
      <c r="T168" s="1611">
        <f t="shared" si="32"/>
        <v>36904.857819905214</v>
      </c>
    </row>
    <row r="169" spans="1:21">
      <c r="A169" s="1609">
        <v>130</v>
      </c>
      <c r="B169" s="1622" t="s">
        <v>1471</v>
      </c>
      <c r="C169" s="1579" t="s">
        <v>1472</v>
      </c>
      <c r="D169" s="1622" t="s">
        <v>1022</v>
      </c>
      <c r="E169" s="1581"/>
      <c r="F169" s="1581"/>
      <c r="G169" s="1581"/>
      <c r="H169" s="1581"/>
      <c r="I169" s="1609">
        <v>6</v>
      </c>
      <c r="J169" s="1609">
        <v>205</v>
      </c>
      <c r="K169" s="1581"/>
      <c r="L169" s="1610">
        <v>100</v>
      </c>
      <c r="M169" s="1610">
        <v>100</v>
      </c>
      <c r="N169" s="1581"/>
      <c r="O169" s="1581"/>
      <c r="P169" s="1581">
        <f t="shared" si="29"/>
        <v>100</v>
      </c>
      <c r="Q169" s="1581">
        <f>380*1.07</f>
        <v>406.6</v>
      </c>
      <c r="R169" s="1611">
        <f t="shared" si="30"/>
        <v>40660</v>
      </c>
      <c r="S169" s="1611">
        <f t="shared" si="31"/>
        <v>1156.2085308056871</v>
      </c>
      <c r="T169" s="1611">
        <f t="shared" si="32"/>
        <v>39503.791469194315</v>
      </c>
    </row>
    <row r="170" spans="1:21" hidden="1">
      <c r="A170" s="1609">
        <v>204</v>
      </c>
      <c r="B170" s="1620" t="s">
        <v>1473</v>
      </c>
      <c r="C170" s="1579" t="s">
        <v>1474</v>
      </c>
      <c r="D170" s="1620" t="s">
        <v>1022</v>
      </c>
      <c r="E170" s="1581"/>
      <c r="F170" s="1581"/>
      <c r="G170" s="1581"/>
      <c r="H170" s="1581"/>
      <c r="I170" s="1609">
        <v>6</v>
      </c>
      <c r="J170" s="1609">
        <v>205</v>
      </c>
      <c r="K170" s="1581"/>
      <c r="L170" s="1620"/>
      <c r="M170" s="1620"/>
      <c r="N170" s="1581"/>
      <c r="O170" s="1581"/>
      <c r="P170" s="1581"/>
      <c r="Q170" s="1581"/>
      <c r="R170" s="1611"/>
      <c r="S170" s="1611"/>
      <c r="T170" s="1611"/>
      <c r="U170" s="1580" t="s">
        <v>1475</v>
      </c>
    </row>
    <row r="171" spans="1:21">
      <c r="A171" s="1609">
        <v>131</v>
      </c>
      <c r="B171" s="1618" t="s">
        <v>1476</v>
      </c>
      <c r="C171" s="1579" t="s">
        <v>1477</v>
      </c>
      <c r="D171" s="1618" t="s">
        <v>1022</v>
      </c>
      <c r="E171" s="1581"/>
      <c r="F171" s="1581"/>
      <c r="G171" s="1581"/>
      <c r="H171" s="1581"/>
      <c r="I171" s="1609">
        <v>6</v>
      </c>
      <c r="J171" s="1609">
        <v>205</v>
      </c>
      <c r="K171" s="1581"/>
      <c r="L171" s="1618">
        <v>50</v>
      </c>
      <c r="M171" s="1618">
        <v>50</v>
      </c>
      <c r="N171" s="1581"/>
      <c r="O171" s="1581"/>
      <c r="P171" s="1581">
        <f t="shared" si="29"/>
        <v>50</v>
      </c>
      <c r="Q171" s="1581">
        <f>1100*1.07</f>
        <v>1177</v>
      </c>
      <c r="R171" s="1611">
        <f t="shared" si="30"/>
        <v>58850</v>
      </c>
      <c r="S171" s="1611">
        <f t="shared" si="31"/>
        <v>1673.4597156398104</v>
      </c>
      <c r="T171" s="1611">
        <f t="shared" si="32"/>
        <v>57176.540284360191</v>
      </c>
    </row>
    <row r="172" spans="1:21">
      <c r="A172" s="1609">
        <v>132</v>
      </c>
      <c r="B172" s="1618" t="s">
        <v>1476</v>
      </c>
      <c r="C172" s="1579" t="s">
        <v>1478</v>
      </c>
      <c r="D172" s="1618" t="s">
        <v>1022</v>
      </c>
      <c r="E172" s="1581"/>
      <c r="F172" s="1581"/>
      <c r="G172" s="1581"/>
      <c r="H172" s="1581"/>
      <c r="I172" s="1609">
        <v>6</v>
      </c>
      <c r="J172" s="1609">
        <v>205</v>
      </c>
      <c r="K172" s="1581"/>
      <c r="L172" s="1618">
        <v>50</v>
      </c>
      <c r="M172" s="1618">
        <v>50</v>
      </c>
      <c r="N172" s="1581"/>
      <c r="O172" s="1581"/>
      <c r="P172" s="1581">
        <f t="shared" si="29"/>
        <v>50</v>
      </c>
      <c r="Q172" s="1581">
        <f>1300*1.07</f>
        <v>1391</v>
      </c>
      <c r="R172" s="1611">
        <f t="shared" si="30"/>
        <v>69550</v>
      </c>
      <c r="S172" s="1611">
        <f t="shared" si="31"/>
        <v>1977.7251184834122</v>
      </c>
      <c r="T172" s="1611">
        <f t="shared" si="32"/>
        <v>67572.274881516583</v>
      </c>
    </row>
    <row r="173" spans="1:21">
      <c r="A173" s="1609">
        <v>133</v>
      </c>
      <c r="B173" s="1618" t="s">
        <v>1476</v>
      </c>
      <c r="C173" s="1579" t="s">
        <v>1479</v>
      </c>
      <c r="D173" s="1618" t="s">
        <v>1022</v>
      </c>
      <c r="E173" s="1581"/>
      <c r="F173" s="1581"/>
      <c r="G173" s="1581"/>
      <c r="H173" s="1581"/>
      <c r="I173" s="1609">
        <v>6</v>
      </c>
      <c r="J173" s="1609">
        <v>205</v>
      </c>
      <c r="K173" s="1581"/>
      <c r="L173" s="1618">
        <v>25</v>
      </c>
      <c r="M173" s="1618">
        <v>25</v>
      </c>
      <c r="N173" s="1581"/>
      <c r="O173" s="1581"/>
      <c r="P173" s="1581">
        <f t="shared" ref="P173:P203" si="33">L173-O173</f>
        <v>25</v>
      </c>
      <c r="Q173" s="1581">
        <f>1900*1.07</f>
        <v>2033.0000000000002</v>
      </c>
      <c r="R173" s="1611">
        <f t="shared" ref="R173:R203" si="34">P173*Q173</f>
        <v>50825.000000000007</v>
      </c>
      <c r="S173" s="1611">
        <f t="shared" ref="S173:S203" si="35">R173*(I173/(I173+J173+K173))</f>
        <v>1445.2606635071093</v>
      </c>
      <c r="T173" s="1611">
        <f t="shared" ref="T173:T203" si="36">R173-S173</f>
        <v>49379.739336492901</v>
      </c>
    </row>
    <row r="174" spans="1:21">
      <c r="A174" s="1609">
        <v>134</v>
      </c>
      <c r="B174" s="1618" t="s">
        <v>1476</v>
      </c>
      <c r="C174" s="1579" t="s">
        <v>1480</v>
      </c>
      <c r="D174" s="1618" t="s">
        <v>1022</v>
      </c>
      <c r="E174" s="1581"/>
      <c r="F174" s="1581"/>
      <c r="G174" s="1581"/>
      <c r="H174" s="1581"/>
      <c r="I174" s="1609">
        <v>6</v>
      </c>
      <c r="J174" s="1609">
        <v>205</v>
      </c>
      <c r="K174" s="1581"/>
      <c r="L174" s="1618">
        <v>15</v>
      </c>
      <c r="M174" s="1618">
        <v>15</v>
      </c>
      <c r="N174" s="1581"/>
      <c r="O174" s="1581"/>
      <c r="P174" s="1581">
        <f t="shared" si="33"/>
        <v>15</v>
      </c>
      <c r="Q174" s="1581">
        <f>7000*1.07</f>
        <v>7490</v>
      </c>
      <c r="R174" s="1611">
        <f t="shared" si="34"/>
        <v>112350</v>
      </c>
      <c r="S174" s="1611">
        <f t="shared" si="35"/>
        <v>3194.7867298578199</v>
      </c>
      <c r="T174" s="1611">
        <f t="shared" si="36"/>
        <v>109155.21327014218</v>
      </c>
    </row>
    <row r="175" spans="1:21">
      <c r="A175" s="1609">
        <v>135</v>
      </c>
      <c r="B175" s="1618" t="s">
        <v>1481</v>
      </c>
      <c r="C175" s="1579" t="s">
        <v>1482</v>
      </c>
      <c r="D175" s="1618" t="s">
        <v>1022</v>
      </c>
      <c r="E175" s="1581"/>
      <c r="F175" s="1581"/>
      <c r="G175" s="1581"/>
      <c r="H175" s="1581"/>
      <c r="I175" s="1609">
        <v>6</v>
      </c>
      <c r="J175" s="1609">
        <v>205</v>
      </c>
      <c r="K175" s="1581"/>
      <c r="L175" s="1618">
        <v>25</v>
      </c>
      <c r="M175" s="1618">
        <v>25</v>
      </c>
      <c r="N175" s="1581"/>
      <c r="O175" s="1581"/>
      <c r="P175" s="1581">
        <f t="shared" si="33"/>
        <v>25</v>
      </c>
      <c r="Q175" s="1581">
        <f>3600*1.07</f>
        <v>3852</v>
      </c>
      <c r="R175" s="1611">
        <f t="shared" si="34"/>
        <v>96300</v>
      </c>
      <c r="S175" s="1611">
        <f t="shared" si="35"/>
        <v>2738.3886255924172</v>
      </c>
      <c r="T175" s="1611">
        <f t="shared" si="36"/>
        <v>93561.611374407585</v>
      </c>
    </row>
    <row r="176" spans="1:21">
      <c r="A176" s="1609">
        <v>136</v>
      </c>
      <c r="B176" s="1618" t="s">
        <v>1481</v>
      </c>
      <c r="C176" s="1579" t="s">
        <v>1483</v>
      </c>
      <c r="D176" s="1618" t="s">
        <v>1022</v>
      </c>
      <c r="E176" s="1581"/>
      <c r="F176" s="1581"/>
      <c r="G176" s="1581"/>
      <c r="H176" s="1581"/>
      <c r="I176" s="1609">
        <v>6</v>
      </c>
      <c r="J176" s="1609">
        <v>205</v>
      </c>
      <c r="K176" s="1581"/>
      <c r="L176" s="1618">
        <v>15</v>
      </c>
      <c r="M176" s="1618">
        <v>15</v>
      </c>
      <c r="N176" s="1581"/>
      <c r="O176" s="1581"/>
      <c r="P176" s="1581">
        <f t="shared" si="33"/>
        <v>15</v>
      </c>
      <c r="Q176" s="1581">
        <f>5600*1.07</f>
        <v>5992</v>
      </c>
      <c r="R176" s="1611">
        <f t="shared" si="34"/>
        <v>89880</v>
      </c>
      <c r="S176" s="1611">
        <f t="shared" si="35"/>
        <v>2555.829383886256</v>
      </c>
      <c r="T176" s="1611">
        <f t="shared" si="36"/>
        <v>87324.170616113741</v>
      </c>
    </row>
    <row r="177" spans="1:20">
      <c r="A177" s="1609">
        <v>137</v>
      </c>
      <c r="B177" s="1620" t="s">
        <v>1320</v>
      </c>
      <c r="C177" s="1579" t="s">
        <v>1484</v>
      </c>
      <c r="D177" s="1620" t="s">
        <v>1022</v>
      </c>
      <c r="E177" s="1581"/>
      <c r="F177" s="1581"/>
      <c r="G177" s="1581"/>
      <c r="H177" s="1581"/>
      <c r="I177" s="1609">
        <v>6</v>
      </c>
      <c r="J177" s="1609">
        <v>205</v>
      </c>
      <c r="K177" s="1581"/>
      <c r="L177" s="1620">
        <v>100</v>
      </c>
      <c r="M177" s="1620">
        <v>100</v>
      </c>
      <c r="N177" s="1581"/>
      <c r="O177" s="1581"/>
      <c r="P177" s="1581">
        <f t="shared" si="33"/>
        <v>100</v>
      </c>
      <c r="Q177" s="1581">
        <f>200*1.07</f>
        <v>214</v>
      </c>
      <c r="R177" s="1611">
        <f t="shared" si="34"/>
        <v>21400</v>
      </c>
      <c r="S177" s="1611">
        <f t="shared" si="35"/>
        <v>608.53080568720372</v>
      </c>
      <c r="T177" s="1611">
        <f t="shared" si="36"/>
        <v>20791.469194312795</v>
      </c>
    </row>
    <row r="178" spans="1:20">
      <c r="A178" s="1609">
        <v>138</v>
      </c>
      <c r="B178" s="1620" t="s">
        <v>1485</v>
      </c>
      <c r="C178" s="1579" t="s">
        <v>1486</v>
      </c>
      <c r="D178" s="1620" t="s">
        <v>1022</v>
      </c>
      <c r="E178" s="1581"/>
      <c r="F178" s="1581"/>
      <c r="G178" s="1581"/>
      <c r="H178" s="1581"/>
      <c r="I178" s="1609">
        <v>6</v>
      </c>
      <c r="J178" s="1609">
        <v>205</v>
      </c>
      <c r="K178" s="1581"/>
      <c r="L178" s="1620">
        <v>10</v>
      </c>
      <c r="M178" s="1620">
        <v>10</v>
      </c>
      <c r="N178" s="1581"/>
      <c r="O178" s="1581"/>
      <c r="P178" s="1581">
        <f t="shared" si="33"/>
        <v>10</v>
      </c>
      <c r="Q178" s="1581">
        <f>500*1.07</f>
        <v>535</v>
      </c>
      <c r="R178" s="1611">
        <f t="shared" si="34"/>
        <v>5350</v>
      </c>
      <c r="S178" s="1611">
        <f t="shared" si="35"/>
        <v>152.13270142180093</v>
      </c>
      <c r="T178" s="1611">
        <f t="shared" si="36"/>
        <v>5197.8672985781986</v>
      </c>
    </row>
    <row r="179" spans="1:20">
      <c r="A179" s="1609">
        <v>139</v>
      </c>
      <c r="B179" s="1620" t="s">
        <v>1485</v>
      </c>
      <c r="C179" s="1579" t="s">
        <v>1487</v>
      </c>
      <c r="D179" s="1620" t="s">
        <v>1022</v>
      </c>
      <c r="E179" s="1581"/>
      <c r="F179" s="1581"/>
      <c r="G179" s="1581"/>
      <c r="H179" s="1581"/>
      <c r="I179" s="1609">
        <v>6</v>
      </c>
      <c r="J179" s="1609">
        <v>205</v>
      </c>
      <c r="K179" s="1581"/>
      <c r="L179" s="1620">
        <v>10</v>
      </c>
      <c r="M179" s="1620">
        <v>10</v>
      </c>
      <c r="N179" s="1581"/>
      <c r="O179" s="1581"/>
      <c r="P179" s="1581">
        <f t="shared" si="33"/>
        <v>10</v>
      </c>
      <c r="Q179" s="1581">
        <f>500*1.07</f>
        <v>535</v>
      </c>
      <c r="R179" s="1611">
        <f t="shared" si="34"/>
        <v>5350</v>
      </c>
      <c r="S179" s="1611">
        <f t="shared" si="35"/>
        <v>152.13270142180093</v>
      </c>
      <c r="T179" s="1611">
        <f t="shared" si="36"/>
        <v>5197.8672985781986</v>
      </c>
    </row>
    <row r="180" spans="1:20">
      <c r="A180" s="1609">
        <v>140</v>
      </c>
      <c r="B180" s="1618" t="s">
        <v>1488</v>
      </c>
      <c r="C180" s="1579" t="s">
        <v>1489</v>
      </c>
      <c r="D180" s="1618" t="s">
        <v>1022</v>
      </c>
      <c r="E180" s="1581"/>
      <c r="F180" s="1581"/>
      <c r="G180" s="1581"/>
      <c r="H180" s="1581"/>
      <c r="I180" s="1609">
        <v>6</v>
      </c>
      <c r="J180" s="1609">
        <v>205</v>
      </c>
      <c r="K180" s="1581"/>
      <c r="L180" s="1618">
        <v>4</v>
      </c>
      <c r="M180" s="1618">
        <v>4</v>
      </c>
      <c r="N180" s="1581"/>
      <c r="O180" s="1581"/>
      <c r="P180" s="1581">
        <f t="shared" si="33"/>
        <v>4</v>
      </c>
      <c r="Q180" s="1581">
        <f>5000*1.07</f>
        <v>5350</v>
      </c>
      <c r="R180" s="1611">
        <f t="shared" si="34"/>
        <v>21400</v>
      </c>
      <c r="S180" s="1611">
        <f t="shared" si="35"/>
        <v>608.53080568720372</v>
      </c>
      <c r="T180" s="1611">
        <f t="shared" si="36"/>
        <v>20791.469194312795</v>
      </c>
    </row>
    <row r="181" spans="1:20">
      <c r="A181" s="1609">
        <v>141</v>
      </c>
      <c r="B181" s="1618" t="s">
        <v>1490</v>
      </c>
      <c r="C181" s="1579" t="s">
        <v>1491</v>
      </c>
      <c r="D181" s="1618" t="s">
        <v>1022</v>
      </c>
      <c r="E181" s="1581"/>
      <c r="F181" s="1581"/>
      <c r="G181" s="1581"/>
      <c r="H181" s="1581"/>
      <c r="I181" s="1609">
        <v>6</v>
      </c>
      <c r="J181" s="1609">
        <v>205</v>
      </c>
      <c r="K181" s="1581"/>
      <c r="L181" s="1622">
        <v>1000</v>
      </c>
      <c r="M181" s="1622">
        <v>1000</v>
      </c>
      <c r="N181" s="1581"/>
      <c r="O181" s="1581"/>
      <c r="P181" s="1581">
        <f t="shared" si="33"/>
        <v>1000</v>
      </c>
      <c r="Q181" s="1581">
        <f>150*1.07</f>
        <v>160.5</v>
      </c>
      <c r="R181" s="1611">
        <f t="shared" si="34"/>
        <v>160500</v>
      </c>
      <c r="S181" s="1611">
        <f t="shared" si="35"/>
        <v>4563.981042654028</v>
      </c>
      <c r="T181" s="1611">
        <f t="shared" si="36"/>
        <v>155936.01895734598</v>
      </c>
    </row>
    <row r="182" spans="1:20">
      <c r="A182" s="1609">
        <v>142</v>
      </c>
      <c r="B182" s="1618" t="s">
        <v>1490</v>
      </c>
      <c r="C182" s="1579" t="s">
        <v>1492</v>
      </c>
      <c r="D182" s="1618" t="s">
        <v>1022</v>
      </c>
      <c r="E182" s="1581"/>
      <c r="F182" s="1581"/>
      <c r="G182" s="1581"/>
      <c r="H182" s="1581"/>
      <c r="I182" s="1609">
        <v>6</v>
      </c>
      <c r="J182" s="1609">
        <v>205</v>
      </c>
      <c r="K182" s="1581"/>
      <c r="L182" s="1622">
        <v>500</v>
      </c>
      <c r="M182" s="1622">
        <v>500</v>
      </c>
      <c r="N182" s="1581"/>
      <c r="O182" s="1581"/>
      <c r="P182" s="1581">
        <f t="shared" si="33"/>
        <v>500</v>
      </c>
      <c r="Q182" s="1581">
        <f>170*1.07</f>
        <v>181.9</v>
      </c>
      <c r="R182" s="1611">
        <f t="shared" si="34"/>
        <v>90950</v>
      </c>
      <c r="S182" s="1611">
        <f t="shared" si="35"/>
        <v>2586.2559241706158</v>
      </c>
      <c r="T182" s="1611">
        <f t="shared" si="36"/>
        <v>88363.744075829381</v>
      </c>
    </row>
    <row r="183" spans="1:20">
      <c r="A183" s="1609">
        <v>143</v>
      </c>
      <c r="B183" s="1618" t="s">
        <v>1493</v>
      </c>
      <c r="C183" s="1579" t="s">
        <v>1494</v>
      </c>
      <c r="D183" s="1618" t="s">
        <v>1022</v>
      </c>
      <c r="E183" s="1581"/>
      <c r="F183" s="1581"/>
      <c r="G183" s="1581"/>
      <c r="H183" s="1581"/>
      <c r="I183" s="1609">
        <v>6</v>
      </c>
      <c r="J183" s="1609">
        <v>205</v>
      </c>
      <c r="K183" s="1581"/>
      <c r="L183" s="1610">
        <v>200</v>
      </c>
      <c r="M183" s="1610">
        <v>200</v>
      </c>
      <c r="N183" s="1581"/>
      <c r="O183" s="1581"/>
      <c r="P183" s="1581">
        <f t="shared" si="33"/>
        <v>200</v>
      </c>
      <c r="Q183" s="1581">
        <f>50*1.07</f>
        <v>53.5</v>
      </c>
      <c r="R183" s="1611">
        <f t="shared" si="34"/>
        <v>10700</v>
      </c>
      <c r="S183" s="1611">
        <f t="shared" si="35"/>
        <v>304.26540284360186</v>
      </c>
      <c r="T183" s="1611">
        <f t="shared" si="36"/>
        <v>10395.734597156397</v>
      </c>
    </row>
    <row r="184" spans="1:20">
      <c r="A184" s="1609">
        <v>144</v>
      </c>
      <c r="B184" s="1619" t="s">
        <v>1495</v>
      </c>
      <c r="C184" s="917" t="s">
        <v>1496</v>
      </c>
      <c r="D184" s="1619" t="s">
        <v>1268</v>
      </c>
      <c r="E184" s="1581"/>
      <c r="F184" s="1609"/>
      <c r="G184" s="1609"/>
      <c r="H184" s="1609"/>
      <c r="I184" s="1609">
        <v>6</v>
      </c>
      <c r="J184" s="1609">
        <v>205</v>
      </c>
      <c r="K184" s="1609"/>
      <c r="L184" s="1619">
        <v>700</v>
      </c>
      <c r="M184" s="1619">
        <v>1200</v>
      </c>
      <c r="N184" s="1609"/>
      <c r="O184" s="1609"/>
      <c r="P184" s="1581">
        <f t="shared" si="33"/>
        <v>700</v>
      </c>
      <c r="Q184" s="1610">
        <f>1300*1.07</f>
        <v>1391</v>
      </c>
      <c r="R184" s="1611">
        <f t="shared" si="34"/>
        <v>973700</v>
      </c>
      <c r="S184" s="1611">
        <f t="shared" si="35"/>
        <v>27688.151658767772</v>
      </c>
      <c r="T184" s="1611">
        <f t="shared" si="36"/>
        <v>946011.84834123228</v>
      </c>
    </row>
    <row r="185" spans="1:20">
      <c r="A185" s="1609">
        <v>145</v>
      </c>
      <c r="B185" s="1625" t="s">
        <v>1495</v>
      </c>
      <c r="C185" s="1579" t="s">
        <v>1497</v>
      </c>
      <c r="D185" s="1625" t="s">
        <v>1268</v>
      </c>
      <c r="E185" s="1581"/>
      <c r="F185" s="1581"/>
      <c r="G185" s="1581"/>
      <c r="H185" s="1581"/>
      <c r="I185" s="1609">
        <v>6</v>
      </c>
      <c r="J185" s="1609">
        <v>205</v>
      </c>
      <c r="K185" s="1581"/>
      <c r="L185" s="1625">
        <v>150</v>
      </c>
      <c r="M185" s="1625">
        <v>200</v>
      </c>
      <c r="N185" s="1581"/>
      <c r="O185" s="1581"/>
      <c r="P185" s="1581">
        <f t="shared" si="33"/>
        <v>150</v>
      </c>
      <c r="Q185" s="1581">
        <f>1300*1.07</f>
        <v>1391</v>
      </c>
      <c r="R185" s="1611">
        <f t="shared" si="34"/>
        <v>208650</v>
      </c>
      <c r="S185" s="1611">
        <f t="shared" si="35"/>
        <v>5933.1753554502366</v>
      </c>
      <c r="T185" s="1611">
        <f t="shared" si="36"/>
        <v>202716.82464454975</v>
      </c>
    </row>
    <row r="186" spans="1:20">
      <c r="A186" s="1609">
        <v>146</v>
      </c>
      <c r="B186" s="1619" t="s">
        <v>1498</v>
      </c>
      <c r="C186" s="917" t="s">
        <v>1499</v>
      </c>
      <c r="D186" s="1619" t="s">
        <v>1268</v>
      </c>
      <c r="E186" s="1581"/>
      <c r="F186" s="1609"/>
      <c r="G186" s="1609"/>
      <c r="H186" s="1609"/>
      <c r="I186" s="1609">
        <v>6</v>
      </c>
      <c r="J186" s="1609">
        <v>205</v>
      </c>
      <c r="K186" s="1609"/>
      <c r="L186" s="1619">
        <v>20</v>
      </c>
      <c r="M186" s="1619">
        <v>20</v>
      </c>
      <c r="N186" s="1609"/>
      <c r="O186" s="1609"/>
      <c r="P186" s="1581">
        <f t="shared" si="33"/>
        <v>20</v>
      </c>
      <c r="Q186" s="1610">
        <f>5460*1.07</f>
        <v>5842.2000000000007</v>
      </c>
      <c r="R186" s="1611">
        <f t="shared" si="34"/>
        <v>116844.00000000001</v>
      </c>
      <c r="S186" s="1611">
        <f t="shared" si="35"/>
        <v>3322.5781990521332</v>
      </c>
      <c r="T186" s="1611">
        <f t="shared" si="36"/>
        <v>113521.42180094788</v>
      </c>
    </row>
    <row r="187" spans="1:20">
      <c r="A187" s="1609">
        <v>147</v>
      </c>
      <c r="B187" s="1619" t="s">
        <v>1490</v>
      </c>
      <c r="C187" s="917" t="s">
        <v>1500</v>
      </c>
      <c r="D187" s="1619" t="s">
        <v>1268</v>
      </c>
      <c r="E187" s="1581"/>
      <c r="F187" s="1609"/>
      <c r="G187" s="1609"/>
      <c r="H187" s="1609"/>
      <c r="I187" s="1609">
        <v>6</v>
      </c>
      <c r="J187" s="1609">
        <v>205</v>
      </c>
      <c r="K187" s="1609"/>
      <c r="L187" s="1619">
        <v>60</v>
      </c>
      <c r="M187" s="1619">
        <v>60</v>
      </c>
      <c r="N187" s="1609"/>
      <c r="O187" s="1609"/>
      <c r="P187" s="1581">
        <f t="shared" si="33"/>
        <v>60</v>
      </c>
      <c r="Q187" s="1610">
        <f>1400*1.07</f>
        <v>1498</v>
      </c>
      <c r="R187" s="1611">
        <f t="shared" si="34"/>
        <v>89880</v>
      </c>
      <c r="S187" s="1611">
        <f t="shared" si="35"/>
        <v>2555.829383886256</v>
      </c>
      <c r="T187" s="1611">
        <f t="shared" si="36"/>
        <v>87324.170616113741</v>
      </c>
    </row>
    <row r="188" spans="1:20">
      <c r="A188" s="1609">
        <v>148</v>
      </c>
      <c r="B188" s="1619" t="s">
        <v>1490</v>
      </c>
      <c r="C188" s="917" t="s">
        <v>1501</v>
      </c>
      <c r="D188" s="1619" t="s">
        <v>1268</v>
      </c>
      <c r="E188" s="1581"/>
      <c r="F188" s="1609"/>
      <c r="G188" s="1609"/>
      <c r="H188" s="1609"/>
      <c r="I188" s="1609">
        <v>6</v>
      </c>
      <c r="J188" s="1609">
        <v>205</v>
      </c>
      <c r="K188" s="1609"/>
      <c r="L188" s="1619">
        <v>190</v>
      </c>
      <c r="M188" s="1619">
        <v>190</v>
      </c>
      <c r="N188" s="1609"/>
      <c r="O188" s="1609"/>
      <c r="P188" s="1581">
        <f t="shared" si="33"/>
        <v>190</v>
      </c>
      <c r="Q188" s="1610">
        <f>1890*1.07</f>
        <v>2022.3000000000002</v>
      </c>
      <c r="R188" s="1611">
        <f t="shared" si="34"/>
        <v>384237.00000000006</v>
      </c>
      <c r="S188" s="1611">
        <f t="shared" si="35"/>
        <v>10926.170616113744</v>
      </c>
      <c r="T188" s="1611">
        <f t="shared" si="36"/>
        <v>373310.8293838863</v>
      </c>
    </row>
    <row r="189" spans="1:20">
      <c r="A189" s="1609">
        <v>149</v>
      </c>
      <c r="B189" s="1619" t="s">
        <v>1502</v>
      </c>
      <c r="C189" s="917" t="s">
        <v>1503</v>
      </c>
      <c r="D189" s="1619" t="s">
        <v>1268</v>
      </c>
      <c r="E189" s="1581"/>
      <c r="F189" s="1609"/>
      <c r="G189" s="1609"/>
      <c r="H189" s="1609"/>
      <c r="I189" s="1609">
        <v>6</v>
      </c>
      <c r="J189" s="1609">
        <v>205</v>
      </c>
      <c r="K189" s="1609"/>
      <c r="L189" s="1619">
        <v>1950</v>
      </c>
      <c r="M189" s="1619">
        <v>2600</v>
      </c>
      <c r="N189" s="1609"/>
      <c r="O189" s="1609"/>
      <c r="P189" s="1581">
        <f t="shared" si="33"/>
        <v>1950</v>
      </c>
      <c r="Q189" s="1610">
        <f>260*1.07</f>
        <v>278.2</v>
      </c>
      <c r="R189" s="1611">
        <f t="shared" si="34"/>
        <v>542490</v>
      </c>
      <c r="S189" s="1611">
        <f t="shared" si="35"/>
        <v>15426.255924170615</v>
      </c>
      <c r="T189" s="1611">
        <f t="shared" si="36"/>
        <v>527063.7440758294</v>
      </c>
    </row>
    <row r="190" spans="1:20">
      <c r="A190" s="1609">
        <v>150</v>
      </c>
      <c r="B190" s="1619" t="s">
        <v>1490</v>
      </c>
      <c r="C190" s="917" t="s">
        <v>1504</v>
      </c>
      <c r="D190" s="1619" t="s">
        <v>1268</v>
      </c>
      <c r="E190" s="1581"/>
      <c r="F190" s="1609"/>
      <c r="G190" s="1609"/>
      <c r="H190" s="1609"/>
      <c r="I190" s="1609">
        <v>6</v>
      </c>
      <c r="J190" s="1609">
        <v>205</v>
      </c>
      <c r="K190" s="1609"/>
      <c r="L190" s="1619">
        <v>1150</v>
      </c>
      <c r="M190" s="1619">
        <v>1800</v>
      </c>
      <c r="N190" s="1609"/>
      <c r="O190" s="1609"/>
      <c r="P190" s="1581">
        <f t="shared" si="33"/>
        <v>1150</v>
      </c>
      <c r="Q190" s="1610">
        <f>680*1.07</f>
        <v>727.6</v>
      </c>
      <c r="R190" s="1611">
        <f t="shared" si="34"/>
        <v>836740</v>
      </c>
      <c r="S190" s="1611">
        <f t="shared" si="35"/>
        <v>23793.554502369669</v>
      </c>
      <c r="T190" s="1611">
        <f t="shared" si="36"/>
        <v>812946.44549763028</v>
      </c>
    </row>
    <row r="191" spans="1:20">
      <c r="A191" s="1609">
        <v>151</v>
      </c>
      <c r="B191" s="1618" t="s">
        <v>1495</v>
      </c>
      <c r="C191" s="1579" t="s">
        <v>1505</v>
      </c>
      <c r="D191" s="1618" t="s">
        <v>1022</v>
      </c>
      <c r="E191" s="1581"/>
      <c r="F191" s="1581"/>
      <c r="G191" s="1581"/>
      <c r="H191" s="1581"/>
      <c r="I191" s="1609">
        <v>6</v>
      </c>
      <c r="J191" s="1609">
        <v>205</v>
      </c>
      <c r="K191" s="1581"/>
      <c r="L191" s="1610">
        <v>50</v>
      </c>
      <c r="M191" s="1610">
        <v>50</v>
      </c>
      <c r="N191" s="1581"/>
      <c r="O191" s="1581"/>
      <c r="P191" s="1581">
        <f t="shared" si="33"/>
        <v>50</v>
      </c>
      <c r="Q191" s="1581">
        <f>1000*1.07</f>
        <v>1070</v>
      </c>
      <c r="R191" s="1611">
        <f t="shared" si="34"/>
        <v>53500</v>
      </c>
      <c r="S191" s="1611">
        <f t="shared" si="35"/>
        <v>1521.3270142180095</v>
      </c>
      <c r="T191" s="1611">
        <f t="shared" si="36"/>
        <v>51978.672985781988</v>
      </c>
    </row>
    <row r="192" spans="1:20">
      <c r="A192" s="1609">
        <v>152</v>
      </c>
      <c r="B192" s="1619" t="s">
        <v>1506</v>
      </c>
      <c r="C192" s="917" t="s">
        <v>1507</v>
      </c>
      <c r="D192" s="1619" t="s">
        <v>1268</v>
      </c>
      <c r="E192" s="1581"/>
      <c r="F192" s="1609"/>
      <c r="G192" s="1609"/>
      <c r="H192" s="1609"/>
      <c r="I192" s="1609">
        <v>6</v>
      </c>
      <c r="J192" s="1609">
        <v>205</v>
      </c>
      <c r="K192" s="1609"/>
      <c r="L192" s="1619">
        <v>40</v>
      </c>
      <c r="M192" s="1619">
        <v>40</v>
      </c>
      <c r="N192" s="1609"/>
      <c r="O192" s="1609"/>
      <c r="P192" s="1581">
        <f t="shared" si="33"/>
        <v>40</v>
      </c>
      <c r="Q192" s="1610">
        <f>7620*1.07</f>
        <v>8153.4000000000005</v>
      </c>
      <c r="R192" s="1611">
        <f t="shared" si="34"/>
        <v>326136</v>
      </c>
      <c r="S192" s="1611">
        <f t="shared" si="35"/>
        <v>9274.009478672986</v>
      </c>
      <c r="T192" s="1611">
        <f t="shared" si="36"/>
        <v>316861.99052132701</v>
      </c>
    </row>
    <row r="193" spans="1:21">
      <c r="A193" s="1609">
        <v>153</v>
      </c>
      <c r="B193" s="1610" t="s">
        <v>1502</v>
      </c>
      <c r="C193" s="1579" t="s">
        <v>1508</v>
      </c>
      <c r="D193" s="1610" t="s">
        <v>1022</v>
      </c>
      <c r="E193" s="1581"/>
      <c r="F193" s="1581"/>
      <c r="G193" s="1581"/>
      <c r="H193" s="1581"/>
      <c r="I193" s="1609">
        <v>6</v>
      </c>
      <c r="J193" s="1609">
        <v>205</v>
      </c>
      <c r="K193" s="1581"/>
      <c r="L193" s="1610">
        <v>60</v>
      </c>
      <c r="M193" s="1610">
        <v>60</v>
      </c>
      <c r="N193" s="1581"/>
      <c r="O193" s="1581"/>
      <c r="P193" s="1581">
        <f t="shared" si="33"/>
        <v>60</v>
      </c>
      <c r="Q193" s="1581">
        <f>400*1.07</f>
        <v>428</v>
      </c>
      <c r="R193" s="1611">
        <f t="shared" si="34"/>
        <v>25680</v>
      </c>
      <c r="S193" s="1611">
        <f t="shared" si="35"/>
        <v>730.23696682464447</v>
      </c>
      <c r="T193" s="1611">
        <f t="shared" si="36"/>
        <v>24949.763033175357</v>
      </c>
    </row>
    <row r="194" spans="1:21">
      <c r="A194" s="1609">
        <v>154</v>
      </c>
      <c r="B194" s="1610" t="s">
        <v>1509</v>
      </c>
      <c r="C194" s="1579" t="s">
        <v>1510</v>
      </c>
      <c r="D194" s="1610" t="s">
        <v>1022</v>
      </c>
      <c r="E194" s="1581"/>
      <c r="F194" s="1581"/>
      <c r="G194" s="1581"/>
      <c r="H194" s="1581"/>
      <c r="I194" s="1609">
        <v>6</v>
      </c>
      <c r="J194" s="1609">
        <v>205</v>
      </c>
      <c r="K194" s="1581"/>
      <c r="L194" s="1610">
        <v>1000</v>
      </c>
      <c r="M194" s="1610">
        <v>1000</v>
      </c>
      <c r="N194" s="1581"/>
      <c r="O194" s="1581"/>
      <c r="P194" s="1581">
        <f t="shared" si="33"/>
        <v>1000</v>
      </c>
      <c r="Q194" s="1581">
        <f>560*1.07</f>
        <v>599.20000000000005</v>
      </c>
      <c r="R194" s="1611">
        <f t="shared" si="34"/>
        <v>599200</v>
      </c>
      <c r="S194" s="1611">
        <f t="shared" si="35"/>
        <v>17038.862559241705</v>
      </c>
      <c r="T194" s="1611">
        <f t="shared" si="36"/>
        <v>582161.13744075829</v>
      </c>
    </row>
    <row r="195" spans="1:21">
      <c r="A195" s="1609">
        <v>155</v>
      </c>
      <c r="B195" s="1620" t="s">
        <v>1511</v>
      </c>
      <c r="C195" s="1579" t="s">
        <v>1512</v>
      </c>
      <c r="D195" s="1620" t="s">
        <v>1268</v>
      </c>
      <c r="E195" s="1581"/>
      <c r="F195" s="1581"/>
      <c r="G195" s="1581"/>
      <c r="H195" s="1581"/>
      <c r="I195" s="1609">
        <v>6</v>
      </c>
      <c r="J195" s="1609">
        <v>205</v>
      </c>
      <c r="K195" s="1581"/>
      <c r="L195" s="1620">
        <v>2</v>
      </c>
      <c r="M195" s="1620">
        <v>2</v>
      </c>
      <c r="N195" s="1581"/>
      <c r="O195" s="1581"/>
      <c r="P195" s="1581">
        <f t="shared" si="33"/>
        <v>2</v>
      </c>
      <c r="Q195" s="1581">
        <f>1400*1.07</f>
        <v>1498</v>
      </c>
      <c r="R195" s="1611">
        <f t="shared" si="34"/>
        <v>2996</v>
      </c>
      <c r="S195" s="1611">
        <f t="shared" si="35"/>
        <v>85.194312796208521</v>
      </c>
      <c r="T195" s="1611">
        <f t="shared" si="36"/>
        <v>2910.8056872037914</v>
      </c>
    </row>
    <row r="196" spans="1:21">
      <c r="A196" s="1609">
        <v>156</v>
      </c>
      <c r="B196" s="1618" t="s">
        <v>1513</v>
      </c>
      <c r="C196" s="1579" t="s">
        <v>1514</v>
      </c>
      <c r="D196" s="1618" t="s">
        <v>1022</v>
      </c>
      <c r="E196" s="1581"/>
      <c r="F196" s="1581"/>
      <c r="G196" s="1581"/>
      <c r="H196" s="1581"/>
      <c r="I196" s="1609">
        <v>6</v>
      </c>
      <c r="J196" s="1609">
        <v>205</v>
      </c>
      <c r="K196" s="1581"/>
      <c r="L196" s="1618">
        <v>35</v>
      </c>
      <c r="M196" s="1618">
        <v>40</v>
      </c>
      <c r="N196" s="1581"/>
      <c r="O196" s="1581"/>
      <c r="P196" s="1581">
        <f t="shared" si="33"/>
        <v>35</v>
      </c>
      <c r="Q196" s="1581">
        <f>500*1.07</f>
        <v>535</v>
      </c>
      <c r="R196" s="1611">
        <f t="shared" si="34"/>
        <v>18725</v>
      </c>
      <c r="S196" s="1611">
        <f t="shared" si="35"/>
        <v>532.46445497630327</v>
      </c>
      <c r="T196" s="1611">
        <f t="shared" si="36"/>
        <v>18192.535545023697</v>
      </c>
    </row>
    <row r="197" spans="1:21">
      <c r="A197" s="1609">
        <v>157</v>
      </c>
      <c r="B197" s="1620" t="s">
        <v>1515</v>
      </c>
      <c r="C197" s="1579" t="s">
        <v>1516</v>
      </c>
      <c r="D197" s="1620" t="s">
        <v>1268</v>
      </c>
      <c r="E197" s="1581"/>
      <c r="F197" s="1581"/>
      <c r="G197" s="1581"/>
      <c r="H197" s="1581"/>
      <c r="I197" s="1609">
        <v>6</v>
      </c>
      <c r="J197" s="1609">
        <v>205</v>
      </c>
      <c r="K197" s="1581"/>
      <c r="L197" s="1620">
        <v>2</v>
      </c>
      <c r="M197" s="1620">
        <v>2</v>
      </c>
      <c r="N197" s="1581"/>
      <c r="O197" s="1581"/>
      <c r="P197" s="1581">
        <f t="shared" si="33"/>
        <v>2</v>
      </c>
      <c r="Q197" s="1581">
        <f>1500*1.07</f>
        <v>1605</v>
      </c>
      <c r="R197" s="1611">
        <f t="shared" si="34"/>
        <v>3210</v>
      </c>
      <c r="S197" s="1611">
        <f t="shared" si="35"/>
        <v>91.279620853080559</v>
      </c>
      <c r="T197" s="1611">
        <f t="shared" si="36"/>
        <v>3118.7203791469196</v>
      </c>
    </row>
    <row r="198" spans="1:21">
      <c r="A198" s="1609">
        <v>158</v>
      </c>
      <c r="B198" s="1618" t="s">
        <v>1517</v>
      </c>
      <c r="C198" s="1579" t="s">
        <v>1518</v>
      </c>
      <c r="D198" s="1618" t="s">
        <v>1022</v>
      </c>
      <c r="E198" s="1581"/>
      <c r="F198" s="1581"/>
      <c r="G198" s="1581"/>
      <c r="H198" s="1581"/>
      <c r="I198" s="1609">
        <v>6</v>
      </c>
      <c r="J198" s="1609">
        <v>205</v>
      </c>
      <c r="K198" s="1581"/>
      <c r="L198" s="1618">
        <v>16</v>
      </c>
      <c r="M198" s="1618">
        <v>33</v>
      </c>
      <c r="N198" s="1581"/>
      <c r="O198" s="1581"/>
      <c r="P198" s="1581">
        <f t="shared" si="33"/>
        <v>16</v>
      </c>
      <c r="Q198" s="1581">
        <f>2500*1.07</f>
        <v>2675</v>
      </c>
      <c r="R198" s="1611">
        <f t="shared" si="34"/>
        <v>42800</v>
      </c>
      <c r="S198" s="1611">
        <f t="shared" si="35"/>
        <v>1217.0616113744074</v>
      </c>
      <c r="T198" s="1611">
        <f t="shared" si="36"/>
        <v>41582.938388625589</v>
      </c>
    </row>
    <row r="199" spans="1:21">
      <c r="A199" s="1609">
        <v>159</v>
      </c>
      <c r="B199" s="1056" t="s">
        <v>1519</v>
      </c>
      <c r="C199" s="917" t="s">
        <v>1520</v>
      </c>
      <c r="D199" s="1056" t="s">
        <v>1203</v>
      </c>
      <c r="E199" s="1581"/>
      <c r="F199" s="1609"/>
      <c r="G199" s="1609"/>
      <c r="H199" s="1609"/>
      <c r="I199" s="1609">
        <v>6</v>
      </c>
      <c r="J199" s="1609">
        <v>205</v>
      </c>
      <c r="K199" s="1609"/>
      <c r="L199" s="1056">
        <v>200</v>
      </c>
      <c r="M199" s="1056">
        <v>200</v>
      </c>
      <c r="N199" s="1609"/>
      <c r="O199" s="1609"/>
      <c r="P199" s="1581">
        <f t="shared" si="33"/>
        <v>200</v>
      </c>
      <c r="Q199" s="1610">
        <f>400*1.07</f>
        <v>428</v>
      </c>
      <c r="R199" s="1611">
        <f t="shared" si="34"/>
        <v>85600</v>
      </c>
      <c r="S199" s="1611">
        <f t="shared" si="35"/>
        <v>2434.1232227488149</v>
      </c>
      <c r="T199" s="1611">
        <f t="shared" si="36"/>
        <v>83165.876777251178</v>
      </c>
    </row>
    <row r="200" spans="1:21">
      <c r="A200" s="1609">
        <v>160</v>
      </c>
      <c r="B200" s="1618" t="s">
        <v>1521</v>
      </c>
      <c r="C200" s="1579" t="s">
        <v>1522</v>
      </c>
      <c r="D200" s="1618" t="s">
        <v>1022</v>
      </c>
      <c r="E200" s="1581"/>
      <c r="F200" s="1581"/>
      <c r="G200" s="1581"/>
      <c r="H200" s="1581"/>
      <c r="I200" s="1609">
        <v>6</v>
      </c>
      <c r="J200" s="1609">
        <v>205</v>
      </c>
      <c r="K200" s="1581"/>
      <c r="L200" s="1622"/>
      <c r="M200" s="1622"/>
      <c r="N200" s="1581"/>
      <c r="O200" s="1581"/>
      <c r="P200" s="1581">
        <f t="shared" si="33"/>
        <v>0</v>
      </c>
      <c r="Q200" s="1581"/>
      <c r="R200" s="1611"/>
      <c r="S200" s="1611">
        <f t="shared" si="35"/>
        <v>0</v>
      </c>
      <c r="T200" s="1611">
        <f t="shared" si="36"/>
        <v>0</v>
      </c>
    </row>
    <row r="201" spans="1:21" ht="45.75" customHeight="1">
      <c r="A201" s="1609">
        <v>161</v>
      </c>
      <c r="B201" s="1618" t="s">
        <v>1523</v>
      </c>
      <c r="C201" s="1579" t="s">
        <v>1524</v>
      </c>
      <c r="D201" s="1618" t="s">
        <v>1525</v>
      </c>
      <c r="E201" s="1581"/>
      <c r="F201" s="1581"/>
      <c r="G201" s="1581"/>
      <c r="H201" s="1581"/>
      <c r="I201" s="1609">
        <v>6</v>
      </c>
      <c r="J201" s="1609">
        <v>205</v>
      </c>
      <c r="K201" s="1581"/>
      <c r="L201" s="1618">
        <v>4</v>
      </c>
      <c r="M201" s="1618">
        <v>4</v>
      </c>
      <c r="N201" s="1581"/>
      <c r="O201" s="1581"/>
      <c r="P201" s="1581">
        <f t="shared" si="33"/>
        <v>4</v>
      </c>
      <c r="Q201" s="1581">
        <f>18000*1.07</f>
        <v>19260</v>
      </c>
      <c r="R201" s="1611">
        <f t="shared" si="34"/>
        <v>77040</v>
      </c>
      <c r="S201" s="1611">
        <f t="shared" si="35"/>
        <v>2190.7109004739336</v>
      </c>
      <c r="T201" s="1611">
        <f t="shared" si="36"/>
        <v>74849.289099526068</v>
      </c>
    </row>
    <row r="202" spans="1:21">
      <c r="A202" s="1609">
        <v>162</v>
      </c>
      <c r="B202" s="1618" t="s">
        <v>1526</v>
      </c>
      <c r="C202" s="1579" t="s">
        <v>1527</v>
      </c>
      <c r="D202" s="1618" t="s">
        <v>1525</v>
      </c>
      <c r="E202" s="1581"/>
      <c r="F202" s="1581"/>
      <c r="G202" s="1581"/>
      <c r="H202" s="1581"/>
      <c r="I202" s="1609">
        <v>6</v>
      </c>
      <c r="J202" s="1609">
        <v>205</v>
      </c>
      <c r="K202" s="1581"/>
      <c r="L202" s="1622">
        <v>10</v>
      </c>
      <c r="M202" s="1622">
        <v>10</v>
      </c>
      <c r="N202" s="1581"/>
      <c r="O202" s="1581"/>
      <c r="P202" s="1581">
        <f t="shared" si="33"/>
        <v>10</v>
      </c>
      <c r="Q202" s="1581">
        <f>1200*1.07</f>
        <v>1284</v>
      </c>
      <c r="R202" s="1611">
        <f t="shared" si="34"/>
        <v>12840</v>
      </c>
      <c r="S202" s="1611">
        <f t="shared" si="35"/>
        <v>365.11848341232223</v>
      </c>
      <c r="T202" s="1611">
        <f t="shared" si="36"/>
        <v>12474.881516587679</v>
      </c>
    </row>
    <row r="203" spans="1:21">
      <c r="A203" s="1609">
        <v>163</v>
      </c>
      <c r="B203" s="1618" t="s">
        <v>1528</v>
      </c>
      <c r="C203" s="1579" t="s">
        <v>1529</v>
      </c>
      <c r="D203" s="1618" t="s">
        <v>1022</v>
      </c>
      <c r="E203" s="1581"/>
      <c r="F203" s="1581"/>
      <c r="G203" s="1581"/>
      <c r="H203" s="1581"/>
      <c r="I203" s="1609">
        <v>6</v>
      </c>
      <c r="J203" s="1609">
        <v>205</v>
      </c>
      <c r="K203" s="1581"/>
      <c r="L203" s="1622">
        <v>6</v>
      </c>
      <c r="M203" s="1622">
        <v>6</v>
      </c>
      <c r="N203" s="1581"/>
      <c r="O203" s="1581"/>
      <c r="P203" s="1581">
        <f t="shared" si="33"/>
        <v>6</v>
      </c>
      <c r="Q203" s="1581">
        <f>2000*1.07</f>
        <v>2140</v>
      </c>
      <c r="R203" s="1611">
        <f t="shared" si="34"/>
        <v>12840</v>
      </c>
      <c r="S203" s="1611">
        <f t="shared" si="35"/>
        <v>365.11848341232223</v>
      </c>
      <c r="T203" s="1611">
        <f t="shared" si="36"/>
        <v>12474.881516587679</v>
      </c>
    </row>
    <row r="204" spans="1:21">
      <c r="A204" s="1609">
        <v>164</v>
      </c>
      <c r="B204" s="1618" t="s">
        <v>1530</v>
      </c>
      <c r="C204" s="1591" t="s">
        <v>1531</v>
      </c>
      <c r="D204" s="1618" t="s">
        <v>1525</v>
      </c>
      <c r="E204" s="1581"/>
      <c r="F204" s="1581"/>
      <c r="G204" s="1581"/>
      <c r="H204" s="1581"/>
      <c r="I204" s="1609">
        <v>6</v>
      </c>
      <c r="J204" s="1609">
        <v>205</v>
      </c>
      <c r="K204" s="1581"/>
      <c r="L204" s="1618">
        <v>4</v>
      </c>
      <c r="M204" s="1618">
        <v>4</v>
      </c>
      <c r="N204" s="1581"/>
      <c r="O204" s="1581"/>
      <c r="P204" s="1581">
        <f t="shared" ref="P204:P221" si="37">L204-O204</f>
        <v>4</v>
      </c>
      <c r="Q204" s="1581">
        <f>60000*1.07</f>
        <v>64200.000000000007</v>
      </c>
      <c r="R204" s="1611">
        <f t="shared" ref="R204:R221" si="38">P204*Q204</f>
        <v>256800.00000000003</v>
      </c>
      <c r="S204" s="1611">
        <f t="shared" ref="S204:S221" si="39">R204*(I204/(I204+J204+K204))</f>
        <v>7302.3696682464461</v>
      </c>
      <c r="T204" s="1611">
        <f t="shared" ref="T204:T221" si="40">R204-S204</f>
        <v>249497.63033175358</v>
      </c>
    </row>
    <row r="205" spans="1:21">
      <c r="A205" s="1609">
        <v>165</v>
      </c>
      <c r="B205" s="1618" t="s">
        <v>1532</v>
      </c>
      <c r="C205" s="1579" t="s">
        <v>1533</v>
      </c>
      <c r="D205" s="1618" t="s">
        <v>1022</v>
      </c>
      <c r="E205" s="1581"/>
      <c r="F205" s="1581"/>
      <c r="G205" s="1581"/>
      <c r="H205" s="1581"/>
      <c r="I205" s="1609">
        <v>6</v>
      </c>
      <c r="J205" s="1609">
        <v>205</v>
      </c>
      <c r="K205" s="1581"/>
      <c r="L205" s="1622">
        <v>1</v>
      </c>
      <c r="M205" s="1622">
        <v>1</v>
      </c>
      <c r="N205" s="1581"/>
      <c r="O205" s="1581"/>
      <c r="P205" s="1581">
        <f t="shared" si="37"/>
        <v>1</v>
      </c>
      <c r="Q205" s="1581">
        <f>4500*1.07</f>
        <v>4815</v>
      </c>
      <c r="R205" s="1611">
        <f t="shared" si="38"/>
        <v>4815</v>
      </c>
      <c r="S205" s="1611">
        <f t="shared" si="39"/>
        <v>136.91943127962085</v>
      </c>
      <c r="T205" s="1611">
        <f t="shared" si="40"/>
        <v>4678.0805687203792</v>
      </c>
      <c r="U205" s="1580">
        <v>4000</v>
      </c>
    </row>
    <row r="206" spans="1:21">
      <c r="A206" s="1609">
        <v>166</v>
      </c>
      <c r="B206" s="1618" t="s">
        <v>1534</v>
      </c>
      <c r="C206" s="1579" t="s">
        <v>1535</v>
      </c>
      <c r="D206" s="1618" t="s">
        <v>1022</v>
      </c>
      <c r="E206" s="1581"/>
      <c r="F206" s="1581"/>
      <c r="G206" s="1581"/>
      <c r="H206" s="1581"/>
      <c r="I206" s="1609">
        <v>6</v>
      </c>
      <c r="J206" s="1609">
        <v>205</v>
      </c>
      <c r="K206" s="1581"/>
      <c r="L206" s="1622"/>
      <c r="M206" s="1622"/>
      <c r="N206" s="1581"/>
      <c r="O206" s="1581"/>
      <c r="P206" s="1581">
        <f t="shared" si="37"/>
        <v>0</v>
      </c>
      <c r="Q206" s="1581"/>
      <c r="R206" s="1611">
        <f t="shared" si="38"/>
        <v>0</v>
      </c>
      <c r="S206" s="1611">
        <f t="shared" si="39"/>
        <v>0</v>
      </c>
      <c r="T206" s="1611">
        <f t="shared" si="40"/>
        <v>0</v>
      </c>
      <c r="U206" s="1580">
        <v>10</v>
      </c>
    </row>
    <row r="207" spans="1:21" ht="25.5">
      <c r="A207" s="1609">
        <v>167</v>
      </c>
      <c r="B207" s="1618" t="s">
        <v>1536</v>
      </c>
      <c r="C207" s="1579" t="s">
        <v>1537</v>
      </c>
      <c r="D207" s="1618" t="s">
        <v>1525</v>
      </c>
      <c r="E207" s="1581"/>
      <c r="F207" s="1581"/>
      <c r="G207" s="1581"/>
      <c r="H207" s="1581"/>
      <c r="I207" s="1609">
        <v>6</v>
      </c>
      <c r="J207" s="1609">
        <v>205</v>
      </c>
      <c r="K207" s="1581"/>
      <c r="L207" s="1618">
        <v>4</v>
      </c>
      <c r="M207" s="1618">
        <v>4</v>
      </c>
      <c r="N207" s="1581"/>
      <c r="O207" s="1581"/>
      <c r="P207" s="1581">
        <f t="shared" si="37"/>
        <v>4</v>
      </c>
      <c r="Q207" s="1581">
        <f>30000*1.07</f>
        <v>32100.000000000004</v>
      </c>
      <c r="R207" s="1611">
        <f t="shared" si="38"/>
        <v>128400.00000000001</v>
      </c>
      <c r="S207" s="1611">
        <f t="shared" si="39"/>
        <v>3651.184834123223</v>
      </c>
      <c r="T207" s="1611">
        <f t="shared" si="40"/>
        <v>124748.81516587679</v>
      </c>
    </row>
    <row r="208" spans="1:21" ht="25.5">
      <c r="A208" s="1609">
        <v>168</v>
      </c>
      <c r="B208" s="1619" t="s">
        <v>1538</v>
      </c>
      <c r="C208" s="917" t="s">
        <v>1539</v>
      </c>
      <c r="D208" s="1619" t="s">
        <v>1525</v>
      </c>
      <c r="E208" s="1581"/>
      <c r="F208" s="1609"/>
      <c r="G208" s="1609"/>
      <c r="H208" s="1609"/>
      <c r="I208" s="1609">
        <v>6</v>
      </c>
      <c r="J208" s="1609">
        <v>205</v>
      </c>
      <c r="K208" s="1609"/>
      <c r="L208" s="1619">
        <v>4</v>
      </c>
      <c r="M208" s="1619">
        <v>4</v>
      </c>
      <c r="N208" s="1609"/>
      <c r="O208" s="1609"/>
      <c r="P208" s="1581">
        <f t="shared" si="37"/>
        <v>4</v>
      </c>
      <c r="Q208" s="1610">
        <f>40000*1.07</f>
        <v>42800</v>
      </c>
      <c r="R208" s="1611">
        <f t="shared" si="38"/>
        <v>171200</v>
      </c>
      <c r="S208" s="1611">
        <f t="shared" si="39"/>
        <v>4868.2464454976298</v>
      </c>
      <c r="T208" s="1611">
        <f t="shared" si="40"/>
        <v>166331.75355450236</v>
      </c>
    </row>
    <row r="209" spans="1:21" hidden="1">
      <c r="A209" s="1609">
        <v>169</v>
      </c>
      <c r="B209" s="1610" t="s">
        <v>1540</v>
      </c>
      <c r="C209" s="1579" t="s">
        <v>1541</v>
      </c>
      <c r="D209" s="1610" t="s">
        <v>1525</v>
      </c>
      <c r="E209" s="1581"/>
      <c r="F209" s="1581"/>
      <c r="G209" s="1581"/>
      <c r="H209" s="1581"/>
      <c r="I209" s="1609">
        <v>6</v>
      </c>
      <c r="J209" s="1609">
        <v>205</v>
      </c>
      <c r="K209" s="1581"/>
      <c r="L209" s="1610"/>
      <c r="M209" s="1610"/>
      <c r="N209" s="1581"/>
      <c r="O209" s="1581"/>
      <c r="P209" s="1581">
        <f t="shared" si="37"/>
        <v>0</v>
      </c>
      <c r="Q209" s="1581"/>
      <c r="R209" s="1611">
        <f t="shared" si="38"/>
        <v>0</v>
      </c>
      <c r="S209" s="1611">
        <f t="shared" si="39"/>
        <v>0</v>
      </c>
      <c r="T209" s="1611">
        <f t="shared" si="40"/>
        <v>0</v>
      </c>
    </row>
    <row r="210" spans="1:21">
      <c r="A210" s="1609">
        <v>169</v>
      </c>
      <c r="B210" s="1618" t="s">
        <v>1154</v>
      </c>
      <c r="C210" s="1579" t="s">
        <v>1542</v>
      </c>
      <c r="D210" s="1618" t="s">
        <v>1022</v>
      </c>
      <c r="E210" s="1581"/>
      <c r="F210" s="1581"/>
      <c r="G210" s="1581"/>
      <c r="H210" s="1581"/>
      <c r="I210" s="1609">
        <v>6</v>
      </c>
      <c r="J210" s="1609">
        <v>205</v>
      </c>
      <c r="K210" s="1581"/>
      <c r="L210" s="1622">
        <v>1</v>
      </c>
      <c r="M210" s="1622">
        <v>1</v>
      </c>
      <c r="N210" s="1581"/>
      <c r="O210" s="1581"/>
      <c r="P210" s="1581">
        <f t="shared" si="37"/>
        <v>1</v>
      </c>
      <c r="Q210" s="1581">
        <f>750*1.07</f>
        <v>802.5</v>
      </c>
      <c r="R210" s="1611">
        <f t="shared" si="38"/>
        <v>802.5</v>
      </c>
      <c r="S210" s="1611">
        <f t="shared" si="39"/>
        <v>22.81990521327014</v>
      </c>
      <c r="T210" s="1611">
        <f t="shared" si="40"/>
        <v>779.68009478672991</v>
      </c>
    </row>
    <row r="211" spans="1:21" ht="51.75" customHeight="1">
      <c r="A211" s="1609">
        <v>170</v>
      </c>
      <c r="B211" s="1620" t="s">
        <v>1543</v>
      </c>
      <c r="C211" s="1579" t="s">
        <v>1544</v>
      </c>
      <c r="D211" s="1620" t="s">
        <v>1268</v>
      </c>
      <c r="E211" s="1581"/>
      <c r="F211" s="1581"/>
      <c r="G211" s="1581"/>
      <c r="H211" s="1581"/>
      <c r="I211" s="1609">
        <v>6</v>
      </c>
      <c r="J211" s="1609">
        <v>205</v>
      </c>
      <c r="K211" s="1581"/>
      <c r="L211" s="1620">
        <v>1</v>
      </c>
      <c r="M211" s="1620">
        <v>1</v>
      </c>
      <c r="N211" s="1581"/>
      <c r="O211" s="1581"/>
      <c r="P211" s="1581">
        <f t="shared" si="37"/>
        <v>1</v>
      </c>
      <c r="Q211" s="1581">
        <f>750*1.07</f>
        <v>802.5</v>
      </c>
      <c r="R211" s="1611">
        <f t="shared" si="38"/>
        <v>802.5</v>
      </c>
      <c r="S211" s="1611">
        <f t="shared" si="39"/>
        <v>22.81990521327014</v>
      </c>
      <c r="T211" s="1611">
        <f t="shared" si="40"/>
        <v>779.68009478672991</v>
      </c>
    </row>
    <row r="212" spans="1:21" ht="21.75" customHeight="1">
      <c r="A212" s="1609">
        <v>171</v>
      </c>
      <c r="B212" s="1622" t="s">
        <v>1543</v>
      </c>
      <c r="C212" s="1579" t="s">
        <v>1545</v>
      </c>
      <c r="D212" s="1622" t="s">
        <v>1022</v>
      </c>
      <c r="E212" s="1581"/>
      <c r="F212" s="1581"/>
      <c r="G212" s="1581"/>
      <c r="H212" s="1581"/>
      <c r="I212" s="1609">
        <v>6</v>
      </c>
      <c r="J212" s="1609">
        <v>205</v>
      </c>
      <c r="K212" s="1581"/>
      <c r="L212" s="1610">
        <v>40</v>
      </c>
      <c r="M212" s="1610">
        <v>40</v>
      </c>
      <c r="N212" s="1581"/>
      <c r="O212" s="1581"/>
      <c r="P212" s="1581">
        <f t="shared" si="37"/>
        <v>40</v>
      </c>
      <c r="Q212" s="1581">
        <f>1100*1.07</f>
        <v>1177</v>
      </c>
      <c r="R212" s="1611">
        <f t="shared" si="38"/>
        <v>47080</v>
      </c>
      <c r="S212" s="1611">
        <f t="shared" si="39"/>
        <v>1338.7677725118483</v>
      </c>
      <c r="T212" s="1611">
        <f t="shared" si="40"/>
        <v>45741.232227488152</v>
      </c>
    </row>
    <row r="213" spans="1:21" ht="63.75">
      <c r="A213" s="1609">
        <v>172</v>
      </c>
      <c r="B213" s="1622" t="s">
        <v>1546</v>
      </c>
      <c r="C213" s="1653" t="s">
        <v>1547</v>
      </c>
      <c r="D213" s="1622" t="s">
        <v>1022</v>
      </c>
      <c r="E213" s="1581"/>
      <c r="F213" s="1581"/>
      <c r="G213" s="1581"/>
      <c r="H213" s="1581"/>
      <c r="I213" s="1609">
        <v>6</v>
      </c>
      <c r="J213" s="1609">
        <v>205</v>
      </c>
      <c r="K213" s="1581"/>
      <c r="L213" s="1610">
        <v>800</v>
      </c>
      <c r="M213" s="1610">
        <v>800</v>
      </c>
      <c r="N213" s="1581"/>
      <c r="O213" s="1581"/>
      <c r="P213" s="1581">
        <f t="shared" si="37"/>
        <v>800</v>
      </c>
      <c r="Q213" s="1581">
        <f>20*1.07</f>
        <v>21.400000000000002</v>
      </c>
      <c r="R213" s="1611">
        <f t="shared" si="38"/>
        <v>17120</v>
      </c>
      <c r="S213" s="1611">
        <f t="shared" si="39"/>
        <v>486.82464454976304</v>
      </c>
      <c r="T213" s="1611">
        <f t="shared" si="40"/>
        <v>16633.175355450236</v>
      </c>
      <c r="U213" s="1580" t="s">
        <v>1548</v>
      </c>
    </row>
    <row r="214" spans="1:21">
      <c r="A214" s="1609">
        <v>173</v>
      </c>
      <c r="B214" s="1620" t="s">
        <v>1549</v>
      </c>
      <c r="C214" s="1579" t="s">
        <v>1550</v>
      </c>
      <c r="D214" s="1620" t="s">
        <v>1268</v>
      </c>
      <c r="E214" s="1581"/>
      <c r="F214" s="1581"/>
      <c r="G214" s="1581"/>
      <c r="H214" s="1581"/>
      <c r="I214" s="1609">
        <v>6</v>
      </c>
      <c r="J214" s="1609">
        <v>205</v>
      </c>
      <c r="K214" s="1581"/>
      <c r="L214" s="1620"/>
      <c r="M214" s="1620"/>
      <c r="N214" s="1581"/>
      <c r="O214" s="1581"/>
      <c r="P214" s="1581">
        <f t="shared" si="37"/>
        <v>0</v>
      </c>
      <c r="Q214" s="1581"/>
      <c r="R214" s="1611">
        <f t="shared" si="38"/>
        <v>0</v>
      </c>
      <c r="S214" s="1611">
        <f t="shared" si="39"/>
        <v>0</v>
      </c>
      <c r="T214" s="1611">
        <f t="shared" si="40"/>
        <v>0</v>
      </c>
    </row>
    <row r="215" spans="1:21">
      <c r="A215" s="1609">
        <v>174</v>
      </c>
      <c r="B215" s="1056" t="s">
        <v>1551</v>
      </c>
      <c r="C215" s="917" t="s">
        <v>1552</v>
      </c>
      <c r="D215" s="1609" t="s">
        <v>1022</v>
      </c>
      <c r="E215" s="1581"/>
      <c r="F215" s="1609"/>
      <c r="G215" s="1609"/>
      <c r="H215" s="1609"/>
      <c r="I215" s="1609">
        <v>6</v>
      </c>
      <c r="J215" s="1609">
        <v>205</v>
      </c>
      <c r="K215" s="1609"/>
      <c r="L215" s="1581">
        <v>952</v>
      </c>
      <c r="M215" s="1581">
        <v>952</v>
      </c>
      <c r="N215" s="1609"/>
      <c r="O215" s="1609"/>
      <c r="P215" s="1581">
        <f t="shared" si="37"/>
        <v>952</v>
      </c>
      <c r="Q215" s="1610">
        <f>365*1.07</f>
        <v>390.55</v>
      </c>
      <c r="R215" s="1611">
        <f t="shared" si="38"/>
        <v>371803.60000000003</v>
      </c>
      <c r="S215" s="1611">
        <f t="shared" si="39"/>
        <v>10572.614218009479</v>
      </c>
      <c r="T215" s="1611">
        <f t="shared" si="40"/>
        <v>361230.98578199057</v>
      </c>
    </row>
    <row r="216" spans="1:21">
      <c r="A216" s="1609">
        <v>175</v>
      </c>
      <c r="B216" s="1620" t="s">
        <v>1553</v>
      </c>
      <c r="C216" s="1579" t="s">
        <v>1554</v>
      </c>
      <c r="D216" s="1620" t="s">
        <v>1022</v>
      </c>
      <c r="E216" s="1581"/>
      <c r="F216" s="1581"/>
      <c r="G216" s="1581"/>
      <c r="H216" s="1581"/>
      <c r="I216" s="1609">
        <v>6</v>
      </c>
      <c r="J216" s="1609">
        <v>205</v>
      </c>
      <c r="K216" s="1581"/>
      <c r="L216" s="1620">
        <v>400</v>
      </c>
      <c r="M216" s="1620">
        <v>400</v>
      </c>
      <c r="N216" s="1581"/>
      <c r="O216" s="1581"/>
      <c r="P216" s="1581">
        <f t="shared" si="37"/>
        <v>400</v>
      </c>
      <c r="Q216" s="1581">
        <f>150*1.07</f>
        <v>160.5</v>
      </c>
      <c r="R216" s="1611">
        <f t="shared" si="38"/>
        <v>64200</v>
      </c>
      <c r="S216" s="1611">
        <f t="shared" si="39"/>
        <v>1825.5924170616113</v>
      </c>
      <c r="T216" s="1611">
        <f t="shared" si="40"/>
        <v>62374.407582938387</v>
      </c>
    </row>
    <row r="217" spans="1:21">
      <c r="A217" s="1609">
        <v>176</v>
      </c>
      <c r="B217" s="1625" t="s">
        <v>1555</v>
      </c>
      <c r="C217" s="1579" t="s">
        <v>1556</v>
      </c>
      <c r="D217" s="1610" t="s">
        <v>1290</v>
      </c>
      <c r="E217" s="1581"/>
      <c r="F217" s="1581"/>
      <c r="G217" s="1581"/>
      <c r="H217" s="1581"/>
      <c r="I217" s="1609">
        <v>6</v>
      </c>
      <c r="J217" s="1609">
        <v>205</v>
      </c>
      <c r="K217" s="1581"/>
      <c r="L217" s="1610">
        <f>238+60+60+30</f>
        <v>388</v>
      </c>
      <c r="M217" s="1610">
        <v>388</v>
      </c>
      <c r="N217" s="1581"/>
      <c r="O217" s="1581"/>
      <c r="P217" s="1581">
        <f t="shared" si="37"/>
        <v>388</v>
      </c>
      <c r="Q217" s="1581">
        <f>260*1.07</f>
        <v>278.2</v>
      </c>
      <c r="R217" s="1611">
        <f t="shared" si="38"/>
        <v>107941.59999999999</v>
      </c>
      <c r="S217" s="1611">
        <f t="shared" si="39"/>
        <v>3069.4293838862554</v>
      </c>
      <c r="T217" s="1611">
        <f t="shared" si="40"/>
        <v>104872.17061611374</v>
      </c>
    </row>
    <row r="218" spans="1:21">
      <c r="A218" s="1609">
        <v>177</v>
      </c>
      <c r="B218" s="1625" t="s">
        <v>1555</v>
      </c>
      <c r="C218" s="1579" t="s">
        <v>1557</v>
      </c>
      <c r="D218" s="1610" t="s">
        <v>1290</v>
      </c>
      <c r="E218" s="1581"/>
      <c r="F218" s="1581"/>
      <c r="G218" s="1581"/>
      <c r="H218" s="1581"/>
      <c r="I218" s="1609">
        <v>6</v>
      </c>
      <c r="J218" s="1609">
        <v>205</v>
      </c>
      <c r="K218" s="1581"/>
      <c r="L218" s="1610">
        <f>1788+1788+1788+900</f>
        <v>6264</v>
      </c>
      <c r="M218" s="1610">
        <v>6264</v>
      </c>
      <c r="N218" s="1581"/>
      <c r="O218" s="1581"/>
      <c r="P218" s="1581">
        <f t="shared" si="37"/>
        <v>6264</v>
      </c>
      <c r="Q218" s="1581">
        <f>250*1.07</f>
        <v>267.5</v>
      </c>
      <c r="R218" s="1611">
        <f t="shared" si="38"/>
        <v>1675620</v>
      </c>
      <c r="S218" s="1611">
        <f t="shared" si="39"/>
        <v>47647.962085308056</v>
      </c>
      <c r="T218" s="1611">
        <f t="shared" si="40"/>
        <v>1627972.037914692</v>
      </c>
    </row>
    <row r="219" spans="1:21">
      <c r="A219" s="1609">
        <v>178</v>
      </c>
      <c r="B219" s="1618" t="s">
        <v>1558</v>
      </c>
      <c r="C219" s="1579" t="s">
        <v>1559</v>
      </c>
      <c r="D219" s="1618" t="s">
        <v>1022</v>
      </c>
      <c r="E219" s="1581"/>
      <c r="F219" s="1581"/>
      <c r="G219" s="1581"/>
      <c r="H219" s="1581"/>
      <c r="I219" s="1609">
        <v>6</v>
      </c>
      <c r="J219" s="1609">
        <v>205</v>
      </c>
      <c r="K219" s="1581"/>
      <c r="L219" s="1622">
        <v>100</v>
      </c>
      <c r="M219" s="1622">
        <v>100</v>
      </c>
      <c r="N219" s="1581"/>
      <c r="O219" s="1581"/>
      <c r="P219" s="1581">
        <f t="shared" si="37"/>
        <v>100</v>
      </c>
      <c r="Q219" s="1581">
        <f>150*1.07</f>
        <v>160.5</v>
      </c>
      <c r="R219" s="1611">
        <f t="shared" si="38"/>
        <v>16050</v>
      </c>
      <c r="S219" s="1611">
        <f t="shared" si="39"/>
        <v>456.39810426540282</v>
      </c>
      <c r="T219" s="1611">
        <f t="shared" si="40"/>
        <v>15593.601895734597</v>
      </c>
    </row>
    <row r="220" spans="1:21">
      <c r="A220" s="1609">
        <v>179</v>
      </c>
      <c r="B220" s="1618" t="s">
        <v>1560</v>
      </c>
      <c r="C220" s="1579" t="s">
        <v>1561</v>
      </c>
      <c r="D220" s="1618" t="s">
        <v>1022</v>
      </c>
      <c r="E220" s="1581"/>
      <c r="F220" s="1581"/>
      <c r="G220" s="1581"/>
      <c r="H220" s="1581"/>
      <c r="I220" s="1609">
        <v>6</v>
      </c>
      <c r="J220" s="1609">
        <v>205</v>
      </c>
      <c r="K220" s="1581"/>
      <c r="L220" s="1618">
        <v>100</v>
      </c>
      <c r="M220" s="1618">
        <v>100</v>
      </c>
      <c r="N220" s="1581"/>
      <c r="O220" s="1581"/>
      <c r="P220" s="1581">
        <f t="shared" si="37"/>
        <v>100</v>
      </c>
      <c r="Q220" s="1581">
        <f>1500*1.07</f>
        <v>1605</v>
      </c>
      <c r="R220" s="1611">
        <f t="shared" si="38"/>
        <v>160500</v>
      </c>
      <c r="S220" s="1611">
        <f t="shared" si="39"/>
        <v>4563.981042654028</v>
      </c>
      <c r="T220" s="1611">
        <f t="shared" si="40"/>
        <v>155936.01895734598</v>
      </c>
    </row>
    <row r="221" spans="1:21">
      <c r="A221" s="1609">
        <v>180</v>
      </c>
      <c r="B221" s="1618" t="s">
        <v>1562</v>
      </c>
      <c r="C221" s="1579" t="s">
        <v>1563</v>
      </c>
      <c r="D221" s="1618" t="s">
        <v>1564</v>
      </c>
      <c r="E221" s="1581"/>
      <c r="F221" s="1581"/>
      <c r="G221" s="1581"/>
      <c r="H221" s="1581"/>
      <c r="I221" s="1609">
        <v>6</v>
      </c>
      <c r="J221" s="1609">
        <v>205</v>
      </c>
      <c r="K221" s="1581"/>
      <c r="L221" s="1622">
        <v>936</v>
      </c>
      <c r="M221" s="1622">
        <f>576+144+144+72</f>
        <v>936</v>
      </c>
      <c r="N221" s="1581"/>
      <c r="O221" s="1581"/>
      <c r="P221" s="1581">
        <f t="shared" si="37"/>
        <v>936</v>
      </c>
      <c r="Q221" s="1581">
        <f>60*1.07</f>
        <v>64.2</v>
      </c>
      <c r="R221" s="1611">
        <f t="shared" si="38"/>
        <v>60091.200000000004</v>
      </c>
      <c r="S221" s="1611">
        <f t="shared" si="39"/>
        <v>1708.7545023696682</v>
      </c>
      <c r="T221" s="1611">
        <f t="shared" si="40"/>
        <v>58382.445497630339</v>
      </c>
    </row>
    <row r="222" spans="1:21" ht="0.75" customHeight="1">
      <c r="A222" s="1609"/>
      <c r="B222" s="1618"/>
      <c r="D222" s="1618" t="s">
        <v>1565</v>
      </c>
      <c r="E222" s="1581"/>
      <c r="F222" s="1581"/>
      <c r="G222" s="1581"/>
      <c r="H222" s="1581"/>
      <c r="I222" s="1609"/>
      <c r="J222" s="1609"/>
      <c r="K222" s="1581"/>
      <c r="L222" s="1622"/>
      <c r="M222" s="1622"/>
      <c r="N222" s="1581"/>
      <c r="O222" s="1581"/>
      <c r="P222" s="1581"/>
      <c r="Q222" s="1581"/>
      <c r="R222" s="1611"/>
      <c r="S222" s="1611"/>
      <c r="T222" s="1611"/>
    </row>
    <row r="223" spans="1:21" ht="25.5">
      <c r="A223" s="1609">
        <v>181</v>
      </c>
      <c r="B223" s="1619" t="s">
        <v>1566</v>
      </c>
      <c r="C223" s="1579" t="s">
        <v>1567</v>
      </c>
      <c r="D223" s="1619" t="s">
        <v>1565</v>
      </c>
      <c r="E223" s="1581"/>
      <c r="F223" s="1581"/>
      <c r="G223" s="1581"/>
      <c r="H223" s="1609"/>
      <c r="I223" s="1609">
        <v>6</v>
      </c>
      <c r="J223" s="1609">
        <v>205</v>
      </c>
      <c r="K223" s="1609"/>
      <c r="L223" s="1619">
        <v>35</v>
      </c>
      <c r="M223" s="1619">
        <v>35</v>
      </c>
      <c r="N223" s="1609"/>
      <c r="O223" s="1609"/>
      <c r="P223" s="1581">
        <f>L223-O223</f>
        <v>35</v>
      </c>
      <c r="Q223" s="1609">
        <f>3000*1.07</f>
        <v>3210</v>
      </c>
      <c r="R223" s="1611">
        <f>P223*Q223</f>
        <v>112350</v>
      </c>
      <c r="S223" s="1611">
        <f>R223*(I223/(I223+J223+K223))</f>
        <v>3194.7867298578199</v>
      </c>
      <c r="T223" s="1611">
        <f>R223-S223</f>
        <v>109155.21327014218</v>
      </c>
    </row>
    <row r="224" spans="1:21" ht="38.25" hidden="1">
      <c r="A224" s="1609">
        <v>178</v>
      </c>
      <c r="B224" s="1618" t="s">
        <v>1568</v>
      </c>
      <c r="C224" s="1579" t="s">
        <v>1569</v>
      </c>
      <c r="D224" s="1618" t="s">
        <v>1564</v>
      </c>
      <c r="E224" s="1581"/>
      <c r="F224" s="1581"/>
      <c r="G224" s="1581"/>
      <c r="H224" s="1581"/>
      <c r="I224" s="1609">
        <v>6</v>
      </c>
      <c r="J224" s="1609">
        <v>205</v>
      </c>
      <c r="K224" s="1581"/>
      <c r="L224" s="1622"/>
      <c r="M224" s="1622"/>
      <c r="N224" s="1581"/>
      <c r="O224" s="1581"/>
      <c r="P224" s="1581">
        <f>L224-O224</f>
        <v>0</v>
      </c>
      <c r="Q224" s="1581"/>
      <c r="R224" s="1611">
        <f>P224*Q224</f>
        <v>0</v>
      </c>
      <c r="S224" s="1611">
        <f>R224*(I224/(I224+J224+K224))</f>
        <v>0</v>
      </c>
      <c r="T224" s="1611">
        <f>R224-S224</f>
        <v>0</v>
      </c>
    </row>
    <row r="225" spans="1:21" ht="25.5">
      <c r="A225" s="1609">
        <v>182</v>
      </c>
      <c r="B225" s="1618" t="s">
        <v>1568</v>
      </c>
      <c r="C225" s="1579" t="s">
        <v>1570</v>
      </c>
      <c r="D225" s="1610" t="s">
        <v>1564</v>
      </c>
      <c r="E225" s="1581"/>
      <c r="F225" s="1581"/>
      <c r="G225" s="1581"/>
      <c r="H225" s="1581"/>
      <c r="I225" s="1609">
        <v>6</v>
      </c>
      <c r="J225" s="1609">
        <v>205</v>
      </c>
      <c r="K225" s="1581"/>
      <c r="L225" s="1610">
        <v>7152</v>
      </c>
      <c r="M225" s="1610">
        <f>2928+2208+1584+432</f>
        <v>7152</v>
      </c>
      <c r="N225" s="1581"/>
      <c r="O225" s="1581"/>
      <c r="P225" s="1581">
        <f>L225-O225</f>
        <v>7152</v>
      </c>
      <c r="Q225" s="1581">
        <f>220*1.07</f>
        <v>235.4</v>
      </c>
      <c r="R225" s="1611">
        <f>P225*Q225</f>
        <v>1683580.8</v>
      </c>
      <c r="S225" s="1611">
        <f>R225*(I225/(I225+J225+K225))</f>
        <v>47874.335545023692</v>
      </c>
      <c r="T225" s="1611">
        <f>R225-S225</f>
        <v>1635706.4644549764</v>
      </c>
    </row>
    <row r="226" spans="1:21" hidden="1">
      <c r="A226" s="1581"/>
      <c r="B226" s="1056" t="s">
        <v>1571</v>
      </c>
      <c r="C226" s="917" t="s">
        <v>1572</v>
      </c>
      <c r="D226" s="1609" t="s">
        <v>1022</v>
      </c>
      <c r="E226" s="1581"/>
      <c r="F226" s="1609"/>
      <c r="G226" s="1609"/>
      <c r="H226" s="1609"/>
      <c r="I226" s="1609"/>
      <c r="J226" s="1609"/>
      <c r="K226" s="1609"/>
      <c r="L226" s="1581"/>
      <c r="M226" s="1581"/>
      <c r="N226" s="1609"/>
      <c r="O226" s="1609"/>
      <c r="P226" s="1581"/>
      <c r="Q226" s="1610"/>
      <c r="R226" s="1611"/>
      <c r="S226" s="1611"/>
      <c r="T226" s="1611"/>
    </row>
    <row r="227" spans="1:21" ht="25.5">
      <c r="A227" s="1609">
        <v>183</v>
      </c>
      <c r="B227" s="1619" t="s">
        <v>1573</v>
      </c>
      <c r="C227" s="917" t="s">
        <v>1574</v>
      </c>
      <c r="D227" s="1619" t="s">
        <v>1268</v>
      </c>
      <c r="E227" s="1581"/>
      <c r="F227" s="1609"/>
      <c r="G227" s="1609"/>
      <c r="H227" s="1609"/>
      <c r="I227" s="1609">
        <v>6</v>
      </c>
      <c r="J227" s="1609">
        <v>205</v>
      </c>
      <c r="K227" s="1609"/>
      <c r="L227" s="1619">
        <v>40</v>
      </c>
      <c r="M227" s="1619">
        <v>40</v>
      </c>
      <c r="N227" s="1609"/>
      <c r="O227" s="1609"/>
      <c r="P227" s="1581">
        <f t="shared" ref="P227:P242" si="41">L227-O227</f>
        <v>40</v>
      </c>
      <c r="Q227" s="1610">
        <f>1000*1.07</f>
        <v>1070</v>
      </c>
      <c r="R227" s="1611">
        <f t="shared" ref="R227:R242" si="42">P227*Q227</f>
        <v>42800</v>
      </c>
      <c r="S227" s="1611">
        <f t="shared" ref="S227:S242" si="43">R227*(I227/(I227+J227+K227))</f>
        <v>1217.0616113744074</v>
      </c>
      <c r="T227" s="1611">
        <f t="shared" ref="T227:T242" si="44">R227-S227</f>
        <v>41582.938388625589</v>
      </c>
    </row>
    <row r="228" spans="1:21" ht="25.5">
      <c r="A228" s="1609">
        <v>184</v>
      </c>
      <c r="B228" s="1619" t="s">
        <v>1573</v>
      </c>
      <c r="C228" s="917" t="s">
        <v>1575</v>
      </c>
      <c r="D228" s="1619" t="s">
        <v>1268</v>
      </c>
      <c r="E228" s="1581"/>
      <c r="F228" s="1609"/>
      <c r="G228" s="1609"/>
      <c r="H228" s="1609"/>
      <c r="I228" s="1609">
        <v>6</v>
      </c>
      <c r="J228" s="1609">
        <v>205</v>
      </c>
      <c r="K228" s="1609"/>
      <c r="L228" s="1619">
        <v>80</v>
      </c>
      <c r="M228" s="1619">
        <v>80</v>
      </c>
      <c r="N228" s="1609"/>
      <c r="O228" s="1609"/>
      <c r="P228" s="1581">
        <f t="shared" si="41"/>
        <v>80</v>
      </c>
      <c r="Q228" s="1610">
        <f>1000*1.07</f>
        <v>1070</v>
      </c>
      <c r="R228" s="1611">
        <f t="shared" si="42"/>
        <v>85600</v>
      </c>
      <c r="S228" s="1611">
        <f t="shared" si="43"/>
        <v>2434.1232227488149</v>
      </c>
      <c r="T228" s="1611">
        <f t="shared" si="44"/>
        <v>83165.876777251178</v>
      </c>
    </row>
    <row r="229" spans="1:21" ht="25.5">
      <c r="A229" s="1609">
        <v>185</v>
      </c>
      <c r="B229" s="1619" t="s">
        <v>1573</v>
      </c>
      <c r="C229" s="917" t="s">
        <v>1576</v>
      </c>
      <c r="D229" s="1619" t="s">
        <v>1268</v>
      </c>
      <c r="E229" s="1581"/>
      <c r="F229" s="1609"/>
      <c r="G229" s="1609"/>
      <c r="H229" s="1609"/>
      <c r="I229" s="1609">
        <v>6</v>
      </c>
      <c r="J229" s="1609">
        <v>205</v>
      </c>
      <c r="K229" s="1609"/>
      <c r="L229" s="1619">
        <v>20</v>
      </c>
      <c r="M229" s="1619">
        <v>20</v>
      </c>
      <c r="N229" s="1609"/>
      <c r="O229" s="1609"/>
      <c r="P229" s="1581">
        <f t="shared" si="41"/>
        <v>20</v>
      </c>
      <c r="Q229" s="1610">
        <f>1000*1.07</f>
        <v>1070</v>
      </c>
      <c r="R229" s="1611">
        <f t="shared" si="42"/>
        <v>21400</v>
      </c>
      <c r="S229" s="1611">
        <f t="shared" si="43"/>
        <v>608.53080568720372</v>
      </c>
      <c r="T229" s="1611">
        <f t="shared" si="44"/>
        <v>20791.469194312795</v>
      </c>
    </row>
    <row r="230" spans="1:21" ht="25.5">
      <c r="A230" s="1609">
        <v>186</v>
      </c>
      <c r="B230" s="1618" t="s">
        <v>1577</v>
      </c>
      <c r="C230" s="1579" t="s">
        <v>1578</v>
      </c>
      <c r="D230" s="1622" t="s">
        <v>1579</v>
      </c>
      <c r="E230" s="1581"/>
      <c r="F230" s="1581"/>
      <c r="G230" s="1581"/>
      <c r="H230" s="1581"/>
      <c r="I230" s="1609">
        <v>6</v>
      </c>
      <c r="J230" s="1609">
        <v>205</v>
      </c>
      <c r="K230" s="1581"/>
      <c r="L230" s="1610">
        <v>60</v>
      </c>
      <c r="M230" s="1610">
        <v>60</v>
      </c>
      <c r="N230" s="1581"/>
      <c r="O230" s="1581"/>
      <c r="P230" s="1581">
        <f t="shared" si="41"/>
        <v>60</v>
      </c>
      <c r="Q230" s="1581">
        <f>1300*1.07</f>
        <v>1391</v>
      </c>
      <c r="R230" s="1611">
        <f t="shared" si="42"/>
        <v>83460</v>
      </c>
      <c r="S230" s="1611">
        <f t="shared" si="43"/>
        <v>2373.2701421800948</v>
      </c>
      <c r="T230" s="1611">
        <f t="shared" si="44"/>
        <v>81086.729857819912</v>
      </c>
    </row>
    <row r="231" spans="1:21">
      <c r="A231" s="1609">
        <v>187</v>
      </c>
      <c r="B231" s="1618" t="s">
        <v>1580</v>
      </c>
      <c r="C231" s="1579"/>
      <c r="D231" s="1618" t="s">
        <v>1022</v>
      </c>
      <c r="E231" s="1581"/>
      <c r="F231" s="1581"/>
      <c r="G231" s="1581"/>
      <c r="H231" s="1581"/>
      <c r="I231" s="1609">
        <v>6</v>
      </c>
      <c r="J231" s="1609">
        <v>205</v>
      </c>
      <c r="K231" s="1581"/>
      <c r="L231" s="1622">
        <v>1</v>
      </c>
      <c r="M231" s="1622">
        <v>1</v>
      </c>
      <c r="N231" s="1581"/>
      <c r="O231" s="1581"/>
      <c r="P231" s="1581">
        <f t="shared" si="41"/>
        <v>1</v>
      </c>
      <c r="Q231" s="1581">
        <f>650*1.07</f>
        <v>695.5</v>
      </c>
      <c r="R231" s="1611">
        <f t="shared" si="42"/>
        <v>695.5</v>
      </c>
      <c r="S231" s="1611">
        <f t="shared" si="43"/>
        <v>19.777251184834121</v>
      </c>
      <c r="T231" s="1611">
        <f t="shared" si="44"/>
        <v>675.72274881516591</v>
      </c>
    </row>
    <row r="232" spans="1:21">
      <c r="A232" s="1609">
        <v>188</v>
      </c>
      <c r="B232" s="1653" t="s">
        <v>1581</v>
      </c>
      <c r="C232" s="1647" t="s">
        <v>1582</v>
      </c>
      <c r="D232" s="1618" t="s">
        <v>1022</v>
      </c>
      <c r="E232" s="1581"/>
      <c r="F232" s="1581"/>
      <c r="G232" s="1581"/>
      <c r="H232" s="1581"/>
      <c r="I232" s="1609">
        <v>6</v>
      </c>
      <c r="J232" s="1609">
        <v>205</v>
      </c>
      <c r="K232" s="1581"/>
      <c r="L232" s="1622">
        <v>3</v>
      </c>
      <c r="M232" s="1622">
        <v>3</v>
      </c>
      <c r="N232" s="1581"/>
      <c r="O232" s="1581"/>
      <c r="P232" s="1581">
        <f t="shared" si="41"/>
        <v>3</v>
      </c>
      <c r="Q232" s="1581">
        <f>1000*1.07</f>
        <v>1070</v>
      </c>
      <c r="R232" s="1611">
        <f t="shared" si="42"/>
        <v>3210</v>
      </c>
      <c r="S232" s="1611">
        <f t="shared" si="43"/>
        <v>91.279620853080559</v>
      </c>
      <c r="T232" s="1611">
        <f t="shared" si="44"/>
        <v>3118.7203791469196</v>
      </c>
    </row>
    <row r="233" spans="1:21">
      <c r="A233" s="1609">
        <v>189</v>
      </c>
      <c r="B233" s="1618" t="s">
        <v>1583</v>
      </c>
      <c r="C233" s="1579" t="s">
        <v>1584</v>
      </c>
      <c r="D233" s="1618" t="s">
        <v>1022</v>
      </c>
      <c r="E233" s="1581"/>
      <c r="F233" s="1581"/>
      <c r="G233" s="1581"/>
      <c r="H233" s="1581"/>
      <c r="I233" s="1609">
        <v>6</v>
      </c>
      <c r="J233" s="1609">
        <v>205</v>
      </c>
      <c r="K233" s="1581"/>
      <c r="L233" s="1622">
        <v>1</v>
      </c>
      <c r="M233" s="1622">
        <v>1</v>
      </c>
      <c r="N233" s="1581"/>
      <c r="O233" s="1581"/>
      <c r="P233" s="1581">
        <f t="shared" si="41"/>
        <v>1</v>
      </c>
      <c r="Q233" s="1581">
        <f>650*1.07</f>
        <v>695.5</v>
      </c>
      <c r="R233" s="1611">
        <f t="shared" si="42"/>
        <v>695.5</v>
      </c>
      <c r="S233" s="1611">
        <f t="shared" si="43"/>
        <v>19.777251184834121</v>
      </c>
      <c r="T233" s="1611">
        <f t="shared" si="44"/>
        <v>675.72274881516591</v>
      </c>
    </row>
    <row r="234" spans="1:21" ht="25.5">
      <c r="A234" s="1609">
        <v>190</v>
      </c>
      <c r="B234" s="1618" t="s">
        <v>1585</v>
      </c>
      <c r="C234" s="1579" t="s">
        <v>1586</v>
      </c>
      <c r="D234" s="1618" t="s">
        <v>1587</v>
      </c>
      <c r="E234" s="1581"/>
      <c r="F234" s="1581"/>
      <c r="G234" s="1581"/>
      <c r="H234" s="1581"/>
      <c r="I234" s="1609">
        <v>6</v>
      </c>
      <c r="J234" s="1609">
        <v>205</v>
      </c>
      <c r="K234" s="1581"/>
      <c r="L234" s="1618">
        <v>7</v>
      </c>
      <c r="M234" s="1618">
        <v>7</v>
      </c>
      <c r="N234" s="1581"/>
      <c r="O234" s="1581"/>
      <c r="P234" s="1581">
        <f t="shared" si="41"/>
        <v>7</v>
      </c>
      <c r="Q234" s="1581">
        <f>18000*1.07</f>
        <v>19260</v>
      </c>
      <c r="R234" s="1611">
        <f t="shared" si="42"/>
        <v>134820</v>
      </c>
      <c r="S234" s="1611">
        <f t="shared" si="43"/>
        <v>3833.7440758293837</v>
      </c>
      <c r="T234" s="1611">
        <f t="shared" si="44"/>
        <v>130986.25592417062</v>
      </c>
    </row>
    <row r="235" spans="1:21">
      <c r="A235" s="1609">
        <v>191</v>
      </c>
      <c r="B235" s="1618" t="s">
        <v>1588</v>
      </c>
      <c r="C235" s="1579" t="s">
        <v>1589</v>
      </c>
      <c r="D235" s="1622" t="s">
        <v>1590</v>
      </c>
      <c r="E235" s="1581"/>
      <c r="F235" s="1581"/>
      <c r="G235" s="1581"/>
      <c r="H235" s="1581"/>
      <c r="I235" s="1609">
        <v>6</v>
      </c>
      <c r="J235" s="1609">
        <v>205</v>
      </c>
      <c r="K235" s="1581"/>
      <c r="L235" s="1618">
        <v>971</v>
      </c>
      <c r="M235" s="1618">
        <f>460+252+197+62</f>
        <v>971</v>
      </c>
      <c r="N235" s="1581"/>
      <c r="O235" s="1581"/>
      <c r="P235" s="1581">
        <f t="shared" si="41"/>
        <v>971</v>
      </c>
      <c r="Q235" s="1581">
        <f>150*1.07</f>
        <v>160.5</v>
      </c>
      <c r="R235" s="1611">
        <f t="shared" si="42"/>
        <v>155845.5</v>
      </c>
      <c r="S235" s="1611">
        <f t="shared" si="43"/>
        <v>4431.6255924170619</v>
      </c>
      <c r="T235" s="1611">
        <f t="shared" si="44"/>
        <v>151413.87440758295</v>
      </c>
    </row>
    <row r="236" spans="1:21" ht="25.5">
      <c r="A236" s="1609">
        <v>192</v>
      </c>
      <c r="B236" s="1622" t="s">
        <v>1591</v>
      </c>
      <c r="C236" s="1579" t="s">
        <v>1592</v>
      </c>
      <c r="D236" s="1622" t="s">
        <v>1290</v>
      </c>
      <c r="E236" s="1581"/>
      <c r="F236" s="1581"/>
      <c r="G236" s="1581"/>
      <c r="H236" s="1581"/>
      <c r="I236" s="1609">
        <v>6</v>
      </c>
      <c r="J236" s="1609">
        <v>205</v>
      </c>
      <c r="K236" s="1581"/>
      <c r="L236" s="1610">
        <v>20</v>
      </c>
      <c r="M236" s="1610">
        <v>20</v>
      </c>
      <c r="N236" s="1581"/>
      <c r="O236" s="1581"/>
      <c r="P236" s="1581">
        <f t="shared" si="41"/>
        <v>20</v>
      </c>
      <c r="Q236" s="1581">
        <f>700*1.07</f>
        <v>749</v>
      </c>
      <c r="R236" s="1611">
        <f t="shared" si="42"/>
        <v>14980</v>
      </c>
      <c r="S236" s="1611">
        <f t="shared" si="43"/>
        <v>425.97156398104261</v>
      </c>
      <c r="T236" s="1611">
        <f t="shared" si="44"/>
        <v>14554.028436018958</v>
      </c>
      <c r="U236" s="1580" t="s">
        <v>1593</v>
      </c>
    </row>
    <row r="237" spans="1:21">
      <c r="A237" s="1609">
        <v>193</v>
      </c>
      <c r="B237" s="1622" t="s">
        <v>1594</v>
      </c>
      <c r="C237" s="1579" t="s">
        <v>1595</v>
      </c>
      <c r="D237" s="1622" t="s">
        <v>1022</v>
      </c>
      <c r="E237" s="1581"/>
      <c r="F237" s="1581"/>
      <c r="G237" s="1581"/>
      <c r="H237" s="1581"/>
      <c r="I237" s="1609">
        <v>6</v>
      </c>
      <c r="J237" s="1609">
        <v>205</v>
      </c>
      <c r="K237" s="1581"/>
      <c r="L237" s="1610">
        <v>5</v>
      </c>
      <c r="M237" s="1610">
        <v>5</v>
      </c>
      <c r="N237" s="1581"/>
      <c r="O237" s="1581"/>
      <c r="P237" s="1581">
        <f t="shared" si="41"/>
        <v>5</v>
      </c>
      <c r="Q237" s="1581">
        <f>9000*1.07</f>
        <v>9630</v>
      </c>
      <c r="R237" s="1611">
        <f t="shared" si="42"/>
        <v>48150</v>
      </c>
      <c r="S237" s="1611">
        <f t="shared" si="43"/>
        <v>1369.1943127962086</v>
      </c>
      <c r="T237" s="1611">
        <f t="shared" si="44"/>
        <v>46780.805687203792</v>
      </c>
    </row>
    <row r="238" spans="1:21">
      <c r="A238" s="1609">
        <v>194</v>
      </c>
      <c r="B238" s="1618" t="s">
        <v>1596</v>
      </c>
      <c r="C238" s="1579" t="s">
        <v>1597</v>
      </c>
      <c r="D238" s="1618" t="s">
        <v>1268</v>
      </c>
      <c r="E238" s="1581"/>
      <c r="F238" s="1581"/>
      <c r="G238" s="1581"/>
      <c r="H238" s="1581"/>
      <c r="I238" s="1609">
        <v>6</v>
      </c>
      <c r="J238" s="1609">
        <v>205</v>
      </c>
      <c r="K238" s="1581"/>
      <c r="L238" s="1618">
        <v>470</v>
      </c>
      <c r="M238" s="1618">
        <v>470</v>
      </c>
      <c r="N238" s="1581"/>
      <c r="O238" s="1581"/>
      <c r="P238" s="1581">
        <f t="shared" si="41"/>
        <v>470</v>
      </c>
      <c r="Q238" s="1581">
        <f>1000*1.07</f>
        <v>1070</v>
      </c>
      <c r="R238" s="1611">
        <f t="shared" si="42"/>
        <v>502900</v>
      </c>
      <c r="S238" s="1611">
        <f t="shared" si="43"/>
        <v>14300.473933649288</v>
      </c>
      <c r="T238" s="1611">
        <f t="shared" si="44"/>
        <v>488599.52606635069</v>
      </c>
      <c r="U238" s="1580">
        <v>1500</v>
      </c>
    </row>
    <row r="239" spans="1:21" ht="25.5">
      <c r="A239" s="1609">
        <v>195</v>
      </c>
      <c r="B239" s="1610" t="s">
        <v>1598</v>
      </c>
      <c r="C239" s="1579" t="s">
        <v>1599</v>
      </c>
      <c r="D239" s="1610" t="s">
        <v>1022</v>
      </c>
      <c r="E239" s="1581"/>
      <c r="F239" s="1581"/>
      <c r="G239" s="1581"/>
      <c r="H239" s="1581"/>
      <c r="I239" s="1609">
        <v>6</v>
      </c>
      <c r="J239" s="1609">
        <v>205</v>
      </c>
      <c r="K239" s="1581"/>
      <c r="L239" s="1610">
        <v>1</v>
      </c>
      <c r="M239" s="1610">
        <v>1</v>
      </c>
      <c r="N239" s="1581"/>
      <c r="O239" s="1581"/>
      <c r="P239" s="1581">
        <f t="shared" si="41"/>
        <v>1</v>
      </c>
      <c r="Q239" s="1581">
        <f>7000*1.07</f>
        <v>7490</v>
      </c>
      <c r="R239" s="1611">
        <f t="shared" si="42"/>
        <v>7490</v>
      </c>
      <c r="S239" s="1611">
        <f t="shared" si="43"/>
        <v>212.9857819905213</v>
      </c>
      <c r="T239" s="1611">
        <f t="shared" si="44"/>
        <v>7277.014218009479</v>
      </c>
      <c r="U239" s="1580">
        <v>2500</v>
      </c>
    </row>
    <row r="240" spans="1:21">
      <c r="A240" s="1609">
        <v>196</v>
      </c>
      <c r="B240" s="1618" t="s">
        <v>1600</v>
      </c>
      <c r="C240" s="1579" t="s">
        <v>1601</v>
      </c>
      <c r="D240" s="1618" t="s">
        <v>1022</v>
      </c>
      <c r="E240" s="1581"/>
      <c r="F240" s="1581"/>
      <c r="G240" s="1581"/>
      <c r="H240" s="1581"/>
      <c r="I240" s="1609">
        <v>6</v>
      </c>
      <c r="J240" s="1609">
        <v>205</v>
      </c>
      <c r="K240" s="1581"/>
      <c r="L240" s="1622">
        <v>50</v>
      </c>
      <c r="M240" s="1622">
        <v>50</v>
      </c>
      <c r="N240" s="1581"/>
      <c r="O240" s="1581"/>
      <c r="P240" s="1581">
        <f t="shared" si="41"/>
        <v>50</v>
      </c>
      <c r="Q240" s="1581">
        <f>250*1.07</f>
        <v>267.5</v>
      </c>
      <c r="R240" s="1611">
        <f t="shared" si="42"/>
        <v>13375</v>
      </c>
      <c r="S240" s="1611">
        <f t="shared" si="43"/>
        <v>380.33175355450237</v>
      </c>
      <c r="T240" s="1611">
        <f t="shared" si="44"/>
        <v>12994.668246445497</v>
      </c>
    </row>
    <row r="241" spans="1:21">
      <c r="A241" s="1609">
        <v>197</v>
      </c>
      <c r="B241" s="1618" t="s">
        <v>1600</v>
      </c>
      <c r="C241" s="1579" t="s">
        <v>1602</v>
      </c>
      <c r="D241" s="1618" t="s">
        <v>1022</v>
      </c>
      <c r="E241" s="1581"/>
      <c r="F241" s="1581"/>
      <c r="G241" s="1581"/>
      <c r="H241" s="1581"/>
      <c r="I241" s="1609">
        <v>6</v>
      </c>
      <c r="J241" s="1609">
        <v>205</v>
      </c>
      <c r="K241" s="1581"/>
      <c r="L241" s="1622">
        <v>50</v>
      </c>
      <c r="M241" s="1622">
        <v>50</v>
      </c>
      <c r="N241" s="1581"/>
      <c r="O241" s="1581"/>
      <c r="P241" s="1581">
        <f t="shared" si="41"/>
        <v>50</v>
      </c>
      <c r="Q241" s="1581">
        <f>1000*1.07</f>
        <v>1070</v>
      </c>
      <c r="R241" s="1611">
        <f t="shared" si="42"/>
        <v>53500</v>
      </c>
      <c r="S241" s="1611">
        <f t="shared" si="43"/>
        <v>1521.3270142180095</v>
      </c>
      <c r="T241" s="1611">
        <f t="shared" si="44"/>
        <v>51978.672985781988</v>
      </c>
    </row>
    <row r="242" spans="1:21" ht="15.75" customHeight="1">
      <c r="A242" s="1609">
        <v>198</v>
      </c>
      <c r="B242" s="1618" t="s">
        <v>1600</v>
      </c>
      <c r="C242" s="1579" t="s">
        <v>1603</v>
      </c>
      <c r="D242" s="1618" t="s">
        <v>1022</v>
      </c>
      <c r="E242" s="1581"/>
      <c r="F242" s="1581"/>
      <c r="G242" s="1581"/>
      <c r="H242" s="1581"/>
      <c r="I242" s="1609">
        <v>6</v>
      </c>
      <c r="J242" s="1609">
        <v>205</v>
      </c>
      <c r="K242" s="1581"/>
      <c r="L242" s="1618">
        <v>40</v>
      </c>
      <c r="M242" s="1618">
        <v>40</v>
      </c>
      <c r="N242" s="1581"/>
      <c r="O242" s="1581"/>
      <c r="P242" s="1581">
        <f t="shared" si="41"/>
        <v>40</v>
      </c>
      <c r="Q242" s="1581">
        <f>2000*1.07</f>
        <v>2140</v>
      </c>
      <c r="R242" s="1611">
        <f t="shared" si="42"/>
        <v>85600</v>
      </c>
      <c r="S242" s="1611">
        <f t="shared" si="43"/>
        <v>2434.1232227488149</v>
      </c>
      <c r="T242" s="1611">
        <f t="shared" si="44"/>
        <v>83165.876777251178</v>
      </c>
    </row>
    <row r="243" spans="1:21" ht="38.25">
      <c r="A243" s="1609">
        <v>199</v>
      </c>
      <c r="B243" s="1619" t="s">
        <v>1604</v>
      </c>
      <c r="C243" s="917" t="s">
        <v>1605</v>
      </c>
      <c r="D243" s="1619" t="s">
        <v>1268</v>
      </c>
      <c r="E243" s="1581"/>
      <c r="F243" s="1609"/>
      <c r="G243" s="1609"/>
      <c r="H243" s="1609"/>
      <c r="I243" s="1609">
        <v>6</v>
      </c>
      <c r="J243" s="1609">
        <v>205</v>
      </c>
      <c r="K243" s="1609"/>
      <c r="L243" s="1619">
        <v>45</v>
      </c>
      <c r="M243" s="1619">
        <v>45</v>
      </c>
      <c r="N243" s="1609"/>
      <c r="O243" s="1609"/>
      <c r="P243" s="1581">
        <f t="shared" ref="P243:P288" si="45">L243-O243</f>
        <v>45</v>
      </c>
      <c r="Q243" s="1610">
        <f>470*1.07</f>
        <v>502.90000000000003</v>
      </c>
      <c r="R243" s="1611">
        <f t="shared" ref="R243:R288" si="46">P243*Q243</f>
        <v>22630.5</v>
      </c>
      <c r="S243" s="1611">
        <f t="shared" ref="S243:S288" si="47">R243*(I243/(I243+J243+K243))</f>
        <v>643.52132701421795</v>
      </c>
      <c r="T243" s="1611">
        <f t="shared" ref="T243:T288" si="48">R243-S243</f>
        <v>21986.978672985781</v>
      </c>
    </row>
    <row r="244" spans="1:21" ht="38.25">
      <c r="A244" s="1609">
        <v>200</v>
      </c>
      <c r="B244" s="1619" t="s">
        <v>1604</v>
      </c>
      <c r="C244" s="917" t="s">
        <v>1606</v>
      </c>
      <c r="D244" s="1619" t="s">
        <v>1268</v>
      </c>
      <c r="E244" s="1581"/>
      <c r="F244" s="1609"/>
      <c r="G244" s="1609"/>
      <c r="H244" s="1609"/>
      <c r="I244" s="1609">
        <v>6</v>
      </c>
      <c r="J244" s="1609">
        <v>205</v>
      </c>
      <c r="K244" s="1609"/>
      <c r="L244" s="1619">
        <v>55</v>
      </c>
      <c r="M244" s="1619">
        <v>70</v>
      </c>
      <c r="N244" s="1609"/>
      <c r="O244" s="1609"/>
      <c r="P244" s="1581">
        <f t="shared" si="45"/>
        <v>55</v>
      </c>
      <c r="Q244" s="1610">
        <f>670*1.07</f>
        <v>716.90000000000009</v>
      </c>
      <c r="R244" s="1611">
        <f t="shared" si="46"/>
        <v>39429.500000000007</v>
      </c>
      <c r="S244" s="1611">
        <f t="shared" si="47"/>
        <v>1121.2180094786731</v>
      </c>
      <c r="T244" s="1611">
        <f t="shared" si="48"/>
        <v>38308.281990521333</v>
      </c>
    </row>
    <row r="245" spans="1:21">
      <c r="A245" s="1609">
        <v>201</v>
      </c>
      <c r="B245" s="1619" t="s">
        <v>1607</v>
      </c>
      <c r="C245" s="917" t="s">
        <v>1608</v>
      </c>
      <c r="D245" s="1619" t="s">
        <v>1268</v>
      </c>
      <c r="E245" s="1581"/>
      <c r="F245" s="1609"/>
      <c r="G245" s="1609"/>
      <c r="H245" s="1609"/>
      <c r="I245" s="1609">
        <v>6</v>
      </c>
      <c r="J245" s="1609">
        <v>205</v>
      </c>
      <c r="K245" s="1609"/>
      <c r="L245" s="1619">
        <v>50</v>
      </c>
      <c r="M245" s="1619">
        <v>50</v>
      </c>
      <c r="N245" s="1609"/>
      <c r="O245" s="1609"/>
      <c r="P245" s="1581">
        <f t="shared" si="45"/>
        <v>50</v>
      </c>
      <c r="Q245" s="1610">
        <f>1860*1.07</f>
        <v>1990.2</v>
      </c>
      <c r="R245" s="1611">
        <f t="shared" si="46"/>
        <v>99510</v>
      </c>
      <c r="S245" s="1611">
        <f t="shared" si="47"/>
        <v>2829.6682464454975</v>
      </c>
      <c r="T245" s="1611">
        <f t="shared" si="48"/>
        <v>96680.331753554507</v>
      </c>
    </row>
    <row r="246" spans="1:21" ht="38.25">
      <c r="A246" s="1609">
        <v>202</v>
      </c>
      <c r="B246" s="1619" t="s">
        <v>1609</v>
      </c>
      <c r="C246" s="917" t="s">
        <v>1605</v>
      </c>
      <c r="D246" s="1619" t="s">
        <v>1268</v>
      </c>
      <c r="E246" s="1581"/>
      <c r="F246" s="1609"/>
      <c r="G246" s="1609"/>
      <c r="H246" s="1609"/>
      <c r="I246" s="1609">
        <v>6</v>
      </c>
      <c r="J246" s="1609">
        <v>205</v>
      </c>
      <c r="K246" s="1609"/>
      <c r="L246" s="1619">
        <v>55</v>
      </c>
      <c r="M246" s="1619">
        <v>70</v>
      </c>
      <c r="N246" s="1609"/>
      <c r="O246" s="1609"/>
      <c r="P246" s="1581">
        <f t="shared" si="45"/>
        <v>55</v>
      </c>
      <c r="Q246" s="1610">
        <f>460*1.07</f>
        <v>492.20000000000005</v>
      </c>
      <c r="R246" s="1611">
        <f t="shared" si="46"/>
        <v>27071.000000000004</v>
      </c>
      <c r="S246" s="1611">
        <f t="shared" si="47"/>
        <v>769.79146919431287</v>
      </c>
      <c r="T246" s="1611">
        <f t="shared" si="48"/>
        <v>26301.208530805692</v>
      </c>
    </row>
    <row r="247" spans="1:21" ht="38.25">
      <c r="A247" s="1609">
        <v>203</v>
      </c>
      <c r="B247" s="1619" t="s">
        <v>1609</v>
      </c>
      <c r="C247" s="917" t="s">
        <v>1606</v>
      </c>
      <c r="D247" s="1619" t="s">
        <v>1268</v>
      </c>
      <c r="E247" s="1581"/>
      <c r="F247" s="1609"/>
      <c r="G247" s="1609"/>
      <c r="H247" s="1609"/>
      <c r="I247" s="1609">
        <v>6</v>
      </c>
      <c r="J247" s="1609">
        <v>205</v>
      </c>
      <c r="K247" s="1609"/>
      <c r="L247" s="1619">
        <v>45</v>
      </c>
      <c r="M247" s="1619">
        <v>45</v>
      </c>
      <c r="N247" s="1609"/>
      <c r="O247" s="1609"/>
      <c r="P247" s="1581">
        <f t="shared" si="45"/>
        <v>45</v>
      </c>
      <c r="Q247" s="1610">
        <f>670*1.07</f>
        <v>716.90000000000009</v>
      </c>
      <c r="R247" s="1611">
        <f t="shared" si="46"/>
        <v>32260.500000000004</v>
      </c>
      <c r="S247" s="1611">
        <f t="shared" si="47"/>
        <v>917.36018957345982</v>
      </c>
      <c r="T247" s="1611">
        <f t="shared" si="48"/>
        <v>31343.139810426543</v>
      </c>
    </row>
    <row r="248" spans="1:21">
      <c r="A248" s="1609">
        <v>204</v>
      </c>
      <c r="B248" s="1622" t="s">
        <v>1610</v>
      </c>
      <c r="C248" s="1579" t="s">
        <v>1611</v>
      </c>
      <c r="D248" s="1622" t="s">
        <v>1022</v>
      </c>
      <c r="E248" s="1581"/>
      <c r="F248" s="1581"/>
      <c r="G248" s="1581"/>
      <c r="H248" s="1581"/>
      <c r="I248" s="1609">
        <v>6</v>
      </c>
      <c r="J248" s="1609">
        <v>205</v>
      </c>
      <c r="K248" s="1581"/>
      <c r="L248" s="1610">
        <v>3</v>
      </c>
      <c r="M248" s="1610">
        <v>3</v>
      </c>
      <c r="N248" s="1581"/>
      <c r="O248" s="1581"/>
      <c r="P248" s="1581">
        <f t="shared" si="45"/>
        <v>3</v>
      </c>
      <c r="Q248" s="1581">
        <f>1200*1.07</f>
        <v>1284</v>
      </c>
      <c r="R248" s="1611">
        <f t="shared" si="46"/>
        <v>3852</v>
      </c>
      <c r="S248" s="1611">
        <f t="shared" si="47"/>
        <v>109.53554502369668</v>
      </c>
      <c r="T248" s="1611">
        <f t="shared" si="48"/>
        <v>3742.4644549763034</v>
      </c>
    </row>
    <row r="249" spans="1:21">
      <c r="A249" s="1609">
        <v>205</v>
      </c>
      <c r="B249" s="1618" t="s">
        <v>1612</v>
      </c>
      <c r="C249" s="1579" t="s">
        <v>1613</v>
      </c>
      <c r="D249" s="1618" t="s">
        <v>1022</v>
      </c>
      <c r="E249" s="1581"/>
      <c r="F249" s="1581"/>
      <c r="G249" s="1581"/>
      <c r="H249" s="1581"/>
      <c r="I249" s="1609">
        <v>6</v>
      </c>
      <c r="J249" s="1609">
        <v>205</v>
      </c>
      <c r="K249" s="1581"/>
      <c r="L249" s="1622">
        <v>1</v>
      </c>
      <c r="M249" s="1622">
        <v>1</v>
      </c>
      <c r="N249" s="1581"/>
      <c r="O249" s="1581"/>
      <c r="P249" s="1581">
        <f t="shared" si="45"/>
        <v>1</v>
      </c>
      <c r="Q249" s="1581">
        <f>750*1.07</f>
        <v>802.5</v>
      </c>
      <c r="R249" s="1611">
        <f t="shared" si="46"/>
        <v>802.5</v>
      </c>
      <c r="S249" s="1611">
        <f t="shared" si="47"/>
        <v>22.81990521327014</v>
      </c>
      <c r="T249" s="1611">
        <f t="shared" si="48"/>
        <v>779.68009478672991</v>
      </c>
    </row>
    <row r="250" spans="1:21">
      <c r="A250" s="1609">
        <v>206</v>
      </c>
      <c r="B250" s="1618" t="s">
        <v>1614</v>
      </c>
      <c r="C250" s="1579" t="s">
        <v>1615</v>
      </c>
      <c r="D250" s="1618" t="s">
        <v>1022</v>
      </c>
      <c r="E250" s="1581"/>
      <c r="F250" s="1581"/>
      <c r="G250" s="1581"/>
      <c r="H250" s="1581"/>
      <c r="I250" s="1609">
        <v>6</v>
      </c>
      <c r="J250" s="1609">
        <v>205</v>
      </c>
      <c r="K250" s="1581"/>
      <c r="L250" s="1620"/>
      <c r="M250" s="1620"/>
      <c r="N250" s="1581"/>
      <c r="O250" s="1581"/>
      <c r="P250" s="1581">
        <f t="shared" si="45"/>
        <v>0</v>
      </c>
      <c r="Q250" s="1581"/>
      <c r="R250" s="1611">
        <f t="shared" si="46"/>
        <v>0</v>
      </c>
      <c r="S250" s="1611">
        <f t="shared" si="47"/>
        <v>0</v>
      </c>
      <c r="T250" s="1611">
        <f t="shared" si="48"/>
        <v>0</v>
      </c>
    </row>
    <row r="251" spans="1:21">
      <c r="A251" s="1609">
        <v>207</v>
      </c>
      <c r="B251" s="1619" t="s">
        <v>1616</v>
      </c>
      <c r="C251" s="1579" t="s">
        <v>1617</v>
      </c>
      <c r="D251" s="1619" t="s">
        <v>1119</v>
      </c>
      <c r="E251" s="1581"/>
      <c r="F251" s="1581"/>
      <c r="G251" s="1581"/>
      <c r="H251" s="1609"/>
      <c r="I251" s="1609">
        <v>6</v>
      </c>
      <c r="J251" s="1609">
        <v>205</v>
      </c>
      <c r="K251" s="1609"/>
      <c r="L251" s="1619">
        <v>2600</v>
      </c>
      <c r="M251" s="1619">
        <v>2700</v>
      </c>
      <c r="N251" s="1609"/>
      <c r="O251" s="1609"/>
      <c r="P251" s="1581">
        <f t="shared" si="45"/>
        <v>2600</v>
      </c>
      <c r="Q251" s="1609">
        <f>20*1.07</f>
        <v>21.400000000000002</v>
      </c>
      <c r="R251" s="1611">
        <f t="shared" si="46"/>
        <v>55640.000000000007</v>
      </c>
      <c r="S251" s="1611">
        <f t="shared" si="47"/>
        <v>1582.18009478673</v>
      </c>
      <c r="T251" s="1611">
        <f t="shared" si="48"/>
        <v>54057.819905213277</v>
      </c>
      <c r="U251" s="1580">
        <v>1000</v>
      </c>
    </row>
    <row r="252" spans="1:21">
      <c r="A252" s="1609">
        <v>208</v>
      </c>
      <c r="B252" s="1618" t="s">
        <v>1618</v>
      </c>
      <c r="C252" s="1579" t="s">
        <v>1619</v>
      </c>
      <c r="D252" s="1618" t="s">
        <v>1565</v>
      </c>
      <c r="E252" s="1581"/>
      <c r="F252" s="1581"/>
      <c r="G252" s="1581"/>
      <c r="H252" s="1581"/>
      <c r="I252" s="1609">
        <v>6</v>
      </c>
      <c r="J252" s="1609">
        <v>205</v>
      </c>
      <c r="K252" s="1581"/>
      <c r="L252" s="1618">
        <v>6</v>
      </c>
      <c r="M252" s="1618">
        <v>6</v>
      </c>
      <c r="N252" s="1581"/>
      <c r="O252" s="1581"/>
      <c r="P252" s="1581">
        <f t="shared" si="45"/>
        <v>6</v>
      </c>
      <c r="Q252" s="1581">
        <f>4500*1.07</f>
        <v>4815</v>
      </c>
      <c r="R252" s="1611">
        <f t="shared" si="46"/>
        <v>28890</v>
      </c>
      <c r="S252" s="1611">
        <f t="shared" si="47"/>
        <v>821.51658767772506</v>
      </c>
      <c r="T252" s="1611">
        <f t="shared" si="48"/>
        <v>28068.483412322275</v>
      </c>
    </row>
    <row r="253" spans="1:21" ht="1.5" customHeight="1">
      <c r="A253" s="1609">
        <v>209</v>
      </c>
      <c r="B253" s="1618" t="s">
        <v>1620</v>
      </c>
      <c r="C253" s="1579" t="s">
        <v>1621</v>
      </c>
      <c r="D253" s="1618" t="s">
        <v>1268</v>
      </c>
      <c r="E253" s="1581"/>
      <c r="F253" s="1581"/>
      <c r="G253" s="1581"/>
      <c r="H253" s="1581"/>
      <c r="I253" s="1609"/>
      <c r="J253" s="1609"/>
      <c r="K253" s="1581"/>
      <c r="L253" s="1618"/>
      <c r="M253" s="1618"/>
      <c r="N253" s="1581"/>
      <c r="O253" s="1581"/>
      <c r="P253" s="1581"/>
      <c r="Q253" s="1581"/>
      <c r="R253" s="1611"/>
      <c r="S253" s="1611"/>
      <c r="T253" s="1611"/>
    </row>
    <row r="254" spans="1:21">
      <c r="A254" s="1609">
        <v>210</v>
      </c>
      <c r="B254" s="1618" t="s">
        <v>1622</v>
      </c>
      <c r="C254" s="1579" t="s">
        <v>1623</v>
      </c>
      <c r="D254" s="1618" t="s">
        <v>1268</v>
      </c>
      <c r="E254" s="1581"/>
      <c r="F254" s="1581"/>
      <c r="G254" s="1581"/>
      <c r="H254" s="1581"/>
      <c r="I254" s="1609">
        <v>6</v>
      </c>
      <c r="J254" s="1609">
        <v>205</v>
      </c>
      <c r="K254" s="1581"/>
      <c r="L254" s="1618">
        <v>115</v>
      </c>
      <c r="M254" s="1618">
        <v>120</v>
      </c>
      <c r="N254" s="1581"/>
      <c r="O254" s="1581"/>
      <c r="P254" s="1581">
        <f t="shared" si="45"/>
        <v>115</v>
      </c>
      <c r="Q254" s="1581">
        <f>2000*1.07</f>
        <v>2140</v>
      </c>
      <c r="R254" s="1611">
        <f t="shared" si="46"/>
        <v>246100</v>
      </c>
      <c r="S254" s="1611">
        <f t="shared" si="47"/>
        <v>6998.1042654028433</v>
      </c>
      <c r="T254" s="1611">
        <f t="shared" si="48"/>
        <v>239101.89573459714</v>
      </c>
    </row>
    <row r="255" spans="1:21" hidden="1">
      <c r="A255" s="1609">
        <v>256</v>
      </c>
      <c r="B255" s="1622" t="s">
        <v>1624</v>
      </c>
      <c r="C255" s="1579"/>
      <c r="D255" s="1622" t="s">
        <v>1022</v>
      </c>
      <c r="E255" s="1581"/>
      <c r="F255" s="1581"/>
      <c r="G255" s="1581"/>
      <c r="H255" s="1581"/>
      <c r="I255" s="1609"/>
      <c r="J255" s="1609"/>
      <c r="K255" s="1581"/>
      <c r="L255" s="1622"/>
      <c r="M255" s="1622"/>
      <c r="N255" s="1581"/>
      <c r="O255" s="1581"/>
      <c r="P255" s="1581"/>
      <c r="Q255" s="1581"/>
      <c r="R255" s="1611"/>
      <c r="S255" s="1611"/>
      <c r="T255" s="1611"/>
    </row>
    <row r="256" spans="1:21" hidden="1">
      <c r="A256" s="1609">
        <v>213</v>
      </c>
      <c r="B256" s="1620" t="s">
        <v>1624</v>
      </c>
      <c r="C256" s="1579" t="s">
        <v>1625</v>
      </c>
      <c r="D256" s="1620" t="s">
        <v>1022</v>
      </c>
      <c r="E256" s="1581"/>
      <c r="F256" s="1581"/>
      <c r="G256" s="1581"/>
      <c r="H256" s="1581"/>
      <c r="I256" s="1609"/>
      <c r="J256" s="1609"/>
      <c r="K256" s="1581"/>
      <c r="L256" s="1620"/>
      <c r="M256" s="1620"/>
      <c r="N256" s="1581"/>
      <c r="O256" s="1581"/>
      <c r="P256" s="1581"/>
      <c r="Q256" s="1581"/>
      <c r="R256" s="1611"/>
      <c r="S256" s="1611"/>
      <c r="T256" s="1611"/>
    </row>
    <row r="257" spans="1:20" hidden="1">
      <c r="A257" s="1609">
        <v>214</v>
      </c>
      <c r="B257" s="1620" t="s">
        <v>1624</v>
      </c>
      <c r="C257" s="1579" t="s">
        <v>1626</v>
      </c>
      <c r="D257" s="1620" t="s">
        <v>1022</v>
      </c>
      <c r="E257" s="1581"/>
      <c r="F257" s="1581"/>
      <c r="G257" s="1581"/>
      <c r="H257" s="1581"/>
      <c r="I257" s="1609"/>
      <c r="J257" s="1609"/>
      <c r="K257" s="1581"/>
      <c r="L257" s="1620"/>
      <c r="M257" s="1620"/>
      <c r="N257" s="1581"/>
      <c r="O257" s="1581"/>
      <c r="P257" s="1581"/>
      <c r="Q257" s="1581"/>
      <c r="R257" s="1611"/>
      <c r="S257" s="1611"/>
      <c r="T257" s="1611"/>
    </row>
    <row r="258" spans="1:20" hidden="1">
      <c r="A258" s="1609">
        <v>215</v>
      </c>
      <c r="B258" s="1620" t="s">
        <v>1624</v>
      </c>
      <c r="C258" s="1579" t="s">
        <v>1627</v>
      </c>
      <c r="D258" s="1620" t="s">
        <v>1022</v>
      </c>
      <c r="E258" s="1581"/>
      <c r="F258" s="1581"/>
      <c r="G258" s="1581"/>
      <c r="H258" s="1581"/>
      <c r="I258" s="1609"/>
      <c r="J258" s="1609"/>
      <c r="K258" s="1581"/>
      <c r="L258" s="1620"/>
      <c r="M258" s="1620"/>
      <c r="N258" s="1581"/>
      <c r="O258" s="1581"/>
      <c r="P258" s="1581"/>
      <c r="Q258" s="1581"/>
      <c r="R258" s="1611"/>
      <c r="S258" s="1611"/>
      <c r="T258" s="1611"/>
    </row>
    <row r="259" spans="1:20">
      <c r="A259" s="1609">
        <v>211</v>
      </c>
      <c r="B259" s="1618" t="s">
        <v>1628</v>
      </c>
      <c r="C259" s="1579" t="s">
        <v>1629</v>
      </c>
      <c r="D259" s="1618" t="s">
        <v>1022</v>
      </c>
      <c r="E259" s="1581"/>
      <c r="F259" s="1581"/>
      <c r="G259" s="1581"/>
      <c r="H259" s="1581"/>
      <c r="I259" s="1609">
        <v>6</v>
      </c>
      <c r="J259" s="1609">
        <v>205</v>
      </c>
      <c r="K259" s="1581"/>
      <c r="L259" s="1622">
        <v>78</v>
      </c>
      <c r="M259" s="1622">
        <v>78</v>
      </c>
      <c r="N259" s="1581"/>
      <c r="O259" s="1581"/>
      <c r="P259" s="1581">
        <f t="shared" si="45"/>
        <v>78</v>
      </c>
      <c r="Q259" s="1581">
        <f>6000*1.07</f>
        <v>6420</v>
      </c>
      <c r="R259" s="1611">
        <f t="shared" si="46"/>
        <v>500760</v>
      </c>
      <c r="S259" s="1611">
        <f t="shared" si="47"/>
        <v>14239.620853080569</v>
      </c>
      <c r="T259" s="1611">
        <f t="shared" si="48"/>
        <v>486520.37914691941</v>
      </c>
    </row>
    <row r="260" spans="1:20">
      <c r="A260" s="1609">
        <v>212</v>
      </c>
      <c r="B260" s="1618" t="s">
        <v>1630</v>
      </c>
      <c r="C260" s="1579" t="s">
        <v>1631</v>
      </c>
      <c r="D260" s="1618" t="s">
        <v>1022</v>
      </c>
      <c r="E260" s="1581"/>
      <c r="F260" s="1581"/>
      <c r="G260" s="1581"/>
      <c r="H260" s="1581"/>
      <c r="I260" s="1609">
        <v>6</v>
      </c>
      <c r="J260" s="1609">
        <v>205</v>
      </c>
      <c r="K260" s="1581"/>
      <c r="L260" s="1622">
        <v>50</v>
      </c>
      <c r="M260" s="1622">
        <v>50</v>
      </c>
      <c r="N260" s="1581"/>
      <c r="O260" s="1581"/>
      <c r="P260" s="1581">
        <f t="shared" si="45"/>
        <v>50</v>
      </c>
      <c r="Q260" s="1581">
        <f>5000*1.07</f>
        <v>5350</v>
      </c>
      <c r="R260" s="1611">
        <f t="shared" si="46"/>
        <v>267500</v>
      </c>
      <c r="S260" s="1611">
        <f t="shared" si="47"/>
        <v>7606.6350710900469</v>
      </c>
      <c r="T260" s="1611">
        <f t="shared" si="48"/>
        <v>259893.36492890996</v>
      </c>
    </row>
    <row r="261" spans="1:20">
      <c r="A261" s="1609">
        <v>213</v>
      </c>
      <c r="B261" s="1625" t="s">
        <v>1632</v>
      </c>
      <c r="C261" s="1579" t="s">
        <v>1633</v>
      </c>
      <c r="D261" s="1610" t="s">
        <v>1022</v>
      </c>
      <c r="E261" s="1581"/>
      <c r="F261" s="1581"/>
      <c r="G261" s="1581"/>
      <c r="H261" s="1581"/>
      <c r="I261" s="1609">
        <v>6</v>
      </c>
      <c r="J261" s="1609">
        <v>205</v>
      </c>
      <c r="K261" s="1581"/>
      <c r="L261" s="1610">
        <v>2</v>
      </c>
      <c r="M261" s="1610">
        <v>2</v>
      </c>
      <c r="N261" s="1581"/>
      <c r="O261" s="1581"/>
      <c r="P261" s="1581">
        <f t="shared" si="45"/>
        <v>2</v>
      </c>
      <c r="Q261" s="1581">
        <f>4800*1.07</f>
        <v>5136</v>
      </c>
      <c r="R261" s="1611">
        <f t="shared" si="46"/>
        <v>10272</v>
      </c>
      <c r="S261" s="1611">
        <f t="shared" si="47"/>
        <v>292.09478672985779</v>
      </c>
      <c r="T261" s="1611">
        <f t="shared" si="48"/>
        <v>9979.9052132701418</v>
      </c>
    </row>
    <row r="262" spans="1:20" ht="38.25">
      <c r="A262" s="1609">
        <v>214</v>
      </c>
      <c r="B262" s="1619" t="s">
        <v>1634</v>
      </c>
      <c r="C262" s="917" t="s">
        <v>1635</v>
      </c>
      <c r="D262" s="1619" t="s">
        <v>1268</v>
      </c>
      <c r="E262" s="1581"/>
      <c r="F262" s="1609"/>
      <c r="G262" s="1609"/>
      <c r="H262" s="1609"/>
      <c r="I262" s="1609">
        <v>6</v>
      </c>
      <c r="J262" s="1609">
        <v>205</v>
      </c>
      <c r="K262" s="1609"/>
      <c r="L262" s="1619">
        <v>15</v>
      </c>
      <c r="M262" s="1619">
        <v>15</v>
      </c>
      <c r="N262" s="1609"/>
      <c r="O262" s="1609"/>
      <c r="P262" s="1581">
        <f t="shared" si="45"/>
        <v>15</v>
      </c>
      <c r="Q262" s="1610">
        <f>6500*1.07</f>
        <v>6955</v>
      </c>
      <c r="R262" s="1611">
        <f t="shared" si="46"/>
        <v>104325</v>
      </c>
      <c r="S262" s="1611">
        <f t="shared" si="47"/>
        <v>2966.5876777251183</v>
      </c>
      <c r="T262" s="1611">
        <f t="shared" si="48"/>
        <v>101358.41232227487</v>
      </c>
    </row>
    <row r="263" spans="1:20" ht="38.25">
      <c r="A263" s="1609">
        <v>215</v>
      </c>
      <c r="B263" s="1619" t="s">
        <v>1636</v>
      </c>
      <c r="C263" s="917" t="s">
        <v>1637</v>
      </c>
      <c r="D263" s="1619" t="s">
        <v>1268</v>
      </c>
      <c r="E263" s="1581"/>
      <c r="F263" s="1609"/>
      <c r="G263" s="1609"/>
      <c r="H263" s="1609"/>
      <c r="I263" s="1609">
        <v>6</v>
      </c>
      <c r="J263" s="1609">
        <v>205</v>
      </c>
      <c r="K263" s="1609"/>
      <c r="L263" s="1619">
        <v>27</v>
      </c>
      <c r="M263" s="1619">
        <v>29</v>
      </c>
      <c r="N263" s="1609"/>
      <c r="O263" s="1609"/>
      <c r="P263" s="1581">
        <f t="shared" si="45"/>
        <v>27</v>
      </c>
      <c r="Q263" s="1610">
        <f>12000*1.07</f>
        <v>12840</v>
      </c>
      <c r="R263" s="1611">
        <f t="shared" si="46"/>
        <v>346680</v>
      </c>
      <c r="S263" s="1611">
        <f t="shared" si="47"/>
        <v>9858.1990521327007</v>
      </c>
      <c r="T263" s="1611">
        <f t="shared" si="48"/>
        <v>336821.80094786728</v>
      </c>
    </row>
    <row r="264" spans="1:20" ht="25.5">
      <c r="A264" s="1609">
        <v>216</v>
      </c>
      <c r="B264" s="1618" t="s">
        <v>1638</v>
      </c>
      <c r="C264" s="1579" t="s">
        <v>1639</v>
      </c>
      <c r="D264" s="1618" t="s">
        <v>1022</v>
      </c>
      <c r="E264" s="1581"/>
      <c r="F264" s="1581"/>
      <c r="G264" s="1581"/>
      <c r="H264" s="1581"/>
      <c r="I264" s="1609">
        <v>6</v>
      </c>
      <c r="J264" s="1609">
        <v>205</v>
      </c>
      <c r="K264" s="1581"/>
      <c r="L264" s="1622">
        <v>50</v>
      </c>
      <c r="M264" s="1622">
        <v>50</v>
      </c>
      <c r="N264" s="1581"/>
      <c r="O264" s="1581"/>
      <c r="P264" s="1581">
        <f t="shared" si="45"/>
        <v>50</v>
      </c>
      <c r="Q264" s="1581">
        <f>4500*1.07</f>
        <v>4815</v>
      </c>
      <c r="R264" s="1611">
        <f t="shared" si="46"/>
        <v>240750</v>
      </c>
      <c r="S264" s="1611">
        <f t="shared" si="47"/>
        <v>6845.971563981042</v>
      </c>
      <c r="T264" s="1611">
        <f t="shared" si="48"/>
        <v>233904.02843601897</v>
      </c>
    </row>
    <row r="265" spans="1:20" ht="25.5">
      <c r="A265" s="1609">
        <v>217</v>
      </c>
      <c r="B265" s="1619" t="s">
        <v>1640</v>
      </c>
      <c r="C265" s="917" t="s">
        <v>1641</v>
      </c>
      <c r="D265" s="1619" t="s">
        <v>1268</v>
      </c>
      <c r="E265" s="1581"/>
      <c r="F265" s="1609"/>
      <c r="G265" s="1609"/>
      <c r="H265" s="1609"/>
      <c r="I265" s="1609">
        <v>6</v>
      </c>
      <c r="J265" s="1609">
        <v>205</v>
      </c>
      <c r="K265" s="1609"/>
      <c r="L265" s="1619">
        <v>30</v>
      </c>
      <c r="M265" s="1619">
        <v>35</v>
      </c>
      <c r="N265" s="1609"/>
      <c r="O265" s="1609"/>
      <c r="P265" s="1581">
        <f t="shared" si="45"/>
        <v>30</v>
      </c>
      <c r="Q265" s="1610">
        <f>6000*1.07</f>
        <v>6420</v>
      </c>
      <c r="R265" s="1611">
        <f t="shared" si="46"/>
        <v>192600</v>
      </c>
      <c r="S265" s="1611">
        <f t="shared" si="47"/>
        <v>5476.7772511848343</v>
      </c>
      <c r="T265" s="1611">
        <f t="shared" si="48"/>
        <v>187123.22274881517</v>
      </c>
    </row>
    <row r="266" spans="1:20" ht="38.25">
      <c r="A266" s="1609">
        <v>218</v>
      </c>
      <c r="B266" s="1619" t="s">
        <v>1640</v>
      </c>
      <c r="C266" s="917" t="s">
        <v>1642</v>
      </c>
      <c r="D266" s="1619" t="s">
        <v>1268</v>
      </c>
      <c r="E266" s="1581"/>
      <c r="F266" s="1609"/>
      <c r="G266" s="1609"/>
      <c r="H266" s="1609"/>
      <c r="I266" s="1609">
        <v>6</v>
      </c>
      <c r="J266" s="1609">
        <v>205</v>
      </c>
      <c r="K266" s="1609"/>
      <c r="L266" s="1619">
        <v>25</v>
      </c>
      <c r="M266" s="1619">
        <v>25</v>
      </c>
      <c r="N266" s="1609"/>
      <c r="O266" s="1609"/>
      <c r="P266" s="1581">
        <f t="shared" si="45"/>
        <v>25</v>
      </c>
      <c r="Q266" s="1610">
        <f>6000*1.07</f>
        <v>6420</v>
      </c>
      <c r="R266" s="1611">
        <f t="shared" si="46"/>
        <v>160500</v>
      </c>
      <c r="S266" s="1611">
        <f t="shared" si="47"/>
        <v>4563.981042654028</v>
      </c>
      <c r="T266" s="1611">
        <f t="shared" si="48"/>
        <v>155936.01895734598</v>
      </c>
    </row>
    <row r="267" spans="1:20" ht="25.5">
      <c r="A267" s="1609">
        <v>219</v>
      </c>
      <c r="B267" s="1619" t="s">
        <v>1643</v>
      </c>
      <c r="C267" s="917" t="s">
        <v>1644</v>
      </c>
      <c r="D267" s="1619" t="s">
        <v>1268</v>
      </c>
      <c r="E267" s="1581"/>
      <c r="F267" s="1609"/>
      <c r="G267" s="1609"/>
      <c r="H267" s="1609"/>
      <c r="I267" s="1609">
        <v>6</v>
      </c>
      <c r="J267" s="1609">
        <v>205</v>
      </c>
      <c r="K267" s="1609"/>
      <c r="L267" s="1619">
        <v>6</v>
      </c>
      <c r="M267" s="1619">
        <v>9</v>
      </c>
      <c r="N267" s="1609"/>
      <c r="O267" s="1609"/>
      <c r="P267" s="1581">
        <f t="shared" si="45"/>
        <v>6</v>
      </c>
      <c r="Q267" s="1610">
        <f>4000*1.07</f>
        <v>4280</v>
      </c>
      <c r="R267" s="1611">
        <f t="shared" si="46"/>
        <v>25680</v>
      </c>
      <c r="S267" s="1611">
        <f t="shared" si="47"/>
        <v>730.23696682464447</v>
      </c>
      <c r="T267" s="1611">
        <f t="shared" si="48"/>
        <v>24949.763033175357</v>
      </c>
    </row>
    <row r="268" spans="1:20" ht="38.25">
      <c r="A268" s="1609">
        <v>220</v>
      </c>
      <c r="B268" s="1619" t="s">
        <v>1645</v>
      </c>
      <c r="C268" s="1614" t="s">
        <v>1646</v>
      </c>
      <c r="D268" s="1619" t="s">
        <v>1268</v>
      </c>
      <c r="E268" s="1581"/>
      <c r="F268" s="1609"/>
      <c r="G268" s="1609"/>
      <c r="H268" s="1609"/>
      <c r="I268" s="1609">
        <v>6</v>
      </c>
      <c r="J268" s="1609">
        <v>205</v>
      </c>
      <c r="K268" s="1609"/>
      <c r="L268" s="1619">
        <v>15</v>
      </c>
      <c r="M268" s="1619">
        <v>15</v>
      </c>
      <c r="N268" s="1609"/>
      <c r="O268" s="1609"/>
      <c r="P268" s="1581">
        <f t="shared" si="45"/>
        <v>15</v>
      </c>
      <c r="Q268" s="1610">
        <f>6000*1.07</f>
        <v>6420</v>
      </c>
      <c r="R268" s="1611">
        <f t="shared" si="46"/>
        <v>96300</v>
      </c>
      <c r="S268" s="1611">
        <f t="shared" si="47"/>
        <v>2738.3886255924172</v>
      </c>
      <c r="T268" s="1611">
        <f t="shared" si="48"/>
        <v>93561.611374407585</v>
      </c>
    </row>
    <row r="269" spans="1:20" ht="25.5">
      <c r="A269" s="1609">
        <v>221</v>
      </c>
      <c r="B269" s="1619" t="s">
        <v>1647</v>
      </c>
      <c r="C269" s="917" t="s">
        <v>1648</v>
      </c>
      <c r="D269" s="1619" t="s">
        <v>1268</v>
      </c>
      <c r="E269" s="1581"/>
      <c r="F269" s="1609"/>
      <c r="G269" s="1609"/>
      <c r="H269" s="1609"/>
      <c r="I269" s="1609">
        <v>6</v>
      </c>
      <c r="J269" s="1609">
        <v>205</v>
      </c>
      <c r="K269" s="1609"/>
      <c r="L269" s="1619">
        <v>15</v>
      </c>
      <c r="M269" s="1619">
        <v>15</v>
      </c>
      <c r="N269" s="1609"/>
      <c r="O269" s="1609"/>
      <c r="P269" s="1581">
        <f t="shared" si="45"/>
        <v>15</v>
      </c>
      <c r="Q269" s="1610">
        <f>6000*1.07</f>
        <v>6420</v>
      </c>
      <c r="R269" s="1611">
        <f t="shared" si="46"/>
        <v>96300</v>
      </c>
      <c r="S269" s="1611">
        <f t="shared" si="47"/>
        <v>2738.3886255924172</v>
      </c>
      <c r="T269" s="1611">
        <f t="shared" si="48"/>
        <v>93561.611374407585</v>
      </c>
    </row>
    <row r="270" spans="1:20" ht="38.25">
      <c r="A270" s="1609">
        <v>222</v>
      </c>
      <c r="B270" s="1619" t="s">
        <v>1649</v>
      </c>
      <c r="C270" s="917" t="s">
        <v>1650</v>
      </c>
      <c r="D270" s="1619" t="s">
        <v>1268</v>
      </c>
      <c r="E270" s="1581"/>
      <c r="F270" s="1609"/>
      <c r="G270" s="1609"/>
      <c r="H270" s="1609"/>
      <c r="I270" s="1609">
        <v>6</v>
      </c>
      <c r="J270" s="1609">
        <v>205</v>
      </c>
      <c r="K270" s="1609"/>
      <c r="L270" s="1619">
        <v>15</v>
      </c>
      <c r="M270" s="1619">
        <v>15</v>
      </c>
      <c r="N270" s="1609"/>
      <c r="O270" s="1609"/>
      <c r="P270" s="1581">
        <f t="shared" si="45"/>
        <v>15</v>
      </c>
      <c r="Q270" s="1610">
        <f>4000*1.07</f>
        <v>4280</v>
      </c>
      <c r="R270" s="1611">
        <f t="shared" si="46"/>
        <v>64200</v>
      </c>
      <c r="S270" s="1611">
        <f t="shared" si="47"/>
        <v>1825.5924170616113</v>
      </c>
      <c r="T270" s="1611">
        <f t="shared" si="48"/>
        <v>62374.407582938387</v>
      </c>
    </row>
    <row r="271" spans="1:20" ht="38.25">
      <c r="A271" s="1609">
        <v>223</v>
      </c>
      <c r="B271" s="1619" t="s">
        <v>1651</v>
      </c>
      <c r="C271" s="917" t="s">
        <v>1652</v>
      </c>
      <c r="D271" s="1619" t="s">
        <v>1268</v>
      </c>
      <c r="E271" s="1581"/>
      <c r="F271" s="1609"/>
      <c r="G271" s="1609"/>
      <c r="H271" s="1609"/>
      <c r="I271" s="1609">
        <v>6</v>
      </c>
      <c r="J271" s="1609">
        <v>205</v>
      </c>
      <c r="K271" s="1609"/>
      <c r="L271" s="1619">
        <v>25</v>
      </c>
      <c r="M271" s="1619">
        <v>25</v>
      </c>
      <c r="N271" s="1609"/>
      <c r="O271" s="1609"/>
      <c r="P271" s="1581">
        <f t="shared" si="45"/>
        <v>25</v>
      </c>
      <c r="Q271" s="1610">
        <f>6500*1.07</f>
        <v>6955</v>
      </c>
      <c r="R271" s="1611">
        <f t="shared" si="46"/>
        <v>173875</v>
      </c>
      <c r="S271" s="1611">
        <f t="shared" si="47"/>
        <v>4944.3127962085309</v>
      </c>
      <c r="T271" s="1611">
        <f t="shared" si="48"/>
        <v>168930.68720379146</v>
      </c>
    </row>
    <row r="272" spans="1:20" ht="25.5">
      <c r="A272" s="1609">
        <v>224</v>
      </c>
      <c r="B272" s="1619" t="s">
        <v>1653</v>
      </c>
      <c r="C272" s="917" t="s">
        <v>1654</v>
      </c>
      <c r="D272" s="1619" t="s">
        <v>1268</v>
      </c>
      <c r="E272" s="1581"/>
      <c r="F272" s="1609"/>
      <c r="G272" s="1609"/>
      <c r="H272" s="1609"/>
      <c r="I272" s="1609">
        <v>6</v>
      </c>
      <c r="J272" s="1609">
        <v>205</v>
      </c>
      <c r="K272" s="1609"/>
      <c r="L272" s="1619">
        <v>20</v>
      </c>
      <c r="M272" s="1619">
        <v>20</v>
      </c>
      <c r="N272" s="1609"/>
      <c r="O272" s="1609"/>
      <c r="P272" s="1581">
        <f t="shared" si="45"/>
        <v>20</v>
      </c>
      <c r="Q272" s="1610">
        <f>4000*1.07</f>
        <v>4280</v>
      </c>
      <c r="R272" s="1611">
        <f t="shared" si="46"/>
        <v>85600</v>
      </c>
      <c r="S272" s="1611">
        <f t="shared" si="47"/>
        <v>2434.1232227488149</v>
      </c>
      <c r="T272" s="1611">
        <f t="shared" si="48"/>
        <v>83165.876777251178</v>
      </c>
    </row>
    <row r="273" spans="1:21" ht="25.5">
      <c r="A273" s="1609">
        <v>225</v>
      </c>
      <c r="B273" s="1619" t="s">
        <v>1655</v>
      </c>
      <c r="C273" s="917" t="s">
        <v>1641</v>
      </c>
      <c r="D273" s="1619" t="s">
        <v>1268</v>
      </c>
      <c r="E273" s="1581"/>
      <c r="F273" s="1609"/>
      <c r="G273" s="1609"/>
      <c r="H273" s="1609"/>
      <c r="I273" s="1609">
        <v>6</v>
      </c>
      <c r="J273" s="1609">
        <v>205</v>
      </c>
      <c r="K273" s="1609"/>
      <c r="L273" s="1619">
        <v>42</v>
      </c>
      <c r="M273" s="1619">
        <v>50</v>
      </c>
      <c r="N273" s="1609"/>
      <c r="O273" s="1609"/>
      <c r="P273" s="1581">
        <f t="shared" si="45"/>
        <v>42</v>
      </c>
      <c r="Q273" s="1610">
        <f>6000*1.07</f>
        <v>6420</v>
      </c>
      <c r="R273" s="1611">
        <f t="shared" si="46"/>
        <v>269640</v>
      </c>
      <c r="S273" s="1611">
        <f t="shared" si="47"/>
        <v>7667.4881516587675</v>
      </c>
      <c r="T273" s="1611">
        <f t="shared" si="48"/>
        <v>261972.51184834124</v>
      </c>
    </row>
    <row r="274" spans="1:21" ht="25.5">
      <c r="A274" s="1609">
        <v>226</v>
      </c>
      <c r="B274" s="1619" t="s">
        <v>1655</v>
      </c>
      <c r="C274" s="917" t="s">
        <v>1656</v>
      </c>
      <c r="D274" s="1619" t="s">
        <v>1268</v>
      </c>
      <c r="E274" s="1581"/>
      <c r="F274" s="1609"/>
      <c r="G274" s="1609"/>
      <c r="H274" s="1609"/>
      <c r="I274" s="1609">
        <v>6</v>
      </c>
      <c r="J274" s="1609">
        <v>205</v>
      </c>
      <c r="K274" s="1609"/>
      <c r="L274" s="1619">
        <v>15</v>
      </c>
      <c r="M274" s="1619">
        <v>15</v>
      </c>
      <c r="N274" s="1609"/>
      <c r="O274" s="1609"/>
      <c r="P274" s="1581">
        <f t="shared" si="45"/>
        <v>15</v>
      </c>
      <c r="Q274" s="1610">
        <f>6000*1.07</f>
        <v>6420</v>
      </c>
      <c r="R274" s="1611">
        <f t="shared" si="46"/>
        <v>96300</v>
      </c>
      <c r="S274" s="1611">
        <f t="shared" si="47"/>
        <v>2738.3886255924172</v>
      </c>
      <c r="T274" s="1611">
        <f t="shared" si="48"/>
        <v>93561.611374407585</v>
      </c>
    </row>
    <row r="275" spans="1:21" ht="38.25">
      <c r="A275" s="1609">
        <v>227</v>
      </c>
      <c r="B275" s="1619" t="s">
        <v>1655</v>
      </c>
      <c r="C275" s="917" t="s">
        <v>1657</v>
      </c>
      <c r="D275" s="1619" t="s">
        <v>1268</v>
      </c>
      <c r="E275" s="1581"/>
      <c r="F275" s="1609"/>
      <c r="G275" s="1609"/>
      <c r="H275" s="1609"/>
      <c r="I275" s="1609">
        <v>6</v>
      </c>
      <c r="J275" s="1609">
        <v>205</v>
      </c>
      <c r="K275" s="1609"/>
      <c r="L275" s="1619">
        <v>15</v>
      </c>
      <c r="M275" s="1619">
        <v>15</v>
      </c>
      <c r="N275" s="1609"/>
      <c r="O275" s="1609"/>
      <c r="P275" s="1581">
        <f t="shared" si="45"/>
        <v>15</v>
      </c>
      <c r="Q275" s="1610">
        <f>6000*1.07</f>
        <v>6420</v>
      </c>
      <c r="R275" s="1611">
        <f t="shared" si="46"/>
        <v>96300</v>
      </c>
      <c r="S275" s="1611">
        <f t="shared" si="47"/>
        <v>2738.3886255924172</v>
      </c>
      <c r="T275" s="1611">
        <f t="shared" si="48"/>
        <v>93561.611374407585</v>
      </c>
    </row>
    <row r="276" spans="1:21" ht="38.25">
      <c r="A276" s="1609">
        <v>228</v>
      </c>
      <c r="B276" s="1619" t="s">
        <v>1655</v>
      </c>
      <c r="C276" s="917" t="s">
        <v>1652</v>
      </c>
      <c r="D276" s="1619" t="s">
        <v>1268</v>
      </c>
      <c r="E276" s="1581"/>
      <c r="F276" s="1609"/>
      <c r="G276" s="1609"/>
      <c r="H276" s="1609"/>
      <c r="I276" s="1609">
        <v>6</v>
      </c>
      <c r="J276" s="1609">
        <v>205</v>
      </c>
      <c r="K276" s="1609"/>
      <c r="L276" s="1619">
        <v>25</v>
      </c>
      <c r="M276" s="1619">
        <v>25</v>
      </c>
      <c r="N276" s="1609"/>
      <c r="O276" s="1609"/>
      <c r="P276" s="1581">
        <f t="shared" si="45"/>
        <v>25</v>
      </c>
      <c r="Q276" s="1610">
        <f>6500*1.07</f>
        <v>6955</v>
      </c>
      <c r="R276" s="1611">
        <f t="shared" si="46"/>
        <v>173875</v>
      </c>
      <c r="S276" s="1611">
        <f t="shared" si="47"/>
        <v>4944.3127962085309</v>
      </c>
      <c r="T276" s="1611">
        <f t="shared" si="48"/>
        <v>168930.68720379146</v>
      </c>
    </row>
    <row r="277" spans="1:21" ht="38.25">
      <c r="A277" s="1609">
        <v>229</v>
      </c>
      <c r="B277" s="1619" t="s">
        <v>1655</v>
      </c>
      <c r="C277" s="917" t="s">
        <v>1658</v>
      </c>
      <c r="D277" s="1619" t="s">
        <v>1268</v>
      </c>
      <c r="E277" s="1581"/>
      <c r="F277" s="1609"/>
      <c r="G277" s="1609"/>
      <c r="H277" s="1609"/>
      <c r="I277" s="1609">
        <v>6</v>
      </c>
      <c r="J277" s="1609">
        <v>205</v>
      </c>
      <c r="K277" s="1609"/>
      <c r="L277" s="1619">
        <v>25</v>
      </c>
      <c r="M277" s="1619">
        <v>25</v>
      </c>
      <c r="N277" s="1609"/>
      <c r="O277" s="1609"/>
      <c r="P277" s="1581">
        <f t="shared" si="45"/>
        <v>25</v>
      </c>
      <c r="Q277" s="1610">
        <f>6000*1.07</f>
        <v>6420</v>
      </c>
      <c r="R277" s="1611">
        <f t="shared" si="46"/>
        <v>160500</v>
      </c>
      <c r="S277" s="1611">
        <f t="shared" si="47"/>
        <v>4563.981042654028</v>
      </c>
      <c r="T277" s="1611">
        <f t="shared" si="48"/>
        <v>155936.01895734598</v>
      </c>
    </row>
    <row r="278" spans="1:21" ht="38.25">
      <c r="A278" s="1609">
        <v>230</v>
      </c>
      <c r="B278" s="1619" t="s">
        <v>1655</v>
      </c>
      <c r="C278" s="917" t="s">
        <v>1659</v>
      </c>
      <c r="D278" s="1619" t="s">
        <v>1268</v>
      </c>
      <c r="E278" s="1581"/>
      <c r="F278" s="1609"/>
      <c r="G278" s="1609"/>
      <c r="H278" s="1609"/>
      <c r="I278" s="1609">
        <v>6</v>
      </c>
      <c r="J278" s="1609">
        <v>205</v>
      </c>
      <c r="K278" s="1609"/>
      <c r="L278" s="1619">
        <v>15</v>
      </c>
      <c r="M278" s="1619">
        <v>15</v>
      </c>
      <c r="N278" s="1609"/>
      <c r="O278" s="1609"/>
      <c r="P278" s="1581">
        <f t="shared" si="45"/>
        <v>15</v>
      </c>
      <c r="Q278" s="1610">
        <f>6000*1.07</f>
        <v>6420</v>
      </c>
      <c r="R278" s="1611">
        <f t="shared" si="46"/>
        <v>96300</v>
      </c>
      <c r="S278" s="1611">
        <f t="shared" si="47"/>
        <v>2738.3886255924172</v>
      </c>
      <c r="T278" s="1611">
        <f t="shared" si="48"/>
        <v>93561.611374407585</v>
      </c>
    </row>
    <row r="279" spans="1:21" ht="38.25">
      <c r="A279" s="1609">
        <v>231</v>
      </c>
      <c r="B279" s="1625" t="s">
        <v>1655</v>
      </c>
      <c r="C279" s="1579" t="s">
        <v>1660</v>
      </c>
      <c r="D279" s="1625" t="s">
        <v>1268</v>
      </c>
      <c r="E279" s="1581"/>
      <c r="F279" s="1581"/>
      <c r="G279" s="1581"/>
      <c r="H279" s="1581"/>
      <c r="I279" s="1609">
        <v>6</v>
      </c>
      <c r="J279" s="1609">
        <v>205</v>
      </c>
      <c r="K279" s="1581"/>
      <c r="L279" s="1625">
        <v>5</v>
      </c>
      <c r="M279" s="1625">
        <v>10</v>
      </c>
      <c r="N279" s="1581"/>
      <c r="O279" s="1581"/>
      <c r="P279" s="1581">
        <f t="shared" si="45"/>
        <v>5</v>
      </c>
      <c r="Q279" s="1581">
        <f>6000*1.07</f>
        <v>6420</v>
      </c>
      <c r="R279" s="1611">
        <f t="shared" si="46"/>
        <v>32100</v>
      </c>
      <c r="S279" s="1611">
        <f t="shared" si="47"/>
        <v>912.79620853080564</v>
      </c>
      <c r="T279" s="1611">
        <f t="shared" si="48"/>
        <v>31187.203791469194</v>
      </c>
    </row>
    <row r="280" spans="1:21" ht="38.25">
      <c r="A280" s="1609">
        <v>232</v>
      </c>
      <c r="B280" s="1625" t="s">
        <v>1655</v>
      </c>
      <c r="C280" s="1579" t="s">
        <v>1661</v>
      </c>
      <c r="D280" s="1625" t="s">
        <v>1268</v>
      </c>
      <c r="E280" s="1581"/>
      <c r="F280" s="1581"/>
      <c r="G280" s="1581"/>
      <c r="H280" s="1581"/>
      <c r="I280" s="1609">
        <v>6</v>
      </c>
      <c r="J280" s="1609">
        <v>205</v>
      </c>
      <c r="K280" s="1581"/>
      <c r="L280" s="1625">
        <v>5</v>
      </c>
      <c r="M280" s="1625">
        <v>10</v>
      </c>
      <c r="N280" s="1581"/>
      <c r="O280" s="1581"/>
      <c r="P280" s="1581">
        <f t="shared" si="45"/>
        <v>5</v>
      </c>
      <c r="Q280" s="1581">
        <f>6500*1.07</f>
        <v>6955</v>
      </c>
      <c r="R280" s="1611">
        <f t="shared" si="46"/>
        <v>34775</v>
      </c>
      <c r="S280" s="1611">
        <f t="shared" si="47"/>
        <v>988.86255924170609</v>
      </c>
      <c r="T280" s="1611">
        <f t="shared" si="48"/>
        <v>33786.137440758292</v>
      </c>
    </row>
    <row r="281" spans="1:21" ht="38.25">
      <c r="A281" s="1609">
        <v>233</v>
      </c>
      <c r="B281" s="1625" t="s">
        <v>1655</v>
      </c>
      <c r="C281" s="1579" t="s">
        <v>1662</v>
      </c>
      <c r="D281" s="1625" t="s">
        <v>1268</v>
      </c>
      <c r="E281" s="1581"/>
      <c r="F281" s="1581"/>
      <c r="G281" s="1581"/>
      <c r="H281" s="1581"/>
      <c r="I281" s="1609">
        <v>6</v>
      </c>
      <c r="J281" s="1609">
        <v>205</v>
      </c>
      <c r="K281" s="1581"/>
      <c r="L281" s="1625">
        <v>5</v>
      </c>
      <c r="M281" s="1625">
        <v>10</v>
      </c>
      <c r="N281" s="1581"/>
      <c r="O281" s="1581"/>
      <c r="P281" s="1581">
        <f t="shared" si="45"/>
        <v>5</v>
      </c>
      <c r="Q281" s="1581">
        <f>8500*1.07</f>
        <v>9095</v>
      </c>
      <c r="R281" s="1611">
        <f t="shared" si="46"/>
        <v>45475</v>
      </c>
      <c r="S281" s="1611">
        <f t="shared" si="47"/>
        <v>1293.1279620853079</v>
      </c>
      <c r="T281" s="1611">
        <f t="shared" si="48"/>
        <v>44181.872037914691</v>
      </c>
    </row>
    <row r="282" spans="1:21" ht="38.25">
      <c r="A282" s="1609">
        <v>234</v>
      </c>
      <c r="B282" s="1619" t="s">
        <v>1663</v>
      </c>
      <c r="C282" s="917" t="s">
        <v>1664</v>
      </c>
      <c r="D282" s="1619" t="s">
        <v>1268</v>
      </c>
      <c r="E282" s="1581"/>
      <c r="F282" s="1609"/>
      <c r="G282" s="1609"/>
      <c r="H282" s="1609"/>
      <c r="I282" s="1609">
        <v>6</v>
      </c>
      <c r="J282" s="1609">
        <v>205</v>
      </c>
      <c r="K282" s="1609"/>
      <c r="L282" s="1619">
        <v>25</v>
      </c>
      <c r="M282" s="1619">
        <v>25</v>
      </c>
      <c r="N282" s="1609"/>
      <c r="O282" s="1609"/>
      <c r="P282" s="1581">
        <f t="shared" si="45"/>
        <v>25</v>
      </c>
      <c r="Q282" s="1610">
        <f>6000*1.07</f>
        <v>6420</v>
      </c>
      <c r="R282" s="1611">
        <f t="shared" si="46"/>
        <v>160500</v>
      </c>
      <c r="S282" s="1611">
        <f t="shared" si="47"/>
        <v>4563.981042654028</v>
      </c>
      <c r="T282" s="1611">
        <f t="shared" si="48"/>
        <v>155936.01895734598</v>
      </c>
    </row>
    <row r="283" spans="1:21" hidden="1">
      <c r="A283" s="1609">
        <v>220</v>
      </c>
      <c r="B283" s="1620" t="s">
        <v>1665</v>
      </c>
      <c r="C283" s="1579" t="s">
        <v>1666</v>
      </c>
      <c r="D283" s="1620" t="s">
        <v>1022</v>
      </c>
      <c r="E283" s="1581"/>
      <c r="F283" s="1581"/>
      <c r="G283" s="1581"/>
      <c r="H283" s="1581"/>
      <c r="I283" s="1609">
        <v>6</v>
      </c>
      <c r="J283" s="1609">
        <v>205</v>
      </c>
      <c r="K283" s="1581"/>
      <c r="L283" s="1620"/>
      <c r="M283" s="1620"/>
      <c r="N283" s="1581"/>
      <c r="O283" s="1581"/>
      <c r="P283" s="1581">
        <f t="shared" si="45"/>
        <v>0</v>
      </c>
      <c r="Q283" s="1581"/>
      <c r="R283" s="1611">
        <f t="shared" si="46"/>
        <v>0</v>
      </c>
      <c r="S283" s="1611">
        <f t="shared" si="47"/>
        <v>0</v>
      </c>
      <c r="T283" s="1611">
        <f t="shared" si="48"/>
        <v>0</v>
      </c>
    </row>
    <row r="284" spans="1:21">
      <c r="A284" s="1609">
        <v>235</v>
      </c>
      <c r="B284" s="1618" t="s">
        <v>1665</v>
      </c>
      <c r="C284" s="1579" t="s">
        <v>1667</v>
      </c>
      <c r="D284" s="1618" t="s">
        <v>1022</v>
      </c>
      <c r="E284" s="1581"/>
      <c r="F284" s="1581"/>
      <c r="G284" s="1581"/>
      <c r="H284" s="1581"/>
      <c r="I284" s="1609">
        <v>6</v>
      </c>
      <c r="J284" s="1609">
        <v>205</v>
      </c>
      <c r="K284" s="1581"/>
      <c r="L284" s="1618">
        <v>70</v>
      </c>
      <c r="M284" s="1618">
        <v>80</v>
      </c>
      <c r="N284" s="1581"/>
      <c r="O284" s="1581"/>
      <c r="P284" s="1581">
        <f t="shared" si="45"/>
        <v>70</v>
      </c>
      <c r="Q284" s="1581">
        <f>2000*1.07</f>
        <v>2140</v>
      </c>
      <c r="R284" s="1611">
        <f t="shared" si="46"/>
        <v>149800</v>
      </c>
      <c r="S284" s="1611">
        <f t="shared" si="47"/>
        <v>4259.7156398104262</v>
      </c>
      <c r="T284" s="1611">
        <f t="shared" si="48"/>
        <v>145540.28436018957</v>
      </c>
    </row>
    <row r="285" spans="1:21" ht="25.5">
      <c r="A285" s="1609">
        <v>236</v>
      </c>
      <c r="B285" s="1618" t="s">
        <v>1668</v>
      </c>
      <c r="C285" s="1579" t="s">
        <v>1669</v>
      </c>
      <c r="D285" s="1618" t="s">
        <v>1022</v>
      </c>
      <c r="E285" s="1581"/>
      <c r="F285" s="1581"/>
      <c r="G285" s="1581"/>
      <c r="H285" s="1581"/>
      <c r="I285" s="1609">
        <v>6</v>
      </c>
      <c r="J285" s="1609">
        <v>205</v>
      </c>
      <c r="K285" s="1581"/>
      <c r="L285" s="1618">
        <v>130</v>
      </c>
      <c r="M285" s="1618">
        <v>140</v>
      </c>
      <c r="N285" s="1581"/>
      <c r="O285" s="1581"/>
      <c r="P285" s="1581">
        <f t="shared" si="45"/>
        <v>130</v>
      </c>
      <c r="Q285" s="1581">
        <f>500*1.07</f>
        <v>535</v>
      </c>
      <c r="R285" s="1611">
        <f t="shared" si="46"/>
        <v>69550</v>
      </c>
      <c r="S285" s="1611">
        <f t="shared" si="47"/>
        <v>1977.7251184834122</v>
      </c>
      <c r="T285" s="1611">
        <f t="shared" si="48"/>
        <v>67572.274881516583</v>
      </c>
    </row>
    <row r="286" spans="1:21" ht="34.5" hidden="1" customHeight="1">
      <c r="A286" s="1609">
        <v>237</v>
      </c>
      <c r="B286" s="1610" t="s">
        <v>1670</v>
      </c>
      <c r="C286" s="1579" t="s">
        <v>1671</v>
      </c>
      <c r="D286" s="1610" t="s">
        <v>1672</v>
      </c>
      <c r="E286" s="1581"/>
      <c r="F286" s="1581"/>
      <c r="G286" s="1581"/>
      <c r="H286" s="1581"/>
      <c r="I286" s="1609">
        <v>6</v>
      </c>
      <c r="J286" s="1609">
        <v>205</v>
      </c>
      <c r="K286" s="1581"/>
      <c r="L286" s="1610"/>
      <c r="M286" s="1610"/>
      <c r="N286" s="1581"/>
      <c r="O286" s="1581"/>
      <c r="P286" s="1581">
        <f t="shared" si="45"/>
        <v>0</v>
      </c>
      <c r="Q286" s="1581"/>
      <c r="R286" s="1611">
        <f t="shared" si="46"/>
        <v>0</v>
      </c>
      <c r="S286" s="1611">
        <f t="shared" si="47"/>
        <v>0</v>
      </c>
      <c r="T286" s="1611">
        <f t="shared" si="48"/>
        <v>0</v>
      </c>
      <c r="U286" s="1580">
        <v>1600</v>
      </c>
    </row>
    <row r="287" spans="1:21" hidden="1">
      <c r="A287" s="1581">
        <v>314</v>
      </c>
      <c r="B287" s="1579" t="s">
        <v>1673</v>
      </c>
      <c r="C287" s="1579" t="s">
        <v>1674</v>
      </c>
      <c r="D287" s="1625" t="s">
        <v>1268</v>
      </c>
      <c r="E287" s="1581"/>
      <c r="F287" s="1581"/>
      <c r="G287" s="1581"/>
      <c r="H287" s="1581"/>
      <c r="I287" s="1609">
        <v>6</v>
      </c>
      <c r="J287" s="1609">
        <v>205</v>
      </c>
      <c r="K287" s="1581"/>
      <c r="L287" s="1625"/>
      <c r="M287" s="1625"/>
      <c r="N287" s="1581"/>
      <c r="O287" s="1581"/>
      <c r="P287" s="1581">
        <f t="shared" si="45"/>
        <v>0</v>
      </c>
      <c r="Q287" s="1581"/>
      <c r="R287" s="1611">
        <f t="shared" si="46"/>
        <v>0</v>
      </c>
      <c r="S287" s="1611">
        <f t="shared" si="47"/>
        <v>0</v>
      </c>
      <c r="T287" s="1611">
        <f t="shared" si="48"/>
        <v>0</v>
      </c>
    </row>
    <row r="288" spans="1:21" ht="38.25">
      <c r="A288" s="1609">
        <v>238</v>
      </c>
      <c r="B288" s="1620" t="s">
        <v>1675</v>
      </c>
      <c r="C288" s="1579" t="s">
        <v>1676</v>
      </c>
      <c r="D288" s="1620" t="s">
        <v>1022</v>
      </c>
      <c r="E288" s="1581"/>
      <c r="F288" s="1581"/>
      <c r="G288" s="1581"/>
      <c r="H288" s="1581"/>
      <c r="I288" s="1609">
        <v>6</v>
      </c>
      <c r="J288" s="1609">
        <v>205</v>
      </c>
      <c r="K288" s="1581"/>
      <c r="L288" s="1620">
        <v>3</v>
      </c>
      <c r="M288" s="1620">
        <v>3</v>
      </c>
      <c r="N288" s="1581"/>
      <c r="O288" s="1581"/>
      <c r="P288" s="1581">
        <f t="shared" si="45"/>
        <v>3</v>
      </c>
      <c r="Q288" s="1581">
        <f>7500*1.07</f>
        <v>8025.0000000000009</v>
      </c>
      <c r="R288" s="1611">
        <f t="shared" si="46"/>
        <v>24075.000000000004</v>
      </c>
      <c r="S288" s="1611">
        <f t="shared" si="47"/>
        <v>684.59715639810429</v>
      </c>
      <c r="T288" s="1611">
        <f t="shared" si="48"/>
        <v>23390.4028436019</v>
      </c>
    </row>
    <row r="289" spans="1:21" ht="25.5" hidden="1">
      <c r="A289" s="1581"/>
      <c r="B289" s="1056" t="s">
        <v>1677</v>
      </c>
      <c r="C289" s="917" t="s">
        <v>1678</v>
      </c>
      <c r="D289" s="1609" t="s">
        <v>1022</v>
      </c>
      <c r="E289" s="1581"/>
      <c r="F289" s="1609"/>
      <c r="G289" s="1609"/>
      <c r="H289" s="1609"/>
      <c r="I289" s="1609"/>
      <c r="J289" s="1609"/>
      <c r="K289" s="1609"/>
      <c r="L289" s="1581"/>
      <c r="M289" s="1581"/>
      <c r="N289" s="1609"/>
      <c r="O289" s="1609"/>
      <c r="P289" s="1581"/>
      <c r="Q289" s="1610"/>
      <c r="R289" s="1611"/>
      <c r="S289" s="1611"/>
      <c r="T289" s="1611"/>
      <c r="U289" s="1580" t="s">
        <v>1679</v>
      </c>
    </row>
    <row r="290" spans="1:21">
      <c r="A290" s="1609">
        <v>239</v>
      </c>
      <c r="B290" s="1618" t="s">
        <v>1680</v>
      </c>
      <c r="C290" s="1579" t="s">
        <v>1681</v>
      </c>
      <c r="D290" s="1618" t="s">
        <v>1022</v>
      </c>
      <c r="E290" s="1581"/>
      <c r="F290" s="1581"/>
      <c r="G290" s="1581"/>
      <c r="H290" s="1581"/>
      <c r="I290" s="1609">
        <v>6</v>
      </c>
      <c r="J290" s="1609">
        <v>205</v>
      </c>
      <c r="K290" s="1581"/>
      <c r="L290" s="1618">
        <v>33</v>
      </c>
      <c r="M290" s="1618">
        <v>35</v>
      </c>
      <c r="N290" s="1581"/>
      <c r="O290" s="1581"/>
      <c r="P290" s="1581">
        <f t="shared" ref="P290:P297" si="49">L290-O290</f>
        <v>33</v>
      </c>
      <c r="Q290" s="1581">
        <f>10000*1.07</f>
        <v>10700</v>
      </c>
      <c r="R290" s="1611">
        <f t="shared" ref="R290:R297" si="50">P290*Q290</f>
        <v>353100</v>
      </c>
      <c r="S290" s="1611">
        <f t="shared" ref="S290:S297" si="51">R290*(I290/(I290+J290+K290))</f>
        <v>10040.758293838862</v>
      </c>
      <c r="T290" s="1611">
        <f t="shared" ref="T290:T297" si="52">R290-S290</f>
        <v>343059.24170616112</v>
      </c>
    </row>
    <row r="291" spans="1:21" ht="25.5">
      <c r="A291" s="1609">
        <v>240</v>
      </c>
      <c r="B291" s="1618" t="s">
        <v>1682</v>
      </c>
      <c r="C291" s="917" t="s">
        <v>1683</v>
      </c>
      <c r="D291" s="1619" t="s">
        <v>1268</v>
      </c>
      <c r="E291" s="1581"/>
      <c r="F291" s="1609"/>
      <c r="G291" s="1609"/>
      <c r="H291" s="1609"/>
      <c r="I291" s="1609">
        <v>6</v>
      </c>
      <c r="J291" s="1609">
        <v>205</v>
      </c>
      <c r="K291" s="1609"/>
      <c r="L291" s="1623">
        <v>240</v>
      </c>
      <c r="M291" s="1623">
        <v>250</v>
      </c>
      <c r="N291" s="1609"/>
      <c r="O291" s="1609"/>
      <c r="P291" s="1581">
        <f t="shared" si="49"/>
        <v>240</v>
      </c>
      <c r="Q291" s="1610">
        <f>20*1.07</f>
        <v>21.400000000000002</v>
      </c>
      <c r="R291" s="1611">
        <f t="shared" si="50"/>
        <v>5136.0000000000009</v>
      </c>
      <c r="S291" s="1611">
        <f t="shared" si="51"/>
        <v>146.04739336492892</v>
      </c>
      <c r="T291" s="1611">
        <f t="shared" si="52"/>
        <v>4989.9526066350718</v>
      </c>
    </row>
    <row r="292" spans="1:21" ht="25.5">
      <c r="A292" s="1609">
        <v>241</v>
      </c>
      <c r="B292" s="1618" t="s">
        <v>1682</v>
      </c>
      <c r="C292" s="917" t="s">
        <v>1684</v>
      </c>
      <c r="D292" s="1619" t="s">
        <v>1268</v>
      </c>
      <c r="E292" s="1581"/>
      <c r="F292" s="1609"/>
      <c r="G292" s="1609"/>
      <c r="H292" s="1609"/>
      <c r="I292" s="1609">
        <v>6</v>
      </c>
      <c r="J292" s="1609">
        <v>205</v>
      </c>
      <c r="K292" s="1609"/>
      <c r="L292" s="1623">
        <v>240</v>
      </c>
      <c r="M292" s="1623">
        <v>250</v>
      </c>
      <c r="N292" s="1609"/>
      <c r="O292" s="1609"/>
      <c r="P292" s="1581">
        <f t="shared" si="49"/>
        <v>240</v>
      </c>
      <c r="Q292" s="1610">
        <f>20*1.07</f>
        <v>21.400000000000002</v>
      </c>
      <c r="R292" s="1611">
        <f t="shared" si="50"/>
        <v>5136.0000000000009</v>
      </c>
      <c r="S292" s="1611">
        <f t="shared" si="51"/>
        <v>146.04739336492892</v>
      </c>
      <c r="T292" s="1611">
        <f t="shared" si="52"/>
        <v>4989.9526066350718</v>
      </c>
    </row>
    <row r="293" spans="1:21" ht="25.5">
      <c r="A293" s="1609">
        <v>242</v>
      </c>
      <c r="B293" s="1618" t="s">
        <v>1682</v>
      </c>
      <c r="C293" s="917" t="s">
        <v>1685</v>
      </c>
      <c r="D293" s="1619" t="s">
        <v>1268</v>
      </c>
      <c r="E293" s="1581"/>
      <c r="F293" s="1609"/>
      <c r="G293" s="1609"/>
      <c r="H293" s="1609"/>
      <c r="I293" s="1609">
        <v>6</v>
      </c>
      <c r="J293" s="1609">
        <v>205</v>
      </c>
      <c r="K293" s="1609"/>
      <c r="L293" s="1623">
        <v>240</v>
      </c>
      <c r="M293" s="1623">
        <v>250</v>
      </c>
      <c r="N293" s="1609"/>
      <c r="O293" s="1609"/>
      <c r="P293" s="1581">
        <f t="shared" si="49"/>
        <v>240</v>
      </c>
      <c r="Q293" s="1610">
        <f>20*1.07</f>
        <v>21.400000000000002</v>
      </c>
      <c r="R293" s="1611">
        <f t="shared" si="50"/>
        <v>5136.0000000000009</v>
      </c>
      <c r="S293" s="1611">
        <f t="shared" si="51"/>
        <v>146.04739336492892</v>
      </c>
      <c r="T293" s="1611">
        <f t="shared" si="52"/>
        <v>4989.9526066350718</v>
      </c>
    </row>
    <row r="294" spans="1:21" ht="25.5">
      <c r="A294" s="1609">
        <v>243</v>
      </c>
      <c r="B294" s="1618" t="s">
        <v>1682</v>
      </c>
      <c r="C294" s="917" t="s">
        <v>1686</v>
      </c>
      <c r="D294" s="1619" t="s">
        <v>1268</v>
      </c>
      <c r="E294" s="1581"/>
      <c r="F294" s="1609"/>
      <c r="G294" s="1609"/>
      <c r="H294" s="1609"/>
      <c r="I294" s="1609">
        <v>6</v>
      </c>
      <c r="J294" s="1609">
        <v>205</v>
      </c>
      <c r="K294" s="1609"/>
      <c r="L294" s="1623">
        <v>240</v>
      </c>
      <c r="M294" s="1623">
        <v>250</v>
      </c>
      <c r="N294" s="1609"/>
      <c r="O294" s="1609"/>
      <c r="P294" s="1581">
        <f t="shared" si="49"/>
        <v>240</v>
      </c>
      <c r="Q294" s="1610">
        <f>20*1.07</f>
        <v>21.400000000000002</v>
      </c>
      <c r="R294" s="1611">
        <f t="shared" si="50"/>
        <v>5136.0000000000009</v>
      </c>
      <c r="S294" s="1611">
        <f t="shared" si="51"/>
        <v>146.04739336492892</v>
      </c>
      <c r="T294" s="1611">
        <f t="shared" si="52"/>
        <v>4989.9526066350718</v>
      </c>
    </row>
    <row r="295" spans="1:21">
      <c r="A295" s="1609">
        <v>244</v>
      </c>
      <c r="B295" s="1618" t="s">
        <v>1687</v>
      </c>
      <c r="C295" s="1579" t="s">
        <v>1688</v>
      </c>
      <c r="D295" s="1618" t="s">
        <v>1395</v>
      </c>
      <c r="E295" s="1581"/>
      <c r="F295" s="1581"/>
      <c r="G295" s="1581"/>
      <c r="H295" s="1581"/>
      <c r="I295" s="1609">
        <v>6</v>
      </c>
      <c r="J295" s="1609">
        <v>205</v>
      </c>
      <c r="K295" s="1581"/>
      <c r="L295" s="1618">
        <v>600</v>
      </c>
      <c r="M295" s="1618">
        <v>600</v>
      </c>
      <c r="N295" s="1581"/>
      <c r="O295" s="1581"/>
      <c r="P295" s="1581">
        <f t="shared" si="49"/>
        <v>600</v>
      </c>
      <c r="Q295" s="1581">
        <f>140*1.07</f>
        <v>149.80000000000001</v>
      </c>
      <c r="R295" s="1611">
        <f t="shared" si="50"/>
        <v>89880</v>
      </c>
      <c r="S295" s="1611">
        <f t="shared" si="51"/>
        <v>2555.829383886256</v>
      </c>
      <c r="T295" s="1611">
        <f t="shared" si="52"/>
        <v>87324.170616113741</v>
      </c>
    </row>
    <row r="296" spans="1:21">
      <c r="A296" s="1609">
        <v>245</v>
      </c>
      <c r="B296" s="1620" t="s">
        <v>1689</v>
      </c>
      <c r="C296" s="1579" t="s">
        <v>1690</v>
      </c>
      <c r="D296" s="1620" t="s">
        <v>1395</v>
      </c>
      <c r="E296" s="1581"/>
      <c r="F296" s="1581"/>
      <c r="G296" s="1581"/>
      <c r="H296" s="1581"/>
      <c r="I296" s="1609">
        <v>6</v>
      </c>
      <c r="J296" s="1609">
        <v>205</v>
      </c>
      <c r="K296" s="1581"/>
      <c r="L296" s="1620">
        <v>200</v>
      </c>
      <c r="M296" s="1620">
        <v>200</v>
      </c>
      <c r="N296" s="1581"/>
      <c r="O296" s="1581"/>
      <c r="P296" s="1581">
        <f t="shared" si="49"/>
        <v>200</v>
      </c>
      <c r="Q296" s="1581">
        <f>150*1.07</f>
        <v>160.5</v>
      </c>
      <c r="R296" s="1611">
        <f t="shared" si="50"/>
        <v>32100</v>
      </c>
      <c r="S296" s="1611">
        <f t="shared" si="51"/>
        <v>912.79620853080564</v>
      </c>
      <c r="T296" s="1611">
        <f t="shared" si="52"/>
        <v>31187.203791469194</v>
      </c>
    </row>
    <row r="297" spans="1:21" ht="38.25">
      <c r="A297" s="1609">
        <v>246</v>
      </c>
      <c r="B297" s="1056" t="s">
        <v>1691</v>
      </c>
      <c r="C297" s="917" t="s">
        <v>1692</v>
      </c>
      <c r="D297" s="1609" t="s">
        <v>1022</v>
      </c>
      <c r="E297" s="1581"/>
      <c r="F297" s="1609"/>
      <c r="G297" s="1609"/>
      <c r="H297" s="1609"/>
      <c r="I297" s="1609">
        <v>6</v>
      </c>
      <c r="J297" s="1609">
        <v>205</v>
      </c>
      <c r="K297" s="1609"/>
      <c r="L297" s="1581">
        <v>750</v>
      </c>
      <c r="M297" s="1581">
        <v>750</v>
      </c>
      <c r="N297" s="1609"/>
      <c r="O297" s="1609"/>
      <c r="P297" s="1581">
        <f t="shared" si="49"/>
        <v>750</v>
      </c>
      <c r="Q297" s="1610">
        <f>600*1.07</f>
        <v>642</v>
      </c>
      <c r="R297" s="1611">
        <f t="shared" si="50"/>
        <v>481500</v>
      </c>
      <c r="S297" s="1611">
        <f t="shared" si="51"/>
        <v>13691.943127962084</v>
      </c>
      <c r="T297" s="1611">
        <f t="shared" si="52"/>
        <v>467808.05687203794</v>
      </c>
      <c r="U297" s="1580" t="s">
        <v>1693</v>
      </c>
    </row>
    <row r="298" spans="1:21" ht="0.75" customHeight="1">
      <c r="A298" s="1581"/>
      <c r="B298" s="1056" t="s">
        <v>1694</v>
      </c>
      <c r="C298" s="917" t="s">
        <v>1695</v>
      </c>
      <c r="D298" s="1609" t="s">
        <v>1022</v>
      </c>
      <c r="E298" s="1581"/>
      <c r="F298" s="1609"/>
      <c r="G298" s="1609"/>
      <c r="H298" s="1609"/>
      <c r="I298" s="1609"/>
      <c r="J298" s="1609"/>
      <c r="K298" s="1609"/>
      <c r="L298" s="1581"/>
      <c r="M298" s="1581"/>
      <c r="N298" s="1609"/>
      <c r="O298" s="1609"/>
      <c r="P298" s="1581"/>
      <c r="Q298" s="1610"/>
      <c r="R298" s="1611"/>
      <c r="S298" s="1611"/>
      <c r="T298" s="1611"/>
    </row>
    <row r="299" spans="1:21" ht="25.5" hidden="1">
      <c r="A299" s="1609">
        <v>195</v>
      </c>
      <c r="B299" s="1618" t="s">
        <v>1696</v>
      </c>
      <c r="C299" s="1579" t="s">
        <v>1697</v>
      </c>
      <c r="D299" s="1618"/>
      <c r="E299" s="1581"/>
      <c r="F299" s="1581"/>
      <c r="G299" s="1581"/>
      <c r="H299" s="1581"/>
      <c r="I299" s="1609">
        <v>6</v>
      </c>
      <c r="J299" s="1609">
        <v>205</v>
      </c>
      <c r="K299" s="1581"/>
      <c r="L299" s="1620"/>
      <c r="M299" s="1620"/>
      <c r="N299" s="1581"/>
      <c r="O299" s="1581"/>
      <c r="P299" s="1581">
        <f t="shared" ref="P299:P307" si="53">L299-O299</f>
        <v>0</v>
      </c>
      <c r="Q299" s="1581"/>
      <c r="R299" s="1611">
        <f t="shared" ref="R299:R307" si="54">P299*Q299</f>
        <v>0</v>
      </c>
      <c r="S299" s="1611">
        <f t="shared" ref="S299:S307" si="55">R299*(I299/(I299+J299+K299))</f>
        <v>0</v>
      </c>
      <c r="T299" s="1611">
        <f t="shared" ref="T299:T307" si="56">R299-S299</f>
        <v>0</v>
      </c>
    </row>
    <row r="300" spans="1:21">
      <c r="A300" s="1609">
        <v>247</v>
      </c>
      <c r="B300" s="1618" t="s">
        <v>1698</v>
      </c>
      <c r="C300" s="1579" t="s">
        <v>1699</v>
      </c>
      <c r="D300" s="1618" t="s">
        <v>1022</v>
      </c>
      <c r="E300" s="1581"/>
      <c r="F300" s="1581"/>
      <c r="G300" s="1581"/>
      <c r="H300" s="1581"/>
      <c r="I300" s="1609">
        <v>6</v>
      </c>
      <c r="J300" s="1609">
        <v>205</v>
      </c>
      <c r="K300" s="1581"/>
      <c r="L300" s="1622">
        <v>50</v>
      </c>
      <c r="M300" s="1622">
        <v>50</v>
      </c>
      <c r="N300" s="1581"/>
      <c r="O300" s="1581"/>
      <c r="P300" s="1581">
        <f t="shared" si="53"/>
        <v>50</v>
      </c>
      <c r="Q300" s="1581">
        <f>1200*1.07</f>
        <v>1284</v>
      </c>
      <c r="R300" s="1611">
        <f t="shared" si="54"/>
        <v>64200</v>
      </c>
      <c r="S300" s="1611">
        <f t="shared" si="55"/>
        <v>1825.5924170616113</v>
      </c>
      <c r="T300" s="1611">
        <f t="shared" si="56"/>
        <v>62374.407582938387</v>
      </c>
    </row>
    <row r="301" spans="1:21">
      <c r="A301" s="1609">
        <v>248</v>
      </c>
      <c r="B301" s="1618" t="s">
        <v>1700</v>
      </c>
      <c r="C301" s="1579" t="s">
        <v>1701</v>
      </c>
      <c r="D301" s="1618" t="s">
        <v>1022</v>
      </c>
      <c r="E301" s="1581"/>
      <c r="F301" s="1581"/>
      <c r="G301" s="1581"/>
      <c r="H301" s="1581"/>
      <c r="I301" s="1609">
        <v>6</v>
      </c>
      <c r="J301" s="1609">
        <v>205</v>
      </c>
      <c r="K301" s="1581"/>
      <c r="L301" s="1622">
        <v>50</v>
      </c>
      <c r="M301" s="1622">
        <v>50</v>
      </c>
      <c r="N301" s="1581"/>
      <c r="O301" s="1581"/>
      <c r="P301" s="1581">
        <f t="shared" si="53"/>
        <v>50</v>
      </c>
      <c r="Q301" s="1581">
        <f>1200*1.07</f>
        <v>1284</v>
      </c>
      <c r="R301" s="1611">
        <f t="shared" si="54"/>
        <v>64200</v>
      </c>
      <c r="S301" s="1611">
        <f t="shared" si="55"/>
        <v>1825.5924170616113</v>
      </c>
      <c r="T301" s="1611">
        <f t="shared" si="56"/>
        <v>62374.407582938387</v>
      </c>
    </row>
    <row r="302" spans="1:21">
      <c r="A302" s="1609">
        <v>249</v>
      </c>
      <c r="B302" s="1619" t="s">
        <v>1702</v>
      </c>
      <c r="C302" s="917" t="s">
        <v>1703</v>
      </c>
      <c r="D302" s="1619" t="s">
        <v>1268</v>
      </c>
      <c r="E302" s="1581"/>
      <c r="F302" s="1609"/>
      <c r="G302" s="1609"/>
      <c r="H302" s="1609"/>
      <c r="I302" s="1609">
        <v>6</v>
      </c>
      <c r="J302" s="1609">
        <v>205</v>
      </c>
      <c r="K302" s="1609"/>
      <c r="L302" s="1619">
        <v>875</v>
      </c>
      <c r="M302" s="1619">
        <v>1000</v>
      </c>
      <c r="N302" s="1609"/>
      <c r="O302" s="1609"/>
      <c r="P302" s="1581">
        <f t="shared" si="53"/>
        <v>875</v>
      </c>
      <c r="Q302" s="1610">
        <f>100*1.07</f>
        <v>107</v>
      </c>
      <c r="R302" s="1611">
        <f t="shared" si="54"/>
        <v>93625</v>
      </c>
      <c r="S302" s="1611">
        <f t="shared" si="55"/>
        <v>2662.3222748815165</v>
      </c>
      <c r="T302" s="1611">
        <f t="shared" si="56"/>
        <v>90962.677725118483</v>
      </c>
    </row>
    <row r="303" spans="1:21">
      <c r="A303" s="1609">
        <v>250</v>
      </c>
      <c r="B303" s="1619" t="s">
        <v>1704</v>
      </c>
      <c r="C303" s="917" t="s">
        <v>1705</v>
      </c>
      <c r="D303" s="1619" t="s">
        <v>1268</v>
      </c>
      <c r="E303" s="1581"/>
      <c r="F303" s="1609"/>
      <c r="G303" s="1609"/>
      <c r="H303" s="1609"/>
      <c r="I303" s="1609">
        <v>6</v>
      </c>
      <c r="J303" s="1609">
        <v>205</v>
      </c>
      <c r="K303" s="1609"/>
      <c r="L303" s="1619">
        <v>6</v>
      </c>
      <c r="M303" s="1619">
        <v>6</v>
      </c>
      <c r="N303" s="1609"/>
      <c r="O303" s="1609"/>
      <c r="P303" s="1581">
        <f t="shared" si="53"/>
        <v>6</v>
      </c>
      <c r="Q303" s="1610">
        <f>2500*1.07</f>
        <v>2675</v>
      </c>
      <c r="R303" s="1611">
        <f t="shared" si="54"/>
        <v>16050</v>
      </c>
      <c r="S303" s="1611">
        <f t="shared" si="55"/>
        <v>456.39810426540282</v>
      </c>
      <c r="T303" s="1611">
        <f t="shared" si="56"/>
        <v>15593.601895734597</v>
      </c>
    </row>
    <row r="304" spans="1:21">
      <c r="A304" s="1609">
        <v>251</v>
      </c>
      <c r="B304" s="1620" t="s">
        <v>1706</v>
      </c>
      <c r="C304" s="1579" t="s">
        <v>1707</v>
      </c>
      <c r="D304" s="1620" t="s">
        <v>1022</v>
      </c>
      <c r="E304" s="1581"/>
      <c r="F304" s="1581"/>
      <c r="G304" s="1581"/>
      <c r="H304" s="1581"/>
      <c r="I304" s="1609">
        <v>6</v>
      </c>
      <c r="J304" s="1609">
        <v>205</v>
      </c>
      <c r="K304" s="1581"/>
      <c r="L304" s="1620">
        <v>10</v>
      </c>
      <c r="M304" s="1620">
        <v>10</v>
      </c>
      <c r="N304" s="1581"/>
      <c r="O304" s="1581"/>
      <c r="P304" s="1581">
        <f t="shared" si="53"/>
        <v>10</v>
      </c>
      <c r="Q304" s="1581">
        <f>150*1.07</f>
        <v>160.5</v>
      </c>
      <c r="R304" s="1611">
        <f t="shared" si="54"/>
        <v>1605</v>
      </c>
      <c r="S304" s="1611">
        <f t="shared" si="55"/>
        <v>45.639810426540279</v>
      </c>
      <c r="T304" s="1611">
        <f t="shared" si="56"/>
        <v>1559.3601895734598</v>
      </c>
    </row>
    <row r="305" spans="1:21">
      <c r="A305" s="1609">
        <v>252</v>
      </c>
      <c r="B305" s="1619" t="s">
        <v>1708</v>
      </c>
      <c r="C305" s="917" t="s">
        <v>1709</v>
      </c>
      <c r="D305" s="1619" t="s">
        <v>1411</v>
      </c>
      <c r="E305" s="1581"/>
      <c r="F305" s="1609"/>
      <c r="G305" s="1609"/>
      <c r="H305" s="1609"/>
      <c r="I305" s="1609">
        <v>6</v>
      </c>
      <c r="J305" s="1609">
        <v>205</v>
      </c>
      <c r="K305" s="1609"/>
      <c r="L305" s="1619">
        <v>700</v>
      </c>
      <c r="M305" s="1619">
        <v>800</v>
      </c>
      <c r="N305" s="1609"/>
      <c r="O305" s="1609"/>
      <c r="P305" s="1581">
        <f t="shared" si="53"/>
        <v>700</v>
      </c>
      <c r="Q305" s="1609">
        <f>250*1.07</f>
        <v>267.5</v>
      </c>
      <c r="R305" s="1611">
        <f t="shared" si="54"/>
        <v>187250</v>
      </c>
      <c r="S305" s="1611">
        <f t="shared" si="55"/>
        <v>5324.644549763033</v>
      </c>
      <c r="T305" s="1611">
        <f t="shared" si="56"/>
        <v>181925.35545023697</v>
      </c>
    </row>
    <row r="306" spans="1:21">
      <c r="A306" s="1609">
        <v>253</v>
      </c>
      <c r="B306" s="1618" t="s">
        <v>1710</v>
      </c>
      <c r="C306" s="1579" t="s">
        <v>1711</v>
      </c>
      <c r="D306" s="1618" t="s">
        <v>1411</v>
      </c>
      <c r="E306" s="1581"/>
      <c r="F306" s="1581"/>
      <c r="G306" s="1581"/>
      <c r="H306" s="1609"/>
      <c r="I306" s="1609">
        <v>6</v>
      </c>
      <c r="J306" s="1609">
        <v>205</v>
      </c>
      <c r="K306" s="1609"/>
      <c r="L306" s="1618">
        <v>400</v>
      </c>
      <c r="M306" s="1618">
        <v>550</v>
      </c>
      <c r="N306" s="1609"/>
      <c r="O306" s="1609"/>
      <c r="P306" s="1581">
        <f t="shared" si="53"/>
        <v>400</v>
      </c>
      <c r="Q306" s="1609">
        <f>1000*1.07</f>
        <v>1070</v>
      </c>
      <c r="R306" s="1611">
        <f t="shared" si="54"/>
        <v>428000</v>
      </c>
      <c r="S306" s="1611">
        <f t="shared" si="55"/>
        <v>12170.616113744076</v>
      </c>
      <c r="T306" s="1611">
        <f t="shared" si="56"/>
        <v>415829.38388625591</v>
      </c>
    </row>
    <row r="307" spans="1:21" ht="25.5">
      <c r="A307" s="1609">
        <v>254</v>
      </c>
      <c r="B307" s="1579" t="s">
        <v>1712</v>
      </c>
      <c r="C307" s="1579" t="s">
        <v>1713</v>
      </c>
      <c r="D307" s="1625" t="s">
        <v>1268</v>
      </c>
      <c r="E307" s="1581"/>
      <c r="F307" s="1581"/>
      <c r="G307" s="1581"/>
      <c r="H307" s="1581"/>
      <c r="I307" s="1609">
        <v>6</v>
      </c>
      <c r="J307" s="1609">
        <v>205</v>
      </c>
      <c r="K307" s="1581"/>
      <c r="L307" s="1625">
        <v>190</v>
      </c>
      <c r="M307" s="1625">
        <v>190</v>
      </c>
      <c r="N307" s="1581"/>
      <c r="O307" s="1581"/>
      <c r="P307" s="1581">
        <f t="shared" si="53"/>
        <v>190</v>
      </c>
      <c r="Q307" s="1581">
        <f>450*1.07</f>
        <v>481.5</v>
      </c>
      <c r="R307" s="1611">
        <f t="shared" si="54"/>
        <v>91485</v>
      </c>
      <c r="S307" s="1611">
        <f t="shared" si="55"/>
        <v>2601.4691943127959</v>
      </c>
      <c r="T307" s="1611">
        <f t="shared" si="56"/>
        <v>88883.530805687202</v>
      </c>
      <c r="U307" s="1580" t="s">
        <v>1714</v>
      </c>
    </row>
    <row r="308" spans="1:21" hidden="1">
      <c r="A308" s="1609">
        <v>255</v>
      </c>
      <c r="B308" s="1579" t="s">
        <v>1712</v>
      </c>
      <c r="C308" s="1579" t="s">
        <v>1715</v>
      </c>
      <c r="D308" s="1625" t="s">
        <v>1290</v>
      </c>
      <c r="E308" s="1581"/>
      <c r="F308" s="1581"/>
      <c r="G308" s="1581"/>
      <c r="H308" s="1581"/>
      <c r="I308" s="1609"/>
      <c r="J308" s="1609"/>
      <c r="K308" s="1581"/>
      <c r="L308" s="1625"/>
      <c r="M308" s="1625"/>
      <c r="N308" s="1581"/>
      <c r="O308" s="1581"/>
      <c r="P308" s="1581"/>
      <c r="Q308" s="1581"/>
      <c r="R308" s="1611"/>
      <c r="S308" s="1611"/>
      <c r="T308" s="1611"/>
      <c r="U308" s="1580" t="s">
        <v>1716</v>
      </c>
    </row>
    <row r="309" spans="1:21" hidden="1">
      <c r="A309" s="1609">
        <v>256</v>
      </c>
      <c r="B309" s="1619" t="s">
        <v>1435</v>
      </c>
      <c r="C309" s="1579" t="s">
        <v>1717</v>
      </c>
      <c r="D309" s="1619" t="s">
        <v>1268</v>
      </c>
      <c r="E309" s="1581"/>
      <c r="F309" s="1581"/>
      <c r="G309" s="1581"/>
      <c r="H309" s="1609"/>
      <c r="I309" s="1609">
        <v>6</v>
      </c>
      <c r="J309" s="1609">
        <v>205</v>
      </c>
      <c r="K309" s="1609"/>
      <c r="L309" s="1619"/>
      <c r="M309" s="1619"/>
      <c r="N309" s="1609"/>
      <c r="O309" s="1609"/>
      <c r="P309" s="1581">
        <f t="shared" ref="P309:P320" si="57">L309-O309</f>
        <v>0</v>
      </c>
      <c r="Q309" s="1609"/>
      <c r="R309" s="1611">
        <f t="shared" ref="R309:R320" si="58">P309*Q309</f>
        <v>0</v>
      </c>
      <c r="S309" s="1611">
        <f t="shared" ref="S309:S320" si="59">R309*(I309/(I309+J309+K309))</f>
        <v>0</v>
      </c>
      <c r="T309" s="1611">
        <f t="shared" ref="T309:T320" si="60">R309-S309</f>
        <v>0</v>
      </c>
    </row>
    <row r="310" spans="1:21" ht="25.5">
      <c r="A310" s="1609">
        <v>255</v>
      </c>
      <c r="B310" s="1619" t="s">
        <v>1718</v>
      </c>
      <c r="C310" s="917" t="s">
        <v>1719</v>
      </c>
      <c r="D310" s="1619" t="s">
        <v>1268</v>
      </c>
      <c r="E310" s="1581"/>
      <c r="F310" s="1609"/>
      <c r="G310" s="1609"/>
      <c r="H310" s="1609"/>
      <c r="I310" s="1609">
        <v>6</v>
      </c>
      <c r="J310" s="1609">
        <v>205</v>
      </c>
      <c r="K310" s="1609"/>
      <c r="L310" s="1619">
        <v>4</v>
      </c>
      <c r="M310" s="1619">
        <v>4</v>
      </c>
      <c r="N310" s="1609"/>
      <c r="O310" s="1609"/>
      <c r="P310" s="1581">
        <f t="shared" si="57"/>
        <v>4</v>
      </c>
      <c r="Q310" s="1610">
        <f>5100*1.07</f>
        <v>5457</v>
      </c>
      <c r="R310" s="1611">
        <f t="shared" si="58"/>
        <v>21828</v>
      </c>
      <c r="S310" s="1611">
        <f t="shared" si="59"/>
        <v>620.70142180094786</v>
      </c>
      <c r="T310" s="1611">
        <f t="shared" si="60"/>
        <v>21207.298578199054</v>
      </c>
    </row>
    <row r="311" spans="1:21">
      <c r="A311" s="1609">
        <v>256</v>
      </c>
      <c r="B311" s="1622" t="s">
        <v>1720</v>
      </c>
      <c r="C311" s="1579" t="s">
        <v>1721</v>
      </c>
      <c r="D311" s="1622" t="s">
        <v>1325</v>
      </c>
      <c r="E311" s="1581"/>
      <c r="F311" s="1581"/>
      <c r="G311" s="1581"/>
      <c r="H311" s="1581"/>
      <c r="I311" s="1609">
        <v>6</v>
      </c>
      <c r="J311" s="1609">
        <v>205</v>
      </c>
      <c r="K311" s="1581"/>
      <c r="L311" s="1610">
        <v>5</v>
      </c>
      <c r="M311" s="1610">
        <v>5</v>
      </c>
      <c r="N311" s="1581"/>
      <c r="O311" s="1581"/>
      <c r="P311" s="1581">
        <f t="shared" si="57"/>
        <v>5</v>
      </c>
      <c r="Q311" s="1581">
        <f>22000*1.07</f>
        <v>23540</v>
      </c>
      <c r="R311" s="1611">
        <f t="shared" si="58"/>
        <v>117700</v>
      </c>
      <c r="S311" s="1611">
        <f t="shared" si="59"/>
        <v>3346.9194312796208</v>
      </c>
      <c r="T311" s="1611">
        <f t="shared" si="60"/>
        <v>114353.08056872038</v>
      </c>
    </row>
    <row r="312" spans="1:21" ht="25.5">
      <c r="A312" s="1609">
        <v>257</v>
      </c>
      <c r="B312" s="1618" t="s">
        <v>1722</v>
      </c>
      <c r="C312" s="1579" t="s">
        <v>1723</v>
      </c>
      <c r="D312" s="1618" t="s">
        <v>1022</v>
      </c>
      <c r="E312" s="1581"/>
      <c r="F312" s="1581"/>
      <c r="G312" s="1581"/>
      <c r="H312" s="1581"/>
      <c r="I312" s="1609"/>
      <c r="J312" s="1609"/>
      <c r="K312" s="1581"/>
      <c r="L312" s="1618"/>
      <c r="M312" s="1618"/>
      <c r="N312" s="1581"/>
      <c r="O312" s="1581"/>
      <c r="P312" s="1581"/>
      <c r="Q312" s="1581"/>
      <c r="R312" s="1611"/>
      <c r="S312" s="1611"/>
      <c r="T312" s="1611"/>
    </row>
    <row r="313" spans="1:21" hidden="1">
      <c r="A313" s="1581"/>
      <c r="B313" s="1618"/>
      <c r="C313" s="1579"/>
      <c r="D313" s="1618" t="s">
        <v>1022</v>
      </c>
      <c r="E313" s="1581"/>
      <c r="F313" s="1581"/>
      <c r="G313" s="1581"/>
      <c r="H313" s="1581"/>
      <c r="I313" s="1609">
        <v>6</v>
      </c>
      <c r="J313" s="1609">
        <v>205</v>
      </c>
      <c r="K313" s="1581"/>
      <c r="L313" s="1622"/>
      <c r="M313" s="1622"/>
      <c r="N313" s="1581"/>
      <c r="O313" s="1581"/>
      <c r="P313" s="1581">
        <f t="shared" si="57"/>
        <v>0</v>
      </c>
      <c r="Q313" s="1581"/>
      <c r="R313" s="1611">
        <f t="shared" si="58"/>
        <v>0</v>
      </c>
      <c r="S313" s="1611">
        <f t="shared" si="59"/>
        <v>0</v>
      </c>
      <c r="T313" s="1611">
        <f t="shared" si="60"/>
        <v>0</v>
      </c>
    </row>
    <row r="314" spans="1:21" ht="25.5">
      <c r="A314" s="1609">
        <v>258</v>
      </c>
      <c r="B314" s="1619" t="s">
        <v>1724</v>
      </c>
      <c r="C314" s="917" t="s">
        <v>1725</v>
      </c>
      <c r="D314" s="1619" t="s">
        <v>1268</v>
      </c>
      <c r="E314" s="1581"/>
      <c r="F314" s="1609"/>
      <c r="G314" s="1609"/>
      <c r="H314" s="1609"/>
      <c r="I314" s="1609">
        <v>6</v>
      </c>
      <c r="J314" s="1609">
        <v>205</v>
      </c>
      <c r="K314" s="1609"/>
      <c r="L314" s="1619">
        <v>10</v>
      </c>
      <c r="M314" s="1619">
        <v>16</v>
      </c>
      <c r="N314" s="1609"/>
      <c r="O314" s="1609"/>
      <c r="P314" s="1581">
        <f t="shared" si="57"/>
        <v>10</v>
      </c>
      <c r="Q314" s="1609">
        <f>5000*1.07</f>
        <v>5350</v>
      </c>
      <c r="R314" s="1611">
        <f t="shared" si="58"/>
        <v>53500</v>
      </c>
      <c r="S314" s="1611">
        <f t="shared" si="59"/>
        <v>1521.3270142180095</v>
      </c>
      <c r="T314" s="1611">
        <f t="shared" si="60"/>
        <v>51978.672985781988</v>
      </c>
    </row>
    <row r="315" spans="1:21" ht="25.5" hidden="1">
      <c r="A315" s="1581">
        <v>308</v>
      </c>
      <c r="B315" s="1618" t="s">
        <v>1726</v>
      </c>
      <c r="C315" s="1579"/>
      <c r="D315" s="1618" t="s">
        <v>1022</v>
      </c>
      <c r="E315" s="1581"/>
      <c r="F315" s="1581"/>
      <c r="G315" s="1581"/>
      <c r="H315" s="1581"/>
      <c r="I315" s="1609">
        <v>6</v>
      </c>
      <c r="J315" s="1609">
        <v>205</v>
      </c>
      <c r="K315" s="1581"/>
      <c r="L315" s="1622"/>
      <c r="M315" s="1622"/>
      <c r="N315" s="1581"/>
      <c r="O315" s="1581"/>
      <c r="P315" s="1581">
        <f t="shared" si="57"/>
        <v>0</v>
      </c>
      <c r="Q315" s="1581"/>
      <c r="R315" s="1611">
        <f t="shared" si="58"/>
        <v>0</v>
      </c>
      <c r="S315" s="1611">
        <f t="shared" si="59"/>
        <v>0</v>
      </c>
      <c r="T315" s="1611">
        <f t="shared" si="60"/>
        <v>0</v>
      </c>
    </row>
    <row r="316" spans="1:21" ht="25.5" hidden="1">
      <c r="A316" s="1581"/>
      <c r="B316" s="1618" t="s">
        <v>1727</v>
      </c>
      <c r="C316" s="1579"/>
      <c r="D316" s="1618" t="s">
        <v>1022</v>
      </c>
      <c r="E316" s="1581"/>
      <c r="F316" s="1581"/>
      <c r="G316" s="1581"/>
      <c r="H316" s="1581"/>
      <c r="I316" s="1609">
        <v>6</v>
      </c>
      <c r="J316" s="1609">
        <v>205</v>
      </c>
      <c r="K316" s="1581"/>
      <c r="L316" s="1610">
        <v>1</v>
      </c>
      <c r="M316" s="1610">
        <v>1</v>
      </c>
      <c r="N316" s="1581"/>
      <c r="O316" s="1581"/>
      <c r="P316" s="1581">
        <f t="shared" si="57"/>
        <v>1</v>
      </c>
      <c r="Q316" s="1581"/>
      <c r="R316" s="1611">
        <f t="shared" si="58"/>
        <v>0</v>
      </c>
      <c r="S316" s="1611">
        <f t="shared" si="59"/>
        <v>0</v>
      </c>
      <c r="T316" s="1611">
        <f t="shared" si="60"/>
        <v>0</v>
      </c>
    </row>
    <row r="317" spans="1:21" ht="25.5">
      <c r="A317" s="1609">
        <v>259</v>
      </c>
      <c r="B317" s="1618" t="s">
        <v>1728</v>
      </c>
      <c r="C317" s="1579" t="s">
        <v>1729</v>
      </c>
      <c r="D317" s="1618" t="s">
        <v>1587</v>
      </c>
      <c r="E317" s="1581"/>
      <c r="F317" s="1581"/>
      <c r="G317" s="1581"/>
      <c r="H317" s="1581"/>
      <c r="I317" s="1609">
        <v>6</v>
      </c>
      <c r="J317" s="1609">
        <v>205</v>
      </c>
      <c r="K317" s="1581"/>
      <c r="L317" s="1618">
        <v>100</v>
      </c>
      <c r="M317" s="1618">
        <v>120</v>
      </c>
      <c r="N317" s="1581"/>
      <c r="O317" s="1581"/>
      <c r="P317" s="1581">
        <f t="shared" si="57"/>
        <v>100</v>
      </c>
      <c r="Q317" s="1581">
        <f>400*1.07</f>
        <v>428</v>
      </c>
      <c r="R317" s="1611">
        <f t="shared" si="58"/>
        <v>42800</v>
      </c>
      <c r="S317" s="1611">
        <f t="shared" si="59"/>
        <v>1217.0616113744074</v>
      </c>
      <c r="T317" s="1611">
        <f t="shared" si="60"/>
        <v>41582.938388625589</v>
      </c>
    </row>
    <row r="318" spans="1:21">
      <c r="A318" s="1609">
        <v>260</v>
      </c>
      <c r="B318" s="1618" t="s">
        <v>1730</v>
      </c>
      <c r="C318" s="917" t="s">
        <v>1731</v>
      </c>
      <c r="D318" s="1619" t="s">
        <v>1268</v>
      </c>
      <c r="E318" s="1581"/>
      <c r="F318" s="1609"/>
      <c r="G318" s="1609"/>
      <c r="H318" s="1609"/>
      <c r="I318" s="1609">
        <v>6</v>
      </c>
      <c r="J318" s="1609">
        <v>205</v>
      </c>
      <c r="K318" s="1609"/>
      <c r="L318" s="1623">
        <v>1950</v>
      </c>
      <c r="M318" s="1623">
        <v>2000</v>
      </c>
      <c r="N318" s="1609"/>
      <c r="O318" s="1609"/>
      <c r="P318" s="1581">
        <f t="shared" si="57"/>
        <v>1950</v>
      </c>
      <c r="Q318" s="1610">
        <f>20*1.07</f>
        <v>21.400000000000002</v>
      </c>
      <c r="R318" s="1611">
        <f t="shared" si="58"/>
        <v>41730.000000000007</v>
      </c>
      <c r="S318" s="1611">
        <f t="shared" si="59"/>
        <v>1186.6350710900476</v>
      </c>
      <c r="T318" s="1611">
        <f t="shared" si="60"/>
        <v>40543.364928909963</v>
      </c>
      <c r="U318" s="1580">
        <v>350</v>
      </c>
    </row>
    <row r="319" spans="1:21" ht="25.5">
      <c r="A319" s="1609">
        <v>261</v>
      </c>
      <c r="B319" s="1618" t="s">
        <v>1732</v>
      </c>
      <c r="C319" s="1579" t="s">
        <v>1733</v>
      </c>
      <c r="D319" s="1618" t="s">
        <v>1268</v>
      </c>
      <c r="E319" s="1581"/>
      <c r="F319" s="1581"/>
      <c r="G319" s="1581"/>
      <c r="H319" s="1581"/>
      <c r="I319" s="1609">
        <v>6</v>
      </c>
      <c r="J319" s="1609">
        <v>205</v>
      </c>
      <c r="K319" s="1581"/>
      <c r="L319" s="1620">
        <v>33</v>
      </c>
      <c r="M319" s="1620">
        <v>33</v>
      </c>
      <c r="N319" s="1581"/>
      <c r="O319" s="1581"/>
      <c r="P319" s="1581">
        <f t="shared" si="57"/>
        <v>33</v>
      </c>
      <c r="Q319" s="1581">
        <f>2000*1.07</f>
        <v>2140</v>
      </c>
      <c r="R319" s="1611">
        <f t="shared" si="58"/>
        <v>70620</v>
      </c>
      <c r="S319" s="1611">
        <f t="shared" si="59"/>
        <v>2008.1516587677725</v>
      </c>
      <c r="T319" s="1611">
        <f t="shared" si="60"/>
        <v>68611.848341232224</v>
      </c>
    </row>
    <row r="320" spans="1:21" ht="38.25">
      <c r="A320" s="1609">
        <v>262</v>
      </c>
      <c r="B320" s="1618" t="s">
        <v>1732</v>
      </c>
      <c r="C320" s="1579" t="s">
        <v>1734</v>
      </c>
      <c r="D320" s="1618"/>
      <c r="E320" s="1581"/>
      <c r="F320" s="1581"/>
      <c r="G320" s="1581"/>
      <c r="H320" s="1581"/>
      <c r="I320" s="1609">
        <v>6</v>
      </c>
      <c r="J320" s="1609">
        <v>205</v>
      </c>
      <c r="K320" s="1581"/>
      <c r="L320" s="1620">
        <v>190</v>
      </c>
      <c r="M320" s="1620">
        <v>190</v>
      </c>
      <c r="N320" s="1581"/>
      <c r="O320" s="1581"/>
      <c r="P320" s="1581">
        <f t="shared" si="57"/>
        <v>190</v>
      </c>
      <c r="Q320" s="1581">
        <f>1500*1.07</f>
        <v>1605</v>
      </c>
      <c r="R320" s="1611">
        <f t="shared" si="58"/>
        <v>304950</v>
      </c>
      <c r="S320" s="1611">
        <f t="shared" si="59"/>
        <v>8671.5639810426528</v>
      </c>
      <c r="T320" s="1611">
        <f t="shared" si="60"/>
        <v>296278.43601895735</v>
      </c>
      <c r="U320" s="1580">
        <v>6000</v>
      </c>
    </row>
    <row r="321" spans="1:21" ht="25.5">
      <c r="A321" s="1609">
        <v>263</v>
      </c>
      <c r="B321" s="1622" t="s">
        <v>1732</v>
      </c>
      <c r="C321" s="1579" t="s">
        <v>1735</v>
      </c>
      <c r="D321" s="1622" t="s">
        <v>1022</v>
      </c>
      <c r="E321" s="1581"/>
      <c r="F321" s="1581"/>
      <c r="G321" s="1581"/>
      <c r="H321" s="1581"/>
      <c r="I321" s="1609">
        <v>6</v>
      </c>
      <c r="J321" s="1609">
        <v>205</v>
      </c>
      <c r="K321" s="1581"/>
      <c r="L321" s="1610">
        <v>20</v>
      </c>
      <c r="M321" s="1610">
        <v>20</v>
      </c>
      <c r="N321" s="1581"/>
      <c r="O321" s="1581"/>
      <c r="P321" s="1581">
        <f t="shared" ref="P321:P329" si="61">L321-O321</f>
        <v>20</v>
      </c>
      <c r="Q321" s="1581">
        <f>1700*1.07</f>
        <v>1819</v>
      </c>
      <c r="R321" s="1611">
        <f t="shared" ref="R321:R329" si="62">P321*Q321</f>
        <v>36380</v>
      </c>
      <c r="S321" s="1611">
        <f t="shared" ref="S321:S329" si="63">R321*(I321/(I321+J321+K321))</f>
        <v>1034.5023696682465</v>
      </c>
      <c r="T321" s="1611">
        <f t="shared" ref="T321:T329" si="64">R321-S321</f>
        <v>35345.497630331753</v>
      </c>
    </row>
    <row r="322" spans="1:21">
      <c r="A322" s="1609">
        <v>264</v>
      </c>
      <c r="B322" s="1618" t="s">
        <v>1736</v>
      </c>
      <c r="C322" s="1579" t="s">
        <v>1737</v>
      </c>
      <c r="D322" s="1618" t="s">
        <v>1022</v>
      </c>
      <c r="E322" s="1581"/>
      <c r="F322" s="1581"/>
      <c r="G322" s="1581"/>
      <c r="H322" s="1581"/>
      <c r="I322" s="1609">
        <v>6</v>
      </c>
      <c r="J322" s="1609">
        <v>205</v>
      </c>
      <c r="K322" s="1581"/>
      <c r="L322" s="1618">
        <v>65</v>
      </c>
      <c r="M322" s="1618">
        <v>70</v>
      </c>
      <c r="N322" s="1581"/>
      <c r="O322" s="1581"/>
      <c r="P322" s="1581">
        <f t="shared" si="61"/>
        <v>65</v>
      </c>
      <c r="Q322" s="1581">
        <f>1500*1.07</f>
        <v>1605</v>
      </c>
      <c r="R322" s="1611">
        <f t="shared" si="62"/>
        <v>104325</v>
      </c>
      <c r="S322" s="1611">
        <f t="shared" si="63"/>
        <v>2966.5876777251183</v>
      </c>
      <c r="T322" s="1611">
        <f t="shared" si="64"/>
        <v>101358.41232227487</v>
      </c>
    </row>
    <row r="323" spans="1:21">
      <c r="A323" s="1609">
        <v>265</v>
      </c>
      <c r="B323" s="1618" t="s">
        <v>1738</v>
      </c>
      <c r="C323" s="1579" t="s">
        <v>1739</v>
      </c>
      <c r="D323" s="1618" t="s">
        <v>1022</v>
      </c>
      <c r="E323" s="1581"/>
      <c r="F323" s="1581"/>
      <c r="G323" s="1581"/>
      <c r="H323" s="1581"/>
      <c r="I323" s="1609">
        <v>6</v>
      </c>
      <c r="J323" s="1609">
        <v>205</v>
      </c>
      <c r="K323" s="1581"/>
      <c r="L323" s="1618">
        <v>130</v>
      </c>
      <c r="M323" s="1618">
        <v>140</v>
      </c>
      <c r="N323" s="1581"/>
      <c r="O323" s="1581"/>
      <c r="P323" s="1581">
        <f t="shared" si="61"/>
        <v>130</v>
      </c>
      <c r="Q323" s="1581">
        <f>1200*1.07</f>
        <v>1284</v>
      </c>
      <c r="R323" s="1611">
        <f t="shared" si="62"/>
        <v>166920</v>
      </c>
      <c r="S323" s="1611">
        <f t="shared" si="63"/>
        <v>4746.5402843601896</v>
      </c>
      <c r="T323" s="1611">
        <f t="shared" si="64"/>
        <v>162173.45971563982</v>
      </c>
    </row>
    <row r="324" spans="1:21">
      <c r="A324" s="1609">
        <v>266</v>
      </c>
      <c r="B324" s="1622" t="s">
        <v>1740</v>
      </c>
      <c r="C324" s="1579" t="s">
        <v>1741</v>
      </c>
      <c r="D324" s="1622" t="s">
        <v>1587</v>
      </c>
      <c r="E324" s="1581"/>
      <c r="F324" s="1581"/>
      <c r="G324" s="1581"/>
      <c r="H324" s="1581"/>
      <c r="I324" s="1609">
        <v>6</v>
      </c>
      <c r="J324" s="1609">
        <v>205</v>
      </c>
      <c r="K324" s="1581"/>
      <c r="L324" s="1610">
        <v>3</v>
      </c>
      <c r="M324" s="1610">
        <v>3</v>
      </c>
      <c r="N324" s="1581"/>
      <c r="O324" s="1581"/>
      <c r="P324" s="1581">
        <f t="shared" si="61"/>
        <v>3</v>
      </c>
      <c r="Q324" s="1581">
        <f>500*1.07</f>
        <v>535</v>
      </c>
      <c r="R324" s="1611">
        <f t="shared" si="62"/>
        <v>1605</v>
      </c>
      <c r="S324" s="1611">
        <f t="shared" si="63"/>
        <v>45.639810426540279</v>
      </c>
      <c r="T324" s="1611">
        <f t="shared" si="64"/>
        <v>1559.3601895734598</v>
      </c>
      <c r="U324" s="1580">
        <v>2500</v>
      </c>
    </row>
    <row r="325" spans="1:21">
      <c r="A325" s="1609">
        <v>267</v>
      </c>
      <c r="B325" s="1618" t="s">
        <v>1742</v>
      </c>
      <c r="C325" s="1579" t="s">
        <v>1743</v>
      </c>
      <c r="D325" s="1618" t="s">
        <v>1022</v>
      </c>
      <c r="E325" s="1581"/>
      <c r="F325" s="1581"/>
      <c r="G325" s="1581"/>
      <c r="H325" s="1581"/>
      <c r="I325" s="1609">
        <v>6</v>
      </c>
      <c r="J325" s="1609">
        <v>205</v>
      </c>
      <c r="K325" s="1581"/>
      <c r="L325" s="1618">
        <v>19</v>
      </c>
      <c r="M325" s="1618">
        <v>20</v>
      </c>
      <c r="N325" s="1581"/>
      <c r="O325" s="1581"/>
      <c r="P325" s="1581">
        <f t="shared" si="61"/>
        <v>19</v>
      </c>
      <c r="Q325" s="1581">
        <f>400*1.07</f>
        <v>428</v>
      </c>
      <c r="R325" s="1611">
        <f t="shared" si="62"/>
        <v>8132</v>
      </c>
      <c r="S325" s="1611">
        <f t="shared" si="63"/>
        <v>231.24170616113744</v>
      </c>
      <c r="T325" s="1611">
        <f t="shared" si="64"/>
        <v>7900.7582938388623</v>
      </c>
      <c r="U325" s="1580">
        <v>750</v>
      </c>
    </row>
    <row r="326" spans="1:21">
      <c r="A326" s="1609">
        <v>268</v>
      </c>
      <c r="B326" s="1619" t="s">
        <v>1744</v>
      </c>
      <c r="C326" s="1614" t="s">
        <v>1745</v>
      </c>
      <c r="D326" s="1619" t="s">
        <v>1119</v>
      </c>
      <c r="E326" s="1581"/>
      <c r="F326" s="1609"/>
      <c r="G326" s="1609"/>
      <c r="H326" s="1609"/>
      <c r="I326" s="1609">
        <v>6</v>
      </c>
      <c r="J326" s="1609">
        <v>205</v>
      </c>
      <c r="K326" s="1609"/>
      <c r="L326" s="1619">
        <v>2600</v>
      </c>
      <c r="M326" s="1619">
        <v>2700</v>
      </c>
      <c r="N326" s="1609"/>
      <c r="O326" s="1609"/>
      <c r="P326" s="1581">
        <f t="shared" si="61"/>
        <v>2600</v>
      </c>
      <c r="Q326" s="1609">
        <f>20*1.07</f>
        <v>21.400000000000002</v>
      </c>
      <c r="R326" s="1611">
        <f t="shared" si="62"/>
        <v>55640.000000000007</v>
      </c>
      <c r="S326" s="1611">
        <f t="shared" si="63"/>
        <v>1582.18009478673</v>
      </c>
      <c r="T326" s="1611">
        <f t="shared" si="64"/>
        <v>54057.819905213277</v>
      </c>
      <c r="U326" s="1580">
        <v>1800</v>
      </c>
    </row>
    <row r="327" spans="1:21">
      <c r="A327" s="1609">
        <v>269</v>
      </c>
      <c r="B327" s="1628" t="s">
        <v>1744</v>
      </c>
      <c r="C327" s="1621" t="s">
        <v>1746</v>
      </c>
      <c r="D327" s="1619" t="s">
        <v>1268</v>
      </c>
      <c r="E327" s="1581"/>
      <c r="F327" s="1581"/>
      <c r="G327" s="1581"/>
      <c r="H327" s="1581"/>
      <c r="I327" s="1609">
        <v>6</v>
      </c>
      <c r="J327" s="1609">
        <v>205</v>
      </c>
      <c r="K327" s="1581"/>
      <c r="L327" s="1619">
        <v>2600</v>
      </c>
      <c r="M327" s="1619">
        <v>2700</v>
      </c>
      <c r="N327" s="1581"/>
      <c r="O327" s="1581"/>
      <c r="P327" s="1581">
        <f t="shared" si="61"/>
        <v>2600</v>
      </c>
      <c r="Q327" s="1581">
        <f>20*1.07</f>
        <v>21.400000000000002</v>
      </c>
      <c r="R327" s="1611">
        <f t="shared" si="62"/>
        <v>55640.000000000007</v>
      </c>
      <c r="S327" s="1611">
        <f t="shared" si="63"/>
        <v>1582.18009478673</v>
      </c>
      <c r="T327" s="1611">
        <f t="shared" si="64"/>
        <v>54057.819905213277</v>
      </c>
    </row>
    <row r="328" spans="1:21" ht="25.5">
      <c r="A328" s="1609">
        <v>270</v>
      </c>
      <c r="B328" s="1620" t="s">
        <v>1747</v>
      </c>
      <c r="C328" s="1621" t="s">
        <v>1748</v>
      </c>
      <c r="D328" s="1620" t="s">
        <v>1022</v>
      </c>
      <c r="E328" s="1581"/>
      <c r="F328" s="1581"/>
      <c r="G328" s="1581"/>
      <c r="H328" s="1581"/>
      <c r="I328" s="1609">
        <v>6</v>
      </c>
      <c r="J328" s="1609">
        <v>205</v>
      </c>
      <c r="K328" s="1581"/>
      <c r="L328" s="1620">
        <v>60</v>
      </c>
      <c r="M328" s="1620">
        <v>60</v>
      </c>
      <c r="N328" s="1581"/>
      <c r="O328" s="1581"/>
      <c r="P328" s="1581">
        <f t="shared" si="61"/>
        <v>60</v>
      </c>
      <c r="Q328" s="1581">
        <f>327*1.07</f>
        <v>349.89000000000004</v>
      </c>
      <c r="R328" s="1611">
        <f t="shared" si="62"/>
        <v>20993.4</v>
      </c>
      <c r="S328" s="1611">
        <f t="shared" si="63"/>
        <v>596.96872037914693</v>
      </c>
      <c r="T328" s="1611">
        <f t="shared" si="64"/>
        <v>20396.431279620854</v>
      </c>
    </row>
    <row r="329" spans="1:21" ht="25.5">
      <c r="A329" s="1609">
        <v>271</v>
      </c>
      <c r="B329" s="1629" t="s">
        <v>1747</v>
      </c>
      <c r="C329" s="1614" t="s">
        <v>1749</v>
      </c>
      <c r="D329" s="1622" t="s">
        <v>1022</v>
      </c>
      <c r="E329" s="1581"/>
      <c r="F329" s="1581"/>
      <c r="G329" s="1581"/>
      <c r="H329" s="1581"/>
      <c r="I329" s="1609">
        <v>6</v>
      </c>
      <c r="J329" s="1609">
        <v>205</v>
      </c>
      <c r="K329" s="1581"/>
      <c r="L329" s="1610">
        <v>50</v>
      </c>
      <c r="M329" s="1610">
        <v>50</v>
      </c>
      <c r="N329" s="1581"/>
      <c r="O329" s="1581"/>
      <c r="P329" s="1581">
        <f t="shared" si="61"/>
        <v>50</v>
      </c>
      <c r="Q329" s="1581">
        <f>1250*1.07</f>
        <v>1337.5</v>
      </c>
      <c r="R329" s="1611">
        <f t="shared" si="62"/>
        <v>66875</v>
      </c>
      <c r="S329" s="1611">
        <f t="shared" si="63"/>
        <v>1901.6587677725117</v>
      </c>
      <c r="T329" s="1611">
        <f t="shared" si="64"/>
        <v>64973.341232227489</v>
      </c>
      <c r="U329" s="1580">
        <v>3000</v>
      </c>
    </row>
    <row r="330" spans="1:21">
      <c r="A330" s="1609">
        <v>272</v>
      </c>
      <c r="B330" s="1630" t="s">
        <v>1750</v>
      </c>
      <c r="C330" s="1614" t="s">
        <v>1751</v>
      </c>
      <c r="D330" s="1609" t="s">
        <v>1022</v>
      </c>
      <c r="E330" s="1581"/>
      <c r="F330" s="1609"/>
      <c r="G330" s="1609"/>
      <c r="H330" s="1609"/>
      <c r="I330" s="1609"/>
      <c r="J330" s="1609"/>
      <c r="K330" s="1609"/>
      <c r="L330" s="1581"/>
      <c r="M330" s="1581"/>
      <c r="N330" s="1609"/>
      <c r="O330" s="1609"/>
      <c r="P330" s="1581"/>
      <c r="Q330" s="1610"/>
      <c r="R330" s="1611"/>
      <c r="S330" s="1611"/>
      <c r="T330" s="1611"/>
    </row>
    <row r="331" spans="1:21">
      <c r="A331" s="1609">
        <v>273</v>
      </c>
      <c r="B331" s="1631" t="s">
        <v>1750</v>
      </c>
      <c r="C331" s="1621" t="s">
        <v>1752</v>
      </c>
      <c r="D331" s="1620" t="s">
        <v>1022</v>
      </c>
      <c r="E331" s="1581"/>
      <c r="F331" s="1581"/>
      <c r="G331" s="1581"/>
      <c r="H331" s="1581"/>
      <c r="I331" s="1609">
        <v>6</v>
      </c>
      <c r="J331" s="1609">
        <v>205</v>
      </c>
      <c r="K331" s="1581"/>
      <c r="L331" s="1620">
        <v>3</v>
      </c>
      <c r="M331" s="1620">
        <v>3</v>
      </c>
      <c r="N331" s="1581"/>
      <c r="O331" s="1581"/>
      <c r="P331" s="1581">
        <f t="shared" ref="P331:P337" si="65">L331-O331</f>
        <v>3</v>
      </c>
      <c r="Q331" s="1581">
        <f>2500*1.07</f>
        <v>2675</v>
      </c>
      <c r="R331" s="1611">
        <f t="shared" ref="R331:R337" si="66">P331*Q331</f>
        <v>8025</v>
      </c>
      <c r="S331" s="1611">
        <f t="shared" ref="S331:S337" si="67">R331*(I331/(I331+J331+K331))</f>
        <v>228.19905213270141</v>
      </c>
      <c r="T331" s="1611">
        <f t="shared" ref="T331:T337" si="68">R331-S331</f>
        <v>7796.8009478672984</v>
      </c>
    </row>
    <row r="332" spans="1:21">
      <c r="A332" s="1609">
        <v>274</v>
      </c>
      <c r="B332" s="1632" t="s">
        <v>1753</v>
      </c>
      <c r="C332" s="357" t="s">
        <v>1754</v>
      </c>
      <c r="D332" s="1618" t="s">
        <v>1119</v>
      </c>
      <c r="E332" s="1581"/>
      <c r="F332" s="1581"/>
      <c r="G332" s="1581"/>
      <c r="H332" s="1581"/>
      <c r="I332" s="1609">
        <v>6</v>
      </c>
      <c r="J332" s="1609">
        <v>205</v>
      </c>
      <c r="K332" s="1581"/>
      <c r="L332" s="1618">
        <v>19</v>
      </c>
      <c r="M332" s="1618">
        <v>20</v>
      </c>
      <c r="N332" s="1581"/>
      <c r="O332" s="1581"/>
      <c r="P332" s="1581">
        <f t="shared" si="65"/>
        <v>19</v>
      </c>
      <c r="Q332" s="1581">
        <f>1500*1.07</f>
        <v>1605</v>
      </c>
      <c r="R332" s="1611">
        <f t="shared" si="66"/>
        <v>30495</v>
      </c>
      <c r="S332" s="1611">
        <f t="shared" si="67"/>
        <v>867.15639810426535</v>
      </c>
      <c r="T332" s="1611">
        <f t="shared" si="68"/>
        <v>29627.843601895736</v>
      </c>
      <c r="U332" s="1580">
        <v>1500</v>
      </c>
    </row>
    <row r="333" spans="1:21">
      <c r="A333" s="1609">
        <v>275</v>
      </c>
      <c r="B333" s="1619" t="s">
        <v>1755</v>
      </c>
      <c r="C333" s="1614" t="s">
        <v>1369</v>
      </c>
      <c r="D333" s="1619" t="s">
        <v>1268</v>
      </c>
      <c r="E333" s="1581"/>
      <c r="F333" s="1609"/>
      <c r="G333" s="1609"/>
      <c r="H333" s="1609"/>
      <c r="I333" s="1609">
        <v>6</v>
      </c>
      <c r="J333" s="1609">
        <v>205</v>
      </c>
      <c r="K333" s="1609"/>
      <c r="L333" s="1619">
        <v>87</v>
      </c>
      <c r="M333" s="1619">
        <v>95</v>
      </c>
      <c r="N333" s="1609"/>
      <c r="O333" s="1609"/>
      <c r="P333" s="1581">
        <f t="shared" si="65"/>
        <v>87</v>
      </c>
      <c r="Q333" s="1610">
        <f>3900*1.07</f>
        <v>4173</v>
      </c>
      <c r="R333" s="1611">
        <f t="shared" si="66"/>
        <v>363051</v>
      </c>
      <c r="S333" s="1611">
        <f t="shared" si="67"/>
        <v>10323.725118483411</v>
      </c>
      <c r="T333" s="1611">
        <f t="shared" si="68"/>
        <v>352727.27488151658</v>
      </c>
    </row>
    <row r="334" spans="1:21">
      <c r="A334" s="1609">
        <v>276</v>
      </c>
      <c r="B334" s="1628" t="s">
        <v>1756</v>
      </c>
      <c r="C334" s="1614" t="s">
        <v>1370</v>
      </c>
      <c r="D334" s="1619" t="s">
        <v>1268</v>
      </c>
      <c r="E334" s="1581"/>
      <c r="F334" s="1609"/>
      <c r="G334" s="1609"/>
      <c r="H334" s="1609"/>
      <c r="I334" s="1609">
        <v>6</v>
      </c>
      <c r="J334" s="1609">
        <v>205</v>
      </c>
      <c r="K334" s="1609"/>
      <c r="L334" s="1619">
        <v>87</v>
      </c>
      <c r="M334" s="1619">
        <v>95</v>
      </c>
      <c r="N334" s="1609"/>
      <c r="O334" s="1609"/>
      <c r="P334" s="1581">
        <f t="shared" si="65"/>
        <v>87</v>
      </c>
      <c r="Q334" s="1610">
        <f>3900*1.07</f>
        <v>4173</v>
      </c>
      <c r="R334" s="1611">
        <f t="shared" si="66"/>
        <v>363051</v>
      </c>
      <c r="S334" s="1611">
        <f t="shared" si="67"/>
        <v>10323.725118483411</v>
      </c>
      <c r="T334" s="1611">
        <f t="shared" si="68"/>
        <v>352727.27488151658</v>
      </c>
    </row>
    <row r="335" spans="1:21" ht="25.5">
      <c r="A335" s="1609">
        <v>277</v>
      </c>
      <c r="B335" s="1620" t="s">
        <v>1757</v>
      </c>
      <c r="C335" s="1579" t="s">
        <v>1758</v>
      </c>
      <c r="D335" s="1620" t="s">
        <v>1022</v>
      </c>
      <c r="E335" s="1581"/>
      <c r="F335" s="1581"/>
      <c r="G335" s="1581"/>
      <c r="H335" s="1581"/>
      <c r="I335" s="1609">
        <v>6</v>
      </c>
      <c r="J335" s="1609">
        <v>205</v>
      </c>
      <c r="K335" s="1581"/>
      <c r="L335" s="1620">
        <v>50</v>
      </c>
      <c r="M335" s="1620">
        <v>50</v>
      </c>
      <c r="N335" s="1581"/>
      <c r="O335" s="1581"/>
      <c r="P335" s="1581">
        <f t="shared" si="65"/>
        <v>50</v>
      </c>
      <c r="Q335" s="1581">
        <f>500*1.07</f>
        <v>535</v>
      </c>
      <c r="R335" s="1611">
        <f t="shared" si="66"/>
        <v>26750</v>
      </c>
      <c r="S335" s="1611">
        <f t="shared" si="67"/>
        <v>760.66350710900474</v>
      </c>
      <c r="T335" s="1611">
        <f t="shared" si="68"/>
        <v>25989.336492890994</v>
      </c>
    </row>
    <row r="336" spans="1:21" ht="33" customHeight="1">
      <c r="A336" s="1609">
        <v>278</v>
      </c>
      <c r="B336" s="1620" t="s">
        <v>1757</v>
      </c>
      <c r="C336" s="1579" t="s">
        <v>1759</v>
      </c>
      <c r="D336" s="1620" t="s">
        <v>1022</v>
      </c>
      <c r="E336" s="1581"/>
      <c r="F336" s="1581"/>
      <c r="G336" s="1581"/>
      <c r="H336" s="1581"/>
      <c r="I336" s="1609">
        <v>6</v>
      </c>
      <c r="J336" s="1609">
        <v>205</v>
      </c>
      <c r="K336" s="1581"/>
      <c r="L336" s="1620">
        <v>50</v>
      </c>
      <c r="M336" s="1620">
        <v>50</v>
      </c>
      <c r="N336" s="1581"/>
      <c r="O336" s="1581"/>
      <c r="P336" s="1581">
        <f t="shared" si="65"/>
        <v>50</v>
      </c>
      <c r="Q336" s="1581">
        <f>2500*1.07</f>
        <v>2675</v>
      </c>
      <c r="R336" s="1611">
        <f t="shared" si="66"/>
        <v>133750</v>
      </c>
      <c r="S336" s="1611">
        <f t="shared" si="67"/>
        <v>3803.3175355450235</v>
      </c>
      <c r="T336" s="1611">
        <f t="shared" si="68"/>
        <v>129946.68246445498</v>
      </c>
    </row>
    <row r="337" spans="1:21" ht="25.5">
      <c r="A337" s="1609">
        <v>279</v>
      </c>
      <c r="B337" s="1620" t="s">
        <v>1757</v>
      </c>
      <c r="C337" s="1579" t="s">
        <v>1760</v>
      </c>
      <c r="D337" s="1620" t="s">
        <v>1022</v>
      </c>
      <c r="E337" s="1581"/>
      <c r="F337" s="1581"/>
      <c r="G337" s="1581"/>
      <c r="H337" s="1581"/>
      <c r="I337" s="1609">
        <v>6</v>
      </c>
      <c r="J337" s="1609">
        <v>205</v>
      </c>
      <c r="K337" s="1581"/>
      <c r="L337" s="1620">
        <v>50</v>
      </c>
      <c r="M337" s="1620">
        <v>50</v>
      </c>
      <c r="N337" s="1581"/>
      <c r="O337" s="1581"/>
      <c r="P337" s="1581">
        <f t="shared" si="65"/>
        <v>50</v>
      </c>
      <c r="Q337" s="1581">
        <f>1000*1.07</f>
        <v>1070</v>
      </c>
      <c r="R337" s="1611">
        <f t="shared" si="66"/>
        <v>53500</v>
      </c>
      <c r="S337" s="1611">
        <f t="shared" si="67"/>
        <v>1521.3270142180095</v>
      </c>
      <c r="T337" s="1611">
        <f t="shared" si="68"/>
        <v>51978.672985781988</v>
      </c>
    </row>
    <row r="338" spans="1:21">
      <c r="A338" s="1609">
        <v>280</v>
      </c>
      <c r="B338" s="1056" t="s">
        <v>1761</v>
      </c>
      <c r="C338" s="1579" t="s">
        <v>1762</v>
      </c>
      <c r="D338" s="1625" t="s">
        <v>1022</v>
      </c>
      <c r="E338" s="1581"/>
      <c r="F338" s="1581"/>
      <c r="G338" s="1581"/>
      <c r="H338" s="1581"/>
      <c r="I338" s="1609">
        <v>6</v>
      </c>
      <c r="J338" s="1609">
        <v>205</v>
      </c>
      <c r="K338" s="1581"/>
      <c r="L338" s="1625">
        <v>125</v>
      </c>
      <c r="M338" s="1625">
        <v>125</v>
      </c>
      <c r="N338" s="1581"/>
      <c r="O338" s="1581"/>
      <c r="P338" s="1581">
        <f>L338-O338</f>
        <v>125</v>
      </c>
      <c r="Q338" s="1056">
        <f>2500*1.07</f>
        <v>2675</v>
      </c>
      <c r="R338" s="1611">
        <f>P338*Q338</f>
        <v>334375</v>
      </c>
      <c r="S338" s="1611">
        <f>R338*(I338/(I338+J338+K338))</f>
        <v>9508.2938388625589</v>
      </c>
      <c r="T338" s="1611">
        <f>R338-S338</f>
        <v>324866.70616113744</v>
      </c>
      <c r="U338" s="1580" t="s">
        <v>1763</v>
      </c>
    </row>
    <row r="339" spans="1:21">
      <c r="A339" s="1609">
        <v>281</v>
      </c>
      <c r="B339" s="1056" t="s">
        <v>1761</v>
      </c>
      <c r="C339" s="1579" t="s">
        <v>1764</v>
      </c>
      <c r="D339" s="1625" t="s">
        <v>1022</v>
      </c>
      <c r="E339" s="1581"/>
      <c r="F339" s="1581"/>
      <c r="G339" s="1581"/>
      <c r="H339" s="1581"/>
      <c r="I339" s="1609">
        <v>6</v>
      </c>
      <c r="J339" s="1609">
        <v>205</v>
      </c>
      <c r="K339" s="1581"/>
      <c r="L339" s="1625">
        <v>195</v>
      </c>
      <c r="M339" s="1625">
        <v>195</v>
      </c>
      <c r="N339" s="1581"/>
      <c r="O339" s="1581"/>
      <c r="P339" s="1581">
        <f>L339-O339</f>
        <v>195</v>
      </c>
      <c r="Q339" s="1056">
        <f>3500*1.07</f>
        <v>3745</v>
      </c>
      <c r="R339" s="1611">
        <f>P339*Q339</f>
        <v>730275</v>
      </c>
      <c r="S339" s="1611">
        <f>R339*(I339/(I339+J339+K339))</f>
        <v>20766.113744075828</v>
      </c>
      <c r="T339" s="1611">
        <f>R339-S339</f>
        <v>709508.88625592412</v>
      </c>
    </row>
    <row r="340" spans="1:21">
      <c r="A340" s="1609">
        <v>282</v>
      </c>
      <c r="B340" s="1056" t="s">
        <v>1761</v>
      </c>
      <c r="C340" s="1579" t="s">
        <v>1765</v>
      </c>
      <c r="D340" s="1625" t="s">
        <v>1022</v>
      </c>
      <c r="E340" s="1581"/>
      <c r="F340" s="1581"/>
      <c r="G340" s="1581"/>
      <c r="H340" s="1581"/>
      <c r="I340" s="1609">
        <v>6</v>
      </c>
      <c r="J340" s="1609">
        <v>205</v>
      </c>
      <c r="K340" s="1581"/>
      <c r="L340" s="1625">
        <v>20</v>
      </c>
      <c r="M340" s="1625">
        <v>20</v>
      </c>
      <c r="N340" s="1581"/>
      <c r="O340" s="1581"/>
      <c r="P340" s="1581">
        <f>L340-O340</f>
        <v>20</v>
      </c>
      <c r="Q340" s="1056">
        <f>7500*1.07</f>
        <v>8025.0000000000009</v>
      </c>
      <c r="R340" s="1611">
        <f>P340*Q340</f>
        <v>160500.00000000003</v>
      </c>
      <c r="S340" s="1611">
        <f>R340*(I340/(I340+J340+K340))</f>
        <v>4563.9810426540289</v>
      </c>
      <c r="T340" s="1611">
        <f>R340-S340</f>
        <v>155936.01895734601</v>
      </c>
    </row>
    <row r="341" spans="1:21" hidden="1">
      <c r="A341" s="1609"/>
      <c r="B341" s="1631"/>
      <c r="C341" s="1579"/>
      <c r="D341" s="1620"/>
      <c r="E341" s="1581"/>
      <c r="F341" s="1581"/>
      <c r="G341" s="1581"/>
      <c r="H341" s="1581"/>
      <c r="I341" s="1609"/>
      <c r="J341" s="1609"/>
      <c r="K341" s="1581"/>
      <c r="L341" s="1620"/>
      <c r="M341" s="1620"/>
      <c r="N341" s="1581"/>
      <c r="O341" s="1581"/>
      <c r="P341" s="1581"/>
      <c r="Q341" s="1581"/>
      <c r="R341" s="1611"/>
      <c r="S341" s="1611"/>
      <c r="T341" s="1611"/>
    </row>
    <row r="342" spans="1:21" hidden="1">
      <c r="A342" s="1609"/>
      <c r="B342" s="1631"/>
      <c r="C342" s="1579"/>
      <c r="D342" s="1620"/>
      <c r="E342" s="1581"/>
      <c r="F342" s="1581"/>
      <c r="G342" s="1581"/>
      <c r="H342" s="1581"/>
      <c r="I342" s="1609"/>
      <c r="J342" s="1609"/>
      <c r="K342" s="1581"/>
      <c r="L342" s="1620"/>
      <c r="M342" s="1620"/>
      <c r="N342" s="1581"/>
      <c r="O342" s="1581"/>
      <c r="P342" s="1581"/>
      <c r="Q342" s="1581"/>
      <c r="R342" s="1611"/>
      <c r="S342" s="1611"/>
      <c r="T342" s="1611"/>
    </row>
    <row r="343" spans="1:21" hidden="1">
      <c r="A343" s="1609"/>
      <c r="B343" s="1631"/>
      <c r="C343" s="1579"/>
      <c r="D343" s="1620"/>
      <c r="E343" s="1581"/>
      <c r="F343" s="1581"/>
      <c r="G343" s="1581"/>
      <c r="H343" s="1581"/>
      <c r="I343" s="1609"/>
      <c r="J343" s="1609"/>
      <c r="K343" s="1581"/>
      <c r="L343" s="1620"/>
      <c r="M343" s="1620"/>
      <c r="N343" s="1581"/>
      <c r="O343" s="1581"/>
      <c r="P343" s="1581"/>
      <c r="Q343" s="1581"/>
      <c r="R343" s="1611"/>
      <c r="S343" s="1611"/>
      <c r="T343" s="1611"/>
    </row>
    <row r="344" spans="1:21">
      <c r="A344" s="1581"/>
      <c r="B344" s="1602" t="s">
        <v>1766</v>
      </c>
      <c r="C344" s="1579"/>
      <c r="D344" s="1625"/>
      <c r="E344" s="1581"/>
      <c r="F344" s="1581"/>
      <c r="G344" s="1581"/>
      <c r="H344" s="1581"/>
      <c r="I344" s="1609"/>
      <c r="J344" s="1609"/>
      <c r="K344" s="1581"/>
      <c r="L344" s="1625"/>
      <c r="M344" s="1625"/>
      <c r="N344" s="1581"/>
      <c r="O344" s="1581"/>
      <c r="P344" s="1581"/>
      <c r="Q344" s="1581"/>
      <c r="R344" s="1617">
        <f>SUM(R345:R382)</f>
        <v>32404468.5</v>
      </c>
      <c r="S344" s="1617">
        <f>SUM(S345:S382)</f>
        <v>921454.08056872059</v>
      </c>
      <c r="T344" s="1617">
        <f>SUM(T345:T382)</f>
        <v>31483014.419431284</v>
      </c>
    </row>
    <row r="345" spans="1:21">
      <c r="A345" s="1581">
        <v>283</v>
      </c>
      <c r="B345" s="1648" t="s">
        <v>1767</v>
      </c>
      <c r="C345" s="1579" t="s">
        <v>1768</v>
      </c>
      <c r="D345" s="1625" t="s">
        <v>1022</v>
      </c>
      <c r="E345" s="1581"/>
      <c r="F345" s="1581"/>
      <c r="G345" s="1581"/>
      <c r="H345" s="1581"/>
      <c r="I345" s="1609">
        <v>6</v>
      </c>
      <c r="J345" s="1609">
        <v>205</v>
      </c>
      <c r="K345" s="1581"/>
      <c r="L345" s="1625">
        <v>24</v>
      </c>
      <c r="M345" s="1625">
        <v>24</v>
      </c>
      <c r="N345" s="1581"/>
      <c r="O345" s="1581"/>
      <c r="P345" s="1581">
        <f t="shared" ref="P345:P365" si="69">L345-O345</f>
        <v>24</v>
      </c>
      <c r="Q345" s="1581">
        <f>4900*1.07</f>
        <v>5243</v>
      </c>
      <c r="R345" s="1611">
        <f t="shared" ref="R345:R366" si="70">P345*Q345</f>
        <v>125832</v>
      </c>
      <c r="S345" s="1611">
        <f t="shared" ref="S345:S366" si="71">R345*(I345/(I345+J345+K345))</f>
        <v>3578.161137440758</v>
      </c>
      <c r="T345" s="1611">
        <f t="shared" ref="T345:T366" si="72">R345-S345</f>
        <v>122253.83886255925</v>
      </c>
    </row>
    <row r="346" spans="1:21" hidden="1">
      <c r="A346" s="1581">
        <v>326</v>
      </c>
      <c r="B346" s="1062" t="s">
        <v>1769</v>
      </c>
      <c r="C346" s="1579" t="s">
        <v>1770</v>
      </c>
      <c r="D346" s="1625" t="s">
        <v>1022</v>
      </c>
      <c r="E346" s="1581"/>
      <c r="F346" s="1581"/>
      <c r="G346" s="1581"/>
      <c r="H346" s="1581"/>
      <c r="I346" s="1609">
        <v>6</v>
      </c>
      <c r="J346" s="1609">
        <v>205</v>
      </c>
      <c r="K346" s="1581"/>
      <c r="L346" s="1625"/>
      <c r="M346" s="1625"/>
      <c r="N346" s="1581"/>
      <c r="O346" s="1581"/>
      <c r="P346" s="1581">
        <f t="shared" si="69"/>
        <v>0</v>
      </c>
      <c r="Q346" s="1581"/>
      <c r="R346" s="1611">
        <f t="shared" si="70"/>
        <v>0</v>
      </c>
      <c r="S346" s="1611">
        <f t="shared" si="71"/>
        <v>0</v>
      </c>
      <c r="T346" s="1611">
        <f t="shared" si="72"/>
        <v>0</v>
      </c>
    </row>
    <row r="347" spans="1:21" hidden="1">
      <c r="A347" s="1581">
        <v>333</v>
      </c>
      <c r="B347" s="1062" t="s">
        <v>1771</v>
      </c>
      <c r="C347" s="1579" t="s">
        <v>1772</v>
      </c>
      <c r="D347" s="1625" t="s">
        <v>1022</v>
      </c>
      <c r="E347" s="1581"/>
      <c r="F347" s="1581"/>
      <c r="G347" s="1581"/>
      <c r="H347" s="1581"/>
      <c r="I347" s="1609">
        <v>6</v>
      </c>
      <c r="J347" s="1609">
        <v>205</v>
      </c>
      <c r="K347" s="1581"/>
      <c r="L347" s="1579"/>
      <c r="M347" s="1579"/>
      <c r="N347" s="1581"/>
      <c r="O347" s="1581"/>
      <c r="P347" s="1581">
        <f t="shared" si="69"/>
        <v>0</v>
      </c>
      <c r="Q347" s="1581"/>
      <c r="R347" s="1611">
        <f t="shared" si="70"/>
        <v>0</v>
      </c>
      <c r="S347" s="1611">
        <f t="shared" si="71"/>
        <v>0</v>
      </c>
      <c r="T347" s="1611">
        <f t="shared" si="72"/>
        <v>0</v>
      </c>
    </row>
    <row r="348" spans="1:21">
      <c r="A348" s="1581">
        <v>284</v>
      </c>
      <c r="B348" s="1056" t="s">
        <v>1773</v>
      </c>
      <c r="C348" s="1649"/>
      <c r="D348" s="1625" t="s">
        <v>1022</v>
      </c>
      <c r="E348" s="1581"/>
      <c r="F348" s="1581"/>
      <c r="G348" s="1581"/>
      <c r="H348" s="1581"/>
      <c r="I348" s="1609">
        <v>6</v>
      </c>
      <c r="J348" s="1609">
        <v>205</v>
      </c>
      <c r="K348" s="1581"/>
      <c r="L348" s="1625">
        <v>331</v>
      </c>
      <c r="M348" s="1625">
        <v>331</v>
      </c>
      <c r="N348" s="1581"/>
      <c r="O348" s="1581"/>
      <c r="P348" s="1581">
        <f t="shared" si="69"/>
        <v>331</v>
      </c>
      <c r="Q348" s="1056">
        <f>8500*1.07</f>
        <v>9095</v>
      </c>
      <c r="R348" s="1611">
        <f t="shared" si="70"/>
        <v>3010445</v>
      </c>
      <c r="S348" s="1611">
        <f t="shared" si="71"/>
        <v>85605.071090047393</v>
      </c>
      <c r="T348" s="1611">
        <f t="shared" si="72"/>
        <v>2924839.9289099528</v>
      </c>
    </row>
    <row r="349" spans="1:21" ht="114.75">
      <c r="A349" s="1581">
        <v>285</v>
      </c>
      <c r="B349" s="1056" t="s">
        <v>1774</v>
      </c>
      <c r="C349" s="1579" t="s">
        <v>1775</v>
      </c>
      <c r="D349" s="1625" t="s">
        <v>1022</v>
      </c>
      <c r="E349" s="1581"/>
      <c r="F349" s="1581"/>
      <c r="G349" s="1581"/>
      <c r="H349" s="1581"/>
      <c r="I349" s="1609">
        <v>6</v>
      </c>
      <c r="J349" s="1609">
        <v>205</v>
      </c>
      <c r="K349" s="1581"/>
      <c r="L349" s="1625">
        <v>93</v>
      </c>
      <c r="M349" s="1625">
        <v>93</v>
      </c>
      <c r="N349" s="1581"/>
      <c r="O349" s="1581"/>
      <c r="P349" s="1581">
        <f t="shared" si="69"/>
        <v>93</v>
      </c>
      <c r="Q349" s="1056">
        <f>60000*1.07</f>
        <v>64200.000000000007</v>
      </c>
      <c r="R349" s="1611">
        <f t="shared" si="70"/>
        <v>5970600.0000000009</v>
      </c>
      <c r="S349" s="1611">
        <f t="shared" si="71"/>
        <v>169780.09478672987</v>
      </c>
      <c r="T349" s="1611">
        <f t="shared" si="72"/>
        <v>5800819.9052132713</v>
      </c>
    </row>
    <row r="350" spans="1:21" ht="140.25">
      <c r="A350" s="1581">
        <v>286</v>
      </c>
      <c r="B350" s="1056" t="s">
        <v>1776</v>
      </c>
      <c r="C350" s="1579" t="s">
        <v>1777</v>
      </c>
      <c r="D350" s="1625" t="s">
        <v>1022</v>
      </c>
      <c r="E350" s="1581"/>
      <c r="F350" s="1581"/>
      <c r="G350" s="1581"/>
      <c r="H350" s="1581"/>
      <c r="I350" s="1609">
        <v>6</v>
      </c>
      <c r="J350" s="1609">
        <v>205</v>
      </c>
      <c r="K350" s="1581"/>
      <c r="L350" s="1625">
        <v>7</v>
      </c>
      <c r="M350" s="1625">
        <v>7</v>
      </c>
      <c r="N350" s="1581"/>
      <c r="O350" s="1581"/>
      <c r="P350" s="1581">
        <f t="shared" si="69"/>
        <v>7</v>
      </c>
      <c r="Q350" s="1056">
        <f>27400*1.07</f>
        <v>29318</v>
      </c>
      <c r="R350" s="1611">
        <f t="shared" si="70"/>
        <v>205226</v>
      </c>
      <c r="S350" s="1611">
        <f t="shared" si="71"/>
        <v>5835.8104265402844</v>
      </c>
      <c r="T350" s="1611">
        <f t="shared" si="72"/>
        <v>199390.18957345971</v>
      </c>
    </row>
    <row r="351" spans="1:21">
      <c r="A351" s="1581">
        <v>287</v>
      </c>
      <c r="B351" s="1579" t="s">
        <v>1728</v>
      </c>
      <c r="C351" s="1579" t="s">
        <v>1778</v>
      </c>
      <c r="D351" s="1625" t="s">
        <v>1022</v>
      </c>
      <c r="E351" s="1581"/>
      <c r="F351" s="1581"/>
      <c r="G351" s="1581"/>
      <c r="H351" s="1581"/>
      <c r="I351" s="1609">
        <v>6</v>
      </c>
      <c r="J351" s="1609">
        <v>205</v>
      </c>
      <c r="K351" s="1581"/>
      <c r="L351" s="1535">
        <v>600</v>
      </c>
      <c r="M351" s="1535">
        <v>600</v>
      </c>
      <c r="N351" s="1581"/>
      <c r="O351" s="1581"/>
      <c r="P351" s="1581">
        <f t="shared" si="69"/>
        <v>600</v>
      </c>
      <c r="Q351" s="1581">
        <f>5460*1.07</f>
        <v>5842.2000000000007</v>
      </c>
      <c r="R351" s="1611">
        <f t="shared" si="70"/>
        <v>3505320.0000000005</v>
      </c>
      <c r="S351" s="1611">
        <f t="shared" si="71"/>
        <v>99677.345971563991</v>
      </c>
      <c r="T351" s="1611">
        <f t="shared" si="72"/>
        <v>3405642.6540284366</v>
      </c>
    </row>
    <row r="352" spans="1:21" ht="51">
      <c r="A352" s="1581">
        <v>288</v>
      </c>
      <c r="B352" s="1579" t="s">
        <v>1779</v>
      </c>
      <c r="C352" s="1579" t="s">
        <v>1780</v>
      </c>
      <c r="D352" s="1625" t="s">
        <v>1022</v>
      </c>
      <c r="E352" s="1581"/>
      <c r="F352" s="1581"/>
      <c r="G352" s="1581"/>
      <c r="H352" s="1581"/>
      <c r="I352" s="1609">
        <v>6</v>
      </c>
      <c r="J352" s="1609">
        <v>205</v>
      </c>
      <c r="K352" s="1581"/>
      <c r="L352" s="1535">
        <v>1</v>
      </c>
      <c r="M352" s="1535">
        <v>1</v>
      </c>
      <c r="N352" s="1581"/>
      <c r="O352" s="1581"/>
      <c r="P352" s="1581">
        <f t="shared" si="69"/>
        <v>1</v>
      </c>
      <c r="Q352" s="1581">
        <f>44570*1.07</f>
        <v>47689.9</v>
      </c>
      <c r="R352" s="1611">
        <f t="shared" si="70"/>
        <v>47689.9</v>
      </c>
      <c r="S352" s="1611">
        <f t="shared" si="71"/>
        <v>1356.1109004739337</v>
      </c>
      <c r="T352" s="1611">
        <f t="shared" si="72"/>
        <v>46333.789099526068</v>
      </c>
    </row>
    <row r="353" spans="1:20">
      <c r="A353" s="1581">
        <v>289</v>
      </c>
      <c r="B353" s="1056" t="s">
        <v>1781</v>
      </c>
      <c r="C353" s="1579" t="s">
        <v>1782</v>
      </c>
      <c r="D353" s="1625" t="s">
        <v>1022</v>
      </c>
      <c r="E353" s="1581"/>
      <c r="F353" s="1581"/>
      <c r="G353" s="1581"/>
      <c r="H353" s="1581"/>
      <c r="I353" s="1609">
        <v>6</v>
      </c>
      <c r="J353" s="1609">
        <v>205</v>
      </c>
      <c r="K353" s="1581"/>
      <c r="L353" s="1625">
        <v>2850</v>
      </c>
      <c r="M353" s="1625">
        <v>2850</v>
      </c>
      <c r="N353" s="1581"/>
      <c r="O353" s="1581"/>
      <c r="P353" s="1581">
        <f t="shared" si="69"/>
        <v>2850</v>
      </c>
      <c r="Q353" s="1056">
        <f>3500*1.07</f>
        <v>3745</v>
      </c>
      <c r="R353" s="1611">
        <f t="shared" si="70"/>
        <v>10673250</v>
      </c>
      <c r="S353" s="1611">
        <f t="shared" si="71"/>
        <v>303504.7393364929</v>
      </c>
      <c r="T353" s="1611">
        <f t="shared" si="72"/>
        <v>10369745.260663508</v>
      </c>
    </row>
    <row r="354" spans="1:20" ht="38.25">
      <c r="A354" s="1581">
        <v>290</v>
      </c>
      <c r="B354" s="1056" t="s">
        <v>1783</v>
      </c>
      <c r="C354" s="1634" t="s">
        <v>1784</v>
      </c>
      <c r="D354" s="1625" t="s">
        <v>1022</v>
      </c>
      <c r="E354" s="1581"/>
      <c r="F354" s="1581"/>
      <c r="G354" s="1581"/>
      <c r="H354" s="1581"/>
      <c r="I354" s="1609">
        <v>6</v>
      </c>
      <c r="J354" s="1609">
        <v>205</v>
      </c>
      <c r="K354" s="1581"/>
      <c r="L354" s="1625">
        <v>200</v>
      </c>
      <c r="M354" s="1625">
        <v>200</v>
      </c>
      <c r="N354" s="1581"/>
      <c r="O354" s="1581"/>
      <c r="P354" s="1581">
        <f t="shared" si="69"/>
        <v>200</v>
      </c>
      <c r="Q354" s="1583">
        <f>5199*1.07</f>
        <v>5562.93</v>
      </c>
      <c r="R354" s="1611">
        <f t="shared" si="70"/>
        <v>1112586</v>
      </c>
      <c r="S354" s="1611">
        <f t="shared" si="71"/>
        <v>31637.516587677725</v>
      </c>
      <c r="T354" s="1611">
        <f t="shared" si="72"/>
        <v>1080948.4834123224</v>
      </c>
    </row>
    <row r="355" spans="1:20" hidden="1">
      <c r="A355" s="1581">
        <v>331</v>
      </c>
      <c r="B355" s="1062" t="s">
        <v>1785</v>
      </c>
      <c r="C355" s="1579" t="s">
        <v>1786</v>
      </c>
      <c r="D355" s="1625" t="s">
        <v>1022</v>
      </c>
      <c r="E355" s="1581"/>
      <c r="F355" s="1581"/>
      <c r="G355" s="1581"/>
      <c r="H355" s="1581"/>
      <c r="I355" s="1609">
        <v>6</v>
      </c>
      <c r="J355" s="1609">
        <v>205</v>
      </c>
      <c r="K355" s="1581"/>
      <c r="L355" s="1579"/>
      <c r="M355" s="1579"/>
      <c r="N355" s="1581"/>
      <c r="O355" s="1581"/>
      <c r="P355" s="1581"/>
      <c r="Q355" s="1581"/>
      <c r="R355" s="1611">
        <f t="shared" si="70"/>
        <v>0</v>
      </c>
      <c r="S355" s="1611">
        <f t="shared" si="71"/>
        <v>0</v>
      </c>
      <c r="T355" s="1611">
        <f t="shared" si="72"/>
        <v>0</v>
      </c>
    </row>
    <row r="356" spans="1:20" hidden="1">
      <c r="A356" s="1581">
        <v>332</v>
      </c>
      <c r="B356" s="1062" t="s">
        <v>1787</v>
      </c>
      <c r="C356" s="1579" t="s">
        <v>1788</v>
      </c>
      <c r="D356" s="1625" t="s">
        <v>1022</v>
      </c>
      <c r="E356" s="1581"/>
      <c r="F356" s="1581"/>
      <c r="G356" s="1581"/>
      <c r="H356" s="1581"/>
      <c r="I356" s="1609">
        <v>6</v>
      </c>
      <c r="J356" s="1609">
        <v>205</v>
      </c>
      <c r="K356" s="1581"/>
      <c r="L356" s="1579"/>
      <c r="M356" s="1579"/>
      <c r="N356" s="1581"/>
      <c r="O356" s="1581"/>
      <c r="P356" s="1581"/>
      <c r="Q356" s="1581"/>
      <c r="R356" s="1611">
        <f t="shared" si="70"/>
        <v>0</v>
      </c>
      <c r="S356" s="1611">
        <f t="shared" si="71"/>
        <v>0</v>
      </c>
      <c r="T356" s="1611">
        <f t="shared" si="72"/>
        <v>0</v>
      </c>
    </row>
    <row r="357" spans="1:20" ht="25.5">
      <c r="A357" s="1581">
        <v>291</v>
      </c>
      <c r="B357" s="1583" t="s">
        <v>1789</v>
      </c>
      <c r="C357" s="1579" t="s">
        <v>1790</v>
      </c>
      <c r="D357" s="1625" t="s">
        <v>1022</v>
      </c>
      <c r="E357" s="1581"/>
      <c r="F357" s="1581"/>
      <c r="G357" s="1581"/>
      <c r="H357" s="1581"/>
      <c r="I357" s="1609">
        <v>6</v>
      </c>
      <c r="J357" s="1609">
        <v>205</v>
      </c>
      <c r="K357" s="1581"/>
      <c r="L357" s="1625">
        <v>8</v>
      </c>
      <c r="M357" s="1625">
        <v>8</v>
      </c>
      <c r="N357" s="1581"/>
      <c r="O357" s="1581"/>
      <c r="P357" s="1581">
        <f t="shared" si="69"/>
        <v>8</v>
      </c>
      <c r="Q357" s="1056">
        <f>20000*1.07</f>
        <v>21400</v>
      </c>
      <c r="R357" s="1611">
        <f t="shared" si="70"/>
        <v>171200</v>
      </c>
      <c r="S357" s="1611">
        <f t="shared" si="71"/>
        <v>4868.2464454976298</v>
      </c>
      <c r="T357" s="1611">
        <f t="shared" si="72"/>
        <v>166331.75355450236</v>
      </c>
    </row>
    <row r="358" spans="1:20" ht="51">
      <c r="A358" s="1581">
        <v>292</v>
      </c>
      <c r="B358" s="1579" t="s">
        <v>1791</v>
      </c>
      <c r="C358" s="1579" t="s">
        <v>1792</v>
      </c>
      <c r="D358" s="1625" t="s">
        <v>1022</v>
      </c>
      <c r="E358" s="1581"/>
      <c r="F358" s="1581"/>
      <c r="G358" s="1581"/>
      <c r="H358" s="1581"/>
      <c r="I358" s="1609">
        <v>6</v>
      </c>
      <c r="J358" s="1609">
        <v>205</v>
      </c>
      <c r="K358" s="1581"/>
      <c r="L358" s="1535">
        <v>1</v>
      </c>
      <c r="M358" s="1535">
        <v>1</v>
      </c>
      <c r="N358" s="1581"/>
      <c r="O358" s="1581"/>
      <c r="P358" s="1581">
        <f t="shared" si="69"/>
        <v>1</v>
      </c>
      <c r="Q358" s="1581">
        <f>156180*1.07</f>
        <v>167112.6</v>
      </c>
      <c r="R358" s="1611">
        <f t="shared" si="70"/>
        <v>167112.6</v>
      </c>
      <c r="S358" s="1611">
        <f t="shared" si="71"/>
        <v>4752.0170616113746</v>
      </c>
      <c r="T358" s="1611">
        <f t="shared" si="72"/>
        <v>162360.58293838863</v>
      </c>
    </row>
    <row r="359" spans="1:20" ht="25.5">
      <c r="A359" s="1581">
        <v>293</v>
      </c>
      <c r="B359" s="1535" t="s">
        <v>1793</v>
      </c>
      <c r="C359" s="1579" t="s">
        <v>1794</v>
      </c>
      <c r="D359" s="1625" t="s">
        <v>1022</v>
      </c>
      <c r="E359" s="1581"/>
      <c r="F359" s="1581"/>
      <c r="G359" s="1581"/>
      <c r="H359" s="1581"/>
      <c r="I359" s="1609">
        <v>6</v>
      </c>
      <c r="J359" s="1609">
        <v>205</v>
      </c>
      <c r="K359" s="1581"/>
      <c r="L359" s="1581">
        <v>36</v>
      </c>
      <c r="M359" s="1581">
        <v>36</v>
      </c>
      <c r="N359" s="1581"/>
      <c r="O359" s="1581"/>
      <c r="P359" s="1581">
        <f t="shared" si="69"/>
        <v>36</v>
      </c>
      <c r="Q359" s="1581">
        <f>23400*1.07</f>
        <v>25038</v>
      </c>
      <c r="R359" s="1611">
        <f t="shared" si="70"/>
        <v>901368</v>
      </c>
      <c r="S359" s="1611">
        <f t="shared" si="71"/>
        <v>25631.317535545022</v>
      </c>
      <c r="T359" s="1611">
        <f t="shared" si="72"/>
        <v>875736.68246445502</v>
      </c>
    </row>
    <row r="360" spans="1:20">
      <c r="A360" s="1581">
        <v>294</v>
      </c>
      <c r="B360" s="1062" t="s">
        <v>1793</v>
      </c>
      <c r="C360" s="1579" t="s">
        <v>1795</v>
      </c>
      <c r="D360" s="1625" t="s">
        <v>1022</v>
      </c>
      <c r="E360" s="1581"/>
      <c r="F360" s="1581"/>
      <c r="G360" s="1581"/>
      <c r="H360" s="1581"/>
      <c r="I360" s="1609">
        <v>6</v>
      </c>
      <c r="J360" s="1609">
        <v>205</v>
      </c>
      <c r="K360" s="1581"/>
      <c r="L360" s="1581">
        <v>120</v>
      </c>
      <c r="M360" s="1581">
        <v>120</v>
      </c>
      <c r="N360" s="1581"/>
      <c r="O360" s="1581"/>
      <c r="P360" s="1581">
        <f t="shared" si="69"/>
        <v>120</v>
      </c>
      <c r="Q360" s="1581">
        <f>3000*1.07</f>
        <v>3210</v>
      </c>
      <c r="R360" s="1611">
        <f t="shared" si="70"/>
        <v>385200</v>
      </c>
      <c r="S360" s="1611">
        <f t="shared" si="71"/>
        <v>10953.554502369669</v>
      </c>
      <c r="T360" s="1611">
        <f t="shared" si="72"/>
        <v>374246.44549763034</v>
      </c>
    </row>
    <row r="361" spans="1:20">
      <c r="A361" s="1581">
        <v>295</v>
      </c>
      <c r="B361" s="1062" t="s">
        <v>1793</v>
      </c>
      <c r="C361" s="1579" t="s">
        <v>1796</v>
      </c>
      <c r="D361" s="1625" t="s">
        <v>1022</v>
      </c>
      <c r="E361" s="1581"/>
      <c r="F361" s="1581"/>
      <c r="G361" s="1581"/>
      <c r="H361" s="1581"/>
      <c r="I361" s="1609">
        <v>6</v>
      </c>
      <c r="J361" s="1609">
        <v>205</v>
      </c>
      <c r="K361" s="1581"/>
      <c r="L361" s="1581">
        <v>120</v>
      </c>
      <c r="M361" s="1581">
        <v>120</v>
      </c>
      <c r="N361" s="1581"/>
      <c r="O361" s="1581"/>
      <c r="P361" s="1581">
        <f t="shared" si="69"/>
        <v>120</v>
      </c>
      <c r="Q361" s="1581">
        <f>3000*1.07</f>
        <v>3210</v>
      </c>
      <c r="R361" s="1611">
        <f t="shared" si="70"/>
        <v>385200</v>
      </c>
      <c r="S361" s="1611">
        <f t="shared" si="71"/>
        <v>10953.554502369669</v>
      </c>
      <c r="T361" s="1611">
        <f t="shared" si="72"/>
        <v>374246.44549763034</v>
      </c>
    </row>
    <row r="362" spans="1:20" hidden="1">
      <c r="A362" s="1581">
        <v>328</v>
      </c>
      <c r="B362" s="1062" t="s">
        <v>1797</v>
      </c>
      <c r="C362" s="1579" t="s">
        <v>1798</v>
      </c>
      <c r="D362" s="1625" t="s">
        <v>1022</v>
      </c>
      <c r="E362" s="1581"/>
      <c r="F362" s="1581"/>
      <c r="G362" s="1581"/>
      <c r="H362" s="1581"/>
      <c r="I362" s="1609">
        <v>6</v>
      </c>
      <c r="J362" s="1609">
        <v>205</v>
      </c>
      <c r="K362" s="1581"/>
      <c r="L362" s="1579"/>
      <c r="M362" s="1579"/>
      <c r="N362" s="1581"/>
      <c r="O362" s="1581"/>
      <c r="P362" s="1581"/>
      <c r="Q362" s="1581"/>
      <c r="R362" s="1611">
        <f t="shared" si="70"/>
        <v>0</v>
      </c>
      <c r="S362" s="1611">
        <f t="shared" si="71"/>
        <v>0</v>
      </c>
      <c r="T362" s="1611">
        <f t="shared" si="72"/>
        <v>0</v>
      </c>
    </row>
    <row r="363" spans="1:20" ht="17.25" hidden="1" customHeight="1">
      <c r="A363" s="1581">
        <v>329</v>
      </c>
      <c r="B363" s="1062" t="s">
        <v>1797</v>
      </c>
      <c r="C363" s="1579" t="s">
        <v>1799</v>
      </c>
      <c r="D363" s="1625" t="s">
        <v>1022</v>
      </c>
      <c r="E363" s="1581"/>
      <c r="F363" s="1581"/>
      <c r="G363" s="1581"/>
      <c r="H363" s="1581"/>
      <c r="I363" s="1609">
        <v>6</v>
      </c>
      <c r="J363" s="1609">
        <v>205</v>
      </c>
      <c r="K363" s="1581"/>
      <c r="L363" s="1579"/>
      <c r="M363" s="1579"/>
      <c r="N363" s="1581"/>
      <c r="O363" s="1581"/>
      <c r="P363" s="1581"/>
      <c r="Q363" s="1581"/>
      <c r="R363" s="1611">
        <f t="shared" si="70"/>
        <v>0</v>
      </c>
      <c r="S363" s="1611">
        <f t="shared" si="71"/>
        <v>0</v>
      </c>
      <c r="T363" s="1611">
        <f t="shared" si="72"/>
        <v>0</v>
      </c>
    </row>
    <row r="364" spans="1:20" ht="16.5" hidden="1" customHeight="1">
      <c r="A364" s="1581">
        <v>330</v>
      </c>
      <c r="B364" s="1062" t="s">
        <v>1800</v>
      </c>
      <c r="C364" s="1579" t="s">
        <v>1801</v>
      </c>
      <c r="D364" s="1625" t="s">
        <v>1022</v>
      </c>
      <c r="E364" s="1581"/>
      <c r="F364" s="1581"/>
      <c r="G364" s="1581"/>
      <c r="H364" s="1581"/>
      <c r="I364" s="1609">
        <v>6</v>
      </c>
      <c r="J364" s="1609">
        <v>205</v>
      </c>
      <c r="K364" s="1581"/>
      <c r="L364" s="1579"/>
      <c r="M364" s="1579"/>
      <c r="N364" s="1581"/>
      <c r="O364" s="1581"/>
      <c r="P364" s="1581"/>
      <c r="Q364" s="1581"/>
      <c r="R364" s="1611">
        <f t="shared" si="70"/>
        <v>0</v>
      </c>
      <c r="S364" s="1611">
        <f t="shared" si="71"/>
        <v>0</v>
      </c>
      <c r="T364" s="1611">
        <f t="shared" si="72"/>
        <v>0</v>
      </c>
    </row>
    <row r="365" spans="1:20">
      <c r="A365" s="1581">
        <v>296</v>
      </c>
      <c r="B365" s="1670" t="s">
        <v>1802</v>
      </c>
      <c r="C365" s="1670" t="s">
        <v>1803</v>
      </c>
      <c r="D365" s="1581" t="s">
        <v>1022</v>
      </c>
      <c r="E365" s="1671"/>
      <c r="F365" s="1671"/>
      <c r="G365" s="1671"/>
      <c r="H365" s="1671"/>
      <c r="I365" s="1672">
        <v>6</v>
      </c>
      <c r="J365" s="1672">
        <v>205</v>
      </c>
      <c r="K365" s="1671"/>
      <c r="L365" s="1671">
        <v>4</v>
      </c>
      <c r="M365" s="1671">
        <v>4</v>
      </c>
      <c r="N365" s="1671"/>
      <c r="O365" s="1671"/>
      <c r="P365" s="1671">
        <f t="shared" si="69"/>
        <v>4</v>
      </c>
      <c r="Q365" s="1671">
        <f>160000*1.07</f>
        <v>171200</v>
      </c>
      <c r="R365" s="1671">
        <f t="shared" si="70"/>
        <v>684800</v>
      </c>
      <c r="S365" s="1673">
        <f t="shared" si="71"/>
        <v>19472.985781990519</v>
      </c>
      <c r="T365" s="1611">
        <f t="shared" si="72"/>
        <v>665327.01421800943</v>
      </c>
    </row>
    <row r="366" spans="1:20" ht="18.75" hidden="1" customHeight="1">
      <c r="A366" s="1581">
        <v>327</v>
      </c>
      <c r="B366" s="1062" t="s">
        <v>1804</v>
      </c>
      <c r="C366" s="1579" t="s">
        <v>1805</v>
      </c>
      <c r="D366" s="1625" t="s">
        <v>1022</v>
      </c>
      <c r="E366" s="1581"/>
      <c r="F366" s="1581"/>
      <c r="G366" s="1581"/>
      <c r="H366" s="1581"/>
      <c r="I366" s="1609">
        <v>6</v>
      </c>
      <c r="J366" s="1609">
        <v>205</v>
      </c>
      <c r="K366" s="1581"/>
      <c r="L366" s="1581"/>
      <c r="M366" s="1581"/>
      <c r="N366" s="1581"/>
      <c r="O366" s="1581"/>
      <c r="P366" s="1581"/>
      <c r="Q366" s="1581"/>
      <c r="R366" s="1611">
        <f t="shared" si="70"/>
        <v>0</v>
      </c>
      <c r="S366" s="1611">
        <f t="shared" si="71"/>
        <v>0</v>
      </c>
      <c r="T366" s="1611">
        <f t="shared" si="72"/>
        <v>0</v>
      </c>
    </row>
    <row r="367" spans="1:20" ht="89.25">
      <c r="A367" s="1581">
        <v>297</v>
      </c>
      <c r="B367" s="1579" t="s">
        <v>1806</v>
      </c>
      <c r="C367" s="1579" t="s">
        <v>1807</v>
      </c>
      <c r="D367" s="1625" t="s">
        <v>1022</v>
      </c>
      <c r="E367" s="1581"/>
      <c r="F367" s="1581"/>
      <c r="G367" s="1581"/>
      <c r="H367" s="1581"/>
      <c r="I367" s="1609">
        <v>6</v>
      </c>
      <c r="J367" s="1609">
        <v>205</v>
      </c>
      <c r="K367" s="1581"/>
      <c r="L367" s="1625">
        <v>111</v>
      </c>
      <c r="M367" s="1625">
        <v>111</v>
      </c>
      <c r="N367" s="1581"/>
      <c r="O367" s="1581"/>
      <c r="P367" s="1581">
        <f t="shared" ref="P367:P382" si="73">L367-O367</f>
        <v>111</v>
      </c>
      <c r="Q367" s="1581">
        <f>20500*1.07</f>
        <v>21935</v>
      </c>
      <c r="R367" s="1611">
        <f t="shared" ref="R367:R382" si="74">P367*Q367</f>
        <v>2434785</v>
      </c>
      <c r="S367" s="1611">
        <f t="shared" ref="S367:S382" si="75">R367*(I367/(I367+J367+K367))</f>
        <v>69235.592417061605</v>
      </c>
      <c r="T367" s="1611">
        <f t="shared" ref="T367:T382" si="76">R367-S367</f>
        <v>2365549.4075829382</v>
      </c>
    </row>
    <row r="368" spans="1:20">
      <c r="A368" s="1609">
        <v>298</v>
      </c>
      <c r="B368" s="1674" t="s">
        <v>1808</v>
      </c>
      <c r="C368" s="1579" t="s">
        <v>1809</v>
      </c>
      <c r="D368" s="1610" t="s">
        <v>1022</v>
      </c>
      <c r="E368" s="1581"/>
      <c r="F368" s="1581"/>
      <c r="G368" s="1581"/>
      <c r="H368" s="1581"/>
      <c r="I368" s="1609">
        <v>6</v>
      </c>
      <c r="J368" s="1609">
        <v>205</v>
      </c>
      <c r="K368" s="1581"/>
      <c r="L368" s="1610">
        <v>80</v>
      </c>
      <c r="M368" s="1610">
        <v>80</v>
      </c>
      <c r="N368" s="1581"/>
      <c r="O368" s="1581"/>
      <c r="P368" s="1581">
        <f t="shared" si="73"/>
        <v>80</v>
      </c>
      <c r="Q368" s="1581">
        <f>250*1.07</f>
        <v>267.5</v>
      </c>
      <c r="R368" s="1611">
        <f t="shared" si="74"/>
        <v>21400</v>
      </c>
      <c r="S368" s="1611">
        <f t="shared" si="75"/>
        <v>608.53080568720372</v>
      </c>
      <c r="T368" s="1611">
        <f t="shared" si="76"/>
        <v>20791.469194312795</v>
      </c>
    </row>
    <row r="369" spans="1:20" ht="32.25" customHeight="1">
      <c r="A369" s="1581">
        <v>299</v>
      </c>
      <c r="B369" s="1622" t="s">
        <v>1810</v>
      </c>
      <c r="C369" s="1579" t="s">
        <v>1811</v>
      </c>
      <c r="D369" s="1622" t="s">
        <v>1022</v>
      </c>
      <c r="E369" s="1581"/>
      <c r="F369" s="1581"/>
      <c r="G369" s="1581"/>
      <c r="H369" s="1581"/>
      <c r="I369" s="1609">
        <v>6</v>
      </c>
      <c r="J369" s="1609">
        <v>205</v>
      </c>
      <c r="K369" s="1581"/>
      <c r="L369" s="1610">
        <v>2</v>
      </c>
      <c r="M369" s="1610">
        <v>2</v>
      </c>
      <c r="N369" s="1581"/>
      <c r="O369" s="1581"/>
      <c r="P369" s="1581">
        <f t="shared" si="73"/>
        <v>2</v>
      </c>
      <c r="Q369" s="1581">
        <f>4500*1.07</f>
        <v>4815</v>
      </c>
      <c r="R369" s="1611">
        <f t="shared" si="74"/>
        <v>9630</v>
      </c>
      <c r="S369" s="1611">
        <f t="shared" si="75"/>
        <v>273.8388625592417</v>
      </c>
      <c r="T369" s="1611">
        <f t="shared" si="76"/>
        <v>9356.1611374407585</v>
      </c>
    </row>
    <row r="370" spans="1:20">
      <c r="A370" s="1609">
        <v>300</v>
      </c>
      <c r="B370" s="1618" t="s">
        <v>1812</v>
      </c>
      <c r="C370" s="1579" t="s">
        <v>1813</v>
      </c>
      <c r="D370" s="1618" t="s">
        <v>1022</v>
      </c>
      <c r="E370" s="1581"/>
      <c r="F370" s="1581"/>
      <c r="G370" s="1581"/>
      <c r="H370" s="1581"/>
      <c r="I370" s="1609">
        <v>6</v>
      </c>
      <c r="J370" s="1609">
        <v>205</v>
      </c>
      <c r="K370" s="1581"/>
      <c r="L370" s="1618">
        <v>6</v>
      </c>
      <c r="M370" s="1618">
        <v>6</v>
      </c>
      <c r="N370" s="1581"/>
      <c r="O370" s="1581"/>
      <c r="P370" s="1581">
        <f t="shared" si="73"/>
        <v>6</v>
      </c>
      <c r="Q370" s="1581">
        <f>18000*1.07</f>
        <v>19260</v>
      </c>
      <c r="R370" s="1611">
        <f t="shared" si="74"/>
        <v>115560</v>
      </c>
      <c r="S370" s="1611">
        <f t="shared" si="75"/>
        <v>3286.0663507109002</v>
      </c>
      <c r="T370" s="1611">
        <f t="shared" si="76"/>
        <v>112273.9336492891</v>
      </c>
    </row>
    <row r="371" spans="1:20">
      <c r="A371" s="1581">
        <v>301</v>
      </c>
      <c r="B371" s="1618" t="s">
        <v>1812</v>
      </c>
      <c r="C371" s="1579" t="s">
        <v>1814</v>
      </c>
      <c r="D371" s="1618" t="s">
        <v>1022</v>
      </c>
      <c r="E371" s="1581"/>
      <c r="F371" s="1581"/>
      <c r="G371" s="1581"/>
      <c r="H371" s="1581"/>
      <c r="I371" s="1609">
        <v>6</v>
      </c>
      <c r="J371" s="1609">
        <v>205</v>
      </c>
      <c r="K371" s="1581"/>
      <c r="L371" s="1618">
        <v>3</v>
      </c>
      <c r="M371" s="1618">
        <v>3</v>
      </c>
      <c r="N371" s="1581"/>
      <c r="O371" s="1581"/>
      <c r="P371" s="1581">
        <f t="shared" si="73"/>
        <v>3</v>
      </c>
      <c r="Q371" s="1581">
        <f>25000*1.07</f>
        <v>26750</v>
      </c>
      <c r="R371" s="1611">
        <f t="shared" si="74"/>
        <v>80250</v>
      </c>
      <c r="S371" s="1611">
        <f t="shared" si="75"/>
        <v>2281.990521327014</v>
      </c>
      <c r="T371" s="1611">
        <f t="shared" si="76"/>
        <v>77968.00947867299</v>
      </c>
    </row>
    <row r="372" spans="1:20" ht="38.25">
      <c r="A372" s="1609">
        <v>302</v>
      </c>
      <c r="B372" s="1619" t="s">
        <v>1815</v>
      </c>
      <c r="C372" s="917" t="s">
        <v>1816</v>
      </c>
      <c r="D372" s="1619" t="s">
        <v>1268</v>
      </c>
      <c r="E372" s="1581"/>
      <c r="F372" s="1609"/>
      <c r="G372" s="1609"/>
      <c r="H372" s="1609"/>
      <c r="I372" s="1609">
        <v>6</v>
      </c>
      <c r="J372" s="1609">
        <v>205</v>
      </c>
      <c r="K372" s="1609"/>
      <c r="L372" s="1619">
        <v>7</v>
      </c>
      <c r="M372" s="1619">
        <v>7</v>
      </c>
      <c r="N372" s="1609"/>
      <c r="O372" s="1609"/>
      <c r="P372" s="1581">
        <f t="shared" si="73"/>
        <v>7</v>
      </c>
      <c r="Q372" s="1609">
        <f>27000*1.07</f>
        <v>28890</v>
      </c>
      <c r="R372" s="1611">
        <f t="shared" si="74"/>
        <v>202230</v>
      </c>
      <c r="S372" s="1611">
        <f t="shared" si="75"/>
        <v>5750.6161137440758</v>
      </c>
      <c r="T372" s="1611">
        <f t="shared" si="76"/>
        <v>196479.38388625594</v>
      </c>
    </row>
    <row r="373" spans="1:20">
      <c r="A373" s="1581">
        <v>303</v>
      </c>
      <c r="B373" s="1618" t="s">
        <v>1817</v>
      </c>
      <c r="C373" s="1579" t="s">
        <v>1818</v>
      </c>
      <c r="D373" s="1618" t="s">
        <v>1268</v>
      </c>
      <c r="E373" s="1581"/>
      <c r="F373" s="1581"/>
      <c r="G373" s="1581"/>
      <c r="H373" s="1581"/>
      <c r="I373" s="1609">
        <v>6</v>
      </c>
      <c r="J373" s="1609">
        <v>205</v>
      </c>
      <c r="K373" s="1581"/>
      <c r="L373" s="1618">
        <v>6</v>
      </c>
      <c r="M373" s="1618">
        <v>6</v>
      </c>
      <c r="N373" s="1581"/>
      <c r="O373" s="1581"/>
      <c r="P373" s="1581">
        <f t="shared" si="73"/>
        <v>6</v>
      </c>
      <c r="Q373" s="1581">
        <f>25000*1.07</f>
        <v>26750</v>
      </c>
      <c r="R373" s="1611">
        <f t="shared" si="74"/>
        <v>160500</v>
      </c>
      <c r="S373" s="1611">
        <f t="shared" si="75"/>
        <v>4563.981042654028</v>
      </c>
      <c r="T373" s="1611">
        <f t="shared" si="76"/>
        <v>155936.01895734598</v>
      </c>
    </row>
    <row r="374" spans="1:20" ht="25.5">
      <c r="A374" s="1609">
        <v>304</v>
      </c>
      <c r="B374" s="1619" t="s">
        <v>1819</v>
      </c>
      <c r="C374" s="1614" t="s">
        <v>1820</v>
      </c>
      <c r="D374" s="1619" t="s">
        <v>1268</v>
      </c>
      <c r="E374" s="1581"/>
      <c r="F374" s="1609"/>
      <c r="G374" s="1609"/>
      <c r="H374" s="1609"/>
      <c r="I374" s="1609">
        <v>6</v>
      </c>
      <c r="J374" s="1609">
        <v>205</v>
      </c>
      <c r="K374" s="1609"/>
      <c r="L374" s="1619">
        <v>4</v>
      </c>
      <c r="M374" s="1619">
        <v>4</v>
      </c>
      <c r="N374" s="1609"/>
      <c r="O374" s="1609"/>
      <c r="P374" s="1581">
        <f t="shared" si="73"/>
        <v>4</v>
      </c>
      <c r="Q374" s="1609">
        <f>20000*1.07</f>
        <v>21400</v>
      </c>
      <c r="R374" s="1611">
        <f t="shared" si="74"/>
        <v>85600</v>
      </c>
      <c r="S374" s="1611">
        <f t="shared" si="75"/>
        <v>2434.1232227488149</v>
      </c>
      <c r="T374" s="1611">
        <f t="shared" si="76"/>
        <v>83165.876777251178</v>
      </c>
    </row>
    <row r="375" spans="1:20">
      <c r="A375" s="1581">
        <v>305</v>
      </c>
      <c r="B375" s="1618" t="s">
        <v>1821</v>
      </c>
      <c r="C375" s="1621" t="s">
        <v>1822</v>
      </c>
      <c r="D375" s="1618" t="s">
        <v>1022</v>
      </c>
      <c r="E375" s="1581"/>
      <c r="F375" s="1581"/>
      <c r="G375" s="1581"/>
      <c r="H375" s="1581"/>
      <c r="I375" s="1609">
        <v>6</v>
      </c>
      <c r="J375" s="1609">
        <v>205</v>
      </c>
      <c r="K375" s="1581"/>
      <c r="L375" s="1618">
        <v>3</v>
      </c>
      <c r="M375" s="1618">
        <v>3</v>
      </c>
      <c r="N375" s="1581"/>
      <c r="O375" s="1581"/>
      <c r="P375" s="1581">
        <f t="shared" si="73"/>
        <v>3</v>
      </c>
      <c r="Q375" s="1581">
        <f>25000*1.07</f>
        <v>26750</v>
      </c>
      <c r="R375" s="1611">
        <f t="shared" si="74"/>
        <v>80250</v>
      </c>
      <c r="S375" s="1611">
        <f t="shared" si="75"/>
        <v>2281.990521327014</v>
      </c>
      <c r="T375" s="1611">
        <f t="shared" si="76"/>
        <v>77968.00947867299</v>
      </c>
    </row>
    <row r="376" spans="1:20">
      <c r="A376" s="1609">
        <v>306</v>
      </c>
      <c r="B376" s="1619" t="s">
        <v>1823</v>
      </c>
      <c r="C376" s="917" t="s">
        <v>1824</v>
      </c>
      <c r="D376" s="1619" t="s">
        <v>1022</v>
      </c>
      <c r="E376" s="1581"/>
      <c r="F376" s="1609"/>
      <c r="G376" s="1609"/>
      <c r="H376" s="1609"/>
      <c r="I376" s="1609">
        <v>6</v>
      </c>
      <c r="J376" s="1609">
        <v>205</v>
      </c>
      <c r="K376" s="1609"/>
      <c r="L376" s="1619">
        <v>4</v>
      </c>
      <c r="M376" s="1619">
        <v>4</v>
      </c>
      <c r="N376" s="1609"/>
      <c r="O376" s="1609"/>
      <c r="P376" s="1581">
        <f t="shared" si="73"/>
        <v>4</v>
      </c>
      <c r="Q376" s="1609">
        <f>50000*1.07</f>
        <v>53500</v>
      </c>
      <c r="R376" s="1611">
        <f t="shared" si="74"/>
        <v>214000</v>
      </c>
      <c r="S376" s="1611">
        <f t="shared" si="75"/>
        <v>6085.3080568720379</v>
      </c>
      <c r="T376" s="1611">
        <f t="shared" si="76"/>
        <v>207914.69194312795</v>
      </c>
    </row>
    <row r="377" spans="1:20">
      <c r="A377" s="1581">
        <v>307</v>
      </c>
      <c r="B377" s="1618" t="s">
        <v>1825</v>
      </c>
      <c r="C377" s="1579"/>
      <c r="D377" s="1618" t="s">
        <v>1268</v>
      </c>
      <c r="E377" s="1581"/>
      <c r="F377" s="1581"/>
      <c r="G377" s="1581"/>
      <c r="H377" s="1581"/>
      <c r="I377" s="1609">
        <v>6</v>
      </c>
      <c r="J377" s="1609">
        <v>205</v>
      </c>
      <c r="K377" s="1581"/>
      <c r="L377" s="1618">
        <v>6</v>
      </c>
      <c r="M377" s="1618">
        <v>6</v>
      </c>
      <c r="N377" s="1581"/>
      <c r="O377" s="1581"/>
      <c r="P377" s="1581">
        <f t="shared" si="73"/>
        <v>6</v>
      </c>
      <c r="Q377" s="1609">
        <f>50000*1.07</f>
        <v>53500</v>
      </c>
      <c r="R377" s="1611">
        <f t="shared" si="74"/>
        <v>321000</v>
      </c>
      <c r="S377" s="1611">
        <f t="shared" si="75"/>
        <v>9127.962085308056</v>
      </c>
      <c r="T377" s="1611">
        <f t="shared" si="76"/>
        <v>311872.03791469196</v>
      </c>
    </row>
    <row r="378" spans="1:20" ht="89.25">
      <c r="A378" s="1609">
        <v>308</v>
      </c>
      <c r="B378" s="1619" t="s">
        <v>1826</v>
      </c>
      <c r="C378" s="1579" t="s">
        <v>1827</v>
      </c>
      <c r="D378" s="1619" t="s">
        <v>1022</v>
      </c>
      <c r="E378" s="1581"/>
      <c r="F378" s="1609"/>
      <c r="G378" s="1609"/>
      <c r="H378" s="1609"/>
      <c r="I378" s="1609">
        <v>6</v>
      </c>
      <c r="J378" s="1609">
        <v>205</v>
      </c>
      <c r="K378" s="1609"/>
      <c r="L378" s="1619">
        <v>4</v>
      </c>
      <c r="M378" s="1619">
        <v>4</v>
      </c>
      <c r="N378" s="1609"/>
      <c r="O378" s="1609"/>
      <c r="P378" s="1581">
        <f t="shared" si="73"/>
        <v>4</v>
      </c>
      <c r="Q378" s="1609">
        <f>25000*1.07</f>
        <v>26750</v>
      </c>
      <c r="R378" s="1611">
        <f t="shared" si="74"/>
        <v>107000</v>
      </c>
      <c r="S378" s="1611">
        <f t="shared" si="75"/>
        <v>3042.654028436019</v>
      </c>
      <c r="T378" s="1611">
        <f t="shared" si="76"/>
        <v>103957.34597156398</v>
      </c>
    </row>
    <row r="379" spans="1:20" ht="76.5">
      <c r="A379" s="1581">
        <v>309</v>
      </c>
      <c r="B379" s="1619" t="s">
        <v>1828</v>
      </c>
      <c r="C379" s="917" t="s">
        <v>1829</v>
      </c>
      <c r="D379" s="1619" t="s">
        <v>1268</v>
      </c>
      <c r="E379" s="1581"/>
      <c r="F379" s="1609"/>
      <c r="G379" s="1609"/>
      <c r="H379" s="1609"/>
      <c r="I379" s="1609">
        <v>6</v>
      </c>
      <c r="J379" s="1609">
        <v>205</v>
      </c>
      <c r="K379" s="1609"/>
      <c r="L379" s="1619">
        <v>4</v>
      </c>
      <c r="M379" s="1619">
        <v>4</v>
      </c>
      <c r="N379" s="1609"/>
      <c r="O379" s="1609"/>
      <c r="P379" s="1581">
        <f t="shared" si="73"/>
        <v>4</v>
      </c>
      <c r="Q379" s="1609">
        <f>80000*1.07</f>
        <v>85600</v>
      </c>
      <c r="R379" s="1611">
        <f t="shared" si="74"/>
        <v>342400</v>
      </c>
      <c r="S379" s="1611">
        <f t="shared" si="75"/>
        <v>9736.4928909952596</v>
      </c>
      <c r="T379" s="1611">
        <f t="shared" si="76"/>
        <v>332663.50710900471</v>
      </c>
    </row>
    <row r="380" spans="1:20" ht="38.25">
      <c r="A380" s="1609">
        <v>310</v>
      </c>
      <c r="B380" s="917" t="s">
        <v>1830</v>
      </c>
      <c r="C380" s="917" t="s">
        <v>1831</v>
      </c>
      <c r="D380" s="1619" t="s">
        <v>1268</v>
      </c>
      <c r="E380" s="1581"/>
      <c r="F380" s="1609"/>
      <c r="G380" s="1609"/>
      <c r="H380" s="1609"/>
      <c r="I380" s="1609">
        <v>6</v>
      </c>
      <c r="J380" s="1609">
        <v>205</v>
      </c>
      <c r="K380" s="1609"/>
      <c r="L380" s="1679">
        <v>121</v>
      </c>
      <c r="M380" s="1679">
        <v>121</v>
      </c>
      <c r="N380" s="1609"/>
      <c r="O380" s="1609"/>
      <c r="P380" s="1581">
        <f t="shared" si="73"/>
        <v>121</v>
      </c>
      <c r="Q380" s="1056">
        <f>4500*1.07</f>
        <v>4815</v>
      </c>
      <c r="R380" s="1611">
        <f t="shared" si="74"/>
        <v>582615</v>
      </c>
      <c r="S380" s="1611">
        <f t="shared" si="75"/>
        <v>16567.251184834124</v>
      </c>
      <c r="T380" s="1611">
        <f t="shared" si="76"/>
        <v>566047.74881516583</v>
      </c>
    </row>
    <row r="381" spans="1:20">
      <c r="A381" s="1581">
        <v>311</v>
      </c>
      <c r="B381" s="917" t="s">
        <v>1832</v>
      </c>
      <c r="C381" s="917" t="s">
        <v>1833</v>
      </c>
      <c r="D381" s="1619" t="s">
        <v>1268</v>
      </c>
      <c r="E381" s="1581"/>
      <c r="F381" s="1609"/>
      <c r="G381" s="1609"/>
      <c r="H381" s="1609"/>
      <c r="I381" s="1609">
        <v>6</v>
      </c>
      <c r="J381" s="1609">
        <v>205</v>
      </c>
      <c r="K381" s="1609"/>
      <c r="L381" s="1679">
        <v>121</v>
      </c>
      <c r="M381" s="1679">
        <v>121</v>
      </c>
      <c r="N381" s="1609"/>
      <c r="O381" s="1609"/>
      <c r="P381" s="1581">
        <f t="shared" si="73"/>
        <v>121</v>
      </c>
      <c r="Q381" s="1056">
        <f>900*1.07</f>
        <v>963</v>
      </c>
      <c r="R381" s="1611">
        <f t="shared" si="74"/>
        <v>116523</v>
      </c>
      <c r="S381" s="1611">
        <f t="shared" si="75"/>
        <v>3313.4502369668244</v>
      </c>
      <c r="T381" s="1611">
        <f t="shared" si="76"/>
        <v>113209.54976303318</v>
      </c>
    </row>
    <row r="382" spans="1:20" ht="25.5">
      <c r="A382" s="1609">
        <v>312</v>
      </c>
      <c r="B382" s="917" t="s">
        <v>1834</v>
      </c>
      <c r="C382" s="917" t="s">
        <v>1835</v>
      </c>
      <c r="D382" s="1619" t="s">
        <v>1268</v>
      </c>
      <c r="E382" s="1581"/>
      <c r="F382" s="1609"/>
      <c r="G382" s="1609"/>
      <c r="H382" s="1609"/>
      <c r="I382" s="1609">
        <v>6</v>
      </c>
      <c r="J382" s="1609">
        <v>205</v>
      </c>
      <c r="K382" s="1609"/>
      <c r="L382" s="1612">
        <v>36</v>
      </c>
      <c r="M382" s="1612">
        <v>36</v>
      </c>
      <c r="N382" s="1609"/>
      <c r="O382" s="1609"/>
      <c r="P382" s="1581">
        <f t="shared" si="73"/>
        <v>36</v>
      </c>
      <c r="Q382" s="1056">
        <f>4800*1.07</f>
        <v>5136</v>
      </c>
      <c r="R382" s="1611">
        <f t="shared" si="74"/>
        <v>184896</v>
      </c>
      <c r="S382" s="1611">
        <f t="shared" si="75"/>
        <v>5257.7061611374402</v>
      </c>
      <c r="T382" s="1611">
        <f t="shared" si="76"/>
        <v>179638.29383886256</v>
      </c>
    </row>
    <row r="383" spans="1:20">
      <c r="A383" s="1636"/>
      <c r="B383" s="1638"/>
      <c r="C383" s="924"/>
      <c r="D383" s="1638"/>
      <c r="F383" s="1636"/>
      <c r="G383" s="1636"/>
      <c r="H383" s="1636"/>
      <c r="I383" s="1636"/>
      <c r="J383" s="1636"/>
      <c r="K383" s="1636"/>
      <c r="L383" s="1638"/>
      <c r="M383" s="1638"/>
      <c r="N383" s="1636"/>
      <c r="O383" s="1636"/>
      <c r="Q383" s="1636"/>
      <c r="R383" s="1639"/>
      <c r="S383" s="1639"/>
      <c r="T383" s="1639"/>
    </row>
    <row r="384" spans="1:20">
      <c r="B384" s="524" t="s">
        <v>330</v>
      </c>
      <c r="C384" s="120"/>
      <c r="D384" s="120"/>
      <c r="E384" s="1644"/>
      <c r="G384" s="1644" t="s">
        <v>369</v>
      </c>
    </row>
    <row r="385" spans="1:7">
      <c r="B385" s="524"/>
      <c r="C385" s="120"/>
      <c r="D385" s="120"/>
      <c r="E385" s="1644"/>
      <c r="G385" s="1644"/>
    </row>
    <row r="386" spans="1:7">
      <c r="B386" s="524" t="s">
        <v>547</v>
      </c>
      <c r="C386" s="524"/>
      <c r="D386" s="120"/>
      <c r="E386" s="1641"/>
    </row>
    <row r="387" spans="1:7">
      <c r="B387" s="524" t="s">
        <v>548</v>
      </c>
      <c r="C387" s="524"/>
      <c r="D387" s="120"/>
      <c r="E387" s="1641"/>
      <c r="G387" s="1641" t="s">
        <v>374</v>
      </c>
    </row>
    <row r="388" spans="1:7">
      <c r="B388" s="524"/>
      <c r="C388" s="524"/>
      <c r="D388" s="120"/>
      <c r="E388" s="1641"/>
      <c r="G388" s="1650"/>
    </row>
    <row r="389" spans="1:7">
      <c r="B389" s="524" t="s">
        <v>375</v>
      </c>
      <c r="C389" s="1650"/>
      <c r="D389" s="1650"/>
      <c r="E389" s="1650"/>
      <c r="G389" s="1641" t="s">
        <v>376</v>
      </c>
    </row>
    <row r="391" spans="1:7">
      <c r="A391" s="1580">
        <v>1</v>
      </c>
      <c r="B391" s="1580" t="s">
        <v>1836</v>
      </c>
    </row>
    <row r="392" spans="1:7">
      <c r="A392" s="1580">
        <v>2</v>
      </c>
      <c r="B392" s="1580" t="s">
        <v>1837</v>
      </c>
      <c r="C392" s="357" t="s">
        <v>1838</v>
      </c>
      <c r="D392" s="1580" t="s">
        <v>1839</v>
      </c>
    </row>
    <row r="393" spans="1:7">
      <c r="A393" s="1580">
        <v>3</v>
      </c>
      <c r="B393" s="1580" t="s">
        <v>1837</v>
      </c>
      <c r="C393" s="357" t="s">
        <v>1840</v>
      </c>
      <c r="D393" s="1580" t="s">
        <v>1841</v>
      </c>
    </row>
    <row r="394" spans="1:7" ht="25.5">
      <c r="A394" s="1580">
        <v>4</v>
      </c>
      <c r="B394" s="1580" t="s">
        <v>1842</v>
      </c>
      <c r="C394" s="357" t="s">
        <v>1843</v>
      </c>
    </row>
    <row r="395" spans="1:7" ht="25.5">
      <c r="A395" s="1580">
        <v>5</v>
      </c>
      <c r="B395" s="1580" t="s">
        <v>1675</v>
      </c>
      <c r="C395" s="357" t="s">
        <v>1844</v>
      </c>
    </row>
    <row r="396" spans="1:7">
      <c r="A396" s="1580">
        <v>6</v>
      </c>
      <c r="B396" s="1580" t="s">
        <v>1845</v>
      </c>
      <c r="C396" s="357" t="s">
        <v>1846</v>
      </c>
    </row>
    <row r="397" spans="1:7" ht="45" customHeight="1">
      <c r="A397" s="1580">
        <v>7</v>
      </c>
      <c r="B397" s="1580" t="s">
        <v>1675</v>
      </c>
      <c r="C397" s="357" t="s">
        <v>1847</v>
      </c>
    </row>
    <row r="398" spans="1:7">
      <c r="A398" s="1580">
        <v>8</v>
      </c>
      <c r="B398" s="1580" t="s">
        <v>1848</v>
      </c>
      <c r="C398" s="357" t="s">
        <v>1849</v>
      </c>
      <c r="D398" s="1580" t="s">
        <v>1395</v>
      </c>
    </row>
    <row r="399" spans="1:7">
      <c r="A399" s="1580">
        <v>9</v>
      </c>
      <c r="B399" s="1580" t="s">
        <v>1850</v>
      </c>
      <c r="C399" s="357" t="s">
        <v>1851</v>
      </c>
      <c r="D399" s="1580" t="s">
        <v>1016</v>
      </c>
    </row>
    <row r="400" spans="1:7">
      <c r="A400" s="1580">
        <v>10</v>
      </c>
      <c r="B400" s="1580" t="s">
        <v>1852</v>
      </c>
      <c r="C400" s="357" t="s">
        <v>1853</v>
      </c>
      <c r="D400" s="1580" t="s">
        <v>1587</v>
      </c>
    </row>
    <row r="401" spans="1:8">
      <c r="A401" s="1580">
        <v>11</v>
      </c>
      <c r="B401" s="1580" t="s">
        <v>1854</v>
      </c>
      <c r="C401" s="357" t="s">
        <v>1855</v>
      </c>
      <c r="D401" s="1580" t="s">
        <v>1022</v>
      </c>
    </row>
    <row r="402" spans="1:8">
      <c r="A402" s="1580">
        <v>12</v>
      </c>
      <c r="B402" s="1580" t="s">
        <v>1856</v>
      </c>
      <c r="C402" s="357" t="s">
        <v>1857</v>
      </c>
      <c r="D402" s="1580" t="s">
        <v>1022</v>
      </c>
    </row>
    <row r="403" spans="1:8">
      <c r="A403" s="1580">
        <v>13</v>
      </c>
      <c r="B403" s="1580" t="s">
        <v>1444</v>
      </c>
      <c r="C403" s="357" t="s">
        <v>1858</v>
      </c>
      <c r="D403" s="1580" t="s">
        <v>1395</v>
      </c>
    </row>
    <row r="404" spans="1:8" hidden="1">
      <c r="A404" s="1580">
        <v>14</v>
      </c>
      <c r="C404" s="357" t="s">
        <v>1859</v>
      </c>
      <c r="D404" s="1580" t="s">
        <v>1860</v>
      </c>
      <c r="E404" s="1580" t="s">
        <v>469</v>
      </c>
      <c r="F404" s="1580" t="s">
        <v>1861</v>
      </c>
      <c r="G404" s="1580" t="s">
        <v>1196</v>
      </c>
    </row>
    <row r="405" spans="1:8" hidden="1">
      <c r="A405" s="1580">
        <v>15</v>
      </c>
      <c r="B405" s="1056" t="s">
        <v>1781</v>
      </c>
      <c r="C405" s="1056">
        <v>330</v>
      </c>
      <c r="D405" s="1581">
        <v>1050</v>
      </c>
      <c r="E405" s="1581">
        <v>1050</v>
      </c>
      <c r="G405" s="1535">
        <v>420</v>
      </c>
      <c r="H405" s="1651">
        <f t="shared" ref="H405:H411" si="77">C405+D405+E405+F405+G405</f>
        <v>2850</v>
      </c>
    </row>
    <row r="406" spans="1:8" hidden="1">
      <c r="A406" s="1580">
        <v>16</v>
      </c>
      <c r="B406" s="1056" t="s">
        <v>1862</v>
      </c>
      <c r="C406" s="1056">
        <v>5</v>
      </c>
      <c r="D406" s="1579">
        <v>24</v>
      </c>
      <c r="E406" s="1579">
        <v>31</v>
      </c>
      <c r="G406" s="1535">
        <v>33</v>
      </c>
      <c r="H406" s="1651">
        <f t="shared" si="77"/>
        <v>93</v>
      </c>
    </row>
    <row r="407" spans="1:8" hidden="1">
      <c r="A407" s="1580">
        <v>17</v>
      </c>
      <c r="B407" s="1056" t="s">
        <v>1863</v>
      </c>
      <c r="C407" s="1056">
        <v>45</v>
      </c>
      <c r="D407" s="1579">
        <v>65</v>
      </c>
      <c r="E407" s="1535">
        <v>65</v>
      </c>
      <c r="F407" s="1582">
        <v>65</v>
      </c>
      <c r="G407" s="1535">
        <v>91</v>
      </c>
      <c r="H407" s="1651">
        <f t="shared" si="77"/>
        <v>331</v>
      </c>
    </row>
    <row r="408" spans="1:8" hidden="1">
      <c r="A408" s="1580">
        <v>18</v>
      </c>
      <c r="B408" s="1583" t="s">
        <v>1864</v>
      </c>
      <c r="C408" s="1056">
        <v>2</v>
      </c>
      <c r="D408" s="1579">
        <v>2</v>
      </c>
      <c r="E408" s="1579">
        <v>2</v>
      </c>
      <c r="G408" s="1535">
        <v>2</v>
      </c>
      <c r="H408" s="1651">
        <f t="shared" si="77"/>
        <v>8</v>
      </c>
    </row>
    <row r="409" spans="1:8" hidden="1">
      <c r="A409" s="1580">
        <v>19</v>
      </c>
      <c r="B409" s="1056" t="s">
        <v>1865</v>
      </c>
      <c r="C409" s="1056">
        <v>45</v>
      </c>
      <c r="D409" s="1535">
        <v>10</v>
      </c>
      <c r="E409" s="1579"/>
      <c r="G409" s="1535">
        <v>70</v>
      </c>
      <c r="H409" s="1651">
        <f t="shared" si="77"/>
        <v>125</v>
      </c>
    </row>
    <row r="410" spans="1:8" hidden="1">
      <c r="A410" s="1580">
        <v>20</v>
      </c>
      <c r="B410" s="1056" t="s">
        <v>1866</v>
      </c>
      <c r="C410" s="1056">
        <v>45</v>
      </c>
      <c r="D410" s="1579">
        <v>50</v>
      </c>
      <c r="E410" s="1535">
        <v>10</v>
      </c>
      <c r="F410" s="1580">
        <v>10</v>
      </c>
      <c r="G410" s="1535">
        <v>80</v>
      </c>
      <c r="H410" s="1651">
        <f t="shared" si="77"/>
        <v>195</v>
      </c>
    </row>
    <row r="411" spans="1:8" hidden="1">
      <c r="A411" s="1580">
        <v>21</v>
      </c>
      <c r="B411" s="1056" t="s">
        <v>1776</v>
      </c>
      <c r="C411" s="1056">
        <v>1</v>
      </c>
      <c r="D411" s="1584">
        <v>2</v>
      </c>
      <c r="E411" s="1579">
        <v>2</v>
      </c>
      <c r="G411" s="1584">
        <v>2</v>
      </c>
      <c r="H411" s="1651">
        <f t="shared" si="77"/>
        <v>7</v>
      </c>
    </row>
    <row r="412" spans="1:8" hidden="1">
      <c r="A412" s="1580">
        <v>22</v>
      </c>
      <c r="B412" s="1580" t="s">
        <v>1867</v>
      </c>
      <c r="E412" s="1580">
        <v>10</v>
      </c>
      <c r="F412" s="1580">
        <v>10</v>
      </c>
    </row>
    <row r="413" spans="1:8" ht="25.5" hidden="1">
      <c r="A413" s="1580">
        <v>23</v>
      </c>
      <c r="B413" s="1062" t="s">
        <v>1868</v>
      </c>
      <c r="C413" s="1579" t="s">
        <v>1022</v>
      </c>
      <c r="D413" s="1579">
        <v>14</v>
      </c>
      <c r="E413" s="1580">
        <v>10</v>
      </c>
      <c r="F413" s="1580">
        <f>D413+E413</f>
        <v>24</v>
      </c>
    </row>
    <row r="414" spans="1:8" ht="25.5" hidden="1">
      <c r="A414" s="1580">
        <v>24</v>
      </c>
      <c r="B414" s="1062" t="s">
        <v>1869</v>
      </c>
      <c r="C414" s="1579" t="s">
        <v>1022</v>
      </c>
      <c r="D414" s="1579">
        <v>3</v>
      </c>
      <c r="F414" s="1580">
        <f t="shared" ref="F414:F424" si="78">D414+E414</f>
        <v>3</v>
      </c>
    </row>
    <row r="415" spans="1:8" hidden="1">
      <c r="A415" s="1580">
        <v>25</v>
      </c>
      <c r="B415" s="1062" t="s">
        <v>1870</v>
      </c>
      <c r="C415" s="1579" t="s">
        <v>1022</v>
      </c>
      <c r="D415" s="1579">
        <v>3000</v>
      </c>
      <c r="F415" s="1580">
        <f t="shared" si="78"/>
        <v>3000</v>
      </c>
    </row>
    <row r="416" spans="1:8" ht="25.5" hidden="1">
      <c r="A416" s="1580">
        <v>26</v>
      </c>
      <c r="B416" s="1062" t="s">
        <v>1871</v>
      </c>
      <c r="C416" s="1579" t="s">
        <v>1022</v>
      </c>
      <c r="D416" s="1579">
        <v>12</v>
      </c>
      <c r="F416" s="1580">
        <f t="shared" si="78"/>
        <v>12</v>
      </c>
    </row>
    <row r="417" spans="1:6" ht="25.5" hidden="1">
      <c r="A417" s="1580">
        <v>27</v>
      </c>
      <c r="B417" s="1062" t="s">
        <v>1872</v>
      </c>
      <c r="C417" s="1579" t="s">
        <v>1022</v>
      </c>
      <c r="D417" s="1579">
        <v>12</v>
      </c>
      <c r="F417" s="1580">
        <f t="shared" si="78"/>
        <v>12</v>
      </c>
    </row>
    <row r="418" spans="1:6" ht="25.5" hidden="1">
      <c r="A418" s="1580">
        <v>28</v>
      </c>
      <c r="B418" s="1062" t="s">
        <v>1873</v>
      </c>
      <c r="C418" s="1579" t="s">
        <v>1022</v>
      </c>
      <c r="D418" s="1579">
        <v>14</v>
      </c>
      <c r="F418" s="1580">
        <f t="shared" si="78"/>
        <v>14</v>
      </c>
    </row>
    <row r="419" spans="1:6" ht="25.5" hidden="1">
      <c r="A419" s="1580">
        <v>29</v>
      </c>
      <c r="B419" s="1062" t="s">
        <v>1874</v>
      </c>
      <c r="C419" s="1579" t="s">
        <v>1022</v>
      </c>
      <c r="D419" s="1579">
        <v>48</v>
      </c>
      <c r="F419" s="1580">
        <f t="shared" si="78"/>
        <v>48</v>
      </c>
    </row>
    <row r="420" spans="1:6" ht="25.5" hidden="1">
      <c r="A420" s="1580">
        <v>30</v>
      </c>
      <c r="B420" s="1062" t="s">
        <v>1875</v>
      </c>
      <c r="C420" s="1579" t="s">
        <v>1022</v>
      </c>
      <c r="D420" s="1579">
        <v>1</v>
      </c>
      <c r="F420" s="1580">
        <f t="shared" si="78"/>
        <v>1</v>
      </c>
    </row>
    <row r="421" spans="1:6" ht="25.5" hidden="1">
      <c r="A421" s="1580">
        <v>31</v>
      </c>
      <c r="B421" s="1062" t="s">
        <v>1876</v>
      </c>
      <c r="C421" s="1579" t="s">
        <v>1022</v>
      </c>
      <c r="D421" s="1579">
        <v>1</v>
      </c>
      <c r="F421" s="1580">
        <f t="shared" si="78"/>
        <v>1</v>
      </c>
    </row>
    <row r="422" spans="1:6" ht="25.5" hidden="1">
      <c r="A422" s="1580">
        <v>32</v>
      </c>
      <c r="B422" s="1062" t="s">
        <v>1877</v>
      </c>
      <c r="C422" s="1579" t="s">
        <v>1022</v>
      </c>
      <c r="D422" s="1579">
        <v>60</v>
      </c>
      <c r="E422" s="1580">
        <v>60</v>
      </c>
      <c r="F422" s="1580">
        <f t="shared" si="78"/>
        <v>120</v>
      </c>
    </row>
    <row r="423" spans="1:6" ht="25.5" hidden="1">
      <c r="A423" s="1580">
        <v>33</v>
      </c>
      <c r="B423" s="1062" t="s">
        <v>1878</v>
      </c>
      <c r="C423" s="1579" t="s">
        <v>1022</v>
      </c>
      <c r="D423" s="1579">
        <v>60</v>
      </c>
      <c r="E423" s="1580">
        <v>60</v>
      </c>
      <c r="F423" s="1580">
        <f t="shared" si="78"/>
        <v>120</v>
      </c>
    </row>
    <row r="424" spans="1:6" hidden="1">
      <c r="A424" s="1580">
        <v>34</v>
      </c>
      <c r="B424" s="1535" t="s">
        <v>1879</v>
      </c>
      <c r="C424" s="1579" t="s">
        <v>1268</v>
      </c>
      <c r="D424" s="1535">
        <v>36</v>
      </c>
      <c r="F424" s="1580">
        <f t="shared" si="78"/>
        <v>36</v>
      </c>
    </row>
    <row r="425" spans="1:6" hidden="1">
      <c r="A425" s="1580">
        <v>35</v>
      </c>
      <c r="B425" s="1535"/>
      <c r="C425" s="1579"/>
      <c r="D425" s="1535"/>
    </row>
    <row r="426" spans="1:6">
      <c r="A426" s="1580">
        <v>36</v>
      </c>
      <c r="B426" s="357" t="s">
        <v>1444</v>
      </c>
      <c r="C426" s="357" t="s">
        <v>1880</v>
      </c>
      <c r="D426" s="1580" t="s">
        <v>1022</v>
      </c>
    </row>
    <row r="427" spans="1:6">
      <c r="A427" s="1580">
        <v>37</v>
      </c>
      <c r="B427" s="357" t="s">
        <v>1881</v>
      </c>
      <c r="C427" s="357" t="s">
        <v>1882</v>
      </c>
      <c r="D427" s="1580" t="s">
        <v>1022</v>
      </c>
    </row>
    <row r="428" spans="1:6">
      <c r="A428" s="1580">
        <v>38</v>
      </c>
      <c r="B428" s="357" t="s">
        <v>1883</v>
      </c>
      <c r="C428" s="357" t="s">
        <v>1884</v>
      </c>
    </row>
    <row r="429" spans="1:6">
      <c r="A429" s="1580">
        <v>39</v>
      </c>
      <c r="B429" s="357" t="s">
        <v>1885</v>
      </c>
      <c r="C429" s="357" t="s">
        <v>1886</v>
      </c>
      <c r="D429" s="1580" t="s">
        <v>1022</v>
      </c>
    </row>
    <row r="430" spans="1:6">
      <c r="A430" s="1580">
        <v>40</v>
      </c>
      <c r="B430" s="357" t="s">
        <v>1887</v>
      </c>
      <c r="C430" s="357" t="s">
        <v>1888</v>
      </c>
    </row>
    <row r="431" spans="1:6">
      <c r="A431" s="1580">
        <v>41</v>
      </c>
      <c r="B431" s="357" t="s">
        <v>1889</v>
      </c>
      <c r="C431" s="357" t="s">
        <v>1890</v>
      </c>
    </row>
    <row r="432" spans="1:6">
      <c r="A432" s="1580">
        <v>42</v>
      </c>
      <c r="B432" s="357" t="s">
        <v>1891</v>
      </c>
      <c r="C432" s="357" t="s">
        <v>1892</v>
      </c>
    </row>
    <row r="433" spans="1:5">
      <c r="A433" s="1580">
        <v>43</v>
      </c>
      <c r="B433" s="357" t="s">
        <v>1893</v>
      </c>
      <c r="C433" s="357" t="s">
        <v>1894</v>
      </c>
    </row>
    <row r="434" spans="1:5">
      <c r="A434" s="1580">
        <v>44</v>
      </c>
      <c r="B434" s="357" t="s">
        <v>1895</v>
      </c>
      <c r="C434" s="357" t="s">
        <v>1896</v>
      </c>
    </row>
    <row r="435" spans="1:5" ht="38.25">
      <c r="A435" s="1580">
        <v>45</v>
      </c>
      <c r="B435" s="357" t="s">
        <v>1897</v>
      </c>
      <c r="C435" s="357" t="s">
        <v>1898</v>
      </c>
    </row>
    <row r="436" spans="1:5">
      <c r="A436" s="1580">
        <v>46</v>
      </c>
      <c r="B436" s="357" t="s">
        <v>1899</v>
      </c>
      <c r="C436" s="357" t="s">
        <v>1900</v>
      </c>
      <c r="D436" s="1580" t="s">
        <v>1016</v>
      </c>
    </row>
    <row r="437" spans="1:5" ht="25.5">
      <c r="A437" s="1580">
        <v>47</v>
      </c>
      <c r="B437" s="357" t="s">
        <v>1901</v>
      </c>
      <c r="C437" s="357" t="s">
        <v>1902</v>
      </c>
      <c r="D437" s="1580" t="s">
        <v>1290</v>
      </c>
    </row>
    <row r="438" spans="1:5" ht="25.5">
      <c r="A438" s="1580">
        <v>48</v>
      </c>
      <c r="B438" s="357" t="s">
        <v>1903</v>
      </c>
      <c r="C438" s="357" t="s">
        <v>1904</v>
      </c>
      <c r="D438" s="1580" t="s">
        <v>1022</v>
      </c>
    </row>
    <row r="439" spans="1:5" ht="25.5">
      <c r="A439" s="1580">
        <v>49</v>
      </c>
      <c r="B439" s="357" t="s">
        <v>1905</v>
      </c>
      <c r="C439" s="357" t="s">
        <v>1906</v>
      </c>
    </row>
    <row r="440" spans="1:5">
      <c r="A440" s="1580">
        <v>50</v>
      </c>
      <c r="B440" s="1580" t="s">
        <v>1907</v>
      </c>
      <c r="C440" s="357" t="s">
        <v>1908</v>
      </c>
      <c r="D440" s="1580" t="s">
        <v>1909</v>
      </c>
    </row>
    <row r="441" spans="1:5">
      <c r="A441" s="1580">
        <v>51</v>
      </c>
      <c r="B441" s="357" t="s">
        <v>1910</v>
      </c>
      <c r="C441" s="357" t="s">
        <v>1911</v>
      </c>
      <c r="D441" s="1580" t="s">
        <v>1022</v>
      </c>
      <c r="E441" s="1580" t="s">
        <v>1912</v>
      </c>
    </row>
    <row r="442" spans="1:5" ht="25.5">
      <c r="A442" s="1580">
        <v>52</v>
      </c>
      <c r="B442" s="357" t="s">
        <v>1913</v>
      </c>
      <c r="D442" s="1580" t="s">
        <v>1914</v>
      </c>
    </row>
    <row r="443" spans="1:5">
      <c r="A443" s="1580">
        <v>53</v>
      </c>
      <c r="B443" s="357" t="s">
        <v>1915</v>
      </c>
      <c r="C443" s="357" t="s">
        <v>1916</v>
      </c>
      <c r="D443" s="1580" t="s">
        <v>1022</v>
      </c>
    </row>
    <row r="444" spans="1:5">
      <c r="A444" s="1580">
        <v>54</v>
      </c>
      <c r="B444" s="357" t="s">
        <v>1917</v>
      </c>
      <c r="C444" s="357" t="s">
        <v>1918</v>
      </c>
      <c r="D444" s="1580" t="s">
        <v>1914</v>
      </c>
    </row>
    <row r="445" spans="1:5">
      <c r="A445" s="1580">
        <v>55</v>
      </c>
      <c r="B445" s="357" t="s">
        <v>1919</v>
      </c>
      <c r="C445" s="357" t="s">
        <v>1920</v>
      </c>
      <c r="D445" s="1580" t="s">
        <v>1022</v>
      </c>
    </row>
    <row r="446" spans="1:5">
      <c r="A446" s="1580">
        <v>56</v>
      </c>
      <c r="B446" s="357" t="s">
        <v>1921</v>
      </c>
      <c r="C446" s="357" t="s">
        <v>1922</v>
      </c>
      <c r="D446" s="1580" t="s">
        <v>1022</v>
      </c>
    </row>
    <row r="447" spans="1:5" ht="25.5">
      <c r="A447" s="1580">
        <v>57</v>
      </c>
      <c r="B447" s="357" t="s">
        <v>1923</v>
      </c>
      <c r="C447" s="357" t="s">
        <v>1924</v>
      </c>
      <c r="D447" s="1580" t="s">
        <v>1914</v>
      </c>
    </row>
    <row r="448" spans="1:5" ht="25.5">
      <c r="A448" s="1580">
        <v>58</v>
      </c>
      <c r="B448" s="357" t="s">
        <v>1925</v>
      </c>
      <c r="C448" s="357" t="s">
        <v>1926</v>
      </c>
      <c r="D448" s="1580" t="s">
        <v>1022</v>
      </c>
    </row>
    <row r="449" spans="1:5" ht="25.5">
      <c r="A449" s="1580">
        <v>59</v>
      </c>
      <c r="B449" s="357" t="s">
        <v>1927</v>
      </c>
      <c r="C449" s="357" t="s">
        <v>1928</v>
      </c>
      <c r="D449" s="1580" t="s">
        <v>1022</v>
      </c>
    </row>
    <row r="450" spans="1:5">
      <c r="A450" s="1580">
        <v>60</v>
      </c>
      <c r="B450" s="357" t="s">
        <v>1929</v>
      </c>
      <c r="C450" s="357" t="s">
        <v>1930</v>
      </c>
      <c r="D450" s="1580" t="s">
        <v>1022</v>
      </c>
    </row>
    <row r="451" spans="1:5">
      <c r="A451" s="1580">
        <v>61</v>
      </c>
      <c r="B451" s="357" t="s">
        <v>1931</v>
      </c>
      <c r="C451" s="357" t="s">
        <v>1932</v>
      </c>
      <c r="D451" s="1580" t="s">
        <v>1933</v>
      </c>
    </row>
    <row r="452" spans="1:5">
      <c r="A452" s="1580">
        <v>62</v>
      </c>
      <c r="B452" s="357" t="s">
        <v>1934</v>
      </c>
      <c r="C452" s="357" t="s">
        <v>1935</v>
      </c>
      <c r="D452" s="1580" t="s">
        <v>1022</v>
      </c>
    </row>
    <row r="453" spans="1:5" ht="25.5">
      <c r="A453" s="1580">
        <v>63</v>
      </c>
      <c r="B453" s="357" t="s">
        <v>1934</v>
      </c>
      <c r="C453" s="357" t="s">
        <v>1936</v>
      </c>
      <c r="D453" s="1580" t="s">
        <v>1022</v>
      </c>
    </row>
    <row r="454" spans="1:5">
      <c r="A454" s="1580">
        <v>64</v>
      </c>
      <c r="B454" s="357" t="s">
        <v>1320</v>
      </c>
      <c r="C454" s="357" t="s">
        <v>1937</v>
      </c>
    </row>
    <row r="455" spans="1:5" ht="25.5">
      <c r="A455" s="1580">
        <v>65</v>
      </c>
      <c r="B455" s="357" t="s">
        <v>1938</v>
      </c>
      <c r="C455" s="357" t="s">
        <v>1939</v>
      </c>
      <c r="D455" s="1580" t="s">
        <v>1940</v>
      </c>
    </row>
    <row r="456" spans="1:5" ht="25.5">
      <c r="A456" s="1580">
        <v>66</v>
      </c>
      <c r="B456" s="357" t="s">
        <v>1941</v>
      </c>
      <c r="C456" s="357" t="s">
        <v>1942</v>
      </c>
    </row>
    <row r="457" spans="1:5" ht="25.5">
      <c r="A457" s="1580">
        <v>67</v>
      </c>
      <c r="B457" s="357" t="s">
        <v>1943</v>
      </c>
      <c r="D457" s="1580" t="s">
        <v>1022</v>
      </c>
    </row>
    <row r="458" spans="1:5" ht="25.5">
      <c r="A458" s="1580">
        <v>68</v>
      </c>
      <c r="B458" s="357" t="s">
        <v>1944</v>
      </c>
      <c r="D458" s="1580" t="s">
        <v>1022</v>
      </c>
    </row>
    <row r="459" spans="1:5">
      <c r="A459" s="1580">
        <v>69</v>
      </c>
      <c r="B459" s="357" t="s">
        <v>1945</v>
      </c>
      <c r="D459" s="1580" t="s">
        <v>1022</v>
      </c>
    </row>
    <row r="460" spans="1:5">
      <c r="A460" s="1580">
        <v>70</v>
      </c>
      <c r="B460" s="357" t="s">
        <v>1946</v>
      </c>
      <c r="C460" s="357" t="s">
        <v>1947</v>
      </c>
      <c r="D460" s="1580" t="s">
        <v>1022</v>
      </c>
    </row>
    <row r="461" spans="1:5">
      <c r="A461" s="1580">
        <v>71</v>
      </c>
      <c r="B461" s="357" t="s">
        <v>1724</v>
      </c>
      <c r="C461" s="357" t="s">
        <v>1948</v>
      </c>
    </row>
    <row r="462" spans="1:5">
      <c r="A462" s="1580">
        <v>72</v>
      </c>
      <c r="B462" s="1638" t="s">
        <v>1435</v>
      </c>
      <c r="C462" s="357" t="s">
        <v>1949</v>
      </c>
    </row>
    <row r="463" spans="1:5">
      <c r="A463" s="1580">
        <v>73</v>
      </c>
      <c r="B463" s="357" t="s">
        <v>1950</v>
      </c>
      <c r="C463" s="357" t="s">
        <v>1951</v>
      </c>
    </row>
    <row r="464" spans="1:5">
      <c r="A464" s="1580">
        <v>74</v>
      </c>
      <c r="B464" s="357" t="s">
        <v>1952</v>
      </c>
      <c r="C464" s="357" t="s">
        <v>1953</v>
      </c>
      <c r="E464" s="1580" t="s">
        <v>1954</v>
      </c>
    </row>
    <row r="465" spans="1:4">
      <c r="A465" s="1580">
        <v>75</v>
      </c>
      <c r="B465" s="1643" t="s">
        <v>1706</v>
      </c>
      <c r="C465" s="357" t="s">
        <v>1955</v>
      </c>
    </row>
    <row r="466" spans="1:4">
      <c r="A466" s="1580">
        <v>76</v>
      </c>
      <c r="B466" s="357" t="s">
        <v>1956</v>
      </c>
      <c r="C466" s="357" t="s">
        <v>1957</v>
      </c>
      <c r="D466" s="1580" t="s">
        <v>1022</v>
      </c>
    </row>
    <row r="467" spans="1:4">
      <c r="A467" s="1580">
        <v>77</v>
      </c>
      <c r="B467" s="357" t="s">
        <v>1710</v>
      </c>
      <c r="D467" s="1580" t="s">
        <v>1411</v>
      </c>
    </row>
    <row r="468" spans="1:4">
      <c r="A468" s="1580">
        <v>78</v>
      </c>
      <c r="B468" s="357" t="s">
        <v>1958</v>
      </c>
      <c r="C468" s="357" t="s">
        <v>1959</v>
      </c>
      <c r="D468" s="1580" t="s">
        <v>1022</v>
      </c>
    </row>
    <row r="469" spans="1:4">
      <c r="A469" s="1580">
        <v>79</v>
      </c>
      <c r="B469" s="1580" t="s">
        <v>1958</v>
      </c>
      <c r="C469" s="357" t="s">
        <v>1960</v>
      </c>
      <c r="D469" s="1580" t="s">
        <v>1022</v>
      </c>
    </row>
    <row r="470" spans="1:4">
      <c r="A470" s="1580">
        <v>80</v>
      </c>
      <c r="B470" s="1580" t="s">
        <v>1961</v>
      </c>
    </row>
    <row r="471" spans="1:4">
      <c r="A471" s="1580">
        <v>81</v>
      </c>
      <c r="B471" s="1580" t="s">
        <v>1962</v>
      </c>
      <c r="C471" s="357" t="s">
        <v>1963</v>
      </c>
      <c r="D471" s="1580" t="s">
        <v>1022</v>
      </c>
    </row>
    <row r="472" spans="1:4">
      <c r="A472" s="1580">
        <v>82</v>
      </c>
      <c r="B472" s="1580" t="s">
        <v>1964</v>
      </c>
      <c r="C472" s="357" t="s">
        <v>1965</v>
      </c>
    </row>
    <row r="473" spans="1:4">
      <c r="A473" s="1580">
        <v>83</v>
      </c>
      <c r="B473" s="1580" t="s">
        <v>1966</v>
      </c>
    </row>
    <row r="474" spans="1:4">
      <c r="A474" s="1580">
        <v>84</v>
      </c>
      <c r="B474" s="1580" t="s">
        <v>1967</v>
      </c>
      <c r="C474" s="357" t="s">
        <v>1968</v>
      </c>
      <c r="D474" s="1580" t="s">
        <v>1022</v>
      </c>
    </row>
    <row r="475" spans="1:4">
      <c r="A475" s="1580">
        <v>85</v>
      </c>
      <c r="B475" s="1580" t="s">
        <v>1969</v>
      </c>
      <c r="C475" s="357" t="s">
        <v>1970</v>
      </c>
    </row>
    <row r="476" spans="1:4">
      <c r="B476" s="1580" t="s">
        <v>1971</v>
      </c>
      <c r="D476" s="1580" t="s">
        <v>1022</v>
      </c>
    </row>
    <row r="477" spans="1:4">
      <c r="B477" s="1580" t="s">
        <v>1972</v>
      </c>
      <c r="C477" s="357" t="s">
        <v>1963</v>
      </c>
      <c r="D477" s="1580" t="s">
        <v>1022</v>
      </c>
    </row>
    <row r="478" spans="1:4">
      <c r="B478" s="1580" t="s">
        <v>1972</v>
      </c>
      <c r="C478" s="357" t="s">
        <v>1973</v>
      </c>
      <c r="D478" s="1580" t="s">
        <v>1022</v>
      </c>
    </row>
    <row r="479" spans="1:4">
      <c r="B479" s="1580" t="s">
        <v>1974</v>
      </c>
      <c r="C479" s="357" t="s">
        <v>1975</v>
      </c>
      <c r="D479" s="1580" t="s">
        <v>1022</v>
      </c>
    </row>
    <row r="480" spans="1:4">
      <c r="B480" s="1580" t="s">
        <v>1976</v>
      </c>
      <c r="C480" s="357" t="s">
        <v>1975</v>
      </c>
      <c r="D480" s="1580" t="s">
        <v>1022</v>
      </c>
    </row>
    <row r="481" spans="2:4">
      <c r="B481" s="1580" t="s">
        <v>1977</v>
      </c>
      <c r="C481" s="357" t="s">
        <v>1978</v>
      </c>
      <c r="D481" s="1580" t="s">
        <v>1022</v>
      </c>
    </row>
    <row r="482" spans="2:4">
      <c r="B482" s="1580" t="s">
        <v>1979</v>
      </c>
    </row>
    <row r="483" spans="2:4">
      <c r="B483" s="1580" t="s">
        <v>1980</v>
      </c>
      <c r="C483" s="357" t="s">
        <v>1978</v>
      </c>
      <c r="D483" s="1580" t="s">
        <v>1022</v>
      </c>
    </row>
    <row r="484" spans="2:4">
      <c r="B484" s="357" t="s">
        <v>1981</v>
      </c>
      <c r="C484" s="357" t="s">
        <v>1982</v>
      </c>
      <c r="D484" s="1580" t="s">
        <v>1525</v>
      </c>
    </row>
    <row r="485" spans="2:4">
      <c r="B485" s="357" t="s">
        <v>1983</v>
      </c>
      <c r="C485" s="357" t="s">
        <v>1984</v>
      </c>
      <c r="D485" s="1580" t="s">
        <v>1525</v>
      </c>
    </row>
    <row r="486" spans="2:4">
      <c r="B486" s="357" t="s">
        <v>1985</v>
      </c>
      <c r="C486" s="357" t="s">
        <v>1978</v>
      </c>
      <c r="D486" s="1580" t="s">
        <v>1525</v>
      </c>
    </row>
    <row r="487" spans="2:4">
      <c r="B487" s="357" t="s">
        <v>1523</v>
      </c>
    </row>
    <row r="488" spans="2:4">
      <c r="B488" s="357" t="s">
        <v>1986</v>
      </c>
    </row>
    <row r="489" spans="2:4">
      <c r="B489" s="357" t="s">
        <v>1987</v>
      </c>
      <c r="D489" s="1580" t="s">
        <v>1290</v>
      </c>
    </row>
    <row r="490" spans="2:4" ht="25.5">
      <c r="B490" s="357" t="s">
        <v>1988</v>
      </c>
      <c r="C490" s="357" t="s">
        <v>1989</v>
      </c>
      <c r="D490" s="1580" t="s">
        <v>1022</v>
      </c>
    </row>
    <row r="491" spans="2:4">
      <c r="B491" s="357" t="s">
        <v>1990</v>
      </c>
      <c r="C491" s="357" t="s">
        <v>1578</v>
      </c>
      <c r="D491" s="1580" t="s">
        <v>1991</v>
      </c>
    </row>
    <row r="492" spans="2:4">
      <c r="B492" s="1580" t="s">
        <v>1992</v>
      </c>
      <c r="C492" s="357" t="s">
        <v>1578</v>
      </c>
      <c r="D492" s="1580" t="s">
        <v>1991</v>
      </c>
    </row>
    <row r="493" spans="2:4">
      <c r="B493" s="1580" t="s">
        <v>1993</v>
      </c>
      <c r="C493" s="357" t="s">
        <v>1578</v>
      </c>
      <c r="D493" s="1580" t="s">
        <v>1994</v>
      </c>
    </row>
    <row r="494" spans="2:4">
      <c r="B494" s="1580" t="s">
        <v>1995</v>
      </c>
      <c r="C494" s="357" t="s">
        <v>1996</v>
      </c>
      <c r="D494" s="1580" t="s">
        <v>1994</v>
      </c>
    </row>
    <row r="495" spans="2:4">
      <c r="B495" s="1580" t="s">
        <v>1997</v>
      </c>
      <c r="C495" s="357" t="s">
        <v>1998</v>
      </c>
      <c r="D495" s="1580" t="s">
        <v>1022</v>
      </c>
    </row>
    <row r="496" spans="2:4">
      <c r="B496" s="1580" t="s">
        <v>1997</v>
      </c>
      <c r="C496" s="357" t="s">
        <v>1999</v>
      </c>
      <c r="D496" s="1580" t="s">
        <v>1022</v>
      </c>
    </row>
    <row r="497" spans="2:4">
      <c r="B497" s="1580" t="s">
        <v>2000</v>
      </c>
      <c r="C497" s="357" t="s">
        <v>1512</v>
      </c>
      <c r="D497" s="1580" t="s">
        <v>1022</v>
      </c>
    </row>
    <row r="498" spans="2:4">
      <c r="B498" s="1580" t="s">
        <v>2001</v>
      </c>
      <c r="C498" s="357" t="s">
        <v>2002</v>
      </c>
      <c r="D498" s="1580" t="s">
        <v>1022</v>
      </c>
    </row>
    <row r="499" spans="2:4">
      <c r="B499" s="1580" t="s">
        <v>2003</v>
      </c>
    </row>
    <row r="500" spans="2:4">
      <c r="B500" s="1580" t="s">
        <v>2004</v>
      </c>
    </row>
    <row r="501" spans="2:4">
      <c r="B501" s="1580" t="s">
        <v>2005</v>
      </c>
      <c r="C501" s="357" t="s">
        <v>2006</v>
      </c>
    </row>
    <row r="502" spans="2:4">
      <c r="B502" s="1580" t="s">
        <v>2007</v>
      </c>
      <c r="C502" s="357" t="s">
        <v>2008</v>
      </c>
    </row>
    <row r="503" spans="2:4">
      <c r="B503" s="1580" t="s">
        <v>2009</v>
      </c>
      <c r="C503" s="357" t="s">
        <v>2010</v>
      </c>
    </row>
    <row r="504" spans="2:4">
      <c r="B504" s="1580" t="s">
        <v>2011</v>
      </c>
      <c r="C504" s="357" t="s">
        <v>2012</v>
      </c>
    </row>
    <row r="505" spans="2:4">
      <c r="B505" s="1580" t="s">
        <v>2013</v>
      </c>
    </row>
    <row r="506" spans="2:4">
      <c r="B506" s="1580" t="s">
        <v>1154</v>
      </c>
      <c r="C506" s="357" t="s">
        <v>1623</v>
      </c>
      <c r="D506" s="1580" t="s">
        <v>1022</v>
      </c>
    </row>
    <row r="507" spans="2:4">
      <c r="B507" s="1580" t="s">
        <v>2014</v>
      </c>
      <c r="D507" s="1580" t="s">
        <v>1022</v>
      </c>
    </row>
    <row r="508" spans="2:4">
      <c r="B508" s="1580" t="s">
        <v>2015</v>
      </c>
      <c r="D508" s="1580" t="s">
        <v>1022</v>
      </c>
    </row>
    <row r="509" spans="2:4">
      <c r="B509" s="1580" t="s">
        <v>2016</v>
      </c>
      <c r="C509" s="357" t="s">
        <v>2017</v>
      </c>
    </row>
    <row r="510" spans="2:4">
      <c r="B510" s="1580" t="s">
        <v>2016</v>
      </c>
      <c r="C510" s="357" t="s">
        <v>2018</v>
      </c>
    </row>
    <row r="511" spans="2:4">
      <c r="B511" s="1580" t="s">
        <v>2019</v>
      </c>
      <c r="C511" s="357" t="s">
        <v>1582</v>
      </c>
      <c r="D511" s="1580" t="s">
        <v>1022</v>
      </c>
    </row>
    <row r="512" spans="2:4">
      <c r="B512" s="1580" t="s">
        <v>2020</v>
      </c>
      <c r="C512" s="357" t="s">
        <v>2021</v>
      </c>
    </row>
    <row r="513" spans="2:5">
      <c r="B513" s="1580" t="s">
        <v>1380</v>
      </c>
      <c r="C513" s="357" t="s">
        <v>2022</v>
      </c>
    </row>
    <row r="514" spans="2:5">
      <c r="B514" s="1580" t="s">
        <v>2023</v>
      </c>
      <c r="C514" s="357" t="s">
        <v>2024</v>
      </c>
      <c r="D514" s="1580" t="s">
        <v>1022</v>
      </c>
    </row>
    <row r="515" spans="2:5">
      <c r="B515" s="1580" t="s">
        <v>2025</v>
      </c>
      <c r="C515" s="357" t="s">
        <v>2024</v>
      </c>
      <c r="D515" s="1580" t="s">
        <v>1022</v>
      </c>
    </row>
    <row r="516" spans="2:5">
      <c r="B516" s="1580" t="s">
        <v>2026</v>
      </c>
      <c r="D516" s="1580" t="s">
        <v>1940</v>
      </c>
    </row>
    <row r="517" spans="2:5">
      <c r="B517" s="1580" t="s">
        <v>2027</v>
      </c>
      <c r="C517" s="357" t="s">
        <v>2028</v>
      </c>
      <c r="D517" s="1580" t="s">
        <v>1022</v>
      </c>
    </row>
    <row r="518" spans="2:5">
      <c r="B518" s="1580" t="s">
        <v>2029</v>
      </c>
      <c r="C518" s="357" t="s">
        <v>2030</v>
      </c>
      <c r="D518" s="1580" t="s">
        <v>1022</v>
      </c>
    </row>
    <row r="519" spans="2:5">
      <c r="B519" s="1580" t="s">
        <v>2031</v>
      </c>
    </row>
    <row r="520" spans="2:5">
      <c r="B520" s="1580" t="s">
        <v>2032</v>
      </c>
      <c r="C520" s="357" t="s">
        <v>2033</v>
      </c>
    </row>
    <row r="521" spans="2:5">
      <c r="B521" s="1580" t="s">
        <v>2034</v>
      </c>
    </row>
    <row r="522" spans="2:5">
      <c r="B522" s="1580" t="s">
        <v>2035</v>
      </c>
      <c r="C522" s="357" t="s">
        <v>2036</v>
      </c>
      <c r="D522" s="1580" t="s">
        <v>1022</v>
      </c>
      <c r="E522" s="1580" t="s">
        <v>2037</v>
      </c>
    </row>
    <row r="523" spans="2:5" ht="25.5">
      <c r="B523" s="1580" t="s">
        <v>1167</v>
      </c>
      <c r="C523" s="357" t="s">
        <v>2038</v>
      </c>
      <c r="D523" s="1580" t="s">
        <v>1290</v>
      </c>
    </row>
    <row r="524" spans="2:5">
      <c r="B524" s="1580" t="s">
        <v>2039</v>
      </c>
      <c r="C524" s="357" t="s">
        <v>2040</v>
      </c>
      <c r="D524" s="1580" t="s">
        <v>1351</v>
      </c>
    </row>
    <row r="525" spans="2:5">
      <c r="B525" s="1580" t="s">
        <v>2041</v>
      </c>
      <c r="C525" s="357" t="s">
        <v>1623</v>
      </c>
      <c r="D525" s="1580" t="s">
        <v>1022</v>
      </c>
    </row>
    <row r="526" spans="2:5">
      <c r="B526" s="1580" t="s">
        <v>2042</v>
      </c>
      <c r="C526" s="357" t="s">
        <v>2043</v>
      </c>
      <c r="D526" s="1580" t="s">
        <v>1022</v>
      </c>
    </row>
    <row r="527" spans="2:5">
      <c r="B527" s="1580" t="s">
        <v>2044</v>
      </c>
      <c r="C527" s="357" t="s">
        <v>2045</v>
      </c>
    </row>
    <row r="528" spans="2:5">
      <c r="B528" s="1580" t="s">
        <v>2046</v>
      </c>
      <c r="C528" s="357" t="s">
        <v>2047</v>
      </c>
      <c r="D528" s="1580" t="s">
        <v>1587</v>
      </c>
    </row>
    <row r="529" spans="1:4">
      <c r="B529" s="1580" t="s">
        <v>2048</v>
      </c>
      <c r="C529" s="357" t="s">
        <v>2049</v>
      </c>
      <c r="D529" s="1580" t="s">
        <v>1411</v>
      </c>
    </row>
    <row r="530" spans="1:4">
      <c r="B530" s="1580" t="s">
        <v>2050</v>
      </c>
      <c r="D530" s="1580" t="s">
        <v>1022</v>
      </c>
    </row>
    <row r="531" spans="1:4" ht="25.5">
      <c r="B531" s="1580" t="s">
        <v>2051</v>
      </c>
      <c r="C531" s="357" t="s">
        <v>2052</v>
      </c>
      <c r="D531" s="1580" t="s">
        <v>1022</v>
      </c>
    </row>
    <row r="532" spans="1:4" ht="25.5">
      <c r="B532" s="1580" t="s">
        <v>2051</v>
      </c>
      <c r="C532" s="357" t="s">
        <v>2053</v>
      </c>
      <c r="D532" s="1580" t="s">
        <v>1022</v>
      </c>
    </row>
    <row r="533" spans="1:4" ht="25.5">
      <c r="B533" s="1580" t="s">
        <v>2054</v>
      </c>
      <c r="C533" s="357" t="s">
        <v>2055</v>
      </c>
      <c r="D533" s="1580" t="s">
        <v>1022</v>
      </c>
    </row>
    <row r="534" spans="1:4" ht="25.5">
      <c r="B534" s="1580" t="s">
        <v>2056</v>
      </c>
      <c r="C534" s="357" t="s">
        <v>2057</v>
      </c>
      <c r="D534" s="1580" t="s">
        <v>1022</v>
      </c>
    </row>
    <row r="535" spans="1:4">
      <c r="B535" s="1580" t="s">
        <v>2058</v>
      </c>
      <c r="C535" s="357" t="s">
        <v>2059</v>
      </c>
      <c r="D535" s="1580" t="s">
        <v>1290</v>
      </c>
    </row>
    <row r="536" spans="1:4">
      <c r="B536" s="1580" t="s">
        <v>2060</v>
      </c>
      <c r="C536" s="357" t="s">
        <v>2061</v>
      </c>
      <c r="D536" s="1580" t="s">
        <v>1022</v>
      </c>
    </row>
    <row r="537" spans="1:4">
      <c r="B537" s="1580" t="s">
        <v>2062</v>
      </c>
      <c r="C537" s="357" t="s">
        <v>2063</v>
      </c>
    </row>
    <row r="538" spans="1:4">
      <c r="B538" s="1580" t="s">
        <v>2064</v>
      </c>
      <c r="C538" s="357" t="s">
        <v>2065</v>
      </c>
      <c r="D538" s="1580" t="s">
        <v>1395</v>
      </c>
    </row>
    <row r="539" spans="1:4">
      <c r="B539" s="1580" t="s">
        <v>2066</v>
      </c>
      <c r="C539" s="357" t="s">
        <v>2067</v>
      </c>
      <c r="D539" s="1580" t="s">
        <v>1022</v>
      </c>
    </row>
    <row r="540" spans="1:4" ht="25.5">
      <c r="B540" s="1580" t="s">
        <v>2068</v>
      </c>
      <c r="C540" s="357" t="s">
        <v>2069</v>
      </c>
      <c r="D540" s="1580" t="s">
        <v>1022</v>
      </c>
    </row>
    <row r="541" spans="1:4">
      <c r="B541" s="357" t="s">
        <v>2070</v>
      </c>
      <c r="C541" s="357" t="s">
        <v>2071</v>
      </c>
      <c r="D541" s="1580" t="s">
        <v>1022</v>
      </c>
    </row>
    <row r="542" spans="1:4">
      <c r="B542" s="357" t="s">
        <v>1945</v>
      </c>
    </row>
    <row r="543" spans="1:4">
      <c r="A543" s="1580" t="s">
        <v>2072</v>
      </c>
      <c r="B543" s="357" t="s">
        <v>2073</v>
      </c>
      <c r="C543" s="357" t="s">
        <v>2074</v>
      </c>
    </row>
    <row r="544" spans="1:4">
      <c r="B544" s="357" t="s">
        <v>2075</v>
      </c>
      <c r="C544" s="357" t="s">
        <v>2076</v>
      </c>
      <c r="D544" s="1580" t="s">
        <v>1395</v>
      </c>
    </row>
    <row r="545" spans="2:8" ht="25.5">
      <c r="B545" s="357" t="s">
        <v>2077</v>
      </c>
      <c r="C545" s="357" t="s">
        <v>2078</v>
      </c>
      <c r="D545" s="1580" t="s">
        <v>1022</v>
      </c>
    </row>
    <row r="546" spans="2:8" ht="25.5">
      <c r="B546" s="357" t="s">
        <v>2077</v>
      </c>
      <c r="C546" s="357" t="s">
        <v>2079</v>
      </c>
      <c r="D546" s="1580" t="s">
        <v>1022</v>
      </c>
    </row>
    <row r="547" spans="2:8">
      <c r="B547" s="357" t="s">
        <v>2080</v>
      </c>
      <c r="C547" s="357" t="s">
        <v>2081</v>
      </c>
      <c r="D547" s="1580" t="s">
        <v>1022</v>
      </c>
    </row>
    <row r="548" spans="2:8">
      <c r="B548" s="357" t="s">
        <v>2082</v>
      </c>
      <c r="C548" s="357" t="s">
        <v>2083</v>
      </c>
      <c r="D548" s="1580" t="s">
        <v>1022</v>
      </c>
    </row>
    <row r="549" spans="2:8" ht="25.5">
      <c r="B549" s="357" t="s">
        <v>2084</v>
      </c>
      <c r="C549" s="357" t="s">
        <v>2085</v>
      </c>
    </row>
    <row r="550" spans="2:8">
      <c r="B550" s="357" t="s">
        <v>2086</v>
      </c>
      <c r="C550" s="357" t="s">
        <v>2087</v>
      </c>
    </row>
    <row r="551" spans="2:8">
      <c r="B551" s="357" t="s">
        <v>2086</v>
      </c>
      <c r="C551" s="357" t="s">
        <v>2088</v>
      </c>
    </row>
    <row r="552" spans="2:8">
      <c r="B552" s="357" t="s">
        <v>2089</v>
      </c>
    </row>
    <row r="553" spans="2:8" ht="25.5">
      <c r="B553" s="1580" t="s">
        <v>2090</v>
      </c>
      <c r="C553" s="357" t="s">
        <v>2091</v>
      </c>
      <c r="D553" s="1580" t="s">
        <v>1022</v>
      </c>
    </row>
    <row r="554" spans="2:8">
      <c r="B554" s="1580" t="s">
        <v>2092</v>
      </c>
      <c r="C554" s="357" t="s">
        <v>2093</v>
      </c>
      <c r="D554" s="1580" t="s">
        <v>1022</v>
      </c>
    </row>
    <row r="555" spans="2:8" ht="25.5">
      <c r="B555" s="1583" t="s">
        <v>2094</v>
      </c>
      <c r="C555" s="1579" t="s">
        <v>2095</v>
      </c>
    </row>
    <row r="556" spans="2:8">
      <c r="B556" s="1580" t="s">
        <v>2096</v>
      </c>
      <c r="C556" s="357" t="s">
        <v>2097</v>
      </c>
      <c r="D556" s="1580" t="s">
        <v>1022</v>
      </c>
    </row>
    <row r="557" spans="2:8">
      <c r="B557" s="1580" t="s">
        <v>2098</v>
      </c>
      <c r="C557" s="357" t="s">
        <v>2099</v>
      </c>
    </row>
    <row r="558" spans="2:8">
      <c r="B558" s="1580" t="s">
        <v>2100</v>
      </c>
      <c r="C558" s="357" t="s">
        <v>2101</v>
      </c>
      <c r="D558" s="1580" t="s">
        <v>1022</v>
      </c>
    </row>
    <row r="559" spans="2:8">
      <c r="B559" s="1580" t="s">
        <v>2102</v>
      </c>
      <c r="C559" s="357" t="s">
        <v>2103</v>
      </c>
      <c r="H559" s="1580" t="s">
        <v>2104</v>
      </c>
    </row>
    <row r="560" spans="2:8">
      <c r="B560" s="1580" t="s">
        <v>2105</v>
      </c>
      <c r="C560" s="357" t="s">
        <v>2106</v>
      </c>
    </row>
    <row r="561" spans="2:3">
      <c r="B561" s="1580" t="s">
        <v>2107</v>
      </c>
    </row>
    <row r="563" spans="2:3">
      <c r="C563" s="357" t="s">
        <v>2108</v>
      </c>
    </row>
  </sheetData>
  <sheetProtection formatColumns="0" insertRows="0" deleteRows="0"/>
  <autoFilter ref="A10:X10" xr:uid="{00000000-0009-0000-0000-00002C000000}">
    <sortState xmlns:xlrd2="http://schemas.microsoft.com/office/spreadsheetml/2017/richdata2" ref="A11:X43">
      <sortCondition ref="B10"/>
    </sortState>
  </autoFilter>
  <mergeCells count="12">
    <mergeCell ref="R7:R8"/>
    <mergeCell ref="S7:T7"/>
    <mergeCell ref="E7:E8"/>
    <mergeCell ref="F7:G7"/>
    <mergeCell ref="H7:H8"/>
    <mergeCell ref="L7:P7"/>
    <mergeCell ref="Q7:Q8"/>
    <mergeCell ref="A7:A8"/>
    <mergeCell ref="B7:B8"/>
    <mergeCell ref="C7:C8"/>
    <mergeCell ref="D7:D8"/>
    <mergeCell ref="I7:K7"/>
  </mergeCells>
  <dataValidations count="1">
    <dataValidation allowBlank="1" showInputMessage="1" showErrorMessage="1" prompt="Укажите &quot;Краткую характеристику ТРУ&quot;" sqref="C348" xr:uid="{00000000-0002-0000-2C00-000000000000}"/>
  </dataValidations>
  <pageMargins left="0" right="0" top="0" bottom="0" header="0" footer="0"/>
  <pageSetup paperSize="9" scale="48" fitToHeight="0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FF0000"/>
  </sheetPr>
  <dimension ref="A2:G3"/>
  <sheetViews>
    <sheetView workbookViewId="0">
      <selection activeCell="A3" sqref="A3"/>
    </sheetView>
  </sheetViews>
  <sheetFormatPr defaultRowHeight="15"/>
  <sheetData>
    <row r="2" spans="1:7" ht="75">
      <c r="B2" s="1878" t="s">
        <v>2109</v>
      </c>
      <c r="C2" s="1878" t="s">
        <v>2110</v>
      </c>
      <c r="D2" s="1878" t="s">
        <v>2111</v>
      </c>
    </row>
    <row r="3" spans="1:7">
      <c r="A3" t="s">
        <v>2112</v>
      </c>
      <c r="B3">
        <v>160</v>
      </c>
      <c r="C3">
        <v>165</v>
      </c>
      <c r="D3">
        <v>162</v>
      </c>
      <c r="E3">
        <f>MIN(B3:D3)</f>
        <v>160</v>
      </c>
      <c r="F3" s="1874">
        <f>160</f>
        <v>160</v>
      </c>
      <c r="G3" s="1137">
        <f>E3-F3</f>
        <v>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FF0000"/>
    <pageSetUpPr fitToPage="1"/>
  </sheetPr>
  <dimension ref="A2:AE308"/>
  <sheetViews>
    <sheetView workbookViewId="0">
      <selection activeCell="AA38" sqref="AA38"/>
    </sheetView>
  </sheetViews>
  <sheetFormatPr defaultColWidth="9.140625" defaultRowHeight="12.75"/>
  <cols>
    <col min="1" max="1" width="5.5703125" style="1580" customWidth="1"/>
    <col min="2" max="2" width="26" style="1580" customWidth="1"/>
    <col min="3" max="3" width="38.85546875" style="357" customWidth="1"/>
    <col min="4" max="4" width="8.28515625" style="1580" customWidth="1"/>
    <col min="5" max="7" width="14.85546875" style="1580" customWidth="1"/>
    <col min="8" max="9" width="9.140625" style="1580"/>
    <col min="10" max="10" width="10.7109375" style="1721" customWidth="1"/>
    <col min="11" max="11" width="9.140625" style="1580"/>
    <col min="12" max="12" width="9.140625" style="1726"/>
    <col min="13" max="13" width="10.7109375" style="1580" customWidth="1"/>
    <col min="14" max="14" width="11" style="1580" customWidth="1"/>
    <col min="15" max="15" width="10" style="1580" customWidth="1"/>
    <col min="16" max="25" width="9.140625" style="1580"/>
    <col min="26" max="26" width="10.28515625" style="1580" customWidth="1"/>
    <col min="27" max="27" width="10.42578125" style="1580" customWidth="1"/>
    <col min="28" max="28" width="10.5703125" style="1580" customWidth="1"/>
    <col min="29" max="29" width="12.5703125" style="1580" customWidth="1"/>
    <col min="30" max="31" width="11.42578125" style="1580" customWidth="1"/>
    <col min="32" max="16384" width="9.140625" style="1580"/>
  </cols>
  <sheetData>
    <row r="2" spans="1:30" s="1636" customFormat="1">
      <c r="A2" s="1595" t="s">
        <v>1188</v>
      </c>
      <c r="C2" s="924"/>
      <c r="J2" s="1720"/>
      <c r="L2" s="1725"/>
    </row>
    <row r="3" spans="1:30">
      <c r="A3" s="120"/>
      <c r="D3" s="1580" t="s">
        <v>1189</v>
      </c>
    </row>
    <row r="4" spans="1:30" s="1636" customFormat="1">
      <c r="A4" s="1644" t="s">
        <v>1190</v>
      </c>
      <c r="C4" s="924"/>
      <c r="J4" s="1720"/>
      <c r="L4" s="1725"/>
    </row>
    <row r="5" spans="1:30">
      <c r="A5" s="1580" t="s">
        <v>990</v>
      </c>
    </row>
    <row r="7" spans="1:30" ht="30" customHeight="1">
      <c r="A7" s="4003" t="s">
        <v>2</v>
      </c>
      <c r="B7" s="4003" t="s">
        <v>478</v>
      </c>
      <c r="C7" s="4003" t="s">
        <v>995</v>
      </c>
      <c r="D7" s="4003" t="s">
        <v>996</v>
      </c>
      <c r="E7" s="4003" t="s">
        <v>2113</v>
      </c>
      <c r="F7" s="4013" t="s">
        <v>2114</v>
      </c>
      <c r="G7" s="4013" t="s">
        <v>2115</v>
      </c>
      <c r="H7" s="4013" t="s">
        <v>2116</v>
      </c>
      <c r="I7" s="4013" t="s">
        <v>2117</v>
      </c>
      <c r="J7" s="4010" t="s">
        <v>2118</v>
      </c>
      <c r="K7" s="4013" t="s">
        <v>2119</v>
      </c>
      <c r="L7" s="4016" t="s">
        <v>2120</v>
      </c>
      <c r="M7" s="4009" t="s">
        <v>2121</v>
      </c>
      <c r="N7" s="4009" t="s">
        <v>2122</v>
      </c>
      <c r="O7" s="4009" t="s">
        <v>2123</v>
      </c>
      <c r="P7" s="4009" t="s">
        <v>2124</v>
      </c>
      <c r="Q7" s="4009" t="s">
        <v>2125</v>
      </c>
      <c r="R7" s="4009" t="s">
        <v>2126</v>
      </c>
      <c r="S7" s="4009" t="s">
        <v>2127</v>
      </c>
      <c r="T7" s="4009" t="s">
        <v>2128</v>
      </c>
      <c r="U7" s="4009" t="s">
        <v>2129</v>
      </c>
      <c r="V7" s="4015" t="s">
        <v>2130</v>
      </c>
      <c r="W7" s="4012" t="s">
        <v>2131</v>
      </c>
    </row>
    <row r="8" spans="1:30" ht="24.75" customHeight="1">
      <c r="A8" s="4003"/>
      <c r="B8" s="4003"/>
      <c r="C8" s="4003"/>
      <c r="D8" s="4003"/>
      <c r="E8" s="4003"/>
      <c r="F8" s="4014"/>
      <c r="G8" s="4014"/>
      <c r="H8" s="4014"/>
      <c r="I8" s="4014"/>
      <c r="J8" s="4011"/>
      <c r="K8" s="4014"/>
      <c r="L8" s="4017"/>
      <c r="M8" s="4009"/>
      <c r="N8" s="4009"/>
      <c r="O8" s="4009"/>
      <c r="P8" s="4009"/>
      <c r="Q8" s="4009"/>
      <c r="R8" s="4009"/>
      <c r="S8" s="4009"/>
      <c r="T8" s="4009"/>
      <c r="U8" s="4009"/>
      <c r="V8" s="4015"/>
      <c r="W8" s="4012"/>
      <c r="Z8" s="1580" t="s">
        <v>2132</v>
      </c>
      <c r="AB8" s="1580" t="s">
        <v>1196</v>
      </c>
      <c r="AD8" s="1580" t="s">
        <v>1006</v>
      </c>
    </row>
    <row r="9" spans="1:30" ht="13.5">
      <c r="A9" s="1604"/>
      <c r="B9" s="1605" t="s">
        <v>306</v>
      </c>
      <c r="C9" s="1606"/>
      <c r="D9" s="1604"/>
      <c r="E9" s="1607">
        <f>SUM(E10:E98)</f>
        <v>22370</v>
      </c>
      <c r="F9" s="1607"/>
      <c r="G9" s="1607"/>
      <c r="H9" s="1581"/>
      <c r="I9" s="1581"/>
      <c r="J9" s="1722"/>
      <c r="K9" s="1581"/>
      <c r="L9" s="1727"/>
      <c r="M9" s="1581"/>
      <c r="N9" s="1581"/>
      <c r="O9" s="1581"/>
      <c r="P9" s="1581"/>
      <c r="Q9" s="1581"/>
      <c r="R9" s="1581"/>
      <c r="S9" s="1581"/>
      <c r="T9" s="1581"/>
      <c r="U9" s="1581"/>
    </row>
    <row r="10" spans="1:30">
      <c r="A10" s="1609"/>
      <c r="B10" s="1616" t="s">
        <v>1260</v>
      </c>
      <c r="C10" s="1614"/>
      <c r="D10" s="1056"/>
      <c r="E10" s="1610"/>
      <c r="F10" s="1610"/>
      <c r="G10" s="1610"/>
      <c r="H10" s="1581"/>
      <c r="I10" s="1581"/>
      <c r="J10" s="1722"/>
      <c r="K10" s="1581"/>
      <c r="L10" s="1727"/>
      <c r="M10" s="1581"/>
      <c r="N10" s="1581"/>
      <c r="O10" s="1581"/>
      <c r="P10" s="1581"/>
      <c r="Q10" s="1581"/>
      <c r="R10" s="1581"/>
      <c r="S10" s="1581"/>
      <c r="T10" s="1581"/>
      <c r="U10" s="1581"/>
    </row>
    <row r="11" spans="1:30">
      <c r="A11" s="1609">
        <v>25</v>
      </c>
      <c r="B11" s="1625" t="s">
        <v>1261</v>
      </c>
      <c r="C11" s="1621" t="s">
        <v>1262</v>
      </c>
      <c r="D11" s="1610" t="s">
        <v>1263</v>
      </c>
      <c r="E11" s="1556"/>
      <c r="F11" s="1556"/>
      <c r="G11" s="1556"/>
      <c r="H11" s="1581"/>
      <c r="I11" s="1581"/>
      <c r="J11" s="1722">
        <v>430</v>
      </c>
      <c r="K11" s="1581">
        <v>450</v>
      </c>
      <c r="L11" s="1727">
        <v>470</v>
      </c>
      <c r="M11" s="1581"/>
      <c r="N11" s="1581"/>
      <c r="O11" s="1581"/>
      <c r="P11" s="1581"/>
      <c r="Q11" s="1581"/>
      <c r="R11" s="1581"/>
      <c r="S11" s="1581"/>
      <c r="T11" s="1581"/>
      <c r="U11" s="1581"/>
      <c r="X11" s="1580">
        <f>MIN(J11:L11)</f>
        <v>430</v>
      </c>
      <c r="Y11" s="1580">
        <f>X11*1.07</f>
        <v>460.1</v>
      </c>
      <c r="AB11" s="1580">
        <v>460.1</v>
      </c>
      <c r="AC11" s="1580">
        <f>Y11-AB11</f>
        <v>0</v>
      </c>
    </row>
    <row r="12" spans="1:30" ht="25.5">
      <c r="A12" s="1609">
        <v>26</v>
      </c>
      <c r="B12" s="1618" t="s">
        <v>1264</v>
      </c>
      <c r="C12" s="1621" t="s">
        <v>1265</v>
      </c>
      <c r="D12" s="1618" t="s">
        <v>1022</v>
      </c>
      <c r="E12" s="1581"/>
      <c r="F12" s="1581"/>
      <c r="G12" s="1581"/>
      <c r="H12" s="1581"/>
      <c r="I12" s="1581"/>
      <c r="J12" s="1722"/>
      <c r="K12" s="1581"/>
      <c r="L12" s="1727"/>
      <c r="M12" s="1556">
        <f>49000</f>
        <v>49000</v>
      </c>
      <c r="N12" s="1581">
        <v>51450</v>
      </c>
      <c r="O12" s="1581">
        <v>49980</v>
      </c>
      <c r="P12" s="1581"/>
      <c r="Q12" s="1581"/>
      <c r="R12" s="1581"/>
      <c r="S12" s="1581"/>
      <c r="T12" s="1581"/>
      <c r="U12" s="1581"/>
      <c r="X12" s="1580">
        <f>MIN(E12:U12)</f>
        <v>49000</v>
      </c>
      <c r="Y12" s="1580">
        <f t="shared" ref="Y12:Y75" si="0">X12*1.07</f>
        <v>52430</v>
      </c>
      <c r="Z12" s="1580">
        <v>52430</v>
      </c>
    </row>
    <row r="13" spans="1:30" ht="34.5" customHeight="1">
      <c r="A13" s="1609">
        <v>27</v>
      </c>
      <c r="B13" s="1618" t="s">
        <v>1266</v>
      </c>
      <c r="C13" s="1614" t="s">
        <v>1267</v>
      </c>
      <c r="D13" s="1619" t="s">
        <v>1268</v>
      </c>
      <c r="E13" s="1581"/>
      <c r="F13" s="1581"/>
      <c r="G13" s="1610">
        <f>14000</f>
        <v>14000</v>
      </c>
      <c r="H13" s="1581">
        <v>19600</v>
      </c>
      <c r="I13" s="1581">
        <v>18200</v>
      </c>
      <c r="J13" s="1722"/>
      <c r="K13" s="1581"/>
      <c r="L13" s="1727"/>
      <c r="M13" s="1581"/>
      <c r="N13" s="1581"/>
      <c r="O13" s="1581"/>
      <c r="P13" s="1581"/>
      <c r="Q13" s="1581"/>
      <c r="R13" s="1581"/>
      <c r="S13" s="1581"/>
      <c r="T13" s="1581"/>
      <c r="U13" s="1581"/>
      <c r="X13" s="1580">
        <f t="shared" ref="X13:X76" si="1">MIN(E13:U13)</f>
        <v>14000</v>
      </c>
      <c r="Y13" s="1580">
        <f t="shared" si="0"/>
        <v>14980</v>
      </c>
      <c r="Z13" s="1610">
        <f>14000*1.07</f>
        <v>14980</v>
      </c>
      <c r="AA13" s="1730">
        <f>Y13-Z13</f>
        <v>0</v>
      </c>
      <c r="AB13" s="1610">
        <f>14000</f>
        <v>14000</v>
      </c>
      <c r="AC13" s="1730">
        <f>X13-AB13</f>
        <v>0</v>
      </c>
    </row>
    <row r="14" spans="1:30" ht="25.5">
      <c r="A14" s="1609">
        <v>28</v>
      </c>
      <c r="B14" s="1618" t="s">
        <v>1266</v>
      </c>
      <c r="C14" s="1614" t="s">
        <v>1269</v>
      </c>
      <c r="D14" s="1619" t="s">
        <v>1268</v>
      </c>
      <c r="E14" s="1581"/>
      <c r="F14" s="1581"/>
      <c r="G14" s="1610">
        <f>12000</f>
        <v>12000</v>
      </c>
      <c r="H14" s="1581">
        <v>16800</v>
      </c>
      <c r="I14" s="1581">
        <v>15600</v>
      </c>
      <c r="J14" s="1722"/>
      <c r="K14" s="1581"/>
      <c r="L14" s="1727"/>
      <c r="M14" s="1581"/>
      <c r="N14" s="1581"/>
      <c r="O14" s="1581"/>
      <c r="P14" s="1581"/>
      <c r="Q14" s="1581"/>
      <c r="R14" s="1581"/>
      <c r="S14" s="1581"/>
      <c r="T14" s="1581"/>
      <c r="U14" s="1581"/>
      <c r="X14" s="1580">
        <f t="shared" si="1"/>
        <v>12000</v>
      </c>
      <c r="Y14" s="1580">
        <f t="shared" si="0"/>
        <v>12840</v>
      </c>
      <c r="Z14" s="1610">
        <f>12000*1.07</f>
        <v>12840</v>
      </c>
      <c r="AA14" s="1730">
        <f t="shared" ref="AA14:AA77" si="2">Y14-Z14</f>
        <v>0</v>
      </c>
      <c r="AB14" s="1610">
        <f>12000</f>
        <v>12000</v>
      </c>
      <c r="AC14" s="1730">
        <f t="shared" ref="AC14:AC77" si="3">X14-AB14</f>
        <v>0</v>
      </c>
    </row>
    <row r="15" spans="1:30" ht="25.5">
      <c r="A15" s="1609">
        <v>29</v>
      </c>
      <c r="B15" s="1618" t="s">
        <v>1266</v>
      </c>
      <c r="C15" s="1614" t="s">
        <v>1270</v>
      </c>
      <c r="D15" s="1619" t="s">
        <v>1268</v>
      </c>
      <c r="E15" s="1581"/>
      <c r="F15" s="1581"/>
      <c r="G15" s="1610">
        <f>11000</f>
        <v>11000</v>
      </c>
      <c r="H15" s="1581">
        <v>15400</v>
      </c>
      <c r="I15" s="1581">
        <v>14300</v>
      </c>
      <c r="J15" s="1722"/>
      <c r="K15" s="1581"/>
      <c r="L15" s="1727"/>
      <c r="M15" s="1581"/>
      <c r="N15" s="1581"/>
      <c r="O15" s="1581"/>
      <c r="P15" s="1581"/>
      <c r="Q15" s="1581"/>
      <c r="R15" s="1581"/>
      <c r="S15" s="1581"/>
      <c r="T15" s="1581"/>
      <c r="U15" s="1581"/>
      <c r="X15" s="1580">
        <f t="shared" si="1"/>
        <v>11000</v>
      </c>
      <c r="Y15" s="1580">
        <f t="shared" si="0"/>
        <v>11770</v>
      </c>
      <c r="Z15" s="1610">
        <f>11000*1.07</f>
        <v>11770</v>
      </c>
      <c r="AA15" s="1730">
        <f t="shared" si="2"/>
        <v>0</v>
      </c>
      <c r="AB15" s="1610">
        <f>11000</f>
        <v>11000</v>
      </c>
      <c r="AC15" s="1730">
        <f t="shared" si="3"/>
        <v>0</v>
      </c>
    </row>
    <row r="16" spans="1:30" ht="25.5">
      <c r="A16" s="1609">
        <v>30</v>
      </c>
      <c r="B16" s="1618" t="s">
        <v>1266</v>
      </c>
      <c r="C16" s="1614" t="s">
        <v>1271</v>
      </c>
      <c r="D16" s="1619" t="s">
        <v>1268</v>
      </c>
      <c r="E16" s="1581"/>
      <c r="F16" s="1581"/>
      <c r="G16" s="1610">
        <f>10000</f>
        <v>10000</v>
      </c>
      <c r="H16" s="1581">
        <v>14000</v>
      </c>
      <c r="I16" s="1581">
        <v>13000</v>
      </c>
      <c r="J16" s="1722"/>
      <c r="K16" s="1581"/>
      <c r="L16" s="1727"/>
      <c r="M16" s="1581"/>
      <c r="N16" s="1581"/>
      <c r="O16" s="1581"/>
      <c r="P16" s="1581"/>
      <c r="Q16" s="1581"/>
      <c r="R16" s="1581"/>
      <c r="S16" s="1581"/>
      <c r="T16" s="1581"/>
      <c r="U16" s="1581"/>
      <c r="X16" s="1580">
        <f t="shared" si="1"/>
        <v>10000</v>
      </c>
      <c r="Y16" s="1580">
        <f t="shared" si="0"/>
        <v>10700</v>
      </c>
      <c r="Z16" s="1610">
        <f>10000*1.07</f>
        <v>10700</v>
      </c>
      <c r="AA16" s="1730">
        <f t="shared" si="2"/>
        <v>0</v>
      </c>
      <c r="AB16" s="1610">
        <f>10000</f>
        <v>10000</v>
      </c>
      <c r="AC16" s="1730">
        <f t="shared" si="3"/>
        <v>0</v>
      </c>
    </row>
    <row r="17" spans="1:31" ht="25.5">
      <c r="A17" s="1609">
        <v>31</v>
      </c>
      <c r="B17" s="1618" t="s">
        <v>1266</v>
      </c>
      <c r="C17" s="1614" t="s">
        <v>1272</v>
      </c>
      <c r="D17" s="1619" t="s">
        <v>1268</v>
      </c>
      <c r="E17" s="1581"/>
      <c r="F17" s="1581"/>
      <c r="G17" s="1610">
        <f>1210</f>
        <v>1210</v>
      </c>
      <c r="H17" s="1581">
        <v>1694</v>
      </c>
      <c r="I17" s="1581">
        <v>1573</v>
      </c>
      <c r="J17" s="1722"/>
      <c r="K17" s="1581"/>
      <c r="L17" s="1727"/>
      <c r="M17" s="1581"/>
      <c r="N17" s="1581"/>
      <c r="O17" s="1581"/>
      <c r="P17" s="1581"/>
      <c r="Q17" s="1581"/>
      <c r="R17" s="1581"/>
      <c r="S17" s="1581"/>
      <c r="T17" s="1581"/>
      <c r="U17" s="1581"/>
      <c r="X17" s="1580">
        <f t="shared" si="1"/>
        <v>1210</v>
      </c>
      <c r="Z17" s="1610"/>
      <c r="AA17" s="1730">
        <f t="shared" si="2"/>
        <v>0</v>
      </c>
      <c r="AB17" s="1610">
        <f>1210</f>
        <v>1210</v>
      </c>
      <c r="AC17" s="1730">
        <f t="shared" si="3"/>
        <v>0</v>
      </c>
      <c r="AD17" s="1695">
        <f>1210</f>
        <v>1210</v>
      </c>
      <c r="AE17" s="1734">
        <f>X17-AD17</f>
        <v>0</v>
      </c>
    </row>
    <row r="18" spans="1:31" ht="25.5">
      <c r="A18" s="1609">
        <v>32</v>
      </c>
      <c r="B18" s="1618" t="s">
        <v>1273</v>
      </c>
      <c r="C18" s="1614" t="s">
        <v>1274</v>
      </c>
      <c r="D18" s="1619" t="s">
        <v>1268</v>
      </c>
      <c r="E18" s="1581"/>
      <c r="F18" s="1581"/>
      <c r="G18" s="1610">
        <f>1210</f>
        <v>1210</v>
      </c>
      <c r="H18" s="1581">
        <v>1694</v>
      </c>
      <c r="I18" s="1581">
        <v>1573</v>
      </c>
      <c r="J18" s="1722"/>
      <c r="K18" s="1581"/>
      <c r="L18" s="1727"/>
      <c r="M18" s="1581"/>
      <c r="N18" s="1581"/>
      <c r="O18" s="1581"/>
      <c r="P18" s="1581"/>
      <c r="Q18" s="1581"/>
      <c r="R18" s="1581"/>
      <c r="S18" s="1581"/>
      <c r="T18" s="1581"/>
      <c r="U18" s="1581"/>
      <c r="X18" s="1580">
        <f t="shared" si="1"/>
        <v>1210</v>
      </c>
      <c r="Y18" s="1580">
        <f t="shared" si="0"/>
        <v>1294.7</v>
      </c>
      <c r="Z18" s="1610">
        <f>1210*1.07</f>
        <v>1294.7</v>
      </c>
      <c r="AA18" s="1730">
        <f t="shared" si="2"/>
        <v>0</v>
      </c>
      <c r="AB18" s="1610">
        <f>1210</f>
        <v>1210</v>
      </c>
      <c r="AC18" s="1730">
        <f t="shared" si="3"/>
        <v>0</v>
      </c>
      <c r="AE18" s="1734"/>
    </row>
    <row r="19" spans="1:31" ht="25.5">
      <c r="A19" s="1609">
        <v>33</v>
      </c>
      <c r="B19" s="1618" t="s">
        <v>1266</v>
      </c>
      <c r="C19" s="1614" t="s">
        <v>1275</v>
      </c>
      <c r="D19" s="1619" t="s">
        <v>1268</v>
      </c>
      <c r="E19" s="1581"/>
      <c r="F19" s="1581"/>
      <c r="G19" s="1610">
        <f>1360</f>
        <v>1360</v>
      </c>
      <c r="H19" s="1581">
        <v>1904</v>
      </c>
      <c r="I19" s="1581">
        <v>1768</v>
      </c>
      <c r="J19" s="1722"/>
      <c r="K19" s="1581"/>
      <c r="L19" s="1727"/>
      <c r="M19" s="1581"/>
      <c r="N19" s="1581"/>
      <c r="O19" s="1581"/>
      <c r="P19" s="1581"/>
      <c r="Q19" s="1581"/>
      <c r="R19" s="1581"/>
      <c r="S19" s="1581"/>
      <c r="T19" s="1581"/>
      <c r="U19" s="1581"/>
      <c r="X19" s="1580">
        <f t="shared" si="1"/>
        <v>1360</v>
      </c>
      <c r="Y19" s="1580">
        <f t="shared" si="0"/>
        <v>1455.2</v>
      </c>
      <c r="Z19" s="1610">
        <f>1360*1.07</f>
        <v>1455.2</v>
      </c>
      <c r="AA19" s="1730">
        <f t="shared" si="2"/>
        <v>0</v>
      </c>
      <c r="AB19" s="1610">
        <f>1360</f>
        <v>1360</v>
      </c>
      <c r="AC19" s="1730">
        <f t="shared" si="3"/>
        <v>0</v>
      </c>
      <c r="AD19" s="1695">
        <f>1360</f>
        <v>1360</v>
      </c>
      <c r="AE19" s="1734">
        <f t="shared" ref="AE19:AE81" si="4">X19-AD19</f>
        <v>0</v>
      </c>
    </row>
    <row r="20" spans="1:31" ht="25.5">
      <c r="A20" s="1609">
        <v>34</v>
      </c>
      <c r="B20" s="1618" t="s">
        <v>1273</v>
      </c>
      <c r="C20" s="1614" t="s">
        <v>1276</v>
      </c>
      <c r="D20" s="1619" t="s">
        <v>1268</v>
      </c>
      <c r="E20" s="1581"/>
      <c r="F20" s="1581"/>
      <c r="G20" s="1610">
        <f>1360</f>
        <v>1360</v>
      </c>
      <c r="H20" s="1581">
        <v>1904</v>
      </c>
      <c r="I20" s="1581">
        <v>1768</v>
      </c>
      <c r="J20" s="1722"/>
      <c r="K20" s="1581"/>
      <c r="L20" s="1727"/>
      <c r="M20" s="1581"/>
      <c r="N20" s="1581"/>
      <c r="O20" s="1581"/>
      <c r="P20" s="1581"/>
      <c r="Q20" s="1581"/>
      <c r="R20" s="1581"/>
      <c r="S20" s="1581"/>
      <c r="T20" s="1581"/>
      <c r="U20" s="1581"/>
      <c r="X20" s="1580">
        <f t="shared" si="1"/>
        <v>1360</v>
      </c>
      <c r="Y20" s="1580">
        <f t="shared" si="0"/>
        <v>1455.2</v>
      </c>
      <c r="Z20" s="1610">
        <f>1360*1.07</f>
        <v>1455.2</v>
      </c>
      <c r="AA20" s="1730">
        <f t="shared" si="2"/>
        <v>0</v>
      </c>
      <c r="AB20" s="1610">
        <f>1360</f>
        <v>1360</v>
      </c>
      <c r="AC20" s="1730">
        <f t="shared" si="3"/>
        <v>0</v>
      </c>
      <c r="AD20" s="1695">
        <f>1360</f>
        <v>1360</v>
      </c>
      <c r="AE20" s="1734">
        <f t="shared" si="4"/>
        <v>0</v>
      </c>
    </row>
    <row r="21" spans="1:31" ht="25.5">
      <c r="A21" s="1609">
        <v>35</v>
      </c>
      <c r="B21" s="1618" t="s">
        <v>1266</v>
      </c>
      <c r="C21" s="1614" t="s">
        <v>1277</v>
      </c>
      <c r="D21" s="1619" t="s">
        <v>1268</v>
      </c>
      <c r="E21" s="1581"/>
      <c r="F21" s="1581"/>
      <c r="G21" s="1610">
        <f>1590</f>
        <v>1590</v>
      </c>
      <c r="H21" s="1581">
        <v>2226</v>
      </c>
      <c r="I21" s="1581">
        <v>2067</v>
      </c>
      <c r="J21" s="1722"/>
      <c r="K21" s="1581"/>
      <c r="L21" s="1727"/>
      <c r="M21" s="1581"/>
      <c r="N21" s="1581"/>
      <c r="O21" s="1581"/>
      <c r="P21" s="1581"/>
      <c r="Q21" s="1581"/>
      <c r="R21" s="1581"/>
      <c r="S21" s="1581"/>
      <c r="T21" s="1581"/>
      <c r="U21" s="1581"/>
      <c r="X21" s="1580">
        <f t="shared" si="1"/>
        <v>1590</v>
      </c>
      <c r="Y21" s="1580">
        <f t="shared" si="0"/>
        <v>1701.3000000000002</v>
      </c>
      <c r="Z21" s="1610">
        <f>1590*1.07</f>
        <v>1701.3000000000002</v>
      </c>
      <c r="AA21" s="1730">
        <f t="shared" si="2"/>
        <v>0</v>
      </c>
      <c r="AB21" s="1610">
        <f>1590</f>
        <v>1590</v>
      </c>
      <c r="AC21" s="1730">
        <f t="shared" si="3"/>
        <v>0</v>
      </c>
      <c r="AD21" s="1695">
        <f>1590</f>
        <v>1590</v>
      </c>
      <c r="AE21" s="1734">
        <f t="shared" si="4"/>
        <v>0</v>
      </c>
    </row>
    <row r="22" spans="1:31" ht="25.5">
      <c r="A22" s="1609">
        <v>36</v>
      </c>
      <c r="B22" s="1618" t="s">
        <v>1266</v>
      </c>
      <c r="C22" s="1614" t="s">
        <v>1278</v>
      </c>
      <c r="D22" s="1619" t="s">
        <v>1268</v>
      </c>
      <c r="E22" s="1581"/>
      <c r="F22" s="1581"/>
      <c r="G22" s="1610">
        <f>490</f>
        <v>490</v>
      </c>
      <c r="H22" s="1581">
        <v>686</v>
      </c>
      <c r="I22" s="1581">
        <v>637</v>
      </c>
      <c r="J22" s="1722"/>
      <c r="K22" s="1581"/>
      <c r="L22" s="1727"/>
      <c r="M22" s="1581"/>
      <c r="N22" s="1581"/>
      <c r="O22" s="1581"/>
      <c r="P22" s="1581"/>
      <c r="Q22" s="1581"/>
      <c r="R22" s="1581"/>
      <c r="S22" s="1581"/>
      <c r="T22" s="1581"/>
      <c r="U22" s="1581"/>
      <c r="X22" s="1580">
        <f t="shared" si="1"/>
        <v>490</v>
      </c>
      <c r="Y22" s="1580">
        <f t="shared" si="0"/>
        <v>524.30000000000007</v>
      </c>
      <c r="Z22" s="1610">
        <f>490*1.07</f>
        <v>524.30000000000007</v>
      </c>
      <c r="AA22" s="1730">
        <f t="shared" si="2"/>
        <v>0</v>
      </c>
      <c r="AB22" s="1610">
        <f>490</f>
        <v>490</v>
      </c>
      <c r="AC22" s="1730">
        <f t="shared" si="3"/>
        <v>0</v>
      </c>
      <c r="AD22" s="1695">
        <f>490</f>
        <v>490</v>
      </c>
      <c r="AE22" s="1734">
        <f t="shared" si="4"/>
        <v>0</v>
      </c>
    </row>
    <row r="23" spans="1:31" ht="25.5">
      <c r="A23" s="1609">
        <v>37</v>
      </c>
      <c r="B23" s="1618" t="s">
        <v>1266</v>
      </c>
      <c r="C23" s="1614" t="s">
        <v>1279</v>
      </c>
      <c r="D23" s="1619" t="s">
        <v>1268</v>
      </c>
      <c r="E23" s="1581"/>
      <c r="F23" s="1581"/>
      <c r="G23" s="1610">
        <f>540</f>
        <v>540</v>
      </c>
      <c r="H23" s="1581">
        <v>756</v>
      </c>
      <c r="I23" s="1581">
        <v>702</v>
      </c>
      <c r="J23" s="1722"/>
      <c r="K23" s="1581"/>
      <c r="L23" s="1727"/>
      <c r="M23" s="1581"/>
      <c r="N23" s="1581"/>
      <c r="O23" s="1581"/>
      <c r="P23" s="1581"/>
      <c r="Q23" s="1581"/>
      <c r="R23" s="1581"/>
      <c r="S23" s="1581"/>
      <c r="T23" s="1581"/>
      <c r="U23" s="1581"/>
      <c r="X23" s="1580">
        <f t="shared" si="1"/>
        <v>540</v>
      </c>
      <c r="Y23" s="1580">
        <f t="shared" si="0"/>
        <v>577.80000000000007</v>
      </c>
      <c r="Z23" s="1610">
        <f>540*1.07</f>
        <v>577.80000000000007</v>
      </c>
      <c r="AA23" s="1730">
        <f t="shared" si="2"/>
        <v>0</v>
      </c>
      <c r="AB23" s="1610">
        <f>540</f>
        <v>540</v>
      </c>
      <c r="AC23" s="1730">
        <f t="shared" si="3"/>
        <v>0</v>
      </c>
      <c r="AD23" s="1695">
        <f>540</f>
        <v>540</v>
      </c>
      <c r="AE23" s="1734">
        <f t="shared" si="4"/>
        <v>0</v>
      </c>
    </row>
    <row r="24" spans="1:31" ht="25.5">
      <c r="A24" s="1609">
        <v>38</v>
      </c>
      <c r="B24" s="1618" t="s">
        <v>1266</v>
      </c>
      <c r="C24" s="1614" t="s">
        <v>1280</v>
      </c>
      <c r="D24" s="1619" t="s">
        <v>1268</v>
      </c>
      <c r="E24" s="1581"/>
      <c r="F24" s="1581"/>
      <c r="G24" s="1610">
        <f>560</f>
        <v>560</v>
      </c>
      <c r="H24" s="1581">
        <v>784</v>
      </c>
      <c r="I24" s="1581">
        <v>728</v>
      </c>
      <c r="J24" s="1722"/>
      <c r="K24" s="1581"/>
      <c r="L24" s="1727"/>
      <c r="M24" s="1581"/>
      <c r="N24" s="1581"/>
      <c r="O24" s="1581"/>
      <c r="P24" s="1581"/>
      <c r="Q24" s="1581"/>
      <c r="R24" s="1581"/>
      <c r="S24" s="1581"/>
      <c r="T24" s="1581"/>
      <c r="U24" s="1581"/>
      <c r="X24" s="1580">
        <f t="shared" si="1"/>
        <v>560</v>
      </c>
      <c r="Y24" s="1580">
        <f t="shared" si="0"/>
        <v>599.20000000000005</v>
      </c>
      <c r="Z24" s="1610">
        <f>560*1.07</f>
        <v>599.20000000000005</v>
      </c>
      <c r="AA24" s="1730">
        <f t="shared" si="2"/>
        <v>0</v>
      </c>
      <c r="AB24" s="1610">
        <f>560</f>
        <v>560</v>
      </c>
      <c r="AC24" s="1730">
        <f t="shared" si="3"/>
        <v>0</v>
      </c>
      <c r="AD24" s="1695">
        <f>560</f>
        <v>560</v>
      </c>
      <c r="AE24" s="1734">
        <f t="shared" si="4"/>
        <v>0</v>
      </c>
    </row>
    <row r="25" spans="1:31" ht="25.5">
      <c r="A25" s="1609">
        <v>39</v>
      </c>
      <c r="B25" s="1618" t="s">
        <v>1266</v>
      </c>
      <c r="C25" s="1614" t="s">
        <v>1281</v>
      </c>
      <c r="D25" s="1619" t="s">
        <v>1268</v>
      </c>
      <c r="E25" s="1581"/>
      <c r="F25" s="1581"/>
      <c r="G25" s="1610">
        <f>620</f>
        <v>620</v>
      </c>
      <c r="H25" s="1581">
        <v>868</v>
      </c>
      <c r="I25" s="1581">
        <v>806</v>
      </c>
      <c r="J25" s="1722"/>
      <c r="K25" s="1581"/>
      <c r="L25" s="1727"/>
      <c r="M25" s="1581"/>
      <c r="N25" s="1581"/>
      <c r="O25" s="1581"/>
      <c r="P25" s="1581"/>
      <c r="Q25" s="1581"/>
      <c r="R25" s="1581"/>
      <c r="S25" s="1581"/>
      <c r="T25" s="1581"/>
      <c r="U25" s="1581"/>
      <c r="X25" s="1580">
        <f t="shared" si="1"/>
        <v>620</v>
      </c>
      <c r="Y25" s="1580">
        <f t="shared" si="0"/>
        <v>663.40000000000009</v>
      </c>
      <c r="Z25" s="1610">
        <f>620*1.07</f>
        <v>663.40000000000009</v>
      </c>
      <c r="AA25" s="1730">
        <f t="shared" si="2"/>
        <v>0</v>
      </c>
      <c r="AB25" s="1610">
        <f>620</f>
        <v>620</v>
      </c>
      <c r="AC25" s="1730">
        <f t="shared" si="3"/>
        <v>0</v>
      </c>
      <c r="AD25" s="1695">
        <f>620</f>
        <v>620</v>
      </c>
      <c r="AE25" s="1734">
        <f t="shared" si="4"/>
        <v>0</v>
      </c>
    </row>
    <row r="26" spans="1:31" ht="25.5">
      <c r="A26" s="1609">
        <v>40</v>
      </c>
      <c r="B26" s="1618" t="s">
        <v>1282</v>
      </c>
      <c r="C26" s="1614" t="s">
        <v>1283</v>
      </c>
      <c r="D26" s="1619" t="s">
        <v>1268</v>
      </c>
      <c r="E26" s="1581"/>
      <c r="F26" s="1581"/>
      <c r="G26" s="1610">
        <f>620</f>
        <v>620</v>
      </c>
      <c r="H26" s="1581">
        <v>868</v>
      </c>
      <c r="I26" s="1581">
        <v>806</v>
      </c>
      <c r="J26" s="1722"/>
      <c r="K26" s="1581"/>
      <c r="L26" s="1727"/>
      <c r="M26" s="1581"/>
      <c r="N26" s="1581"/>
      <c r="O26" s="1581"/>
      <c r="P26" s="1581"/>
      <c r="Q26" s="1581"/>
      <c r="R26" s="1581"/>
      <c r="S26" s="1581"/>
      <c r="T26" s="1581"/>
      <c r="U26" s="1581"/>
      <c r="X26" s="1580">
        <f t="shared" si="1"/>
        <v>620</v>
      </c>
      <c r="Y26" s="1580">
        <f t="shared" si="0"/>
        <v>663.40000000000009</v>
      </c>
      <c r="Z26" s="1610">
        <f>620*1.07</f>
        <v>663.40000000000009</v>
      </c>
      <c r="AA26" s="1730">
        <f t="shared" si="2"/>
        <v>0</v>
      </c>
      <c r="AB26" s="1610">
        <f>620</f>
        <v>620</v>
      </c>
      <c r="AC26" s="1730">
        <f t="shared" si="3"/>
        <v>0</v>
      </c>
      <c r="AD26" s="1695"/>
      <c r="AE26" s="1734"/>
    </row>
    <row r="27" spans="1:31" ht="25.5">
      <c r="A27" s="1609">
        <v>41</v>
      </c>
      <c r="B27" s="1618" t="s">
        <v>1266</v>
      </c>
      <c r="C27" s="1614" t="s">
        <v>1284</v>
      </c>
      <c r="D27" s="1619" t="s">
        <v>1268</v>
      </c>
      <c r="E27" s="1581"/>
      <c r="F27" s="1581"/>
      <c r="G27" s="1610">
        <f>710</f>
        <v>710</v>
      </c>
      <c r="H27" s="1581">
        <v>994</v>
      </c>
      <c r="I27" s="1581">
        <v>852</v>
      </c>
      <c r="J27" s="1722"/>
      <c r="K27" s="1581"/>
      <c r="L27" s="1727"/>
      <c r="M27" s="1581"/>
      <c r="N27" s="1581"/>
      <c r="O27" s="1581"/>
      <c r="P27" s="1581"/>
      <c r="Q27" s="1581"/>
      <c r="R27" s="1581"/>
      <c r="S27" s="1581"/>
      <c r="T27" s="1581"/>
      <c r="U27" s="1581"/>
      <c r="X27" s="1580">
        <f t="shared" si="1"/>
        <v>710</v>
      </c>
      <c r="Y27" s="1580">
        <f t="shared" si="0"/>
        <v>759.7</v>
      </c>
      <c r="Z27" s="1610">
        <f>710*1.07</f>
        <v>759.7</v>
      </c>
      <c r="AA27" s="1730">
        <f t="shared" si="2"/>
        <v>0</v>
      </c>
      <c r="AB27" s="1610">
        <f>710</f>
        <v>710</v>
      </c>
      <c r="AC27" s="1730">
        <f t="shared" si="3"/>
        <v>0</v>
      </c>
      <c r="AD27" s="1695"/>
      <c r="AE27" s="1734"/>
    </row>
    <row r="28" spans="1:31">
      <c r="A28" s="1609">
        <v>42</v>
      </c>
      <c r="B28" s="1620" t="s">
        <v>1285</v>
      </c>
      <c r="C28" s="1621" t="s">
        <v>1286</v>
      </c>
      <c r="D28" s="1620" t="s">
        <v>1022</v>
      </c>
      <c r="F28" s="1581"/>
      <c r="G28" s="1581"/>
      <c r="H28" s="1581"/>
      <c r="I28" s="1581"/>
      <c r="J28" s="1581"/>
      <c r="K28" s="1581"/>
      <c r="L28" s="1727"/>
      <c r="M28" s="1581"/>
      <c r="N28" s="1581"/>
      <c r="O28" s="1581"/>
      <c r="P28" s="1581"/>
      <c r="Q28" s="1581"/>
      <c r="R28" s="1581"/>
      <c r="S28" s="1581"/>
      <c r="T28" s="1581"/>
      <c r="U28" s="1581"/>
      <c r="X28" s="1580">
        <f t="shared" si="1"/>
        <v>0</v>
      </c>
      <c r="Y28" s="1580">
        <f t="shared" si="0"/>
        <v>0</v>
      </c>
      <c r="Z28" s="1581"/>
      <c r="AA28" s="1730">
        <f t="shared" si="2"/>
        <v>0</v>
      </c>
      <c r="AC28" s="1730">
        <f t="shared" si="3"/>
        <v>0</v>
      </c>
      <c r="AD28" s="1694"/>
      <c r="AE28" s="1734">
        <f t="shared" si="4"/>
        <v>0</v>
      </c>
    </row>
    <row r="29" spans="1:31">
      <c r="A29" s="1609">
        <v>43</v>
      </c>
      <c r="B29" s="1620" t="s">
        <v>1285</v>
      </c>
      <c r="C29" s="1621" t="s">
        <v>1287</v>
      </c>
      <c r="D29" s="1620" t="s">
        <v>1022</v>
      </c>
      <c r="F29" s="1581"/>
      <c r="G29" s="1581"/>
      <c r="H29" s="1581"/>
      <c r="I29" s="1581"/>
      <c r="J29" s="1581"/>
      <c r="K29" s="1581"/>
      <c r="L29" s="1727"/>
      <c r="M29" s="1581"/>
      <c r="N29" s="1581"/>
      <c r="O29" s="1581"/>
      <c r="P29" s="1581"/>
      <c r="Q29" s="1581"/>
      <c r="R29" s="1581"/>
      <c r="S29" s="1581"/>
      <c r="T29" s="1581"/>
      <c r="U29" s="1581"/>
      <c r="X29" s="1580">
        <f t="shared" si="1"/>
        <v>0</v>
      </c>
      <c r="Y29" s="1580">
        <f t="shared" si="0"/>
        <v>0</v>
      </c>
      <c r="Z29" s="1581"/>
      <c r="AA29" s="1730">
        <f t="shared" si="2"/>
        <v>0</v>
      </c>
      <c r="AC29" s="1730">
        <f t="shared" si="3"/>
        <v>0</v>
      </c>
      <c r="AD29" s="1694"/>
      <c r="AE29" s="1734">
        <f t="shared" si="4"/>
        <v>0</v>
      </c>
    </row>
    <row r="30" spans="1:31">
      <c r="A30" s="1609">
        <v>44</v>
      </c>
      <c r="B30" s="1622" t="s">
        <v>1288</v>
      </c>
      <c r="C30" s="1621" t="s">
        <v>1289</v>
      </c>
      <c r="D30" s="1622" t="s">
        <v>1290</v>
      </c>
      <c r="E30" s="1581"/>
      <c r="F30" s="1581"/>
      <c r="G30" s="1581"/>
      <c r="H30" s="1581"/>
      <c r="I30" s="1581"/>
      <c r="J30" s="1722"/>
      <c r="K30" s="1581"/>
      <c r="L30" s="1727"/>
      <c r="M30" s="1581"/>
      <c r="N30" s="1581"/>
      <c r="O30" s="1581"/>
      <c r="P30" s="1581">
        <f>2.5</f>
        <v>2.5</v>
      </c>
      <c r="Q30" s="1581">
        <v>2.8</v>
      </c>
      <c r="R30" s="1581">
        <v>3</v>
      </c>
      <c r="S30" s="1581"/>
      <c r="T30" s="1581"/>
      <c r="U30" s="1581"/>
      <c r="X30" s="1580">
        <f t="shared" si="1"/>
        <v>2.5</v>
      </c>
      <c r="Y30" s="1580">
        <f t="shared" si="0"/>
        <v>2.6750000000000003</v>
      </c>
      <c r="Z30" s="1581">
        <f>ROUND(2.5*1.07,2)</f>
        <v>2.68</v>
      </c>
      <c r="AA30" s="1730">
        <f t="shared" si="2"/>
        <v>-4.9999999999998934E-3</v>
      </c>
      <c r="AC30" s="1730"/>
      <c r="AD30" s="1694"/>
      <c r="AE30" s="1734"/>
    </row>
    <row r="31" spans="1:31">
      <c r="A31" s="1609">
        <v>45</v>
      </c>
      <c r="B31" s="1622" t="s">
        <v>1288</v>
      </c>
      <c r="C31" s="1621" t="s">
        <v>1291</v>
      </c>
      <c r="D31" s="1622" t="s">
        <v>1290</v>
      </c>
      <c r="E31" s="1581"/>
      <c r="F31" s="1581"/>
      <c r="G31" s="1581"/>
      <c r="H31" s="1581"/>
      <c r="I31" s="1581"/>
      <c r="J31" s="1722"/>
      <c r="K31" s="1581"/>
      <c r="L31" s="1727"/>
      <c r="M31" s="1581"/>
      <c r="N31" s="1581"/>
      <c r="O31" s="1581"/>
      <c r="P31" s="1581">
        <f>6</f>
        <v>6</v>
      </c>
      <c r="Q31" s="1581">
        <v>6.5</v>
      </c>
      <c r="R31" s="1581">
        <v>7</v>
      </c>
      <c r="S31" s="1581"/>
      <c r="T31" s="1581"/>
      <c r="U31" s="1581"/>
      <c r="X31" s="1580">
        <f t="shared" si="1"/>
        <v>6</v>
      </c>
      <c r="Y31" s="1580">
        <f t="shared" si="0"/>
        <v>6.42</v>
      </c>
      <c r="Z31" s="1581">
        <f>6*1.07</f>
        <v>6.42</v>
      </c>
      <c r="AA31" s="1730">
        <f t="shared" si="2"/>
        <v>0</v>
      </c>
      <c r="AC31" s="1730"/>
      <c r="AD31" s="1694"/>
      <c r="AE31" s="1734"/>
    </row>
    <row r="32" spans="1:31" ht="25.5">
      <c r="A32" s="1609">
        <v>46</v>
      </c>
      <c r="B32" s="1620" t="s">
        <v>1288</v>
      </c>
      <c r="C32" s="1621" t="s">
        <v>2133</v>
      </c>
      <c r="D32" s="1620" t="s">
        <v>1022</v>
      </c>
      <c r="F32" s="1581"/>
      <c r="G32" s="1581"/>
      <c r="H32" s="1581"/>
      <c r="I32" s="1581"/>
      <c r="J32" s="1581"/>
      <c r="K32" s="1581"/>
      <c r="L32" s="1727"/>
      <c r="M32" s="1581"/>
      <c r="N32" s="1581"/>
      <c r="O32" s="1581"/>
      <c r="P32" s="1581"/>
      <c r="Q32" s="1581"/>
      <c r="R32" s="1581"/>
      <c r="S32" s="1581"/>
      <c r="T32" s="1581"/>
      <c r="U32" s="1581"/>
      <c r="X32" s="1580">
        <f t="shared" si="1"/>
        <v>0</v>
      </c>
      <c r="Y32" s="1580">
        <f t="shared" si="0"/>
        <v>0</v>
      </c>
      <c r="Z32" s="1581"/>
      <c r="AA32" s="1730">
        <f t="shared" si="2"/>
        <v>0</v>
      </c>
      <c r="AC32" s="1730"/>
      <c r="AD32" s="1694"/>
      <c r="AE32" s="1734"/>
    </row>
    <row r="33" spans="1:31" ht="25.5">
      <c r="A33" s="1609">
        <v>47</v>
      </c>
      <c r="B33" s="1620" t="s">
        <v>1288</v>
      </c>
      <c r="C33" s="1621" t="s">
        <v>1292</v>
      </c>
      <c r="D33" s="1620" t="s">
        <v>1022</v>
      </c>
      <c r="F33" s="1581"/>
      <c r="G33" s="1581"/>
      <c r="H33" s="1581"/>
      <c r="I33" s="1581"/>
      <c r="J33" s="1581">
        <f>50</f>
        <v>50</v>
      </c>
      <c r="K33" s="1581">
        <v>150</v>
      </c>
      <c r="L33" s="1727">
        <v>150</v>
      </c>
      <c r="M33" s="1581"/>
      <c r="N33" s="1581"/>
      <c r="O33" s="1581"/>
      <c r="P33" s="1581"/>
      <c r="Q33" s="1581"/>
      <c r="R33" s="1581"/>
      <c r="S33" s="1581"/>
      <c r="T33" s="1581"/>
      <c r="U33" s="1581"/>
      <c r="X33" s="1580">
        <f t="shared" si="1"/>
        <v>50</v>
      </c>
      <c r="Y33" s="1580">
        <f t="shared" si="0"/>
        <v>53.5</v>
      </c>
      <c r="Z33" s="1581">
        <f>50*1.07</f>
        <v>53.5</v>
      </c>
      <c r="AA33" s="1730">
        <f t="shared" si="2"/>
        <v>0</v>
      </c>
      <c r="AC33" s="1730"/>
      <c r="AD33" s="1694"/>
      <c r="AE33" s="1734"/>
    </row>
    <row r="34" spans="1:31">
      <c r="A34" s="1609">
        <v>48</v>
      </c>
      <c r="B34" s="1618" t="s">
        <v>1294</v>
      </c>
      <c r="C34" s="1614" t="s">
        <v>1295</v>
      </c>
      <c r="D34" s="1619" t="s">
        <v>1268</v>
      </c>
      <c r="E34" s="1581"/>
      <c r="F34" s="1610"/>
      <c r="G34" s="1610">
        <f>400</f>
        <v>400</v>
      </c>
      <c r="H34" s="1581">
        <v>560</v>
      </c>
      <c r="I34" s="1581">
        <v>520</v>
      </c>
      <c r="J34" s="1722"/>
      <c r="K34" s="1581"/>
      <c r="L34" s="1727"/>
      <c r="M34" s="1581"/>
      <c r="N34" s="1581"/>
      <c r="O34" s="1581"/>
      <c r="P34" s="1581"/>
      <c r="Q34" s="1581"/>
      <c r="R34" s="1581"/>
      <c r="S34" s="1581"/>
      <c r="T34" s="1581"/>
      <c r="U34" s="1581"/>
      <c r="X34" s="1580">
        <f t="shared" si="1"/>
        <v>400</v>
      </c>
      <c r="Y34" s="1580">
        <f t="shared" si="0"/>
        <v>428</v>
      </c>
      <c r="Z34" s="1610">
        <f>400*1.07</f>
        <v>428</v>
      </c>
      <c r="AA34" s="1730">
        <f t="shared" si="2"/>
        <v>0</v>
      </c>
      <c r="AB34" s="1610">
        <v>400</v>
      </c>
      <c r="AC34" s="1730">
        <f t="shared" si="3"/>
        <v>0</v>
      </c>
      <c r="AD34" s="1695"/>
      <c r="AE34" s="1734"/>
    </row>
    <row r="35" spans="1:31">
      <c r="A35" s="1609">
        <v>49</v>
      </c>
      <c r="B35" s="1618" t="s">
        <v>1294</v>
      </c>
      <c r="C35" s="1614" t="s">
        <v>1296</v>
      </c>
      <c r="D35" s="1619" t="s">
        <v>1268</v>
      </c>
      <c r="E35" s="1581"/>
      <c r="F35" s="1610"/>
      <c r="G35" s="1610"/>
      <c r="H35" s="1581"/>
      <c r="I35" s="1581"/>
      <c r="J35" s="1722"/>
      <c r="K35" s="1581"/>
      <c r="L35" s="1727"/>
      <c r="M35" s="1581"/>
      <c r="N35" s="1581"/>
      <c r="O35" s="1581"/>
      <c r="P35" s="1610">
        <f>100</f>
        <v>100</v>
      </c>
      <c r="Q35" s="1581">
        <v>110</v>
      </c>
      <c r="R35" s="1581">
        <v>120</v>
      </c>
      <c r="S35" s="1581"/>
      <c r="T35" s="1581"/>
      <c r="U35" s="1581"/>
      <c r="X35" s="1580">
        <f t="shared" si="1"/>
        <v>100</v>
      </c>
      <c r="Y35" s="1580">
        <f t="shared" si="0"/>
        <v>107</v>
      </c>
      <c r="Z35" s="1610">
        <f>100*1.07</f>
        <v>107</v>
      </c>
      <c r="AA35" s="1730">
        <f t="shared" si="2"/>
        <v>0</v>
      </c>
      <c r="AB35" s="1610">
        <v>100</v>
      </c>
      <c r="AC35" s="1730">
        <f t="shared" si="3"/>
        <v>0</v>
      </c>
      <c r="AD35" s="1695"/>
      <c r="AE35" s="1734"/>
    </row>
    <row r="36" spans="1:31">
      <c r="A36" s="1609">
        <v>50</v>
      </c>
      <c r="B36" s="1618" t="s">
        <v>1297</v>
      </c>
      <c r="C36" s="1614" t="s">
        <v>1298</v>
      </c>
      <c r="D36" s="1619" t="s">
        <v>1268</v>
      </c>
      <c r="E36" s="1581"/>
      <c r="F36" s="1610"/>
      <c r="G36" s="1610">
        <f>390</f>
        <v>390</v>
      </c>
      <c r="H36" s="1581">
        <v>546</v>
      </c>
      <c r="I36" s="1581">
        <v>507</v>
      </c>
      <c r="J36" s="1722"/>
      <c r="K36" s="1581"/>
      <c r="L36" s="1727"/>
      <c r="M36" s="1581"/>
      <c r="N36" s="1581"/>
      <c r="O36" s="1581"/>
      <c r="P36" s="1581"/>
      <c r="Q36" s="1581"/>
      <c r="R36" s="1581"/>
      <c r="S36" s="1581"/>
      <c r="T36" s="1581"/>
      <c r="U36" s="1581"/>
      <c r="X36" s="1580">
        <f t="shared" si="1"/>
        <v>390</v>
      </c>
      <c r="Y36" s="1580">
        <f t="shared" si="0"/>
        <v>417.3</v>
      </c>
      <c r="Z36" s="1610">
        <f>390*1.07</f>
        <v>417.3</v>
      </c>
      <c r="AA36" s="1730">
        <f t="shared" si="2"/>
        <v>0</v>
      </c>
      <c r="AB36" s="1580">
        <v>390</v>
      </c>
      <c r="AC36" s="1730">
        <f t="shared" si="3"/>
        <v>0</v>
      </c>
      <c r="AD36" s="1695"/>
      <c r="AE36" s="1734"/>
    </row>
    <row r="37" spans="1:31" hidden="1">
      <c r="A37" s="1609">
        <v>51</v>
      </c>
      <c r="B37" s="1618" t="s">
        <v>1294</v>
      </c>
      <c r="C37" s="1614" t="s">
        <v>1299</v>
      </c>
      <c r="D37" s="1619" t="s">
        <v>1268</v>
      </c>
      <c r="E37" s="1610"/>
      <c r="F37" s="1610"/>
      <c r="G37" s="1610"/>
      <c r="H37" s="1581"/>
      <c r="I37" s="1581"/>
      <c r="J37" s="1722"/>
      <c r="K37" s="1581"/>
      <c r="L37" s="1727"/>
      <c r="M37" s="1581"/>
      <c r="N37" s="1581"/>
      <c r="O37" s="1581"/>
      <c r="P37" s="1581"/>
      <c r="Q37" s="1581"/>
      <c r="R37" s="1581"/>
      <c r="S37" s="1581"/>
      <c r="T37" s="1581"/>
      <c r="U37" s="1581"/>
      <c r="X37" s="1580">
        <f t="shared" si="1"/>
        <v>0</v>
      </c>
      <c r="Y37" s="1580">
        <f t="shared" si="0"/>
        <v>0</v>
      </c>
      <c r="Z37" s="1610"/>
      <c r="AA37" s="1730">
        <f t="shared" si="2"/>
        <v>0</v>
      </c>
      <c r="AC37" s="1730">
        <f t="shared" si="3"/>
        <v>0</v>
      </c>
      <c r="AD37" s="1695"/>
      <c r="AE37" s="1734"/>
    </row>
    <row r="38" spans="1:31" ht="25.5">
      <c r="A38" s="1609">
        <v>52</v>
      </c>
      <c r="B38" s="1724" t="s">
        <v>1300</v>
      </c>
      <c r="C38" s="1621" t="s">
        <v>1301</v>
      </c>
      <c r="D38" s="1620" t="s">
        <v>1022</v>
      </c>
      <c r="E38" s="1581">
        <f>190</f>
        <v>190</v>
      </c>
      <c r="F38" s="1581"/>
      <c r="G38" s="1581"/>
      <c r="H38" s="1581"/>
      <c r="I38" s="1581"/>
      <c r="J38" s="1722"/>
      <c r="K38" s="1581"/>
      <c r="L38" s="1727"/>
      <c r="M38" s="1581"/>
      <c r="N38" s="1581"/>
      <c r="O38" s="1581"/>
      <c r="P38" s="1581"/>
      <c r="Q38" s="1581"/>
      <c r="R38" s="1581"/>
      <c r="S38" s="1581"/>
      <c r="T38" s="1581"/>
      <c r="U38" s="1581"/>
      <c r="X38" s="1580">
        <f t="shared" si="1"/>
        <v>190</v>
      </c>
      <c r="Y38" s="1580">
        <f t="shared" si="0"/>
        <v>203.3</v>
      </c>
      <c r="Z38" s="1581">
        <f>190*1.07</f>
        <v>203.3</v>
      </c>
      <c r="AA38" s="1730">
        <f t="shared" si="2"/>
        <v>0</v>
      </c>
      <c r="AB38" s="1580">
        <v>190</v>
      </c>
      <c r="AC38" s="1730">
        <f t="shared" si="3"/>
        <v>0</v>
      </c>
      <c r="AD38" s="1694"/>
      <c r="AE38" s="1734"/>
    </row>
    <row r="39" spans="1:31" ht="38.25">
      <c r="A39" s="1609">
        <v>53</v>
      </c>
      <c r="B39" s="1618" t="s">
        <v>1303</v>
      </c>
      <c r="C39" s="1621" t="s">
        <v>1304</v>
      </c>
      <c r="D39" s="1622" t="s">
        <v>1263</v>
      </c>
      <c r="E39" s="1581"/>
      <c r="F39" s="1581"/>
      <c r="G39" s="1581"/>
      <c r="H39" s="1581"/>
      <c r="I39" s="1581"/>
      <c r="J39" s="1722">
        <f>40</f>
        <v>40</v>
      </c>
      <c r="K39" s="1581">
        <v>45</v>
      </c>
      <c r="L39" s="1727">
        <v>45</v>
      </c>
      <c r="M39" s="1581"/>
      <c r="N39" s="1581"/>
      <c r="O39" s="1581"/>
      <c r="P39" s="1581"/>
      <c r="Q39" s="1581"/>
      <c r="R39" s="1581"/>
      <c r="S39" s="1581"/>
      <c r="T39" s="1581"/>
      <c r="U39" s="1581"/>
      <c r="X39" s="1580">
        <f t="shared" si="1"/>
        <v>40</v>
      </c>
      <c r="Y39" s="1580">
        <f t="shared" si="0"/>
        <v>42.800000000000004</v>
      </c>
      <c r="Z39" s="1581">
        <f>40*1.07</f>
        <v>42.800000000000004</v>
      </c>
      <c r="AA39" s="1730">
        <f t="shared" si="2"/>
        <v>0</v>
      </c>
      <c r="AC39" s="1730"/>
      <c r="AD39" s="1694">
        <f>40</f>
        <v>40</v>
      </c>
      <c r="AE39" s="1734">
        <f t="shared" si="4"/>
        <v>0</v>
      </c>
    </row>
    <row r="40" spans="1:31">
      <c r="A40" s="1609">
        <v>54</v>
      </c>
      <c r="B40" s="1620" t="s">
        <v>1305</v>
      </c>
      <c r="C40" s="1621" t="s">
        <v>1306</v>
      </c>
      <c r="D40" s="1620" t="s">
        <v>1268</v>
      </c>
      <c r="E40" s="1581">
        <f>550</f>
        <v>550</v>
      </c>
      <c r="F40" s="1581"/>
      <c r="G40" s="1581"/>
      <c r="H40" s="1581"/>
      <c r="I40" s="1581"/>
      <c r="J40" s="1722"/>
      <c r="K40" s="1581"/>
      <c r="L40" s="1727"/>
      <c r="M40" s="1581"/>
      <c r="N40" s="1581"/>
      <c r="O40" s="1581"/>
      <c r="P40" s="1581"/>
      <c r="Q40" s="1581"/>
      <c r="R40" s="1581"/>
      <c r="S40" s="1581"/>
      <c r="T40" s="1581"/>
      <c r="U40" s="1581"/>
      <c r="X40" s="1580">
        <f t="shared" si="1"/>
        <v>550</v>
      </c>
      <c r="Y40" s="1580">
        <f t="shared" si="0"/>
        <v>588.5</v>
      </c>
      <c r="Z40" s="1581">
        <f>550*1.07</f>
        <v>588.5</v>
      </c>
      <c r="AA40" s="1730">
        <f t="shared" si="2"/>
        <v>0</v>
      </c>
      <c r="AC40" s="1730"/>
      <c r="AD40" s="1694"/>
      <c r="AE40" s="1734"/>
    </row>
    <row r="41" spans="1:31">
      <c r="A41" s="1609">
        <v>55</v>
      </c>
      <c r="B41" s="1620" t="s">
        <v>1305</v>
      </c>
      <c r="C41" s="1621" t="s">
        <v>1307</v>
      </c>
      <c r="D41" s="1620" t="s">
        <v>1268</v>
      </c>
      <c r="E41" s="1581">
        <f>650</f>
        <v>650</v>
      </c>
      <c r="F41" s="1581"/>
      <c r="G41" s="1581"/>
      <c r="H41" s="1581"/>
      <c r="I41" s="1581"/>
      <c r="J41" s="1722"/>
      <c r="K41" s="1581"/>
      <c r="L41" s="1727"/>
      <c r="M41" s="1581"/>
      <c r="N41" s="1581"/>
      <c r="O41" s="1581"/>
      <c r="P41" s="1581"/>
      <c r="Q41" s="1581"/>
      <c r="R41" s="1581"/>
      <c r="S41" s="1581"/>
      <c r="T41" s="1581"/>
      <c r="U41" s="1581"/>
      <c r="X41" s="1580">
        <f t="shared" si="1"/>
        <v>650</v>
      </c>
      <c r="Y41" s="1580">
        <f t="shared" si="0"/>
        <v>695.5</v>
      </c>
      <c r="Z41" s="1581">
        <f>650*1.07</f>
        <v>695.5</v>
      </c>
      <c r="AA41" s="1730">
        <f t="shared" si="2"/>
        <v>0</v>
      </c>
      <c r="AC41" s="1730"/>
      <c r="AD41" s="1694"/>
      <c r="AE41" s="1734"/>
    </row>
    <row r="42" spans="1:31">
      <c r="A42" s="1609">
        <v>56</v>
      </c>
      <c r="B42" s="1620" t="s">
        <v>1308</v>
      </c>
      <c r="C42" s="1621" t="s">
        <v>1309</v>
      </c>
      <c r="D42" s="1620" t="s">
        <v>1268</v>
      </c>
      <c r="E42" s="1581">
        <f>850</f>
        <v>850</v>
      </c>
      <c r="F42" s="1581"/>
      <c r="G42" s="1581"/>
      <c r="H42" s="1581"/>
      <c r="I42" s="1581"/>
      <c r="J42" s="1722"/>
      <c r="K42" s="1581"/>
      <c r="L42" s="1727"/>
      <c r="M42" s="1581"/>
      <c r="N42" s="1581"/>
      <c r="O42" s="1581"/>
      <c r="P42" s="1581"/>
      <c r="Q42" s="1581"/>
      <c r="R42" s="1581"/>
      <c r="S42" s="1581"/>
      <c r="T42" s="1581"/>
      <c r="U42" s="1581"/>
      <c r="X42" s="1580">
        <f t="shared" si="1"/>
        <v>850</v>
      </c>
      <c r="Y42" s="1580">
        <f t="shared" si="0"/>
        <v>909.5</v>
      </c>
      <c r="Z42" s="1581">
        <f>850*1.07</f>
        <v>909.5</v>
      </c>
      <c r="AA42" s="1730">
        <f t="shared" si="2"/>
        <v>0</v>
      </c>
      <c r="AC42" s="1730"/>
      <c r="AD42" s="1694"/>
      <c r="AE42" s="1734"/>
    </row>
    <row r="43" spans="1:31">
      <c r="A43" s="1609">
        <v>57</v>
      </c>
      <c r="B43" s="1618" t="s">
        <v>1310</v>
      </c>
      <c r="C43" s="1621" t="s">
        <v>1311</v>
      </c>
      <c r="D43" s="1618" t="s">
        <v>1022</v>
      </c>
      <c r="E43" s="1581">
        <f>2000</f>
        <v>2000</v>
      </c>
      <c r="F43" s="1581"/>
      <c r="G43" s="1581"/>
      <c r="H43" s="1581">
        <v>2800</v>
      </c>
      <c r="I43" s="1581">
        <v>2400</v>
      </c>
      <c r="J43" s="1722"/>
      <c r="K43" s="1581"/>
      <c r="L43" s="1727"/>
      <c r="M43" s="1581"/>
      <c r="N43" s="1581"/>
      <c r="O43" s="1581"/>
      <c r="P43" s="1581"/>
      <c r="Q43" s="1581"/>
      <c r="R43" s="1581"/>
      <c r="S43" s="1581"/>
      <c r="T43" s="1581"/>
      <c r="U43" s="1581"/>
      <c r="X43" s="1580">
        <f t="shared" si="1"/>
        <v>2000</v>
      </c>
      <c r="Y43" s="1580">
        <f t="shared" si="0"/>
        <v>2140</v>
      </c>
      <c r="Z43" s="1581">
        <f>2000*1.07</f>
        <v>2140</v>
      </c>
      <c r="AA43" s="1730">
        <f t="shared" si="2"/>
        <v>0</v>
      </c>
      <c r="AB43" s="1580">
        <v>2000</v>
      </c>
      <c r="AC43" s="1730">
        <f t="shared" si="3"/>
        <v>0</v>
      </c>
      <c r="AD43" s="1694">
        <f>2000</f>
        <v>2000</v>
      </c>
      <c r="AE43" s="1734">
        <f t="shared" si="4"/>
        <v>0</v>
      </c>
    </row>
    <row r="44" spans="1:31" hidden="1">
      <c r="A44" s="1609"/>
      <c r="B44" s="1618" t="s">
        <v>1312</v>
      </c>
      <c r="C44" s="1621" t="s">
        <v>1313</v>
      </c>
      <c r="D44" s="1618"/>
      <c r="E44" s="1581"/>
      <c r="F44" s="1581"/>
      <c r="G44" s="1581"/>
      <c r="H44" s="1581"/>
      <c r="I44" s="1581"/>
      <c r="J44" s="1722"/>
      <c r="K44" s="1581"/>
      <c r="L44" s="1727"/>
      <c r="M44" s="1581"/>
      <c r="N44" s="1581"/>
      <c r="O44" s="1581"/>
      <c r="P44" s="1581"/>
      <c r="Q44" s="1581"/>
      <c r="R44" s="1581"/>
      <c r="S44" s="1581"/>
      <c r="T44" s="1581"/>
      <c r="U44" s="1581"/>
      <c r="X44" s="1580">
        <f t="shared" si="1"/>
        <v>0</v>
      </c>
      <c r="Y44" s="1580">
        <f t="shared" si="0"/>
        <v>0</v>
      </c>
      <c r="Z44" s="1581"/>
      <c r="AA44" s="1730">
        <f t="shared" si="2"/>
        <v>0</v>
      </c>
      <c r="AC44" s="1730">
        <f t="shared" si="3"/>
        <v>0</v>
      </c>
      <c r="AD44" s="1694"/>
      <c r="AE44" s="1734">
        <f t="shared" si="4"/>
        <v>0</v>
      </c>
    </row>
    <row r="45" spans="1:31">
      <c r="A45" s="1609">
        <v>58</v>
      </c>
      <c r="B45" s="1618" t="s">
        <v>1314</v>
      </c>
      <c r="C45" s="1621" t="s">
        <v>1315</v>
      </c>
      <c r="D45" s="1618" t="s">
        <v>1022</v>
      </c>
      <c r="F45" s="1581"/>
      <c r="G45" s="1581"/>
      <c r="H45" s="1581"/>
      <c r="I45" s="1581"/>
      <c r="J45" s="1722">
        <f>670</f>
        <v>670</v>
      </c>
      <c r="K45" s="1581">
        <v>680</v>
      </c>
      <c r="L45" s="1727">
        <v>690</v>
      </c>
      <c r="M45" s="1581"/>
      <c r="N45" s="1581"/>
      <c r="O45" s="1581"/>
      <c r="P45" s="1581"/>
      <c r="Q45" s="1581"/>
      <c r="R45" s="1581"/>
      <c r="S45" s="1581"/>
      <c r="T45" s="1581"/>
      <c r="U45" s="1581"/>
      <c r="X45" s="1580">
        <f t="shared" si="1"/>
        <v>670</v>
      </c>
      <c r="Y45" s="1580">
        <f t="shared" si="0"/>
        <v>716.90000000000009</v>
      </c>
      <c r="Z45" s="1581">
        <f>670*1.07</f>
        <v>716.90000000000009</v>
      </c>
      <c r="AA45" s="1730">
        <f t="shared" si="2"/>
        <v>0</v>
      </c>
      <c r="AC45" s="1730"/>
      <c r="AD45" s="1694"/>
      <c r="AE45" s="1734"/>
    </row>
    <row r="46" spans="1:31" hidden="1">
      <c r="A46" s="1609"/>
      <c r="B46" s="1618" t="s">
        <v>1314</v>
      </c>
      <c r="C46" s="1621" t="s">
        <v>1316</v>
      </c>
      <c r="D46" s="1618" t="s">
        <v>1022</v>
      </c>
      <c r="E46" s="1581"/>
      <c r="F46" s="1581"/>
      <c r="G46" s="1581"/>
      <c r="H46" s="1581"/>
      <c r="I46" s="1581"/>
      <c r="J46" s="1722"/>
      <c r="K46" s="1581"/>
      <c r="L46" s="1727"/>
      <c r="M46" s="1581"/>
      <c r="N46" s="1581"/>
      <c r="O46" s="1581"/>
      <c r="P46" s="1581"/>
      <c r="Q46" s="1581"/>
      <c r="R46" s="1581"/>
      <c r="S46" s="1581"/>
      <c r="T46" s="1581"/>
      <c r="U46" s="1581"/>
      <c r="X46" s="1580">
        <f t="shared" si="1"/>
        <v>0</v>
      </c>
      <c r="Y46" s="1580">
        <f t="shared" si="0"/>
        <v>0</v>
      </c>
      <c r="Z46" s="1581"/>
      <c r="AA46" s="1730">
        <f t="shared" si="2"/>
        <v>0</v>
      </c>
      <c r="AC46" s="1730"/>
      <c r="AD46" s="1694"/>
      <c r="AE46" s="1734"/>
    </row>
    <row r="47" spans="1:31" ht="19.5" hidden="1" customHeight="1">
      <c r="A47" s="1609"/>
      <c r="B47" s="1618" t="s">
        <v>1314</v>
      </c>
      <c r="C47" s="1621" t="s">
        <v>1317</v>
      </c>
      <c r="D47" s="1618" t="s">
        <v>1022</v>
      </c>
      <c r="E47" s="1581"/>
      <c r="F47" s="1581"/>
      <c r="G47" s="1581"/>
      <c r="H47" s="1581"/>
      <c r="I47" s="1581"/>
      <c r="J47" s="1722"/>
      <c r="K47" s="1581"/>
      <c r="L47" s="1727"/>
      <c r="M47" s="1581"/>
      <c r="N47" s="1581"/>
      <c r="O47" s="1581"/>
      <c r="P47" s="1581"/>
      <c r="Q47" s="1581"/>
      <c r="R47" s="1581"/>
      <c r="S47" s="1581"/>
      <c r="T47" s="1581"/>
      <c r="U47" s="1581"/>
      <c r="X47" s="1580">
        <f t="shared" si="1"/>
        <v>0</v>
      </c>
      <c r="Y47" s="1580">
        <f t="shared" si="0"/>
        <v>0</v>
      </c>
      <c r="Z47" s="1581"/>
      <c r="AA47" s="1730">
        <f t="shared" si="2"/>
        <v>0</v>
      </c>
      <c r="AC47" s="1730"/>
      <c r="AD47" s="1694"/>
      <c r="AE47" s="1734"/>
    </row>
    <row r="48" spans="1:31" ht="18.75" hidden="1" customHeight="1">
      <c r="A48" s="1581"/>
      <c r="B48" s="1056" t="s">
        <v>1318</v>
      </c>
      <c r="C48" s="1646" t="s">
        <v>1319</v>
      </c>
      <c r="D48" s="1609" t="s">
        <v>1022</v>
      </c>
      <c r="E48" s="1610"/>
      <c r="F48" s="1610"/>
      <c r="G48" s="1610"/>
      <c r="H48" s="1581"/>
      <c r="I48" s="1581"/>
      <c r="J48" s="1722"/>
      <c r="K48" s="1581"/>
      <c r="L48" s="1727"/>
      <c r="M48" s="1581"/>
      <c r="N48" s="1581"/>
      <c r="O48" s="1581"/>
      <c r="P48" s="1581"/>
      <c r="Q48" s="1581"/>
      <c r="R48" s="1581"/>
      <c r="S48" s="1581"/>
      <c r="T48" s="1581"/>
      <c r="U48" s="1581"/>
      <c r="X48" s="1580">
        <f t="shared" si="1"/>
        <v>0</v>
      </c>
      <c r="Y48" s="1580">
        <f t="shared" si="0"/>
        <v>0</v>
      </c>
      <c r="Z48" s="1610"/>
      <c r="AA48" s="1730">
        <f t="shared" si="2"/>
        <v>0</v>
      </c>
      <c r="AC48" s="1730"/>
      <c r="AD48" s="1695"/>
      <c r="AE48" s="1734"/>
    </row>
    <row r="49" spans="1:31" hidden="1">
      <c r="A49" s="1609">
        <v>181</v>
      </c>
      <c r="B49" s="1618" t="s">
        <v>1320</v>
      </c>
      <c r="C49" s="1621" t="s">
        <v>1321</v>
      </c>
      <c r="D49" s="1618" t="s">
        <v>1022</v>
      </c>
      <c r="E49" s="1581"/>
      <c r="F49" s="1581"/>
      <c r="G49" s="1581"/>
      <c r="H49" s="1581"/>
      <c r="I49" s="1581"/>
      <c r="J49" s="1722"/>
      <c r="K49" s="1581"/>
      <c r="L49" s="1727"/>
      <c r="M49" s="1581"/>
      <c r="N49" s="1581"/>
      <c r="O49" s="1581"/>
      <c r="P49" s="1581"/>
      <c r="Q49" s="1581"/>
      <c r="R49" s="1581"/>
      <c r="S49" s="1581"/>
      <c r="T49" s="1581"/>
      <c r="U49" s="1581"/>
      <c r="X49" s="1580">
        <f t="shared" si="1"/>
        <v>0</v>
      </c>
      <c r="Y49" s="1580">
        <f t="shared" si="0"/>
        <v>0</v>
      </c>
      <c r="Z49" s="1581"/>
      <c r="AA49" s="1730">
        <f t="shared" si="2"/>
        <v>0</v>
      </c>
      <c r="AC49" s="1730"/>
      <c r="AD49" s="1694"/>
      <c r="AE49" s="1734"/>
    </row>
    <row r="50" spans="1:31" hidden="1">
      <c r="A50" s="1609">
        <v>182</v>
      </c>
      <c r="B50" s="1618" t="s">
        <v>1322</v>
      </c>
      <c r="C50" s="1621" t="s">
        <v>1323</v>
      </c>
      <c r="D50" s="1618" t="s">
        <v>1022</v>
      </c>
      <c r="E50" s="1581"/>
      <c r="F50" s="1581"/>
      <c r="G50" s="1581"/>
      <c r="H50" s="1581"/>
      <c r="I50" s="1581"/>
      <c r="J50" s="1722"/>
      <c r="K50" s="1581"/>
      <c r="L50" s="1727"/>
      <c r="M50" s="1581"/>
      <c r="N50" s="1581"/>
      <c r="O50" s="1581"/>
      <c r="P50" s="1581"/>
      <c r="Q50" s="1581"/>
      <c r="R50" s="1581"/>
      <c r="S50" s="1581"/>
      <c r="T50" s="1581"/>
      <c r="U50" s="1581"/>
      <c r="X50" s="1580">
        <f t="shared" si="1"/>
        <v>0</v>
      </c>
      <c r="Y50" s="1580">
        <f t="shared" si="0"/>
        <v>0</v>
      </c>
      <c r="Z50" s="1581"/>
      <c r="AA50" s="1730">
        <f t="shared" si="2"/>
        <v>0</v>
      </c>
      <c r="AC50" s="1730"/>
      <c r="AD50" s="1694"/>
      <c r="AE50" s="1734"/>
    </row>
    <row r="51" spans="1:31" hidden="1">
      <c r="A51" s="1609">
        <v>141</v>
      </c>
      <c r="B51" s="1618" t="s">
        <v>1324</v>
      </c>
      <c r="C51" s="1621"/>
      <c r="D51" s="1618" t="s">
        <v>1325</v>
      </c>
      <c r="E51" s="1581"/>
      <c r="F51" s="1581"/>
      <c r="G51" s="1581"/>
      <c r="H51" s="1581"/>
      <c r="I51" s="1581"/>
      <c r="J51" s="1722"/>
      <c r="K51" s="1581"/>
      <c r="L51" s="1727"/>
      <c r="M51" s="1581"/>
      <c r="N51" s="1581"/>
      <c r="O51" s="1581"/>
      <c r="P51" s="1581"/>
      <c r="Q51" s="1581"/>
      <c r="R51" s="1581"/>
      <c r="S51" s="1581"/>
      <c r="T51" s="1581"/>
      <c r="U51" s="1581"/>
      <c r="X51" s="1580">
        <f t="shared" si="1"/>
        <v>0</v>
      </c>
      <c r="Y51" s="1580">
        <f t="shared" si="0"/>
        <v>0</v>
      </c>
      <c r="Z51" s="1581"/>
      <c r="AA51" s="1730">
        <f t="shared" si="2"/>
        <v>0</v>
      </c>
      <c r="AC51" s="1730"/>
      <c r="AD51" s="1694"/>
      <c r="AE51" s="1734"/>
    </row>
    <row r="52" spans="1:31">
      <c r="A52" s="1609">
        <v>59</v>
      </c>
      <c r="B52" s="1622" t="s">
        <v>2134</v>
      </c>
      <c r="C52" s="1621" t="s">
        <v>1327</v>
      </c>
      <c r="D52" s="1622" t="s">
        <v>1022</v>
      </c>
      <c r="E52" s="1581"/>
      <c r="F52" s="1581"/>
      <c r="G52" s="1581"/>
      <c r="H52" s="1581"/>
      <c r="I52" s="1581"/>
      <c r="J52" s="1722"/>
      <c r="K52" s="1581"/>
      <c r="L52" s="1727"/>
      <c r="M52" s="1581"/>
      <c r="N52" s="1581"/>
      <c r="O52" s="1581"/>
      <c r="P52" s="1581">
        <f>2000</f>
        <v>2000</v>
      </c>
      <c r="Q52" s="1581">
        <v>2100</v>
      </c>
      <c r="R52" s="1581">
        <v>2200</v>
      </c>
      <c r="S52" s="1581"/>
      <c r="T52" s="1581"/>
      <c r="U52" s="1581"/>
      <c r="X52" s="1580">
        <f t="shared" si="1"/>
        <v>2000</v>
      </c>
      <c r="Y52" s="1580">
        <f t="shared" si="0"/>
        <v>2140</v>
      </c>
      <c r="Z52" s="1581">
        <f>2000*1.07</f>
        <v>2140</v>
      </c>
      <c r="AA52" s="1730">
        <f t="shared" si="2"/>
        <v>0</v>
      </c>
      <c r="AC52" s="1730"/>
      <c r="AD52" s="1694"/>
      <c r="AE52" s="1734"/>
    </row>
    <row r="53" spans="1:31" ht="25.5">
      <c r="A53" s="1609">
        <v>60</v>
      </c>
      <c r="B53" s="1618" t="s">
        <v>1328</v>
      </c>
      <c r="C53" s="1621" t="s">
        <v>1329</v>
      </c>
      <c r="D53" s="1622" t="s">
        <v>1263</v>
      </c>
      <c r="E53" s="1581"/>
      <c r="F53" s="1581"/>
      <c r="G53" s="1581"/>
      <c r="H53" s="1581"/>
      <c r="I53" s="1581"/>
      <c r="J53" s="1722">
        <f>10000</f>
        <v>10000</v>
      </c>
      <c r="K53" s="1581">
        <v>11000</v>
      </c>
      <c r="L53" s="1727">
        <v>11000</v>
      </c>
      <c r="M53" s="1581"/>
      <c r="N53" s="1581"/>
      <c r="O53" s="1581"/>
      <c r="P53" s="1581"/>
      <c r="Q53" s="1581"/>
      <c r="R53" s="1581"/>
      <c r="S53" s="1581"/>
      <c r="T53" s="1581"/>
      <c r="U53" s="1581"/>
      <c r="X53" s="1580">
        <f t="shared" si="1"/>
        <v>10000</v>
      </c>
      <c r="Y53" s="1580">
        <f t="shared" si="0"/>
        <v>10700</v>
      </c>
      <c r="Z53" s="1581">
        <f>10000*1.07</f>
        <v>10700</v>
      </c>
      <c r="AA53" s="1730">
        <f t="shared" si="2"/>
        <v>0</v>
      </c>
      <c r="AB53" s="1580">
        <v>10000</v>
      </c>
      <c r="AC53" s="1730">
        <f t="shared" si="3"/>
        <v>0</v>
      </c>
      <c r="AD53" s="1694">
        <f>10000</f>
        <v>10000</v>
      </c>
      <c r="AE53" s="1734">
        <f t="shared" si="4"/>
        <v>0</v>
      </c>
    </row>
    <row r="54" spans="1:31">
      <c r="A54" s="1609">
        <v>61</v>
      </c>
      <c r="B54" s="1618" t="s">
        <v>1330</v>
      </c>
      <c r="C54" s="1621" t="s">
        <v>1331</v>
      </c>
      <c r="D54" s="1618" t="s">
        <v>1022</v>
      </c>
      <c r="E54" s="1581"/>
      <c r="F54" s="1581"/>
      <c r="G54" s="1581"/>
      <c r="H54" s="1581"/>
      <c r="I54" s="1581"/>
      <c r="J54" s="1722"/>
      <c r="K54" s="1581"/>
      <c r="L54" s="1727"/>
      <c r="M54" s="1581">
        <f>400</f>
        <v>400</v>
      </c>
      <c r="N54" s="1581">
        <v>420</v>
      </c>
      <c r="O54" s="1581">
        <v>408</v>
      </c>
      <c r="P54" s="1581"/>
      <c r="Q54" s="1581"/>
      <c r="R54" s="1581"/>
      <c r="S54" s="1581"/>
      <c r="T54" s="1581"/>
      <c r="U54" s="1581"/>
      <c r="X54" s="1580">
        <f t="shared" si="1"/>
        <v>400</v>
      </c>
      <c r="Y54" s="1580">
        <f t="shared" si="0"/>
        <v>428</v>
      </c>
      <c r="Z54" s="1581">
        <v>428</v>
      </c>
      <c r="AA54" s="1730">
        <f t="shared" si="2"/>
        <v>0</v>
      </c>
      <c r="AB54" s="1580">
        <v>400</v>
      </c>
      <c r="AC54" s="1730">
        <f t="shared" si="3"/>
        <v>0</v>
      </c>
      <c r="AD54" s="1695">
        <f>400</f>
        <v>400</v>
      </c>
      <c r="AE54" s="1734">
        <f t="shared" si="4"/>
        <v>0</v>
      </c>
    </row>
    <row r="55" spans="1:31" ht="38.25">
      <c r="A55" s="1609">
        <v>63</v>
      </c>
      <c r="B55" s="1618" t="s">
        <v>1333</v>
      </c>
      <c r="C55" s="1621" t="s">
        <v>1334</v>
      </c>
      <c r="D55" s="1618" t="s">
        <v>1335</v>
      </c>
      <c r="E55" s="1581">
        <f>12000</f>
        <v>12000</v>
      </c>
      <c r="F55" s="1581"/>
      <c r="G55" s="1581"/>
      <c r="H55" s="1581">
        <v>16800</v>
      </c>
      <c r="I55" s="1581">
        <v>14400</v>
      </c>
      <c r="J55" s="1722"/>
      <c r="K55" s="1581"/>
      <c r="L55" s="1727"/>
      <c r="M55" s="1581"/>
      <c r="N55" s="1581"/>
      <c r="O55" s="1581"/>
      <c r="P55" s="1581"/>
      <c r="Q55" s="1581"/>
      <c r="R55" s="1581"/>
      <c r="S55" s="1581"/>
      <c r="T55" s="1581"/>
      <c r="U55" s="1581"/>
      <c r="X55" s="1580">
        <f t="shared" si="1"/>
        <v>12000</v>
      </c>
      <c r="Y55" s="1580">
        <f t="shared" si="0"/>
        <v>12840</v>
      </c>
      <c r="Z55" s="1581">
        <f>12000*1.07</f>
        <v>12840</v>
      </c>
      <c r="AA55" s="1730">
        <f t="shared" si="2"/>
        <v>0</v>
      </c>
      <c r="AB55" s="1580">
        <v>12000</v>
      </c>
      <c r="AC55" s="1730">
        <f t="shared" si="3"/>
        <v>0</v>
      </c>
      <c r="AD55" s="1694">
        <f>12000</f>
        <v>12000</v>
      </c>
      <c r="AE55" s="1734">
        <f t="shared" si="4"/>
        <v>0</v>
      </c>
    </row>
    <row r="56" spans="1:31" ht="38.25" hidden="1">
      <c r="A56" s="1609"/>
      <c r="B56" s="1618" t="s">
        <v>1333</v>
      </c>
      <c r="C56" s="1621" t="s">
        <v>1336</v>
      </c>
      <c r="D56" s="1618" t="s">
        <v>1335</v>
      </c>
      <c r="E56" s="1581"/>
      <c r="F56" s="1581"/>
      <c r="G56" s="1581"/>
      <c r="H56" s="1581"/>
      <c r="I56" s="1581"/>
      <c r="J56" s="1722"/>
      <c r="K56" s="1581"/>
      <c r="L56" s="1727"/>
      <c r="M56" s="1581"/>
      <c r="N56" s="1581"/>
      <c r="O56" s="1581"/>
      <c r="P56" s="1581"/>
      <c r="Q56" s="1581"/>
      <c r="R56" s="1581"/>
      <c r="S56" s="1581"/>
      <c r="T56" s="1581"/>
      <c r="U56" s="1581"/>
      <c r="X56" s="1580">
        <f t="shared" si="1"/>
        <v>0</v>
      </c>
      <c r="Y56" s="1580">
        <f t="shared" si="0"/>
        <v>0</v>
      </c>
      <c r="Z56" s="1581">
        <f>12000*1.07</f>
        <v>12840</v>
      </c>
      <c r="AA56" s="1730">
        <f t="shared" si="2"/>
        <v>-12840</v>
      </c>
      <c r="AC56" s="1730">
        <f t="shared" si="3"/>
        <v>0</v>
      </c>
      <c r="AD56" s="1694"/>
      <c r="AE56" s="1734">
        <f t="shared" si="4"/>
        <v>0</v>
      </c>
    </row>
    <row r="57" spans="1:31" ht="25.5" hidden="1">
      <c r="A57" s="1609"/>
      <c r="B57" s="1618" t="s">
        <v>1333</v>
      </c>
      <c r="C57" s="1621" t="s">
        <v>1337</v>
      </c>
      <c r="D57" s="1618" t="s">
        <v>1338</v>
      </c>
      <c r="E57" s="1581"/>
      <c r="F57" s="1581"/>
      <c r="G57" s="1581"/>
      <c r="H57" s="1581"/>
      <c r="I57" s="1581"/>
      <c r="J57" s="1722"/>
      <c r="K57" s="1581"/>
      <c r="L57" s="1727"/>
      <c r="M57" s="1581"/>
      <c r="N57" s="1581"/>
      <c r="O57" s="1581"/>
      <c r="P57" s="1581"/>
      <c r="Q57" s="1581"/>
      <c r="R57" s="1581"/>
      <c r="S57" s="1581"/>
      <c r="T57" s="1581"/>
      <c r="U57" s="1581"/>
      <c r="X57" s="1580">
        <f t="shared" si="1"/>
        <v>0</v>
      </c>
      <c r="Y57" s="1580">
        <f t="shared" si="0"/>
        <v>0</v>
      </c>
      <c r="Z57" s="1581"/>
      <c r="AA57" s="1730">
        <f t="shared" si="2"/>
        <v>0</v>
      </c>
      <c r="AC57" s="1730">
        <f t="shared" si="3"/>
        <v>0</v>
      </c>
      <c r="AD57" s="1694"/>
      <c r="AE57" s="1734">
        <f t="shared" si="4"/>
        <v>0</v>
      </c>
    </row>
    <row r="58" spans="1:31" hidden="1">
      <c r="A58" s="1609"/>
      <c r="B58" s="1618"/>
      <c r="C58" s="1621"/>
      <c r="D58" s="1618"/>
      <c r="E58" s="1581"/>
      <c r="F58" s="1581"/>
      <c r="G58" s="1581"/>
      <c r="H58" s="1581"/>
      <c r="I58" s="1581"/>
      <c r="J58" s="1722"/>
      <c r="K58" s="1581"/>
      <c r="L58" s="1727"/>
      <c r="M58" s="1581"/>
      <c r="N58" s="1581"/>
      <c r="O58" s="1581"/>
      <c r="P58" s="1581"/>
      <c r="Q58" s="1581"/>
      <c r="R58" s="1581"/>
      <c r="S58" s="1581"/>
      <c r="T58" s="1581"/>
      <c r="U58" s="1581"/>
      <c r="X58" s="1580">
        <f t="shared" si="1"/>
        <v>0</v>
      </c>
      <c r="Y58" s="1580">
        <f t="shared" si="0"/>
        <v>0</v>
      </c>
      <c r="Z58" s="1581"/>
      <c r="AA58" s="1730">
        <f t="shared" si="2"/>
        <v>0</v>
      </c>
      <c r="AC58" s="1730">
        <f t="shared" si="3"/>
        <v>0</v>
      </c>
      <c r="AD58" s="1581"/>
      <c r="AE58" s="1734">
        <f t="shared" si="4"/>
        <v>0</v>
      </c>
    </row>
    <row r="59" spans="1:31">
      <c r="A59" s="1609">
        <v>64</v>
      </c>
      <c r="B59" s="1618" t="s">
        <v>1339</v>
      </c>
      <c r="C59" s="1621" t="s">
        <v>1340</v>
      </c>
      <c r="D59" s="1618" t="s">
        <v>1022</v>
      </c>
      <c r="E59" s="1581"/>
      <c r="F59" s="1581"/>
      <c r="G59" s="1581"/>
      <c r="H59" s="1581"/>
      <c r="I59" s="1581"/>
      <c r="J59" s="1722"/>
      <c r="K59" s="1581"/>
      <c r="L59" s="1727"/>
      <c r="M59" s="1581">
        <f>265</f>
        <v>265</v>
      </c>
      <c r="N59" s="1581">
        <v>278.25</v>
      </c>
      <c r="O59" s="1581">
        <v>270.3</v>
      </c>
      <c r="P59" s="1581"/>
      <c r="Q59" s="1581"/>
      <c r="R59" s="1581"/>
      <c r="S59" s="1581"/>
      <c r="T59" s="1581"/>
      <c r="U59" s="1581"/>
      <c r="X59" s="1580">
        <f t="shared" si="1"/>
        <v>265</v>
      </c>
      <c r="Y59" s="1580">
        <f t="shared" si="0"/>
        <v>283.55</v>
      </c>
      <c r="Z59" s="1581">
        <v>283.55</v>
      </c>
      <c r="AA59" s="1730"/>
      <c r="AC59" s="1730"/>
      <c r="AD59" s="1581"/>
      <c r="AE59" s="1734"/>
    </row>
    <row r="60" spans="1:31">
      <c r="A60" s="1609">
        <v>65</v>
      </c>
      <c r="B60" s="1618" t="s">
        <v>1341</v>
      </c>
      <c r="C60" s="1621" t="s">
        <v>1342</v>
      </c>
      <c r="D60" s="1618" t="s">
        <v>1022</v>
      </c>
      <c r="E60" s="1581"/>
      <c r="F60" s="1581"/>
      <c r="G60" s="1581"/>
      <c r="H60" s="1581"/>
      <c r="I60" s="1581"/>
      <c r="J60" s="1722"/>
      <c r="K60" s="1581"/>
      <c r="L60" s="1727"/>
      <c r="M60" s="1581">
        <f>450</f>
        <v>450</v>
      </c>
      <c r="N60" s="1581">
        <v>472.5</v>
      </c>
      <c r="O60" s="1581">
        <v>459</v>
      </c>
      <c r="P60" s="1581"/>
      <c r="Q60" s="1581"/>
      <c r="R60" s="1581"/>
      <c r="S60" s="1581"/>
      <c r="T60" s="1581"/>
      <c r="U60" s="1581"/>
      <c r="X60" s="1580">
        <f t="shared" si="1"/>
        <v>450</v>
      </c>
      <c r="Y60" s="1580">
        <f t="shared" si="0"/>
        <v>481.5</v>
      </c>
      <c r="Z60" s="1581">
        <v>481.5</v>
      </c>
      <c r="AA60" s="1730"/>
      <c r="AC60" s="1730"/>
      <c r="AD60" s="1581"/>
      <c r="AE60" s="1734"/>
    </row>
    <row r="61" spans="1:31" ht="38.25">
      <c r="A61" s="1609">
        <v>66</v>
      </c>
      <c r="B61" s="1619" t="s">
        <v>1343</v>
      </c>
      <c r="C61" s="1614" t="s">
        <v>1344</v>
      </c>
      <c r="D61" s="1619" t="s">
        <v>1268</v>
      </c>
      <c r="E61" s="1581"/>
      <c r="F61" s="1610"/>
      <c r="G61" s="1610">
        <f>400</f>
        <v>400</v>
      </c>
      <c r="H61" s="1581">
        <v>560</v>
      </c>
      <c r="I61" s="1581">
        <v>480</v>
      </c>
      <c r="J61" s="1722"/>
      <c r="K61" s="1581"/>
      <c r="L61" s="1727"/>
      <c r="M61" s="1581"/>
      <c r="N61" s="1581"/>
      <c r="O61" s="1581"/>
      <c r="P61" s="1581"/>
      <c r="Q61" s="1581"/>
      <c r="R61" s="1581"/>
      <c r="S61" s="1581"/>
      <c r="T61" s="1581"/>
      <c r="U61" s="1581"/>
      <c r="X61" s="1580">
        <f t="shared" si="1"/>
        <v>400</v>
      </c>
      <c r="Y61" s="1580">
        <f t="shared" si="0"/>
        <v>428</v>
      </c>
      <c r="Z61" s="1610">
        <f>400*1.07</f>
        <v>428</v>
      </c>
      <c r="AA61" s="1730">
        <f t="shared" si="2"/>
        <v>0</v>
      </c>
      <c r="AB61" s="1580">
        <v>400</v>
      </c>
      <c r="AC61" s="1730">
        <f t="shared" si="3"/>
        <v>0</v>
      </c>
      <c r="AD61" s="1610">
        <f>400</f>
        <v>400</v>
      </c>
      <c r="AE61" s="1734">
        <f t="shared" si="4"/>
        <v>0</v>
      </c>
    </row>
    <row r="62" spans="1:31" ht="38.25">
      <c r="A62" s="1609">
        <v>67</v>
      </c>
      <c r="B62" s="1619" t="s">
        <v>1341</v>
      </c>
      <c r="C62" s="1614" t="s">
        <v>1345</v>
      </c>
      <c r="D62" s="1619" t="s">
        <v>1268</v>
      </c>
      <c r="E62" s="1581"/>
      <c r="F62" s="1610"/>
      <c r="G62" s="1610">
        <f>480</f>
        <v>480</v>
      </c>
      <c r="H62" s="1581">
        <v>672</v>
      </c>
      <c r="I62" s="1581">
        <v>576</v>
      </c>
      <c r="J62" s="1722"/>
      <c r="K62" s="1581"/>
      <c r="L62" s="1727"/>
      <c r="M62" s="1581"/>
      <c r="N62" s="1581"/>
      <c r="O62" s="1581"/>
      <c r="P62" s="1581"/>
      <c r="Q62" s="1581"/>
      <c r="R62" s="1581"/>
      <c r="S62" s="1581"/>
      <c r="T62" s="1581"/>
      <c r="U62" s="1581"/>
      <c r="X62" s="1580">
        <f t="shared" si="1"/>
        <v>480</v>
      </c>
      <c r="Y62" s="1580">
        <f t="shared" si="0"/>
        <v>513.6</v>
      </c>
      <c r="Z62" s="1610">
        <f>480*1.07</f>
        <v>513.6</v>
      </c>
      <c r="AA62" s="1730">
        <f t="shared" si="2"/>
        <v>0</v>
      </c>
      <c r="AB62" s="1580">
        <v>480</v>
      </c>
      <c r="AC62" s="1730">
        <f t="shared" si="3"/>
        <v>0</v>
      </c>
      <c r="AD62" s="1610">
        <f>480</f>
        <v>480</v>
      </c>
      <c r="AE62" s="1734">
        <f t="shared" si="4"/>
        <v>0</v>
      </c>
    </row>
    <row r="63" spans="1:31" ht="38.25">
      <c r="A63" s="1609">
        <v>68</v>
      </c>
      <c r="B63" s="1619" t="s">
        <v>1346</v>
      </c>
      <c r="C63" s="1614" t="s">
        <v>1347</v>
      </c>
      <c r="D63" s="1619" t="s">
        <v>1268</v>
      </c>
      <c r="E63" s="1581"/>
      <c r="F63" s="1610"/>
      <c r="G63" s="1610">
        <f>380</f>
        <v>380</v>
      </c>
      <c r="H63" s="1581">
        <v>532</v>
      </c>
      <c r="I63" s="1581">
        <v>456</v>
      </c>
      <c r="J63" s="1722"/>
      <c r="K63" s="1581"/>
      <c r="L63" s="1727"/>
      <c r="M63" s="1581"/>
      <c r="N63" s="1581"/>
      <c r="O63" s="1581"/>
      <c r="P63" s="1581"/>
      <c r="Q63" s="1581"/>
      <c r="R63" s="1581"/>
      <c r="S63" s="1581"/>
      <c r="T63" s="1581"/>
      <c r="U63" s="1581"/>
      <c r="X63" s="1580">
        <f t="shared" si="1"/>
        <v>380</v>
      </c>
      <c r="Y63" s="1580">
        <f t="shared" si="0"/>
        <v>406.6</v>
      </c>
      <c r="Z63" s="1610">
        <f>380*1.07</f>
        <v>406.6</v>
      </c>
      <c r="AA63" s="1730">
        <f t="shared" si="2"/>
        <v>0</v>
      </c>
      <c r="AB63" s="1580">
        <v>380</v>
      </c>
      <c r="AC63" s="1730">
        <f t="shared" si="3"/>
        <v>0</v>
      </c>
      <c r="AD63" s="1610">
        <f>380</f>
        <v>380</v>
      </c>
      <c r="AE63" s="1734">
        <f t="shared" si="4"/>
        <v>0</v>
      </c>
    </row>
    <row r="64" spans="1:31" ht="38.25">
      <c r="A64" s="1609">
        <v>69</v>
      </c>
      <c r="B64" s="1619" t="s">
        <v>1343</v>
      </c>
      <c r="C64" s="1614" t="s">
        <v>1348</v>
      </c>
      <c r="D64" s="1619" t="s">
        <v>1268</v>
      </c>
      <c r="E64" s="1581"/>
      <c r="F64" s="1610"/>
      <c r="G64" s="1610">
        <f>450</f>
        <v>450</v>
      </c>
      <c r="H64" s="1581">
        <v>630</v>
      </c>
      <c r="I64" s="1581">
        <v>540</v>
      </c>
      <c r="J64" s="1722"/>
      <c r="K64" s="1581"/>
      <c r="L64" s="1727"/>
      <c r="M64" s="1581"/>
      <c r="N64" s="1581"/>
      <c r="O64" s="1581"/>
      <c r="P64" s="1581"/>
      <c r="Q64" s="1581"/>
      <c r="R64" s="1581"/>
      <c r="S64" s="1581"/>
      <c r="T64" s="1581"/>
      <c r="U64" s="1581"/>
      <c r="X64" s="1580">
        <f t="shared" si="1"/>
        <v>450</v>
      </c>
      <c r="Y64" s="1580">
        <f t="shared" si="0"/>
        <v>481.5</v>
      </c>
      <c r="Z64" s="1610">
        <f>450*1.07</f>
        <v>481.5</v>
      </c>
      <c r="AA64" s="1730">
        <f t="shared" si="2"/>
        <v>0</v>
      </c>
      <c r="AB64" s="1580">
        <v>450</v>
      </c>
      <c r="AC64" s="1730">
        <f t="shared" si="3"/>
        <v>0</v>
      </c>
      <c r="AD64" s="1610">
        <f>450</f>
        <v>450</v>
      </c>
      <c r="AE64" s="1734">
        <f t="shared" si="4"/>
        <v>0</v>
      </c>
    </row>
    <row r="65" spans="1:31">
      <c r="A65" s="1609">
        <v>70</v>
      </c>
      <c r="B65" s="1620" t="s">
        <v>1349</v>
      </c>
      <c r="C65" s="1621" t="s">
        <v>1350</v>
      </c>
      <c r="D65" s="1620" t="s">
        <v>1351</v>
      </c>
      <c r="E65" s="1581"/>
      <c r="F65" s="1581"/>
      <c r="G65" s="1581"/>
      <c r="H65" s="1581"/>
      <c r="I65" s="1581"/>
      <c r="J65" s="1722"/>
      <c r="K65" s="1581"/>
      <c r="L65" s="1727"/>
      <c r="M65" s="1581"/>
      <c r="N65" s="1581"/>
      <c r="O65" s="1581"/>
      <c r="P65" s="1581">
        <f>1600</f>
        <v>1600</v>
      </c>
      <c r="Q65" s="1581">
        <v>1800</v>
      </c>
      <c r="R65" s="1581">
        <v>1900</v>
      </c>
      <c r="S65" s="1581"/>
      <c r="T65" s="1581"/>
      <c r="U65" s="1581"/>
      <c r="X65" s="1580">
        <f t="shared" si="1"/>
        <v>1600</v>
      </c>
      <c r="Y65" s="1580">
        <f t="shared" si="0"/>
        <v>1712</v>
      </c>
      <c r="Z65" s="1581">
        <f>1600*1.07</f>
        <v>1712</v>
      </c>
      <c r="AA65" s="1730">
        <f t="shared" si="2"/>
        <v>0</v>
      </c>
      <c r="AC65" s="1730"/>
      <c r="AD65" s="1581"/>
      <c r="AE65" s="1734"/>
    </row>
    <row r="66" spans="1:31" ht="25.5">
      <c r="A66" s="1609">
        <v>72</v>
      </c>
      <c r="B66" s="1618" t="s">
        <v>1353</v>
      </c>
      <c r="C66" s="1621" t="s">
        <v>1354</v>
      </c>
      <c r="D66" s="1618" t="s">
        <v>1022</v>
      </c>
      <c r="E66" s="1581"/>
      <c r="F66" s="1581">
        <f>1500</f>
        <v>1500</v>
      </c>
      <c r="G66" s="1581"/>
      <c r="H66" s="1581">
        <v>2100</v>
      </c>
      <c r="I66" s="1581">
        <v>1800</v>
      </c>
      <c r="J66" s="1722"/>
      <c r="K66" s="1581"/>
      <c r="L66" s="1727"/>
      <c r="M66" s="1581"/>
      <c r="N66" s="1581"/>
      <c r="O66" s="1581"/>
      <c r="P66" s="1581"/>
      <c r="Q66" s="1581"/>
      <c r="R66" s="1581"/>
      <c r="S66" s="1581"/>
      <c r="T66" s="1581"/>
      <c r="U66" s="1581"/>
      <c r="X66" s="1580">
        <f t="shared" si="1"/>
        <v>1500</v>
      </c>
      <c r="Y66" s="1580">
        <f t="shared" si="0"/>
        <v>1605</v>
      </c>
      <c r="Z66" s="1581">
        <f>1500*1.07</f>
        <v>1605</v>
      </c>
      <c r="AA66" s="1730">
        <f t="shared" si="2"/>
        <v>0</v>
      </c>
      <c r="AB66" s="1580">
        <v>1500</v>
      </c>
      <c r="AC66" s="1730">
        <f t="shared" si="3"/>
        <v>0</v>
      </c>
      <c r="AD66" s="1581">
        <f>1500</f>
        <v>1500</v>
      </c>
      <c r="AE66" s="1734">
        <f t="shared" si="4"/>
        <v>0</v>
      </c>
    </row>
    <row r="67" spans="1:31" ht="38.25">
      <c r="A67" s="1609">
        <v>73</v>
      </c>
      <c r="B67" s="1622" t="s">
        <v>1355</v>
      </c>
      <c r="C67" s="1621" t="s">
        <v>1356</v>
      </c>
      <c r="D67" s="1622" t="s">
        <v>1022</v>
      </c>
      <c r="E67" s="1581"/>
      <c r="F67" s="1581"/>
      <c r="G67" s="1581"/>
      <c r="H67" s="1581"/>
      <c r="I67" s="1581"/>
      <c r="J67" s="1722"/>
      <c r="K67" s="1581"/>
      <c r="L67" s="1727"/>
      <c r="M67" s="1581"/>
      <c r="N67" s="1581"/>
      <c r="O67" s="1581"/>
      <c r="P67" s="1581">
        <f>2800</f>
        <v>2800</v>
      </c>
      <c r="Q67" s="1581">
        <v>3000</v>
      </c>
      <c r="R67" s="1581">
        <v>3100</v>
      </c>
      <c r="S67" s="1581"/>
      <c r="T67" s="1581"/>
      <c r="U67" s="1581"/>
      <c r="X67" s="1580">
        <f t="shared" si="1"/>
        <v>2800</v>
      </c>
      <c r="Y67" s="1580">
        <f t="shared" si="0"/>
        <v>2996</v>
      </c>
      <c r="Z67" s="1581">
        <f>2800*1.07</f>
        <v>2996</v>
      </c>
      <c r="AA67" s="1730">
        <f t="shared" si="2"/>
        <v>0</v>
      </c>
      <c r="AC67" s="1730"/>
      <c r="AD67" s="1581"/>
      <c r="AE67" s="1734"/>
    </row>
    <row r="68" spans="1:31" ht="25.5" hidden="1">
      <c r="A68" s="1581"/>
      <c r="B68" s="1056" t="s">
        <v>1357</v>
      </c>
      <c r="C68" s="1614" t="s">
        <v>1358</v>
      </c>
      <c r="D68" s="1056" t="s">
        <v>1022</v>
      </c>
      <c r="E68" s="1610"/>
      <c r="F68" s="1610"/>
      <c r="G68" s="1610"/>
      <c r="H68" s="1581"/>
      <c r="I68" s="1581"/>
      <c r="J68" s="1722"/>
      <c r="K68" s="1581"/>
      <c r="L68" s="1727"/>
      <c r="M68" s="1581"/>
      <c r="N68" s="1581"/>
      <c r="O68" s="1581"/>
      <c r="P68" s="1581"/>
      <c r="Q68" s="1581"/>
      <c r="R68" s="1581"/>
      <c r="S68" s="1581"/>
      <c r="T68" s="1581"/>
      <c r="U68" s="1581"/>
      <c r="X68" s="1580">
        <f t="shared" si="1"/>
        <v>0</v>
      </c>
      <c r="Y68" s="1580">
        <f t="shared" si="0"/>
        <v>0</v>
      </c>
      <c r="Z68" s="1581">
        <f>1500*1.07</f>
        <v>1605</v>
      </c>
      <c r="AA68" s="1730">
        <f t="shared" si="2"/>
        <v>-1605</v>
      </c>
      <c r="AC68" s="1730"/>
      <c r="AD68" s="1610"/>
      <c r="AE68" s="1734"/>
    </row>
    <row r="69" spans="1:31">
      <c r="A69" s="1609">
        <v>74</v>
      </c>
      <c r="B69" s="1620" t="s">
        <v>1359</v>
      </c>
      <c r="C69" s="1621" t="s">
        <v>1360</v>
      </c>
      <c r="D69" s="1620" t="s">
        <v>1022</v>
      </c>
      <c r="E69" s="1581">
        <f>100</f>
        <v>100</v>
      </c>
      <c r="F69" s="1581"/>
      <c r="G69" s="1581"/>
      <c r="H69" s="1581">
        <v>140</v>
      </c>
      <c r="I69" s="1581">
        <v>110</v>
      </c>
      <c r="J69" s="1722"/>
      <c r="K69" s="1581"/>
      <c r="L69" s="1727"/>
      <c r="M69" s="1581"/>
      <c r="N69" s="1581"/>
      <c r="O69" s="1581"/>
      <c r="P69" s="1581"/>
      <c r="Q69" s="1581"/>
      <c r="R69" s="1581"/>
      <c r="S69" s="1581"/>
      <c r="T69" s="1581"/>
      <c r="U69" s="1581"/>
      <c r="X69" s="1580">
        <f t="shared" si="1"/>
        <v>100</v>
      </c>
      <c r="Y69" s="1580">
        <f t="shared" si="0"/>
        <v>107</v>
      </c>
      <c r="Z69" s="1581">
        <f>100*1.07</f>
        <v>107</v>
      </c>
      <c r="AA69" s="1730">
        <f t="shared" si="2"/>
        <v>0</v>
      </c>
      <c r="AC69" s="1730"/>
      <c r="AD69" s="1581"/>
      <c r="AE69" s="1734"/>
    </row>
    <row r="70" spans="1:31">
      <c r="A70" s="1609">
        <v>75</v>
      </c>
      <c r="B70" s="1620" t="s">
        <v>1361</v>
      </c>
      <c r="C70" s="1621" t="s">
        <v>1362</v>
      </c>
      <c r="D70" s="1620" t="s">
        <v>1022</v>
      </c>
      <c r="E70" s="1581">
        <f>1580</f>
        <v>1580</v>
      </c>
      <c r="F70" s="1581"/>
      <c r="G70" s="1581"/>
      <c r="H70" s="1581">
        <v>2212</v>
      </c>
      <c r="I70" s="1581">
        <v>1738</v>
      </c>
      <c r="J70" s="1722"/>
      <c r="K70" s="1581"/>
      <c r="L70" s="1727"/>
      <c r="M70" s="1581"/>
      <c r="N70" s="1581"/>
      <c r="O70" s="1581"/>
      <c r="P70" s="1581"/>
      <c r="Q70" s="1581"/>
      <c r="R70" s="1581"/>
      <c r="S70" s="1581"/>
      <c r="T70" s="1581"/>
      <c r="U70" s="1581"/>
      <c r="X70" s="1580">
        <f t="shared" si="1"/>
        <v>1580</v>
      </c>
      <c r="Y70" s="1580">
        <f t="shared" si="0"/>
        <v>1690.6000000000001</v>
      </c>
      <c r="Z70" s="1581">
        <f>1580*1.07</f>
        <v>1690.6000000000001</v>
      </c>
      <c r="AA70" s="1730">
        <f t="shared" si="2"/>
        <v>0</v>
      </c>
      <c r="AC70" s="1730"/>
      <c r="AD70" s="1581"/>
      <c r="AE70" s="1734"/>
    </row>
    <row r="71" spans="1:31">
      <c r="A71" s="1609">
        <v>76</v>
      </c>
      <c r="B71" s="1618" t="s">
        <v>1359</v>
      </c>
      <c r="C71" s="1621" t="s">
        <v>1363</v>
      </c>
      <c r="D71" s="1618" t="s">
        <v>1268</v>
      </c>
      <c r="E71" s="1581">
        <f>1900</f>
        <v>1900</v>
      </c>
      <c r="F71" s="1581"/>
      <c r="G71" s="1581"/>
      <c r="H71" s="1581">
        <v>2660</v>
      </c>
      <c r="I71" s="1581">
        <v>2280</v>
      </c>
      <c r="J71" s="1722"/>
      <c r="K71" s="1581"/>
      <c r="L71" s="1727"/>
      <c r="M71" s="1581"/>
      <c r="N71" s="1581"/>
      <c r="O71" s="1581"/>
      <c r="P71" s="1581"/>
      <c r="Q71" s="1581"/>
      <c r="R71" s="1581"/>
      <c r="S71" s="1581"/>
      <c r="T71" s="1581"/>
      <c r="U71" s="1581"/>
      <c r="X71" s="1580">
        <f t="shared" si="1"/>
        <v>1900</v>
      </c>
      <c r="Y71" s="1580">
        <f t="shared" si="0"/>
        <v>2033.0000000000002</v>
      </c>
      <c r="Z71" s="1581">
        <f>1900*1.07</f>
        <v>2033.0000000000002</v>
      </c>
      <c r="AA71" s="1730">
        <f t="shared" si="2"/>
        <v>0</v>
      </c>
      <c r="AB71" s="1580">
        <v>1900</v>
      </c>
      <c r="AC71" s="1730">
        <f t="shared" si="3"/>
        <v>0</v>
      </c>
      <c r="AD71" s="1581">
        <f>1900</f>
        <v>1900</v>
      </c>
      <c r="AE71" s="1734">
        <f t="shared" si="4"/>
        <v>0</v>
      </c>
    </row>
    <row r="72" spans="1:31">
      <c r="A72" s="1609">
        <v>77</v>
      </c>
      <c r="B72" s="1618" t="s">
        <v>1364</v>
      </c>
      <c r="C72" s="1621" t="s">
        <v>1365</v>
      </c>
      <c r="D72" s="1618" t="s">
        <v>1022</v>
      </c>
      <c r="E72" s="1581"/>
      <c r="F72" s="1581"/>
      <c r="G72" s="1581"/>
      <c r="H72" s="1581"/>
      <c r="I72" s="1581"/>
      <c r="J72" s="1722"/>
      <c r="K72" s="1581"/>
      <c r="L72" s="1727"/>
      <c r="M72" s="1581">
        <f>1800</f>
        <v>1800</v>
      </c>
      <c r="N72" s="1581">
        <v>1890</v>
      </c>
      <c r="O72" s="1581">
        <v>1836</v>
      </c>
      <c r="P72" s="1581"/>
      <c r="Q72" s="1581"/>
      <c r="R72" s="1581"/>
      <c r="S72" s="1581"/>
      <c r="T72" s="1581"/>
      <c r="U72" s="1581"/>
      <c r="X72" s="1580">
        <f t="shared" si="1"/>
        <v>1800</v>
      </c>
      <c r="Y72" s="1580">
        <f t="shared" si="0"/>
        <v>1926</v>
      </c>
      <c r="Z72" s="1580">
        <v>1926</v>
      </c>
      <c r="AA72" s="1730">
        <f t="shared" si="2"/>
        <v>0</v>
      </c>
      <c r="AC72" s="1730"/>
      <c r="AD72" s="1581"/>
      <c r="AE72" s="1734"/>
    </row>
    <row r="73" spans="1:31">
      <c r="A73" s="1609">
        <v>78</v>
      </c>
      <c r="B73" s="1618" t="s">
        <v>1366</v>
      </c>
      <c r="C73" s="1621" t="s">
        <v>1367</v>
      </c>
      <c r="D73" s="1618" t="s">
        <v>1022</v>
      </c>
      <c r="E73" s="1581"/>
      <c r="F73" s="1581"/>
      <c r="G73" s="1581"/>
      <c r="H73" s="1581"/>
      <c r="I73" s="1581"/>
      <c r="J73" s="1722"/>
      <c r="K73" s="1581"/>
      <c r="L73" s="1727"/>
      <c r="M73" s="1581">
        <f>1800</f>
        <v>1800</v>
      </c>
      <c r="N73" s="1581">
        <v>1890</v>
      </c>
      <c r="O73" s="1581">
        <v>1836</v>
      </c>
      <c r="P73" s="1581"/>
      <c r="Q73" s="1581"/>
      <c r="R73" s="1581"/>
      <c r="S73" s="1581"/>
      <c r="T73" s="1581"/>
      <c r="U73" s="1581"/>
      <c r="X73" s="1580">
        <f t="shared" si="1"/>
        <v>1800</v>
      </c>
      <c r="Y73" s="1580">
        <f t="shared" si="0"/>
        <v>1926</v>
      </c>
      <c r="Z73" s="1580">
        <v>1926</v>
      </c>
      <c r="AA73" s="1730">
        <f t="shared" si="2"/>
        <v>0</v>
      </c>
      <c r="AC73" s="1730"/>
      <c r="AD73" s="1581"/>
      <c r="AE73" s="1734"/>
    </row>
    <row r="74" spans="1:31">
      <c r="A74" s="1609">
        <v>79</v>
      </c>
      <c r="B74" s="1619" t="s">
        <v>1368</v>
      </c>
      <c r="C74" s="1614" t="s">
        <v>1369</v>
      </c>
      <c r="D74" s="1619" t="s">
        <v>1268</v>
      </c>
      <c r="E74" s="1581"/>
      <c r="F74" s="1610"/>
      <c r="G74" s="1610">
        <f>1200</f>
        <v>1200</v>
      </c>
      <c r="H74" s="1581">
        <v>1680</v>
      </c>
      <c r="I74" s="1581">
        <v>1560</v>
      </c>
      <c r="J74" s="1722"/>
      <c r="K74" s="1581"/>
      <c r="L74" s="1727"/>
      <c r="M74" s="1581"/>
      <c r="N74" s="1581"/>
      <c r="O74" s="1581"/>
      <c r="P74" s="1581"/>
      <c r="Q74" s="1581"/>
      <c r="R74" s="1581"/>
      <c r="S74" s="1581"/>
      <c r="T74" s="1581"/>
      <c r="U74" s="1581"/>
      <c r="X74" s="1580">
        <f t="shared" si="1"/>
        <v>1200</v>
      </c>
      <c r="Y74" s="1580">
        <f t="shared" si="0"/>
        <v>1284</v>
      </c>
      <c r="Z74" s="1610">
        <f>1200*1.07</f>
        <v>1284</v>
      </c>
      <c r="AA74" s="1730">
        <f>Y74-Z74</f>
        <v>0</v>
      </c>
      <c r="AB74" s="1580">
        <v>1200</v>
      </c>
      <c r="AC74" s="1730">
        <f t="shared" si="3"/>
        <v>0</v>
      </c>
      <c r="AD74" s="1610">
        <f>1200</f>
        <v>1200</v>
      </c>
      <c r="AE74" s="1734">
        <f t="shared" si="4"/>
        <v>0</v>
      </c>
    </row>
    <row r="75" spans="1:31">
      <c r="A75" s="1609">
        <v>80</v>
      </c>
      <c r="B75" s="1619" t="s">
        <v>1368</v>
      </c>
      <c r="C75" s="1614" t="s">
        <v>1370</v>
      </c>
      <c r="D75" s="1619" t="s">
        <v>1268</v>
      </c>
      <c r="E75" s="1581"/>
      <c r="F75" s="1610"/>
      <c r="G75" s="1610">
        <f>1200</f>
        <v>1200</v>
      </c>
      <c r="H75" s="1581">
        <v>1680</v>
      </c>
      <c r="I75" s="1581">
        <v>1560</v>
      </c>
      <c r="J75" s="1722"/>
      <c r="K75" s="1581"/>
      <c r="L75" s="1727"/>
      <c r="M75" s="1581"/>
      <c r="N75" s="1581"/>
      <c r="O75" s="1581"/>
      <c r="P75" s="1581"/>
      <c r="Q75" s="1581"/>
      <c r="R75" s="1581"/>
      <c r="S75" s="1581"/>
      <c r="T75" s="1581"/>
      <c r="U75" s="1581"/>
      <c r="X75" s="1580">
        <f t="shared" si="1"/>
        <v>1200</v>
      </c>
      <c r="Y75" s="1580">
        <f t="shared" si="0"/>
        <v>1284</v>
      </c>
      <c r="Z75" s="1610">
        <f>1200*1.07</f>
        <v>1284</v>
      </c>
      <c r="AA75" s="1730">
        <f>Y75-Z75</f>
        <v>0</v>
      </c>
      <c r="AB75" s="1580">
        <v>1200</v>
      </c>
      <c r="AC75" s="1730">
        <f t="shared" si="3"/>
        <v>0</v>
      </c>
      <c r="AD75" s="1610">
        <f>1200</f>
        <v>1200</v>
      </c>
      <c r="AE75" s="1734">
        <f t="shared" si="4"/>
        <v>0</v>
      </c>
    </row>
    <row r="76" spans="1:31">
      <c r="A76" s="1609">
        <v>81</v>
      </c>
      <c r="B76" s="1619" t="s">
        <v>1371</v>
      </c>
      <c r="C76" s="1621" t="s">
        <v>1372</v>
      </c>
      <c r="D76" s="1619" t="s">
        <v>1268</v>
      </c>
      <c r="E76" s="1609">
        <f>50</f>
        <v>50</v>
      </c>
      <c r="F76" s="1609"/>
      <c r="G76" s="1609"/>
      <c r="H76" s="1581">
        <v>70</v>
      </c>
      <c r="I76" s="1581">
        <v>60</v>
      </c>
      <c r="J76" s="1722"/>
      <c r="K76" s="1581"/>
      <c r="L76" s="1727"/>
      <c r="M76" s="1581"/>
      <c r="N76" s="1581"/>
      <c r="O76" s="1581"/>
      <c r="P76" s="1581"/>
      <c r="Q76" s="1581"/>
      <c r="R76" s="1581"/>
      <c r="S76" s="1581"/>
      <c r="T76" s="1581"/>
      <c r="U76" s="1581"/>
      <c r="X76" s="1580">
        <f t="shared" si="1"/>
        <v>50</v>
      </c>
      <c r="Y76" s="1580">
        <f t="shared" ref="Y76:Y139" si="5">X76*1.07</f>
        <v>53.5</v>
      </c>
      <c r="Z76" s="1609">
        <f>50*1.07</f>
        <v>53.5</v>
      </c>
      <c r="AA76" s="1730">
        <f t="shared" si="2"/>
        <v>0</v>
      </c>
      <c r="AB76" s="1580">
        <v>50</v>
      </c>
      <c r="AC76" s="1730">
        <f t="shared" si="3"/>
        <v>0</v>
      </c>
      <c r="AD76" s="1609">
        <f>50</f>
        <v>50</v>
      </c>
      <c r="AE76" s="1734">
        <f t="shared" si="4"/>
        <v>0</v>
      </c>
    </row>
    <row r="77" spans="1:31" ht="25.5" hidden="1">
      <c r="A77" s="1609"/>
      <c r="B77" s="1618" t="s">
        <v>1373</v>
      </c>
      <c r="C77" s="1621" t="s">
        <v>1374</v>
      </c>
      <c r="D77" s="1618" t="s">
        <v>1022</v>
      </c>
      <c r="E77" s="1581"/>
      <c r="F77" s="1581"/>
      <c r="G77" s="1581"/>
      <c r="H77" s="1581"/>
      <c r="I77" s="1581"/>
      <c r="J77" s="1722"/>
      <c r="K77" s="1581"/>
      <c r="L77" s="1727"/>
      <c r="M77" s="1581"/>
      <c r="N77" s="1581"/>
      <c r="O77" s="1581"/>
      <c r="P77" s="1581"/>
      <c r="Q77" s="1581"/>
      <c r="R77" s="1581"/>
      <c r="S77" s="1581"/>
      <c r="T77" s="1581"/>
      <c r="U77" s="1581"/>
      <c r="X77" s="1580">
        <f t="shared" ref="X77:X140" si="6">MIN(E77:U77)</f>
        <v>0</v>
      </c>
      <c r="Y77" s="1580">
        <f t="shared" si="5"/>
        <v>0</v>
      </c>
      <c r="Z77" s="1610">
        <f>1200*1.07</f>
        <v>1284</v>
      </c>
      <c r="AA77" s="1730">
        <f t="shared" si="2"/>
        <v>-1284</v>
      </c>
      <c r="AC77" s="1730">
        <f t="shared" si="3"/>
        <v>0</v>
      </c>
      <c r="AD77" s="1581"/>
      <c r="AE77" s="1734">
        <f t="shared" si="4"/>
        <v>0</v>
      </c>
    </row>
    <row r="78" spans="1:31">
      <c r="A78" s="1609">
        <v>82</v>
      </c>
      <c r="B78" s="1620" t="s">
        <v>1375</v>
      </c>
      <c r="C78" s="1621" t="s">
        <v>1376</v>
      </c>
      <c r="D78" s="1620" t="s">
        <v>1351</v>
      </c>
      <c r="E78" s="1581"/>
      <c r="F78" s="1581"/>
      <c r="G78" s="1581"/>
      <c r="H78" s="1581"/>
      <c r="I78" s="1581"/>
      <c r="J78" s="1722">
        <v>1000</v>
      </c>
      <c r="K78" s="1581">
        <v>1100</v>
      </c>
      <c r="L78" s="1727">
        <v>1200</v>
      </c>
      <c r="M78" s="1581"/>
      <c r="N78" s="1581"/>
      <c r="O78" s="1581"/>
      <c r="P78" s="1581">
        <f>1000</f>
        <v>1000</v>
      </c>
      <c r="Q78" s="1581">
        <v>1200</v>
      </c>
      <c r="R78" s="1581">
        <v>1300</v>
      </c>
      <c r="S78" s="1581"/>
      <c r="T78" s="1581"/>
      <c r="U78" s="1581"/>
      <c r="X78" s="1580">
        <f t="shared" si="6"/>
        <v>1000</v>
      </c>
      <c r="Y78" s="1580">
        <f t="shared" si="5"/>
        <v>1070</v>
      </c>
      <c r="Z78" s="1581">
        <f>1000*1.07</f>
        <v>1070</v>
      </c>
      <c r="AA78" s="1730">
        <f t="shared" ref="AA78:AA141" si="7">Y78-Z78</f>
        <v>0</v>
      </c>
      <c r="AC78" s="1730"/>
      <c r="AD78" s="1581"/>
      <c r="AE78" s="1734"/>
    </row>
    <row r="79" spans="1:31" hidden="1">
      <c r="A79" s="1609">
        <v>219</v>
      </c>
      <c r="B79" s="1620" t="s">
        <v>1377</v>
      </c>
      <c r="C79" s="1621"/>
      <c r="D79" s="1620" t="s">
        <v>1022</v>
      </c>
      <c r="E79" s="1581"/>
      <c r="F79" s="1581"/>
      <c r="G79" s="1581"/>
      <c r="H79" s="1581"/>
      <c r="I79" s="1581"/>
      <c r="J79" s="1722"/>
      <c r="K79" s="1581"/>
      <c r="L79" s="1727"/>
      <c r="M79" s="1581"/>
      <c r="N79" s="1581"/>
      <c r="O79" s="1581"/>
      <c r="P79" s="1581"/>
      <c r="Q79" s="1581"/>
      <c r="R79" s="1581"/>
      <c r="S79" s="1581"/>
      <c r="T79" s="1581"/>
      <c r="U79" s="1581"/>
      <c r="X79" s="1580">
        <f t="shared" si="6"/>
        <v>0</v>
      </c>
      <c r="Y79" s="1580">
        <f t="shared" si="5"/>
        <v>0</v>
      </c>
      <c r="Z79" s="1581"/>
      <c r="AA79" s="1730">
        <f t="shared" si="7"/>
        <v>0</v>
      </c>
      <c r="AC79" s="1730">
        <f t="shared" ref="AC79:AC141" si="8">X79-AB79</f>
        <v>0</v>
      </c>
      <c r="AD79" s="1581"/>
      <c r="AE79" s="1734">
        <f t="shared" si="4"/>
        <v>0</v>
      </c>
    </row>
    <row r="80" spans="1:31" hidden="1">
      <c r="A80" s="1609">
        <v>253</v>
      </c>
      <c r="B80" s="1610" t="s">
        <v>1378</v>
      </c>
      <c r="C80" s="1621" t="s">
        <v>1379</v>
      </c>
      <c r="D80" s="1610" t="s">
        <v>1022</v>
      </c>
      <c r="E80" s="1581"/>
      <c r="F80" s="1581"/>
      <c r="G80" s="1581"/>
      <c r="H80" s="1581"/>
      <c r="I80" s="1581"/>
      <c r="J80" s="1722"/>
      <c r="K80" s="1581"/>
      <c r="L80" s="1727"/>
      <c r="M80" s="1581"/>
      <c r="N80" s="1581"/>
      <c r="O80" s="1581"/>
      <c r="P80" s="1581"/>
      <c r="Q80" s="1581"/>
      <c r="R80" s="1581"/>
      <c r="S80" s="1581"/>
      <c r="T80" s="1581"/>
      <c r="U80" s="1581"/>
      <c r="X80" s="1580">
        <f t="shared" si="6"/>
        <v>0</v>
      </c>
      <c r="Y80" s="1580">
        <f t="shared" si="5"/>
        <v>0</v>
      </c>
      <c r="Z80" s="1581"/>
      <c r="AA80" s="1730">
        <f t="shared" si="7"/>
        <v>0</v>
      </c>
      <c r="AC80" s="1730">
        <f t="shared" si="8"/>
        <v>0</v>
      </c>
      <c r="AD80" s="1581"/>
      <c r="AE80" s="1734">
        <f t="shared" si="4"/>
        <v>0</v>
      </c>
    </row>
    <row r="81" spans="1:31">
      <c r="A81" s="1609">
        <v>83</v>
      </c>
      <c r="B81" s="1618" t="s">
        <v>1380</v>
      </c>
      <c r="C81" s="1621" t="s">
        <v>1381</v>
      </c>
      <c r="D81" s="1618" t="s">
        <v>1022</v>
      </c>
      <c r="E81" s="1581">
        <f>2500</f>
        <v>2500</v>
      </c>
      <c r="F81" s="1581"/>
      <c r="G81" s="1581"/>
      <c r="H81" s="1581">
        <v>3500</v>
      </c>
      <c r="I81" s="1581">
        <v>2750</v>
      </c>
      <c r="J81" s="1722"/>
      <c r="K81" s="1581"/>
      <c r="L81" s="1727"/>
      <c r="M81" s="1581"/>
      <c r="N81" s="1581"/>
      <c r="O81" s="1581"/>
      <c r="P81" s="1581"/>
      <c r="Q81" s="1581"/>
      <c r="R81" s="1581"/>
      <c r="S81" s="1581"/>
      <c r="T81" s="1581"/>
      <c r="U81" s="1581"/>
      <c r="X81" s="1580">
        <f t="shared" si="6"/>
        <v>2500</v>
      </c>
      <c r="Y81" s="1580">
        <f t="shared" si="5"/>
        <v>2675</v>
      </c>
      <c r="Z81" s="1581">
        <f>2500*1.07</f>
        <v>2675</v>
      </c>
      <c r="AA81" s="1730">
        <f t="shared" si="7"/>
        <v>0</v>
      </c>
      <c r="AB81" s="1580">
        <v>2500</v>
      </c>
      <c r="AC81" s="1730">
        <f t="shared" si="8"/>
        <v>0</v>
      </c>
      <c r="AD81" s="1581">
        <f>2500</f>
        <v>2500</v>
      </c>
      <c r="AE81" s="1734">
        <f t="shared" si="4"/>
        <v>0</v>
      </c>
    </row>
    <row r="82" spans="1:31">
      <c r="A82" s="1609">
        <v>84</v>
      </c>
      <c r="B82" s="1620" t="s">
        <v>1380</v>
      </c>
      <c r="C82" s="1621" t="s">
        <v>1382</v>
      </c>
      <c r="D82" s="1620" t="s">
        <v>1022</v>
      </c>
      <c r="E82" s="1581"/>
      <c r="F82" s="1581"/>
      <c r="G82" s="1581"/>
      <c r="H82" s="1581"/>
      <c r="I82" s="1581"/>
      <c r="J82" s="1722"/>
      <c r="K82" s="1581"/>
      <c r="L82" s="1727"/>
      <c r="M82" s="1581"/>
      <c r="N82" s="1581"/>
      <c r="O82" s="1581"/>
      <c r="P82" s="1581">
        <v>700</v>
      </c>
      <c r="Q82" s="1581">
        <v>750</v>
      </c>
      <c r="R82" s="1581">
        <v>760</v>
      </c>
      <c r="S82" s="1581"/>
      <c r="T82" s="1581"/>
      <c r="U82" s="1581"/>
      <c r="X82" s="1580">
        <f t="shared" si="6"/>
        <v>700</v>
      </c>
      <c r="Y82" s="1580">
        <f t="shared" si="5"/>
        <v>749</v>
      </c>
      <c r="Z82" s="1581">
        <f>700*1.07</f>
        <v>749</v>
      </c>
      <c r="AA82" s="1730">
        <f t="shared" si="7"/>
        <v>0</v>
      </c>
      <c r="AC82" s="1730"/>
      <c r="AD82" s="1581"/>
      <c r="AE82" s="1734"/>
    </row>
    <row r="83" spans="1:31">
      <c r="A83" s="1609">
        <v>85</v>
      </c>
      <c r="B83" s="1622" t="s">
        <v>1378</v>
      </c>
      <c r="C83" s="1621" t="s">
        <v>1383</v>
      </c>
      <c r="D83" s="1622" t="s">
        <v>1022</v>
      </c>
      <c r="E83" s="1581"/>
      <c r="F83" s="1581"/>
      <c r="G83" s="1581"/>
      <c r="H83" s="1581"/>
      <c r="I83" s="1581"/>
      <c r="J83" s="1722"/>
      <c r="K83" s="1581"/>
      <c r="L83" s="1727"/>
      <c r="M83" s="1581"/>
      <c r="N83" s="1581"/>
      <c r="O83" s="1581"/>
      <c r="P83" s="1581"/>
      <c r="Q83" s="1581"/>
      <c r="R83" s="1581"/>
      <c r="S83" s="1581"/>
      <c r="T83" s="1581"/>
      <c r="U83" s="1581"/>
      <c r="X83" s="1580">
        <f t="shared" si="6"/>
        <v>0</v>
      </c>
      <c r="Y83" s="1580">
        <f t="shared" si="5"/>
        <v>0</v>
      </c>
      <c r="Z83" s="1581"/>
      <c r="AA83" s="1730">
        <f t="shared" si="7"/>
        <v>0</v>
      </c>
      <c r="AC83" s="1730"/>
      <c r="AD83" s="1581"/>
      <c r="AE83" s="1734"/>
    </row>
    <row r="84" spans="1:31">
      <c r="A84" s="1609">
        <v>86</v>
      </c>
      <c r="B84" s="1610" t="s">
        <v>1380</v>
      </c>
      <c r="C84" s="1621" t="s">
        <v>1384</v>
      </c>
      <c r="D84" s="1610" t="s">
        <v>1022</v>
      </c>
      <c r="E84" s="1581"/>
      <c r="F84" s="1581"/>
      <c r="G84" s="1581"/>
      <c r="H84" s="1581"/>
      <c r="I84" s="1581"/>
      <c r="J84" s="1722"/>
      <c r="K84" s="1581"/>
      <c r="L84" s="1727"/>
      <c r="M84" s="1581"/>
      <c r="N84" s="1581"/>
      <c r="O84" s="1581"/>
      <c r="P84" s="1581">
        <v>500</v>
      </c>
      <c r="Q84" s="1581">
        <v>510</v>
      </c>
      <c r="R84" s="1581">
        <v>530</v>
      </c>
      <c r="S84" s="1581"/>
      <c r="T84" s="1581"/>
      <c r="U84" s="1581"/>
      <c r="X84" s="1580">
        <f t="shared" si="6"/>
        <v>500</v>
      </c>
      <c r="Y84" s="1580">
        <f t="shared" si="5"/>
        <v>535</v>
      </c>
      <c r="Z84" s="1581">
        <f>500*1.07</f>
        <v>535</v>
      </c>
      <c r="AA84" s="1730">
        <f t="shared" si="7"/>
        <v>0</v>
      </c>
      <c r="AC84" s="1730"/>
      <c r="AD84" s="1581"/>
      <c r="AE84" s="1734"/>
    </row>
    <row r="85" spans="1:31" ht="38.25">
      <c r="A85" s="1609">
        <v>87</v>
      </c>
      <c r="B85" s="1620" t="s">
        <v>1380</v>
      </c>
      <c r="C85" s="1621" t="s">
        <v>1385</v>
      </c>
      <c r="D85" s="1620" t="s">
        <v>1022</v>
      </c>
      <c r="E85" s="1581"/>
      <c r="F85" s="1581"/>
      <c r="G85" s="1581"/>
      <c r="H85" s="1581"/>
      <c r="I85" s="1581"/>
      <c r="J85" s="1722">
        <v>300</v>
      </c>
      <c r="K85" s="1581">
        <v>500</v>
      </c>
      <c r="L85" s="1727">
        <v>350</v>
      </c>
      <c r="M85" s="1581"/>
      <c r="N85" s="1581"/>
      <c r="O85" s="1581"/>
      <c r="P85" s="1581"/>
      <c r="Q85" s="1581"/>
      <c r="R85" s="1581"/>
      <c r="S85" s="1581"/>
      <c r="T85" s="1581"/>
      <c r="U85" s="1581"/>
      <c r="X85" s="1580">
        <f t="shared" si="6"/>
        <v>300</v>
      </c>
      <c r="Y85" s="1580">
        <f t="shared" si="5"/>
        <v>321</v>
      </c>
      <c r="Z85" s="1581">
        <f>300*1.07</f>
        <v>321</v>
      </c>
      <c r="AA85" s="1730">
        <f t="shared" si="7"/>
        <v>0</v>
      </c>
      <c r="AC85" s="1730"/>
      <c r="AD85" s="1581"/>
      <c r="AE85" s="1734"/>
    </row>
    <row r="86" spans="1:31" ht="0.75" customHeight="1">
      <c r="A86" s="1609">
        <v>145</v>
      </c>
      <c r="B86" s="1618" t="s">
        <v>1386</v>
      </c>
      <c r="C86" s="1621"/>
      <c r="D86" s="1618" t="s">
        <v>1022</v>
      </c>
      <c r="E86" s="1581"/>
      <c r="F86" s="1581"/>
      <c r="G86" s="1581"/>
      <c r="H86" s="1581"/>
      <c r="I86" s="1581"/>
      <c r="J86" s="1722"/>
      <c r="K86" s="1581"/>
      <c r="L86" s="1727"/>
      <c r="M86" s="1581"/>
      <c r="N86" s="1581"/>
      <c r="O86" s="1581"/>
      <c r="P86" s="1581"/>
      <c r="Q86" s="1581"/>
      <c r="R86" s="1581"/>
      <c r="S86" s="1581"/>
      <c r="T86" s="1581"/>
      <c r="U86" s="1581"/>
      <c r="X86" s="1580">
        <f t="shared" si="6"/>
        <v>0</v>
      </c>
      <c r="Y86" s="1580">
        <f t="shared" si="5"/>
        <v>0</v>
      </c>
      <c r="Z86" s="1581"/>
      <c r="AA86" s="1730">
        <f t="shared" si="7"/>
        <v>0</v>
      </c>
      <c r="AC86" s="1730"/>
      <c r="AD86" s="1581"/>
      <c r="AE86" s="1734"/>
    </row>
    <row r="87" spans="1:31">
      <c r="A87" s="1609">
        <v>88</v>
      </c>
      <c r="B87" s="1618" t="s">
        <v>1387</v>
      </c>
      <c r="C87" s="1621" t="s">
        <v>1388</v>
      </c>
      <c r="D87" s="1618" t="s">
        <v>1268</v>
      </c>
      <c r="E87" s="1581"/>
      <c r="F87" s="1581"/>
      <c r="G87" s="1581"/>
      <c r="H87" s="1581"/>
      <c r="I87" s="1581"/>
      <c r="J87" s="1722">
        <v>600</v>
      </c>
      <c r="K87" s="1581">
        <v>700</v>
      </c>
      <c r="L87" s="1727">
        <v>800</v>
      </c>
      <c r="M87" s="1581"/>
      <c r="N87" s="1581"/>
      <c r="O87" s="1581"/>
      <c r="P87" s="1581"/>
      <c r="Q87" s="1581"/>
      <c r="R87" s="1581"/>
      <c r="S87" s="1581"/>
      <c r="T87" s="1581"/>
      <c r="U87" s="1581"/>
      <c r="X87" s="1580">
        <f t="shared" si="6"/>
        <v>600</v>
      </c>
      <c r="Y87" s="1580">
        <f t="shared" si="5"/>
        <v>642</v>
      </c>
      <c r="Z87" s="1581">
        <f>600*1.07</f>
        <v>642</v>
      </c>
      <c r="AA87" s="1730">
        <f t="shared" si="7"/>
        <v>0</v>
      </c>
      <c r="AC87" s="1730"/>
      <c r="AD87" s="1581"/>
      <c r="AE87" s="1734"/>
    </row>
    <row r="88" spans="1:31" hidden="1">
      <c r="A88" s="1609">
        <v>153</v>
      </c>
      <c r="B88" s="1618" t="s">
        <v>1389</v>
      </c>
      <c r="C88" s="1621"/>
      <c r="D88" s="1618" t="s">
        <v>1022</v>
      </c>
      <c r="E88" s="1581"/>
      <c r="F88" s="1581"/>
      <c r="G88" s="1581"/>
      <c r="H88" s="1581"/>
      <c r="I88" s="1581"/>
      <c r="J88" s="1722"/>
      <c r="K88" s="1581"/>
      <c r="L88" s="1727"/>
      <c r="M88" s="1581"/>
      <c r="N88" s="1581"/>
      <c r="O88" s="1581"/>
      <c r="P88" s="1581"/>
      <c r="Q88" s="1581"/>
      <c r="R88" s="1581"/>
      <c r="S88" s="1581"/>
      <c r="T88" s="1581"/>
      <c r="U88" s="1581"/>
      <c r="X88" s="1580">
        <f t="shared" si="6"/>
        <v>0</v>
      </c>
      <c r="Y88" s="1580">
        <f t="shared" si="5"/>
        <v>0</v>
      </c>
      <c r="Z88" s="1581">
        <f>300*1.07</f>
        <v>321</v>
      </c>
      <c r="AA88" s="1730">
        <f t="shared" si="7"/>
        <v>-321</v>
      </c>
      <c r="AC88" s="1730"/>
      <c r="AD88" s="1581"/>
      <c r="AE88" s="1734">
        <f>X88-AD88</f>
        <v>0</v>
      </c>
    </row>
    <row r="89" spans="1:31" ht="38.25">
      <c r="A89" s="1581">
        <v>89</v>
      </c>
      <c r="B89" s="1735" t="s">
        <v>1390</v>
      </c>
      <c r="C89" s="1614" t="s">
        <v>1391</v>
      </c>
      <c r="D89" s="1056" t="s">
        <v>1203</v>
      </c>
      <c r="E89" s="1581"/>
      <c r="F89" s="1610"/>
      <c r="G89" s="1610"/>
      <c r="H89" s="1581"/>
      <c r="I89" s="1581"/>
      <c r="J89" s="1723">
        <f>140</f>
        <v>140</v>
      </c>
      <c r="K89" s="1581">
        <v>150</v>
      </c>
      <c r="L89" s="1727">
        <v>160</v>
      </c>
      <c r="M89" s="1581"/>
      <c r="N89" s="1581"/>
      <c r="O89" s="1581"/>
      <c r="P89" s="1581"/>
      <c r="Q89" s="1581"/>
      <c r="R89" s="1581"/>
      <c r="S89" s="1581"/>
      <c r="T89" s="1581"/>
      <c r="U89" s="1581"/>
      <c r="X89" s="1580">
        <f t="shared" si="6"/>
        <v>140</v>
      </c>
      <c r="Y89" s="1580">
        <f t="shared" si="5"/>
        <v>149.80000000000001</v>
      </c>
      <c r="Z89" s="1581"/>
      <c r="AA89" s="1730"/>
      <c r="AC89" s="1730"/>
      <c r="AD89" s="1610">
        <f>140</f>
        <v>140</v>
      </c>
      <c r="AE89" s="1734">
        <f>X89-AD89</f>
        <v>0</v>
      </c>
    </row>
    <row r="90" spans="1:31">
      <c r="A90" s="1609">
        <v>90</v>
      </c>
      <c r="B90" s="1622" t="s">
        <v>1392</v>
      </c>
      <c r="C90" s="1621"/>
      <c r="D90" s="1622" t="s">
        <v>1022</v>
      </c>
      <c r="E90" s="1581"/>
      <c r="F90" s="1581"/>
      <c r="G90" s="1581"/>
      <c r="H90" s="1581"/>
      <c r="I90" s="1581"/>
      <c r="J90" s="1722"/>
      <c r="K90" s="1581"/>
      <c r="L90" s="1727"/>
      <c r="M90" s="1581"/>
      <c r="N90" s="1581"/>
      <c r="O90" s="1581"/>
      <c r="P90" s="1581"/>
      <c r="Q90" s="1581"/>
      <c r="R90" s="1581"/>
      <c r="S90" s="1581"/>
      <c r="T90" s="1581"/>
      <c r="U90" s="1581"/>
      <c r="X90" s="1580">
        <f t="shared" si="6"/>
        <v>0</v>
      </c>
      <c r="Y90" s="1580">
        <f t="shared" si="5"/>
        <v>0</v>
      </c>
      <c r="Z90" s="1581"/>
      <c r="AA90" s="1730">
        <f t="shared" si="7"/>
        <v>0</v>
      </c>
      <c r="AC90" s="1730"/>
      <c r="AD90" s="1581"/>
      <c r="AE90" s="1734">
        <f>X90-AD90</f>
        <v>0</v>
      </c>
    </row>
    <row r="91" spans="1:31">
      <c r="A91" s="1581">
        <v>91</v>
      </c>
      <c r="B91" s="1622" t="s">
        <v>1393</v>
      </c>
      <c r="C91" s="1621" t="s">
        <v>1394</v>
      </c>
      <c r="D91" s="1622" t="s">
        <v>1395</v>
      </c>
      <c r="E91" s="1581"/>
      <c r="F91" s="1581"/>
      <c r="G91" s="1581"/>
      <c r="H91" s="1581"/>
      <c r="I91" s="1581"/>
      <c r="J91" s="1722"/>
      <c r="K91" s="1581"/>
      <c r="L91" s="1727"/>
      <c r="M91" s="1581"/>
      <c r="N91" s="1581"/>
      <c r="O91" s="1581"/>
      <c r="P91" s="1581">
        <f>30</f>
        <v>30</v>
      </c>
      <c r="Q91" s="1581">
        <v>35</v>
      </c>
      <c r="R91" s="1581">
        <v>50</v>
      </c>
      <c r="S91" s="1581"/>
      <c r="T91" s="1581"/>
      <c r="U91" s="1581"/>
      <c r="X91" s="1580">
        <f t="shared" si="6"/>
        <v>30</v>
      </c>
      <c r="Y91" s="1580">
        <f t="shared" si="5"/>
        <v>32.1</v>
      </c>
      <c r="Z91" s="1581">
        <f>30*1.07</f>
        <v>32.1</v>
      </c>
      <c r="AA91" s="1730">
        <f t="shared" si="7"/>
        <v>0</v>
      </c>
      <c r="AC91" s="1730"/>
      <c r="AD91" s="1581"/>
      <c r="AE91" s="1734"/>
    </row>
    <row r="92" spans="1:31">
      <c r="A92" s="1609">
        <v>92</v>
      </c>
      <c r="B92" s="1619" t="s">
        <v>1396</v>
      </c>
      <c r="C92" s="1614" t="s">
        <v>1397</v>
      </c>
      <c r="D92" s="1619" t="s">
        <v>1263</v>
      </c>
      <c r="E92" s="1581"/>
      <c r="F92" s="1609"/>
      <c r="G92" s="1609">
        <f>250</f>
        <v>250</v>
      </c>
      <c r="H92" s="1581">
        <v>350</v>
      </c>
      <c r="I92" s="1581">
        <v>325</v>
      </c>
      <c r="J92" s="1722"/>
      <c r="K92" s="1581"/>
      <c r="L92" s="1727"/>
      <c r="M92" s="1581"/>
      <c r="N92" s="1581"/>
      <c r="O92" s="1581"/>
      <c r="P92" s="1581"/>
      <c r="Q92" s="1581"/>
      <c r="R92" s="1581"/>
      <c r="S92" s="1581"/>
      <c r="T92" s="1581"/>
      <c r="U92" s="1581"/>
      <c r="X92" s="1580">
        <f t="shared" si="6"/>
        <v>250</v>
      </c>
      <c r="Y92" s="1580">
        <f t="shared" si="5"/>
        <v>267.5</v>
      </c>
      <c r="Z92" s="1609">
        <f>250*1.07</f>
        <v>267.5</v>
      </c>
      <c r="AA92" s="1730">
        <f t="shared" si="7"/>
        <v>0</v>
      </c>
      <c r="AB92" s="1580">
        <v>250</v>
      </c>
      <c r="AC92" s="1730">
        <f t="shared" si="8"/>
        <v>0</v>
      </c>
      <c r="AD92" s="1609">
        <f>250</f>
        <v>250</v>
      </c>
      <c r="AE92" s="1734">
        <f>X92-AD92</f>
        <v>0</v>
      </c>
    </row>
    <row r="93" spans="1:31">
      <c r="A93" s="1581">
        <v>93</v>
      </c>
      <c r="B93" s="1619" t="s">
        <v>1396</v>
      </c>
      <c r="C93" s="1614" t="s">
        <v>1398</v>
      </c>
      <c r="D93" s="1619" t="s">
        <v>1263</v>
      </c>
      <c r="E93" s="1581"/>
      <c r="F93" s="1609"/>
      <c r="G93" s="1609">
        <f>320</f>
        <v>320</v>
      </c>
      <c r="H93" s="1581">
        <v>448</v>
      </c>
      <c r="I93" s="1581">
        <v>416</v>
      </c>
      <c r="J93" s="1722"/>
      <c r="K93" s="1581"/>
      <c r="L93" s="1727"/>
      <c r="M93" s="1581"/>
      <c r="N93" s="1581"/>
      <c r="O93" s="1581"/>
      <c r="P93" s="1581"/>
      <c r="Q93" s="1581"/>
      <c r="R93" s="1581"/>
      <c r="S93" s="1581"/>
      <c r="T93" s="1581"/>
      <c r="U93" s="1581"/>
      <c r="X93" s="1580">
        <f t="shared" si="6"/>
        <v>320</v>
      </c>
      <c r="Y93" s="1580">
        <f t="shared" si="5"/>
        <v>342.40000000000003</v>
      </c>
      <c r="Z93" s="1609">
        <f>320*1.07</f>
        <v>342.40000000000003</v>
      </c>
      <c r="AA93" s="1730">
        <f t="shared" si="7"/>
        <v>0</v>
      </c>
      <c r="AB93" s="1580">
        <v>320</v>
      </c>
      <c r="AC93" s="1730">
        <f t="shared" si="8"/>
        <v>0</v>
      </c>
      <c r="AD93" s="1609">
        <f>320</f>
        <v>320</v>
      </c>
      <c r="AE93" s="1734">
        <f>X93-AD93</f>
        <v>0</v>
      </c>
    </row>
    <row r="94" spans="1:31">
      <c r="A94" s="1609">
        <v>94</v>
      </c>
      <c r="B94" s="1619" t="s">
        <v>1399</v>
      </c>
      <c r="C94" s="1614" t="s">
        <v>1400</v>
      </c>
      <c r="D94" s="1619" t="s">
        <v>1268</v>
      </c>
      <c r="E94" s="1581"/>
      <c r="F94" s="1610"/>
      <c r="G94" s="1610">
        <f>3000</f>
        <v>3000</v>
      </c>
      <c r="H94" s="1581">
        <v>4200</v>
      </c>
      <c r="I94" s="1581">
        <v>3900</v>
      </c>
      <c r="J94" s="1722"/>
      <c r="K94" s="1581"/>
      <c r="L94" s="1727"/>
      <c r="M94" s="1581"/>
      <c r="N94" s="1581"/>
      <c r="O94" s="1581"/>
      <c r="P94" s="1581"/>
      <c r="Q94" s="1581"/>
      <c r="R94" s="1581"/>
      <c r="S94" s="1581"/>
      <c r="T94" s="1581"/>
      <c r="U94" s="1581"/>
      <c r="X94" s="1580">
        <f t="shared" si="6"/>
        <v>3000</v>
      </c>
      <c r="Y94" s="1580">
        <f t="shared" si="5"/>
        <v>3210</v>
      </c>
      <c r="Z94" s="1610">
        <f>3000*1.07</f>
        <v>3210</v>
      </c>
      <c r="AA94" s="1730">
        <f t="shared" si="7"/>
        <v>0</v>
      </c>
      <c r="AB94" s="1580">
        <v>3000</v>
      </c>
      <c r="AC94" s="1730">
        <f t="shared" si="8"/>
        <v>0</v>
      </c>
      <c r="AD94" s="1581"/>
      <c r="AE94" s="1734"/>
    </row>
    <row r="95" spans="1:31" hidden="1">
      <c r="A95" s="1609">
        <v>191</v>
      </c>
      <c r="B95" s="1620" t="s">
        <v>1401</v>
      </c>
      <c r="C95" s="1621" t="s">
        <v>1402</v>
      </c>
      <c r="D95" s="1620" t="s">
        <v>1022</v>
      </c>
      <c r="E95" s="1581"/>
      <c r="F95" s="1581"/>
      <c r="G95" s="1581"/>
      <c r="H95" s="1581"/>
      <c r="I95" s="1581"/>
      <c r="J95" s="1722"/>
      <c r="K95" s="1581"/>
      <c r="L95" s="1727"/>
      <c r="M95" s="1581"/>
      <c r="N95" s="1581"/>
      <c r="O95" s="1581"/>
      <c r="P95" s="1581"/>
      <c r="Q95" s="1581"/>
      <c r="R95" s="1581"/>
      <c r="S95" s="1581"/>
      <c r="T95" s="1581"/>
      <c r="U95" s="1581"/>
      <c r="X95" s="1580">
        <f t="shared" si="6"/>
        <v>0</v>
      </c>
      <c r="Y95" s="1580">
        <f t="shared" si="5"/>
        <v>0</v>
      </c>
      <c r="Z95" s="1609">
        <f>250*1.07</f>
        <v>267.5</v>
      </c>
      <c r="AA95" s="1730">
        <f t="shared" si="7"/>
        <v>-267.5</v>
      </c>
      <c r="AC95" s="1730">
        <f t="shared" si="8"/>
        <v>0</v>
      </c>
      <c r="AD95" s="1610">
        <f>3000*1.07</f>
        <v>3210</v>
      </c>
      <c r="AE95" s="1734"/>
    </row>
    <row r="96" spans="1:31" ht="25.5">
      <c r="A96" s="1609">
        <v>95</v>
      </c>
      <c r="B96" s="1618" t="s">
        <v>1403</v>
      </c>
      <c r="C96" s="1621" t="s">
        <v>1404</v>
      </c>
      <c r="D96" s="1618" t="s">
        <v>1022</v>
      </c>
      <c r="E96" s="1581"/>
      <c r="F96" s="1581"/>
      <c r="G96" s="1581"/>
      <c r="H96" s="1581"/>
      <c r="I96" s="1581"/>
      <c r="J96" s="1722"/>
      <c r="K96" s="1581"/>
      <c r="L96" s="1727"/>
      <c r="M96" s="1581">
        <f>1300</f>
        <v>1300</v>
      </c>
      <c r="N96" s="1581">
        <v>1365</v>
      </c>
      <c r="O96" s="1581">
        <v>1326</v>
      </c>
      <c r="P96" s="1581"/>
      <c r="Q96" s="1581"/>
      <c r="R96" s="1581"/>
      <c r="S96" s="1581"/>
      <c r="T96" s="1581"/>
      <c r="U96" s="1581"/>
      <c r="X96" s="1580">
        <f t="shared" si="6"/>
        <v>1300</v>
      </c>
      <c r="Y96" s="1580">
        <f t="shared" si="5"/>
        <v>1391</v>
      </c>
      <c r="Z96" s="1609">
        <v>1391</v>
      </c>
      <c r="AA96" s="1730"/>
      <c r="AC96" s="1730"/>
      <c r="AD96" s="1581"/>
      <c r="AE96" s="1734"/>
    </row>
    <row r="97" spans="1:31">
      <c r="A97" s="1609">
        <v>96</v>
      </c>
      <c r="B97" s="1618" t="s">
        <v>1405</v>
      </c>
      <c r="C97" s="1621" t="s">
        <v>1406</v>
      </c>
      <c r="D97" s="1618" t="s">
        <v>1022</v>
      </c>
      <c r="E97" s="1581"/>
      <c r="F97" s="1581"/>
      <c r="G97" s="1581"/>
      <c r="H97" s="1581"/>
      <c r="I97" s="1581"/>
      <c r="J97" s="1722"/>
      <c r="K97" s="1581"/>
      <c r="L97" s="1727"/>
      <c r="M97" s="1581">
        <f>900</f>
        <v>900</v>
      </c>
      <c r="N97" s="1581">
        <v>945</v>
      </c>
      <c r="O97" s="1581">
        <v>918</v>
      </c>
      <c r="P97" s="1581"/>
      <c r="Q97" s="1581"/>
      <c r="R97" s="1581"/>
      <c r="S97" s="1581"/>
      <c r="T97" s="1581"/>
      <c r="U97" s="1581"/>
      <c r="X97" s="1580">
        <f t="shared" si="6"/>
        <v>900</v>
      </c>
      <c r="Y97" s="1580">
        <f t="shared" si="5"/>
        <v>963</v>
      </c>
      <c r="Z97" s="1581">
        <v>963</v>
      </c>
      <c r="AA97" s="1730"/>
      <c r="AC97" s="1730"/>
      <c r="AD97" s="1581"/>
      <c r="AE97" s="1734"/>
    </row>
    <row r="98" spans="1:31">
      <c r="A98" s="1609">
        <v>97</v>
      </c>
      <c r="B98" s="1618" t="s">
        <v>1407</v>
      </c>
      <c r="C98" s="1621" t="s">
        <v>1408</v>
      </c>
      <c r="D98" s="1618" t="s">
        <v>1022</v>
      </c>
      <c r="E98" s="1581"/>
      <c r="F98" s="1581"/>
      <c r="G98" s="1581"/>
      <c r="H98" s="1581"/>
      <c r="I98" s="1581"/>
      <c r="J98" s="1722"/>
      <c r="K98" s="1581"/>
      <c r="L98" s="1727"/>
      <c r="M98" s="1581">
        <f>1100</f>
        <v>1100</v>
      </c>
      <c r="N98" s="1581">
        <v>1155</v>
      </c>
      <c r="O98" s="1581">
        <v>1122</v>
      </c>
      <c r="P98" s="1581"/>
      <c r="Q98" s="1581"/>
      <c r="R98" s="1581"/>
      <c r="S98" s="1581"/>
      <c r="T98" s="1581"/>
      <c r="U98" s="1581"/>
      <c r="X98" s="1580">
        <f t="shared" si="6"/>
        <v>1100</v>
      </c>
      <c r="Y98" s="1580">
        <f t="shared" si="5"/>
        <v>1177</v>
      </c>
      <c r="Z98" s="1610">
        <v>1177</v>
      </c>
      <c r="AA98" s="1730"/>
      <c r="AC98" s="1730"/>
      <c r="AD98" s="1581"/>
      <c r="AE98" s="1734"/>
    </row>
    <row r="99" spans="1:31">
      <c r="A99" s="1609">
        <v>98</v>
      </c>
      <c r="B99" s="1619" t="s">
        <v>1409</v>
      </c>
      <c r="C99" s="917" t="s">
        <v>1410</v>
      </c>
      <c r="D99" s="1619" t="s">
        <v>1411</v>
      </c>
      <c r="E99" s="1581"/>
      <c r="F99" s="1609"/>
      <c r="G99" s="1609">
        <f>650</f>
        <v>650</v>
      </c>
      <c r="H99" s="1581">
        <v>910</v>
      </c>
      <c r="I99" s="1581">
        <v>845</v>
      </c>
      <c r="J99" s="1722"/>
      <c r="K99" s="1581"/>
      <c r="L99" s="1727"/>
      <c r="M99" s="1581"/>
      <c r="N99" s="1581"/>
      <c r="O99" s="1581"/>
      <c r="P99" s="1581"/>
      <c r="Q99" s="1581"/>
      <c r="R99" s="1581"/>
      <c r="S99" s="1581"/>
      <c r="T99" s="1581"/>
      <c r="U99" s="1581"/>
      <c r="X99" s="1580">
        <f t="shared" si="6"/>
        <v>650</v>
      </c>
      <c r="Y99" s="1580">
        <f t="shared" si="5"/>
        <v>695.5</v>
      </c>
      <c r="Z99" s="1609">
        <f>650*1.07</f>
        <v>695.5</v>
      </c>
      <c r="AA99" s="1730">
        <f t="shared" si="7"/>
        <v>0</v>
      </c>
      <c r="AB99" s="1580">
        <v>650</v>
      </c>
      <c r="AC99" s="1730">
        <f t="shared" si="8"/>
        <v>0</v>
      </c>
      <c r="AD99" s="1609">
        <f>650</f>
        <v>650</v>
      </c>
      <c r="AE99" s="1734">
        <f>X99-AD99</f>
        <v>0</v>
      </c>
    </row>
    <row r="100" spans="1:31">
      <c r="A100" s="1609">
        <v>99</v>
      </c>
      <c r="B100" s="1619" t="s">
        <v>1409</v>
      </c>
      <c r="C100" s="917" t="s">
        <v>1412</v>
      </c>
      <c r="D100" s="1619" t="s">
        <v>1411</v>
      </c>
      <c r="E100" s="1581"/>
      <c r="F100" s="1609"/>
      <c r="G100" s="1609">
        <f>750</f>
        <v>750</v>
      </c>
      <c r="H100" s="1581">
        <v>1050</v>
      </c>
      <c r="I100" s="1581">
        <v>975</v>
      </c>
      <c r="J100" s="1722"/>
      <c r="K100" s="1581"/>
      <c r="L100" s="1727"/>
      <c r="M100" s="1581"/>
      <c r="N100" s="1581"/>
      <c r="O100" s="1581"/>
      <c r="P100" s="1581"/>
      <c r="Q100" s="1581"/>
      <c r="R100" s="1581"/>
      <c r="S100" s="1581"/>
      <c r="T100" s="1581"/>
      <c r="U100" s="1581"/>
      <c r="X100" s="1580">
        <f t="shared" si="6"/>
        <v>750</v>
      </c>
      <c r="Y100" s="1580">
        <f t="shared" si="5"/>
        <v>802.5</v>
      </c>
      <c r="Z100" s="1609">
        <f>750*1.07</f>
        <v>802.5</v>
      </c>
      <c r="AA100" s="1730">
        <f t="shared" si="7"/>
        <v>0</v>
      </c>
      <c r="AB100" s="1580">
        <v>750</v>
      </c>
      <c r="AC100" s="1730">
        <f t="shared" si="8"/>
        <v>0</v>
      </c>
      <c r="AD100" s="1609">
        <f>750</f>
        <v>750</v>
      </c>
      <c r="AE100" s="1734">
        <f>X100-AD100</f>
        <v>0</v>
      </c>
    </row>
    <row r="101" spans="1:31">
      <c r="A101" s="1609">
        <v>100</v>
      </c>
      <c r="B101" s="1618" t="s">
        <v>1413</v>
      </c>
      <c r="C101" s="1579" t="s">
        <v>1414</v>
      </c>
      <c r="D101" s="1618" t="s">
        <v>1415</v>
      </c>
      <c r="E101" s="1581"/>
      <c r="F101" s="1581"/>
      <c r="G101" s="1581">
        <f>450</f>
        <v>450</v>
      </c>
      <c r="H101" s="1581">
        <v>630</v>
      </c>
      <c r="I101" s="1581">
        <v>585</v>
      </c>
      <c r="J101" s="1722"/>
      <c r="K101" s="1581"/>
      <c r="L101" s="1727"/>
      <c r="M101" s="1581"/>
      <c r="N101" s="1581"/>
      <c r="O101" s="1581"/>
      <c r="P101" s="1581"/>
      <c r="Q101" s="1581"/>
      <c r="R101" s="1581"/>
      <c r="S101" s="1581"/>
      <c r="T101" s="1581"/>
      <c r="U101" s="1581"/>
      <c r="X101" s="1580">
        <f t="shared" si="6"/>
        <v>450</v>
      </c>
      <c r="Y101" s="1580">
        <f t="shared" si="5"/>
        <v>481.5</v>
      </c>
      <c r="Z101" s="1581">
        <f>450*1.07</f>
        <v>481.5</v>
      </c>
      <c r="AA101" s="1730">
        <f t="shared" si="7"/>
        <v>0</v>
      </c>
      <c r="AB101" s="1580">
        <v>450</v>
      </c>
      <c r="AC101" s="1730">
        <f t="shared" si="8"/>
        <v>0</v>
      </c>
      <c r="AD101" s="1581">
        <f>450</f>
        <v>450</v>
      </c>
      <c r="AE101" s="1734">
        <f>X101-AD101</f>
        <v>0</v>
      </c>
    </row>
    <row r="102" spans="1:31">
      <c r="A102" s="1609">
        <v>101</v>
      </c>
      <c r="B102" s="1619" t="s">
        <v>1416</v>
      </c>
      <c r="C102" s="917" t="s">
        <v>1417</v>
      </c>
      <c r="D102" s="1619" t="s">
        <v>1411</v>
      </c>
      <c r="E102" s="1581"/>
      <c r="F102" s="1609"/>
      <c r="G102" s="1609">
        <f>600</f>
        <v>600</v>
      </c>
      <c r="H102" s="1581">
        <v>840</v>
      </c>
      <c r="I102" s="1581">
        <v>780</v>
      </c>
      <c r="J102" s="1722"/>
      <c r="K102" s="1581"/>
      <c r="L102" s="1727"/>
      <c r="M102" s="1581"/>
      <c r="N102" s="1581"/>
      <c r="O102" s="1581"/>
      <c r="P102" s="1581"/>
      <c r="Q102" s="1581"/>
      <c r="R102" s="1581"/>
      <c r="S102" s="1581"/>
      <c r="T102" s="1581"/>
      <c r="U102" s="1581"/>
      <c r="X102" s="1580">
        <f t="shared" si="6"/>
        <v>600</v>
      </c>
      <c r="Y102" s="1580">
        <f t="shared" si="5"/>
        <v>642</v>
      </c>
      <c r="Z102" s="1609">
        <f>600*1.07</f>
        <v>642</v>
      </c>
      <c r="AA102" s="1730">
        <f t="shared" si="7"/>
        <v>0</v>
      </c>
      <c r="AB102" s="1580">
        <v>600</v>
      </c>
      <c r="AC102" s="1730">
        <f t="shared" si="8"/>
        <v>0</v>
      </c>
      <c r="AD102" s="1609">
        <f>600</f>
        <v>600</v>
      </c>
      <c r="AE102" s="1734">
        <f>X102-AD102</f>
        <v>0</v>
      </c>
    </row>
    <row r="103" spans="1:31">
      <c r="A103" s="1609">
        <v>102</v>
      </c>
      <c r="B103" s="1619" t="s">
        <v>1416</v>
      </c>
      <c r="C103" s="917" t="s">
        <v>1418</v>
      </c>
      <c r="D103" s="1619" t="s">
        <v>1415</v>
      </c>
      <c r="E103" s="1581"/>
      <c r="F103" s="1609"/>
      <c r="G103" s="1609">
        <f>800</f>
        <v>800</v>
      </c>
      <c r="H103" s="1581">
        <v>1120</v>
      </c>
      <c r="I103" s="1581">
        <v>1040</v>
      </c>
      <c r="J103" s="1722"/>
      <c r="K103" s="1581"/>
      <c r="L103" s="1727"/>
      <c r="M103" s="1581"/>
      <c r="N103" s="1581"/>
      <c r="O103" s="1581"/>
      <c r="P103" s="1581"/>
      <c r="Q103" s="1581"/>
      <c r="R103" s="1581"/>
      <c r="S103" s="1581"/>
      <c r="T103" s="1581"/>
      <c r="U103" s="1581"/>
      <c r="X103" s="1580">
        <f t="shared" si="6"/>
        <v>800</v>
      </c>
      <c r="Y103" s="1580">
        <f t="shared" si="5"/>
        <v>856</v>
      </c>
      <c r="Z103" s="1609">
        <f>800*1.07</f>
        <v>856</v>
      </c>
      <c r="AA103" s="1730">
        <f t="shared" si="7"/>
        <v>0</v>
      </c>
      <c r="AB103" s="1580">
        <v>800</v>
      </c>
      <c r="AC103" s="1730">
        <f t="shared" si="8"/>
        <v>0</v>
      </c>
      <c r="AD103" s="1609">
        <f>800</f>
        <v>800</v>
      </c>
      <c r="AE103" s="1734">
        <f>X103-AD103</f>
        <v>0</v>
      </c>
    </row>
    <row r="104" spans="1:31">
      <c r="A104" s="1609">
        <v>103</v>
      </c>
      <c r="B104" s="1610" t="s">
        <v>1419</v>
      </c>
      <c r="C104" s="1579" t="s">
        <v>1420</v>
      </c>
      <c r="D104" s="1610" t="s">
        <v>1415</v>
      </c>
      <c r="E104" s="1581"/>
      <c r="F104" s="1581"/>
      <c r="G104" s="1581">
        <f>350</f>
        <v>350</v>
      </c>
      <c r="H104" s="1581">
        <v>490</v>
      </c>
      <c r="I104" s="1581">
        <v>420</v>
      </c>
      <c r="J104" s="1722"/>
      <c r="K104" s="1581"/>
      <c r="L104" s="1727"/>
      <c r="M104" s="1581"/>
      <c r="N104" s="1581"/>
      <c r="O104" s="1581"/>
      <c r="P104" s="1581"/>
      <c r="Q104" s="1581"/>
      <c r="R104" s="1581"/>
      <c r="S104" s="1581"/>
      <c r="T104" s="1581"/>
      <c r="U104" s="1581"/>
      <c r="X104" s="1580">
        <f t="shared" si="6"/>
        <v>350</v>
      </c>
      <c r="Y104" s="1580">
        <f t="shared" si="5"/>
        <v>374.5</v>
      </c>
      <c r="Z104" s="1581">
        <v>374.5</v>
      </c>
      <c r="AA104" s="1730">
        <f t="shared" si="7"/>
        <v>0</v>
      </c>
      <c r="AB104" s="1580">
        <v>350</v>
      </c>
      <c r="AC104" s="1730">
        <f t="shared" si="8"/>
        <v>0</v>
      </c>
      <c r="AD104" s="1581"/>
      <c r="AE104" s="1734"/>
    </row>
    <row r="105" spans="1:31">
      <c r="A105" s="1609">
        <v>104</v>
      </c>
      <c r="B105" s="1618" t="s">
        <v>1421</v>
      </c>
      <c r="C105" s="1579" t="s">
        <v>1422</v>
      </c>
      <c r="D105" s="1618" t="s">
        <v>1022</v>
      </c>
      <c r="E105" s="1581"/>
      <c r="F105" s="1581"/>
      <c r="G105" s="1581"/>
      <c r="H105" s="1581"/>
      <c r="I105" s="1581"/>
      <c r="J105" s="1722"/>
      <c r="K105" s="1581"/>
      <c r="L105" s="1727"/>
      <c r="M105" s="1581">
        <f>140</f>
        <v>140</v>
      </c>
      <c r="N105" s="1581">
        <v>147</v>
      </c>
      <c r="O105" s="1581">
        <v>142.80000000000001</v>
      </c>
      <c r="P105" s="1581"/>
      <c r="Q105" s="1581"/>
      <c r="R105" s="1581"/>
      <c r="S105" s="1581"/>
      <c r="T105" s="1581"/>
      <c r="U105" s="1581"/>
      <c r="X105" s="1580">
        <f t="shared" si="6"/>
        <v>140</v>
      </c>
      <c r="Y105" s="1580">
        <f t="shared" si="5"/>
        <v>149.80000000000001</v>
      </c>
      <c r="Z105" s="1581">
        <v>149.80000000000001</v>
      </c>
      <c r="AA105" s="1730">
        <f t="shared" si="7"/>
        <v>0</v>
      </c>
      <c r="AC105" s="1730"/>
      <c r="AD105" s="1581"/>
      <c r="AE105" s="1734"/>
    </row>
    <row r="106" spans="1:31">
      <c r="A106" s="1609">
        <v>105</v>
      </c>
      <c r="B106" s="1618" t="s">
        <v>1423</v>
      </c>
      <c r="C106" s="1579" t="s">
        <v>1424</v>
      </c>
      <c r="D106" s="1618" t="s">
        <v>1022</v>
      </c>
      <c r="E106" s="1581"/>
      <c r="F106" s="1581"/>
      <c r="G106" s="1581"/>
      <c r="H106" s="1581"/>
      <c r="I106" s="1581"/>
      <c r="J106" s="1722"/>
      <c r="K106" s="1581"/>
      <c r="L106" s="1727"/>
      <c r="M106" s="1581">
        <f>153</f>
        <v>153</v>
      </c>
      <c r="N106" s="1581">
        <v>160.65</v>
      </c>
      <c r="O106" s="1581">
        <v>156.06</v>
      </c>
      <c r="P106" s="1581"/>
      <c r="Q106" s="1581"/>
      <c r="R106" s="1581"/>
      <c r="S106" s="1581"/>
      <c r="T106" s="1581"/>
      <c r="U106" s="1581"/>
      <c r="X106" s="1580">
        <f t="shared" si="6"/>
        <v>153</v>
      </c>
      <c r="Y106" s="1580">
        <f t="shared" si="5"/>
        <v>163.71</v>
      </c>
      <c r="Z106" s="1581">
        <v>163.71</v>
      </c>
      <c r="AA106" s="1730">
        <f t="shared" si="7"/>
        <v>0</v>
      </c>
      <c r="AC106" s="1730"/>
      <c r="AD106" s="1581"/>
      <c r="AE106" s="1734"/>
    </row>
    <row r="107" spans="1:31">
      <c r="A107" s="1609">
        <v>106</v>
      </c>
      <c r="B107" s="1619" t="s">
        <v>1425</v>
      </c>
      <c r="C107" s="917" t="s">
        <v>1426</v>
      </c>
      <c r="D107" s="1619" t="s">
        <v>1411</v>
      </c>
      <c r="E107" s="1581"/>
      <c r="F107" s="1609"/>
      <c r="G107" s="1609">
        <f>1000</f>
        <v>1000</v>
      </c>
      <c r="H107" s="1581">
        <v>1400</v>
      </c>
      <c r="I107" s="1581">
        <v>1300</v>
      </c>
      <c r="J107" s="1722"/>
      <c r="K107" s="1581"/>
      <c r="L107" s="1727"/>
      <c r="M107" s="1581"/>
      <c r="N107" s="1581"/>
      <c r="O107" s="1581"/>
      <c r="P107" s="1581"/>
      <c r="Q107" s="1581"/>
      <c r="R107" s="1581"/>
      <c r="S107" s="1581"/>
      <c r="T107" s="1581"/>
      <c r="U107" s="1581"/>
      <c r="X107" s="1580">
        <f t="shared" si="6"/>
        <v>1000</v>
      </c>
      <c r="Y107" s="1580">
        <f t="shared" si="5"/>
        <v>1070</v>
      </c>
      <c r="Z107" s="1609">
        <v>1070</v>
      </c>
      <c r="AA107" s="1730"/>
      <c r="AB107" s="1580">
        <v>1000</v>
      </c>
      <c r="AC107" s="1730">
        <f t="shared" si="8"/>
        <v>0</v>
      </c>
      <c r="AD107" s="1609">
        <f>1000</f>
        <v>1000</v>
      </c>
      <c r="AE107" s="1734">
        <f>X107-AD107</f>
        <v>0</v>
      </c>
    </row>
    <row r="108" spans="1:31">
      <c r="A108" s="1609">
        <v>107</v>
      </c>
      <c r="B108" s="1619" t="s">
        <v>1427</v>
      </c>
      <c r="C108" s="917" t="s">
        <v>1428</v>
      </c>
      <c r="D108" s="1619" t="s">
        <v>1411</v>
      </c>
      <c r="E108" s="1581"/>
      <c r="F108" s="1610"/>
      <c r="G108" s="1610">
        <f>1900</f>
        <v>1900</v>
      </c>
      <c r="H108" s="1581">
        <v>2660</v>
      </c>
      <c r="I108" s="1581">
        <v>2470</v>
      </c>
      <c r="J108" s="1722"/>
      <c r="K108" s="1581"/>
      <c r="L108" s="1727"/>
      <c r="M108" s="1581"/>
      <c r="N108" s="1581"/>
      <c r="O108" s="1581"/>
      <c r="P108" s="1581"/>
      <c r="Q108" s="1581"/>
      <c r="R108" s="1581"/>
      <c r="S108" s="1581"/>
      <c r="T108" s="1581"/>
      <c r="U108" s="1581"/>
      <c r="X108" s="1580">
        <f t="shared" si="6"/>
        <v>1900</v>
      </c>
      <c r="Y108" s="1580">
        <f t="shared" si="5"/>
        <v>2033.0000000000002</v>
      </c>
      <c r="Z108" s="1610">
        <f>1900*1.07</f>
        <v>2033.0000000000002</v>
      </c>
      <c r="AA108" s="1730">
        <f t="shared" si="7"/>
        <v>0</v>
      </c>
      <c r="AB108" s="1580">
        <v>1900</v>
      </c>
      <c r="AC108" s="1730">
        <f t="shared" si="8"/>
        <v>0</v>
      </c>
      <c r="AD108" s="1610">
        <f>1900</f>
        <v>1900</v>
      </c>
      <c r="AE108" s="1734">
        <f>X108-AD108</f>
        <v>0</v>
      </c>
    </row>
    <row r="109" spans="1:31">
      <c r="A109" s="1609">
        <v>108</v>
      </c>
      <c r="B109" s="1620" t="s">
        <v>1429</v>
      </c>
      <c r="C109" s="1579" t="s">
        <v>1430</v>
      </c>
      <c r="D109" s="1620" t="s">
        <v>1022</v>
      </c>
      <c r="F109" s="1581"/>
      <c r="G109" s="1581"/>
      <c r="H109" s="1581"/>
      <c r="I109" s="1581"/>
      <c r="J109" s="1581">
        <f>500</f>
        <v>500</v>
      </c>
      <c r="K109" s="1581">
        <v>600</v>
      </c>
      <c r="L109" s="1727">
        <v>600</v>
      </c>
      <c r="M109" s="1581"/>
      <c r="N109" s="1581"/>
      <c r="O109" s="1581"/>
      <c r="P109" s="1581"/>
      <c r="Q109" s="1581"/>
      <c r="R109" s="1581"/>
      <c r="S109" s="1581"/>
      <c r="T109" s="1581"/>
      <c r="U109" s="1581"/>
      <c r="X109" s="1580">
        <f t="shared" si="6"/>
        <v>500</v>
      </c>
      <c r="Y109" s="1580">
        <f t="shared" si="5"/>
        <v>535</v>
      </c>
      <c r="Z109" s="1581">
        <f>500*1.07</f>
        <v>535</v>
      </c>
      <c r="AA109" s="1730">
        <f t="shared" si="7"/>
        <v>0</v>
      </c>
      <c r="AC109" s="1730"/>
      <c r="AD109" s="1581"/>
      <c r="AE109" s="1734"/>
    </row>
    <row r="110" spans="1:31" hidden="1">
      <c r="A110" s="1609">
        <v>109</v>
      </c>
      <c r="B110" s="1618" t="s">
        <v>1431</v>
      </c>
      <c r="C110" s="1579" t="s">
        <v>1432</v>
      </c>
      <c r="D110" s="1618" t="s">
        <v>1022</v>
      </c>
      <c r="E110" s="1581"/>
      <c r="F110" s="1581"/>
      <c r="G110" s="1581"/>
      <c r="H110" s="1581"/>
      <c r="I110" s="1581"/>
      <c r="J110" s="1722"/>
      <c r="K110" s="1581"/>
      <c r="L110" s="1727"/>
      <c r="M110" s="1581"/>
      <c r="N110" s="1581"/>
      <c r="O110" s="1581"/>
      <c r="P110" s="1581"/>
      <c r="Q110" s="1581"/>
      <c r="R110" s="1581"/>
      <c r="S110" s="1581"/>
      <c r="T110" s="1581"/>
      <c r="U110" s="1581"/>
      <c r="X110" s="1580">
        <f t="shared" si="6"/>
        <v>0</v>
      </c>
      <c r="Y110" s="1580">
        <f t="shared" si="5"/>
        <v>0</v>
      </c>
      <c r="Z110" s="1581"/>
      <c r="AA110" s="1730">
        <f t="shared" si="7"/>
        <v>0</v>
      </c>
      <c r="AC110" s="1730">
        <f t="shared" si="8"/>
        <v>0</v>
      </c>
      <c r="AD110" s="1581"/>
      <c r="AE110" s="1734"/>
    </row>
    <row r="111" spans="1:31" hidden="1">
      <c r="A111" s="1609">
        <v>110</v>
      </c>
      <c r="B111" s="1618" t="s">
        <v>1433</v>
      </c>
      <c r="C111" s="1579" t="s">
        <v>1434</v>
      </c>
      <c r="D111" s="1618" t="s">
        <v>1022</v>
      </c>
      <c r="E111" s="1581"/>
      <c r="F111" s="1581"/>
      <c r="G111" s="1581"/>
      <c r="H111" s="1581"/>
      <c r="I111" s="1581"/>
      <c r="J111" s="1722"/>
      <c r="K111" s="1581"/>
      <c r="L111" s="1727"/>
      <c r="M111" s="1581"/>
      <c r="N111" s="1581"/>
      <c r="O111" s="1581"/>
      <c r="P111" s="1581"/>
      <c r="Q111" s="1581"/>
      <c r="R111" s="1581"/>
      <c r="S111" s="1581"/>
      <c r="T111" s="1581"/>
      <c r="U111" s="1581"/>
      <c r="X111" s="1580">
        <f t="shared" si="6"/>
        <v>0</v>
      </c>
      <c r="Y111" s="1580">
        <f t="shared" si="5"/>
        <v>0</v>
      </c>
      <c r="Z111" s="1609">
        <f>1000*1.07</f>
        <v>1070</v>
      </c>
      <c r="AA111" s="1730">
        <f t="shared" si="7"/>
        <v>-1070</v>
      </c>
      <c r="AC111" s="1730">
        <f t="shared" si="8"/>
        <v>0</v>
      </c>
      <c r="AD111" s="1581"/>
      <c r="AE111" s="1734"/>
    </row>
    <row r="112" spans="1:31">
      <c r="A112" s="1609">
        <v>109</v>
      </c>
      <c r="B112" s="1579" t="s">
        <v>1435</v>
      </c>
      <c r="C112" s="1647" t="s">
        <v>1436</v>
      </c>
      <c r="D112" s="1618" t="s">
        <v>1022</v>
      </c>
      <c r="E112" s="1581"/>
      <c r="F112" s="1581"/>
      <c r="G112" s="1581"/>
      <c r="H112" s="1581"/>
      <c r="I112" s="1581"/>
      <c r="J112" s="1722"/>
      <c r="K112" s="1581"/>
      <c r="L112" s="1727"/>
      <c r="M112" s="1581">
        <f>7000</f>
        <v>7000</v>
      </c>
      <c r="N112" s="1581">
        <v>7350</v>
      </c>
      <c r="O112" s="1581">
        <v>7140</v>
      </c>
      <c r="P112" s="1581"/>
      <c r="Q112" s="1581"/>
      <c r="R112" s="1581"/>
      <c r="S112" s="1581"/>
      <c r="T112" s="1581"/>
      <c r="U112" s="1581"/>
      <c r="X112" s="1580">
        <f t="shared" si="6"/>
        <v>7000</v>
      </c>
      <c r="Y112" s="1580">
        <f t="shared" si="5"/>
        <v>7490</v>
      </c>
      <c r="Z112" s="1610">
        <v>7490</v>
      </c>
      <c r="AA112" s="1730">
        <f t="shared" si="7"/>
        <v>0</v>
      </c>
      <c r="AB112" s="1580">
        <v>7000</v>
      </c>
      <c r="AC112" s="1730">
        <f t="shared" si="8"/>
        <v>0</v>
      </c>
      <c r="AD112" s="1581"/>
      <c r="AE112" s="1734"/>
    </row>
    <row r="113" spans="1:31" ht="34.5" customHeight="1">
      <c r="A113" s="1609">
        <v>110</v>
      </c>
      <c r="B113" s="1618" t="s">
        <v>1437</v>
      </c>
      <c r="C113" s="1579" t="s">
        <v>1438</v>
      </c>
      <c r="D113" s="1618" t="s">
        <v>1022</v>
      </c>
      <c r="E113" s="1581"/>
      <c r="F113" s="1581"/>
      <c r="G113" s="1581"/>
      <c r="H113" s="1581"/>
      <c r="I113" s="1581"/>
      <c r="J113" s="1722"/>
      <c r="K113" s="1581"/>
      <c r="L113" s="1727"/>
      <c r="M113" s="1581"/>
      <c r="N113" s="1581"/>
      <c r="O113" s="1581"/>
      <c r="P113" s="1581">
        <f>200</f>
        <v>200</v>
      </c>
      <c r="Q113" s="1581">
        <v>250</v>
      </c>
      <c r="R113" s="1581">
        <v>260</v>
      </c>
      <c r="S113" s="1581"/>
      <c r="T113" s="1581"/>
      <c r="U113" s="1581"/>
      <c r="X113" s="1580">
        <f t="shared" si="6"/>
        <v>200</v>
      </c>
      <c r="Y113" s="1580">
        <f t="shared" si="5"/>
        <v>214</v>
      </c>
      <c r="Z113" s="1581">
        <v>214</v>
      </c>
      <c r="AA113" s="1730">
        <f t="shared" si="7"/>
        <v>0</v>
      </c>
      <c r="AB113" s="1580">
        <v>200</v>
      </c>
      <c r="AC113" s="1730">
        <f t="shared" si="8"/>
        <v>0</v>
      </c>
      <c r="AD113" s="1581">
        <f>200</f>
        <v>200</v>
      </c>
      <c r="AE113" s="1734">
        <f>X113-AD113</f>
        <v>0</v>
      </c>
    </row>
    <row r="114" spans="1:31" ht="34.5" hidden="1" customHeight="1">
      <c r="A114" s="1609">
        <v>111</v>
      </c>
      <c r="B114" s="1618" t="s">
        <v>1437</v>
      </c>
      <c r="C114" s="1579" t="s">
        <v>1439</v>
      </c>
      <c r="D114" s="1618"/>
      <c r="E114" s="1581"/>
      <c r="F114" s="1581"/>
      <c r="G114" s="1581"/>
      <c r="H114" s="1581"/>
      <c r="I114" s="1581"/>
      <c r="J114" s="1722"/>
      <c r="K114" s="1581"/>
      <c r="L114" s="1727"/>
      <c r="M114" s="1581"/>
      <c r="N114" s="1581"/>
      <c r="O114" s="1581"/>
      <c r="P114" s="1581"/>
      <c r="Q114" s="1581"/>
      <c r="R114" s="1581"/>
      <c r="S114" s="1581"/>
      <c r="T114" s="1581"/>
      <c r="U114" s="1581"/>
      <c r="X114" s="1580">
        <f t="shared" si="6"/>
        <v>0</v>
      </c>
      <c r="Y114" s="1580">
        <f t="shared" si="5"/>
        <v>0</v>
      </c>
      <c r="Z114" s="1581"/>
      <c r="AA114" s="1730">
        <f t="shared" si="7"/>
        <v>0</v>
      </c>
      <c r="AC114" s="1730">
        <f t="shared" si="8"/>
        <v>0</v>
      </c>
      <c r="AD114" s="1581"/>
      <c r="AE114" s="1734">
        <f>X114-AD114</f>
        <v>0</v>
      </c>
    </row>
    <row r="115" spans="1:31">
      <c r="A115" s="1609">
        <v>112</v>
      </c>
      <c r="B115" s="1618" t="s">
        <v>1440</v>
      </c>
      <c r="C115" s="1579" t="s">
        <v>1441</v>
      </c>
      <c r="D115" s="1618" t="s">
        <v>1022</v>
      </c>
      <c r="E115" s="1581">
        <f>1500</f>
        <v>1500</v>
      </c>
      <c r="F115" s="1581"/>
      <c r="G115" s="1581">
        <v>2100</v>
      </c>
      <c r="H115" s="1581">
        <v>1650</v>
      </c>
      <c r="I115" s="1581"/>
      <c r="J115" s="1722"/>
      <c r="K115" s="1581"/>
      <c r="L115" s="1727"/>
      <c r="M115" s="1581"/>
      <c r="N115" s="1581"/>
      <c r="O115" s="1581"/>
      <c r="P115" s="1581"/>
      <c r="Q115" s="1581"/>
      <c r="R115" s="1581"/>
      <c r="S115" s="1581"/>
      <c r="T115" s="1581"/>
      <c r="U115" s="1581"/>
      <c r="X115" s="1580">
        <f t="shared" si="6"/>
        <v>1500</v>
      </c>
      <c r="Y115" s="1580">
        <f t="shared" si="5"/>
        <v>1605</v>
      </c>
      <c r="Z115" s="1581">
        <v>1605</v>
      </c>
      <c r="AA115" s="1730">
        <f t="shared" si="7"/>
        <v>0</v>
      </c>
      <c r="AB115" s="1580">
        <v>1500</v>
      </c>
      <c r="AC115" s="1730">
        <f t="shared" si="8"/>
        <v>0</v>
      </c>
      <c r="AD115" s="1581"/>
      <c r="AE115" s="1734"/>
    </row>
    <row r="116" spans="1:31">
      <c r="A116" s="1609">
        <v>113</v>
      </c>
      <c r="B116" s="1618" t="s">
        <v>1442</v>
      </c>
      <c r="C116" s="1579" t="s">
        <v>1443</v>
      </c>
      <c r="D116" s="1618" t="s">
        <v>1022</v>
      </c>
      <c r="E116" s="1581"/>
      <c r="F116" s="1581">
        <f>7000</f>
        <v>7000</v>
      </c>
      <c r="G116" s="1581"/>
      <c r="H116" s="1581">
        <v>9800</v>
      </c>
      <c r="I116" s="1581">
        <v>8400</v>
      </c>
      <c r="J116" s="1722"/>
      <c r="K116" s="1581"/>
      <c r="L116" s="1727"/>
      <c r="M116" s="1581"/>
      <c r="N116" s="1581"/>
      <c r="O116" s="1581"/>
      <c r="P116" s="1581"/>
      <c r="Q116" s="1581"/>
      <c r="R116" s="1581"/>
      <c r="S116" s="1581"/>
      <c r="T116" s="1581"/>
      <c r="U116" s="1581"/>
      <c r="X116" s="1580">
        <f t="shared" si="6"/>
        <v>7000</v>
      </c>
      <c r="Y116" s="1580">
        <f t="shared" si="5"/>
        <v>7490</v>
      </c>
      <c r="Z116" s="1581">
        <f>7000*1.07</f>
        <v>7490</v>
      </c>
      <c r="AA116" s="1730">
        <f t="shared" si="7"/>
        <v>0</v>
      </c>
      <c r="AB116" s="1580">
        <v>7000</v>
      </c>
      <c r="AC116" s="1730">
        <f t="shared" si="8"/>
        <v>0</v>
      </c>
      <c r="AD116" s="1581"/>
      <c r="AE116" s="1734"/>
    </row>
    <row r="117" spans="1:31">
      <c r="A117" s="1609">
        <v>114</v>
      </c>
      <c r="B117" s="1620" t="s">
        <v>1444</v>
      </c>
      <c r="C117" s="1579" t="s">
        <v>1445</v>
      </c>
      <c r="D117" s="1620" t="s">
        <v>1022</v>
      </c>
      <c r="E117" s="1581"/>
      <c r="F117" s="1581"/>
      <c r="G117" s="1581"/>
      <c r="H117" s="1581"/>
      <c r="I117" s="1581"/>
      <c r="J117" s="1722"/>
      <c r="K117" s="1581"/>
      <c r="L117" s="1727"/>
      <c r="M117" s="1581"/>
      <c r="N117" s="1581"/>
      <c r="O117" s="1581"/>
      <c r="P117" s="1581">
        <f>3000</f>
        <v>3000</v>
      </c>
      <c r="Q117" s="1581">
        <v>3200</v>
      </c>
      <c r="R117" s="1581">
        <v>3400</v>
      </c>
      <c r="S117" s="1581"/>
      <c r="T117" s="1581"/>
      <c r="U117" s="1581"/>
      <c r="X117" s="1580">
        <f t="shared" si="6"/>
        <v>3000</v>
      </c>
      <c r="Y117" s="1580">
        <f t="shared" si="5"/>
        <v>3210</v>
      </c>
      <c r="Z117" s="1581">
        <v>3210</v>
      </c>
      <c r="AA117" s="1730">
        <f t="shared" si="7"/>
        <v>0</v>
      </c>
      <c r="AC117" s="1730"/>
      <c r="AD117" s="1581"/>
      <c r="AE117" s="1734"/>
    </row>
    <row r="118" spans="1:31" ht="38.25">
      <c r="A118" s="1609">
        <v>115</v>
      </c>
      <c r="B118" s="1618" t="s">
        <v>1446</v>
      </c>
      <c r="C118" s="917" t="s">
        <v>1447</v>
      </c>
      <c r="D118" s="1619" t="s">
        <v>1268</v>
      </c>
      <c r="E118" s="1581"/>
      <c r="F118" s="1610"/>
      <c r="G118" s="1610">
        <f>250</f>
        <v>250</v>
      </c>
      <c r="H118" s="1581">
        <v>350</v>
      </c>
      <c r="I118" s="1581">
        <v>325</v>
      </c>
      <c r="J118" s="1722"/>
      <c r="K118" s="1581"/>
      <c r="L118" s="1727"/>
      <c r="M118" s="1581"/>
      <c r="N118" s="1581"/>
      <c r="O118" s="1581"/>
      <c r="P118" s="1581"/>
      <c r="Q118" s="1581"/>
      <c r="R118" s="1581"/>
      <c r="S118" s="1581"/>
      <c r="T118" s="1581"/>
      <c r="U118" s="1581"/>
      <c r="X118" s="1580">
        <f t="shared" si="6"/>
        <v>250</v>
      </c>
      <c r="Y118" s="1580">
        <f t="shared" si="5"/>
        <v>267.5</v>
      </c>
      <c r="Z118" s="1610">
        <f>250*1.07</f>
        <v>267.5</v>
      </c>
      <c r="AA118" s="1730">
        <f t="shared" si="7"/>
        <v>0</v>
      </c>
      <c r="AB118" s="1580">
        <v>250</v>
      </c>
      <c r="AC118" s="1730">
        <f t="shared" si="8"/>
        <v>0</v>
      </c>
      <c r="AD118" s="1610">
        <f>250</f>
        <v>250</v>
      </c>
      <c r="AE118" s="1734">
        <f>X118-AD118</f>
        <v>0</v>
      </c>
    </row>
    <row r="119" spans="1:31" ht="25.5">
      <c r="A119" s="1609">
        <v>116</v>
      </c>
      <c r="B119" s="1618" t="s">
        <v>1446</v>
      </c>
      <c r="C119" s="917" t="s">
        <v>1448</v>
      </c>
      <c r="D119" s="1619" t="s">
        <v>1268</v>
      </c>
      <c r="E119" s="1581"/>
      <c r="F119" s="1610"/>
      <c r="G119" s="1610">
        <f>300</f>
        <v>300</v>
      </c>
      <c r="H119" s="1581">
        <v>420</v>
      </c>
      <c r="I119" s="1581">
        <v>390</v>
      </c>
      <c r="J119" s="1722"/>
      <c r="K119" s="1581"/>
      <c r="L119" s="1727"/>
      <c r="M119" s="1581"/>
      <c r="N119" s="1581"/>
      <c r="O119" s="1581"/>
      <c r="P119" s="1581"/>
      <c r="Q119" s="1581"/>
      <c r="R119" s="1581"/>
      <c r="S119" s="1581"/>
      <c r="T119" s="1581"/>
      <c r="U119" s="1581"/>
      <c r="X119" s="1580">
        <f t="shared" si="6"/>
        <v>300</v>
      </c>
      <c r="Y119" s="1580">
        <f t="shared" si="5"/>
        <v>321</v>
      </c>
      <c r="Z119" s="1610">
        <f>300*1.07</f>
        <v>321</v>
      </c>
      <c r="AA119" s="1730">
        <f t="shared" si="7"/>
        <v>0</v>
      </c>
      <c r="AB119" s="1580">
        <v>300</v>
      </c>
      <c r="AC119" s="1730">
        <f t="shared" si="8"/>
        <v>0</v>
      </c>
      <c r="AD119" s="1610">
        <f>300</f>
        <v>300</v>
      </c>
      <c r="AE119" s="1734">
        <f>X119-AD119</f>
        <v>0</v>
      </c>
    </row>
    <row r="120" spans="1:31" ht="25.5">
      <c r="A120" s="1609">
        <v>117</v>
      </c>
      <c r="B120" s="1618" t="s">
        <v>1449</v>
      </c>
      <c r="C120" s="1579" t="s">
        <v>1450</v>
      </c>
      <c r="D120" s="1618" t="s">
        <v>1022</v>
      </c>
      <c r="E120" s="1581"/>
      <c r="F120" s="1581"/>
      <c r="G120" s="1581"/>
      <c r="H120" s="1581"/>
      <c r="I120" s="1581"/>
      <c r="J120" s="1722"/>
      <c r="K120" s="1581"/>
      <c r="L120" s="1727"/>
      <c r="M120" s="1581">
        <f>5000</f>
        <v>5000</v>
      </c>
      <c r="N120" s="1581">
        <v>5250</v>
      </c>
      <c r="O120" s="1581">
        <v>5100</v>
      </c>
      <c r="P120" s="1581"/>
      <c r="Q120" s="1581"/>
      <c r="R120" s="1581"/>
      <c r="S120" s="1581"/>
      <c r="T120" s="1581"/>
      <c r="U120" s="1581"/>
      <c r="X120" s="1580">
        <f t="shared" si="6"/>
        <v>5000</v>
      </c>
      <c r="Y120" s="1580">
        <f t="shared" si="5"/>
        <v>5350</v>
      </c>
      <c r="Z120" s="1581">
        <v>5350</v>
      </c>
      <c r="AA120" s="1730">
        <f t="shared" si="7"/>
        <v>0</v>
      </c>
      <c r="AB120" s="1580">
        <v>5000</v>
      </c>
      <c r="AC120" s="1730">
        <f t="shared" si="8"/>
        <v>0</v>
      </c>
      <c r="AD120" s="1581"/>
      <c r="AE120" s="1734"/>
    </row>
    <row r="121" spans="1:31" ht="25.5" hidden="1">
      <c r="A121" s="1609">
        <v>97</v>
      </c>
      <c r="B121" s="1619" t="s">
        <v>1451</v>
      </c>
      <c r="C121" s="917" t="s">
        <v>1450</v>
      </c>
      <c r="D121" s="1619" t="s">
        <v>1268</v>
      </c>
      <c r="E121" s="1610"/>
      <c r="F121" s="1610"/>
      <c r="G121" s="1610"/>
      <c r="H121" s="1581"/>
      <c r="I121" s="1581"/>
      <c r="J121" s="1722"/>
      <c r="K121" s="1581"/>
      <c r="L121" s="1727"/>
      <c r="M121" s="1581"/>
      <c r="N121" s="1581"/>
      <c r="O121" s="1581"/>
      <c r="P121" s="1581"/>
      <c r="Q121" s="1581"/>
      <c r="R121" s="1581"/>
      <c r="S121" s="1581"/>
      <c r="T121" s="1581"/>
      <c r="U121" s="1581"/>
      <c r="X121" s="1580">
        <f t="shared" si="6"/>
        <v>0</v>
      </c>
      <c r="Y121" s="1580">
        <f t="shared" si="5"/>
        <v>0</v>
      </c>
      <c r="Z121" s="1581">
        <f>3000*1.07</f>
        <v>3210</v>
      </c>
      <c r="AA121" s="1730">
        <f t="shared" si="7"/>
        <v>-3210</v>
      </c>
      <c r="AC121" s="1730">
        <f t="shared" si="8"/>
        <v>0</v>
      </c>
      <c r="AD121" s="1610">
        <f>5000*1.07</f>
        <v>5350</v>
      </c>
      <c r="AE121" s="1734"/>
    </row>
    <row r="122" spans="1:31" ht="38.25">
      <c r="A122" s="1609">
        <v>118</v>
      </c>
      <c r="B122" s="1619" t="s">
        <v>1452</v>
      </c>
      <c r="C122" s="917" t="s">
        <v>1453</v>
      </c>
      <c r="D122" s="1619" t="s">
        <v>1268</v>
      </c>
      <c r="E122" s="1581"/>
      <c r="F122" s="1610"/>
      <c r="G122" s="1610">
        <f>4000</f>
        <v>4000</v>
      </c>
      <c r="H122" s="1581">
        <v>5600</v>
      </c>
      <c r="I122" s="1581">
        <v>5200</v>
      </c>
      <c r="J122" s="1722"/>
      <c r="K122" s="1581"/>
      <c r="L122" s="1727"/>
      <c r="M122" s="1581"/>
      <c r="N122" s="1581"/>
      <c r="O122" s="1581"/>
      <c r="P122" s="1581"/>
      <c r="Q122" s="1581"/>
      <c r="R122" s="1581"/>
      <c r="S122" s="1581"/>
      <c r="T122" s="1581"/>
      <c r="U122" s="1581"/>
      <c r="X122" s="1580">
        <f t="shared" si="6"/>
        <v>4000</v>
      </c>
      <c r="Y122" s="1580">
        <f t="shared" si="5"/>
        <v>4280</v>
      </c>
      <c r="Z122" s="1610">
        <v>4280</v>
      </c>
      <c r="AA122" s="1730">
        <f t="shared" si="7"/>
        <v>0</v>
      </c>
      <c r="AB122" s="1580">
        <v>4000</v>
      </c>
      <c r="AC122" s="1730">
        <f t="shared" si="8"/>
        <v>0</v>
      </c>
      <c r="AD122" s="1610"/>
      <c r="AE122" s="1734"/>
    </row>
    <row r="123" spans="1:31">
      <c r="A123" s="1609">
        <v>119</v>
      </c>
      <c r="B123" s="1618" t="s">
        <v>1454</v>
      </c>
      <c r="C123" s="1579" t="s">
        <v>1455</v>
      </c>
      <c r="D123" s="1618" t="s">
        <v>1268</v>
      </c>
      <c r="E123" s="1581"/>
      <c r="F123" s="1581">
        <f>2600</f>
        <v>2600</v>
      </c>
      <c r="G123" s="1581"/>
      <c r="H123" s="1581">
        <v>3640</v>
      </c>
      <c r="I123" s="1581">
        <v>3120</v>
      </c>
      <c r="J123" s="1722"/>
      <c r="K123" s="1581"/>
      <c r="L123" s="1727"/>
      <c r="M123" s="1581"/>
      <c r="N123" s="1581"/>
      <c r="O123" s="1581"/>
      <c r="P123" s="1581"/>
      <c r="Q123" s="1581"/>
      <c r="R123" s="1581"/>
      <c r="S123" s="1581"/>
      <c r="T123" s="1581"/>
      <c r="U123" s="1581"/>
      <c r="X123" s="1580">
        <f t="shared" si="6"/>
        <v>2600</v>
      </c>
      <c r="Y123" s="1580">
        <f t="shared" si="5"/>
        <v>2782</v>
      </c>
      <c r="Z123" s="1581">
        <f>2600*1.07</f>
        <v>2782</v>
      </c>
      <c r="AA123" s="1730">
        <f t="shared" si="7"/>
        <v>0</v>
      </c>
      <c r="AB123" s="1580">
        <v>2600</v>
      </c>
      <c r="AC123" s="1730">
        <f t="shared" si="8"/>
        <v>0</v>
      </c>
      <c r="AD123" s="1581">
        <f>2600</f>
        <v>2600</v>
      </c>
      <c r="AE123" s="1734">
        <f>X123-AD123</f>
        <v>0</v>
      </c>
    </row>
    <row r="124" spans="1:31">
      <c r="A124" s="1609">
        <v>120</v>
      </c>
      <c r="B124" s="1618" t="s">
        <v>1456</v>
      </c>
      <c r="C124" s="1579" t="s">
        <v>1457</v>
      </c>
      <c r="D124" s="1618" t="s">
        <v>1268</v>
      </c>
      <c r="E124" s="1581"/>
      <c r="F124" s="1581">
        <f>3900</f>
        <v>3900</v>
      </c>
      <c r="G124" s="1581"/>
      <c r="H124" s="1581">
        <v>5460</v>
      </c>
      <c r="I124" s="1581">
        <v>4680</v>
      </c>
      <c r="J124" s="1722"/>
      <c r="K124" s="1581"/>
      <c r="L124" s="1727"/>
      <c r="M124" s="1581"/>
      <c r="N124" s="1581"/>
      <c r="O124" s="1581"/>
      <c r="P124" s="1581"/>
      <c r="Q124" s="1581"/>
      <c r="R124" s="1581"/>
      <c r="S124" s="1581"/>
      <c r="T124" s="1581"/>
      <c r="U124" s="1581"/>
      <c r="X124" s="1580">
        <f t="shared" si="6"/>
        <v>3900</v>
      </c>
      <c r="Y124" s="1580">
        <f t="shared" si="5"/>
        <v>4173</v>
      </c>
      <c r="Z124" s="1581">
        <f>3900*1.07</f>
        <v>4173</v>
      </c>
      <c r="AA124" s="1730">
        <f t="shared" si="7"/>
        <v>0</v>
      </c>
      <c r="AB124" s="1580">
        <v>3900</v>
      </c>
      <c r="AC124" s="1730">
        <f t="shared" si="8"/>
        <v>0</v>
      </c>
      <c r="AD124" s="1581">
        <f>3900</f>
        <v>3900</v>
      </c>
      <c r="AE124" s="1734">
        <f>X124-AD124</f>
        <v>0</v>
      </c>
    </row>
    <row r="125" spans="1:31">
      <c r="A125" s="1609">
        <v>121</v>
      </c>
      <c r="B125" s="1618" t="s">
        <v>1458</v>
      </c>
      <c r="C125" s="1579" t="s">
        <v>1457</v>
      </c>
      <c r="D125" s="1618" t="s">
        <v>1268</v>
      </c>
      <c r="E125" s="1581"/>
      <c r="F125" s="1581">
        <f>4700</f>
        <v>4700</v>
      </c>
      <c r="G125" s="1581"/>
      <c r="H125" s="1581">
        <v>6580</v>
      </c>
      <c r="I125" s="1581">
        <v>5640</v>
      </c>
      <c r="J125" s="1722"/>
      <c r="K125" s="1581"/>
      <c r="L125" s="1727"/>
      <c r="M125" s="1581"/>
      <c r="N125" s="1581"/>
      <c r="O125" s="1581"/>
      <c r="P125" s="1581"/>
      <c r="Q125" s="1581"/>
      <c r="R125" s="1581"/>
      <c r="S125" s="1581"/>
      <c r="T125" s="1581"/>
      <c r="U125" s="1581"/>
      <c r="X125" s="1580">
        <f t="shared" si="6"/>
        <v>4700</v>
      </c>
      <c r="Y125" s="1580">
        <f t="shared" si="5"/>
        <v>5029</v>
      </c>
      <c r="Z125" s="1581">
        <f>4700*1.07</f>
        <v>5029</v>
      </c>
      <c r="AA125" s="1730">
        <f t="shared" si="7"/>
        <v>0</v>
      </c>
      <c r="AB125" s="1580">
        <v>4700</v>
      </c>
      <c r="AC125" s="1730">
        <f t="shared" si="8"/>
        <v>0</v>
      </c>
      <c r="AD125" s="1581">
        <f>4700</f>
        <v>4700</v>
      </c>
      <c r="AE125" s="1734">
        <f>X125-AD125</f>
        <v>0</v>
      </c>
    </row>
    <row r="126" spans="1:31">
      <c r="A126" s="1609">
        <v>122</v>
      </c>
      <c r="B126" s="1618" t="s">
        <v>1459</v>
      </c>
      <c r="C126" s="1579" t="s">
        <v>1457</v>
      </c>
      <c r="D126" s="1618" t="s">
        <v>1268</v>
      </c>
      <c r="E126" s="1581"/>
      <c r="F126" s="1581">
        <f>6100</f>
        <v>6100</v>
      </c>
      <c r="G126" s="1581"/>
      <c r="H126" s="1581">
        <v>8540</v>
      </c>
      <c r="I126" s="1581">
        <v>7320</v>
      </c>
      <c r="J126" s="1722"/>
      <c r="K126" s="1581"/>
      <c r="L126" s="1727"/>
      <c r="M126" s="1581"/>
      <c r="N126" s="1581"/>
      <c r="O126" s="1581"/>
      <c r="P126" s="1581"/>
      <c r="Q126" s="1581"/>
      <c r="R126" s="1581"/>
      <c r="S126" s="1581"/>
      <c r="T126" s="1581"/>
      <c r="U126" s="1581"/>
      <c r="X126" s="1580">
        <f t="shared" si="6"/>
        <v>6100</v>
      </c>
      <c r="Y126" s="1580">
        <f t="shared" si="5"/>
        <v>6527</v>
      </c>
      <c r="Z126" s="1581">
        <f>6100*1.07</f>
        <v>6527</v>
      </c>
      <c r="AA126" s="1730">
        <f t="shared" si="7"/>
        <v>0</v>
      </c>
      <c r="AB126" s="1580">
        <v>6100</v>
      </c>
      <c r="AC126" s="1730">
        <f t="shared" si="8"/>
        <v>0</v>
      </c>
      <c r="AD126" s="1581">
        <f>6100</f>
        <v>6100</v>
      </c>
      <c r="AE126" s="1734">
        <f>X126-AD126</f>
        <v>0</v>
      </c>
    </row>
    <row r="127" spans="1:31">
      <c r="A127" s="1609">
        <v>123</v>
      </c>
      <c r="B127" s="1619" t="s">
        <v>1460</v>
      </c>
      <c r="C127" s="1579" t="s">
        <v>1461</v>
      </c>
      <c r="D127" s="1619" t="s">
        <v>1268</v>
      </c>
      <c r="E127" s="1581"/>
      <c r="F127" s="1609"/>
      <c r="G127" s="1609">
        <f>5000</f>
        <v>5000</v>
      </c>
      <c r="H127" s="1581">
        <v>7000</v>
      </c>
      <c r="I127" s="1581">
        <v>6500</v>
      </c>
      <c r="J127" s="1722"/>
      <c r="K127" s="1581"/>
      <c r="L127" s="1727"/>
      <c r="M127" s="1581"/>
      <c r="N127" s="1581"/>
      <c r="O127" s="1581"/>
      <c r="P127" s="1581"/>
      <c r="Q127" s="1581"/>
      <c r="R127" s="1581"/>
      <c r="S127" s="1581"/>
      <c r="T127" s="1581"/>
      <c r="U127" s="1581"/>
      <c r="X127" s="1580">
        <f t="shared" si="6"/>
        <v>5000</v>
      </c>
      <c r="Y127" s="1580">
        <f t="shared" si="5"/>
        <v>5350</v>
      </c>
      <c r="Z127" s="1609">
        <f>5000*1.07</f>
        <v>5350</v>
      </c>
      <c r="AA127" s="1730">
        <f t="shared" si="7"/>
        <v>0</v>
      </c>
      <c r="AB127" s="1580">
        <v>5000</v>
      </c>
      <c r="AC127" s="1730">
        <f t="shared" si="8"/>
        <v>0</v>
      </c>
      <c r="AD127" s="1609">
        <f>5000</f>
        <v>5000</v>
      </c>
      <c r="AE127" s="1734">
        <f>X127-AD127</f>
        <v>0</v>
      </c>
    </row>
    <row r="128" spans="1:31" ht="25.5">
      <c r="A128" s="1609">
        <v>124</v>
      </c>
      <c r="B128" s="1620" t="s">
        <v>1462</v>
      </c>
      <c r="C128" s="1579" t="s">
        <v>1463</v>
      </c>
      <c r="D128" s="1620" t="s">
        <v>1268</v>
      </c>
      <c r="F128" s="1581"/>
      <c r="G128" s="1581"/>
      <c r="H128" s="1581"/>
      <c r="I128" s="1581"/>
      <c r="J128" s="1581">
        <f>550</f>
        <v>550</v>
      </c>
      <c r="K128" s="1581">
        <v>600</v>
      </c>
      <c r="L128" s="1727">
        <v>600</v>
      </c>
      <c r="M128" s="1581"/>
      <c r="N128" s="1581"/>
      <c r="O128" s="1581"/>
      <c r="P128" s="1581"/>
      <c r="Q128" s="1581"/>
      <c r="R128" s="1581"/>
      <c r="S128" s="1581"/>
      <c r="T128" s="1581"/>
      <c r="U128" s="1581"/>
      <c r="X128" s="1580">
        <f t="shared" si="6"/>
        <v>550</v>
      </c>
      <c r="Y128" s="1580">
        <f t="shared" si="5"/>
        <v>588.5</v>
      </c>
      <c r="Z128" s="1581">
        <f>550*1.07</f>
        <v>588.5</v>
      </c>
      <c r="AA128" s="1730">
        <f t="shared" si="7"/>
        <v>0</v>
      </c>
      <c r="AC128" s="1730"/>
      <c r="AD128" s="1581"/>
      <c r="AE128" s="1734"/>
    </row>
    <row r="129" spans="1:31" ht="25.5">
      <c r="A129" s="1609">
        <v>125</v>
      </c>
      <c r="B129" s="1625" t="s">
        <v>1464</v>
      </c>
      <c r="C129" s="1579" t="s">
        <v>1465</v>
      </c>
      <c r="D129" s="1625" t="s">
        <v>1268</v>
      </c>
      <c r="E129" s="1581"/>
      <c r="F129" s="1581"/>
      <c r="G129" s="1581">
        <f>800</f>
        <v>800</v>
      </c>
      <c r="H129" s="1581">
        <v>1120</v>
      </c>
      <c r="I129" s="1581">
        <v>1040</v>
      </c>
      <c r="J129" s="1722"/>
      <c r="K129" s="1581"/>
      <c r="L129" s="1727"/>
      <c r="M129" s="1581"/>
      <c r="N129" s="1581"/>
      <c r="O129" s="1581"/>
      <c r="P129" s="1581"/>
      <c r="Q129" s="1581"/>
      <c r="R129" s="1581"/>
      <c r="S129" s="1581"/>
      <c r="T129" s="1581"/>
      <c r="U129" s="1581"/>
      <c r="X129" s="1580">
        <f t="shared" si="6"/>
        <v>800</v>
      </c>
      <c r="Y129" s="1580">
        <f t="shared" si="5"/>
        <v>856</v>
      </c>
      <c r="Z129" s="1581">
        <f>800*1.07</f>
        <v>856</v>
      </c>
      <c r="AA129" s="1730">
        <f t="shared" si="7"/>
        <v>0</v>
      </c>
      <c r="AC129" s="1730"/>
      <c r="AD129" s="1581">
        <f>800</f>
        <v>800</v>
      </c>
      <c r="AE129" s="1734">
        <f>X129-AD129</f>
        <v>0</v>
      </c>
    </row>
    <row r="130" spans="1:31" ht="25.5">
      <c r="A130" s="1609">
        <v>126</v>
      </c>
      <c r="B130" s="1625" t="s">
        <v>1464</v>
      </c>
      <c r="C130" s="1579" t="s">
        <v>1466</v>
      </c>
      <c r="D130" s="1625" t="s">
        <v>1268</v>
      </c>
      <c r="E130" s="1581"/>
      <c r="F130" s="1581"/>
      <c r="G130" s="1581">
        <f>680</f>
        <v>680</v>
      </c>
      <c r="H130" s="1581">
        <v>952</v>
      </c>
      <c r="I130" s="1581">
        <v>884</v>
      </c>
      <c r="J130" s="1722"/>
      <c r="K130" s="1581"/>
      <c r="L130" s="1727"/>
      <c r="M130" s="1581"/>
      <c r="N130" s="1581"/>
      <c r="O130" s="1581"/>
      <c r="P130" s="1581"/>
      <c r="Q130" s="1581"/>
      <c r="R130" s="1581"/>
      <c r="S130" s="1581"/>
      <c r="T130" s="1581"/>
      <c r="U130" s="1581"/>
      <c r="X130" s="1580">
        <f t="shared" si="6"/>
        <v>680</v>
      </c>
      <c r="Y130" s="1580">
        <f t="shared" si="5"/>
        <v>727.6</v>
      </c>
      <c r="Z130" s="1581">
        <f>680*1.07</f>
        <v>727.6</v>
      </c>
      <c r="AA130" s="1730">
        <f t="shared" si="7"/>
        <v>0</v>
      </c>
      <c r="AC130" s="1730"/>
      <c r="AD130" s="1581">
        <f>680</f>
        <v>680</v>
      </c>
      <c r="AE130" s="1734">
        <f>X130-AD130</f>
        <v>0</v>
      </c>
    </row>
    <row r="131" spans="1:31" ht="25.5">
      <c r="A131" s="1609">
        <v>127</v>
      </c>
      <c r="B131" s="1625" t="s">
        <v>1464</v>
      </c>
      <c r="C131" s="1579" t="s">
        <v>1467</v>
      </c>
      <c r="D131" s="1625" t="s">
        <v>1268</v>
      </c>
      <c r="E131" s="1581"/>
      <c r="F131" s="1581"/>
      <c r="G131" s="1581">
        <f>1120</f>
        <v>1120</v>
      </c>
      <c r="H131" s="1581">
        <v>1568</v>
      </c>
      <c r="I131" s="1581">
        <v>1344</v>
      </c>
      <c r="J131" s="1722"/>
      <c r="K131" s="1581"/>
      <c r="L131" s="1727"/>
      <c r="M131" s="1581"/>
      <c r="N131" s="1581"/>
      <c r="O131" s="1581"/>
      <c r="P131" s="1581"/>
      <c r="Q131" s="1581"/>
      <c r="R131" s="1581"/>
      <c r="S131" s="1581"/>
      <c r="T131" s="1581"/>
      <c r="U131" s="1581"/>
      <c r="X131" s="1580">
        <f t="shared" si="6"/>
        <v>1120</v>
      </c>
      <c r="Y131" s="1580">
        <f t="shared" si="5"/>
        <v>1198.4000000000001</v>
      </c>
      <c r="Z131" s="1581">
        <f>1120*1.07</f>
        <v>1198.4000000000001</v>
      </c>
      <c r="AA131" s="1730">
        <f t="shared" si="7"/>
        <v>0</v>
      </c>
      <c r="AC131" s="1730"/>
      <c r="AD131" s="1581">
        <f>1120</f>
        <v>1120</v>
      </c>
      <c r="AE131" s="1734">
        <f>X131-AD131</f>
        <v>0</v>
      </c>
    </row>
    <row r="132" spans="1:31">
      <c r="A132" s="1609">
        <v>128</v>
      </c>
      <c r="B132" s="1618" t="s">
        <v>1468</v>
      </c>
      <c r="C132" s="1579"/>
      <c r="D132" s="1618" t="s">
        <v>1022</v>
      </c>
      <c r="E132" s="1581"/>
      <c r="F132" s="1581">
        <f>50000</f>
        <v>50000</v>
      </c>
      <c r="G132" s="1581"/>
      <c r="H132" s="1581">
        <v>70000</v>
      </c>
      <c r="I132" s="1581">
        <v>60000</v>
      </c>
      <c r="J132" s="1722"/>
      <c r="K132" s="1581"/>
      <c r="L132" s="1727"/>
      <c r="M132" s="1581"/>
      <c r="N132" s="1581"/>
      <c r="O132" s="1581"/>
      <c r="P132" s="1581"/>
      <c r="Q132" s="1581"/>
      <c r="R132" s="1581"/>
      <c r="S132" s="1581"/>
      <c r="T132" s="1581"/>
      <c r="U132" s="1581"/>
      <c r="X132" s="1580">
        <f t="shared" si="6"/>
        <v>50000</v>
      </c>
      <c r="Y132" s="1580">
        <f t="shared" si="5"/>
        <v>53500</v>
      </c>
      <c r="Z132" s="1581">
        <v>53500</v>
      </c>
      <c r="AA132" s="1730">
        <f t="shared" si="7"/>
        <v>0</v>
      </c>
      <c r="AC132" s="1730"/>
      <c r="AD132" s="1581"/>
      <c r="AE132" s="1734"/>
    </row>
    <row r="133" spans="1:31">
      <c r="A133" s="1609">
        <v>129</v>
      </c>
      <c r="B133" s="1618" t="s">
        <v>1469</v>
      </c>
      <c r="C133" s="1668" t="s">
        <v>1470</v>
      </c>
      <c r="D133" s="1618" t="s">
        <v>1268</v>
      </c>
      <c r="E133" s="1581"/>
      <c r="F133" s="1581"/>
      <c r="G133" s="1581"/>
      <c r="H133" s="1581"/>
      <c r="I133" s="1581"/>
      <c r="J133" s="1722">
        <v>710</v>
      </c>
      <c r="K133" s="1581">
        <v>950</v>
      </c>
      <c r="L133" s="1727">
        <v>900</v>
      </c>
      <c r="M133" s="1581"/>
      <c r="N133" s="1581"/>
      <c r="O133" s="1581"/>
      <c r="P133" s="1581"/>
      <c r="Q133" s="1581"/>
      <c r="R133" s="1581"/>
      <c r="S133" s="1581"/>
      <c r="T133" s="1581"/>
      <c r="U133" s="1581"/>
      <c r="X133" s="1580">
        <f t="shared" si="6"/>
        <v>710</v>
      </c>
      <c r="Y133" s="1580">
        <f t="shared" si="5"/>
        <v>759.7</v>
      </c>
      <c r="Z133" s="1581">
        <v>759.7</v>
      </c>
      <c r="AA133" s="1730">
        <f t="shared" si="7"/>
        <v>0</v>
      </c>
      <c r="AC133" s="1730"/>
      <c r="AD133" s="1581"/>
      <c r="AE133" s="1734"/>
    </row>
    <row r="134" spans="1:31">
      <c r="A134" s="1609">
        <v>130</v>
      </c>
      <c r="B134" s="1622" t="s">
        <v>1471</v>
      </c>
      <c r="C134" s="1579" t="s">
        <v>1472</v>
      </c>
      <c r="D134" s="1622" t="s">
        <v>1022</v>
      </c>
      <c r="E134" s="1581"/>
      <c r="F134" s="1581"/>
      <c r="G134" s="1581"/>
      <c r="H134" s="1581"/>
      <c r="I134" s="1581"/>
      <c r="J134" s="1722">
        <v>380</v>
      </c>
      <c r="K134" s="1581">
        <v>400</v>
      </c>
      <c r="L134" s="1727">
        <v>500</v>
      </c>
      <c r="M134" s="1581"/>
      <c r="N134" s="1581"/>
      <c r="O134" s="1581"/>
      <c r="P134" s="1581">
        <f>380</f>
        <v>380</v>
      </c>
      <c r="Q134" s="1581">
        <v>390</v>
      </c>
      <c r="R134" s="1581">
        <v>395</v>
      </c>
      <c r="S134" s="1581"/>
      <c r="T134" s="1581"/>
      <c r="U134" s="1581"/>
      <c r="X134" s="1580">
        <f t="shared" si="6"/>
        <v>380</v>
      </c>
      <c r="Y134" s="1580">
        <f t="shared" si="5"/>
        <v>406.6</v>
      </c>
      <c r="Z134" s="1581">
        <f>380*1.07</f>
        <v>406.6</v>
      </c>
      <c r="AA134" s="1730">
        <f t="shared" si="7"/>
        <v>0</v>
      </c>
      <c r="AC134" s="1730"/>
      <c r="AD134" s="1581"/>
      <c r="AE134" s="1734"/>
    </row>
    <row r="135" spans="1:31" hidden="1">
      <c r="A135" s="1609">
        <v>204</v>
      </c>
      <c r="B135" s="1620" t="s">
        <v>1473</v>
      </c>
      <c r="C135" s="1579" t="s">
        <v>1474</v>
      </c>
      <c r="D135" s="1620" t="s">
        <v>1022</v>
      </c>
      <c r="E135" s="1581"/>
      <c r="F135" s="1581"/>
      <c r="G135" s="1581"/>
      <c r="H135" s="1581"/>
      <c r="I135" s="1581"/>
      <c r="J135" s="1722"/>
      <c r="K135" s="1581"/>
      <c r="L135" s="1727"/>
      <c r="M135" s="1581"/>
      <c r="N135" s="1581"/>
      <c r="O135" s="1581"/>
      <c r="P135" s="1581"/>
      <c r="Q135" s="1581"/>
      <c r="R135" s="1581"/>
      <c r="S135" s="1581"/>
      <c r="T135" s="1581"/>
      <c r="U135" s="1581"/>
      <c r="X135" s="1580">
        <f t="shared" si="6"/>
        <v>0</v>
      </c>
      <c r="Y135" s="1580">
        <f t="shared" si="5"/>
        <v>0</v>
      </c>
      <c r="Z135" s="1581">
        <f>1120*1.07</f>
        <v>1198.4000000000001</v>
      </c>
      <c r="AA135" s="1730">
        <f t="shared" si="7"/>
        <v>-1198.4000000000001</v>
      </c>
      <c r="AC135" s="1730">
        <f t="shared" si="8"/>
        <v>0</v>
      </c>
      <c r="AD135" s="1581"/>
      <c r="AE135" s="1734"/>
    </row>
    <row r="136" spans="1:31">
      <c r="A136" s="1609">
        <v>131</v>
      </c>
      <c r="B136" s="1618" t="s">
        <v>1476</v>
      </c>
      <c r="C136" s="1579" t="s">
        <v>1477</v>
      </c>
      <c r="D136" s="1618" t="s">
        <v>1022</v>
      </c>
      <c r="E136" s="1581"/>
      <c r="F136" s="1581">
        <f>1100</f>
        <v>1100</v>
      </c>
      <c r="G136" s="1581"/>
      <c r="H136" s="1581">
        <v>1540</v>
      </c>
      <c r="I136" s="1581"/>
      <c r="J136" s="1722"/>
      <c r="K136" s="1581"/>
      <c r="L136" s="1727"/>
      <c r="M136" s="1581"/>
      <c r="N136" s="1581"/>
      <c r="O136" s="1581"/>
      <c r="P136" s="1581"/>
      <c r="Q136" s="1581"/>
      <c r="R136" s="1581"/>
      <c r="S136" s="1581"/>
      <c r="T136" s="1581"/>
      <c r="U136" s="1581"/>
      <c r="X136" s="1580">
        <f t="shared" si="6"/>
        <v>1100</v>
      </c>
      <c r="Y136" s="1580">
        <f t="shared" si="5"/>
        <v>1177</v>
      </c>
      <c r="Z136" s="1581">
        <f>1100*1.07</f>
        <v>1177</v>
      </c>
      <c r="AA136" s="1730">
        <f t="shared" si="7"/>
        <v>0</v>
      </c>
      <c r="AB136" s="1580">
        <f t="shared" ref="AB136:AB141" si="9">MIN(I136:Y136)</f>
        <v>1100</v>
      </c>
      <c r="AC136" s="1730">
        <f t="shared" si="8"/>
        <v>0</v>
      </c>
      <c r="AD136" s="1581"/>
      <c r="AE136" s="1734"/>
    </row>
    <row r="137" spans="1:31">
      <c r="A137" s="1609">
        <v>132</v>
      </c>
      <c r="B137" s="1618" t="s">
        <v>1476</v>
      </c>
      <c r="C137" s="1579" t="s">
        <v>1478</v>
      </c>
      <c r="D137" s="1618" t="s">
        <v>1022</v>
      </c>
      <c r="E137" s="1581"/>
      <c r="F137" s="1581">
        <f>1300</f>
        <v>1300</v>
      </c>
      <c r="G137" s="1581"/>
      <c r="H137" s="1581">
        <v>1820</v>
      </c>
      <c r="I137" s="1581"/>
      <c r="J137" s="1722"/>
      <c r="K137" s="1581"/>
      <c r="L137" s="1727"/>
      <c r="M137" s="1581"/>
      <c r="N137" s="1581"/>
      <c r="O137" s="1581"/>
      <c r="P137" s="1581"/>
      <c r="Q137" s="1581"/>
      <c r="R137" s="1581"/>
      <c r="S137" s="1581"/>
      <c r="T137" s="1581"/>
      <c r="U137" s="1581"/>
      <c r="X137" s="1580">
        <f t="shared" si="6"/>
        <v>1300</v>
      </c>
      <c r="Y137" s="1580">
        <f t="shared" si="5"/>
        <v>1391</v>
      </c>
      <c r="Z137" s="1581">
        <f>1300*1.07</f>
        <v>1391</v>
      </c>
      <c r="AA137" s="1730">
        <f t="shared" si="7"/>
        <v>0</v>
      </c>
      <c r="AB137" s="1580">
        <f t="shared" si="9"/>
        <v>1300</v>
      </c>
      <c r="AC137" s="1730">
        <f t="shared" si="8"/>
        <v>0</v>
      </c>
      <c r="AD137" s="1581"/>
      <c r="AE137" s="1734"/>
    </row>
    <row r="138" spans="1:31">
      <c r="A138" s="1609">
        <v>133</v>
      </c>
      <c r="B138" s="1618" t="s">
        <v>1476</v>
      </c>
      <c r="C138" s="1579" t="s">
        <v>1479</v>
      </c>
      <c r="D138" s="1618" t="s">
        <v>1022</v>
      </c>
      <c r="E138" s="1581"/>
      <c r="F138" s="1581">
        <f>1900</f>
        <v>1900</v>
      </c>
      <c r="G138" s="1581"/>
      <c r="H138" s="1581">
        <v>2660</v>
      </c>
      <c r="I138" s="1581"/>
      <c r="J138" s="1722"/>
      <c r="K138" s="1581"/>
      <c r="L138" s="1727"/>
      <c r="M138" s="1581"/>
      <c r="N138" s="1581"/>
      <c r="O138" s="1581"/>
      <c r="P138" s="1581"/>
      <c r="Q138" s="1581"/>
      <c r="R138" s="1581"/>
      <c r="S138" s="1581"/>
      <c r="T138" s="1581"/>
      <c r="U138" s="1581"/>
      <c r="X138" s="1580">
        <f t="shared" si="6"/>
        <v>1900</v>
      </c>
      <c r="Y138" s="1580">
        <f t="shared" si="5"/>
        <v>2033.0000000000002</v>
      </c>
      <c r="Z138" s="1581">
        <f>1900*1.07</f>
        <v>2033.0000000000002</v>
      </c>
      <c r="AA138" s="1730">
        <f t="shared" si="7"/>
        <v>0</v>
      </c>
      <c r="AB138" s="1580">
        <f t="shared" si="9"/>
        <v>1900</v>
      </c>
      <c r="AC138" s="1730">
        <f t="shared" si="8"/>
        <v>0</v>
      </c>
      <c r="AD138" s="1581"/>
      <c r="AE138" s="1734"/>
    </row>
    <row r="139" spans="1:31">
      <c r="A139" s="1609">
        <v>134</v>
      </c>
      <c r="B139" s="1618" t="s">
        <v>1476</v>
      </c>
      <c r="C139" s="1579" t="s">
        <v>1480</v>
      </c>
      <c r="D139" s="1618" t="s">
        <v>1022</v>
      </c>
      <c r="E139" s="1581"/>
      <c r="F139" s="1581">
        <f>7000</f>
        <v>7000</v>
      </c>
      <c r="G139" s="1581"/>
      <c r="H139" s="1581">
        <v>9800</v>
      </c>
      <c r="I139" s="1581"/>
      <c r="J139" s="1722"/>
      <c r="K139" s="1581"/>
      <c r="L139" s="1727"/>
      <c r="M139" s="1581"/>
      <c r="N139" s="1581"/>
      <c r="O139" s="1581"/>
      <c r="P139" s="1581"/>
      <c r="Q139" s="1581"/>
      <c r="R139" s="1581"/>
      <c r="S139" s="1581"/>
      <c r="T139" s="1581"/>
      <c r="U139" s="1581"/>
      <c r="X139" s="1580">
        <f t="shared" si="6"/>
        <v>7000</v>
      </c>
      <c r="Y139" s="1580">
        <f t="shared" si="5"/>
        <v>7490</v>
      </c>
      <c r="Z139" s="1581">
        <f>7000*1.07</f>
        <v>7490</v>
      </c>
      <c r="AA139" s="1730">
        <f t="shared" si="7"/>
        <v>0</v>
      </c>
      <c r="AB139" s="1580">
        <f t="shared" si="9"/>
        <v>7000</v>
      </c>
      <c r="AC139" s="1730">
        <f t="shared" si="8"/>
        <v>0</v>
      </c>
      <c r="AD139" s="1581"/>
      <c r="AE139" s="1734"/>
    </row>
    <row r="140" spans="1:31">
      <c r="A140" s="1609">
        <v>135</v>
      </c>
      <c r="B140" s="1618" t="s">
        <v>1481</v>
      </c>
      <c r="C140" s="1579" t="s">
        <v>1482</v>
      </c>
      <c r="D140" s="1618" t="s">
        <v>1022</v>
      </c>
      <c r="E140" s="1581"/>
      <c r="F140" s="1581">
        <f>3600</f>
        <v>3600</v>
      </c>
      <c r="G140" s="1581"/>
      <c r="H140" s="1581">
        <v>5040</v>
      </c>
      <c r="I140" s="1581"/>
      <c r="J140" s="1722"/>
      <c r="K140" s="1581"/>
      <c r="L140" s="1727"/>
      <c r="M140" s="1581"/>
      <c r="N140" s="1581"/>
      <c r="O140" s="1581"/>
      <c r="P140" s="1581"/>
      <c r="Q140" s="1581"/>
      <c r="R140" s="1581"/>
      <c r="S140" s="1581"/>
      <c r="T140" s="1581"/>
      <c r="U140" s="1581"/>
      <c r="X140" s="1580">
        <f t="shared" si="6"/>
        <v>3600</v>
      </c>
      <c r="Y140" s="1580">
        <f t="shared" ref="Y140:Y203" si="10">X140*1.07</f>
        <v>3852</v>
      </c>
      <c r="Z140" s="1581">
        <f>3600*1.07</f>
        <v>3852</v>
      </c>
      <c r="AA140" s="1730">
        <f t="shared" si="7"/>
        <v>0</v>
      </c>
      <c r="AB140" s="1580">
        <f t="shared" si="9"/>
        <v>3600</v>
      </c>
      <c r="AC140" s="1730">
        <f t="shared" si="8"/>
        <v>0</v>
      </c>
      <c r="AD140" s="1581"/>
      <c r="AE140" s="1734"/>
    </row>
    <row r="141" spans="1:31">
      <c r="A141" s="1609">
        <v>136</v>
      </c>
      <c r="B141" s="1618" t="s">
        <v>1481</v>
      </c>
      <c r="C141" s="1579" t="s">
        <v>1483</v>
      </c>
      <c r="D141" s="1618" t="s">
        <v>1022</v>
      </c>
      <c r="E141" s="1581"/>
      <c r="F141" s="1581">
        <f>5600</f>
        <v>5600</v>
      </c>
      <c r="G141" s="1581"/>
      <c r="H141" s="1581">
        <v>7840</v>
      </c>
      <c r="I141" s="1581"/>
      <c r="J141" s="1722"/>
      <c r="K141" s="1581"/>
      <c r="L141" s="1727"/>
      <c r="M141" s="1581"/>
      <c r="N141" s="1581"/>
      <c r="O141" s="1581"/>
      <c r="P141" s="1581"/>
      <c r="Q141" s="1581"/>
      <c r="R141" s="1581"/>
      <c r="S141" s="1581"/>
      <c r="T141" s="1581"/>
      <c r="U141" s="1581"/>
      <c r="X141" s="1580">
        <f t="shared" ref="X141:X204" si="11">MIN(E141:U141)</f>
        <v>5600</v>
      </c>
      <c r="Y141" s="1580">
        <f t="shared" si="10"/>
        <v>5992</v>
      </c>
      <c r="Z141" s="1581">
        <f>5600*1.07</f>
        <v>5992</v>
      </c>
      <c r="AA141" s="1730">
        <f t="shared" si="7"/>
        <v>0</v>
      </c>
      <c r="AB141" s="1580">
        <f t="shared" si="9"/>
        <v>5600</v>
      </c>
      <c r="AC141" s="1730">
        <f t="shared" si="8"/>
        <v>0</v>
      </c>
      <c r="AD141" s="1581"/>
      <c r="AE141" s="1734"/>
    </row>
    <row r="142" spans="1:31">
      <c r="A142" s="1609">
        <v>137</v>
      </c>
      <c r="B142" s="1620" t="s">
        <v>1320</v>
      </c>
      <c r="C142" s="1579" t="s">
        <v>2135</v>
      </c>
      <c r="D142" s="1620" t="s">
        <v>1022</v>
      </c>
      <c r="E142" s="1581">
        <f>200</f>
        <v>200</v>
      </c>
      <c r="F142" s="1581"/>
      <c r="G142" s="1581"/>
      <c r="H142" s="1581"/>
      <c r="I142" s="1581"/>
      <c r="J142" s="1722"/>
      <c r="K142" s="1581"/>
      <c r="L142" s="1727"/>
      <c r="M142" s="1581"/>
      <c r="N142" s="1581"/>
      <c r="O142" s="1581"/>
      <c r="P142" s="1581"/>
      <c r="Q142" s="1581"/>
      <c r="R142" s="1581"/>
      <c r="S142" s="1581"/>
      <c r="T142" s="1581"/>
      <c r="U142" s="1581"/>
      <c r="X142" s="1580">
        <f t="shared" si="11"/>
        <v>200</v>
      </c>
      <c r="Y142" s="1580">
        <f t="shared" si="10"/>
        <v>214</v>
      </c>
      <c r="Z142" s="1581">
        <v>214</v>
      </c>
      <c r="AA142" s="1730">
        <f t="shared" ref="AA142:AA205" si="12">Y142-Z142</f>
        <v>0</v>
      </c>
      <c r="AC142" s="1730"/>
      <c r="AD142" s="1581"/>
      <c r="AE142" s="1734"/>
    </row>
    <row r="143" spans="1:31">
      <c r="A143" s="1609">
        <v>138</v>
      </c>
      <c r="B143" s="1620" t="s">
        <v>1485</v>
      </c>
      <c r="C143" s="1579" t="s">
        <v>1486</v>
      </c>
      <c r="D143" s="1620" t="s">
        <v>1022</v>
      </c>
      <c r="F143" s="1581"/>
      <c r="G143" s="1581"/>
      <c r="H143" s="1581"/>
      <c r="I143" s="1581"/>
      <c r="J143" s="1581">
        <f>500</f>
        <v>500</v>
      </c>
      <c r="K143" s="1581">
        <v>600</v>
      </c>
      <c r="L143" s="1727">
        <v>600</v>
      </c>
      <c r="M143" s="1581"/>
      <c r="N143" s="1581"/>
      <c r="O143" s="1581"/>
      <c r="P143" s="1581"/>
      <c r="Q143" s="1581"/>
      <c r="R143" s="1581"/>
      <c r="S143" s="1581"/>
      <c r="T143" s="1581"/>
      <c r="U143" s="1581"/>
      <c r="X143" s="1580">
        <f t="shared" si="11"/>
        <v>500</v>
      </c>
      <c r="Y143" s="1580">
        <f t="shared" si="10"/>
        <v>535</v>
      </c>
      <c r="Z143" s="1581">
        <v>535</v>
      </c>
      <c r="AA143" s="1730">
        <f t="shared" si="12"/>
        <v>0</v>
      </c>
      <c r="AC143" s="1730"/>
      <c r="AD143" s="1581"/>
      <c r="AE143" s="1734"/>
    </row>
    <row r="144" spans="1:31">
      <c r="A144" s="1609">
        <v>139</v>
      </c>
      <c r="B144" s="1620" t="s">
        <v>1485</v>
      </c>
      <c r="C144" s="1579" t="s">
        <v>1487</v>
      </c>
      <c r="D144" s="1620" t="s">
        <v>1022</v>
      </c>
      <c r="F144" s="1581"/>
      <c r="G144" s="1581"/>
      <c r="H144" s="1581"/>
      <c r="I144" s="1581"/>
      <c r="J144" s="1581">
        <f>500</f>
        <v>500</v>
      </c>
      <c r="K144" s="1581">
        <v>600</v>
      </c>
      <c r="L144" s="1727">
        <v>600</v>
      </c>
      <c r="M144" s="1581"/>
      <c r="N144" s="1581"/>
      <c r="O144" s="1581"/>
      <c r="P144" s="1581"/>
      <c r="Q144" s="1581"/>
      <c r="R144" s="1581"/>
      <c r="S144" s="1581"/>
      <c r="T144" s="1581"/>
      <c r="U144" s="1581"/>
      <c r="X144" s="1580">
        <f t="shared" si="11"/>
        <v>500</v>
      </c>
      <c r="Y144" s="1580">
        <f t="shared" si="10"/>
        <v>535</v>
      </c>
      <c r="Z144" s="1581">
        <f>500*1.07</f>
        <v>535</v>
      </c>
      <c r="AA144" s="1730">
        <f t="shared" si="12"/>
        <v>0</v>
      </c>
      <c r="AC144" s="1730"/>
      <c r="AD144" s="1581"/>
      <c r="AE144" s="1734"/>
    </row>
    <row r="145" spans="1:31">
      <c r="A145" s="1609">
        <v>140</v>
      </c>
      <c r="B145" s="1618" t="s">
        <v>1488</v>
      </c>
      <c r="C145" s="1579" t="s">
        <v>1489</v>
      </c>
      <c r="D145" s="1618" t="s">
        <v>1022</v>
      </c>
      <c r="E145" s="1581">
        <f>5000</f>
        <v>5000</v>
      </c>
      <c r="F145" s="1581"/>
      <c r="G145" s="1581"/>
      <c r="H145" s="1581">
        <v>7000</v>
      </c>
      <c r="I145" s="1581">
        <v>6000</v>
      </c>
      <c r="J145" s="1722"/>
      <c r="K145" s="1581"/>
      <c r="L145" s="1727"/>
      <c r="M145" s="1581"/>
      <c r="N145" s="1581"/>
      <c r="O145" s="1581"/>
      <c r="P145" s="1581"/>
      <c r="Q145" s="1581"/>
      <c r="R145" s="1581"/>
      <c r="S145" s="1581"/>
      <c r="T145" s="1581"/>
      <c r="U145" s="1581"/>
      <c r="X145" s="1580">
        <f t="shared" si="11"/>
        <v>5000</v>
      </c>
      <c r="Y145" s="1580">
        <f t="shared" si="10"/>
        <v>5350</v>
      </c>
      <c r="Z145" s="1581">
        <f>5000*1.07</f>
        <v>5350</v>
      </c>
      <c r="AA145" s="1730">
        <f t="shared" si="12"/>
        <v>0</v>
      </c>
      <c r="AB145" s="1580">
        <v>5000</v>
      </c>
      <c r="AC145" s="1730">
        <f t="shared" ref="AC145:AC204" si="13">X145-AB145</f>
        <v>0</v>
      </c>
      <c r="AD145" s="1581">
        <f>5000</f>
        <v>5000</v>
      </c>
      <c r="AE145" s="1734">
        <f>X145-AD145</f>
        <v>0</v>
      </c>
    </row>
    <row r="146" spans="1:31">
      <c r="A146" s="1609">
        <v>141</v>
      </c>
      <c r="B146" s="1618" t="s">
        <v>1490</v>
      </c>
      <c r="C146" s="1579" t="s">
        <v>1491</v>
      </c>
      <c r="D146" s="1618" t="s">
        <v>1022</v>
      </c>
      <c r="E146" s="1581"/>
      <c r="F146" s="1581"/>
      <c r="G146" s="1581"/>
      <c r="H146" s="1581"/>
      <c r="I146" s="1581"/>
      <c r="J146" s="1722"/>
      <c r="K146" s="1581"/>
      <c r="L146" s="1727"/>
      <c r="M146" s="1581">
        <f>150</f>
        <v>150</v>
      </c>
      <c r="N146" s="1581">
        <v>157.5</v>
      </c>
      <c r="O146" s="1581">
        <v>153</v>
      </c>
      <c r="P146" s="1581"/>
      <c r="Q146" s="1581"/>
      <c r="R146" s="1581"/>
      <c r="S146" s="1581"/>
      <c r="T146" s="1581"/>
      <c r="U146" s="1581"/>
      <c r="X146" s="1580">
        <f t="shared" si="11"/>
        <v>150</v>
      </c>
      <c r="Y146" s="1580">
        <f t="shared" si="10"/>
        <v>160.5</v>
      </c>
      <c r="Z146" s="1581">
        <v>160.5</v>
      </c>
      <c r="AA146" s="1730"/>
      <c r="AC146" s="1730"/>
      <c r="AD146" s="1581"/>
      <c r="AE146" s="1734"/>
    </row>
    <row r="147" spans="1:31">
      <c r="A147" s="1609">
        <v>142</v>
      </c>
      <c r="B147" s="1618" t="s">
        <v>1490</v>
      </c>
      <c r="C147" s="1579" t="s">
        <v>1492</v>
      </c>
      <c r="D147" s="1618" t="s">
        <v>1022</v>
      </c>
      <c r="E147" s="1581"/>
      <c r="F147" s="1581"/>
      <c r="G147" s="1581"/>
      <c r="H147" s="1581"/>
      <c r="I147" s="1581"/>
      <c r="J147" s="1722"/>
      <c r="K147" s="1581"/>
      <c r="L147" s="1727"/>
      <c r="M147" s="1581">
        <f>170</f>
        <v>170</v>
      </c>
      <c r="N147" s="1581">
        <v>178.5</v>
      </c>
      <c r="O147" s="1581">
        <v>173.4</v>
      </c>
      <c r="P147" s="1581"/>
      <c r="Q147" s="1581"/>
      <c r="R147" s="1581"/>
      <c r="S147" s="1581"/>
      <c r="T147" s="1581"/>
      <c r="U147" s="1581"/>
      <c r="X147" s="1580">
        <f t="shared" si="11"/>
        <v>170</v>
      </c>
      <c r="Y147" s="1580">
        <f t="shared" si="10"/>
        <v>181.9</v>
      </c>
      <c r="Z147" s="1581">
        <v>181.9</v>
      </c>
      <c r="AA147" s="1730"/>
      <c r="AC147" s="1730"/>
      <c r="AD147" s="1581"/>
      <c r="AE147" s="1734"/>
    </row>
    <row r="148" spans="1:31">
      <c r="A148" s="1609">
        <v>143</v>
      </c>
      <c r="B148" s="1618" t="s">
        <v>1493</v>
      </c>
      <c r="C148" s="1579" t="s">
        <v>1494</v>
      </c>
      <c r="D148" s="1618" t="s">
        <v>1022</v>
      </c>
      <c r="E148" s="1581"/>
      <c r="F148" s="1581"/>
      <c r="G148" s="1581"/>
      <c r="H148" s="1581"/>
      <c r="I148" s="1581"/>
      <c r="J148" s="1722"/>
      <c r="K148" s="1581"/>
      <c r="L148" s="1727"/>
      <c r="M148" s="1581">
        <f>50</f>
        <v>50</v>
      </c>
      <c r="N148" s="1581">
        <v>52.5</v>
      </c>
      <c r="O148" s="1581">
        <v>51</v>
      </c>
      <c r="P148" s="1581"/>
      <c r="Q148" s="1581"/>
      <c r="R148" s="1581"/>
      <c r="S148" s="1581"/>
      <c r="T148" s="1581"/>
      <c r="U148" s="1581"/>
      <c r="X148" s="1580">
        <f t="shared" si="11"/>
        <v>50</v>
      </c>
      <c r="Y148" s="1580">
        <f t="shared" si="10"/>
        <v>53.5</v>
      </c>
      <c r="Z148" s="1581">
        <v>53.5</v>
      </c>
      <c r="AA148" s="1730"/>
      <c r="AC148" s="1730"/>
      <c r="AD148" s="1581"/>
      <c r="AE148" s="1734"/>
    </row>
    <row r="149" spans="1:31">
      <c r="A149" s="1609">
        <v>144</v>
      </c>
      <c r="B149" s="1619" t="s">
        <v>1495</v>
      </c>
      <c r="C149" s="917" t="s">
        <v>1496</v>
      </c>
      <c r="D149" s="1619" t="s">
        <v>1268</v>
      </c>
      <c r="E149" s="1581"/>
      <c r="F149" s="1581"/>
      <c r="G149" s="1610">
        <f>1300</f>
        <v>1300</v>
      </c>
      <c r="H149" s="1581">
        <v>1820</v>
      </c>
      <c r="I149" s="1581">
        <v>1690</v>
      </c>
      <c r="J149" s="1722"/>
      <c r="K149" s="1581"/>
      <c r="L149" s="1727"/>
      <c r="M149" s="1581"/>
      <c r="N149" s="1581"/>
      <c r="O149" s="1581"/>
      <c r="P149" s="1581"/>
      <c r="Q149" s="1581"/>
      <c r="R149" s="1581"/>
      <c r="S149" s="1581"/>
      <c r="T149" s="1581"/>
      <c r="U149" s="1581"/>
      <c r="X149" s="1580">
        <f t="shared" si="11"/>
        <v>1300</v>
      </c>
      <c r="Y149" s="1580">
        <f t="shared" si="10"/>
        <v>1391</v>
      </c>
      <c r="Z149" s="1610">
        <f>1300*1.07</f>
        <v>1391</v>
      </c>
      <c r="AA149" s="1730">
        <f t="shared" si="12"/>
        <v>0</v>
      </c>
      <c r="AB149" s="1580">
        <v>1300</v>
      </c>
      <c r="AC149" s="1730">
        <f t="shared" si="13"/>
        <v>0</v>
      </c>
      <c r="AD149" s="1610"/>
      <c r="AE149" s="1734"/>
    </row>
    <row r="150" spans="1:31">
      <c r="A150" s="1609">
        <v>145</v>
      </c>
      <c r="B150" s="1625" t="s">
        <v>1495</v>
      </c>
      <c r="C150" s="1579" t="s">
        <v>1497</v>
      </c>
      <c r="D150" s="1625" t="s">
        <v>1268</v>
      </c>
      <c r="E150" s="1581"/>
      <c r="F150" s="1581"/>
      <c r="G150" s="1581">
        <f>1300</f>
        <v>1300</v>
      </c>
      <c r="H150" s="1581">
        <v>1820</v>
      </c>
      <c r="I150" s="1581">
        <v>1560</v>
      </c>
      <c r="J150" s="1722"/>
      <c r="K150" s="1581"/>
      <c r="L150" s="1727"/>
      <c r="M150" s="1581"/>
      <c r="N150" s="1581"/>
      <c r="O150" s="1581"/>
      <c r="P150" s="1581"/>
      <c r="Q150" s="1581"/>
      <c r="R150" s="1581"/>
      <c r="S150" s="1581"/>
      <c r="T150" s="1581"/>
      <c r="U150" s="1581"/>
      <c r="X150" s="1580">
        <f t="shared" si="11"/>
        <v>1300</v>
      </c>
      <c r="Y150" s="1580">
        <f t="shared" si="10"/>
        <v>1391</v>
      </c>
      <c r="Z150" s="1581">
        <v>1391</v>
      </c>
      <c r="AA150" s="1730"/>
      <c r="AB150" s="1580">
        <v>1300</v>
      </c>
      <c r="AC150" s="1730">
        <f t="shared" si="13"/>
        <v>0</v>
      </c>
      <c r="AD150" s="1581">
        <f>1300</f>
        <v>1300</v>
      </c>
      <c r="AE150" s="1734">
        <f>X150-AD150</f>
        <v>0</v>
      </c>
    </row>
    <row r="151" spans="1:31">
      <c r="A151" s="1609">
        <v>146</v>
      </c>
      <c r="B151" s="1619" t="s">
        <v>1498</v>
      </c>
      <c r="C151" s="917" t="s">
        <v>1499</v>
      </c>
      <c r="D151" s="1619" t="s">
        <v>1268</v>
      </c>
      <c r="E151" s="1581"/>
      <c r="F151" s="1610"/>
      <c r="G151" s="1610">
        <f>5460</f>
        <v>5460</v>
      </c>
      <c r="H151" s="1581">
        <v>7644</v>
      </c>
      <c r="I151" s="1581">
        <v>7098</v>
      </c>
      <c r="J151" s="1722"/>
      <c r="K151" s="1581"/>
      <c r="L151" s="1727"/>
      <c r="M151" s="1581"/>
      <c r="N151" s="1581"/>
      <c r="O151" s="1581"/>
      <c r="P151" s="1581"/>
      <c r="Q151" s="1581"/>
      <c r="R151" s="1581"/>
      <c r="S151" s="1581"/>
      <c r="T151" s="1581"/>
      <c r="U151" s="1581"/>
      <c r="X151" s="1580">
        <f t="shared" si="11"/>
        <v>5460</v>
      </c>
      <c r="Y151" s="1580">
        <f t="shared" si="10"/>
        <v>5842.2000000000007</v>
      </c>
      <c r="Z151" s="1581">
        <v>5842.2</v>
      </c>
      <c r="AA151" s="1730">
        <f t="shared" si="12"/>
        <v>0</v>
      </c>
      <c r="AC151" s="1730"/>
      <c r="AD151" s="1610"/>
      <c r="AE151" s="1734"/>
    </row>
    <row r="152" spans="1:31">
      <c r="A152" s="1609">
        <v>147</v>
      </c>
      <c r="B152" s="1619" t="s">
        <v>1490</v>
      </c>
      <c r="C152" s="917" t="s">
        <v>1500</v>
      </c>
      <c r="D152" s="1619" t="s">
        <v>1268</v>
      </c>
      <c r="E152" s="1581"/>
      <c r="F152" s="1610"/>
      <c r="G152" s="1610">
        <f>1400</f>
        <v>1400</v>
      </c>
      <c r="H152" s="1581">
        <v>1960</v>
      </c>
      <c r="I152" s="1581">
        <v>1820</v>
      </c>
      <c r="J152" s="1722"/>
      <c r="K152" s="1581"/>
      <c r="L152" s="1727"/>
      <c r="M152" s="1581"/>
      <c r="N152" s="1581"/>
      <c r="O152" s="1581"/>
      <c r="P152" s="1581"/>
      <c r="Q152" s="1581"/>
      <c r="R152" s="1581"/>
      <c r="S152" s="1581"/>
      <c r="T152" s="1581"/>
      <c r="U152" s="1581"/>
      <c r="X152" s="1580">
        <f t="shared" si="11"/>
        <v>1400</v>
      </c>
      <c r="Y152" s="1580">
        <f t="shared" si="10"/>
        <v>1498</v>
      </c>
      <c r="Z152" s="1581">
        <v>1498</v>
      </c>
      <c r="AA152" s="1730">
        <f t="shared" si="12"/>
        <v>0</v>
      </c>
      <c r="AB152" s="1580">
        <v>1400</v>
      </c>
      <c r="AC152" s="1730">
        <f t="shared" si="13"/>
        <v>0</v>
      </c>
      <c r="AD152" s="1610"/>
      <c r="AE152" s="1734"/>
    </row>
    <row r="153" spans="1:31">
      <c r="A153" s="1609">
        <v>148</v>
      </c>
      <c r="B153" s="1619" t="s">
        <v>1490</v>
      </c>
      <c r="C153" s="917" t="s">
        <v>1501</v>
      </c>
      <c r="D153" s="1619" t="s">
        <v>1268</v>
      </c>
      <c r="E153" s="1581"/>
      <c r="F153" s="1610"/>
      <c r="G153" s="1610">
        <f>1890</f>
        <v>1890</v>
      </c>
      <c r="H153" s="1581">
        <v>2646</v>
      </c>
      <c r="I153" s="1581">
        <v>2457</v>
      </c>
      <c r="J153" s="1722"/>
      <c r="K153" s="1581"/>
      <c r="L153" s="1727"/>
      <c r="M153" s="1581"/>
      <c r="N153" s="1581"/>
      <c r="O153" s="1581"/>
      <c r="P153" s="1581"/>
      <c r="Q153" s="1581"/>
      <c r="R153" s="1581"/>
      <c r="S153" s="1581"/>
      <c r="T153" s="1581"/>
      <c r="U153" s="1581"/>
      <c r="X153" s="1580">
        <f t="shared" si="11"/>
        <v>1890</v>
      </c>
      <c r="Y153" s="1580">
        <f t="shared" si="10"/>
        <v>2022.3000000000002</v>
      </c>
      <c r="Z153" s="1610">
        <v>2022.3</v>
      </c>
      <c r="AA153" s="1730">
        <f t="shared" si="12"/>
        <v>0</v>
      </c>
      <c r="AB153" s="1580">
        <v>1890</v>
      </c>
      <c r="AC153" s="1730">
        <f t="shared" si="13"/>
        <v>0</v>
      </c>
      <c r="AD153" s="1610"/>
      <c r="AE153" s="1734"/>
    </row>
    <row r="154" spans="1:31">
      <c r="A154" s="1609">
        <v>149</v>
      </c>
      <c r="B154" s="1619" t="s">
        <v>1502</v>
      </c>
      <c r="C154" s="917" t="s">
        <v>1503</v>
      </c>
      <c r="D154" s="1619" t="s">
        <v>1268</v>
      </c>
      <c r="E154" s="1581"/>
      <c r="F154" s="1610"/>
      <c r="G154" s="1610">
        <f>260</f>
        <v>260</v>
      </c>
      <c r="H154" s="1581">
        <v>364</v>
      </c>
      <c r="I154" s="1581">
        <v>338</v>
      </c>
      <c r="J154" s="1722"/>
      <c r="K154" s="1581"/>
      <c r="L154" s="1727"/>
      <c r="M154" s="1581"/>
      <c r="N154" s="1581"/>
      <c r="O154" s="1581"/>
      <c r="P154" s="1581"/>
      <c r="Q154" s="1581"/>
      <c r="R154" s="1581"/>
      <c r="S154" s="1581"/>
      <c r="T154" s="1581"/>
      <c r="U154" s="1581"/>
      <c r="X154" s="1580">
        <f t="shared" si="11"/>
        <v>260</v>
      </c>
      <c r="Y154" s="1580">
        <f t="shared" si="10"/>
        <v>278.2</v>
      </c>
      <c r="Z154" s="1581">
        <v>278.2</v>
      </c>
      <c r="AA154" s="1730">
        <f t="shared" si="12"/>
        <v>0</v>
      </c>
      <c r="AB154" s="1580">
        <v>260</v>
      </c>
      <c r="AC154" s="1730">
        <f t="shared" si="13"/>
        <v>0</v>
      </c>
      <c r="AD154" s="1610">
        <f>260</f>
        <v>260</v>
      </c>
      <c r="AE154" s="1734">
        <f>X154-AD154</f>
        <v>0</v>
      </c>
    </row>
    <row r="155" spans="1:31">
      <c r="A155" s="1609">
        <v>150</v>
      </c>
      <c r="B155" s="1619" t="s">
        <v>1490</v>
      </c>
      <c r="C155" s="917" t="s">
        <v>1504</v>
      </c>
      <c r="D155" s="1619" t="s">
        <v>1268</v>
      </c>
      <c r="E155" s="1581"/>
      <c r="F155" s="1610"/>
      <c r="G155" s="1610">
        <f>680</f>
        <v>680</v>
      </c>
      <c r="H155" s="1581">
        <v>952</v>
      </c>
      <c r="I155" s="1581">
        <v>884</v>
      </c>
      <c r="J155" s="1722"/>
      <c r="K155" s="1581"/>
      <c r="L155" s="1727"/>
      <c r="M155" s="1581"/>
      <c r="N155" s="1581"/>
      <c r="O155" s="1581"/>
      <c r="P155" s="1581"/>
      <c r="Q155" s="1581"/>
      <c r="R155" s="1581"/>
      <c r="S155" s="1581"/>
      <c r="T155" s="1581"/>
      <c r="U155" s="1581"/>
      <c r="X155" s="1580">
        <f t="shared" si="11"/>
        <v>680</v>
      </c>
      <c r="Y155" s="1580">
        <f t="shared" si="10"/>
        <v>727.6</v>
      </c>
      <c r="Z155" s="1580">
        <v>727.6</v>
      </c>
      <c r="AA155" s="1730">
        <f t="shared" si="12"/>
        <v>0</v>
      </c>
      <c r="AB155" s="1580">
        <v>680</v>
      </c>
      <c r="AC155" s="1730">
        <f t="shared" si="13"/>
        <v>0</v>
      </c>
      <c r="AD155" s="1610">
        <f>680</f>
        <v>680</v>
      </c>
      <c r="AE155" s="1734">
        <f>X155-AD155</f>
        <v>0</v>
      </c>
    </row>
    <row r="156" spans="1:31">
      <c r="A156" s="1609">
        <v>151</v>
      </c>
      <c r="B156" s="1618" t="s">
        <v>1495</v>
      </c>
      <c r="C156" s="1579" t="s">
        <v>1505</v>
      </c>
      <c r="D156" s="1618" t="s">
        <v>1022</v>
      </c>
      <c r="E156" s="1581"/>
      <c r="F156" s="1581"/>
      <c r="G156" s="1581"/>
      <c r="H156" s="1581"/>
      <c r="I156" s="1581"/>
      <c r="J156" s="1722"/>
      <c r="K156" s="1581"/>
      <c r="L156" s="1727"/>
      <c r="M156" s="1581">
        <f>1000</f>
        <v>1000</v>
      </c>
      <c r="N156" s="1581">
        <v>1050</v>
      </c>
      <c r="O156" s="1581">
        <v>1020</v>
      </c>
      <c r="P156" s="1581"/>
      <c r="Q156" s="1581"/>
      <c r="R156" s="1581"/>
      <c r="S156" s="1581"/>
      <c r="T156" s="1581"/>
      <c r="U156" s="1581"/>
      <c r="X156" s="1580">
        <f t="shared" si="11"/>
        <v>1000</v>
      </c>
      <c r="Y156" s="1580">
        <f t="shared" si="10"/>
        <v>1070</v>
      </c>
      <c r="Z156" s="1580">
        <v>1070</v>
      </c>
      <c r="AA156" s="1730">
        <f t="shared" si="12"/>
        <v>0</v>
      </c>
      <c r="AC156" s="1730"/>
      <c r="AD156" s="1581"/>
      <c r="AE156" s="1734"/>
    </row>
    <row r="157" spans="1:31">
      <c r="A157" s="1609">
        <v>152</v>
      </c>
      <c r="B157" s="1619" t="s">
        <v>1506</v>
      </c>
      <c r="C157" s="917" t="s">
        <v>1507</v>
      </c>
      <c r="D157" s="1619" t="s">
        <v>1268</v>
      </c>
      <c r="E157" s="1581"/>
      <c r="F157" s="1610"/>
      <c r="G157" s="1610">
        <f>7620</f>
        <v>7620</v>
      </c>
      <c r="H157" s="1581">
        <v>10668</v>
      </c>
      <c r="I157" s="1581">
        <v>9906</v>
      </c>
      <c r="J157" s="1722"/>
      <c r="K157" s="1581"/>
      <c r="L157" s="1727"/>
      <c r="M157" s="1581"/>
      <c r="N157" s="1581"/>
      <c r="O157" s="1581"/>
      <c r="P157" s="1581"/>
      <c r="Q157" s="1581"/>
      <c r="R157" s="1581"/>
      <c r="S157" s="1581"/>
      <c r="T157" s="1581"/>
      <c r="U157" s="1581"/>
      <c r="X157" s="1580">
        <f t="shared" si="11"/>
        <v>7620</v>
      </c>
      <c r="Y157" s="1580">
        <f t="shared" si="10"/>
        <v>8153.4000000000005</v>
      </c>
      <c r="Z157" s="1610">
        <v>8153.4</v>
      </c>
      <c r="AA157" s="1730">
        <f t="shared" si="12"/>
        <v>0</v>
      </c>
      <c r="AC157" s="1730"/>
      <c r="AD157" s="1610"/>
      <c r="AE157" s="1734"/>
    </row>
    <row r="158" spans="1:31">
      <c r="A158" s="1609">
        <v>153</v>
      </c>
      <c r="B158" s="1610" t="s">
        <v>1502</v>
      </c>
      <c r="C158" s="1579" t="s">
        <v>1508</v>
      </c>
      <c r="D158" s="1610" t="s">
        <v>1022</v>
      </c>
      <c r="E158" s="1581"/>
      <c r="F158" s="1581"/>
      <c r="G158" s="1581">
        <f>400</f>
        <v>400</v>
      </c>
      <c r="H158" s="1581">
        <v>560</v>
      </c>
      <c r="I158" s="1581">
        <v>480</v>
      </c>
      <c r="J158" s="1722"/>
      <c r="K158" s="1581"/>
      <c r="L158" s="1727"/>
      <c r="M158" s="1581"/>
      <c r="N158" s="1581"/>
      <c r="O158" s="1581"/>
      <c r="P158" s="1581"/>
      <c r="Q158" s="1581"/>
      <c r="R158" s="1581"/>
      <c r="S158" s="1581"/>
      <c r="T158" s="1581"/>
      <c r="U158" s="1581"/>
      <c r="X158" s="1580">
        <f t="shared" si="11"/>
        <v>400</v>
      </c>
      <c r="Y158" s="1580">
        <f t="shared" si="10"/>
        <v>428</v>
      </c>
      <c r="Z158" s="1610">
        <v>428</v>
      </c>
      <c r="AA158" s="1730">
        <f t="shared" si="12"/>
        <v>0</v>
      </c>
      <c r="AB158" s="1580">
        <v>400</v>
      </c>
      <c r="AC158" s="1730">
        <f t="shared" si="13"/>
        <v>0</v>
      </c>
      <c r="AD158" s="1581"/>
      <c r="AE158" s="1734"/>
    </row>
    <row r="159" spans="1:31">
      <c r="A159" s="1609">
        <v>154</v>
      </c>
      <c r="B159" s="1610" t="s">
        <v>1509</v>
      </c>
      <c r="C159" s="1579" t="s">
        <v>1510</v>
      </c>
      <c r="D159" s="1610" t="s">
        <v>1022</v>
      </c>
      <c r="E159" s="1581"/>
      <c r="F159" s="1581"/>
      <c r="G159" s="1581">
        <f>560</f>
        <v>560</v>
      </c>
      <c r="H159" s="1581">
        <v>784</v>
      </c>
      <c r="I159" s="1581">
        <v>672</v>
      </c>
      <c r="J159" s="1722"/>
      <c r="K159" s="1581"/>
      <c r="L159" s="1727"/>
      <c r="M159" s="1581"/>
      <c r="N159" s="1581"/>
      <c r="O159" s="1581"/>
      <c r="P159" s="1581"/>
      <c r="Q159" s="1581"/>
      <c r="R159" s="1581"/>
      <c r="S159" s="1581"/>
      <c r="T159" s="1581"/>
      <c r="U159" s="1581"/>
      <c r="X159" s="1580">
        <f t="shared" si="11"/>
        <v>560</v>
      </c>
      <c r="Y159" s="1580">
        <f t="shared" si="10"/>
        <v>599.20000000000005</v>
      </c>
      <c r="Z159" s="1610">
        <v>599.20000000000005</v>
      </c>
      <c r="AA159" s="1730">
        <f t="shared" si="12"/>
        <v>0</v>
      </c>
      <c r="AB159" s="1580">
        <v>560</v>
      </c>
      <c r="AC159" s="1730">
        <f t="shared" si="13"/>
        <v>0</v>
      </c>
      <c r="AD159" s="1581"/>
      <c r="AE159" s="1734"/>
    </row>
    <row r="160" spans="1:31">
      <c r="A160" s="1609">
        <v>155</v>
      </c>
      <c r="B160" s="1620" t="s">
        <v>1511</v>
      </c>
      <c r="C160" s="1579" t="s">
        <v>1512</v>
      </c>
      <c r="D160" s="1620" t="s">
        <v>1268</v>
      </c>
      <c r="E160" s="1581"/>
      <c r="F160" s="1581"/>
      <c r="G160" s="1581"/>
      <c r="H160" s="1581"/>
      <c r="I160" s="1581"/>
      <c r="J160" s="1722"/>
      <c r="K160" s="1581"/>
      <c r="L160" s="1727">
        <v>1450</v>
      </c>
      <c r="M160" s="1581"/>
      <c r="N160" s="1581"/>
      <c r="O160" s="1581"/>
      <c r="P160" s="1581"/>
      <c r="Q160" s="1581"/>
      <c r="R160" s="1581"/>
      <c r="S160" s="1581"/>
      <c r="T160" s="1581"/>
      <c r="U160" s="1581"/>
      <c r="V160" s="1580">
        <v>1400</v>
      </c>
      <c r="W160" s="1580">
        <v>1400</v>
      </c>
      <c r="X160" s="1580">
        <f>MIN(E160:W160)</f>
        <v>1400</v>
      </c>
      <c r="Y160" s="1580">
        <f t="shared" si="10"/>
        <v>1498</v>
      </c>
      <c r="Z160" s="1581">
        <f>1400*1.07</f>
        <v>1498</v>
      </c>
      <c r="AA160" s="1730">
        <f t="shared" si="12"/>
        <v>0</v>
      </c>
      <c r="AC160" s="1730"/>
      <c r="AD160" s="1581"/>
      <c r="AE160" s="1734"/>
    </row>
    <row r="161" spans="1:31">
      <c r="A161" s="1609">
        <v>156</v>
      </c>
      <c r="B161" s="1618" t="s">
        <v>1513</v>
      </c>
      <c r="C161" s="1579" t="s">
        <v>1514</v>
      </c>
      <c r="D161" s="1618" t="s">
        <v>1022</v>
      </c>
      <c r="E161" s="1581"/>
      <c r="F161" s="1581">
        <f>500</f>
        <v>500</v>
      </c>
      <c r="G161" s="1581"/>
      <c r="H161" s="1581">
        <v>700</v>
      </c>
      <c r="I161" s="1581">
        <v>600</v>
      </c>
      <c r="J161" s="1722"/>
      <c r="K161" s="1581"/>
      <c r="L161" s="1727"/>
      <c r="M161" s="1581"/>
      <c r="N161" s="1581"/>
      <c r="O161" s="1581"/>
      <c r="P161" s="1581"/>
      <c r="Q161" s="1581"/>
      <c r="R161" s="1581"/>
      <c r="S161" s="1581"/>
      <c r="T161" s="1581"/>
      <c r="U161" s="1581"/>
      <c r="X161" s="1580">
        <f>MIN(E161:W161)</f>
        <v>500</v>
      </c>
      <c r="Y161" s="1580">
        <f t="shared" si="10"/>
        <v>535</v>
      </c>
      <c r="Z161" s="1581">
        <f>500*1.07</f>
        <v>535</v>
      </c>
      <c r="AA161" s="1730">
        <f t="shared" si="12"/>
        <v>0</v>
      </c>
      <c r="AB161" s="1580">
        <v>500</v>
      </c>
      <c r="AC161" s="1730">
        <f t="shared" si="13"/>
        <v>0</v>
      </c>
      <c r="AD161" s="1581">
        <f>500</f>
        <v>500</v>
      </c>
      <c r="AE161" s="1734">
        <f>X161-AD161</f>
        <v>0</v>
      </c>
    </row>
    <row r="162" spans="1:31">
      <c r="A162" s="1609">
        <v>157</v>
      </c>
      <c r="B162" s="1620" t="s">
        <v>1515</v>
      </c>
      <c r="C162" s="1579" t="s">
        <v>1516</v>
      </c>
      <c r="D162" s="1620" t="s">
        <v>1268</v>
      </c>
      <c r="F162" s="1581"/>
      <c r="G162" s="1581"/>
      <c r="H162" s="1581"/>
      <c r="I162" s="1581"/>
      <c r="J162" s="1722"/>
      <c r="K162" s="1581"/>
      <c r="L162" s="1727">
        <v>1550</v>
      </c>
      <c r="M162" s="1581"/>
      <c r="N162" s="1581"/>
      <c r="O162" s="1581"/>
      <c r="P162" s="1581"/>
      <c r="Q162" s="1581"/>
      <c r="R162" s="1581"/>
      <c r="S162" s="1581"/>
      <c r="T162" s="1581"/>
      <c r="U162" s="1581"/>
      <c r="V162" s="1581">
        <f>1500</f>
        <v>1500</v>
      </c>
      <c r="W162" s="1580">
        <v>1500</v>
      </c>
      <c r="X162" s="1580">
        <f>MIN(E162:W162)</f>
        <v>1500</v>
      </c>
      <c r="Y162" s="1580">
        <f t="shared" si="10"/>
        <v>1605</v>
      </c>
      <c r="Z162" s="1581">
        <f>1500*1.07</f>
        <v>1605</v>
      </c>
      <c r="AA162" s="1730">
        <f t="shared" si="12"/>
        <v>0</v>
      </c>
      <c r="AC162" s="1730"/>
      <c r="AD162" s="1581"/>
      <c r="AE162" s="1734"/>
    </row>
    <row r="163" spans="1:31">
      <c r="A163" s="1609">
        <v>158</v>
      </c>
      <c r="B163" s="1618" t="s">
        <v>1517</v>
      </c>
      <c r="C163" s="1579" t="s">
        <v>1518</v>
      </c>
      <c r="D163" s="1618" t="s">
        <v>1022</v>
      </c>
      <c r="E163" s="1581">
        <f>2500</f>
        <v>2500</v>
      </c>
      <c r="F163" s="1581"/>
      <c r="G163" s="1581"/>
      <c r="H163" s="1581">
        <v>3500</v>
      </c>
      <c r="I163" s="1581">
        <v>2750</v>
      </c>
      <c r="J163" s="1722"/>
      <c r="K163" s="1581"/>
      <c r="L163" s="1727"/>
      <c r="M163" s="1581"/>
      <c r="N163" s="1581"/>
      <c r="O163" s="1581"/>
      <c r="P163" s="1581"/>
      <c r="Q163" s="1581"/>
      <c r="R163" s="1581"/>
      <c r="S163" s="1581"/>
      <c r="T163" s="1581"/>
      <c r="U163" s="1581"/>
      <c r="X163" s="1580">
        <f t="shared" si="11"/>
        <v>2500</v>
      </c>
      <c r="Y163" s="1580">
        <f t="shared" si="10"/>
        <v>2675</v>
      </c>
      <c r="Z163" s="1581">
        <f>2500*1.07</f>
        <v>2675</v>
      </c>
      <c r="AA163" s="1730">
        <f t="shared" si="12"/>
        <v>0</v>
      </c>
      <c r="AB163" s="1580">
        <v>2500</v>
      </c>
      <c r="AC163" s="1730">
        <f t="shared" si="13"/>
        <v>0</v>
      </c>
      <c r="AD163" s="1581">
        <f>2500</f>
        <v>2500</v>
      </c>
      <c r="AE163" s="1734">
        <f>X163-AD163</f>
        <v>0</v>
      </c>
    </row>
    <row r="164" spans="1:31">
      <c r="A164" s="1609">
        <v>159</v>
      </c>
      <c r="B164" s="1056" t="s">
        <v>1519</v>
      </c>
      <c r="C164" s="917" t="s">
        <v>1520</v>
      </c>
      <c r="D164" s="1056" t="s">
        <v>1203</v>
      </c>
      <c r="E164" s="1581"/>
      <c r="F164" s="1610"/>
      <c r="G164" s="1610"/>
      <c r="H164" s="1581"/>
      <c r="I164" s="1581"/>
      <c r="J164" s="1723">
        <f>400</f>
        <v>400</v>
      </c>
      <c r="K164" s="1581">
        <v>400</v>
      </c>
      <c r="L164" s="1727">
        <v>410</v>
      </c>
      <c r="M164" s="1581"/>
      <c r="N164" s="1581"/>
      <c r="O164" s="1581"/>
      <c r="P164" s="1581"/>
      <c r="Q164" s="1581"/>
      <c r="R164" s="1581"/>
      <c r="S164" s="1581"/>
      <c r="T164" s="1581"/>
      <c r="U164" s="1581"/>
      <c r="X164" s="1580">
        <f t="shared" si="11"/>
        <v>400</v>
      </c>
      <c r="Y164" s="1580">
        <f t="shared" si="10"/>
        <v>428</v>
      </c>
      <c r="Z164" s="1581"/>
      <c r="AA164" s="1730"/>
      <c r="AC164" s="1730"/>
      <c r="AD164" s="1610">
        <f>400</f>
        <v>400</v>
      </c>
      <c r="AE164" s="1734">
        <f>X164-AD164</f>
        <v>0</v>
      </c>
    </row>
    <row r="165" spans="1:31">
      <c r="A165" s="1609">
        <v>160</v>
      </c>
      <c r="B165" s="1618" t="s">
        <v>1521</v>
      </c>
      <c r="C165" s="1579" t="s">
        <v>1522</v>
      </c>
      <c r="D165" s="1618" t="s">
        <v>1022</v>
      </c>
      <c r="E165" s="1581"/>
      <c r="F165" s="1581"/>
      <c r="G165" s="1581"/>
      <c r="H165" s="1581"/>
      <c r="I165" s="1581"/>
      <c r="J165" s="1722"/>
      <c r="K165" s="1581"/>
      <c r="L165" s="1727"/>
      <c r="M165" s="1581"/>
      <c r="N165" s="1581"/>
      <c r="O165" s="1581"/>
      <c r="P165" s="1581"/>
      <c r="Q165" s="1581"/>
      <c r="R165" s="1581"/>
      <c r="S165" s="1581"/>
      <c r="T165" s="1581"/>
      <c r="U165" s="1581"/>
      <c r="X165" s="1580">
        <f t="shared" si="11"/>
        <v>0</v>
      </c>
      <c r="Y165" s="1580">
        <f t="shared" si="10"/>
        <v>0</v>
      </c>
      <c r="Z165" s="1581"/>
      <c r="AA165" s="1730"/>
      <c r="AC165" s="1730">
        <f t="shared" si="13"/>
        <v>0</v>
      </c>
      <c r="AD165" s="1581"/>
      <c r="AE165" s="1734">
        <f>X165-AD165</f>
        <v>0</v>
      </c>
    </row>
    <row r="166" spans="1:31" ht="45.75" customHeight="1">
      <c r="A166" s="1609">
        <v>161</v>
      </c>
      <c r="B166" s="1618" t="s">
        <v>1523</v>
      </c>
      <c r="C166" s="1579" t="s">
        <v>1524</v>
      </c>
      <c r="D166" s="1618" t="s">
        <v>1525</v>
      </c>
      <c r="E166" s="1581"/>
      <c r="F166" s="1581">
        <f>18000</f>
        <v>18000</v>
      </c>
      <c r="G166" s="1581"/>
      <c r="H166" s="1581">
        <v>25200</v>
      </c>
      <c r="I166" s="1581">
        <v>21600</v>
      </c>
      <c r="J166" s="1722"/>
      <c r="K166" s="1581"/>
      <c r="L166" s="1727"/>
      <c r="M166" s="1581"/>
      <c r="N166" s="1581"/>
      <c r="O166" s="1581"/>
      <c r="P166" s="1581"/>
      <c r="Q166" s="1581"/>
      <c r="R166" s="1581"/>
      <c r="S166" s="1581"/>
      <c r="T166" s="1581"/>
      <c r="U166" s="1581"/>
      <c r="X166" s="1580">
        <f t="shared" si="11"/>
        <v>18000</v>
      </c>
      <c r="Y166" s="1580">
        <f t="shared" si="10"/>
        <v>19260</v>
      </c>
      <c r="Z166" s="1581">
        <v>19260</v>
      </c>
      <c r="AA166" s="1730">
        <f t="shared" si="12"/>
        <v>0</v>
      </c>
      <c r="AB166" s="1580">
        <v>18000</v>
      </c>
      <c r="AC166" s="1730">
        <f t="shared" si="13"/>
        <v>0</v>
      </c>
      <c r="AD166" s="1581">
        <f>18000</f>
        <v>18000</v>
      </c>
      <c r="AE166" s="1734">
        <f>X166-AD166</f>
        <v>0</v>
      </c>
    </row>
    <row r="167" spans="1:31">
      <c r="A167" s="1609">
        <v>162</v>
      </c>
      <c r="B167" s="1618" t="s">
        <v>1526</v>
      </c>
      <c r="C167" s="1579" t="s">
        <v>2136</v>
      </c>
      <c r="D167" s="1618" t="s">
        <v>1525</v>
      </c>
      <c r="E167" s="1581"/>
      <c r="F167" s="1581"/>
      <c r="G167" s="1581"/>
      <c r="H167" s="1581"/>
      <c r="I167" s="1581"/>
      <c r="J167" s="1722"/>
      <c r="K167" s="1581"/>
      <c r="L167" s="1727"/>
      <c r="M167" s="1581">
        <f>1200</f>
        <v>1200</v>
      </c>
      <c r="N167" s="1581">
        <v>1260</v>
      </c>
      <c r="O167" s="1581">
        <v>1224</v>
      </c>
      <c r="P167" s="1581"/>
      <c r="Q167" s="1581"/>
      <c r="R167" s="1581"/>
      <c r="S167" s="1581"/>
      <c r="T167" s="1581"/>
      <c r="U167" s="1581"/>
      <c r="X167" s="1580">
        <f t="shared" si="11"/>
        <v>1200</v>
      </c>
      <c r="Y167" s="1580">
        <f t="shared" si="10"/>
        <v>1284</v>
      </c>
      <c r="Z167" s="1581">
        <v>1284</v>
      </c>
      <c r="AA167" s="1730"/>
      <c r="AC167" s="1730"/>
      <c r="AD167" s="1581"/>
      <c r="AE167" s="1734"/>
    </row>
    <row r="168" spans="1:31">
      <c r="A168" s="1609">
        <v>163</v>
      </c>
      <c r="B168" s="1618" t="s">
        <v>1528</v>
      </c>
      <c r="C168" s="1579" t="s">
        <v>1529</v>
      </c>
      <c r="D168" s="1618" t="s">
        <v>1022</v>
      </c>
      <c r="E168" s="1581"/>
      <c r="F168" s="1581"/>
      <c r="G168" s="1581"/>
      <c r="H168" s="1581"/>
      <c r="I168" s="1581"/>
      <c r="J168" s="1722"/>
      <c r="K168" s="1581"/>
      <c r="L168" s="1727"/>
      <c r="M168" s="1581">
        <f>2000</f>
        <v>2000</v>
      </c>
      <c r="N168" s="1581">
        <v>2100</v>
      </c>
      <c r="O168" s="1581">
        <v>2040</v>
      </c>
      <c r="P168" s="1581"/>
      <c r="Q168" s="1581"/>
      <c r="R168" s="1581"/>
      <c r="S168" s="1581"/>
      <c r="T168" s="1581"/>
      <c r="U168" s="1581"/>
      <c r="X168" s="1580">
        <f t="shared" si="11"/>
        <v>2000</v>
      </c>
      <c r="Y168" s="1580">
        <f t="shared" si="10"/>
        <v>2140</v>
      </c>
      <c r="Z168" s="1610">
        <v>2140</v>
      </c>
      <c r="AA168" s="1730"/>
      <c r="AC168" s="1730"/>
      <c r="AD168" s="1581"/>
      <c r="AE168" s="1734"/>
    </row>
    <row r="169" spans="1:31">
      <c r="A169" s="1609">
        <v>164</v>
      </c>
      <c r="B169" s="1618" t="s">
        <v>1530</v>
      </c>
      <c r="C169" s="1591" t="s">
        <v>1531</v>
      </c>
      <c r="D169" s="1618" t="s">
        <v>1525</v>
      </c>
      <c r="E169" s="1581">
        <f>60000</f>
        <v>60000</v>
      </c>
      <c r="F169" s="1581"/>
      <c r="G169" s="1581"/>
      <c r="H169" s="1581">
        <v>84000</v>
      </c>
      <c r="I169" s="1581">
        <v>72000</v>
      </c>
      <c r="J169" s="1722"/>
      <c r="K169" s="1581"/>
      <c r="L169" s="1727"/>
      <c r="M169" s="1581"/>
      <c r="N169" s="1581"/>
      <c r="O169" s="1581"/>
      <c r="P169" s="1581"/>
      <c r="Q169" s="1581"/>
      <c r="R169" s="1581"/>
      <c r="S169" s="1581"/>
      <c r="T169" s="1581"/>
      <c r="U169" s="1581"/>
      <c r="X169" s="1580">
        <f t="shared" si="11"/>
        <v>60000</v>
      </c>
      <c r="Y169" s="1580">
        <f t="shared" si="10"/>
        <v>64200.000000000007</v>
      </c>
      <c r="Z169" s="1581">
        <v>64200</v>
      </c>
      <c r="AA169" s="1730">
        <f t="shared" si="12"/>
        <v>0</v>
      </c>
      <c r="AB169" s="1580">
        <v>60000</v>
      </c>
      <c r="AC169" s="1730">
        <f t="shared" si="13"/>
        <v>0</v>
      </c>
      <c r="AD169" s="1581">
        <f>60000</f>
        <v>60000</v>
      </c>
      <c r="AE169" s="1734">
        <f>X169-AD169</f>
        <v>0</v>
      </c>
    </row>
    <row r="170" spans="1:31">
      <c r="A170" s="1609">
        <v>165</v>
      </c>
      <c r="B170" s="1618" t="s">
        <v>1532</v>
      </c>
      <c r="C170" s="1579" t="s">
        <v>1533</v>
      </c>
      <c r="D170" s="1618" t="s">
        <v>1022</v>
      </c>
      <c r="E170" s="1581"/>
      <c r="F170" s="1581"/>
      <c r="G170" s="1581"/>
      <c r="H170" s="1581"/>
      <c r="I170" s="1581"/>
      <c r="J170" s="1722"/>
      <c r="K170" s="1581"/>
      <c r="L170" s="1727"/>
      <c r="M170" s="1581">
        <f>4500</f>
        <v>4500</v>
      </c>
      <c r="N170" s="1581">
        <v>4725</v>
      </c>
      <c r="O170" s="1581">
        <v>4590</v>
      </c>
      <c r="P170" s="1581"/>
      <c r="Q170" s="1581"/>
      <c r="R170" s="1581"/>
      <c r="S170" s="1581"/>
      <c r="T170" s="1581"/>
      <c r="U170" s="1581"/>
      <c r="X170" s="1580">
        <f t="shared" si="11"/>
        <v>4500</v>
      </c>
      <c r="Y170" s="1580">
        <f t="shared" si="10"/>
        <v>4815</v>
      </c>
      <c r="Z170" s="1581">
        <v>4815</v>
      </c>
      <c r="AA170" s="1730"/>
      <c r="AC170" s="1730"/>
      <c r="AD170" s="1581"/>
      <c r="AE170" s="1734"/>
    </row>
    <row r="171" spans="1:31">
      <c r="A171" s="1609">
        <v>166</v>
      </c>
      <c r="B171" s="1618" t="s">
        <v>1534</v>
      </c>
      <c r="C171" s="1579" t="s">
        <v>1535</v>
      </c>
      <c r="D171" s="1618" t="s">
        <v>1022</v>
      </c>
      <c r="E171" s="1581"/>
      <c r="F171" s="1581"/>
      <c r="G171" s="1581"/>
      <c r="H171" s="1581"/>
      <c r="I171" s="1581"/>
      <c r="J171" s="1722"/>
      <c r="K171" s="1581"/>
      <c r="L171" s="1727"/>
      <c r="M171" s="1581"/>
      <c r="N171" s="1581"/>
      <c r="O171" s="1581"/>
      <c r="P171" s="1581"/>
      <c r="Q171" s="1581"/>
      <c r="R171" s="1581"/>
      <c r="S171" s="1581"/>
      <c r="T171" s="1581"/>
      <c r="U171" s="1581"/>
      <c r="X171" s="1580">
        <f t="shared" si="11"/>
        <v>0</v>
      </c>
      <c r="Y171" s="1580">
        <f t="shared" si="10"/>
        <v>0</v>
      </c>
      <c r="Z171" s="1581"/>
      <c r="AA171" s="1730">
        <f t="shared" si="12"/>
        <v>0</v>
      </c>
      <c r="AC171" s="1730">
        <f t="shared" si="13"/>
        <v>0</v>
      </c>
      <c r="AD171" s="1581"/>
      <c r="AE171" s="1734">
        <f>X171-AD171</f>
        <v>0</v>
      </c>
    </row>
    <row r="172" spans="1:31" ht="25.5">
      <c r="A172" s="1609">
        <v>167</v>
      </c>
      <c r="B172" s="1618" t="s">
        <v>1536</v>
      </c>
      <c r="C172" s="1579" t="s">
        <v>1537</v>
      </c>
      <c r="D172" s="1618" t="s">
        <v>1525</v>
      </c>
      <c r="E172" s="1581">
        <f>30000</f>
        <v>30000</v>
      </c>
      <c r="F172" s="1581"/>
      <c r="G172" s="1581"/>
      <c r="H172" s="1581"/>
      <c r="I172" s="1581"/>
      <c r="J172" s="1722"/>
      <c r="K172" s="1581"/>
      <c r="L172" s="1727"/>
      <c r="M172" s="1581"/>
      <c r="N172" s="1581"/>
      <c r="O172" s="1581"/>
      <c r="P172" s="1581"/>
      <c r="Q172" s="1581"/>
      <c r="R172" s="1581"/>
      <c r="S172" s="1581"/>
      <c r="T172" s="1581"/>
      <c r="U172" s="1581"/>
      <c r="X172" s="1580">
        <f t="shared" si="11"/>
        <v>30000</v>
      </c>
      <c r="Y172" s="1580">
        <f t="shared" si="10"/>
        <v>32100.000000000004</v>
      </c>
      <c r="Z172" s="1581">
        <v>32100</v>
      </c>
      <c r="AA172" s="1730">
        <f t="shared" si="12"/>
        <v>0</v>
      </c>
      <c r="AB172" s="1580">
        <v>30000</v>
      </c>
      <c r="AC172" s="1730">
        <f t="shared" si="13"/>
        <v>0</v>
      </c>
      <c r="AD172" s="1581">
        <f>30000</f>
        <v>30000</v>
      </c>
      <c r="AE172" s="1734">
        <f>X172-AD172</f>
        <v>0</v>
      </c>
    </row>
    <row r="173" spans="1:31" ht="25.5">
      <c r="A173" s="1609">
        <v>168</v>
      </c>
      <c r="B173" s="1619" t="s">
        <v>1538</v>
      </c>
      <c r="C173" s="917" t="s">
        <v>1539</v>
      </c>
      <c r="D173" s="1619" t="s">
        <v>1525</v>
      </c>
      <c r="E173" s="1581"/>
      <c r="F173" s="1610"/>
      <c r="G173" s="1610">
        <f>40000</f>
        <v>40000</v>
      </c>
      <c r="H173" s="1581">
        <v>56000</v>
      </c>
      <c r="I173" s="1581">
        <v>52000</v>
      </c>
      <c r="J173" s="1722"/>
      <c r="K173" s="1581"/>
      <c r="L173" s="1727"/>
      <c r="M173" s="1581"/>
      <c r="N173" s="1581"/>
      <c r="O173" s="1581"/>
      <c r="P173" s="1581"/>
      <c r="Q173" s="1581"/>
      <c r="R173" s="1581"/>
      <c r="S173" s="1581"/>
      <c r="T173" s="1581"/>
      <c r="U173" s="1581"/>
      <c r="X173" s="1580">
        <f t="shared" si="11"/>
        <v>40000</v>
      </c>
      <c r="Y173" s="1580">
        <f t="shared" si="10"/>
        <v>42800</v>
      </c>
      <c r="Z173" s="1581">
        <v>42800</v>
      </c>
      <c r="AA173" s="1730">
        <f t="shared" si="12"/>
        <v>0</v>
      </c>
      <c r="AB173" s="1580">
        <v>40000</v>
      </c>
      <c r="AC173" s="1730">
        <f t="shared" si="13"/>
        <v>0</v>
      </c>
      <c r="AD173" s="1610">
        <f>40000</f>
        <v>40000</v>
      </c>
      <c r="AE173" s="1734">
        <f>X173-AD173</f>
        <v>0</v>
      </c>
    </row>
    <row r="174" spans="1:31" hidden="1">
      <c r="A174" s="1609">
        <v>169</v>
      </c>
      <c r="B174" s="1610" t="s">
        <v>1540</v>
      </c>
      <c r="C174" s="1579" t="s">
        <v>1541</v>
      </c>
      <c r="D174" s="1610" t="s">
        <v>1525</v>
      </c>
      <c r="E174" s="1581"/>
      <c r="F174" s="1581"/>
      <c r="G174" s="1581"/>
      <c r="H174" s="1581"/>
      <c r="I174" s="1581"/>
      <c r="J174" s="1722"/>
      <c r="K174" s="1581"/>
      <c r="L174" s="1727"/>
      <c r="M174" s="1581"/>
      <c r="N174" s="1581"/>
      <c r="O174" s="1581"/>
      <c r="P174" s="1581"/>
      <c r="Q174" s="1581"/>
      <c r="R174" s="1581"/>
      <c r="S174" s="1581"/>
      <c r="T174" s="1581"/>
      <c r="U174" s="1581"/>
      <c r="X174" s="1580">
        <f t="shared" si="11"/>
        <v>0</v>
      </c>
      <c r="Y174" s="1580">
        <f t="shared" si="10"/>
        <v>0</v>
      </c>
      <c r="Z174" s="1581"/>
      <c r="AA174" s="1730">
        <f t="shared" si="12"/>
        <v>0</v>
      </c>
      <c r="AC174" s="1730">
        <f t="shared" si="13"/>
        <v>0</v>
      </c>
      <c r="AD174" s="1581"/>
      <c r="AE174" s="1734">
        <f>X174-AD174</f>
        <v>0</v>
      </c>
    </row>
    <row r="175" spans="1:31">
      <c r="A175" s="1609">
        <v>169</v>
      </c>
      <c r="B175" s="1618" t="s">
        <v>1154</v>
      </c>
      <c r="C175" s="1579" t="s">
        <v>1542</v>
      </c>
      <c r="D175" s="1618" t="s">
        <v>1022</v>
      </c>
      <c r="E175" s="1581"/>
      <c r="F175" s="1581"/>
      <c r="G175" s="1581"/>
      <c r="H175" s="1581"/>
      <c r="I175" s="1581"/>
      <c r="J175" s="1722"/>
      <c r="K175" s="1581"/>
      <c r="L175" s="1727"/>
      <c r="M175" s="1581">
        <f>750</f>
        <v>750</v>
      </c>
      <c r="N175" s="1581">
        <v>787.5</v>
      </c>
      <c r="O175" s="1581">
        <v>765</v>
      </c>
      <c r="P175" s="1581"/>
      <c r="Q175" s="1581"/>
      <c r="R175" s="1581"/>
      <c r="S175" s="1581"/>
      <c r="T175" s="1581"/>
      <c r="U175" s="1581"/>
      <c r="X175" s="1580">
        <f t="shared" si="11"/>
        <v>750</v>
      </c>
      <c r="Y175" s="1580">
        <f t="shared" si="10"/>
        <v>802.5</v>
      </c>
      <c r="Z175" s="1581">
        <v>802.5</v>
      </c>
      <c r="AA175" s="1730"/>
      <c r="AC175" s="1730"/>
      <c r="AD175" s="1581"/>
      <c r="AE175" s="1734"/>
    </row>
    <row r="176" spans="1:31" ht="51.75" customHeight="1">
      <c r="A176" s="1609">
        <v>170</v>
      </c>
      <c r="B176" s="1620" t="s">
        <v>1543</v>
      </c>
      <c r="C176" s="1579" t="s">
        <v>1544</v>
      </c>
      <c r="D176" s="1620" t="s">
        <v>1268</v>
      </c>
      <c r="F176" s="1581"/>
      <c r="G176" s="1581"/>
      <c r="H176" s="1581"/>
      <c r="I176" s="1581"/>
      <c r="J176" s="1581">
        <f>750</f>
        <v>750</v>
      </c>
      <c r="K176" s="1581">
        <v>800</v>
      </c>
      <c r="L176" s="1727">
        <v>1500</v>
      </c>
      <c r="M176" s="1581"/>
      <c r="N176" s="1581"/>
      <c r="O176" s="1581"/>
      <c r="P176" s="1581"/>
      <c r="Q176" s="1581"/>
      <c r="R176" s="1581"/>
      <c r="S176" s="1581"/>
      <c r="T176" s="1581"/>
      <c r="U176" s="1581"/>
      <c r="X176" s="1580">
        <f t="shared" si="11"/>
        <v>750</v>
      </c>
      <c r="Y176" s="1580">
        <f t="shared" si="10"/>
        <v>802.5</v>
      </c>
      <c r="Z176" s="1581">
        <v>802.5</v>
      </c>
      <c r="AA176" s="1730">
        <f t="shared" si="12"/>
        <v>0</v>
      </c>
      <c r="AC176" s="1730"/>
      <c r="AD176" s="1581"/>
      <c r="AE176" s="1734"/>
    </row>
    <row r="177" spans="1:31" ht="21.75" customHeight="1">
      <c r="A177" s="1609">
        <v>171</v>
      </c>
      <c r="B177" s="1622" t="s">
        <v>1543</v>
      </c>
      <c r="C177" s="1579" t="s">
        <v>1545</v>
      </c>
      <c r="D177" s="1622" t="s">
        <v>1022</v>
      </c>
      <c r="E177" s="1581"/>
      <c r="F177" s="1581"/>
      <c r="G177" s="1581"/>
      <c r="H177" s="1581"/>
      <c r="I177" s="1581"/>
      <c r="J177" s="1722"/>
      <c r="K177" s="1581"/>
      <c r="L177" s="1727"/>
      <c r="M177" s="1581"/>
      <c r="N177" s="1581"/>
      <c r="O177" s="1581"/>
      <c r="P177" s="1581">
        <f>1100</f>
        <v>1100</v>
      </c>
      <c r="Q177" s="1581">
        <v>1300</v>
      </c>
      <c r="R177" s="1581">
        <v>1400</v>
      </c>
      <c r="S177" s="1581"/>
      <c r="T177" s="1581"/>
      <c r="U177" s="1581"/>
      <c r="X177" s="1580">
        <f t="shared" si="11"/>
        <v>1100</v>
      </c>
      <c r="Y177" s="1580">
        <f t="shared" si="10"/>
        <v>1177</v>
      </c>
      <c r="Z177" s="1610">
        <v>1177</v>
      </c>
      <c r="AA177" s="1730">
        <f t="shared" si="12"/>
        <v>0</v>
      </c>
      <c r="AC177" s="1730"/>
      <c r="AD177" s="1581"/>
      <c r="AE177" s="1734"/>
    </row>
    <row r="178" spans="1:31" ht="63.75">
      <c r="A178" s="1609">
        <v>172</v>
      </c>
      <c r="B178" s="1622" t="s">
        <v>1546</v>
      </c>
      <c r="C178" s="1653" t="s">
        <v>1547</v>
      </c>
      <c r="D178" s="1622" t="s">
        <v>1022</v>
      </c>
      <c r="E178" s="1581"/>
      <c r="F178" s="1581"/>
      <c r="G178" s="1581"/>
      <c r="H178" s="1581"/>
      <c r="I178" s="1581"/>
      <c r="J178" s="1722"/>
      <c r="K178" s="1581"/>
      <c r="L178" s="1727"/>
      <c r="M178" s="1581"/>
      <c r="N178" s="1581"/>
      <c r="O178" s="1581"/>
      <c r="P178" s="1581">
        <f>20</f>
        <v>20</v>
      </c>
      <c r="Q178" s="1581">
        <v>25</v>
      </c>
      <c r="R178" s="1581">
        <v>29</v>
      </c>
      <c r="S178" s="1581"/>
      <c r="T178" s="1581"/>
      <c r="U178" s="1581"/>
      <c r="X178" s="1580">
        <f t="shared" si="11"/>
        <v>20</v>
      </c>
      <c r="Y178" s="1580">
        <f t="shared" si="10"/>
        <v>21.400000000000002</v>
      </c>
      <c r="Z178" s="1581">
        <v>21.4</v>
      </c>
      <c r="AA178" s="1730">
        <f t="shared" si="12"/>
        <v>0</v>
      </c>
      <c r="AC178" s="1730"/>
      <c r="AD178" s="1581"/>
      <c r="AE178" s="1734"/>
    </row>
    <row r="179" spans="1:31">
      <c r="A179" s="1609">
        <v>173</v>
      </c>
      <c r="B179" s="1620" t="s">
        <v>1549</v>
      </c>
      <c r="C179" s="1579" t="s">
        <v>1550</v>
      </c>
      <c r="D179" s="1620" t="s">
        <v>1268</v>
      </c>
      <c r="E179" s="1581"/>
      <c r="F179" s="1581"/>
      <c r="G179" s="1581"/>
      <c r="H179" s="1581"/>
      <c r="I179" s="1581"/>
      <c r="J179" s="1722"/>
      <c r="K179" s="1581"/>
      <c r="L179" s="1727"/>
      <c r="M179" s="1581"/>
      <c r="N179" s="1581"/>
      <c r="O179" s="1581"/>
      <c r="P179" s="1581"/>
      <c r="Q179" s="1581"/>
      <c r="R179" s="1581"/>
      <c r="S179" s="1581"/>
      <c r="T179" s="1581"/>
      <c r="U179" s="1581"/>
      <c r="X179" s="1580">
        <f t="shared" si="11"/>
        <v>0</v>
      </c>
      <c r="Y179" s="1580">
        <f t="shared" si="10"/>
        <v>0</v>
      </c>
      <c r="Z179" s="1581"/>
      <c r="AA179" s="1730">
        <f t="shared" si="12"/>
        <v>0</v>
      </c>
      <c r="AC179" s="1730">
        <f t="shared" si="13"/>
        <v>0</v>
      </c>
      <c r="AD179" s="1581"/>
      <c r="AE179" s="1734">
        <f>X179-AD176</f>
        <v>0</v>
      </c>
    </row>
    <row r="180" spans="1:31">
      <c r="A180" s="1609">
        <v>174</v>
      </c>
      <c r="B180" s="1056" t="s">
        <v>1551</v>
      </c>
      <c r="C180" s="917" t="s">
        <v>1552</v>
      </c>
      <c r="D180" s="1609" t="s">
        <v>1022</v>
      </c>
      <c r="E180" s="1581"/>
      <c r="F180" s="1610"/>
      <c r="G180" s="1610"/>
      <c r="H180" s="1581"/>
      <c r="I180" s="1581"/>
      <c r="J180" s="1723">
        <f>365</f>
        <v>365</v>
      </c>
      <c r="K180" s="1581">
        <v>500</v>
      </c>
      <c r="L180" s="1727">
        <v>550</v>
      </c>
      <c r="M180" s="1581"/>
      <c r="N180" s="1581"/>
      <c r="O180" s="1581"/>
      <c r="P180" s="1581"/>
      <c r="Q180" s="1581"/>
      <c r="R180" s="1581"/>
      <c r="S180" s="1581"/>
      <c r="T180" s="1581"/>
      <c r="U180" s="1581"/>
      <c r="X180" s="1580">
        <f t="shared" si="11"/>
        <v>365</v>
      </c>
      <c r="Y180" s="1580">
        <f t="shared" si="10"/>
        <v>390.55</v>
      </c>
      <c r="Z180" s="1581">
        <v>390.55</v>
      </c>
      <c r="AA180" s="1730">
        <f t="shared" si="12"/>
        <v>0</v>
      </c>
      <c r="AB180" s="1580">
        <v>365</v>
      </c>
      <c r="AC180" s="1730">
        <f t="shared" si="13"/>
        <v>0</v>
      </c>
      <c r="AD180" s="1610">
        <f>365</f>
        <v>365</v>
      </c>
      <c r="AE180" s="1734">
        <f>X180-AD180</f>
        <v>0</v>
      </c>
    </row>
    <row r="181" spans="1:31">
      <c r="A181" s="1609">
        <v>175</v>
      </c>
      <c r="B181" s="1620" t="s">
        <v>1553</v>
      </c>
      <c r="C181" s="1579" t="s">
        <v>1554</v>
      </c>
      <c r="D181" s="1620" t="s">
        <v>1022</v>
      </c>
      <c r="E181" s="1581"/>
      <c r="F181" s="1581"/>
      <c r="G181" s="1581"/>
      <c r="H181" s="1581"/>
      <c r="I181" s="1581"/>
      <c r="J181" s="1722">
        <f>25</f>
        <v>25</v>
      </c>
      <c r="K181" s="1581">
        <v>50</v>
      </c>
      <c r="L181" s="1727">
        <v>60</v>
      </c>
      <c r="M181" s="1581"/>
      <c r="N181" s="1581"/>
      <c r="O181" s="1581"/>
      <c r="P181" s="1581"/>
      <c r="Q181" s="1581"/>
      <c r="R181" s="1581"/>
      <c r="S181" s="1581"/>
      <c r="T181" s="1581"/>
      <c r="U181" s="1581"/>
      <c r="X181" s="1580">
        <f t="shared" si="11"/>
        <v>25</v>
      </c>
      <c r="Y181" s="1580">
        <f t="shared" si="10"/>
        <v>26.75</v>
      </c>
      <c r="Z181" s="1581">
        <v>26.75</v>
      </c>
      <c r="AA181" s="1730">
        <f t="shared" si="12"/>
        <v>0</v>
      </c>
      <c r="AC181" s="1730"/>
      <c r="AD181" s="1610"/>
      <c r="AE181" s="1734"/>
    </row>
    <row r="182" spans="1:31">
      <c r="A182" s="1609">
        <v>176</v>
      </c>
      <c r="B182" s="1625" t="s">
        <v>1555</v>
      </c>
      <c r="C182" s="1579" t="s">
        <v>1556</v>
      </c>
      <c r="D182" s="1610" t="s">
        <v>1290</v>
      </c>
      <c r="E182" s="1581"/>
      <c r="F182" s="1581"/>
      <c r="G182" s="1581"/>
      <c r="H182" s="1581"/>
      <c r="I182" s="1581"/>
      <c r="J182" s="1722">
        <f>260</f>
        <v>260</v>
      </c>
      <c r="K182" s="1581">
        <v>300</v>
      </c>
      <c r="L182" s="1727">
        <v>310</v>
      </c>
      <c r="M182" s="1581"/>
      <c r="N182" s="1581"/>
      <c r="O182" s="1581"/>
      <c r="P182" s="1581"/>
      <c r="Q182" s="1581"/>
      <c r="R182" s="1581"/>
      <c r="S182" s="1581"/>
      <c r="T182" s="1581"/>
      <c r="U182" s="1581"/>
      <c r="X182" s="1580">
        <f t="shared" si="11"/>
        <v>260</v>
      </c>
      <c r="Y182" s="1580">
        <f t="shared" si="10"/>
        <v>278.2</v>
      </c>
      <c r="Z182" s="1580">
        <f>Y182</f>
        <v>278.2</v>
      </c>
      <c r="AA182" s="1730">
        <f t="shared" si="12"/>
        <v>0</v>
      </c>
      <c r="AB182" s="1580">
        <v>260</v>
      </c>
      <c r="AC182" s="1730">
        <f t="shared" si="13"/>
        <v>0</v>
      </c>
      <c r="AD182" s="1581">
        <f>260</f>
        <v>260</v>
      </c>
      <c r="AE182" s="1734">
        <f t="shared" ref="AE182:AE211" si="14">X182-AD182</f>
        <v>0</v>
      </c>
    </row>
    <row r="183" spans="1:31">
      <c r="A183" s="1609">
        <v>177</v>
      </c>
      <c r="B183" s="1625" t="s">
        <v>1555</v>
      </c>
      <c r="C183" s="1579" t="s">
        <v>1557</v>
      </c>
      <c r="D183" s="1610" t="s">
        <v>1290</v>
      </c>
      <c r="E183" s="1581"/>
      <c r="F183" s="1581"/>
      <c r="G183" s="1581"/>
      <c r="H183" s="1581"/>
      <c r="I183" s="1581"/>
      <c r="J183" s="1722">
        <f>250</f>
        <v>250</v>
      </c>
      <c r="K183" s="1581">
        <v>300</v>
      </c>
      <c r="L183" s="1727">
        <v>250</v>
      </c>
      <c r="M183" s="1581"/>
      <c r="N183" s="1581"/>
      <c r="O183" s="1581"/>
      <c r="P183" s="1581"/>
      <c r="Q183" s="1581"/>
      <c r="R183" s="1581"/>
      <c r="S183" s="1581"/>
      <c r="T183" s="1581"/>
      <c r="U183" s="1581"/>
      <c r="X183" s="1580">
        <f t="shared" si="11"/>
        <v>250</v>
      </c>
      <c r="Y183" s="1580">
        <f t="shared" si="10"/>
        <v>267.5</v>
      </c>
      <c r="Z183" s="1580">
        <f>Y183</f>
        <v>267.5</v>
      </c>
      <c r="AA183" s="1730">
        <f t="shared" si="12"/>
        <v>0</v>
      </c>
      <c r="AB183" s="1580">
        <v>250</v>
      </c>
      <c r="AC183" s="1730">
        <f t="shared" si="13"/>
        <v>0</v>
      </c>
      <c r="AD183" s="1581">
        <f>250</f>
        <v>250</v>
      </c>
      <c r="AE183" s="1734">
        <f t="shared" si="14"/>
        <v>0</v>
      </c>
    </row>
    <row r="184" spans="1:31">
      <c r="A184" s="1609">
        <v>178</v>
      </c>
      <c r="B184" s="1618" t="s">
        <v>1558</v>
      </c>
      <c r="C184" s="1579" t="s">
        <v>1559</v>
      </c>
      <c r="D184" s="1618" t="s">
        <v>1022</v>
      </c>
      <c r="E184" s="1581"/>
      <c r="F184" s="1581"/>
      <c r="G184" s="1581"/>
      <c r="H184" s="1581"/>
      <c r="I184" s="1581"/>
      <c r="J184" s="1722"/>
      <c r="K184" s="1581"/>
      <c r="L184" s="1727"/>
      <c r="M184" s="1581">
        <f>150</f>
        <v>150</v>
      </c>
      <c r="N184" s="1581">
        <v>157.5</v>
      </c>
      <c r="O184" s="1581">
        <v>153</v>
      </c>
      <c r="P184" s="1581"/>
      <c r="Q184" s="1581"/>
      <c r="R184" s="1581"/>
      <c r="S184" s="1581"/>
      <c r="T184" s="1581"/>
      <c r="U184" s="1581"/>
      <c r="X184" s="1580">
        <f t="shared" si="11"/>
        <v>150</v>
      </c>
      <c r="Y184" s="1580">
        <f t="shared" si="10"/>
        <v>160.5</v>
      </c>
      <c r="Z184" s="1610"/>
      <c r="AA184" s="1730"/>
      <c r="AC184" s="1730"/>
      <c r="AD184" s="1581"/>
      <c r="AE184" s="1734"/>
    </row>
    <row r="185" spans="1:31">
      <c r="A185" s="1609">
        <v>179</v>
      </c>
      <c r="B185" s="1618" t="s">
        <v>1560</v>
      </c>
      <c r="C185" s="1579" t="s">
        <v>1561</v>
      </c>
      <c r="D185" s="1618" t="s">
        <v>1022</v>
      </c>
      <c r="E185" s="1581">
        <f>1500</f>
        <v>1500</v>
      </c>
      <c r="F185" s="1581"/>
      <c r="G185" s="1581"/>
      <c r="H185" s="1581">
        <v>2100</v>
      </c>
      <c r="I185" s="1581">
        <v>1650</v>
      </c>
      <c r="J185" s="1722"/>
      <c r="K185" s="1581"/>
      <c r="L185" s="1727"/>
      <c r="M185" s="1581"/>
      <c r="N185" s="1581"/>
      <c r="O185" s="1581"/>
      <c r="P185" s="1581"/>
      <c r="Q185" s="1581"/>
      <c r="R185" s="1581"/>
      <c r="S185" s="1581"/>
      <c r="T185" s="1581"/>
      <c r="U185" s="1581"/>
      <c r="X185" s="1580">
        <f t="shared" si="11"/>
        <v>1500</v>
      </c>
      <c r="Y185" s="1580">
        <f t="shared" si="10"/>
        <v>1605</v>
      </c>
      <c r="Z185" s="1581">
        <v>1605</v>
      </c>
      <c r="AA185" s="1730">
        <f t="shared" si="12"/>
        <v>0</v>
      </c>
      <c r="AB185" s="1580">
        <v>1500</v>
      </c>
      <c r="AC185" s="1730">
        <f t="shared" si="13"/>
        <v>0</v>
      </c>
      <c r="AD185" s="1581">
        <f>1500</f>
        <v>1500</v>
      </c>
      <c r="AE185" s="1734">
        <f t="shared" si="14"/>
        <v>0</v>
      </c>
    </row>
    <row r="186" spans="1:31">
      <c r="A186" s="1609">
        <v>180</v>
      </c>
      <c r="B186" s="1618" t="s">
        <v>1562</v>
      </c>
      <c r="C186" s="1579" t="s">
        <v>1563</v>
      </c>
      <c r="D186" s="1618" t="s">
        <v>1564</v>
      </c>
      <c r="E186" s="1581">
        <f>60</f>
        <v>60</v>
      </c>
      <c r="F186" s="1581"/>
      <c r="G186" s="1581"/>
      <c r="H186" s="1581">
        <v>84</v>
      </c>
      <c r="I186" s="1581">
        <v>66</v>
      </c>
      <c r="J186" s="1722"/>
      <c r="K186" s="1581"/>
      <c r="L186" s="1727"/>
      <c r="M186" s="1581"/>
      <c r="N186" s="1581"/>
      <c r="O186" s="1581"/>
      <c r="P186" s="1581"/>
      <c r="Q186" s="1581"/>
      <c r="R186" s="1581"/>
      <c r="S186" s="1581"/>
      <c r="T186" s="1581"/>
      <c r="U186" s="1581"/>
      <c r="X186" s="1580">
        <f t="shared" si="11"/>
        <v>60</v>
      </c>
      <c r="Y186" s="1580">
        <f t="shared" si="10"/>
        <v>64.2</v>
      </c>
      <c r="Z186" s="1581">
        <v>64.2</v>
      </c>
      <c r="AA186" s="1730">
        <f t="shared" si="12"/>
        <v>0</v>
      </c>
      <c r="AB186" s="1580">
        <v>60</v>
      </c>
      <c r="AC186" s="1730">
        <f t="shared" si="13"/>
        <v>0</v>
      </c>
      <c r="AD186" s="1581">
        <f>60</f>
        <v>60</v>
      </c>
      <c r="AE186" s="1734">
        <f t="shared" si="14"/>
        <v>0</v>
      </c>
    </row>
    <row r="187" spans="1:31" ht="0.75" customHeight="1">
      <c r="A187" s="1609"/>
      <c r="B187" s="1618"/>
      <c r="D187" s="1618" t="s">
        <v>1565</v>
      </c>
      <c r="E187" s="1581"/>
      <c r="F187" s="1581"/>
      <c r="G187" s="1581"/>
      <c r="H187" s="1581"/>
      <c r="I187" s="1581"/>
      <c r="J187" s="1722"/>
      <c r="K187" s="1581"/>
      <c r="L187" s="1727"/>
      <c r="M187" s="1581"/>
      <c r="N187" s="1581"/>
      <c r="O187" s="1581"/>
      <c r="P187" s="1581"/>
      <c r="Q187" s="1581"/>
      <c r="R187" s="1581"/>
      <c r="S187" s="1581"/>
      <c r="T187" s="1581"/>
      <c r="U187" s="1581"/>
      <c r="X187" s="1580">
        <f t="shared" si="11"/>
        <v>0</v>
      </c>
      <c r="Y187" s="1580">
        <f t="shared" si="10"/>
        <v>0</v>
      </c>
      <c r="Z187" s="1581">
        <f>250*1.07</f>
        <v>267.5</v>
      </c>
      <c r="AA187" s="1730">
        <f t="shared" si="12"/>
        <v>-267.5</v>
      </c>
      <c r="AC187" s="1730">
        <f t="shared" si="13"/>
        <v>0</v>
      </c>
      <c r="AD187" s="1581"/>
      <c r="AE187" s="1734">
        <f t="shared" si="14"/>
        <v>0</v>
      </c>
    </row>
    <row r="188" spans="1:31" ht="25.5">
      <c r="A188" s="1609">
        <v>181</v>
      </c>
      <c r="B188" s="1619" t="s">
        <v>1566</v>
      </c>
      <c r="C188" s="1579" t="s">
        <v>1567</v>
      </c>
      <c r="D188" s="1619" t="s">
        <v>1565</v>
      </c>
      <c r="E188" s="1581"/>
      <c r="F188" s="1609"/>
      <c r="G188" s="1609">
        <f>3000</f>
        <v>3000</v>
      </c>
      <c r="H188" s="1581">
        <v>4200</v>
      </c>
      <c r="I188" s="1581">
        <v>3900</v>
      </c>
      <c r="J188" s="1722"/>
      <c r="K188" s="1581"/>
      <c r="L188" s="1727"/>
      <c r="M188" s="1581"/>
      <c r="N188" s="1581"/>
      <c r="O188" s="1581"/>
      <c r="P188" s="1581"/>
      <c r="Q188" s="1581"/>
      <c r="R188" s="1581"/>
      <c r="S188" s="1581"/>
      <c r="T188" s="1581"/>
      <c r="U188" s="1581"/>
      <c r="X188" s="1580">
        <f t="shared" si="11"/>
        <v>3000</v>
      </c>
      <c r="Y188" s="1580">
        <f t="shared" si="10"/>
        <v>3210</v>
      </c>
      <c r="Z188" s="1581">
        <v>3210</v>
      </c>
      <c r="AA188" s="1730">
        <f t="shared" si="12"/>
        <v>0</v>
      </c>
      <c r="AB188" s="1580">
        <v>3000</v>
      </c>
      <c r="AC188" s="1730">
        <f t="shared" si="13"/>
        <v>0</v>
      </c>
      <c r="AD188" s="1609">
        <f>3000</f>
        <v>3000</v>
      </c>
      <c r="AE188" s="1734">
        <f t="shared" si="14"/>
        <v>0</v>
      </c>
    </row>
    <row r="189" spans="1:31" ht="38.25" hidden="1">
      <c r="A189" s="1609">
        <v>178</v>
      </c>
      <c r="B189" s="1618" t="s">
        <v>1568</v>
      </c>
      <c r="C189" s="1579" t="s">
        <v>1569</v>
      </c>
      <c r="D189" s="1618" t="s">
        <v>1564</v>
      </c>
      <c r="E189" s="1581"/>
      <c r="F189" s="1581"/>
      <c r="G189" s="1581"/>
      <c r="H189" s="1581"/>
      <c r="I189" s="1581"/>
      <c r="J189" s="1722"/>
      <c r="K189" s="1581"/>
      <c r="L189" s="1727"/>
      <c r="M189" s="1581"/>
      <c r="N189" s="1581"/>
      <c r="O189" s="1581"/>
      <c r="P189" s="1581"/>
      <c r="Q189" s="1581"/>
      <c r="R189" s="1581"/>
      <c r="S189" s="1581"/>
      <c r="T189" s="1581"/>
      <c r="U189" s="1581"/>
      <c r="X189" s="1580">
        <f t="shared" si="11"/>
        <v>0</v>
      </c>
      <c r="Y189" s="1580">
        <f t="shared" si="10"/>
        <v>0</v>
      </c>
      <c r="Z189" s="1581">
        <f>1500*1.07</f>
        <v>1605</v>
      </c>
      <c r="AA189" s="1730">
        <f t="shared" si="12"/>
        <v>-1605</v>
      </c>
      <c r="AC189" s="1730">
        <f t="shared" si="13"/>
        <v>0</v>
      </c>
      <c r="AD189" s="1581"/>
      <c r="AE189" s="1734">
        <f t="shared" si="14"/>
        <v>0</v>
      </c>
    </row>
    <row r="190" spans="1:31" ht="25.5">
      <c r="A190" s="1609">
        <v>182</v>
      </c>
      <c r="B190" s="1618" t="s">
        <v>1568</v>
      </c>
      <c r="C190" s="1579" t="s">
        <v>1570</v>
      </c>
      <c r="D190" s="1610" t="s">
        <v>1564</v>
      </c>
      <c r="E190" s="1581">
        <f>220</f>
        <v>220</v>
      </c>
      <c r="F190" s="1581"/>
      <c r="G190" s="1581"/>
      <c r="H190" s="1581">
        <v>308</v>
      </c>
      <c r="I190" s="1581">
        <v>242</v>
      </c>
      <c r="J190" s="1722"/>
      <c r="K190" s="1581"/>
      <c r="L190" s="1727"/>
      <c r="M190" s="1581"/>
      <c r="N190" s="1581"/>
      <c r="O190" s="1581"/>
      <c r="P190" s="1581"/>
      <c r="Q190" s="1581"/>
      <c r="R190" s="1581"/>
      <c r="S190" s="1581"/>
      <c r="T190" s="1581"/>
      <c r="U190" s="1581"/>
      <c r="X190" s="1580">
        <f t="shared" si="11"/>
        <v>220</v>
      </c>
      <c r="Y190" s="1580">
        <f t="shared" si="10"/>
        <v>235.4</v>
      </c>
      <c r="Z190" s="1580">
        <f>Y190</f>
        <v>235.4</v>
      </c>
      <c r="AA190" s="1730">
        <f t="shared" si="12"/>
        <v>0</v>
      </c>
      <c r="AB190" s="1580">
        <v>220</v>
      </c>
      <c r="AC190" s="1730">
        <f t="shared" si="13"/>
        <v>0</v>
      </c>
      <c r="AD190" s="1581">
        <f>220</f>
        <v>220</v>
      </c>
      <c r="AE190" s="1734">
        <f t="shared" si="14"/>
        <v>0</v>
      </c>
    </row>
    <row r="191" spans="1:31" hidden="1">
      <c r="A191" s="1581"/>
      <c r="B191" s="1056" t="s">
        <v>1571</v>
      </c>
      <c r="C191" s="917" t="s">
        <v>1572</v>
      </c>
      <c r="D191" s="1609" t="s">
        <v>1022</v>
      </c>
      <c r="E191" s="1610"/>
      <c r="F191" s="1610"/>
      <c r="G191" s="1610"/>
      <c r="H191" s="1581"/>
      <c r="I191" s="1581"/>
      <c r="J191" s="1722"/>
      <c r="K191" s="1581"/>
      <c r="L191" s="1727"/>
      <c r="M191" s="1581"/>
      <c r="N191" s="1581"/>
      <c r="O191" s="1581"/>
      <c r="P191" s="1581"/>
      <c r="Q191" s="1581"/>
      <c r="R191" s="1581"/>
      <c r="S191" s="1581"/>
      <c r="T191" s="1581"/>
      <c r="U191" s="1581"/>
      <c r="X191" s="1580">
        <f t="shared" si="11"/>
        <v>0</v>
      </c>
      <c r="Y191" s="1580">
        <f t="shared" si="10"/>
        <v>0</v>
      </c>
      <c r="Z191" s="1580">
        <f>Y191*1.07</f>
        <v>0</v>
      </c>
      <c r="AA191" s="1730">
        <f t="shared" si="12"/>
        <v>0</v>
      </c>
      <c r="AC191" s="1730">
        <f t="shared" si="13"/>
        <v>0</v>
      </c>
      <c r="AD191" s="1610"/>
      <c r="AE191" s="1734">
        <f t="shared" si="14"/>
        <v>0</v>
      </c>
    </row>
    <row r="192" spans="1:31" ht="25.5">
      <c r="A192" s="1609">
        <v>183</v>
      </c>
      <c r="B192" s="1619" t="s">
        <v>1573</v>
      </c>
      <c r="C192" s="917" t="s">
        <v>1574</v>
      </c>
      <c r="D192" s="1619" t="s">
        <v>1268</v>
      </c>
      <c r="E192" s="1581"/>
      <c r="F192" s="1610"/>
      <c r="G192" s="1610">
        <f>1000</f>
        <v>1000</v>
      </c>
      <c r="H192" s="1581">
        <v>1400</v>
      </c>
      <c r="I192" s="1581">
        <v>1300</v>
      </c>
      <c r="J192" s="1722"/>
      <c r="K192" s="1581"/>
      <c r="L192" s="1727"/>
      <c r="M192" s="1581"/>
      <c r="N192" s="1581"/>
      <c r="O192" s="1581"/>
      <c r="P192" s="1581"/>
      <c r="Q192" s="1581"/>
      <c r="R192" s="1581"/>
      <c r="S192" s="1581"/>
      <c r="T192" s="1581"/>
      <c r="U192" s="1581"/>
      <c r="X192" s="1580">
        <f t="shared" si="11"/>
        <v>1000</v>
      </c>
      <c r="Y192" s="1580">
        <f t="shared" si="10"/>
        <v>1070</v>
      </c>
      <c r="Z192" s="1580">
        <f>Y192</f>
        <v>1070</v>
      </c>
      <c r="AA192" s="1730">
        <f t="shared" si="12"/>
        <v>0</v>
      </c>
      <c r="AB192" s="1580">
        <v>1000</v>
      </c>
      <c r="AC192" s="1730">
        <f t="shared" si="13"/>
        <v>0</v>
      </c>
      <c r="AD192" s="1610">
        <f>1000</f>
        <v>1000</v>
      </c>
      <c r="AE192" s="1734">
        <f t="shared" si="14"/>
        <v>0</v>
      </c>
    </row>
    <row r="193" spans="1:31" ht="25.5">
      <c r="A193" s="1609">
        <v>184</v>
      </c>
      <c r="B193" s="1619" t="s">
        <v>1573</v>
      </c>
      <c r="C193" s="917" t="s">
        <v>1575</v>
      </c>
      <c r="D193" s="1619" t="s">
        <v>1268</v>
      </c>
      <c r="E193" s="1581"/>
      <c r="F193" s="1610"/>
      <c r="G193" s="1610">
        <f>1000</f>
        <v>1000</v>
      </c>
      <c r="H193" s="1581">
        <v>1400</v>
      </c>
      <c r="I193" s="1581">
        <v>1300</v>
      </c>
      <c r="J193" s="1722"/>
      <c r="K193" s="1581"/>
      <c r="L193" s="1727"/>
      <c r="M193" s="1581"/>
      <c r="N193" s="1581"/>
      <c r="O193" s="1581"/>
      <c r="P193" s="1581"/>
      <c r="Q193" s="1581"/>
      <c r="R193" s="1581"/>
      <c r="S193" s="1581"/>
      <c r="T193" s="1581"/>
      <c r="U193" s="1581"/>
      <c r="X193" s="1580">
        <f t="shared" si="11"/>
        <v>1000</v>
      </c>
      <c r="Y193" s="1580">
        <f t="shared" si="10"/>
        <v>1070</v>
      </c>
      <c r="Z193" s="1580">
        <f>Y193</f>
        <v>1070</v>
      </c>
      <c r="AA193" s="1730">
        <f t="shared" si="12"/>
        <v>0</v>
      </c>
      <c r="AB193" s="1580">
        <v>1000</v>
      </c>
      <c r="AC193" s="1730">
        <f t="shared" si="13"/>
        <v>0</v>
      </c>
      <c r="AD193" s="1610">
        <f>1000</f>
        <v>1000</v>
      </c>
      <c r="AE193" s="1734">
        <f t="shared" si="14"/>
        <v>0</v>
      </c>
    </row>
    <row r="194" spans="1:31" ht="25.5">
      <c r="A194" s="1609">
        <v>185</v>
      </c>
      <c r="B194" s="1619" t="s">
        <v>1573</v>
      </c>
      <c r="C194" s="917" t="s">
        <v>1576</v>
      </c>
      <c r="D194" s="1619" t="s">
        <v>1268</v>
      </c>
      <c r="E194" s="1581"/>
      <c r="F194" s="1610"/>
      <c r="G194" s="1610">
        <f>1000</f>
        <v>1000</v>
      </c>
      <c r="H194" s="1581">
        <v>1400</v>
      </c>
      <c r="I194" s="1581">
        <v>1300</v>
      </c>
      <c r="J194" s="1722"/>
      <c r="K194" s="1581"/>
      <c r="L194" s="1727"/>
      <c r="M194" s="1581"/>
      <c r="N194" s="1581"/>
      <c r="O194" s="1581"/>
      <c r="P194" s="1581"/>
      <c r="Q194" s="1581"/>
      <c r="R194" s="1581"/>
      <c r="S194" s="1581"/>
      <c r="T194" s="1581"/>
      <c r="U194" s="1581"/>
      <c r="X194" s="1580">
        <f t="shared" si="11"/>
        <v>1000</v>
      </c>
      <c r="Y194" s="1580">
        <f t="shared" si="10"/>
        <v>1070</v>
      </c>
      <c r="Z194" s="1580">
        <f>Y194</f>
        <v>1070</v>
      </c>
      <c r="AA194" s="1730">
        <f t="shared" si="12"/>
        <v>0</v>
      </c>
      <c r="AB194" s="1580">
        <v>1000</v>
      </c>
      <c r="AC194" s="1730">
        <f t="shared" si="13"/>
        <v>0</v>
      </c>
      <c r="AD194" s="1610">
        <f>1000</f>
        <v>1000</v>
      </c>
      <c r="AE194" s="1734">
        <f t="shared" si="14"/>
        <v>0</v>
      </c>
    </row>
    <row r="195" spans="1:31" ht="25.5">
      <c r="A195" s="1609">
        <v>186</v>
      </c>
      <c r="B195" s="1618" t="s">
        <v>1577</v>
      </c>
      <c r="C195" s="1579" t="s">
        <v>1578</v>
      </c>
      <c r="D195" s="1622" t="s">
        <v>1579</v>
      </c>
      <c r="E195" s="1581"/>
      <c r="F195" s="1581"/>
      <c r="G195" s="1581"/>
      <c r="H195" s="1581"/>
      <c r="I195" s="1581"/>
      <c r="J195" s="1722"/>
      <c r="K195" s="1581"/>
      <c r="L195" s="1727"/>
      <c r="M195" s="1581"/>
      <c r="N195" s="1581"/>
      <c r="O195" s="1581"/>
      <c r="P195" s="1581">
        <f>1300</f>
        <v>1300</v>
      </c>
      <c r="Q195" s="1581">
        <v>1400</v>
      </c>
      <c r="R195" s="1581">
        <v>1500</v>
      </c>
      <c r="S195" s="1581"/>
      <c r="T195" s="1581"/>
      <c r="U195" s="1581"/>
      <c r="X195" s="1580">
        <f t="shared" si="11"/>
        <v>1300</v>
      </c>
      <c r="Y195" s="1580">
        <f t="shared" si="10"/>
        <v>1391</v>
      </c>
      <c r="Z195" s="1610">
        <v>1391</v>
      </c>
      <c r="AA195" s="1730">
        <f t="shared" si="12"/>
        <v>0</v>
      </c>
      <c r="AC195" s="1730"/>
      <c r="AD195" s="1581"/>
      <c r="AE195" s="1734"/>
    </row>
    <row r="196" spans="1:31">
      <c r="A196" s="1609">
        <v>187</v>
      </c>
      <c r="B196" s="1618" t="s">
        <v>1580</v>
      </c>
      <c r="C196" s="1579"/>
      <c r="D196" s="1618" t="s">
        <v>1022</v>
      </c>
      <c r="E196" s="1581"/>
      <c r="F196" s="1581"/>
      <c r="G196" s="1581"/>
      <c r="H196" s="1581"/>
      <c r="I196" s="1581"/>
      <c r="J196" s="1722"/>
      <c r="K196" s="1581"/>
      <c r="L196" s="1727"/>
      <c r="M196" s="1581">
        <f>650</f>
        <v>650</v>
      </c>
      <c r="N196" s="1581">
        <v>682.5</v>
      </c>
      <c r="O196" s="1581">
        <v>663</v>
      </c>
      <c r="P196" s="1581"/>
      <c r="Q196" s="1581"/>
      <c r="R196" s="1581"/>
      <c r="S196" s="1581"/>
      <c r="T196" s="1581"/>
      <c r="U196" s="1581"/>
      <c r="X196" s="1580">
        <f t="shared" si="11"/>
        <v>650</v>
      </c>
      <c r="Y196" s="1580">
        <f t="shared" si="10"/>
        <v>695.5</v>
      </c>
      <c r="Z196" s="1610">
        <v>695.5</v>
      </c>
      <c r="AA196" s="1730"/>
      <c r="AC196" s="1730"/>
      <c r="AD196" s="1581"/>
      <c r="AE196" s="1734"/>
    </row>
    <row r="197" spans="1:31">
      <c r="A197" s="1609">
        <v>188</v>
      </c>
      <c r="B197" s="1653" t="s">
        <v>1581</v>
      </c>
      <c r="C197" s="1647" t="s">
        <v>1582</v>
      </c>
      <c r="D197" s="1618" t="s">
        <v>1022</v>
      </c>
      <c r="E197" s="1581"/>
      <c r="F197" s="1581"/>
      <c r="G197" s="1581"/>
      <c r="H197" s="1581"/>
      <c r="I197" s="1581"/>
      <c r="J197" s="1722"/>
      <c r="K197" s="1581"/>
      <c r="L197" s="1727"/>
      <c r="M197" s="1581">
        <f>1000</f>
        <v>1000</v>
      </c>
      <c r="N197" s="1581">
        <v>1050</v>
      </c>
      <c r="O197" s="1581">
        <v>1020</v>
      </c>
      <c r="P197" s="1581"/>
      <c r="Q197" s="1581"/>
      <c r="R197" s="1581"/>
      <c r="S197" s="1581"/>
      <c r="T197" s="1581"/>
      <c r="U197" s="1581"/>
      <c r="X197" s="1580">
        <f t="shared" si="11"/>
        <v>1000</v>
      </c>
      <c r="Y197" s="1580">
        <f t="shared" si="10"/>
        <v>1070</v>
      </c>
      <c r="Z197" s="1610">
        <v>1070</v>
      </c>
      <c r="AA197" s="1730"/>
      <c r="AC197" s="1730"/>
      <c r="AD197" s="1581"/>
      <c r="AE197" s="1734"/>
    </row>
    <row r="198" spans="1:31">
      <c r="A198" s="1609">
        <v>189</v>
      </c>
      <c r="B198" s="1618" t="s">
        <v>1583</v>
      </c>
      <c r="C198" s="1579" t="s">
        <v>1584</v>
      </c>
      <c r="D198" s="1618" t="s">
        <v>1022</v>
      </c>
      <c r="E198" s="1581"/>
      <c r="F198" s="1581"/>
      <c r="G198" s="1581"/>
      <c r="H198" s="1581"/>
      <c r="I198" s="1581"/>
      <c r="J198" s="1722"/>
      <c r="K198" s="1581"/>
      <c r="L198" s="1727"/>
      <c r="M198" s="1581">
        <f>650</f>
        <v>650</v>
      </c>
      <c r="N198" s="1581">
        <v>682.5</v>
      </c>
      <c r="O198" s="1581">
        <v>663</v>
      </c>
      <c r="P198" s="1581"/>
      <c r="Q198" s="1581"/>
      <c r="R198" s="1581"/>
      <c r="S198" s="1581"/>
      <c r="T198" s="1581"/>
      <c r="U198" s="1581"/>
      <c r="X198" s="1580">
        <f t="shared" si="11"/>
        <v>650</v>
      </c>
      <c r="Y198" s="1580">
        <f t="shared" si="10"/>
        <v>695.5</v>
      </c>
      <c r="Z198" s="1610">
        <v>695.5</v>
      </c>
      <c r="AA198" s="1730"/>
      <c r="AC198" s="1730"/>
      <c r="AD198" s="1581"/>
      <c r="AE198" s="1734"/>
    </row>
    <row r="199" spans="1:31" ht="25.5">
      <c r="A199" s="1609">
        <v>190</v>
      </c>
      <c r="B199" s="1618" t="s">
        <v>1585</v>
      </c>
      <c r="C199" s="1579" t="s">
        <v>1586</v>
      </c>
      <c r="D199" s="1618" t="s">
        <v>1587</v>
      </c>
      <c r="E199" s="1581">
        <f>18000</f>
        <v>18000</v>
      </c>
      <c r="F199" s="1581"/>
      <c r="G199" s="1581"/>
      <c r="H199" s="1581">
        <v>25200</v>
      </c>
      <c r="I199" s="1581">
        <v>21600</v>
      </c>
      <c r="J199" s="1722"/>
      <c r="K199" s="1581"/>
      <c r="L199" s="1727"/>
      <c r="M199" s="1581"/>
      <c r="N199" s="1581"/>
      <c r="O199" s="1581"/>
      <c r="P199" s="1581"/>
      <c r="Q199" s="1581"/>
      <c r="R199" s="1581"/>
      <c r="S199" s="1581"/>
      <c r="T199" s="1581"/>
      <c r="U199" s="1581"/>
      <c r="X199" s="1580">
        <f t="shared" si="11"/>
        <v>18000</v>
      </c>
      <c r="Y199" s="1580">
        <f t="shared" si="10"/>
        <v>19260</v>
      </c>
      <c r="Z199" s="1581">
        <v>19260</v>
      </c>
      <c r="AA199" s="1730">
        <f t="shared" si="12"/>
        <v>0</v>
      </c>
      <c r="AB199" s="1580">
        <v>18000</v>
      </c>
      <c r="AC199" s="1730">
        <f t="shared" si="13"/>
        <v>0</v>
      </c>
      <c r="AD199" s="1581">
        <f>18000</f>
        <v>18000</v>
      </c>
      <c r="AE199" s="1734">
        <f t="shared" si="14"/>
        <v>0</v>
      </c>
    </row>
    <row r="200" spans="1:31">
      <c r="A200" s="1609">
        <v>191</v>
      </c>
      <c r="B200" s="1618" t="s">
        <v>1588</v>
      </c>
      <c r="C200" s="1579" t="s">
        <v>1589</v>
      </c>
      <c r="D200" s="1622" t="s">
        <v>1590</v>
      </c>
      <c r="E200" s="1581"/>
      <c r="F200" s="1581"/>
      <c r="G200" s="1581"/>
      <c r="H200" s="1581"/>
      <c r="I200" s="1581"/>
      <c r="J200" s="1722">
        <f>150</f>
        <v>150</v>
      </c>
      <c r="K200" s="1581">
        <v>150</v>
      </c>
      <c r="L200" s="1727">
        <v>150</v>
      </c>
      <c r="M200" s="1581"/>
      <c r="N200" s="1581"/>
      <c r="O200" s="1581"/>
      <c r="P200" s="1581"/>
      <c r="Q200" s="1581"/>
      <c r="R200" s="1581"/>
      <c r="S200" s="1581"/>
      <c r="T200" s="1581"/>
      <c r="U200" s="1581"/>
      <c r="X200" s="1580">
        <f t="shared" si="11"/>
        <v>150</v>
      </c>
      <c r="Y200" s="1580">
        <f t="shared" si="10"/>
        <v>160.5</v>
      </c>
      <c r="Z200" s="1581">
        <v>160.5</v>
      </c>
      <c r="AA200" s="1730">
        <f t="shared" si="12"/>
        <v>0</v>
      </c>
      <c r="AB200" s="1580">
        <v>150</v>
      </c>
      <c r="AC200" s="1730">
        <f t="shared" si="13"/>
        <v>0</v>
      </c>
      <c r="AD200" s="1581">
        <f>150</f>
        <v>150</v>
      </c>
      <c r="AE200" s="1734">
        <f t="shared" si="14"/>
        <v>0</v>
      </c>
    </row>
    <row r="201" spans="1:31" ht="25.5">
      <c r="A201" s="1609">
        <v>192</v>
      </c>
      <c r="B201" s="1622" t="s">
        <v>1591</v>
      </c>
      <c r="C201" s="1579" t="s">
        <v>1592</v>
      </c>
      <c r="D201" s="1622" t="s">
        <v>1290</v>
      </c>
      <c r="E201" s="1581">
        <f>700</f>
        <v>700</v>
      </c>
      <c r="F201" s="1581"/>
      <c r="G201" s="1581"/>
      <c r="H201" s="1581"/>
      <c r="I201" s="1581"/>
      <c r="J201" s="1722"/>
      <c r="K201" s="1581"/>
      <c r="L201" s="1727"/>
      <c r="M201" s="1581"/>
      <c r="N201" s="1581"/>
      <c r="O201" s="1581"/>
      <c r="P201" s="1581">
        <f>700</f>
        <v>700</v>
      </c>
      <c r="Q201" s="1581">
        <v>720</v>
      </c>
      <c r="R201" s="1581">
        <v>750</v>
      </c>
      <c r="S201" s="1581"/>
      <c r="T201" s="1581"/>
      <c r="U201" s="1581"/>
      <c r="X201" s="1580">
        <f t="shared" si="11"/>
        <v>700</v>
      </c>
      <c r="Y201" s="1580">
        <f t="shared" si="10"/>
        <v>749</v>
      </c>
      <c r="Z201" s="1581">
        <v>749</v>
      </c>
      <c r="AA201" s="1730">
        <f t="shared" si="12"/>
        <v>0</v>
      </c>
      <c r="AB201" s="1580">
        <v>150</v>
      </c>
      <c r="AC201" s="1730"/>
      <c r="AD201" s="1581"/>
      <c r="AE201" s="1734"/>
    </row>
    <row r="202" spans="1:31">
      <c r="A202" s="1609">
        <v>193</v>
      </c>
      <c r="B202" s="1622" t="s">
        <v>1594</v>
      </c>
      <c r="C202" s="1579" t="s">
        <v>1595</v>
      </c>
      <c r="D202" s="1622" t="s">
        <v>1022</v>
      </c>
      <c r="E202" s="1581"/>
      <c r="F202" s="1581"/>
      <c r="G202" s="1581"/>
      <c r="H202" s="1581"/>
      <c r="I202" s="1581"/>
      <c r="J202" s="1722"/>
      <c r="K202" s="1581"/>
      <c r="L202" s="1727"/>
      <c r="M202" s="1581"/>
      <c r="N202" s="1581"/>
      <c r="O202" s="1581"/>
      <c r="P202" s="1581">
        <f>9000</f>
        <v>9000</v>
      </c>
      <c r="Q202" s="1581">
        <v>9200</v>
      </c>
      <c r="R202" s="1581">
        <v>9300</v>
      </c>
      <c r="S202" s="1581"/>
      <c r="T202" s="1581"/>
      <c r="U202" s="1581"/>
      <c r="X202" s="1580">
        <f t="shared" si="11"/>
        <v>9000</v>
      </c>
      <c r="Y202" s="1580">
        <f t="shared" si="10"/>
        <v>9630</v>
      </c>
      <c r="Z202" s="1581">
        <v>9630</v>
      </c>
      <c r="AA202" s="1730">
        <f t="shared" si="12"/>
        <v>0</v>
      </c>
      <c r="AB202" s="1580">
        <v>150</v>
      </c>
      <c r="AC202" s="1730"/>
      <c r="AD202" s="1581"/>
      <c r="AE202" s="1734"/>
    </row>
    <row r="203" spans="1:31">
      <c r="A203" s="1609">
        <v>194</v>
      </c>
      <c r="B203" s="1618" t="s">
        <v>1596</v>
      </c>
      <c r="C203" s="1579" t="s">
        <v>1597</v>
      </c>
      <c r="D203" s="1618" t="s">
        <v>1268</v>
      </c>
      <c r="E203" s="1581"/>
      <c r="F203" s="1581">
        <f>1000</f>
        <v>1000</v>
      </c>
      <c r="G203" s="1581"/>
      <c r="H203" s="1581">
        <v>1400</v>
      </c>
      <c r="I203" s="1581">
        <v>1200</v>
      </c>
      <c r="J203" s="1722"/>
      <c r="K203" s="1581"/>
      <c r="L203" s="1727"/>
      <c r="M203" s="1581"/>
      <c r="N203" s="1581"/>
      <c r="O203" s="1581"/>
      <c r="P203" s="1581"/>
      <c r="Q203" s="1581"/>
      <c r="R203" s="1581"/>
      <c r="S203" s="1581"/>
      <c r="T203" s="1581"/>
      <c r="U203" s="1581"/>
      <c r="X203" s="1580">
        <f t="shared" si="11"/>
        <v>1000</v>
      </c>
      <c r="Y203" s="1580">
        <f t="shared" si="10"/>
        <v>1070</v>
      </c>
      <c r="Z203" s="1581">
        <v>1070</v>
      </c>
      <c r="AA203" s="1730">
        <f t="shared" si="12"/>
        <v>0</v>
      </c>
      <c r="AB203" s="1580">
        <v>1000</v>
      </c>
      <c r="AC203" s="1730">
        <f t="shared" si="13"/>
        <v>0</v>
      </c>
      <c r="AD203" s="1581">
        <f>1000</f>
        <v>1000</v>
      </c>
      <c r="AE203" s="1734">
        <f t="shared" si="14"/>
        <v>0</v>
      </c>
    </row>
    <row r="204" spans="1:31" ht="25.5">
      <c r="A204" s="1609">
        <v>195</v>
      </c>
      <c r="B204" s="1610" t="s">
        <v>1598</v>
      </c>
      <c r="C204" s="1579" t="s">
        <v>1599</v>
      </c>
      <c r="D204" s="1610" t="s">
        <v>1022</v>
      </c>
      <c r="E204" s="1581"/>
      <c r="F204" s="1581"/>
      <c r="G204" s="1581">
        <f>7000</f>
        <v>7000</v>
      </c>
      <c r="H204" s="1581">
        <v>9800</v>
      </c>
      <c r="I204" s="1581">
        <v>8400</v>
      </c>
      <c r="J204" s="1722"/>
      <c r="K204" s="1581"/>
      <c r="L204" s="1727"/>
      <c r="M204" s="1581"/>
      <c r="N204" s="1581"/>
      <c r="O204" s="1581"/>
      <c r="P204" s="1581"/>
      <c r="Q204" s="1581"/>
      <c r="R204" s="1581"/>
      <c r="S204" s="1581"/>
      <c r="T204" s="1581"/>
      <c r="U204" s="1581"/>
      <c r="X204" s="1580">
        <f t="shared" si="11"/>
        <v>7000</v>
      </c>
      <c r="Y204" s="1580">
        <f t="shared" ref="Y204:Y267" si="15">X204*1.07</f>
        <v>7490</v>
      </c>
      <c r="Z204" s="1581"/>
      <c r="AA204" s="1730"/>
      <c r="AB204" s="1580">
        <v>7000</v>
      </c>
      <c r="AC204" s="1730">
        <f t="shared" si="13"/>
        <v>0</v>
      </c>
      <c r="AD204" s="1581"/>
      <c r="AE204" s="1734"/>
    </row>
    <row r="205" spans="1:31">
      <c r="A205" s="1609"/>
      <c r="B205" s="1618" t="s">
        <v>1600</v>
      </c>
      <c r="C205" s="1579" t="s">
        <v>1601</v>
      </c>
      <c r="D205" s="1618" t="s">
        <v>1022</v>
      </c>
      <c r="E205" s="1581"/>
      <c r="F205" s="1581"/>
      <c r="G205" s="1581"/>
      <c r="H205" s="1581"/>
      <c r="I205" s="1581"/>
      <c r="J205" s="1722"/>
      <c r="K205" s="1581"/>
      <c r="L205" s="1727"/>
      <c r="M205" s="1581">
        <f>250</f>
        <v>250</v>
      </c>
      <c r="N205" s="1581">
        <v>262.5</v>
      </c>
      <c r="O205" s="1581">
        <v>255</v>
      </c>
      <c r="P205" s="1581"/>
      <c r="Q205" s="1581"/>
      <c r="R205" s="1581"/>
      <c r="S205" s="1581"/>
      <c r="T205" s="1581"/>
      <c r="U205" s="1581"/>
      <c r="X205" s="1580">
        <f t="shared" ref="X205:X268" si="16">MIN(E205:U205)</f>
        <v>250</v>
      </c>
      <c r="Y205" s="1580">
        <f t="shared" si="15"/>
        <v>267.5</v>
      </c>
      <c r="Z205" s="1581">
        <v>267.5</v>
      </c>
      <c r="AA205" s="1730">
        <f t="shared" si="12"/>
        <v>0</v>
      </c>
      <c r="AC205" s="1730"/>
      <c r="AD205" s="1581"/>
      <c r="AE205" s="1734"/>
    </row>
    <row r="206" spans="1:31">
      <c r="A206" s="1609">
        <v>197</v>
      </c>
      <c r="B206" s="1618" t="s">
        <v>1600</v>
      </c>
      <c r="C206" s="1579" t="s">
        <v>1602</v>
      </c>
      <c r="D206" s="1618" t="s">
        <v>1022</v>
      </c>
      <c r="E206" s="1581"/>
      <c r="F206" s="1581"/>
      <c r="G206" s="1581"/>
      <c r="H206" s="1581"/>
      <c r="I206" s="1581"/>
      <c r="J206" s="1722"/>
      <c r="K206" s="1581"/>
      <c r="L206" s="1727"/>
      <c r="M206" s="1581">
        <f>1000</f>
        <v>1000</v>
      </c>
      <c r="N206" s="1581">
        <v>1050</v>
      </c>
      <c r="O206" s="1581">
        <v>1020</v>
      </c>
      <c r="P206" s="1581"/>
      <c r="Q206" s="1581"/>
      <c r="R206" s="1581"/>
      <c r="S206" s="1581"/>
      <c r="T206" s="1581"/>
      <c r="U206" s="1581"/>
      <c r="X206" s="1580">
        <f t="shared" si="16"/>
        <v>1000</v>
      </c>
      <c r="Y206" s="1580">
        <f t="shared" si="15"/>
        <v>1070</v>
      </c>
      <c r="Z206" s="1581">
        <v>1070</v>
      </c>
      <c r="AA206" s="1730">
        <f t="shared" ref="AA206:AA269" si="17">Y206-Z206</f>
        <v>0</v>
      </c>
      <c r="AC206" s="1730"/>
      <c r="AD206" s="1581"/>
      <c r="AE206" s="1734"/>
    </row>
    <row r="207" spans="1:31" ht="15.75" customHeight="1">
      <c r="A207" s="1609">
        <v>198</v>
      </c>
      <c r="B207" s="1618" t="s">
        <v>1600</v>
      </c>
      <c r="C207" s="1579" t="s">
        <v>1603</v>
      </c>
      <c r="D207" s="1618" t="s">
        <v>1022</v>
      </c>
      <c r="E207" s="1581"/>
      <c r="F207" s="1581"/>
      <c r="G207" s="1581">
        <f>2000</f>
        <v>2000</v>
      </c>
      <c r="H207" s="1581">
        <v>2800</v>
      </c>
      <c r="I207" s="1581">
        <v>2600</v>
      </c>
      <c r="J207" s="1722"/>
      <c r="K207" s="1581"/>
      <c r="L207" s="1727"/>
      <c r="M207" s="1581"/>
      <c r="N207" s="1581"/>
      <c r="O207" s="1581"/>
      <c r="P207" s="1581"/>
      <c r="Q207" s="1581"/>
      <c r="R207" s="1581"/>
      <c r="S207" s="1581"/>
      <c r="T207" s="1581"/>
      <c r="U207" s="1581"/>
      <c r="X207" s="1580">
        <f t="shared" si="16"/>
        <v>2000</v>
      </c>
      <c r="Y207" s="1580">
        <f t="shared" si="15"/>
        <v>2140</v>
      </c>
      <c r="Z207" s="1581">
        <v>2140</v>
      </c>
      <c r="AA207" s="1730">
        <f t="shared" si="17"/>
        <v>0</v>
      </c>
      <c r="AB207" s="1580">
        <v>2000</v>
      </c>
      <c r="AC207" s="1730">
        <f t="shared" ref="AC207:AC268" si="18">X207-AB207</f>
        <v>0</v>
      </c>
      <c r="AD207" s="1581">
        <f>2000</f>
        <v>2000</v>
      </c>
      <c r="AE207" s="1734">
        <f t="shared" si="14"/>
        <v>0</v>
      </c>
    </row>
    <row r="208" spans="1:31" ht="38.25">
      <c r="A208" s="1609">
        <v>199</v>
      </c>
      <c r="B208" s="1619" t="s">
        <v>1604</v>
      </c>
      <c r="C208" s="917" t="s">
        <v>1605</v>
      </c>
      <c r="D208" s="1619" t="s">
        <v>1268</v>
      </c>
      <c r="E208" s="1581"/>
      <c r="F208" s="1610"/>
      <c r="G208" s="1610">
        <f>470</f>
        <v>470</v>
      </c>
      <c r="H208" s="1581">
        <v>658</v>
      </c>
      <c r="I208" s="1581">
        <v>564</v>
      </c>
      <c r="J208" s="1722"/>
      <c r="K208" s="1581"/>
      <c r="L208" s="1727"/>
      <c r="M208" s="1581"/>
      <c r="N208" s="1581"/>
      <c r="O208" s="1581"/>
      <c r="P208" s="1581"/>
      <c r="Q208" s="1581"/>
      <c r="R208" s="1581"/>
      <c r="S208" s="1581"/>
      <c r="T208" s="1581"/>
      <c r="U208" s="1581"/>
      <c r="X208" s="1580">
        <f t="shared" si="16"/>
        <v>470</v>
      </c>
      <c r="Y208" s="1580">
        <f t="shared" si="15"/>
        <v>502.90000000000003</v>
      </c>
      <c r="Z208" s="1580">
        <f>Y208</f>
        <v>502.90000000000003</v>
      </c>
      <c r="AA208" s="1730">
        <f t="shared" si="17"/>
        <v>0</v>
      </c>
      <c r="AB208" s="1580">
        <v>470</v>
      </c>
      <c r="AC208" s="1730">
        <f t="shared" si="18"/>
        <v>0</v>
      </c>
      <c r="AD208" s="1610">
        <f>470</f>
        <v>470</v>
      </c>
      <c r="AE208" s="1734">
        <f t="shared" si="14"/>
        <v>0</v>
      </c>
    </row>
    <row r="209" spans="1:31" ht="38.25">
      <c r="A209" s="1609">
        <v>200</v>
      </c>
      <c r="B209" s="1619" t="s">
        <v>1604</v>
      </c>
      <c r="C209" s="917" t="s">
        <v>1606</v>
      </c>
      <c r="D209" s="1619" t="s">
        <v>1268</v>
      </c>
      <c r="E209" s="1581"/>
      <c r="F209" s="1610"/>
      <c r="G209" s="1610">
        <f>670</f>
        <v>670</v>
      </c>
      <c r="H209" s="1581">
        <v>938</v>
      </c>
      <c r="I209" s="1581">
        <v>804</v>
      </c>
      <c r="J209" s="1722"/>
      <c r="K209" s="1581"/>
      <c r="L209" s="1727"/>
      <c r="M209" s="1581"/>
      <c r="N209" s="1581"/>
      <c r="O209" s="1581"/>
      <c r="P209" s="1581"/>
      <c r="Q209" s="1581"/>
      <c r="R209" s="1581"/>
      <c r="S209" s="1581"/>
      <c r="T209" s="1581"/>
      <c r="U209" s="1581"/>
      <c r="X209" s="1580">
        <f t="shared" si="16"/>
        <v>670</v>
      </c>
      <c r="Y209" s="1580">
        <f t="shared" si="15"/>
        <v>716.90000000000009</v>
      </c>
      <c r="Z209" s="1580">
        <f>Y209</f>
        <v>716.90000000000009</v>
      </c>
      <c r="AA209" s="1730">
        <f t="shared" si="17"/>
        <v>0</v>
      </c>
      <c r="AB209" s="1580">
        <v>670</v>
      </c>
      <c r="AC209" s="1730">
        <f t="shared" si="18"/>
        <v>0</v>
      </c>
      <c r="AD209" s="1610">
        <f>670</f>
        <v>670</v>
      </c>
      <c r="AE209" s="1734">
        <f t="shared" si="14"/>
        <v>0</v>
      </c>
    </row>
    <row r="210" spans="1:31">
      <c r="A210" s="1609">
        <v>201</v>
      </c>
      <c r="B210" s="1619" t="s">
        <v>1607</v>
      </c>
      <c r="C210" s="917" t="s">
        <v>1608</v>
      </c>
      <c r="D210" s="1619" t="s">
        <v>1268</v>
      </c>
      <c r="E210" s="1581"/>
      <c r="F210" s="1610"/>
      <c r="G210" s="1610">
        <f>1860</f>
        <v>1860</v>
      </c>
      <c r="H210" s="1581">
        <v>2604</v>
      </c>
      <c r="I210" s="1581">
        <v>2232</v>
      </c>
      <c r="J210" s="1722"/>
      <c r="K210" s="1581"/>
      <c r="L210" s="1727"/>
      <c r="M210" s="1581"/>
      <c r="N210" s="1581"/>
      <c r="O210" s="1581"/>
      <c r="P210" s="1581"/>
      <c r="Q210" s="1581"/>
      <c r="R210" s="1581"/>
      <c r="S210" s="1581"/>
      <c r="T210" s="1581"/>
      <c r="U210" s="1581"/>
      <c r="X210" s="1580">
        <f t="shared" si="16"/>
        <v>1860</v>
      </c>
      <c r="Y210" s="1580">
        <f t="shared" si="15"/>
        <v>1990.2</v>
      </c>
      <c r="Z210" s="1580">
        <f>Y210</f>
        <v>1990.2</v>
      </c>
      <c r="AA210" s="1730">
        <f t="shared" si="17"/>
        <v>0</v>
      </c>
      <c r="AB210" s="1580">
        <v>1860</v>
      </c>
      <c r="AC210" s="1730">
        <f t="shared" si="18"/>
        <v>0</v>
      </c>
      <c r="AD210" s="1610"/>
      <c r="AE210" s="1734"/>
    </row>
    <row r="211" spans="1:31" ht="38.25">
      <c r="A211" s="1609">
        <v>202</v>
      </c>
      <c r="B211" s="1619" t="s">
        <v>1609</v>
      </c>
      <c r="C211" s="917" t="s">
        <v>1605</v>
      </c>
      <c r="D211" s="1619" t="s">
        <v>1268</v>
      </c>
      <c r="E211" s="1581"/>
      <c r="F211" s="1610"/>
      <c r="G211" s="1610">
        <f>460</f>
        <v>460</v>
      </c>
      <c r="H211" s="1581">
        <v>644</v>
      </c>
      <c r="I211" s="1581">
        <v>552</v>
      </c>
      <c r="J211" s="1722"/>
      <c r="K211" s="1581"/>
      <c r="L211" s="1727"/>
      <c r="M211" s="1581"/>
      <c r="N211" s="1581"/>
      <c r="O211" s="1581"/>
      <c r="P211" s="1581"/>
      <c r="Q211" s="1581"/>
      <c r="R211" s="1581"/>
      <c r="S211" s="1581"/>
      <c r="T211" s="1581"/>
      <c r="U211" s="1581"/>
      <c r="X211" s="1580">
        <f t="shared" si="16"/>
        <v>460</v>
      </c>
      <c r="Y211" s="1580">
        <f t="shared" si="15"/>
        <v>492.20000000000005</v>
      </c>
      <c r="Z211" s="1580">
        <f>Y211</f>
        <v>492.20000000000005</v>
      </c>
      <c r="AA211" s="1730">
        <f t="shared" si="17"/>
        <v>0</v>
      </c>
      <c r="AB211" s="1580">
        <v>460</v>
      </c>
      <c r="AC211" s="1730">
        <f t="shared" si="18"/>
        <v>0</v>
      </c>
      <c r="AD211" s="1610">
        <f>460</f>
        <v>460</v>
      </c>
      <c r="AE211" s="1734">
        <f t="shared" si="14"/>
        <v>0</v>
      </c>
    </row>
    <row r="212" spans="1:31" ht="38.25">
      <c r="A212" s="1609">
        <v>203</v>
      </c>
      <c r="B212" s="1619" t="s">
        <v>1609</v>
      </c>
      <c r="C212" s="917" t="s">
        <v>1606</v>
      </c>
      <c r="D212" s="1619" t="s">
        <v>1268</v>
      </c>
      <c r="E212" s="1581"/>
      <c r="F212" s="1610"/>
      <c r="G212" s="1610">
        <f>670</f>
        <v>670</v>
      </c>
      <c r="H212" s="1581">
        <v>938</v>
      </c>
      <c r="I212" s="1581">
        <v>804</v>
      </c>
      <c r="J212" s="1722"/>
      <c r="K212" s="1581"/>
      <c r="L212" s="1727"/>
      <c r="M212" s="1581"/>
      <c r="N212" s="1581"/>
      <c r="O212" s="1581"/>
      <c r="P212" s="1581"/>
      <c r="Q212" s="1581"/>
      <c r="R212" s="1581"/>
      <c r="S212" s="1581"/>
      <c r="T212" s="1581"/>
      <c r="U212" s="1581"/>
      <c r="X212" s="1580">
        <f t="shared" si="16"/>
        <v>670</v>
      </c>
      <c r="Y212" s="1580">
        <f t="shared" si="15"/>
        <v>716.90000000000009</v>
      </c>
      <c r="Z212" s="1580">
        <f>Y212</f>
        <v>716.90000000000009</v>
      </c>
      <c r="AA212" s="1730">
        <f t="shared" si="17"/>
        <v>0</v>
      </c>
      <c r="AB212" s="1580">
        <v>670</v>
      </c>
      <c r="AC212" s="1730">
        <f t="shared" si="18"/>
        <v>0</v>
      </c>
      <c r="AD212" s="1610">
        <f>670*1.07</f>
        <v>716.90000000000009</v>
      </c>
      <c r="AE212" s="1734">
        <f>X212-AD209</f>
        <v>0</v>
      </c>
    </row>
    <row r="213" spans="1:31">
      <c r="A213" s="1609">
        <v>204</v>
      </c>
      <c r="B213" s="1622" t="s">
        <v>1610</v>
      </c>
      <c r="C213" s="1579" t="s">
        <v>1611</v>
      </c>
      <c r="D213" s="1622" t="s">
        <v>1022</v>
      </c>
      <c r="E213" s="1581"/>
      <c r="F213" s="1581"/>
      <c r="G213" s="1581"/>
      <c r="H213" s="1581"/>
      <c r="I213" s="1581"/>
      <c r="J213" s="1722">
        <v>1200</v>
      </c>
      <c r="K213" s="1581">
        <v>1300</v>
      </c>
      <c r="L213" s="1727"/>
      <c r="M213" s="1581"/>
      <c r="N213" s="1581"/>
      <c r="O213" s="1581"/>
      <c r="P213" s="1581">
        <f>1200</f>
        <v>1200</v>
      </c>
      <c r="Q213" s="1581">
        <v>1300</v>
      </c>
      <c r="R213" s="1581">
        <v>1400</v>
      </c>
      <c r="S213" s="1581"/>
      <c r="T213" s="1581"/>
      <c r="U213" s="1581"/>
      <c r="X213" s="1580">
        <f t="shared" si="16"/>
        <v>1200</v>
      </c>
      <c r="Y213" s="1580">
        <f t="shared" si="15"/>
        <v>1284</v>
      </c>
      <c r="Z213" s="1581">
        <f>1200*1.07</f>
        <v>1284</v>
      </c>
      <c r="AA213" s="1730">
        <f t="shared" si="17"/>
        <v>0</v>
      </c>
      <c r="AC213" s="1730"/>
      <c r="AD213" s="1581"/>
      <c r="AE213" s="1734"/>
    </row>
    <row r="214" spans="1:31">
      <c r="A214" s="1609">
        <v>205</v>
      </c>
      <c r="B214" s="1618" t="s">
        <v>1612</v>
      </c>
      <c r="C214" s="1579" t="s">
        <v>1613</v>
      </c>
      <c r="D214" s="1618" t="s">
        <v>1022</v>
      </c>
      <c r="E214" s="1581"/>
      <c r="F214" s="1581"/>
      <c r="G214" s="1581"/>
      <c r="H214" s="1581"/>
      <c r="I214" s="1581"/>
      <c r="J214" s="1722"/>
      <c r="K214" s="1581"/>
      <c r="L214" s="1727"/>
      <c r="M214" s="1581">
        <f>750</f>
        <v>750</v>
      </c>
      <c r="N214" s="1581">
        <v>787.5</v>
      </c>
      <c r="O214" s="1581">
        <v>765</v>
      </c>
      <c r="P214" s="1581"/>
      <c r="Q214" s="1581"/>
      <c r="R214" s="1581"/>
      <c r="S214" s="1581"/>
      <c r="T214" s="1581"/>
      <c r="U214" s="1581"/>
      <c r="X214" s="1580">
        <f t="shared" si="16"/>
        <v>750</v>
      </c>
      <c r="Y214" s="1580">
        <f t="shared" si="15"/>
        <v>802.5</v>
      </c>
      <c r="Z214" s="1610">
        <v>802.5</v>
      </c>
      <c r="AA214" s="1730">
        <f t="shared" si="17"/>
        <v>0</v>
      </c>
      <c r="AC214" s="1730"/>
      <c r="AD214" s="1581"/>
      <c r="AE214" s="1734"/>
    </row>
    <row r="215" spans="1:31">
      <c r="A215" s="1609">
        <v>206</v>
      </c>
      <c r="B215" s="1618" t="s">
        <v>1614</v>
      </c>
      <c r="C215" s="1579" t="s">
        <v>1615</v>
      </c>
      <c r="D215" s="1618" t="s">
        <v>1022</v>
      </c>
      <c r="E215" s="1581"/>
      <c r="F215" s="1581"/>
      <c r="G215" s="1581"/>
      <c r="H215" s="1581"/>
      <c r="I215" s="1581"/>
      <c r="J215" s="1722"/>
      <c r="K215" s="1581"/>
      <c r="L215" s="1727"/>
      <c r="M215" s="1581"/>
      <c r="N215" s="1581"/>
      <c r="O215" s="1581"/>
      <c r="P215" s="1581"/>
      <c r="Q215" s="1581"/>
      <c r="R215" s="1581"/>
      <c r="S215" s="1581"/>
      <c r="T215" s="1581"/>
      <c r="U215" s="1581"/>
      <c r="X215" s="1580">
        <f t="shared" si="16"/>
        <v>0</v>
      </c>
      <c r="Y215" s="1580">
        <f t="shared" si="15"/>
        <v>0</v>
      </c>
      <c r="Z215" s="1610"/>
      <c r="AA215" s="1730">
        <f t="shared" si="17"/>
        <v>0</v>
      </c>
      <c r="AC215" s="1730">
        <f t="shared" si="18"/>
        <v>0</v>
      </c>
      <c r="AD215" s="1581"/>
      <c r="AE215" s="1734"/>
    </row>
    <row r="216" spans="1:31">
      <c r="A216" s="1609">
        <v>207</v>
      </c>
      <c r="B216" s="1619" t="s">
        <v>1616</v>
      </c>
      <c r="C216" s="1579" t="s">
        <v>1617</v>
      </c>
      <c r="D216" s="1619" t="s">
        <v>1119</v>
      </c>
      <c r="E216" s="1609">
        <f>20</f>
        <v>20</v>
      </c>
      <c r="F216" s="1609"/>
      <c r="G216" s="1609"/>
      <c r="H216" s="1581">
        <v>28</v>
      </c>
      <c r="I216" s="1581">
        <v>24</v>
      </c>
      <c r="J216" s="1722"/>
      <c r="K216" s="1581"/>
      <c r="L216" s="1727"/>
      <c r="M216" s="1581"/>
      <c r="N216" s="1581"/>
      <c r="O216" s="1581"/>
      <c r="P216" s="1581"/>
      <c r="Q216" s="1581"/>
      <c r="R216" s="1581"/>
      <c r="S216" s="1581"/>
      <c r="T216" s="1581"/>
      <c r="U216" s="1581"/>
      <c r="X216" s="1580">
        <f t="shared" si="16"/>
        <v>20</v>
      </c>
      <c r="Y216" s="1580">
        <f t="shared" si="15"/>
        <v>21.400000000000002</v>
      </c>
      <c r="Z216" s="1610">
        <v>21.4</v>
      </c>
      <c r="AA216" s="1730">
        <f t="shared" si="17"/>
        <v>0</v>
      </c>
      <c r="AB216" s="1580">
        <v>20</v>
      </c>
      <c r="AC216" s="1730">
        <f t="shared" si="18"/>
        <v>0</v>
      </c>
      <c r="AD216" s="1609">
        <f>20</f>
        <v>20</v>
      </c>
      <c r="AE216" s="1734">
        <f>X216-AD216</f>
        <v>0</v>
      </c>
    </row>
    <row r="217" spans="1:31">
      <c r="A217" s="1609">
        <v>208</v>
      </c>
      <c r="B217" s="1618" t="s">
        <v>1618</v>
      </c>
      <c r="C217" s="1579" t="s">
        <v>1619</v>
      </c>
      <c r="D217" s="1618" t="s">
        <v>1565</v>
      </c>
      <c r="E217" s="1581">
        <f>4500</f>
        <v>4500</v>
      </c>
      <c r="F217" s="1581"/>
      <c r="G217" s="1581"/>
      <c r="H217" s="1581">
        <v>6300</v>
      </c>
      <c r="I217" s="1581">
        <v>4950</v>
      </c>
      <c r="J217" s="1722"/>
      <c r="K217" s="1581"/>
      <c r="L217" s="1727"/>
      <c r="M217" s="1581"/>
      <c r="N217" s="1581"/>
      <c r="O217" s="1581"/>
      <c r="P217" s="1581"/>
      <c r="Q217" s="1581"/>
      <c r="R217" s="1581"/>
      <c r="S217" s="1581"/>
      <c r="T217" s="1581"/>
      <c r="U217" s="1581"/>
      <c r="X217" s="1580">
        <f t="shared" si="16"/>
        <v>4500</v>
      </c>
      <c r="Y217" s="1580">
        <f t="shared" si="15"/>
        <v>4815</v>
      </c>
      <c r="Z217" s="1581">
        <v>4815</v>
      </c>
      <c r="AA217" s="1730">
        <f t="shared" si="17"/>
        <v>0</v>
      </c>
      <c r="AB217" s="1580">
        <v>4500</v>
      </c>
      <c r="AC217" s="1730">
        <f t="shared" si="18"/>
        <v>0</v>
      </c>
      <c r="AD217" s="1581"/>
      <c r="AE217" s="1734"/>
    </row>
    <row r="218" spans="1:31" ht="1.5" hidden="1" customHeight="1">
      <c r="A218" s="1609">
        <v>209</v>
      </c>
      <c r="B218" s="1618" t="s">
        <v>1620</v>
      </c>
      <c r="C218" s="1579" t="s">
        <v>1621</v>
      </c>
      <c r="D218" s="1618" t="s">
        <v>1268</v>
      </c>
      <c r="E218" s="1581"/>
      <c r="F218" s="1581"/>
      <c r="G218" s="1581"/>
      <c r="H218" s="1581"/>
      <c r="I218" s="1581"/>
      <c r="J218" s="1722"/>
      <c r="K218" s="1581"/>
      <c r="L218" s="1727"/>
      <c r="M218" s="1581"/>
      <c r="N218" s="1581"/>
      <c r="O218" s="1581"/>
      <c r="P218" s="1581"/>
      <c r="Q218" s="1581"/>
      <c r="R218" s="1581"/>
      <c r="S218" s="1581"/>
      <c r="T218" s="1581"/>
      <c r="U218" s="1581"/>
      <c r="X218" s="1580">
        <f t="shared" si="16"/>
        <v>0</v>
      </c>
      <c r="Y218" s="1580">
        <f t="shared" si="15"/>
        <v>0</v>
      </c>
      <c r="Z218" s="1581"/>
      <c r="AA218" s="1730">
        <f t="shared" si="17"/>
        <v>0</v>
      </c>
      <c r="AC218" s="1730">
        <f t="shared" si="18"/>
        <v>0</v>
      </c>
      <c r="AD218" s="1581"/>
      <c r="AE218" s="1734">
        <f t="shared" ref="AE218:AE230" si="19">X218-AD218</f>
        <v>0</v>
      </c>
    </row>
    <row r="219" spans="1:31">
      <c r="A219" s="1609">
        <v>210</v>
      </c>
      <c r="B219" s="1618" t="s">
        <v>1622</v>
      </c>
      <c r="C219" s="1579" t="s">
        <v>1623</v>
      </c>
      <c r="D219" s="1618" t="s">
        <v>1268</v>
      </c>
      <c r="E219" s="1581">
        <f>2000</f>
        <v>2000</v>
      </c>
      <c r="F219" s="1581"/>
      <c r="G219" s="1581"/>
      <c r="H219" s="1581">
        <v>2800</v>
      </c>
      <c r="I219" s="1581">
        <v>2400</v>
      </c>
      <c r="J219" s="1722"/>
      <c r="K219" s="1581"/>
      <c r="L219" s="1727"/>
      <c r="M219" s="1581"/>
      <c r="N219" s="1581"/>
      <c r="O219" s="1581"/>
      <c r="P219" s="1581"/>
      <c r="Q219" s="1581"/>
      <c r="R219" s="1581"/>
      <c r="S219" s="1581"/>
      <c r="T219" s="1581"/>
      <c r="U219" s="1581"/>
      <c r="X219" s="1580">
        <f t="shared" si="16"/>
        <v>2000</v>
      </c>
      <c r="Y219" s="1580">
        <f t="shared" si="15"/>
        <v>2140</v>
      </c>
      <c r="Z219" s="1581">
        <v>2140</v>
      </c>
      <c r="AA219" s="1730">
        <f t="shared" si="17"/>
        <v>0</v>
      </c>
      <c r="AB219" s="1580">
        <v>2000</v>
      </c>
      <c r="AC219" s="1730">
        <f t="shared" si="18"/>
        <v>0</v>
      </c>
      <c r="AD219" s="1581">
        <f>2000</f>
        <v>2000</v>
      </c>
      <c r="AE219" s="1734">
        <f t="shared" si="19"/>
        <v>0</v>
      </c>
    </row>
    <row r="220" spans="1:31" hidden="1">
      <c r="A220" s="1609">
        <v>256</v>
      </c>
      <c r="B220" s="1622" t="s">
        <v>1624</v>
      </c>
      <c r="C220" s="1579"/>
      <c r="D220" s="1622" t="s">
        <v>1022</v>
      </c>
      <c r="E220" s="1581"/>
      <c r="F220" s="1581"/>
      <c r="G220" s="1581"/>
      <c r="H220" s="1581"/>
      <c r="I220" s="1581"/>
      <c r="J220" s="1722"/>
      <c r="K220" s="1581"/>
      <c r="L220" s="1727"/>
      <c r="M220" s="1581"/>
      <c r="N220" s="1581"/>
      <c r="O220" s="1581"/>
      <c r="P220" s="1581"/>
      <c r="Q220" s="1581"/>
      <c r="R220" s="1581"/>
      <c r="S220" s="1581"/>
      <c r="T220" s="1581"/>
      <c r="U220" s="1581"/>
      <c r="X220" s="1580">
        <f t="shared" si="16"/>
        <v>0</v>
      </c>
      <c r="Y220" s="1580">
        <f t="shared" si="15"/>
        <v>0</v>
      </c>
      <c r="Z220" s="1609">
        <f>20*1.07</f>
        <v>21.400000000000002</v>
      </c>
      <c r="AA220" s="1730">
        <f t="shared" si="17"/>
        <v>-21.400000000000002</v>
      </c>
      <c r="AC220" s="1730">
        <f t="shared" si="18"/>
        <v>0</v>
      </c>
      <c r="AD220" s="1581"/>
      <c r="AE220" s="1734">
        <f t="shared" si="19"/>
        <v>0</v>
      </c>
    </row>
    <row r="221" spans="1:31" hidden="1">
      <c r="A221" s="1609">
        <v>213</v>
      </c>
      <c r="B221" s="1620" t="s">
        <v>1624</v>
      </c>
      <c r="C221" s="1579" t="s">
        <v>1625</v>
      </c>
      <c r="D221" s="1620" t="s">
        <v>1022</v>
      </c>
      <c r="E221" s="1581"/>
      <c r="F221" s="1581"/>
      <c r="G221" s="1581"/>
      <c r="H221" s="1581"/>
      <c r="I221" s="1581"/>
      <c r="J221" s="1722"/>
      <c r="K221" s="1581"/>
      <c r="L221" s="1727"/>
      <c r="M221" s="1581"/>
      <c r="N221" s="1581"/>
      <c r="O221" s="1581"/>
      <c r="P221" s="1581"/>
      <c r="Q221" s="1581"/>
      <c r="R221" s="1581"/>
      <c r="S221" s="1581"/>
      <c r="T221" s="1581"/>
      <c r="U221" s="1581"/>
      <c r="X221" s="1580">
        <f t="shared" si="16"/>
        <v>0</v>
      </c>
      <c r="Y221" s="1580">
        <f t="shared" si="15"/>
        <v>0</v>
      </c>
      <c r="Z221" s="1581">
        <f>4500*1.07</f>
        <v>4815</v>
      </c>
      <c r="AA221" s="1730">
        <f t="shared" si="17"/>
        <v>-4815</v>
      </c>
      <c r="AC221" s="1730">
        <f t="shared" si="18"/>
        <v>0</v>
      </c>
      <c r="AD221" s="1581"/>
      <c r="AE221" s="1734">
        <f t="shared" si="19"/>
        <v>0</v>
      </c>
    </row>
    <row r="222" spans="1:31" hidden="1">
      <c r="A222" s="1609">
        <v>214</v>
      </c>
      <c r="B222" s="1620" t="s">
        <v>1624</v>
      </c>
      <c r="C222" s="1579" t="s">
        <v>1626</v>
      </c>
      <c r="D222" s="1620" t="s">
        <v>1022</v>
      </c>
      <c r="E222" s="1581"/>
      <c r="F222" s="1581"/>
      <c r="G222" s="1581"/>
      <c r="H222" s="1581"/>
      <c r="I222" s="1581"/>
      <c r="J222" s="1722"/>
      <c r="K222" s="1581"/>
      <c r="L222" s="1727"/>
      <c r="M222" s="1581"/>
      <c r="N222" s="1581"/>
      <c r="O222" s="1581"/>
      <c r="P222" s="1581"/>
      <c r="Q222" s="1581"/>
      <c r="R222" s="1581"/>
      <c r="S222" s="1581"/>
      <c r="T222" s="1581"/>
      <c r="U222" s="1581"/>
      <c r="X222" s="1580">
        <f t="shared" si="16"/>
        <v>0</v>
      </c>
      <c r="Y222" s="1580">
        <f t="shared" si="15"/>
        <v>0</v>
      </c>
      <c r="Z222" s="1581"/>
      <c r="AA222" s="1730">
        <f t="shared" si="17"/>
        <v>0</v>
      </c>
      <c r="AC222" s="1730">
        <f t="shared" si="18"/>
        <v>0</v>
      </c>
      <c r="AD222" s="1581"/>
      <c r="AE222" s="1734">
        <f t="shared" si="19"/>
        <v>0</v>
      </c>
    </row>
    <row r="223" spans="1:31" hidden="1">
      <c r="A223" s="1609">
        <v>215</v>
      </c>
      <c r="B223" s="1620" t="s">
        <v>1624</v>
      </c>
      <c r="C223" s="1579" t="s">
        <v>1627</v>
      </c>
      <c r="D223" s="1620" t="s">
        <v>1022</v>
      </c>
      <c r="E223" s="1581"/>
      <c r="F223" s="1581"/>
      <c r="G223" s="1581"/>
      <c r="H223" s="1581"/>
      <c r="I223" s="1581"/>
      <c r="J223" s="1722"/>
      <c r="K223" s="1581"/>
      <c r="L223" s="1727"/>
      <c r="M223" s="1581"/>
      <c r="N223" s="1581"/>
      <c r="O223" s="1581"/>
      <c r="P223" s="1581"/>
      <c r="Q223" s="1581"/>
      <c r="R223" s="1581"/>
      <c r="S223" s="1581"/>
      <c r="T223" s="1581"/>
      <c r="U223" s="1581"/>
      <c r="X223" s="1580">
        <f t="shared" si="16"/>
        <v>0</v>
      </c>
      <c r="Y223" s="1580">
        <f t="shared" si="15"/>
        <v>0</v>
      </c>
      <c r="Z223" s="1581">
        <f>2000*1.07</f>
        <v>2140</v>
      </c>
      <c r="AA223" s="1730">
        <f t="shared" si="17"/>
        <v>-2140</v>
      </c>
      <c r="AC223" s="1730">
        <f t="shared" si="18"/>
        <v>0</v>
      </c>
      <c r="AD223" s="1581"/>
      <c r="AE223" s="1734">
        <f t="shared" si="19"/>
        <v>0</v>
      </c>
    </row>
    <row r="224" spans="1:31">
      <c r="A224" s="1609">
        <v>211</v>
      </c>
      <c r="B224" s="1618" t="s">
        <v>1628</v>
      </c>
      <c r="C224" s="1579" t="s">
        <v>1629</v>
      </c>
      <c r="D224" s="1618" t="s">
        <v>1022</v>
      </c>
      <c r="E224" s="1581"/>
      <c r="F224" s="1581"/>
      <c r="G224" s="1581"/>
      <c r="H224" s="1581"/>
      <c r="I224" s="1581"/>
      <c r="J224" s="1722"/>
      <c r="K224" s="1581"/>
      <c r="L224" s="1727"/>
      <c r="M224" s="1581">
        <f>6000</f>
        <v>6000</v>
      </c>
      <c r="N224" s="1581">
        <v>6300</v>
      </c>
      <c r="O224" s="1581">
        <v>6120</v>
      </c>
      <c r="P224" s="1581"/>
      <c r="Q224" s="1581"/>
      <c r="R224" s="1581"/>
      <c r="S224" s="1581"/>
      <c r="T224" s="1581"/>
      <c r="U224" s="1581"/>
      <c r="X224" s="1580">
        <f t="shared" si="16"/>
        <v>6000</v>
      </c>
      <c r="Y224" s="1580">
        <f t="shared" si="15"/>
        <v>6420</v>
      </c>
      <c r="Z224" s="1581">
        <v>6420</v>
      </c>
      <c r="AA224" s="1730">
        <f t="shared" si="17"/>
        <v>0</v>
      </c>
      <c r="AC224" s="1730"/>
      <c r="AD224" s="1581"/>
      <c r="AE224" s="1734"/>
    </row>
    <row r="225" spans="1:31">
      <c r="A225" s="1609">
        <v>212</v>
      </c>
      <c r="B225" s="1618" t="s">
        <v>1630</v>
      </c>
      <c r="C225" s="1579" t="s">
        <v>1631</v>
      </c>
      <c r="D225" s="1618" t="s">
        <v>1022</v>
      </c>
      <c r="E225" s="1581"/>
      <c r="F225" s="1581"/>
      <c r="G225" s="1581"/>
      <c r="H225" s="1581"/>
      <c r="I225" s="1581"/>
      <c r="J225" s="1722"/>
      <c r="K225" s="1581"/>
      <c r="L225" s="1727"/>
      <c r="M225" s="1581">
        <f>5000</f>
        <v>5000</v>
      </c>
      <c r="N225" s="1581">
        <v>5250</v>
      </c>
      <c r="O225" s="1581">
        <v>5100</v>
      </c>
      <c r="P225" s="1581"/>
      <c r="Q225" s="1581"/>
      <c r="R225" s="1581"/>
      <c r="S225" s="1581"/>
      <c r="T225" s="1581"/>
      <c r="U225" s="1581"/>
      <c r="X225" s="1580">
        <f t="shared" si="16"/>
        <v>5000</v>
      </c>
      <c r="Y225" s="1580">
        <f t="shared" si="15"/>
        <v>5350</v>
      </c>
      <c r="Z225" s="1581">
        <v>5350</v>
      </c>
      <c r="AA225" s="1730">
        <f t="shared" si="17"/>
        <v>0</v>
      </c>
      <c r="AC225" s="1730"/>
      <c r="AD225" s="1581"/>
      <c r="AE225" s="1734"/>
    </row>
    <row r="226" spans="1:31">
      <c r="A226" s="1609">
        <v>213</v>
      </c>
      <c r="B226" s="1625" t="s">
        <v>1632</v>
      </c>
      <c r="C226" s="1579" t="s">
        <v>1633</v>
      </c>
      <c r="D226" s="1610" t="s">
        <v>1022</v>
      </c>
      <c r="E226" s="1581"/>
      <c r="F226" s="1581"/>
      <c r="G226" s="1581">
        <f>4800</f>
        <v>4800</v>
      </c>
      <c r="H226" s="1581">
        <v>6720</v>
      </c>
      <c r="I226" s="1581">
        <v>5760</v>
      </c>
      <c r="J226" s="1722"/>
      <c r="K226" s="1581"/>
      <c r="L226" s="1727"/>
      <c r="M226" s="1581"/>
      <c r="N226" s="1581"/>
      <c r="O226" s="1581"/>
      <c r="P226" s="1581"/>
      <c r="Q226" s="1581"/>
      <c r="R226" s="1581"/>
      <c r="S226" s="1581"/>
      <c r="T226" s="1581"/>
      <c r="U226" s="1581"/>
      <c r="X226" s="1580">
        <f t="shared" si="16"/>
        <v>4800</v>
      </c>
      <c r="Y226" s="1580">
        <f t="shared" si="15"/>
        <v>5136</v>
      </c>
      <c r="Z226" s="1581">
        <v>5136</v>
      </c>
      <c r="AA226" s="1730">
        <f t="shared" si="17"/>
        <v>0</v>
      </c>
      <c r="AB226" s="1580">
        <v>4800</v>
      </c>
      <c r="AC226" s="1730">
        <f t="shared" si="18"/>
        <v>0</v>
      </c>
      <c r="AD226" s="1581"/>
      <c r="AE226" s="1734"/>
    </row>
    <row r="227" spans="1:31" ht="38.25">
      <c r="A227" s="1609">
        <v>214</v>
      </c>
      <c r="B227" s="1619" t="s">
        <v>1634</v>
      </c>
      <c r="C227" s="917" t="s">
        <v>1635</v>
      </c>
      <c r="D227" s="1619" t="s">
        <v>1268</v>
      </c>
      <c r="E227" s="1581"/>
      <c r="F227" s="1610"/>
      <c r="G227" s="1610">
        <f>6500</f>
        <v>6500</v>
      </c>
      <c r="H227" s="1581">
        <v>9100</v>
      </c>
      <c r="I227" s="1581">
        <v>8450</v>
      </c>
      <c r="J227" s="1722"/>
      <c r="K227" s="1581"/>
      <c r="L227" s="1727"/>
      <c r="M227" s="1581"/>
      <c r="N227" s="1581"/>
      <c r="O227" s="1581"/>
      <c r="P227" s="1581"/>
      <c r="Q227" s="1581"/>
      <c r="R227" s="1581"/>
      <c r="S227" s="1581"/>
      <c r="T227" s="1581"/>
      <c r="U227" s="1581"/>
      <c r="X227" s="1580">
        <f t="shared" si="16"/>
        <v>6500</v>
      </c>
      <c r="Y227" s="1580">
        <f t="shared" si="15"/>
        <v>6955</v>
      </c>
      <c r="Z227" s="1580">
        <v>6955</v>
      </c>
      <c r="AA227" s="1730">
        <f t="shared" si="17"/>
        <v>0</v>
      </c>
      <c r="AB227" s="1580">
        <v>6500</v>
      </c>
      <c r="AC227" s="1730">
        <f t="shared" si="18"/>
        <v>0</v>
      </c>
      <c r="AD227" s="1610"/>
      <c r="AE227" s="1734"/>
    </row>
    <row r="228" spans="1:31" ht="38.25">
      <c r="A228" s="1609">
        <v>215</v>
      </c>
      <c r="B228" s="1619" t="s">
        <v>1636</v>
      </c>
      <c r="C228" s="917" t="s">
        <v>1637</v>
      </c>
      <c r="D228" s="1619" t="s">
        <v>1268</v>
      </c>
      <c r="E228" s="1581"/>
      <c r="F228" s="1610"/>
      <c r="G228" s="1610">
        <f>12000</f>
        <v>12000</v>
      </c>
      <c r="H228" s="1581">
        <v>16800</v>
      </c>
      <c r="I228" s="1581">
        <v>14400</v>
      </c>
      <c r="J228" s="1722"/>
      <c r="K228" s="1581"/>
      <c r="L228" s="1727"/>
      <c r="M228" s="1581"/>
      <c r="N228" s="1581"/>
      <c r="O228" s="1581"/>
      <c r="P228" s="1581"/>
      <c r="Q228" s="1581"/>
      <c r="R228" s="1581"/>
      <c r="S228" s="1581"/>
      <c r="T228" s="1581"/>
      <c r="U228" s="1581"/>
      <c r="X228" s="1580">
        <f t="shared" si="16"/>
        <v>12000</v>
      </c>
      <c r="Y228" s="1580">
        <f t="shared" si="15"/>
        <v>12840</v>
      </c>
      <c r="Z228" s="1580">
        <v>12840</v>
      </c>
      <c r="AA228" s="1730">
        <f t="shared" si="17"/>
        <v>0</v>
      </c>
      <c r="AB228" s="1580">
        <v>12000</v>
      </c>
      <c r="AC228" s="1730">
        <f t="shared" si="18"/>
        <v>0</v>
      </c>
      <c r="AD228" s="1610">
        <f>12000</f>
        <v>12000</v>
      </c>
      <c r="AE228" s="1734">
        <f t="shared" si="19"/>
        <v>0</v>
      </c>
    </row>
    <row r="229" spans="1:31" ht="25.5">
      <c r="A229" s="1609">
        <v>216</v>
      </c>
      <c r="B229" s="1618" t="s">
        <v>1638</v>
      </c>
      <c r="C229" s="1579" t="s">
        <v>1639</v>
      </c>
      <c r="D229" s="1618" t="s">
        <v>1022</v>
      </c>
      <c r="E229" s="1581"/>
      <c r="F229" s="1581"/>
      <c r="G229" s="1581"/>
      <c r="H229" s="1581"/>
      <c r="I229" s="1581"/>
      <c r="J229" s="1722"/>
      <c r="K229" s="1581"/>
      <c r="L229" s="1727"/>
      <c r="M229" s="1581">
        <f>4500</f>
        <v>4500</v>
      </c>
      <c r="N229" s="1581"/>
      <c r="O229" s="1581"/>
      <c r="P229" s="1581"/>
      <c r="Q229" s="1581"/>
      <c r="R229" s="1581"/>
      <c r="S229" s="1581"/>
      <c r="T229" s="1581"/>
      <c r="U229" s="1581"/>
      <c r="X229" s="1580">
        <f t="shared" si="16"/>
        <v>4500</v>
      </c>
      <c r="Y229" s="1580">
        <f t="shared" si="15"/>
        <v>4815</v>
      </c>
      <c r="Z229" s="1580">
        <v>4815</v>
      </c>
      <c r="AA229" s="1730">
        <f t="shared" si="17"/>
        <v>0</v>
      </c>
      <c r="AC229" s="1730"/>
      <c r="AD229" s="1581"/>
      <c r="AE229" s="1734"/>
    </row>
    <row r="230" spans="1:31" ht="25.5">
      <c r="A230" s="1609">
        <v>217</v>
      </c>
      <c r="B230" s="1619" t="s">
        <v>1640</v>
      </c>
      <c r="C230" s="917" t="s">
        <v>1641</v>
      </c>
      <c r="D230" s="1619" t="s">
        <v>1268</v>
      </c>
      <c r="E230" s="1581"/>
      <c r="F230" s="1610"/>
      <c r="G230" s="1610">
        <f>6000</f>
        <v>6000</v>
      </c>
      <c r="H230" s="1581">
        <v>8400</v>
      </c>
      <c r="I230" s="1581">
        <v>7200</v>
      </c>
      <c r="J230" s="1722"/>
      <c r="K230" s="1581"/>
      <c r="L230" s="1727"/>
      <c r="M230" s="1581"/>
      <c r="N230" s="1581"/>
      <c r="O230" s="1581"/>
      <c r="P230" s="1581"/>
      <c r="Q230" s="1581"/>
      <c r="R230" s="1581"/>
      <c r="S230" s="1581"/>
      <c r="T230" s="1581"/>
      <c r="U230" s="1581"/>
      <c r="X230" s="1580">
        <f t="shared" si="16"/>
        <v>6000</v>
      </c>
      <c r="Y230" s="1580">
        <f t="shared" si="15"/>
        <v>6420</v>
      </c>
      <c r="Z230" s="1580">
        <v>6420</v>
      </c>
      <c r="AA230" s="1730">
        <f t="shared" si="17"/>
        <v>0</v>
      </c>
      <c r="AB230" s="1580">
        <v>6000</v>
      </c>
      <c r="AC230" s="1730">
        <f t="shared" si="18"/>
        <v>0</v>
      </c>
      <c r="AD230" s="1610">
        <f>6000</f>
        <v>6000</v>
      </c>
      <c r="AE230" s="1734">
        <f t="shared" si="19"/>
        <v>0</v>
      </c>
    </row>
    <row r="231" spans="1:31" ht="38.25">
      <c r="A231" s="1609">
        <v>218</v>
      </c>
      <c r="B231" s="1619" t="s">
        <v>1640</v>
      </c>
      <c r="C231" s="917" t="s">
        <v>1642</v>
      </c>
      <c r="D231" s="1619" t="s">
        <v>1268</v>
      </c>
      <c r="E231" s="1581"/>
      <c r="F231" s="1610"/>
      <c r="G231" s="1610">
        <f>6000</f>
        <v>6000</v>
      </c>
      <c r="H231" s="1581">
        <v>8400</v>
      </c>
      <c r="I231" s="1581">
        <v>7800</v>
      </c>
      <c r="J231" s="1722"/>
      <c r="K231" s="1581"/>
      <c r="L231" s="1727"/>
      <c r="M231" s="1581"/>
      <c r="N231" s="1581"/>
      <c r="O231" s="1581"/>
      <c r="P231" s="1581"/>
      <c r="Q231" s="1581"/>
      <c r="R231" s="1581"/>
      <c r="S231" s="1581"/>
      <c r="T231" s="1581"/>
      <c r="U231" s="1581"/>
      <c r="X231" s="1580">
        <f t="shared" si="16"/>
        <v>6000</v>
      </c>
      <c r="Y231" s="1580">
        <f t="shared" si="15"/>
        <v>6420</v>
      </c>
      <c r="Z231" s="1580">
        <v>6420</v>
      </c>
      <c r="AA231" s="1730">
        <f t="shared" si="17"/>
        <v>0</v>
      </c>
      <c r="AB231" s="1580">
        <v>6000</v>
      </c>
      <c r="AC231" s="1730">
        <f t="shared" si="18"/>
        <v>0</v>
      </c>
      <c r="AD231" s="1610"/>
      <c r="AE231" s="1734"/>
    </row>
    <row r="232" spans="1:31" ht="25.5">
      <c r="A232" s="1609">
        <v>219</v>
      </c>
      <c r="B232" s="1619" t="s">
        <v>1643</v>
      </c>
      <c r="C232" s="917" t="s">
        <v>1644</v>
      </c>
      <c r="D232" s="1619" t="s">
        <v>1268</v>
      </c>
      <c r="E232" s="1581"/>
      <c r="F232" s="1610"/>
      <c r="G232" s="1610">
        <f>4000</f>
        <v>4000</v>
      </c>
      <c r="H232" s="1581">
        <v>5600</v>
      </c>
      <c r="I232" s="1581">
        <v>5200</v>
      </c>
      <c r="J232" s="1722"/>
      <c r="K232" s="1581"/>
      <c r="L232" s="1727"/>
      <c r="M232" s="1581"/>
      <c r="N232" s="1581"/>
      <c r="O232" s="1581"/>
      <c r="P232" s="1581"/>
      <c r="Q232" s="1581"/>
      <c r="R232" s="1581"/>
      <c r="S232" s="1581"/>
      <c r="T232" s="1581"/>
      <c r="U232" s="1581"/>
      <c r="X232" s="1580">
        <f t="shared" si="16"/>
        <v>4000</v>
      </c>
      <c r="Y232" s="1580">
        <f t="shared" si="15"/>
        <v>4280</v>
      </c>
      <c r="Z232" s="1580">
        <v>4280</v>
      </c>
      <c r="AA232" s="1730">
        <f t="shared" si="17"/>
        <v>0</v>
      </c>
      <c r="AC232" s="1730"/>
      <c r="AD232" s="1610"/>
      <c r="AE232" s="1734"/>
    </row>
    <row r="233" spans="1:31" ht="38.25">
      <c r="A233" s="1609">
        <v>220</v>
      </c>
      <c r="B233" s="1619" t="s">
        <v>1645</v>
      </c>
      <c r="C233" s="1614" t="s">
        <v>1646</v>
      </c>
      <c r="D233" s="1619" t="s">
        <v>1268</v>
      </c>
      <c r="E233" s="1581"/>
      <c r="F233" s="1610"/>
      <c r="G233" s="1610">
        <f>6000</f>
        <v>6000</v>
      </c>
      <c r="H233" s="1581">
        <v>8400</v>
      </c>
      <c r="I233" s="1581">
        <v>7800</v>
      </c>
      <c r="J233" s="1722"/>
      <c r="K233" s="1581"/>
      <c r="L233" s="1727"/>
      <c r="M233" s="1581"/>
      <c r="N233" s="1581"/>
      <c r="O233" s="1581"/>
      <c r="P233" s="1581"/>
      <c r="Q233" s="1581"/>
      <c r="R233" s="1581"/>
      <c r="S233" s="1581"/>
      <c r="T233" s="1581"/>
      <c r="U233" s="1581"/>
      <c r="X233" s="1580">
        <f t="shared" si="16"/>
        <v>6000</v>
      </c>
      <c r="Y233" s="1580">
        <f t="shared" si="15"/>
        <v>6420</v>
      </c>
      <c r="Z233" s="1580">
        <v>6420</v>
      </c>
      <c r="AA233" s="1730">
        <f t="shared" si="17"/>
        <v>0</v>
      </c>
      <c r="AB233" s="1580">
        <v>6000</v>
      </c>
      <c r="AC233" s="1730">
        <f t="shared" si="18"/>
        <v>0</v>
      </c>
      <c r="AD233" s="1610"/>
      <c r="AE233" s="1734"/>
    </row>
    <row r="234" spans="1:31" ht="25.5">
      <c r="A234" s="1609">
        <v>221</v>
      </c>
      <c r="B234" s="1619" t="s">
        <v>1647</v>
      </c>
      <c r="C234" s="917" t="s">
        <v>1648</v>
      </c>
      <c r="D234" s="1619" t="s">
        <v>1268</v>
      </c>
      <c r="E234" s="1581"/>
      <c r="F234" s="1610"/>
      <c r="G234" s="1610">
        <f>6000</f>
        <v>6000</v>
      </c>
      <c r="H234" s="1581">
        <v>8400</v>
      </c>
      <c r="I234" s="1581">
        <v>7800</v>
      </c>
      <c r="J234" s="1722"/>
      <c r="K234" s="1581"/>
      <c r="L234" s="1727"/>
      <c r="M234" s="1581"/>
      <c r="N234" s="1581"/>
      <c r="O234" s="1581"/>
      <c r="P234" s="1581"/>
      <c r="Q234" s="1581"/>
      <c r="R234" s="1581"/>
      <c r="S234" s="1581"/>
      <c r="T234" s="1581"/>
      <c r="U234" s="1581"/>
      <c r="X234" s="1580">
        <f t="shared" si="16"/>
        <v>6000</v>
      </c>
      <c r="Y234" s="1580">
        <f t="shared" si="15"/>
        <v>6420</v>
      </c>
      <c r="Z234" s="1580">
        <f>Y234</f>
        <v>6420</v>
      </c>
      <c r="AA234" s="1730">
        <f t="shared" si="17"/>
        <v>0</v>
      </c>
      <c r="AB234" s="1580">
        <v>6000</v>
      </c>
      <c r="AC234" s="1730">
        <f t="shared" si="18"/>
        <v>0</v>
      </c>
      <c r="AD234" s="1610"/>
      <c r="AE234" s="1734"/>
    </row>
    <row r="235" spans="1:31" ht="38.25">
      <c r="A235" s="1609">
        <v>222</v>
      </c>
      <c r="B235" s="1619" t="s">
        <v>1649</v>
      </c>
      <c r="C235" s="917" t="s">
        <v>1650</v>
      </c>
      <c r="D235" s="1619" t="s">
        <v>1268</v>
      </c>
      <c r="E235" s="1581"/>
      <c r="F235" s="1610"/>
      <c r="G235" s="1610">
        <f>4000</f>
        <v>4000</v>
      </c>
      <c r="H235" s="1581">
        <v>5600</v>
      </c>
      <c r="I235" s="1581">
        <v>5200</v>
      </c>
      <c r="J235" s="1722"/>
      <c r="K235" s="1581"/>
      <c r="L235" s="1727"/>
      <c r="M235" s="1581"/>
      <c r="N235" s="1581"/>
      <c r="O235" s="1581"/>
      <c r="P235" s="1581"/>
      <c r="Q235" s="1581"/>
      <c r="R235" s="1581"/>
      <c r="S235" s="1581"/>
      <c r="T235" s="1581"/>
      <c r="U235" s="1581"/>
      <c r="X235" s="1580">
        <f t="shared" si="16"/>
        <v>4000</v>
      </c>
      <c r="Y235" s="1580">
        <f t="shared" si="15"/>
        <v>4280</v>
      </c>
      <c r="Z235" s="1580">
        <v>4280</v>
      </c>
      <c r="AA235" s="1730">
        <f t="shared" si="17"/>
        <v>0</v>
      </c>
      <c r="AB235" s="1580">
        <v>4000</v>
      </c>
      <c r="AC235" s="1730">
        <f t="shared" si="18"/>
        <v>0</v>
      </c>
      <c r="AD235" s="1610"/>
      <c r="AE235" s="1734"/>
    </row>
    <row r="236" spans="1:31" ht="38.25">
      <c r="A236" s="1609">
        <v>223</v>
      </c>
      <c r="B236" s="1619" t="s">
        <v>1651</v>
      </c>
      <c r="C236" s="917" t="s">
        <v>1652</v>
      </c>
      <c r="D236" s="1619" t="s">
        <v>1268</v>
      </c>
      <c r="E236" s="1581"/>
      <c r="F236" s="1610"/>
      <c r="G236" s="1610">
        <f>6500</f>
        <v>6500</v>
      </c>
      <c r="H236" s="1581">
        <v>9100</v>
      </c>
      <c r="I236" s="1581">
        <v>8450</v>
      </c>
      <c r="J236" s="1722"/>
      <c r="K236" s="1581"/>
      <c r="L236" s="1727"/>
      <c r="M236" s="1581"/>
      <c r="N236" s="1581"/>
      <c r="O236" s="1581"/>
      <c r="P236" s="1581"/>
      <c r="Q236" s="1581"/>
      <c r="R236" s="1581"/>
      <c r="S236" s="1581"/>
      <c r="T236" s="1581"/>
      <c r="U236" s="1581"/>
      <c r="X236" s="1580">
        <f t="shared" si="16"/>
        <v>6500</v>
      </c>
      <c r="Y236" s="1580">
        <f t="shared" si="15"/>
        <v>6955</v>
      </c>
      <c r="Z236" s="1580">
        <v>6955</v>
      </c>
      <c r="AA236" s="1730">
        <f t="shared" si="17"/>
        <v>0</v>
      </c>
      <c r="AB236" s="1580">
        <v>6500</v>
      </c>
      <c r="AC236" s="1730">
        <f t="shared" si="18"/>
        <v>0</v>
      </c>
      <c r="AD236" s="1610"/>
      <c r="AE236" s="1734"/>
    </row>
    <row r="237" spans="1:31" ht="25.5">
      <c r="A237" s="1609">
        <v>224</v>
      </c>
      <c r="B237" s="1619" t="s">
        <v>1653</v>
      </c>
      <c r="C237" s="917" t="s">
        <v>1654</v>
      </c>
      <c r="D237" s="1619" t="s">
        <v>1268</v>
      </c>
      <c r="E237" s="1581"/>
      <c r="F237" s="1610"/>
      <c r="G237" s="1610">
        <f>4000</f>
        <v>4000</v>
      </c>
      <c r="H237" s="1581">
        <v>5600</v>
      </c>
      <c r="I237" s="1581">
        <v>4800</v>
      </c>
      <c r="J237" s="1722"/>
      <c r="K237" s="1581"/>
      <c r="L237" s="1727"/>
      <c r="M237" s="1581"/>
      <c r="N237" s="1581"/>
      <c r="O237" s="1581"/>
      <c r="P237" s="1581"/>
      <c r="Q237" s="1581"/>
      <c r="R237" s="1581"/>
      <c r="S237" s="1581"/>
      <c r="T237" s="1581"/>
      <c r="U237" s="1581"/>
      <c r="X237" s="1580">
        <f t="shared" si="16"/>
        <v>4000</v>
      </c>
      <c r="Y237" s="1580">
        <f t="shared" si="15"/>
        <v>4280</v>
      </c>
      <c r="Z237" s="1580">
        <v>4280</v>
      </c>
      <c r="AA237" s="1730">
        <f t="shared" si="17"/>
        <v>0</v>
      </c>
      <c r="AB237" s="1580">
        <v>4000</v>
      </c>
      <c r="AC237" s="1730">
        <f t="shared" si="18"/>
        <v>0</v>
      </c>
      <c r="AD237" s="1610">
        <f>4000</f>
        <v>4000</v>
      </c>
      <c r="AE237" s="1734">
        <f>X237-AD237</f>
        <v>0</v>
      </c>
    </row>
    <row r="238" spans="1:31" ht="25.5">
      <c r="A238" s="1609">
        <v>225</v>
      </c>
      <c r="B238" s="1619" t="s">
        <v>1655</v>
      </c>
      <c r="C238" s="917" t="s">
        <v>1641</v>
      </c>
      <c r="D238" s="1619" t="s">
        <v>1268</v>
      </c>
      <c r="E238" s="1581"/>
      <c r="F238" s="1610"/>
      <c r="G238" s="1610">
        <f>6000</f>
        <v>6000</v>
      </c>
      <c r="H238" s="1581">
        <v>8400</v>
      </c>
      <c r="I238" s="1581">
        <v>7200</v>
      </c>
      <c r="J238" s="1722"/>
      <c r="K238" s="1581"/>
      <c r="L238" s="1727"/>
      <c r="M238" s="1581"/>
      <c r="N238" s="1581"/>
      <c r="O238" s="1581"/>
      <c r="P238" s="1581"/>
      <c r="Q238" s="1581"/>
      <c r="R238" s="1581"/>
      <c r="S238" s="1581"/>
      <c r="T238" s="1581"/>
      <c r="U238" s="1581"/>
      <c r="X238" s="1580">
        <f t="shared" si="16"/>
        <v>6000</v>
      </c>
      <c r="Y238" s="1580">
        <f t="shared" si="15"/>
        <v>6420</v>
      </c>
      <c r="Z238" s="1580">
        <v>6420</v>
      </c>
      <c r="AA238" s="1730">
        <f t="shared" si="17"/>
        <v>0</v>
      </c>
      <c r="AB238" s="1580">
        <v>6000</v>
      </c>
      <c r="AC238" s="1730">
        <f t="shared" si="18"/>
        <v>0</v>
      </c>
      <c r="AD238" s="1610">
        <f>6000</f>
        <v>6000</v>
      </c>
      <c r="AE238" s="1734">
        <f>X238-AD238</f>
        <v>0</v>
      </c>
    </row>
    <row r="239" spans="1:31" ht="25.5">
      <c r="A239" s="1609">
        <v>226</v>
      </c>
      <c r="B239" s="1619" t="s">
        <v>1655</v>
      </c>
      <c r="C239" s="917" t="s">
        <v>1656</v>
      </c>
      <c r="D239" s="1619" t="s">
        <v>1268</v>
      </c>
      <c r="E239" s="1581"/>
      <c r="F239" s="1610"/>
      <c r="G239" s="1610">
        <f>6000</f>
        <v>6000</v>
      </c>
      <c r="H239" s="1581">
        <v>8400</v>
      </c>
      <c r="I239" s="1581">
        <v>7800</v>
      </c>
      <c r="J239" s="1722"/>
      <c r="K239" s="1581"/>
      <c r="L239" s="1727"/>
      <c r="M239" s="1581"/>
      <c r="N239" s="1581"/>
      <c r="O239" s="1581"/>
      <c r="P239" s="1581"/>
      <c r="Q239" s="1581"/>
      <c r="R239" s="1581"/>
      <c r="S239" s="1581"/>
      <c r="T239" s="1581"/>
      <c r="U239" s="1581"/>
      <c r="X239" s="1580">
        <f t="shared" si="16"/>
        <v>6000</v>
      </c>
      <c r="Y239" s="1580">
        <f t="shared" si="15"/>
        <v>6420</v>
      </c>
      <c r="Z239" s="1610">
        <v>6420</v>
      </c>
      <c r="AA239" s="1730">
        <f t="shared" si="17"/>
        <v>0</v>
      </c>
      <c r="AB239" s="1580">
        <v>6000</v>
      </c>
      <c r="AC239" s="1730">
        <f t="shared" si="18"/>
        <v>0</v>
      </c>
      <c r="AD239" s="1610"/>
      <c r="AE239" s="1734"/>
    </row>
    <row r="240" spans="1:31" ht="38.25">
      <c r="A240" s="1609">
        <v>227</v>
      </c>
      <c r="B240" s="1619" t="s">
        <v>1655</v>
      </c>
      <c r="C240" s="917" t="s">
        <v>1657</v>
      </c>
      <c r="D240" s="1619" t="s">
        <v>1268</v>
      </c>
      <c r="E240" s="1581"/>
      <c r="F240" s="1610"/>
      <c r="G240" s="1610">
        <f>6000</f>
        <v>6000</v>
      </c>
      <c r="H240" s="1581">
        <v>8400</v>
      </c>
      <c r="I240" s="1581">
        <v>7800</v>
      </c>
      <c r="J240" s="1722"/>
      <c r="K240" s="1581"/>
      <c r="L240" s="1727"/>
      <c r="M240" s="1581"/>
      <c r="N240" s="1581"/>
      <c r="O240" s="1581"/>
      <c r="P240" s="1581"/>
      <c r="Q240" s="1581"/>
      <c r="R240" s="1581"/>
      <c r="S240" s="1581"/>
      <c r="T240" s="1581"/>
      <c r="U240" s="1581"/>
      <c r="X240" s="1580">
        <f t="shared" si="16"/>
        <v>6000</v>
      </c>
      <c r="Y240" s="1580">
        <f t="shared" si="15"/>
        <v>6420</v>
      </c>
      <c r="Z240" s="1610">
        <v>6420</v>
      </c>
      <c r="AA240" s="1730">
        <f t="shared" si="17"/>
        <v>0</v>
      </c>
      <c r="AB240" s="1580">
        <v>6000</v>
      </c>
      <c r="AC240" s="1730">
        <f t="shared" si="18"/>
        <v>0</v>
      </c>
      <c r="AD240" s="1610"/>
      <c r="AE240" s="1734"/>
    </row>
    <row r="241" spans="1:31" ht="38.25">
      <c r="A241" s="1609">
        <v>228</v>
      </c>
      <c r="B241" s="1619" t="s">
        <v>1655</v>
      </c>
      <c r="C241" s="917" t="s">
        <v>1652</v>
      </c>
      <c r="D241" s="1619" t="s">
        <v>1268</v>
      </c>
      <c r="E241" s="1581"/>
      <c r="F241" s="1610"/>
      <c r="G241" s="1610">
        <f>6500</f>
        <v>6500</v>
      </c>
      <c r="H241" s="1581">
        <v>9100</v>
      </c>
      <c r="I241" s="1581">
        <v>8450</v>
      </c>
      <c r="J241" s="1722"/>
      <c r="K241" s="1581"/>
      <c r="L241" s="1727"/>
      <c r="M241" s="1581"/>
      <c r="N241" s="1581"/>
      <c r="O241" s="1581"/>
      <c r="P241" s="1581"/>
      <c r="Q241" s="1581"/>
      <c r="R241" s="1581"/>
      <c r="S241" s="1581"/>
      <c r="T241" s="1581"/>
      <c r="U241" s="1581"/>
      <c r="X241" s="1580">
        <f t="shared" si="16"/>
        <v>6500</v>
      </c>
      <c r="Y241" s="1580">
        <f t="shared" si="15"/>
        <v>6955</v>
      </c>
      <c r="Z241" s="1610">
        <v>6955</v>
      </c>
      <c r="AA241" s="1730">
        <f t="shared" si="17"/>
        <v>0</v>
      </c>
      <c r="AB241" s="1580">
        <v>6500</v>
      </c>
      <c r="AC241" s="1730">
        <f t="shared" si="18"/>
        <v>0</v>
      </c>
      <c r="AD241" s="1610"/>
      <c r="AE241" s="1734"/>
    </row>
    <row r="242" spans="1:31" ht="38.25">
      <c r="A242" s="1609">
        <v>229</v>
      </c>
      <c r="B242" s="1619" t="s">
        <v>1655</v>
      </c>
      <c r="C242" s="917" t="s">
        <v>1658</v>
      </c>
      <c r="D242" s="1619" t="s">
        <v>1268</v>
      </c>
      <c r="E242" s="1581"/>
      <c r="F242" s="1610"/>
      <c r="G242" s="1610">
        <f>6000</f>
        <v>6000</v>
      </c>
      <c r="H242" s="1581">
        <v>8400</v>
      </c>
      <c r="I242" s="1581">
        <v>7800</v>
      </c>
      <c r="J242" s="1722"/>
      <c r="K242" s="1581"/>
      <c r="L242" s="1727"/>
      <c r="M242" s="1581"/>
      <c r="N242" s="1581"/>
      <c r="O242" s="1581"/>
      <c r="P242" s="1581"/>
      <c r="Q242" s="1581"/>
      <c r="R242" s="1581"/>
      <c r="S242" s="1581"/>
      <c r="T242" s="1581"/>
      <c r="U242" s="1581"/>
      <c r="X242" s="1580">
        <f t="shared" si="16"/>
        <v>6000</v>
      </c>
      <c r="Y242" s="1580">
        <f t="shared" si="15"/>
        <v>6420</v>
      </c>
      <c r="Z242" s="1610">
        <v>6420</v>
      </c>
      <c r="AA242" s="1730">
        <f t="shared" si="17"/>
        <v>0</v>
      </c>
      <c r="AB242" s="1580">
        <v>6000</v>
      </c>
      <c r="AC242" s="1730">
        <f t="shared" si="18"/>
        <v>0</v>
      </c>
      <c r="AD242" s="1610"/>
      <c r="AE242" s="1734"/>
    </row>
    <row r="243" spans="1:31" ht="38.25">
      <c r="A243" s="1609">
        <v>230</v>
      </c>
      <c r="B243" s="1619" t="s">
        <v>1655</v>
      </c>
      <c r="C243" s="917" t="s">
        <v>1659</v>
      </c>
      <c r="D243" s="1619" t="s">
        <v>1268</v>
      </c>
      <c r="E243" s="1581"/>
      <c r="F243" s="1610"/>
      <c r="G243" s="1610">
        <f>6000</f>
        <v>6000</v>
      </c>
      <c r="H243" s="1581">
        <v>8400</v>
      </c>
      <c r="I243" s="1581">
        <v>7800</v>
      </c>
      <c r="J243" s="1722"/>
      <c r="K243" s="1581"/>
      <c r="L243" s="1727"/>
      <c r="M243" s="1581"/>
      <c r="N243" s="1581"/>
      <c r="O243" s="1581"/>
      <c r="P243" s="1581"/>
      <c r="Q243" s="1581"/>
      <c r="R243" s="1581"/>
      <c r="S243" s="1581"/>
      <c r="T243" s="1581"/>
      <c r="U243" s="1581"/>
      <c r="X243" s="1580">
        <f t="shared" si="16"/>
        <v>6000</v>
      </c>
      <c r="Y243" s="1580">
        <f t="shared" si="15"/>
        <v>6420</v>
      </c>
      <c r="Z243" s="1610">
        <v>6420</v>
      </c>
      <c r="AA243" s="1730">
        <f t="shared" si="17"/>
        <v>0</v>
      </c>
      <c r="AB243" s="1580">
        <v>6000</v>
      </c>
      <c r="AC243" s="1730">
        <f t="shared" si="18"/>
        <v>0</v>
      </c>
      <c r="AD243" s="1610"/>
      <c r="AE243" s="1734"/>
    </row>
    <row r="244" spans="1:31" ht="38.25">
      <c r="A244" s="1609">
        <v>231</v>
      </c>
      <c r="B244" s="1625" t="s">
        <v>1655</v>
      </c>
      <c r="C244" s="1579" t="s">
        <v>1660</v>
      </c>
      <c r="D244" s="1625" t="s">
        <v>1268</v>
      </c>
      <c r="E244" s="1581"/>
      <c r="F244" s="1581"/>
      <c r="G244" s="1581">
        <f>6000</f>
        <v>6000</v>
      </c>
      <c r="H244" s="1581">
        <v>8400</v>
      </c>
      <c r="I244" s="1581">
        <v>7800</v>
      </c>
      <c r="J244" s="1722"/>
      <c r="K244" s="1581"/>
      <c r="L244" s="1727"/>
      <c r="M244" s="1581"/>
      <c r="N244" s="1581"/>
      <c r="O244" s="1581"/>
      <c r="P244" s="1581"/>
      <c r="Q244" s="1581"/>
      <c r="R244" s="1581"/>
      <c r="S244" s="1581"/>
      <c r="T244" s="1581"/>
      <c r="U244" s="1581"/>
      <c r="X244" s="1580">
        <f t="shared" si="16"/>
        <v>6000</v>
      </c>
      <c r="Y244" s="1580">
        <f t="shared" si="15"/>
        <v>6420</v>
      </c>
      <c r="Z244" s="1610">
        <v>6420</v>
      </c>
      <c r="AA244" s="1730">
        <f t="shared" si="17"/>
        <v>0</v>
      </c>
      <c r="AC244" s="1730"/>
      <c r="AD244" s="1581">
        <f>6000</f>
        <v>6000</v>
      </c>
      <c r="AE244" s="1734"/>
    </row>
    <row r="245" spans="1:31" ht="38.25">
      <c r="A245" s="1609">
        <v>232</v>
      </c>
      <c r="B245" s="1625" t="s">
        <v>1655</v>
      </c>
      <c r="C245" s="1579" t="s">
        <v>1661</v>
      </c>
      <c r="D245" s="1625" t="s">
        <v>1268</v>
      </c>
      <c r="E245" s="1581"/>
      <c r="F245" s="1581"/>
      <c r="G245" s="1581">
        <f>6500</f>
        <v>6500</v>
      </c>
      <c r="H245" s="1581">
        <v>9100</v>
      </c>
      <c r="I245" s="1581">
        <v>8450</v>
      </c>
      <c r="J245" s="1722"/>
      <c r="K245" s="1581"/>
      <c r="L245" s="1727"/>
      <c r="M245" s="1581"/>
      <c r="N245" s="1581"/>
      <c r="O245" s="1581"/>
      <c r="P245" s="1581"/>
      <c r="Q245" s="1581"/>
      <c r="R245" s="1581"/>
      <c r="S245" s="1581"/>
      <c r="T245" s="1581"/>
      <c r="U245" s="1581"/>
      <c r="X245" s="1580">
        <f t="shared" si="16"/>
        <v>6500</v>
      </c>
      <c r="Y245" s="1580">
        <f t="shared" si="15"/>
        <v>6955</v>
      </c>
      <c r="Z245" s="1610">
        <v>6955</v>
      </c>
      <c r="AA245" s="1730">
        <f t="shared" si="17"/>
        <v>0</v>
      </c>
      <c r="AC245" s="1730"/>
      <c r="AD245" s="1581">
        <f>6500</f>
        <v>6500</v>
      </c>
      <c r="AE245" s="1734"/>
    </row>
    <row r="246" spans="1:31" ht="38.25">
      <c r="A246" s="1609">
        <v>233</v>
      </c>
      <c r="B246" s="1625" t="s">
        <v>1655</v>
      </c>
      <c r="C246" s="1579" t="s">
        <v>1662</v>
      </c>
      <c r="D246" s="1625" t="s">
        <v>1268</v>
      </c>
      <c r="E246" s="1581"/>
      <c r="F246" s="1581"/>
      <c r="G246" s="1581">
        <f>8500</f>
        <v>8500</v>
      </c>
      <c r="H246" s="1581">
        <v>11900</v>
      </c>
      <c r="I246" s="1581">
        <v>11050</v>
      </c>
      <c r="J246" s="1722"/>
      <c r="K246" s="1581"/>
      <c r="L246" s="1727"/>
      <c r="M246" s="1581"/>
      <c r="N246" s="1581"/>
      <c r="O246" s="1581"/>
      <c r="P246" s="1581"/>
      <c r="Q246" s="1581"/>
      <c r="R246" s="1581"/>
      <c r="S246" s="1581"/>
      <c r="T246" s="1581"/>
      <c r="U246" s="1581"/>
      <c r="X246" s="1580">
        <f t="shared" si="16"/>
        <v>8500</v>
      </c>
      <c r="Y246" s="1580">
        <f t="shared" si="15"/>
        <v>9095</v>
      </c>
      <c r="Z246" s="1610">
        <v>9095</v>
      </c>
      <c r="AA246" s="1730">
        <f t="shared" si="17"/>
        <v>0</v>
      </c>
      <c r="AC246" s="1730"/>
      <c r="AD246" s="1581">
        <f>8500</f>
        <v>8500</v>
      </c>
      <c r="AE246" s="1734"/>
    </row>
    <row r="247" spans="1:31" ht="38.25">
      <c r="A247" s="1609">
        <v>234</v>
      </c>
      <c r="B247" s="1619" t="s">
        <v>1663</v>
      </c>
      <c r="C247" s="917" t="s">
        <v>1664</v>
      </c>
      <c r="D247" s="1619" t="s">
        <v>1268</v>
      </c>
      <c r="E247" s="1581"/>
      <c r="F247" s="1610"/>
      <c r="G247" s="1610">
        <f>6000</f>
        <v>6000</v>
      </c>
      <c r="H247" s="1581">
        <v>8400</v>
      </c>
      <c r="I247" s="1581">
        <v>7200</v>
      </c>
      <c r="J247" s="1722"/>
      <c r="K247" s="1581"/>
      <c r="L247" s="1727"/>
      <c r="M247" s="1581"/>
      <c r="N247" s="1581"/>
      <c r="O247" s="1581"/>
      <c r="P247" s="1581"/>
      <c r="Q247" s="1581"/>
      <c r="R247" s="1581"/>
      <c r="S247" s="1581"/>
      <c r="T247" s="1581"/>
      <c r="U247" s="1581"/>
      <c r="X247" s="1580">
        <f t="shared" si="16"/>
        <v>6000</v>
      </c>
      <c r="Y247" s="1580">
        <f t="shared" si="15"/>
        <v>6420</v>
      </c>
      <c r="Z247" s="1610">
        <v>6420</v>
      </c>
      <c r="AA247" s="1730">
        <f t="shared" si="17"/>
        <v>0</v>
      </c>
      <c r="AC247" s="1730"/>
      <c r="AD247" s="1610"/>
      <c r="AE247" s="1734">
        <f>X247-AD244</f>
        <v>0</v>
      </c>
    </row>
    <row r="248" spans="1:31" hidden="1">
      <c r="A248" s="1609">
        <v>220</v>
      </c>
      <c r="B248" s="1620" t="s">
        <v>1665</v>
      </c>
      <c r="C248" s="1579" t="s">
        <v>1666</v>
      </c>
      <c r="D248" s="1620" t="s">
        <v>1022</v>
      </c>
      <c r="E248" s="1581"/>
      <c r="F248" s="1581"/>
      <c r="G248" s="1581"/>
      <c r="H248" s="1581"/>
      <c r="I248" s="1581"/>
      <c r="J248" s="1722"/>
      <c r="K248" s="1581"/>
      <c r="L248" s="1727"/>
      <c r="M248" s="1581"/>
      <c r="N248" s="1581"/>
      <c r="O248" s="1581"/>
      <c r="P248" s="1581"/>
      <c r="Q248" s="1581"/>
      <c r="R248" s="1581"/>
      <c r="S248" s="1581"/>
      <c r="T248" s="1581"/>
      <c r="U248" s="1581"/>
      <c r="X248" s="1580">
        <f t="shared" si="16"/>
        <v>0</v>
      </c>
      <c r="Y248" s="1580">
        <f t="shared" si="15"/>
        <v>0</v>
      </c>
      <c r="Z248" s="1581"/>
      <c r="AA248" s="1730">
        <f t="shared" si="17"/>
        <v>0</v>
      </c>
      <c r="AC248" s="1730">
        <f t="shared" si="18"/>
        <v>0</v>
      </c>
      <c r="AD248" s="1581"/>
      <c r="AE248" s="1734">
        <f>X248-AD245</f>
        <v>-6500</v>
      </c>
    </row>
    <row r="249" spans="1:31">
      <c r="A249" s="1609">
        <v>235</v>
      </c>
      <c r="B249" s="1618" t="s">
        <v>1665</v>
      </c>
      <c r="C249" s="1579" t="s">
        <v>1667</v>
      </c>
      <c r="D249" s="1618" t="s">
        <v>1022</v>
      </c>
      <c r="E249" s="1581"/>
      <c r="F249" s="1581"/>
      <c r="G249" s="1581"/>
      <c r="H249" s="1581"/>
      <c r="I249" s="1581"/>
      <c r="J249" s="1722">
        <v>1600</v>
      </c>
      <c r="K249" s="1581">
        <v>1800</v>
      </c>
      <c r="L249" s="1727">
        <v>1800</v>
      </c>
      <c r="M249" s="1581"/>
      <c r="N249" s="1581"/>
      <c r="O249" s="1581"/>
      <c r="P249" s="1581"/>
      <c r="Q249" s="1581"/>
      <c r="R249" s="1581"/>
      <c r="S249" s="1581"/>
      <c r="T249" s="1581"/>
      <c r="U249" s="1581"/>
      <c r="X249" s="1580">
        <f t="shared" si="16"/>
        <v>1600</v>
      </c>
      <c r="Y249" s="1580">
        <f t="shared" si="15"/>
        <v>1712</v>
      </c>
      <c r="Z249" s="1581">
        <v>1712</v>
      </c>
      <c r="AA249" s="1730">
        <f t="shared" si="17"/>
        <v>0</v>
      </c>
      <c r="AB249" s="1580">
        <v>1600</v>
      </c>
      <c r="AC249" s="1730">
        <f t="shared" si="18"/>
        <v>0</v>
      </c>
      <c r="AD249" s="1581">
        <f>1600</f>
        <v>1600</v>
      </c>
      <c r="AE249" s="1734">
        <f>X249-AD249</f>
        <v>0</v>
      </c>
    </row>
    <row r="250" spans="1:31" ht="25.5">
      <c r="A250" s="1609">
        <v>236</v>
      </c>
      <c r="B250" s="1618" t="s">
        <v>1668</v>
      </c>
      <c r="C250" s="1579" t="s">
        <v>1669</v>
      </c>
      <c r="D250" s="1618" t="s">
        <v>1022</v>
      </c>
      <c r="E250" s="1581">
        <f>500</f>
        <v>500</v>
      </c>
      <c r="F250" s="1581"/>
      <c r="G250" s="1581"/>
      <c r="H250" s="1581">
        <v>700</v>
      </c>
      <c r="I250" s="1581">
        <v>550</v>
      </c>
      <c r="J250" s="1722"/>
      <c r="K250" s="1581"/>
      <c r="L250" s="1727"/>
      <c r="M250" s="1581"/>
      <c r="N250" s="1581"/>
      <c r="O250" s="1581"/>
      <c r="P250" s="1581"/>
      <c r="Q250" s="1581"/>
      <c r="R250" s="1581"/>
      <c r="S250" s="1581"/>
      <c r="T250" s="1581"/>
      <c r="U250" s="1581"/>
      <c r="X250" s="1580">
        <f t="shared" si="16"/>
        <v>500</v>
      </c>
      <c r="Y250" s="1580">
        <f t="shared" si="15"/>
        <v>535</v>
      </c>
      <c r="Z250" s="1581">
        <v>535</v>
      </c>
      <c r="AA250" s="1730">
        <f t="shared" si="17"/>
        <v>0</v>
      </c>
      <c r="AB250" s="1580">
        <v>500</v>
      </c>
      <c r="AC250" s="1730">
        <f t="shared" si="18"/>
        <v>0</v>
      </c>
      <c r="AD250" s="1581">
        <f>500</f>
        <v>500</v>
      </c>
      <c r="AE250" s="1734">
        <f t="shared" ref="AE250:AE258" si="20">X250-AD250</f>
        <v>0</v>
      </c>
    </row>
    <row r="251" spans="1:31" ht="34.5" hidden="1" customHeight="1">
      <c r="A251" s="1609">
        <v>237</v>
      </c>
      <c r="B251" s="1610" t="s">
        <v>1670</v>
      </c>
      <c r="C251" s="1579" t="s">
        <v>1671</v>
      </c>
      <c r="D251" s="1610" t="s">
        <v>1672</v>
      </c>
      <c r="E251" s="1581"/>
      <c r="F251" s="1581"/>
      <c r="G251" s="1581"/>
      <c r="H251" s="1581"/>
      <c r="I251" s="1581"/>
      <c r="J251" s="1722"/>
      <c r="K251" s="1581"/>
      <c r="L251" s="1727"/>
      <c r="M251" s="1581"/>
      <c r="N251" s="1581"/>
      <c r="O251" s="1581"/>
      <c r="P251" s="1581"/>
      <c r="Q251" s="1581"/>
      <c r="R251" s="1581"/>
      <c r="S251" s="1581"/>
      <c r="T251" s="1581"/>
      <c r="U251" s="1581"/>
      <c r="X251" s="1580">
        <f t="shared" si="16"/>
        <v>0</v>
      </c>
      <c r="Y251" s="1580">
        <f t="shared" si="15"/>
        <v>0</v>
      </c>
      <c r="Z251" s="1610">
        <f>6000*1.07</f>
        <v>6420</v>
      </c>
      <c r="AA251" s="1730">
        <f t="shared" si="17"/>
        <v>-6420</v>
      </c>
      <c r="AC251" s="1730">
        <f t="shared" si="18"/>
        <v>0</v>
      </c>
      <c r="AD251" s="1581"/>
      <c r="AE251" s="1734">
        <f t="shared" si="20"/>
        <v>0</v>
      </c>
    </row>
    <row r="252" spans="1:31" hidden="1">
      <c r="A252" s="1581">
        <v>314</v>
      </c>
      <c r="B252" s="1579" t="s">
        <v>1673</v>
      </c>
      <c r="C252" s="1579" t="s">
        <v>1674</v>
      </c>
      <c r="D252" s="1625" t="s">
        <v>1268</v>
      </c>
      <c r="E252" s="1581"/>
      <c r="F252" s="1581"/>
      <c r="G252" s="1581"/>
      <c r="H252" s="1581"/>
      <c r="I252" s="1581"/>
      <c r="J252" s="1722"/>
      <c r="K252" s="1581"/>
      <c r="L252" s="1727"/>
      <c r="M252" s="1581"/>
      <c r="N252" s="1581"/>
      <c r="O252" s="1581"/>
      <c r="P252" s="1581"/>
      <c r="Q252" s="1581"/>
      <c r="R252" s="1581"/>
      <c r="S252" s="1581"/>
      <c r="T252" s="1581"/>
      <c r="U252" s="1581"/>
      <c r="X252" s="1580">
        <f t="shared" si="16"/>
        <v>0</v>
      </c>
      <c r="Y252" s="1580">
        <f t="shared" si="15"/>
        <v>0</v>
      </c>
      <c r="Z252" s="1581"/>
      <c r="AA252" s="1730">
        <f t="shared" si="17"/>
        <v>0</v>
      </c>
      <c r="AC252" s="1730">
        <f t="shared" si="18"/>
        <v>0</v>
      </c>
      <c r="AD252" s="1581"/>
      <c r="AE252" s="1734">
        <f t="shared" si="20"/>
        <v>0</v>
      </c>
    </row>
    <row r="253" spans="1:31" ht="38.25">
      <c r="A253" s="1609">
        <v>238</v>
      </c>
      <c r="B253" s="1620" t="s">
        <v>1675</v>
      </c>
      <c r="C253" s="1579" t="s">
        <v>1676</v>
      </c>
      <c r="D253" s="1620" t="s">
        <v>1022</v>
      </c>
      <c r="E253" s="1581"/>
      <c r="F253" s="1581"/>
      <c r="G253" s="1581"/>
      <c r="H253" s="1581"/>
      <c r="I253" s="1581"/>
      <c r="J253" s="1722"/>
      <c r="K253" s="1581"/>
      <c r="L253" s="1727">
        <v>7700</v>
      </c>
      <c r="M253" s="1581"/>
      <c r="N253" s="1581"/>
      <c r="O253" s="1581"/>
      <c r="P253" s="1581"/>
      <c r="Q253" s="1581"/>
      <c r="R253" s="1581"/>
      <c r="S253" s="1581"/>
      <c r="T253" s="1581"/>
      <c r="U253" s="1581"/>
      <c r="V253" s="1580">
        <v>7500</v>
      </c>
      <c r="W253" s="1580">
        <v>7500</v>
      </c>
      <c r="X253" s="1580">
        <f>MIN(E253:W253)</f>
        <v>7500</v>
      </c>
      <c r="Y253" s="1580">
        <f t="shared" si="15"/>
        <v>8025.0000000000009</v>
      </c>
      <c r="Z253" s="1581">
        <v>8025</v>
      </c>
      <c r="AA253" s="1730">
        <f t="shared" si="17"/>
        <v>0</v>
      </c>
      <c r="AC253" s="1730"/>
      <c r="AD253" s="1581"/>
      <c r="AE253" s="1734"/>
    </row>
    <row r="254" spans="1:31" ht="25.5" hidden="1">
      <c r="A254" s="1581"/>
      <c r="B254" s="1056" t="s">
        <v>1677</v>
      </c>
      <c r="C254" s="917" t="s">
        <v>1678</v>
      </c>
      <c r="D254" s="1609" t="s">
        <v>1022</v>
      </c>
      <c r="E254" s="1610"/>
      <c r="F254" s="1610"/>
      <c r="G254" s="1610"/>
      <c r="H254" s="1581"/>
      <c r="I254" s="1581"/>
      <c r="J254" s="1722"/>
      <c r="K254" s="1581"/>
      <c r="L254" s="1727"/>
      <c r="M254" s="1581"/>
      <c r="N254" s="1581"/>
      <c r="O254" s="1581"/>
      <c r="P254" s="1581"/>
      <c r="Q254" s="1581"/>
      <c r="R254" s="1581"/>
      <c r="S254" s="1581"/>
      <c r="T254" s="1581"/>
      <c r="U254" s="1581"/>
      <c r="X254" s="1580">
        <f t="shared" si="16"/>
        <v>0</v>
      </c>
      <c r="Y254" s="1580">
        <f t="shared" si="15"/>
        <v>0</v>
      </c>
      <c r="Z254" s="1581">
        <f>500*1.07</f>
        <v>535</v>
      </c>
      <c r="AA254" s="1730">
        <f t="shared" si="17"/>
        <v>-535</v>
      </c>
      <c r="AC254" s="1730">
        <f t="shared" si="18"/>
        <v>0</v>
      </c>
      <c r="AD254" s="1610"/>
      <c r="AE254" s="1734">
        <f t="shared" si="20"/>
        <v>0</v>
      </c>
    </row>
    <row r="255" spans="1:31">
      <c r="A255" s="1609">
        <v>239</v>
      </c>
      <c r="B255" s="1618" t="s">
        <v>1680</v>
      </c>
      <c r="C255" s="1579" t="s">
        <v>1681</v>
      </c>
      <c r="D255" s="1618" t="s">
        <v>1022</v>
      </c>
      <c r="E255" s="1581"/>
      <c r="F255" s="1581">
        <f>10000</f>
        <v>10000</v>
      </c>
      <c r="G255" s="1581"/>
      <c r="H255" s="1581">
        <v>14000</v>
      </c>
      <c r="I255" s="1581">
        <v>12000</v>
      </c>
      <c r="J255" s="1722"/>
      <c r="K255" s="1581"/>
      <c r="L255" s="1727"/>
      <c r="M255" s="1581"/>
      <c r="N255" s="1581"/>
      <c r="O255" s="1581"/>
      <c r="P255" s="1581"/>
      <c r="Q255" s="1581"/>
      <c r="R255" s="1581"/>
      <c r="S255" s="1581"/>
      <c r="T255" s="1581"/>
      <c r="U255" s="1581"/>
      <c r="X255" s="1580">
        <f t="shared" si="16"/>
        <v>10000</v>
      </c>
      <c r="Y255" s="1580">
        <f t="shared" si="15"/>
        <v>10700</v>
      </c>
      <c r="Z255" s="1581">
        <v>10700</v>
      </c>
      <c r="AA255" s="1730">
        <f t="shared" si="17"/>
        <v>0</v>
      </c>
      <c r="AB255" s="1580">
        <v>10000</v>
      </c>
      <c r="AC255" s="1730">
        <f t="shared" si="18"/>
        <v>0</v>
      </c>
      <c r="AD255" s="1581">
        <f>10000</f>
        <v>10000</v>
      </c>
      <c r="AE255" s="1734">
        <f t="shared" si="20"/>
        <v>0</v>
      </c>
    </row>
    <row r="256" spans="1:31" ht="25.5">
      <c r="A256" s="1609">
        <v>240</v>
      </c>
      <c r="B256" s="1618" t="s">
        <v>1682</v>
      </c>
      <c r="C256" s="917" t="s">
        <v>1683</v>
      </c>
      <c r="D256" s="1619" t="s">
        <v>1268</v>
      </c>
      <c r="E256" s="1581"/>
      <c r="F256" s="1610"/>
      <c r="G256" s="1610">
        <f>20</f>
        <v>20</v>
      </c>
      <c r="H256" s="1581">
        <v>28</v>
      </c>
      <c r="I256" s="1581">
        <v>26</v>
      </c>
      <c r="J256" s="1722"/>
      <c r="K256" s="1581"/>
      <c r="L256" s="1727"/>
      <c r="M256" s="1581"/>
      <c r="N256" s="1581"/>
      <c r="O256" s="1581"/>
      <c r="P256" s="1581"/>
      <c r="Q256" s="1581"/>
      <c r="R256" s="1581"/>
      <c r="S256" s="1581"/>
      <c r="T256" s="1581"/>
      <c r="U256" s="1581"/>
      <c r="X256" s="1580">
        <f t="shared" si="16"/>
        <v>20</v>
      </c>
      <c r="Y256" s="1580">
        <f t="shared" si="15"/>
        <v>21.400000000000002</v>
      </c>
      <c r="Z256" s="1610">
        <f>20*1.07</f>
        <v>21.400000000000002</v>
      </c>
      <c r="AA256" s="1730">
        <f t="shared" si="17"/>
        <v>0</v>
      </c>
      <c r="AB256" s="1580">
        <v>20</v>
      </c>
      <c r="AC256" s="1730">
        <f t="shared" si="18"/>
        <v>0</v>
      </c>
      <c r="AD256" s="1610">
        <f>20</f>
        <v>20</v>
      </c>
      <c r="AE256" s="1734">
        <f t="shared" si="20"/>
        <v>0</v>
      </c>
    </row>
    <row r="257" spans="1:31" ht="25.5">
      <c r="A257" s="1609">
        <v>241</v>
      </c>
      <c r="B257" s="1618" t="s">
        <v>1682</v>
      </c>
      <c r="C257" s="917" t="s">
        <v>1684</v>
      </c>
      <c r="D257" s="1619" t="s">
        <v>1268</v>
      </c>
      <c r="E257" s="1581"/>
      <c r="F257" s="1610"/>
      <c r="G257" s="1610">
        <f>20</f>
        <v>20</v>
      </c>
      <c r="H257" s="1581">
        <v>28</v>
      </c>
      <c r="I257" s="1581">
        <v>26</v>
      </c>
      <c r="J257" s="1722"/>
      <c r="K257" s="1581"/>
      <c r="L257" s="1727"/>
      <c r="M257" s="1581"/>
      <c r="N257" s="1581"/>
      <c r="O257" s="1581"/>
      <c r="P257" s="1581"/>
      <c r="Q257" s="1581"/>
      <c r="R257" s="1581"/>
      <c r="S257" s="1581"/>
      <c r="T257" s="1581"/>
      <c r="U257" s="1581"/>
      <c r="X257" s="1580">
        <f t="shared" si="16"/>
        <v>20</v>
      </c>
      <c r="Y257" s="1580">
        <f t="shared" si="15"/>
        <v>21.400000000000002</v>
      </c>
      <c r="Z257" s="1610">
        <f>20*1.07</f>
        <v>21.400000000000002</v>
      </c>
      <c r="AA257" s="1730">
        <f t="shared" si="17"/>
        <v>0</v>
      </c>
      <c r="AB257" s="1580">
        <v>20</v>
      </c>
      <c r="AC257" s="1730">
        <f t="shared" si="18"/>
        <v>0</v>
      </c>
      <c r="AD257" s="1610">
        <f>20</f>
        <v>20</v>
      </c>
      <c r="AE257" s="1734">
        <f t="shared" si="20"/>
        <v>0</v>
      </c>
    </row>
    <row r="258" spans="1:31" ht="25.5">
      <c r="A258" s="1609">
        <v>242</v>
      </c>
      <c r="B258" s="1618" t="s">
        <v>1682</v>
      </c>
      <c r="C258" s="917" t="s">
        <v>1685</v>
      </c>
      <c r="D258" s="1619" t="s">
        <v>1268</v>
      </c>
      <c r="E258" s="1581"/>
      <c r="F258" s="1610"/>
      <c r="G258" s="1610">
        <f>20</f>
        <v>20</v>
      </c>
      <c r="H258" s="1581">
        <v>28</v>
      </c>
      <c r="I258" s="1581">
        <v>26</v>
      </c>
      <c r="J258" s="1722"/>
      <c r="K258" s="1581"/>
      <c r="L258" s="1727"/>
      <c r="M258" s="1581"/>
      <c r="N258" s="1581"/>
      <c r="O258" s="1581"/>
      <c r="P258" s="1581"/>
      <c r="Q258" s="1581"/>
      <c r="R258" s="1581"/>
      <c r="S258" s="1581"/>
      <c r="T258" s="1581"/>
      <c r="U258" s="1581"/>
      <c r="X258" s="1580">
        <f t="shared" si="16"/>
        <v>20</v>
      </c>
      <c r="Y258" s="1580">
        <f t="shared" si="15"/>
        <v>21.400000000000002</v>
      </c>
      <c r="Z258" s="1610">
        <f>20*1.07</f>
        <v>21.400000000000002</v>
      </c>
      <c r="AA258" s="1730">
        <f t="shared" si="17"/>
        <v>0</v>
      </c>
      <c r="AB258" s="1580">
        <v>20</v>
      </c>
      <c r="AC258" s="1730">
        <f t="shared" si="18"/>
        <v>0</v>
      </c>
      <c r="AD258" s="1610">
        <f>20</f>
        <v>20</v>
      </c>
      <c r="AE258" s="1734">
        <f t="shared" si="20"/>
        <v>0</v>
      </c>
    </row>
    <row r="259" spans="1:31" ht="25.5">
      <c r="A259" s="1609">
        <v>243</v>
      </c>
      <c r="B259" s="1618" t="s">
        <v>1682</v>
      </c>
      <c r="C259" s="917" t="s">
        <v>1686</v>
      </c>
      <c r="D259" s="1619" t="s">
        <v>1268</v>
      </c>
      <c r="E259" s="1581"/>
      <c r="F259" s="1610"/>
      <c r="G259" s="1610">
        <f>20</f>
        <v>20</v>
      </c>
      <c r="H259" s="1581">
        <v>28</v>
      </c>
      <c r="I259" s="1581">
        <v>26</v>
      </c>
      <c r="J259" s="1722"/>
      <c r="K259" s="1581"/>
      <c r="L259" s="1727"/>
      <c r="M259" s="1581"/>
      <c r="N259" s="1581"/>
      <c r="O259" s="1581"/>
      <c r="P259" s="1581"/>
      <c r="Q259" s="1581"/>
      <c r="R259" s="1581"/>
      <c r="S259" s="1581"/>
      <c r="T259" s="1581"/>
      <c r="U259" s="1581"/>
      <c r="X259" s="1580">
        <f t="shared" si="16"/>
        <v>20</v>
      </c>
      <c r="Y259" s="1580">
        <f t="shared" si="15"/>
        <v>21.400000000000002</v>
      </c>
      <c r="Z259" s="1610">
        <f>20*1.07</f>
        <v>21.400000000000002</v>
      </c>
      <c r="AA259" s="1730">
        <f t="shared" si="17"/>
        <v>0</v>
      </c>
      <c r="AB259" s="1580">
        <v>20</v>
      </c>
      <c r="AC259" s="1730">
        <f t="shared" si="18"/>
        <v>0</v>
      </c>
      <c r="AD259" s="1610">
        <f>20*1.07</f>
        <v>21.400000000000002</v>
      </c>
      <c r="AE259" s="1734">
        <f>X259-AD256</f>
        <v>0</v>
      </c>
    </row>
    <row r="260" spans="1:31">
      <c r="A260" s="1609">
        <v>244</v>
      </c>
      <c r="B260" s="1618" t="s">
        <v>1687</v>
      </c>
      <c r="C260" s="1579" t="s">
        <v>1688</v>
      </c>
      <c r="D260" s="1618" t="s">
        <v>1395</v>
      </c>
      <c r="E260" s="1581"/>
      <c r="F260" s="1581"/>
      <c r="G260" s="1581"/>
      <c r="H260" s="1581"/>
      <c r="I260" s="1581"/>
      <c r="J260" s="1722"/>
      <c r="K260" s="1581"/>
      <c r="L260" s="1727"/>
      <c r="M260" s="1581"/>
      <c r="N260" s="1581"/>
      <c r="O260" s="1581"/>
      <c r="P260" s="1581"/>
      <c r="Q260" s="1581"/>
      <c r="R260" s="1581"/>
      <c r="S260" s="1581">
        <v>140</v>
      </c>
      <c r="T260" s="1581">
        <v>150</v>
      </c>
      <c r="U260" s="1581">
        <v>155</v>
      </c>
      <c r="X260" s="1580">
        <f t="shared" si="16"/>
        <v>140</v>
      </c>
      <c r="Y260" s="1580">
        <f t="shared" si="15"/>
        <v>149.80000000000001</v>
      </c>
      <c r="Z260" s="1610">
        <v>149.80000000000001</v>
      </c>
      <c r="AA260" s="1730">
        <f t="shared" si="17"/>
        <v>0</v>
      </c>
      <c r="AC260" s="1730"/>
      <c r="AD260" s="1610"/>
      <c r="AE260" s="1734"/>
    </row>
    <row r="261" spans="1:31">
      <c r="A261" s="1609">
        <v>245</v>
      </c>
      <c r="B261" s="1620" t="s">
        <v>1689</v>
      </c>
      <c r="C261" s="1579" t="s">
        <v>1690</v>
      </c>
      <c r="D261" s="1620" t="s">
        <v>1395</v>
      </c>
      <c r="F261" s="1581"/>
      <c r="G261" s="1581"/>
      <c r="H261" s="1581"/>
      <c r="I261" s="1581"/>
      <c r="J261" s="1581">
        <f>150</f>
        <v>150</v>
      </c>
      <c r="K261" s="1581">
        <v>200</v>
      </c>
      <c r="L261" s="1727">
        <v>200</v>
      </c>
      <c r="M261" s="1581"/>
      <c r="N261" s="1581"/>
      <c r="O261" s="1581"/>
      <c r="P261" s="1581"/>
      <c r="Q261" s="1581"/>
      <c r="R261" s="1581"/>
      <c r="S261" s="1581"/>
      <c r="T261" s="1581"/>
      <c r="U261" s="1581"/>
      <c r="X261" s="1580">
        <f t="shared" si="16"/>
        <v>150</v>
      </c>
      <c r="Y261" s="1580">
        <f t="shared" si="15"/>
        <v>160.5</v>
      </c>
      <c r="Z261" s="1610">
        <v>160.5</v>
      </c>
      <c r="AA261" s="1730">
        <f t="shared" si="17"/>
        <v>0</v>
      </c>
      <c r="AC261" s="1730"/>
      <c r="AD261" s="1610"/>
      <c r="AE261" s="1734"/>
    </row>
    <row r="262" spans="1:31" ht="38.25">
      <c r="A262" s="1609">
        <v>246</v>
      </c>
      <c r="B262" s="1056" t="s">
        <v>1691</v>
      </c>
      <c r="C262" s="917" t="s">
        <v>1692</v>
      </c>
      <c r="D262" s="1609" t="s">
        <v>1022</v>
      </c>
      <c r="E262" s="1581"/>
      <c r="F262" s="1610"/>
      <c r="G262" s="1610"/>
      <c r="H262" s="1581"/>
      <c r="I262" s="1581"/>
      <c r="J262" s="1723">
        <f>600</f>
        <v>600</v>
      </c>
      <c r="K262" s="1581">
        <v>650</v>
      </c>
      <c r="L262" s="1727">
        <v>660</v>
      </c>
      <c r="M262" s="1581"/>
      <c r="N262" s="1581"/>
      <c r="O262" s="1581"/>
      <c r="P262" s="1581"/>
      <c r="Q262" s="1581"/>
      <c r="R262" s="1581"/>
      <c r="S262" s="1581"/>
      <c r="T262" s="1581"/>
      <c r="U262" s="1581"/>
      <c r="X262" s="1580">
        <f t="shared" si="16"/>
        <v>600</v>
      </c>
      <c r="Y262" s="1580">
        <f t="shared" si="15"/>
        <v>642</v>
      </c>
      <c r="Z262" s="1610">
        <v>642</v>
      </c>
      <c r="AA262" s="1730">
        <f t="shared" si="17"/>
        <v>0</v>
      </c>
      <c r="AB262" s="1580">
        <v>600</v>
      </c>
      <c r="AC262" s="1730">
        <f t="shared" si="18"/>
        <v>0</v>
      </c>
      <c r="AD262" s="1610">
        <f>600</f>
        <v>600</v>
      </c>
      <c r="AE262" s="1734">
        <f>X262-AD262</f>
        <v>0</v>
      </c>
    </row>
    <row r="263" spans="1:31" ht="0.75" customHeight="1">
      <c r="A263" s="1581"/>
      <c r="B263" s="1056" t="s">
        <v>1694</v>
      </c>
      <c r="C263" s="917" t="s">
        <v>1695</v>
      </c>
      <c r="D263" s="1609" t="s">
        <v>1022</v>
      </c>
      <c r="E263" s="1610"/>
      <c r="F263" s="1610"/>
      <c r="G263" s="1610"/>
      <c r="H263" s="1581"/>
      <c r="I263" s="1581"/>
      <c r="J263" s="1722"/>
      <c r="K263" s="1581"/>
      <c r="L263" s="1727"/>
      <c r="M263" s="1581"/>
      <c r="N263" s="1581"/>
      <c r="O263" s="1581"/>
      <c r="P263" s="1581"/>
      <c r="Q263" s="1581"/>
      <c r="R263" s="1581"/>
      <c r="S263" s="1581"/>
      <c r="T263" s="1581"/>
      <c r="U263" s="1581"/>
      <c r="X263" s="1580">
        <f t="shared" si="16"/>
        <v>0</v>
      </c>
      <c r="Y263" s="1580">
        <f t="shared" si="15"/>
        <v>0</v>
      </c>
      <c r="Z263" s="1610">
        <f>20*1.07</f>
        <v>21.400000000000002</v>
      </c>
      <c r="AA263" s="1730">
        <f t="shared" si="17"/>
        <v>-21.400000000000002</v>
      </c>
      <c r="AC263" s="1730">
        <f t="shared" si="18"/>
        <v>0</v>
      </c>
      <c r="AD263" s="1610"/>
      <c r="AE263" s="1734">
        <f>X263-AD260</f>
        <v>0</v>
      </c>
    </row>
    <row r="264" spans="1:31" ht="25.5" hidden="1">
      <c r="A264" s="1609">
        <v>195</v>
      </c>
      <c r="B264" s="1618" t="s">
        <v>1696</v>
      </c>
      <c r="C264" s="1579" t="s">
        <v>1697</v>
      </c>
      <c r="D264" s="1618"/>
      <c r="E264" s="1581"/>
      <c r="F264" s="1581"/>
      <c r="G264" s="1581"/>
      <c r="H264" s="1581"/>
      <c r="I264" s="1581"/>
      <c r="J264" s="1722"/>
      <c r="K264" s="1581"/>
      <c r="L264" s="1727"/>
      <c r="M264" s="1581"/>
      <c r="N264" s="1581"/>
      <c r="O264" s="1581"/>
      <c r="P264" s="1581"/>
      <c r="Q264" s="1581"/>
      <c r="R264" s="1581"/>
      <c r="S264" s="1581"/>
      <c r="T264" s="1581"/>
      <c r="U264" s="1581"/>
      <c r="X264" s="1580">
        <f t="shared" si="16"/>
        <v>0</v>
      </c>
      <c r="Y264" s="1580">
        <f t="shared" si="15"/>
        <v>0</v>
      </c>
      <c r="Z264" s="1581">
        <f>140*1.07</f>
        <v>149.80000000000001</v>
      </c>
      <c r="AA264" s="1730">
        <f t="shared" si="17"/>
        <v>-149.80000000000001</v>
      </c>
      <c r="AC264" s="1730">
        <f t="shared" si="18"/>
        <v>0</v>
      </c>
      <c r="AD264" s="1581"/>
      <c r="AE264" s="1734">
        <f>X264-AD261</f>
        <v>0</v>
      </c>
    </row>
    <row r="265" spans="1:31">
      <c r="A265" s="1609">
        <v>247</v>
      </c>
      <c r="B265" s="1618" t="s">
        <v>1698</v>
      </c>
      <c r="C265" s="1579" t="s">
        <v>1699</v>
      </c>
      <c r="D265" s="1618" t="s">
        <v>1022</v>
      </c>
      <c r="E265" s="1581"/>
      <c r="F265" s="1581"/>
      <c r="G265" s="1581"/>
      <c r="H265" s="1581"/>
      <c r="I265" s="1581"/>
      <c r="J265" s="1722"/>
      <c r="K265" s="1581"/>
      <c r="L265" s="1727"/>
      <c r="M265" s="1581">
        <f>1200</f>
        <v>1200</v>
      </c>
      <c r="N265" s="1581">
        <v>1260</v>
      </c>
      <c r="O265" s="1581">
        <v>1224</v>
      </c>
      <c r="P265" s="1581"/>
      <c r="Q265" s="1581"/>
      <c r="R265" s="1581"/>
      <c r="S265" s="1581"/>
      <c r="T265" s="1581"/>
      <c r="U265" s="1581"/>
      <c r="X265" s="1580">
        <f t="shared" si="16"/>
        <v>1200</v>
      </c>
      <c r="Y265" s="1580">
        <f t="shared" si="15"/>
        <v>1284</v>
      </c>
      <c r="Z265" s="1581">
        <v>1284</v>
      </c>
      <c r="AA265" s="1730">
        <f t="shared" si="17"/>
        <v>0</v>
      </c>
      <c r="AC265" s="1730"/>
      <c r="AD265" s="1581"/>
      <c r="AE265" s="1734"/>
    </row>
    <row r="266" spans="1:31">
      <c r="A266" s="1609">
        <v>248</v>
      </c>
      <c r="B266" s="1618" t="s">
        <v>1700</v>
      </c>
      <c r="C266" s="1579" t="s">
        <v>1701</v>
      </c>
      <c r="D266" s="1618" t="s">
        <v>1022</v>
      </c>
      <c r="E266" s="1581"/>
      <c r="F266" s="1581"/>
      <c r="G266" s="1581"/>
      <c r="H266" s="1581"/>
      <c r="I266" s="1581"/>
      <c r="J266" s="1722"/>
      <c r="K266" s="1581"/>
      <c r="L266" s="1727"/>
      <c r="M266" s="1581">
        <f>1200</f>
        <v>1200</v>
      </c>
      <c r="N266" s="1581">
        <v>1260</v>
      </c>
      <c r="O266" s="1581">
        <v>1224</v>
      </c>
      <c r="P266" s="1581"/>
      <c r="Q266" s="1581"/>
      <c r="R266" s="1581"/>
      <c r="S266" s="1581"/>
      <c r="T266" s="1581"/>
      <c r="U266" s="1581"/>
      <c r="X266" s="1580">
        <f t="shared" si="16"/>
        <v>1200</v>
      </c>
      <c r="Y266" s="1580">
        <f t="shared" si="15"/>
        <v>1284</v>
      </c>
      <c r="Z266" s="1610">
        <v>1284</v>
      </c>
      <c r="AA266" s="1730">
        <f t="shared" si="17"/>
        <v>0</v>
      </c>
      <c r="AC266" s="1730"/>
      <c r="AD266" s="1581"/>
      <c r="AE266" s="1734"/>
    </row>
    <row r="267" spans="1:31">
      <c r="A267" s="1609">
        <v>249</v>
      </c>
      <c r="B267" s="1619" t="s">
        <v>1702</v>
      </c>
      <c r="C267" s="917" t="s">
        <v>1703</v>
      </c>
      <c r="D267" s="1619" t="s">
        <v>1268</v>
      </c>
      <c r="E267" s="1581"/>
      <c r="F267" s="1610"/>
      <c r="G267" s="1610">
        <f>100</f>
        <v>100</v>
      </c>
      <c r="H267" s="1581">
        <v>140</v>
      </c>
      <c r="I267" s="1581">
        <v>130</v>
      </c>
      <c r="J267" s="1722"/>
      <c r="K267" s="1581"/>
      <c r="L267" s="1727"/>
      <c r="M267" s="1581"/>
      <c r="N267" s="1581"/>
      <c r="O267" s="1581"/>
      <c r="P267" s="1581"/>
      <c r="Q267" s="1581"/>
      <c r="R267" s="1581"/>
      <c r="S267" s="1581"/>
      <c r="T267" s="1581"/>
      <c r="U267" s="1581"/>
      <c r="X267" s="1580">
        <f t="shared" si="16"/>
        <v>100</v>
      </c>
      <c r="Y267" s="1580">
        <f t="shared" si="15"/>
        <v>107</v>
      </c>
      <c r="Z267" s="1610">
        <v>107</v>
      </c>
      <c r="AA267" s="1730">
        <f t="shared" si="17"/>
        <v>0</v>
      </c>
      <c r="AB267" s="1580">
        <v>100</v>
      </c>
      <c r="AC267" s="1730">
        <f t="shared" si="18"/>
        <v>0</v>
      </c>
      <c r="AD267" s="1610">
        <f>100</f>
        <v>100</v>
      </c>
      <c r="AE267" s="1734">
        <f>X267-AD267</f>
        <v>0</v>
      </c>
    </row>
    <row r="268" spans="1:31">
      <c r="A268" s="1609">
        <v>250</v>
      </c>
      <c r="B268" s="1619" t="s">
        <v>1704</v>
      </c>
      <c r="C268" s="917" t="s">
        <v>1705</v>
      </c>
      <c r="D268" s="1619" t="s">
        <v>1268</v>
      </c>
      <c r="E268" s="1581"/>
      <c r="F268" s="1610"/>
      <c r="G268" s="1610">
        <f>2500</f>
        <v>2500</v>
      </c>
      <c r="H268" s="1581">
        <v>3500</v>
      </c>
      <c r="I268" s="1581">
        <v>3250</v>
      </c>
      <c r="J268" s="1722"/>
      <c r="K268" s="1581"/>
      <c r="L268" s="1727"/>
      <c r="M268" s="1581"/>
      <c r="N268" s="1581"/>
      <c r="O268" s="1581"/>
      <c r="P268" s="1581"/>
      <c r="Q268" s="1581"/>
      <c r="R268" s="1581"/>
      <c r="S268" s="1581"/>
      <c r="T268" s="1581"/>
      <c r="U268" s="1581"/>
      <c r="X268" s="1580">
        <f t="shared" si="16"/>
        <v>2500</v>
      </c>
      <c r="Y268" s="1580">
        <f t="shared" ref="Y268:Y305" si="21">X268*1.07</f>
        <v>2675</v>
      </c>
      <c r="Z268" s="1581">
        <v>2675</v>
      </c>
      <c r="AA268" s="1730">
        <f t="shared" si="17"/>
        <v>0</v>
      </c>
      <c r="AB268" s="1580">
        <v>2500</v>
      </c>
      <c r="AC268" s="1730">
        <f t="shared" si="18"/>
        <v>0</v>
      </c>
      <c r="AD268" s="1610">
        <f>2500</f>
        <v>2500</v>
      </c>
      <c r="AE268" s="1734">
        <f t="shared" ref="AE268:AE281" si="22">X268-AD268</f>
        <v>0</v>
      </c>
    </row>
    <row r="269" spans="1:31">
      <c r="A269" s="1609">
        <v>251</v>
      </c>
      <c r="B269" s="1620" t="s">
        <v>1706</v>
      </c>
      <c r="C269" s="1579" t="s">
        <v>1707</v>
      </c>
      <c r="D269" s="1620" t="s">
        <v>1022</v>
      </c>
      <c r="F269" s="1581"/>
      <c r="G269" s="1581"/>
      <c r="H269" s="1581"/>
      <c r="I269" s="1581"/>
      <c r="J269" s="1581">
        <f>150</f>
        <v>150</v>
      </c>
      <c r="K269" s="1581">
        <v>250</v>
      </c>
      <c r="L269" s="1727">
        <v>200</v>
      </c>
      <c r="M269" s="1581"/>
      <c r="N269" s="1581"/>
      <c r="O269" s="1581"/>
      <c r="P269" s="1581"/>
      <c r="Q269" s="1581"/>
      <c r="R269" s="1581"/>
      <c r="S269" s="1581"/>
      <c r="T269" s="1581"/>
      <c r="U269" s="1581"/>
      <c r="X269" s="1580">
        <f t="shared" ref="X269:X305" si="23">MIN(E269:U269)</f>
        <v>150</v>
      </c>
      <c r="Y269" s="1580">
        <f t="shared" si="21"/>
        <v>160.5</v>
      </c>
      <c r="Z269" s="1581">
        <v>160.5</v>
      </c>
      <c r="AA269" s="1730">
        <f t="shared" si="17"/>
        <v>0</v>
      </c>
      <c r="AC269" s="1730"/>
      <c r="AD269" s="1581"/>
      <c r="AE269" s="1734"/>
    </row>
    <row r="270" spans="1:31">
      <c r="A270" s="1609">
        <v>252</v>
      </c>
      <c r="B270" s="1619" t="s">
        <v>1708</v>
      </c>
      <c r="C270" s="917" t="s">
        <v>1709</v>
      </c>
      <c r="D270" s="1619" t="s">
        <v>1411</v>
      </c>
      <c r="E270" s="1609">
        <f>250</f>
        <v>250</v>
      </c>
      <c r="F270" s="1609"/>
      <c r="G270" s="1609"/>
      <c r="H270" s="1581"/>
      <c r="I270" s="1581"/>
      <c r="J270" s="1722"/>
      <c r="K270" s="1581"/>
      <c r="L270" s="1727"/>
      <c r="M270" s="1581"/>
      <c r="N270" s="1581"/>
      <c r="O270" s="1581"/>
      <c r="P270" s="1581"/>
      <c r="Q270" s="1581"/>
      <c r="R270" s="1581"/>
      <c r="S270" s="1581"/>
      <c r="T270" s="1581"/>
      <c r="U270" s="1581"/>
      <c r="X270" s="1580">
        <f t="shared" si="23"/>
        <v>250</v>
      </c>
      <c r="Y270" s="1580">
        <f t="shared" si="21"/>
        <v>267.5</v>
      </c>
      <c r="Z270" s="1581">
        <v>267.5</v>
      </c>
      <c r="AA270" s="1730">
        <f t="shared" ref="AA270:AA305" si="24">Y270-Z270</f>
        <v>0</v>
      </c>
      <c r="AB270" s="1580">
        <v>250</v>
      </c>
      <c r="AC270" s="1730">
        <f t="shared" ref="AC270:AC303" si="25">X270-AB270</f>
        <v>0</v>
      </c>
      <c r="AD270" s="1609">
        <f>250</f>
        <v>250</v>
      </c>
      <c r="AE270" s="1734">
        <f t="shared" si="22"/>
        <v>0</v>
      </c>
    </row>
    <row r="271" spans="1:31">
      <c r="A271" s="1609">
        <v>253</v>
      </c>
      <c r="B271" s="1618" t="s">
        <v>1710</v>
      </c>
      <c r="C271" s="1579" t="s">
        <v>1711</v>
      </c>
      <c r="D271" s="1618" t="s">
        <v>1411</v>
      </c>
      <c r="E271" s="1581"/>
      <c r="F271" s="1609">
        <f>1000</f>
        <v>1000</v>
      </c>
      <c r="G271" s="1609"/>
      <c r="H271" s="1581">
        <v>1400</v>
      </c>
      <c r="I271" s="1581">
        <v>1200</v>
      </c>
      <c r="J271" s="1722"/>
      <c r="K271" s="1581"/>
      <c r="L271" s="1727"/>
      <c r="M271" s="1581"/>
      <c r="N271" s="1581"/>
      <c r="O271" s="1581"/>
      <c r="P271" s="1581"/>
      <c r="Q271" s="1581"/>
      <c r="R271" s="1581"/>
      <c r="S271" s="1581"/>
      <c r="T271" s="1581"/>
      <c r="U271" s="1581"/>
      <c r="X271" s="1580">
        <f t="shared" si="23"/>
        <v>1000</v>
      </c>
      <c r="Y271" s="1580">
        <f t="shared" si="21"/>
        <v>1070</v>
      </c>
      <c r="Z271" s="1610">
        <v>1070</v>
      </c>
      <c r="AA271" s="1730">
        <f t="shared" si="24"/>
        <v>0</v>
      </c>
      <c r="AB271" s="1580">
        <v>1000</v>
      </c>
      <c r="AC271" s="1730">
        <f t="shared" si="25"/>
        <v>0</v>
      </c>
      <c r="AD271" s="1609">
        <f>1000</f>
        <v>1000</v>
      </c>
      <c r="AE271" s="1734">
        <f t="shared" si="22"/>
        <v>0</v>
      </c>
    </row>
    <row r="272" spans="1:31" ht="25.5">
      <c r="A272" s="1609">
        <v>254</v>
      </c>
      <c r="B272" s="1579" t="s">
        <v>1712</v>
      </c>
      <c r="C272" s="1579" t="s">
        <v>1713</v>
      </c>
      <c r="D272" s="1625" t="s">
        <v>1268</v>
      </c>
      <c r="E272" s="1581"/>
      <c r="F272" s="1581"/>
      <c r="G272" s="1581"/>
      <c r="H272" s="1581"/>
      <c r="I272" s="1581"/>
      <c r="J272" s="1722">
        <f>450</f>
        <v>450</v>
      </c>
      <c r="K272" s="1581">
        <v>460</v>
      </c>
      <c r="L272" s="1727">
        <v>470</v>
      </c>
      <c r="M272" s="1581"/>
      <c r="N272" s="1581"/>
      <c r="O272" s="1581"/>
      <c r="P272" s="1581"/>
      <c r="Q272" s="1581"/>
      <c r="R272" s="1581"/>
      <c r="S272" s="1581"/>
      <c r="T272" s="1581"/>
      <c r="U272" s="1581"/>
      <c r="X272" s="1580">
        <f t="shared" si="23"/>
        <v>450</v>
      </c>
      <c r="Y272" s="1580">
        <f t="shared" si="21"/>
        <v>481.5</v>
      </c>
      <c r="Z272" s="1610">
        <v>481.5</v>
      </c>
      <c r="AA272" s="1730">
        <f t="shared" si="24"/>
        <v>0</v>
      </c>
      <c r="AB272" s="1580">
        <v>450</v>
      </c>
      <c r="AC272" s="1730">
        <f t="shared" si="25"/>
        <v>0</v>
      </c>
      <c r="AD272" s="1581">
        <f>450</f>
        <v>450</v>
      </c>
      <c r="AE272" s="1734">
        <f t="shared" si="22"/>
        <v>0</v>
      </c>
    </row>
    <row r="273" spans="1:31" hidden="1">
      <c r="A273" s="1609">
        <v>255</v>
      </c>
      <c r="B273" s="1579" t="s">
        <v>1712</v>
      </c>
      <c r="C273" s="1579" t="s">
        <v>1715</v>
      </c>
      <c r="D273" s="1625" t="s">
        <v>1290</v>
      </c>
      <c r="E273" s="1581"/>
      <c r="F273" s="1581"/>
      <c r="G273" s="1581"/>
      <c r="H273" s="1581"/>
      <c r="I273" s="1581"/>
      <c r="J273" s="1722"/>
      <c r="K273" s="1581"/>
      <c r="L273" s="1727"/>
      <c r="M273" s="1581"/>
      <c r="N273" s="1581"/>
      <c r="O273" s="1581"/>
      <c r="P273" s="1581"/>
      <c r="Q273" s="1581"/>
      <c r="R273" s="1581"/>
      <c r="S273" s="1581"/>
      <c r="T273" s="1581"/>
      <c r="U273" s="1581"/>
      <c r="X273" s="1580">
        <f t="shared" si="23"/>
        <v>0</v>
      </c>
      <c r="Y273" s="1580">
        <f t="shared" si="21"/>
        <v>0</v>
      </c>
      <c r="Z273" s="1581">
        <f>150*1.07</f>
        <v>160.5</v>
      </c>
      <c r="AA273" s="1730">
        <f t="shared" si="24"/>
        <v>-160.5</v>
      </c>
      <c r="AC273" s="1730">
        <f t="shared" si="25"/>
        <v>0</v>
      </c>
      <c r="AD273" s="1581"/>
      <c r="AE273" s="1734">
        <f t="shared" si="22"/>
        <v>0</v>
      </c>
    </row>
    <row r="274" spans="1:31" hidden="1">
      <c r="A274" s="1609">
        <v>256</v>
      </c>
      <c r="B274" s="1619" t="s">
        <v>1435</v>
      </c>
      <c r="C274" s="1579" t="s">
        <v>1717</v>
      </c>
      <c r="D274" s="1619" t="s">
        <v>1268</v>
      </c>
      <c r="E274" s="1609"/>
      <c r="F274" s="1609"/>
      <c r="G274" s="1609"/>
      <c r="H274" s="1581"/>
      <c r="I274" s="1581"/>
      <c r="J274" s="1722"/>
      <c r="K274" s="1581"/>
      <c r="L274" s="1727"/>
      <c r="M274" s="1581"/>
      <c r="N274" s="1581"/>
      <c r="O274" s="1581"/>
      <c r="P274" s="1581"/>
      <c r="Q274" s="1581"/>
      <c r="R274" s="1581"/>
      <c r="S274" s="1581"/>
      <c r="T274" s="1581"/>
      <c r="U274" s="1581"/>
      <c r="X274" s="1580">
        <f t="shared" si="23"/>
        <v>0</v>
      </c>
      <c r="Y274" s="1580">
        <f t="shared" si="21"/>
        <v>0</v>
      </c>
      <c r="Z274" s="1609">
        <f>250*1.07</f>
        <v>267.5</v>
      </c>
      <c r="AA274" s="1730">
        <f t="shared" si="24"/>
        <v>-267.5</v>
      </c>
      <c r="AC274" s="1730">
        <f t="shared" si="25"/>
        <v>0</v>
      </c>
      <c r="AD274" s="1609"/>
      <c r="AE274" s="1734">
        <f t="shared" si="22"/>
        <v>0</v>
      </c>
    </row>
    <row r="275" spans="1:31" ht="25.5">
      <c r="A275" s="1609">
        <v>255</v>
      </c>
      <c r="B275" s="1619" t="s">
        <v>1718</v>
      </c>
      <c r="C275" s="917" t="s">
        <v>1719</v>
      </c>
      <c r="D275" s="1619" t="s">
        <v>1268</v>
      </c>
      <c r="E275" s="1581"/>
      <c r="F275" s="1610"/>
      <c r="G275" s="1610">
        <f>5100</f>
        <v>5100</v>
      </c>
      <c r="H275" s="1581">
        <v>7140</v>
      </c>
      <c r="I275" s="1581">
        <v>6630</v>
      </c>
      <c r="J275" s="1722"/>
      <c r="K275" s="1581"/>
      <c r="L275" s="1727"/>
      <c r="M275" s="1581"/>
      <c r="N275" s="1581"/>
      <c r="O275" s="1581"/>
      <c r="P275" s="1581"/>
      <c r="Q275" s="1581"/>
      <c r="R275" s="1581"/>
      <c r="S275" s="1581"/>
      <c r="T275" s="1581"/>
      <c r="U275" s="1581"/>
      <c r="X275" s="1580">
        <f t="shared" si="23"/>
        <v>5100</v>
      </c>
      <c r="Y275" s="1580">
        <f t="shared" si="21"/>
        <v>5457</v>
      </c>
      <c r="Z275" s="1609">
        <v>5457</v>
      </c>
      <c r="AA275" s="1730">
        <f t="shared" si="24"/>
        <v>0</v>
      </c>
      <c r="AB275" s="1580">
        <v>5100</v>
      </c>
      <c r="AC275" s="1730">
        <f t="shared" si="25"/>
        <v>0</v>
      </c>
      <c r="AD275" s="1610">
        <f>5100</f>
        <v>5100</v>
      </c>
      <c r="AE275" s="1734">
        <f t="shared" si="22"/>
        <v>0</v>
      </c>
    </row>
    <row r="276" spans="1:31">
      <c r="A276" s="1609">
        <v>256</v>
      </c>
      <c r="B276" s="1622" t="s">
        <v>1720</v>
      </c>
      <c r="C276" s="1579" t="s">
        <v>1721</v>
      </c>
      <c r="D276" s="1622" t="s">
        <v>1325</v>
      </c>
      <c r="E276" s="1581"/>
      <c r="F276" s="1581"/>
      <c r="G276" s="1581"/>
      <c r="H276" s="1581"/>
      <c r="I276" s="1581"/>
      <c r="J276" s="1722"/>
      <c r="K276" s="1581"/>
      <c r="L276" s="1727"/>
      <c r="M276" s="1581"/>
      <c r="N276" s="1581"/>
      <c r="O276" s="1581"/>
      <c r="P276" s="1581">
        <f>22000</f>
        <v>22000</v>
      </c>
      <c r="Q276" s="1581">
        <v>22500</v>
      </c>
      <c r="R276" s="1581">
        <v>22800</v>
      </c>
      <c r="S276" s="1581"/>
      <c r="T276" s="1581"/>
      <c r="U276" s="1581"/>
      <c r="X276" s="1580">
        <f t="shared" si="23"/>
        <v>22000</v>
      </c>
      <c r="Y276" s="1580">
        <f t="shared" si="21"/>
        <v>23540</v>
      </c>
      <c r="Z276" s="1581">
        <v>23540</v>
      </c>
      <c r="AA276" s="1730">
        <f t="shared" si="24"/>
        <v>0</v>
      </c>
      <c r="AC276" s="1730"/>
      <c r="AD276" s="1581"/>
      <c r="AE276" s="1734"/>
    </row>
    <row r="277" spans="1:31" ht="25.5">
      <c r="A277" s="1609">
        <v>257</v>
      </c>
      <c r="B277" s="1618" t="s">
        <v>1722</v>
      </c>
      <c r="C277" s="1579" t="s">
        <v>1723</v>
      </c>
      <c r="D277" s="1618" t="s">
        <v>1022</v>
      </c>
      <c r="E277" s="1581"/>
      <c r="F277" s="1581"/>
      <c r="G277" s="1581"/>
      <c r="H277" s="1581"/>
      <c r="I277" s="1581"/>
      <c r="J277" s="1722"/>
      <c r="K277" s="1581"/>
      <c r="L277" s="1727"/>
      <c r="M277" s="1581"/>
      <c r="N277" s="1581"/>
      <c r="O277" s="1581"/>
      <c r="P277" s="1581"/>
      <c r="Q277" s="1581"/>
      <c r="R277" s="1581"/>
      <c r="S277" s="1581"/>
      <c r="T277" s="1581"/>
      <c r="U277" s="1581"/>
      <c r="X277" s="1580">
        <f t="shared" si="23"/>
        <v>0</v>
      </c>
      <c r="Y277" s="1580">
        <f t="shared" si="21"/>
        <v>0</v>
      </c>
      <c r="Z277" s="1581"/>
      <c r="AA277" s="1730">
        <f t="shared" si="24"/>
        <v>0</v>
      </c>
      <c r="AC277" s="1730">
        <f t="shared" si="25"/>
        <v>0</v>
      </c>
      <c r="AD277" s="1581"/>
      <c r="AE277" s="1734">
        <f t="shared" si="22"/>
        <v>0</v>
      </c>
    </row>
    <row r="278" spans="1:31" hidden="1">
      <c r="A278" s="1581"/>
      <c r="B278" s="1618"/>
      <c r="C278" s="1579"/>
      <c r="D278" s="1618" t="s">
        <v>1022</v>
      </c>
      <c r="E278" s="1581"/>
      <c r="F278" s="1581"/>
      <c r="G278" s="1581"/>
      <c r="H278" s="1581"/>
      <c r="I278" s="1581"/>
      <c r="J278" s="1722"/>
      <c r="K278" s="1581"/>
      <c r="L278" s="1727"/>
      <c r="M278" s="1581"/>
      <c r="N278" s="1581"/>
      <c r="O278" s="1581"/>
      <c r="P278" s="1581"/>
      <c r="Q278" s="1581"/>
      <c r="R278" s="1581"/>
      <c r="S278" s="1581"/>
      <c r="T278" s="1581"/>
      <c r="U278" s="1581"/>
      <c r="X278" s="1580">
        <f t="shared" si="23"/>
        <v>0</v>
      </c>
      <c r="Y278" s="1580">
        <f t="shared" si="21"/>
        <v>0</v>
      </c>
      <c r="Z278" s="1609"/>
      <c r="AA278" s="1730">
        <f t="shared" si="24"/>
        <v>0</v>
      </c>
      <c r="AC278" s="1730">
        <f t="shared" si="25"/>
        <v>0</v>
      </c>
      <c r="AD278" s="1581"/>
      <c r="AE278" s="1734">
        <f t="shared" si="22"/>
        <v>0</v>
      </c>
    </row>
    <row r="279" spans="1:31" ht="25.5">
      <c r="A279" s="1609">
        <v>258</v>
      </c>
      <c r="B279" s="1619" t="s">
        <v>1724</v>
      </c>
      <c r="C279" s="917" t="s">
        <v>1725</v>
      </c>
      <c r="D279" s="1619" t="s">
        <v>1268</v>
      </c>
      <c r="E279" s="1581"/>
      <c r="F279" s="1609"/>
      <c r="G279" s="1609">
        <f>5000</f>
        <v>5000</v>
      </c>
      <c r="H279" s="1581">
        <v>7000</v>
      </c>
      <c r="I279" s="1581">
        <v>6500</v>
      </c>
      <c r="J279" s="1722"/>
      <c r="K279" s="1581"/>
      <c r="L279" s="1727"/>
      <c r="M279" s="1581"/>
      <c r="N279" s="1581"/>
      <c r="O279" s="1581"/>
      <c r="P279" s="1581"/>
      <c r="Q279" s="1581"/>
      <c r="R279" s="1581"/>
      <c r="S279" s="1581"/>
      <c r="T279" s="1581"/>
      <c r="U279" s="1581"/>
      <c r="X279" s="1580">
        <f t="shared" si="23"/>
        <v>5000</v>
      </c>
      <c r="Y279" s="1580">
        <f t="shared" si="21"/>
        <v>5350</v>
      </c>
      <c r="Z279" s="1610">
        <v>5350</v>
      </c>
      <c r="AA279" s="1730">
        <f t="shared" si="24"/>
        <v>0</v>
      </c>
      <c r="AB279" s="1580">
        <v>5000</v>
      </c>
      <c r="AC279" s="1730">
        <f t="shared" si="25"/>
        <v>0</v>
      </c>
      <c r="AD279" s="1609">
        <f>5000</f>
        <v>5000</v>
      </c>
      <c r="AE279" s="1734">
        <f t="shared" si="22"/>
        <v>0</v>
      </c>
    </row>
    <row r="280" spans="1:31" ht="25.5" hidden="1">
      <c r="A280" s="1581">
        <v>308</v>
      </c>
      <c r="B280" s="1618" t="s">
        <v>1726</v>
      </c>
      <c r="C280" s="1579"/>
      <c r="D280" s="1618" t="s">
        <v>1022</v>
      </c>
      <c r="E280" s="1581"/>
      <c r="F280" s="1581"/>
      <c r="G280" s="1581"/>
      <c r="H280" s="1581"/>
      <c r="I280" s="1581"/>
      <c r="J280" s="1722"/>
      <c r="K280" s="1581"/>
      <c r="L280" s="1727"/>
      <c r="M280" s="1581"/>
      <c r="N280" s="1581"/>
      <c r="O280" s="1581"/>
      <c r="P280" s="1581"/>
      <c r="Q280" s="1581"/>
      <c r="R280" s="1581"/>
      <c r="S280" s="1581"/>
      <c r="T280" s="1581"/>
      <c r="U280" s="1581"/>
      <c r="X280" s="1580">
        <f t="shared" si="23"/>
        <v>0</v>
      </c>
      <c r="Y280" s="1580">
        <f t="shared" si="21"/>
        <v>0</v>
      </c>
      <c r="Z280" s="1581">
        <f>22000*1.07</f>
        <v>23540</v>
      </c>
      <c r="AA280" s="1730">
        <f t="shared" si="24"/>
        <v>-23540</v>
      </c>
      <c r="AC280" s="1730">
        <f t="shared" si="25"/>
        <v>0</v>
      </c>
      <c r="AD280" s="1581"/>
      <c r="AE280" s="1734">
        <f t="shared" si="22"/>
        <v>0</v>
      </c>
    </row>
    <row r="281" spans="1:31" ht="25.5" hidden="1">
      <c r="A281" s="1581"/>
      <c r="B281" s="1618" t="s">
        <v>1727</v>
      </c>
      <c r="C281" s="1579"/>
      <c r="D281" s="1618" t="s">
        <v>1022</v>
      </c>
      <c r="E281" s="1581"/>
      <c r="F281" s="1581"/>
      <c r="G281" s="1581"/>
      <c r="H281" s="1581"/>
      <c r="I281" s="1581"/>
      <c r="J281" s="1722"/>
      <c r="K281" s="1581"/>
      <c r="L281" s="1727"/>
      <c r="M281" s="1581"/>
      <c r="N281" s="1581"/>
      <c r="O281" s="1581"/>
      <c r="P281" s="1581"/>
      <c r="Q281" s="1581"/>
      <c r="R281" s="1581"/>
      <c r="S281" s="1581"/>
      <c r="T281" s="1581"/>
      <c r="U281" s="1581"/>
      <c r="X281" s="1580">
        <f t="shared" si="23"/>
        <v>0</v>
      </c>
      <c r="Y281" s="1580">
        <f t="shared" si="21"/>
        <v>0</v>
      </c>
      <c r="Z281" s="1581"/>
      <c r="AA281" s="1730">
        <f t="shared" si="24"/>
        <v>0</v>
      </c>
      <c r="AC281" s="1730">
        <f t="shared" si="25"/>
        <v>0</v>
      </c>
      <c r="AD281" s="1581"/>
      <c r="AE281" s="1734">
        <f t="shared" si="22"/>
        <v>0</v>
      </c>
    </row>
    <row r="282" spans="1:31" ht="25.5">
      <c r="A282" s="1609">
        <v>259</v>
      </c>
      <c r="B282" s="1618" t="s">
        <v>1728</v>
      </c>
      <c r="C282" s="1579" t="s">
        <v>1729</v>
      </c>
      <c r="D282" s="1618" t="s">
        <v>1587</v>
      </c>
      <c r="E282" s="1581"/>
      <c r="F282" s="1581">
        <f>400</f>
        <v>400</v>
      </c>
      <c r="G282" s="1581"/>
      <c r="H282" s="1581">
        <v>560</v>
      </c>
      <c r="I282" s="1581">
        <v>480</v>
      </c>
      <c r="J282" s="1722"/>
      <c r="K282" s="1581"/>
      <c r="L282" s="1727"/>
      <c r="M282" s="1581"/>
      <c r="N282" s="1581"/>
      <c r="O282" s="1581"/>
      <c r="P282" s="1581"/>
      <c r="Q282" s="1581"/>
      <c r="R282" s="1581"/>
      <c r="S282" s="1581"/>
      <c r="T282" s="1581"/>
      <c r="U282" s="1581"/>
      <c r="X282" s="1580">
        <f t="shared" si="23"/>
        <v>400</v>
      </c>
      <c r="Y282" s="1580">
        <f t="shared" si="21"/>
        <v>428</v>
      </c>
      <c r="Z282" s="1581">
        <v>428</v>
      </c>
      <c r="AA282" s="1730">
        <f t="shared" si="24"/>
        <v>0</v>
      </c>
      <c r="AB282" s="1580">
        <v>400</v>
      </c>
      <c r="AC282" s="1730">
        <f t="shared" si="25"/>
        <v>0</v>
      </c>
      <c r="AD282" s="1581">
        <f>400</f>
        <v>400</v>
      </c>
      <c r="AE282" s="1734">
        <f>X282-AD282</f>
        <v>0</v>
      </c>
    </row>
    <row r="283" spans="1:31">
      <c r="A283" s="1609">
        <v>260</v>
      </c>
      <c r="B283" s="1618" t="s">
        <v>1730</v>
      </c>
      <c r="C283" s="917" t="s">
        <v>1731</v>
      </c>
      <c r="D283" s="1619" t="s">
        <v>1268</v>
      </c>
      <c r="E283" s="1610">
        <f>20</f>
        <v>20</v>
      </c>
      <c r="F283" s="1610"/>
      <c r="G283" s="1610">
        <f>20</f>
        <v>20</v>
      </c>
      <c r="H283" s="1581">
        <v>28</v>
      </c>
      <c r="I283" s="1581">
        <v>26</v>
      </c>
      <c r="J283" s="1722"/>
      <c r="K283" s="1581"/>
      <c r="L283" s="1727"/>
      <c r="M283" s="1581"/>
      <c r="N283" s="1581"/>
      <c r="O283" s="1581"/>
      <c r="P283" s="1581"/>
      <c r="Q283" s="1581"/>
      <c r="R283" s="1581"/>
      <c r="S283" s="1581"/>
      <c r="T283" s="1581"/>
      <c r="U283" s="1581"/>
      <c r="X283" s="1580">
        <f t="shared" si="23"/>
        <v>20</v>
      </c>
      <c r="Y283" s="1580">
        <f t="shared" si="21"/>
        <v>21.400000000000002</v>
      </c>
      <c r="Z283" s="1609">
        <v>21.4</v>
      </c>
      <c r="AA283" s="1730">
        <f t="shared" si="24"/>
        <v>0</v>
      </c>
      <c r="AB283" s="1580">
        <v>20</v>
      </c>
      <c r="AC283" s="1730">
        <f t="shared" si="25"/>
        <v>0</v>
      </c>
      <c r="AD283" s="1581">
        <f>20</f>
        <v>20</v>
      </c>
      <c r="AE283" s="1734">
        <f>X283-AD283</f>
        <v>0</v>
      </c>
    </row>
    <row r="284" spans="1:31" ht="25.5">
      <c r="A284" s="1609">
        <v>261</v>
      </c>
      <c r="B284" s="1618" t="s">
        <v>1732</v>
      </c>
      <c r="C284" s="1579" t="s">
        <v>1733</v>
      </c>
      <c r="D284" s="1618" t="s">
        <v>1268</v>
      </c>
      <c r="F284" s="1581"/>
      <c r="G284" s="1581"/>
      <c r="H284" s="1581"/>
      <c r="I284" s="1581"/>
      <c r="J284" s="1581">
        <f>2000</f>
        <v>2000</v>
      </c>
      <c r="K284" s="1581">
        <v>2200</v>
      </c>
      <c r="L284" s="1727">
        <v>2500</v>
      </c>
      <c r="M284" s="1581"/>
      <c r="N284" s="1581"/>
      <c r="O284" s="1581"/>
      <c r="P284" s="1581"/>
      <c r="Q284" s="1581"/>
      <c r="R284" s="1581"/>
      <c r="S284" s="1581"/>
      <c r="T284" s="1581"/>
      <c r="U284" s="1581"/>
      <c r="X284" s="1580">
        <f t="shared" si="23"/>
        <v>2000</v>
      </c>
      <c r="Y284" s="1580">
        <f t="shared" si="21"/>
        <v>2140</v>
      </c>
      <c r="Z284" s="1581">
        <v>2140</v>
      </c>
      <c r="AA284" s="1730">
        <f t="shared" si="24"/>
        <v>0</v>
      </c>
      <c r="AC284" s="1730"/>
      <c r="AD284" s="1581"/>
      <c r="AE284" s="1734"/>
    </row>
    <row r="285" spans="1:31" ht="38.25">
      <c r="A285" s="1609">
        <v>262</v>
      </c>
      <c r="B285" s="1618" t="s">
        <v>1732</v>
      </c>
      <c r="C285" s="1579" t="s">
        <v>1734</v>
      </c>
      <c r="D285" s="1618"/>
      <c r="E285" s="1581"/>
      <c r="F285" s="1581"/>
      <c r="G285" s="1581"/>
      <c r="H285" s="1581"/>
      <c r="I285" s="1581"/>
      <c r="J285" s="1722">
        <v>1500</v>
      </c>
      <c r="K285" s="1581">
        <v>1600</v>
      </c>
      <c r="L285" s="1727">
        <v>1700</v>
      </c>
      <c r="M285" s="1581"/>
      <c r="N285" s="1581"/>
      <c r="O285" s="1581"/>
      <c r="P285" s="1581"/>
      <c r="Q285" s="1581"/>
      <c r="R285" s="1581"/>
      <c r="S285" s="1581"/>
      <c r="T285" s="1581"/>
      <c r="U285" s="1581"/>
      <c r="X285" s="1580">
        <f t="shared" si="23"/>
        <v>1500</v>
      </c>
      <c r="Y285" s="1580">
        <f t="shared" si="21"/>
        <v>1605</v>
      </c>
      <c r="Z285" s="1581">
        <v>1605</v>
      </c>
      <c r="AA285" s="1730">
        <f t="shared" si="24"/>
        <v>0</v>
      </c>
      <c r="AC285" s="1730"/>
      <c r="AD285" s="1581">
        <f>1500</f>
        <v>1500</v>
      </c>
      <c r="AE285" s="1734">
        <f>X285-AD285</f>
        <v>0</v>
      </c>
    </row>
    <row r="286" spans="1:31" ht="25.5">
      <c r="A286" s="1609">
        <v>263</v>
      </c>
      <c r="B286" s="1622" t="s">
        <v>1732</v>
      </c>
      <c r="C286" s="1579" t="s">
        <v>1735</v>
      </c>
      <c r="D286" s="1622" t="s">
        <v>1022</v>
      </c>
      <c r="E286" s="1581"/>
      <c r="F286" s="1581"/>
      <c r="G286" s="1581"/>
      <c r="H286" s="1581"/>
      <c r="I286" s="1581"/>
      <c r="J286" s="1722"/>
      <c r="K286" s="1581"/>
      <c r="L286" s="1727"/>
      <c r="M286" s="1581"/>
      <c r="N286" s="1581"/>
      <c r="O286" s="1581"/>
      <c r="P286" s="1581">
        <f>1700</f>
        <v>1700</v>
      </c>
      <c r="Q286" s="1581">
        <v>1800</v>
      </c>
      <c r="R286" s="1581">
        <v>2000</v>
      </c>
      <c r="S286" s="1581"/>
      <c r="T286" s="1581"/>
      <c r="U286" s="1581"/>
      <c r="X286" s="1580">
        <f t="shared" si="23"/>
        <v>1700</v>
      </c>
      <c r="Y286" s="1580">
        <f t="shared" si="21"/>
        <v>1819</v>
      </c>
      <c r="Z286" s="1581">
        <v>1819</v>
      </c>
      <c r="AA286" s="1730">
        <f t="shared" si="24"/>
        <v>0</v>
      </c>
      <c r="AC286" s="1730"/>
      <c r="AE286" s="1734"/>
    </row>
    <row r="287" spans="1:31">
      <c r="A287" s="1609">
        <v>264</v>
      </c>
      <c r="B287" s="1618" t="s">
        <v>1736</v>
      </c>
      <c r="C287" s="1579" t="s">
        <v>1737</v>
      </c>
      <c r="D287" s="1618" t="s">
        <v>1022</v>
      </c>
      <c r="E287" s="1581"/>
      <c r="F287" s="1581">
        <f>1500</f>
        <v>1500</v>
      </c>
      <c r="G287" s="1581"/>
      <c r="H287" s="1581">
        <v>2100</v>
      </c>
      <c r="I287" s="1581">
        <v>1800</v>
      </c>
      <c r="J287" s="1722"/>
      <c r="K287" s="1581"/>
      <c r="L287" s="1727"/>
      <c r="M287" s="1581"/>
      <c r="N287" s="1581"/>
      <c r="O287" s="1581"/>
      <c r="P287" s="1581"/>
      <c r="Q287" s="1581"/>
      <c r="R287" s="1581"/>
      <c r="S287" s="1581"/>
      <c r="T287" s="1581"/>
      <c r="U287" s="1581"/>
      <c r="X287" s="1580">
        <f t="shared" si="23"/>
        <v>1500</v>
      </c>
      <c r="Y287" s="1580">
        <f t="shared" si="21"/>
        <v>1605</v>
      </c>
      <c r="Z287" s="1610">
        <v>1605</v>
      </c>
      <c r="AA287" s="1730">
        <f t="shared" si="24"/>
        <v>0</v>
      </c>
      <c r="AB287" s="1580">
        <v>1500</v>
      </c>
      <c r="AC287" s="1730">
        <f t="shared" si="25"/>
        <v>0</v>
      </c>
      <c r="AD287" s="1581">
        <f>1500</f>
        <v>1500</v>
      </c>
      <c r="AE287" s="1734">
        <f>X287-AD287</f>
        <v>0</v>
      </c>
    </row>
    <row r="288" spans="1:31">
      <c r="A288" s="1609">
        <v>265</v>
      </c>
      <c r="B288" s="1618" t="s">
        <v>1738</v>
      </c>
      <c r="C288" s="1579" t="s">
        <v>1739</v>
      </c>
      <c r="D288" s="1618" t="s">
        <v>1022</v>
      </c>
      <c r="E288" s="1581"/>
      <c r="F288" s="1581">
        <f>1200</f>
        <v>1200</v>
      </c>
      <c r="G288" s="1581"/>
      <c r="H288" s="1581">
        <v>1680</v>
      </c>
      <c r="I288" s="1581">
        <v>1440</v>
      </c>
      <c r="J288" s="1722"/>
      <c r="K288" s="1581"/>
      <c r="L288" s="1727"/>
      <c r="M288" s="1581"/>
      <c r="N288" s="1581"/>
      <c r="O288" s="1581"/>
      <c r="P288" s="1581"/>
      <c r="Q288" s="1581"/>
      <c r="R288" s="1581"/>
      <c r="S288" s="1581"/>
      <c r="T288" s="1581"/>
      <c r="U288" s="1581"/>
      <c r="X288" s="1580">
        <f t="shared" si="23"/>
        <v>1200</v>
      </c>
      <c r="Y288" s="1580">
        <f t="shared" si="21"/>
        <v>1284</v>
      </c>
      <c r="Z288" s="1581">
        <v>1284</v>
      </c>
      <c r="AA288" s="1730">
        <f t="shared" si="24"/>
        <v>0</v>
      </c>
      <c r="AB288" s="1580">
        <v>1200</v>
      </c>
      <c r="AC288" s="1730">
        <f t="shared" si="25"/>
        <v>0</v>
      </c>
      <c r="AD288" s="1581">
        <f>1200</f>
        <v>1200</v>
      </c>
      <c r="AE288" s="1734">
        <f t="shared" ref="AE288:AE299" si="26">X288-AD288</f>
        <v>0</v>
      </c>
    </row>
    <row r="289" spans="1:31">
      <c r="A289" s="1609">
        <v>266</v>
      </c>
      <c r="B289" s="1622" t="s">
        <v>1740</v>
      </c>
      <c r="C289" s="1579" t="s">
        <v>1741</v>
      </c>
      <c r="D289" s="1622" t="s">
        <v>1587</v>
      </c>
      <c r="E289" s="1581"/>
      <c r="F289" s="1581"/>
      <c r="G289" s="1581"/>
      <c r="H289" s="1581"/>
      <c r="I289" s="1581"/>
      <c r="J289" s="1722"/>
      <c r="K289" s="1581"/>
      <c r="L289" s="1727"/>
      <c r="M289" s="1581"/>
      <c r="N289" s="1581"/>
      <c r="O289" s="1581"/>
      <c r="P289" s="1581">
        <f>500</f>
        <v>500</v>
      </c>
      <c r="Q289" s="1581">
        <v>530</v>
      </c>
      <c r="R289" s="1581">
        <v>540</v>
      </c>
      <c r="S289" s="1581"/>
      <c r="T289" s="1581"/>
      <c r="U289" s="1581"/>
      <c r="X289" s="1580">
        <f t="shared" si="23"/>
        <v>500</v>
      </c>
      <c r="Y289" s="1580">
        <f t="shared" si="21"/>
        <v>535</v>
      </c>
      <c r="Z289" s="1581">
        <v>535</v>
      </c>
      <c r="AA289" s="1730">
        <f t="shared" si="24"/>
        <v>0</v>
      </c>
      <c r="AC289" s="1730"/>
      <c r="AD289" s="1581"/>
      <c r="AE289" s="1734"/>
    </row>
    <row r="290" spans="1:31">
      <c r="A290" s="1609">
        <v>267</v>
      </c>
      <c r="B290" s="1618" t="s">
        <v>1742</v>
      </c>
      <c r="C290" s="1579" t="s">
        <v>1743</v>
      </c>
      <c r="D290" s="1618" t="s">
        <v>1022</v>
      </c>
      <c r="E290" s="1581">
        <f>400</f>
        <v>400</v>
      </c>
      <c r="F290" s="1581"/>
      <c r="G290" s="1581"/>
      <c r="H290" s="1581">
        <v>560</v>
      </c>
      <c r="I290" s="1581">
        <v>480</v>
      </c>
      <c r="J290" s="1722"/>
      <c r="K290" s="1581"/>
      <c r="L290" s="1727"/>
      <c r="M290" s="1581"/>
      <c r="N290" s="1581"/>
      <c r="O290" s="1581"/>
      <c r="P290" s="1581"/>
      <c r="Q290" s="1581"/>
      <c r="R290" s="1581"/>
      <c r="S290" s="1581"/>
      <c r="T290" s="1581"/>
      <c r="U290" s="1581"/>
      <c r="X290" s="1580">
        <f t="shared" si="23"/>
        <v>400</v>
      </c>
      <c r="Y290" s="1580">
        <f t="shared" si="21"/>
        <v>428</v>
      </c>
      <c r="Z290" s="1581">
        <v>428</v>
      </c>
      <c r="AA290" s="1730">
        <f t="shared" si="24"/>
        <v>0</v>
      </c>
      <c r="AB290" s="1580">
        <v>400</v>
      </c>
      <c r="AC290" s="1730">
        <f t="shared" si="25"/>
        <v>0</v>
      </c>
      <c r="AD290" s="1581">
        <f>400</f>
        <v>400</v>
      </c>
      <c r="AE290" s="1734">
        <f t="shared" si="26"/>
        <v>0</v>
      </c>
    </row>
    <row r="291" spans="1:31">
      <c r="A291" s="1609">
        <v>268</v>
      </c>
      <c r="B291" s="1619" t="s">
        <v>1744</v>
      </c>
      <c r="C291" s="1614" t="s">
        <v>2137</v>
      </c>
      <c r="D291" s="1619" t="s">
        <v>1119</v>
      </c>
      <c r="E291" s="1609">
        <f>20</f>
        <v>20</v>
      </c>
      <c r="F291" s="1609"/>
      <c r="G291" s="1609"/>
      <c r="H291" s="1581">
        <v>28</v>
      </c>
      <c r="I291" s="1581">
        <v>24</v>
      </c>
      <c r="J291" s="1722"/>
      <c r="K291" s="1581"/>
      <c r="L291" s="1727"/>
      <c r="M291" s="1581"/>
      <c r="N291" s="1581"/>
      <c r="O291" s="1581"/>
      <c r="P291" s="1581"/>
      <c r="Q291" s="1581"/>
      <c r="R291" s="1581"/>
      <c r="S291" s="1581"/>
      <c r="T291" s="1581"/>
      <c r="U291" s="1581"/>
      <c r="X291" s="1580">
        <f t="shared" si="23"/>
        <v>20</v>
      </c>
      <c r="Y291" s="1580">
        <f t="shared" si="21"/>
        <v>21.400000000000002</v>
      </c>
      <c r="Z291" s="1581">
        <v>21.4</v>
      </c>
      <c r="AA291" s="1730">
        <f t="shared" si="24"/>
        <v>0</v>
      </c>
      <c r="AB291" s="1580">
        <v>20</v>
      </c>
      <c r="AC291" s="1730">
        <f t="shared" si="25"/>
        <v>0</v>
      </c>
      <c r="AD291" s="1609">
        <f>20</f>
        <v>20</v>
      </c>
      <c r="AE291" s="1734">
        <f t="shared" si="26"/>
        <v>0</v>
      </c>
    </row>
    <row r="292" spans="1:31">
      <c r="A292" s="1609">
        <v>269</v>
      </c>
      <c r="B292" s="1628" t="s">
        <v>1744</v>
      </c>
      <c r="C292" s="1621" t="s">
        <v>1746</v>
      </c>
      <c r="D292" s="1619" t="s">
        <v>1268</v>
      </c>
      <c r="E292" s="1581">
        <f>20</f>
        <v>20</v>
      </c>
      <c r="F292" s="1581"/>
      <c r="G292" s="1581"/>
      <c r="H292" s="1581">
        <v>28</v>
      </c>
      <c r="I292" s="1581">
        <v>24</v>
      </c>
      <c r="J292" s="1722"/>
      <c r="K292" s="1581"/>
      <c r="L292" s="1727"/>
      <c r="M292" s="1581"/>
      <c r="N292" s="1581"/>
      <c r="O292" s="1581"/>
      <c r="P292" s="1581"/>
      <c r="Q292" s="1581"/>
      <c r="R292" s="1581"/>
      <c r="S292" s="1581"/>
      <c r="T292" s="1581"/>
      <c r="U292" s="1581"/>
      <c r="X292" s="1580">
        <f t="shared" si="23"/>
        <v>20</v>
      </c>
      <c r="Y292" s="1580">
        <f t="shared" si="21"/>
        <v>21.400000000000002</v>
      </c>
      <c r="Z292" s="1581">
        <v>21.4</v>
      </c>
      <c r="AA292" s="1730">
        <f t="shared" si="24"/>
        <v>0</v>
      </c>
      <c r="AB292" s="1580">
        <v>20</v>
      </c>
      <c r="AC292" s="1730">
        <f t="shared" si="25"/>
        <v>0</v>
      </c>
      <c r="AD292" s="1609">
        <f>20</f>
        <v>20</v>
      </c>
      <c r="AE292" s="1734">
        <f t="shared" si="26"/>
        <v>0</v>
      </c>
    </row>
    <row r="293" spans="1:31" ht="25.5">
      <c r="A293" s="1609">
        <v>270</v>
      </c>
      <c r="B293" s="1620" t="s">
        <v>1747</v>
      </c>
      <c r="C293" s="1621" t="s">
        <v>1748</v>
      </c>
      <c r="D293" s="1620" t="s">
        <v>1022</v>
      </c>
      <c r="F293" s="1581"/>
      <c r="G293" s="1581"/>
      <c r="H293" s="1581"/>
      <c r="I293" s="1581"/>
      <c r="J293" s="1722"/>
      <c r="K293" s="1581"/>
      <c r="L293" s="1727">
        <v>350</v>
      </c>
      <c r="M293" s="1581"/>
      <c r="N293" s="1581"/>
      <c r="O293" s="1581"/>
      <c r="P293" s="1581"/>
      <c r="Q293" s="1581"/>
      <c r="R293" s="1581"/>
      <c r="S293" s="1581"/>
      <c r="T293" s="1581"/>
      <c r="U293" s="1581"/>
      <c r="V293" s="1581">
        <f>327</f>
        <v>327</v>
      </c>
      <c r="W293" s="1580">
        <v>327</v>
      </c>
      <c r="X293" s="1580">
        <f>MIN(E293:W293)</f>
        <v>327</v>
      </c>
      <c r="Y293" s="1580">
        <f t="shared" si="21"/>
        <v>349.89000000000004</v>
      </c>
      <c r="Z293" s="1581">
        <v>349.89</v>
      </c>
      <c r="AA293" s="1730">
        <f t="shared" si="24"/>
        <v>0</v>
      </c>
      <c r="AC293" s="1730"/>
      <c r="AD293" s="1581"/>
      <c r="AE293" s="1734"/>
    </row>
    <row r="294" spans="1:31" ht="25.5">
      <c r="A294" s="1609">
        <v>271</v>
      </c>
      <c r="B294" s="1629" t="s">
        <v>1747</v>
      </c>
      <c r="C294" s="1614" t="s">
        <v>1749</v>
      </c>
      <c r="D294" s="1622" t="s">
        <v>1022</v>
      </c>
      <c r="E294" s="1581"/>
      <c r="F294" s="1581"/>
      <c r="G294" s="1581"/>
      <c r="H294" s="1581"/>
      <c r="I294" s="1581"/>
      <c r="J294" s="1722"/>
      <c r="K294" s="1581"/>
      <c r="L294" s="1727"/>
      <c r="M294" s="1581"/>
      <c r="N294" s="1581"/>
      <c r="O294" s="1581"/>
      <c r="P294" s="1581">
        <f>1250</f>
        <v>1250</v>
      </c>
      <c r="Q294" s="1581">
        <v>1550</v>
      </c>
      <c r="R294" s="1581">
        <v>1600</v>
      </c>
      <c r="S294" s="1581"/>
      <c r="T294" s="1581"/>
      <c r="U294" s="1581"/>
      <c r="X294" s="1580">
        <f>MIN(E294:W294)</f>
        <v>1250</v>
      </c>
      <c r="Y294" s="1580">
        <f t="shared" si="21"/>
        <v>1337.5</v>
      </c>
      <c r="Z294" s="1581">
        <v>1337.5</v>
      </c>
      <c r="AA294" s="1730">
        <f t="shared" si="24"/>
        <v>0</v>
      </c>
      <c r="AC294" s="1730"/>
      <c r="AD294" s="1581"/>
      <c r="AE294" s="1734"/>
    </row>
    <row r="295" spans="1:31">
      <c r="A295" s="1609">
        <v>272</v>
      </c>
      <c r="B295" s="1630" t="s">
        <v>1750</v>
      </c>
      <c r="C295" s="1614" t="s">
        <v>1751</v>
      </c>
      <c r="D295" s="1609" t="s">
        <v>1022</v>
      </c>
      <c r="E295" s="1610"/>
      <c r="F295" s="1610"/>
      <c r="G295" s="1610"/>
      <c r="H295" s="1581"/>
      <c r="I295" s="1581"/>
      <c r="J295" s="1722"/>
      <c r="K295" s="1581"/>
      <c r="L295" s="1727"/>
      <c r="M295" s="1581"/>
      <c r="N295" s="1581"/>
      <c r="O295" s="1581"/>
      <c r="P295" s="1581"/>
      <c r="Q295" s="1581"/>
      <c r="R295" s="1581"/>
      <c r="S295" s="1581"/>
      <c r="T295" s="1581"/>
      <c r="U295" s="1581"/>
      <c r="X295" s="1580">
        <f>MIN(E295:W295)</f>
        <v>0</v>
      </c>
      <c r="Y295" s="1580">
        <f t="shared" si="21"/>
        <v>0</v>
      </c>
      <c r="Z295" s="1609"/>
      <c r="AA295" s="1730">
        <f t="shared" si="24"/>
        <v>0</v>
      </c>
      <c r="AC295" s="1730"/>
      <c r="AD295" s="1610"/>
      <c r="AE295" s="1734">
        <f t="shared" si="26"/>
        <v>0</v>
      </c>
    </row>
    <row r="296" spans="1:31">
      <c r="A296" s="1609">
        <v>273</v>
      </c>
      <c r="B296" s="1631" t="s">
        <v>1750</v>
      </c>
      <c r="C296" s="1621" t="s">
        <v>1752</v>
      </c>
      <c r="D296" s="1620" t="s">
        <v>1022</v>
      </c>
      <c r="E296" s="1581"/>
      <c r="F296" s="1581"/>
      <c r="G296" s="1581"/>
      <c r="H296" s="1581"/>
      <c r="I296" s="1581"/>
      <c r="J296" s="1722"/>
      <c r="K296" s="1581"/>
      <c r="L296" s="1727">
        <v>2650</v>
      </c>
      <c r="M296" s="1581"/>
      <c r="N296" s="1581"/>
      <c r="O296" s="1581"/>
      <c r="P296" s="1581"/>
      <c r="Q296" s="1581"/>
      <c r="R296" s="1581"/>
      <c r="S296" s="1581"/>
      <c r="T296" s="1581"/>
      <c r="U296" s="1581"/>
      <c r="V296" s="1580">
        <v>2500</v>
      </c>
      <c r="W296" s="1580">
        <v>2500</v>
      </c>
      <c r="X296" s="1580">
        <f>MIN(E296:W296)</f>
        <v>2500</v>
      </c>
      <c r="Y296" s="1580">
        <f t="shared" si="21"/>
        <v>2675</v>
      </c>
      <c r="Z296" s="1609">
        <v>2675</v>
      </c>
      <c r="AA296" s="1730">
        <f t="shared" si="24"/>
        <v>0</v>
      </c>
      <c r="AC296" s="1730"/>
      <c r="AD296" s="1581"/>
      <c r="AE296" s="1734"/>
    </row>
    <row r="297" spans="1:31">
      <c r="A297" s="1609">
        <v>274</v>
      </c>
      <c r="B297" s="1632" t="s">
        <v>1753</v>
      </c>
      <c r="C297" s="357" t="s">
        <v>1754</v>
      </c>
      <c r="D297" s="1618" t="s">
        <v>1119</v>
      </c>
      <c r="E297" s="1581"/>
      <c r="F297" s="1581">
        <f>1500</f>
        <v>1500</v>
      </c>
      <c r="G297" s="1581"/>
      <c r="H297" s="1581">
        <v>2100</v>
      </c>
      <c r="I297" s="1581">
        <v>1800</v>
      </c>
      <c r="J297" s="1722"/>
      <c r="K297" s="1581"/>
      <c r="L297" s="1727"/>
      <c r="M297" s="1581"/>
      <c r="N297" s="1581"/>
      <c r="O297" s="1581"/>
      <c r="P297" s="1581"/>
      <c r="Q297" s="1581"/>
      <c r="R297" s="1581"/>
      <c r="S297" s="1581"/>
      <c r="T297" s="1581"/>
      <c r="U297" s="1581"/>
      <c r="X297" s="1580">
        <f t="shared" si="23"/>
        <v>1500</v>
      </c>
      <c r="Y297" s="1580">
        <f t="shared" si="21"/>
        <v>1605</v>
      </c>
      <c r="Z297" s="1581">
        <v>1605</v>
      </c>
      <c r="AA297" s="1730">
        <f t="shared" si="24"/>
        <v>0</v>
      </c>
      <c r="AB297" s="1580">
        <v>1500</v>
      </c>
      <c r="AC297" s="1730">
        <f t="shared" si="25"/>
        <v>0</v>
      </c>
      <c r="AD297" s="1581">
        <f>1500</f>
        <v>1500</v>
      </c>
      <c r="AE297" s="1734">
        <f t="shared" si="26"/>
        <v>0</v>
      </c>
    </row>
    <row r="298" spans="1:31">
      <c r="A298" s="1609">
        <v>275</v>
      </c>
      <c r="B298" s="1619" t="s">
        <v>1755</v>
      </c>
      <c r="C298" s="1614" t="s">
        <v>1369</v>
      </c>
      <c r="D298" s="1619" t="s">
        <v>1268</v>
      </c>
      <c r="E298" s="1581"/>
      <c r="F298" s="1610"/>
      <c r="G298" s="1610">
        <f>3900</f>
        <v>3900</v>
      </c>
      <c r="H298" s="1581">
        <v>5460</v>
      </c>
      <c r="I298" s="1581">
        <v>5070</v>
      </c>
      <c r="J298" s="1722"/>
      <c r="K298" s="1581"/>
      <c r="L298" s="1727"/>
      <c r="M298" s="1581"/>
      <c r="N298" s="1581"/>
      <c r="O298" s="1581"/>
      <c r="P298" s="1581"/>
      <c r="Q298" s="1581"/>
      <c r="R298" s="1581"/>
      <c r="S298" s="1581"/>
      <c r="T298" s="1581"/>
      <c r="U298" s="1581"/>
      <c r="X298" s="1580">
        <f t="shared" si="23"/>
        <v>3900</v>
      </c>
      <c r="Y298" s="1580">
        <f t="shared" si="21"/>
        <v>4173</v>
      </c>
      <c r="Z298" s="1581">
        <v>4173</v>
      </c>
      <c r="AA298" s="1730">
        <f t="shared" si="24"/>
        <v>0</v>
      </c>
      <c r="AB298" s="1580">
        <v>3900</v>
      </c>
      <c r="AC298" s="1730">
        <f t="shared" si="25"/>
        <v>0</v>
      </c>
      <c r="AD298" s="1610">
        <f>3900</f>
        <v>3900</v>
      </c>
      <c r="AE298" s="1734">
        <f t="shared" si="26"/>
        <v>0</v>
      </c>
    </row>
    <row r="299" spans="1:31">
      <c r="A299" s="1609">
        <v>276</v>
      </c>
      <c r="B299" s="1628" t="s">
        <v>1756</v>
      </c>
      <c r="C299" s="1614" t="s">
        <v>1370</v>
      </c>
      <c r="D299" s="1619" t="s">
        <v>1268</v>
      </c>
      <c r="E299" s="1581"/>
      <c r="F299" s="1610"/>
      <c r="G299" s="1610">
        <f>3900</f>
        <v>3900</v>
      </c>
      <c r="H299" s="1581">
        <v>5460</v>
      </c>
      <c r="I299" s="1581">
        <v>5070</v>
      </c>
      <c r="J299" s="1722"/>
      <c r="K299" s="1581"/>
      <c r="L299" s="1727"/>
      <c r="M299" s="1581"/>
      <c r="N299" s="1581"/>
      <c r="O299" s="1581"/>
      <c r="P299" s="1581"/>
      <c r="Q299" s="1581"/>
      <c r="R299" s="1581"/>
      <c r="S299" s="1581"/>
      <c r="T299" s="1581"/>
      <c r="U299" s="1581"/>
      <c r="X299" s="1580">
        <f t="shared" si="23"/>
        <v>3900</v>
      </c>
      <c r="Y299" s="1580">
        <f t="shared" si="21"/>
        <v>4173</v>
      </c>
      <c r="Z299" s="1610">
        <v>4173</v>
      </c>
      <c r="AA299" s="1730">
        <f t="shared" si="24"/>
        <v>0</v>
      </c>
      <c r="AB299" s="1580">
        <v>3900</v>
      </c>
      <c r="AC299" s="1730">
        <f t="shared" si="25"/>
        <v>0</v>
      </c>
      <c r="AD299" s="1610">
        <f>3900</f>
        <v>3900</v>
      </c>
      <c r="AE299" s="1734">
        <f t="shared" si="26"/>
        <v>0</v>
      </c>
    </row>
    <row r="300" spans="1:31" ht="25.5">
      <c r="A300" s="1609">
        <v>277</v>
      </c>
      <c r="B300" s="1620" t="s">
        <v>1757</v>
      </c>
      <c r="C300" s="1579" t="s">
        <v>2138</v>
      </c>
      <c r="D300" s="1620" t="s">
        <v>1022</v>
      </c>
      <c r="F300" s="1581"/>
      <c r="G300" s="1581"/>
      <c r="H300" s="1581"/>
      <c r="I300" s="1581"/>
      <c r="J300" s="1722">
        <v>2500</v>
      </c>
      <c r="K300" s="1581">
        <v>2500</v>
      </c>
      <c r="L300" s="1727">
        <v>2700</v>
      </c>
      <c r="M300" s="1581"/>
      <c r="N300" s="1581"/>
      <c r="O300" s="1581"/>
      <c r="P300" s="1581"/>
      <c r="Q300" s="1581"/>
      <c r="R300" s="1581"/>
      <c r="S300" s="1581"/>
      <c r="T300" s="1581"/>
      <c r="U300" s="1581"/>
      <c r="X300" s="1580">
        <f t="shared" si="23"/>
        <v>2500</v>
      </c>
      <c r="Y300" s="1580">
        <f t="shared" si="21"/>
        <v>2675</v>
      </c>
      <c r="Z300" s="1581">
        <f>2500*1.07</f>
        <v>2675</v>
      </c>
      <c r="AA300" s="1730">
        <f t="shared" si="24"/>
        <v>0</v>
      </c>
      <c r="AC300" s="1730"/>
      <c r="AE300" s="1734"/>
    </row>
    <row r="301" spans="1:31" ht="33" customHeight="1">
      <c r="A301" s="1609">
        <v>278</v>
      </c>
      <c r="B301" s="1620" t="s">
        <v>1757</v>
      </c>
      <c r="C301" s="1579" t="s">
        <v>1760</v>
      </c>
      <c r="D301" s="1620" t="s">
        <v>1022</v>
      </c>
      <c r="F301" s="1581"/>
      <c r="G301" s="1581"/>
      <c r="H301" s="1581"/>
      <c r="I301" s="1581"/>
      <c r="J301" s="1722">
        <v>1000</v>
      </c>
      <c r="K301" s="1581">
        <v>1000</v>
      </c>
      <c r="L301" s="1727">
        <v>1200</v>
      </c>
      <c r="M301" s="1581"/>
      <c r="N301" s="1581"/>
      <c r="O301" s="1581"/>
      <c r="P301" s="1581"/>
      <c r="Q301" s="1581"/>
      <c r="R301" s="1581"/>
      <c r="S301" s="1581"/>
      <c r="T301" s="1581"/>
      <c r="U301" s="1581"/>
      <c r="X301" s="1580">
        <f t="shared" si="23"/>
        <v>1000</v>
      </c>
      <c r="Y301" s="1580">
        <f t="shared" si="21"/>
        <v>1070</v>
      </c>
      <c r="Z301" s="1581">
        <v>1070</v>
      </c>
      <c r="AA301" s="1730">
        <f t="shared" si="24"/>
        <v>0</v>
      </c>
      <c r="AC301" s="1730"/>
      <c r="AD301" s="1581"/>
      <c r="AE301" s="1734"/>
    </row>
    <row r="302" spans="1:31" ht="25.5">
      <c r="A302" s="1609">
        <v>279</v>
      </c>
      <c r="B302" s="1620" t="s">
        <v>1757</v>
      </c>
      <c r="C302" s="1579" t="s">
        <v>2139</v>
      </c>
      <c r="D302" s="1620" t="s">
        <v>1022</v>
      </c>
      <c r="F302" s="1581"/>
      <c r="G302" s="1581"/>
      <c r="H302" s="1581"/>
      <c r="I302" s="1581"/>
      <c r="J302" s="1722">
        <v>500</v>
      </c>
      <c r="K302" s="1581">
        <v>500</v>
      </c>
      <c r="L302" s="1727">
        <v>700</v>
      </c>
      <c r="M302" s="1581"/>
      <c r="N302" s="1581"/>
      <c r="O302" s="1581"/>
      <c r="P302" s="1581"/>
      <c r="Q302" s="1581"/>
      <c r="R302" s="1581"/>
      <c r="S302" s="1581"/>
      <c r="T302" s="1581"/>
      <c r="U302" s="1581"/>
      <c r="X302" s="1580">
        <f t="shared" si="23"/>
        <v>500</v>
      </c>
      <c r="Y302" s="1580">
        <f t="shared" si="21"/>
        <v>535</v>
      </c>
      <c r="Z302" s="1610">
        <v>535</v>
      </c>
      <c r="AA302" s="1730">
        <f t="shared" si="24"/>
        <v>0</v>
      </c>
      <c r="AC302" s="1730"/>
      <c r="AE302" s="1734"/>
    </row>
    <row r="303" spans="1:31">
      <c r="A303" s="1609">
        <v>280</v>
      </c>
      <c r="B303" s="1056" t="s">
        <v>1761</v>
      </c>
      <c r="C303" s="1579" t="s">
        <v>1762</v>
      </c>
      <c r="D303" s="1625" t="s">
        <v>1022</v>
      </c>
      <c r="E303" s="1056"/>
      <c r="F303" s="1056"/>
      <c r="G303" s="1056"/>
      <c r="H303" s="1581"/>
      <c r="I303" s="1581"/>
      <c r="J303" s="1722">
        <v>2500</v>
      </c>
      <c r="K303" s="1581">
        <v>3600</v>
      </c>
      <c r="L303" s="1727">
        <v>2800</v>
      </c>
      <c r="M303" s="1581"/>
      <c r="N303" s="1581"/>
      <c r="O303" s="1581"/>
      <c r="P303" s="1581"/>
      <c r="Q303" s="1581"/>
      <c r="R303" s="1581"/>
      <c r="S303" s="1581"/>
      <c r="T303" s="1581"/>
      <c r="U303" s="1581"/>
      <c r="X303" s="1580">
        <f t="shared" si="23"/>
        <v>2500</v>
      </c>
      <c r="Y303" s="1580">
        <f t="shared" si="21"/>
        <v>2675</v>
      </c>
      <c r="Z303" s="1610">
        <v>2675</v>
      </c>
      <c r="AA303" s="1730">
        <f t="shared" si="24"/>
        <v>0</v>
      </c>
      <c r="AB303" s="1580">
        <v>2500</v>
      </c>
      <c r="AC303" s="1730">
        <f t="shared" si="25"/>
        <v>0</v>
      </c>
      <c r="AE303" s="1734"/>
    </row>
    <row r="304" spans="1:31">
      <c r="A304" s="1609">
        <v>281</v>
      </c>
      <c r="B304" s="1056" t="s">
        <v>1761</v>
      </c>
      <c r="C304" s="1579" t="s">
        <v>1764</v>
      </c>
      <c r="D304" s="1625" t="s">
        <v>1022</v>
      </c>
      <c r="E304" s="1056"/>
      <c r="F304" s="1056"/>
      <c r="G304" s="1056"/>
      <c r="H304" s="1581"/>
      <c r="I304" s="1581"/>
      <c r="J304" s="1722">
        <v>3500</v>
      </c>
      <c r="K304" s="1581">
        <v>3800</v>
      </c>
      <c r="L304" s="1727">
        <v>3800</v>
      </c>
      <c r="M304" s="1581"/>
      <c r="N304" s="1581"/>
      <c r="O304" s="1581"/>
      <c r="P304" s="1581"/>
      <c r="Q304" s="1581"/>
      <c r="R304" s="1581"/>
      <c r="S304" s="1581"/>
      <c r="T304" s="1581"/>
      <c r="U304" s="1581"/>
      <c r="X304" s="1580">
        <f t="shared" si="23"/>
        <v>3500</v>
      </c>
      <c r="Y304" s="1580">
        <f t="shared" si="21"/>
        <v>3745</v>
      </c>
      <c r="Z304" s="1581">
        <v>3745</v>
      </c>
      <c r="AA304" s="1730">
        <f t="shared" si="24"/>
        <v>0</v>
      </c>
      <c r="AB304" s="1580">
        <v>3500</v>
      </c>
      <c r="AE304" s="1734"/>
    </row>
    <row r="305" spans="1:30">
      <c r="A305" s="1609">
        <v>282</v>
      </c>
      <c r="B305" s="1056" t="s">
        <v>1761</v>
      </c>
      <c r="C305" s="1579" t="s">
        <v>1765</v>
      </c>
      <c r="D305" s="1625" t="s">
        <v>1022</v>
      </c>
      <c r="E305" s="1056"/>
      <c r="F305" s="1056"/>
      <c r="G305" s="1056"/>
      <c r="H305" s="1581"/>
      <c r="I305" s="1581"/>
      <c r="J305" s="1722">
        <v>7500</v>
      </c>
      <c r="K305" s="1581">
        <v>7600</v>
      </c>
      <c r="L305" s="1727">
        <v>7800</v>
      </c>
      <c r="M305" s="1581"/>
      <c r="N305" s="1581"/>
      <c r="O305" s="1581"/>
      <c r="P305" s="1581"/>
      <c r="Q305" s="1581"/>
      <c r="R305" s="1581"/>
      <c r="S305" s="1581"/>
      <c r="T305" s="1581"/>
      <c r="U305" s="1581"/>
      <c r="X305" s="1580">
        <f t="shared" si="23"/>
        <v>7500</v>
      </c>
      <c r="Y305" s="1580">
        <f t="shared" si="21"/>
        <v>8025.0000000000009</v>
      </c>
      <c r="Z305" s="1581">
        <v>8025</v>
      </c>
      <c r="AA305" s="1730">
        <f t="shared" si="24"/>
        <v>0</v>
      </c>
      <c r="AB305" s="1580">
        <v>7500</v>
      </c>
    </row>
    <row r="306" spans="1:30" hidden="1">
      <c r="A306" s="1609"/>
      <c r="B306" s="1631"/>
      <c r="C306" s="1579"/>
      <c r="D306" s="1620"/>
      <c r="E306" s="1581"/>
      <c r="Z306" s="1581">
        <f>500*1.07</f>
        <v>535</v>
      </c>
      <c r="AD306" s="1581"/>
    </row>
    <row r="307" spans="1:30" hidden="1">
      <c r="A307" s="1609"/>
      <c r="B307" s="1631"/>
      <c r="C307" s="1579"/>
      <c r="D307" s="1620"/>
      <c r="E307" s="1581"/>
      <c r="Z307" s="1056">
        <f>7500*1.07</f>
        <v>8025.0000000000009</v>
      </c>
      <c r="AD307" s="1056">
        <f>3500*1.07</f>
        <v>3745</v>
      </c>
    </row>
    <row r="308" spans="1:30" hidden="1">
      <c r="A308" s="1609"/>
      <c r="B308" s="1631"/>
      <c r="C308" s="1579"/>
      <c r="D308" s="1620"/>
      <c r="E308" s="1581"/>
    </row>
  </sheetData>
  <sheetProtection formatColumns="0" insertRows="0" deleteRows="0"/>
  <mergeCells count="23">
    <mergeCell ref="W7:W8"/>
    <mergeCell ref="A7:A8"/>
    <mergeCell ref="B7:B8"/>
    <mergeCell ref="C7:C8"/>
    <mergeCell ref="D7:D8"/>
    <mergeCell ref="H7:H8"/>
    <mergeCell ref="V7:V8"/>
    <mergeCell ref="E7:E8"/>
    <mergeCell ref="F7:F8"/>
    <mergeCell ref="K7:K8"/>
    <mergeCell ref="I7:I8"/>
    <mergeCell ref="R7:R8"/>
    <mergeCell ref="G7:G8"/>
    <mergeCell ref="L7:L8"/>
    <mergeCell ref="S7:S8"/>
    <mergeCell ref="T7:T8"/>
    <mergeCell ref="U7:U8"/>
    <mergeCell ref="J7:J8"/>
    <mergeCell ref="P7:P8"/>
    <mergeCell ref="N7:N8"/>
    <mergeCell ref="O7:O8"/>
    <mergeCell ref="M7:M8"/>
    <mergeCell ref="Q7:Q8"/>
  </mergeCells>
  <pageMargins left="0" right="0" top="0" bottom="0" header="0" footer="0"/>
  <pageSetup paperSize="9" fitToHeight="0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FF0000"/>
    <pageSetUpPr fitToPage="1"/>
  </sheetPr>
  <dimension ref="A2:X40"/>
  <sheetViews>
    <sheetView topLeftCell="G1" workbookViewId="0">
      <selection activeCell="N12" sqref="N12"/>
    </sheetView>
  </sheetViews>
  <sheetFormatPr defaultColWidth="9.140625" defaultRowHeight="12.75"/>
  <cols>
    <col min="1" max="1" width="5.5703125" style="1580" customWidth="1"/>
    <col min="2" max="2" width="26" style="1580" customWidth="1"/>
    <col min="3" max="3" width="38.85546875" style="357" customWidth="1"/>
    <col min="4" max="4" width="14.85546875" style="1580" customWidth="1"/>
    <col min="5" max="5" width="10" style="1580" customWidth="1"/>
    <col min="6" max="6" width="11.42578125" style="1580" customWidth="1"/>
    <col min="7" max="8" width="10.42578125" style="1580" customWidth="1"/>
    <col min="9" max="9" width="10.5703125" style="1580" customWidth="1"/>
    <col min="10" max="12" width="9.140625" style="1580"/>
    <col min="13" max="13" width="11" style="1580" customWidth="1"/>
    <col min="14" max="14" width="10.85546875" style="1580" customWidth="1"/>
    <col min="15" max="15" width="11.42578125" style="1580" customWidth="1"/>
    <col min="16" max="16" width="12.28515625" style="1580" customWidth="1"/>
    <col min="17" max="17" width="10.85546875" style="1580" customWidth="1"/>
    <col min="18" max="18" width="10.5703125" style="1580" customWidth="1"/>
    <col min="19" max="19" width="10.28515625" style="1580" customWidth="1"/>
    <col min="20" max="20" width="9.140625" style="1580"/>
    <col min="21" max="21" width="9.5703125" style="1580" bestFit="1" customWidth="1"/>
    <col min="22" max="22" width="11.85546875" style="1580" customWidth="1"/>
    <col min="23" max="23" width="9.5703125" style="1580" bestFit="1" customWidth="1"/>
    <col min="24" max="24" width="10.140625" style="1580" customWidth="1"/>
    <col min="25" max="16384" width="9.140625" style="1580"/>
  </cols>
  <sheetData>
    <row r="2" spans="1:24" s="1636" customFormat="1">
      <c r="A2" s="1595" t="s">
        <v>1188</v>
      </c>
      <c r="C2" s="924"/>
    </row>
    <row r="3" spans="1:24">
      <c r="A3" s="120"/>
    </row>
    <row r="4" spans="1:24" s="1636" customFormat="1">
      <c r="A4" s="1644" t="s">
        <v>1190</v>
      </c>
      <c r="C4" s="924"/>
    </row>
    <row r="5" spans="1:24">
      <c r="A5" s="1580" t="s">
        <v>990</v>
      </c>
    </row>
    <row r="7" spans="1:24" ht="30" customHeight="1">
      <c r="A7" s="4003" t="s">
        <v>2</v>
      </c>
      <c r="B7" s="4003" t="s">
        <v>478</v>
      </c>
      <c r="C7" s="4003" t="s">
        <v>995</v>
      </c>
      <c r="D7" s="4003" t="s">
        <v>2118</v>
      </c>
      <c r="E7" s="4009" t="s">
        <v>2119</v>
      </c>
      <c r="F7" s="4009" t="s">
        <v>2120</v>
      </c>
      <c r="G7" s="4019" t="s">
        <v>2140</v>
      </c>
      <c r="H7" s="4009" t="s">
        <v>2141</v>
      </c>
      <c r="I7" s="4009" t="s">
        <v>2142</v>
      </c>
      <c r="J7" s="4018" t="s">
        <v>2143</v>
      </c>
      <c r="K7" s="4018" t="s">
        <v>2144</v>
      </c>
      <c r="L7" s="4018" t="s">
        <v>2145</v>
      </c>
    </row>
    <row r="8" spans="1:24" ht="22.5" customHeight="1">
      <c r="A8" s="4003"/>
      <c r="B8" s="4003"/>
      <c r="C8" s="4003"/>
      <c r="D8" s="4003"/>
      <c r="E8" s="4009"/>
      <c r="F8" s="4009"/>
      <c r="G8" s="4019"/>
      <c r="H8" s="4009"/>
      <c r="I8" s="4009"/>
      <c r="J8" s="4018"/>
      <c r="K8" s="4018"/>
      <c r="L8" s="4018"/>
    </row>
    <row r="9" spans="1:24" ht="13.5">
      <c r="A9" s="1604"/>
      <c r="B9" s="1605" t="s">
        <v>306</v>
      </c>
      <c r="C9" s="1606"/>
      <c r="D9" s="1607">
        <f>SUM(D11:D34)</f>
        <v>14535</v>
      </c>
      <c r="E9" s="1581"/>
      <c r="F9" s="1581"/>
      <c r="G9" s="1581"/>
      <c r="H9" s="1581"/>
      <c r="I9" s="1581"/>
      <c r="J9" s="1581"/>
      <c r="K9" s="1581"/>
      <c r="L9" s="1581"/>
    </row>
    <row r="10" spans="1:24" ht="13.5">
      <c r="A10" s="1604"/>
      <c r="B10" s="1605" t="s">
        <v>1195</v>
      </c>
      <c r="C10" s="1606"/>
      <c r="D10" s="1607"/>
      <c r="E10" s="1581"/>
      <c r="F10" s="1581"/>
      <c r="G10" s="1581"/>
      <c r="H10" s="1581"/>
      <c r="I10" s="1581"/>
      <c r="J10" s="1581"/>
      <c r="K10" s="1581"/>
      <c r="L10" s="1581"/>
      <c r="P10" s="1580" t="s">
        <v>2132</v>
      </c>
      <c r="R10" s="1580" t="s">
        <v>1860</v>
      </c>
      <c r="T10" s="1580" t="s">
        <v>2146</v>
      </c>
      <c r="U10" s="1580" t="s">
        <v>1196</v>
      </c>
      <c r="X10" s="1580" t="s">
        <v>1006</v>
      </c>
    </row>
    <row r="11" spans="1:24" ht="25.5" hidden="1" customHeight="1">
      <c r="A11" s="1609">
        <v>12</v>
      </c>
      <c r="B11" s="1056" t="s">
        <v>1199</v>
      </c>
      <c r="C11" s="917" t="s">
        <v>1200</v>
      </c>
      <c r="D11" s="1610"/>
      <c r="E11" s="1581"/>
      <c r="F11" s="1581"/>
      <c r="G11" s="1581"/>
      <c r="H11" s="1581"/>
      <c r="I11" s="1581"/>
      <c r="J11" s="1581"/>
      <c r="K11" s="1581"/>
      <c r="L11" s="1581"/>
    </row>
    <row r="12" spans="1:24" ht="51">
      <c r="A12" s="1609">
        <v>1</v>
      </c>
      <c r="B12" s="1056" t="s">
        <v>1201</v>
      </c>
      <c r="C12" s="917" t="s">
        <v>1202</v>
      </c>
      <c r="D12" s="1664">
        <v>100</v>
      </c>
      <c r="E12" s="1556">
        <v>100</v>
      </c>
      <c r="F12" s="1556">
        <v>110</v>
      </c>
      <c r="G12" s="1556"/>
      <c r="H12" s="1556"/>
      <c r="I12" s="1556"/>
      <c r="J12" s="1556"/>
      <c r="K12" s="1556"/>
      <c r="L12" s="1556"/>
      <c r="M12" s="1730">
        <f>MIN(D12,E12,F12,G12,H12,I12,J12,K12,L12)</f>
        <v>100</v>
      </c>
      <c r="N12" s="1730">
        <f>M12*1.07</f>
        <v>107</v>
      </c>
      <c r="O12" s="1580">
        <v>107</v>
      </c>
      <c r="P12" s="1730">
        <f>N12-O12</f>
        <v>0</v>
      </c>
      <c r="Q12" s="1610">
        <f>100*1.07</f>
        <v>107</v>
      </c>
      <c r="R12" s="1730">
        <f>N12-Q12</f>
        <v>0</v>
      </c>
      <c r="S12" s="1610">
        <f>100*1.07</f>
        <v>107</v>
      </c>
      <c r="T12" s="1730">
        <f>N12-S12</f>
        <v>0</v>
      </c>
      <c r="U12" s="1610">
        <f>100*1.07</f>
        <v>107</v>
      </c>
      <c r="V12" s="1730">
        <f>N12-U12</f>
        <v>0</v>
      </c>
      <c r="W12" s="1695">
        <f>100*1.07</f>
        <v>107</v>
      </c>
      <c r="X12" s="1730">
        <f>N12-W12</f>
        <v>0</v>
      </c>
    </row>
    <row r="13" spans="1:24" ht="38.25">
      <c r="A13" s="1609">
        <v>2</v>
      </c>
      <c r="B13" s="1579" t="s">
        <v>2147</v>
      </c>
      <c r="C13" s="917" t="s">
        <v>1205</v>
      </c>
      <c r="D13" s="1664"/>
      <c r="E13" s="1556"/>
      <c r="F13" s="1556"/>
      <c r="G13" s="1556"/>
      <c r="H13" s="1556"/>
      <c r="I13" s="1556"/>
      <c r="J13" s="1556">
        <v>2700</v>
      </c>
      <c r="K13" s="1556">
        <v>3500</v>
      </c>
      <c r="L13" s="1556">
        <v>3200</v>
      </c>
      <c r="M13" s="1730">
        <f t="shared" ref="M13:M37" si="0">MIN(D13,E13,F13,G13,H13,I13,J13,K13,L13)</f>
        <v>2700</v>
      </c>
      <c r="N13" s="1730">
        <f>M13*1.07</f>
        <v>2889</v>
      </c>
      <c r="O13" s="1580">
        <v>2889</v>
      </c>
      <c r="P13" s="1730">
        <f t="shared" ref="P13:P22" si="1">N13-O13</f>
        <v>0</v>
      </c>
      <c r="Q13" s="1610"/>
      <c r="R13" s="1730"/>
      <c r="T13" s="1730"/>
      <c r="V13" s="1730"/>
      <c r="X13" s="1730"/>
    </row>
    <row r="14" spans="1:24" ht="2.25" hidden="1" customHeight="1">
      <c r="A14" s="1609">
        <v>3</v>
      </c>
      <c r="B14" s="1579"/>
      <c r="C14" s="917"/>
      <c r="D14" s="1664"/>
      <c r="E14" s="1556"/>
      <c r="F14" s="1556"/>
      <c r="G14" s="1556"/>
      <c r="H14" s="1556"/>
      <c r="I14" s="1556"/>
      <c r="J14" s="1556"/>
      <c r="K14" s="1556"/>
      <c r="L14" s="1556"/>
      <c r="M14" s="1730">
        <f t="shared" si="0"/>
        <v>0</v>
      </c>
      <c r="N14" s="1730">
        <f>M14*1.07</f>
        <v>0</v>
      </c>
      <c r="O14" s="1580">
        <v>5778</v>
      </c>
      <c r="P14" s="1730">
        <f t="shared" si="1"/>
        <v>-5778</v>
      </c>
      <c r="Q14" s="1610"/>
      <c r="R14" s="1730"/>
      <c r="T14" s="1730"/>
      <c r="U14" s="1610">
        <f>3500*1.07</f>
        <v>3745</v>
      </c>
      <c r="V14" s="1730"/>
      <c r="W14" s="1695">
        <f>3500*1.07</f>
        <v>3745</v>
      </c>
      <c r="X14" s="1730"/>
    </row>
    <row r="15" spans="1:24" ht="91.5" customHeight="1">
      <c r="A15" s="1609">
        <v>4</v>
      </c>
      <c r="B15" s="1579" t="s">
        <v>2148</v>
      </c>
      <c r="C15" s="917" t="s">
        <v>1209</v>
      </c>
      <c r="D15" s="1664"/>
      <c r="E15" s="1556"/>
      <c r="F15" s="1556"/>
      <c r="G15" s="1556"/>
      <c r="H15" s="1556"/>
      <c r="I15" s="1556"/>
      <c r="J15" s="1556">
        <v>5400</v>
      </c>
      <c r="K15" s="1556">
        <v>6000</v>
      </c>
      <c r="L15" s="1556">
        <v>5700</v>
      </c>
      <c r="M15" s="1730">
        <f t="shared" si="0"/>
        <v>5400</v>
      </c>
      <c r="N15" s="1730">
        <f>M15</f>
        <v>5400</v>
      </c>
      <c r="O15" s="1728">
        <f>5400</f>
        <v>5400</v>
      </c>
      <c r="P15" s="1730">
        <f t="shared" si="1"/>
        <v>0</v>
      </c>
      <c r="Q15" s="1610"/>
      <c r="R15" s="1730"/>
      <c r="T15" s="1730"/>
      <c r="U15" s="1610"/>
      <c r="V15" s="1730"/>
      <c r="W15" s="1695"/>
      <c r="X15" s="1730"/>
    </row>
    <row r="16" spans="1:24" ht="51">
      <c r="A16" s="1609">
        <v>5</v>
      </c>
      <c r="B16" s="1056" t="s">
        <v>1210</v>
      </c>
      <c r="C16" s="917" t="s">
        <v>1211</v>
      </c>
      <c r="D16" s="1664">
        <f>135</f>
        <v>135</v>
      </c>
      <c r="E16" s="1556">
        <v>140</v>
      </c>
      <c r="F16" s="1556">
        <v>145</v>
      </c>
      <c r="G16" s="1556"/>
      <c r="H16" s="1556"/>
      <c r="I16" s="1556"/>
      <c r="J16" s="1556"/>
      <c r="K16" s="1556"/>
      <c r="L16" s="1556"/>
      <c r="M16" s="1730">
        <f t="shared" si="0"/>
        <v>135</v>
      </c>
      <c r="N16" s="1730">
        <f t="shared" ref="N16:N22" si="2">M16*1.07</f>
        <v>144.45000000000002</v>
      </c>
      <c r="O16" s="1729">
        <f>135*1.07</f>
        <v>144.45000000000002</v>
      </c>
      <c r="P16" s="1730">
        <f t="shared" si="1"/>
        <v>0</v>
      </c>
      <c r="Q16" s="1610">
        <f>135*1.07</f>
        <v>144.45000000000002</v>
      </c>
      <c r="R16" s="1730">
        <f t="shared" ref="R16:R37" si="3">N16-Q16</f>
        <v>0</v>
      </c>
      <c r="S16" s="1610">
        <f>135*1.07</f>
        <v>144.45000000000002</v>
      </c>
      <c r="T16" s="1730">
        <f t="shared" ref="T16:T33" si="4">N16-S16</f>
        <v>0</v>
      </c>
      <c r="U16" s="1610">
        <f>135*1.07</f>
        <v>144.45000000000002</v>
      </c>
      <c r="V16" s="1730">
        <f t="shared" ref="V16:V33" si="5">N16-U16</f>
        <v>0</v>
      </c>
      <c r="W16" s="1695">
        <f>135*1.07</f>
        <v>144.45000000000002</v>
      </c>
      <c r="X16" s="1730">
        <f>N16-W16</f>
        <v>0</v>
      </c>
    </row>
    <row r="17" spans="1:24" ht="48.75" hidden="1" customHeight="1">
      <c r="A17" s="1609">
        <v>13</v>
      </c>
      <c r="B17" s="1056" t="s">
        <v>1212</v>
      </c>
      <c r="C17" s="917" t="s">
        <v>1213</v>
      </c>
      <c r="D17" s="1664"/>
      <c r="E17" s="1556"/>
      <c r="F17" s="1556"/>
      <c r="G17" s="1556"/>
      <c r="H17" s="1556"/>
      <c r="I17" s="1556"/>
      <c r="J17" s="1556"/>
      <c r="K17" s="1556"/>
      <c r="L17" s="1556"/>
      <c r="M17" s="1730">
        <f t="shared" si="0"/>
        <v>0</v>
      </c>
      <c r="N17" s="1730">
        <f t="shared" si="2"/>
        <v>0</v>
      </c>
      <c r="O17" s="1580">
        <v>144.45000000000002</v>
      </c>
      <c r="P17" s="1730">
        <f t="shared" si="1"/>
        <v>-144.45000000000002</v>
      </c>
      <c r="Q17" s="1610"/>
      <c r="R17" s="1730">
        <f t="shared" si="3"/>
        <v>0</v>
      </c>
      <c r="S17" s="1610">
        <f>3500*1.07</f>
        <v>3745</v>
      </c>
      <c r="T17" s="1730">
        <f t="shared" si="4"/>
        <v>-3745</v>
      </c>
      <c r="U17" s="1610">
        <f>1500*1.07</f>
        <v>1605</v>
      </c>
      <c r="V17" s="1730">
        <f t="shared" si="5"/>
        <v>-1605</v>
      </c>
      <c r="W17" s="1695">
        <f>150*1.07</f>
        <v>160.5</v>
      </c>
      <c r="X17" s="1730">
        <f t="shared" ref="X17:X34" si="6">N17-W17</f>
        <v>-160.5</v>
      </c>
    </row>
    <row r="18" spans="1:24" ht="25.5">
      <c r="A18" s="1609">
        <v>6</v>
      </c>
      <c r="B18" s="1056" t="s">
        <v>1214</v>
      </c>
      <c r="C18" s="917" t="s">
        <v>1215</v>
      </c>
      <c r="D18" s="1664">
        <f>3500</f>
        <v>3500</v>
      </c>
      <c r="E18" s="1556">
        <v>3550</v>
      </c>
      <c r="F18" s="1556">
        <v>3550</v>
      </c>
      <c r="G18" s="1556"/>
      <c r="H18" s="1556"/>
      <c r="I18" s="1556"/>
      <c r="J18" s="1556"/>
      <c r="K18" s="1556"/>
      <c r="L18" s="1556"/>
      <c r="M18" s="1730">
        <f t="shared" si="0"/>
        <v>3500</v>
      </c>
      <c r="N18" s="1730">
        <f t="shared" si="2"/>
        <v>3745</v>
      </c>
      <c r="O18" s="1580">
        <v>3745</v>
      </c>
      <c r="P18" s="1730">
        <f t="shared" si="1"/>
        <v>0</v>
      </c>
      <c r="Q18" s="1610">
        <f>3500*1.07</f>
        <v>3745</v>
      </c>
      <c r="R18" s="1730">
        <f t="shared" si="3"/>
        <v>0</v>
      </c>
      <c r="S18" s="1610">
        <f>3500*1.07</f>
        <v>3745</v>
      </c>
      <c r="T18" s="1730">
        <f t="shared" si="4"/>
        <v>0</v>
      </c>
      <c r="U18" s="1610">
        <v>3745</v>
      </c>
      <c r="V18" s="1730">
        <f t="shared" si="5"/>
        <v>0</v>
      </c>
      <c r="W18" s="1695">
        <v>3745</v>
      </c>
      <c r="X18" s="1730">
        <f t="shared" si="6"/>
        <v>0</v>
      </c>
    </row>
    <row r="19" spans="1:24" ht="38.25">
      <c r="A19" s="1609">
        <v>7</v>
      </c>
      <c r="B19" s="1056" t="s">
        <v>1216</v>
      </c>
      <c r="C19" s="917" t="s">
        <v>1217</v>
      </c>
      <c r="D19" s="1664">
        <f>280</f>
        <v>280</v>
      </c>
      <c r="E19" s="1556">
        <v>290</v>
      </c>
      <c r="F19" s="1556">
        <v>300</v>
      </c>
      <c r="G19" s="1556"/>
      <c r="H19" s="1556"/>
      <c r="I19" s="1556"/>
      <c r="J19" s="1556"/>
      <c r="K19" s="1556"/>
      <c r="L19" s="1556"/>
      <c r="M19" s="1730">
        <f t="shared" si="0"/>
        <v>280</v>
      </c>
      <c r="N19" s="1730">
        <f t="shared" si="2"/>
        <v>299.60000000000002</v>
      </c>
      <c r="O19" s="1730"/>
      <c r="P19" s="1730">
        <f t="shared" si="1"/>
        <v>299.60000000000002</v>
      </c>
      <c r="Q19" s="1610"/>
      <c r="R19" s="1730">
        <f t="shared" si="3"/>
        <v>299.60000000000002</v>
      </c>
      <c r="T19" s="1730">
        <f t="shared" si="4"/>
        <v>299.60000000000002</v>
      </c>
      <c r="U19" s="1610"/>
      <c r="V19" s="1730">
        <f t="shared" si="5"/>
        <v>299.60000000000002</v>
      </c>
      <c r="W19" s="1695">
        <f>280*1.07</f>
        <v>299.60000000000002</v>
      </c>
      <c r="X19" s="1730">
        <f t="shared" si="6"/>
        <v>0</v>
      </c>
    </row>
    <row r="20" spans="1:24" ht="27.75" hidden="1" customHeight="1">
      <c r="A20" s="1609">
        <v>9</v>
      </c>
      <c r="B20" s="1056" t="s">
        <v>1222</v>
      </c>
      <c r="C20" s="917"/>
      <c r="D20" s="1664"/>
      <c r="E20" s="1556"/>
      <c r="F20" s="1556"/>
      <c r="G20" s="1556"/>
      <c r="H20" s="1556"/>
      <c r="I20" s="1556"/>
      <c r="J20" s="1556"/>
      <c r="K20" s="1556"/>
      <c r="L20" s="1556"/>
      <c r="M20" s="1730">
        <f t="shared" si="0"/>
        <v>0</v>
      </c>
      <c r="N20" s="1730">
        <f t="shared" si="2"/>
        <v>0</v>
      </c>
      <c r="P20" s="1730">
        <f t="shared" si="1"/>
        <v>0</v>
      </c>
      <c r="Q20" s="1610"/>
      <c r="R20" s="1730">
        <f t="shared" si="3"/>
        <v>0</v>
      </c>
      <c r="T20" s="1730">
        <f t="shared" si="4"/>
        <v>0</v>
      </c>
      <c r="U20" s="1610"/>
      <c r="V20" s="1730">
        <f t="shared" si="5"/>
        <v>0</v>
      </c>
      <c r="W20" s="1695">
        <f>100*1.07</f>
        <v>107</v>
      </c>
      <c r="X20" s="1730">
        <f t="shared" si="6"/>
        <v>-107</v>
      </c>
    </row>
    <row r="21" spans="1:24" ht="25.5">
      <c r="A21" s="1609">
        <v>9</v>
      </c>
      <c r="B21" s="1056" t="s">
        <v>1223</v>
      </c>
      <c r="C21" s="917" t="s">
        <v>1224</v>
      </c>
      <c r="D21" s="1664">
        <f>1500</f>
        <v>1500</v>
      </c>
      <c r="E21" s="1556">
        <v>1500</v>
      </c>
      <c r="F21" s="1556">
        <v>1550</v>
      </c>
      <c r="G21" s="1556"/>
      <c r="H21" s="1556"/>
      <c r="I21" s="1556"/>
      <c r="J21" s="1556"/>
      <c r="K21" s="1556"/>
      <c r="L21" s="1556"/>
      <c r="M21" s="1730">
        <f t="shared" si="0"/>
        <v>1500</v>
      </c>
      <c r="N21" s="1730">
        <f t="shared" si="2"/>
        <v>1605</v>
      </c>
      <c r="O21" s="1664">
        <f>1500*1.07</f>
        <v>1605</v>
      </c>
      <c r="P21" s="1730">
        <f t="shared" si="1"/>
        <v>0</v>
      </c>
      <c r="Q21" s="1610">
        <f>1500*1.07</f>
        <v>1605</v>
      </c>
      <c r="R21" s="1730">
        <f t="shared" si="3"/>
        <v>0</v>
      </c>
      <c r="S21" s="1610">
        <f>1500*1.07</f>
        <v>1605</v>
      </c>
      <c r="T21" s="1730">
        <f t="shared" si="4"/>
        <v>0</v>
      </c>
      <c r="U21" s="1610">
        <f>1500*1.07</f>
        <v>1605</v>
      </c>
      <c r="V21" s="1730">
        <f t="shared" si="5"/>
        <v>0</v>
      </c>
      <c r="W21" s="1695">
        <f>1500*1.07</f>
        <v>1605</v>
      </c>
      <c r="X21" s="1730">
        <f t="shared" si="6"/>
        <v>0</v>
      </c>
    </row>
    <row r="22" spans="1:24" ht="38.25">
      <c r="A22" s="1609">
        <v>10</v>
      </c>
      <c r="B22" s="1056" t="s">
        <v>1225</v>
      </c>
      <c r="C22" s="917" t="s">
        <v>1226</v>
      </c>
      <c r="D22" s="1664">
        <f>150</f>
        <v>150</v>
      </c>
      <c r="E22" s="1556">
        <v>150</v>
      </c>
      <c r="F22" s="1556">
        <v>160</v>
      </c>
      <c r="G22" s="1556"/>
      <c r="H22" s="1556"/>
      <c r="I22" s="1556"/>
      <c r="J22" s="1556"/>
      <c r="K22" s="1556"/>
      <c r="L22" s="1556"/>
      <c r="M22" s="1730">
        <f t="shared" si="0"/>
        <v>150</v>
      </c>
      <c r="N22" s="1730">
        <f t="shared" si="2"/>
        <v>160.5</v>
      </c>
      <c r="O22" s="1695">
        <f>150*1.07</f>
        <v>160.5</v>
      </c>
      <c r="P22" s="1730">
        <f t="shared" si="1"/>
        <v>0</v>
      </c>
      <c r="Q22" s="1610"/>
      <c r="R22" s="1730"/>
      <c r="T22" s="1730"/>
      <c r="U22" s="1610"/>
      <c r="V22" s="1730"/>
      <c r="W22" s="1695">
        <f>150*1.07</f>
        <v>160.5</v>
      </c>
      <c r="X22" s="1730">
        <f t="shared" si="6"/>
        <v>0</v>
      </c>
    </row>
    <row r="23" spans="1:24" ht="35.25" customHeight="1">
      <c r="A23" s="1609">
        <v>12</v>
      </c>
      <c r="B23" s="1056" t="s">
        <v>1230</v>
      </c>
      <c r="C23" s="1614"/>
      <c r="D23" s="1664">
        <f>864</f>
        <v>864</v>
      </c>
      <c r="E23" s="1556">
        <v>920</v>
      </c>
      <c r="F23" s="1556">
        <v>930</v>
      </c>
      <c r="G23" s="1556"/>
      <c r="H23" s="1556"/>
      <c r="I23" s="1556"/>
      <c r="J23" s="1556"/>
      <c r="K23" s="1556"/>
      <c r="L23" s="1556"/>
      <c r="M23" s="1730"/>
      <c r="N23" s="1730"/>
      <c r="P23" s="1730"/>
      <c r="Q23" s="1610"/>
      <c r="R23" s="1730">
        <f t="shared" si="3"/>
        <v>0</v>
      </c>
      <c r="T23" s="1730">
        <f t="shared" si="4"/>
        <v>0</v>
      </c>
      <c r="U23" s="1610"/>
      <c r="V23" s="1730">
        <f t="shared" si="5"/>
        <v>0</v>
      </c>
      <c r="W23" s="1695"/>
      <c r="X23" s="1730">
        <f t="shared" si="6"/>
        <v>0</v>
      </c>
    </row>
    <row r="24" spans="1:24">
      <c r="A24" s="1609">
        <v>13</v>
      </c>
      <c r="B24" s="1056" t="s">
        <v>1231</v>
      </c>
      <c r="C24" s="1614" t="s">
        <v>1232</v>
      </c>
      <c r="D24" s="1664">
        <f>4194</f>
        <v>4194</v>
      </c>
      <c r="E24" s="1556">
        <v>4300</v>
      </c>
      <c r="F24" s="1556">
        <v>4350</v>
      </c>
      <c r="G24" s="1556"/>
      <c r="H24" s="1556"/>
      <c r="I24" s="1556"/>
      <c r="J24" s="1556"/>
      <c r="K24" s="1556"/>
      <c r="L24" s="1556"/>
      <c r="M24" s="1730">
        <f t="shared" si="0"/>
        <v>4194</v>
      </c>
      <c r="N24" s="1730">
        <f t="shared" ref="N24:N34" si="7">M24*1.07</f>
        <v>4487.58</v>
      </c>
      <c r="O24" s="1695">
        <f>4194*1.07</f>
        <v>4487.58</v>
      </c>
      <c r="P24" s="1730">
        <f>N24-O24</f>
        <v>0</v>
      </c>
      <c r="Q24" s="1610"/>
      <c r="R24" s="1730"/>
      <c r="T24" s="1730"/>
      <c r="U24" s="1610"/>
      <c r="V24" s="1730"/>
      <c r="W24" s="1695">
        <f>4194*1.07</f>
        <v>4487.58</v>
      </c>
      <c r="X24" s="1730">
        <f t="shared" si="6"/>
        <v>0</v>
      </c>
    </row>
    <row r="25" spans="1:24">
      <c r="A25" s="1609">
        <v>14</v>
      </c>
      <c r="B25" s="1056" t="s">
        <v>1235</v>
      </c>
      <c r="C25" s="1614" t="s">
        <v>1236</v>
      </c>
      <c r="D25" s="1664">
        <f>150</f>
        <v>150</v>
      </c>
      <c r="E25" s="1556">
        <v>150</v>
      </c>
      <c r="F25" s="1556">
        <v>160</v>
      </c>
      <c r="G25" s="1556"/>
      <c r="H25" s="1556"/>
      <c r="I25" s="1556"/>
      <c r="J25" s="1556"/>
      <c r="K25" s="1556"/>
      <c r="L25" s="1556"/>
      <c r="M25" s="1730">
        <f t="shared" si="0"/>
        <v>150</v>
      </c>
      <c r="N25" s="1730">
        <f t="shared" si="7"/>
        <v>160.5</v>
      </c>
      <c r="O25" s="1664">
        <f>150*1.07</f>
        <v>160.5</v>
      </c>
      <c r="P25" s="1730">
        <f t="shared" ref="P25:P40" si="8">N25-O25</f>
        <v>0</v>
      </c>
      <c r="Q25" s="1610">
        <f>150*1.07</f>
        <v>160.5</v>
      </c>
      <c r="R25" s="1730">
        <f t="shared" si="3"/>
        <v>0</v>
      </c>
      <c r="S25" s="1610">
        <f>150*1.07</f>
        <v>160.5</v>
      </c>
      <c r="T25" s="1730">
        <f t="shared" si="4"/>
        <v>0</v>
      </c>
      <c r="V25" s="1730"/>
      <c r="W25" s="1695"/>
      <c r="X25" s="1730"/>
    </row>
    <row r="26" spans="1:24">
      <c r="A26" s="1609">
        <v>15</v>
      </c>
      <c r="B26" s="1056" t="s">
        <v>1237</v>
      </c>
      <c r="C26" s="1614" t="s">
        <v>1238</v>
      </c>
      <c r="D26" s="1664">
        <f>100</f>
        <v>100</v>
      </c>
      <c r="E26" s="1556">
        <v>100</v>
      </c>
      <c r="F26" s="1556">
        <v>100</v>
      </c>
      <c r="G26" s="1556"/>
      <c r="H26" s="1556"/>
      <c r="I26" s="1556"/>
      <c r="J26" s="1556"/>
      <c r="K26" s="1556"/>
      <c r="L26" s="1556"/>
      <c r="M26" s="1730">
        <f t="shared" si="0"/>
        <v>100</v>
      </c>
      <c r="N26" s="1730">
        <f t="shared" si="7"/>
        <v>107</v>
      </c>
      <c r="O26" s="1664">
        <f>100*1.07</f>
        <v>107</v>
      </c>
      <c r="P26" s="1730">
        <f t="shared" si="8"/>
        <v>0</v>
      </c>
      <c r="Q26" s="1610">
        <f>100*1.07</f>
        <v>107</v>
      </c>
      <c r="R26" s="1730">
        <f t="shared" si="3"/>
        <v>0</v>
      </c>
      <c r="T26" s="1730"/>
      <c r="V26" s="1730"/>
      <c r="W26" s="1695">
        <f>100*1.07</f>
        <v>107</v>
      </c>
      <c r="X26" s="1730">
        <f t="shared" si="6"/>
        <v>0</v>
      </c>
    </row>
    <row r="27" spans="1:24" ht="25.5">
      <c r="A27" s="1609">
        <v>16</v>
      </c>
      <c r="B27" s="1056" t="s">
        <v>1239</v>
      </c>
      <c r="C27" s="1614" t="s">
        <v>1240</v>
      </c>
      <c r="D27" s="1664"/>
      <c r="E27" s="1556"/>
      <c r="F27" s="1556"/>
      <c r="G27" s="1556"/>
      <c r="H27" s="1556"/>
      <c r="I27" s="1556"/>
      <c r="J27" s="1556"/>
      <c r="K27" s="1556"/>
      <c r="L27" s="1556"/>
      <c r="M27" s="1730">
        <f t="shared" si="0"/>
        <v>0</v>
      </c>
      <c r="N27" s="1730">
        <f t="shared" si="7"/>
        <v>0</v>
      </c>
      <c r="O27" s="1728"/>
      <c r="P27" s="1730">
        <f t="shared" si="8"/>
        <v>0</v>
      </c>
      <c r="Q27" s="1610"/>
      <c r="R27" s="1730">
        <f t="shared" si="3"/>
        <v>0</v>
      </c>
      <c r="T27" s="1730">
        <f t="shared" si="4"/>
        <v>0</v>
      </c>
      <c r="V27" s="1730">
        <f t="shared" si="5"/>
        <v>0</v>
      </c>
      <c r="W27" s="1695"/>
      <c r="X27" s="1730">
        <f t="shared" si="6"/>
        <v>0</v>
      </c>
    </row>
    <row r="28" spans="1:24" ht="38.25">
      <c r="A28" s="1609">
        <v>17</v>
      </c>
      <c r="B28" s="1579" t="s">
        <v>1241</v>
      </c>
      <c r="C28" s="1614" t="s">
        <v>1242</v>
      </c>
      <c r="D28" s="1664">
        <f>447</f>
        <v>447</v>
      </c>
      <c r="E28" s="1556">
        <v>450</v>
      </c>
      <c r="F28" s="1556">
        <v>460</v>
      </c>
      <c r="G28" s="1556"/>
      <c r="H28" s="1556"/>
      <c r="I28" s="1556"/>
      <c r="J28" s="1556"/>
      <c r="K28" s="1556"/>
      <c r="L28" s="1556"/>
      <c r="M28" s="1730">
        <f t="shared" si="0"/>
        <v>447</v>
      </c>
      <c r="N28" s="1730">
        <f t="shared" si="7"/>
        <v>478.29</v>
      </c>
      <c r="O28" s="1728">
        <f>447*1.07</f>
        <v>478.29</v>
      </c>
      <c r="P28" s="1730">
        <f t="shared" si="8"/>
        <v>0</v>
      </c>
      <c r="Q28" s="1610">
        <f>447*1.07</f>
        <v>478.29</v>
      </c>
      <c r="R28" s="1730">
        <f t="shared" si="3"/>
        <v>0</v>
      </c>
      <c r="S28" s="1610">
        <f>447*1.07</f>
        <v>478.29</v>
      </c>
      <c r="T28" s="1730">
        <f t="shared" si="4"/>
        <v>0</v>
      </c>
      <c r="U28" s="1610">
        <f>447*1.07</f>
        <v>478.29</v>
      </c>
      <c r="V28" s="1730">
        <f t="shared" si="5"/>
        <v>0</v>
      </c>
      <c r="W28" s="1695">
        <f>447*1.07</f>
        <v>478.29</v>
      </c>
      <c r="X28" s="1730">
        <f t="shared" si="6"/>
        <v>0</v>
      </c>
    </row>
    <row r="29" spans="1:24" ht="38.25">
      <c r="A29" s="1609">
        <v>18</v>
      </c>
      <c r="B29" s="1056" t="s">
        <v>1244</v>
      </c>
      <c r="C29" s="1614" t="s">
        <v>1245</v>
      </c>
      <c r="D29" s="1664">
        <f>1179</f>
        <v>1179</v>
      </c>
      <c r="E29" s="1556">
        <v>1200</v>
      </c>
      <c r="F29" s="1556">
        <v>1250</v>
      </c>
      <c r="G29" s="1556"/>
      <c r="H29" s="1556"/>
      <c r="I29" s="1556"/>
      <c r="J29" s="1556"/>
      <c r="K29" s="1556"/>
      <c r="L29" s="1556"/>
      <c r="M29" s="1730">
        <f t="shared" si="0"/>
        <v>1179</v>
      </c>
      <c r="N29" s="1730">
        <f t="shared" si="7"/>
        <v>1261.53</v>
      </c>
      <c r="O29" s="1695">
        <f>1179*1.07</f>
        <v>1261.53</v>
      </c>
      <c r="P29" s="1730">
        <f t="shared" si="8"/>
        <v>0</v>
      </c>
      <c r="Q29" s="1610"/>
      <c r="R29" s="1730"/>
      <c r="T29" s="1730"/>
      <c r="V29" s="1730"/>
      <c r="W29" s="1695">
        <f>1179*1.07</f>
        <v>1261.53</v>
      </c>
      <c r="X29" s="1730">
        <f t="shared" si="6"/>
        <v>0</v>
      </c>
    </row>
    <row r="30" spans="1:24" ht="84" customHeight="1">
      <c r="A30" s="1609">
        <v>19</v>
      </c>
      <c r="B30" s="1056" t="s">
        <v>1241</v>
      </c>
      <c r="C30" s="1652" t="s">
        <v>1246</v>
      </c>
      <c r="D30" s="1556"/>
      <c r="E30" s="1556"/>
      <c r="F30" s="1556"/>
      <c r="G30" s="1664">
        <f>16500</f>
        <v>16500</v>
      </c>
      <c r="H30" s="1556">
        <v>17000</v>
      </c>
      <c r="I30" s="1556">
        <v>17000</v>
      </c>
      <c r="J30" s="1556"/>
      <c r="K30" s="1556"/>
      <c r="L30" s="1556"/>
      <c r="M30" s="1730">
        <f t="shared" si="0"/>
        <v>16500</v>
      </c>
      <c r="N30" s="1730">
        <f t="shared" si="7"/>
        <v>17655</v>
      </c>
      <c r="O30" s="1728">
        <f>16500*1.07</f>
        <v>17655</v>
      </c>
      <c r="P30" s="1730">
        <f t="shared" si="8"/>
        <v>0</v>
      </c>
      <c r="Q30" s="1610"/>
      <c r="R30" s="1730"/>
      <c r="S30" s="1610">
        <f>16500*1.07</f>
        <v>17655</v>
      </c>
      <c r="T30" s="1730">
        <f t="shared" si="4"/>
        <v>0</v>
      </c>
      <c r="V30" s="1730"/>
      <c r="X30" s="1730"/>
    </row>
    <row r="31" spans="1:24" ht="25.5">
      <c r="A31" s="1609">
        <v>20</v>
      </c>
      <c r="B31" s="1056" t="s">
        <v>1251</v>
      </c>
      <c r="C31" s="1614" t="s">
        <v>1252</v>
      </c>
      <c r="D31" s="1664">
        <f>234</f>
        <v>234</v>
      </c>
      <c r="E31" s="1556">
        <v>250</v>
      </c>
      <c r="F31" s="1556">
        <v>260</v>
      </c>
      <c r="G31" s="1556"/>
      <c r="H31" s="1556"/>
      <c r="I31" s="1556"/>
      <c r="J31" s="1556"/>
      <c r="K31" s="1556"/>
      <c r="L31" s="1556"/>
      <c r="M31" s="1730">
        <f t="shared" si="0"/>
        <v>234</v>
      </c>
      <c r="N31" s="1730">
        <f t="shared" si="7"/>
        <v>250.38000000000002</v>
      </c>
      <c r="O31" s="1664">
        <f>234*1.07</f>
        <v>250.38000000000002</v>
      </c>
      <c r="P31" s="1730">
        <f t="shared" si="8"/>
        <v>0</v>
      </c>
      <c r="Q31" s="1610">
        <f>234*1.07</f>
        <v>250.38000000000002</v>
      </c>
      <c r="R31" s="1730">
        <f t="shared" si="3"/>
        <v>0</v>
      </c>
      <c r="S31" s="1610">
        <f>234*1.07</f>
        <v>250.38000000000002</v>
      </c>
      <c r="T31" s="1730">
        <f t="shared" si="4"/>
        <v>0</v>
      </c>
      <c r="U31" s="1610">
        <f>234*1.07</f>
        <v>250.38000000000002</v>
      </c>
      <c r="V31" s="1730">
        <f t="shared" si="5"/>
        <v>0</v>
      </c>
      <c r="W31" s="1695">
        <f>234*1.07</f>
        <v>250.38000000000002</v>
      </c>
      <c r="X31" s="1730">
        <f t="shared" si="6"/>
        <v>0</v>
      </c>
    </row>
    <row r="32" spans="1:24" ht="25.5">
      <c r="A32" s="1609">
        <v>21</v>
      </c>
      <c r="B32" s="1056" t="s">
        <v>1253</v>
      </c>
      <c r="C32" s="1614" t="s">
        <v>1254</v>
      </c>
      <c r="D32" s="1664">
        <f>554</f>
        <v>554</v>
      </c>
      <c r="E32" s="1556">
        <v>560</v>
      </c>
      <c r="F32" s="1556">
        <v>560</v>
      </c>
      <c r="G32" s="1556"/>
      <c r="H32" s="1556"/>
      <c r="I32" s="1556"/>
      <c r="J32" s="1556"/>
      <c r="K32" s="1556"/>
      <c r="L32" s="1556"/>
      <c r="M32" s="1730">
        <f t="shared" si="0"/>
        <v>554</v>
      </c>
      <c r="N32" s="1730">
        <f t="shared" si="7"/>
        <v>592.78000000000009</v>
      </c>
      <c r="O32" s="1664">
        <f>554*1.07</f>
        <v>592.78000000000009</v>
      </c>
      <c r="P32" s="1730">
        <f t="shared" si="8"/>
        <v>0</v>
      </c>
      <c r="Q32" s="1610">
        <f>554*1.07</f>
        <v>592.78000000000009</v>
      </c>
      <c r="R32" s="1730">
        <f t="shared" si="3"/>
        <v>0</v>
      </c>
      <c r="S32" s="1610">
        <f>554*1.07</f>
        <v>592.78000000000009</v>
      </c>
      <c r="T32" s="1730">
        <f t="shared" si="4"/>
        <v>0</v>
      </c>
      <c r="U32" s="1610">
        <f>554*1.07</f>
        <v>592.78000000000009</v>
      </c>
      <c r="V32" s="1730">
        <f t="shared" si="5"/>
        <v>0</v>
      </c>
      <c r="W32" s="1695">
        <f>554*1.07</f>
        <v>592.78000000000009</v>
      </c>
      <c r="X32" s="1730">
        <f t="shared" si="6"/>
        <v>0</v>
      </c>
    </row>
    <row r="33" spans="1:24" ht="29.25" customHeight="1">
      <c r="A33" s="1609">
        <v>22</v>
      </c>
      <c r="B33" s="1056" t="s">
        <v>1255</v>
      </c>
      <c r="C33" s="1614" t="s">
        <v>1256</v>
      </c>
      <c r="D33" s="1664">
        <f>628</f>
        <v>628</v>
      </c>
      <c r="E33" s="1556">
        <v>650</v>
      </c>
      <c r="F33" s="1556">
        <v>660</v>
      </c>
      <c r="G33" s="1556"/>
      <c r="H33" s="1556"/>
      <c r="I33" s="1556"/>
      <c r="J33" s="1556"/>
      <c r="K33" s="1556"/>
      <c r="L33" s="1556"/>
      <c r="M33" s="1730">
        <f t="shared" si="0"/>
        <v>628</v>
      </c>
      <c r="N33" s="1730">
        <f t="shared" si="7"/>
        <v>671.96</v>
      </c>
      <c r="O33" s="1664">
        <f>628*1.07</f>
        <v>671.96</v>
      </c>
      <c r="P33" s="1730">
        <f t="shared" si="8"/>
        <v>0</v>
      </c>
      <c r="Q33" s="1731">
        <f>628*1.07</f>
        <v>671.96</v>
      </c>
      <c r="R33" s="1730">
        <f t="shared" si="3"/>
        <v>0</v>
      </c>
      <c r="S33" s="1610">
        <f>628*1.07</f>
        <v>671.96</v>
      </c>
      <c r="T33" s="1730">
        <f t="shared" si="4"/>
        <v>0</v>
      </c>
      <c r="U33" s="1610">
        <f>628*1.07</f>
        <v>671.96</v>
      </c>
      <c r="V33" s="1730">
        <f t="shared" si="5"/>
        <v>0</v>
      </c>
      <c r="W33" s="1695">
        <f>628*1.07</f>
        <v>671.96</v>
      </c>
      <c r="X33" s="1730">
        <f t="shared" si="6"/>
        <v>0</v>
      </c>
    </row>
    <row r="34" spans="1:24">
      <c r="A34" s="1609">
        <v>24</v>
      </c>
      <c r="B34" s="1056" t="s">
        <v>1258</v>
      </c>
      <c r="C34" s="1614" t="s">
        <v>1259</v>
      </c>
      <c r="D34" s="1664">
        <f>520</f>
        <v>520</v>
      </c>
      <c r="E34" s="1556">
        <v>550</v>
      </c>
      <c r="F34" s="1556">
        <v>600</v>
      </c>
      <c r="G34" s="1556"/>
      <c r="H34" s="1556"/>
      <c r="I34" s="1556"/>
      <c r="J34" s="1556"/>
      <c r="K34" s="1556"/>
      <c r="L34" s="1556"/>
      <c r="M34" s="1730">
        <f t="shared" si="0"/>
        <v>520</v>
      </c>
      <c r="N34" s="1730">
        <f t="shared" si="7"/>
        <v>556.4</v>
      </c>
      <c r="O34" s="1695">
        <f>520*1.07</f>
        <v>556.4</v>
      </c>
      <c r="P34" s="1730">
        <f t="shared" si="8"/>
        <v>0</v>
      </c>
      <c r="Q34" s="1732"/>
      <c r="R34" s="1730"/>
      <c r="T34" s="1730"/>
      <c r="W34" s="1695">
        <f>520*1.07</f>
        <v>556.4</v>
      </c>
      <c r="X34" s="1730">
        <f t="shared" si="6"/>
        <v>0</v>
      </c>
    </row>
    <row r="35" spans="1:24" hidden="1">
      <c r="A35" s="1609"/>
      <c r="B35" s="1631"/>
      <c r="C35" s="1579"/>
      <c r="D35" s="1581"/>
      <c r="M35" s="1730">
        <f t="shared" si="0"/>
        <v>0</v>
      </c>
      <c r="P35" s="1730">
        <f t="shared" si="8"/>
        <v>0</v>
      </c>
      <c r="Q35" s="1732"/>
      <c r="R35" s="1730">
        <f t="shared" si="3"/>
        <v>0</v>
      </c>
    </row>
    <row r="36" spans="1:24" hidden="1">
      <c r="A36" s="1609"/>
      <c r="B36" s="1631"/>
      <c r="C36" s="1579"/>
      <c r="D36" s="1581"/>
      <c r="M36" s="1730">
        <f t="shared" si="0"/>
        <v>0</v>
      </c>
      <c r="P36" s="1730">
        <f t="shared" si="8"/>
        <v>0</v>
      </c>
      <c r="Q36" s="1732">
        <f>234*1.07</f>
        <v>250.38000000000002</v>
      </c>
      <c r="R36" s="1730">
        <f t="shared" si="3"/>
        <v>-250.38000000000002</v>
      </c>
    </row>
    <row r="37" spans="1:24" hidden="1">
      <c r="A37" s="1609"/>
      <c r="B37" s="1631"/>
      <c r="C37" s="1579"/>
      <c r="D37" s="1581"/>
      <c r="M37" s="1730">
        <f t="shared" si="0"/>
        <v>0</v>
      </c>
      <c r="P37" s="1730">
        <f t="shared" si="8"/>
        <v>0</v>
      </c>
      <c r="Q37" s="1732">
        <f>554*1.07</f>
        <v>592.78000000000009</v>
      </c>
      <c r="R37" s="1730">
        <f t="shared" si="3"/>
        <v>-592.78000000000009</v>
      </c>
    </row>
    <row r="38" spans="1:24">
      <c r="P38" s="1730">
        <f t="shared" si="8"/>
        <v>0</v>
      </c>
      <c r="Q38" s="1733"/>
      <c r="R38" s="1730"/>
    </row>
    <row r="39" spans="1:24">
      <c r="P39" s="1730">
        <f t="shared" si="8"/>
        <v>0</v>
      </c>
    </row>
    <row r="40" spans="1:24">
      <c r="P40" s="1730">
        <f t="shared" si="8"/>
        <v>0</v>
      </c>
    </row>
  </sheetData>
  <sheetProtection formatColumns="0" insertRows="0" deleteRows="0"/>
  <mergeCells count="12">
    <mergeCell ref="J7:J8"/>
    <mergeCell ref="K7:K8"/>
    <mergeCell ref="L7:L8"/>
    <mergeCell ref="G7:G8"/>
    <mergeCell ref="H7:H8"/>
    <mergeCell ref="I7:I8"/>
    <mergeCell ref="F7:F8"/>
    <mergeCell ref="A7:A8"/>
    <mergeCell ref="B7:B8"/>
    <mergeCell ref="C7:C8"/>
    <mergeCell ref="D7:D8"/>
    <mergeCell ref="E7:E8"/>
  </mergeCells>
  <pageMargins left="0" right="0" top="0" bottom="0" header="0" footer="0"/>
  <pageSetup paperSize="9" fitToHeight="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rgb="FFFF0000"/>
    <pageSetUpPr fitToPage="1"/>
  </sheetPr>
  <dimension ref="A2:AA53"/>
  <sheetViews>
    <sheetView topLeftCell="I1" workbookViewId="0">
      <selection activeCell="AA45" sqref="AA45:AA46"/>
    </sheetView>
  </sheetViews>
  <sheetFormatPr defaultColWidth="9.140625" defaultRowHeight="12.75"/>
  <cols>
    <col min="1" max="1" width="5.5703125" style="1580" customWidth="1"/>
    <col min="2" max="2" width="26" style="1580" customWidth="1"/>
    <col min="3" max="3" width="38.85546875" style="357" customWidth="1"/>
    <col min="4" max="4" width="14.85546875" style="1580" customWidth="1"/>
    <col min="5" max="5" width="11.85546875" style="1580" customWidth="1"/>
    <col min="6" max="6" width="11.42578125" style="1580" customWidth="1"/>
    <col min="7" max="8" width="10.42578125" style="1580" customWidth="1"/>
    <col min="9" max="9" width="10.5703125" style="1580" customWidth="1"/>
    <col min="10" max="10" width="9.140625" style="1721"/>
    <col min="11" max="16384" width="9.140625" style="1580"/>
  </cols>
  <sheetData>
    <row r="2" spans="1:27" s="1636" customFormat="1">
      <c r="A2" s="1595" t="s">
        <v>1188</v>
      </c>
      <c r="C2" s="924"/>
      <c r="J2" s="1720"/>
    </row>
    <row r="3" spans="1:27">
      <c r="A3" s="120"/>
    </row>
    <row r="4" spans="1:27" s="1636" customFormat="1">
      <c r="A4" s="1644" t="s">
        <v>1190</v>
      </c>
      <c r="C4" s="924"/>
      <c r="J4" s="1720"/>
    </row>
    <row r="5" spans="1:27">
      <c r="A5" s="1580" t="s">
        <v>990</v>
      </c>
    </row>
    <row r="7" spans="1:27" ht="30" customHeight="1">
      <c r="A7" s="4003" t="s">
        <v>2</v>
      </c>
      <c r="B7" s="4003" t="s">
        <v>478</v>
      </c>
      <c r="C7" s="4003" t="s">
        <v>995</v>
      </c>
      <c r="D7" s="4003" t="s">
        <v>2113</v>
      </c>
      <c r="E7" s="4009" t="s">
        <v>2116</v>
      </c>
      <c r="F7" s="4009" t="s">
        <v>2117</v>
      </c>
      <c r="G7" s="4019" t="s">
        <v>2140</v>
      </c>
      <c r="H7" s="4009" t="s">
        <v>2141</v>
      </c>
      <c r="I7" s="4009" t="s">
        <v>2142</v>
      </c>
      <c r="J7" s="4010" t="s">
        <v>2118</v>
      </c>
      <c r="K7" s="4013" t="s">
        <v>2119</v>
      </c>
      <c r="L7" s="4013" t="s">
        <v>2120</v>
      </c>
      <c r="M7" s="4020" t="s">
        <v>2149</v>
      </c>
      <c r="N7" s="3856" t="s">
        <v>2150</v>
      </c>
      <c r="O7" s="3856" t="s">
        <v>2151</v>
      </c>
      <c r="P7" s="3856" t="s">
        <v>2152</v>
      </c>
      <c r="Q7" s="3856" t="s">
        <v>2153</v>
      </c>
      <c r="R7" s="4009" t="s">
        <v>2124</v>
      </c>
      <c r="S7" s="4009" t="s">
        <v>2125</v>
      </c>
      <c r="T7" s="4009" t="s">
        <v>2126</v>
      </c>
    </row>
    <row r="8" spans="1:27" ht="22.5" customHeight="1">
      <c r="A8" s="4003"/>
      <c r="B8" s="4003"/>
      <c r="C8" s="4003"/>
      <c r="D8" s="4003"/>
      <c r="E8" s="4009"/>
      <c r="F8" s="4009"/>
      <c r="G8" s="4019"/>
      <c r="H8" s="4009"/>
      <c r="I8" s="4009"/>
      <c r="J8" s="4011"/>
      <c r="K8" s="4014"/>
      <c r="L8" s="4014"/>
      <c r="M8" s="4020"/>
      <c r="N8" s="3856"/>
      <c r="O8" s="3856"/>
      <c r="P8" s="3856"/>
      <c r="Q8" s="3856"/>
      <c r="R8" s="4009"/>
      <c r="S8" s="4009"/>
      <c r="T8" s="4009"/>
      <c r="V8" s="1580" t="s">
        <v>2132</v>
      </c>
      <c r="X8" s="1580" t="s">
        <v>1196</v>
      </c>
      <c r="Z8" s="1580" t="s">
        <v>1006</v>
      </c>
    </row>
    <row r="9" spans="1:27">
      <c r="A9" s="1581">
        <v>283</v>
      </c>
      <c r="B9" s="1648" t="s">
        <v>1767</v>
      </c>
      <c r="C9" s="1579" t="s">
        <v>1768</v>
      </c>
      <c r="D9" s="1581"/>
      <c r="J9" s="1721">
        <v>4900</v>
      </c>
      <c r="K9" s="1580">
        <v>5000</v>
      </c>
      <c r="L9" s="1580">
        <v>8000</v>
      </c>
      <c r="U9" s="1580">
        <f>MIN(E9:T9)</f>
        <v>4900</v>
      </c>
      <c r="V9" s="1581">
        <f>4900</f>
        <v>4900</v>
      </c>
      <c r="W9" s="1580">
        <f>U9-V9</f>
        <v>0</v>
      </c>
      <c r="X9" s="1581">
        <f>4900</f>
        <v>4900</v>
      </c>
      <c r="Y9" s="1580">
        <f>U9-X9</f>
        <v>0</v>
      </c>
    </row>
    <row r="10" spans="1:27" hidden="1">
      <c r="A10" s="1581">
        <v>326</v>
      </c>
      <c r="B10" s="1062" t="s">
        <v>1769</v>
      </c>
      <c r="C10" s="1579" t="s">
        <v>1770</v>
      </c>
      <c r="D10" s="1581"/>
      <c r="U10" s="1580">
        <f t="shared" ref="U10:U33" si="0">MIN(E10:T10)</f>
        <v>0</v>
      </c>
      <c r="V10" s="1581"/>
      <c r="W10" s="1580">
        <f t="shared" ref="W10:W46" si="1">U10-V10</f>
        <v>0</v>
      </c>
      <c r="X10" s="1581"/>
      <c r="Y10" s="1580">
        <f t="shared" ref="Y10:Y31" si="2">U10-X10</f>
        <v>0</v>
      </c>
    </row>
    <row r="11" spans="1:27" hidden="1">
      <c r="A11" s="1581">
        <v>333</v>
      </c>
      <c r="B11" s="1062" t="s">
        <v>1771</v>
      </c>
      <c r="C11" s="1579" t="s">
        <v>1772</v>
      </c>
      <c r="D11" s="1581"/>
      <c r="U11" s="1580">
        <f t="shared" si="0"/>
        <v>0</v>
      </c>
      <c r="V11" s="1581"/>
      <c r="W11" s="1580">
        <f t="shared" si="1"/>
        <v>0</v>
      </c>
      <c r="X11" s="1581"/>
      <c r="Y11" s="1580">
        <f t="shared" si="2"/>
        <v>0</v>
      </c>
    </row>
    <row r="12" spans="1:27">
      <c r="A12" s="1581">
        <v>284</v>
      </c>
      <c r="B12" s="1056" t="s">
        <v>1773</v>
      </c>
      <c r="C12" s="1649"/>
      <c r="D12" s="1056"/>
      <c r="J12" s="1721">
        <v>8500</v>
      </c>
      <c r="K12" s="1580">
        <v>8600</v>
      </c>
      <c r="L12" s="1580">
        <v>9000</v>
      </c>
      <c r="U12" s="1580">
        <f t="shared" si="0"/>
        <v>8500</v>
      </c>
      <c r="V12" s="1056">
        <f>8500</f>
        <v>8500</v>
      </c>
      <c r="W12" s="1580">
        <f t="shared" si="1"/>
        <v>0</v>
      </c>
      <c r="X12" s="1056">
        <f>8500</f>
        <v>8500</v>
      </c>
      <c r="Y12" s="1580">
        <f t="shared" si="2"/>
        <v>0</v>
      </c>
      <c r="Z12" s="1056">
        <f>8500</f>
        <v>8500</v>
      </c>
      <c r="AA12" s="1737">
        <f>U12-Z12</f>
        <v>0</v>
      </c>
    </row>
    <row r="13" spans="1:27" ht="114.75">
      <c r="A13" s="1581">
        <v>285</v>
      </c>
      <c r="B13" s="1056" t="s">
        <v>1774</v>
      </c>
      <c r="C13" s="1579" t="s">
        <v>1775</v>
      </c>
      <c r="D13" s="1056"/>
      <c r="J13" s="1721">
        <v>60000</v>
      </c>
      <c r="K13" s="1580">
        <v>61000</v>
      </c>
      <c r="L13" s="1580">
        <v>62000</v>
      </c>
      <c r="U13" s="1580">
        <f t="shared" si="0"/>
        <v>60000</v>
      </c>
      <c r="V13" s="1056">
        <f>60000</f>
        <v>60000</v>
      </c>
      <c r="W13" s="1580">
        <f t="shared" si="1"/>
        <v>0</v>
      </c>
      <c r="X13" s="1056">
        <f>60000</f>
        <v>60000</v>
      </c>
      <c r="Y13" s="1580">
        <f t="shared" si="2"/>
        <v>0</v>
      </c>
      <c r="Z13" s="1056">
        <f>60000</f>
        <v>60000</v>
      </c>
      <c r="AA13" s="1737">
        <f>U13-Z13</f>
        <v>0</v>
      </c>
    </row>
    <row r="14" spans="1:27" ht="140.25">
      <c r="A14" s="1581">
        <v>286</v>
      </c>
      <c r="B14" s="1056" t="s">
        <v>1776</v>
      </c>
      <c r="C14" s="1579" t="s">
        <v>1777</v>
      </c>
      <c r="D14" s="1056"/>
      <c r="J14" s="1721">
        <v>27400</v>
      </c>
      <c r="K14" s="1580">
        <v>27500</v>
      </c>
      <c r="L14" s="1580">
        <v>28000</v>
      </c>
      <c r="U14" s="1580">
        <f t="shared" si="0"/>
        <v>27400</v>
      </c>
      <c r="V14" s="1056">
        <f>27400</f>
        <v>27400</v>
      </c>
      <c r="W14" s="1580">
        <f t="shared" si="1"/>
        <v>0</v>
      </c>
      <c r="X14" s="1056">
        <f>27400</f>
        <v>27400</v>
      </c>
      <c r="Y14" s="1580">
        <f t="shared" si="2"/>
        <v>0</v>
      </c>
      <c r="Z14" s="1056">
        <f>27400</f>
        <v>27400</v>
      </c>
      <c r="AA14" s="1737">
        <f>U14-Z14</f>
        <v>0</v>
      </c>
    </row>
    <row r="15" spans="1:27">
      <c r="A15" s="1581">
        <v>287</v>
      </c>
      <c r="B15" s="1579" t="s">
        <v>1728</v>
      </c>
      <c r="C15" s="1579" t="s">
        <v>1778</v>
      </c>
      <c r="D15" s="1581">
        <f>5460</f>
        <v>5460</v>
      </c>
      <c r="L15" s="1580">
        <v>5500</v>
      </c>
      <c r="M15" s="1580">
        <v>5460</v>
      </c>
      <c r="N15" s="1580">
        <v>5600</v>
      </c>
      <c r="U15" s="1580">
        <f t="shared" si="0"/>
        <v>5460</v>
      </c>
      <c r="V15" s="1056"/>
      <c r="X15" s="1581">
        <f>5460</f>
        <v>5460</v>
      </c>
      <c r="Y15" s="1580">
        <f t="shared" si="2"/>
        <v>0</v>
      </c>
      <c r="AA15" s="1737"/>
    </row>
    <row r="16" spans="1:27" ht="51">
      <c r="A16" s="1581">
        <v>288</v>
      </c>
      <c r="B16" s="1579" t="s">
        <v>1779</v>
      </c>
      <c r="C16" s="1579" t="s">
        <v>1780</v>
      </c>
      <c r="D16" s="1581"/>
      <c r="L16" s="1580">
        <v>45000</v>
      </c>
      <c r="M16" s="1580">
        <v>44570</v>
      </c>
      <c r="N16" s="1580">
        <v>48300</v>
      </c>
      <c r="U16" s="1580">
        <f t="shared" si="0"/>
        <v>44570</v>
      </c>
      <c r="V16" s="1581"/>
      <c r="X16" s="1581">
        <f>44570</f>
        <v>44570</v>
      </c>
      <c r="Y16" s="1580">
        <f t="shared" si="2"/>
        <v>0</v>
      </c>
      <c r="AA16" s="1737"/>
    </row>
    <row r="17" spans="1:27">
      <c r="A17" s="1581">
        <v>289</v>
      </c>
      <c r="B17" s="1056" t="s">
        <v>1781</v>
      </c>
      <c r="C17" s="1579" t="s">
        <v>1782</v>
      </c>
      <c r="D17" s="1056"/>
      <c r="J17" s="1721">
        <v>3500</v>
      </c>
      <c r="K17" s="1580">
        <v>3600</v>
      </c>
      <c r="L17" s="1580">
        <v>3800</v>
      </c>
      <c r="U17" s="1580">
        <f t="shared" si="0"/>
        <v>3500</v>
      </c>
      <c r="V17" s="1056">
        <f>3500</f>
        <v>3500</v>
      </c>
      <c r="W17" s="1580">
        <f t="shared" si="1"/>
        <v>0</v>
      </c>
      <c r="X17" s="1056">
        <f>3500</f>
        <v>3500</v>
      </c>
      <c r="Y17" s="1580">
        <f t="shared" si="2"/>
        <v>0</v>
      </c>
      <c r="Z17" s="1056">
        <f>3500</f>
        <v>3500</v>
      </c>
      <c r="AA17" s="1737">
        <f>U17-Z17</f>
        <v>0</v>
      </c>
    </row>
    <row r="18" spans="1:27" ht="38.25">
      <c r="A18" s="1581">
        <v>290</v>
      </c>
      <c r="B18" s="1056" t="s">
        <v>1783</v>
      </c>
      <c r="C18" s="1634" t="s">
        <v>1784</v>
      </c>
      <c r="D18" s="1583"/>
      <c r="L18" s="1580">
        <v>5950</v>
      </c>
      <c r="O18" s="1580">
        <v>5199</v>
      </c>
      <c r="P18" s="1580">
        <v>5999</v>
      </c>
      <c r="U18" s="1580">
        <f t="shared" si="0"/>
        <v>5199</v>
      </c>
      <c r="V18" s="1583">
        <f>5199</f>
        <v>5199</v>
      </c>
      <c r="W18" s="1580">
        <f t="shared" si="1"/>
        <v>0</v>
      </c>
      <c r="X18" s="1583"/>
      <c r="Y18" s="1580">
        <f t="shared" si="2"/>
        <v>5199</v>
      </c>
      <c r="Z18" s="1583">
        <f>5199</f>
        <v>5199</v>
      </c>
      <c r="AA18" s="1737">
        <f>U18-Z18</f>
        <v>0</v>
      </c>
    </row>
    <row r="19" spans="1:27" hidden="1">
      <c r="A19" s="1581">
        <v>331</v>
      </c>
      <c r="B19" s="1062" t="s">
        <v>1785</v>
      </c>
      <c r="C19" s="1579" t="s">
        <v>1786</v>
      </c>
      <c r="D19" s="1581"/>
      <c r="U19" s="1580">
        <f t="shared" si="0"/>
        <v>0</v>
      </c>
      <c r="V19" s="1581">
        <f>3000*1.07</f>
        <v>3210</v>
      </c>
      <c r="W19" s="1580">
        <f t="shared" si="1"/>
        <v>-3210</v>
      </c>
      <c r="X19" s="1581"/>
      <c r="Y19" s="1580">
        <f t="shared" si="2"/>
        <v>0</v>
      </c>
      <c r="Z19" s="1581"/>
      <c r="AA19" s="1737">
        <f>U19-Z19</f>
        <v>0</v>
      </c>
    </row>
    <row r="20" spans="1:27" hidden="1">
      <c r="A20" s="1581">
        <v>332</v>
      </c>
      <c r="B20" s="1062" t="s">
        <v>1787</v>
      </c>
      <c r="C20" s="1579" t="s">
        <v>1788</v>
      </c>
      <c r="D20" s="1581"/>
      <c r="U20" s="1580">
        <f t="shared" si="0"/>
        <v>0</v>
      </c>
      <c r="V20" s="1581">
        <f>3000*1.07</f>
        <v>3210</v>
      </c>
      <c r="W20" s="1580">
        <f t="shared" si="1"/>
        <v>-3210</v>
      </c>
      <c r="X20" s="1581"/>
      <c r="Y20" s="1580">
        <f t="shared" si="2"/>
        <v>0</v>
      </c>
      <c r="Z20" s="1581"/>
      <c r="AA20" s="1737">
        <f>U20-Z20</f>
        <v>0</v>
      </c>
    </row>
    <row r="21" spans="1:27" ht="25.5">
      <c r="A21" s="1581">
        <v>291</v>
      </c>
      <c r="B21" s="1583" t="s">
        <v>1789</v>
      </c>
      <c r="C21" s="1579" t="s">
        <v>1790</v>
      </c>
      <c r="D21" s="1056"/>
      <c r="J21" s="1721">
        <v>20000</v>
      </c>
      <c r="K21" s="1580">
        <v>21000</v>
      </c>
      <c r="L21" s="1580">
        <v>22000</v>
      </c>
      <c r="U21" s="1580">
        <f t="shared" si="0"/>
        <v>20000</v>
      </c>
      <c r="V21" s="1056">
        <f>20000</f>
        <v>20000</v>
      </c>
      <c r="W21" s="1580">
        <f t="shared" si="1"/>
        <v>0</v>
      </c>
      <c r="X21" s="1056">
        <f>20000</f>
        <v>20000</v>
      </c>
      <c r="Y21" s="1580">
        <f t="shared" si="2"/>
        <v>0</v>
      </c>
      <c r="Z21" s="1056">
        <f>20000</f>
        <v>20000</v>
      </c>
      <c r="AA21" s="1737">
        <f>U21-Z21</f>
        <v>0</v>
      </c>
    </row>
    <row r="22" spans="1:27" ht="51">
      <c r="A22" s="1581">
        <v>292</v>
      </c>
      <c r="B22" s="1579" t="s">
        <v>1791</v>
      </c>
      <c r="C22" s="1579" t="s">
        <v>1792</v>
      </c>
      <c r="D22" s="1581"/>
      <c r="L22" s="1580">
        <v>157000</v>
      </c>
      <c r="M22" s="1580">
        <v>156180</v>
      </c>
      <c r="N22" s="1580">
        <v>159800</v>
      </c>
      <c r="U22" s="1580">
        <f t="shared" si="0"/>
        <v>156180</v>
      </c>
      <c r="V22" s="1581"/>
      <c r="X22" s="1581">
        <f>156180</f>
        <v>156180</v>
      </c>
      <c r="Y22" s="1580">
        <f t="shared" si="2"/>
        <v>0</v>
      </c>
      <c r="Z22" s="1581"/>
      <c r="AA22" s="1737"/>
    </row>
    <row r="23" spans="1:27" ht="25.5">
      <c r="A23" s="1581">
        <v>293</v>
      </c>
      <c r="B23" s="1535" t="s">
        <v>1793</v>
      </c>
      <c r="C23" s="1579" t="s">
        <v>1794</v>
      </c>
      <c r="D23" s="1581"/>
      <c r="J23" s="1721">
        <v>23400</v>
      </c>
      <c r="K23" s="1580">
        <v>23500</v>
      </c>
      <c r="L23" s="1580">
        <v>25000</v>
      </c>
      <c r="U23" s="1580">
        <f t="shared" si="0"/>
        <v>23400</v>
      </c>
      <c r="V23" s="1581">
        <f>23400</f>
        <v>23400</v>
      </c>
      <c r="W23" s="1580">
        <f t="shared" si="1"/>
        <v>0</v>
      </c>
      <c r="X23" s="1581">
        <f>23400</f>
        <v>23400</v>
      </c>
      <c r="Y23" s="1580">
        <f t="shared" si="2"/>
        <v>0</v>
      </c>
      <c r="AA23" s="1737"/>
    </row>
    <row r="24" spans="1:27">
      <c r="A24" s="1581">
        <v>294</v>
      </c>
      <c r="B24" s="1062" t="s">
        <v>1793</v>
      </c>
      <c r="C24" s="1579" t="s">
        <v>1795</v>
      </c>
      <c r="D24" s="1581">
        <f>3000</f>
        <v>3000</v>
      </c>
      <c r="U24" s="1580">
        <f t="shared" si="0"/>
        <v>0</v>
      </c>
      <c r="V24" s="1581">
        <f>3000</f>
        <v>3000</v>
      </c>
      <c r="X24" s="1581"/>
      <c r="Y24" s="1580">
        <f t="shared" si="2"/>
        <v>0</v>
      </c>
      <c r="AA24" s="1737"/>
    </row>
    <row r="25" spans="1:27">
      <c r="A25" s="1581">
        <v>295</v>
      </c>
      <c r="B25" s="1062" t="s">
        <v>1793</v>
      </c>
      <c r="C25" s="1579" t="s">
        <v>1796</v>
      </c>
      <c r="D25" s="1581">
        <f>3000</f>
        <v>3000</v>
      </c>
      <c r="U25" s="1580">
        <f t="shared" si="0"/>
        <v>0</v>
      </c>
      <c r="V25" s="1581">
        <f>3000</f>
        <v>3000</v>
      </c>
      <c r="Y25" s="1580">
        <f t="shared" si="2"/>
        <v>0</v>
      </c>
      <c r="AA25" s="1737"/>
    </row>
    <row r="26" spans="1:27" hidden="1">
      <c r="A26" s="1581">
        <v>328</v>
      </c>
      <c r="B26" s="1062" t="s">
        <v>1797</v>
      </c>
      <c r="C26" s="1579" t="s">
        <v>1798</v>
      </c>
      <c r="D26" s="1581"/>
      <c r="U26" s="1580">
        <f t="shared" si="0"/>
        <v>0</v>
      </c>
      <c r="V26" s="1581">
        <f>250*1.07</f>
        <v>267.5</v>
      </c>
      <c r="Y26" s="1580">
        <f t="shared" si="2"/>
        <v>0</v>
      </c>
      <c r="AA26" s="1737"/>
    </row>
    <row r="27" spans="1:27" ht="17.25" hidden="1" customHeight="1">
      <c r="A27" s="1581">
        <v>329</v>
      </c>
      <c r="B27" s="1062" t="s">
        <v>1797</v>
      </c>
      <c r="C27" s="1579" t="s">
        <v>1799</v>
      </c>
      <c r="D27" s="1581"/>
      <c r="U27" s="1580">
        <f t="shared" si="0"/>
        <v>0</v>
      </c>
      <c r="V27" s="1581">
        <f>4500*1.07</f>
        <v>4815</v>
      </c>
      <c r="Y27" s="1580">
        <f t="shared" si="2"/>
        <v>0</v>
      </c>
      <c r="AA27" s="1737"/>
    </row>
    <row r="28" spans="1:27" ht="16.5" hidden="1" customHeight="1">
      <c r="A28" s="1581">
        <v>330</v>
      </c>
      <c r="B28" s="1062" t="s">
        <v>1800</v>
      </c>
      <c r="C28" s="1579" t="s">
        <v>1801</v>
      </c>
      <c r="D28" s="1581"/>
      <c r="U28" s="1580">
        <f t="shared" si="0"/>
        <v>0</v>
      </c>
      <c r="V28" s="1581">
        <f>18000*1.07</f>
        <v>19260</v>
      </c>
      <c r="Y28" s="1580">
        <f t="shared" si="2"/>
        <v>0</v>
      </c>
      <c r="AA28" s="1737"/>
    </row>
    <row r="29" spans="1:27">
      <c r="A29" s="1581">
        <v>296</v>
      </c>
      <c r="B29" s="1670" t="s">
        <v>1802</v>
      </c>
      <c r="C29" s="1670" t="s">
        <v>1803</v>
      </c>
      <c r="D29" s="1671">
        <f>160000</f>
        <v>160000</v>
      </c>
      <c r="E29" s="1580">
        <v>224000</v>
      </c>
      <c r="F29" s="1580">
        <v>192000</v>
      </c>
      <c r="U29" s="1580">
        <f t="shared" si="0"/>
        <v>192000</v>
      </c>
      <c r="V29" s="1671">
        <f>160000</f>
        <v>160000</v>
      </c>
      <c r="AA29" s="1737"/>
    </row>
    <row r="30" spans="1:27" ht="18.75" hidden="1" customHeight="1">
      <c r="A30" s="1581">
        <v>327</v>
      </c>
      <c r="B30" s="1062" t="s">
        <v>1804</v>
      </c>
      <c r="C30" s="1579" t="s">
        <v>1805</v>
      </c>
      <c r="D30" s="1581"/>
      <c r="U30" s="1580">
        <f t="shared" si="0"/>
        <v>0</v>
      </c>
      <c r="V30" s="1609">
        <f>27000*1.07</f>
        <v>28890</v>
      </c>
      <c r="W30" s="1580">
        <f t="shared" si="1"/>
        <v>-28890</v>
      </c>
      <c r="Y30" s="1580">
        <f t="shared" si="2"/>
        <v>0</v>
      </c>
      <c r="AA30" s="1737">
        <f>U30-Z38</f>
        <v>-20000</v>
      </c>
    </row>
    <row r="31" spans="1:27" ht="89.25">
      <c r="A31" s="1581">
        <v>297</v>
      </c>
      <c r="B31" s="1579" t="s">
        <v>1806</v>
      </c>
      <c r="C31" s="1579" t="s">
        <v>1807</v>
      </c>
      <c r="D31" s="1581"/>
      <c r="R31" s="1580">
        <v>20500</v>
      </c>
      <c r="S31" s="1580">
        <v>21000</v>
      </c>
      <c r="T31" s="1580">
        <v>22000</v>
      </c>
      <c r="U31" s="1580">
        <f t="shared" si="0"/>
        <v>20500</v>
      </c>
      <c r="V31" s="1581">
        <f>20500</f>
        <v>20500</v>
      </c>
      <c r="W31" s="1580">
        <f t="shared" si="1"/>
        <v>0</v>
      </c>
      <c r="X31" s="1581">
        <f>20500</f>
        <v>20500</v>
      </c>
      <c r="Y31" s="1580">
        <f t="shared" si="2"/>
        <v>0</v>
      </c>
      <c r="Z31" s="1581">
        <f>20500</f>
        <v>20500</v>
      </c>
      <c r="AA31" s="1737">
        <f>U31-Z31</f>
        <v>0</v>
      </c>
    </row>
    <row r="32" spans="1:27">
      <c r="A32" s="1609">
        <v>298</v>
      </c>
      <c r="B32" s="1674" t="s">
        <v>1808</v>
      </c>
      <c r="C32" s="1579" t="s">
        <v>1809</v>
      </c>
      <c r="D32" s="1581"/>
      <c r="R32" s="1580">
        <v>250</v>
      </c>
      <c r="S32" s="1580">
        <v>260</v>
      </c>
      <c r="T32" s="1580">
        <v>270</v>
      </c>
      <c r="U32" s="1580">
        <f t="shared" si="0"/>
        <v>250</v>
      </c>
      <c r="V32" s="1581">
        <f>250</f>
        <v>250</v>
      </c>
      <c r="W32" s="1580">
        <f t="shared" si="1"/>
        <v>0</v>
      </c>
      <c r="Z32" s="1609"/>
      <c r="AA32" s="1737"/>
    </row>
    <row r="33" spans="1:27" ht="32.25" customHeight="1">
      <c r="A33" s="1581">
        <v>299</v>
      </c>
      <c r="B33" s="1622" t="s">
        <v>1810</v>
      </c>
      <c r="C33" s="1579" t="s">
        <v>1811</v>
      </c>
      <c r="D33" s="1581"/>
      <c r="R33" s="1581">
        <f>4500</f>
        <v>4500</v>
      </c>
      <c r="S33" s="1580">
        <v>4600</v>
      </c>
      <c r="T33" s="1580">
        <v>4700</v>
      </c>
      <c r="U33" s="1580">
        <f t="shared" si="0"/>
        <v>4500</v>
      </c>
      <c r="V33" s="1581">
        <f>4500</f>
        <v>4500</v>
      </c>
      <c r="W33" s="1580">
        <f t="shared" si="1"/>
        <v>0</v>
      </c>
      <c r="Z33" s="1581"/>
      <c r="AA33" s="1737"/>
    </row>
    <row r="34" spans="1:27">
      <c r="A34" s="1609">
        <v>300</v>
      </c>
      <c r="B34" s="1618" t="s">
        <v>1812</v>
      </c>
      <c r="C34" s="1579" t="s">
        <v>1813</v>
      </c>
      <c r="D34" s="1581">
        <f>18000</f>
        <v>18000</v>
      </c>
      <c r="E34" s="1580">
        <v>25200</v>
      </c>
      <c r="F34" s="1580">
        <v>21600</v>
      </c>
      <c r="U34" s="1580">
        <f>MIN(D34:T34)</f>
        <v>18000</v>
      </c>
      <c r="V34" s="1581">
        <f>18000</f>
        <v>18000</v>
      </c>
      <c r="W34" s="1580">
        <f t="shared" si="1"/>
        <v>0</v>
      </c>
      <c r="X34" s="1581">
        <f>18000</f>
        <v>18000</v>
      </c>
      <c r="Y34" s="1580">
        <f>U34-X34</f>
        <v>0</v>
      </c>
      <c r="Z34" s="1609"/>
      <c r="AA34" s="1737"/>
    </row>
    <row r="35" spans="1:27">
      <c r="A35" s="1581">
        <v>301</v>
      </c>
      <c r="B35" s="1618" t="s">
        <v>1812</v>
      </c>
      <c r="C35" s="1579" t="s">
        <v>1814</v>
      </c>
      <c r="D35" s="1581">
        <f>25000</f>
        <v>25000</v>
      </c>
      <c r="E35" s="1580">
        <v>35000</v>
      </c>
      <c r="F35" s="1580">
        <v>30000</v>
      </c>
      <c r="U35" s="1580">
        <f>MIN(D35:T35)</f>
        <v>25000</v>
      </c>
      <c r="V35" s="1581">
        <f>25000</f>
        <v>25000</v>
      </c>
      <c r="W35" s="1580">
        <f t="shared" si="1"/>
        <v>0</v>
      </c>
      <c r="X35" s="1581">
        <f>25000</f>
        <v>25000</v>
      </c>
      <c r="Y35" s="1580">
        <f t="shared" ref="Y35:Y46" si="3">U35-X35</f>
        <v>0</v>
      </c>
      <c r="Z35" s="1609"/>
      <c r="AA35" s="1737"/>
    </row>
    <row r="36" spans="1:27" ht="38.25">
      <c r="A36" s="1609">
        <v>302</v>
      </c>
      <c r="B36" s="1619" t="s">
        <v>1815</v>
      </c>
      <c r="C36" s="917" t="s">
        <v>1816</v>
      </c>
      <c r="D36" s="1609">
        <f>27000</f>
        <v>27000</v>
      </c>
      <c r="E36" s="1580">
        <v>37800</v>
      </c>
      <c r="F36" s="1580">
        <v>32400</v>
      </c>
      <c r="U36" s="1580">
        <f t="shared" ref="U36:U46" si="4">MIN(D36:T36)</f>
        <v>27000</v>
      </c>
      <c r="V36" s="1609">
        <f>27000</f>
        <v>27000</v>
      </c>
      <c r="W36" s="1580">
        <f t="shared" si="1"/>
        <v>0</v>
      </c>
      <c r="X36" s="1609">
        <f>27000</f>
        <v>27000</v>
      </c>
      <c r="Y36" s="1580">
        <f t="shared" si="3"/>
        <v>0</v>
      </c>
      <c r="Z36" s="1609">
        <f>27000</f>
        <v>27000</v>
      </c>
      <c r="AA36" s="1737">
        <f>U36-Z36</f>
        <v>0</v>
      </c>
    </row>
    <row r="37" spans="1:27">
      <c r="A37" s="1581">
        <v>303</v>
      </c>
      <c r="B37" s="1618" t="s">
        <v>1817</v>
      </c>
      <c r="C37" s="1579" t="s">
        <v>1818</v>
      </c>
      <c r="D37" s="1581">
        <f>25000</f>
        <v>25000</v>
      </c>
      <c r="E37" s="1580">
        <v>35000</v>
      </c>
      <c r="F37" s="1580">
        <v>30000</v>
      </c>
      <c r="U37" s="1580">
        <f t="shared" si="4"/>
        <v>25000</v>
      </c>
      <c r="V37" s="1581">
        <f>25000</f>
        <v>25000</v>
      </c>
      <c r="W37" s="1580">
        <f t="shared" si="1"/>
        <v>0</v>
      </c>
      <c r="X37" s="1581">
        <f>25000</f>
        <v>25000</v>
      </c>
      <c r="Y37" s="1580">
        <f t="shared" si="3"/>
        <v>0</v>
      </c>
      <c r="Z37" s="1581">
        <f>25000</f>
        <v>25000</v>
      </c>
      <c r="AA37" s="1737">
        <f>U37-Z37</f>
        <v>0</v>
      </c>
    </row>
    <row r="38" spans="1:27" ht="25.5">
      <c r="A38" s="1609">
        <v>304</v>
      </c>
      <c r="B38" s="1619" t="s">
        <v>1819</v>
      </c>
      <c r="C38" s="1614" t="s">
        <v>1820</v>
      </c>
      <c r="D38" s="1609">
        <f>20000</f>
        <v>20000</v>
      </c>
      <c r="E38" s="1580">
        <v>28000</v>
      </c>
      <c r="F38" s="1580">
        <v>24000</v>
      </c>
      <c r="U38" s="1580">
        <f t="shared" si="4"/>
        <v>20000</v>
      </c>
      <c r="V38" s="1609">
        <f>20000</f>
        <v>20000</v>
      </c>
      <c r="W38" s="1580">
        <f t="shared" si="1"/>
        <v>0</v>
      </c>
      <c r="X38" s="1609">
        <f>20000</f>
        <v>20000</v>
      </c>
      <c r="Y38" s="1580">
        <f t="shared" si="3"/>
        <v>0</v>
      </c>
      <c r="Z38" s="1609">
        <f>20000</f>
        <v>20000</v>
      </c>
      <c r="AA38" s="1737">
        <f>U38-Z38</f>
        <v>0</v>
      </c>
    </row>
    <row r="39" spans="1:27">
      <c r="A39" s="1581">
        <v>305</v>
      </c>
      <c r="B39" s="1618" t="s">
        <v>1821</v>
      </c>
      <c r="C39" s="1621" t="s">
        <v>1822</v>
      </c>
      <c r="D39" s="1581">
        <f>25000</f>
        <v>25000</v>
      </c>
      <c r="E39" s="1580">
        <v>35000</v>
      </c>
      <c r="F39" s="1580">
        <v>27500</v>
      </c>
      <c r="U39" s="1580">
        <f t="shared" si="4"/>
        <v>25000</v>
      </c>
      <c r="V39" s="1581">
        <f>25000</f>
        <v>25000</v>
      </c>
      <c r="W39" s="1580">
        <f t="shared" si="1"/>
        <v>0</v>
      </c>
      <c r="X39" s="1581">
        <f>25000</f>
        <v>25000</v>
      </c>
      <c r="Y39" s="1580">
        <f t="shared" si="3"/>
        <v>0</v>
      </c>
      <c r="AA39" s="1737"/>
    </row>
    <row r="40" spans="1:27">
      <c r="A40" s="1609">
        <v>306</v>
      </c>
      <c r="B40" s="1619" t="s">
        <v>1823</v>
      </c>
      <c r="C40" s="917" t="s">
        <v>1824</v>
      </c>
      <c r="D40" s="1609">
        <f>50000</f>
        <v>50000</v>
      </c>
      <c r="E40" s="1580">
        <v>70000</v>
      </c>
      <c r="F40" s="1580">
        <v>60000</v>
      </c>
      <c r="U40" s="1580">
        <f t="shared" si="4"/>
        <v>50000</v>
      </c>
      <c r="V40" s="1609">
        <f>50000</f>
        <v>50000</v>
      </c>
      <c r="W40" s="1580">
        <f t="shared" si="1"/>
        <v>0</v>
      </c>
      <c r="X40" s="1609">
        <f>50000</f>
        <v>50000</v>
      </c>
      <c r="Y40" s="1580">
        <f t="shared" si="3"/>
        <v>0</v>
      </c>
      <c r="Z40" s="1609">
        <f>50000</f>
        <v>50000</v>
      </c>
      <c r="AA40" s="1737">
        <f>U40-Z40</f>
        <v>0</v>
      </c>
    </row>
    <row r="41" spans="1:27">
      <c r="A41" s="1581">
        <v>307</v>
      </c>
      <c r="B41" s="1618" t="s">
        <v>1825</v>
      </c>
      <c r="C41" s="1579"/>
      <c r="D41" s="1609">
        <f>50000</f>
        <v>50000</v>
      </c>
      <c r="E41" s="1580">
        <v>70000</v>
      </c>
      <c r="F41" s="1580">
        <v>60000</v>
      </c>
      <c r="U41" s="1580">
        <f t="shared" si="4"/>
        <v>50000</v>
      </c>
      <c r="V41" s="1581">
        <f>50000</f>
        <v>50000</v>
      </c>
      <c r="W41" s="1580">
        <f t="shared" si="1"/>
        <v>0</v>
      </c>
      <c r="X41" s="1609">
        <f>50000</f>
        <v>50000</v>
      </c>
      <c r="Y41" s="1580">
        <f t="shared" si="3"/>
        <v>0</v>
      </c>
      <c r="AA41" s="1737"/>
    </row>
    <row r="42" spans="1:27" ht="89.25">
      <c r="A42" s="1609">
        <v>308</v>
      </c>
      <c r="B42" s="1619" t="s">
        <v>1826</v>
      </c>
      <c r="C42" s="1579" t="s">
        <v>1827</v>
      </c>
      <c r="D42" s="1609">
        <f>25000</f>
        <v>25000</v>
      </c>
      <c r="E42" s="1580">
        <v>35000</v>
      </c>
      <c r="F42" s="1580">
        <v>30000</v>
      </c>
      <c r="U42" s="1580">
        <f t="shared" si="4"/>
        <v>25000</v>
      </c>
      <c r="V42" s="1609">
        <f>25000</f>
        <v>25000</v>
      </c>
      <c r="W42" s="1580">
        <f t="shared" si="1"/>
        <v>0</v>
      </c>
      <c r="X42" s="1609">
        <f>25000</f>
        <v>25000</v>
      </c>
      <c r="Y42" s="1580">
        <f t="shared" si="3"/>
        <v>0</v>
      </c>
      <c r="Z42" s="1609">
        <f>25000</f>
        <v>25000</v>
      </c>
      <c r="AA42" s="1737">
        <f>U42-Z42</f>
        <v>0</v>
      </c>
    </row>
    <row r="43" spans="1:27" ht="76.5">
      <c r="A43" s="1581">
        <v>309</v>
      </c>
      <c r="B43" s="1619" t="s">
        <v>1828</v>
      </c>
      <c r="C43" s="917" t="s">
        <v>1829</v>
      </c>
      <c r="D43" s="1609">
        <f>80000</f>
        <v>80000</v>
      </c>
      <c r="E43" s="1580">
        <v>112000</v>
      </c>
      <c r="F43" s="1580">
        <v>96000</v>
      </c>
      <c r="U43" s="1580">
        <f t="shared" si="4"/>
        <v>80000</v>
      </c>
      <c r="V43" s="1609">
        <f>80000</f>
        <v>80000</v>
      </c>
      <c r="W43" s="1580">
        <f t="shared" si="1"/>
        <v>0</v>
      </c>
      <c r="X43" s="1609">
        <f>80000</f>
        <v>80000</v>
      </c>
      <c r="Y43" s="1580">
        <f t="shared" si="3"/>
        <v>0</v>
      </c>
      <c r="Z43" s="1609">
        <f>80000</f>
        <v>80000</v>
      </c>
      <c r="AA43" s="1737">
        <f>U43-Z43</f>
        <v>0</v>
      </c>
    </row>
    <row r="44" spans="1:27" ht="38.25">
      <c r="A44" s="1609">
        <v>310</v>
      </c>
      <c r="B44" s="917" t="s">
        <v>1830</v>
      </c>
      <c r="C44" s="917" t="s">
        <v>1831</v>
      </c>
      <c r="K44" s="1580">
        <v>5600</v>
      </c>
      <c r="L44" s="1580">
        <v>5800</v>
      </c>
      <c r="R44" s="1056">
        <f>4500</f>
        <v>4500</v>
      </c>
      <c r="U44" s="1580">
        <f t="shared" si="4"/>
        <v>4500</v>
      </c>
      <c r="V44" s="1056">
        <f>4500</f>
        <v>4500</v>
      </c>
      <c r="W44" s="1580">
        <f t="shared" si="1"/>
        <v>0</v>
      </c>
      <c r="X44" s="1535">
        <f>4500</f>
        <v>4500</v>
      </c>
      <c r="Y44" s="1580">
        <f t="shared" si="3"/>
        <v>0</v>
      </c>
      <c r="Z44" s="367">
        <f>4500</f>
        <v>4500</v>
      </c>
      <c r="AA44" s="1737">
        <f>U44-Z44</f>
        <v>0</v>
      </c>
    </row>
    <row r="45" spans="1:27">
      <c r="A45" s="1581">
        <v>311</v>
      </c>
      <c r="B45" s="917" t="s">
        <v>1832</v>
      </c>
      <c r="C45" s="917" t="s">
        <v>1833</v>
      </c>
      <c r="K45" s="1580">
        <v>1000</v>
      </c>
      <c r="L45" s="1580">
        <v>900</v>
      </c>
      <c r="R45" s="1056">
        <f>900</f>
        <v>900</v>
      </c>
      <c r="U45" s="1580">
        <f t="shared" si="4"/>
        <v>900</v>
      </c>
      <c r="V45" s="1056">
        <f>900</f>
        <v>900</v>
      </c>
      <c r="W45" s="1580">
        <f t="shared" si="1"/>
        <v>0</v>
      </c>
      <c r="X45" s="1535">
        <f>900</f>
        <v>900</v>
      </c>
      <c r="Y45" s="1580">
        <f t="shared" si="3"/>
        <v>0</v>
      </c>
      <c r="Z45" s="367">
        <f>900</f>
        <v>900</v>
      </c>
      <c r="AA45" s="1737">
        <f>U45-Z45</f>
        <v>0</v>
      </c>
    </row>
    <row r="46" spans="1:27" ht="25.5">
      <c r="A46" s="1609">
        <v>312</v>
      </c>
      <c r="B46" s="917" t="s">
        <v>1834</v>
      </c>
      <c r="C46" s="917" t="s">
        <v>1835</v>
      </c>
      <c r="K46" s="1580">
        <v>5800</v>
      </c>
      <c r="L46" s="1580">
        <v>5900</v>
      </c>
      <c r="Q46" s="1580">
        <v>5800</v>
      </c>
      <c r="R46" s="1056">
        <f>4800</f>
        <v>4800</v>
      </c>
      <c r="U46" s="1580">
        <f t="shared" si="4"/>
        <v>4800</v>
      </c>
      <c r="V46" s="1056">
        <f>4800</f>
        <v>4800</v>
      </c>
      <c r="W46" s="1580">
        <f t="shared" si="1"/>
        <v>0</v>
      </c>
      <c r="X46" s="1535">
        <f>4800</f>
        <v>4800</v>
      </c>
      <c r="Y46" s="1580">
        <f t="shared" si="3"/>
        <v>0</v>
      </c>
      <c r="Z46" s="367">
        <f>4800</f>
        <v>4800</v>
      </c>
      <c r="AA46" s="1737">
        <f>U46-Z46</f>
        <v>0</v>
      </c>
    </row>
    <row r="47" spans="1:27">
      <c r="A47" s="1636"/>
      <c r="B47" s="1638"/>
      <c r="C47" s="924"/>
      <c r="D47" s="1636"/>
    </row>
    <row r="48" spans="1:27">
      <c r="B48" s="524" t="s">
        <v>330</v>
      </c>
      <c r="C48" s="120"/>
    </row>
    <row r="49" spans="2:3">
      <c r="B49" s="524"/>
      <c r="C49" s="120"/>
    </row>
    <row r="50" spans="2:3">
      <c r="B50" s="524" t="s">
        <v>547</v>
      </c>
      <c r="C50" s="524"/>
    </row>
    <row r="51" spans="2:3">
      <c r="B51" s="524" t="s">
        <v>548</v>
      </c>
      <c r="C51" s="524"/>
    </row>
    <row r="52" spans="2:3">
      <c r="B52" s="524"/>
      <c r="C52" s="524"/>
    </row>
    <row r="53" spans="2:3">
      <c r="B53" s="524" t="s">
        <v>375</v>
      </c>
      <c r="C53" s="1650"/>
    </row>
  </sheetData>
  <sheetProtection formatColumns="0" insertRows="0" deleteRows="0"/>
  <mergeCells count="20">
    <mergeCell ref="F7:F8"/>
    <mergeCell ref="A7:A8"/>
    <mergeCell ref="B7:B8"/>
    <mergeCell ref="C7:C8"/>
    <mergeCell ref="D7:D8"/>
    <mergeCell ref="E7:E8"/>
    <mergeCell ref="R7:R8"/>
    <mergeCell ref="S7:S8"/>
    <mergeCell ref="T7:T8"/>
    <mergeCell ref="G7:G8"/>
    <mergeCell ref="H7:H8"/>
    <mergeCell ref="I7:I8"/>
    <mergeCell ref="P7:P8"/>
    <mergeCell ref="Q7:Q8"/>
    <mergeCell ref="J7:J8"/>
    <mergeCell ref="K7:K8"/>
    <mergeCell ref="L7:L8"/>
    <mergeCell ref="M7:M8"/>
    <mergeCell ref="N7:N8"/>
    <mergeCell ref="O7:O8"/>
  </mergeCells>
  <dataValidations count="1">
    <dataValidation allowBlank="1" showInputMessage="1" showErrorMessage="1" prompt="Укажите &quot;Краткую характеристику ТРУ&quot;" sqref="C12" xr:uid="{00000000-0002-0000-3000-000000000000}"/>
  </dataValidations>
  <pageMargins left="0" right="0" top="0" bottom="0" header="0" footer="0"/>
  <pageSetup paperSize="9" fitToHeight="0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FF0000"/>
  </sheetPr>
  <dimension ref="A1:G27"/>
  <sheetViews>
    <sheetView workbookViewId="0">
      <selection activeCell="B11" sqref="B11"/>
    </sheetView>
  </sheetViews>
  <sheetFormatPr defaultRowHeight="15"/>
  <cols>
    <col min="1" max="1" width="10.28515625" customWidth="1"/>
    <col min="3" max="3" width="10.7109375" customWidth="1"/>
    <col min="4" max="4" width="14.42578125" customWidth="1"/>
    <col min="5" max="5" width="15.42578125" customWidth="1"/>
    <col min="6" max="6" width="15.5703125" customWidth="1"/>
  </cols>
  <sheetData>
    <row r="1" spans="1:7">
      <c r="A1" s="406" t="s">
        <v>2154</v>
      </c>
      <c r="B1" s="406"/>
      <c r="C1" s="406"/>
    </row>
    <row r="2" spans="1:7">
      <c r="A2" s="406"/>
      <c r="B2" s="406"/>
      <c r="C2" s="406"/>
      <c r="D2">
        <v>100</v>
      </c>
      <c r="E2">
        <v>50</v>
      </c>
    </row>
    <row r="3" spans="1:7">
      <c r="A3" s="4021" t="s">
        <v>1191</v>
      </c>
      <c r="B3" s="4021"/>
      <c r="C3" s="4021"/>
      <c r="D3" s="4021" t="s">
        <v>2155</v>
      </c>
      <c r="E3" s="4021"/>
      <c r="F3" s="1186" t="s">
        <v>2156</v>
      </c>
    </row>
    <row r="4" spans="1:7">
      <c r="A4" s="1186" t="s">
        <v>2157</v>
      </c>
      <c r="B4" s="1186" t="s">
        <v>2158</v>
      </c>
      <c r="C4" s="1186" t="s">
        <v>2159</v>
      </c>
      <c r="D4" s="1186" t="s">
        <v>2160</v>
      </c>
      <c r="E4" s="1186" t="s">
        <v>2161</v>
      </c>
      <c r="F4" s="1186"/>
    </row>
    <row r="5" spans="1:7">
      <c r="A5" s="376">
        <v>15941</v>
      </c>
      <c r="B5" s="376"/>
      <c r="C5" s="376"/>
      <c r="D5" s="376">
        <f>A5/100</f>
        <v>159.41</v>
      </c>
      <c r="E5" s="376">
        <f>A5/50</f>
        <v>318.82</v>
      </c>
      <c r="F5" s="376">
        <f>ROUND((D5+E5)*10/300,0)</f>
        <v>16</v>
      </c>
      <c r="G5" t="s">
        <v>2162</v>
      </c>
    </row>
    <row r="6" spans="1:7">
      <c r="A6" s="376"/>
      <c r="B6" s="376">
        <v>970.4</v>
      </c>
      <c r="C6" s="376"/>
      <c r="D6" s="376">
        <f>B6/100</f>
        <v>9.7040000000000006</v>
      </c>
      <c r="E6" s="376">
        <f>B6/50</f>
        <v>19.408000000000001</v>
      </c>
      <c r="F6" s="376">
        <f>ROUND((D6+E6)*21*10/300,0)</f>
        <v>20</v>
      </c>
    </row>
    <row r="7" spans="1:7">
      <c r="A7" s="376"/>
      <c r="B7" s="376"/>
      <c r="C7" s="376">
        <v>500</v>
      </c>
      <c r="D7" s="376"/>
      <c r="E7" s="376">
        <f>A5/C7</f>
        <v>31.882000000000001</v>
      </c>
      <c r="F7" s="1716">
        <f>E7*21*10/300</f>
        <v>22.317399999999999</v>
      </c>
    </row>
    <row r="8" spans="1:7">
      <c r="A8" s="376" t="s">
        <v>2163</v>
      </c>
      <c r="B8" s="376"/>
      <c r="C8" s="376"/>
      <c r="D8" s="376"/>
      <c r="E8" s="376"/>
      <c r="F8" s="1717">
        <f>F5+F6+F7</f>
        <v>58.317399999999999</v>
      </c>
      <c r="G8" s="1715">
        <f>F8*2</f>
        <v>116.6348</v>
      </c>
    </row>
    <row r="9" spans="1:7">
      <c r="A9" s="376" t="s">
        <v>2164</v>
      </c>
      <c r="B9" s="376"/>
      <c r="C9" s="376"/>
      <c r="D9" s="376"/>
      <c r="E9" s="376"/>
      <c r="F9" s="1716"/>
      <c r="G9" s="1715"/>
    </row>
    <row r="10" spans="1:7">
      <c r="A10" s="376">
        <v>12100</v>
      </c>
      <c r="B10" s="376"/>
      <c r="C10" s="376"/>
      <c r="D10" s="376">
        <f>A10/$D$2</f>
        <v>121</v>
      </c>
      <c r="E10" s="376">
        <f>A10/$E$2</f>
        <v>242</v>
      </c>
      <c r="F10" s="376">
        <f>ROUND((D10+E10)*8/300,0)</f>
        <v>10</v>
      </c>
    </row>
    <row r="11" spans="1:7">
      <c r="A11" s="376"/>
      <c r="B11" s="376">
        <v>340</v>
      </c>
      <c r="C11" s="376"/>
      <c r="D11" s="376">
        <f>B11/$D$2</f>
        <v>3.4</v>
      </c>
      <c r="E11" s="376">
        <f>B11/$E$2</f>
        <v>6.8</v>
      </c>
      <c r="F11" s="376">
        <f>ROUND((D11+E11)*21*8/300,0)</f>
        <v>6</v>
      </c>
    </row>
    <row r="12" spans="1:7">
      <c r="A12" s="376"/>
      <c r="B12" s="376"/>
      <c r="C12" s="376">
        <v>500</v>
      </c>
      <c r="D12" s="376"/>
      <c r="E12" s="376">
        <f>A10/C12</f>
        <v>24.2</v>
      </c>
      <c r="F12" s="376">
        <f>ROUND(E12*21*8/300,0)</f>
        <v>14</v>
      </c>
    </row>
    <row r="13" spans="1:7">
      <c r="A13" s="376" t="s">
        <v>2163</v>
      </c>
      <c r="B13" s="376"/>
      <c r="C13" s="376"/>
      <c r="D13" s="376"/>
      <c r="E13" s="376"/>
      <c r="F13" s="1718">
        <f>SUM(F10:F12)</f>
        <v>30</v>
      </c>
    </row>
    <row r="14" spans="1:7">
      <c r="A14" s="376" t="s">
        <v>476</v>
      </c>
      <c r="B14" s="376"/>
      <c r="C14" s="376"/>
      <c r="D14" s="376"/>
      <c r="E14" s="376"/>
      <c r="F14" s="1718"/>
    </row>
    <row r="15" spans="1:7">
      <c r="A15" s="376">
        <v>22739</v>
      </c>
      <c r="B15" s="376"/>
      <c r="C15" s="376"/>
      <c r="D15" s="376">
        <f>A15/100</f>
        <v>227.39</v>
      </c>
      <c r="E15" s="376">
        <f>A15/50</f>
        <v>454.78</v>
      </c>
      <c r="F15" s="376">
        <f>ROUND((D15+E15)*4/300,0)</f>
        <v>9</v>
      </c>
    </row>
    <row r="16" spans="1:7">
      <c r="A16" s="376"/>
      <c r="B16" s="376">
        <v>831</v>
      </c>
      <c r="C16" s="376"/>
      <c r="D16" s="376">
        <f>B16/100</f>
        <v>8.31</v>
      </c>
      <c r="E16" s="376">
        <f>B16/50</f>
        <v>16.62</v>
      </c>
      <c r="F16" s="376">
        <f>ROUND((D16+E16)*21*4/300,0)</f>
        <v>7</v>
      </c>
    </row>
    <row r="17" spans="1:6">
      <c r="A17" s="376"/>
      <c r="B17" s="376"/>
      <c r="C17" s="376">
        <v>500</v>
      </c>
      <c r="D17" s="376"/>
      <c r="E17" s="376">
        <f>A15/C17</f>
        <v>45.478000000000002</v>
      </c>
      <c r="F17" s="376">
        <f>ROUND(E17*21*4/300,0)</f>
        <v>13</v>
      </c>
    </row>
    <row r="18" spans="1:6">
      <c r="A18" s="376"/>
      <c r="B18" s="376"/>
      <c r="C18" s="376"/>
      <c r="D18" s="376"/>
      <c r="E18" s="376"/>
      <c r="F18" s="1718">
        <f>F15+F16+F17</f>
        <v>29</v>
      </c>
    </row>
    <row r="19" spans="1:6">
      <c r="A19" s="376" t="s">
        <v>2165</v>
      </c>
      <c r="B19" s="376"/>
      <c r="C19" s="376"/>
      <c r="D19" s="376"/>
      <c r="E19" s="376"/>
      <c r="F19" s="376"/>
    </row>
    <row r="20" spans="1:6">
      <c r="A20" s="1635">
        <v>13674.8</v>
      </c>
      <c r="B20" s="376"/>
      <c r="C20" s="376"/>
      <c r="D20" s="376">
        <f>A20/100</f>
        <v>136.74799999999999</v>
      </c>
      <c r="E20" s="376">
        <f>A20/50</f>
        <v>273.49599999999998</v>
      </c>
      <c r="F20" s="376">
        <f>ROUND((D20+E20)*10/300,0)</f>
        <v>14</v>
      </c>
    </row>
    <row r="21" spans="1:6">
      <c r="A21" s="376"/>
      <c r="B21" s="376">
        <v>824</v>
      </c>
      <c r="C21" s="376"/>
      <c r="D21" s="376">
        <f>B21/100</f>
        <v>8.24</v>
      </c>
      <c r="E21" s="376">
        <f>B21/50</f>
        <v>16.48</v>
      </c>
      <c r="F21" s="376">
        <f>ROUND((D21+E21)*21*10/300,0)</f>
        <v>17</v>
      </c>
    </row>
    <row r="22" spans="1:6">
      <c r="A22" s="376"/>
      <c r="B22" s="376"/>
      <c r="C22" s="376">
        <v>500</v>
      </c>
      <c r="D22" s="376"/>
      <c r="E22" s="376">
        <f>A20/C22</f>
        <v>27.349599999999999</v>
      </c>
      <c r="F22" s="376">
        <f>ROUND(E22*21*10/300,0)</f>
        <v>19</v>
      </c>
    </row>
    <row r="23" spans="1:6">
      <c r="A23" s="376" t="s">
        <v>1006</v>
      </c>
      <c r="B23" s="376"/>
      <c r="C23" s="376"/>
      <c r="D23" s="376"/>
      <c r="E23" s="376"/>
      <c r="F23" s="1718">
        <f>F20+F21+F22</f>
        <v>50</v>
      </c>
    </row>
    <row r="24" spans="1:6">
      <c r="A24" s="376">
        <v>4333</v>
      </c>
      <c r="B24" s="376"/>
      <c r="C24" s="376"/>
      <c r="D24" s="376">
        <f>A24/100</f>
        <v>43.33</v>
      </c>
      <c r="E24" s="376">
        <f>A24/50</f>
        <v>86.66</v>
      </c>
      <c r="F24" s="376">
        <f>ROUND((D24+E24)*10/300,0)</f>
        <v>4</v>
      </c>
    </row>
    <row r="25" spans="1:6">
      <c r="A25" s="376"/>
      <c r="B25" s="376">
        <v>230</v>
      </c>
      <c r="C25" s="376"/>
      <c r="D25" s="376">
        <f>B25/100</f>
        <v>2.2999999999999998</v>
      </c>
      <c r="E25" s="376">
        <f>B25/50</f>
        <v>4.5999999999999996</v>
      </c>
      <c r="F25" s="376">
        <f>ROUND((D25+E25)*21*10/300,0)</f>
        <v>5</v>
      </c>
    </row>
    <row r="26" spans="1:6">
      <c r="A26" s="376"/>
      <c r="B26" s="376"/>
      <c r="C26" s="376">
        <v>500</v>
      </c>
      <c r="D26" s="376"/>
      <c r="E26" s="376">
        <f>A24/C26</f>
        <v>8.6660000000000004</v>
      </c>
      <c r="F26" s="376">
        <f>ROUND(E26*21*10/300,0)</f>
        <v>6</v>
      </c>
    </row>
    <row r="27" spans="1:6">
      <c r="A27" s="376"/>
      <c r="B27" s="376"/>
      <c r="C27" s="376"/>
      <c r="D27" s="376"/>
      <c r="E27" s="376"/>
      <c r="F27" s="1718">
        <f>F24+F25+F26</f>
        <v>15</v>
      </c>
    </row>
  </sheetData>
  <mergeCells count="2">
    <mergeCell ref="D3:E3"/>
    <mergeCell ref="A3:C3"/>
  </mergeCells>
  <pageMargins left="0.7" right="0.7" top="0.75" bottom="0.75" header="0.3" footer="0.3"/>
  <pageSetup paperSize="9" orientation="portrait" horizontalDpi="0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rgb="FFFF0000"/>
    <pageSetUpPr fitToPage="1"/>
  </sheetPr>
  <dimension ref="A1:AM546"/>
  <sheetViews>
    <sheetView topLeftCell="B1" workbookViewId="0">
      <selection activeCell="F13" sqref="A13:IV13"/>
    </sheetView>
  </sheetViews>
  <sheetFormatPr defaultColWidth="9.140625" defaultRowHeight="12.75"/>
  <cols>
    <col min="1" max="1" width="5.5703125" style="1587" customWidth="1"/>
    <col min="2" max="2" width="26" style="1587" customWidth="1"/>
    <col min="3" max="3" width="38.85546875" style="1655" customWidth="1"/>
    <col min="4" max="4" width="8.28515625" style="1587" customWidth="1"/>
    <col min="5" max="5" width="10.42578125" style="1587" customWidth="1"/>
    <col min="6" max="6" width="6.140625" style="1587" customWidth="1"/>
    <col min="7" max="7" width="7.5703125" style="1587" customWidth="1"/>
    <col min="8" max="8" width="13.7109375" style="1587" customWidth="1"/>
    <col min="9" max="9" width="9.140625" style="1587" customWidth="1"/>
    <col min="10" max="10" width="9.85546875" style="1587" customWidth="1"/>
    <col min="11" max="11" width="13.7109375" style="1587" customWidth="1"/>
    <col min="12" max="12" width="16" style="1587" customWidth="1"/>
    <col min="13" max="13" width="14.28515625" style="1587" customWidth="1"/>
    <col min="14" max="14" width="15.140625" style="1587" customWidth="1"/>
    <col min="15" max="15" width="13" style="1587" customWidth="1"/>
    <col min="16" max="16" width="10.42578125" style="1587" customWidth="1"/>
    <col min="17" max="17" width="14.85546875" style="1587" customWidth="1"/>
    <col min="18" max="20" width="21" style="1587" customWidth="1"/>
    <col min="21" max="21" width="16.85546875" style="1587" customWidth="1"/>
    <col min="22" max="22" width="14.28515625" style="1587" customWidth="1"/>
    <col min="23" max="24" width="9.140625" style="1587"/>
    <col min="25" max="25" width="13" style="1587" customWidth="1"/>
    <col min="26" max="16384" width="9.140625" style="1587"/>
  </cols>
  <sheetData>
    <row r="1" spans="1:39">
      <c r="S1" s="1587" t="s">
        <v>267</v>
      </c>
      <c r="T1" s="1655" t="s">
        <v>596</v>
      </c>
    </row>
    <row r="2" spans="1:39" s="1657" customFormat="1">
      <c r="A2" s="1656" t="s">
        <v>1188</v>
      </c>
      <c r="C2" s="1658"/>
    </row>
    <row r="3" spans="1:39">
      <c r="A3" s="1659"/>
      <c r="D3" s="1587" t="s">
        <v>1189</v>
      </c>
    </row>
    <row r="4" spans="1:39" s="1657" customFormat="1">
      <c r="A4" s="1660" t="s">
        <v>1190</v>
      </c>
      <c r="C4" s="1658"/>
    </row>
    <row r="5" spans="1:39">
      <c r="A5" s="1661" t="s">
        <v>990</v>
      </c>
    </row>
    <row r="7" spans="1:39" ht="30" customHeight="1">
      <c r="A7" s="4003" t="s">
        <v>2</v>
      </c>
      <c r="B7" s="4003" t="s">
        <v>478</v>
      </c>
      <c r="C7" s="4003" t="s">
        <v>995</v>
      </c>
      <c r="D7" s="4003" t="s">
        <v>996</v>
      </c>
      <c r="E7" s="4003" t="s">
        <v>1191</v>
      </c>
      <c r="F7" s="4003" t="s">
        <v>255</v>
      </c>
      <c r="G7" s="4003"/>
      <c r="H7" s="4007" t="s">
        <v>1192</v>
      </c>
      <c r="I7" s="4004" t="s">
        <v>1193</v>
      </c>
      <c r="J7" s="4005"/>
      <c r="K7" s="4006"/>
      <c r="L7" s="4004" t="s">
        <v>922</v>
      </c>
      <c r="M7" s="4005"/>
      <c r="N7" s="4005"/>
      <c r="O7" s="4005"/>
      <c r="P7" s="4006"/>
      <c r="Q7" s="4003" t="s">
        <v>999</v>
      </c>
      <c r="R7" s="4003" t="s">
        <v>345</v>
      </c>
      <c r="S7" s="4004" t="s">
        <v>1001</v>
      </c>
      <c r="T7" s="4006"/>
      <c r="U7" s="4023" t="s">
        <v>2166</v>
      </c>
      <c r="V7" s="4012" t="s">
        <v>2167</v>
      </c>
      <c r="W7" s="4012" t="s">
        <v>2168</v>
      </c>
      <c r="X7" s="4012" t="s">
        <v>2169</v>
      </c>
      <c r="Y7" s="4022" t="s">
        <v>2170</v>
      </c>
      <c r="Z7" s="4022" t="s">
        <v>2171</v>
      </c>
      <c r="AA7" s="4022" t="s">
        <v>2172</v>
      </c>
      <c r="AB7" s="4012" t="s">
        <v>2173</v>
      </c>
      <c r="AC7" s="1580"/>
      <c r="AD7" s="1580"/>
      <c r="AE7" s="1580"/>
      <c r="AF7" s="1580"/>
      <c r="AG7" s="1580"/>
      <c r="AH7" s="1580"/>
      <c r="AI7" s="1580"/>
      <c r="AJ7" s="1580"/>
      <c r="AK7" s="1580"/>
      <c r="AL7" s="1580"/>
      <c r="AM7" s="1580"/>
    </row>
    <row r="8" spans="1:39" ht="38.25">
      <c r="A8" s="4003"/>
      <c r="B8" s="4003"/>
      <c r="C8" s="4003"/>
      <c r="D8" s="4003"/>
      <c r="E8" s="4003"/>
      <c r="F8" s="1601" t="s">
        <v>7</v>
      </c>
      <c r="G8" s="1601" t="s">
        <v>8</v>
      </c>
      <c r="H8" s="4008"/>
      <c r="I8" s="1601" t="s">
        <v>7</v>
      </c>
      <c r="J8" s="1601" t="s">
        <v>8</v>
      </c>
      <c r="K8" s="1601" t="s">
        <v>1096</v>
      </c>
      <c r="L8" s="1601" t="s">
        <v>1099</v>
      </c>
      <c r="M8" s="1601" t="s">
        <v>1194</v>
      </c>
      <c r="N8" s="1601" t="s">
        <v>1011</v>
      </c>
      <c r="O8" s="1601" t="s">
        <v>1012</v>
      </c>
      <c r="P8" s="1601" t="s">
        <v>1013</v>
      </c>
      <c r="Q8" s="4003"/>
      <c r="R8" s="4003"/>
      <c r="S8" s="1603" t="s">
        <v>7</v>
      </c>
      <c r="T8" s="1603" t="s">
        <v>8</v>
      </c>
      <c r="U8" s="4023"/>
      <c r="V8" s="4012"/>
      <c r="W8" s="4012"/>
      <c r="X8" s="4012"/>
      <c r="Y8" s="4022"/>
      <c r="Z8" s="4022"/>
      <c r="AA8" s="4022"/>
      <c r="AB8" s="4012"/>
      <c r="AC8" s="364" t="s">
        <v>2174</v>
      </c>
      <c r="AD8" s="364" t="s">
        <v>2175</v>
      </c>
      <c r="AE8" s="364" t="s">
        <v>2176</v>
      </c>
      <c r="AF8" s="1578" t="s">
        <v>2177</v>
      </c>
      <c r="AG8" s="364" t="s">
        <v>2178</v>
      </c>
      <c r="AH8" s="364" t="s">
        <v>2175</v>
      </c>
      <c r="AI8" s="364" t="s">
        <v>2179</v>
      </c>
      <c r="AJ8" s="364" t="s">
        <v>2180</v>
      </c>
      <c r="AK8" s="364" t="s">
        <v>2181</v>
      </c>
      <c r="AL8" s="364" t="s">
        <v>2182</v>
      </c>
      <c r="AM8" s="364" t="s">
        <v>2183</v>
      </c>
    </row>
    <row r="9" spans="1:39" ht="13.5">
      <c r="A9" s="1604"/>
      <c r="B9" s="1605" t="s">
        <v>306</v>
      </c>
      <c r="C9" s="1606"/>
      <c r="D9" s="1604"/>
      <c r="E9" s="1607">
        <f t="shared" ref="E9:Q9" si="0">SUM(E11:E126)</f>
        <v>1849156</v>
      </c>
      <c r="F9" s="1607">
        <f t="shared" si="0"/>
        <v>0</v>
      </c>
      <c r="G9" s="1607">
        <f t="shared" si="0"/>
        <v>0</v>
      </c>
      <c r="H9" s="1607">
        <f t="shared" si="0"/>
        <v>0</v>
      </c>
      <c r="I9" s="1607">
        <f t="shared" si="0"/>
        <v>600</v>
      </c>
      <c r="J9" s="1607">
        <f t="shared" si="0"/>
        <v>20500</v>
      </c>
      <c r="K9" s="1607">
        <f t="shared" si="0"/>
        <v>1601</v>
      </c>
      <c r="L9" s="1607">
        <f t="shared" si="0"/>
        <v>55101</v>
      </c>
      <c r="M9" s="1607">
        <f t="shared" si="0"/>
        <v>40971.307999999997</v>
      </c>
      <c r="N9" s="1607">
        <f t="shared" si="0"/>
        <v>0</v>
      </c>
      <c r="O9" s="1607">
        <f t="shared" si="0"/>
        <v>0</v>
      </c>
      <c r="P9" s="1607">
        <f t="shared" si="0"/>
        <v>55101</v>
      </c>
      <c r="Q9" s="1607">
        <f t="shared" si="0"/>
        <v>158848.45999999996</v>
      </c>
      <c r="R9" s="1608">
        <f>R10+R34+R333</f>
        <v>34614931.25</v>
      </c>
      <c r="S9" s="1608">
        <f>S10+S34+S333</f>
        <v>977858.80268980912</v>
      </c>
      <c r="T9" s="1608">
        <f>T10+T34+T333</f>
        <v>32605992.302760426</v>
      </c>
      <c r="U9" s="4023"/>
      <c r="V9" s="4012"/>
      <c r="W9" s="4012"/>
      <c r="X9" s="4012"/>
      <c r="Y9" s="4022"/>
      <c r="Z9" s="4022"/>
      <c r="AA9" s="4022"/>
      <c r="AB9" s="4012"/>
      <c r="AC9" s="1580"/>
      <c r="AD9" s="1580"/>
      <c r="AE9" s="1580"/>
      <c r="AF9" s="1580"/>
      <c r="AG9" s="1580"/>
      <c r="AH9" s="1580"/>
      <c r="AI9" s="1580"/>
      <c r="AJ9" s="1580"/>
      <c r="AK9" s="1580"/>
      <c r="AL9" s="1580"/>
      <c r="AM9" s="1580"/>
    </row>
    <row r="10" spans="1:39" ht="13.5">
      <c r="A10" s="1604"/>
      <c r="B10" s="1605" t="s">
        <v>1195</v>
      </c>
      <c r="C10" s="1606"/>
      <c r="D10" s="1604"/>
      <c r="E10" s="1607"/>
      <c r="F10" s="1607"/>
      <c r="G10" s="1607"/>
      <c r="H10" s="1607"/>
      <c r="I10" s="1607"/>
      <c r="J10" s="1607"/>
      <c r="K10" s="1607"/>
      <c r="L10" s="1607"/>
      <c r="M10" s="1607"/>
      <c r="N10" s="1607"/>
      <c r="O10" s="1607"/>
      <c r="P10" s="1607"/>
      <c r="Q10" s="1607"/>
      <c r="R10" s="1608">
        <f>SUM(R11:R33)</f>
        <v>5496220.8500000006</v>
      </c>
      <c r="S10" s="1608">
        <f>SUM(S11:S33)</f>
        <v>149838.60174194156</v>
      </c>
      <c r="T10" s="1608">
        <f>SUM(T11:T28)</f>
        <v>4315302.1037082952</v>
      </c>
      <c r="U10" s="4023"/>
      <c r="V10" s="4012"/>
      <c r="W10" s="4012"/>
      <c r="X10" s="4012"/>
      <c r="Y10" s="4022"/>
      <c r="Z10" s="4022"/>
      <c r="AA10" s="4022"/>
      <c r="AB10" s="4012"/>
      <c r="AC10" s="1580"/>
      <c r="AD10" s="1580"/>
      <c r="AE10" s="1580"/>
      <c r="AF10" s="1580"/>
      <c r="AG10" s="1580"/>
      <c r="AH10" s="1580"/>
      <c r="AI10" s="1580"/>
      <c r="AJ10" s="1580"/>
      <c r="AK10" s="1580"/>
      <c r="AL10" s="1580"/>
      <c r="AM10" s="1580"/>
    </row>
    <row r="11" spans="1:39" ht="51">
      <c r="A11" s="1609">
        <v>1</v>
      </c>
      <c r="B11" s="1056" t="s">
        <v>2184</v>
      </c>
      <c r="C11" s="917" t="s">
        <v>1202</v>
      </c>
      <c r="D11" s="1056" t="s">
        <v>1203</v>
      </c>
      <c r="E11" s="1662">
        <v>15941</v>
      </c>
      <c r="F11" s="1609"/>
      <c r="G11" s="1609"/>
      <c r="H11" s="1609"/>
      <c r="I11" s="1663">
        <v>6</v>
      </c>
      <c r="J11" s="1663">
        <v>205</v>
      </c>
      <c r="K11" s="1663"/>
      <c r="L11" s="1065">
        <v>638</v>
      </c>
      <c r="M11" s="1065">
        <f>W11+X11</f>
        <v>638</v>
      </c>
      <c r="N11" s="1663"/>
      <c r="O11" s="1663"/>
      <c r="P11" s="1556">
        <f t="shared" ref="P11:P17" si="1">L11-O11</f>
        <v>638</v>
      </c>
      <c r="Q11" s="1664">
        <f>100*1.07</f>
        <v>107</v>
      </c>
      <c r="R11" s="1665">
        <f t="shared" ref="R11:R17" si="2">P11*Q11</f>
        <v>68266</v>
      </c>
      <c r="S11" s="1665">
        <f t="shared" ref="S11:S17" si="3">R11*(I11/(I11+J11+K11))</f>
        <v>1941.2132701421799</v>
      </c>
      <c r="T11" s="1665">
        <f t="shared" ref="T11:T17" si="4">R11-S11</f>
        <v>66324.78672985782</v>
      </c>
      <c r="U11" s="1580">
        <v>15941</v>
      </c>
      <c r="V11" s="1580">
        <v>500</v>
      </c>
      <c r="W11" s="1580">
        <f>ROUND(U11/V11*0.2*10/0.2,0)</f>
        <v>319</v>
      </c>
      <c r="X11" s="1580">
        <f>ROUND(U11/V11*0.2*10/0.2,0)</f>
        <v>319</v>
      </c>
      <c r="Y11" s="1580"/>
      <c r="Z11" s="1580"/>
      <c r="AA11" s="1580"/>
      <c r="AB11" s="1580"/>
      <c r="AC11" s="1580"/>
      <c r="AD11" s="1580"/>
      <c r="AE11" s="1580"/>
      <c r="AF11" s="1580"/>
      <c r="AG11" s="1580"/>
      <c r="AH11" s="1580"/>
      <c r="AI11" s="1580"/>
      <c r="AJ11" s="1580"/>
      <c r="AK11" s="1580"/>
      <c r="AL11" s="1580"/>
      <c r="AM11" s="1580"/>
    </row>
    <row r="12" spans="1:39" ht="38.25">
      <c r="A12" s="1609">
        <v>2</v>
      </c>
      <c r="B12" s="1579" t="s">
        <v>2147</v>
      </c>
      <c r="C12" s="917" t="s">
        <v>1205</v>
      </c>
      <c r="D12" s="1056" t="s">
        <v>1203</v>
      </c>
      <c r="E12" s="1662">
        <v>15941</v>
      </c>
      <c r="F12" s="1609"/>
      <c r="G12" s="1609"/>
      <c r="H12" s="1609"/>
      <c r="I12" s="1663">
        <v>6</v>
      </c>
      <c r="J12" s="1663">
        <v>205</v>
      </c>
      <c r="K12" s="1663"/>
      <c r="L12" s="1557">
        <v>15</v>
      </c>
      <c r="M12" s="1557"/>
      <c r="N12" s="1663"/>
      <c r="O12" s="1663"/>
      <c r="P12" s="1556">
        <f t="shared" si="1"/>
        <v>15</v>
      </c>
      <c r="Q12" s="1664">
        <f>2700*1.07</f>
        <v>2889</v>
      </c>
      <c r="R12" s="1665">
        <f t="shared" si="2"/>
        <v>43335</v>
      </c>
      <c r="S12" s="1665">
        <f t="shared" si="3"/>
        <v>1232.2748815165876</v>
      </c>
      <c r="T12" s="1665">
        <f t="shared" si="4"/>
        <v>42102.725118483409</v>
      </c>
      <c r="U12" s="1580"/>
      <c r="V12" s="1580"/>
      <c r="W12" s="1580"/>
      <c r="X12" s="1580"/>
      <c r="Y12" s="1580"/>
      <c r="Z12" s="1580"/>
      <c r="AA12" s="1580"/>
      <c r="AB12" s="1580"/>
      <c r="AC12" s="1580"/>
      <c r="AD12" s="1580"/>
      <c r="AE12" s="1580"/>
      <c r="AF12" s="1580"/>
      <c r="AG12" s="1580"/>
      <c r="AH12" s="1580"/>
      <c r="AI12" s="1580"/>
      <c r="AJ12" s="1580"/>
      <c r="AK12" s="1580"/>
      <c r="AL12" s="1580"/>
      <c r="AM12" s="1580"/>
    </row>
    <row r="13" spans="1:39" ht="63.75" hidden="1">
      <c r="A13" s="1609">
        <v>3</v>
      </c>
      <c r="B13" s="1579" t="s">
        <v>2185</v>
      </c>
      <c r="C13" s="917" t="s">
        <v>1207</v>
      </c>
      <c r="D13" s="1056" t="s">
        <v>1203</v>
      </c>
      <c r="E13" s="1662">
        <v>15941</v>
      </c>
      <c r="F13" s="1609"/>
      <c r="G13" s="1609"/>
      <c r="H13" s="1609"/>
      <c r="I13" s="1663">
        <v>6</v>
      </c>
      <c r="J13" s="1663">
        <v>205</v>
      </c>
      <c r="K13" s="1663"/>
      <c r="L13" s="1557"/>
      <c r="M13" s="1557"/>
      <c r="N13" s="1663"/>
      <c r="O13" s="1663"/>
      <c r="P13" s="1556"/>
      <c r="Q13" s="1664"/>
      <c r="R13" s="1665">
        <f t="shared" si="2"/>
        <v>0</v>
      </c>
      <c r="S13" s="1665">
        <f t="shared" si="3"/>
        <v>0</v>
      </c>
      <c r="T13" s="1665">
        <f t="shared" si="4"/>
        <v>0</v>
      </c>
      <c r="U13" s="1580"/>
      <c r="V13" s="1580"/>
      <c r="W13" s="1580"/>
      <c r="X13" s="1580"/>
      <c r="Y13" s="1580"/>
      <c r="Z13" s="1580"/>
      <c r="AA13" s="1580"/>
      <c r="AB13" s="1580"/>
      <c r="AC13" s="1580"/>
      <c r="AD13" s="1580"/>
      <c r="AE13" s="1580"/>
      <c r="AF13" s="1580"/>
      <c r="AG13" s="1580"/>
      <c r="AH13" s="1580"/>
      <c r="AI13" s="1580"/>
      <c r="AJ13" s="1580"/>
      <c r="AK13" s="1580"/>
      <c r="AL13" s="1580"/>
      <c r="AM13" s="1580"/>
    </row>
    <row r="14" spans="1:39" ht="91.5" customHeight="1">
      <c r="A14" s="1609">
        <v>4</v>
      </c>
      <c r="B14" s="1579" t="s">
        <v>2148</v>
      </c>
      <c r="C14" s="917" t="s">
        <v>1209</v>
      </c>
      <c r="D14" s="1056" t="s">
        <v>1203</v>
      </c>
      <c r="E14" s="1662">
        <v>15941</v>
      </c>
      <c r="F14" s="1609"/>
      <c r="G14" s="1609"/>
      <c r="H14" s="1609"/>
      <c r="I14" s="1663">
        <v>6</v>
      </c>
      <c r="J14" s="1663">
        <v>205</v>
      </c>
      <c r="K14" s="1663"/>
      <c r="L14" s="1557">
        <v>15</v>
      </c>
      <c r="M14" s="1557"/>
      <c r="N14" s="1663"/>
      <c r="O14" s="1663"/>
      <c r="P14" s="1556">
        <f t="shared" si="1"/>
        <v>15</v>
      </c>
      <c r="Q14" s="1664">
        <f>5400*1.07</f>
        <v>5778</v>
      </c>
      <c r="R14" s="1665">
        <f t="shared" si="2"/>
        <v>86670</v>
      </c>
      <c r="S14" s="1665">
        <f t="shared" si="3"/>
        <v>2464.5497630331752</v>
      </c>
      <c r="T14" s="1665">
        <f t="shared" si="4"/>
        <v>84205.450236966819</v>
      </c>
      <c r="U14" s="1580"/>
      <c r="V14" s="1580"/>
      <c r="W14" s="1580"/>
      <c r="X14" s="1580"/>
      <c r="Y14" s="1580"/>
      <c r="Z14" s="1580"/>
      <c r="AA14" s="1580"/>
      <c r="AB14" s="1580"/>
      <c r="AC14" s="1580"/>
      <c r="AD14" s="1580"/>
      <c r="AE14" s="1580"/>
      <c r="AF14" s="1580"/>
      <c r="AG14" s="1580"/>
      <c r="AH14" s="1580"/>
      <c r="AI14" s="1580"/>
      <c r="AJ14" s="1580"/>
      <c r="AK14" s="1580"/>
      <c r="AL14" s="1580"/>
      <c r="AM14" s="1580"/>
    </row>
    <row r="15" spans="1:39" ht="51">
      <c r="A15" s="1609">
        <v>5</v>
      </c>
      <c r="B15" s="1056" t="s">
        <v>1210</v>
      </c>
      <c r="C15" s="917" t="s">
        <v>1211</v>
      </c>
      <c r="D15" s="1609" t="s">
        <v>1022</v>
      </c>
      <c r="E15" s="1662">
        <v>15941</v>
      </c>
      <c r="F15" s="1609"/>
      <c r="G15" s="1609"/>
      <c r="H15" s="1609"/>
      <c r="I15" s="1663">
        <v>6</v>
      </c>
      <c r="J15" s="1663">
        <v>205</v>
      </c>
      <c r="K15" s="1663"/>
      <c r="L15" s="1556">
        <v>600</v>
      </c>
      <c r="M15" s="1556"/>
      <c r="N15" s="1663"/>
      <c r="O15" s="1663"/>
      <c r="P15" s="1556">
        <f t="shared" si="1"/>
        <v>600</v>
      </c>
      <c r="Q15" s="1664">
        <f>135*1.07</f>
        <v>144.45000000000002</v>
      </c>
      <c r="R15" s="1665">
        <f t="shared" si="2"/>
        <v>86670.000000000015</v>
      </c>
      <c r="S15" s="1665">
        <f t="shared" si="3"/>
        <v>2464.5497630331756</v>
      </c>
      <c r="T15" s="1665">
        <f t="shared" si="4"/>
        <v>84205.450236966833</v>
      </c>
      <c r="U15" s="1580"/>
      <c r="V15" s="1580"/>
      <c r="W15" s="1580"/>
      <c r="X15" s="1580"/>
      <c r="Y15" s="1580"/>
      <c r="Z15" s="1580"/>
      <c r="AA15" s="1580"/>
      <c r="AB15" s="1580"/>
      <c r="AC15" s="1580"/>
      <c r="AD15" s="1580"/>
      <c r="AE15" s="1580"/>
      <c r="AF15" s="1580"/>
      <c r="AG15" s="1580"/>
      <c r="AH15" s="1580"/>
      <c r="AI15" s="1580"/>
      <c r="AJ15" s="1580"/>
      <c r="AK15" s="1580"/>
      <c r="AL15" s="1580"/>
      <c r="AM15" s="1580"/>
    </row>
    <row r="16" spans="1:39" ht="38.25">
      <c r="A16" s="1609">
        <v>7</v>
      </c>
      <c r="B16" s="1056" t="s">
        <v>1214</v>
      </c>
      <c r="C16" s="917" t="s">
        <v>1215</v>
      </c>
      <c r="D16" s="1609" t="s">
        <v>1022</v>
      </c>
      <c r="E16" s="1662">
        <v>15941</v>
      </c>
      <c r="F16" s="1609"/>
      <c r="G16" s="1609"/>
      <c r="H16" s="1609"/>
      <c r="I16" s="1663">
        <v>6</v>
      </c>
      <c r="J16" s="1663">
        <v>205</v>
      </c>
      <c r="K16" s="1663"/>
      <c r="L16" s="1556">
        <v>116</v>
      </c>
      <c r="M16" s="1666">
        <f>AE16*2+AJ16*2+AM16*2</f>
        <v>116</v>
      </c>
      <c r="N16" s="1663"/>
      <c r="O16" s="1663"/>
      <c r="P16" s="1556">
        <f t="shared" si="1"/>
        <v>116</v>
      </c>
      <c r="Q16" s="1664">
        <f>3500*1.07</f>
        <v>3745</v>
      </c>
      <c r="R16" s="1665">
        <f t="shared" si="2"/>
        <v>434420</v>
      </c>
      <c r="S16" s="1665">
        <f t="shared" si="3"/>
        <v>12353.175355450236</v>
      </c>
      <c r="T16" s="1665">
        <f t="shared" si="4"/>
        <v>422066.82464454975</v>
      </c>
      <c r="U16" s="1580">
        <v>15941</v>
      </c>
      <c r="V16" s="1580"/>
      <c r="W16" s="1580"/>
      <c r="X16" s="1580"/>
      <c r="Y16" s="364" t="s">
        <v>2186</v>
      </c>
      <c r="Z16" s="1580"/>
      <c r="AA16" s="1580"/>
      <c r="AB16" s="1580"/>
      <c r="AC16" s="1580">
        <f>U16/100</f>
        <v>159.41</v>
      </c>
      <c r="AD16" s="1580">
        <f>U16/50</f>
        <v>318.82</v>
      </c>
      <c r="AE16" s="1645">
        <f>ROUND((AC16+AD16)*10/300,0)</f>
        <v>16</v>
      </c>
      <c r="AF16" s="1580">
        <v>970.4</v>
      </c>
      <c r="AG16" s="1580">
        <f>AF16/100</f>
        <v>9.7040000000000006</v>
      </c>
      <c r="AH16" s="1580">
        <f>AF16/50</f>
        <v>19.408000000000001</v>
      </c>
      <c r="AI16" s="1580">
        <f>(AG16+AH16)*21*10</f>
        <v>6113.52</v>
      </c>
      <c r="AJ16" s="1645">
        <f>ROUND(AI16/300,0)</f>
        <v>20</v>
      </c>
      <c r="AK16" s="1580">
        <f>U16/500</f>
        <v>31.882000000000001</v>
      </c>
      <c r="AL16" s="1580">
        <f>AK16*21*10</f>
        <v>6695.22</v>
      </c>
      <c r="AM16" s="1645">
        <f>ROUND(AL16/300,0)</f>
        <v>22</v>
      </c>
    </row>
    <row r="17" spans="1:39" ht="38.25">
      <c r="A17" s="1609">
        <v>8</v>
      </c>
      <c r="B17" s="1056" t="s">
        <v>1216</v>
      </c>
      <c r="C17" s="917" t="s">
        <v>1217</v>
      </c>
      <c r="D17" s="1056" t="s">
        <v>1218</v>
      </c>
      <c r="E17" s="1662">
        <v>15941</v>
      </c>
      <c r="F17" s="1609"/>
      <c r="G17" s="1609"/>
      <c r="H17" s="1609"/>
      <c r="I17" s="1663">
        <v>6</v>
      </c>
      <c r="J17" s="1663">
        <v>205</v>
      </c>
      <c r="K17" s="1663"/>
      <c r="L17" s="1065"/>
      <c r="M17" s="1065"/>
      <c r="N17" s="1663"/>
      <c r="O17" s="1663"/>
      <c r="P17" s="1556">
        <f t="shared" si="1"/>
        <v>0</v>
      </c>
      <c r="Q17" s="1664">
        <f>280*1.07</f>
        <v>299.60000000000002</v>
      </c>
      <c r="R17" s="1665">
        <f t="shared" si="2"/>
        <v>0</v>
      </c>
      <c r="S17" s="1665">
        <f t="shared" si="3"/>
        <v>0</v>
      </c>
      <c r="T17" s="1665">
        <f t="shared" si="4"/>
        <v>0</v>
      </c>
      <c r="U17" s="1580"/>
      <c r="V17" s="1580"/>
      <c r="W17" s="1580"/>
      <c r="X17" s="1580"/>
      <c r="Y17" s="1580"/>
      <c r="Z17" s="1580"/>
      <c r="AA17" s="1580"/>
      <c r="AB17" s="1580"/>
      <c r="AC17" s="1580"/>
      <c r="AD17" s="1580"/>
      <c r="AE17" s="1580"/>
      <c r="AF17" s="1580"/>
      <c r="AG17" s="1580"/>
      <c r="AH17" s="1580"/>
      <c r="AI17" s="1580"/>
      <c r="AJ17" s="1580"/>
      <c r="AK17" s="1580"/>
      <c r="AL17" s="1580"/>
      <c r="AM17" s="1580"/>
    </row>
    <row r="18" spans="1:39" ht="25.5">
      <c r="A18" s="1609">
        <v>9</v>
      </c>
      <c r="B18" s="1056" t="s">
        <v>1223</v>
      </c>
      <c r="C18" s="917" t="s">
        <v>1224</v>
      </c>
      <c r="D18" s="1609" t="s">
        <v>1022</v>
      </c>
      <c r="E18" s="1662">
        <v>15941</v>
      </c>
      <c r="F18" s="1609"/>
      <c r="G18" s="1609"/>
      <c r="H18" s="1609"/>
      <c r="I18" s="1663">
        <v>6</v>
      </c>
      <c r="J18" s="1663">
        <v>205</v>
      </c>
      <c r="K18" s="1663">
        <v>1601</v>
      </c>
      <c r="L18" s="1556">
        <v>160</v>
      </c>
      <c r="M18" s="1666">
        <f>AA18</f>
        <v>160.1</v>
      </c>
      <c r="N18" s="1663"/>
      <c r="O18" s="1663"/>
      <c r="P18" s="1556">
        <f>L18-O18</f>
        <v>160</v>
      </c>
      <c r="Q18" s="1664">
        <f>1500*1.07</f>
        <v>1605</v>
      </c>
      <c r="R18" s="1665">
        <f>P18*Q18</f>
        <v>256800</v>
      </c>
      <c r="S18" s="1665">
        <f>R18*(I18/(I18+J18+K18))</f>
        <v>850.33112582781462</v>
      </c>
      <c r="T18" s="1665">
        <f>R18-S18</f>
        <v>255949.66887417217</v>
      </c>
      <c r="U18" s="1580">
        <v>15941</v>
      </c>
      <c r="V18" s="1580"/>
      <c r="W18" s="1580"/>
      <c r="X18" s="1580"/>
      <c r="Y18" s="1580" t="s">
        <v>2187</v>
      </c>
      <c r="Z18" s="1580"/>
      <c r="AA18" s="1580">
        <f>500*K18/5000</f>
        <v>160.1</v>
      </c>
      <c r="AB18" s="1580"/>
      <c r="AC18" s="1580"/>
      <c r="AD18" s="1580"/>
      <c r="AE18" s="1580"/>
      <c r="AF18" s="1580"/>
      <c r="AG18" s="1580"/>
      <c r="AH18" s="1580"/>
      <c r="AI18" s="1580"/>
      <c r="AJ18" s="1580"/>
      <c r="AK18" s="1580"/>
      <c r="AL18" s="1580"/>
      <c r="AM18" s="1580"/>
    </row>
    <row r="19" spans="1:39" ht="60" hidden="1" customHeight="1">
      <c r="A19" s="1609">
        <v>10</v>
      </c>
      <c r="B19" s="1056" t="s">
        <v>1227</v>
      </c>
      <c r="C19" s="1614" t="s">
        <v>1228</v>
      </c>
      <c r="D19" s="1609" t="s">
        <v>1022</v>
      </c>
      <c r="E19" s="1662">
        <v>15941</v>
      </c>
      <c r="F19" s="1609"/>
      <c r="G19" s="1609"/>
      <c r="H19" s="1609"/>
      <c r="I19" s="1663">
        <v>6</v>
      </c>
      <c r="J19" s="1663">
        <v>205</v>
      </c>
      <c r="K19" s="1663"/>
      <c r="L19" s="1556"/>
      <c r="M19" s="1663"/>
      <c r="N19" s="1663"/>
      <c r="O19" s="1663"/>
      <c r="P19" s="1556">
        <f>L19-O19</f>
        <v>0</v>
      </c>
      <c r="Q19" s="1664"/>
      <c r="R19" s="1665">
        <f>P19*Q19</f>
        <v>0</v>
      </c>
      <c r="S19" s="1665">
        <f>R19*(I19/(I19+J19+K19))</f>
        <v>0</v>
      </c>
      <c r="T19" s="1665">
        <f>R19-S19</f>
        <v>0</v>
      </c>
      <c r="U19" s="1580">
        <v>62</v>
      </c>
      <c r="V19" s="1580">
        <v>62</v>
      </c>
      <c r="W19" s="1580">
        <v>86</v>
      </c>
      <c r="X19" s="1580">
        <v>328</v>
      </c>
      <c r="Y19" s="1580">
        <v>52</v>
      </c>
      <c r="Z19" s="1580">
        <v>77</v>
      </c>
      <c r="AA19" s="1580"/>
      <c r="AB19" s="1580"/>
      <c r="AC19" s="1580"/>
      <c r="AD19" s="1580"/>
      <c r="AE19" s="1580"/>
      <c r="AF19" s="1580"/>
      <c r="AG19" s="1580"/>
      <c r="AH19" s="1580"/>
      <c r="AI19" s="1580"/>
      <c r="AJ19" s="1580"/>
      <c r="AK19" s="1580"/>
      <c r="AL19" s="1580"/>
      <c r="AM19" s="1580"/>
    </row>
    <row r="20" spans="1:39" ht="31.5" hidden="1" customHeight="1">
      <c r="A20" s="1609">
        <v>11</v>
      </c>
      <c r="B20" s="1056" t="s">
        <v>1229</v>
      </c>
      <c r="C20" s="1614"/>
      <c r="D20" s="1609" t="s">
        <v>1022</v>
      </c>
      <c r="E20" s="1662">
        <v>15941</v>
      </c>
      <c r="F20" s="1609"/>
      <c r="G20" s="1609"/>
      <c r="H20" s="1609"/>
      <c r="I20" s="1663"/>
      <c r="J20" s="1663"/>
      <c r="K20" s="1663"/>
      <c r="L20" s="1556"/>
      <c r="M20" s="1556"/>
      <c r="N20" s="1663"/>
      <c r="O20" s="1663"/>
      <c r="P20" s="1556"/>
      <c r="Q20" s="1664"/>
      <c r="R20" s="1665"/>
      <c r="S20" s="1665"/>
      <c r="T20" s="1665"/>
      <c r="U20" s="1580"/>
      <c r="V20" s="1580"/>
      <c r="W20" s="1580"/>
      <c r="X20" s="1580"/>
      <c r="Y20" s="1580"/>
      <c r="Z20" s="1580"/>
      <c r="AA20" s="1580"/>
      <c r="AB20" s="1580"/>
      <c r="AC20" s="1580"/>
      <c r="AD20" s="1580"/>
      <c r="AE20" s="1580"/>
      <c r="AF20" s="1580"/>
      <c r="AG20" s="1580"/>
      <c r="AH20" s="1580"/>
      <c r="AI20" s="1580"/>
      <c r="AJ20" s="1580"/>
      <c r="AK20" s="1580"/>
      <c r="AL20" s="1580"/>
      <c r="AM20" s="1580"/>
    </row>
    <row r="21" spans="1:39" ht="83.25" customHeight="1">
      <c r="A21" s="1609">
        <v>12</v>
      </c>
      <c r="B21" s="1056" t="s">
        <v>1230</v>
      </c>
      <c r="C21" s="1594" t="s">
        <v>2188</v>
      </c>
      <c r="D21" s="1056" t="s">
        <v>1203</v>
      </c>
      <c r="E21" s="1662">
        <v>15941</v>
      </c>
      <c r="F21" s="1609"/>
      <c r="G21" s="1609"/>
      <c r="H21" s="1609"/>
      <c r="I21" s="1663">
        <v>6</v>
      </c>
      <c r="J21" s="1663">
        <v>205</v>
      </c>
      <c r="K21" s="1663"/>
      <c r="L21" s="1557">
        <v>48</v>
      </c>
      <c r="M21" s="1557"/>
      <c r="N21" s="1663"/>
      <c r="O21" s="1663"/>
      <c r="P21" s="1556">
        <f>L21-O21</f>
        <v>48</v>
      </c>
      <c r="Q21" s="1664">
        <f>864*1.07</f>
        <v>924.48</v>
      </c>
      <c r="R21" s="1665">
        <f>P21*Q21</f>
        <v>44375.040000000001</v>
      </c>
      <c r="S21" s="1665">
        <f>R21*(I21/(I21+J21+K21))</f>
        <v>1261.8494786729857</v>
      </c>
      <c r="T21" s="1665">
        <f>R21-S21</f>
        <v>43113.190521327015</v>
      </c>
      <c r="U21" s="1580"/>
      <c r="V21" s="1580"/>
      <c r="W21" s="1580"/>
      <c r="X21" s="1580"/>
      <c r="Y21" s="1580"/>
      <c r="Z21" s="1580"/>
      <c r="AA21" s="1580"/>
      <c r="AB21" s="1580"/>
      <c r="AC21" s="1580"/>
      <c r="AD21" s="1580"/>
      <c r="AE21" s="1580"/>
      <c r="AF21" s="1580"/>
      <c r="AG21" s="1580"/>
      <c r="AH21" s="1580"/>
      <c r="AI21" s="1580"/>
      <c r="AJ21" s="1580"/>
      <c r="AK21" s="1580"/>
      <c r="AL21" s="1580"/>
      <c r="AM21" s="1580"/>
    </row>
    <row r="22" spans="1:39">
      <c r="A22" s="1609">
        <v>13</v>
      </c>
      <c r="B22" s="1056" t="s">
        <v>1231</v>
      </c>
      <c r="C22" s="1614" t="s">
        <v>1232</v>
      </c>
      <c r="D22" s="1609" t="s">
        <v>1022</v>
      </c>
      <c r="E22" s="1662">
        <v>15941</v>
      </c>
      <c r="F22" s="1609"/>
      <c r="G22" s="1609"/>
      <c r="H22" s="1609"/>
      <c r="I22" s="1663">
        <v>6</v>
      </c>
      <c r="J22" s="1663">
        <v>205</v>
      </c>
      <c r="K22" s="1663"/>
      <c r="L22" s="1556">
        <v>4</v>
      </c>
      <c r="M22" s="1663">
        <f>AB22</f>
        <v>4</v>
      </c>
      <c r="N22" s="1663"/>
      <c r="O22" s="1663"/>
      <c r="P22" s="1556">
        <f>L22-O22</f>
        <v>4</v>
      </c>
      <c r="Q22" s="1664">
        <f>4194*1.07</f>
        <v>4487.58</v>
      </c>
      <c r="R22" s="1665">
        <f>P22*Q22</f>
        <v>17950.32</v>
      </c>
      <c r="S22" s="1665">
        <f>R22*(I22/(I22+J22+K22))</f>
        <v>510.43563981042649</v>
      </c>
      <c r="T22" s="1665">
        <f>R22-S22</f>
        <v>17439.884360189571</v>
      </c>
      <c r="U22" s="1580">
        <v>15941</v>
      </c>
      <c r="V22" s="1580" t="s">
        <v>2189</v>
      </c>
      <c r="W22" s="1580"/>
      <c r="X22" s="1580"/>
      <c r="Y22" s="1580" t="s">
        <v>2190</v>
      </c>
      <c r="Z22" s="1580"/>
      <c r="AA22" s="1645">
        <f>ROUND(240*0.01,0)</f>
        <v>2</v>
      </c>
      <c r="AB22" s="1580">
        <f>AA22*2</f>
        <v>4</v>
      </c>
      <c r="AC22" s="1580"/>
      <c r="AD22" s="1580"/>
      <c r="AE22" s="1580"/>
      <c r="AF22" s="1580"/>
      <c r="AG22" s="1580"/>
      <c r="AH22" s="1580"/>
      <c r="AI22" s="1580"/>
      <c r="AJ22" s="1580"/>
      <c r="AK22" s="1580"/>
      <c r="AL22" s="1580"/>
      <c r="AM22" s="1580"/>
    </row>
    <row r="23" spans="1:39">
      <c r="A23" s="1609">
        <v>14</v>
      </c>
      <c r="B23" s="1056" t="s">
        <v>1235</v>
      </c>
      <c r="C23" s="1614" t="s">
        <v>1236</v>
      </c>
      <c r="D23" s="1609" t="s">
        <v>1022</v>
      </c>
      <c r="E23" s="1662">
        <v>15941</v>
      </c>
      <c r="F23" s="1609"/>
      <c r="G23" s="1609"/>
      <c r="H23" s="1609"/>
      <c r="I23" s="1663">
        <v>6</v>
      </c>
      <c r="J23" s="1663">
        <v>205</v>
      </c>
      <c r="K23" s="1663"/>
      <c r="L23" s="1556">
        <v>20</v>
      </c>
      <c r="M23" s="1556">
        <f>AA23</f>
        <v>20</v>
      </c>
      <c r="N23" s="1663"/>
      <c r="O23" s="1663"/>
      <c r="P23" s="1556">
        <f t="shared" ref="P23:P28" si="5">L23-O23</f>
        <v>20</v>
      </c>
      <c r="Q23" s="1664">
        <f>150*1.07</f>
        <v>160.5</v>
      </c>
      <c r="R23" s="1665">
        <f t="shared" ref="R23:R28" si="6">P23*Q23</f>
        <v>3210</v>
      </c>
      <c r="S23" s="1665">
        <f t="shared" ref="S23:S28" si="7">R23*(I23/(I23+J23+K23))</f>
        <v>91.279620853080559</v>
      </c>
      <c r="T23" s="1665">
        <f t="shared" ref="T23:T28" si="8">R23-S23</f>
        <v>3118.7203791469196</v>
      </c>
      <c r="U23" s="1580" t="s">
        <v>2191</v>
      </c>
      <c r="V23" s="1580"/>
      <c r="W23" s="1580"/>
      <c r="X23" s="1580"/>
      <c r="Y23" s="1580" t="s">
        <v>2192</v>
      </c>
      <c r="Z23" s="1580">
        <f>500*2</f>
        <v>1000</v>
      </c>
      <c r="AA23" s="1580">
        <f>Z23*10/500</f>
        <v>20</v>
      </c>
      <c r="AB23" s="1580"/>
      <c r="AC23" s="1580"/>
      <c r="AD23" s="1580"/>
      <c r="AE23" s="1580"/>
      <c r="AF23" s="1580"/>
      <c r="AG23" s="1580"/>
      <c r="AH23" s="1580"/>
      <c r="AI23" s="1580"/>
      <c r="AJ23" s="1580"/>
      <c r="AK23" s="1580"/>
      <c r="AL23" s="1580"/>
      <c r="AM23" s="1580"/>
    </row>
    <row r="24" spans="1:39">
      <c r="A24" s="1609">
        <v>15</v>
      </c>
      <c r="B24" s="1056" t="s">
        <v>1237</v>
      </c>
      <c r="C24" s="1614" t="s">
        <v>1238</v>
      </c>
      <c r="D24" s="1609" t="s">
        <v>1119</v>
      </c>
      <c r="E24" s="1662">
        <v>15941</v>
      </c>
      <c r="F24" s="1609"/>
      <c r="G24" s="1609"/>
      <c r="H24" s="1609"/>
      <c r="I24" s="1663">
        <v>6</v>
      </c>
      <c r="J24" s="1663">
        <v>205</v>
      </c>
      <c r="K24" s="1663"/>
      <c r="L24" s="1556">
        <v>16</v>
      </c>
      <c r="M24" s="1556">
        <v>16</v>
      </c>
      <c r="N24" s="1663"/>
      <c r="O24" s="1663"/>
      <c r="P24" s="1556">
        <f t="shared" si="5"/>
        <v>16</v>
      </c>
      <c r="Q24" s="1664">
        <f>100*1.07</f>
        <v>107</v>
      </c>
      <c r="R24" s="1665">
        <f t="shared" si="6"/>
        <v>1712</v>
      </c>
      <c r="S24" s="1665">
        <f t="shared" si="7"/>
        <v>48.682464454976298</v>
      </c>
      <c r="T24" s="1665">
        <f t="shared" si="8"/>
        <v>1663.3175355450237</v>
      </c>
      <c r="U24" s="1580"/>
      <c r="V24" s="1580">
        <v>87</v>
      </c>
      <c r="W24" s="1580"/>
      <c r="X24" s="1580"/>
      <c r="Y24" s="1580" t="s">
        <v>2193</v>
      </c>
      <c r="Z24" s="1580"/>
      <c r="AA24" s="1645">
        <f>87*12*4/500</f>
        <v>8.3520000000000003</v>
      </c>
      <c r="AB24" s="1667">
        <v>16</v>
      </c>
      <c r="AC24" s="1580"/>
      <c r="AD24" s="1580"/>
      <c r="AE24" s="1580"/>
      <c r="AF24" s="1580"/>
      <c r="AG24" s="1580"/>
      <c r="AH24" s="1580"/>
      <c r="AI24" s="1580"/>
      <c r="AJ24" s="1580"/>
      <c r="AK24" s="1580"/>
      <c r="AL24" s="1580"/>
      <c r="AM24" s="1580"/>
    </row>
    <row r="25" spans="1:39" ht="25.5">
      <c r="A25" s="1609">
        <v>16</v>
      </c>
      <c r="B25" s="1056" t="s">
        <v>1239</v>
      </c>
      <c r="C25" s="1614" t="s">
        <v>1240</v>
      </c>
      <c r="D25" s="1609" t="s">
        <v>1119</v>
      </c>
      <c r="E25" s="1662">
        <v>15941</v>
      </c>
      <c r="F25" s="1609"/>
      <c r="G25" s="1609"/>
      <c r="H25" s="1609"/>
      <c r="I25" s="1663">
        <v>6</v>
      </c>
      <c r="J25" s="1663">
        <v>205</v>
      </c>
      <c r="K25" s="1663"/>
      <c r="L25" s="1556"/>
      <c r="M25" s="1556"/>
      <c r="N25" s="1663"/>
      <c r="O25" s="1663"/>
      <c r="P25" s="1556">
        <f t="shared" si="5"/>
        <v>0</v>
      </c>
      <c r="Q25" s="1664"/>
      <c r="R25" s="1665">
        <f t="shared" si="6"/>
        <v>0</v>
      </c>
      <c r="S25" s="1665">
        <f t="shared" si="7"/>
        <v>0</v>
      </c>
      <c r="T25" s="1665">
        <f t="shared" si="8"/>
        <v>0</v>
      </c>
      <c r="U25" s="1580"/>
      <c r="V25" s="1580"/>
      <c r="W25" s="1580"/>
      <c r="X25" s="1580"/>
      <c r="Y25" s="1580"/>
      <c r="Z25" s="1580"/>
      <c r="AA25" s="1580"/>
      <c r="AB25" s="1580"/>
      <c r="AC25" s="1580"/>
      <c r="AD25" s="1580"/>
      <c r="AE25" s="1580"/>
      <c r="AF25" s="1580"/>
      <c r="AG25" s="1580"/>
      <c r="AH25" s="1580"/>
      <c r="AI25" s="1580"/>
      <c r="AJ25" s="1580"/>
      <c r="AK25" s="1580"/>
      <c r="AL25" s="1580"/>
      <c r="AM25" s="1580"/>
    </row>
    <row r="26" spans="1:39" ht="38.25">
      <c r="A26" s="1609">
        <v>17</v>
      </c>
      <c r="B26" s="1579" t="s">
        <v>1241</v>
      </c>
      <c r="C26" s="1614" t="s">
        <v>2194</v>
      </c>
      <c r="D26" s="1609" t="s">
        <v>1022</v>
      </c>
      <c r="E26" s="1662">
        <v>15941</v>
      </c>
      <c r="F26" s="1609"/>
      <c r="G26" s="1609"/>
      <c r="H26" s="1609"/>
      <c r="I26" s="1663">
        <v>6</v>
      </c>
      <c r="J26" s="1663">
        <v>205</v>
      </c>
      <c r="K26" s="1663"/>
      <c r="L26" s="1556">
        <v>5422</v>
      </c>
      <c r="M26" s="1557">
        <f>AB26</f>
        <v>6248.8719999999994</v>
      </c>
      <c r="N26" s="1663"/>
      <c r="O26" s="1663"/>
      <c r="P26" s="1556">
        <f t="shared" si="5"/>
        <v>5422</v>
      </c>
      <c r="Q26" s="1664">
        <f>447*1.07</f>
        <v>478.29</v>
      </c>
      <c r="R26" s="1665">
        <f t="shared" si="6"/>
        <v>2593288.38</v>
      </c>
      <c r="S26" s="1665">
        <f t="shared" si="7"/>
        <v>73742.797535545018</v>
      </c>
      <c r="T26" s="1665">
        <f t="shared" si="8"/>
        <v>2519545.5824644547</v>
      </c>
      <c r="U26" s="1580">
        <v>15941</v>
      </c>
      <c r="V26" s="1580">
        <v>500</v>
      </c>
      <c r="W26" s="1580" t="s">
        <v>2195</v>
      </c>
      <c r="X26" s="1580"/>
      <c r="Y26" s="1580" t="s">
        <v>2196</v>
      </c>
      <c r="Z26" s="1580">
        <f>U26/V26*0.35*21</f>
        <v>234.33269999999999</v>
      </c>
      <c r="AA26" s="1580">
        <f>Z26*10/0.75</f>
        <v>3124.4359999999997</v>
      </c>
      <c r="AB26" s="1580">
        <f>AA26*2</f>
        <v>6248.8719999999994</v>
      </c>
      <c r="AC26" s="1580"/>
      <c r="AD26" s="1580"/>
      <c r="AE26" s="1580"/>
      <c r="AF26" s="1580"/>
      <c r="AG26" s="1580"/>
      <c r="AH26" s="1580"/>
      <c r="AI26" s="1580"/>
      <c r="AJ26" s="1580"/>
      <c r="AK26" s="1580"/>
      <c r="AL26" s="1580"/>
      <c r="AM26" s="1580"/>
    </row>
    <row r="27" spans="1:39" ht="38.25">
      <c r="A27" s="1609">
        <v>18</v>
      </c>
      <c r="B27" s="1056" t="s">
        <v>1244</v>
      </c>
      <c r="C27" s="1614" t="s">
        <v>1245</v>
      </c>
      <c r="D27" s="1609" t="s">
        <v>1119</v>
      </c>
      <c r="E27" s="1662">
        <v>15941</v>
      </c>
      <c r="F27" s="1609"/>
      <c r="G27" s="1609"/>
      <c r="H27" s="1609"/>
      <c r="I27" s="1663">
        <v>6</v>
      </c>
      <c r="J27" s="1663">
        <v>205</v>
      </c>
      <c r="K27" s="1663"/>
      <c r="L27" s="1556">
        <v>17</v>
      </c>
      <c r="M27" s="1556">
        <v>34</v>
      </c>
      <c r="N27" s="1663"/>
      <c r="O27" s="1663"/>
      <c r="P27" s="1556">
        <f t="shared" si="5"/>
        <v>17</v>
      </c>
      <c r="Q27" s="1664">
        <f>1179*1.07</f>
        <v>1261.53</v>
      </c>
      <c r="R27" s="1665">
        <f t="shared" si="6"/>
        <v>21446.01</v>
      </c>
      <c r="S27" s="1665">
        <f t="shared" si="7"/>
        <v>609.83914691943119</v>
      </c>
      <c r="T27" s="1665">
        <f t="shared" si="8"/>
        <v>20836.170853080566</v>
      </c>
      <c r="U27" s="1580">
        <v>17</v>
      </c>
      <c r="V27" s="1580">
        <v>17</v>
      </c>
      <c r="W27" s="1580">
        <v>17</v>
      </c>
      <c r="X27" s="1580"/>
      <c r="Y27" s="1580" t="s">
        <v>2197</v>
      </c>
      <c r="Z27" s="1580" t="s">
        <v>2189</v>
      </c>
      <c r="AA27" s="1580">
        <f>240/4*0.016*10/0.55</f>
        <v>17.454545454545453</v>
      </c>
      <c r="AB27" s="1580"/>
      <c r="AC27" s="1580"/>
      <c r="AD27" s="1580"/>
      <c r="AE27" s="1580"/>
      <c r="AF27" s="1580"/>
      <c r="AG27" s="1580"/>
      <c r="AH27" s="1580"/>
      <c r="AI27" s="1580"/>
      <c r="AJ27" s="1580"/>
      <c r="AK27" s="1580"/>
      <c r="AL27" s="1580"/>
      <c r="AM27" s="1580"/>
    </row>
    <row r="28" spans="1:39" ht="137.25" customHeight="1">
      <c r="A28" s="1609">
        <v>19</v>
      </c>
      <c r="B28" s="1056" t="s">
        <v>1241</v>
      </c>
      <c r="C28" s="1652" t="s">
        <v>1246</v>
      </c>
      <c r="D28" s="1056" t="s">
        <v>1022</v>
      </c>
      <c r="E28" s="1662">
        <v>15941</v>
      </c>
      <c r="F28" s="1609"/>
      <c r="G28" s="1609"/>
      <c r="H28" s="1609"/>
      <c r="I28" s="1663">
        <v>6</v>
      </c>
      <c r="J28" s="1663">
        <v>205</v>
      </c>
      <c r="K28" s="1663"/>
      <c r="L28" s="1557">
        <v>44</v>
      </c>
      <c r="M28" s="1557"/>
      <c r="N28" s="1663"/>
      <c r="O28" s="1663"/>
      <c r="P28" s="1556">
        <f t="shared" si="5"/>
        <v>44</v>
      </c>
      <c r="Q28" s="1664">
        <f>16500*1.07</f>
        <v>17655</v>
      </c>
      <c r="R28" s="1665">
        <f t="shared" si="6"/>
        <v>776820</v>
      </c>
      <c r="S28" s="1665">
        <f t="shared" si="7"/>
        <v>22089.668246445497</v>
      </c>
      <c r="T28" s="1665">
        <f t="shared" si="8"/>
        <v>754730.33175355452</v>
      </c>
      <c r="U28" s="1580"/>
      <c r="V28" s="1580"/>
      <c r="W28" s="1580"/>
      <c r="X28" s="1580"/>
      <c r="Y28" s="1580"/>
      <c r="Z28" s="1580"/>
      <c r="AA28" s="1580"/>
      <c r="AB28" s="1580"/>
      <c r="AC28" s="1580"/>
      <c r="AD28" s="1580"/>
      <c r="AE28" s="1580"/>
      <c r="AF28" s="1580"/>
      <c r="AG28" s="1580"/>
      <c r="AH28" s="1580"/>
      <c r="AI28" s="1580"/>
      <c r="AJ28" s="1580"/>
      <c r="AK28" s="1580"/>
      <c r="AL28" s="1580"/>
      <c r="AM28" s="1580"/>
    </row>
    <row r="29" spans="1:39" ht="25.5">
      <c r="A29" s="1609">
        <v>22</v>
      </c>
      <c r="B29" s="1056" t="s">
        <v>1251</v>
      </c>
      <c r="C29" s="1614" t="s">
        <v>1252</v>
      </c>
      <c r="D29" s="1609" t="s">
        <v>1022</v>
      </c>
      <c r="E29" s="1662">
        <v>15941</v>
      </c>
      <c r="F29" s="1609"/>
      <c r="G29" s="1609"/>
      <c r="H29" s="1609"/>
      <c r="I29" s="1663">
        <v>6</v>
      </c>
      <c r="J29" s="1663">
        <v>205</v>
      </c>
      <c r="K29" s="1663"/>
      <c r="L29" s="1556">
        <v>765</v>
      </c>
      <c r="M29" s="1666">
        <f>AB29</f>
        <v>765.16800000000001</v>
      </c>
      <c r="N29" s="1663"/>
      <c r="O29" s="1663"/>
      <c r="P29" s="1556">
        <f>L29-O29</f>
        <v>765</v>
      </c>
      <c r="Q29" s="1664">
        <f>234*1.07</f>
        <v>250.38000000000002</v>
      </c>
      <c r="R29" s="1665">
        <f>P29*Q29</f>
        <v>191540.7</v>
      </c>
      <c r="S29" s="1665">
        <f>R29*(I29/(I29+J29+K29))</f>
        <v>5446.6549763033172</v>
      </c>
      <c r="T29" s="1665">
        <f>R29-S29</f>
        <v>186094.0450236967</v>
      </c>
      <c r="U29" s="1580">
        <v>15941</v>
      </c>
      <c r="V29" s="1580">
        <v>500</v>
      </c>
      <c r="W29" s="1580"/>
      <c r="X29" s="1580"/>
      <c r="Y29" s="1580" t="s">
        <v>2198</v>
      </c>
      <c r="Z29" s="1580">
        <f>U29/V29*0.45</f>
        <v>14.346900000000002</v>
      </c>
      <c r="AA29" s="1580">
        <f>Z29*12</f>
        <v>172.1628</v>
      </c>
      <c r="AB29" s="1580">
        <f>AA29/0.45*2</f>
        <v>765.16800000000001</v>
      </c>
      <c r="AC29" s="1580"/>
      <c r="AD29" s="1580"/>
      <c r="AE29" s="1580"/>
      <c r="AF29" s="1580"/>
      <c r="AG29" s="1580"/>
      <c r="AH29" s="1580"/>
      <c r="AI29" s="1580"/>
      <c r="AJ29" s="1580"/>
      <c r="AK29" s="1580"/>
      <c r="AL29" s="1580"/>
      <c r="AM29" s="1580"/>
    </row>
    <row r="30" spans="1:39" ht="25.5">
      <c r="A30" s="1609">
        <v>23</v>
      </c>
      <c r="B30" s="1056" t="s">
        <v>1253</v>
      </c>
      <c r="C30" s="1614" t="s">
        <v>1254</v>
      </c>
      <c r="D30" s="1609" t="s">
        <v>1022</v>
      </c>
      <c r="E30" s="1662">
        <v>15941</v>
      </c>
      <c r="F30" s="1609"/>
      <c r="G30" s="1609"/>
      <c r="H30" s="1609"/>
      <c r="I30" s="1663">
        <v>6</v>
      </c>
      <c r="J30" s="1663">
        <v>205</v>
      </c>
      <c r="K30" s="1663"/>
      <c r="L30" s="1556">
        <v>600</v>
      </c>
      <c r="M30" s="1556"/>
      <c r="N30" s="1663"/>
      <c r="O30" s="1663"/>
      <c r="P30" s="1556">
        <f>L30-O30</f>
        <v>600</v>
      </c>
      <c r="Q30" s="1664">
        <f>554*1.07</f>
        <v>592.78000000000009</v>
      </c>
      <c r="R30" s="1665">
        <f>P30*Q30</f>
        <v>355668.00000000006</v>
      </c>
      <c r="S30" s="1665">
        <f>R30*(I30/(I30+J30+K30))</f>
        <v>10113.781990521327</v>
      </c>
      <c r="T30" s="1665">
        <f>R30-S30</f>
        <v>345554.2180094787</v>
      </c>
      <c r="U30" s="1580"/>
      <c r="V30" s="1580"/>
      <c r="W30" s="1580"/>
      <c r="X30" s="1580"/>
      <c r="Y30" s="1580"/>
      <c r="Z30" s="1580"/>
      <c r="AA30" s="1580"/>
      <c r="AB30" s="1580"/>
      <c r="AC30" s="1580"/>
      <c r="AD30" s="1580"/>
      <c r="AE30" s="1580"/>
      <c r="AF30" s="1580"/>
      <c r="AG30" s="1580"/>
      <c r="AH30" s="1580"/>
      <c r="AI30" s="1580"/>
      <c r="AJ30" s="1580"/>
      <c r="AK30" s="1580"/>
      <c r="AL30" s="1580"/>
      <c r="AM30" s="1580"/>
    </row>
    <row r="31" spans="1:39" ht="29.25" customHeight="1">
      <c r="A31" s="1609">
        <v>24</v>
      </c>
      <c r="B31" s="1056" t="s">
        <v>1255</v>
      </c>
      <c r="C31" s="1614" t="s">
        <v>1256</v>
      </c>
      <c r="D31" s="1609" t="s">
        <v>1022</v>
      </c>
      <c r="E31" s="1662">
        <v>15941</v>
      </c>
      <c r="F31" s="1609"/>
      <c r="G31" s="1609"/>
      <c r="H31" s="1609"/>
      <c r="I31" s="1663">
        <v>6</v>
      </c>
      <c r="J31" s="1663">
        <v>205</v>
      </c>
      <c r="K31" s="1663"/>
      <c r="L31" s="1556">
        <v>765</v>
      </c>
      <c r="M31" s="1666">
        <f>AB31</f>
        <v>765.16800000000001</v>
      </c>
      <c r="N31" s="1663"/>
      <c r="O31" s="1663"/>
      <c r="P31" s="1556">
        <f>L31-O31</f>
        <v>765</v>
      </c>
      <c r="Q31" s="1664">
        <f>628*1.07</f>
        <v>671.96</v>
      </c>
      <c r="R31" s="1665">
        <f>P31*Q31</f>
        <v>514049.4</v>
      </c>
      <c r="S31" s="1665">
        <f>R31*(I31/(I31+J31+K31))</f>
        <v>14617.518483412323</v>
      </c>
      <c r="T31" s="1665">
        <f>R31-S31</f>
        <v>499431.88151658769</v>
      </c>
      <c r="U31" s="1580">
        <v>15941</v>
      </c>
      <c r="V31" s="1580">
        <v>500</v>
      </c>
      <c r="W31" s="1580"/>
      <c r="X31" s="1580"/>
      <c r="Y31" s="1580" t="s">
        <v>2199</v>
      </c>
      <c r="Z31" s="1580">
        <f>U31/V31*0.5</f>
        <v>15.941000000000001</v>
      </c>
      <c r="AA31" s="1580">
        <f>Z31*12</f>
        <v>191.292</v>
      </c>
      <c r="AB31" s="1580">
        <f>AA31*2/0.5</f>
        <v>765.16800000000001</v>
      </c>
      <c r="AC31" s="1580"/>
      <c r="AD31" s="1580"/>
      <c r="AE31" s="1580"/>
      <c r="AF31" s="1580"/>
      <c r="AG31" s="1580"/>
      <c r="AH31" s="1580"/>
      <c r="AI31" s="1580"/>
      <c r="AJ31" s="1580"/>
      <c r="AK31" s="1580"/>
      <c r="AL31" s="1580"/>
      <c r="AM31" s="1580"/>
    </row>
    <row r="32" spans="1:39" ht="31.5" hidden="1" customHeight="1">
      <c r="A32" s="1609">
        <v>16</v>
      </c>
      <c r="B32" s="1056" t="s">
        <v>1257</v>
      </c>
      <c r="C32" s="1614"/>
      <c r="D32" s="1581"/>
      <c r="E32" s="1662">
        <v>15941</v>
      </c>
      <c r="F32" s="1581"/>
      <c r="G32" s="1581"/>
      <c r="H32" s="1581"/>
      <c r="I32" s="1581"/>
      <c r="J32" s="1581"/>
      <c r="K32" s="1581"/>
      <c r="L32" s="1581"/>
      <c r="M32" s="1581"/>
      <c r="N32" s="1581"/>
      <c r="O32" s="1581"/>
      <c r="P32" s="1581"/>
      <c r="Q32" s="1581"/>
      <c r="R32" s="1581"/>
      <c r="S32" s="1581"/>
      <c r="T32" s="1581"/>
      <c r="U32" s="1580"/>
      <c r="V32" s="1580"/>
      <c r="W32" s="1580"/>
      <c r="X32" s="1580"/>
      <c r="Y32" s="1580"/>
      <c r="Z32" s="1580"/>
      <c r="AA32" s="1580"/>
      <c r="AB32" s="1580"/>
      <c r="AC32" s="1580"/>
      <c r="AD32" s="1580"/>
      <c r="AE32" s="1580"/>
      <c r="AF32" s="1580"/>
      <c r="AG32" s="1580"/>
      <c r="AH32" s="1580"/>
      <c r="AI32" s="1580"/>
      <c r="AJ32" s="1580"/>
      <c r="AK32" s="1580"/>
      <c r="AL32" s="1580"/>
      <c r="AM32" s="1580"/>
    </row>
    <row r="33" spans="1:39" hidden="1">
      <c r="A33" s="1609">
        <v>27</v>
      </c>
      <c r="B33" s="1056" t="s">
        <v>1258</v>
      </c>
      <c r="C33" s="1614" t="s">
        <v>1259</v>
      </c>
      <c r="D33" s="1056" t="s">
        <v>1203</v>
      </c>
      <c r="E33" s="1662">
        <v>15941</v>
      </c>
      <c r="F33" s="1609"/>
      <c r="G33" s="1609"/>
      <c r="H33" s="1609"/>
      <c r="I33" s="1609">
        <v>6</v>
      </c>
      <c r="J33" s="1609">
        <v>205</v>
      </c>
      <c r="K33" s="1609"/>
      <c r="L33" s="1056"/>
      <c r="M33" s="1056"/>
      <c r="N33" s="1609"/>
      <c r="O33" s="1609"/>
      <c r="P33" s="1581">
        <f>L33-O33</f>
        <v>0</v>
      </c>
      <c r="Q33" s="1610"/>
      <c r="R33" s="1611">
        <f>P33*Q33</f>
        <v>0</v>
      </c>
      <c r="S33" s="1611">
        <f>R33*(I33/(I33+J33+K33))</f>
        <v>0</v>
      </c>
      <c r="T33" s="1611">
        <f>R33-S33</f>
        <v>0</v>
      </c>
      <c r="U33" s="1580"/>
      <c r="V33" s="1580"/>
      <c r="W33" s="1580"/>
      <c r="X33" s="1580"/>
      <c r="Y33" s="1580"/>
      <c r="Z33" s="1580"/>
      <c r="AA33" s="1580"/>
      <c r="AB33" s="1580"/>
      <c r="AC33" s="1580"/>
      <c r="AD33" s="1580"/>
      <c r="AE33" s="1580"/>
      <c r="AF33" s="1580"/>
      <c r="AG33" s="1580"/>
      <c r="AH33" s="1580"/>
      <c r="AI33" s="1580"/>
      <c r="AJ33" s="1580"/>
      <c r="AK33" s="1580"/>
      <c r="AL33" s="1580"/>
      <c r="AM33" s="1580"/>
    </row>
    <row r="34" spans="1:39">
      <c r="A34" s="1609"/>
      <c r="B34" s="1616" t="s">
        <v>1260</v>
      </c>
      <c r="C34" s="1614"/>
      <c r="D34" s="1056"/>
      <c r="E34" s="1662">
        <v>15941</v>
      </c>
      <c r="F34" s="1609"/>
      <c r="G34" s="1609"/>
      <c r="H34" s="1609"/>
      <c r="I34" s="1609"/>
      <c r="J34" s="1609"/>
      <c r="K34" s="1609"/>
      <c r="L34" s="1583"/>
      <c r="M34" s="1583"/>
      <c r="N34" s="1609"/>
      <c r="O34" s="1609"/>
      <c r="P34" s="1581"/>
      <c r="Q34" s="1610"/>
      <c r="R34" s="1617">
        <f>SUM(R35:R332)</f>
        <v>16661877.399999999</v>
      </c>
      <c r="S34" s="1617">
        <f>SUM(S35:S332)</f>
        <v>473797.46161137463</v>
      </c>
      <c r="T34" s="1617">
        <f>SUM(T35:T332)</f>
        <v>16188079.938388621</v>
      </c>
      <c r="U34" s="1580">
        <v>17656818</v>
      </c>
      <c r="V34" s="1580"/>
      <c r="W34" s="1580"/>
      <c r="X34" s="1580"/>
      <c r="Y34" s="1580"/>
      <c r="Z34" s="1580"/>
      <c r="AA34" s="1580"/>
      <c r="AB34" s="1580"/>
      <c r="AC34" s="1580"/>
      <c r="AD34" s="1580"/>
      <c r="AE34" s="1580"/>
      <c r="AF34" s="1580"/>
      <c r="AG34" s="1580"/>
      <c r="AH34" s="1580"/>
      <c r="AI34" s="1580"/>
      <c r="AJ34" s="1580"/>
      <c r="AK34" s="1580"/>
      <c r="AL34" s="1580"/>
      <c r="AM34" s="1580"/>
    </row>
    <row r="35" spans="1:39" hidden="1">
      <c r="A35" s="1609">
        <v>264</v>
      </c>
      <c r="B35" s="1625" t="s">
        <v>1261</v>
      </c>
      <c r="C35" s="1621" t="s">
        <v>1262</v>
      </c>
      <c r="D35" s="1610" t="s">
        <v>1263</v>
      </c>
      <c r="E35" s="1662">
        <v>15941</v>
      </c>
      <c r="F35" s="1581"/>
      <c r="G35" s="1581"/>
      <c r="H35" s="1581"/>
      <c r="I35" s="1609">
        <v>6</v>
      </c>
      <c r="J35" s="1609">
        <v>205</v>
      </c>
      <c r="K35" s="1581"/>
      <c r="L35" s="1610"/>
      <c r="M35" s="1610"/>
      <c r="N35" s="1581"/>
      <c r="O35" s="1581"/>
      <c r="P35" s="1581">
        <f t="shared" ref="P35:P69" si="9">L35-O35</f>
        <v>0</v>
      </c>
      <c r="Q35" s="1581"/>
      <c r="R35" s="1611">
        <f t="shared" ref="R35:R69" si="10">P35*Q35</f>
        <v>0</v>
      </c>
      <c r="S35" s="1611">
        <f t="shared" ref="S35:S69" si="11">R35*(I35/(I35+J35+K35))</f>
        <v>0</v>
      </c>
      <c r="T35" s="1611">
        <f t="shared" ref="T35:T69" si="12">R35-S35</f>
        <v>0</v>
      </c>
      <c r="U35" s="1580"/>
      <c r="V35" s="1580"/>
      <c r="W35" s="1580"/>
      <c r="X35" s="1580"/>
      <c r="Y35" s="1580"/>
      <c r="Z35" s="1580"/>
      <c r="AA35" s="1580"/>
      <c r="AB35" s="1580"/>
      <c r="AC35" s="1580"/>
      <c r="AD35" s="1580"/>
      <c r="AE35" s="1580"/>
      <c r="AF35" s="1580"/>
      <c r="AG35" s="1580"/>
      <c r="AH35" s="1580"/>
      <c r="AI35" s="1580"/>
      <c r="AJ35" s="1580"/>
      <c r="AK35" s="1580"/>
      <c r="AL35" s="1580"/>
      <c r="AM35" s="1580"/>
    </row>
    <row r="36" spans="1:39" ht="25.5" hidden="1">
      <c r="A36" s="1609">
        <v>286</v>
      </c>
      <c r="B36" s="1618" t="s">
        <v>1264</v>
      </c>
      <c r="C36" s="1621" t="s">
        <v>1265</v>
      </c>
      <c r="D36" s="1618" t="s">
        <v>1022</v>
      </c>
      <c r="E36" s="1662">
        <v>15941</v>
      </c>
      <c r="F36" s="1581"/>
      <c r="G36" s="1581"/>
      <c r="H36" s="1581"/>
      <c r="I36" s="1609">
        <v>6</v>
      </c>
      <c r="J36" s="1609">
        <v>205</v>
      </c>
      <c r="K36" s="1581"/>
      <c r="L36" s="1622"/>
      <c r="M36" s="1622"/>
      <c r="N36" s="1581"/>
      <c r="O36" s="1581"/>
      <c r="P36" s="1581">
        <f t="shared" si="9"/>
        <v>0</v>
      </c>
      <c r="Q36" s="1581"/>
      <c r="R36" s="1611">
        <f t="shared" si="10"/>
        <v>0</v>
      </c>
      <c r="S36" s="1611">
        <f t="shared" si="11"/>
        <v>0</v>
      </c>
      <c r="T36" s="1611">
        <f t="shared" si="12"/>
        <v>0</v>
      </c>
      <c r="U36" s="1580"/>
      <c r="V36" s="1580"/>
      <c r="W36" s="1580"/>
      <c r="X36" s="1580"/>
      <c r="Y36" s="1580"/>
      <c r="Z36" s="1580"/>
      <c r="AA36" s="1580"/>
      <c r="AB36" s="1580"/>
      <c r="AC36" s="1580"/>
      <c r="AD36" s="1580"/>
      <c r="AE36" s="1580"/>
      <c r="AF36" s="1580"/>
      <c r="AG36" s="1580"/>
      <c r="AH36" s="1580"/>
      <c r="AI36" s="1580"/>
      <c r="AJ36" s="1580"/>
      <c r="AK36" s="1580"/>
      <c r="AL36" s="1580"/>
      <c r="AM36" s="1580"/>
    </row>
    <row r="37" spans="1:39" ht="35.25" customHeight="1">
      <c r="A37" s="1609">
        <v>38</v>
      </c>
      <c r="B37" s="1618" t="s">
        <v>1266</v>
      </c>
      <c r="C37" s="1614" t="s">
        <v>1267</v>
      </c>
      <c r="D37" s="1619" t="s">
        <v>1268</v>
      </c>
      <c r="E37" s="1662">
        <v>15941</v>
      </c>
      <c r="F37" s="1609"/>
      <c r="G37" s="1609"/>
      <c r="H37" s="1609"/>
      <c r="I37" s="1609">
        <v>6</v>
      </c>
      <c r="J37" s="1609">
        <v>205</v>
      </c>
      <c r="K37" s="1609"/>
      <c r="L37" s="1623">
        <v>2</v>
      </c>
      <c r="M37" s="1623"/>
      <c r="N37" s="1609"/>
      <c r="O37" s="1609"/>
      <c r="P37" s="1581">
        <f t="shared" si="9"/>
        <v>2</v>
      </c>
      <c r="Q37" s="1610">
        <f>14000*1.07</f>
        <v>14980</v>
      </c>
      <c r="R37" s="1611">
        <f t="shared" si="10"/>
        <v>29960</v>
      </c>
      <c r="S37" s="1611">
        <f t="shared" si="11"/>
        <v>851.94312796208521</v>
      </c>
      <c r="T37" s="1611">
        <f t="shared" si="12"/>
        <v>29108.056872037916</v>
      </c>
      <c r="U37" s="1580"/>
      <c r="V37" s="1580"/>
      <c r="W37" s="1580"/>
      <c r="X37" s="1580"/>
      <c r="Y37" s="1580"/>
      <c r="Z37" s="1580"/>
      <c r="AA37" s="1580"/>
      <c r="AB37" s="1580"/>
      <c r="AC37" s="1580"/>
      <c r="AD37" s="1580"/>
      <c r="AE37" s="1580"/>
      <c r="AF37" s="1580"/>
      <c r="AG37" s="1580"/>
      <c r="AH37" s="1580"/>
      <c r="AI37" s="1580"/>
      <c r="AJ37" s="1580"/>
      <c r="AK37" s="1580"/>
      <c r="AL37" s="1580"/>
      <c r="AM37" s="1580"/>
    </row>
    <row r="38" spans="1:39" ht="25.5">
      <c r="A38" s="1609">
        <v>39</v>
      </c>
      <c r="B38" s="1618" t="s">
        <v>1266</v>
      </c>
      <c r="C38" s="1614" t="s">
        <v>1269</v>
      </c>
      <c r="D38" s="1619" t="s">
        <v>1268</v>
      </c>
      <c r="E38" s="1662">
        <v>15941</v>
      </c>
      <c r="F38" s="1609"/>
      <c r="G38" s="1609"/>
      <c r="H38" s="1609"/>
      <c r="I38" s="1609">
        <v>6</v>
      </c>
      <c r="J38" s="1609">
        <v>205</v>
      </c>
      <c r="K38" s="1609"/>
      <c r="L38" s="1623">
        <v>3</v>
      </c>
      <c r="M38" s="1623"/>
      <c r="N38" s="1609"/>
      <c r="O38" s="1609"/>
      <c r="P38" s="1581">
        <f t="shared" si="9"/>
        <v>3</v>
      </c>
      <c r="Q38" s="1610">
        <f>12000*1.07</f>
        <v>12840</v>
      </c>
      <c r="R38" s="1611">
        <f t="shared" si="10"/>
        <v>38520</v>
      </c>
      <c r="S38" s="1611">
        <f t="shared" si="11"/>
        <v>1095.3554502369668</v>
      </c>
      <c r="T38" s="1611">
        <f t="shared" si="12"/>
        <v>37424.644549763034</v>
      </c>
      <c r="U38" s="1580"/>
      <c r="V38" s="1580"/>
      <c r="W38" s="1580"/>
      <c r="X38" s="1580"/>
      <c r="Y38" s="1580"/>
      <c r="Z38" s="1580"/>
      <c r="AA38" s="1580"/>
      <c r="AB38" s="1580"/>
      <c r="AC38" s="1580"/>
      <c r="AD38" s="1580"/>
      <c r="AE38" s="1580"/>
      <c r="AF38" s="1580"/>
      <c r="AG38" s="1580"/>
      <c r="AH38" s="1580"/>
      <c r="AI38" s="1580"/>
      <c r="AJ38" s="1580"/>
      <c r="AK38" s="1580"/>
      <c r="AL38" s="1580"/>
      <c r="AM38" s="1580"/>
    </row>
    <row r="39" spans="1:39" ht="25.5">
      <c r="A39" s="1609">
        <v>40</v>
      </c>
      <c r="B39" s="1618" t="s">
        <v>1266</v>
      </c>
      <c r="C39" s="1614" t="s">
        <v>1270</v>
      </c>
      <c r="D39" s="1619" t="s">
        <v>1268</v>
      </c>
      <c r="E39" s="1662">
        <v>15941</v>
      </c>
      <c r="F39" s="1609"/>
      <c r="G39" s="1609"/>
      <c r="H39" s="1609"/>
      <c r="I39" s="1609">
        <v>6</v>
      </c>
      <c r="J39" s="1609">
        <v>205</v>
      </c>
      <c r="K39" s="1609"/>
      <c r="L39" s="1623">
        <v>2</v>
      </c>
      <c r="M39" s="1623"/>
      <c r="N39" s="1609"/>
      <c r="O39" s="1609"/>
      <c r="P39" s="1581">
        <f t="shared" si="9"/>
        <v>2</v>
      </c>
      <c r="Q39" s="1610">
        <f>11000*1.07</f>
        <v>11770</v>
      </c>
      <c r="R39" s="1611">
        <f t="shared" si="10"/>
        <v>23540</v>
      </c>
      <c r="S39" s="1611">
        <f t="shared" si="11"/>
        <v>669.38388625592415</v>
      </c>
      <c r="T39" s="1611">
        <f t="shared" si="12"/>
        <v>22870.616113744076</v>
      </c>
      <c r="U39" s="1580"/>
      <c r="V39" s="1580"/>
      <c r="W39" s="1580"/>
      <c r="X39" s="1580"/>
      <c r="Y39" s="1580"/>
      <c r="Z39" s="1580"/>
      <c r="AA39" s="1580"/>
      <c r="AB39" s="1580"/>
      <c r="AC39" s="1580"/>
      <c r="AD39" s="1580"/>
      <c r="AE39" s="1580"/>
      <c r="AF39" s="1580"/>
      <c r="AG39" s="1580"/>
      <c r="AH39" s="1580"/>
      <c r="AI39" s="1580"/>
      <c r="AJ39" s="1580"/>
      <c r="AK39" s="1580"/>
      <c r="AL39" s="1580"/>
      <c r="AM39" s="1580"/>
    </row>
    <row r="40" spans="1:39" ht="25.5">
      <c r="A40" s="1609">
        <v>41</v>
      </c>
      <c r="B40" s="1618" t="s">
        <v>1266</v>
      </c>
      <c r="C40" s="1614" t="s">
        <v>1271</v>
      </c>
      <c r="D40" s="1619" t="s">
        <v>1268</v>
      </c>
      <c r="E40" s="1662">
        <v>15941</v>
      </c>
      <c r="F40" s="1609"/>
      <c r="G40" s="1609"/>
      <c r="H40" s="1609"/>
      <c r="I40" s="1609">
        <v>6</v>
      </c>
      <c r="J40" s="1609">
        <v>205</v>
      </c>
      <c r="K40" s="1609"/>
      <c r="L40" s="1623">
        <v>2</v>
      </c>
      <c r="M40" s="1623"/>
      <c r="N40" s="1609"/>
      <c r="O40" s="1609"/>
      <c r="P40" s="1581">
        <f t="shared" si="9"/>
        <v>2</v>
      </c>
      <c r="Q40" s="1610">
        <f>10000*1.07</f>
        <v>10700</v>
      </c>
      <c r="R40" s="1611">
        <f t="shared" si="10"/>
        <v>21400</v>
      </c>
      <c r="S40" s="1611">
        <f t="shared" si="11"/>
        <v>608.53080568720372</v>
      </c>
      <c r="T40" s="1611">
        <f t="shared" si="12"/>
        <v>20791.469194312795</v>
      </c>
      <c r="U40" s="1580"/>
      <c r="V40" s="1580"/>
      <c r="W40" s="1580"/>
      <c r="X40" s="1580"/>
      <c r="Y40" s="1580"/>
      <c r="Z40" s="1580"/>
      <c r="AA40" s="1580"/>
      <c r="AB40" s="1580"/>
      <c r="AC40" s="1580"/>
      <c r="AD40" s="1580"/>
      <c r="AE40" s="1580"/>
      <c r="AF40" s="1580"/>
      <c r="AG40" s="1580"/>
      <c r="AH40" s="1580"/>
      <c r="AI40" s="1580"/>
      <c r="AJ40" s="1580"/>
      <c r="AK40" s="1580"/>
      <c r="AL40" s="1580"/>
      <c r="AM40" s="1580"/>
    </row>
    <row r="41" spans="1:39" ht="25.5" hidden="1">
      <c r="A41" s="1609">
        <v>42</v>
      </c>
      <c r="B41" s="1618" t="s">
        <v>1266</v>
      </c>
      <c r="C41" s="1614" t="s">
        <v>1272</v>
      </c>
      <c r="D41" s="1619" t="s">
        <v>1268</v>
      </c>
      <c r="E41" s="1662">
        <v>15941</v>
      </c>
      <c r="F41" s="1609"/>
      <c r="G41" s="1609"/>
      <c r="H41" s="1609"/>
      <c r="I41" s="1609">
        <v>6</v>
      </c>
      <c r="J41" s="1609">
        <v>205</v>
      </c>
      <c r="K41" s="1609"/>
      <c r="L41" s="1619"/>
      <c r="M41" s="1619"/>
      <c r="N41" s="1609"/>
      <c r="O41" s="1609"/>
      <c r="P41" s="1581">
        <f t="shared" si="9"/>
        <v>0</v>
      </c>
      <c r="Q41" s="1610"/>
      <c r="R41" s="1611">
        <f t="shared" si="10"/>
        <v>0</v>
      </c>
      <c r="S41" s="1611">
        <f t="shared" si="11"/>
        <v>0</v>
      </c>
      <c r="T41" s="1611">
        <f t="shared" si="12"/>
        <v>0</v>
      </c>
      <c r="U41" s="1580"/>
      <c r="V41" s="1580"/>
      <c r="W41" s="1580"/>
      <c r="X41" s="1580"/>
      <c r="Y41" s="1580"/>
      <c r="Z41" s="1580"/>
      <c r="AA41" s="1580"/>
      <c r="AB41" s="1580"/>
      <c r="AC41" s="1580"/>
      <c r="AD41" s="1580"/>
      <c r="AE41" s="1580"/>
      <c r="AF41" s="1580"/>
      <c r="AG41" s="1580"/>
      <c r="AH41" s="1580"/>
      <c r="AI41" s="1580"/>
      <c r="AJ41" s="1580"/>
      <c r="AK41" s="1580"/>
      <c r="AL41" s="1580"/>
      <c r="AM41" s="1580"/>
    </row>
    <row r="42" spans="1:39" ht="25.5">
      <c r="A42" s="1609">
        <v>43</v>
      </c>
      <c r="B42" s="1618" t="s">
        <v>1273</v>
      </c>
      <c r="C42" s="1614" t="s">
        <v>1274</v>
      </c>
      <c r="D42" s="1619" t="s">
        <v>1268</v>
      </c>
      <c r="E42" s="1662">
        <v>15941</v>
      </c>
      <c r="F42" s="1609"/>
      <c r="G42" s="1609"/>
      <c r="H42" s="1609"/>
      <c r="I42" s="1609">
        <v>6</v>
      </c>
      <c r="J42" s="1609">
        <v>205</v>
      </c>
      <c r="K42" s="1609"/>
      <c r="L42" s="1619">
        <v>40</v>
      </c>
      <c r="M42" s="1619"/>
      <c r="N42" s="1609"/>
      <c r="O42" s="1609"/>
      <c r="P42" s="1581">
        <f t="shared" si="9"/>
        <v>40</v>
      </c>
      <c r="Q42" s="1610">
        <f>1210*1.07</f>
        <v>1294.7</v>
      </c>
      <c r="R42" s="1611">
        <f t="shared" si="10"/>
        <v>51788</v>
      </c>
      <c r="S42" s="1611">
        <f t="shared" si="11"/>
        <v>1472.6445497630332</v>
      </c>
      <c r="T42" s="1611">
        <f t="shared" si="12"/>
        <v>50315.355450236966</v>
      </c>
      <c r="U42" s="1580"/>
      <c r="V42" s="1580"/>
      <c r="W42" s="1580"/>
      <c r="X42" s="1580"/>
      <c r="Y42" s="1580"/>
      <c r="Z42" s="1580"/>
      <c r="AA42" s="1580"/>
      <c r="AB42" s="1580"/>
      <c r="AC42" s="1580"/>
      <c r="AD42" s="1580"/>
      <c r="AE42" s="1580"/>
      <c r="AF42" s="1580"/>
      <c r="AG42" s="1580"/>
      <c r="AH42" s="1580"/>
      <c r="AI42" s="1580"/>
      <c r="AJ42" s="1580"/>
      <c r="AK42" s="1580"/>
      <c r="AL42" s="1580"/>
      <c r="AM42" s="1580"/>
    </row>
    <row r="43" spans="1:39" ht="25.5">
      <c r="A43" s="1609">
        <v>44</v>
      </c>
      <c r="B43" s="1618" t="s">
        <v>1266</v>
      </c>
      <c r="C43" s="1614" t="s">
        <v>1275</v>
      </c>
      <c r="D43" s="1619" t="s">
        <v>1268</v>
      </c>
      <c r="E43" s="1662">
        <v>15941</v>
      </c>
      <c r="F43" s="1609"/>
      <c r="G43" s="1609"/>
      <c r="H43" s="1609"/>
      <c r="I43" s="1609">
        <v>6</v>
      </c>
      <c r="J43" s="1609">
        <v>205</v>
      </c>
      <c r="K43" s="1609"/>
      <c r="L43" s="1619">
        <v>20</v>
      </c>
      <c r="M43" s="1619"/>
      <c r="N43" s="1609"/>
      <c r="O43" s="1609"/>
      <c r="P43" s="1581">
        <f t="shared" si="9"/>
        <v>20</v>
      </c>
      <c r="Q43" s="1610">
        <f>1360*1.07</f>
        <v>1455.2</v>
      </c>
      <c r="R43" s="1611">
        <f t="shared" si="10"/>
        <v>29104</v>
      </c>
      <c r="S43" s="1611">
        <f t="shared" si="11"/>
        <v>827.60189573459706</v>
      </c>
      <c r="T43" s="1611">
        <f t="shared" si="12"/>
        <v>28276.398104265401</v>
      </c>
      <c r="U43" s="1580"/>
      <c r="V43" s="1580"/>
      <c r="W43" s="1580"/>
      <c r="X43" s="1580"/>
      <c r="Y43" s="1580"/>
      <c r="Z43" s="1580"/>
      <c r="AA43" s="1580"/>
      <c r="AB43" s="1580"/>
      <c r="AC43" s="1580"/>
      <c r="AD43" s="1580"/>
      <c r="AE43" s="1580"/>
      <c r="AF43" s="1580"/>
      <c r="AG43" s="1580"/>
      <c r="AH43" s="1580"/>
      <c r="AI43" s="1580"/>
      <c r="AJ43" s="1580"/>
      <c r="AK43" s="1580"/>
      <c r="AL43" s="1580"/>
      <c r="AM43" s="1580"/>
    </row>
    <row r="44" spans="1:39" ht="25.5">
      <c r="A44" s="1609">
        <v>45</v>
      </c>
      <c r="B44" s="1618" t="s">
        <v>1273</v>
      </c>
      <c r="C44" s="1614" t="s">
        <v>1276</v>
      </c>
      <c r="D44" s="1619" t="s">
        <v>1268</v>
      </c>
      <c r="E44" s="1662">
        <v>15941</v>
      </c>
      <c r="F44" s="1609"/>
      <c r="G44" s="1609"/>
      <c r="H44" s="1609"/>
      <c r="I44" s="1609">
        <v>6</v>
      </c>
      <c r="J44" s="1609">
        <v>205</v>
      </c>
      <c r="K44" s="1609"/>
      <c r="L44" s="1619">
        <v>20</v>
      </c>
      <c r="M44" s="1619"/>
      <c r="N44" s="1609"/>
      <c r="O44" s="1609"/>
      <c r="P44" s="1581">
        <f t="shared" si="9"/>
        <v>20</v>
      </c>
      <c r="Q44" s="1610">
        <f>1360*1.07</f>
        <v>1455.2</v>
      </c>
      <c r="R44" s="1611">
        <f t="shared" si="10"/>
        <v>29104</v>
      </c>
      <c r="S44" s="1611">
        <f t="shared" si="11"/>
        <v>827.60189573459706</v>
      </c>
      <c r="T44" s="1611">
        <f t="shared" si="12"/>
        <v>28276.398104265401</v>
      </c>
      <c r="U44" s="1580"/>
      <c r="V44" s="1580"/>
      <c r="W44" s="1580"/>
      <c r="X44" s="1580"/>
      <c r="Y44" s="1580"/>
      <c r="Z44" s="1580"/>
      <c r="AA44" s="1580"/>
      <c r="AB44" s="1580"/>
      <c r="AC44" s="1580"/>
      <c r="AD44" s="1580"/>
      <c r="AE44" s="1580"/>
      <c r="AF44" s="1580"/>
      <c r="AG44" s="1580"/>
      <c r="AH44" s="1580"/>
      <c r="AI44" s="1580"/>
      <c r="AJ44" s="1580"/>
      <c r="AK44" s="1580"/>
      <c r="AL44" s="1580"/>
      <c r="AM44" s="1580"/>
    </row>
    <row r="45" spans="1:39" ht="25.5">
      <c r="A45" s="1609">
        <v>46</v>
      </c>
      <c r="B45" s="1618" t="s">
        <v>1266</v>
      </c>
      <c r="C45" s="1614" t="s">
        <v>1277</v>
      </c>
      <c r="D45" s="1619" t="s">
        <v>1268</v>
      </c>
      <c r="E45" s="1662">
        <v>15941</v>
      </c>
      <c r="F45" s="1609"/>
      <c r="G45" s="1609"/>
      <c r="H45" s="1609"/>
      <c r="I45" s="1609">
        <v>6</v>
      </c>
      <c r="J45" s="1609">
        <v>205</v>
      </c>
      <c r="K45" s="1609"/>
      <c r="L45" s="1619">
        <v>20</v>
      </c>
      <c r="M45" s="1619"/>
      <c r="N45" s="1609"/>
      <c r="O45" s="1609"/>
      <c r="P45" s="1581">
        <f t="shared" si="9"/>
        <v>20</v>
      </c>
      <c r="Q45" s="1610">
        <f>1590*1.07</f>
        <v>1701.3000000000002</v>
      </c>
      <c r="R45" s="1611">
        <f t="shared" si="10"/>
        <v>34026</v>
      </c>
      <c r="S45" s="1611">
        <f t="shared" si="11"/>
        <v>967.56398104265395</v>
      </c>
      <c r="T45" s="1611">
        <f t="shared" si="12"/>
        <v>33058.436018957349</v>
      </c>
      <c r="U45" s="1580"/>
      <c r="V45" s="1580"/>
      <c r="W45" s="1580"/>
      <c r="X45" s="1580"/>
      <c r="Y45" s="1580"/>
      <c r="Z45" s="1580"/>
      <c r="AA45" s="1580"/>
      <c r="AB45" s="1580"/>
      <c r="AC45" s="1580"/>
      <c r="AD45" s="1580"/>
      <c r="AE45" s="1580"/>
      <c r="AF45" s="1580"/>
      <c r="AG45" s="1580"/>
      <c r="AH45" s="1580"/>
      <c r="AI45" s="1580"/>
      <c r="AJ45" s="1580"/>
      <c r="AK45" s="1580"/>
      <c r="AL45" s="1580"/>
      <c r="AM45" s="1580"/>
    </row>
    <row r="46" spans="1:39" ht="25.5">
      <c r="A46" s="1609">
        <v>47</v>
      </c>
      <c r="B46" s="1618" t="s">
        <v>1266</v>
      </c>
      <c r="C46" s="1614" t="s">
        <v>1278</v>
      </c>
      <c r="D46" s="1619" t="s">
        <v>1268</v>
      </c>
      <c r="E46" s="1662">
        <v>15941</v>
      </c>
      <c r="F46" s="1609"/>
      <c r="G46" s="1609"/>
      <c r="H46" s="1609"/>
      <c r="I46" s="1609">
        <v>6</v>
      </c>
      <c r="J46" s="1609">
        <v>205</v>
      </c>
      <c r="K46" s="1609"/>
      <c r="L46" s="1619">
        <v>20</v>
      </c>
      <c r="M46" s="1619"/>
      <c r="N46" s="1609"/>
      <c r="O46" s="1609"/>
      <c r="P46" s="1581">
        <f t="shared" si="9"/>
        <v>20</v>
      </c>
      <c r="Q46" s="1610">
        <f>490*1.07</f>
        <v>524.30000000000007</v>
      </c>
      <c r="R46" s="1611">
        <f t="shared" si="10"/>
        <v>10486.000000000002</v>
      </c>
      <c r="S46" s="1611">
        <f t="shared" si="11"/>
        <v>298.18009478672991</v>
      </c>
      <c r="T46" s="1611">
        <f t="shared" si="12"/>
        <v>10187.819905213271</v>
      </c>
      <c r="U46" s="1580"/>
      <c r="V46" s="1580"/>
      <c r="W46" s="1580"/>
      <c r="X46" s="1580"/>
      <c r="Y46" s="1580"/>
      <c r="Z46" s="1580"/>
      <c r="AA46" s="1580"/>
      <c r="AB46" s="1580"/>
      <c r="AC46" s="1580"/>
      <c r="AD46" s="1580"/>
      <c r="AE46" s="1580"/>
      <c r="AF46" s="1580"/>
      <c r="AG46" s="1580"/>
      <c r="AH46" s="1580"/>
      <c r="AI46" s="1580"/>
      <c r="AJ46" s="1580"/>
      <c r="AK46" s="1580"/>
      <c r="AL46" s="1580"/>
      <c r="AM46" s="1580"/>
    </row>
    <row r="47" spans="1:39" ht="25.5">
      <c r="A47" s="1609">
        <v>48</v>
      </c>
      <c r="B47" s="1618" t="s">
        <v>1266</v>
      </c>
      <c r="C47" s="1614" t="s">
        <v>1279</v>
      </c>
      <c r="D47" s="1619" t="s">
        <v>1268</v>
      </c>
      <c r="E47" s="1662">
        <v>15941</v>
      </c>
      <c r="F47" s="1609"/>
      <c r="G47" s="1609"/>
      <c r="H47" s="1609"/>
      <c r="I47" s="1609">
        <v>6</v>
      </c>
      <c r="J47" s="1609">
        <v>205</v>
      </c>
      <c r="K47" s="1609"/>
      <c r="L47" s="1619">
        <v>20</v>
      </c>
      <c r="M47" s="1619"/>
      <c r="N47" s="1609"/>
      <c r="O47" s="1609"/>
      <c r="P47" s="1581">
        <f t="shared" si="9"/>
        <v>20</v>
      </c>
      <c r="Q47" s="1610">
        <f>540*1.07</f>
        <v>577.80000000000007</v>
      </c>
      <c r="R47" s="1611">
        <f t="shared" si="10"/>
        <v>11556.000000000002</v>
      </c>
      <c r="S47" s="1611">
        <f t="shared" si="11"/>
        <v>328.60663507109007</v>
      </c>
      <c r="T47" s="1611">
        <f t="shared" si="12"/>
        <v>11227.393364928912</v>
      </c>
      <c r="U47" s="1580"/>
      <c r="V47" s="1580"/>
      <c r="W47" s="1580"/>
      <c r="X47" s="1580"/>
      <c r="Y47" s="1580"/>
      <c r="Z47" s="1580"/>
      <c r="AA47" s="1580"/>
      <c r="AB47" s="1580"/>
      <c r="AC47" s="1580"/>
      <c r="AD47" s="1580"/>
      <c r="AE47" s="1580"/>
      <c r="AF47" s="1580"/>
      <c r="AG47" s="1580"/>
      <c r="AH47" s="1580"/>
      <c r="AI47" s="1580"/>
      <c r="AJ47" s="1580"/>
      <c r="AK47" s="1580"/>
      <c r="AL47" s="1580"/>
      <c r="AM47" s="1580"/>
    </row>
    <row r="48" spans="1:39" ht="25.5">
      <c r="A48" s="1609">
        <v>49</v>
      </c>
      <c r="B48" s="1618" t="s">
        <v>1266</v>
      </c>
      <c r="C48" s="1614" t="s">
        <v>1280</v>
      </c>
      <c r="D48" s="1619" t="s">
        <v>1268</v>
      </c>
      <c r="E48" s="1662">
        <v>15941</v>
      </c>
      <c r="F48" s="1609"/>
      <c r="G48" s="1609"/>
      <c r="H48" s="1609"/>
      <c r="I48" s="1609">
        <v>6</v>
      </c>
      <c r="J48" s="1609">
        <v>205</v>
      </c>
      <c r="K48" s="1609"/>
      <c r="L48" s="1619">
        <v>20</v>
      </c>
      <c r="M48" s="1619"/>
      <c r="N48" s="1609"/>
      <c r="O48" s="1609"/>
      <c r="P48" s="1581">
        <f t="shared" si="9"/>
        <v>20</v>
      </c>
      <c r="Q48" s="1610">
        <f>560*1.07</f>
        <v>599.20000000000005</v>
      </c>
      <c r="R48" s="1611">
        <f t="shared" si="10"/>
        <v>11984</v>
      </c>
      <c r="S48" s="1611">
        <f t="shared" si="11"/>
        <v>340.77725118483409</v>
      </c>
      <c r="T48" s="1611">
        <f t="shared" si="12"/>
        <v>11643.222748815166</v>
      </c>
      <c r="U48" s="1580"/>
      <c r="V48" s="1580"/>
      <c r="W48" s="1580"/>
      <c r="X48" s="1580"/>
      <c r="Y48" s="1580"/>
      <c r="Z48" s="1580"/>
      <c r="AA48" s="1580"/>
      <c r="AB48" s="1580"/>
      <c r="AC48" s="1580"/>
      <c r="AD48" s="1580"/>
      <c r="AE48" s="1580"/>
      <c r="AF48" s="1580"/>
      <c r="AG48" s="1580"/>
      <c r="AH48" s="1580"/>
      <c r="AI48" s="1580"/>
      <c r="AJ48" s="1580"/>
      <c r="AK48" s="1580"/>
      <c r="AL48" s="1580"/>
      <c r="AM48" s="1580"/>
    </row>
    <row r="49" spans="1:39" ht="25.5">
      <c r="A49" s="1609">
        <v>50</v>
      </c>
      <c r="B49" s="1618" t="s">
        <v>1266</v>
      </c>
      <c r="C49" s="1614" t="s">
        <v>1281</v>
      </c>
      <c r="D49" s="1619" t="s">
        <v>1268</v>
      </c>
      <c r="E49" s="1662">
        <v>15941</v>
      </c>
      <c r="F49" s="1609"/>
      <c r="G49" s="1609"/>
      <c r="H49" s="1609"/>
      <c r="I49" s="1609">
        <v>6</v>
      </c>
      <c r="J49" s="1609">
        <v>205</v>
      </c>
      <c r="K49" s="1609"/>
      <c r="L49" s="1619">
        <v>20</v>
      </c>
      <c r="M49" s="1619"/>
      <c r="N49" s="1609"/>
      <c r="O49" s="1609"/>
      <c r="P49" s="1581">
        <f t="shared" si="9"/>
        <v>20</v>
      </c>
      <c r="Q49" s="1610">
        <f>620*1.07</f>
        <v>663.40000000000009</v>
      </c>
      <c r="R49" s="1611">
        <f t="shared" si="10"/>
        <v>13268.000000000002</v>
      </c>
      <c r="S49" s="1611">
        <f t="shared" si="11"/>
        <v>377.28909952606637</v>
      </c>
      <c r="T49" s="1611">
        <f t="shared" si="12"/>
        <v>12890.710900473936</v>
      </c>
      <c r="U49" s="1580"/>
      <c r="V49" s="1580"/>
      <c r="W49" s="1580"/>
      <c r="X49" s="1580"/>
      <c r="Y49" s="1580"/>
      <c r="Z49" s="1580"/>
      <c r="AA49" s="1580"/>
      <c r="AB49" s="1580"/>
      <c r="AC49" s="1580"/>
      <c r="AD49" s="1580"/>
      <c r="AE49" s="1580"/>
      <c r="AF49" s="1580"/>
      <c r="AG49" s="1580"/>
      <c r="AH49" s="1580"/>
      <c r="AI49" s="1580"/>
      <c r="AJ49" s="1580"/>
      <c r="AK49" s="1580"/>
      <c r="AL49" s="1580"/>
      <c r="AM49" s="1580"/>
    </row>
    <row r="50" spans="1:39" ht="25.5">
      <c r="A50" s="1609">
        <v>51</v>
      </c>
      <c r="B50" s="1618" t="s">
        <v>1282</v>
      </c>
      <c r="C50" s="1614" t="s">
        <v>1283</v>
      </c>
      <c r="D50" s="1619" t="s">
        <v>1268</v>
      </c>
      <c r="E50" s="1662">
        <v>15941</v>
      </c>
      <c r="F50" s="1609"/>
      <c r="G50" s="1609"/>
      <c r="H50" s="1609"/>
      <c r="I50" s="1609">
        <v>6</v>
      </c>
      <c r="J50" s="1609">
        <v>205</v>
      </c>
      <c r="K50" s="1609"/>
      <c r="L50" s="1619">
        <v>20</v>
      </c>
      <c r="M50" s="1619"/>
      <c r="N50" s="1609"/>
      <c r="O50" s="1609"/>
      <c r="P50" s="1581">
        <f t="shared" si="9"/>
        <v>20</v>
      </c>
      <c r="Q50" s="1610">
        <f>620*1.07</f>
        <v>663.40000000000009</v>
      </c>
      <c r="R50" s="1611">
        <f t="shared" si="10"/>
        <v>13268.000000000002</v>
      </c>
      <c r="S50" s="1611">
        <f t="shared" si="11"/>
        <v>377.28909952606637</v>
      </c>
      <c r="T50" s="1611">
        <f t="shared" si="12"/>
        <v>12890.710900473936</v>
      </c>
      <c r="U50" s="1580"/>
      <c r="V50" s="1580"/>
      <c r="W50" s="1580"/>
      <c r="X50" s="1580"/>
      <c r="Y50" s="1580"/>
      <c r="Z50" s="1580"/>
      <c r="AA50" s="1580"/>
      <c r="AB50" s="1580"/>
      <c r="AC50" s="1580"/>
      <c r="AD50" s="1580"/>
      <c r="AE50" s="1580"/>
      <c r="AF50" s="1580"/>
      <c r="AG50" s="1580"/>
      <c r="AH50" s="1580"/>
      <c r="AI50" s="1580"/>
      <c r="AJ50" s="1580"/>
      <c r="AK50" s="1580"/>
      <c r="AL50" s="1580"/>
      <c r="AM50" s="1580"/>
    </row>
    <row r="51" spans="1:39" ht="25.5">
      <c r="A51" s="1609">
        <v>52</v>
      </c>
      <c r="B51" s="1618" t="s">
        <v>1266</v>
      </c>
      <c r="C51" s="1614" t="s">
        <v>1284</v>
      </c>
      <c r="D51" s="1619" t="s">
        <v>1268</v>
      </c>
      <c r="E51" s="1662">
        <v>15941</v>
      </c>
      <c r="F51" s="1609"/>
      <c r="G51" s="1609"/>
      <c r="H51" s="1609"/>
      <c r="I51" s="1609">
        <v>6</v>
      </c>
      <c r="J51" s="1609">
        <v>205</v>
      </c>
      <c r="K51" s="1609"/>
      <c r="L51" s="1619">
        <v>20</v>
      </c>
      <c r="M51" s="1619"/>
      <c r="N51" s="1609"/>
      <c r="O51" s="1609"/>
      <c r="P51" s="1581">
        <f t="shared" si="9"/>
        <v>20</v>
      </c>
      <c r="Q51" s="1610">
        <f>710*1.07</f>
        <v>759.7</v>
      </c>
      <c r="R51" s="1611">
        <f t="shared" si="10"/>
        <v>15194</v>
      </c>
      <c r="S51" s="1611">
        <f t="shared" si="11"/>
        <v>432.05687203791467</v>
      </c>
      <c r="T51" s="1611">
        <f t="shared" si="12"/>
        <v>14761.943127962086</v>
      </c>
      <c r="U51" s="1580"/>
      <c r="V51" s="1580"/>
      <c r="W51" s="1580"/>
      <c r="X51" s="1580"/>
      <c r="Y51" s="1580"/>
      <c r="Z51" s="1580"/>
      <c r="AA51" s="1580"/>
      <c r="AB51" s="1580"/>
      <c r="AC51" s="1580"/>
      <c r="AD51" s="1580"/>
      <c r="AE51" s="1580"/>
      <c r="AF51" s="1580"/>
      <c r="AG51" s="1580"/>
      <c r="AH51" s="1580"/>
      <c r="AI51" s="1580"/>
      <c r="AJ51" s="1580"/>
      <c r="AK51" s="1580"/>
      <c r="AL51" s="1580"/>
      <c r="AM51" s="1580"/>
    </row>
    <row r="52" spans="1:39">
      <c r="A52" s="1609">
        <v>202</v>
      </c>
      <c r="B52" s="1620" t="s">
        <v>1285</v>
      </c>
      <c r="C52" s="1621" t="s">
        <v>2200</v>
      </c>
      <c r="D52" s="1620" t="s">
        <v>1022</v>
      </c>
      <c r="E52" s="1662">
        <v>15941</v>
      </c>
      <c r="F52" s="1581"/>
      <c r="G52" s="1581"/>
      <c r="H52" s="1581"/>
      <c r="I52" s="1609">
        <v>6</v>
      </c>
      <c r="J52" s="1609">
        <v>205</v>
      </c>
      <c r="K52" s="1581"/>
      <c r="L52" s="1620">
        <v>10</v>
      </c>
      <c r="M52" s="1620"/>
      <c r="N52" s="1581"/>
      <c r="O52" s="1581"/>
      <c r="P52" s="1581">
        <f t="shared" si="9"/>
        <v>10</v>
      </c>
      <c r="Q52" s="1581">
        <f>150*1.07</f>
        <v>160.5</v>
      </c>
      <c r="R52" s="1611">
        <f t="shared" si="10"/>
        <v>1605</v>
      </c>
      <c r="S52" s="1611">
        <f t="shared" si="11"/>
        <v>45.639810426540279</v>
      </c>
      <c r="T52" s="1611">
        <f t="shared" si="12"/>
        <v>1559.3601895734598</v>
      </c>
      <c r="U52" s="1580"/>
      <c r="V52" s="1580"/>
      <c r="W52" s="1580"/>
      <c r="X52" s="1580"/>
      <c r="Y52" s="1580"/>
      <c r="Z52" s="1580"/>
      <c r="AA52" s="1580"/>
      <c r="AB52" s="1580"/>
      <c r="AC52" s="1580"/>
      <c r="AD52" s="1580"/>
      <c r="AE52" s="1580"/>
      <c r="AF52" s="1580"/>
      <c r="AG52" s="1580"/>
      <c r="AH52" s="1580"/>
      <c r="AI52" s="1580"/>
      <c r="AJ52" s="1580"/>
      <c r="AK52" s="1580"/>
      <c r="AL52" s="1580"/>
      <c r="AM52" s="1580"/>
    </row>
    <row r="53" spans="1:39">
      <c r="A53" s="1609">
        <v>203</v>
      </c>
      <c r="B53" s="1620" t="s">
        <v>1285</v>
      </c>
      <c r="C53" s="1621" t="s">
        <v>2201</v>
      </c>
      <c r="D53" s="1620" t="s">
        <v>1022</v>
      </c>
      <c r="E53" s="1662">
        <v>15941</v>
      </c>
      <c r="F53" s="1581"/>
      <c r="G53" s="1581"/>
      <c r="H53" s="1581"/>
      <c r="I53" s="1609">
        <v>6</v>
      </c>
      <c r="J53" s="1609">
        <v>205</v>
      </c>
      <c r="K53" s="1581"/>
      <c r="L53" s="1620">
        <v>10</v>
      </c>
      <c r="M53" s="1620"/>
      <c r="N53" s="1581"/>
      <c r="O53" s="1581"/>
      <c r="P53" s="1581">
        <f t="shared" si="9"/>
        <v>10</v>
      </c>
      <c r="Q53" s="1581">
        <f>150*1.07</f>
        <v>160.5</v>
      </c>
      <c r="R53" s="1611">
        <f t="shared" si="10"/>
        <v>1605</v>
      </c>
      <c r="S53" s="1611">
        <f t="shared" si="11"/>
        <v>45.639810426540279</v>
      </c>
      <c r="T53" s="1611">
        <f t="shared" si="12"/>
        <v>1559.3601895734598</v>
      </c>
      <c r="U53" s="1580"/>
      <c r="V53" s="1580"/>
      <c r="W53" s="1580"/>
      <c r="X53" s="1580"/>
      <c r="Y53" s="1580"/>
      <c r="Z53" s="1580"/>
      <c r="AA53" s="1580"/>
      <c r="AB53" s="1580"/>
      <c r="AC53" s="1580"/>
      <c r="AD53" s="1580"/>
      <c r="AE53" s="1580"/>
      <c r="AF53" s="1580"/>
      <c r="AG53" s="1580"/>
      <c r="AH53" s="1580"/>
      <c r="AI53" s="1580"/>
      <c r="AJ53" s="1580"/>
      <c r="AK53" s="1580"/>
      <c r="AL53" s="1580"/>
      <c r="AM53" s="1580"/>
    </row>
    <row r="54" spans="1:39" ht="25.5">
      <c r="A54" s="1609">
        <v>231</v>
      </c>
      <c r="B54" s="1622" t="s">
        <v>1288</v>
      </c>
      <c r="C54" s="1647" t="s">
        <v>2133</v>
      </c>
      <c r="D54" s="1622" t="s">
        <v>1290</v>
      </c>
      <c r="E54" s="1662">
        <v>15941</v>
      </c>
      <c r="F54" s="1581"/>
      <c r="G54" s="1581"/>
      <c r="H54" s="1581"/>
      <c r="I54" s="1609">
        <v>6</v>
      </c>
      <c r="J54" s="1609">
        <v>205</v>
      </c>
      <c r="K54" s="1581"/>
      <c r="L54" s="1610">
        <v>6000</v>
      </c>
      <c r="M54" s="1610"/>
      <c r="N54" s="1581"/>
      <c r="O54" s="1581"/>
      <c r="P54" s="1581">
        <f t="shared" si="9"/>
        <v>6000</v>
      </c>
      <c r="Q54" s="1581">
        <f>ROUND(2.5*1.07,2)</f>
        <v>2.68</v>
      </c>
      <c r="R54" s="1611">
        <f t="shared" si="10"/>
        <v>16080.000000000002</v>
      </c>
      <c r="S54" s="1611">
        <f t="shared" si="11"/>
        <v>457.25118483412325</v>
      </c>
      <c r="T54" s="1611">
        <f t="shared" si="12"/>
        <v>15622.748815165878</v>
      </c>
      <c r="U54" s="1580"/>
      <c r="V54" s="1580"/>
      <c r="W54" s="1580"/>
      <c r="X54" s="1580"/>
      <c r="Y54" s="1580"/>
      <c r="Z54" s="1580"/>
      <c r="AA54" s="1580"/>
      <c r="AB54" s="1580"/>
      <c r="AC54" s="1580"/>
      <c r="AD54" s="1580"/>
      <c r="AE54" s="1580"/>
      <c r="AF54" s="1580"/>
      <c r="AG54" s="1580"/>
      <c r="AH54" s="1580"/>
      <c r="AI54" s="1580"/>
      <c r="AJ54" s="1580"/>
      <c r="AK54" s="1580"/>
      <c r="AL54" s="1580"/>
      <c r="AM54" s="1580"/>
    </row>
    <row r="55" spans="1:39" ht="25.5">
      <c r="A55" s="1609">
        <v>232</v>
      </c>
      <c r="B55" s="1622" t="s">
        <v>1288</v>
      </c>
      <c r="C55" s="1647" t="s">
        <v>2202</v>
      </c>
      <c r="D55" s="1622" t="s">
        <v>1290</v>
      </c>
      <c r="E55" s="1662">
        <v>15941</v>
      </c>
      <c r="F55" s="1581"/>
      <c r="G55" s="1581"/>
      <c r="H55" s="1581"/>
      <c r="I55" s="1609">
        <v>6</v>
      </c>
      <c r="J55" s="1609">
        <v>205</v>
      </c>
      <c r="K55" s="1581"/>
      <c r="L55" s="1610">
        <v>4000</v>
      </c>
      <c r="M55" s="1610"/>
      <c r="N55" s="1581"/>
      <c r="O55" s="1581"/>
      <c r="P55" s="1581">
        <f t="shared" si="9"/>
        <v>4000</v>
      </c>
      <c r="Q55" s="1581">
        <f>6*1.07</f>
        <v>6.42</v>
      </c>
      <c r="R55" s="1611">
        <f t="shared" si="10"/>
        <v>25680</v>
      </c>
      <c r="S55" s="1611">
        <f t="shared" si="11"/>
        <v>730.23696682464447</v>
      </c>
      <c r="T55" s="1611">
        <f t="shared" si="12"/>
        <v>24949.763033175357</v>
      </c>
      <c r="U55" s="1580"/>
      <c r="V55" s="1580"/>
      <c r="W55" s="1580"/>
      <c r="X55" s="1580"/>
      <c r="Y55" s="1580"/>
      <c r="Z55" s="1580"/>
      <c r="AA55" s="1580"/>
      <c r="AB55" s="1580"/>
      <c r="AC55" s="1580"/>
      <c r="AD55" s="1580"/>
      <c r="AE55" s="1580"/>
      <c r="AF55" s="1580"/>
      <c r="AG55" s="1580"/>
      <c r="AH55" s="1580"/>
      <c r="AI55" s="1580"/>
      <c r="AJ55" s="1580"/>
      <c r="AK55" s="1580"/>
      <c r="AL55" s="1580"/>
      <c r="AM55" s="1580"/>
    </row>
    <row r="56" spans="1:39">
      <c r="A56" s="1609">
        <v>222</v>
      </c>
      <c r="B56" s="1620" t="s">
        <v>1288</v>
      </c>
      <c r="C56" s="1647" t="s">
        <v>1978</v>
      </c>
      <c r="D56" s="1620" t="s">
        <v>1022</v>
      </c>
      <c r="E56" s="1662">
        <v>15941</v>
      </c>
      <c r="F56" s="1581"/>
      <c r="G56" s="1581"/>
      <c r="H56" s="1581"/>
      <c r="I56" s="1609">
        <v>6</v>
      </c>
      <c r="J56" s="1609">
        <v>205</v>
      </c>
      <c r="K56" s="1581"/>
      <c r="L56" s="1620">
        <v>50</v>
      </c>
      <c r="M56" s="1620"/>
      <c r="N56" s="1581"/>
      <c r="O56" s="1581"/>
      <c r="P56" s="1581">
        <f t="shared" si="9"/>
        <v>50</v>
      </c>
      <c r="Q56" s="1581">
        <f>140*1.07</f>
        <v>149.80000000000001</v>
      </c>
      <c r="R56" s="1611">
        <f t="shared" si="10"/>
        <v>7490.0000000000009</v>
      </c>
      <c r="S56" s="1611">
        <f t="shared" si="11"/>
        <v>212.98578199052133</v>
      </c>
      <c r="T56" s="1611">
        <f t="shared" si="12"/>
        <v>7277.0142180094799</v>
      </c>
      <c r="U56" s="1580"/>
      <c r="V56" s="1580"/>
      <c r="W56" s="1580"/>
      <c r="X56" s="1580"/>
      <c r="Y56" s="1580"/>
      <c r="Z56" s="1580"/>
      <c r="AA56" s="1580"/>
      <c r="AB56" s="1580"/>
      <c r="AC56" s="1580"/>
      <c r="AD56" s="1580"/>
      <c r="AE56" s="1580"/>
      <c r="AF56" s="1580"/>
      <c r="AG56" s="1580"/>
      <c r="AH56" s="1580"/>
      <c r="AI56" s="1580"/>
      <c r="AJ56" s="1580"/>
      <c r="AK56" s="1580"/>
      <c r="AL56" s="1580"/>
      <c r="AM56" s="1580"/>
    </row>
    <row r="57" spans="1:39" ht="25.5">
      <c r="A57" s="1609">
        <v>221</v>
      </c>
      <c r="B57" s="1620" t="s">
        <v>1288</v>
      </c>
      <c r="C57" s="1647" t="s">
        <v>1292</v>
      </c>
      <c r="D57" s="1620" t="s">
        <v>1022</v>
      </c>
      <c r="E57" s="1662">
        <v>15941</v>
      </c>
      <c r="F57" s="1581"/>
      <c r="G57" s="1581"/>
      <c r="H57" s="1581"/>
      <c r="I57" s="1609">
        <v>6</v>
      </c>
      <c r="J57" s="1609">
        <v>205</v>
      </c>
      <c r="K57" s="1581"/>
      <c r="L57" s="1620">
        <v>50</v>
      </c>
      <c r="M57" s="1620"/>
      <c r="N57" s="1581"/>
      <c r="O57" s="1581"/>
      <c r="P57" s="1581">
        <f t="shared" si="9"/>
        <v>50</v>
      </c>
      <c r="Q57" s="1581">
        <f>50*1.07</f>
        <v>53.5</v>
      </c>
      <c r="R57" s="1611">
        <f t="shared" si="10"/>
        <v>2675</v>
      </c>
      <c r="S57" s="1611">
        <f t="shared" si="11"/>
        <v>76.066350710900466</v>
      </c>
      <c r="T57" s="1611">
        <f t="shared" si="12"/>
        <v>2598.9336492890993</v>
      </c>
      <c r="U57" s="1580"/>
      <c r="V57" s="1580"/>
      <c r="W57" s="1580"/>
      <c r="X57" s="1580"/>
      <c r="Y57" s="1580"/>
      <c r="Z57" s="1580"/>
      <c r="AA57" s="1580"/>
      <c r="AB57" s="1580"/>
      <c r="AC57" s="1580"/>
      <c r="AD57" s="1580"/>
      <c r="AE57" s="1580"/>
      <c r="AF57" s="1580"/>
      <c r="AG57" s="1580"/>
      <c r="AH57" s="1580"/>
      <c r="AI57" s="1580"/>
      <c r="AJ57" s="1580"/>
      <c r="AK57" s="1580"/>
      <c r="AL57" s="1580"/>
      <c r="AM57" s="1580"/>
    </row>
    <row r="58" spans="1:39">
      <c r="A58" s="1609">
        <v>36</v>
      </c>
      <c r="B58" s="1618" t="s">
        <v>1294</v>
      </c>
      <c r="C58" s="1614" t="s">
        <v>2203</v>
      </c>
      <c r="D58" s="1619" t="s">
        <v>1268</v>
      </c>
      <c r="E58" s="1662">
        <v>15941</v>
      </c>
      <c r="F58" s="1609"/>
      <c r="G58" s="1609"/>
      <c r="H58" s="1609"/>
      <c r="I58" s="1609">
        <v>6</v>
      </c>
      <c r="J58" s="1609">
        <v>205</v>
      </c>
      <c r="K58" s="1609"/>
      <c r="L58" s="1623">
        <v>40</v>
      </c>
      <c r="M58" s="1623"/>
      <c r="N58" s="1609"/>
      <c r="O58" s="1609"/>
      <c r="P58" s="1581">
        <f t="shared" si="9"/>
        <v>40</v>
      </c>
      <c r="Q58" s="1610">
        <f>400*1.07</f>
        <v>428</v>
      </c>
      <c r="R58" s="1611">
        <f t="shared" si="10"/>
        <v>17120</v>
      </c>
      <c r="S58" s="1611">
        <f t="shared" si="11"/>
        <v>486.82464454976304</v>
      </c>
      <c r="T58" s="1611">
        <f t="shared" si="12"/>
        <v>16633.175355450236</v>
      </c>
      <c r="U58" s="1580"/>
      <c r="V58" s="1580"/>
      <c r="W58" s="1580"/>
      <c r="X58" s="1580"/>
      <c r="Y58" s="1580"/>
      <c r="Z58" s="1580"/>
      <c r="AA58" s="1580"/>
      <c r="AB58" s="1580"/>
      <c r="AC58" s="1580"/>
      <c r="AD58" s="1580"/>
      <c r="AE58" s="1580"/>
      <c r="AF58" s="1580"/>
      <c r="AG58" s="1580"/>
      <c r="AH58" s="1580"/>
      <c r="AI58" s="1580"/>
      <c r="AJ58" s="1580"/>
      <c r="AK58" s="1580"/>
      <c r="AL58" s="1580"/>
      <c r="AM58" s="1580"/>
    </row>
    <row r="59" spans="1:39">
      <c r="A59" s="1609">
        <v>37</v>
      </c>
      <c r="B59" s="1618" t="s">
        <v>1294</v>
      </c>
      <c r="C59" s="1614" t="s">
        <v>2204</v>
      </c>
      <c r="D59" s="1619" t="s">
        <v>1268</v>
      </c>
      <c r="E59" s="1662">
        <v>15941</v>
      </c>
      <c r="F59" s="1609"/>
      <c r="G59" s="1609"/>
      <c r="H59" s="1609"/>
      <c r="I59" s="1609">
        <v>6</v>
      </c>
      <c r="J59" s="1609">
        <v>205</v>
      </c>
      <c r="K59" s="1609"/>
      <c r="L59" s="1623">
        <v>40</v>
      </c>
      <c r="M59" s="1623"/>
      <c r="N59" s="1609"/>
      <c r="O59" s="1609"/>
      <c r="P59" s="1581">
        <f t="shared" si="9"/>
        <v>40</v>
      </c>
      <c r="Q59" s="1610">
        <f>100*1.07</f>
        <v>107</v>
      </c>
      <c r="R59" s="1611">
        <f t="shared" si="10"/>
        <v>4280</v>
      </c>
      <c r="S59" s="1611">
        <f t="shared" si="11"/>
        <v>121.70616113744076</v>
      </c>
      <c r="T59" s="1611">
        <f t="shared" si="12"/>
        <v>4158.2938388625589</v>
      </c>
      <c r="U59" s="1580"/>
      <c r="V59" s="1580"/>
      <c r="W59" s="1580"/>
      <c r="X59" s="1580"/>
      <c r="Y59" s="1580"/>
      <c r="Z59" s="1580"/>
      <c r="AA59" s="1580"/>
      <c r="AB59" s="1580"/>
      <c r="AC59" s="1580"/>
      <c r="AD59" s="1580"/>
      <c r="AE59" s="1580"/>
      <c r="AF59" s="1580"/>
      <c r="AG59" s="1580"/>
      <c r="AH59" s="1580"/>
      <c r="AI59" s="1580"/>
      <c r="AJ59" s="1580"/>
      <c r="AK59" s="1580"/>
      <c r="AL59" s="1580"/>
      <c r="AM59" s="1580"/>
    </row>
    <row r="60" spans="1:39">
      <c r="A60" s="1609">
        <v>34</v>
      </c>
      <c r="B60" s="1618" t="s">
        <v>1297</v>
      </c>
      <c r="C60" s="1614" t="s">
        <v>1298</v>
      </c>
      <c r="D60" s="1619" t="s">
        <v>1268</v>
      </c>
      <c r="E60" s="1662">
        <v>15941</v>
      </c>
      <c r="F60" s="1609"/>
      <c r="G60" s="1609"/>
      <c r="H60" s="1609"/>
      <c r="I60" s="1609">
        <v>6</v>
      </c>
      <c r="J60" s="1609">
        <v>205</v>
      </c>
      <c r="K60" s="1609"/>
      <c r="L60" s="1623">
        <v>40</v>
      </c>
      <c r="M60" s="1623"/>
      <c r="N60" s="1609"/>
      <c r="O60" s="1609"/>
      <c r="P60" s="1581">
        <f t="shared" si="9"/>
        <v>40</v>
      </c>
      <c r="Q60" s="1610">
        <f>390*1.07</f>
        <v>417.3</v>
      </c>
      <c r="R60" s="1611">
        <f t="shared" si="10"/>
        <v>16692</v>
      </c>
      <c r="S60" s="1611">
        <f t="shared" si="11"/>
        <v>474.65402843601896</v>
      </c>
      <c r="T60" s="1611">
        <f t="shared" si="12"/>
        <v>16217.34597156398</v>
      </c>
      <c r="U60" s="1580"/>
      <c r="V60" s="1580"/>
      <c r="W60" s="1580"/>
      <c r="X60" s="1580"/>
      <c r="Y60" s="1580"/>
      <c r="Z60" s="1580"/>
      <c r="AA60" s="1580"/>
      <c r="AB60" s="1580"/>
      <c r="AC60" s="1580"/>
      <c r="AD60" s="1580"/>
      <c r="AE60" s="1580"/>
      <c r="AF60" s="1580"/>
      <c r="AG60" s="1580"/>
      <c r="AH60" s="1580"/>
      <c r="AI60" s="1580"/>
      <c r="AJ60" s="1580"/>
      <c r="AK60" s="1580"/>
      <c r="AL60" s="1580"/>
      <c r="AM60" s="1580"/>
    </row>
    <row r="61" spans="1:39" hidden="1">
      <c r="A61" s="1609">
        <v>35</v>
      </c>
      <c r="B61" s="1618" t="s">
        <v>1294</v>
      </c>
      <c r="C61" s="1614" t="s">
        <v>1299</v>
      </c>
      <c r="D61" s="1619" t="s">
        <v>1268</v>
      </c>
      <c r="E61" s="1662">
        <v>15941</v>
      </c>
      <c r="F61" s="1609"/>
      <c r="G61" s="1609"/>
      <c r="H61" s="1609"/>
      <c r="I61" s="1609">
        <v>6</v>
      </c>
      <c r="J61" s="1609">
        <v>205</v>
      </c>
      <c r="K61" s="1609"/>
      <c r="L61" s="1623"/>
      <c r="M61" s="1623"/>
      <c r="N61" s="1609"/>
      <c r="O61" s="1609"/>
      <c r="P61" s="1581">
        <f t="shared" si="9"/>
        <v>0</v>
      </c>
      <c r="Q61" s="1610"/>
      <c r="R61" s="1611">
        <f t="shared" si="10"/>
        <v>0</v>
      </c>
      <c r="S61" s="1611">
        <f t="shared" si="11"/>
        <v>0</v>
      </c>
      <c r="T61" s="1611">
        <f t="shared" si="12"/>
        <v>0</v>
      </c>
      <c r="U61" s="1580"/>
      <c r="V61" s="1580"/>
      <c r="W61" s="1580"/>
      <c r="X61" s="1580"/>
      <c r="Y61" s="1580"/>
      <c r="Z61" s="1580"/>
      <c r="AA61" s="1580"/>
      <c r="AB61" s="1580"/>
      <c r="AC61" s="1580"/>
      <c r="AD61" s="1580"/>
      <c r="AE61" s="1580"/>
      <c r="AF61" s="1580"/>
      <c r="AG61" s="1580"/>
      <c r="AH61" s="1580"/>
      <c r="AI61" s="1580"/>
      <c r="AJ61" s="1580"/>
      <c r="AK61" s="1580"/>
      <c r="AL61" s="1580"/>
      <c r="AM61" s="1580"/>
    </row>
    <row r="62" spans="1:39" ht="25.5">
      <c r="A62" s="1609">
        <v>209</v>
      </c>
      <c r="B62" s="1620" t="s">
        <v>1300</v>
      </c>
      <c r="C62" s="1621" t="s">
        <v>1301</v>
      </c>
      <c r="D62" s="1620" t="s">
        <v>1022</v>
      </c>
      <c r="E62" s="1662">
        <v>15941</v>
      </c>
      <c r="F62" s="1581"/>
      <c r="G62" s="1581"/>
      <c r="H62" s="1581"/>
      <c r="I62" s="1609">
        <v>6</v>
      </c>
      <c r="J62" s="1609">
        <v>205</v>
      </c>
      <c r="K62" s="1581"/>
      <c r="L62" s="1620">
        <v>2</v>
      </c>
      <c r="M62" s="1620"/>
      <c r="N62" s="1581"/>
      <c r="O62" s="1581"/>
      <c r="P62" s="1581">
        <f t="shared" si="9"/>
        <v>2</v>
      </c>
      <c r="Q62" s="1581">
        <f>190*1.07</f>
        <v>203.3</v>
      </c>
      <c r="R62" s="1611">
        <f t="shared" si="10"/>
        <v>406.6</v>
      </c>
      <c r="S62" s="1611">
        <f t="shared" si="11"/>
        <v>11.562085308056872</v>
      </c>
      <c r="T62" s="1611">
        <f t="shared" si="12"/>
        <v>395.03791469194317</v>
      </c>
      <c r="U62" s="1580"/>
      <c r="V62" s="1580"/>
      <c r="W62" s="1580"/>
      <c r="X62" s="1580"/>
      <c r="Y62" s="1580"/>
      <c r="Z62" s="1580"/>
      <c r="AA62" s="1580"/>
      <c r="AB62" s="1580"/>
      <c r="AC62" s="1580"/>
      <c r="AD62" s="1580"/>
      <c r="AE62" s="1580"/>
      <c r="AF62" s="1580"/>
      <c r="AG62" s="1580"/>
      <c r="AH62" s="1580"/>
      <c r="AI62" s="1580"/>
      <c r="AJ62" s="1580"/>
      <c r="AK62" s="1580"/>
      <c r="AL62" s="1580"/>
      <c r="AM62" s="1580"/>
    </row>
    <row r="63" spans="1:39" ht="38.25">
      <c r="A63" s="1609">
        <v>175</v>
      </c>
      <c r="B63" s="1618" t="s">
        <v>1303</v>
      </c>
      <c r="C63" s="1621" t="s">
        <v>1304</v>
      </c>
      <c r="D63" s="1622" t="s">
        <v>1263</v>
      </c>
      <c r="E63" s="1662">
        <v>15941</v>
      </c>
      <c r="F63" s="1581"/>
      <c r="G63" s="1581"/>
      <c r="H63" s="1581"/>
      <c r="I63" s="1609">
        <v>6</v>
      </c>
      <c r="J63" s="1609">
        <v>205</v>
      </c>
      <c r="K63" s="1581"/>
      <c r="L63" s="1622">
        <v>32020</v>
      </c>
      <c r="M63" s="1622">
        <v>32020</v>
      </c>
      <c r="N63" s="1581"/>
      <c r="O63" s="1581"/>
      <c r="P63" s="1581">
        <f t="shared" si="9"/>
        <v>32020</v>
      </c>
      <c r="Q63" s="1581">
        <f>40*1.07</f>
        <v>42.800000000000004</v>
      </c>
      <c r="R63" s="1611">
        <f t="shared" si="10"/>
        <v>1370456.0000000002</v>
      </c>
      <c r="S63" s="1611">
        <f t="shared" si="11"/>
        <v>38970.312796208535</v>
      </c>
      <c r="T63" s="1611">
        <f t="shared" si="12"/>
        <v>1331485.6872037917</v>
      </c>
      <c r="U63" s="357" t="s">
        <v>2205</v>
      </c>
      <c r="V63" s="1580">
        <f>2*1601</f>
        <v>3202</v>
      </c>
      <c r="W63" s="1580">
        <f>V63*10</f>
        <v>32020</v>
      </c>
      <c r="X63" s="1580"/>
      <c r="Y63" s="1580"/>
      <c r="Z63" s="1580"/>
      <c r="AA63" s="1580"/>
      <c r="AB63" s="1580"/>
      <c r="AC63" s="1580"/>
      <c r="AD63" s="1580"/>
      <c r="AE63" s="1580"/>
      <c r="AF63" s="1580"/>
      <c r="AG63" s="1580"/>
      <c r="AH63" s="1580"/>
      <c r="AI63" s="1580"/>
      <c r="AJ63" s="1580"/>
      <c r="AK63" s="1580"/>
      <c r="AL63" s="1580"/>
      <c r="AM63" s="1580"/>
    </row>
    <row r="64" spans="1:39">
      <c r="A64" s="1609">
        <v>210</v>
      </c>
      <c r="B64" s="1620" t="s">
        <v>1305</v>
      </c>
      <c r="C64" s="1621" t="s">
        <v>1306</v>
      </c>
      <c r="D64" s="1620" t="s">
        <v>1268</v>
      </c>
      <c r="E64" s="1662">
        <v>15941</v>
      </c>
      <c r="F64" s="1581"/>
      <c r="G64" s="1581"/>
      <c r="H64" s="1581"/>
      <c r="I64" s="1609">
        <v>6</v>
      </c>
      <c r="J64" s="1609">
        <v>205</v>
      </c>
      <c r="K64" s="1581"/>
      <c r="L64" s="1620">
        <v>5</v>
      </c>
      <c r="M64" s="1620"/>
      <c r="N64" s="1581"/>
      <c r="O64" s="1581"/>
      <c r="P64" s="1581">
        <f t="shared" si="9"/>
        <v>5</v>
      </c>
      <c r="Q64" s="1581">
        <f>550*1.07</f>
        <v>588.5</v>
      </c>
      <c r="R64" s="1611">
        <f t="shared" si="10"/>
        <v>2942.5</v>
      </c>
      <c r="S64" s="1611">
        <f t="shared" si="11"/>
        <v>83.672985781990519</v>
      </c>
      <c r="T64" s="1611">
        <f t="shared" si="12"/>
        <v>2858.8270142180095</v>
      </c>
      <c r="U64" s="1580"/>
      <c r="V64" s="1580"/>
      <c r="W64" s="1580"/>
      <c r="X64" s="1580"/>
      <c r="Y64" s="1580"/>
      <c r="Z64" s="1580"/>
      <c r="AA64" s="1580"/>
      <c r="AB64" s="1580"/>
      <c r="AC64" s="1580"/>
      <c r="AD64" s="1580"/>
      <c r="AE64" s="1580"/>
      <c r="AF64" s="1580"/>
      <c r="AG64" s="1580"/>
      <c r="AH64" s="1580"/>
      <c r="AI64" s="1580"/>
      <c r="AJ64" s="1580"/>
      <c r="AK64" s="1580"/>
      <c r="AL64" s="1580"/>
      <c r="AM64" s="1580"/>
    </row>
    <row r="65" spans="1:39">
      <c r="A65" s="1609">
        <v>211</v>
      </c>
      <c r="B65" s="1620" t="s">
        <v>1305</v>
      </c>
      <c r="C65" s="1621" t="s">
        <v>1307</v>
      </c>
      <c r="D65" s="1620" t="s">
        <v>1268</v>
      </c>
      <c r="E65" s="1662">
        <v>15941</v>
      </c>
      <c r="F65" s="1581"/>
      <c r="G65" s="1581"/>
      <c r="H65" s="1581"/>
      <c r="I65" s="1609">
        <v>6</v>
      </c>
      <c r="J65" s="1609">
        <v>205</v>
      </c>
      <c r="K65" s="1581"/>
      <c r="L65" s="1620">
        <v>5</v>
      </c>
      <c r="M65" s="1620"/>
      <c r="N65" s="1581"/>
      <c r="O65" s="1581"/>
      <c r="P65" s="1581">
        <f t="shared" si="9"/>
        <v>5</v>
      </c>
      <c r="Q65" s="1581">
        <f>650*1.07</f>
        <v>695.5</v>
      </c>
      <c r="R65" s="1611">
        <f t="shared" si="10"/>
        <v>3477.5</v>
      </c>
      <c r="S65" s="1611">
        <f t="shared" si="11"/>
        <v>98.886255924170612</v>
      </c>
      <c r="T65" s="1611">
        <f t="shared" si="12"/>
        <v>3378.6137440758293</v>
      </c>
      <c r="U65" s="1580"/>
      <c r="V65" s="1580"/>
      <c r="W65" s="1580"/>
      <c r="X65" s="1580"/>
      <c r="Y65" s="1580"/>
      <c r="Z65" s="1580"/>
      <c r="AA65" s="1580"/>
      <c r="AB65" s="1580"/>
      <c r="AC65" s="1580"/>
      <c r="AD65" s="1580"/>
      <c r="AE65" s="1580"/>
      <c r="AF65" s="1580"/>
      <c r="AG65" s="1580"/>
      <c r="AH65" s="1580"/>
      <c r="AI65" s="1580"/>
      <c r="AJ65" s="1580"/>
      <c r="AK65" s="1580"/>
      <c r="AL65" s="1580"/>
      <c r="AM65" s="1580"/>
    </row>
    <row r="66" spans="1:39">
      <c r="A66" s="1609">
        <v>212</v>
      </c>
      <c r="B66" s="1620" t="s">
        <v>1308</v>
      </c>
      <c r="C66" s="1621" t="s">
        <v>1309</v>
      </c>
      <c r="D66" s="1620" t="s">
        <v>1268</v>
      </c>
      <c r="E66" s="1662">
        <v>15941</v>
      </c>
      <c r="F66" s="1581"/>
      <c r="G66" s="1581"/>
      <c r="H66" s="1581"/>
      <c r="I66" s="1609">
        <v>6</v>
      </c>
      <c r="J66" s="1609">
        <v>205</v>
      </c>
      <c r="K66" s="1581"/>
      <c r="L66" s="1620">
        <v>5</v>
      </c>
      <c r="M66" s="1620"/>
      <c r="N66" s="1581"/>
      <c r="O66" s="1581"/>
      <c r="P66" s="1581">
        <f t="shared" si="9"/>
        <v>5</v>
      </c>
      <c r="Q66" s="1581">
        <f>850*1.07</f>
        <v>909.5</v>
      </c>
      <c r="R66" s="1611">
        <f t="shared" si="10"/>
        <v>4547.5</v>
      </c>
      <c r="S66" s="1611">
        <f t="shared" si="11"/>
        <v>129.31279620853081</v>
      </c>
      <c r="T66" s="1611">
        <f t="shared" si="12"/>
        <v>4418.1872037914691</v>
      </c>
      <c r="U66" s="1580"/>
      <c r="V66" s="1580"/>
      <c r="W66" s="1580"/>
      <c r="X66" s="1580"/>
      <c r="Y66" s="1580"/>
      <c r="Z66" s="1580"/>
      <c r="AA66" s="1580"/>
      <c r="AB66" s="1580"/>
      <c r="AC66" s="1580"/>
      <c r="AD66" s="1580"/>
      <c r="AE66" s="1580"/>
      <c r="AF66" s="1580"/>
      <c r="AG66" s="1580"/>
      <c r="AH66" s="1580"/>
      <c r="AI66" s="1580"/>
      <c r="AJ66" s="1580"/>
      <c r="AK66" s="1580"/>
      <c r="AL66" s="1580"/>
      <c r="AM66" s="1580"/>
    </row>
    <row r="67" spans="1:39">
      <c r="A67" s="1609">
        <v>144</v>
      </c>
      <c r="B67" s="1618" t="s">
        <v>1310</v>
      </c>
      <c r="C67" s="1621" t="s">
        <v>1311</v>
      </c>
      <c r="D67" s="1618" t="s">
        <v>1022</v>
      </c>
      <c r="E67" s="1662">
        <v>15941</v>
      </c>
      <c r="F67" s="1581"/>
      <c r="G67" s="1581"/>
      <c r="H67" s="1581"/>
      <c r="I67" s="1609">
        <v>6</v>
      </c>
      <c r="J67" s="1609">
        <v>205</v>
      </c>
      <c r="K67" s="1581"/>
      <c r="L67" s="1618">
        <v>6</v>
      </c>
      <c r="M67" s="1618"/>
      <c r="N67" s="1581"/>
      <c r="O67" s="1581"/>
      <c r="P67" s="1581">
        <f t="shared" si="9"/>
        <v>6</v>
      </c>
      <c r="Q67" s="1581">
        <f>2000*1.07</f>
        <v>2140</v>
      </c>
      <c r="R67" s="1611">
        <f t="shared" si="10"/>
        <v>12840</v>
      </c>
      <c r="S67" s="1611">
        <f t="shared" si="11"/>
        <v>365.11848341232223</v>
      </c>
      <c r="T67" s="1611">
        <f t="shared" si="12"/>
        <v>12474.881516587679</v>
      </c>
      <c r="U67" s="1580"/>
      <c r="V67" s="1580"/>
      <c r="W67" s="1580"/>
      <c r="X67" s="1580"/>
      <c r="Y67" s="1580"/>
      <c r="Z67" s="1580"/>
      <c r="AA67" s="1580"/>
      <c r="AB67" s="1580"/>
      <c r="AC67" s="1580"/>
      <c r="AD67" s="1580"/>
      <c r="AE67" s="1580"/>
      <c r="AF67" s="1580"/>
      <c r="AG67" s="1580"/>
      <c r="AH67" s="1580"/>
      <c r="AI67" s="1580"/>
      <c r="AJ67" s="1580"/>
      <c r="AK67" s="1580"/>
      <c r="AL67" s="1580"/>
      <c r="AM67" s="1580"/>
    </row>
    <row r="68" spans="1:39" hidden="1">
      <c r="A68" s="1609"/>
      <c r="B68" s="1618" t="s">
        <v>1312</v>
      </c>
      <c r="C68" s="1621" t="s">
        <v>1313</v>
      </c>
      <c r="D68" s="1618"/>
      <c r="E68" s="1662">
        <v>15941</v>
      </c>
      <c r="F68" s="1581"/>
      <c r="G68" s="1581"/>
      <c r="H68" s="1581"/>
      <c r="I68" s="1609"/>
      <c r="J68" s="1609"/>
      <c r="K68" s="1581"/>
      <c r="L68" s="1618"/>
      <c r="M68" s="1618"/>
      <c r="N68" s="1581"/>
      <c r="O68" s="1581"/>
      <c r="P68" s="1581"/>
      <c r="Q68" s="1581"/>
      <c r="R68" s="1611"/>
      <c r="S68" s="1611"/>
      <c r="T68" s="1611"/>
      <c r="U68" s="1580"/>
      <c r="V68" s="1580"/>
      <c r="W68" s="1580"/>
      <c r="X68" s="1580"/>
      <c r="Y68" s="1580"/>
      <c r="Z68" s="1580"/>
      <c r="AA68" s="1580"/>
      <c r="AB68" s="1580"/>
      <c r="AC68" s="1580"/>
      <c r="AD68" s="1580"/>
      <c r="AE68" s="1580"/>
      <c r="AF68" s="1580"/>
      <c r="AG68" s="1580"/>
      <c r="AH68" s="1580"/>
      <c r="AI68" s="1580"/>
      <c r="AJ68" s="1580"/>
      <c r="AK68" s="1580"/>
      <c r="AL68" s="1580"/>
      <c r="AM68" s="1580"/>
    </row>
    <row r="69" spans="1:39">
      <c r="A69" s="1609">
        <v>180</v>
      </c>
      <c r="B69" s="1618" t="s">
        <v>1314</v>
      </c>
      <c r="C69" s="1621" t="s">
        <v>1315</v>
      </c>
      <c r="D69" s="1618" t="s">
        <v>1022</v>
      </c>
      <c r="E69" s="1662">
        <v>15941</v>
      </c>
      <c r="F69" s="1581"/>
      <c r="G69" s="1581"/>
      <c r="H69" s="1581"/>
      <c r="I69" s="1609">
        <v>6</v>
      </c>
      <c r="J69" s="1609">
        <v>205</v>
      </c>
      <c r="K69" s="1581"/>
      <c r="L69" s="1622">
        <v>70</v>
      </c>
      <c r="M69" s="1622">
        <v>122</v>
      </c>
      <c r="N69" s="1581"/>
      <c r="O69" s="1581"/>
      <c r="P69" s="1581">
        <f t="shared" si="9"/>
        <v>70</v>
      </c>
      <c r="Q69" s="1581">
        <f>670*1.07</f>
        <v>716.90000000000009</v>
      </c>
      <c r="R69" s="1611">
        <f t="shared" si="10"/>
        <v>50183.000000000007</v>
      </c>
      <c r="S69" s="1611">
        <f t="shared" si="11"/>
        <v>1427.004739336493</v>
      </c>
      <c r="T69" s="1611">
        <f t="shared" si="12"/>
        <v>48755.995260663512</v>
      </c>
      <c r="U69" s="1580">
        <f>61*2</f>
        <v>122</v>
      </c>
      <c r="V69" s="1580" t="s">
        <v>2206</v>
      </c>
      <c r="W69" s="1580"/>
      <c r="X69" s="1580"/>
      <c r="Y69" s="1580"/>
      <c r="Z69" s="1580"/>
      <c r="AA69" s="1580"/>
      <c r="AB69" s="1580"/>
      <c r="AC69" s="1580"/>
      <c r="AD69" s="1580"/>
      <c r="AE69" s="1580"/>
      <c r="AF69" s="1580"/>
      <c r="AG69" s="1580"/>
      <c r="AH69" s="1580"/>
      <c r="AI69" s="1580"/>
      <c r="AJ69" s="1580"/>
      <c r="AK69" s="1580"/>
      <c r="AL69" s="1580"/>
      <c r="AM69" s="1580"/>
    </row>
    <row r="70" spans="1:39" hidden="1">
      <c r="A70" s="1609"/>
      <c r="B70" s="1618" t="s">
        <v>1314</v>
      </c>
      <c r="C70" s="1621" t="s">
        <v>1316</v>
      </c>
      <c r="D70" s="1618" t="s">
        <v>1022</v>
      </c>
      <c r="E70" s="1662">
        <v>15941</v>
      </c>
      <c r="F70" s="1581"/>
      <c r="G70" s="1581"/>
      <c r="H70" s="1581"/>
      <c r="I70" s="1609"/>
      <c r="J70" s="1609"/>
      <c r="K70" s="1581"/>
      <c r="L70" s="1622"/>
      <c r="M70" s="1622"/>
      <c r="N70" s="1581"/>
      <c r="O70" s="1581"/>
      <c r="P70" s="1581"/>
      <c r="Q70" s="1581"/>
      <c r="R70" s="1611"/>
      <c r="S70" s="1611"/>
      <c r="T70" s="1611"/>
      <c r="U70" s="1580"/>
      <c r="V70" s="1580"/>
      <c r="W70" s="1580"/>
      <c r="X70" s="1580"/>
      <c r="Y70" s="1580"/>
      <c r="Z70" s="1580"/>
      <c r="AA70" s="1580"/>
      <c r="AB70" s="1580"/>
      <c r="AC70" s="1580"/>
      <c r="AD70" s="1580"/>
      <c r="AE70" s="1580"/>
      <c r="AF70" s="1580"/>
      <c r="AG70" s="1580"/>
      <c r="AH70" s="1580"/>
      <c r="AI70" s="1580"/>
      <c r="AJ70" s="1580"/>
      <c r="AK70" s="1580"/>
      <c r="AL70" s="1580"/>
      <c r="AM70" s="1580"/>
    </row>
    <row r="71" spans="1:39" ht="19.5" hidden="1" customHeight="1">
      <c r="A71" s="1609"/>
      <c r="B71" s="1618" t="s">
        <v>1314</v>
      </c>
      <c r="C71" s="1621" t="s">
        <v>1317</v>
      </c>
      <c r="D71" s="1618" t="s">
        <v>1022</v>
      </c>
      <c r="E71" s="1662">
        <v>15941</v>
      </c>
      <c r="F71" s="1581"/>
      <c r="G71" s="1581"/>
      <c r="H71" s="1581"/>
      <c r="I71" s="1609"/>
      <c r="J71" s="1609"/>
      <c r="K71" s="1581"/>
      <c r="L71" s="1622"/>
      <c r="M71" s="1622"/>
      <c r="N71" s="1581"/>
      <c r="O71" s="1581"/>
      <c r="P71" s="1581"/>
      <c r="Q71" s="1581"/>
      <c r="R71" s="1611"/>
      <c r="S71" s="1611"/>
      <c r="T71" s="1611"/>
      <c r="U71" s="1580"/>
      <c r="V71" s="1580"/>
      <c r="W71" s="1580"/>
      <c r="X71" s="1580"/>
      <c r="Y71" s="1580"/>
      <c r="Z71" s="1580"/>
      <c r="AA71" s="1580"/>
      <c r="AB71" s="1580"/>
      <c r="AC71" s="1580"/>
      <c r="AD71" s="1580"/>
      <c r="AE71" s="1580"/>
      <c r="AF71" s="1580"/>
      <c r="AG71" s="1580"/>
      <c r="AH71" s="1580"/>
      <c r="AI71" s="1580"/>
      <c r="AJ71" s="1580"/>
      <c r="AK71" s="1580"/>
      <c r="AL71" s="1580"/>
      <c r="AM71" s="1580"/>
    </row>
    <row r="72" spans="1:39" ht="18.75" hidden="1" customHeight="1">
      <c r="A72" s="1581"/>
      <c r="B72" s="1056" t="s">
        <v>1318</v>
      </c>
      <c r="C72" s="1646" t="s">
        <v>1319</v>
      </c>
      <c r="D72" s="1609" t="s">
        <v>1022</v>
      </c>
      <c r="E72" s="1662">
        <v>15941</v>
      </c>
      <c r="F72" s="1609"/>
      <c r="G72" s="1609"/>
      <c r="H72" s="1609"/>
      <c r="I72" s="1609"/>
      <c r="J72" s="1609"/>
      <c r="K72" s="1609"/>
      <c r="L72" s="1581"/>
      <c r="M72" s="1581"/>
      <c r="N72" s="1609"/>
      <c r="O72" s="1609"/>
      <c r="P72" s="1581"/>
      <c r="Q72" s="1610"/>
      <c r="R72" s="1611"/>
      <c r="S72" s="1611"/>
      <c r="T72" s="1611"/>
      <c r="U72" s="1580"/>
      <c r="V72" s="1580"/>
      <c r="W72" s="1580"/>
      <c r="X72" s="1580"/>
      <c r="Y72" s="1580"/>
      <c r="Z72" s="1580"/>
      <c r="AA72" s="1580"/>
      <c r="AB72" s="1580"/>
      <c r="AC72" s="1580"/>
      <c r="AD72" s="1580"/>
      <c r="AE72" s="1580"/>
      <c r="AF72" s="1580"/>
      <c r="AG72" s="1580"/>
      <c r="AH72" s="1580"/>
      <c r="AI72" s="1580"/>
      <c r="AJ72" s="1580"/>
      <c r="AK72" s="1580"/>
      <c r="AL72" s="1580"/>
      <c r="AM72" s="1580"/>
    </row>
    <row r="73" spans="1:39" hidden="1">
      <c r="A73" s="1609">
        <v>181</v>
      </c>
      <c r="B73" s="1618" t="s">
        <v>1320</v>
      </c>
      <c r="C73" s="1621" t="s">
        <v>1321</v>
      </c>
      <c r="D73" s="1618" t="s">
        <v>1022</v>
      </c>
      <c r="E73" s="1662">
        <v>15941</v>
      </c>
      <c r="F73" s="1581"/>
      <c r="G73" s="1581"/>
      <c r="H73" s="1581"/>
      <c r="I73" s="1609"/>
      <c r="J73" s="1609"/>
      <c r="K73" s="1581"/>
      <c r="L73" s="1622"/>
      <c r="M73" s="1622"/>
      <c r="N73" s="1581"/>
      <c r="O73" s="1581"/>
      <c r="P73" s="1581"/>
      <c r="Q73" s="1581"/>
      <c r="R73" s="1611"/>
      <c r="S73" s="1611"/>
      <c r="T73" s="1611"/>
      <c r="U73" s="1580"/>
      <c r="V73" s="1580"/>
      <c r="W73" s="1580"/>
      <c r="X73" s="1580"/>
      <c r="Y73" s="1580"/>
      <c r="Z73" s="1580"/>
      <c r="AA73" s="1580"/>
      <c r="AB73" s="1580"/>
      <c r="AC73" s="1580"/>
      <c r="AD73" s="1580"/>
      <c r="AE73" s="1580"/>
      <c r="AF73" s="1580"/>
      <c r="AG73" s="1580"/>
      <c r="AH73" s="1580"/>
      <c r="AI73" s="1580"/>
      <c r="AJ73" s="1580"/>
      <c r="AK73" s="1580"/>
      <c r="AL73" s="1580"/>
      <c r="AM73" s="1580"/>
    </row>
    <row r="74" spans="1:39" hidden="1">
      <c r="A74" s="1609">
        <v>182</v>
      </c>
      <c r="B74" s="1618" t="s">
        <v>1322</v>
      </c>
      <c r="C74" s="1621" t="s">
        <v>1323</v>
      </c>
      <c r="D74" s="1618" t="s">
        <v>1022</v>
      </c>
      <c r="E74" s="1662">
        <v>15941</v>
      </c>
      <c r="F74" s="1581"/>
      <c r="G74" s="1581"/>
      <c r="H74" s="1581"/>
      <c r="I74" s="1609"/>
      <c r="J74" s="1609"/>
      <c r="K74" s="1581"/>
      <c r="L74" s="1622"/>
      <c r="M74" s="1622"/>
      <c r="N74" s="1581"/>
      <c r="O74" s="1581"/>
      <c r="P74" s="1581"/>
      <c r="Q74" s="1581"/>
      <c r="R74" s="1611"/>
      <c r="S74" s="1611"/>
      <c r="T74" s="1611"/>
      <c r="U74" s="1580"/>
      <c r="V74" s="1580"/>
      <c r="W74" s="1580"/>
      <c r="X74" s="1580"/>
      <c r="Y74" s="1580"/>
      <c r="Z74" s="1580"/>
      <c r="AA74" s="1580"/>
      <c r="AB74" s="1580"/>
      <c r="AC74" s="1580"/>
      <c r="AD74" s="1580"/>
      <c r="AE74" s="1580"/>
      <c r="AF74" s="1580"/>
      <c r="AG74" s="1580"/>
      <c r="AH74" s="1580"/>
      <c r="AI74" s="1580"/>
      <c r="AJ74" s="1580"/>
      <c r="AK74" s="1580"/>
      <c r="AL74" s="1580"/>
      <c r="AM74" s="1580"/>
    </row>
    <row r="75" spans="1:39" hidden="1">
      <c r="A75" s="1609">
        <v>141</v>
      </c>
      <c r="B75" s="1618" t="s">
        <v>1324</v>
      </c>
      <c r="C75" s="1621"/>
      <c r="D75" s="1618" t="s">
        <v>1325</v>
      </c>
      <c r="E75" s="1662">
        <v>15941</v>
      </c>
      <c r="F75" s="1581"/>
      <c r="G75" s="1581"/>
      <c r="H75" s="1581"/>
      <c r="I75" s="1609">
        <v>6</v>
      </c>
      <c r="J75" s="1609">
        <v>205</v>
      </c>
      <c r="K75" s="1581"/>
      <c r="L75" s="1618"/>
      <c r="M75" s="1618"/>
      <c r="N75" s="1581"/>
      <c r="O75" s="1581"/>
      <c r="P75" s="1581">
        <f t="shared" ref="P75:P93" si="13">L75-O75</f>
        <v>0</v>
      </c>
      <c r="Q75" s="1581"/>
      <c r="R75" s="1611">
        <f t="shared" ref="R75:R93" si="14">P75*Q75</f>
        <v>0</v>
      </c>
      <c r="S75" s="1611">
        <f t="shared" ref="S75:S93" si="15">R75*(I75/(I75+J75+K75))</f>
        <v>0</v>
      </c>
      <c r="T75" s="1611">
        <f t="shared" ref="T75:T93" si="16">R75-S75</f>
        <v>0</v>
      </c>
      <c r="U75" s="1580"/>
      <c r="V75" s="1580"/>
      <c r="W75" s="1580"/>
      <c r="X75" s="1580"/>
      <c r="Y75" s="1580"/>
      <c r="Z75" s="1580"/>
      <c r="AA75" s="1580"/>
      <c r="AB75" s="1580"/>
      <c r="AC75" s="1580"/>
      <c r="AD75" s="1580"/>
      <c r="AE75" s="1580"/>
      <c r="AF75" s="1580"/>
      <c r="AG75" s="1580"/>
      <c r="AH75" s="1580"/>
      <c r="AI75" s="1580"/>
      <c r="AJ75" s="1580"/>
      <c r="AK75" s="1580"/>
      <c r="AL75" s="1580"/>
      <c r="AM75" s="1580"/>
    </row>
    <row r="76" spans="1:39">
      <c r="A76" s="1609">
        <v>234</v>
      </c>
      <c r="B76" s="1622" t="s">
        <v>2207</v>
      </c>
      <c r="C76" s="1621" t="s">
        <v>1327</v>
      </c>
      <c r="D76" s="1622" t="s">
        <v>1022</v>
      </c>
      <c r="E76" s="1662">
        <v>15941</v>
      </c>
      <c r="F76" s="1581"/>
      <c r="G76" s="1581"/>
      <c r="H76" s="1581"/>
      <c r="I76" s="1609">
        <v>6</v>
      </c>
      <c r="J76" s="1609">
        <v>205</v>
      </c>
      <c r="K76" s="1581"/>
      <c r="L76" s="1610">
        <v>5</v>
      </c>
      <c r="M76" s="1610"/>
      <c r="N76" s="1581"/>
      <c r="O76" s="1581"/>
      <c r="P76" s="1581">
        <f t="shared" si="13"/>
        <v>5</v>
      </c>
      <c r="Q76" s="1581">
        <f>2000*1.07</f>
        <v>2140</v>
      </c>
      <c r="R76" s="1611">
        <f t="shared" si="14"/>
        <v>10700</v>
      </c>
      <c r="S76" s="1611">
        <f t="shared" si="15"/>
        <v>304.26540284360186</v>
      </c>
      <c r="T76" s="1611">
        <f t="shared" si="16"/>
        <v>10395.734597156397</v>
      </c>
      <c r="U76" s="1580"/>
      <c r="V76" s="1580"/>
      <c r="W76" s="1580" t="s">
        <v>2208</v>
      </c>
      <c r="X76" s="1580" t="s">
        <v>2209</v>
      </c>
      <c r="Y76" s="1580" t="s">
        <v>2210</v>
      </c>
      <c r="Z76" s="1580"/>
      <c r="AA76" s="1580"/>
      <c r="AB76" s="1580"/>
      <c r="AC76" s="1580"/>
      <c r="AD76" s="1580"/>
      <c r="AE76" s="1580"/>
      <c r="AF76" s="1580"/>
      <c r="AG76" s="1580"/>
      <c r="AH76" s="1580"/>
      <c r="AI76" s="1580"/>
      <c r="AJ76" s="1580"/>
      <c r="AK76" s="1580"/>
      <c r="AL76" s="1580"/>
      <c r="AM76" s="1580"/>
    </row>
    <row r="77" spans="1:39" ht="25.5">
      <c r="A77" s="1609">
        <v>176</v>
      </c>
      <c r="B77" s="1618" t="s">
        <v>1328</v>
      </c>
      <c r="C77" s="1621" t="s">
        <v>1329</v>
      </c>
      <c r="D77" s="1622" t="s">
        <v>1263</v>
      </c>
      <c r="E77" s="1662">
        <v>15941</v>
      </c>
      <c r="F77" s="1581"/>
      <c r="G77" s="1581"/>
      <c r="H77" s="1581"/>
      <c r="I77" s="1609">
        <v>6</v>
      </c>
      <c r="J77" s="1609">
        <v>205</v>
      </c>
      <c r="K77" s="1581"/>
      <c r="L77" s="1618">
        <v>46</v>
      </c>
      <c r="M77" s="1618">
        <v>46</v>
      </c>
      <c r="N77" s="1581"/>
      <c r="O77" s="1581"/>
      <c r="P77" s="1581">
        <f t="shared" si="13"/>
        <v>46</v>
      </c>
      <c r="Q77" s="1581">
        <f>10000*1.07</f>
        <v>10700</v>
      </c>
      <c r="R77" s="1611">
        <f t="shared" si="14"/>
        <v>492200</v>
      </c>
      <c r="S77" s="1611">
        <f t="shared" si="15"/>
        <v>13996.208530805687</v>
      </c>
      <c r="T77" s="1611">
        <f t="shared" si="16"/>
        <v>478203.79146919429</v>
      </c>
      <c r="U77" s="1580" t="s">
        <v>2211</v>
      </c>
      <c r="V77" s="1580">
        <f>15941/500*6</f>
        <v>191.292</v>
      </c>
      <c r="W77" s="1580">
        <f>V77*12</f>
        <v>2295.5039999999999</v>
      </c>
      <c r="X77" s="1667">
        <f>W77/100</f>
        <v>22.95504</v>
      </c>
      <c r="Y77" s="1580">
        <f>23*2</f>
        <v>46</v>
      </c>
      <c r="Z77" s="1580"/>
      <c r="AA77" s="1580"/>
      <c r="AB77" s="1580"/>
      <c r="AC77" s="1580"/>
      <c r="AD77" s="1580"/>
      <c r="AE77" s="1580"/>
      <c r="AF77" s="1580"/>
      <c r="AG77" s="1580"/>
      <c r="AH77" s="1580"/>
      <c r="AI77" s="1580"/>
      <c r="AJ77" s="1580"/>
      <c r="AK77" s="1580"/>
      <c r="AL77" s="1580"/>
      <c r="AM77" s="1580"/>
    </row>
    <row r="78" spans="1:39" hidden="1">
      <c r="A78" s="1609">
        <v>281</v>
      </c>
      <c r="B78" s="1618" t="s">
        <v>1330</v>
      </c>
      <c r="C78" s="1621" t="s">
        <v>1331</v>
      </c>
      <c r="D78" s="1618" t="s">
        <v>1022</v>
      </c>
      <c r="E78" s="1662">
        <v>15941</v>
      </c>
      <c r="F78" s="1581"/>
      <c r="G78" s="1581"/>
      <c r="H78" s="1581"/>
      <c r="I78" s="1609">
        <v>6</v>
      </c>
      <c r="J78" s="1609">
        <v>205</v>
      </c>
      <c r="K78" s="1581"/>
      <c r="L78" s="1622"/>
      <c r="M78" s="1622"/>
      <c r="N78" s="1581"/>
      <c r="O78" s="1581"/>
      <c r="P78" s="1581">
        <f t="shared" si="13"/>
        <v>0</v>
      </c>
      <c r="Q78" s="1581"/>
      <c r="R78" s="1611">
        <f t="shared" si="14"/>
        <v>0</v>
      </c>
      <c r="S78" s="1611">
        <f t="shared" si="15"/>
        <v>0</v>
      </c>
      <c r="T78" s="1611">
        <f t="shared" si="16"/>
        <v>0</v>
      </c>
      <c r="U78" s="1580"/>
      <c r="V78" s="1580"/>
      <c r="W78" s="1580"/>
      <c r="X78" s="1580"/>
      <c r="Y78" s="1580"/>
      <c r="Z78" s="1580"/>
      <c r="AA78" s="1580"/>
      <c r="AB78" s="1580"/>
      <c r="AC78" s="1580"/>
      <c r="AD78" s="1580"/>
      <c r="AE78" s="1580"/>
      <c r="AF78" s="1580"/>
      <c r="AG78" s="1580"/>
      <c r="AH78" s="1580"/>
      <c r="AI78" s="1580"/>
      <c r="AJ78" s="1580"/>
      <c r="AK78" s="1580"/>
      <c r="AL78" s="1580"/>
      <c r="AM78" s="1580"/>
    </row>
    <row r="79" spans="1:39">
      <c r="A79" s="1609">
        <v>86</v>
      </c>
      <c r="B79" s="1618" t="s">
        <v>1330</v>
      </c>
      <c r="C79" s="1621" t="s">
        <v>1331</v>
      </c>
      <c r="D79" s="1619" t="s">
        <v>1268</v>
      </c>
      <c r="E79" s="1662">
        <v>15941</v>
      </c>
      <c r="F79" s="1609"/>
      <c r="G79" s="1609"/>
      <c r="H79" s="1609"/>
      <c r="I79" s="1609">
        <v>6</v>
      </c>
      <c r="J79" s="1609">
        <v>205</v>
      </c>
      <c r="K79" s="1609"/>
      <c r="L79" s="1619">
        <v>100</v>
      </c>
      <c r="M79" s="1619"/>
      <c r="N79" s="1609"/>
      <c r="O79" s="1609"/>
      <c r="P79" s="1581">
        <f t="shared" si="13"/>
        <v>100</v>
      </c>
      <c r="Q79" s="1610">
        <f>400*1.07</f>
        <v>428</v>
      </c>
      <c r="R79" s="1611">
        <f t="shared" si="14"/>
        <v>42800</v>
      </c>
      <c r="S79" s="1611">
        <f t="shared" si="15"/>
        <v>1217.0616113744074</v>
      </c>
      <c r="T79" s="1611">
        <f t="shared" si="16"/>
        <v>41582.938388625589</v>
      </c>
      <c r="U79" s="1580"/>
      <c r="V79" s="1580"/>
      <c r="W79" s="1580"/>
      <c r="X79" s="1580"/>
      <c r="Y79" s="1580"/>
      <c r="Z79" s="1580"/>
      <c r="AA79" s="1580"/>
      <c r="AB79" s="1580"/>
      <c r="AC79" s="1580"/>
      <c r="AD79" s="1580"/>
      <c r="AE79" s="1580"/>
      <c r="AF79" s="1580"/>
      <c r="AG79" s="1580"/>
      <c r="AH79" s="1580"/>
      <c r="AI79" s="1580"/>
      <c r="AJ79" s="1580"/>
      <c r="AK79" s="1580"/>
      <c r="AL79" s="1580"/>
      <c r="AM79" s="1580"/>
    </row>
    <row r="80" spans="1:39" ht="38.25">
      <c r="A80" s="1609">
        <v>142</v>
      </c>
      <c r="B80" s="1618" t="s">
        <v>1333</v>
      </c>
      <c r="C80" s="1621" t="s">
        <v>1334</v>
      </c>
      <c r="D80" s="1618" t="s">
        <v>1335</v>
      </c>
      <c r="E80" s="1662">
        <v>15941</v>
      </c>
      <c r="F80" s="1581"/>
      <c r="G80" s="1581"/>
      <c r="H80" s="1581"/>
      <c r="I80" s="1609">
        <v>6</v>
      </c>
      <c r="J80" s="1609">
        <v>205</v>
      </c>
      <c r="K80" s="1581"/>
      <c r="L80" s="1618">
        <v>12</v>
      </c>
      <c r="M80" s="1618"/>
      <c r="N80" s="1581"/>
      <c r="O80" s="1581"/>
      <c r="P80" s="1581">
        <f t="shared" si="13"/>
        <v>12</v>
      </c>
      <c r="Q80" s="1581">
        <f>12000*1.07</f>
        <v>12840</v>
      </c>
      <c r="R80" s="1611">
        <f t="shared" si="14"/>
        <v>154080</v>
      </c>
      <c r="S80" s="1611">
        <f t="shared" si="15"/>
        <v>4381.4218009478673</v>
      </c>
      <c r="T80" s="1611">
        <f t="shared" si="16"/>
        <v>149698.57819905214</v>
      </c>
      <c r="U80" s="1580"/>
      <c r="V80" s="1580"/>
      <c r="W80" s="1580"/>
      <c r="X80" s="1580"/>
      <c r="Y80" s="1580"/>
      <c r="Z80" s="1580"/>
      <c r="AA80" s="1580"/>
      <c r="AB80" s="1580"/>
      <c r="AC80" s="1580"/>
      <c r="AD80" s="1580"/>
      <c r="AE80" s="1580"/>
      <c r="AF80" s="1580"/>
      <c r="AG80" s="1580"/>
      <c r="AH80" s="1580"/>
      <c r="AI80" s="1580"/>
      <c r="AJ80" s="1580"/>
      <c r="AK80" s="1580"/>
      <c r="AL80" s="1580"/>
      <c r="AM80" s="1580"/>
    </row>
    <row r="81" spans="1:39" ht="38.25" hidden="1">
      <c r="A81" s="1609"/>
      <c r="B81" s="1618" t="s">
        <v>1333</v>
      </c>
      <c r="C81" s="1621" t="s">
        <v>1336</v>
      </c>
      <c r="D81" s="1618" t="s">
        <v>1335</v>
      </c>
      <c r="E81" s="1662">
        <v>15941</v>
      </c>
      <c r="F81" s="1581"/>
      <c r="G81" s="1581"/>
      <c r="H81" s="1581"/>
      <c r="I81" s="1609"/>
      <c r="J81" s="1609"/>
      <c r="K81" s="1581"/>
      <c r="L81" s="1618"/>
      <c r="M81" s="1618"/>
      <c r="N81" s="1581"/>
      <c r="O81" s="1581"/>
      <c r="P81" s="1581"/>
      <c r="Q81" s="1581"/>
      <c r="R81" s="1611"/>
      <c r="S81" s="1611"/>
      <c r="T81" s="1611"/>
      <c r="U81" s="1580"/>
      <c r="V81" s="1580"/>
      <c r="W81" s="1580"/>
      <c r="X81" s="1580"/>
      <c r="Y81" s="1580"/>
      <c r="Z81" s="1580"/>
      <c r="AA81" s="1580"/>
      <c r="AB81" s="1580"/>
      <c r="AC81" s="1580"/>
      <c r="AD81" s="1580"/>
      <c r="AE81" s="1580"/>
      <c r="AF81" s="1580"/>
      <c r="AG81" s="1580"/>
      <c r="AH81" s="1580"/>
      <c r="AI81" s="1580"/>
      <c r="AJ81" s="1580"/>
      <c r="AK81" s="1580"/>
      <c r="AL81" s="1580"/>
      <c r="AM81" s="1580"/>
    </row>
    <row r="82" spans="1:39" ht="25.5" hidden="1">
      <c r="A82" s="1609"/>
      <c r="B82" s="1618" t="s">
        <v>1333</v>
      </c>
      <c r="C82" s="1621" t="s">
        <v>1337</v>
      </c>
      <c r="D82" s="1618" t="s">
        <v>1338</v>
      </c>
      <c r="E82" s="1662">
        <v>15941</v>
      </c>
      <c r="F82" s="1581"/>
      <c r="G82" s="1581"/>
      <c r="H82" s="1581"/>
      <c r="I82" s="1609"/>
      <c r="J82" s="1609"/>
      <c r="K82" s="1581"/>
      <c r="L82" s="1618"/>
      <c r="M82" s="1618"/>
      <c r="N82" s="1581"/>
      <c r="O82" s="1581"/>
      <c r="P82" s="1581"/>
      <c r="Q82" s="1581"/>
      <c r="R82" s="1611"/>
      <c r="S82" s="1611"/>
      <c r="T82" s="1611"/>
      <c r="U82" s="1580"/>
      <c r="V82" s="1580"/>
      <c r="W82" s="1580"/>
      <c r="X82" s="1580"/>
      <c r="Y82" s="1580"/>
      <c r="Z82" s="1580"/>
      <c r="AA82" s="1580"/>
      <c r="AB82" s="1580"/>
      <c r="AC82" s="1580"/>
      <c r="AD82" s="1580"/>
      <c r="AE82" s="1580"/>
      <c r="AF82" s="1580"/>
      <c r="AG82" s="1580"/>
      <c r="AH82" s="1580"/>
      <c r="AI82" s="1580"/>
      <c r="AJ82" s="1580"/>
      <c r="AK82" s="1580"/>
      <c r="AL82" s="1580"/>
      <c r="AM82" s="1580"/>
    </row>
    <row r="83" spans="1:39" hidden="1">
      <c r="A83" s="1609"/>
      <c r="B83" s="1618"/>
      <c r="C83" s="1621"/>
      <c r="D83" s="1618"/>
      <c r="E83" s="1662">
        <v>15941</v>
      </c>
      <c r="F83" s="1581"/>
      <c r="G83" s="1581"/>
      <c r="H83" s="1581"/>
      <c r="I83" s="1609"/>
      <c r="J83" s="1609"/>
      <c r="K83" s="1581"/>
      <c r="L83" s="1618"/>
      <c r="M83" s="1618"/>
      <c r="N83" s="1581"/>
      <c r="O83" s="1581"/>
      <c r="P83" s="1581"/>
      <c r="Q83" s="1581"/>
      <c r="R83" s="1611"/>
      <c r="S83" s="1611"/>
      <c r="T83" s="1611"/>
      <c r="U83" s="1580"/>
      <c r="V83" s="1580"/>
      <c r="W83" s="1580"/>
      <c r="X83" s="1580"/>
      <c r="Y83" s="1580"/>
      <c r="Z83" s="1580"/>
      <c r="AA83" s="1580"/>
      <c r="AB83" s="1580"/>
      <c r="AC83" s="1580"/>
      <c r="AD83" s="1580"/>
      <c r="AE83" s="1580"/>
      <c r="AF83" s="1580"/>
      <c r="AG83" s="1580"/>
      <c r="AH83" s="1580"/>
      <c r="AI83" s="1580"/>
      <c r="AJ83" s="1580"/>
      <c r="AK83" s="1580"/>
      <c r="AL83" s="1580"/>
      <c r="AM83" s="1580"/>
    </row>
    <row r="84" spans="1:39" hidden="1">
      <c r="A84" s="1609">
        <v>287</v>
      </c>
      <c r="B84" s="1618" t="s">
        <v>1339</v>
      </c>
      <c r="C84" s="1621" t="s">
        <v>1340</v>
      </c>
      <c r="D84" s="1618" t="s">
        <v>1022</v>
      </c>
      <c r="E84" s="1662">
        <v>15941</v>
      </c>
      <c r="F84" s="1581"/>
      <c r="G84" s="1581"/>
      <c r="H84" s="1581"/>
      <c r="I84" s="1609">
        <v>6</v>
      </c>
      <c r="J84" s="1609">
        <v>205</v>
      </c>
      <c r="K84" s="1581"/>
      <c r="L84" s="1622"/>
      <c r="M84" s="1622"/>
      <c r="N84" s="1581"/>
      <c r="O84" s="1581"/>
      <c r="P84" s="1581">
        <f t="shared" si="13"/>
        <v>0</v>
      </c>
      <c r="Q84" s="1581"/>
      <c r="R84" s="1611">
        <f t="shared" si="14"/>
        <v>0</v>
      </c>
      <c r="S84" s="1611">
        <f t="shared" si="15"/>
        <v>0</v>
      </c>
      <c r="T84" s="1611">
        <f t="shared" si="16"/>
        <v>0</v>
      </c>
      <c r="U84" s="1580">
        <v>1000</v>
      </c>
      <c r="V84" s="1580"/>
      <c r="W84" s="1580"/>
      <c r="X84" s="1580"/>
      <c r="Y84" s="1580"/>
      <c r="Z84" s="1580"/>
      <c r="AA84" s="1580"/>
      <c r="AB84" s="1580"/>
      <c r="AC84" s="1580"/>
      <c r="AD84" s="1580"/>
      <c r="AE84" s="1580"/>
      <c r="AF84" s="1580"/>
      <c r="AG84" s="1580"/>
      <c r="AH84" s="1580"/>
      <c r="AI84" s="1580"/>
      <c r="AJ84" s="1580"/>
      <c r="AK84" s="1580"/>
      <c r="AL84" s="1580"/>
      <c r="AM84" s="1580"/>
    </row>
    <row r="85" spans="1:39" hidden="1">
      <c r="A85" s="1609">
        <v>279</v>
      </c>
      <c r="B85" s="1618" t="s">
        <v>1341</v>
      </c>
      <c r="C85" s="1621" t="s">
        <v>1342</v>
      </c>
      <c r="D85" s="1618" t="s">
        <v>1022</v>
      </c>
      <c r="E85" s="1662">
        <v>15941</v>
      </c>
      <c r="F85" s="1581"/>
      <c r="G85" s="1581"/>
      <c r="H85" s="1581"/>
      <c r="I85" s="1609">
        <v>6</v>
      </c>
      <c r="J85" s="1609">
        <v>205</v>
      </c>
      <c r="K85" s="1581"/>
      <c r="L85" s="1622"/>
      <c r="M85" s="1622"/>
      <c r="N85" s="1581"/>
      <c r="O85" s="1581"/>
      <c r="P85" s="1581">
        <f t="shared" si="13"/>
        <v>0</v>
      </c>
      <c r="Q85" s="1581"/>
      <c r="R85" s="1611">
        <f t="shared" si="14"/>
        <v>0</v>
      </c>
      <c r="S85" s="1611">
        <f t="shared" si="15"/>
        <v>0</v>
      </c>
      <c r="T85" s="1611">
        <f t="shared" si="16"/>
        <v>0</v>
      </c>
      <c r="U85" s="1580"/>
      <c r="V85" s="1580"/>
      <c r="W85" s="1580"/>
      <c r="X85" s="1580"/>
      <c r="Y85" s="1580"/>
      <c r="Z85" s="1580"/>
      <c r="AA85" s="1580"/>
      <c r="AB85" s="1580"/>
      <c r="AC85" s="1580"/>
      <c r="AD85" s="1580"/>
      <c r="AE85" s="1580"/>
      <c r="AF85" s="1580"/>
      <c r="AG85" s="1580"/>
      <c r="AH85" s="1580"/>
      <c r="AI85" s="1580"/>
      <c r="AJ85" s="1580"/>
      <c r="AK85" s="1580"/>
      <c r="AL85" s="1580"/>
      <c r="AM85" s="1580"/>
    </row>
    <row r="86" spans="1:39" ht="38.25">
      <c r="A86" s="1609">
        <v>55</v>
      </c>
      <c r="B86" s="1619" t="s">
        <v>1343</v>
      </c>
      <c r="C86" s="1614" t="s">
        <v>1344</v>
      </c>
      <c r="D86" s="1619" t="s">
        <v>1268</v>
      </c>
      <c r="E86" s="1662">
        <v>15941</v>
      </c>
      <c r="F86" s="1609"/>
      <c r="G86" s="1609"/>
      <c r="H86" s="1609"/>
      <c r="I86" s="1609">
        <v>6</v>
      </c>
      <c r="J86" s="1609">
        <v>205</v>
      </c>
      <c r="K86" s="1609"/>
      <c r="L86" s="1619">
        <v>30</v>
      </c>
      <c r="M86" s="1619"/>
      <c r="N86" s="1609"/>
      <c r="O86" s="1609"/>
      <c r="P86" s="1581">
        <f t="shared" si="13"/>
        <v>30</v>
      </c>
      <c r="Q86" s="1610">
        <f>400*1.07</f>
        <v>428</v>
      </c>
      <c r="R86" s="1611">
        <f t="shared" si="14"/>
        <v>12840</v>
      </c>
      <c r="S86" s="1611">
        <f t="shared" si="15"/>
        <v>365.11848341232223</v>
      </c>
      <c r="T86" s="1611">
        <f t="shared" si="16"/>
        <v>12474.881516587679</v>
      </c>
      <c r="U86" s="1580"/>
      <c r="V86" s="1580"/>
      <c r="W86" s="1580"/>
      <c r="X86" s="1580"/>
      <c r="Y86" s="1580"/>
      <c r="Z86" s="1580"/>
      <c r="AA86" s="1580"/>
      <c r="AB86" s="1580"/>
      <c r="AC86" s="1580"/>
      <c r="AD86" s="1580"/>
      <c r="AE86" s="1580"/>
      <c r="AF86" s="1580"/>
      <c r="AG86" s="1580"/>
      <c r="AH86" s="1580"/>
      <c r="AI86" s="1580"/>
      <c r="AJ86" s="1580"/>
      <c r="AK86" s="1580"/>
      <c r="AL86" s="1580"/>
      <c r="AM86" s="1580"/>
    </row>
    <row r="87" spans="1:39" ht="38.25">
      <c r="A87" s="1609">
        <v>56</v>
      </c>
      <c r="B87" s="1619" t="s">
        <v>1341</v>
      </c>
      <c r="C87" s="1614" t="s">
        <v>1345</v>
      </c>
      <c r="D87" s="1619" t="s">
        <v>1268</v>
      </c>
      <c r="E87" s="1662">
        <v>15941</v>
      </c>
      <c r="F87" s="1609"/>
      <c r="G87" s="1609"/>
      <c r="H87" s="1609"/>
      <c r="I87" s="1609">
        <v>6</v>
      </c>
      <c r="J87" s="1609">
        <v>205</v>
      </c>
      <c r="K87" s="1609"/>
      <c r="L87" s="1619">
        <v>30</v>
      </c>
      <c r="M87" s="1619"/>
      <c r="N87" s="1609"/>
      <c r="O87" s="1609"/>
      <c r="P87" s="1581">
        <f t="shared" si="13"/>
        <v>30</v>
      </c>
      <c r="Q87" s="1610">
        <f>480*1.07</f>
        <v>513.6</v>
      </c>
      <c r="R87" s="1611">
        <f t="shared" si="14"/>
        <v>15408</v>
      </c>
      <c r="S87" s="1611">
        <f t="shared" si="15"/>
        <v>438.14218009478674</v>
      </c>
      <c r="T87" s="1611">
        <f t="shared" si="16"/>
        <v>14969.857819905214</v>
      </c>
      <c r="U87" s="1580"/>
      <c r="V87" s="1580"/>
      <c r="W87" s="1580"/>
      <c r="X87" s="1580"/>
      <c r="Y87" s="1580"/>
      <c r="Z87" s="1580"/>
      <c r="AA87" s="1580"/>
      <c r="AB87" s="1580"/>
      <c r="AC87" s="1580"/>
      <c r="AD87" s="1580"/>
      <c r="AE87" s="1580"/>
      <c r="AF87" s="1580"/>
      <c r="AG87" s="1580"/>
      <c r="AH87" s="1580"/>
      <c r="AI87" s="1580"/>
      <c r="AJ87" s="1580"/>
      <c r="AK87" s="1580"/>
      <c r="AL87" s="1580"/>
      <c r="AM87" s="1580"/>
    </row>
    <row r="88" spans="1:39" ht="38.25">
      <c r="A88" s="1609">
        <v>53</v>
      </c>
      <c r="B88" s="1619" t="s">
        <v>1346</v>
      </c>
      <c r="C88" s="1614" t="s">
        <v>1347</v>
      </c>
      <c r="D88" s="1619" t="s">
        <v>1268</v>
      </c>
      <c r="E88" s="1662">
        <v>15941</v>
      </c>
      <c r="F88" s="1609"/>
      <c r="G88" s="1609"/>
      <c r="H88" s="1609"/>
      <c r="I88" s="1609">
        <v>6</v>
      </c>
      <c r="J88" s="1609">
        <v>205</v>
      </c>
      <c r="K88" s="1609"/>
      <c r="L88" s="1619">
        <v>30</v>
      </c>
      <c r="M88" s="1619"/>
      <c r="N88" s="1609"/>
      <c r="O88" s="1609"/>
      <c r="P88" s="1581">
        <f t="shared" si="13"/>
        <v>30</v>
      </c>
      <c r="Q88" s="1610">
        <f>380*1.07</f>
        <v>406.6</v>
      </c>
      <c r="R88" s="1611">
        <f t="shared" si="14"/>
        <v>12198</v>
      </c>
      <c r="S88" s="1611">
        <f t="shared" si="15"/>
        <v>346.86255924170615</v>
      </c>
      <c r="T88" s="1611">
        <f t="shared" si="16"/>
        <v>11851.137440758293</v>
      </c>
      <c r="U88" s="1580"/>
      <c r="V88" s="1580"/>
      <c r="W88" s="1580"/>
      <c r="X88" s="1580"/>
      <c r="Y88" s="1580"/>
      <c r="Z88" s="1580"/>
      <c r="AA88" s="1580"/>
      <c r="AB88" s="1580"/>
      <c r="AC88" s="1580"/>
      <c r="AD88" s="1580"/>
      <c r="AE88" s="1580"/>
      <c r="AF88" s="1580"/>
      <c r="AG88" s="1580"/>
      <c r="AH88" s="1580"/>
      <c r="AI88" s="1580"/>
      <c r="AJ88" s="1580"/>
      <c r="AK88" s="1580"/>
      <c r="AL88" s="1580"/>
      <c r="AM88" s="1580"/>
    </row>
    <row r="89" spans="1:39" ht="38.25">
      <c r="A89" s="1609">
        <v>54</v>
      </c>
      <c r="B89" s="1619" t="s">
        <v>1343</v>
      </c>
      <c r="C89" s="1614" t="s">
        <v>1348</v>
      </c>
      <c r="D89" s="1619" t="s">
        <v>1268</v>
      </c>
      <c r="E89" s="1662">
        <v>15941</v>
      </c>
      <c r="F89" s="1609"/>
      <c r="G89" s="1609"/>
      <c r="H89" s="1609"/>
      <c r="I89" s="1609">
        <v>6</v>
      </c>
      <c r="J89" s="1609">
        <v>205</v>
      </c>
      <c r="K89" s="1609"/>
      <c r="L89" s="1619">
        <v>30</v>
      </c>
      <c r="M89" s="1619"/>
      <c r="N89" s="1609"/>
      <c r="O89" s="1609"/>
      <c r="P89" s="1581">
        <f t="shared" si="13"/>
        <v>30</v>
      </c>
      <c r="Q89" s="1610">
        <f>450*1.07</f>
        <v>481.5</v>
      </c>
      <c r="R89" s="1611">
        <f t="shared" si="14"/>
        <v>14445</v>
      </c>
      <c r="S89" s="1611">
        <f t="shared" si="15"/>
        <v>410.75829383886253</v>
      </c>
      <c r="T89" s="1611">
        <f t="shared" si="16"/>
        <v>14034.241706161138</v>
      </c>
      <c r="U89" s="1580"/>
      <c r="V89" s="1580"/>
      <c r="W89" s="1580"/>
      <c r="X89" s="1580"/>
      <c r="Y89" s="1580"/>
      <c r="Z89" s="1580"/>
      <c r="AA89" s="1580"/>
      <c r="AB89" s="1580"/>
      <c r="AC89" s="1580"/>
      <c r="AD89" s="1580"/>
      <c r="AE89" s="1580"/>
      <c r="AF89" s="1580"/>
      <c r="AG89" s="1580"/>
      <c r="AH89" s="1580"/>
      <c r="AI89" s="1580"/>
      <c r="AJ89" s="1580"/>
      <c r="AK89" s="1580"/>
      <c r="AL89" s="1580"/>
      <c r="AM89" s="1580"/>
    </row>
    <row r="90" spans="1:39">
      <c r="A90" s="1609">
        <v>186</v>
      </c>
      <c r="B90" s="1620" t="s">
        <v>1349</v>
      </c>
      <c r="C90" s="1621" t="s">
        <v>1350</v>
      </c>
      <c r="D90" s="1620" t="s">
        <v>1351</v>
      </c>
      <c r="E90" s="1662">
        <v>15941</v>
      </c>
      <c r="F90" s="1581"/>
      <c r="G90" s="1581"/>
      <c r="H90" s="1581"/>
      <c r="I90" s="1609">
        <v>6</v>
      </c>
      <c r="J90" s="1609">
        <v>205</v>
      </c>
      <c r="K90" s="1581"/>
      <c r="L90" s="1620">
        <v>15</v>
      </c>
      <c r="M90" s="1620"/>
      <c r="N90" s="1581"/>
      <c r="O90" s="1581"/>
      <c r="P90" s="1581">
        <f t="shared" si="13"/>
        <v>15</v>
      </c>
      <c r="Q90" s="1581">
        <f>1600*1.07</f>
        <v>1712</v>
      </c>
      <c r="R90" s="1611">
        <f t="shared" si="14"/>
        <v>25680</v>
      </c>
      <c r="S90" s="1611">
        <f t="shared" si="15"/>
        <v>730.23696682464447</v>
      </c>
      <c r="T90" s="1611">
        <f t="shared" si="16"/>
        <v>24949.763033175357</v>
      </c>
      <c r="U90" s="1580"/>
      <c r="V90" s="1580"/>
      <c r="W90" s="1580"/>
      <c r="X90" s="1580"/>
      <c r="Y90" s="1580"/>
      <c r="Z90" s="1580"/>
      <c r="AA90" s="1580"/>
      <c r="AB90" s="1580"/>
      <c r="AC90" s="1580"/>
      <c r="AD90" s="1580"/>
      <c r="AE90" s="1580"/>
      <c r="AF90" s="1580"/>
      <c r="AG90" s="1580"/>
      <c r="AH90" s="1580"/>
      <c r="AI90" s="1580"/>
      <c r="AJ90" s="1580"/>
      <c r="AK90" s="1580"/>
      <c r="AL90" s="1580"/>
      <c r="AM90" s="1580"/>
    </row>
    <row r="91" spans="1:39" hidden="1">
      <c r="A91" s="1609">
        <v>233</v>
      </c>
      <c r="B91" s="1622" t="s">
        <v>1349</v>
      </c>
      <c r="C91" s="1621" t="s">
        <v>1352</v>
      </c>
      <c r="D91" s="1622" t="s">
        <v>1351</v>
      </c>
      <c r="E91" s="1662">
        <v>15941</v>
      </c>
      <c r="F91" s="1581"/>
      <c r="G91" s="1581"/>
      <c r="H91" s="1581"/>
      <c r="I91" s="1609"/>
      <c r="J91" s="1609"/>
      <c r="K91" s="1581"/>
      <c r="L91" s="1610"/>
      <c r="M91" s="1610"/>
      <c r="N91" s="1581"/>
      <c r="O91" s="1581"/>
      <c r="P91" s="1581"/>
      <c r="Q91" s="1581"/>
      <c r="R91" s="1611"/>
      <c r="S91" s="1611"/>
      <c r="T91" s="1611"/>
      <c r="U91" s="1580"/>
      <c r="V91" s="1580"/>
      <c r="W91" s="1580"/>
      <c r="X91" s="1580"/>
      <c r="Y91" s="1580"/>
      <c r="Z91" s="1580"/>
      <c r="AA91" s="1580"/>
      <c r="AB91" s="1580"/>
      <c r="AC91" s="1580"/>
      <c r="AD91" s="1580"/>
      <c r="AE91" s="1580"/>
      <c r="AF91" s="1580"/>
      <c r="AG91" s="1580"/>
      <c r="AH91" s="1580"/>
      <c r="AI91" s="1580"/>
      <c r="AJ91" s="1580"/>
      <c r="AK91" s="1580"/>
      <c r="AL91" s="1580"/>
      <c r="AM91" s="1580"/>
    </row>
    <row r="92" spans="1:39" ht="25.5">
      <c r="A92" s="1609">
        <v>156</v>
      </c>
      <c r="B92" s="1618" t="s">
        <v>1353</v>
      </c>
      <c r="C92" s="1621" t="s">
        <v>1354</v>
      </c>
      <c r="D92" s="1618" t="s">
        <v>1022</v>
      </c>
      <c r="E92" s="1662">
        <v>15941</v>
      </c>
      <c r="F92" s="1581"/>
      <c r="G92" s="1581"/>
      <c r="H92" s="1581"/>
      <c r="I92" s="1609">
        <v>6</v>
      </c>
      <c r="J92" s="1609">
        <v>205</v>
      </c>
      <c r="K92" s="1581"/>
      <c r="L92" s="1618">
        <v>60</v>
      </c>
      <c r="M92" s="1618"/>
      <c r="N92" s="1581"/>
      <c r="O92" s="1581"/>
      <c r="P92" s="1581">
        <f t="shared" si="13"/>
        <v>60</v>
      </c>
      <c r="Q92" s="1581">
        <f>1500*1.07</f>
        <v>1605</v>
      </c>
      <c r="R92" s="1611">
        <f t="shared" si="14"/>
        <v>96300</v>
      </c>
      <c r="S92" s="1611">
        <f t="shared" si="15"/>
        <v>2738.3886255924172</v>
      </c>
      <c r="T92" s="1611">
        <f t="shared" si="16"/>
        <v>93561.611374407585</v>
      </c>
      <c r="U92" s="1580"/>
      <c r="V92" s="1580"/>
      <c r="W92" s="1580"/>
      <c r="X92" s="1580"/>
      <c r="Y92" s="1580"/>
      <c r="Z92" s="1580"/>
      <c r="AA92" s="1580"/>
      <c r="AB92" s="1580"/>
      <c r="AC92" s="1580"/>
      <c r="AD92" s="1580"/>
      <c r="AE92" s="1580"/>
      <c r="AF92" s="1580"/>
      <c r="AG92" s="1580"/>
      <c r="AH92" s="1580"/>
      <c r="AI92" s="1580"/>
      <c r="AJ92" s="1580"/>
      <c r="AK92" s="1580"/>
      <c r="AL92" s="1580"/>
      <c r="AM92" s="1580"/>
    </row>
    <row r="93" spans="1:39" ht="38.25">
      <c r="A93" s="1609">
        <v>251</v>
      </c>
      <c r="B93" s="1622" t="s">
        <v>1355</v>
      </c>
      <c r="C93" s="1621" t="s">
        <v>1356</v>
      </c>
      <c r="D93" s="1622" t="s">
        <v>1022</v>
      </c>
      <c r="E93" s="1662">
        <v>15941</v>
      </c>
      <c r="F93" s="1581"/>
      <c r="G93" s="1581"/>
      <c r="H93" s="1581"/>
      <c r="I93" s="1609">
        <v>6</v>
      </c>
      <c r="J93" s="1609">
        <v>205</v>
      </c>
      <c r="K93" s="1581"/>
      <c r="L93" s="1610">
        <v>16</v>
      </c>
      <c r="M93" s="1610">
        <v>16</v>
      </c>
      <c r="N93" s="1581"/>
      <c r="O93" s="1581"/>
      <c r="P93" s="1581">
        <f t="shared" si="13"/>
        <v>16</v>
      </c>
      <c r="Q93" s="1581">
        <f>2800*1.07</f>
        <v>2996</v>
      </c>
      <c r="R93" s="1611">
        <f t="shared" si="14"/>
        <v>47936</v>
      </c>
      <c r="S93" s="1611">
        <f t="shared" si="15"/>
        <v>1363.1090047393363</v>
      </c>
      <c r="T93" s="1611">
        <f t="shared" si="16"/>
        <v>46572.890995260663</v>
      </c>
      <c r="U93" s="1580" t="s">
        <v>2212</v>
      </c>
      <c r="V93" s="1580">
        <f>(2+2+2+2)*2</f>
        <v>16</v>
      </c>
      <c r="W93" s="1580"/>
      <c r="X93" s="1580"/>
      <c r="Y93" s="1580"/>
      <c r="Z93" s="1580"/>
      <c r="AA93" s="1580"/>
      <c r="AB93" s="1580"/>
      <c r="AC93" s="1580"/>
      <c r="AD93" s="1580"/>
      <c r="AE93" s="1580"/>
      <c r="AF93" s="1580"/>
      <c r="AG93" s="1580"/>
      <c r="AH93" s="1580"/>
      <c r="AI93" s="1580"/>
      <c r="AJ93" s="1580"/>
      <c r="AK93" s="1580"/>
      <c r="AL93" s="1580"/>
      <c r="AM93" s="1580"/>
    </row>
    <row r="94" spans="1:39" ht="25.5" hidden="1">
      <c r="A94" s="1581"/>
      <c r="B94" s="1056" t="s">
        <v>1357</v>
      </c>
      <c r="C94" s="1614" t="s">
        <v>1358</v>
      </c>
      <c r="D94" s="1056" t="s">
        <v>1022</v>
      </c>
      <c r="E94" s="1662">
        <v>15941</v>
      </c>
      <c r="F94" s="1609"/>
      <c r="G94" s="1609"/>
      <c r="H94" s="1609"/>
      <c r="I94" s="1609"/>
      <c r="J94" s="1609"/>
      <c r="K94" s="1609"/>
      <c r="L94" s="1056"/>
      <c r="M94" s="1056"/>
      <c r="N94" s="1609"/>
      <c r="O94" s="1609"/>
      <c r="P94" s="1581"/>
      <c r="Q94" s="1610"/>
      <c r="R94" s="1611"/>
      <c r="S94" s="1611"/>
      <c r="T94" s="1611"/>
      <c r="U94" s="1580"/>
      <c r="V94" s="1580"/>
      <c r="W94" s="1580"/>
      <c r="X94" s="1580"/>
      <c r="Y94" s="1580"/>
      <c r="Z94" s="1580"/>
      <c r="AA94" s="1580"/>
      <c r="AB94" s="1580"/>
      <c r="AC94" s="1580"/>
      <c r="AD94" s="1580"/>
      <c r="AE94" s="1580"/>
      <c r="AF94" s="1580"/>
      <c r="AG94" s="1580"/>
      <c r="AH94" s="1580"/>
      <c r="AI94" s="1580"/>
      <c r="AJ94" s="1580"/>
      <c r="AK94" s="1580"/>
      <c r="AL94" s="1580"/>
      <c r="AM94" s="1580"/>
    </row>
    <row r="95" spans="1:39">
      <c r="A95" s="1609">
        <v>216</v>
      </c>
      <c r="B95" s="1620" t="s">
        <v>1359</v>
      </c>
      <c r="C95" s="1621" t="s">
        <v>1360</v>
      </c>
      <c r="D95" s="1620" t="s">
        <v>1022</v>
      </c>
      <c r="E95" s="1662">
        <v>15941</v>
      </c>
      <c r="F95" s="1581"/>
      <c r="G95" s="1581"/>
      <c r="H95" s="1581"/>
      <c r="I95" s="1609">
        <v>6</v>
      </c>
      <c r="J95" s="1609">
        <v>205</v>
      </c>
      <c r="K95" s="1581"/>
      <c r="L95" s="1620">
        <v>5</v>
      </c>
      <c r="M95" s="1620"/>
      <c r="N95" s="1581"/>
      <c r="O95" s="1581"/>
      <c r="P95" s="1581">
        <f t="shared" ref="P95:P102" si="17">L95-O95</f>
        <v>5</v>
      </c>
      <c r="Q95" s="1581">
        <f>100*1.07</f>
        <v>107</v>
      </c>
      <c r="R95" s="1611">
        <f t="shared" ref="R95:R102" si="18">P95*Q95</f>
        <v>535</v>
      </c>
      <c r="S95" s="1611">
        <f t="shared" ref="S95:S102" si="19">R95*(I95/(I95+J95+K95))</f>
        <v>15.213270142180095</v>
      </c>
      <c r="T95" s="1611">
        <f t="shared" ref="T95:T102" si="20">R95-S95</f>
        <v>519.78672985781986</v>
      </c>
      <c r="U95" s="1580"/>
      <c r="V95" s="1580"/>
      <c r="W95" s="1580"/>
      <c r="X95" s="1580"/>
      <c r="Y95" s="1580"/>
      <c r="Z95" s="1580"/>
      <c r="AA95" s="1580"/>
      <c r="AB95" s="1580"/>
      <c r="AC95" s="1580"/>
      <c r="AD95" s="1580"/>
      <c r="AE95" s="1580"/>
      <c r="AF95" s="1580"/>
      <c r="AG95" s="1580"/>
      <c r="AH95" s="1580"/>
      <c r="AI95" s="1580"/>
      <c r="AJ95" s="1580"/>
      <c r="AK95" s="1580"/>
      <c r="AL95" s="1580"/>
      <c r="AM95" s="1580"/>
    </row>
    <row r="96" spans="1:39">
      <c r="A96" s="1609">
        <v>217</v>
      </c>
      <c r="B96" s="1620" t="s">
        <v>1361</v>
      </c>
      <c r="C96" s="1621" t="s">
        <v>1362</v>
      </c>
      <c r="D96" s="1620" t="s">
        <v>1022</v>
      </c>
      <c r="E96" s="1662">
        <v>15941</v>
      </c>
      <c r="F96" s="1581"/>
      <c r="G96" s="1581"/>
      <c r="H96" s="1581"/>
      <c r="I96" s="1609">
        <v>6</v>
      </c>
      <c r="J96" s="1609">
        <v>205</v>
      </c>
      <c r="K96" s="1581"/>
      <c r="L96" s="1620">
        <v>5</v>
      </c>
      <c r="M96" s="1620"/>
      <c r="N96" s="1581"/>
      <c r="O96" s="1581"/>
      <c r="P96" s="1581">
        <f t="shared" si="17"/>
        <v>5</v>
      </c>
      <c r="Q96" s="1581">
        <f>1580*1.07</f>
        <v>1690.6000000000001</v>
      </c>
      <c r="R96" s="1611">
        <f t="shared" si="18"/>
        <v>8453</v>
      </c>
      <c r="S96" s="1611">
        <f t="shared" si="19"/>
        <v>240.36966824644549</v>
      </c>
      <c r="T96" s="1611">
        <f t="shared" si="20"/>
        <v>8212.6303317535549</v>
      </c>
      <c r="U96" s="1580"/>
      <c r="V96" s="1580"/>
      <c r="W96" s="1580"/>
      <c r="X96" s="1580"/>
      <c r="Y96" s="1580"/>
      <c r="Z96" s="1580"/>
      <c r="AA96" s="1580"/>
      <c r="AB96" s="1580"/>
      <c r="AC96" s="1580"/>
      <c r="AD96" s="1580"/>
      <c r="AE96" s="1580"/>
      <c r="AF96" s="1580"/>
      <c r="AG96" s="1580"/>
      <c r="AH96" s="1580"/>
      <c r="AI96" s="1580"/>
      <c r="AJ96" s="1580"/>
      <c r="AK96" s="1580"/>
      <c r="AL96" s="1580"/>
      <c r="AM96" s="1580"/>
    </row>
    <row r="97" spans="1:39">
      <c r="A97" s="1609">
        <v>130</v>
      </c>
      <c r="B97" s="1618" t="s">
        <v>1359</v>
      </c>
      <c r="C97" s="1621" t="s">
        <v>1363</v>
      </c>
      <c r="D97" s="1618" t="s">
        <v>1268</v>
      </c>
      <c r="E97" s="1662">
        <v>15941</v>
      </c>
      <c r="F97" s="1581"/>
      <c r="G97" s="1581"/>
      <c r="H97" s="1581"/>
      <c r="I97" s="1609">
        <v>6</v>
      </c>
      <c r="J97" s="1609">
        <v>205</v>
      </c>
      <c r="K97" s="1581"/>
      <c r="L97" s="1618">
        <v>80</v>
      </c>
      <c r="M97" s="1618"/>
      <c r="N97" s="1581"/>
      <c r="O97" s="1581"/>
      <c r="P97" s="1581">
        <f t="shared" si="17"/>
        <v>80</v>
      </c>
      <c r="Q97" s="1581">
        <f>1900*1.07</f>
        <v>2033.0000000000002</v>
      </c>
      <c r="R97" s="1611">
        <f t="shared" si="18"/>
        <v>162640.00000000003</v>
      </c>
      <c r="S97" s="1611">
        <f t="shared" si="19"/>
        <v>4624.8341232227494</v>
      </c>
      <c r="T97" s="1611">
        <f t="shared" si="20"/>
        <v>158015.16587677729</v>
      </c>
      <c r="U97" s="1580"/>
      <c r="V97" s="1580"/>
      <c r="W97" s="1580"/>
      <c r="X97" s="1580"/>
      <c r="Y97" s="1580"/>
      <c r="Z97" s="1580"/>
      <c r="AA97" s="1580"/>
      <c r="AB97" s="1580"/>
      <c r="AC97" s="1580"/>
      <c r="AD97" s="1580"/>
      <c r="AE97" s="1580"/>
      <c r="AF97" s="1580"/>
      <c r="AG97" s="1580"/>
      <c r="AH97" s="1580"/>
      <c r="AI97" s="1580"/>
      <c r="AJ97" s="1580"/>
      <c r="AK97" s="1580"/>
      <c r="AL97" s="1580"/>
      <c r="AM97" s="1580"/>
    </row>
    <row r="98" spans="1:39" hidden="1">
      <c r="A98" s="1609">
        <v>270</v>
      </c>
      <c r="B98" s="1618" t="s">
        <v>1364</v>
      </c>
      <c r="C98" s="1621" t="s">
        <v>1365</v>
      </c>
      <c r="D98" s="1618" t="s">
        <v>1022</v>
      </c>
      <c r="E98" s="1662">
        <v>15941</v>
      </c>
      <c r="F98" s="1581"/>
      <c r="G98" s="1581"/>
      <c r="H98" s="1581"/>
      <c r="I98" s="1609">
        <v>6</v>
      </c>
      <c r="J98" s="1609">
        <v>205</v>
      </c>
      <c r="K98" s="1581"/>
      <c r="L98" s="1622"/>
      <c r="M98" s="1622"/>
      <c r="N98" s="1581"/>
      <c r="O98" s="1581"/>
      <c r="P98" s="1581">
        <f t="shared" si="17"/>
        <v>0</v>
      </c>
      <c r="Q98" s="1581"/>
      <c r="R98" s="1611">
        <f t="shared" si="18"/>
        <v>0</v>
      </c>
      <c r="S98" s="1611">
        <f t="shared" si="19"/>
        <v>0</v>
      </c>
      <c r="T98" s="1611">
        <f t="shared" si="20"/>
        <v>0</v>
      </c>
      <c r="U98" s="1580"/>
      <c r="V98" s="1580"/>
      <c r="W98" s="1580"/>
      <c r="X98" s="1580"/>
      <c r="Y98" s="1580"/>
      <c r="Z98" s="1580"/>
      <c r="AA98" s="1580"/>
      <c r="AB98" s="1580"/>
      <c r="AC98" s="1580"/>
      <c r="AD98" s="1580"/>
      <c r="AE98" s="1580"/>
      <c r="AF98" s="1580"/>
      <c r="AG98" s="1580"/>
      <c r="AH98" s="1580"/>
      <c r="AI98" s="1580"/>
      <c r="AJ98" s="1580"/>
      <c r="AK98" s="1580"/>
      <c r="AL98" s="1580"/>
      <c r="AM98" s="1580"/>
    </row>
    <row r="99" spans="1:39" hidden="1">
      <c r="A99" s="1609">
        <v>271</v>
      </c>
      <c r="B99" s="1618" t="s">
        <v>1366</v>
      </c>
      <c r="C99" s="1621" t="s">
        <v>1367</v>
      </c>
      <c r="D99" s="1618" t="s">
        <v>1022</v>
      </c>
      <c r="E99" s="1662">
        <v>15941</v>
      </c>
      <c r="F99" s="1581"/>
      <c r="G99" s="1581"/>
      <c r="H99" s="1581"/>
      <c r="I99" s="1609">
        <v>6</v>
      </c>
      <c r="J99" s="1609">
        <v>205</v>
      </c>
      <c r="K99" s="1581"/>
      <c r="L99" s="1622"/>
      <c r="M99" s="1622"/>
      <c r="N99" s="1581"/>
      <c r="O99" s="1581"/>
      <c r="P99" s="1581">
        <f t="shared" si="17"/>
        <v>0</v>
      </c>
      <c r="Q99" s="1581"/>
      <c r="R99" s="1611">
        <f t="shared" si="18"/>
        <v>0</v>
      </c>
      <c r="S99" s="1611">
        <f t="shared" si="19"/>
        <v>0</v>
      </c>
      <c r="T99" s="1611">
        <f t="shared" si="20"/>
        <v>0</v>
      </c>
      <c r="U99" s="1580"/>
      <c r="V99" s="1580"/>
      <c r="W99" s="1580"/>
      <c r="X99" s="1580"/>
      <c r="Y99" s="1580"/>
      <c r="Z99" s="1580"/>
      <c r="AA99" s="1580"/>
      <c r="AB99" s="1580"/>
      <c r="AC99" s="1580"/>
      <c r="AD99" s="1580"/>
      <c r="AE99" s="1580"/>
      <c r="AF99" s="1580"/>
      <c r="AG99" s="1580"/>
      <c r="AH99" s="1580"/>
      <c r="AI99" s="1580"/>
      <c r="AJ99" s="1580"/>
      <c r="AK99" s="1580"/>
      <c r="AL99" s="1580"/>
      <c r="AM99" s="1580"/>
    </row>
    <row r="100" spans="1:39">
      <c r="A100" s="1609">
        <v>89</v>
      </c>
      <c r="B100" s="1619" t="s">
        <v>1368</v>
      </c>
      <c r="C100" s="1614" t="s">
        <v>1369</v>
      </c>
      <c r="D100" s="1619" t="s">
        <v>1268</v>
      </c>
      <c r="E100" s="1662">
        <v>15941</v>
      </c>
      <c r="F100" s="1609"/>
      <c r="G100" s="1609"/>
      <c r="H100" s="1609"/>
      <c r="I100" s="1609">
        <v>6</v>
      </c>
      <c r="J100" s="1609">
        <v>205</v>
      </c>
      <c r="K100" s="1609"/>
      <c r="L100" s="1619">
        <v>60</v>
      </c>
      <c r="M100" s="1619"/>
      <c r="N100" s="1609"/>
      <c r="O100" s="1609"/>
      <c r="P100" s="1581">
        <f t="shared" si="17"/>
        <v>60</v>
      </c>
      <c r="Q100" s="1610">
        <f>1200*1.07</f>
        <v>1284</v>
      </c>
      <c r="R100" s="1611">
        <f t="shared" si="18"/>
        <v>77040</v>
      </c>
      <c r="S100" s="1611">
        <f t="shared" si="19"/>
        <v>2190.7109004739336</v>
      </c>
      <c r="T100" s="1611">
        <f t="shared" si="20"/>
        <v>74849.289099526068</v>
      </c>
      <c r="U100" s="1580"/>
      <c r="V100" s="1580"/>
      <c r="W100" s="1580"/>
      <c r="X100" s="1580"/>
      <c r="Y100" s="1580"/>
      <c r="Z100" s="1580"/>
      <c r="AA100" s="1580"/>
      <c r="AB100" s="1580"/>
      <c r="AC100" s="1580"/>
      <c r="AD100" s="1580"/>
      <c r="AE100" s="1580"/>
      <c r="AF100" s="1580"/>
      <c r="AG100" s="1580"/>
      <c r="AH100" s="1580"/>
      <c r="AI100" s="1580"/>
      <c r="AJ100" s="1580"/>
      <c r="AK100" s="1580"/>
      <c r="AL100" s="1580"/>
      <c r="AM100" s="1580"/>
    </row>
    <row r="101" spans="1:39">
      <c r="A101" s="1609">
        <v>90</v>
      </c>
      <c r="B101" s="1619" t="s">
        <v>1368</v>
      </c>
      <c r="C101" s="1614" t="s">
        <v>1370</v>
      </c>
      <c r="D101" s="1619" t="s">
        <v>1268</v>
      </c>
      <c r="E101" s="1662">
        <v>15941</v>
      </c>
      <c r="F101" s="1609"/>
      <c r="G101" s="1609"/>
      <c r="H101" s="1609"/>
      <c r="I101" s="1609">
        <v>6</v>
      </c>
      <c r="J101" s="1609">
        <v>205</v>
      </c>
      <c r="K101" s="1609"/>
      <c r="L101" s="1619">
        <v>60</v>
      </c>
      <c r="M101" s="1619"/>
      <c r="N101" s="1609"/>
      <c r="O101" s="1609"/>
      <c r="P101" s="1581">
        <f t="shared" si="17"/>
        <v>60</v>
      </c>
      <c r="Q101" s="1610">
        <f>1200*1.07</f>
        <v>1284</v>
      </c>
      <c r="R101" s="1611">
        <f t="shared" si="18"/>
        <v>77040</v>
      </c>
      <c r="S101" s="1611">
        <f t="shared" si="19"/>
        <v>2190.7109004739336</v>
      </c>
      <c r="T101" s="1611">
        <f t="shared" si="20"/>
        <v>74849.289099526068</v>
      </c>
      <c r="U101" s="1580"/>
      <c r="V101" s="1580"/>
      <c r="W101" s="1580"/>
      <c r="X101" s="1580"/>
      <c r="Y101" s="1580"/>
      <c r="Z101" s="1580"/>
      <c r="AA101" s="1580"/>
      <c r="AB101" s="1580"/>
      <c r="AC101" s="1580"/>
      <c r="AD101" s="1580"/>
      <c r="AE101" s="1580"/>
      <c r="AF101" s="1580"/>
      <c r="AG101" s="1580"/>
      <c r="AH101" s="1580"/>
      <c r="AI101" s="1580"/>
      <c r="AJ101" s="1580"/>
      <c r="AK101" s="1580"/>
      <c r="AL101" s="1580"/>
      <c r="AM101" s="1580"/>
    </row>
    <row r="102" spans="1:39">
      <c r="A102" s="1609">
        <v>118</v>
      </c>
      <c r="B102" s="1619" t="s">
        <v>1371</v>
      </c>
      <c r="C102" s="1621" t="s">
        <v>1372</v>
      </c>
      <c r="D102" s="1619" t="s">
        <v>1268</v>
      </c>
      <c r="E102" s="1662">
        <v>15941</v>
      </c>
      <c r="F102" s="1581"/>
      <c r="G102" s="1581"/>
      <c r="H102" s="1609"/>
      <c r="I102" s="1609">
        <v>6</v>
      </c>
      <c r="J102" s="1609">
        <v>205</v>
      </c>
      <c r="K102" s="1609"/>
      <c r="L102" s="1619">
        <v>2000</v>
      </c>
      <c r="M102" s="1619"/>
      <c r="N102" s="1609"/>
      <c r="O102" s="1609"/>
      <c r="P102" s="1581">
        <f t="shared" si="17"/>
        <v>2000</v>
      </c>
      <c r="Q102" s="1609">
        <f>50*1.07</f>
        <v>53.5</v>
      </c>
      <c r="R102" s="1611">
        <f t="shared" si="18"/>
        <v>107000</v>
      </c>
      <c r="S102" s="1611">
        <f t="shared" si="19"/>
        <v>3042.654028436019</v>
      </c>
      <c r="T102" s="1611">
        <f t="shared" si="20"/>
        <v>103957.34597156398</v>
      </c>
      <c r="U102" s="1580"/>
      <c r="V102" s="1580"/>
      <c r="W102" s="1580"/>
      <c r="X102" s="1580"/>
      <c r="Y102" s="1580"/>
      <c r="Z102" s="1580"/>
      <c r="AA102" s="1580"/>
      <c r="AB102" s="1580"/>
      <c r="AC102" s="1580"/>
      <c r="AD102" s="1580"/>
      <c r="AE102" s="1580"/>
      <c r="AF102" s="1580"/>
      <c r="AG102" s="1580"/>
      <c r="AH102" s="1580"/>
      <c r="AI102" s="1580"/>
      <c r="AJ102" s="1580"/>
      <c r="AK102" s="1580"/>
      <c r="AL102" s="1580"/>
      <c r="AM102" s="1580"/>
    </row>
    <row r="103" spans="1:39" ht="25.5" hidden="1">
      <c r="A103" s="1609"/>
      <c r="B103" s="1618" t="s">
        <v>1373</v>
      </c>
      <c r="C103" s="1621" t="s">
        <v>1374</v>
      </c>
      <c r="D103" s="1618" t="s">
        <v>1022</v>
      </c>
      <c r="E103" s="1662">
        <v>15941</v>
      </c>
      <c r="F103" s="1581"/>
      <c r="G103" s="1581"/>
      <c r="H103" s="1581"/>
      <c r="I103" s="1609"/>
      <c r="J103" s="1609"/>
      <c r="K103" s="1581"/>
      <c r="L103" s="1622"/>
      <c r="M103" s="1622"/>
      <c r="N103" s="1581"/>
      <c r="O103" s="1581"/>
      <c r="P103" s="1581"/>
      <c r="Q103" s="1581"/>
      <c r="R103" s="1611"/>
      <c r="S103" s="1611"/>
      <c r="T103" s="1611"/>
      <c r="U103" s="1580"/>
      <c r="V103" s="1580"/>
      <c r="W103" s="1580"/>
      <c r="X103" s="1580"/>
      <c r="Y103" s="1580"/>
      <c r="Z103" s="1580"/>
      <c r="AA103" s="1580"/>
      <c r="AB103" s="1580"/>
      <c r="AC103" s="1580"/>
      <c r="AD103" s="1580"/>
      <c r="AE103" s="1580"/>
      <c r="AF103" s="1580"/>
      <c r="AG103" s="1580"/>
      <c r="AH103" s="1580"/>
      <c r="AI103" s="1580"/>
      <c r="AJ103" s="1580"/>
      <c r="AK103" s="1580"/>
      <c r="AL103" s="1580"/>
      <c r="AM103" s="1580"/>
    </row>
    <row r="104" spans="1:39">
      <c r="A104" s="1609">
        <v>188</v>
      </c>
      <c r="B104" s="1620" t="s">
        <v>1375</v>
      </c>
      <c r="C104" s="1621" t="s">
        <v>1376</v>
      </c>
      <c r="D104" s="1620" t="s">
        <v>1351</v>
      </c>
      <c r="E104" s="1662">
        <v>15941</v>
      </c>
      <c r="F104" s="1581"/>
      <c r="G104" s="1581"/>
      <c r="H104" s="1581"/>
      <c r="I104" s="1609">
        <v>6</v>
      </c>
      <c r="J104" s="1609">
        <v>205</v>
      </c>
      <c r="K104" s="1581"/>
      <c r="L104" s="1620">
        <v>80</v>
      </c>
      <c r="M104" s="1620"/>
      <c r="N104" s="1581"/>
      <c r="O104" s="1581"/>
      <c r="P104" s="1581">
        <f t="shared" ref="P104:P167" si="21">L104-O104</f>
        <v>80</v>
      </c>
      <c r="Q104" s="1581">
        <f>1000*1.07</f>
        <v>1070</v>
      </c>
      <c r="R104" s="1611">
        <f t="shared" ref="R104:R167" si="22">P104*Q104</f>
        <v>85600</v>
      </c>
      <c r="S104" s="1611">
        <f t="shared" ref="S104:S167" si="23">R104*(I104/(I104+J104+K104))</f>
        <v>2434.1232227488149</v>
      </c>
      <c r="T104" s="1611">
        <f t="shared" ref="T104:T167" si="24">R104-S104</f>
        <v>83165.876777251178</v>
      </c>
      <c r="U104" s="1580"/>
      <c r="V104" s="1580"/>
      <c r="W104" s="1580"/>
      <c r="X104" s="1580"/>
      <c r="Y104" s="1580"/>
      <c r="Z104" s="1580"/>
      <c r="AA104" s="1580"/>
      <c r="AB104" s="1580"/>
      <c r="AC104" s="1580"/>
      <c r="AD104" s="1580"/>
      <c r="AE104" s="1580"/>
      <c r="AF104" s="1580"/>
      <c r="AG104" s="1580"/>
      <c r="AH104" s="1580"/>
      <c r="AI104" s="1580"/>
      <c r="AJ104" s="1580"/>
      <c r="AK104" s="1580"/>
      <c r="AL104" s="1580"/>
      <c r="AM104" s="1580"/>
    </row>
    <row r="105" spans="1:39" hidden="1">
      <c r="A105" s="1609">
        <v>219</v>
      </c>
      <c r="B105" s="1620" t="s">
        <v>1377</v>
      </c>
      <c r="C105" s="1621"/>
      <c r="D105" s="1620" t="s">
        <v>1022</v>
      </c>
      <c r="E105" s="1662">
        <v>15941</v>
      </c>
      <c r="F105" s="1581"/>
      <c r="G105" s="1581"/>
      <c r="H105" s="1581"/>
      <c r="I105" s="1609">
        <v>6</v>
      </c>
      <c r="J105" s="1609">
        <v>205</v>
      </c>
      <c r="K105" s="1581"/>
      <c r="L105" s="1620"/>
      <c r="M105" s="1620"/>
      <c r="N105" s="1581"/>
      <c r="O105" s="1581"/>
      <c r="P105" s="1581">
        <f t="shared" si="21"/>
        <v>0</v>
      </c>
      <c r="Q105" s="1581"/>
      <c r="R105" s="1611">
        <f t="shared" si="22"/>
        <v>0</v>
      </c>
      <c r="S105" s="1611">
        <f t="shared" si="23"/>
        <v>0</v>
      </c>
      <c r="T105" s="1611">
        <f t="shared" si="24"/>
        <v>0</v>
      </c>
      <c r="U105" s="1580"/>
      <c r="V105" s="1580"/>
      <c r="W105" s="1580"/>
      <c r="X105" s="1580"/>
      <c r="Y105" s="1580"/>
      <c r="Z105" s="1580"/>
      <c r="AA105" s="1580"/>
      <c r="AB105" s="1580"/>
      <c r="AC105" s="1580"/>
      <c r="AD105" s="1580"/>
      <c r="AE105" s="1580"/>
      <c r="AF105" s="1580"/>
      <c r="AG105" s="1580"/>
      <c r="AH105" s="1580"/>
      <c r="AI105" s="1580"/>
      <c r="AJ105" s="1580"/>
      <c r="AK105" s="1580"/>
      <c r="AL105" s="1580"/>
      <c r="AM105" s="1580"/>
    </row>
    <row r="106" spans="1:39" hidden="1">
      <c r="A106" s="1609">
        <v>253</v>
      </c>
      <c r="B106" s="1610" t="s">
        <v>1378</v>
      </c>
      <c r="C106" s="1621" t="s">
        <v>1379</v>
      </c>
      <c r="D106" s="1610" t="s">
        <v>1022</v>
      </c>
      <c r="E106" s="1662">
        <v>15941</v>
      </c>
      <c r="F106" s="1581"/>
      <c r="G106" s="1581"/>
      <c r="H106" s="1581"/>
      <c r="I106" s="1609">
        <v>6</v>
      </c>
      <c r="J106" s="1609">
        <v>205</v>
      </c>
      <c r="K106" s="1581"/>
      <c r="L106" s="1610"/>
      <c r="M106" s="1610"/>
      <c r="N106" s="1581"/>
      <c r="O106" s="1581"/>
      <c r="P106" s="1581">
        <f t="shared" si="21"/>
        <v>0</v>
      </c>
      <c r="Q106" s="1581"/>
      <c r="R106" s="1611">
        <f t="shared" si="22"/>
        <v>0</v>
      </c>
      <c r="S106" s="1611">
        <f t="shared" si="23"/>
        <v>0</v>
      </c>
      <c r="T106" s="1611">
        <f t="shared" si="24"/>
        <v>0</v>
      </c>
      <c r="U106" s="1580"/>
      <c r="V106" s="1580"/>
      <c r="W106" s="1580"/>
      <c r="X106" s="1580"/>
      <c r="Y106" s="1580"/>
      <c r="Z106" s="1580"/>
      <c r="AA106" s="1580"/>
      <c r="AB106" s="1580"/>
      <c r="AC106" s="1580"/>
      <c r="AD106" s="1580"/>
      <c r="AE106" s="1580"/>
      <c r="AF106" s="1580"/>
      <c r="AG106" s="1580"/>
      <c r="AH106" s="1580"/>
      <c r="AI106" s="1580"/>
      <c r="AJ106" s="1580"/>
      <c r="AK106" s="1580"/>
      <c r="AL106" s="1580"/>
      <c r="AM106" s="1580"/>
    </row>
    <row r="107" spans="1:39">
      <c r="A107" s="1609">
        <v>159</v>
      </c>
      <c r="B107" s="1618" t="s">
        <v>1380</v>
      </c>
      <c r="C107" s="1621" t="s">
        <v>1381</v>
      </c>
      <c r="D107" s="1618" t="s">
        <v>1022</v>
      </c>
      <c r="E107" s="1662">
        <v>15941</v>
      </c>
      <c r="F107" s="1581"/>
      <c r="G107" s="1581"/>
      <c r="H107" s="1581"/>
      <c r="I107" s="1609">
        <v>6</v>
      </c>
      <c r="J107" s="1609">
        <v>205</v>
      </c>
      <c r="K107" s="1581"/>
      <c r="L107" s="1618">
        <v>20</v>
      </c>
      <c r="M107" s="1618"/>
      <c r="N107" s="1581"/>
      <c r="O107" s="1581"/>
      <c r="P107" s="1581">
        <f t="shared" si="21"/>
        <v>20</v>
      </c>
      <c r="Q107" s="1581">
        <f>2500*1.07</f>
        <v>2675</v>
      </c>
      <c r="R107" s="1611">
        <f t="shared" si="22"/>
        <v>53500</v>
      </c>
      <c r="S107" s="1611">
        <f t="shared" si="23"/>
        <v>1521.3270142180095</v>
      </c>
      <c r="T107" s="1611">
        <f t="shared" si="24"/>
        <v>51978.672985781988</v>
      </c>
      <c r="U107" s="1580"/>
      <c r="V107" s="1580"/>
      <c r="W107" s="1580"/>
      <c r="X107" s="1580"/>
      <c r="Y107" s="1580"/>
      <c r="Z107" s="1580"/>
      <c r="AA107" s="1580"/>
      <c r="AB107" s="1580"/>
      <c r="AC107" s="1580"/>
      <c r="AD107" s="1580"/>
      <c r="AE107" s="1580"/>
      <c r="AF107" s="1580"/>
      <c r="AG107" s="1580"/>
      <c r="AH107" s="1580"/>
      <c r="AI107" s="1580"/>
      <c r="AJ107" s="1580"/>
      <c r="AK107" s="1580"/>
      <c r="AL107" s="1580"/>
      <c r="AM107" s="1580"/>
    </row>
    <row r="108" spans="1:39">
      <c r="A108" s="1609">
        <v>189</v>
      </c>
      <c r="B108" s="1620" t="s">
        <v>1380</v>
      </c>
      <c r="C108" s="1621" t="s">
        <v>1382</v>
      </c>
      <c r="D108" s="1620" t="s">
        <v>1022</v>
      </c>
      <c r="E108" s="1662">
        <v>15941</v>
      </c>
      <c r="F108" s="1581"/>
      <c r="G108" s="1581"/>
      <c r="H108" s="1581"/>
      <c r="I108" s="1609">
        <v>6</v>
      </c>
      <c r="J108" s="1609">
        <v>205</v>
      </c>
      <c r="K108" s="1581"/>
      <c r="L108" s="1620">
        <v>10</v>
      </c>
      <c r="M108" s="1620"/>
      <c r="N108" s="1581"/>
      <c r="O108" s="1581"/>
      <c r="P108" s="1581">
        <f t="shared" si="21"/>
        <v>10</v>
      </c>
      <c r="Q108" s="1581">
        <f>353*1.07</f>
        <v>377.71000000000004</v>
      </c>
      <c r="R108" s="1611">
        <f t="shared" si="22"/>
        <v>3777.1000000000004</v>
      </c>
      <c r="S108" s="1611">
        <f t="shared" si="23"/>
        <v>107.40568720379147</v>
      </c>
      <c r="T108" s="1611">
        <f t="shared" si="24"/>
        <v>3669.694312796209</v>
      </c>
      <c r="U108" s="1580"/>
      <c r="V108" s="1580"/>
      <c r="W108" s="1580"/>
      <c r="X108" s="1580"/>
      <c r="Y108" s="1580"/>
      <c r="Z108" s="1580"/>
      <c r="AA108" s="1580"/>
      <c r="AB108" s="1580"/>
      <c r="AC108" s="1580"/>
      <c r="AD108" s="1580"/>
      <c r="AE108" s="1580"/>
      <c r="AF108" s="1580"/>
      <c r="AG108" s="1580"/>
      <c r="AH108" s="1580"/>
      <c r="AI108" s="1580"/>
      <c r="AJ108" s="1580"/>
      <c r="AK108" s="1580"/>
      <c r="AL108" s="1580"/>
      <c r="AM108" s="1580"/>
    </row>
    <row r="109" spans="1:39">
      <c r="A109" s="1609">
        <v>255</v>
      </c>
      <c r="B109" s="1622" t="s">
        <v>1378</v>
      </c>
      <c r="C109" s="1621" t="s">
        <v>1382</v>
      </c>
      <c r="D109" s="1622" t="s">
        <v>1022</v>
      </c>
      <c r="E109" s="1662">
        <v>15941</v>
      </c>
      <c r="F109" s="1581"/>
      <c r="G109" s="1581"/>
      <c r="H109" s="1581"/>
      <c r="I109" s="1609">
        <v>6</v>
      </c>
      <c r="J109" s="1609">
        <v>205</v>
      </c>
      <c r="K109" s="1581"/>
      <c r="L109" s="1622">
        <v>10</v>
      </c>
      <c r="M109" s="1622"/>
      <c r="N109" s="1581"/>
      <c r="O109" s="1581"/>
      <c r="P109" s="1581">
        <f t="shared" si="21"/>
        <v>10</v>
      </c>
      <c r="Q109" s="1581">
        <f>700*1.07</f>
        <v>749</v>
      </c>
      <c r="R109" s="1611">
        <f t="shared" si="22"/>
        <v>7490</v>
      </c>
      <c r="S109" s="1611">
        <f t="shared" si="23"/>
        <v>212.9857819905213</v>
      </c>
      <c r="T109" s="1611">
        <f t="shared" si="24"/>
        <v>7277.014218009479</v>
      </c>
      <c r="U109" s="1580"/>
      <c r="V109" s="1580"/>
      <c r="W109" s="1580"/>
      <c r="X109" s="1580"/>
      <c r="Y109" s="1580"/>
      <c r="Z109" s="1580"/>
      <c r="AA109" s="1580"/>
      <c r="AB109" s="1580"/>
      <c r="AC109" s="1580"/>
      <c r="AD109" s="1580"/>
      <c r="AE109" s="1580"/>
      <c r="AF109" s="1580"/>
      <c r="AG109" s="1580"/>
      <c r="AH109" s="1580"/>
      <c r="AI109" s="1580"/>
      <c r="AJ109" s="1580"/>
      <c r="AK109" s="1580"/>
      <c r="AL109" s="1580"/>
      <c r="AM109" s="1580"/>
    </row>
    <row r="110" spans="1:39">
      <c r="A110" s="1609">
        <v>190</v>
      </c>
      <c r="B110" s="1620" t="s">
        <v>1380</v>
      </c>
      <c r="C110" s="1621" t="s">
        <v>1379</v>
      </c>
      <c r="D110" s="1620" t="s">
        <v>1022</v>
      </c>
      <c r="E110" s="1662">
        <v>15941</v>
      </c>
      <c r="F110" s="1581"/>
      <c r="G110" s="1581"/>
      <c r="H110" s="1581"/>
      <c r="I110" s="1609">
        <v>6</v>
      </c>
      <c r="J110" s="1609">
        <v>205</v>
      </c>
      <c r="K110" s="1581"/>
      <c r="L110" s="1620"/>
      <c r="M110" s="1620"/>
      <c r="N110" s="1581"/>
      <c r="O110" s="1581"/>
      <c r="P110" s="1581"/>
      <c r="Q110" s="1581"/>
      <c r="R110" s="1611">
        <f t="shared" si="22"/>
        <v>0</v>
      </c>
      <c r="S110" s="1611">
        <f t="shared" si="23"/>
        <v>0</v>
      </c>
      <c r="T110" s="1611">
        <f t="shared" si="24"/>
        <v>0</v>
      </c>
      <c r="U110" s="1580"/>
      <c r="V110" s="1580"/>
      <c r="W110" s="1580"/>
      <c r="X110" s="1580"/>
      <c r="Y110" s="1580"/>
      <c r="Z110" s="1580"/>
      <c r="AA110" s="1580"/>
      <c r="AB110" s="1580"/>
      <c r="AC110" s="1580"/>
      <c r="AD110" s="1580"/>
      <c r="AE110" s="1580"/>
      <c r="AF110" s="1580"/>
      <c r="AG110" s="1580"/>
      <c r="AH110" s="1580"/>
      <c r="AI110" s="1580"/>
      <c r="AJ110" s="1580"/>
      <c r="AK110" s="1580"/>
      <c r="AL110" s="1580"/>
      <c r="AM110" s="1580"/>
    </row>
    <row r="111" spans="1:39">
      <c r="A111" s="1609">
        <v>254</v>
      </c>
      <c r="B111" s="1610" t="s">
        <v>1380</v>
      </c>
      <c r="C111" s="1621" t="s">
        <v>1384</v>
      </c>
      <c r="D111" s="1610" t="s">
        <v>1022</v>
      </c>
      <c r="E111" s="1662">
        <v>15941</v>
      </c>
      <c r="F111" s="1581"/>
      <c r="G111" s="1581"/>
      <c r="H111" s="1581"/>
      <c r="I111" s="1609">
        <v>6</v>
      </c>
      <c r="J111" s="1609">
        <v>205</v>
      </c>
      <c r="K111" s="1581"/>
      <c r="L111" s="1610">
        <v>50</v>
      </c>
      <c r="M111" s="1610"/>
      <c r="N111" s="1581"/>
      <c r="O111" s="1581"/>
      <c r="P111" s="1581">
        <f t="shared" si="21"/>
        <v>50</v>
      </c>
      <c r="Q111" s="1581">
        <f>500*1.07</f>
        <v>535</v>
      </c>
      <c r="R111" s="1611">
        <f t="shared" si="22"/>
        <v>26750</v>
      </c>
      <c r="S111" s="1611">
        <f t="shared" si="23"/>
        <v>760.66350710900474</v>
      </c>
      <c r="T111" s="1611">
        <f t="shared" si="24"/>
        <v>25989.336492890994</v>
      </c>
      <c r="U111" s="1580"/>
      <c r="V111" s="1580"/>
      <c r="W111" s="1580"/>
      <c r="X111" s="1580"/>
      <c r="Y111" s="1580"/>
      <c r="Z111" s="1580"/>
      <c r="AA111" s="1580"/>
      <c r="AB111" s="1580"/>
      <c r="AC111" s="1580"/>
      <c r="AD111" s="1580"/>
      <c r="AE111" s="1580"/>
      <c r="AF111" s="1580"/>
      <c r="AG111" s="1580"/>
      <c r="AH111" s="1580"/>
      <c r="AI111" s="1580"/>
      <c r="AJ111" s="1580"/>
      <c r="AK111" s="1580"/>
      <c r="AL111" s="1580"/>
      <c r="AM111" s="1580"/>
    </row>
    <row r="112" spans="1:39" ht="38.25">
      <c r="A112" s="1609">
        <v>218</v>
      </c>
      <c r="B112" s="1620" t="s">
        <v>1380</v>
      </c>
      <c r="C112" s="1621" t="s">
        <v>1385</v>
      </c>
      <c r="D112" s="1620" t="s">
        <v>1022</v>
      </c>
      <c r="E112" s="1662">
        <v>15941</v>
      </c>
      <c r="F112" s="1581"/>
      <c r="G112" s="1581"/>
      <c r="H112" s="1581"/>
      <c r="I112" s="1609">
        <v>6</v>
      </c>
      <c r="J112" s="1609">
        <v>205</v>
      </c>
      <c r="K112" s="1581"/>
      <c r="L112" s="1620">
        <v>200</v>
      </c>
      <c r="M112" s="1620"/>
      <c r="N112" s="1581"/>
      <c r="O112" s="1581"/>
      <c r="P112" s="1581">
        <f t="shared" si="21"/>
        <v>200</v>
      </c>
      <c r="Q112" s="1581">
        <f>300*1.07</f>
        <v>321</v>
      </c>
      <c r="R112" s="1611">
        <f t="shared" si="22"/>
        <v>64200</v>
      </c>
      <c r="S112" s="1611">
        <f t="shared" si="23"/>
        <v>1825.5924170616113</v>
      </c>
      <c r="T112" s="1611">
        <f t="shared" si="24"/>
        <v>62374.407582938387</v>
      </c>
      <c r="U112" s="1580"/>
      <c r="V112" s="1580"/>
      <c r="W112" s="1580"/>
      <c r="X112" s="1580"/>
      <c r="Y112" s="1580"/>
      <c r="Z112" s="1580"/>
      <c r="AA112" s="1580"/>
      <c r="AB112" s="1580"/>
      <c r="AC112" s="1580"/>
      <c r="AD112" s="1580"/>
      <c r="AE112" s="1580"/>
      <c r="AF112" s="1580"/>
      <c r="AG112" s="1580"/>
      <c r="AH112" s="1580"/>
      <c r="AI112" s="1580"/>
      <c r="AJ112" s="1580"/>
      <c r="AK112" s="1580"/>
      <c r="AL112" s="1580"/>
      <c r="AM112" s="1580"/>
    </row>
    <row r="113" spans="1:39" ht="0.75" customHeight="1">
      <c r="A113" s="1609">
        <v>145</v>
      </c>
      <c r="B113" s="1618" t="s">
        <v>1386</v>
      </c>
      <c r="C113" s="1621"/>
      <c r="D113" s="1618" t="s">
        <v>1022</v>
      </c>
      <c r="E113" s="1662">
        <v>15941</v>
      </c>
      <c r="F113" s="1581"/>
      <c r="G113" s="1581"/>
      <c r="H113" s="1581"/>
      <c r="I113" s="1609"/>
      <c r="J113" s="1609"/>
      <c r="K113" s="1581"/>
      <c r="L113" s="1618"/>
      <c r="M113" s="1618"/>
      <c r="N113" s="1581"/>
      <c r="O113" s="1581"/>
      <c r="P113" s="1581"/>
      <c r="Q113" s="1581"/>
      <c r="R113" s="1611"/>
      <c r="S113" s="1611"/>
      <c r="T113" s="1611"/>
      <c r="U113" s="1580"/>
      <c r="V113" s="1580"/>
      <c r="W113" s="1580"/>
      <c r="X113" s="1580"/>
      <c r="Y113" s="1580"/>
      <c r="Z113" s="1580"/>
      <c r="AA113" s="1580"/>
      <c r="AB113" s="1580"/>
      <c r="AC113" s="1580"/>
      <c r="AD113" s="1580"/>
      <c r="AE113" s="1580"/>
      <c r="AF113" s="1580"/>
      <c r="AG113" s="1580"/>
      <c r="AH113" s="1580"/>
      <c r="AI113" s="1580"/>
      <c r="AJ113" s="1580"/>
      <c r="AK113" s="1580"/>
      <c r="AL113" s="1580"/>
      <c r="AM113" s="1580"/>
    </row>
    <row r="114" spans="1:39">
      <c r="A114" s="1609">
        <v>197</v>
      </c>
      <c r="B114" s="1618" t="s">
        <v>1387</v>
      </c>
      <c r="C114" s="1621" t="s">
        <v>1388</v>
      </c>
      <c r="D114" s="1618" t="s">
        <v>1268</v>
      </c>
      <c r="E114" s="1662">
        <v>15941</v>
      </c>
      <c r="F114" s="1581"/>
      <c r="G114" s="1581"/>
      <c r="H114" s="1581"/>
      <c r="I114" s="1609">
        <v>6</v>
      </c>
      <c r="J114" s="1609">
        <v>205</v>
      </c>
      <c r="K114" s="1581"/>
      <c r="L114" s="1620">
        <v>132</v>
      </c>
      <c r="M114" s="1620"/>
      <c r="N114" s="1581"/>
      <c r="O114" s="1581"/>
      <c r="P114" s="1581">
        <f t="shared" si="21"/>
        <v>132</v>
      </c>
      <c r="Q114" s="1581">
        <f>600*1.07</f>
        <v>642</v>
      </c>
      <c r="R114" s="1611">
        <f t="shared" si="22"/>
        <v>84744</v>
      </c>
      <c r="S114" s="1611">
        <f t="shared" si="23"/>
        <v>2409.7819905213269</v>
      </c>
      <c r="T114" s="1611">
        <f t="shared" si="24"/>
        <v>82334.218009478675</v>
      </c>
      <c r="U114" s="1580"/>
      <c r="V114" s="1580"/>
      <c r="W114" s="1580"/>
      <c r="X114" s="1580"/>
      <c r="Y114" s="1580"/>
      <c r="Z114" s="1580"/>
      <c r="AA114" s="1580"/>
      <c r="AB114" s="1580"/>
      <c r="AC114" s="1580"/>
      <c r="AD114" s="1580"/>
      <c r="AE114" s="1580"/>
      <c r="AF114" s="1580"/>
      <c r="AG114" s="1580"/>
      <c r="AH114" s="1580"/>
      <c r="AI114" s="1580"/>
      <c r="AJ114" s="1580"/>
      <c r="AK114" s="1580"/>
      <c r="AL114" s="1580"/>
      <c r="AM114" s="1580"/>
    </row>
    <row r="115" spans="1:39" hidden="1">
      <c r="A115" s="1609">
        <v>153</v>
      </c>
      <c r="B115" s="1618" t="s">
        <v>1389</v>
      </c>
      <c r="C115" s="1621"/>
      <c r="D115" s="1618" t="s">
        <v>1022</v>
      </c>
      <c r="E115" s="1662">
        <v>15941</v>
      </c>
      <c r="F115" s="1581"/>
      <c r="G115" s="1581"/>
      <c r="H115" s="1581"/>
      <c r="I115" s="1609">
        <v>6</v>
      </c>
      <c r="J115" s="1609">
        <v>205</v>
      </c>
      <c r="K115" s="1581"/>
      <c r="L115" s="1618"/>
      <c r="M115" s="1618"/>
      <c r="N115" s="1581"/>
      <c r="O115" s="1581"/>
      <c r="P115" s="1581">
        <f t="shared" si="21"/>
        <v>0</v>
      </c>
      <c r="Q115" s="1581"/>
      <c r="R115" s="1611">
        <f t="shared" si="22"/>
        <v>0</v>
      </c>
      <c r="S115" s="1611">
        <f t="shared" si="23"/>
        <v>0</v>
      </c>
      <c r="T115" s="1611">
        <f t="shared" si="24"/>
        <v>0</v>
      </c>
      <c r="U115" s="1580"/>
      <c r="V115" s="1580"/>
      <c r="W115" s="1580"/>
      <c r="X115" s="1580"/>
      <c r="Y115" s="1580"/>
      <c r="Z115" s="1580"/>
      <c r="AA115" s="1580"/>
      <c r="AB115" s="1580"/>
      <c r="AC115" s="1580"/>
      <c r="AD115" s="1580"/>
      <c r="AE115" s="1580"/>
      <c r="AF115" s="1580"/>
      <c r="AG115" s="1580"/>
      <c r="AH115" s="1580"/>
      <c r="AI115" s="1580"/>
      <c r="AJ115" s="1580"/>
      <c r="AK115" s="1580"/>
      <c r="AL115" s="1580"/>
      <c r="AM115" s="1580"/>
    </row>
    <row r="116" spans="1:39" ht="38.25" hidden="1">
      <c r="A116" s="1581"/>
      <c r="B116" s="1056" t="s">
        <v>1390</v>
      </c>
      <c r="C116" s="1614" t="s">
        <v>1391</v>
      </c>
      <c r="D116" s="1056" t="s">
        <v>1203</v>
      </c>
      <c r="E116" s="1662">
        <v>15941</v>
      </c>
      <c r="F116" s="1609"/>
      <c r="G116" s="1609"/>
      <c r="H116" s="1609"/>
      <c r="I116" s="1609">
        <v>6</v>
      </c>
      <c r="J116" s="1609">
        <v>205</v>
      </c>
      <c r="K116" s="1609"/>
      <c r="L116" s="1056"/>
      <c r="M116" s="1056"/>
      <c r="N116" s="1609"/>
      <c r="O116" s="1609"/>
      <c r="P116" s="1581">
        <f t="shared" si="21"/>
        <v>0</v>
      </c>
      <c r="Q116" s="1610"/>
      <c r="R116" s="1611">
        <f t="shared" si="22"/>
        <v>0</v>
      </c>
      <c r="S116" s="1611">
        <f t="shared" si="23"/>
        <v>0</v>
      </c>
      <c r="T116" s="1611">
        <f t="shared" si="24"/>
        <v>0</v>
      </c>
      <c r="U116" s="1580"/>
      <c r="V116" s="1580"/>
      <c r="W116" s="1580"/>
      <c r="X116" s="1580"/>
      <c r="Y116" s="1580"/>
      <c r="Z116" s="1580"/>
      <c r="AA116" s="1580"/>
      <c r="AB116" s="1580"/>
      <c r="AC116" s="1580"/>
      <c r="AD116" s="1580"/>
      <c r="AE116" s="1580"/>
      <c r="AF116" s="1580"/>
      <c r="AG116" s="1580"/>
      <c r="AH116" s="1580"/>
      <c r="AI116" s="1580"/>
      <c r="AJ116" s="1580"/>
      <c r="AK116" s="1580"/>
      <c r="AL116" s="1580"/>
      <c r="AM116" s="1580"/>
    </row>
    <row r="117" spans="1:39" hidden="1">
      <c r="A117" s="1609">
        <v>249</v>
      </c>
      <c r="B117" s="1622" t="s">
        <v>1392</v>
      </c>
      <c r="C117" s="1621"/>
      <c r="D117" s="1622" t="s">
        <v>1022</v>
      </c>
      <c r="E117" s="1662">
        <v>15941</v>
      </c>
      <c r="F117" s="1581"/>
      <c r="G117" s="1581"/>
      <c r="H117" s="1581"/>
      <c r="I117" s="1609">
        <v>6</v>
      </c>
      <c r="J117" s="1609">
        <v>205</v>
      </c>
      <c r="K117" s="1581"/>
      <c r="L117" s="1610"/>
      <c r="M117" s="1610"/>
      <c r="N117" s="1581"/>
      <c r="O117" s="1581"/>
      <c r="P117" s="1581">
        <f t="shared" si="21"/>
        <v>0</v>
      </c>
      <c r="Q117" s="1581"/>
      <c r="R117" s="1611">
        <f t="shared" si="22"/>
        <v>0</v>
      </c>
      <c r="S117" s="1611">
        <f t="shared" si="23"/>
        <v>0</v>
      </c>
      <c r="T117" s="1611">
        <f t="shared" si="24"/>
        <v>0</v>
      </c>
      <c r="U117" s="1580"/>
      <c r="V117" s="1580"/>
      <c r="W117" s="1580"/>
      <c r="X117" s="1580"/>
      <c r="Y117" s="1580"/>
      <c r="Z117" s="1580"/>
      <c r="AA117" s="1580"/>
      <c r="AB117" s="1580"/>
      <c r="AC117" s="1580"/>
      <c r="AD117" s="1580"/>
      <c r="AE117" s="1580"/>
      <c r="AF117" s="1580"/>
      <c r="AG117" s="1580"/>
      <c r="AH117" s="1580"/>
      <c r="AI117" s="1580"/>
      <c r="AJ117" s="1580"/>
      <c r="AK117" s="1580"/>
      <c r="AL117" s="1580"/>
      <c r="AM117" s="1580"/>
    </row>
    <row r="118" spans="1:39">
      <c r="A118" s="1609">
        <v>250</v>
      </c>
      <c r="B118" s="1622" t="s">
        <v>1393</v>
      </c>
      <c r="C118" s="1621" t="s">
        <v>1394</v>
      </c>
      <c r="D118" s="1622" t="s">
        <v>1395</v>
      </c>
      <c r="E118" s="1662">
        <v>15941</v>
      </c>
      <c r="F118" s="1581"/>
      <c r="G118" s="1581"/>
      <c r="H118" s="1581"/>
      <c r="I118" s="1609">
        <v>6</v>
      </c>
      <c r="J118" s="1609">
        <v>205</v>
      </c>
      <c r="K118" s="1581"/>
      <c r="L118" s="1610">
        <v>20</v>
      </c>
      <c r="M118" s="1610"/>
      <c r="N118" s="1581"/>
      <c r="O118" s="1581"/>
      <c r="P118" s="1581">
        <f t="shared" si="21"/>
        <v>20</v>
      </c>
      <c r="Q118" s="1581">
        <f>30*1.07</f>
        <v>32.1</v>
      </c>
      <c r="R118" s="1611">
        <f t="shared" si="22"/>
        <v>642</v>
      </c>
      <c r="S118" s="1611">
        <f t="shared" si="23"/>
        <v>18.255924170616112</v>
      </c>
      <c r="T118" s="1611">
        <f t="shared" si="24"/>
        <v>623.74407582938386</v>
      </c>
      <c r="U118" s="1580"/>
      <c r="V118" s="1580"/>
      <c r="W118" s="1580"/>
      <c r="X118" s="1580"/>
      <c r="Y118" s="1580"/>
      <c r="Z118" s="1580"/>
      <c r="AA118" s="1580"/>
      <c r="AB118" s="1580"/>
      <c r="AC118" s="1580"/>
      <c r="AD118" s="1580"/>
      <c r="AE118" s="1580"/>
      <c r="AF118" s="1580"/>
      <c r="AG118" s="1580"/>
      <c r="AH118" s="1580"/>
      <c r="AI118" s="1580"/>
      <c r="AJ118" s="1580"/>
      <c r="AK118" s="1580"/>
      <c r="AL118" s="1580"/>
      <c r="AM118" s="1580"/>
    </row>
    <row r="119" spans="1:39">
      <c r="A119" s="1609">
        <v>108</v>
      </c>
      <c r="B119" s="1619" t="s">
        <v>1396</v>
      </c>
      <c r="C119" s="1614" t="s">
        <v>1397</v>
      </c>
      <c r="D119" s="1619" t="s">
        <v>1263</v>
      </c>
      <c r="E119" s="1662">
        <v>15941</v>
      </c>
      <c r="F119" s="1609"/>
      <c r="G119" s="1609"/>
      <c r="H119" s="1609"/>
      <c r="I119" s="1609">
        <v>6</v>
      </c>
      <c r="J119" s="1609">
        <v>205</v>
      </c>
      <c r="K119" s="1609"/>
      <c r="L119" s="1619">
        <v>40</v>
      </c>
      <c r="M119" s="1619"/>
      <c r="N119" s="1609"/>
      <c r="O119" s="1609"/>
      <c r="P119" s="1581">
        <f t="shared" si="21"/>
        <v>40</v>
      </c>
      <c r="Q119" s="1609">
        <f>250*1.07</f>
        <v>267.5</v>
      </c>
      <c r="R119" s="1611">
        <f t="shared" si="22"/>
        <v>10700</v>
      </c>
      <c r="S119" s="1611">
        <f t="shared" si="23"/>
        <v>304.26540284360186</v>
      </c>
      <c r="T119" s="1611">
        <f t="shared" si="24"/>
        <v>10395.734597156397</v>
      </c>
      <c r="U119" s="1580"/>
      <c r="V119" s="1580"/>
      <c r="W119" s="1580"/>
      <c r="X119" s="1580"/>
      <c r="Y119" s="1580"/>
      <c r="Z119" s="1580"/>
      <c r="AA119" s="1580"/>
      <c r="AB119" s="1580"/>
      <c r="AC119" s="1580"/>
      <c r="AD119" s="1580"/>
      <c r="AE119" s="1580"/>
      <c r="AF119" s="1580"/>
      <c r="AG119" s="1580"/>
      <c r="AH119" s="1580"/>
      <c r="AI119" s="1580"/>
      <c r="AJ119" s="1580"/>
      <c r="AK119" s="1580"/>
      <c r="AL119" s="1580"/>
      <c r="AM119" s="1580"/>
    </row>
    <row r="120" spans="1:39">
      <c r="A120" s="1609">
        <v>109</v>
      </c>
      <c r="B120" s="1619" t="s">
        <v>1396</v>
      </c>
      <c r="C120" s="1614" t="s">
        <v>1398</v>
      </c>
      <c r="D120" s="1619" t="s">
        <v>1263</v>
      </c>
      <c r="E120" s="1662">
        <v>15941</v>
      </c>
      <c r="F120" s="1609"/>
      <c r="G120" s="1609"/>
      <c r="H120" s="1609"/>
      <c r="I120" s="1609">
        <v>6</v>
      </c>
      <c r="J120" s="1609">
        <v>205</v>
      </c>
      <c r="K120" s="1609"/>
      <c r="L120" s="1619">
        <v>120</v>
      </c>
      <c r="M120" s="1619"/>
      <c r="N120" s="1609"/>
      <c r="O120" s="1609"/>
      <c r="P120" s="1581">
        <f t="shared" si="21"/>
        <v>120</v>
      </c>
      <c r="Q120" s="1609">
        <f>320*1.07</f>
        <v>342.40000000000003</v>
      </c>
      <c r="R120" s="1611">
        <f t="shared" si="22"/>
        <v>41088.000000000007</v>
      </c>
      <c r="S120" s="1611">
        <f t="shared" si="23"/>
        <v>1168.3791469194314</v>
      </c>
      <c r="T120" s="1611">
        <f t="shared" si="24"/>
        <v>39919.620853080574</v>
      </c>
      <c r="U120" s="1580"/>
      <c r="V120" s="1580"/>
      <c r="W120" s="1580"/>
      <c r="X120" s="1580"/>
      <c r="Y120" s="1580"/>
      <c r="Z120" s="1580"/>
      <c r="AA120" s="1580"/>
      <c r="AB120" s="1580"/>
      <c r="AC120" s="1580"/>
      <c r="AD120" s="1580"/>
      <c r="AE120" s="1580"/>
      <c r="AF120" s="1580"/>
      <c r="AG120" s="1580"/>
      <c r="AH120" s="1580"/>
      <c r="AI120" s="1580"/>
      <c r="AJ120" s="1580"/>
      <c r="AK120" s="1580"/>
      <c r="AL120" s="1580"/>
      <c r="AM120" s="1580"/>
    </row>
    <row r="121" spans="1:39" hidden="1">
      <c r="A121" s="1609">
        <v>276</v>
      </c>
      <c r="B121" s="1618" t="s">
        <v>2213</v>
      </c>
      <c r="C121" s="1621" t="s">
        <v>2214</v>
      </c>
      <c r="D121" s="1618" t="s">
        <v>1022</v>
      </c>
      <c r="E121" s="1662">
        <v>15941</v>
      </c>
      <c r="F121" s="1581"/>
      <c r="G121" s="1581"/>
      <c r="H121" s="1581"/>
      <c r="I121" s="1609">
        <v>6</v>
      </c>
      <c r="J121" s="1609">
        <v>205</v>
      </c>
      <c r="K121" s="1581"/>
      <c r="L121" s="1622"/>
      <c r="M121" s="1622"/>
      <c r="N121" s="1581"/>
      <c r="O121" s="1581"/>
      <c r="P121" s="1581">
        <f t="shared" si="21"/>
        <v>0</v>
      </c>
      <c r="Q121" s="1581"/>
      <c r="R121" s="1611">
        <f t="shared" si="22"/>
        <v>0</v>
      </c>
      <c r="S121" s="1611">
        <f t="shared" si="23"/>
        <v>0</v>
      </c>
      <c r="T121" s="1611">
        <f t="shared" si="24"/>
        <v>0</v>
      </c>
      <c r="U121" s="1580" t="s">
        <v>2215</v>
      </c>
      <c r="V121" s="1580"/>
      <c r="W121" s="1580"/>
      <c r="X121" s="1580"/>
      <c r="Y121" s="1580"/>
      <c r="Z121" s="1580"/>
      <c r="AA121" s="1580"/>
      <c r="AB121" s="1580"/>
      <c r="AC121" s="1580"/>
      <c r="AD121" s="1580"/>
      <c r="AE121" s="1580"/>
      <c r="AF121" s="1580"/>
      <c r="AG121" s="1580"/>
      <c r="AH121" s="1580"/>
      <c r="AI121" s="1580"/>
      <c r="AJ121" s="1580"/>
      <c r="AK121" s="1580"/>
      <c r="AL121" s="1580"/>
      <c r="AM121" s="1580"/>
    </row>
    <row r="122" spans="1:39">
      <c r="A122" s="1609">
        <v>94</v>
      </c>
      <c r="B122" s="1619" t="s">
        <v>1399</v>
      </c>
      <c r="C122" s="1614" t="s">
        <v>1400</v>
      </c>
      <c r="D122" s="1619" t="s">
        <v>1268</v>
      </c>
      <c r="E122" s="1662">
        <v>15941</v>
      </c>
      <c r="F122" s="1609"/>
      <c r="G122" s="1609"/>
      <c r="H122" s="1609"/>
      <c r="I122" s="1609">
        <v>6</v>
      </c>
      <c r="J122" s="1609">
        <v>205</v>
      </c>
      <c r="K122" s="1609"/>
      <c r="L122" s="1619">
        <v>8</v>
      </c>
      <c r="M122" s="1619"/>
      <c r="N122" s="1609"/>
      <c r="O122" s="1609"/>
      <c r="P122" s="1581">
        <f t="shared" si="21"/>
        <v>8</v>
      </c>
      <c r="Q122" s="1610">
        <f>3000*1.07</f>
        <v>3210</v>
      </c>
      <c r="R122" s="1611">
        <f t="shared" si="22"/>
        <v>25680</v>
      </c>
      <c r="S122" s="1611">
        <f t="shared" si="23"/>
        <v>730.23696682464447</v>
      </c>
      <c r="T122" s="1611">
        <f t="shared" si="24"/>
        <v>24949.763033175357</v>
      </c>
      <c r="U122" s="1580">
        <v>1000</v>
      </c>
      <c r="V122" s="1580"/>
      <c r="W122" s="1580"/>
      <c r="X122" s="1580"/>
      <c r="Y122" s="1580"/>
      <c r="Z122" s="1580"/>
      <c r="AA122" s="1580"/>
      <c r="AB122" s="1580"/>
      <c r="AC122" s="1580"/>
      <c r="AD122" s="1580"/>
      <c r="AE122" s="1580"/>
      <c r="AF122" s="1580"/>
      <c r="AG122" s="1580"/>
      <c r="AH122" s="1580"/>
      <c r="AI122" s="1580"/>
      <c r="AJ122" s="1580"/>
      <c r="AK122" s="1580"/>
      <c r="AL122" s="1580"/>
      <c r="AM122" s="1580"/>
    </row>
    <row r="123" spans="1:39" hidden="1">
      <c r="A123" s="1609">
        <v>191</v>
      </c>
      <c r="B123" s="1620" t="s">
        <v>1401</v>
      </c>
      <c r="C123" s="1621" t="s">
        <v>1402</v>
      </c>
      <c r="D123" s="1620" t="s">
        <v>1022</v>
      </c>
      <c r="E123" s="1662">
        <v>15941</v>
      </c>
      <c r="F123" s="1581"/>
      <c r="G123" s="1581"/>
      <c r="H123" s="1581"/>
      <c r="I123" s="1609">
        <v>6</v>
      </c>
      <c r="J123" s="1609">
        <v>205</v>
      </c>
      <c r="K123" s="1581"/>
      <c r="L123" s="1620"/>
      <c r="M123" s="1620"/>
      <c r="N123" s="1581"/>
      <c r="O123" s="1581"/>
      <c r="P123" s="1581">
        <f t="shared" si="21"/>
        <v>0</v>
      </c>
      <c r="Q123" s="1581"/>
      <c r="R123" s="1611">
        <f t="shared" si="22"/>
        <v>0</v>
      </c>
      <c r="S123" s="1611">
        <f t="shared" si="23"/>
        <v>0</v>
      </c>
      <c r="T123" s="1611">
        <f t="shared" si="24"/>
        <v>0</v>
      </c>
      <c r="U123" s="1580"/>
      <c r="V123" s="1580"/>
      <c r="W123" s="1580"/>
      <c r="X123" s="1580"/>
      <c r="Y123" s="1580"/>
      <c r="Z123" s="1580"/>
      <c r="AA123" s="1580"/>
      <c r="AB123" s="1580"/>
      <c r="AC123" s="1580"/>
      <c r="AD123" s="1580"/>
      <c r="AE123" s="1580"/>
      <c r="AF123" s="1580"/>
      <c r="AG123" s="1580"/>
      <c r="AH123" s="1580"/>
      <c r="AI123" s="1580"/>
      <c r="AJ123" s="1580"/>
      <c r="AK123" s="1580"/>
      <c r="AL123" s="1580"/>
      <c r="AM123" s="1580"/>
    </row>
    <row r="124" spans="1:39" ht="25.5" hidden="1">
      <c r="A124" s="1609">
        <v>296</v>
      </c>
      <c r="B124" s="1618" t="s">
        <v>1403</v>
      </c>
      <c r="C124" s="1621" t="s">
        <v>1404</v>
      </c>
      <c r="D124" s="1618" t="s">
        <v>1022</v>
      </c>
      <c r="E124" s="1662">
        <v>15941</v>
      </c>
      <c r="F124" s="1581"/>
      <c r="G124" s="1581"/>
      <c r="H124" s="1581"/>
      <c r="I124" s="1609">
        <v>6</v>
      </c>
      <c r="J124" s="1609">
        <v>205</v>
      </c>
      <c r="K124" s="1581"/>
      <c r="L124" s="1622"/>
      <c r="M124" s="1622"/>
      <c r="N124" s="1581"/>
      <c r="O124" s="1581"/>
      <c r="P124" s="1581">
        <f t="shared" si="21"/>
        <v>0</v>
      </c>
      <c r="Q124" s="1581"/>
      <c r="R124" s="1611">
        <f t="shared" si="22"/>
        <v>0</v>
      </c>
      <c r="S124" s="1611">
        <f t="shared" si="23"/>
        <v>0</v>
      </c>
      <c r="T124" s="1611">
        <f t="shared" si="24"/>
        <v>0</v>
      </c>
      <c r="U124" s="1580"/>
      <c r="V124" s="1580"/>
      <c r="W124" s="1580"/>
      <c r="X124" s="1580"/>
      <c r="Y124" s="1580"/>
      <c r="Z124" s="1580"/>
      <c r="AA124" s="1580"/>
      <c r="AB124" s="1580"/>
      <c r="AC124" s="1580"/>
      <c r="AD124" s="1580"/>
      <c r="AE124" s="1580"/>
      <c r="AF124" s="1580"/>
      <c r="AG124" s="1580"/>
      <c r="AH124" s="1580"/>
      <c r="AI124" s="1580"/>
      <c r="AJ124" s="1580"/>
      <c r="AK124" s="1580"/>
      <c r="AL124" s="1580"/>
      <c r="AM124" s="1580"/>
    </row>
    <row r="125" spans="1:39" hidden="1">
      <c r="A125" s="1609">
        <v>302</v>
      </c>
      <c r="B125" s="1618" t="s">
        <v>1405</v>
      </c>
      <c r="C125" s="1621" t="s">
        <v>1406</v>
      </c>
      <c r="D125" s="1618" t="s">
        <v>1022</v>
      </c>
      <c r="E125" s="1662">
        <v>15941</v>
      </c>
      <c r="F125" s="1581"/>
      <c r="G125" s="1581"/>
      <c r="H125" s="1581"/>
      <c r="I125" s="1609">
        <v>6</v>
      </c>
      <c r="J125" s="1609">
        <v>205</v>
      </c>
      <c r="K125" s="1581"/>
      <c r="L125" s="1622"/>
      <c r="M125" s="1622"/>
      <c r="N125" s="1581"/>
      <c r="O125" s="1581"/>
      <c r="P125" s="1581">
        <f t="shared" si="21"/>
        <v>0</v>
      </c>
      <c r="Q125" s="1581"/>
      <c r="R125" s="1611">
        <f t="shared" si="22"/>
        <v>0</v>
      </c>
      <c r="S125" s="1611">
        <f t="shared" si="23"/>
        <v>0</v>
      </c>
      <c r="T125" s="1611">
        <f t="shared" si="24"/>
        <v>0</v>
      </c>
      <c r="U125" s="1580"/>
      <c r="V125" s="1580"/>
      <c r="W125" s="1580"/>
      <c r="X125" s="1580"/>
      <c r="Y125" s="1580"/>
      <c r="Z125" s="1580"/>
      <c r="AA125" s="1580"/>
      <c r="AB125" s="1580"/>
      <c r="AC125" s="1580"/>
      <c r="AD125" s="1580"/>
      <c r="AE125" s="1580"/>
      <c r="AF125" s="1580"/>
      <c r="AG125" s="1580"/>
      <c r="AH125" s="1580"/>
      <c r="AI125" s="1580"/>
      <c r="AJ125" s="1580"/>
      <c r="AK125" s="1580"/>
      <c r="AL125" s="1580"/>
      <c r="AM125" s="1580"/>
    </row>
    <row r="126" spans="1:39" hidden="1">
      <c r="A126" s="1609">
        <v>301</v>
      </c>
      <c r="B126" s="1618" t="s">
        <v>1407</v>
      </c>
      <c r="C126" s="1621" t="s">
        <v>1408</v>
      </c>
      <c r="D126" s="1618" t="s">
        <v>1022</v>
      </c>
      <c r="E126" s="1662">
        <v>15941</v>
      </c>
      <c r="F126" s="1581"/>
      <c r="G126" s="1581"/>
      <c r="H126" s="1581"/>
      <c r="I126" s="1609">
        <v>6</v>
      </c>
      <c r="J126" s="1609">
        <v>205</v>
      </c>
      <c r="K126" s="1581"/>
      <c r="L126" s="1622"/>
      <c r="M126" s="1622"/>
      <c r="N126" s="1581"/>
      <c r="O126" s="1581"/>
      <c r="P126" s="1581">
        <f t="shared" si="21"/>
        <v>0</v>
      </c>
      <c r="Q126" s="1581"/>
      <c r="R126" s="1611">
        <f t="shared" si="22"/>
        <v>0</v>
      </c>
      <c r="S126" s="1611">
        <f t="shared" si="23"/>
        <v>0</v>
      </c>
      <c r="T126" s="1611">
        <f t="shared" si="24"/>
        <v>0</v>
      </c>
      <c r="U126" s="1580"/>
      <c r="V126" s="1580"/>
      <c r="W126" s="1580"/>
      <c r="X126" s="1580"/>
      <c r="Y126" s="1580"/>
      <c r="Z126" s="1580"/>
      <c r="AA126" s="1580"/>
      <c r="AB126" s="1580"/>
      <c r="AC126" s="1580"/>
      <c r="AD126" s="1580"/>
      <c r="AE126" s="1580"/>
      <c r="AF126" s="1580"/>
      <c r="AG126" s="1580"/>
      <c r="AH126" s="1580"/>
      <c r="AI126" s="1580"/>
      <c r="AJ126" s="1580"/>
      <c r="AK126" s="1580"/>
      <c r="AL126" s="1580"/>
      <c r="AM126" s="1580"/>
    </row>
    <row r="127" spans="1:39">
      <c r="A127" s="1609">
        <v>103</v>
      </c>
      <c r="B127" s="1619" t="s">
        <v>1409</v>
      </c>
      <c r="C127" s="917" t="s">
        <v>1410</v>
      </c>
      <c r="D127" s="1619" t="s">
        <v>1411</v>
      </c>
      <c r="E127" s="1662">
        <v>15941</v>
      </c>
      <c r="F127" s="1609"/>
      <c r="G127" s="1609"/>
      <c r="H127" s="1609"/>
      <c r="I127" s="1609">
        <v>6</v>
      </c>
      <c r="J127" s="1609">
        <v>205</v>
      </c>
      <c r="K127" s="1609"/>
      <c r="L127" s="1619">
        <v>400</v>
      </c>
      <c r="M127" s="1619"/>
      <c r="N127" s="1609"/>
      <c r="O127" s="1609"/>
      <c r="P127" s="1581">
        <f t="shared" si="21"/>
        <v>400</v>
      </c>
      <c r="Q127" s="1609">
        <f>650*1.07</f>
        <v>695.5</v>
      </c>
      <c r="R127" s="1611">
        <f t="shared" si="22"/>
        <v>278200</v>
      </c>
      <c r="S127" s="1611">
        <f t="shared" si="23"/>
        <v>7910.9004739336488</v>
      </c>
      <c r="T127" s="1611">
        <f t="shared" si="24"/>
        <v>270289.09952606633</v>
      </c>
      <c r="U127" s="1580">
        <v>300</v>
      </c>
      <c r="V127" s="1580"/>
      <c r="W127" s="1580"/>
      <c r="X127" s="1580"/>
      <c r="Y127" s="1580"/>
      <c r="Z127" s="1580"/>
      <c r="AA127" s="1580"/>
      <c r="AB127" s="1580"/>
      <c r="AC127" s="1580"/>
      <c r="AD127" s="1580"/>
      <c r="AE127" s="1580"/>
      <c r="AF127" s="1580"/>
      <c r="AG127" s="1580"/>
      <c r="AH127" s="1580"/>
      <c r="AI127" s="1580"/>
      <c r="AJ127" s="1580"/>
      <c r="AK127" s="1580"/>
      <c r="AL127" s="1580"/>
      <c r="AM127" s="1580"/>
    </row>
    <row r="128" spans="1:39">
      <c r="A128" s="1609">
        <v>104</v>
      </c>
      <c r="B128" s="1619" t="s">
        <v>1409</v>
      </c>
      <c r="C128" s="917" t="s">
        <v>1412</v>
      </c>
      <c r="D128" s="1619" t="s">
        <v>1411</v>
      </c>
      <c r="E128" s="1662">
        <v>15941</v>
      </c>
      <c r="F128" s="1609"/>
      <c r="G128" s="1609"/>
      <c r="H128" s="1609"/>
      <c r="I128" s="1609">
        <v>6</v>
      </c>
      <c r="J128" s="1609">
        <v>205</v>
      </c>
      <c r="K128" s="1609"/>
      <c r="L128" s="1619">
        <v>400</v>
      </c>
      <c r="M128" s="1619"/>
      <c r="N128" s="1609"/>
      <c r="O128" s="1609"/>
      <c r="P128" s="1581">
        <f t="shared" si="21"/>
        <v>400</v>
      </c>
      <c r="Q128" s="1609">
        <f>750*1.07</f>
        <v>802.5</v>
      </c>
      <c r="R128" s="1611">
        <f t="shared" si="22"/>
        <v>321000</v>
      </c>
      <c r="S128" s="1611">
        <f t="shared" si="23"/>
        <v>9127.962085308056</v>
      </c>
      <c r="T128" s="1611">
        <f t="shared" si="24"/>
        <v>311872.03791469196</v>
      </c>
      <c r="U128" s="1580"/>
      <c r="V128" s="1580"/>
      <c r="W128" s="1580"/>
      <c r="X128" s="1580"/>
      <c r="Y128" s="1580"/>
      <c r="Z128" s="1580"/>
      <c r="AA128" s="1580"/>
      <c r="AB128" s="1580"/>
      <c r="AC128" s="1580"/>
      <c r="AD128" s="1580"/>
      <c r="AE128" s="1580"/>
      <c r="AF128" s="1580"/>
      <c r="AG128" s="1580"/>
      <c r="AH128" s="1580"/>
      <c r="AI128" s="1580"/>
      <c r="AJ128" s="1580"/>
      <c r="AK128" s="1580"/>
      <c r="AL128" s="1580"/>
      <c r="AM128" s="1580"/>
    </row>
    <row r="129" spans="1:39">
      <c r="A129" s="1609">
        <v>155</v>
      </c>
      <c r="B129" s="1618" t="s">
        <v>1413</v>
      </c>
      <c r="C129" s="1579" t="s">
        <v>1414</v>
      </c>
      <c r="D129" s="1618" t="s">
        <v>1415</v>
      </c>
      <c r="E129" s="1662">
        <v>15941</v>
      </c>
      <c r="F129" s="1581"/>
      <c r="G129" s="1581"/>
      <c r="H129" s="1581"/>
      <c r="I129" s="1609">
        <v>6</v>
      </c>
      <c r="J129" s="1609">
        <v>205</v>
      </c>
      <c r="K129" s="1581"/>
      <c r="L129" s="1618">
        <v>400</v>
      </c>
      <c r="M129" s="1618"/>
      <c r="N129" s="1581"/>
      <c r="O129" s="1581"/>
      <c r="P129" s="1581">
        <f t="shared" si="21"/>
        <v>400</v>
      </c>
      <c r="Q129" s="1581">
        <f>450*1.07</f>
        <v>481.5</v>
      </c>
      <c r="R129" s="1611">
        <f t="shared" si="22"/>
        <v>192600</v>
      </c>
      <c r="S129" s="1611">
        <f t="shared" si="23"/>
        <v>5476.7772511848343</v>
      </c>
      <c r="T129" s="1611">
        <f t="shared" si="24"/>
        <v>187123.22274881517</v>
      </c>
      <c r="U129" s="1580"/>
      <c r="V129" s="1580"/>
      <c r="W129" s="1580"/>
      <c r="X129" s="1580"/>
      <c r="Y129" s="1580"/>
      <c r="Z129" s="1580"/>
      <c r="AA129" s="1580"/>
      <c r="AB129" s="1580"/>
      <c r="AC129" s="1580"/>
      <c r="AD129" s="1580"/>
      <c r="AE129" s="1580"/>
      <c r="AF129" s="1580"/>
      <c r="AG129" s="1580"/>
      <c r="AH129" s="1580"/>
      <c r="AI129" s="1580"/>
      <c r="AJ129" s="1580"/>
      <c r="AK129" s="1580"/>
      <c r="AL129" s="1580"/>
      <c r="AM129" s="1580"/>
    </row>
    <row r="130" spans="1:39">
      <c r="A130" s="1609">
        <v>105</v>
      </c>
      <c r="B130" s="1619" t="s">
        <v>1416</v>
      </c>
      <c r="C130" s="917" t="s">
        <v>1417</v>
      </c>
      <c r="D130" s="1619" t="s">
        <v>1411</v>
      </c>
      <c r="E130" s="1662">
        <v>15941</v>
      </c>
      <c r="F130" s="1609"/>
      <c r="G130" s="1609"/>
      <c r="H130" s="1609"/>
      <c r="I130" s="1609">
        <v>6</v>
      </c>
      <c r="J130" s="1609">
        <v>205</v>
      </c>
      <c r="K130" s="1609"/>
      <c r="L130" s="1619">
        <v>400</v>
      </c>
      <c r="M130" s="1619"/>
      <c r="N130" s="1609"/>
      <c r="O130" s="1609"/>
      <c r="P130" s="1581">
        <f t="shared" si="21"/>
        <v>400</v>
      </c>
      <c r="Q130" s="1609">
        <f>600*1.07</f>
        <v>642</v>
      </c>
      <c r="R130" s="1611">
        <f t="shared" si="22"/>
        <v>256800</v>
      </c>
      <c r="S130" s="1611">
        <f t="shared" si="23"/>
        <v>7302.3696682464451</v>
      </c>
      <c r="T130" s="1611">
        <f t="shared" si="24"/>
        <v>249497.63033175355</v>
      </c>
      <c r="U130" s="1580"/>
      <c r="V130" s="1580"/>
      <c r="W130" s="1580"/>
      <c r="X130" s="1580"/>
      <c r="Y130" s="1580"/>
      <c r="Z130" s="1580"/>
      <c r="AA130" s="1580"/>
      <c r="AB130" s="1580"/>
      <c r="AC130" s="1580"/>
      <c r="AD130" s="1580"/>
      <c r="AE130" s="1580"/>
      <c r="AF130" s="1580"/>
      <c r="AG130" s="1580"/>
      <c r="AH130" s="1580"/>
      <c r="AI130" s="1580"/>
      <c r="AJ130" s="1580"/>
      <c r="AK130" s="1580"/>
      <c r="AL130" s="1580"/>
      <c r="AM130" s="1580"/>
    </row>
    <row r="131" spans="1:39">
      <c r="A131" s="1609">
        <v>106</v>
      </c>
      <c r="B131" s="1619" t="s">
        <v>1416</v>
      </c>
      <c r="C131" s="917" t="s">
        <v>1418</v>
      </c>
      <c r="D131" s="1619" t="s">
        <v>1415</v>
      </c>
      <c r="E131" s="1662">
        <v>15941</v>
      </c>
      <c r="F131" s="1609"/>
      <c r="G131" s="1609"/>
      <c r="H131" s="1609"/>
      <c r="I131" s="1609">
        <v>6</v>
      </c>
      <c r="J131" s="1609">
        <v>205</v>
      </c>
      <c r="K131" s="1609"/>
      <c r="L131" s="1619">
        <v>300</v>
      </c>
      <c r="M131" s="1619"/>
      <c r="N131" s="1609"/>
      <c r="O131" s="1609"/>
      <c r="P131" s="1581">
        <f t="shared" si="21"/>
        <v>300</v>
      </c>
      <c r="Q131" s="1609">
        <f>800*1.07</f>
        <v>856</v>
      </c>
      <c r="R131" s="1611">
        <f t="shared" si="22"/>
        <v>256800</v>
      </c>
      <c r="S131" s="1611">
        <f t="shared" si="23"/>
        <v>7302.3696682464451</v>
      </c>
      <c r="T131" s="1611">
        <f t="shared" si="24"/>
        <v>249497.63033175355</v>
      </c>
      <c r="U131" s="1580"/>
      <c r="V131" s="1580"/>
      <c r="W131" s="1580"/>
      <c r="X131" s="1580"/>
      <c r="Y131" s="1580"/>
      <c r="Z131" s="1580"/>
      <c r="AA131" s="1580"/>
      <c r="AB131" s="1580"/>
      <c r="AC131" s="1580"/>
      <c r="AD131" s="1580"/>
      <c r="AE131" s="1580"/>
      <c r="AF131" s="1580"/>
      <c r="AG131" s="1580"/>
      <c r="AH131" s="1580"/>
      <c r="AI131" s="1580"/>
      <c r="AJ131" s="1580"/>
      <c r="AK131" s="1580"/>
      <c r="AL131" s="1580"/>
      <c r="AM131" s="1580"/>
    </row>
    <row r="132" spans="1:39" hidden="1">
      <c r="A132" s="1609">
        <v>263</v>
      </c>
      <c r="B132" s="1610" t="s">
        <v>1419</v>
      </c>
      <c r="C132" s="1579" t="s">
        <v>1420</v>
      </c>
      <c r="D132" s="1610" t="s">
        <v>1415</v>
      </c>
      <c r="E132" s="1662">
        <v>15941</v>
      </c>
      <c r="F132" s="1581"/>
      <c r="G132" s="1581"/>
      <c r="H132" s="1581"/>
      <c r="I132" s="1609">
        <v>6</v>
      </c>
      <c r="J132" s="1609">
        <v>205</v>
      </c>
      <c r="K132" s="1581"/>
      <c r="L132" s="1610"/>
      <c r="M132" s="1610"/>
      <c r="N132" s="1581"/>
      <c r="O132" s="1581"/>
      <c r="P132" s="1581">
        <f t="shared" si="21"/>
        <v>0</v>
      </c>
      <c r="Q132" s="1581"/>
      <c r="R132" s="1611">
        <f t="shared" si="22"/>
        <v>0</v>
      </c>
      <c r="S132" s="1611">
        <f t="shared" si="23"/>
        <v>0</v>
      </c>
      <c r="T132" s="1611">
        <f t="shared" si="24"/>
        <v>0</v>
      </c>
      <c r="U132" s="1580"/>
      <c r="V132" s="1580"/>
      <c r="W132" s="1580"/>
      <c r="X132" s="1580"/>
      <c r="Y132" s="1580"/>
      <c r="Z132" s="1580"/>
      <c r="AA132" s="1580"/>
      <c r="AB132" s="1580"/>
      <c r="AC132" s="1580"/>
      <c r="AD132" s="1580"/>
      <c r="AE132" s="1580"/>
      <c r="AF132" s="1580"/>
      <c r="AG132" s="1580"/>
      <c r="AH132" s="1580"/>
      <c r="AI132" s="1580"/>
      <c r="AJ132" s="1580"/>
      <c r="AK132" s="1580"/>
      <c r="AL132" s="1580"/>
      <c r="AM132" s="1580"/>
    </row>
    <row r="133" spans="1:39" hidden="1">
      <c r="A133" s="1609">
        <v>275</v>
      </c>
      <c r="B133" s="1618" t="s">
        <v>1421</v>
      </c>
      <c r="C133" s="1579" t="s">
        <v>1422</v>
      </c>
      <c r="D133" s="1618" t="s">
        <v>1022</v>
      </c>
      <c r="E133" s="1662">
        <v>15941</v>
      </c>
      <c r="F133" s="1581"/>
      <c r="G133" s="1581"/>
      <c r="H133" s="1581"/>
      <c r="I133" s="1609">
        <v>6</v>
      </c>
      <c r="J133" s="1609">
        <v>205</v>
      </c>
      <c r="K133" s="1581"/>
      <c r="L133" s="1622"/>
      <c r="M133" s="1622"/>
      <c r="N133" s="1581"/>
      <c r="O133" s="1581"/>
      <c r="P133" s="1581">
        <f t="shared" si="21"/>
        <v>0</v>
      </c>
      <c r="Q133" s="1581"/>
      <c r="R133" s="1611">
        <f t="shared" si="22"/>
        <v>0</v>
      </c>
      <c r="S133" s="1611">
        <f t="shared" si="23"/>
        <v>0</v>
      </c>
      <c r="T133" s="1611">
        <f t="shared" si="24"/>
        <v>0</v>
      </c>
      <c r="U133" s="1580"/>
      <c r="V133" s="1580"/>
      <c r="W133" s="1580"/>
      <c r="X133" s="1580"/>
      <c r="Y133" s="1580"/>
      <c r="Z133" s="1580"/>
      <c r="AA133" s="1580"/>
      <c r="AB133" s="1580"/>
      <c r="AC133" s="1580"/>
      <c r="AD133" s="1580"/>
      <c r="AE133" s="1580"/>
      <c r="AF133" s="1580"/>
      <c r="AG133" s="1580"/>
      <c r="AH133" s="1580"/>
      <c r="AI133" s="1580"/>
      <c r="AJ133" s="1580"/>
      <c r="AK133" s="1580"/>
      <c r="AL133" s="1580"/>
      <c r="AM133" s="1580"/>
    </row>
    <row r="134" spans="1:39" hidden="1">
      <c r="A134" s="1609">
        <v>274</v>
      </c>
      <c r="B134" s="1618" t="s">
        <v>1423</v>
      </c>
      <c r="C134" s="1579" t="s">
        <v>1424</v>
      </c>
      <c r="D134" s="1618" t="s">
        <v>1022</v>
      </c>
      <c r="E134" s="1662">
        <v>15941</v>
      </c>
      <c r="F134" s="1581"/>
      <c r="G134" s="1581"/>
      <c r="H134" s="1581"/>
      <c r="I134" s="1609">
        <v>6</v>
      </c>
      <c r="J134" s="1609">
        <v>205</v>
      </c>
      <c r="K134" s="1581"/>
      <c r="L134" s="1622"/>
      <c r="M134" s="1622"/>
      <c r="N134" s="1581"/>
      <c r="O134" s="1581"/>
      <c r="P134" s="1581">
        <f t="shared" si="21"/>
        <v>0</v>
      </c>
      <c r="Q134" s="1581"/>
      <c r="R134" s="1611">
        <f t="shared" si="22"/>
        <v>0</v>
      </c>
      <c r="S134" s="1611">
        <f t="shared" si="23"/>
        <v>0</v>
      </c>
      <c r="T134" s="1611">
        <f t="shared" si="24"/>
        <v>0</v>
      </c>
      <c r="U134" s="1580"/>
      <c r="V134" s="1580"/>
      <c r="W134" s="1580"/>
      <c r="X134" s="1580"/>
      <c r="Y134" s="1580"/>
      <c r="Z134" s="1580"/>
      <c r="AA134" s="1580"/>
      <c r="AB134" s="1580"/>
      <c r="AC134" s="1580"/>
      <c r="AD134" s="1580"/>
      <c r="AE134" s="1580"/>
      <c r="AF134" s="1580"/>
      <c r="AG134" s="1580"/>
      <c r="AH134" s="1580"/>
      <c r="AI134" s="1580"/>
      <c r="AJ134" s="1580"/>
      <c r="AK134" s="1580"/>
      <c r="AL134" s="1580"/>
      <c r="AM134" s="1580"/>
    </row>
    <row r="135" spans="1:39">
      <c r="A135" s="1609">
        <v>102</v>
      </c>
      <c r="B135" s="1619" t="s">
        <v>1425</v>
      </c>
      <c r="C135" s="917" t="s">
        <v>1426</v>
      </c>
      <c r="D135" s="1619" t="s">
        <v>1411</v>
      </c>
      <c r="E135" s="1662">
        <v>15941</v>
      </c>
      <c r="F135" s="1609"/>
      <c r="G135" s="1609"/>
      <c r="H135" s="1609"/>
      <c r="I135" s="1609">
        <v>6</v>
      </c>
      <c r="J135" s="1609">
        <v>205</v>
      </c>
      <c r="K135" s="1609"/>
      <c r="L135" s="1619">
        <v>100</v>
      </c>
      <c r="M135" s="1619"/>
      <c r="N135" s="1609"/>
      <c r="O135" s="1609"/>
      <c r="P135" s="1581">
        <f t="shared" si="21"/>
        <v>100</v>
      </c>
      <c r="Q135" s="1609">
        <f>1000*1.07</f>
        <v>1070</v>
      </c>
      <c r="R135" s="1611">
        <f t="shared" si="22"/>
        <v>107000</v>
      </c>
      <c r="S135" s="1611">
        <f t="shared" si="23"/>
        <v>3042.654028436019</v>
      </c>
      <c r="T135" s="1611">
        <f t="shared" si="24"/>
        <v>103957.34597156398</v>
      </c>
      <c r="U135" s="1580"/>
      <c r="V135" s="1580"/>
      <c r="W135" s="1580"/>
      <c r="X135" s="1580"/>
      <c r="Y135" s="1580"/>
      <c r="Z135" s="1580"/>
      <c r="AA135" s="1580"/>
      <c r="AB135" s="1580"/>
      <c r="AC135" s="1580"/>
      <c r="AD135" s="1580"/>
      <c r="AE135" s="1580"/>
      <c r="AF135" s="1580"/>
      <c r="AG135" s="1580"/>
      <c r="AH135" s="1580"/>
      <c r="AI135" s="1580"/>
      <c r="AJ135" s="1580"/>
      <c r="AK135" s="1580"/>
      <c r="AL135" s="1580"/>
      <c r="AM135" s="1580"/>
    </row>
    <row r="136" spans="1:39">
      <c r="A136" s="1609">
        <v>101</v>
      </c>
      <c r="B136" s="1619" t="s">
        <v>1427</v>
      </c>
      <c r="C136" s="917" t="s">
        <v>1428</v>
      </c>
      <c r="D136" s="1619" t="s">
        <v>1411</v>
      </c>
      <c r="E136" s="1662">
        <v>15941</v>
      </c>
      <c r="F136" s="1609"/>
      <c r="G136" s="1609"/>
      <c r="H136" s="1609"/>
      <c r="I136" s="1609">
        <v>6</v>
      </c>
      <c r="J136" s="1609">
        <v>205</v>
      </c>
      <c r="K136" s="1609"/>
      <c r="L136" s="1619">
        <v>100</v>
      </c>
      <c r="M136" s="1619"/>
      <c r="N136" s="1609"/>
      <c r="O136" s="1609"/>
      <c r="P136" s="1581">
        <f t="shared" si="21"/>
        <v>100</v>
      </c>
      <c r="Q136" s="1610">
        <f>1900*1.07</f>
        <v>2033.0000000000002</v>
      </c>
      <c r="R136" s="1611">
        <f t="shared" si="22"/>
        <v>203300.00000000003</v>
      </c>
      <c r="S136" s="1611">
        <f t="shared" si="23"/>
        <v>5781.042654028437</v>
      </c>
      <c r="T136" s="1611">
        <f t="shared" si="24"/>
        <v>197518.9573459716</v>
      </c>
      <c r="U136" s="1580"/>
      <c r="V136" s="1580"/>
      <c r="W136" s="1580"/>
      <c r="X136" s="1580"/>
      <c r="Y136" s="1580"/>
      <c r="Z136" s="1580"/>
      <c r="AA136" s="1580"/>
      <c r="AB136" s="1580"/>
      <c r="AC136" s="1580"/>
      <c r="AD136" s="1580"/>
      <c r="AE136" s="1580"/>
      <c r="AF136" s="1580"/>
      <c r="AG136" s="1580"/>
      <c r="AH136" s="1580"/>
      <c r="AI136" s="1580"/>
      <c r="AJ136" s="1580"/>
      <c r="AK136" s="1580"/>
      <c r="AL136" s="1580"/>
      <c r="AM136" s="1580"/>
    </row>
    <row r="137" spans="1:39">
      <c r="A137" s="1609">
        <v>206</v>
      </c>
      <c r="B137" s="1620" t="s">
        <v>1429</v>
      </c>
      <c r="C137" s="1579" t="s">
        <v>1430</v>
      </c>
      <c r="D137" s="1620" t="s">
        <v>1022</v>
      </c>
      <c r="E137" s="1662">
        <v>15941</v>
      </c>
      <c r="F137" s="1581"/>
      <c r="G137" s="1581"/>
      <c r="H137" s="1581"/>
      <c r="I137" s="1609">
        <v>6</v>
      </c>
      <c r="J137" s="1609">
        <v>205</v>
      </c>
      <c r="K137" s="1581"/>
      <c r="L137" s="1620">
        <v>3</v>
      </c>
      <c r="M137" s="1620"/>
      <c r="N137" s="1581"/>
      <c r="O137" s="1581"/>
      <c r="P137" s="1581">
        <f t="shared" si="21"/>
        <v>3</v>
      </c>
      <c r="Q137" s="1581">
        <f>500*1.07</f>
        <v>535</v>
      </c>
      <c r="R137" s="1611">
        <f t="shared" si="22"/>
        <v>1605</v>
      </c>
      <c r="S137" s="1611">
        <f t="shared" si="23"/>
        <v>45.639810426540279</v>
      </c>
      <c r="T137" s="1611">
        <f t="shared" si="24"/>
        <v>1559.3601895734598</v>
      </c>
      <c r="U137" s="1580"/>
      <c r="V137" s="1580"/>
      <c r="W137" s="1580"/>
      <c r="X137" s="1580"/>
      <c r="Y137" s="1580"/>
      <c r="Z137" s="1580"/>
      <c r="AA137" s="1580"/>
      <c r="AB137" s="1580"/>
      <c r="AC137" s="1580"/>
      <c r="AD137" s="1580"/>
      <c r="AE137" s="1580"/>
      <c r="AF137" s="1580"/>
      <c r="AG137" s="1580"/>
      <c r="AH137" s="1580"/>
      <c r="AI137" s="1580"/>
      <c r="AJ137" s="1580"/>
      <c r="AK137" s="1580"/>
      <c r="AL137" s="1580"/>
      <c r="AM137" s="1580"/>
    </row>
    <row r="138" spans="1:39" hidden="1">
      <c r="A138" s="1609">
        <v>298</v>
      </c>
      <c r="B138" s="1618" t="s">
        <v>1431</v>
      </c>
      <c r="C138" s="1579" t="s">
        <v>1432</v>
      </c>
      <c r="D138" s="1618" t="s">
        <v>1022</v>
      </c>
      <c r="E138" s="1662">
        <v>15941</v>
      </c>
      <c r="F138" s="1581"/>
      <c r="G138" s="1581"/>
      <c r="H138" s="1581"/>
      <c r="I138" s="1609">
        <v>6</v>
      </c>
      <c r="J138" s="1609">
        <v>205</v>
      </c>
      <c r="K138" s="1581"/>
      <c r="L138" s="1622"/>
      <c r="M138" s="1622"/>
      <c r="N138" s="1581"/>
      <c r="O138" s="1581"/>
      <c r="P138" s="1581">
        <f t="shared" si="21"/>
        <v>0</v>
      </c>
      <c r="Q138" s="1581"/>
      <c r="R138" s="1611">
        <f t="shared" si="22"/>
        <v>0</v>
      </c>
      <c r="S138" s="1611">
        <f t="shared" si="23"/>
        <v>0</v>
      </c>
      <c r="T138" s="1611">
        <f t="shared" si="24"/>
        <v>0</v>
      </c>
      <c r="U138" s="1580"/>
      <c r="V138" s="1580"/>
      <c r="W138" s="1580"/>
      <c r="X138" s="1580"/>
      <c r="Y138" s="1580"/>
      <c r="Z138" s="1580"/>
      <c r="AA138" s="1580"/>
      <c r="AB138" s="1580"/>
      <c r="AC138" s="1580"/>
      <c r="AD138" s="1580"/>
      <c r="AE138" s="1580"/>
      <c r="AF138" s="1580"/>
      <c r="AG138" s="1580"/>
      <c r="AH138" s="1580"/>
      <c r="AI138" s="1580"/>
      <c r="AJ138" s="1580"/>
      <c r="AK138" s="1580"/>
      <c r="AL138" s="1580"/>
      <c r="AM138" s="1580"/>
    </row>
    <row r="139" spans="1:39" hidden="1">
      <c r="A139" s="1609">
        <v>299</v>
      </c>
      <c r="B139" s="1618" t="s">
        <v>1433</v>
      </c>
      <c r="C139" s="1579" t="s">
        <v>1434</v>
      </c>
      <c r="D139" s="1618" t="s">
        <v>1022</v>
      </c>
      <c r="E139" s="1662">
        <v>15941</v>
      </c>
      <c r="F139" s="1581"/>
      <c r="G139" s="1581"/>
      <c r="H139" s="1581"/>
      <c r="I139" s="1609">
        <v>6</v>
      </c>
      <c r="J139" s="1609">
        <v>205</v>
      </c>
      <c r="K139" s="1581"/>
      <c r="L139" s="1622"/>
      <c r="M139" s="1622"/>
      <c r="N139" s="1581"/>
      <c r="O139" s="1581"/>
      <c r="P139" s="1581">
        <f t="shared" si="21"/>
        <v>0</v>
      </c>
      <c r="Q139" s="1581"/>
      <c r="R139" s="1611">
        <f t="shared" si="22"/>
        <v>0</v>
      </c>
      <c r="S139" s="1611">
        <f t="shared" si="23"/>
        <v>0</v>
      </c>
      <c r="T139" s="1611">
        <f t="shared" si="24"/>
        <v>0</v>
      </c>
      <c r="U139" s="1580"/>
      <c r="V139" s="1580"/>
      <c r="W139" s="1580"/>
      <c r="X139" s="1580"/>
      <c r="Y139" s="1580"/>
      <c r="Z139" s="1580"/>
      <c r="AA139" s="1580"/>
      <c r="AB139" s="1580"/>
      <c r="AC139" s="1580"/>
      <c r="AD139" s="1580"/>
      <c r="AE139" s="1580"/>
      <c r="AF139" s="1580"/>
      <c r="AG139" s="1580"/>
      <c r="AH139" s="1580"/>
      <c r="AI139" s="1580"/>
      <c r="AJ139" s="1580"/>
      <c r="AK139" s="1580"/>
      <c r="AL139" s="1580"/>
      <c r="AM139" s="1580"/>
    </row>
    <row r="140" spans="1:39">
      <c r="A140" s="1609">
        <v>280</v>
      </c>
      <c r="B140" s="1579" t="s">
        <v>1435</v>
      </c>
      <c r="C140" s="1647" t="s">
        <v>1436</v>
      </c>
      <c r="D140" s="1618" t="s">
        <v>1022</v>
      </c>
      <c r="E140" s="1662">
        <v>15941</v>
      </c>
      <c r="F140" s="1581"/>
      <c r="G140" s="1581"/>
      <c r="H140" s="1581"/>
      <c r="I140" s="1609">
        <v>6</v>
      </c>
      <c r="J140" s="1609">
        <v>205</v>
      </c>
      <c r="K140" s="1581"/>
      <c r="L140" s="1622">
        <v>4</v>
      </c>
      <c r="M140" s="1622"/>
      <c r="N140" s="1581"/>
      <c r="O140" s="1581"/>
      <c r="P140" s="1581">
        <f t="shared" si="21"/>
        <v>4</v>
      </c>
      <c r="Q140" s="1581">
        <f>7000*1.07</f>
        <v>7490</v>
      </c>
      <c r="R140" s="1611">
        <f t="shared" si="22"/>
        <v>29960</v>
      </c>
      <c r="S140" s="1611">
        <f t="shared" si="23"/>
        <v>851.94312796208521</v>
      </c>
      <c r="T140" s="1611">
        <f t="shared" si="24"/>
        <v>29108.056872037916</v>
      </c>
      <c r="U140" s="1580"/>
      <c r="V140" s="1580"/>
      <c r="W140" s="1580"/>
      <c r="X140" s="1580"/>
      <c r="Y140" s="1580"/>
      <c r="Z140" s="1580"/>
      <c r="AA140" s="1580"/>
      <c r="AB140" s="1580"/>
      <c r="AC140" s="1580"/>
      <c r="AD140" s="1580"/>
      <c r="AE140" s="1580"/>
      <c r="AF140" s="1580"/>
      <c r="AG140" s="1580"/>
      <c r="AH140" s="1580"/>
      <c r="AI140" s="1580"/>
      <c r="AJ140" s="1580"/>
      <c r="AK140" s="1580"/>
      <c r="AL140" s="1580"/>
      <c r="AM140" s="1580"/>
    </row>
    <row r="141" spans="1:39" ht="34.5" customHeight="1">
      <c r="A141" s="1609">
        <v>143</v>
      </c>
      <c r="B141" s="1618" t="s">
        <v>1437</v>
      </c>
      <c r="C141" s="1579" t="s">
        <v>1438</v>
      </c>
      <c r="D141" s="1618" t="s">
        <v>1022</v>
      </c>
      <c r="E141" s="1662">
        <v>15941</v>
      </c>
      <c r="F141" s="1581"/>
      <c r="G141" s="1581"/>
      <c r="H141" s="1581"/>
      <c r="I141" s="1609">
        <v>6</v>
      </c>
      <c r="J141" s="1609">
        <v>205</v>
      </c>
      <c r="K141" s="1581"/>
      <c r="L141" s="1618">
        <v>20</v>
      </c>
      <c r="M141" s="1618"/>
      <c r="N141" s="1581"/>
      <c r="O141" s="1581"/>
      <c r="P141" s="1581">
        <f t="shared" si="21"/>
        <v>20</v>
      </c>
      <c r="Q141" s="1581">
        <f>200*1.07</f>
        <v>214</v>
      </c>
      <c r="R141" s="1611">
        <f t="shared" si="22"/>
        <v>4280</v>
      </c>
      <c r="S141" s="1611">
        <f t="shared" si="23"/>
        <v>121.70616113744076</v>
      </c>
      <c r="T141" s="1611">
        <f t="shared" si="24"/>
        <v>4158.2938388625589</v>
      </c>
      <c r="U141" s="1580"/>
      <c r="V141" s="1580"/>
      <c r="W141" s="1580"/>
      <c r="X141" s="1580"/>
      <c r="Y141" s="1580"/>
      <c r="Z141" s="1580"/>
      <c r="AA141" s="1580"/>
      <c r="AB141" s="1580"/>
      <c r="AC141" s="1580"/>
      <c r="AD141" s="1580"/>
      <c r="AE141" s="1580"/>
      <c r="AF141" s="1580"/>
      <c r="AG141" s="1580"/>
      <c r="AH141" s="1580"/>
      <c r="AI141" s="1580"/>
      <c r="AJ141" s="1580"/>
      <c r="AK141" s="1580"/>
      <c r="AL141" s="1580"/>
      <c r="AM141" s="1580"/>
    </row>
    <row r="142" spans="1:39" ht="34.5" hidden="1" customHeight="1">
      <c r="A142" s="1609"/>
      <c r="B142" s="1618" t="s">
        <v>1437</v>
      </c>
      <c r="C142" s="1579" t="s">
        <v>1439</v>
      </c>
      <c r="D142" s="1618"/>
      <c r="E142" s="1662">
        <v>15941</v>
      </c>
      <c r="F142" s="1581"/>
      <c r="G142" s="1581"/>
      <c r="H142" s="1581"/>
      <c r="I142" s="1609"/>
      <c r="J142" s="1609"/>
      <c r="K142" s="1581"/>
      <c r="L142" s="1618"/>
      <c r="M142" s="1618"/>
      <c r="N142" s="1581"/>
      <c r="O142" s="1581"/>
      <c r="P142" s="1581"/>
      <c r="Q142" s="1581"/>
      <c r="R142" s="1611"/>
      <c r="S142" s="1611"/>
      <c r="T142" s="1611"/>
      <c r="U142" s="1580"/>
      <c r="V142" s="1580"/>
      <c r="W142" s="1580"/>
      <c r="X142" s="1580"/>
      <c r="Y142" s="1580"/>
      <c r="Z142" s="1580"/>
      <c r="AA142" s="1580"/>
      <c r="AB142" s="1580"/>
      <c r="AC142" s="1580"/>
      <c r="AD142" s="1580"/>
      <c r="AE142" s="1580"/>
      <c r="AF142" s="1580"/>
      <c r="AG142" s="1580"/>
      <c r="AH142" s="1580"/>
      <c r="AI142" s="1580"/>
      <c r="AJ142" s="1580"/>
      <c r="AK142" s="1580"/>
      <c r="AL142" s="1580"/>
      <c r="AM142" s="1580"/>
    </row>
    <row r="143" spans="1:39">
      <c r="A143" s="1609">
        <v>165</v>
      </c>
      <c r="B143" s="1618" t="s">
        <v>1440</v>
      </c>
      <c r="C143" s="1579" t="s">
        <v>1441</v>
      </c>
      <c r="D143" s="1618" t="s">
        <v>1022</v>
      </c>
      <c r="E143" s="1662">
        <v>15941</v>
      </c>
      <c r="F143" s="1581"/>
      <c r="G143" s="1581"/>
      <c r="H143" s="1581"/>
      <c r="I143" s="1609">
        <v>6</v>
      </c>
      <c r="J143" s="1609">
        <v>205</v>
      </c>
      <c r="K143" s="1581"/>
      <c r="L143" s="1618">
        <v>12</v>
      </c>
      <c r="M143" s="1618"/>
      <c r="N143" s="1581"/>
      <c r="O143" s="1581"/>
      <c r="P143" s="1581">
        <f t="shared" si="21"/>
        <v>12</v>
      </c>
      <c r="Q143" s="1581">
        <f>1500*1.07</f>
        <v>1605</v>
      </c>
      <c r="R143" s="1611">
        <f t="shared" si="22"/>
        <v>19260</v>
      </c>
      <c r="S143" s="1611">
        <f t="shared" si="23"/>
        <v>547.67772511848341</v>
      </c>
      <c r="T143" s="1611">
        <f t="shared" si="24"/>
        <v>18712.322274881517</v>
      </c>
      <c r="U143" s="1580"/>
      <c r="V143" s="1580"/>
      <c r="W143" s="1580"/>
      <c r="X143" s="1580"/>
      <c r="Y143" s="1580"/>
      <c r="Z143" s="1580"/>
      <c r="AA143" s="1580"/>
      <c r="AB143" s="1580"/>
      <c r="AC143" s="1580"/>
      <c r="AD143" s="1580"/>
      <c r="AE143" s="1580"/>
      <c r="AF143" s="1580"/>
      <c r="AG143" s="1580"/>
      <c r="AH143" s="1580"/>
      <c r="AI143" s="1580"/>
      <c r="AJ143" s="1580"/>
      <c r="AK143" s="1580"/>
      <c r="AL143" s="1580"/>
      <c r="AM143" s="1580"/>
    </row>
    <row r="144" spans="1:39">
      <c r="A144" s="1609">
        <v>173</v>
      </c>
      <c r="B144" s="1618" t="s">
        <v>1442</v>
      </c>
      <c r="C144" s="1579" t="s">
        <v>1443</v>
      </c>
      <c r="D144" s="1618" t="s">
        <v>1022</v>
      </c>
      <c r="E144" s="1662">
        <v>15941</v>
      </c>
      <c r="F144" s="1581"/>
      <c r="G144" s="1581"/>
      <c r="H144" s="1581"/>
      <c r="I144" s="1609">
        <v>6</v>
      </c>
      <c r="J144" s="1609">
        <v>205</v>
      </c>
      <c r="K144" s="1581"/>
      <c r="L144" s="1618">
        <v>10</v>
      </c>
      <c r="M144" s="1618"/>
      <c r="N144" s="1581"/>
      <c r="O144" s="1581"/>
      <c r="P144" s="1581">
        <f t="shared" si="21"/>
        <v>10</v>
      </c>
      <c r="Q144" s="1581">
        <f>7000*1.07</f>
        <v>7490</v>
      </c>
      <c r="R144" s="1611">
        <f t="shared" si="22"/>
        <v>74900</v>
      </c>
      <c r="S144" s="1611">
        <f t="shared" si="23"/>
        <v>2129.8578199052131</v>
      </c>
      <c r="T144" s="1611">
        <f t="shared" si="24"/>
        <v>72770.142180094786</v>
      </c>
      <c r="U144" s="1580"/>
      <c r="V144" s="1580"/>
      <c r="W144" s="1580"/>
      <c r="X144" s="1580"/>
      <c r="Y144" s="1580"/>
      <c r="Z144" s="1580"/>
      <c r="AA144" s="1580"/>
      <c r="AB144" s="1580"/>
      <c r="AC144" s="1580"/>
      <c r="AD144" s="1580"/>
      <c r="AE144" s="1580"/>
      <c r="AF144" s="1580"/>
      <c r="AG144" s="1580"/>
      <c r="AH144" s="1580"/>
      <c r="AI144" s="1580"/>
      <c r="AJ144" s="1580"/>
      <c r="AK144" s="1580"/>
      <c r="AL144" s="1580"/>
      <c r="AM144" s="1580"/>
    </row>
    <row r="145" spans="1:39">
      <c r="A145" s="1609">
        <v>192</v>
      </c>
      <c r="B145" s="1620" t="s">
        <v>1444</v>
      </c>
      <c r="C145" s="1579" t="s">
        <v>1445</v>
      </c>
      <c r="D145" s="1620" t="s">
        <v>1022</v>
      </c>
      <c r="E145" s="1662">
        <v>15941</v>
      </c>
      <c r="F145" s="1581"/>
      <c r="G145" s="1581"/>
      <c r="H145" s="1581"/>
      <c r="I145" s="1609">
        <v>6</v>
      </c>
      <c r="J145" s="1609">
        <v>205</v>
      </c>
      <c r="K145" s="1581"/>
      <c r="L145" s="1620">
        <v>15</v>
      </c>
      <c r="M145" s="1620"/>
      <c r="N145" s="1581"/>
      <c r="O145" s="1581"/>
      <c r="P145" s="1581">
        <f t="shared" si="21"/>
        <v>15</v>
      </c>
      <c r="Q145" s="1581">
        <f>3000*1.07</f>
        <v>3210</v>
      </c>
      <c r="R145" s="1611">
        <f t="shared" si="22"/>
        <v>48150</v>
      </c>
      <c r="S145" s="1611">
        <f t="shared" si="23"/>
        <v>1369.1943127962086</v>
      </c>
      <c r="T145" s="1611">
        <f t="shared" si="24"/>
        <v>46780.805687203792</v>
      </c>
      <c r="U145" s="1580"/>
      <c r="V145" s="1580"/>
      <c r="W145" s="1580"/>
      <c r="X145" s="1580"/>
      <c r="Y145" s="1580"/>
      <c r="Z145" s="1580"/>
      <c r="AA145" s="1580"/>
      <c r="AB145" s="1580"/>
      <c r="AC145" s="1580"/>
      <c r="AD145" s="1580"/>
      <c r="AE145" s="1580"/>
      <c r="AF145" s="1580"/>
      <c r="AG145" s="1580"/>
      <c r="AH145" s="1580"/>
      <c r="AI145" s="1580"/>
      <c r="AJ145" s="1580"/>
      <c r="AK145" s="1580"/>
      <c r="AL145" s="1580"/>
      <c r="AM145" s="1580"/>
    </row>
    <row r="146" spans="1:39" ht="38.25">
      <c r="A146" s="1609">
        <v>32</v>
      </c>
      <c r="B146" s="1618" t="s">
        <v>1446</v>
      </c>
      <c r="C146" s="917" t="s">
        <v>1447</v>
      </c>
      <c r="D146" s="1619" t="s">
        <v>1268</v>
      </c>
      <c r="E146" s="1662">
        <v>15941</v>
      </c>
      <c r="F146" s="1609"/>
      <c r="G146" s="1609"/>
      <c r="H146" s="1609"/>
      <c r="I146" s="1609">
        <v>6</v>
      </c>
      <c r="J146" s="1609">
        <v>205</v>
      </c>
      <c r="K146" s="1609"/>
      <c r="L146" s="1623">
        <v>200</v>
      </c>
      <c r="M146" s="1623"/>
      <c r="N146" s="1609"/>
      <c r="O146" s="1609"/>
      <c r="P146" s="1581">
        <f t="shared" si="21"/>
        <v>200</v>
      </c>
      <c r="Q146" s="1610">
        <f>250*1.07</f>
        <v>267.5</v>
      </c>
      <c r="R146" s="1611">
        <f t="shared" si="22"/>
        <v>53500</v>
      </c>
      <c r="S146" s="1611">
        <f t="shared" si="23"/>
        <v>1521.3270142180095</v>
      </c>
      <c r="T146" s="1611">
        <f t="shared" si="24"/>
        <v>51978.672985781988</v>
      </c>
      <c r="U146" s="1580"/>
      <c r="V146" s="1580"/>
      <c r="W146" s="1580"/>
      <c r="X146" s="1580"/>
      <c r="Y146" s="1580"/>
      <c r="Z146" s="1580"/>
      <c r="AA146" s="1580"/>
      <c r="AB146" s="1580"/>
      <c r="AC146" s="1580"/>
      <c r="AD146" s="1580"/>
      <c r="AE146" s="1580"/>
      <c r="AF146" s="1580"/>
      <c r="AG146" s="1580"/>
      <c r="AH146" s="1580"/>
      <c r="AI146" s="1580"/>
      <c r="AJ146" s="1580"/>
      <c r="AK146" s="1580"/>
      <c r="AL146" s="1580"/>
      <c r="AM146" s="1580"/>
    </row>
    <row r="147" spans="1:39" ht="25.5">
      <c r="A147" s="1609">
        <v>33</v>
      </c>
      <c r="B147" s="1618" t="s">
        <v>1446</v>
      </c>
      <c r="C147" s="917" t="s">
        <v>1448</v>
      </c>
      <c r="D147" s="1619" t="s">
        <v>1268</v>
      </c>
      <c r="E147" s="1662">
        <v>15941</v>
      </c>
      <c r="F147" s="1609"/>
      <c r="G147" s="1609"/>
      <c r="H147" s="1609"/>
      <c r="I147" s="1609">
        <v>6</v>
      </c>
      <c r="J147" s="1609">
        <v>205</v>
      </c>
      <c r="K147" s="1609"/>
      <c r="L147" s="1623">
        <v>200</v>
      </c>
      <c r="M147" s="1623"/>
      <c r="N147" s="1609"/>
      <c r="O147" s="1609"/>
      <c r="P147" s="1581">
        <f t="shared" si="21"/>
        <v>200</v>
      </c>
      <c r="Q147" s="1610">
        <f>300*1.07</f>
        <v>321</v>
      </c>
      <c r="R147" s="1611">
        <f t="shared" si="22"/>
        <v>64200</v>
      </c>
      <c r="S147" s="1611">
        <f t="shared" si="23"/>
        <v>1825.5924170616113</v>
      </c>
      <c r="T147" s="1611">
        <f t="shared" si="24"/>
        <v>62374.407582938387</v>
      </c>
      <c r="U147" s="1580"/>
      <c r="V147" s="1580"/>
      <c r="W147" s="1580"/>
      <c r="X147" s="1580"/>
      <c r="Y147" s="1580"/>
      <c r="Z147" s="1580"/>
      <c r="AA147" s="1580"/>
      <c r="AB147" s="1580"/>
      <c r="AC147" s="1580"/>
      <c r="AD147" s="1580"/>
      <c r="AE147" s="1580"/>
      <c r="AF147" s="1580"/>
      <c r="AG147" s="1580"/>
      <c r="AH147" s="1580"/>
      <c r="AI147" s="1580"/>
      <c r="AJ147" s="1580"/>
      <c r="AK147" s="1580"/>
      <c r="AL147" s="1580"/>
      <c r="AM147" s="1580"/>
    </row>
    <row r="148" spans="1:39" ht="25.5" hidden="1">
      <c r="A148" s="1581">
        <v>303</v>
      </c>
      <c r="B148" s="1618" t="s">
        <v>1449</v>
      </c>
      <c r="C148" s="1579" t="s">
        <v>2216</v>
      </c>
      <c r="D148" s="1618" t="s">
        <v>1022</v>
      </c>
      <c r="E148" s="1662">
        <v>15941</v>
      </c>
      <c r="F148" s="1581"/>
      <c r="G148" s="1581"/>
      <c r="H148" s="1581"/>
      <c r="I148" s="1609">
        <v>6</v>
      </c>
      <c r="J148" s="1609">
        <v>205</v>
      </c>
      <c r="K148" s="1581"/>
      <c r="L148" s="1622"/>
      <c r="M148" s="1622"/>
      <c r="N148" s="1581"/>
      <c r="O148" s="1581"/>
      <c r="P148" s="1581">
        <f t="shared" si="21"/>
        <v>0</v>
      </c>
      <c r="Q148" s="1581"/>
      <c r="R148" s="1611">
        <f t="shared" si="22"/>
        <v>0</v>
      </c>
      <c r="S148" s="1611">
        <f t="shared" si="23"/>
        <v>0</v>
      </c>
      <c r="T148" s="1611">
        <f t="shared" si="24"/>
        <v>0</v>
      </c>
      <c r="U148" s="1580"/>
      <c r="V148" s="1580"/>
      <c r="W148" s="1580"/>
      <c r="X148" s="1580"/>
      <c r="Y148" s="1580"/>
      <c r="Z148" s="1580"/>
      <c r="AA148" s="1580"/>
      <c r="AB148" s="1580"/>
      <c r="AC148" s="1580"/>
      <c r="AD148" s="1580"/>
      <c r="AE148" s="1580"/>
      <c r="AF148" s="1580"/>
      <c r="AG148" s="1580"/>
      <c r="AH148" s="1580"/>
      <c r="AI148" s="1580"/>
      <c r="AJ148" s="1580"/>
      <c r="AK148" s="1580"/>
      <c r="AL148" s="1580"/>
      <c r="AM148" s="1580"/>
    </row>
    <row r="149" spans="1:39" ht="25.5">
      <c r="A149" s="1609">
        <v>97</v>
      </c>
      <c r="B149" s="1619" t="s">
        <v>1451</v>
      </c>
      <c r="C149" s="917" t="s">
        <v>1450</v>
      </c>
      <c r="D149" s="1619" t="s">
        <v>1268</v>
      </c>
      <c r="E149" s="1662">
        <v>15941</v>
      </c>
      <c r="F149" s="1609"/>
      <c r="G149" s="1609"/>
      <c r="H149" s="1609"/>
      <c r="I149" s="1609">
        <v>6</v>
      </c>
      <c r="J149" s="1609">
        <v>205</v>
      </c>
      <c r="K149" s="1609"/>
      <c r="L149" s="1619">
        <v>3</v>
      </c>
      <c r="M149" s="1619"/>
      <c r="N149" s="1609"/>
      <c r="O149" s="1609"/>
      <c r="P149" s="1581">
        <f t="shared" si="21"/>
        <v>3</v>
      </c>
      <c r="Q149" s="1610">
        <f>5000*1.07</f>
        <v>5350</v>
      </c>
      <c r="R149" s="1611">
        <f t="shared" si="22"/>
        <v>16050</v>
      </c>
      <c r="S149" s="1611">
        <f t="shared" si="23"/>
        <v>456.39810426540282</v>
      </c>
      <c r="T149" s="1611">
        <f t="shared" si="24"/>
        <v>15593.601895734597</v>
      </c>
      <c r="U149" s="1580"/>
      <c r="V149" s="1580"/>
      <c r="W149" s="1580"/>
      <c r="X149" s="1580"/>
      <c r="Y149" s="1580"/>
      <c r="Z149" s="1580"/>
      <c r="AA149" s="1580"/>
      <c r="AB149" s="1580"/>
      <c r="AC149" s="1580"/>
      <c r="AD149" s="1580"/>
      <c r="AE149" s="1580"/>
      <c r="AF149" s="1580"/>
      <c r="AG149" s="1580"/>
      <c r="AH149" s="1580"/>
      <c r="AI149" s="1580"/>
      <c r="AJ149" s="1580"/>
      <c r="AK149" s="1580"/>
      <c r="AL149" s="1580"/>
      <c r="AM149" s="1580"/>
    </row>
    <row r="150" spans="1:39" ht="38.25">
      <c r="A150" s="1609">
        <v>92</v>
      </c>
      <c r="B150" s="1619" t="s">
        <v>1452</v>
      </c>
      <c r="C150" s="917" t="s">
        <v>1453</v>
      </c>
      <c r="D150" s="1619" t="s">
        <v>1268</v>
      </c>
      <c r="E150" s="1662">
        <v>15941</v>
      </c>
      <c r="F150" s="1609"/>
      <c r="G150" s="1609"/>
      <c r="H150" s="1609"/>
      <c r="I150" s="1609">
        <v>6</v>
      </c>
      <c r="J150" s="1609">
        <v>205</v>
      </c>
      <c r="K150" s="1609"/>
      <c r="L150" s="1619">
        <v>2</v>
      </c>
      <c r="M150" s="1619"/>
      <c r="N150" s="1609"/>
      <c r="O150" s="1609"/>
      <c r="P150" s="1581">
        <f t="shared" si="21"/>
        <v>2</v>
      </c>
      <c r="Q150" s="1610">
        <f>4000*1.07</f>
        <v>4280</v>
      </c>
      <c r="R150" s="1611">
        <f t="shared" si="22"/>
        <v>8560</v>
      </c>
      <c r="S150" s="1611">
        <f t="shared" si="23"/>
        <v>243.41232227488152</v>
      </c>
      <c r="T150" s="1611">
        <f t="shared" si="24"/>
        <v>8316.5876777251178</v>
      </c>
      <c r="U150" s="1580"/>
      <c r="V150" s="1580"/>
      <c r="W150" s="1580"/>
      <c r="X150" s="1580"/>
      <c r="Y150" s="1580"/>
      <c r="Z150" s="1580"/>
      <c r="AA150" s="1580"/>
      <c r="AB150" s="1580"/>
      <c r="AC150" s="1580"/>
      <c r="AD150" s="1580"/>
      <c r="AE150" s="1580"/>
      <c r="AF150" s="1580"/>
      <c r="AG150" s="1580"/>
      <c r="AH150" s="1580"/>
      <c r="AI150" s="1580"/>
      <c r="AJ150" s="1580"/>
      <c r="AK150" s="1580"/>
      <c r="AL150" s="1580"/>
      <c r="AM150" s="1580"/>
    </row>
    <row r="151" spans="1:39">
      <c r="A151" s="1609">
        <v>125</v>
      </c>
      <c r="B151" s="1618" t="s">
        <v>1454</v>
      </c>
      <c r="C151" s="1579" t="s">
        <v>1455</v>
      </c>
      <c r="D151" s="1618" t="s">
        <v>1268</v>
      </c>
      <c r="E151" s="1662">
        <v>15941</v>
      </c>
      <c r="F151" s="1581"/>
      <c r="G151" s="1581"/>
      <c r="H151" s="1581"/>
      <c r="I151" s="1609">
        <v>6</v>
      </c>
      <c r="J151" s="1609">
        <v>205</v>
      </c>
      <c r="K151" s="1581"/>
      <c r="L151" s="1618">
        <v>12</v>
      </c>
      <c r="M151" s="1618"/>
      <c r="N151" s="1581"/>
      <c r="O151" s="1581"/>
      <c r="P151" s="1581">
        <f t="shared" si="21"/>
        <v>12</v>
      </c>
      <c r="Q151" s="1581">
        <f>2600*1.07</f>
        <v>2782</v>
      </c>
      <c r="R151" s="1611">
        <f t="shared" si="22"/>
        <v>33384</v>
      </c>
      <c r="S151" s="1611">
        <f t="shared" si="23"/>
        <v>949.30805687203792</v>
      </c>
      <c r="T151" s="1611">
        <f t="shared" si="24"/>
        <v>32434.69194312796</v>
      </c>
      <c r="U151" s="1580"/>
      <c r="V151" s="1580"/>
      <c r="W151" s="1580"/>
      <c r="X151" s="1580"/>
      <c r="Y151" s="1580"/>
      <c r="Z151" s="1580"/>
      <c r="AA151" s="1580"/>
      <c r="AB151" s="1580"/>
      <c r="AC151" s="1580"/>
      <c r="AD151" s="1580"/>
      <c r="AE151" s="1580"/>
      <c r="AF151" s="1580"/>
      <c r="AG151" s="1580"/>
      <c r="AH151" s="1580"/>
      <c r="AI151" s="1580"/>
      <c r="AJ151" s="1580"/>
      <c r="AK151" s="1580"/>
      <c r="AL151" s="1580"/>
      <c r="AM151" s="1580"/>
    </row>
    <row r="152" spans="1:39">
      <c r="A152" s="1609">
        <v>126</v>
      </c>
      <c r="B152" s="1618" t="s">
        <v>1456</v>
      </c>
      <c r="C152" s="1579" t="s">
        <v>1457</v>
      </c>
      <c r="D152" s="1618" t="s">
        <v>1268</v>
      </c>
      <c r="E152" s="1662">
        <v>15941</v>
      </c>
      <c r="F152" s="1581"/>
      <c r="G152" s="1581"/>
      <c r="H152" s="1581"/>
      <c r="I152" s="1609">
        <v>6</v>
      </c>
      <c r="J152" s="1609">
        <v>205</v>
      </c>
      <c r="K152" s="1581"/>
      <c r="L152" s="1618">
        <v>12</v>
      </c>
      <c r="M152" s="1618"/>
      <c r="N152" s="1581"/>
      <c r="O152" s="1581"/>
      <c r="P152" s="1581">
        <f t="shared" si="21"/>
        <v>12</v>
      </c>
      <c r="Q152" s="1581">
        <f>3900*1.07</f>
        <v>4173</v>
      </c>
      <c r="R152" s="1611">
        <f t="shared" si="22"/>
        <v>50076</v>
      </c>
      <c r="S152" s="1611">
        <f t="shared" si="23"/>
        <v>1423.9620853080569</v>
      </c>
      <c r="T152" s="1611">
        <f t="shared" si="24"/>
        <v>48652.037914691944</v>
      </c>
      <c r="U152" s="1580"/>
      <c r="V152" s="1580"/>
      <c r="W152" s="1580"/>
      <c r="X152" s="1580"/>
      <c r="Y152" s="1580"/>
      <c r="Z152" s="1580"/>
      <c r="AA152" s="1580"/>
      <c r="AB152" s="1580"/>
      <c r="AC152" s="1580"/>
      <c r="AD152" s="1580"/>
      <c r="AE152" s="1580"/>
      <c r="AF152" s="1580"/>
      <c r="AG152" s="1580"/>
      <c r="AH152" s="1580"/>
      <c r="AI152" s="1580"/>
      <c r="AJ152" s="1580"/>
      <c r="AK152" s="1580"/>
      <c r="AL152" s="1580"/>
      <c r="AM152" s="1580"/>
    </row>
    <row r="153" spans="1:39">
      <c r="A153" s="1609">
        <v>127</v>
      </c>
      <c r="B153" s="1618" t="s">
        <v>1458</v>
      </c>
      <c r="C153" s="1579" t="s">
        <v>1457</v>
      </c>
      <c r="D153" s="1618" t="s">
        <v>1268</v>
      </c>
      <c r="E153" s="1662">
        <v>15941</v>
      </c>
      <c r="F153" s="1581"/>
      <c r="G153" s="1581"/>
      <c r="H153" s="1581"/>
      <c r="I153" s="1609">
        <v>6</v>
      </c>
      <c r="J153" s="1609">
        <v>205</v>
      </c>
      <c r="K153" s="1581"/>
      <c r="L153" s="1618">
        <v>4</v>
      </c>
      <c r="M153" s="1618"/>
      <c r="N153" s="1581"/>
      <c r="O153" s="1581"/>
      <c r="P153" s="1581">
        <f t="shared" si="21"/>
        <v>4</v>
      </c>
      <c r="Q153" s="1581">
        <f>4700*1.07</f>
        <v>5029</v>
      </c>
      <c r="R153" s="1611">
        <f t="shared" si="22"/>
        <v>20116</v>
      </c>
      <c r="S153" s="1611">
        <f t="shared" si="23"/>
        <v>572.01895734597156</v>
      </c>
      <c r="T153" s="1611">
        <f t="shared" si="24"/>
        <v>19543.981042654028</v>
      </c>
      <c r="U153" s="1580"/>
      <c r="V153" s="1580"/>
      <c r="W153" s="1580"/>
      <c r="X153" s="1580"/>
      <c r="Y153" s="1580"/>
      <c r="Z153" s="1580"/>
      <c r="AA153" s="1580"/>
      <c r="AB153" s="1580"/>
      <c r="AC153" s="1580"/>
      <c r="AD153" s="1580"/>
      <c r="AE153" s="1580"/>
      <c r="AF153" s="1580"/>
      <c r="AG153" s="1580"/>
      <c r="AH153" s="1580"/>
      <c r="AI153" s="1580"/>
      <c r="AJ153" s="1580"/>
      <c r="AK153" s="1580"/>
      <c r="AL153" s="1580"/>
      <c r="AM153" s="1580"/>
    </row>
    <row r="154" spans="1:39">
      <c r="A154" s="1609">
        <v>128</v>
      </c>
      <c r="B154" s="1618" t="s">
        <v>1459</v>
      </c>
      <c r="C154" s="1579" t="s">
        <v>1457</v>
      </c>
      <c r="D154" s="1618" t="s">
        <v>1268</v>
      </c>
      <c r="E154" s="1662">
        <v>15941</v>
      </c>
      <c r="F154" s="1581"/>
      <c r="G154" s="1581"/>
      <c r="H154" s="1581"/>
      <c r="I154" s="1609">
        <v>6</v>
      </c>
      <c r="J154" s="1609">
        <v>205</v>
      </c>
      <c r="K154" s="1581"/>
      <c r="L154" s="1618">
        <v>2</v>
      </c>
      <c r="M154" s="1618"/>
      <c r="N154" s="1581"/>
      <c r="O154" s="1581"/>
      <c r="P154" s="1581">
        <f t="shared" si="21"/>
        <v>2</v>
      </c>
      <c r="Q154" s="1581">
        <f>6100*1.07</f>
        <v>6527</v>
      </c>
      <c r="R154" s="1611">
        <f t="shared" si="22"/>
        <v>13054</v>
      </c>
      <c r="S154" s="1611">
        <f t="shared" si="23"/>
        <v>371.2037914691943</v>
      </c>
      <c r="T154" s="1611">
        <f t="shared" si="24"/>
        <v>12682.796208530806</v>
      </c>
      <c r="U154" s="1580"/>
      <c r="V154" s="1580"/>
      <c r="W154" s="1580"/>
      <c r="X154" s="1580"/>
      <c r="Y154" s="1580"/>
      <c r="Z154" s="1580"/>
      <c r="AA154" s="1580"/>
      <c r="AB154" s="1580"/>
      <c r="AC154" s="1580"/>
      <c r="AD154" s="1580"/>
      <c r="AE154" s="1580"/>
      <c r="AF154" s="1580"/>
      <c r="AG154" s="1580"/>
      <c r="AH154" s="1580"/>
      <c r="AI154" s="1580"/>
      <c r="AJ154" s="1580"/>
      <c r="AK154" s="1580"/>
      <c r="AL154" s="1580"/>
      <c r="AM154" s="1580"/>
    </row>
    <row r="155" spans="1:39">
      <c r="A155" s="1609">
        <v>122</v>
      </c>
      <c r="B155" s="1619" t="s">
        <v>1460</v>
      </c>
      <c r="C155" s="1579" t="s">
        <v>1461</v>
      </c>
      <c r="D155" s="1619" t="s">
        <v>1268</v>
      </c>
      <c r="E155" s="1662">
        <v>15941</v>
      </c>
      <c r="F155" s="1581"/>
      <c r="G155" s="1581"/>
      <c r="H155" s="1609"/>
      <c r="I155" s="1609">
        <v>6</v>
      </c>
      <c r="J155" s="1609">
        <v>205</v>
      </c>
      <c r="K155" s="1609"/>
      <c r="L155" s="1619">
        <v>60</v>
      </c>
      <c r="M155" s="1619"/>
      <c r="N155" s="1609"/>
      <c r="O155" s="1609"/>
      <c r="P155" s="1581">
        <f t="shared" si="21"/>
        <v>60</v>
      </c>
      <c r="Q155" s="1609">
        <f>5000*1.07</f>
        <v>5350</v>
      </c>
      <c r="R155" s="1611">
        <f t="shared" si="22"/>
        <v>321000</v>
      </c>
      <c r="S155" s="1611">
        <f t="shared" si="23"/>
        <v>9127.962085308056</v>
      </c>
      <c r="T155" s="1611">
        <f t="shared" si="24"/>
        <v>311872.03791469196</v>
      </c>
      <c r="U155" s="1580"/>
      <c r="V155" s="1580"/>
      <c r="W155" s="1580"/>
      <c r="X155" s="1580"/>
      <c r="Y155" s="1580"/>
      <c r="Z155" s="1580"/>
      <c r="AA155" s="1580"/>
      <c r="AB155" s="1580"/>
      <c r="AC155" s="1580"/>
      <c r="AD155" s="1580"/>
      <c r="AE155" s="1580"/>
      <c r="AF155" s="1580"/>
      <c r="AG155" s="1580"/>
      <c r="AH155" s="1580"/>
      <c r="AI155" s="1580"/>
      <c r="AJ155" s="1580"/>
      <c r="AK155" s="1580"/>
      <c r="AL155" s="1580"/>
      <c r="AM155" s="1580"/>
    </row>
    <row r="156" spans="1:39" ht="25.5">
      <c r="A156" s="1609">
        <v>227</v>
      </c>
      <c r="B156" s="1620" t="s">
        <v>1462</v>
      </c>
      <c r="C156" s="1579" t="s">
        <v>1463</v>
      </c>
      <c r="D156" s="1620" t="s">
        <v>1268</v>
      </c>
      <c r="E156" s="1662">
        <v>15941</v>
      </c>
      <c r="F156" s="1581"/>
      <c r="G156" s="1581"/>
      <c r="H156" s="1581"/>
      <c r="I156" s="1609">
        <v>6</v>
      </c>
      <c r="J156" s="1609">
        <v>205</v>
      </c>
      <c r="K156" s="1581"/>
      <c r="L156" s="1620">
        <v>50</v>
      </c>
      <c r="M156" s="1620"/>
      <c r="N156" s="1581"/>
      <c r="O156" s="1581"/>
      <c r="P156" s="1581">
        <f t="shared" si="21"/>
        <v>50</v>
      </c>
      <c r="Q156" s="1581">
        <f>550*1.07</f>
        <v>588.5</v>
      </c>
      <c r="R156" s="1611">
        <f t="shared" si="22"/>
        <v>29425</v>
      </c>
      <c r="S156" s="1611">
        <f t="shared" si="23"/>
        <v>836.72985781990519</v>
      </c>
      <c r="T156" s="1611">
        <f t="shared" si="24"/>
        <v>28588.270142180096</v>
      </c>
      <c r="U156" s="1580"/>
      <c r="V156" s="1580"/>
      <c r="W156" s="1580"/>
      <c r="X156" s="1580"/>
      <c r="Y156" s="1580"/>
      <c r="Z156" s="1580"/>
      <c r="AA156" s="1580"/>
      <c r="AB156" s="1580"/>
      <c r="AC156" s="1580"/>
      <c r="AD156" s="1580"/>
      <c r="AE156" s="1580"/>
      <c r="AF156" s="1580"/>
      <c r="AG156" s="1580"/>
      <c r="AH156" s="1580"/>
      <c r="AI156" s="1580"/>
      <c r="AJ156" s="1580"/>
      <c r="AK156" s="1580"/>
      <c r="AL156" s="1580"/>
      <c r="AM156" s="1580"/>
    </row>
    <row r="157" spans="1:39" ht="25.5">
      <c r="A157" s="1581">
        <v>309</v>
      </c>
      <c r="B157" s="1625" t="s">
        <v>1464</v>
      </c>
      <c r="C157" s="1579" t="s">
        <v>1465</v>
      </c>
      <c r="D157" s="1625" t="s">
        <v>1268</v>
      </c>
      <c r="E157" s="1662">
        <v>15941</v>
      </c>
      <c r="F157" s="1581"/>
      <c r="G157" s="1581"/>
      <c r="H157" s="1581"/>
      <c r="I157" s="1609">
        <v>6</v>
      </c>
      <c r="J157" s="1609">
        <v>205</v>
      </c>
      <c r="K157" s="1581"/>
      <c r="L157" s="1625"/>
      <c r="M157" s="1625"/>
      <c r="N157" s="1581"/>
      <c r="O157" s="1581"/>
      <c r="P157" s="1581">
        <f t="shared" si="21"/>
        <v>0</v>
      </c>
      <c r="Q157" s="1581">
        <f>800*1.07</f>
        <v>856</v>
      </c>
      <c r="R157" s="1611">
        <f t="shared" si="22"/>
        <v>0</v>
      </c>
      <c r="S157" s="1611">
        <f t="shared" si="23"/>
        <v>0</v>
      </c>
      <c r="T157" s="1611">
        <f t="shared" si="24"/>
        <v>0</v>
      </c>
      <c r="U157" s="1580"/>
      <c r="V157" s="1580"/>
      <c r="W157" s="1580"/>
      <c r="X157" s="1580"/>
      <c r="Y157" s="1580"/>
      <c r="Z157" s="1580"/>
      <c r="AA157" s="1580"/>
      <c r="AB157" s="1580"/>
      <c r="AC157" s="1580"/>
      <c r="AD157" s="1580"/>
      <c r="AE157" s="1580"/>
      <c r="AF157" s="1580"/>
      <c r="AG157" s="1580"/>
      <c r="AH157" s="1580"/>
      <c r="AI157" s="1580"/>
      <c r="AJ157" s="1580"/>
      <c r="AK157" s="1580"/>
      <c r="AL157" s="1580"/>
      <c r="AM157" s="1580"/>
    </row>
    <row r="158" spans="1:39" ht="25.5">
      <c r="A158" s="1581">
        <v>310</v>
      </c>
      <c r="B158" s="1625" t="s">
        <v>1464</v>
      </c>
      <c r="C158" s="1579" t="s">
        <v>1466</v>
      </c>
      <c r="D158" s="1625" t="s">
        <v>1268</v>
      </c>
      <c r="E158" s="1662">
        <v>15941</v>
      </c>
      <c r="F158" s="1581"/>
      <c r="G158" s="1581"/>
      <c r="H158" s="1581"/>
      <c r="I158" s="1609">
        <v>6</v>
      </c>
      <c r="J158" s="1609">
        <v>205</v>
      </c>
      <c r="K158" s="1581"/>
      <c r="L158" s="1625"/>
      <c r="M158" s="1625"/>
      <c r="N158" s="1581"/>
      <c r="O158" s="1581"/>
      <c r="P158" s="1581">
        <f t="shared" si="21"/>
        <v>0</v>
      </c>
      <c r="Q158" s="1581">
        <f>680*1.07</f>
        <v>727.6</v>
      </c>
      <c r="R158" s="1611">
        <f t="shared" si="22"/>
        <v>0</v>
      </c>
      <c r="S158" s="1611">
        <f t="shared" si="23"/>
        <v>0</v>
      </c>
      <c r="T158" s="1611">
        <f t="shared" si="24"/>
        <v>0</v>
      </c>
      <c r="U158" s="1580"/>
      <c r="V158" s="1580"/>
      <c r="W158" s="1580"/>
      <c r="X158" s="1580"/>
      <c r="Y158" s="1580"/>
      <c r="Z158" s="1580"/>
      <c r="AA158" s="1580"/>
      <c r="AB158" s="1580"/>
      <c r="AC158" s="1580"/>
      <c r="AD158" s="1580"/>
      <c r="AE158" s="1580"/>
      <c r="AF158" s="1580"/>
      <c r="AG158" s="1580"/>
      <c r="AH158" s="1580"/>
      <c r="AI158" s="1580"/>
      <c r="AJ158" s="1580"/>
      <c r="AK158" s="1580"/>
      <c r="AL158" s="1580"/>
      <c r="AM158" s="1580"/>
    </row>
    <row r="159" spans="1:39" ht="25.5">
      <c r="A159" s="1581">
        <v>311</v>
      </c>
      <c r="B159" s="1625" t="s">
        <v>1464</v>
      </c>
      <c r="C159" s="1579" t="s">
        <v>1467</v>
      </c>
      <c r="D159" s="1625" t="s">
        <v>1268</v>
      </c>
      <c r="E159" s="1662">
        <v>15941</v>
      </c>
      <c r="F159" s="1581"/>
      <c r="G159" s="1581"/>
      <c r="H159" s="1581"/>
      <c r="I159" s="1609">
        <v>6</v>
      </c>
      <c r="J159" s="1609">
        <v>205</v>
      </c>
      <c r="K159" s="1581"/>
      <c r="L159" s="1625"/>
      <c r="M159" s="1625"/>
      <c r="N159" s="1581"/>
      <c r="O159" s="1581"/>
      <c r="P159" s="1581">
        <f t="shared" si="21"/>
        <v>0</v>
      </c>
      <c r="Q159" s="1581">
        <f>1120*1.07</f>
        <v>1198.4000000000001</v>
      </c>
      <c r="R159" s="1611">
        <f t="shared" si="22"/>
        <v>0</v>
      </c>
      <c r="S159" s="1611">
        <f t="shared" si="23"/>
        <v>0</v>
      </c>
      <c r="T159" s="1611">
        <f t="shared" si="24"/>
        <v>0</v>
      </c>
      <c r="U159" s="1580"/>
      <c r="V159" s="1580"/>
      <c r="W159" s="1580"/>
      <c r="X159" s="1580"/>
      <c r="Y159" s="1580"/>
      <c r="Z159" s="1580"/>
      <c r="AA159" s="1580"/>
      <c r="AB159" s="1580"/>
      <c r="AC159" s="1580"/>
      <c r="AD159" s="1580"/>
      <c r="AE159" s="1580"/>
      <c r="AF159" s="1580"/>
      <c r="AG159" s="1580"/>
      <c r="AH159" s="1580"/>
      <c r="AI159" s="1580"/>
      <c r="AJ159" s="1580"/>
      <c r="AK159" s="1580"/>
      <c r="AL159" s="1580"/>
      <c r="AM159" s="1580"/>
    </row>
    <row r="160" spans="1:39">
      <c r="A160" s="1609">
        <v>161</v>
      </c>
      <c r="B160" s="1618" t="s">
        <v>1468</v>
      </c>
      <c r="C160" s="1579"/>
      <c r="D160" s="1618" t="s">
        <v>1022</v>
      </c>
      <c r="E160" s="1662">
        <v>15941</v>
      </c>
      <c r="F160" s="1581"/>
      <c r="G160" s="1581"/>
      <c r="H160" s="1581"/>
      <c r="I160" s="1609">
        <v>6</v>
      </c>
      <c r="J160" s="1609">
        <v>205</v>
      </c>
      <c r="K160" s="1581"/>
      <c r="L160" s="1618">
        <v>1</v>
      </c>
      <c r="M160" s="1618"/>
      <c r="N160" s="1581"/>
      <c r="O160" s="1581"/>
      <c r="P160" s="1581">
        <f t="shared" si="21"/>
        <v>1</v>
      </c>
      <c r="Q160" s="1581">
        <f>50000*1.07</f>
        <v>53500</v>
      </c>
      <c r="R160" s="1611">
        <f t="shared" si="22"/>
        <v>53500</v>
      </c>
      <c r="S160" s="1611">
        <f t="shared" si="23"/>
        <v>1521.3270142180095</v>
      </c>
      <c r="T160" s="1611">
        <f t="shared" si="24"/>
        <v>51978.672985781988</v>
      </c>
      <c r="U160" s="1580"/>
      <c r="V160" s="1580"/>
      <c r="W160" s="1580"/>
      <c r="X160" s="1580"/>
      <c r="Y160" s="1580"/>
      <c r="Z160" s="1580"/>
      <c r="AA160" s="1580"/>
      <c r="AB160" s="1580"/>
      <c r="AC160" s="1580"/>
      <c r="AD160" s="1580"/>
      <c r="AE160" s="1580"/>
      <c r="AF160" s="1580"/>
      <c r="AG160" s="1580"/>
      <c r="AH160" s="1580"/>
      <c r="AI160" s="1580"/>
      <c r="AJ160" s="1580"/>
      <c r="AK160" s="1580"/>
      <c r="AL160" s="1580"/>
      <c r="AM160" s="1580"/>
    </row>
    <row r="161" spans="1:39">
      <c r="A161" s="1609">
        <v>187</v>
      </c>
      <c r="B161" s="1618" t="s">
        <v>1469</v>
      </c>
      <c r="C161" s="1668" t="s">
        <v>1470</v>
      </c>
      <c r="D161" s="1618" t="s">
        <v>1268</v>
      </c>
      <c r="E161" s="1662">
        <v>15941</v>
      </c>
      <c r="F161" s="1581"/>
      <c r="G161" s="1581"/>
      <c r="H161" s="1581"/>
      <c r="I161" s="1609">
        <v>6</v>
      </c>
      <c r="J161" s="1609">
        <v>205</v>
      </c>
      <c r="K161" s="1581"/>
      <c r="L161" s="1620">
        <v>50</v>
      </c>
      <c r="M161" s="1620"/>
      <c r="N161" s="1581"/>
      <c r="O161" s="1581"/>
      <c r="P161" s="1581">
        <f t="shared" si="21"/>
        <v>50</v>
      </c>
      <c r="Q161" s="1581">
        <f>710*1.07</f>
        <v>759.7</v>
      </c>
      <c r="R161" s="1611">
        <f t="shared" si="22"/>
        <v>37985</v>
      </c>
      <c r="S161" s="1611">
        <f t="shared" si="23"/>
        <v>1080.1421800947867</v>
      </c>
      <c r="T161" s="1611">
        <f t="shared" si="24"/>
        <v>36904.857819905214</v>
      </c>
      <c r="U161" s="1580"/>
      <c r="V161" s="1580"/>
      <c r="W161" s="1580"/>
      <c r="X161" s="1580"/>
      <c r="Y161" s="1580"/>
      <c r="Z161" s="1580"/>
      <c r="AA161" s="1580"/>
      <c r="AB161" s="1580"/>
      <c r="AC161" s="1580"/>
      <c r="AD161" s="1580"/>
      <c r="AE161" s="1580"/>
      <c r="AF161" s="1580"/>
      <c r="AG161" s="1580"/>
      <c r="AH161" s="1580"/>
      <c r="AI161" s="1580"/>
      <c r="AJ161" s="1580"/>
      <c r="AK161" s="1580"/>
      <c r="AL161" s="1580"/>
      <c r="AM161" s="1580"/>
    </row>
    <row r="162" spans="1:39">
      <c r="A162" s="1609">
        <v>238</v>
      </c>
      <c r="B162" s="1622" t="s">
        <v>1471</v>
      </c>
      <c r="C162" s="1579" t="s">
        <v>1472</v>
      </c>
      <c r="D162" s="1622" t="s">
        <v>1022</v>
      </c>
      <c r="E162" s="1662">
        <v>15941</v>
      </c>
      <c r="F162" s="1581"/>
      <c r="G162" s="1581"/>
      <c r="H162" s="1581"/>
      <c r="I162" s="1609">
        <v>6</v>
      </c>
      <c r="J162" s="1609">
        <v>205</v>
      </c>
      <c r="K162" s="1581"/>
      <c r="L162" s="1610">
        <v>100</v>
      </c>
      <c r="M162" s="1610"/>
      <c r="N162" s="1581"/>
      <c r="O162" s="1581"/>
      <c r="P162" s="1581">
        <f t="shared" si="21"/>
        <v>100</v>
      </c>
      <c r="Q162" s="1581">
        <f>380*1.07</f>
        <v>406.6</v>
      </c>
      <c r="R162" s="1611">
        <f t="shared" si="22"/>
        <v>40660</v>
      </c>
      <c r="S162" s="1611">
        <f t="shared" si="23"/>
        <v>1156.2085308056871</v>
      </c>
      <c r="T162" s="1611">
        <f t="shared" si="24"/>
        <v>39503.791469194315</v>
      </c>
      <c r="U162" s="1580"/>
      <c r="V162" s="1580"/>
      <c r="W162" s="1580"/>
      <c r="X162" s="1580"/>
      <c r="Y162" s="1580"/>
      <c r="Z162" s="1580"/>
      <c r="AA162" s="1580"/>
      <c r="AB162" s="1580"/>
      <c r="AC162" s="1580"/>
      <c r="AD162" s="1580"/>
      <c r="AE162" s="1580"/>
      <c r="AF162" s="1580"/>
      <c r="AG162" s="1580"/>
      <c r="AH162" s="1580"/>
      <c r="AI162" s="1580"/>
      <c r="AJ162" s="1580"/>
      <c r="AK162" s="1580"/>
      <c r="AL162" s="1580"/>
      <c r="AM162" s="1580"/>
    </row>
    <row r="163" spans="1:39" hidden="1">
      <c r="A163" s="1609">
        <v>204</v>
      </c>
      <c r="B163" s="1620" t="s">
        <v>1473</v>
      </c>
      <c r="C163" s="1579" t="s">
        <v>1474</v>
      </c>
      <c r="D163" s="1620" t="s">
        <v>1022</v>
      </c>
      <c r="E163" s="1662">
        <v>15941</v>
      </c>
      <c r="F163" s="1581"/>
      <c r="G163" s="1581"/>
      <c r="H163" s="1581"/>
      <c r="I163" s="1609">
        <v>6</v>
      </c>
      <c r="J163" s="1609">
        <v>205</v>
      </c>
      <c r="K163" s="1581"/>
      <c r="L163" s="1620"/>
      <c r="M163" s="1620"/>
      <c r="N163" s="1581"/>
      <c r="O163" s="1581"/>
      <c r="P163" s="1581"/>
      <c r="Q163" s="1581"/>
      <c r="R163" s="1611"/>
      <c r="S163" s="1611"/>
      <c r="T163" s="1611"/>
      <c r="U163" s="1580" t="s">
        <v>1475</v>
      </c>
      <c r="V163" s="1580"/>
      <c r="W163" s="1580"/>
      <c r="X163" s="1580"/>
      <c r="Y163" s="1580"/>
      <c r="Z163" s="1580"/>
      <c r="AA163" s="1580"/>
      <c r="AB163" s="1580"/>
      <c r="AC163" s="1580"/>
      <c r="AD163" s="1580"/>
      <c r="AE163" s="1580"/>
      <c r="AF163" s="1580"/>
      <c r="AG163" s="1580"/>
      <c r="AH163" s="1580"/>
      <c r="AI163" s="1580"/>
      <c r="AJ163" s="1580"/>
      <c r="AK163" s="1580"/>
      <c r="AL163" s="1580"/>
      <c r="AM163" s="1580"/>
    </row>
    <row r="164" spans="1:39">
      <c r="A164" s="1609">
        <v>167</v>
      </c>
      <c r="B164" s="1618" t="s">
        <v>1476</v>
      </c>
      <c r="C164" s="1579" t="s">
        <v>1477</v>
      </c>
      <c r="D164" s="1618" t="s">
        <v>1022</v>
      </c>
      <c r="E164" s="1662">
        <v>15941</v>
      </c>
      <c r="F164" s="1581"/>
      <c r="G164" s="1581"/>
      <c r="H164" s="1581"/>
      <c r="I164" s="1609">
        <v>6</v>
      </c>
      <c r="J164" s="1609">
        <v>205</v>
      </c>
      <c r="K164" s="1581"/>
      <c r="L164" s="1618">
        <v>40</v>
      </c>
      <c r="M164" s="1618"/>
      <c r="N164" s="1581"/>
      <c r="O164" s="1581"/>
      <c r="P164" s="1581">
        <f t="shared" si="21"/>
        <v>40</v>
      </c>
      <c r="Q164" s="1581">
        <f>1100*1.07</f>
        <v>1177</v>
      </c>
      <c r="R164" s="1611">
        <f t="shared" si="22"/>
        <v>47080</v>
      </c>
      <c r="S164" s="1611">
        <f t="shared" si="23"/>
        <v>1338.7677725118483</v>
      </c>
      <c r="T164" s="1611">
        <f t="shared" si="24"/>
        <v>45741.232227488152</v>
      </c>
      <c r="U164" s="1580"/>
      <c r="V164" s="1580"/>
      <c r="W164" s="1580"/>
      <c r="X164" s="1580"/>
      <c r="Y164" s="1580"/>
      <c r="Z164" s="1580"/>
      <c r="AA164" s="1580"/>
      <c r="AB164" s="1580"/>
      <c r="AC164" s="1580"/>
      <c r="AD164" s="1580"/>
      <c r="AE164" s="1580"/>
      <c r="AF164" s="1580"/>
      <c r="AG164" s="1580"/>
      <c r="AH164" s="1580"/>
      <c r="AI164" s="1580"/>
      <c r="AJ164" s="1580"/>
      <c r="AK164" s="1580"/>
      <c r="AL164" s="1580"/>
      <c r="AM164" s="1580"/>
    </row>
    <row r="165" spans="1:39">
      <c r="A165" s="1609">
        <v>168</v>
      </c>
      <c r="B165" s="1618" t="s">
        <v>1476</v>
      </c>
      <c r="C165" s="1579" t="s">
        <v>1478</v>
      </c>
      <c r="D165" s="1618" t="s">
        <v>1022</v>
      </c>
      <c r="E165" s="1662">
        <v>15941</v>
      </c>
      <c r="F165" s="1581"/>
      <c r="G165" s="1581"/>
      <c r="H165" s="1581"/>
      <c r="I165" s="1609">
        <v>6</v>
      </c>
      <c r="J165" s="1609">
        <v>205</v>
      </c>
      <c r="K165" s="1581"/>
      <c r="L165" s="1618">
        <v>40</v>
      </c>
      <c r="M165" s="1618"/>
      <c r="N165" s="1581"/>
      <c r="O165" s="1581"/>
      <c r="P165" s="1581">
        <f t="shared" si="21"/>
        <v>40</v>
      </c>
      <c r="Q165" s="1581">
        <f>1300*1.07</f>
        <v>1391</v>
      </c>
      <c r="R165" s="1611">
        <f t="shared" si="22"/>
        <v>55640</v>
      </c>
      <c r="S165" s="1611">
        <f t="shared" si="23"/>
        <v>1582.1800947867298</v>
      </c>
      <c r="T165" s="1611">
        <f t="shared" si="24"/>
        <v>54057.81990521327</v>
      </c>
      <c r="U165" s="1580"/>
      <c r="V165" s="1580"/>
      <c r="W165" s="1580"/>
      <c r="X165" s="1580"/>
      <c r="Y165" s="1580"/>
      <c r="Z165" s="1580"/>
      <c r="AA165" s="1580"/>
      <c r="AB165" s="1580"/>
      <c r="AC165" s="1580"/>
      <c r="AD165" s="1580"/>
      <c r="AE165" s="1580"/>
      <c r="AF165" s="1580"/>
      <c r="AG165" s="1580"/>
      <c r="AH165" s="1580"/>
      <c r="AI165" s="1580"/>
      <c r="AJ165" s="1580"/>
      <c r="AK165" s="1580"/>
      <c r="AL165" s="1580"/>
      <c r="AM165" s="1580"/>
    </row>
    <row r="166" spans="1:39">
      <c r="A166" s="1609">
        <v>169</v>
      </c>
      <c r="B166" s="1618" t="s">
        <v>1476</v>
      </c>
      <c r="C166" s="1579" t="s">
        <v>1479</v>
      </c>
      <c r="D166" s="1618" t="s">
        <v>1022</v>
      </c>
      <c r="E166" s="1662">
        <v>15941</v>
      </c>
      <c r="F166" s="1581"/>
      <c r="G166" s="1581"/>
      <c r="H166" s="1581"/>
      <c r="I166" s="1609">
        <v>6</v>
      </c>
      <c r="J166" s="1609">
        <v>205</v>
      </c>
      <c r="K166" s="1581"/>
      <c r="L166" s="1618">
        <v>20</v>
      </c>
      <c r="M166" s="1618"/>
      <c r="N166" s="1581"/>
      <c r="O166" s="1581"/>
      <c r="P166" s="1581">
        <f t="shared" si="21"/>
        <v>20</v>
      </c>
      <c r="Q166" s="1581">
        <f>1900*1.07</f>
        <v>2033.0000000000002</v>
      </c>
      <c r="R166" s="1611">
        <f t="shared" si="22"/>
        <v>40660.000000000007</v>
      </c>
      <c r="S166" s="1611">
        <f t="shared" si="23"/>
        <v>1156.2085308056874</v>
      </c>
      <c r="T166" s="1611">
        <f t="shared" si="24"/>
        <v>39503.791469194322</v>
      </c>
      <c r="U166" s="1580"/>
      <c r="V166" s="1580"/>
      <c r="W166" s="1580"/>
      <c r="X166" s="1580"/>
      <c r="Y166" s="1580"/>
      <c r="Z166" s="1580"/>
      <c r="AA166" s="1580"/>
      <c r="AB166" s="1580"/>
      <c r="AC166" s="1580"/>
      <c r="AD166" s="1580"/>
      <c r="AE166" s="1580"/>
      <c r="AF166" s="1580"/>
      <c r="AG166" s="1580"/>
      <c r="AH166" s="1580"/>
      <c r="AI166" s="1580"/>
      <c r="AJ166" s="1580"/>
      <c r="AK166" s="1580"/>
      <c r="AL166" s="1580"/>
      <c r="AM166" s="1580"/>
    </row>
    <row r="167" spans="1:39">
      <c r="A167" s="1609">
        <v>172</v>
      </c>
      <c r="B167" s="1618" t="s">
        <v>1476</v>
      </c>
      <c r="C167" s="1579" t="s">
        <v>1480</v>
      </c>
      <c r="D167" s="1618" t="s">
        <v>1022</v>
      </c>
      <c r="E167" s="1662">
        <v>15941</v>
      </c>
      <c r="F167" s="1581"/>
      <c r="G167" s="1581"/>
      <c r="H167" s="1581"/>
      <c r="I167" s="1609">
        <v>6</v>
      </c>
      <c r="J167" s="1609">
        <v>205</v>
      </c>
      <c r="K167" s="1581"/>
      <c r="L167" s="1618">
        <v>10</v>
      </c>
      <c r="M167" s="1618"/>
      <c r="N167" s="1581"/>
      <c r="O167" s="1581"/>
      <c r="P167" s="1581">
        <f t="shared" si="21"/>
        <v>10</v>
      </c>
      <c r="Q167" s="1581">
        <f>7000*1.07</f>
        <v>7490</v>
      </c>
      <c r="R167" s="1611">
        <f t="shared" si="22"/>
        <v>74900</v>
      </c>
      <c r="S167" s="1611">
        <f t="shared" si="23"/>
        <v>2129.8578199052131</v>
      </c>
      <c r="T167" s="1611">
        <f t="shared" si="24"/>
        <v>72770.142180094786</v>
      </c>
      <c r="U167" s="1580"/>
      <c r="V167" s="1580"/>
      <c r="W167" s="1580"/>
      <c r="X167" s="1580"/>
      <c r="Y167" s="1580"/>
      <c r="Z167" s="1580"/>
      <c r="AA167" s="1580"/>
      <c r="AB167" s="1580"/>
      <c r="AC167" s="1580"/>
      <c r="AD167" s="1580"/>
      <c r="AE167" s="1580"/>
      <c r="AF167" s="1580"/>
      <c r="AG167" s="1580"/>
      <c r="AH167" s="1580"/>
      <c r="AI167" s="1580"/>
      <c r="AJ167" s="1580"/>
      <c r="AK167" s="1580"/>
      <c r="AL167" s="1580"/>
      <c r="AM167" s="1580"/>
    </row>
    <row r="168" spans="1:39">
      <c r="A168" s="1609">
        <v>170</v>
      </c>
      <c r="B168" s="1618" t="s">
        <v>1481</v>
      </c>
      <c r="C168" s="1579" t="s">
        <v>1482</v>
      </c>
      <c r="D168" s="1618" t="s">
        <v>1022</v>
      </c>
      <c r="E168" s="1662">
        <v>15941</v>
      </c>
      <c r="F168" s="1581"/>
      <c r="G168" s="1581"/>
      <c r="H168" s="1581"/>
      <c r="I168" s="1609">
        <v>6</v>
      </c>
      <c r="J168" s="1609">
        <v>205</v>
      </c>
      <c r="K168" s="1581"/>
      <c r="L168" s="1618">
        <v>20</v>
      </c>
      <c r="M168" s="1618"/>
      <c r="N168" s="1581"/>
      <c r="O168" s="1581"/>
      <c r="P168" s="1581">
        <f t="shared" ref="P168:P214" si="25">L168-O168</f>
        <v>20</v>
      </c>
      <c r="Q168" s="1581">
        <f>3600*1.07</f>
        <v>3852</v>
      </c>
      <c r="R168" s="1611">
        <f t="shared" ref="R168:R214" si="26">P168*Q168</f>
        <v>77040</v>
      </c>
      <c r="S168" s="1611">
        <f t="shared" ref="S168:S214" si="27">R168*(I168/(I168+J168+K168))</f>
        <v>2190.7109004739336</v>
      </c>
      <c r="T168" s="1611">
        <f t="shared" ref="T168:T214" si="28">R168-S168</f>
        <v>74849.289099526068</v>
      </c>
      <c r="U168" s="1580"/>
      <c r="V168" s="1580"/>
      <c r="W168" s="1580"/>
      <c r="X168" s="1580"/>
      <c r="Y168" s="1580"/>
      <c r="Z168" s="1580"/>
      <c r="AA168" s="1580"/>
      <c r="AB168" s="1580"/>
      <c r="AC168" s="1580"/>
      <c r="AD168" s="1580"/>
      <c r="AE168" s="1580"/>
      <c r="AF168" s="1580"/>
      <c r="AG168" s="1580"/>
      <c r="AH168" s="1580"/>
      <c r="AI168" s="1580"/>
      <c r="AJ168" s="1580"/>
      <c r="AK168" s="1580"/>
      <c r="AL168" s="1580"/>
      <c r="AM168" s="1580"/>
    </row>
    <row r="169" spans="1:39">
      <c r="A169" s="1609">
        <v>171</v>
      </c>
      <c r="B169" s="1618" t="s">
        <v>1481</v>
      </c>
      <c r="C169" s="1579" t="s">
        <v>1483</v>
      </c>
      <c r="D169" s="1618" t="s">
        <v>1022</v>
      </c>
      <c r="E169" s="1662">
        <v>15941</v>
      </c>
      <c r="F169" s="1581"/>
      <c r="G169" s="1581"/>
      <c r="H169" s="1581"/>
      <c r="I169" s="1609">
        <v>6</v>
      </c>
      <c r="J169" s="1609">
        <v>205</v>
      </c>
      <c r="K169" s="1581"/>
      <c r="L169" s="1618">
        <v>10</v>
      </c>
      <c r="M169" s="1618"/>
      <c r="N169" s="1581"/>
      <c r="O169" s="1581"/>
      <c r="P169" s="1581">
        <f t="shared" si="25"/>
        <v>10</v>
      </c>
      <c r="Q169" s="1581">
        <f>5600*1.07</f>
        <v>5992</v>
      </c>
      <c r="R169" s="1611">
        <f t="shared" si="26"/>
        <v>59920</v>
      </c>
      <c r="S169" s="1611">
        <f t="shared" si="27"/>
        <v>1703.8862559241704</v>
      </c>
      <c r="T169" s="1611">
        <f t="shared" si="28"/>
        <v>58216.113744075832</v>
      </c>
      <c r="U169" s="1580"/>
      <c r="V169" s="1580"/>
      <c r="W169" s="1580"/>
      <c r="X169" s="1580"/>
      <c r="Y169" s="1580"/>
      <c r="Z169" s="1580"/>
      <c r="AA169" s="1580"/>
      <c r="AB169" s="1580"/>
      <c r="AC169" s="1580"/>
      <c r="AD169" s="1580"/>
      <c r="AE169" s="1580"/>
      <c r="AF169" s="1580"/>
      <c r="AG169" s="1580"/>
      <c r="AH169" s="1580"/>
      <c r="AI169" s="1580"/>
      <c r="AJ169" s="1580"/>
      <c r="AK169" s="1580"/>
      <c r="AL169" s="1580"/>
      <c r="AM169" s="1580"/>
    </row>
    <row r="170" spans="1:39" s="1580" customFormat="1">
      <c r="A170" s="1609">
        <v>205</v>
      </c>
      <c r="B170" s="1620" t="s">
        <v>1320</v>
      </c>
      <c r="C170" s="1579" t="s">
        <v>2217</v>
      </c>
      <c r="D170" s="1620" t="s">
        <v>1022</v>
      </c>
      <c r="E170" s="1662">
        <v>15941</v>
      </c>
      <c r="F170" s="1581"/>
      <c r="G170" s="1581"/>
      <c r="H170" s="1581"/>
      <c r="I170" s="1609">
        <v>6</v>
      </c>
      <c r="J170" s="1609">
        <v>205</v>
      </c>
      <c r="K170" s="1581"/>
      <c r="L170" s="1620">
        <v>100</v>
      </c>
      <c r="M170" s="1620"/>
      <c r="N170" s="1581"/>
      <c r="O170" s="1581"/>
      <c r="P170" s="1581">
        <f t="shared" si="25"/>
        <v>100</v>
      </c>
      <c r="Q170" s="1581">
        <f>200*1.07</f>
        <v>214</v>
      </c>
      <c r="R170" s="1611">
        <f t="shared" si="26"/>
        <v>21400</v>
      </c>
      <c r="S170" s="1611">
        <f t="shared" si="27"/>
        <v>608.53080568720372</v>
      </c>
      <c r="T170" s="1611">
        <f t="shared" si="28"/>
        <v>20791.469194312795</v>
      </c>
    </row>
    <row r="171" spans="1:39">
      <c r="A171" s="1609">
        <v>207</v>
      </c>
      <c r="B171" s="1620" t="s">
        <v>1485</v>
      </c>
      <c r="C171" s="1579" t="s">
        <v>1486</v>
      </c>
      <c r="D171" s="1620" t="s">
        <v>1022</v>
      </c>
      <c r="E171" s="1662">
        <v>15941</v>
      </c>
      <c r="F171" s="1581"/>
      <c r="G171" s="1581"/>
      <c r="H171" s="1581"/>
      <c r="I171" s="1609">
        <v>6</v>
      </c>
      <c r="J171" s="1609">
        <v>205</v>
      </c>
      <c r="K171" s="1581"/>
      <c r="L171" s="1620">
        <v>10</v>
      </c>
      <c r="M171" s="1620"/>
      <c r="N171" s="1581"/>
      <c r="O171" s="1581"/>
      <c r="P171" s="1581">
        <f t="shared" si="25"/>
        <v>10</v>
      </c>
      <c r="Q171" s="1581">
        <f>500*1.07</f>
        <v>535</v>
      </c>
      <c r="R171" s="1611">
        <f t="shared" si="26"/>
        <v>5350</v>
      </c>
      <c r="S171" s="1611">
        <f t="shared" si="27"/>
        <v>152.13270142180093</v>
      </c>
      <c r="T171" s="1611">
        <f t="shared" si="28"/>
        <v>5197.8672985781986</v>
      </c>
      <c r="U171" s="1580"/>
      <c r="V171" s="1580"/>
      <c r="W171" s="1580"/>
      <c r="X171" s="1580"/>
      <c r="Y171" s="1580"/>
      <c r="Z171" s="1580"/>
      <c r="AA171" s="1580"/>
      <c r="AB171" s="1580"/>
      <c r="AC171" s="1580"/>
      <c r="AD171" s="1580"/>
      <c r="AE171" s="1580"/>
      <c r="AF171" s="1580"/>
      <c r="AG171" s="1580"/>
      <c r="AH171" s="1580"/>
      <c r="AI171" s="1580"/>
      <c r="AJ171" s="1580"/>
      <c r="AK171" s="1580"/>
      <c r="AL171" s="1580"/>
      <c r="AM171" s="1580"/>
    </row>
    <row r="172" spans="1:39">
      <c r="A172" s="1609">
        <v>208</v>
      </c>
      <c r="B172" s="1620" t="s">
        <v>1485</v>
      </c>
      <c r="C172" s="1579" t="s">
        <v>1487</v>
      </c>
      <c r="D172" s="1620" t="s">
        <v>1022</v>
      </c>
      <c r="E172" s="1662">
        <v>15941</v>
      </c>
      <c r="F172" s="1581"/>
      <c r="G172" s="1581"/>
      <c r="H172" s="1581"/>
      <c r="I172" s="1609">
        <v>6</v>
      </c>
      <c r="J172" s="1609">
        <v>205</v>
      </c>
      <c r="K172" s="1581"/>
      <c r="L172" s="1620">
        <v>10</v>
      </c>
      <c r="M172" s="1620"/>
      <c r="N172" s="1581"/>
      <c r="O172" s="1581"/>
      <c r="P172" s="1581">
        <f t="shared" si="25"/>
        <v>10</v>
      </c>
      <c r="Q172" s="1581">
        <f>500*1.07</f>
        <v>535</v>
      </c>
      <c r="R172" s="1611">
        <f t="shared" si="26"/>
        <v>5350</v>
      </c>
      <c r="S172" s="1611">
        <f t="shared" si="27"/>
        <v>152.13270142180093</v>
      </c>
      <c r="T172" s="1611">
        <f t="shared" si="28"/>
        <v>5197.8672985781986</v>
      </c>
      <c r="U172" s="1580"/>
      <c r="V172" s="1580"/>
      <c r="W172" s="1580"/>
      <c r="X172" s="1580"/>
      <c r="Y172" s="1580"/>
      <c r="Z172" s="1580"/>
      <c r="AA172" s="1580"/>
      <c r="AB172" s="1580"/>
      <c r="AC172" s="1580"/>
      <c r="AD172" s="1580"/>
      <c r="AE172" s="1580"/>
      <c r="AF172" s="1580"/>
      <c r="AG172" s="1580"/>
      <c r="AH172" s="1580"/>
      <c r="AI172" s="1580"/>
      <c r="AJ172" s="1580"/>
      <c r="AK172" s="1580"/>
      <c r="AL172" s="1580"/>
      <c r="AM172" s="1580"/>
    </row>
    <row r="173" spans="1:39">
      <c r="A173" s="1609">
        <v>149</v>
      </c>
      <c r="B173" s="1618" t="s">
        <v>1488</v>
      </c>
      <c r="C173" s="1579" t="s">
        <v>1489</v>
      </c>
      <c r="D173" s="1618" t="s">
        <v>1022</v>
      </c>
      <c r="E173" s="1662">
        <v>15941</v>
      </c>
      <c r="F173" s="1581"/>
      <c r="G173" s="1581"/>
      <c r="H173" s="1581"/>
      <c r="I173" s="1609">
        <v>6</v>
      </c>
      <c r="J173" s="1609">
        <v>205</v>
      </c>
      <c r="K173" s="1581"/>
      <c r="L173" s="1618">
        <v>2</v>
      </c>
      <c r="M173" s="1618"/>
      <c r="N173" s="1581"/>
      <c r="O173" s="1581"/>
      <c r="P173" s="1581">
        <f t="shared" si="25"/>
        <v>2</v>
      </c>
      <c r="Q173" s="1581">
        <f>5000*1.07</f>
        <v>5350</v>
      </c>
      <c r="R173" s="1611">
        <f t="shared" si="26"/>
        <v>10700</v>
      </c>
      <c r="S173" s="1611">
        <f t="shared" si="27"/>
        <v>304.26540284360186</v>
      </c>
      <c r="T173" s="1611">
        <f t="shared" si="28"/>
        <v>10395.734597156397</v>
      </c>
      <c r="U173" s="1580"/>
      <c r="V173" s="1580"/>
      <c r="W173" s="1580"/>
      <c r="X173" s="1580"/>
      <c r="Y173" s="1580"/>
      <c r="Z173" s="1580"/>
      <c r="AA173" s="1580"/>
      <c r="AB173" s="1580"/>
      <c r="AC173" s="1580"/>
      <c r="AD173" s="1580"/>
      <c r="AE173" s="1580"/>
      <c r="AF173" s="1580"/>
      <c r="AG173" s="1580"/>
      <c r="AH173" s="1580"/>
      <c r="AI173" s="1580"/>
      <c r="AJ173" s="1580"/>
      <c r="AK173" s="1580"/>
      <c r="AL173" s="1580"/>
      <c r="AM173" s="1580"/>
    </row>
    <row r="174" spans="1:39" hidden="1">
      <c r="A174" s="1609">
        <v>282</v>
      </c>
      <c r="B174" s="1618" t="s">
        <v>1490</v>
      </c>
      <c r="C174" s="1579" t="s">
        <v>1491</v>
      </c>
      <c r="D174" s="1618" t="s">
        <v>1022</v>
      </c>
      <c r="E174" s="1662">
        <v>15941</v>
      </c>
      <c r="F174" s="1581"/>
      <c r="G174" s="1581"/>
      <c r="H174" s="1581"/>
      <c r="I174" s="1609">
        <v>6</v>
      </c>
      <c r="J174" s="1609">
        <v>205</v>
      </c>
      <c r="K174" s="1581"/>
      <c r="L174" s="1622"/>
      <c r="M174" s="1622"/>
      <c r="N174" s="1581"/>
      <c r="O174" s="1581"/>
      <c r="P174" s="1581">
        <f t="shared" si="25"/>
        <v>0</v>
      </c>
      <c r="Q174" s="1581"/>
      <c r="R174" s="1611">
        <f t="shared" si="26"/>
        <v>0</v>
      </c>
      <c r="S174" s="1611">
        <f t="shared" si="27"/>
        <v>0</v>
      </c>
      <c r="T174" s="1611">
        <f t="shared" si="28"/>
        <v>0</v>
      </c>
      <c r="U174" s="1580"/>
      <c r="V174" s="1580"/>
      <c r="W174" s="1580"/>
      <c r="X174" s="1580"/>
      <c r="Y174" s="1580"/>
      <c r="Z174" s="1580"/>
      <c r="AA174" s="1580"/>
      <c r="AB174" s="1580"/>
      <c r="AC174" s="1580"/>
      <c r="AD174" s="1580"/>
      <c r="AE174" s="1580"/>
      <c r="AF174" s="1580"/>
      <c r="AG174" s="1580"/>
      <c r="AH174" s="1580"/>
      <c r="AI174" s="1580"/>
      <c r="AJ174" s="1580"/>
      <c r="AK174" s="1580"/>
      <c r="AL174" s="1580"/>
      <c r="AM174" s="1580"/>
    </row>
    <row r="175" spans="1:39" hidden="1">
      <c r="A175" s="1609">
        <v>283</v>
      </c>
      <c r="B175" s="1618" t="s">
        <v>1490</v>
      </c>
      <c r="C175" s="1579" t="s">
        <v>1492</v>
      </c>
      <c r="D175" s="1618" t="s">
        <v>1022</v>
      </c>
      <c r="E175" s="1662">
        <v>15941</v>
      </c>
      <c r="F175" s="1581"/>
      <c r="G175" s="1581"/>
      <c r="H175" s="1581"/>
      <c r="I175" s="1609">
        <v>6</v>
      </c>
      <c r="J175" s="1609">
        <v>205</v>
      </c>
      <c r="K175" s="1581"/>
      <c r="L175" s="1622"/>
      <c r="M175" s="1622"/>
      <c r="N175" s="1581"/>
      <c r="O175" s="1581"/>
      <c r="P175" s="1581">
        <f t="shared" si="25"/>
        <v>0</v>
      </c>
      <c r="Q175" s="1581"/>
      <c r="R175" s="1611">
        <f t="shared" si="26"/>
        <v>0</v>
      </c>
      <c r="S175" s="1611">
        <f t="shared" si="27"/>
        <v>0</v>
      </c>
      <c r="T175" s="1611">
        <f t="shared" si="28"/>
        <v>0</v>
      </c>
      <c r="U175" s="1580"/>
      <c r="V175" s="1580"/>
      <c r="W175" s="1580"/>
      <c r="X175" s="1580"/>
      <c r="Y175" s="1580"/>
      <c r="Z175" s="1580"/>
      <c r="AA175" s="1580"/>
      <c r="AB175" s="1580"/>
      <c r="AC175" s="1580"/>
      <c r="AD175" s="1580"/>
      <c r="AE175" s="1580"/>
      <c r="AF175" s="1580"/>
      <c r="AG175" s="1580"/>
      <c r="AH175" s="1580"/>
      <c r="AI175" s="1580"/>
      <c r="AJ175" s="1580"/>
      <c r="AK175" s="1580"/>
      <c r="AL175" s="1580"/>
      <c r="AM175" s="1580"/>
    </row>
    <row r="176" spans="1:39" hidden="1">
      <c r="A176" s="1581">
        <v>305</v>
      </c>
      <c r="B176" s="1618" t="s">
        <v>1493</v>
      </c>
      <c r="C176" s="1579" t="s">
        <v>1494</v>
      </c>
      <c r="D176" s="1618" t="s">
        <v>1022</v>
      </c>
      <c r="E176" s="1662">
        <v>15941</v>
      </c>
      <c r="F176" s="1581"/>
      <c r="G176" s="1581"/>
      <c r="H176" s="1581"/>
      <c r="I176" s="1609">
        <v>6</v>
      </c>
      <c r="J176" s="1609">
        <v>205</v>
      </c>
      <c r="K176" s="1581"/>
      <c r="L176" s="1610"/>
      <c r="M176" s="1610"/>
      <c r="N176" s="1581"/>
      <c r="O176" s="1581"/>
      <c r="P176" s="1581">
        <f t="shared" si="25"/>
        <v>0</v>
      </c>
      <c r="Q176" s="1581"/>
      <c r="R176" s="1611">
        <f t="shared" si="26"/>
        <v>0</v>
      </c>
      <c r="S176" s="1611">
        <f t="shared" si="27"/>
        <v>0</v>
      </c>
      <c r="T176" s="1611">
        <f t="shared" si="28"/>
        <v>0</v>
      </c>
      <c r="U176" s="1580"/>
      <c r="V176" s="1580"/>
      <c r="W176" s="1580"/>
      <c r="X176" s="1580"/>
      <c r="Y176" s="1580"/>
      <c r="Z176" s="1580"/>
      <c r="AA176" s="1580"/>
      <c r="AB176" s="1580"/>
      <c r="AC176" s="1580"/>
      <c r="AD176" s="1580"/>
      <c r="AE176" s="1580"/>
      <c r="AF176" s="1580"/>
      <c r="AG176" s="1580"/>
      <c r="AH176" s="1580"/>
      <c r="AI176" s="1580"/>
      <c r="AJ176" s="1580"/>
      <c r="AK176" s="1580"/>
      <c r="AL176" s="1580"/>
      <c r="AM176" s="1580"/>
    </row>
    <row r="177" spans="1:39">
      <c r="A177" s="1609">
        <v>81</v>
      </c>
      <c r="B177" s="1619" t="s">
        <v>1495</v>
      </c>
      <c r="C177" s="917" t="s">
        <v>1496</v>
      </c>
      <c r="D177" s="1619" t="s">
        <v>1268</v>
      </c>
      <c r="E177" s="1662">
        <v>15941</v>
      </c>
      <c r="F177" s="1609"/>
      <c r="G177" s="1609"/>
      <c r="H177" s="1609"/>
      <c r="I177" s="1609">
        <v>6</v>
      </c>
      <c r="J177" s="1609">
        <v>205</v>
      </c>
      <c r="K177" s="1609"/>
      <c r="L177" s="1619">
        <v>300</v>
      </c>
      <c r="M177" s="1619"/>
      <c r="N177" s="1609"/>
      <c r="O177" s="1609"/>
      <c r="P177" s="1581">
        <f t="shared" si="25"/>
        <v>300</v>
      </c>
      <c r="Q177" s="1610">
        <f>1300*1.07</f>
        <v>1391</v>
      </c>
      <c r="R177" s="1611">
        <f t="shared" si="26"/>
        <v>417300</v>
      </c>
      <c r="S177" s="1611">
        <f t="shared" si="27"/>
        <v>11866.350710900473</v>
      </c>
      <c r="T177" s="1611">
        <f t="shared" si="28"/>
        <v>405433.6492890995</v>
      </c>
      <c r="U177" s="1580"/>
      <c r="V177" s="1580"/>
      <c r="W177" s="1580"/>
      <c r="X177" s="1580"/>
      <c r="Y177" s="1580"/>
      <c r="Z177" s="1580"/>
      <c r="AA177" s="1580"/>
      <c r="AB177" s="1580"/>
      <c r="AC177" s="1580"/>
      <c r="AD177" s="1580"/>
      <c r="AE177" s="1580"/>
      <c r="AF177" s="1580"/>
      <c r="AG177" s="1580"/>
      <c r="AH177" s="1580"/>
      <c r="AI177" s="1580"/>
      <c r="AJ177" s="1580"/>
      <c r="AK177" s="1580"/>
      <c r="AL177" s="1580"/>
      <c r="AM177" s="1580"/>
    </row>
    <row r="178" spans="1:39" hidden="1">
      <c r="A178" s="1581">
        <v>312</v>
      </c>
      <c r="B178" s="1625" t="s">
        <v>1495</v>
      </c>
      <c r="C178" s="1579" t="s">
        <v>1497</v>
      </c>
      <c r="D178" s="1625" t="s">
        <v>1268</v>
      </c>
      <c r="E178" s="1662">
        <v>15941</v>
      </c>
      <c r="F178" s="1581"/>
      <c r="G178" s="1581"/>
      <c r="H178" s="1581"/>
      <c r="I178" s="1609">
        <v>6</v>
      </c>
      <c r="J178" s="1609">
        <v>205</v>
      </c>
      <c r="K178" s="1581"/>
      <c r="L178" s="1625"/>
      <c r="M178" s="1625"/>
      <c r="N178" s="1581"/>
      <c r="O178" s="1581"/>
      <c r="P178" s="1581">
        <f t="shared" si="25"/>
        <v>0</v>
      </c>
      <c r="Q178" s="1581"/>
      <c r="R178" s="1611">
        <f t="shared" si="26"/>
        <v>0</v>
      </c>
      <c r="S178" s="1611">
        <f t="shared" si="27"/>
        <v>0</v>
      </c>
      <c r="T178" s="1611">
        <f t="shared" si="28"/>
        <v>0</v>
      </c>
      <c r="U178" s="1580"/>
      <c r="V178" s="1580"/>
      <c r="W178" s="1580"/>
      <c r="X178" s="1580"/>
      <c r="Y178" s="1580"/>
      <c r="Z178" s="1580"/>
      <c r="AA178" s="1580"/>
      <c r="AB178" s="1580"/>
      <c r="AC178" s="1580"/>
      <c r="AD178" s="1580"/>
      <c r="AE178" s="1580"/>
      <c r="AF178" s="1580"/>
      <c r="AG178" s="1580"/>
      <c r="AH178" s="1580"/>
      <c r="AI178" s="1580"/>
      <c r="AJ178" s="1580"/>
      <c r="AK178" s="1580"/>
      <c r="AL178" s="1580"/>
      <c r="AM178" s="1580"/>
    </row>
    <row r="179" spans="1:39">
      <c r="A179" s="1609">
        <v>84</v>
      </c>
      <c r="B179" s="1619" t="s">
        <v>1498</v>
      </c>
      <c r="C179" s="917" t="s">
        <v>1499</v>
      </c>
      <c r="D179" s="1619" t="s">
        <v>1268</v>
      </c>
      <c r="E179" s="1662">
        <v>15941</v>
      </c>
      <c r="F179" s="1609"/>
      <c r="G179" s="1609"/>
      <c r="H179" s="1609"/>
      <c r="I179" s="1609">
        <v>6</v>
      </c>
      <c r="J179" s="1609">
        <v>205</v>
      </c>
      <c r="K179" s="1609"/>
      <c r="L179" s="1619">
        <v>20</v>
      </c>
      <c r="M179" s="1619"/>
      <c r="N179" s="1609"/>
      <c r="O179" s="1609"/>
      <c r="P179" s="1581">
        <f t="shared" si="25"/>
        <v>20</v>
      </c>
      <c r="Q179" s="1610">
        <f>5460*1.07</f>
        <v>5842.2000000000007</v>
      </c>
      <c r="R179" s="1611">
        <f t="shared" si="26"/>
        <v>116844.00000000001</v>
      </c>
      <c r="S179" s="1611">
        <f t="shared" si="27"/>
        <v>3322.5781990521332</v>
      </c>
      <c r="T179" s="1611">
        <f t="shared" si="28"/>
        <v>113521.42180094788</v>
      </c>
      <c r="U179" s="1580"/>
      <c r="V179" s="1580"/>
      <c r="W179" s="1580"/>
      <c r="X179" s="1580"/>
      <c r="Y179" s="1580"/>
      <c r="Z179" s="1580"/>
      <c r="AA179" s="1580"/>
      <c r="AB179" s="1580"/>
      <c r="AC179" s="1580"/>
      <c r="AD179" s="1580"/>
      <c r="AE179" s="1580"/>
      <c r="AF179" s="1580"/>
      <c r="AG179" s="1580"/>
      <c r="AH179" s="1580"/>
      <c r="AI179" s="1580"/>
      <c r="AJ179" s="1580"/>
      <c r="AK179" s="1580"/>
      <c r="AL179" s="1580"/>
      <c r="AM179" s="1580"/>
    </row>
    <row r="180" spans="1:39">
      <c r="A180" s="1609">
        <v>83</v>
      </c>
      <c r="B180" s="1619" t="s">
        <v>1490</v>
      </c>
      <c r="C180" s="917" t="s">
        <v>1500</v>
      </c>
      <c r="D180" s="1619" t="s">
        <v>1268</v>
      </c>
      <c r="E180" s="1662">
        <v>15941</v>
      </c>
      <c r="F180" s="1609"/>
      <c r="G180" s="1609"/>
      <c r="H180" s="1609"/>
      <c r="I180" s="1609">
        <v>6</v>
      </c>
      <c r="J180" s="1609">
        <v>205</v>
      </c>
      <c r="K180" s="1609"/>
      <c r="L180" s="1619">
        <v>40</v>
      </c>
      <c r="M180" s="1619"/>
      <c r="N180" s="1609"/>
      <c r="O180" s="1609"/>
      <c r="P180" s="1581">
        <f t="shared" si="25"/>
        <v>40</v>
      </c>
      <c r="Q180" s="1610">
        <f>1400*1.07</f>
        <v>1498</v>
      </c>
      <c r="R180" s="1611">
        <f t="shared" si="26"/>
        <v>59920</v>
      </c>
      <c r="S180" s="1611">
        <f t="shared" si="27"/>
        <v>1703.8862559241704</v>
      </c>
      <c r="T180" s="1611">
        <f t="shared" si="28"/>
        <v>58216.113744075832</v>
      </c>
      <c r="U180" s="1580"/>
      <c r="V180" s="1580"/>
      <c r="W180" s="1580"/>
      <c r="X180" s="1580"/>
      <c r="Y180" s="1580"/>
      <c r="Z180" s="1580"/>
      <c r="AA180" s="1580"/>
      <c r="AB180" s="1580"/>
      <c r="AC180" s="1580"/>
      <c r="AD180" s="1580"/>
      <c r="AE180" s="1580"/>
      <c r="AF180" s="1580"/>
      <c r="AG180" s="1580"/>
      <c r="AH180" s="1580"/>
      <c r="AI180" s="1580"/>
      <c r="AJ180" s="1580"/>
      <c r="AK180" s="1580"/>
      <c r="AL180" s="1580"/>
      <c r="AM180" s="1580"/>
    </row>
    <row r="181" spans="1:39">
      <c r="A181" s="1609">
        <v>82</v>
      </c>
      <c r="B181" s="1619" t="s">
        <v>1490</v>
      </c>
      <c r="C181" s="917" t="s">
        <v>1501</v>
      </c>
      <c r="D181" s="1619" t="s">
        <v>1268</v>
      </c>
      <c r="E181" s="1662">
        <v>15941</v>
      </c>
      <c r="F181" s="1609"/>
      <c r="G181" s="1609"/>
      <c r="H181" s="1609"/>
      <c r="I181" s="1609">
        <v>6</v>
      </c>
      <c r="J181" s="1609">
        <v>205</v>
      </c>
      <c r="K181" s="1609"/>
      <c r="L181" s="1619">
        <v>140</v>
      </c>
      <c r="M181" s="1619"/>
      <c r="N181" s="1609"/>
      <c r="O181" s="1609"/>
      <c r="P181" s="1581">
        <f t="shared" si="25"/>
        <v>140</v>
      </c>
      <c r="Q181" s="1610">
        <f>1890*1.07</f>
        <v>2022.3000000000002</v>
      </c>
      <c r="R181" s="1611">
        <f t="shared" si="26"/>
        <v>283122</v>
      </c>
      <c r="S181" s="1611">
        <f t="shared" si="27"/>
        <v>8050.8625592417056</v>
      </c>
      <c r="T181" s="1611">
        <f t="shared" si="28"/>
        <v>275071.13744075829</v>
      </c>
      <c r="U181" s="1580"/>
      <c r="V181" s="1580"/>
      <c r="W181" s="1580"/>
      <c r="X181" s="1580"/>
      <c r="Y181" s="1580"/>
      <c r="Z181" s="1580"/>
      <c r="AA181" s="1580"/>
      <c r="AB181" s="1580"/>
      <c r="AC181" s="1580"/>
      <c r="AD181" s="1580"/>
      <c r="AE181" s="1580"/>
      <c r="AF181" s="1580"/>
      <c r="AG181" s="1580"/>
      <c r="AH181" s="1580"/>
      <c r="AI181" s="1580"/>
      <c r="AJ181" s="1580"/>
      <c r="AK181" s="1580"/>
      <c r="AL181" s="1580"/>
      <c r="AM181" s="1580"/>
    </row>
    <row r="182" spans="1:39">
      <c r="A182" s="1609">
        <v>79</v>
      </c>
      <c r="B182" s="1619" t="s">
        <v>1502</v>
      </c>
      <c r="C182" s="917" t="s">
        <v>1503</v>
      </c>
      <c r="D182" s="1619" t="s">
        <v>1268</v>
      </c>
      <c r="E182" s="1662">
        <v>15941</v>
      </c>
      <c r="F182" s="1609"/>
      <c r="G182" s="1609"/>
      <c r="H182" s="1609"/>
      <c r="I182" s="1609">
        <v>6</v>
      </c>
      <c r="J182" s="1609">
        <v>205</v>
      </c>
      <c r="K182" s="1609"/>
      <c r="L182" s="1619">
        <v>1400</v>
      </c>
      <c r="M182" s="1619"/>
      <c r="N182" s="1609"/>
      <c r="O182" s="1609"/>
      <c r="P182" s="1581">
        <f t="shared" si="25"/>
        <v>1400</v>
      </c>
      <c r="Q182" s="1610">
        <f>260*1.07</f>
        <v>278.2</v>
      </c>
      <c r="R182" s="1611">
        <f t="shared" si="26"/>
        <v>389480</v>
      </c>
      <c r="S182" s="1611">
        <f t="shared" si="27"/>
        <v>11075.260663507108</v>
      </c>
      <c r="T182" s="1611">
        <f t="shared" si="28"/>
        <v>378404.7393364929</v>
      </c>
      <c r="U182" s="1580"/>
      <c r="V182" s="1580"/>
      <c r="W182" s="1580"/>
      <c r="X182" s="1580"/>
      <c r="Y182" s="1580"/>
      <c r="Z182" s="1580"/>
      <c r="AA182" s="1580"/>
      <c r="AB182" s="1580"/>
      <c r="AC182" s="1580"/>
      <c r="AD182" s="1580"/>
      <c r="AE182" s="1580"/>
      <c r="AF182" s="1580"/>
      <c r="AG182" s="1580"/>
      <c r="AH182" s="1580"/>
      <c r="AI182" s="1580"/>
      <c r="AJ182" s="1580"/>
      <c r="AK182" s="1580"/>
      <c r="AL182" s="1580"/>
      <c r="AM182" s="1580"/>
    </row>
    <row r="183" spans="1:39">
      <c r="A183" s="1609">
        <v>80</v>
      </c>
      <c r="B183" s="1619" t="s">
        <v>1490</v>
      </c>
      <c r="C183" s="917" t="s">
        <v>1504</v>
      </c>
      <c r="D183" s="1619" t="s">
        <v>1268</v>
      </c>
      <c r="E183" s="1662">
        <v>15941</v>
      </c>
      <c r="F183" s="1609"/>
      <c r="G183" s="1609"/>
      <c r="H183" s="1609"/>
      <c r="I183" s="1609">
        <v>6</v>
      </c>
      <c r="J183" s="1609">
        <v>205</v>
      </c>
      <c r="K183" s="1609"/>
      <c r="L183" s="1619">
        <v>800</v>
      </c>
      <c r="M183" s="1619"/>
      <c r="N183" s="1609"/>
      <c r="O183" s="1609"/>
      <c r="P183" s="1581">
        <f t="shared" si="25"/>
        <v>800</v>
      </c>
      <c r="Q183" s="1610">
        <f>680*1.07</f>
        <v>727.6</v>
      </c>
      <c r="R183" s="1611">
        <f t="shared" si="26"/>
        <v>582080</v>
      </c>
      <c r="S183" s="1611">
        <f t="shared" si="27"/>
        <v>16552.037914691944</v>
      </c>
      <c r="T183" s="1611">
        <f t="shared" si="28"/>
        <v>565527.96208530804</v>
      </c>
      <c r="U183" s="1580"/>
      <c r="V183" s="1580"/>
      <c r="W183" s="1580"/>
      <c r="X183" s="1580"/>
      <c r="Y183" s="1580"/>
      <c r="Z183" s="1580"/>
      <c r="AA183" s="1580"/>
      <c r="AB183" s="1580"/>
      <c r="AC183" s="1580"/>
      <c r="AD183" s="1580"/>
      <c r="AE183" s="1580"/>
      <c r="AF183" s="1580"/>
      <c r="AG183" s="1580"/>
      <c r="AH183" s="1580"/>
      <c r="AI183" s="1580"/>
      <c r="AJ183" s="1580"/>
      <c r="AK183" s="1580"/>
      <c r="AL183" s="1580"/>
      <c r="AM183" s="1580"/>
    </row>
    <row r="184" spans="1:39" hidden="1">
      <c r="A184" s="1581">
        <v>304</v>
      </c>
      <c r="B184" s="1618" t="s">
        <v>1495</v>
      </c>
      <c r="C184" s="1579" t="s">
        <v>1505</v>
      </c>
      <c r="D184" s="1618" t="s">
        <v>1022</v>
      </c>
      <c r="E184" s="1662">
        <v>15941</v>
      </c>
      <c r="F184" s="1581"/>
      <c r="G184" s="1581"/>
      <c r="H184" s="1581"/>
      <c r="I184" s="1609">
        <v>6</v>
      </c>
      <c r="J184" s="1609">
        <v>205</v>
      </c>
      <c r="K184" s="1581"/>
      <c r="L184" s="1610"/>
      <c r="M184" s="1610"/>
      <c r="N184" s="1581"/>
      <c r="O184" s="1581"/>
      <c r="P184" s="1581">
        <f t="shared" si="25"/>
        <v>0</v>
      </c>
      <c r="Q184" s="1581"/>
      <c r="R184" s="1611">
        <f t="shared" si="26"/>
        <v>0</v>
      </c>
      <c r="S184" s="1611">
        <f t="shared" si="27"/>
        <v>0</v>
      </c>
      <c r="T184" s="1611">
        <f t="shared" si="28"/>
        <v>0</v>
      </c>
      <c r="U184" s="1580"/>
      <c r="V184" s="1580"/>
      <c r="W184" s="1580"/>
      <c r="X184" s="1580"/>
      <c r="Y184" s="1580"/>
      <c r="Z184" s="1580"/>
      <c r="AA184" s="1580"/>
      <c r="AB184" s="1580"/>
      <c r="AC184" s="1580"/>
      <c r="AD184" s="1580"/>
      <c r="AE184" s="1580"/>
      <c r="AF184" s="1580"/>
      <c r="AG184" s="1580"/>
      <c r="AH184" s="1580"/>
      <c r="AI184" s="1580"/>
      <c r="AJ184" s="1580"/>
      <c r="AK184" s="1580"/>
      <c r="AL184" s="1580"/>
      <c r="AM184" s="1580"/>
    </row>
    <row r="185" spans="1:39">
      <c r="A185" s="1609">
        <v>85</v>
      </c>
      <c r="B185" s="1619" t="s">
        <v>1506</v>
      </c>
      <c r="C185" s="917" t="s">
        <v>1507</v>
      </c>
      <c r="D185" s="1619" t="s">
        <v>1268</v>
      </c>
      <c r="E185" s="1662">
        <v>15941</v>
      </c>
      <c r="F185" s="1609"/>
      <c r="G185" s="1609"/>
      <c r="H185" s="1609"/>
      <c r="I185" s="1609">
        <v>6</v>
      </c>
      <c r="J185" s="1609">
        <v>205</v>
      </c>
      <c r="K185" s="1609"/>
      <c r="L185" s="1619">
        <v>40</v>
      </c>
      <c r="M185" s="1619"/>
      <c r="N185" s="1609"/>
      <c r="O185" s="1609"/>
      <c r="P185" s="1581">
        <f t="shared" si="25"/>
        <v>40</v>
      </c>
      <c r="Q185" s="1610">
        <f>7620*1.07</f>
        <v>8153.4000000000005</v>
      </c>
      <c r="R185" s="1611">
        <f t="shared" si="26"/>
        <v>326136</v>
      </c>
      <c r="S185" s="1611">
        <f t="shared" si="27"/>
        <v>9274.009478672986</v>
      </c>
      <c r="T185" s="1611">
        <f t="shared" si="28"/>
        <v>316861.99052132701</v>
      </c>
      <c r="U185" s="1580"/>
      <c r="V185" s="1580"/>
      <c r="W185" s="1580"/>
      <c r="X185" s="1580"/>
      <c r="Y185" s="1580"/>
      <c r="Z185" s="1580"/>
      <c r="AA185" s="1580"/>
      <c r="AB185" s="1580"/>
      <c r="AC185" s="1580"/>
      <c r="AD185" s="1580"/>
      <c r="AE185" s="1580"/>
      <c r="AF185" s="1580"/>
      <c r="AG185" s="1580"/>
      <c r="AH185" s="1580"/>
      <c r="AI185" s="1580"/>
      <c r="AJ185" s="1580"/>
      <c r="AK185" s="1580"/>
      <c r="AL185" s="1580"/>
      <c r="AM185" s="1580"/>
    </row>
    <row r="186" spans="1:39" hidden="1">
      <c r="A186" s="1609">
        <v>258</v>
      </c>
      <c r="B186" s="1610" t="s">
        <v>1502</v>
      </c>
      <c r="C186" s="1579" t="s">
        <v>1508</v>
      </c>
      <c r="D186" s="1610" t="s">
        <v>1022</v>
      </c>
      <c r="E186" s="1662">
        <v>15941</v>
      </c>
      <c r="F186" s="1581"/>
      <c r="G186" s="1581"/>
      <c r="H186" s="1581"/>
      <c r="I186" s="1609">
        <v>6</v>
      </c>
      <c r="J186" s="1609">
        <v>205</v>
      </c>
      <c r="K186" s="1581"/>
      <c r="L186" s="1610"/>
      <c r="M186" s="1610"/>
      <c r="N186" s="1581"/>
      <c r="O186" s="1581"/>
      <c r="P186" s="1581">
        <f t="shared" si="25"/>
        <v>0</v>
      </c>
      <c r="Q186" s="1581"/>
      <c r="R186" s="1611">
        <f t="shared" si="26"/>
        <v>0</v>
      </c>
      <c r="S186" s="1611">
        <f t="shared" si="27"/>
        <v>0</v>
      </c>
      <c r="T186" s="1611">
        <f t="shared" si="28"/>
        <v>0</v>
      </c>
      <c r="U186" s="1580"/>
      <c r="V186" s="1580"/>
      <c r="W186" s="1580"/>
      <c r="X186" s="1580"/>
      <c r="Y186" s="1580"/>
      <c r="Z186" s="1580"/>
      <c r="AA186" s="1580"/>
      <c r="AB186" s="1580"/>
      <c r="AC186" s="1580"/>
      <c r="AD186" s="1580"/>
      <c r="AE186" s="1580"/>
      <c r="AF186" s="1580"/>
      <c r="AG186" s="1580"/>
      <c r="AH186" s="1580"/>
      <c r="AI186" s="1580"/>
      <c r="AJ186" s="1580"/>
      <c r="AK186" s="1580"/>
      <c r="AL186" s="1580"/>
      <c r="AM186" s="1580"/>
    </row>
    <row r="187" spans="1:39" hidden="1">
      <c r="A187" s="1609">
        <v>261</v>
      </c>
      <c r="B187" s="1610" t="s">
        <v>1509</v>
      </c>
      <c r="C187" s="1579" t="s">
        <v>1510</v>
      </c>
      <c r="D187" s="1610" t="s">
        <v>1022</v>
      </c>
      <c r="E187" s="1662">
        <v>15941</v>
      </c>
      <c r="F187" s="1581"/>
      <c r="G187" s="1581"/>
      <c r="H187" s="1581"/>
      <c r="I187" s="1609">
        <v>6</v>
      </c>
      <c r="J187" s="1609">
        <v>205</v>
      </c>
      <c r="K187" s="1581"/>
      <c r="L187" s="1610"/>
      <c r="M187" s="1610"/>
      <c r="N187" s="1581"/>
      <c r="O187" s="1581"/>
      <c r="P187" s="1581">
        <f t="shared" si="25"/>
        <v>0</v>
      </c>
      <c r="Q187" s="1581"/>
      <c r="R187" s="1611">
        <f t="shared" si="26"/>
        <v>0</v>
      </c>
      <c r="S187" s="1611">
        <f t="shared" si="27"/>
        <v>0</v>
      </c>
      <c r="T187" s="1611">
        <f t="shared" si="28"/>
        <v>0</v>
      </c>
      <c r="U187" s="1580"/>
      <c r="V187" s="1580"/>
      <c r="W187" s="1580"/>
      <c r="X187" s="1580"/>
      <c r="Y187" s="1580"/>
      <c r="Z187" s="1580"/>
      <c r="AA187" s="1580"/>
      <c r="AB187" s="1580"/>
      <c r="AC187" s="1580"/>
      <c r="AD187" s="1580"/>
      <c r="AE187" s="1580"/>
      <c r="AF187" s="1580"/>
      <c r="AG187" s="1580"/>
      <c r="AH187" s="1580"/>
      <c r="AI187" s="1580"/>
      <c r="AJ187" s="1580"/>
      <c r="AK187" s="1580"/>
      <c r="AL187" s="1580"/>
      <c r="AM187" s="1580"/>
    </row>
    <row r="188" spans="1:39">
      <c r="A188" s="1609">
        <v>224</v>
      </c>
      <c r="B188" s="1620" t="s">
        <v>1511</v>
      </c>
      <c r="C188" s="1579" t="s">
        <v>1512</v>
      </c>
      <c r="D188" s="1620" t="s">
        <v>1268</v>
      </c>
      <c r="E188" s="1662">
        <v>15941</v>
      </c>
      <c r="F188" s="1581"/>
      <c r="G188" s="1581"/>
      <c r="H188" s="1581"/>
      <c r="I188" s="1609">
        <v>6</v>
      </c>
      <c r="J188" s="1609">
        <v>205</v>
      </c>
      <c r="K188" s="1581"/>
      <c r="L188" s="1620">
        <v>2</v>
      </c>
      <c r="M188" s="1620"/>
      <c r="N188" s="1581"/>
      <c r="O188" s="1581"/>
      <c r="P188" s="1581">
        <f t="shared" si="25"/>
        <v>2</v>
      </c>
      <c r="Q188" s="1581">
        <f>1400*1.07</f>
        <v>1498</v>
      </c>
      <c r="R188" s="1611">
        <f t="shared" si="26"/>
        <v>2996</v>
      </c>
      <c r="S188" s="1611">
        <f t="shared" si="27"/>
        <v>85.194312796208521</v>
      </c>
      <c r="T188" s="1611">
        <f t="shared" si="28"/>
        <v>2910.8056872037914</v>
      </c>
      <c r="U188" s="1580"/>
      <c r="V188" s="1580"/>
      <c r="W188" s="1580"/>
      <c r="X188" s="1580"/>
      <c r="Y188" s="1580"/>
      <c r="Z188" s="1580"/>
      <c r="AA188" s="1580"/>
      <c r="AB188" s="1580"/>
      <c r="AC188" s="1580"/>
      <c r="AD188" s="1580"/>
      <c r="AE188" s="1580"/>
      <c r="AF188" s="1580"/>
      <c r="AG188" s="1580"/>
      <c r="AH188" s="1580"/>
      <c r="AI188" s="1580"/>
      <c r="AJ188" s="1580"/>
      <c r="AK188" s="1580"/>
      <c r="AL188" s="1580"/>
      <c r="AM188" s="1580"/>
    </row>
    <row r="189" spans="1:39">
      <c r="A189" s="1609">
        <v>151</v>
      </c>
      <c r="B189" s="1618" t="s">
        <v>1513</v>
      </c>
      <c r="C189" s="1579" t="s">
        <v>1514</v>
      </c>
      <c r="D189" s="1618" t="s">
        <v>2218</v>
      </c>
      <c r="E189" s="1662">
        <v>15941</v>
      </c>
      <c r="F189" s="1581"/>
      <c r="G189" s="1581"/>
      <c r="H189" s="1581"/>
      <c r="I189" s="1609">
        <v>6</v>
      </c>
      <c r="J189" s="1609">
        <v>205</v>
      </c>
      <c r="K189" s="1581"/>
      <c r="L189" s="1618">
        <v>20</v>
      </c>
      <c r="M189" s="1618"/>
      <c r="N189" s="1581"/>
      <c r="O189" s="1581"/>
      <c r="P189" s="1581">
        <f t="shared" si="25"/>
        <v>20</v>
      </c>
      <c r="Q189" s="1581">
        <f>500*1.07</f>
        <v>535</v>
      </c>
      <c r="R189" s="1611">
        <f t="shared" si="26"/>
        <v>10700</v>
      </c>
      <c r="S189" s="1611">
        <f t="shared" si="27"/>
        <v>304.26540284360186</v>
      </c>
      <c r="T189" s="1611">
        <f t="shared" si="28"/>
        <v>10395.734597156397</v>
      </c>
      <c r="U189" s="1580"/>
      <c r="V189" s="1580"/>
      <c r="W189" s="1580"/>
      <c r="X189" s="1580"/>
      <c r="Y189" s="1580"/>
      <c r="Z189" s="1580"/>
      <c r="AA189" s="1580"/>
      <c r="AB189" s="1580"/>
      <c r="AC189" s="1580"/>
      <c r="AD189" s="1580"/>
      <c r="AE189" s="1580"/>
      <c r="AF189" s="1580"/>
      <c r="AG189" s="1580"/>
      <c r="AH189" s="1580"/>
      <c r="AI189" s="1580"/>
      <c r="AJ189" s="1580"/>
      <c r="AK189" s="1580"/>
      <c r="AL189" s="1580"/>
      <c r="AM189" s="1580"/>
    </row>
    <row r="190" spans="1:39">
      <c r="A190" s="1609">
        <v>223</v>
      </c>
      <c r="B190" s="1620" t="s">
        <v>1515</v>
      </c>
      <c r="C190" s="1579" t="s">
        <v>1516</v>
      </c>
      <c r="D190" s="1620" t="s">
        <v>1268</v>
      </c>
      <c r="E190" s="1662">
        <v>15941</v>
      </c>
      <c r="F190" s="1581"/>
      <c r="G190" s="1581"/>
      <c r="H190" s="1581"/>
      <c r="I190" s="1609">
        <v>6</v>
      </c>
      <c r="J190" s="1609">
        <v>205</v>
      </c>
      <c r="K190" s="1581"/>
      <c r="L190" s="1620">
        <v>2</v>
      </c>
      <c r="M190" s="1620">
        <v>8</v>
      </c>
      <c r="N190" s="1581"/>
      <c r="O190" s="1581"/>
      <c r="P190" s="1581">
        <f t="shared" si="25"/>
        <v>2</v>
      </c>
      <c r="Q190" s="1581">
        <f>1500*1.07</f>
        <v>1605</v>
      </c>
      <c r="R190" s="1611">
        <f t="shared" si="26"/>
        <v>3210</v>
      </c>
      <c r="S190" s="1611">
        <f t="shared" si="27"/>
        <v>91.279620853080559</v>
      </c>
      <c r="T190" s="1611">
        <f t="shared" si="28"/>
        <v>3118.7203791469196</v>
      </c>
      <c r="U190" s="1580" t="s">
        <v>2219</v>
      </c>
      <c r="V190" s="1580"/>
      <c r="W190" s="1580"/>
      <c r="X190" s="1580"/>
      <c r="Y190" s="1580"/>
      <c r="Z190" s="1580"/>
      <c r="AA190" s="1580"/>
      <c r="AB190" s="1580"/>
      <c r="AC190" s="1580"/>
      <c r="AD190" s="1580"/>
      <c r="AE190" s="1580"/>
      <c r="AF190" s="1580"/>
      <c r="AG190" s="1580"/>
      <c r="AH190" s="1580"/>
      <c r="AI190" s="1580"/>
      <c r="AJ190" s="1580"/>
      <c r="AK190" s="1580"/>
      <c r="AL190" s="1580"/>
      <c r="AM190" s="1580"/>
    </row>
    <row r="191" spans="1:39">
      <c r="A191" s="1609">
        <v>150</v>
      </c>
      <c r="B191" s="1618" t="s">
        <v>1517</v>
      </c>
      <c r="C191" s="1579" t="s">
        <v>1518</v>
      </c>
      <c r="D191" s="1618" t="s">
        <v>1022</v>
      </c>
      <c r="E191" s="1662">
        <v>15941</v>
      </c>
      <c r="F191" s="1581"/>
      <c r="G191" s="1581"/>
      <c r="H191" s="1581"/>
      <c r="I191" s="1609">
        <v>6</v>
      </c>
      <c r="J191" s="1609">
        <v>205</v>
      </c>
      <c r="K191" s="1581"/>
      <c r="L191" s="1618">
        <v>10</v>
      </c>
      <c r="M191" s="1618"/>
      <c r="N191" s="1581"/>
      <c r="O191" s="1581"/>
      <c r="P191" s="1581">
        <f t="shared" si="25"/>
        <v>10</v>
      </c>
      <c r="Q191" s="1581">
        <f>2500*1.07</f>
        <v>2675</v>
      </c>
      <c r="R191" s="1611">
        <f t="shared" si="26"/>
        <v>26750</v>
      </c>
      <c r="S191" s="1611">
        <f t="shared" si="27"/>
        <v>760.66350710900474</v>
      </c>
      <c r="T191" s="1611">
        <f t="shared" si="28"/>
        <v>25989.336492890994</v>
      </c>
      <c r="U191" s="1580"/>
      <c r="V191" s="1580"/>
      <c r="W191" s="1580"/>
      <c r="X191" s="1580"/>
      <c r="Y191" s="1580"/>
      <c r="Z191" s="1580"/>
      <c r="AA191" s="1580"/>
      <c r="AB191" s="1580"/>
      <c r="AC191" s="1580"/>
      <c r="AD191" s="1580"/>
      <c r="AE191" s="1580"/>
      <c r="AF191" s="1580"/>
      <c r="AG191" s="1580"/>
      <c r="AH191" s="1580"/>
      <c r="AI191" s="1580"/>
      <c r="AJ191" s="1580"/>
      <c r="AK191" s="1580"/>
      <c r="AL191" s="1580"/>
      <c r="AM191" s="1580"/>
    </row>
    <row r="192" spans="1:39" hidden="1">
      <c r="A192" s="1581"/>
      <c r="B192" s="1056" t="s">
        <v>1519</v>
      </c>
      <c r="C192" s="917" t="s">
        <v>1520</v>
      </c>
      <c r="D192" s="1056" t="s">
        <v>1203</v>
      </c>
      <c r="E192" s="1662">
        <v>15941</v>
      </c>
      <c r="F192" s="1609"/>
      <c r="G192" s="1609"/>
      <c r="H192" s="1609"/>
      <c r="I192" s="1609">
        <v>6</v>
      </c>
      <c r="J192" s="1609">
        <v>205</v>
      </c>
      <c r="K192" s="1609"/>
      <c r="L192" s="1056"/>
      <c r="M192" s="1056"/>
      <c r="N192" s="1609"/>
      <c r="O192" s="1609"/>
      <c r="P192" s="1581">
        <f t="shared" si="25"/>
        <v>0</v>
      </c>
      <c r="Q192" s="1610"/>
      <c r="R192" s="1611">
        <f t="shared" si="26"/>
        <v>0</v>
      </c>
      <c r="S192" s="1611">
        <f t="shared" si="27"/>
        <v>0</v>
      </c>
      <c r="T192" s="1611">
        <f t="shared" si="28"/>
        <v>0</v>
      </c>
      <c r="U192" s="1580"/>
      <c r="V192" s="1580"/>
      <c r="W192" s="1580"/>
      <c r="X192" s="1580"/>
      <c r="Y192" s="1580"/>
      <c r="Z192" s="1580"/>
      <c r="AA192" s="1580"/>
      <c r="AB192" s="1580"/>
      <c r="AC192" s="1580"/>
      <c r="AD192" s="1580"/>
      <c r="AE192" s="1580"/>
      <c r="AF192" s="1580"/>
      <c r="AG192" s="1580"/>
      <c r="AH192" s="1580"/>
      <c r="AI192" s="1580"/>
      <c r="AJ192" s="1580"/>
      <c r="AK192" s="1580"/>
      <c r="AL192" s="1580"/>
      <c r="AM192" s="1580"/>
    </row>
    <row r="193" spans="1:39" hidden="1">
      <c r="A193" s="1609">
        <v>288</v>
      </c>
      <c r="B193" s="1618" t="s">
        <v>1521</v>
      </c>
      <c r="C193" s="1579" t="s">
        <v>1522</v>
      </c>
      <c r="D193" s="1618" t="s">
        <v>1022</v>
      </c>
      <c r="E193" s="1662">
        <v>15941</v>
      </c>
      <c r="F193" s="1581"/>
      <c r="G193" s="1581"/>
      <c r="H193" s="1581"/>
      <c r="I193" s="1609">
        <v>6</v>
      </c>
      <c r="J193" s="1609">
        <v>205</v>
      </c>
      <c r="K193" s="1581"/>
      <c r="L193" s="1622"/>
      <c r="M193" s="1622"/>
      <c r="N193" s="1581"/>
      <c r="O193" s="1581"/>
      <c r="P193" s="1581">
        <f t="shared" si="25"/>
        <v>0</v>
      </c>
      <c r="Q193" s="1581"/>
      <c r="R193" s="1611">
        <f t="shared" si="26"/>
        <v>0</v>
      </c>
      <c r="S193" s="1611">
        <f t="shared" si="27"/>
        <v>0</v>
      </c>
      <c r="T193" s="1611">
        <f t="shared" si="28"/>
        <v>0</v>
      </c>
      <c r="U193" s="1580"/>
      <c r="V193" s="1580"/>
      <c r="W193" s="1580"/>
      <c r="X193" s="1580"/>
      <c r="Y193" s="1580"/>
      <c r="Z193" s="1580"/>
      <c r="AA193" s="1580"/>
      <c r="AB193" s="1580"/>
      <c r="AC193" s="1580"/>
      <c r="AD193" s="1580"/>
      <c r="AE193" s="1580"/>
      <c r="AF193" s="1580"/>
      <c r="AG193" s="1580"/>
      <c r="AH193" s="1580"/>
      <c r="AI193" s="1580"/>
      <c r="AJ193" s="1580"/>
      <c r="AK193" s="1580"/>
      <c r="AL193" s="1580"/>
      <c r="AM193" s="1580"/>
    </row>
    <row r="194" spans="1:39" ht="45.75" customHeight="1">
      <c r="A194" s="1609">
        <v>129</v>
      </c>
      <c r="B194" s="1618" t="s">
        <v>1523</v>
      </c>
      <c r="C194" s="1579" t="s">
        <v>1524</v>
      </c>
      <c r="D194" s="1618" t="s">
        <v>1525</v>
      </c>
      <c r="E194" s="1662">
        <v>15941</v>
      </c>
      <c r="F194" s="1581"/>
      <c r="G194" s="1581"/>
      <c r="H194" s="1581"/>
      <c r="I194" s="1609">
        <v>6</v>
      </c>
      <c r="J194" s="1609">
        <v>205</v>
      </c>
      <c r="K194" s="1581"/>
      <c r="L194" s="1618">
        <v>2</v>
      </c>
      <c r="M194" s="1618"/>
      <c r="N194" s="1581"/>
      <c r="O194" s="1581"/>
      <c r="P194" s="1581">
        <f t="shared" si="25"/>
        <v>2</v>
      </c>
      <c r="Q194" s="1581">
        <f>18000*1.07</f>
        <v>19260</v>
      </c>
      <c r="R194" s="1611">
        <f t="shared" si="26"/>
        <v>38520</v>
      </c>
      <c r="S194" s="1611">
        <f t="shared" si="27"/>
        <v>1095.3554502369668</v>
      </c>
      <c r="T194" s="1611">
        <f t="shared" si="28"/>
        <v>37424.644549763034</v>
      </c>
      <c r="U194" s="1580"/>
      <c r="V194" s="1580"/>
      <c r="W194" s="1580"/>
      <c r="X194" s="1580"/>
      <c r="Y194" s="1580"/>
      <c r="Z194" s="1580"/>
      <c r="AA194" s="1580"/>
      <c r="AB194" s="1580"/>
      <c r="AC194" s="1580"/>
      <c r="AD194" s="1580"/>
      <c r="AE194" s="1580"/>
      <c r="AF194" s="1580"/>
      <c r="AG194" s="1580"/>
      <c r="AH194" s="1580"/>
      <c r="AI194" s="1580"/>
      <c r="AJ194" s="1580"/>
      <c r="AK194" s="1580"/>
      <c r="AL194" s="1580"/>
      <c r="AM194" s="1580"/>
    </row>
    <row r="195" spans="1:39" hidden="1">
      <c r="A195" s="1609">
        <v>290</v>
      </c>
      <c r="B195" s="1618" t="s">
        <v>1526</v>
      </c>
      <c r="C195" s="1579" t="s">
        <v>1527</v>
      </c>
      <c r="D195" s="1618" t="s">
        <v>1525</v>
      </c>
      <c r="E195" s="1662">
        <v>15941</v>
      </c>
      <c r="F195" s="1581"/>
      <c r="G195" s="1581"/>
      <c r="H195" s="1581"/>
      <c r="I195" s="1609">
        <v>6</v>
      </c>
      <c r="J195" s="1609">
        <v>205</v>
      </c>
      <c r="K195" s="1581"/>
      <c r="L195" s="1622"/>
      <c r="M195" s="1622"/>
      <c r="N195" s="1581"/>
      <c r="O195" s="1581"/>
      <c r="P195" s="1581">
        <f t="shared" si="25"/>
        <v>0</v>
      </c>
      <c r="Q195" s="1581"/>
      <c r="R195" s="1611">
        <f t="shared" si="26"/>
        <v>0</v>
      </c>
      <c r="S195" s="1611">
        <f t="shared" si="27"/>
        <v>0</v>
      </c>
      <c r="T195" s="1611">
        <f t="shared" si="28"/>
        <v>0</v>
      </c>
      <c r="U195" s="1580"/>
      <c r="V195" s="1580"/>
      <c r="W195" s="1580"/>
      <c r="X195" s="1580"/>
      <c r="Y195" s="1580"/>
      <c r="Z195" s="1580"/>
      <c r="AA195" s="1580"/>
      <c r="AB195" s="1580"/>
      <c r="AC195" s="1580"/>
      <c r="AD195" s="1580"/>
      <c r="AE195" s="1580"/>
      <c r="AF195" s="1580"/>
      <c r="AG195" s="1580"/>
      <c r="AH195" s="1580"/>
      <c r="AI195" s="1580"/>
      <c r="AJ195" s="1580"/>
      <c r="AK195" s="1580"/>
      <c r="AL195" s="1580"/>
      <c r="AM195" s="1580"/>
    </row>
    <row r="196" spans="1:39" ht="25.5" hidden="1">
      <c r="A196" s="1609">
        <v>289</v>
      </c>
      <c r="B196" s="1618" t="s">
        <v>2220</v>
      </c>
      <c r="C196" s="1579"/>
      <c r="D196" s="1618" t="s">
        <v>1022</v>
      </c>
      <c r="E196" s="1662">
        <v>15941</v>
      </c>
      <c r="F196" s="1581"/>
      <c r="G196" s="1581"/>
      <c r="H196" s="1581"/>
      <c r="I196" s="1609">
        <v>6</v>
      </c>
      <c r="J196" s="1609">
        <v>205</v>
      </c>
      <c r="K196" s="1581"/>
      <c r="L196" s="1622"/>
      <c r="M196" s="1622"/>
      <c r="N196" s="1581"/>
      <c r="O196" s="1581"/>
      <c r="P196" s="1581">
        <f t="shared" si="25"/>
        <v>0</v>
      </c>
      <c r="Q196" s="1581"/>
      <c r="R196" s="1611">
        <f t="shared" si="26"/>
        <v>0</v>
      </c>
      <c r="S196" s="1611">
        <f t="shared" si="27"/>
        <v>0</v>
      </c>
      <c r="T196" s="1611">
        <f t="shared" si="28"/>
        <v>0</v>
      </c>
      <c r="U196" s="1580"/>
      <c r="V196" s="1580"/>
      <c r="W196" s="1580"/>
      <c r="X196" s="1580"/>
      <c r="Y196" s="1580"/>
      <c r="Z196" s="1580"/>
      <c r="AA196" s="1580"/>
      <c r="AB196" s="1580"/>
      <c r="AC196" s="1580"/>
      <c r="AD196" s="1580"/>
      <c r="AE196" s="1580"/>
      <c r="AF196" s="1580"/>
      <c r="AG196" s="1580"/>
      <c r="AH196" s="1580"/>
      <c r="AI196" s="1580"/>
      <c r="AJ196" s="1580"/>
      <c r="AK196" s="1580"/>
      <c r="AL196" s="1580"/>
      <c r="AM196" s="1580"/>
    </row>
    <row r="197" spans="1:39">
      <c r="A197" s="1609">
        <v>132</v>
      </c>
      <c r="B197" s="1618" t="s">
        <v>1530</v>
      </c>
      <c r="C197" s="1591" t="s">
        <v>1531</v>
      </c>
      <c r="D197" s="1618" t="s">
        <v>1525</v>
      </c>
      <c r="E197" s="1662">
        <v>15941</v>
      </c>
      <c r="F197" s="1581"/>
      <c r="G197" s="1581"/>
      <c r="H197" s="1581"/>
      <c r="I197" s="1609">
        <v>6</v>
      </c>
      <c r="J197" s="1609">
        <v>205</v>
      </c>
      <c r="K197" s="1581"/>
      <c r="L197" s="1618">
        <v>2</v>
      </c>
      <c r="M197" s="1618"/>
      <c r="N197" s="1581"/>
      <c r="O197" s="1581"/>
      <c r="P197" s="1581">
        <f t="shared" si="25"/>
        <v>2</v>
      </c>
      <c r="Q197" s="1581">
        <f>60000*1.07</f>
        <v>64200.000000000007</v>
      </c>
      <c r="R197" s="1611">
        <f t="shared" si="26"/>
        <v>128400.00000000001</v>
      </c>
      <c r="S197" s="1611">
        <f t="shared" si="27"/>
        <v>3651.184834123223</v>
      </c>
      <c r="T197" s="1611">
        <f t="shared" si="28"/>
        <v>124748.81516587679</v>
      </c>
      <c r="U197" s="1580"/>
      <c r="V197" s="1580"/>
      <c r="W197" s="1580"/>
      <c r="X197" s="1580"/>
      <c r="Y197" s="1580"/>
      <c r="Z197" s="1580"/>
      <c r="AA197" s="1580"/>
      <c r="AB197" s="1580"/>
      <c r="AC197" s="1580"/>
      <c r="AD197" s="1580"/>
      <c r="AE197" s="1580"/>
      <c r="AF197" s="1580"/>
      <c r="AG197" s="1580"/>
      <c r="AH197" s="1580"/>
      <c r="AI197" s="1580"/>
      <c r="AJ197" s="1580"/>
      <c r="AK197" s="1580"/>
      <c r="AL197" s="1580"/>
      <c r="AM197" s="1580"/>
    </row>
    <row r="198" spans="1:39" ht="25.5" hidden="1">
      <c r="A198" s="1609">
        <v>295</v>
      </c>
      <c r="B198" s="1618" t="s">
        <v>2221</v>
      </c>
      <c r="C198" s="1579" t="s">
        <v>2222</v>
      </c>
      <c r="D198" s="1618" t="s">
        <v>1022</v>
      </c>
      <c r="E198" s="1662">
        <v>15941</v>
      </c>
      <c r="F198" s="1581"/>
      <c r="G198" s="1581"/>
      <c r="H198" s="1581"/>
      <c r="I198" s="1609">
        <v>6</v>
      </c>
      <c r="J198" s="1609">
        <v>205</v>
      </c>
      <c r="K198" s="1581"/>
      <c r="L198" s="1622"/>
      <c r="M198" s="1622"/>
      <c r="N198" s="1581"/>
      <c r="O198" s="1581"/>
      <c r="P198" s="1581">
        <f t="shared" si="25"/>
        <v>0</v>
      </c>
      <c r="Q198" s="1581"/>
      <c r="R198" s="1611">
        <f t="shared" si="26"/>
        <v>0</v>
      </c>
      <c r="S198" s="1611">
        <f t="shared" si="27"/>
        <v>0</v>
      </c>
      <c r="T198" s="1611">
        <f t="shared" si="28"/>
        <v>0</v>
      </c>
      <c r="U198" s="1580">
        <v>4000</v>
      </c>
      <c r="V198" s="1580"/>
      <c r="W198" s="1580"/>
      <c r="X198" s="1580"/>
      <c r="Y198" s="1580"/>
      <c r="Z198" s="1580"/>
      <c r="AA198" s="1580"/>
      <c r="AB198" s="1580"/>
      <c r="AC198" s="1580"/>
      <c r="AD198" s="1580"/>
      <c r="AE198" s="1580"/>
      <c r="AF198" s="1580"/>
      <c r="AG198" s="1580"/>
      <c r="AH198" s="1580"/>
      <c r="AI198" s="1580"/>
      <c r="AJ198" s="1580"/>
      <c r="AK198" s="1580"/>
      <c r="AL198" s="1580"/>
      <c r="AM198" s="1580"/>
    </row>
    <row r="199" spans="1:39" hidden="1">
      <c r="A199" s="1609">
        <v>300</v>
      </c>
      <c r="B199" s="1618" t="s">
        <v>1534</v>
      </c>
      <c r="C199" s="1579" t="s">
        <v>1535</v>
      </c>
      <c r="D199" s="1618" t="s">
        <v>1022</v>
      </c>
      <c r="E199" s="1662">
        <v>15941</v>
      </c>
      <c r="F199" s="1581"/>
      <c r="G199" s="1581"/>
      <c r="H199" s="1581"/>
      <c r="I199" s="1609">
        <v>6</v>
      </c>
      <c r="J199" s="1609">
        <v>205</v>
      </c>
      <c r="K199" s="1581"/>
      <c r="L199" s="1622"/>
      <c r="M199" s="1622"/>
      <c r="N199" s="1581"/>
      <c r="O199" s="1581"/>
      <c r="P199" s="1581">
        <f t="shared" si="25"/>
        <v>0</v>
      </c>
      <c r="Q199" s="1581"/>
      <c r="R199" s="1611"/>
      <c r="S199" s="1611">
        <f t="shared" si="27"/>
        <v>0</v>
      </c>
      <c r="T199" s="1611">
        <f t="shared" si="28"/>
        <v>0</v>
      </c>
      <c r="U199" s="1580">
        <v>10</v>
      </c>
      <c r="V199" s="1580"/>
      <c r="W199" s="1580"/>
      <c r="X199" s="1580"/>
      <c r="Y199" s="1580"/>
      <c r="Z199" s="1580"/>
      <c r="AA199" s="1580"/>
      <c r="AB199" s="1580"/>
      <c r="AC199" s="1580"/>
      <c r="AD199" s="1580"/>
      <c r="AE199" s="1580"/>
      <c r="AF199" s="1580"/>
      <c r="AG199" s="1580"/>
      <c r="AH199" s="1580"/>
      <c r="AI199" s="1580"/>
      <c r="AJ199" s="1580"/>
      <c r="AK199" s="1580"/>
      <c r="AL199" s="1580"/>
      <c r="AM199" s="1580"/>
    </row>
    <row r="200" spans="1:39" ht="25.5">
      <c r="A200" s="1609">
        <v>131</v>
      </c>
      <c r="B200" s="1618" t="s">
        <v>1536</v>
      </c>
      <c r="C200" s="1579" t="s">
        <v>1537</v>
      </c>
      <c r="D200" s="1618" t="s">
        <v>1525</v>
      </c>
      <c r="E200" s="1662">
        <v>15941</v>
      </c>
      <c r="F200" s="1581"/>
      <c r="G200" s="1581"/>
      <c r="H200" s="1581"/>
      <c r="I200" s="1609">
        <v>6</v>
      </c>
      <c r="J200" s="1609">
        <v>205</v>
      </c>
      <c r="K200" s="1581"/>
      <c r="L200" s="1618">
        <v>2</v>
      </c>
      <c r="M200" s="1618"/>
      <c r="N200" s="1581"/>
      <c r="O200" s="1581"/>
      <c r="P200" s="1581">
        <f t="shared" si="25"/>
        <v>2</v>
      </c>
      <c r="Q200" s="1581">
        <f>30000*1.07</f>
        <v>32100.000000000004</v>
      </c>
      <c r="R200" s="1611">
        <f t="shared" si="26"/>
        <v>64200.000000000007</v>
      </c>
      <c r="S200" s="1611">
        <f t="shared" si="27"/>
        <v>1825.5924170616115</v>
      </c>
      <c r="T200" s="1611">
        <f t="shared" si="28"/>
        <v>62374.407582938395</v>
      </c>
      <c r="U200" s="1580"/>
      <c r="V200" s="1580"/>
      <c r="W200" s="1580"/>
      <c r="X200" s="1580"/>
      <c r="Y200" s="1580"/>
      <c r="Z200" s="1580"/>
      <c r="AA200" s="1580"/>
      <c r="AB200" s="1580"/>
      <c r="AC200" s="1580"/>
      <c r="AD200" s="1580"/>
      <c r="AE200" s="1580"/>
      <c r="AF200" s="1580"/>
      <c r="AG200" s="1580"/>
      <c r="AH200" s="1580"/>
      <c r="AI200" s="1580"/>
      <c r="AJ200" s="1580"/>
      <c r="AK200" s="1580"/>
      <c r="AL200" s="1580"/>
      <c r="AM200" s="1580"/>
    </row>
    <row r="201" spans="1:39" ht="25.5">
      <c r="A201" s="1609">
        <v>93</v>
      </c>
      <c r="B201" s="1619" t="s">
        <v>1538</v>
      </c>
      <c r="C201" s="917" t="s">
        <v>1539</v>
      </c>
      <c r="D201" s="1619" t="s">
        <v>1525</v>
      </c>
      <c r="E201" s="1662">
        <v>15941</v>
      </c>
      <c r="F201" s="1609"/>
      <c r="G201" s="1609"/>
      <c r="H201" s="1609"/>
      <c r="I201" s="1609">
        <v>6</v>
      </c>
      <c r="J201" s="1609">
        <v>205</v>
      </c>
      <c r="K201" s="1609"/>
      <c r="L201" s="1619">
        <v>2</v>
      </c>
      <c r="M201" s="1619"/>
      <c r="N201" s="1609"/>
      <c r="O201" s="1609"/>
      <c r="P201" s="1581">
        <f t="shared" si="25"/>
        <v>2</v>
      </c>
      <c r="Q201" s="1610">
        <f>40000*1.07</f>
        <v>42800</v>
      </c>
      <c r="R201" s="1611">
        <f t="shared" si="26"/>
        <v>85600</v>
      </c>
      <c r="S201" s="1611">
        <f t="shared" si="27"/>
        <v>2434.1232227488149</v>
      </c>
      <c r="T201" s="1611">
        <f t="shared" si="28"/>
        <v>83165.876777251178</v>
      </c>
      <c r="U201" s="1580"/>
      <c r="V201" s="1580"/>
      <c r="W201" s="1580"/>
      <c r="X201" s="1580"/>
      <c r="Y201" s="1580"/>
      <c r="Z201" s="1580"/>
      <c r="AA201" s="1580"/>
      <c r="AB201" s="1580"/>
      <c r="AC201" s="1580"/>
      <c r="AD201" s="1580"/>
      <c r="AE201" s="1580"/>
      <c r="AF201" s="1580"/>
      <c r="AG201" s="1580"/>
      <c r="AH201" s="1580"/>
      <c r="AI201" s="1580"/>
      <c r="AJ201" s="1580"/>
      <c r="AK201" s="1580"/>
      <c r="AL201" s="1580"/>
      <c r="AM201" s="1580"/>
    </row>
    <row r="202" spans="1:39" hidden="1">
      <c r="A202" s="1609">
        <v>259</v>
      </c>
      <c r="B202" s="1610" t="s">
        <v>1540</v>
      </c>
      <c r="C202" s="1579" t="s">
        <v>1541</v>
      </c>
      <c r="D202" s="1610" t="s">
        <v>1525</v>
      </c>
      <c r="E202" s="1662">
        <v>15941</v>
      </c>
      <c r="F202" s="1581"/>
      <c r="G202" s="1581"/>
      <c r="H202" s="1581"/>
      <c r="I202" s="1609">
        <v>6</v>
      </c>
      <c r="J202" s="1609">
        <v>205</v>
      </c>
      <c r="K202" s="1581"/>
      <c r="L202" s="1610"/>
      <c r="M202" s="1610"/>
      <c r="N202" s="1581"/>
      <c r="O202" s="1581"/>
      <c r="P202" s="1581">
        <f t="shared" si="25"/>
        <v>0</v>
      </c>
      <c r="Q202" s="1581"/>
      <c r="R202" s="1611">
        <f t="shared" si="26"/>
        <v>0</v>
      </c>
      <c r="S202" s="1611">
        <f t="shared" si="27"/>
        <v>0</v>
      </c>
      <c r="T202" s="1611">
        <f t="shared" si="28"/>
        <v>0</v>
      </c>
      <c r="U202" s="1580"/>
      <c r="V202" s="1580"/>
      <c r="W202" s="1580"/>
      <c r="X202" s="1580"/>
      <c r="Y202" s="1580"/>
      <c r="Z202" s="1580"/>
      <c r="AA202" s="1580"/>
      <c r="AB202" s="1580"/>
      <c r="AC202" s="1580"/>
      <c r="AD202" s="1580"/>
      <c r="AE202" s="1580"/>
      <c r="AF202" s="1580"/>
      <c r="AG202" s="1580"/>
      <c r="AH202" s="1580"/>
      <c r="AI202" s="1580"/>
      <c r="AJ202" s="1580"/>
      <c r="AK202" s="1580"/>
      <c r="AL202" s="1580"/>
      <c r="AM202" s="1580"/>
    </row>
    <row r="203" spans="1:39" hidden="1">
      <c r="A203" s="1609">
        <v>297</v>
      </c>
      <c r="B203" s="1618" t="s">
        <v>1154</v>
      </c>
      <c r="C203" s="1579" t="s">
        <v>1542</v>
      </c>
      <c r="D203" s="1618" t="s">
        <v>1022</v>
      </c>
      <c r="E203" s="1662">
        <v>15941</v>
      </c>
      <c r="F203" s="1581"/>
      <c r="G203" s="1581"/>
      <c r="H203" s="1581"/>
      <c r="I203" s="1609">
        <v>6</v>
      </c>
      <c r="J203" s="1609">
        <v>205</v>
      </c>
      <c r="K203" s="1581"/>
      <c r="L203" s="1622"/>
      <c r="M203" s="1622"/>
      <c r="N203" s="1581"/>
      <c r="O203" s="1581"/>
      <c r="P203" s="1581">
        <f t="shared" si="25"/>
        <v>0</v>
      </c>
      <c r="Q203" s="1581"/>
      <c r="R203" s="1611">
        <f t="shared" si="26"/>
        <v>0</v>
      </c>
      <c r="S203" s="1611">
        <f t="shared" si="27"/>
        <v>0</v>
      </c>
      <c r="T203" s="1611">
        <f t="shared" si="28"/>
        <v>0</v>
      </c>
      <c r="U203" s="1580"/>
      <c r="V203" s="1580"/>
      <c r="W203" s="1580"/>
      <c r="X203" s="1580"/>
      <c r="Y203" s="1580"/>
      <c r="Z203" s="1580"/>
      <c r="AA203" s="1580"/>
      <c r="AB203" s="1580"/>
      <c r="AC203" s="1580"/>
      <c r="AD203" s="1580"/>
      <c r="AE203" s="1580"/>
      <c r="AF203" s="1580"/>
      <c r="AG203" s="1580"/>
      <c r="AH203" s="1580"/>
      <c r="AI203" s="1580"/>
      <c r="AJ203" s="1580"/>
      <c r="AK203" s="1580"/>
      <c r="AL203" s="1580"/>
      <c r="AM203" s="1580"/>
    </row>
    <row r="204" spans="1:39" ht="51.75" customHeight="1">
      <c r="A204" s="1609">
        <v>225</v>
      </c>
      <c r="B204" s="1620" t="s">
        <v>1543</v>
      </c>
      <c r="C204" s="1579" t="s">
        <v>1544</v>
      </c>
      <c r="D204" s="1620" t="s">
        <v>1268</v>
      </c>
      <c r="E204" s="1662">
        <v>15941</v>
      </c>
      <c r="F204" s="1581"/>
      <c r="G204" s="1581"/>
      <c r="H204" s="1581"/>
      <c r="I204" s="1609">
        <v>6</v>
      </c>
      <c r="J204" s="1609">
        <v>205</v>
      </c>
      <c r="K204" s="1581"/>
      <c r="L204" s="1620">
        <v>1</v>
      </c>
      <c r="M204" s="1620"/>
      <c r="N204" s="1581"/>
      <c r="O204" s="1581"/>
      <c r="P204" s="1581">
        <f t="shared" si="25"/>
        <v>1</v>
      </c>
      <c r="Q204" s="1581">
        <f>750*1.07</f>
        <v>802.5</v>
      </c>
      <c r="R204" s="1611">
        <f t="shared" si="26"/>
        <v>802.5</v>
      </c>
      <c r="S204" s="1611">
        <f t="shared" si="27"/>
        <v>22.81990521327014</v>
      </c>
      <c r="T204" s="1611">
        <f t="shared" si="28"/>
        <v>779.68009478672991</v>
      </c>
      <c r="U204" s="1580"/>
      <c r="V204" s="1580"/>
      <c r="W204" s="1580"/>
      <c r="X204" s="1580"/>
      <c r="Y204" s="1580"/>
      <c r="Z204" s="1580"/>
      <c r="AA204" s="1580"/>
      <c r="AB204" s="1580"/>
      <c r="AC204" s="1580"/>
      <c r="AD204" s="1580"/>
      <c r="AE204" s="1580"/>
      <c r="AF204" s="1580"/>
      <c r="AG204" s="1580"/>
      <c r="AH204" s="1580"/>
      <c r="AI204" s="1580"/>
      <c r="AJ204" s="1580"/>
      <c r="AK204" s="1580"/>
      <c r="AL204" s="1580"/>
      <c r="AM204" s="1580"/>
    </row>
    <row r="205" spans="1:39" ht="21.75" customHeight="1">
      <c r="A205" s="1609">
        <v>242</v>
      </c>
      <c r="B205" s="1622" t="s">
        <v>1543</v>
      </c>
      <c r="C205" s="1579" t="s">
        <v>1545</v>
      </c>
      <c r="D205" s="1622" t="s">
        <v>1022</v>
      </c>
      <c r="E205" s="1662">
        <v>15941</v>
      </c>
      <c r="F205" s="1581"/>
      <c r="G205" s="1581"/>
      <c r="H205" s="1581"/>
      <c r="I205" s="1609">
        <v>6</v>
      </c>
      <c r="J205" s="1609">
        <v>205</v>
      </c>
      <c r="K205" s="1581"/>
      <c r="L205" s="1610">
        <v>40</v>
      </c>
      <c r="M205" s="1610"/>
      <c r="N205" s="1581"/>
      <c r="O205" s="1581"/>
      <c r="P205" s="1581">
        <f t="shared" si="25"/>
        <v>40</v>
      </c>
      <c r="Q205" s="1581">
        <f>1100*1.07</f>
        <v>1177</v>
      </c>
      <c r="R205" s="1611">
        <f t="shared" si="26"/>
        <v>47080</v>
      </c>
      <c r="S205" s="1611">
        <f t="shared" si="27"/>
        <v>1338.7677725118483</v>
      </c>
      <c r="T205" s="1611">
        <f t="shared" si="28"/>
        <v>45741.232227488152</v>
      </c>
      <c r="U205" s="1580"/>
      <c r="V205" s="1580"/>
      <c r="W205" s="1580"/>
      <c r="X205" s="1580"/>
      <c r="Y205" s="1580"/>
      <c r="Z205" s="1580"/>
      <c r="AA205" s="1580"/>
      <c r="AB205" s="1580"/>
      <c r="AC205" s="1580"/>
      <c r="AD205" s="1580"/>
      <c r="AE205" s="1580"/>
      <c r="AF205" s="1580"/>
      <c r="AG205" s="1580"/>
      <c r="AH205" s="1580"/>
      <c r="AI205" s="1580"/>
      <c r="AJ205" s="1580"/>
      <c r="AK205" s="1580"/>
      <c r="AL205" s="1580"/>
      <c r="AM205" s="1580"/>
    </row>
    <row r="206" spans="1:39" ht="63.75">
      <c r="A206" s="1609">
        <v>243</v>
      </c>
      <c r="B206" s="1622" t="s">
        <v>1546</v>
      </c>
      <c r="C206" s="1653" t="s">
        <v>1547</v>
      </c>
      <c r="D206" s="1622" t="s">
        <v>1022</v>
      </c>
      <c r="E206" s="1662">
        <v>15941</v>
      </c>
      <c r="F206" s="1581"/>
      <c r="G206" s="1581"/>
      <c r="H206" s="1581"/>
      <c r="I206" s="1609">
        <v>6</v>
      </c>
      <c r="J206" s="1609">
        <v>205</v>
      </c>
      <c r="K206" s="1581"/>
      <c r="L206" s="1610">
        <v>800</v>
      </c>
      <c r="M206" s="1610"/>
      <c r="N206" s="1581"/>
      <c r="O206" s="1581"/>
      <c r="P206" s="1581">
        <f t="shared" si="25"/>
        <v>800</v>
      </c>
      <c r="Q206" s="1581">
        <f>20*1.07</f>
        <v>21.400000000000002</v>
      </c>
      <c r="R206" s="1611">
        <f t="shared" si="26"/>
        <v>17120</v>
      </c>
      <c r="S206" s="1611">
        <f t="shared" si="27"/>
        <v>486.82464454976304</v>
      </c>
      <c r="T206" s="1611">
        <f t="shared" si="28"/>
        <v>16633.175355450236</v>
      </c>
      <c r="U206" s="1580" t="s">
        <v>2223</v>
      </c>
      <c r="V206" s="1580"/>
      <c r="W206" s="1580"/>
      <c r="X206" s="1580"/>
      <c r="Y206" s="1580"/>
      <c r="Z206" s="1580"/>
      <c r="AA206" s="1580"/>
      <c r="AB206" s="1580"/>
      <c r="AC206" s="1580"/>
      <c r="AD206" s="1580"/>
      <c r="AE206" s="1580"/>
      <c r="AF206" s="1580"/>
      <c r="AG206" s="1580"/>
      <c r="AH206" s="1580"/>
      <c r="AI206" s="1580"/>
      <c r="AJ206" s="1580"/>
      <c r="AK206" s="1580"/>
      <c r="AL206" s="1580"/>
      <c r="AM206" s="1580"/>
    </row>
    <row r="207" spans="1:39" hidden="1">
      <c r="A207" s="1609">
        <v>226</v>
      </c>
      <c r="B207" s="1620" t="s">
        <v>1549</v>
      </c>
      <c r="C207" s="1579" t="s">
        <v>1550</v>
      </c>
      <c r="D207" s="1620" t="s">
        <v>1268</v>
      </c>
      <c r="E207" s="1662">
        <v>15941</v>
      </c>
      <c r="F207" s="1581"/>
      <c r="G207" s="1581"/>
      <c r="H207" s="1581"/>
      <c r="I207" s="1609">
        <v>6</v>
      </c>
      <c r="J207" s="1609">
        <v>205</v>
      </c>
      <c r="K207" s="1581"/>
      <c r="L207" s="1620"/>
      <c r="M207" s="1620"/>
      <c r="N207" s="1581"/>
      <c r="O207" s="1581"/>
      <c r="P207" s="1581">
        <f t="shared" si="25"/>
        <v>0</v>
      </c>
      <c r="Q207" s="1581"/>
      <c r="R207" s="1611">
        <f t="shared" si="26"/>
        <v>0</v>
      </c>
      <c r="S207" s="1611">
        <f t="shared" si="27"/>
        <v>0</v>
      </c>
      <c r="T207" s="1611">
        <f t="shared" si="28"/>
        <v>0</v>
      </c>
      <c r="U207" s="1580"/>
      <c r="V207" s="1580"/>
      <c r="W207" s="1580"/>
      <c r="X207" s="1580"/>
      <c r="Y207" s="1580"/>
      <c r="Z207" s="1580"/>
      <c r="AA207" s="1580"/>
      <c r="AB207" s="1580"/>
      <c r="AC207" s="1580"/>
      <c r="AD207" s="1580"/>
      <c r="AE207" s="1580"/>
      <c r="AF207" s="1580"/>
      <c r="AG207" s="1580"/>
      <c r="AH207" s="1580"/>
      <c r="AI207" s="1580"/>
      <c r="AJ207" s="1580"/>
      <c r="AK207" s="1580"/>
      <c r="AL207" s="1580"/>
      <c r="AM207" s="1580"/>
    </row>
    <row r="208" spans="1:39">
      <c r="A208" s="1581"/>
      <c r="B208" s="1056" t="s">
        <v>1551</v>
      </c>
      <c r="C208" s="917" t="s">
        <v>1552</v>
      </c>
      <c r="D208" s="1609" t="s">
        <v>1022</v>
      </c>
      <c r="E208" s="1662">
        <v>15941</v>
      </c>
      <c r="F208" s="1609"/>
      <c r="G208" s="1609"/>
      <c r="H208" s="1609"/>
      <c r="I208" s="1609">
        <v>6</v>
      </c>
      <c r="J208" s="1609">
        <v>205</v>
      </c>
      <c r="K208" s="1609"/>
      <c r="L208" s="1581">
        <v>246</v>
      </c>
      <c r="M208" s="1581"/>
      <c r="N208" s="1609"/>
      <c r="O208" s="1609"/>
      <c r="P208" s="1581">
        <f t="shared" si="25"/>
        <v>246</v>
      </c>
      <c r="Q208" s="1610">
        <f>365*1.07</f>
        <v>390.55</v>
      </c>
      <c r="R208" s="1611">
        <f t="shared" si="26"/>
        <v>96075.3</v>
      </c>
      <c r="S208" s="1611">
        <f t="shared" si="27"/>
        <v>2731.9990521327013</v>
      </c>
      <c r="T208" s="1611">
        <f t="shared" si="28"/>
        <v>93343.300947867305</v>
      </c>
      <c r="U208" s="1580"/>
      <c r="V208" s="1580"/>
      <c r="W208" s="1580"/>
      <c r="X208" s="1580"/>
      <c r="Y208" s="1580"/>
      <c r="Z208" s="1580"/>
      <c r="AA208" s="1580"/>
      <c r="AB208" s="1580"/>
      <c r="AC208" s="1580"/>
      <c r="AD208" s="1580"/>
      <c r="AE208" s="1580"/>
      <c r="AF208" s="1580"/>
      <c r="AG208" s="1580"/>
      <c r="AH208" s="1580"/>
      <c r="AI208" s="1580"/>
      <c r="AJ208" s="1580"/>
      <c r="AK208" s="1580"/>
      <c r="AL208" s="1580"/>
      <c r="AM208" s="1580"/>
    </row>
    <row r="209" spans="1:39">
      <c r="A209" s="1609">
        <v>200</v>
      </c>
      <c r="B209" s="1620" t="s">
        <v>1553</v>
      </c>
      <c r="C209" s="1579" t="s">
        <v>1554</v>
      </c>
      <c r="D209" s="1620" t="s">
        <v>1022</v>
      </c>
      <c r="E209" s="1662">
        <v>15941</v>
      </c>
      <c r="F209" s="1581"/>
      <c r="G209" s="1581"/>
      <c r="H209" s="1581"/>
      <c r="I209" s="1609">
        <v>6</v>
      </c>
      <c r="J209" s="1609">
        <v>205</v>
      </c>
      <c r="K209" s="1581"/>
      <c r="L209" s="1620">
        <v>400</v>
      </c>
      <c r="M209" s="1620"/>
      <c r="N209" s="1581"/>
      <c r="O209" s="1581"/>
      <c r="P209" s="1581">
        <f t="shared" si="25"/>
        <v>400</v>
      </c>
      <c r="Q209" s="1581">
        <f>150*1.07</f>
        <v>160.5</v>
      </c>
      <c r="R209" s="1611">
        <f t="shared" si="26"/>
        <v>64200</v>
      </c>
      <c r="S209" s="1611">
        <f t="shared" si="27"/>
        <v>1825.5924170616113</v>
      </c>
      <c r="T209" s="1611">
        <f t="shared" si="28"/>
        <v>62374.407582938387</v>
      </c>
      <c r="U209" s="1580"/>
      <c r="V209" s="1580"/>
      <c r="W209" s="1580"/>
      <c r="X209" s="1580"/>
      <c r="Y209" s="1580"/>
      <c r="Z209" s="1580"/>
      <c r="AA209" s="1580"/>
      <c r="AB209" s="1580"/>
      <c r="AC209" s="1580"/>
      <c r="AD209" s="1580"/>
      <c r="AE209" s="1580"/>
      <c r="AF209" s="1580"/>
      <c r="AG209" s="1580"/>
      <c r="AH209" s="1580"/>
      <c r="AI209" s="1580"/>
      <c r="AJ209" s="1580"/>
      <c r="AK209" s="1580"/>
      <c r="AL209" s="1580"/>
      <c r="AM209" s="1580"/>
    </row>
    <row r="210" spans="1:39">
      <c r="A210" s="1609">
        <v>265</v>
      </c>
      <c r="B210" s="1625" t="s">
        <v>1555</v>
      </c>
      <c r="C210" s="1579" t="s">
        <v>1556</v>
      </c>
      <c r="D210" s="1610" t="s">
        <v>1290</v>
      </c>
      <c r="E210" s="1662">
        <v>15941</v>
      </c>
      <c r="F210" s="1581"/>
      <c r="G210" s="1581"/>
      <c r="H210" s="1581"/>
      <c r="I210" s="1609">
        <v>6</v>
      </c>
      <c r="J210" s="1609">
        <v>205</v>
      </c>
      <c r="K210" s="1581"/>
      <c r="L210" s="1610">
        <v>238</v>
      </c>
      <c r="M210" s="1669">
        <v>238</v>
      </c>
      <c r="N210" s="1581"/>
      <c r="O210" s="1581"/>
      <c r="P210" s="1581">
        <f t="shared" si="25"/>
        <v>238</v>
      </c>
      <c r="Q210" s="1581">
        <f>260*1.07</f>
        <v>278.2</v>
      </c>
      <c r="R210" s="1611">
        <f t="shared" si="26"/>
        <v>66211.599999999991</v>
      </c>
      <c r="S210" s="1611">
        <f t="shared" si="27"/>
        <v>1882.7943127962083</v>
      </c>
      <c r="T210" s="1611">
        <f t="shared" si="28"/>
        <v>64328.805687203785</v>
      </c>
      <c r="U210" s="1580">
        <f>2*2*2*2*297/20</f>
        <v>237.6</v>
      </c>
      <c r="V210" s="1580"/>
      <c r="W210" s="1580" t="s">
        <v>2224</v>
      </c>
      <c r="X210" s="1580"/>
      <c r="Y210" s="1580"/>
      <c r="Z210" s="1580"/>
      <c r="AA210" s="1580"/>
      <c r="AB210" s="1580"/>
      <c r="AC210" s="1580"/>
      <c r="AD210" s="1580"/>
      <c r="AE210" s="1580"/>
      <c r="AF210" s="1580"/>
      <c r="AG210" s="1580"/>
      <c r="AH210" s="1580"/>
      <c r="AI210" s="1580"/>
      <c r="AJ210" s="1580"/>
      <c r="AK210" s="1580"/>
      <c r="AL210" s="1580"/>
      <c r="AM210" s="1580"/>
    </row>
    <row r="211" spans="1:39">
      <c r="A211" s="1609">
        <v>266</v>
      </c>
      <c r="B211" s="1625" t="s">
        <v>1555</v>
      </c>
      <c r="C211" s="1579" t="s">
        <v>1557</v>
      </c>
      <c r="D211" s="1610" t="s">
        <v>1290</v>
      </c>
      <c r="E211" s="1662">
        <v>15941</v>
      </c>
      <c r="F211" s="1581"/>
      <c r="G211" s="1581"/>
      <c r="H211" s="1581"/>
      <c r="I211" s="1609">
        <v>6</v>
      </c>
      <c r="J211" s="1609">
        <v>205</v>
      </c>
      <c r="K211" s="1581"/>
      <c r="L211" s="1610">
        <v>1782</v>
      </c>
      <c r="M211" s="1610">
        <v>1782</v>
      </c>
      <c r="N211" s="1581"/>
      <c r="O211" s="1581"/>
      <c r="P211" s="1581">
        <f t="shared" si="25"/>
        <v>1782</v>
      </c>
      <c r="Q211" s="1581">
        <f>250*1.07</f>
        <v>267.5</v>
      </c>
      <c r="R211" s="1611">
        <f t="shared" si="26"/>
        <v>476685</v>
      </c>
      <c r="S211" s="1611">
        <f t="shared" si="27"/>
        <v>13555.023696682463</v>
      </c>
      <c r="T211" s="1611">
        <f t="shared" si="28"/>
        <v>463129.97630331753</v>
      </c>
      <c r="U211" s="1580">
        <f>120*297/20</f>
        <v>1782</v>
      </c>
      <c r="V211" s="1580" t="s">
        <v>2225</v>
      </c>
      <c r="W211" s="1580"/>
      <c r="X211" s="1580"/>
      <c r="Y211" s="1580"/>
      <c r="Z211" s="1580"/>
      <c r="AA211" s="1580"/>
      <c r="AB211" s="1580"/>
      <c r="AC211" s="1580"/>
      <c r="AD211" s="1580"/>
      <c r="AE211" s="1580"/>
      <c r="AF211" s="1580"/>
      <c r="AG211" s="1580"/>
      <c r="AH211" s="1580"/>
      <c r="AI211" s="1580"/>
      <c r="AJ211" s="1580"/>
      <c r="AK211" s="1580"/>
      <c r="AL211" s="1580"/>
      <c r="AM211" s="1580"/>
    </row>
    <row r="212" spans="1:39" hidden="1">
      <c r="A212" s="1609">
        <v>285</v>
      </c>
      <c r="B212" s="1618" t="s">
        <v>1558</v>
      </c>
      <c r="C212" s="1579" t="s">
        <v>1559</v>
      </c>
      <c r="D212" s="1618" t="s">
        <v>1022</v>
      </c>
      <c r="E212" s="1662">
        <v>15941</v>
      </c>
      <c r="F212" s="1581"/>
      <c r="G212" s="1581"/>
      <c r="H212" s="1581"/>
      <c r="I212" s="1609">
        <v>6</v>
      </c>
      <c r="J212" s="1609">
        <v>205</v>
      </c>
      <c r="K212" s="1581"/>
      <c r="L212" s="1622"/>
      <c r="M212" s="1622"/>
      <c r="N212" s="1581"/>
      <c r="O212" s="1581"/>
      <c r="P212" s="1581">
        <f t="shared" si="25"/>
        <v>0</v>
      </c>
      <c r="Q212" s="1581"/>
      <c r="R212" s="1611">
        <f t="shared" si="26"/>
        <v>0</v>
      </c>
      <c r="S212" s="1611">
        <f t="shared" si="27"/>
        <v>0</v>
      </c>
      <c r="T212" s="1611">
        <f t="shared" si="28"/>
        <v>0</v>
      </c>
      <c r="U212" s="1580"/>
      <c r="V212" s="1580"/>
      <c r="W212" s="1580"/>
      <c r="X212" s="1580"/>
      <c r="Y212" s="1580"/>
      <c r="Z212" s="1580"/>
      <c r="AA212" s="1580"/>
      <c r="AB212" s="1580"/>
      <c r="AC212" s="1580"/>
      <c r="AD212" s="1580"/>
      <c r="AE212" s="1580"/>
      <c r="AF212" s="1580"/>
      <c r="AG212" s="1580"/>
      <c r="AH212" s="1580"/>
      <c r="AI212" s="1580"/>
      <c r="AJ212" s="1580"/>
      <c r="AK212" s="1580"/>
      <c r="AL212" s="1580"/>
      <c r="AM212" s="1580"/>
    </row>
    <row r="213" spans="1:39">
      <c r="A213" s="1609">
        <v>158</v>
      </c>
      <c r="B213" s="1618" t="s">
        <v>1560</v>
      </c>
      <c r="C213" s="1579" t="s">
        <v>1561</v>
      </c>
      <c r="D213" s="1618" t="s">
        <v>1022</v>
      </c>
      <c r="E213" s="1662">
        <v>15941</v>
      </c>
      <c r="F213" s="1581"/>
      <c r="G213" s="1581"/>
      <c r="H213" s="1581"/>
      <c r="I213" s="1609">
        <v>6</v>
      </c>
      <c r="J213" s="1609">
        <v>205</v>
      </c>
      <c r="K213" s="1581"/>
      <c r="L213" s="1618">
        <v>60</v>
      </c>
      <c r="M213" s="1618"/>
      <c r="N213" s="1581"/>
      <c r="O213" s="1581"/>
      <c r="P213" s="1581">
        <f t="shared" si="25"/>
        <v>60</v>
      </c>
      <c r="Q213" s="1581">
        <f>1500*1.07</f>
        <v>1605</v>
      </c>
      <c r="R213" s="1611">
        <f t="shared" si="26"/>
        <v>96300</v>
      </c>
      <c r="S213" s="1611">
        <f t="shared" si="27"/>
        <v>2738.3886255924172</v>
      </c>
      <c r="T213" s="1611">
        <f t="shared" si="28"/>
        <v>93561.611374407585</v>
      </c>
      <c r="U213" s="1580"/>
      <c r="V213" s="1580"/>
      <c r="W213" s="1580"/>
      <c r="X213" s="1580"/>
      <c r="Y213" s="1580"/>
      <c r="Z213" s="1580"/>
      <c r="AA213" s="1580"/>
      <c r="AB213" s="1580"/>
      <c r="AC213" s="1580"/>
      <c r="AD213" s="1580"/>
      <c r="AE213" s="1580"/>
      <c r="AF213" s="1580"/>
      <c r="AG213" s="1580"/>
      <c r="AH213" s="1580"/>
      <c r="AI213" s="1580"/>
      <c r="AJ213" s="1580"/>
      <c r="AK213" s="1580"/>
      <c r="AL213" s="1580"/>
      <c r="AM213" s="1580"/>
    </row>
    <row r="214" spans="1:39" ht="25.5">
      <c r="A214" s="1609">
        <v>179</v>
      </c>
      <c r="B214" s="1618" t="s">
        <v>1562</v>
      </c>
      <c r="C214" s="1579" t="s">
        <v>1563</v>
      </c>
      <c r="D214" s="1618" t="s">
        <v>1564</v>
      </c>
      <c r="E214" s="1662">
        <v>15941</v>
      </c>
      <c r="F214" s="1581"/>
      <c r="G214" s="1581"/>
      <c r="H214" s="1581"/>
      <c r="I214" s="1609">
        <v>6</v>
      </c>
      <c r="J214" s="1609">
        <v>205</v>
      </c>
      <c r="K214" s="1581"/>
      <c r="L214" s="1622">
        <v>576</v>
      </c>
      <c r="M214" s="1622">
        <v>576</v>
      </c>
      <c r="N214" s="1581"/>
      <c r="O214" s="1581"/>
      <c r="P214" s="1581">
        <f t="shared" si="25"/>
        <v>576</v>
      </c>
      <c r="Q214" s="1581">
        <f>60*1.07</f>
        <v>64.2</v>
      </c>
      <c r="R214" s="1611">
        <f t="shared" si="26"/>
        <v>36979.200000000004</v>
      </c>
      <c r="S214" s="1611">
        <f t="shared" si="27"/>
        <v>1051.5412322274883</v>
      </c>
      <c r="T214" s="1611">
        <f t="shared" si="28"/>
        <v>35927.658767772518</v>
      </c>
      <c r="U214" s="1580">
        <f>2*2*2*2*36</f>
        <v>576</v>
      </c>
      <c r="V214" s="357" t="s">
        <v>2226</v>
      </c>
      <c r="W214" s="1580"/>
      <c r="X214" s="1580"/>
      <c r="Y214" s="1580"/>
      <c r="Z214" s="1580"/>
      <c r="AA214" s="1580"/>
      <c r="AB214" s="1580"/>
      <c r="AC214" s="1580"/>
      <c r="AD214" s="1580"/>
      <c r="AE214" s="1580"/>
      <c r="AF214" s="1580"/>
      <c r="AG214" s="1580"/>
      <c r="AH214" s="1580"/>
      <c r="AI214" s="1580"/>
      <c r="AJ214" s="1580"/>
      <c r="AK214" s="1580"/>
      <c r="AL214" s="1580"/>
      <c r="AM214" s="1580"/>
    </row>
    <row r="215" spans="1:39" ht="0.75" customHeight="1">
      <c r="A215" s="1609"/>
      <c r="B215" s="1618"/>
      <c r="C215" s="357"/>
      <c r="D215" s="1618" t="s">
        <v>1565</v>
      </c>
      <c r="E215" s="1662">
        <v>15941</v>
      </c>
      <c r="F215" s="1581"/>
      <c r="G215" s="1581"/>
      <c r="H215" s="1581"/>
      <c r="I215" s="1609"/>
      <c r="J215" s="1609"/>
      <c r="K215" s="1581"/>
      <c r="L215" s="1622"/>
      <c r="M215" s="1622"/>
      <c r="N215" s="1581"/>
      <c r="O215" s="1581"/>
      <c r="P215" s="1581"/>
      <c r="Q215" s="1581"/>
      <c r="R215" s="1611"/>
      <c r="S215" s="1611"/>
      <c r="T215" s="1611"/>
      <c r="U215" s="1580"/>
      <c r="V215" s="1580"/>
      <c r="W215" s="1580"/>
      <c r="X215" s="1580"/>
      <c r="Y215" s="1580"/>
      <c r="Z215" s="1580"/>
      <c r="AA215" s="1580"/>
      <c r="AB215" s="1580"/>
      <c r="AC215" s="1580"/>
      <c r="AD215" s="1580"/>
      <c r="AE215" s="1580"/>
      <c r="AF215" s="1580"/>
      <c r="AG215" s="1580"/>
      <c r="AH215" s="1580"/>
      <c r="AI215" s="1580"/>
      <c r="AJ215" s="1580"/>
      <c r="AK215" s="1580"/>
      <c r="AL215" s="1580"/>
      <c r="AM215" s="1580"/>
    </row>
    <row r="216" spans="1:39" ht="25.5">
      <c r="A216" s="1609">
        <v>121</v>
      </c>
      <c r="B216" s="1619" t="s">
        <v>1566</v>
      </c>
      <c r="C216" s="1579" t="s">
        <v>1567</v>
      </c>
      <c r="D216" s="1619" t="s">
        <v>1565</v>
      </c>
      <c r="E216" s="1662">
        <v>15941</v>
      </c>
      <c r="F216" s="1581"/>
      <c r="G216" s="1581"/>
      <c r="H216" s="1609"/>
      <c r="I216" s="1609">
        <v>6</v>
      </c>
      <c r="J216" s="1609">
        <v>205</v>
      </c>
      <c r="K216" s="1609"/>
      <c r="L216" s="1619">
        <v>20</v>
      </c>
      <c r="M216" s="1619"/>
      <c r="N216" s="1609"/>
      <c r="O216" s="1609"/>
      <c r="P216" s="1581">
        <f>L216-O216</f>
        <v>20</v>
      </c>
      <c r="Q216" s="1609">
        <f>3000*1.07</f>
        <v>3210</v>
      </c>
      <c r="R216" s="1611">
        <f>P216*Q216</f>
        <v>64200</v>
      </c>
      <c r="S216" s="1611">
        <f>R216*(I216/(I216+J216+K216))</f>
        <v>1825.5924170616113</v>
      </c>
      <c r="T216" s="1611">
        <f>R216-S216</f>
        <v>62374.407582938387</v>
      </c>
      <c r="U216" s="1580"/>
      <c r="V216" s="1580"/>
      <c r="W216" s="1580"/>
      <c r="X216" s="1580"/>
      <c r="Y216" s="1580"/>
      <c r="Z216" s="1580"/>
      <c r="AA216" s="1580"/>
      <c r="AB216" s="1580"/>
      <c r="AC216" s="1580"/>
      <c r="AD216" s="1580"/>
      <c r="AE216" s="1580"/>
      <c r="AF216" s="1580"/>
      <c r="AG216" s="1580"/>
      <c r="AH216" s="1580"/>
      <c r="AI216" s="1580"/>
      <c r="AJ216" s="1580"/>
      <c r="AK216" s="1580"/>
      <c r="AL216" s="1580"/>
      <c r="AM216" s="1580"/>
    </row>
    <row r="217" spans="1:39" ht="38.25" hidden="1">
      <c r="A217" s="1609">
        <v>178</v>
      </c>
      <c r="B217" s="1618" t="s">
        <v>1568</v>
      </c>
      <c r="C217" s="1579" t="s">
        <v>1569</v>
      </c>
      <c r="D217" s="1618" t="s">
        <v>1564</v>
      </c>
      <c r="E217" s="1662">
        <v>15941</v>
      </c>
      <c r="F217" s="1581"/>
      <c r="G217" s="1581"/>
      <c r="H217" s="1581"/>
      <c r="I217" s="1609">
        <v>6</v>
      </c>
      <c r="J217" s="1609">
        <v>205</v>
      </c>
      <c r="K217" s="1581"/>
      <c r="L217" s="1622"/>
      <c r="M217" s="1622"/>
      <c r="N217" s="1581"/>
      <c r="O217" s="1581"/>
      <c r="P217" s="1581">
        <f>L217-O217</f>
        <v>0</v>
      </c>
      <c r="Q217" s="1581"/>
      <c r="R217" s="1611">
        <f>P217*Q217</f>
        <v>0</v>
      </c>
      <c r="S217" s="1611">
        <f>R217*(I217/(I217+J217+K217))</f>
        <v>0</v>
      </c>
      <c r="T217" s="1611">
        <f>R217-S217</f>
        <v>0</v>
      </c>
      <c r="U217" s="1580"/>
      <c r="V217" s="1580"/>
      <c r="W217" s="1580"/>
      <c r="X217" s="1580"/>
      <c r="Y217" s="1580"/>
      <c r="Z217" s="1580"/>
      <c r="AA217" s="1580"/>
      <c r="AB217" s="1580"/>
      <c r="AC217" s="1580"/>
      <c r="AD217" s="1580"/>
      <c r="AE217" s="1580"/>
      <c r="AF217" s="1580"/>
      <c r="AG217" s="1580"/>
      <c r="AH217" s="1580"/>
      <c r="AI217" s="1580"/>
      <c r="AJ217" s="1580"/>
      <c r="AK217" s="1580"/>
      <c r="AL217" s="1580"/>
      <c r="AM217" s="1580"/>
    </row>
    <row r="218" spans="1:39" ht="25.5">
      <c r="A218" s="1609">
        <v>267</v>
      </c>
      <c r="B218" s="1618" t="s">
        <v>1568</v>
      </c>
      <c r="C218" s="1579" t="s">
        <v>1570</v>
      </c>
      <c r="D218" s="1610" t="s">
        <v>1564</v>
      </c>
      <c r="E218" s="1662">
        <v>15941</v>
      </c>
      <c r="F218" s="1581"/>
      <c r="G218" s="1581"/>
      <c r="H218" s="1581"/>
      <c r="I218" s="1609">
        <v>6</v>
      </c>
      <c r="J218" s="1609">
        <v>205</v>
      </c>
      <c r="K218" s="1581"/>
      <c r="L218" s="1610">
        <v>2928</v>
      </c>
      <c r="M218" s="1610">
        <v>2928</v>
      </c>
      <c r="N218" s="1581"/>
      <c r="O218" s="1581"/>
      <c r="P218" s="1581">
        <f>L218-O218</f>
        <v>2928</v>
      </c>
      <c r="Q218" s="1581">
        <f>220*1.07</f>
        <v>235.4</v>
      </c>
      <c r="R218" s="1611">
        <f>P218*Q218</f>
        <v>689251.20000000007</v>
      </c>
      <c r="S218" s="1611">
        <f>R218*(I218/(I218+J218+K218))</f>
        <v>19599.560189573462</v>
      </c>
      <c r="T218" s="1611">
        <f>R218-S218</f>
        <v>669651.63981042663</v>
      </c>
      <c r="U218" s="1580">
        <f>(35+26)*48</f>
        <v>2928</v>
      </c>
      <c r="V218" s="357" t="s">
        <v>2227</v>
      </c>
      <c r="W218" s="1580"/>
      <c r="X218" s="1580"/>
      <c r="Y218" s="1580"/>
      <c r="Z218" s="1580"/>
      <c r="AA218" s="1580"/>
      <c r="AB218" s="1580"/>
      <c r="AC218" s="1580"/>
      <c r="AD218" s="1580"/>
      <c r="AE218" s="1580"/>
      <c r="AF218" s="1580"/>
      <c r="AG218" s="1580"/>
      <c r="AH218" s="1580"/>
      <c r="AI218" s="1580"/>
      <c r="AJ218" s="1580"/>
      <c r="AK218" s="1580"/>
      <c r="AL218" s="1580"/>
      <c r="AM218" s="1580"/>
    </row>
    <row r="219" spans="1:39" hidden="1">
      <c r="A219" s="1581"/>
      <c r="B219" s="1056" t="s">
        <v>1571</v>
      </c>
      <c r="C219" s="917" t="s">
        <v>1572</v>
      </c>
      <c r="D219" s="1609" t="s">
        <v>1022</v>
      </c>
      <c r="E219" s="1662">
        <v>15941</v>
      </c>
      <c r="F219" s="1609"/>
      <c r="G219" s="1609"/>
      <c r="H219" s="1609"/>
      <c r="I219" s="1609"/>
      <c r="J219" s="1609"/>
      <c r="K219" s="1609"/>
      <c r="L219" s="1581"/>
      <c r="M219" s="1581"/>
      <c r="N219" s="1609"/>
      <c r="O219" s="1609"/>
      <c r="P219" s="1581"/>
      <c r="Q219" s="1610"/>
      <c r="R219" s="1611"/>
      <c r="S219" s="1611"/>
      <c r="T219" s="1611"/>
      <c r="U219" s="1580"/>
      <c r="V219" s="1580"/>
      <c r="W219" s="1580"/>
      <c r="X219" s="1580"/>
      <c r="Y219" s="1580"/>
      <c r="Z219" s="1580"/>
      <c r="AA219" s="1580"/>
      <c r="AB219" s="1580"/>
      <c r="AC219" s="1580"/>
      <c r="AD219" s="1580"/>
      <c r="AE219" s="1580"/>
      <c r="AF219" s="1580"/>
      <c r="AG219" s="1580"/>
      <c r="AH219" s="1580"/>
      <c r="AI219" s="1580"/>
      <c r="AJ219" s="1580"/>
      <c r="AK219" s="1580"/>
      <c r="AL219" s="1580"/>
      <c r="AM219" s="1580"/>
    </row>
    <row r="220" spans="1:39" ht="25.5">
      <c r="A220" s="1609">
        <v>98</v>
      </c>
      <c r="B220" s="1619" t="s">
        <v>1573</v>
      </c>
      <c r="C220" s="917" t="s">
        <v>1574</v>
      </c>
      <c r="D220" s="1619" t="s">
        <v>1268</v>
      </c>
      <c r="E220" s="1662">
        <v>15941</v>
      </c>
      <c r="F220" s="1609"/>
      <c r="G220" s="1609"/>
      <c r="H220" s="1609"/>
      <c r="I220" s="1609">
        <v>6</v>
      </c>
      <c r="J220" s="1609">
        <v>205</v>
      </c>
      <c r="K220" s="1609"/>
      <c r="L220" s="1619">
        <v>20</v>
      </c>
      <c r="M220" s="1619"/>
      <c r="N220" s="1609"/>
      <c r="O220" s="1609"/>
      <c r="P220" s="1581">
        <f t="shared" ref="P220:P281" si="29">L220-O220</f>
        <v>20</v>
      </c>
      <c r="Q220" s="1610">
        <f>1000*1.07</f>
        <v>1070</v>
      </c>
      <c r="R220" s="1611">
        <f t="shared" ref="R220:R281" si="30">P220*Q220</f>
        <v>21400</v>
      </c>
      <c r="S220" s="1611">
        <f t="shared" ref="S220:S281" si="31">R220*(I220/(I220+J220+K220))</f>
        <v>608.53080568720372</v>
      </c>
      <c r="T220" s="1611">
        <f t="shared" ref="T220:T281" si="32">R220-S220</f>
        <v>20791.469194312795</v>
      </c>
      <c r="U220" s="1580"/>
      <c r="V220" s="1580"/>
      <c r="W220" s="1580"/>
      <c r="X220" s="1580"/>
      <c r="Y220" s="1580"/>
      <c r="Z220" s="1580"/>
      <c r="AA220" s="1580"/>
      <c r="AB220" s="1580"/>
      <c r="AC220" s="1580"/>
      <c r="AD220" s="1580"/>
      <c r="AE220" s="1580"/>
      <c r="AF220" s="1580"/>
      <c r="AG220" s="1580"/>
      <c r="AH220" s="1580"/>
      <c r="AI220" s="1580"/>
      <c r="AJ220" s="1580"/>
      <c r="AK220" s="1580"/>
      <c r="AL220" s="1580"/>
      <c r="AM220" s="1580"/>
    </row>
    <row r="221" spans="1:39" ht="25.5">
      <c r="A221" s="1609">
        <v>99</v>
      </c>
      <c r="B221" s="1619" t="s">
        <v>1573</v>
      </c>
      <c r="C221" s="917" t="s">
        <v>1575</v>
      </c>
      <c r="D221" s="1619" t="s">
        <v>1268</v>
      </c>
      <c r="E221" s="1662">
        <v>15941</v>
      </c>
      <c r="F221" s="1609"/>
      <c r="G221" s="1609"/>
      <c r="H221" s="1609"/>
      <c r="I221" s="1609">
        <v>6</v>
      </c>
      <c r="J221" s="1609">
        <v>205</v>
      </c>
      <c r="K221" s="1609"/>
      <c r="L221" s="1619">
        <v>40</v>
      </c>
      <c r="M221" s="1619"/>
      <c r="N221" s="1609"/>
      <c r="O221" s="1609"/>
      <c r="P221" s="1581">
        <f t="shared" si="29"/>
        <v>40</v>
      </c>
      <c r="Q221" s="1610">
        <f>1000*1.07</f>
        <v>1070</v>
      </c>
      <c r="R221" s="1611">
        <f t="shared" si="30"/>
        <v>42800</v>
      </c>
      <c r="S221" s="1611">
        <f t="shared" si="31"/>
        <v>1217.0616113744074</v>
      </c>
      <c r="T221" s="1611">
        <f t="shared" si="32"/>
        <v>41582.938388625589</v>
      </c>
      <c r="U221" s="1580"/>
      <c r="V221" s="1580"/>
      <c r="W221" s="1580"/>
      <c r="X221" s="1580"/>
      <c r="Y221" s="1580"/>
      <c r="Z221" s="1580"/>
      <c r="AA221" s="1580"/>
      <c r="AB221" s="1580"/>
      <c r="AC221" s="1580"/>
      <c r="AD221" s="1580"/>
      <c r="AE221" s="1580"/>
      <c r="AF221" s="1580"/>
      <c r="AG221" s="1580"/>
      <c r="AH221" s="1580"/>
      <c r="AI221" s="1580"/>
      <c r="AJ221" s="1580"/>
      <c r="AK221" s="1580"/>
      <c r="AL221" s="1580"/>
      <c r="AM221" s="1580"/>
    </row>
    <row r="222" spans="1:39" ht="25.5">
      <c r="A222" s="1609">
        <v>100</v>
      </c>
      <c r="B222" s="1619" t="s">
        <v>1573</v>
      </c>
      <c r="C222" s="917" t="s">
        <v>1576</v>
      </c>
      <c r="D222" s="1619" t="s">
        <v>1268</v>
      </c>
      <c r="E222" s="1662">
        <v>15941</v>
      </c>
      <c r="F222" s="1609"/>
      <c r="G222" s="1609"/>
      <c r="H222" s="1609"/>
      <c r="I222" s="1609">
        <v>6</v>
      </c>
      <c r="J222" s="1609">
        <v>205</v>
      </c>
      <c r="K222" s="1609"/>
      <c r="L222" s="1619">
        <v>10</v>
      </c>
      <c r="M222" s="1619"/>
      <c r="N222" s="1609"/>
      <c r="O222" s="1609"/>
      <c r="P222" s="1581">
        <f t="shared" si="29"/>
        <v>10</v>
      </c>
      <c r="Q222" s="1610">
        <f>1000*1.07</f>
        <v>1070</v>
      </c>
      <c r="R222" s="1611">
        <f t="shared" si="30"/>
        <v>10700</v>
      </c>
      <c r="S222" s="1611">
        <f t="shared" si="31"/>
        <v>304.26540284360186</v>
      </c>
      <c r="T222" s="1611">
        <f t="shared" si="32"/>
        <v>10395.734597156397</v>
      </c>
      <c r="U222" s="1580"/>
      <c r="V222" s="1580"/>
      <c r="W222" s="1580"/>
      <c r="X222" s="1580"/>
      <c r="Y222" s="1580"/>
      <c r="Z222" s="1580"/>
      <c r="AA222" s="1580"/>
      <c r="AB222" s="1580"/>
      <c r="AC222" s="1580"/>
      <c r="AD222" s="1580"/>
      <c r="AE222" s="1580"/>
      <c r="AF222" s="1580"/>
      <c r="AG222" s="1580"/>
      <c r="AH222" s="1580"/>
      <c r="AI222" s="1580"/>
      <c r="AJ222" s="1580"/>
      <c r="AK222" s="1580"/>
      <c r="AL222" s="1580"/>
      <c r="AM222" s="1580"/>
    </row>
    <row r="223" spans="1:39" ht="25.5">
      <c r="A223" s="1609">
        <v>235</v>
      </c>
      <c r="B223" s="1618" t="s">
        <v>1577</v>
      </c>
      <c r="C223" s="1579" t="s">
        <v>1578</v>
      </c>
      <c r="D223" s="1622" t="s">
        <v>1579</v>
      </c>
      <c r="E223" s="1662">
        <v>15941</v>
      </c>
      <c r="F223" s="1581"/>
      <c r="G223" s="1581"/>
      <c r="H223" s="1581"/>
      <c r="I223" s="1609">
        <v>6</v>
      </c>
      <c r="J223" s="1609">
        <v>205</v>
      </c>
      <c r="K223" s="1581"/>
      <c r="L223" s="1610">
        <v>60</v>
      </c>
      <c r="M223" s="1610"/>
      <c r="N223" s="1581"/>
      <c r="O223" s="1581"/>
      <c r="P223" s="1581">
        <f t="shared" si="29"/>
        <v>60</v>
      </c>
      <c r="Q223" s="1581">
        <f>1300*1.07</f>
        <v>1391</v>
      </c>
      <c r="R223" s="1611">
        <f t="shared" si="30"/>
        <v>83460</v>
      </c>
      <c r="S223" s="1611">
        <f t="shared" si="31"/>
        <v>2373.2701421800948</v>
      </c>
      <c r="T223" s="1611">
        <f t="shared" si="32"/>
        <v>81086.729857819912</v>
      </c>
      <c r="U223" s="1580"/>
      <c r="V223" s="1580"/>
      <c r="W223" s="1580"/>
      <c r="X223" s="1580"/>
      <c r="Y223" s="1580"/>
      <c r="Z223" s="1580"/>
      <c r="AA223" s="1580"/>
      <c r="AB223" s="1580"/>
      <c r="AC223" s="1580"/>
      <c r="AD223" s="1580"/>
      <c r="AE223" s="1580"/>
      <c r="AF223" s="1580"/>
      <c r="AG223" s="1580"/>
      <c r="AH223" s="1580"/>
      <c r="AI223" s="1580"/>
      <c r="AJ223" s="1580"/>
      <c r="AK223" s="1580"/>
      <c r="AL223" s="1580"/>
      <c r="AM223" s="1580"/>
    </row>
    <row r="224" spans="1:39" hidden="1">
      <c r="A224" s="1609">
        <v>291</v>
      </c>
      <c r="B224" s="1618" t="s">
        <v>1580</v>
      </c>
      <c r="C224" s="1579"/>
      <c r="D224" s="1618" t="s">
        <v>1022</v>
      </c>
      <c r="E224" s="1662">
        <v>15941</v>
      </c>
      <c r="F224" s="1581"/>
      <c r="G224" s="1581"/>
      <c r="H224" s="1581"/>
      <c r="I224" s="1609">
        <v>6</v>
      </c>
      <c r="J224" s="1609">
        <v>205</v>
      </c>
      <c r="K224" s="1581"/>
      <c r="L224" s="1622"/>
      <c r="M224" s="1622"/>
      <c r="N224" s="1581"/>
      <c r="O224" s="1581"/>
      <c r="P224" s="1581">
        <f t="shared" si="29"/>
        <v>0</v>
      </c>
      <c r="Q224" s="1581"/>
      <c r="R224" s="1611">
        <f t="shared" si="30"/>
        <v>0</v>
      </c>
      <c r="S224" s="1611">
        <f t="shared" si="31"/>
        <v>0</v>
      </c>
      <c r="T224" s="1611">
        <f t="shared" si="32"/>
        <v>0</v>
      </c>
      <c r="U224" s="1580"/>
      <c r="V224" s="1580"/>
      <c r="W224" s="1580"/>
      <c r="X224" s="1580"/>
      <c r="Y224" s="1580"/>
      <c r="Z224" s="1580"/>
      <c r="AA224" s="1580"/>
      <c r="AB224" s="1580"/>
      <c r="AC224" s="1580"/>
      <c r="AD224" s="1580"/>
      <c r="AE224" s="1580"/>
      <c r="AF224" s="1580"/>
      <c r="AG224" s="1580"/>
      <c r="AH224" s="1580"/>
      <c r="AI224" s="1580"/>
      <c r="AJ224" s="1580"/>
      <c r="AK224" s="1580"/>
      <c r="AL224" s="1580"/>
      <c r="AM224" s="1580"/>
    </row>
    <row r="225" spans="1:39" hidden="1">
      <c r="A225" s="1609">
        <v>292</v>
      </c>
      <c r="B225" s="1653" t="s">
        <v>1581</v>
      </c>
      <c r="C225" s="1647" t="s">
        <v>1582</v>
      </c>
      <c r="D225" s="1618" t="s">
        <v>1022</v>
      </c>
      <c r="E225" s="1662">
        <v>15941</v>
      </c>
      <c r="F225" s="1581"/>
      <c r="G225" s="1581"/>
      <c r="H225" s="1581"/>
      <c r="I225" s="1609">
        <v>6</v>
      </c>
      <c r="J225" s="1609">
        <v>205</v>
      </c>
      <c r="K225" s="1581"/>
      <c r="L225" s="1622"/>
      <c r="M225" s="1622"/>
      <c r="N225" s="1581"/>
      <c r="O225" s="1581"/>
      <c r="P225" s="1581">
        <f t="shared" si="29"/>
        <v>0</v>
      </c>
      <c r="Q225" s="1581"/>
      <c r="R225" s="1611">
        <f t="shared" si="30"/>
        <v>0</v>
      </c>
      <c r="S225" s="1611">
        <f t="shared" si="31"/>
        <v>0</v>
      </c>
      <c r="T225" s="1611">
        <f t="shared" si="32"/>
        <v>0</v>
      </c>
      <c r="U225" s="1580"/>
      <c r="V225" s="1580"/>
      <c r="W225" s="1580"/>
      <c r="X225" s="1580"/>
      <c r="Y225" s="1580"/>
      <c r="Z225" s="1580"/>
      <c r="AA225" s="1580"/>
      <c r="AB225" s="1580"/>
      <c r="AC225" s="1580"/>
      <c r="AD225" s="1580"/>
      <c r="AE225" s="1580"/>
      <c r="AF225" s="1580"/>
      <c r="AG225" s="1580"/>
      <c r="AH225" s="1580"/>
      <c r="AI225" s="1580"/>
      <c r="AJ225" s="1580"/>
      <c r="AK225" s="1580"/>
      <c r="AL225" s="1580"/>
      <c r="AM225" s="1580"/>
    </row>
    <row r="226" spans="1:39" hidden="1">
      <c r="A226" s="1609">
        <v>293</v>
      </c>
      <c r="B226" s="1618" t="s">
        <v>1583</v>
      </c>
      <c r="C226" s="1579" t="s">
        <v>1584</v>
      </c>
      <c r="D226" s="1618" t="s">
        <v>1022</v>
      </c>
      <c r="E226" s="1662">
        <v>15941</v>
      </c>
      <c r="F226" s="1581"/>
      <c r="G226" s="1581"/>
      <c r="H226" s="1581"/>
      <c r="I226" s="1609">
        <v>6</v>
      </c>
      <c r="J226" s="1609">
        <v>205</v>
      </c>
      <c r="K226" s="1581"/>
      <c r="L226" s="1622"/>
      <c r="M226" s="1622"/>
      <c r="N226" s="1581"/>
      <c r="O226" s="1581"/>
      <c r="P226" s="1581">
        <f t="shared" si="29"/>
        <v>0</v>
      </c>
      <c r="Q226" s="1581"/>
      <c r="R226" s="1611">
        <f t="shared" si="30"/>
        <v>0</v>
      </c>
      <c r="S226" s="1611">
        <f t="shared" si="31"/>
        <v>0</v>
      </c>
      <c r="T226" s="1611">
        <f t="shared" si="32"/>
        <v>0</v>
      </c>
      <c r="U226" s="1580"/>
      <c r="V226" s="1580"/>
      <c r="W226" s="1580"/>
      <c r="X226" s="1580"/>
      <c r="Y226" s="1580"/>
      <c r="Z226" s="1580"/>
      <c r="AA226" s="1580"/>
      <c r="AB226" s="1580"/>
      <c r="AC226" s="1580"/>
      <c r="AD226" s="1580"/>
      <c r="AE226" s="1580"/>
      <c r="AF226" s="1580"/>
      <c r="AG226" s="1580"/>
      <c r="AH226" s="1580"/>
      <c r="AI226" s="1580"/>
      <c r="AJ226" s="1580"/>
      <c r="AK226" s="1580"/>
      <c r="AL226" s="1580"/>
      <c r="AM226" s="1580"/>
    </row>
    <row r="227" spans="1:39" ht="25.5">
      <c r="A227" s="1609">
        <v>148</v>
      </c>
      <c r="B227" s="1618" t="s">
        <v>1585</v>
      </c>
      <c r="C227" s="1579" t="s">
        <v>1586</v>
      </c>
      <c r="D227" s="1618" t="s">
        <v>1587</v>
      </c>
      <c r="E227" s="1662">
        <v>15941</v>
      </c>
      <c r="F227" s="1581"/>
      <c r="G227" s="1581"/>
      <c r="H227" s="1581"/>
      <c r="I227" s="1609">
        <v>6</v>
      </c>
      <c r="J227" s="1609">
        <v>205</v>
      </c>
      <c r="K227" s="1581"/>
      <c r="L227" s="1618">
        <v>4</v>
      </c>
      <c r="M227" s="1618"/>
      <c r="N227" s="1581"/>
      <c r="O227" s="1581"/>
      <c r="P227" s="1581">
        <f t="shared" si="29"/>
        <v>4</v>
      </c>
      <c r="Q227" s="1581">
        <f>18000*1.07</f>
        <v>19260</v>
      </c>
      <c r="R227" s="1611">
        <f t="shared" si="30"/>
        <v>77040</v>
      </c>
      <c r="S227" s="1611">
        <f t="shared" si="31"/>
        <v>2190.7109004739336</v>
      </c>
      <c r="T227" s="1611">
        <f t="shared" si="32"/>
        <v>74849.289099526068</v>
      </c>
      <c r="U227" s="1580"/>
      <c r="V227" s="1580"/>
      <c r="W227" s="1580" t="s">
        <v>2228</v>
      </c>
      <c r="X227" s="1580" t="s">
        <v>2229</v>
      </c>
      <c r="Y227" s="1580" t="s">
        <v>2210</v>
      </c>
      <c r="Z227" s="1580"/>
      <c r="AA227" s="1580"/>
      <c r="AB227" s="1580"/>
      <c r="AC227" s="1580"/>
      <c r="AD227" s="1580"/>
      <c r="AE227" s="1580"/>
      <c r="AF227" s="1580"/>
      <c r="AG227" s="1580"/>
      <c r="AH227" s="1580"/>
      <c r="AI227" s="1580"/>
      <c r="AJ227" s="1580"/>
      <c r="AK227" s="1580"/>
      <c r="AL227" s="1580"/>
      <c r="AM227" s="1580"/>
    </row>
    <row r="228" spans="1:39">
      <c r="A228" s="1609">
        <v>177</v>
      </c>
      <c r="B228" s="1618" t="s">
        <v>1588</v>
      </c>
      <c r="C228" s="1579" t="s">
        <v>1589</v>
      </c>
      <c r="D228" s="1622" t="s">
        <v>1590</v>
      </c>
      <c r="E228" s="1662">
        <v>15941</v>
      </c>
      <c r="F228" s="1581"/>
      <c r="G228" s="1581"/>
      <c r="H228" s="1581"/>
      <c r="I228" s="1609">
        <v>6</v>
      </c>
      <c r="J228" s="1609">
        <v>205</v>
      </c>
      <c r="K228" s="1581"/>
      <c r="L228" s="1618">
        <v>460</v>
      </c>
      <c r="M228" s="1618">
        <v>460</v>
      </c>
      <c r="N228" s="1581"/>
      <c r="O228" s="1581"/>
      <c r="P228" s="1581">
        <f t="shared" si="29"/>
        <v>460</v>
      </c>
      <c r="Q228" s="1581">
        <f>150*1.07</f>
        <v>160.5</v>
      </c>
      <c r="R228" s="1611">
        <f t="shared" si="30"/>
        <v>73830</v>
      </c>
      <c r="S228" s="1611">
        <f t="shared" si="31"/>
        <v>2099.4312796208528</v>
      </c>
      <c r="T228" s="1611">
        <f t="shared" si="32"/>
        <v>71730.568720379146</v>
      </c>
      <c r="U228" s="1578" t="s">
        <v>2230</v>
      </c>
      <c r="V228" s="1580"/>
      <c r="W228" s="1645">
        <f>15941/500*0.6</f>
        <v>19.129200000000001</v>
      </c>
      <c r="X228" s="1645">
        <f>W228*12</f>
        <v>229.55040000000002</v>
      </c>
      <c r="Y228" s="1580">
        <f>230*2</f>
        <v>460</v>
      </c>
      <c r="Z228" s="1580"/>
      <c r="AA228" s="1580"/>
      <c r="AB228" s="1580"/>
      <c r="AC228" s="1580"/>
      <c r="AD228" s="1580"/>
      <c r="AE228" s="1580"/>
      <c r="AF228" s="1580"/>
      <c r="AG228" s="1580"/>
      <c r="AH228" s="1580"/>
      <c r="AI228" s="1580"/>
      <c r="AJ228" s="1580"/>
      <c r="AK228" s="1580"/>
      <c r="AL228" s="1580"/>
      <c r="AM228" s="1580"/>
    </row>
    <row r="229" spans="1:39" ht="25.5">
      <c r="A229" s="1609">
        <v>247</v>
      </c>
      <c r="B229" s="1622" t="s">
        <v>1591</v>
      </c>
      <c r="C229" s="1579" t="s">
        <v>1592</v>
      </c>
      <c r="D229" s="1622" t="s">
        <v>1290</v>
      </c>
      <c r="E229" s="1662">
        <v>15941</v>
      </c>
      <c r="F229" s="1581"/>
      <c r="G229" s="1581"/>
      <c r="H229" s="1581"/>
      <c r="I229" s="1609">
        <v>6</v>
      </c>
      <c r="J229" s="1609">
        <v>205</v>
      </c>
      <c r="K229" s="1581"/>
      <c r="L229" s="1610">
        <v>20</v>
      </c>
      <c r="M229" s="1610"/>
      <c r="N229" s="1581"/>
      <c r="O229" s="1581"/>
      <c r="P229" s="1581">
        <f t="shared" si="29"/>
        <v>20</v>
      </c>
      <c r="Q229" s="1581">
        <f>700*1.07</f>
        <v>749</v>
      </c>
      <c r="R229" s="1611">
        <f t="shared" si="30"/>
        <v>14980</v>
      </c>
      <c r="S229" s="1611">
        <f t="shared" si="31"/>
        <v>425.97156398104261</v>
      </c>
      <c r="T229" s="1611">
        <f t="shared" si="32"/>
        <v>14554.028436018958</v>
      </c>
      <c r="U229" s="1580"/>
      <c r="V229" s="1580"/>
      <c r="W229" s="1580"/>
      <c r="X229" s="1580"/>
      <c r="Y229" s="1580"/>
      <c r="Z229" s="1580"/>
      <c r="AA229" s="1580"/>
      <c r="AB229" s="1580"/>
      <c r="AC229" s="1580"/>
      <c r="AD229" s="1580"/>
      <c r="AE229" s="1580"/>
      <c r="AF229" s="1580"/>
      <c r="AG229" s="1580"/>
      <c r="AH229" s="1580"/>
      <c r="AI229" s="1580"/>
      <c r="AJ229" s="1580"/>
      <c r="AK229" s="1580"/>
      <c r="AL229" s="1580"/>
      <c r="AM229" s="1580"/>
    </row>
    <row r="230" spans="1:39">
      <c r="A230" s="1609">
        <v>241</v>
      </c>
      <c r="B230" s="1622" t="s">
        <v>1594</v>
      </c>
      <c r="C230" s="1579" t="s">
        <v>1595</v>
      </c>
      <c r="D230" s="1622" t="s">
        <v>1022</v>
      </c>
      <c r="E230" s="1662">
        <v>15941</v>
      </c>
      <c r="F230" s="1581"/>
      <c r="G230" s="1581"/>
      <c r="H230" s="1581"/>
      <c r="I230" s="1609">
        <v>6</v>
      </c>
      <c r="J230" s="1609">
        <v>205</v>
      </c>
      <c r="K230" s="1581"/>
      <c r="L230" s="1610">
        <v>5</v>
      </c>
      <c r="M230" s="1610"/>
      <c r="N230" s="1581"/>
      <c r="O230" s="1581"/>
      <c r="P230" s="1581">
        <f t="shared" si="29"/>
        <v>5</v>
      </c>
      <c r="Q230" s="1581">
        <f>9000*1.07</f>
        <v>9630</v>
      </c>
      <c r="R230" s="1611">
        <f t="shared" si="30"/>
        <v>48150</v>
      </c>
      <c r="S230" s="1611">
        <f t="shared" si="31"/>
        <v>1369.1943127962086</v>
      </c>
      <c r="T230" s="1611">
        <f t="shared" si="32"/>
        <v>46780.805687203792</v>
      </c>
      <c r="U230" s="1580"/>
      <c r="V230" s="1580"/>
      <c r="W230" s="1580"/>
      <c r="X230" s="1580"/>
      <c r="Y230" s="1580"/>
      <c r="Z230" s="1580"/>
      <c r="AA230" s="1580"/>
      <c r="AB230" s="1580"/>
      <c r="AC230" s="1580"/>
      <c r="AD230" s="1580"/>
      <c r="AE230" s="1580"/>
      <c r="AF230" s="1580"/>
      <c r="AG230" s="1580"/>
      <c r="AH230" s="1580"/>
      <c r="AI230" s="1580"/>
      <c r="AJ230" s="1580"/>
      <c r="AK230" s="1580"/>
      <c r="AL230" s="1580"/>
      <c r="AM230" s="1580"/>
    </row>
    <row r="231" spans="1:39">
      <c r="A231" s="1609">
        <v>124</v>
      </c>
      <c r="B231" s="1618" t="s">
        <v>1596</v>
      </c>
      <c r="C231" s="1579" t="s">
        <v>2231</v>
      </c>
      <c r="D231" s="1618" t="s">
        <v>1268</v>
      </c>
      <c r="E231" s="1662">
        <v>15941</v>
      </c>
      <c r="F231" s="1581"/>
      <c r="G231" s="1581"/>
      <c r="H231" s="1581"/>
      <c r="I231" s="1609">
        <v>6</v>
      </c>
      <c r="J231" s="1609">
        <v>205</v>
      </c>
      <c r="K231" s="1581"/>
      <c r="L231" s="1618">
        <v>300</v>
      </c>
      <c r="M231" s="1618"/>
      <c r="N231" s="1581"/>
      <c r="O231" s="1581"/>
      <c r="P231" s="1581">
        <f t="shared" si="29"/>
        <v>300</v>
      </c>
      <c r="Q231" s="1581">
        <f>1000*1.07</f>
        <v>1070</v>
      </c>
      <c r="R231" s="1611">
        <f t="shared" si="30"/>
        <v>321000</v>
      </c>
      <c r="S231" s="1611">
        <f t="shared" si="31"/>
        <v>9127.962085308056</v>
      </c>
      <c r="T231" s="1611">
        <f t="shared" si="32"/>
        <v>311872.03791469196</v>
      </c>
      <c r="U231" s="1580"/>
      <c r="V231" s="1580"/>
      <c r="W231" s="1580"/>
      <c r="X231" s="1580"/>
      <c r="Y231" s="1580"/>
      <c r="Z231" s="1580"/>
      <c r="AA231" s="1580"/>
      <c r="AB231" s="1580"/>
      <c r="AC231" s="1580"/>
      <c r="AD231" s="1580"/>
      <c r="AE231" s="1580"/>
      <c r="AF231" s="1580"/>
      <c r="AG231" s="1580"/>
      <c r="AH231" s="1580"/>
      <c r="AI231" s="1580"/>
      <c r="AJ231" s="1580"/>
      <c r="AK231" s="1580"/>
      <c r="AL231" s="1580"/>
      <c r="AM231" s="1580"/>
    </row>
    <row r="232" spans="1:39" ht="25.5" hidden="1">
      <c r="A232" s="1609">
        <v>262</v>
      </c>
      <c r="B232" s="1610" t="s">
        <v>1598</v>
      </c>
      <c r="C232" s="1579" t="s">
        <v>1599</v>
      </c>
      <c r="D232" s="1610" t="s">
        <v>1022</v>
      </c>
      <c r="E232" s="1662">
        <v>15941</v>
      </c>
      <c r="F232" s="1581"/>
      <c r="G232" s="1581"/>
      <c r="H232" s="1581"/>
      <c r="I232" s="1609">
        <v>6</v>
      </c>
      <c r="J232" s="1609">
        <v>205</v>
      </c>
      <c r="K232" s="1581"/>
      <c r="L232" s="1610"/>
      <c r="M232" s="1610"/>
      <c r="N232" s="1581"/>
      <c r="O232" s="1581"/>
      <c r="P232" s="1581">
        <f t="shared" si="29"/>
        <v>0</v>
      </c>
      <c r="Q232" s="1581"/>
      <c r="R232" s="1611">
        <f t="shared" si="30"/>
        <v>0</v>
      </c>
      <c r="S232" s="1611">
        <f t="shared" si="31"/>
        <v>0</v>
      </c>
      <c r="T232" s="1611">
        <f t="shared" si="32"/>
        <v>0</v>
      </c>
      <c r="U232" s="1580">
        <v>2500</v>
      </c>
      <c r="V232" s="1580"/>
      <c r="W232" s="1580"/>
      <c r="X232" s="1580"/>
      <c r="Y232" s="1580"/>
      <c r="Z232" s="1580"/>
      <c r="AA232" s="1580"/>
      <c r="AB232" s="1580"/>
      <c r="AC232" s="1580"/>
      <c r="AD232" s="1580"/>
      <c r="AE232" s="1580"/>
      <c r="AF232" s="1580"/>
      <c r="AG232" s="1580"/>
      <c r="AH232" s="1580"/>
      <c r="AI232" s="1580"/>
      <c r="AJ232" s="1580"/>
      <c r="AK232" s="1580"/>
      <c r="AL232" s="1580"/>
      <c r="AM232" s="1580"/>
    </row>
    <row r="233" spans="1:39" hidden="1">
      <c r="A233" s="1609">
        <v>277</v>
      </c>
      <c r="B233" s="1618" t="s">
        <v>1600</v>
      </c>
      <c r="C233" s="1579" t="s">
        <v>1601</v>
      </c>
      <c r="D233" s="1618" t="s">
        <v>1022</v>
      </c>
      <c r="E233" s="1662">
        <v>15941</v>
      </c>
      <c r="F233" s="1581"/>
      <c r="G233" s="1581"/>
      <c r="H233" s="1581"/>
      <c r="I233" s="1609">
        <v>6</v>
      </c>
      <c r="J233" s="1609">
        <v>205</v>
      </c>
      <c r="K233" s="1581"/>
      <c r="L233" s="1622"/>
      <c r="M233" s="1622"/>
      <c r="N233" s="1581"/>
      <c r="O233" s="1581"/>
      <c r="P233" s="1581">
        <f t="shared" si="29"/>
        <v>0</v>
      </c>
      <c r="Q233" s="1581"/>
      <c r="R233" s="1611">
        <f t="shared" si="30"/>
        <v>0</v>
      </c>
      <c r="S233" s="1611">
        <f t="shared" si="31"/>
        <v>0</v>
      </c>
      <c r="T233" s="1611">
        <f t="shared" si="32"/>
        <v>0</v>
      </c>
      <c r="U233" s="1580"/>
      <c r="V233" s="1580"/>
      <c r="W233" s="1580"/>
      <c r="X233" s="1580"/>
      <c r="Y233" s="1580"/>
      <c r="Z233" s="1580"/>
      <c r="AA233" s="1580"/>
      <c r="AB233" s="1580"/>
      <c r="AC233" s="1580"/>
      <c r="AD233" s="1580"/>
      <c r="AE233" s="1580"/>
      <c r="AF233" s="1580"/>
      <c r="AG233" s="1580"/>
      <c r="AH233" s="1580"/>
      <c r="AI233" s="1580"/>
      <c r="AJ233" s="1580"/>
      <c r="AK233" s="1580"/>
      <c r="AL233" s="1580"/>
      <c r="AM233" s="1580"/>
    </row>
    <row r="234" spans="1:39" hidden="1">
      <c r="A234" s="1609">
        <v>278</v>
      </c>
      <c r="B234" s="1618" t="s">
        <v>1600</v>
      </c>
      <c r="C234" s="1579" t="s">
        <v>1602</v>
      </c>
      <c r="D234" s="1618" t="s">
        <v>1022</v>
      </c>
      <c r="E234" s="1662">
        <v>15941</v>
      </c>
      <c r="F234" s="1581"/>
      <c r="G234" s="1581"/>
      <c r="H234" s="1581"/>
      <c r="I234" s="1609">
        <v>6</v>
      </c>
      <c r="J234" s="1609">
        <v>205</v>
      </c>
      <c r="K234" s="1581"/>
      <c r="L234" s="1622"/>
      <c r="M234" s="1622"/>
      <c r="N234" s="1581"/>
      <c r="O234" s="1581"/>
      <c r="P234" s="1581">
        <f t="shared" si="29"/>
        <v>0</v>
      </c>
      <c r="Q234" s="1581"/>
      <c r="R234" s="1611">
        <f t="shared" si="30"/>
        <v>0</v>
      </c>
      <c r="S234" s="1611">
        <f t="shared" si="31"/>
        <v>0</v>
      </c>
      <c r="T234" s="1611">
        <f t="shared" si="32"/>
        <v>0</v>
      </c>
      <c r="U234" s="1580"/>
      <c r="V234" s="1580"/>
      <c r="W234" s="1580"/>
      <c r="X234" s="1580"/>
      <c r="Y234" s="1580"/>
      <c r="Z234" s="1580"/>
      <c r="AA234" s="1580"/>
      <c r="AB234" s="1580"/>
      <c r="AC234" s="1580"/>
      <c r="AD234" s="1580"/>
      <c r="AE234" s="1580"/>
      <c r="AF234" s="1580"/>
      <c r="AG234" s="1580"/>
      <c r="AH234" s="1580"/>
      <c r="AI234" s="1580"/>
      <c r="AJ234" s="1580"/>
      <c r="AK234" s="1580"/>
      <c r="AL234" s="1580"/>
      <c r="AM234" s="1580"/>
    </row>
    <row r="235" spans="1:39" ht="15.75" customHeight="1">
      <c r="A235" s="1609">
        <v>154</v>
      </c>
      <c r="B235" s="1618" t="s">
        <v>1600</v>
      </c>
      <c r="C235" s="1579" t="s">
        <v>1603</v>
      </c>
      <c r="D235" s="1618" t="s">
        <v>1022</v>
      </c>
      <c r="E235" s="1662">
        <v>15941</v>
      </c>
      <c r="F235" s="1581"/>
      <c r="G235" s="1581"/>
      <c r="H235" s="1581"/>
      <c r="I235" s="1609">
        <v>6</v>
      </c>
      <c r="J235" s="1609">
        <v>205</v>
      </c>
      <c r="K235" s="1581"/>
      <c r="L235" s="1618">
        <v>20</v>
      </c>
      <c r="M235" s="1618"/>
      <c r="N235" s="1581"/>
      <c r="O235" s="1581"/>
      <c r="P235" s="1581">
        <f t="shared" si="29"/>
        <v>20</v>
      </c>
      <c r="Q235" s="1581">
        <f>2000*1.07</f>
        <v>2140</v>
      </c>
      <c r="R235" s="1611">
        <f t="shared" si="30"/>
        <v>42800</v>
      </c>
      <c r="S235" s="1611">
        <f t="shared" si="31"/>
        <v>1217.0616113744074</v>
      </c>
      <c r="T235" s="1611">
        <f t="shared" si="32"/>
        <v>41582.938388625589</v>
      </c>
      <c r="U235" s="1580"/>
      <c r="V235" s="1580"/>
      <c r="W235" s="1580"/>
      <c r="X235" s="1580"/>
      <c r="Y235" s="1580"/>
      <c r="Z235" s="1580"/>
      <c r="AA235" s="1580"/>
      <c r="AB235" s="1580"/>
      <c r="AC235" s="1580"/>
      <c r="AD235" s="1580"/>
      <c r="AE235" s="1580"/>
      <c r="AF235" s="1580"/>
      <c r="AG235" s="1580"/>
      <c r="AH235" s="1580"/>
      <c r="AI235" s="1580"/>
      <c r="AJ235" s="1580"/>
      <c r="AK235" s="1580"/>
      <c r="AL235" s="1580"/>
      <c r="AM235" s="1580"/>
    </row>
    <row r="236" spans="1:39" ht="38.25">
      <c r="A236" s="1609">
        <v>59</v>
      </c>
      <c r="B236" s="1619" t="s">
        <v>1604</v>
      </c>
      <c r="C236" s="917" t="s">
        <v>1605</v>
      </c>
      <c r="D236" s="1619" t="s">
        <v>1268</v>
      </c>
      <c r="E236" s="1662">
        <v>15941</v>
      </c>
      <c r="F236" s="1609"/>
      <c r="G236" s="1609"/>
      <c r="H236" s="1609"/>
      <c r="I236" s="1609">
        <v>6</v>
      </c>
      <c r="J236" s="1609">
        <v>205</v>
      </c>
      <c r="K236" s="1609"/>
      <c r="L236" s="1619">
        <v>30</v>
      </c>
      <c r="M236" s="1619"/>
      <c r="N236" s="1609"/>
      <c r="O236" s="1609"/>
      <c r="P236" s="1581">
        <f t="shared" si="29"/>
        <v>30</v>
      </c>
      <c r="Q236" s="1610">
        <f>470*1.07</f>
        <v>502.90000000000003</v>
      </c>
      <c r="R236" s="1611">
        <f t="shared" si="30"/>
        <v>15087.000000000002</v>
      </c>
      <c r="S236" s="1611">
        <f t="shared" si="31"/>
        <v>429.01421800947872</v>
      </c>
      <c r="T236" s="1611">
        <f t="shared" si="32"/>
        <v>14657.985781990523</v>
      </c>
      <c r="U236" s="1580"/>
      <c r="V236" s="1580"/>
      <c r="W236" s="1580"/>
      <c r="X236" s="1580"/>
      <c r="Y236" s="1580"/>
      <c r="Z236" s="1580"/>
      <c r="AA236" s="1580"/>
      <c r="AB236" s="1580"/>
      <c r="AC236" s="1580"/>
      <c r="AD236" s="1580"/>
      <c r="AE236" s="1580"/>
      <c r="AF236" s="1580"/>
      <c r="AG236" s="1580"/>
      <c r="AH236" s="1580"/>
      <c r="AI236" s="1580"/>
      <c r="AJ236" s="1580"/>
      <c r="AK236" s="1580"/>
      <c r="AL236" s="1580"/>
      <c r="AM236" s="1580"/>
    </row>
    <row r="237" spans="1:39" ht="38.25">
      <c r="A237" s="1609">
        <v>61</v>
      </c>
      <c r="B237" s="1619" t="s">
        <v>1604</v>
      </c>
      <c r="C237" s="917" t="s">
        <v>1606</v>
      </c>
      <c r="D237" s="1619" t="s">
        <v>1268</v>
      </c>
      <c r="E237" s="1662">
        <v>15941</v>
      </c>
      <c r="F237" s="1609"/>
      <c r="G237" s="1609"/>
      <c r="H237" s="1609"/>
      <c r="I237" s="1609">
        <v>6</v>
      </c>
      <c r="J237" s="1609">
        <v>205</v>
      </c>
      <c r="K237" s="1609"/>
      <c r="L237" s="1619">
        <v>30</v>
      </c>
      <c r="M237" s="1619"/>
      <c r="N237" s="1609"/>
      <c r="O237" s="1609"/>
      <c r="P237" s="1581">
        <f t="shared" si="29"/>
        <v>30</v>
      </c>
      <c r="Q237" s="1610">
        <f>670*1.07</f>
        <v>716.90000000000009</v>
      </c>
      <c r="R237" s="1611">
        <f t="shared" si="30"/>
        <v>21507.000000000004</v>
      </c>
      <c r="S237" s="1611">
        <f t="shared" si="31"/>
        <v>611.57345971563984</v>
      </c>
      <c r="T237" s="1611">
        <f t="shared" si="32"/>
        <v>20895.426540284363</v>
      </c>
      <c r="U237" s="1580"/>
      <c r="V237" s="1580"/>
      <c r="W237" s="1580"/>
      <c r="X237" s="1580"/>
      <c r="Y237" s="1580"/>
      <c r="Z237" s="1580"/>
      <c r="AA237" s="1580"/>
      <c r="AB237" s="1580"/>
      <c r="AC237" s="1580"/>
      <c r="AD237" s="1580"/>
      <c r="AE237" s="1580"/>
      <c r="AF237" s="1580"/>
      <c r="AG237" s="1580"/>
      <c r="AH237" s="1580"/>
      <c r="AI237" s="1580"/>
      <c r="AJ237" s="1580"/>
      <c r="AK237" s="1580"/>
      <c r="AL237" s="1580"/>
      <c r="AM237" s="1580"/>
    </row>
    <row r="238" spans="1:39">
      <c r="A238" s="1609">
        <v>57</v>
      </c>
      <c r="B238" s="1619" t="s">
        <v>1607</v>
      </c>
      <c r="C238" s="917" t="s">
        <v>1608</v>
      </c>
      <c r="D238" s="1619" t="s">
        <v>1268</v>
      </c>
      <c r="E238" s="1662">
        <v>15941</v>
      </c>
      <c r="F238" s="1609"/>
      <c r="G238" s="1609"/>
      <c r="H238" s="1609"/>
      <c r="I238" s="1609">
        <v>6</v>
      </c>
      <c r="J238" s="1609">
        <v>205</v>
      </c>
      <c r="K238" s="1609"/>
      <c r="L238" s="1619">
        <v>40</v>
      </c>
      <c r="M238" s="1619"/>
      <c r="N238" s="1609"/>
      <c r="O238" s="1609"/>
      <c r="P238" s="1581">
        <f t="shared" si="29"/>
        <v>40</v>
      </c>
      <c r="Q238" s="1610">
        <f>1860*1.07</f>
        <v>1990.2</v>
      </c>
      <c r="R238" s="1611">
        <f t="shared" si="30"/>
        <v>79608</v>
      </c>
      <c r="S238" s="1611">
        <f t="shared" si="31"/>
        <v>2263.7345971563982</v>
      </c>
      <c r="T238" s="1611">
        <f t="shared" si="32"/>
        <v>77344.265402843608</v>
      </c>
      <c r="U238" s="1580"/>
      <c r="V238" s="1580"/>
      <c r="W238" s="1580"/>
      <c r="X238" s="1580"/>
      <c r="Y238" s="1580"/>
      <c r="Z238" s="1580"/>
      <c r="AA238" s="1580"/>
      <c r="AB238" s="1580"/>
      <c r="AC238" s="1580"/>
      <c r="AD238" s="1580"/>
      <c r="AE238" s="1580"/>
      <c r="AF238" s="1580"/>
      <c r="AG238" s="1580"/>
      <c r="AH238" s="1580"/>
      <c r="AI238" s="1580"/>
      <c r="AJ238" s="1580"/>
      <c r="AK238" s="1580"/>
      <c r="AL238" s="1580"/>
      <c r="AM238" s="1580"/>
    </row>
    <row r="239" spans="1:39" ht="38.25">
      <c r="A239" s="1609">
        <v>58</v>
      </c>
      <c r="B239" s="1619" t="s">
        <v>1609</v>
      </c>
      <c r="C239" s="917" t="s">
        <v>1605</v>
      </c>
      <c r="D239" s="1619" t="s">
        <v>1268</v>
      </c>
      <c r="E239" s="1662">
        <v>15941</v>
      </c>
      <c r="F239" s="1609"/>
      <c r="G239" s="1609"/>
      <c r="H239" s="1609"/>
      <c r="I239" s="1609">
        <v>6</v>
      </c>
      <c r="J239" s="1609">
        <v>205</v>
      </c>
      <c r="K239" s="1609"/>
      <c r="L239" s="1619">
        <v>30</v>
      </c>
      <c r="M239" s="1619"/>
      <c r="N239" s="1609"/>
      <c r="O239" s="1609"/>
      <c r="P239" s="1581">
        <f t="shared" si="29"/>
        <v>30</v>
      </c>
      <c r="Q239" s="1610">
        <f>460*1.07</f>
        <v>492.20000000000005</v>
      </c>
      <c r="R239" s="1611">
        <f t="shared" si="30"/>
        <v>14766.000000000002</v>
      </c>
      <c r="S239" s="1611">
        <f t="shared" si="31"/>
        <v>419.88625592417065</v>
      </c>
      <c r="T239" s="1611">
        <f t="shared" si="32"/>
        <v>14346.113744075832</v>
      </c>
      <c r="U239" s="1580"/>
      <c r="V239" s="1580"/>
      <c r="W239" s="1580"/>
      <c r="X239" s="1580"/>
      <c r="Y239" s="1580"/>
      <c r="Z239" s="1580"/>
      <c r="AA239" s="1580"/>
      <c r="AB239" s="1580"/>
      <c r="AC239" s="1580"/>
      <c r="AD239" s="1580"/>
      <c r="AE239" s="1580"/>
      <c r="AF239" s="1580"/>
      <c r="AG239" s="1580"/>
      <c r="AH239" s="1580"/>
      <c r="AI239" s="1580"/>
      <c r="AJ239" s="1580"/>
      <c r="AK239" s="1580"/>
      <c r="AL239" s="1580"/>
      <c r="AM239" s="1580"/>
    </row>
    <row r="240" spans="1:39" ht="38.25">
      <c r="A240" s="1609">
        <v>60</v>
      </c>
      <c r="B240" s="1619" t="s">
        <v>1609</v>
      </c>
      <c r="C240" s="917" t="s">
        <v>1606</v>
      </c>
      <c r="D240" s="1619" t="s">
        <v>1268</v>
      </c>
      <c r="E240" s="1662">
        <v>15941</v>
      </c>
      <c r="F240" s="1609"/>
      <c r="G240" s="1609"/>
      <c r="H240" s="1609"/>
      <c r="I240" s="1609">
        <v>6</v>
      </c>
      <c r="J240" s="1609">
        <v>205</v>
      </c>
      <c r="K240" s="1609"/>
      <c r="L240" s="1619">
        <v>30</v>
      </c>
      <c r="M240" s="1619"/>
      <c r="N240" s="1609"/>
      <c r="O240" s="1609"/>
      <c r="P240" s="1581">
        <f t="shared" si="29"/>
        <v>30</v>
      </c>
      <c r="Q240" s="1610">
        <f>670*1.07</f>
        <v>716.90000000000009</v>
      </c>
      <c r="R240" s="1611">
        <f t="shared" si="30"/>
        <v>21507.000000000004</v>
      </c>
      <c r="S240" s="1611">
        <f t="shared" si="31"/>
        <v>611.57345971563984</v>
      </c>
      <c r="T240" s="1611">
        <f t="shared" si="32"/>
        <v>20895.426540284363</v>
      </c>
      <c r="U240" s="1580"/>
      <c r="V240" s="1580"/>
      <c r="W240" s="1580"/>
      <c r="X240" s="1580"/>
      <c r="Y240" s="1580"/>
      <c r="Z240" s="1580"/>
      <c r="AA240" s="1580"/>
      <c r="AB240" s="1580"/>
      <c r="AC240" s="1580"/>
      <c r="AD240" s="1580"/>
      <c r="AE240" s="1580"/>
      <c r="AF240" s="1580"/>
      <c r="AG240" s="1580"/>
      <c r="AH240" s="1580"/>
      <c r="AI240" s="1580"/>
      <c r="AJ240" s="1580"/>
      <c r="AK240" s="1580"/>
      <c r="AL240" s="1580"/>
      <c r="AM240" s="1580"/>
    </row>
    <row r="241" spans="1:39">
      <c r="A241" s="1609">
        <v>245</v>
      </c>
      <c r="B241" s="1622" t="s">
        <v>1610</v>
      </c>
      <c r="C241" s="1579" t="s">
        <v>1611</v>
      </c>
      <c r="D241" s="1622" t="s">
        <v>1022</v>
      </c>
      <c r="E241" s="1662">
        <v>15941</v>
      </c>
      <c r="F241" s="1581"/>
      <c r="G241" s="1581"/>
      <c r="H241" s="1581"/>
      <c r="I241" s="1609">
        <v>6</v>
      </c>
      <c r="J241" s="1609">
        <v>205</v>
      </c>
      <c r="K241" s="1581"/>
      <c r="L241" s="1610">
        <v>3</v>
      </c>
      <c r="M241" s="1610"/>
      <c r="N241" s="1581"/>
      <c r="O241" s="1581"/>
      <c r="P241" s="1581">
        <f t="shared" si="29"/>
        <v>3</v>
      </c>
      <c r="Q241" s="1581">
        <f>1200*1.07</f>
        <v>1284</v>
      </c>
      <c r="R241" s="1611">
        <f t="shared" si="30"/>
        <v>3852</v>
      </c>
      <c r="S241" s="1611">
        <f t="shared" si="31"/>
        <v>109.53554502369668</v>
      </c>
      <c r="T241" s="1611">
        <f t="shared" si="32"/>
        <v>3742.4644549763034</v>
      </c>
      <c r="U241" s="1580"/>
      <c r="V241" s="1580"/>
      <c r="W241" s="1580"/>
      <c r="X241" s="1580"/>
      <c r="Y241" s="1580"/>
      <c r="Z241" s="1580"/>
      <c r="AA241" s="1580"/>
      <c r="AB241" s="1580"/>
      <c r="AC241" s="1580"/>
      <c r="AD241" s="1580"/>
      <c r="AE241" s="1580"/>
      <c r="AF241" s="1580"/>
      <c r="AG241" s="1580"/>
      <c r="AH241" s="1580"/>
      <c r="AI241" s="1580"/>
      <c r="AJ241" s="1580"/>
      <c r="AK241" s="1580"/>
      <c r="AL241" s="1580"/>
      <c r="AM241" s="1580"/>
    </row>
    <row r="242" spans="1:39" hidden="1">
      <c r="A242" s="1609">
        <v>294</v>
      </c>
      <c r="B242" s="1618" t="s">
        <v>1612</v>
      </c>
      <c r="C242" s="1579" t="s">
        <v>1613</v>
      </c>
      <c r="D242" s="1618" t="s">
        <v>1022</v>
      </c>
      <c r="E242" s="1662">
        <v>15941</v>
      </c>
      <c r="F242" s="1581"/>
      <c r="G242" s="1581"/>
      <c r="H242" s="1581"/>
      <c r="I242" s="1609">
        <v>6</v>
      </c>
      <c r="J242" s="1609">
        <v>205</v>
      </c>
      <c r="K242" s="1581"/>
      <c r="L242" s="1622"/>
      <c r="M242" s="1622"/>
      <c r="N242" s="1581"/>
      <c r="O242" s="1581"/>
      <c r="P242" s="1581">
        <f t="shared" si="29"/>
        <v>0</v>
      </c>
      <c r="Q242" s="1581"/>
      <c r="R242" s="1611">
        <f t="shared" si="30"/>
        <v>0</v>
      </c>
      <c r="S242" s="1611">
        <f t="shared" si="31"/>
        <v>0</v>
      </c>
      <c r="T242" s="1611">
        <f t="shared" si="32"/>
        <v>0</v>
      </c>
      <c r="U242" s="1580"/>
      <c r="V242" s="1580"/>
      <c r="W242" s="1580"/>
      <c r="X242" s="1580"/>
      <c r="Y242" s="1580"/>
      <c r="Z242" s="1580"/>
      <c r="AA242" s="1580"/>
      <c r="AB242" s="1580"/>
      <c r="AC242" s="1580"/>
      <c r="AD242" s="1580"/>
      <c r="AE242" s="1580"/>
      <c r="AF242" s="1580"/>
      <c r="AG242" s="1580"/>
      <c r="AH242" s="1580"/>
      <c r="AI242" s="1580"/>
      <c r="AJ242" s="1580"/>
      <c r="AK242" s="1580"/>
      <c r="AL242" s="1580"/>
      <c r="AM242" s="1580"/>
    </row>
    <row r="243" spans="1:39" hidden="1">
      <c r="A243" s="1609">
        <v>194</v>
      </c>
      <c r="B243" s="1618" t="s">
        <v>1614</v>
      </c>
      <c r="C243" s="1579" t="s">
        <v>1615</v>
      </c>
      <c r="D243" s="1618" t="s">
        <v>1022</v>
      </c>
      <c r="E243" s="1662">
        <v>15941</v>
      </c>
      <c r="F243" s="1581"/>
      <c r="G243" s="1581"/>
      <c r="H243" s="1581"/>
      <c r="I243" s="1609">
        <v>6</v>
      </c>
      <c r="J243" s="1609">
        <v>205</v>
      </c>
      <c r="K243" s="1581"/>
      <c r="L243" s="1620"/>
      <c r="M243" s="1620"/>
      <c r="N243" s="1581"/>
      <c r="O243" s="1581"/>
      <c r="P243" s="1581">
        <f t="shared" si="29"/>
        <v>0</v>
      </c>
      <c r="Q243" s="1581"/>
      <c r="R243" s="1611">
        <f t="shared" si="30"/>
        <v>0</v>
      </c>
      <c r="S243" s="1611">
        <f t="shared" si="31"/>
        <v>0</v>
      </c>
      <c r="T243" s="1611">
        <f t="shared" si="32"/>
        <v>0</v>
      </c>
      <c r="U243" s="1580"/>
      <c r="V243" s="1580"/>
      <c r="W243" s="1580"/>
      <c r="X243" s="1580"/>
      <c r="Y243" s="1580"/>
      <c r="Z243" s="1580"/>
      <c r="AA243" s="1580"/>
      <c r="AB243" s="1580"/>
      <c r="AC243" s="1580"/>
      <c r="AD243" s="1580"/>
      <c r="AE243" s="1580"/>
      <c r="AF243" s="1580"/>
      <c r="AG243" s="1580"/>
      <c r="AH243" s="1580"/>
      <c r="AI243" s="1580"/>
      <c r="AJ243" s="1580"/>
      <c r="AK243" s="1580"/>
      <c r="AL243" s="1580"/>
      <c r="AM243" s="1580"/>
    </row>
    <row r="244" spans="1:39">
      <c r="A244" s="1609">
        <v>119</v>
      </c>
      <c r="B244" s="1619" t="s">
        <v>1616</v>
      </c>
      <c r="C244" s="1579" t="s">
        <v>1617</v>
      </c>
      <c r="D244" s="1619" t="s">
        <v>1119</v>
      </c>
      <c r="E244" s="1662">
        <v>15941</v>
      </c>
      <c r="F244" s="1581"/>
      <c r="G244" s="1581"/>
      <c r="H244" s="1609"/>
      <c r="I244" s="1609">
        <v>6</v>
      </c>
      <c r="J244" s="1609">
        <v>205</v>
      </c>
      <c r="K244" s="1609"/>
      <c r="L244" s="1619">
        <v>2000</v>
      </c>
      <c r="M244" s="1619"/>
      <c r="N244" s="1609"/>
      <c r="O244" s="1609"/>
      <c r="P244" s="1581">
        <f t="shared" si="29"/>
        <v>2000</v>
      </c>
      <c r="Q244" s="1609">
        <f>20*1.07</f>
        <v>21.400000000000002</v>
      </c>
      <c r="R244" s="1611">
        <f t="shared" si="30"/>
        <v>42800.000000000007</v>
      </c>
      <c r="S244" s="1611">
        <f t="shared" si="31"/>
        <v>1217.0616113744077</v>
      </c>
      <c r="T244" s="1611">
        <f t="shared" si="32"/>
        <v>41582.938388625596</v>
      </c>
      <c r="U244" s="1580"/>
      <c r="V244" s="1580"/>
      <c r="W244" s="1580"/>
      <c r="X244" s="1580"/>
      <c r="Y244" s="1580"/>
      <c r="Z244" s="1580"/>
      <c r="AA244" s="1580"/>
      <c r="AB244" s="1580"/>
      <c r="AC244" s="1580"/>
      <c r="AD244" s="1580"/>
      <c r="AE244" s="1580"/>
      <c r="AF244" s="1580"/>
      <c r="AG244" s="1580"/>
      <c r="AH244" s="1580"/>
      <c r="AI244" s="1580"/>
      <c r="AJ244" s="1580"/>
      <c r="AK244" s="1580"/>
      <c r="AL244" s="1580"/>
      <c r="AM244" s="1580"/>
    </row>
    <row r="245" spans="1:39">
      <c r="A245" s="1609">
        <v>162</v>
      </c>
      <c r="B245" s="1618" t="s">
        <v>1618</v>
      </c>
      <c r="C245" s="1579" t="s">
        <v>1619</v>
      </c>
      <c r="D245" s="1618" t="s">
        <v>1565</v>
      </c>
      <c r="E245" s="1662">
        <v>15941</v>
      </c>
      <c r="F245" s="1581"/>
      <c r="G245" s="1581"/>
      <c r="H245" s="1581"/>
      <c r="I245" s="1609">
        <v>6</v>
      </c>
      <c r="J245" s="1609">
        <v>205</v>
      </c>
      <c r="K245" s="1581"/>
      <c r="L245" s="1618">
        <v>4</v>
      </c>
      <c r="M245" s="1618"/>
      <c r="N245" s="1581"/>
      <c r="O245" s="1581"/>
      <c r="P245" s="1581">
        <f t="shared" si="29"/>
        <v>4</v>
      </c>
      <c r="Q245" s="1581">
        <f>4500*1.07</f>
        <v>4815</v>
      </c>
      <c r="R245" s="1611">
        <f t="shared" si="30"/>
        <v>19260</v>
      </c>
      <c r="S245" s="1611">
        <f t="shared" si="31"/>
        <v>547.67772511848341</v>
      </c>
      <c r="T245" s="1611">
        <f t="shared" si="32"/>
        <v>18712.322274881517</v>
      </c>
      <c r="U245" s="1580"/>
      <c r="V245" s="1580"/>
      <c r="W245" s="1580"/>
      <c r="X245" s="1580"/>
      <c r="Y245" s="1580"/>
      <c r="Z245" s="1580"/>
      <c r="AA245" s="1580"/>
      <c r="AB245" s="1580"/>
      <c r="AC245" s="1580"/>
      <c r="AD245" s="1580"/>
      <c r="AE245" s="1580"/>
      <c r="AF245" s="1580"/>
      <c r="AG245" s="1580"/>
      <c r="AH245" s="1580"/>
      <c r="AI245" s="1580"/>
      <c r="AJ245" s="1580"/>
      <c r="AK245" s="1580"/>
      <c r="AL245" s="1580"/>
      <c r="AM245" s="1580"/>
    </row>
    <row r="246" spans="1:39" hidden="1">
      <c r="A246" s="1609">
        <v>136</v>
      </c>
      <c r="B246" s="1618" t="s">
        <v>1620</v>
      </c>
      <c r="C246" s="1579" t="s">
        <v>1621</v>
      </c>
      <c r="D246" s="1618" t="s">
        <v>1268</v>
      </c>
      <c r="E246" s="1662">
        <v>15941</v>
      </c>
      <c r="F246" s="1581"/>
      <c r="G246" s="1581"/>
      <c r="H246" s="1581"/>
      <c r="I246" s="1609"/>
      <c r="J246" s="1609"/>
      <c r="K246" s="1581"/>
      <c r="L246" s="1618"/>
      <c r="M246" s="1618"/>
      <c r="N246" s="1581"/>
      <c r="O246" s="1581"/>
      <c r="P246" s="1581"/>
      <c r="Q246" s="1581"/>
      <c r="R246" s="1611"/>
      <c r="S246" s="1611"/>
      <c r="T246" s="1611"/>
      <c r="U246" s="1580"/>
      <c r="V246" s="1580"/>
      <c r="W246" s="1580"/>
      <c r="X246" s="1580"/>
      <c r="Y246" s="1580"/>
      <c r="Z246" s="1580"/>
      <c r="AA246" s="1580"/>
      <c r="AB246" s="1580"/>
      <c r="AC246" s="1580"/>
      <c r="AD246" s="1580"/>
      <c r="AE246" s="1580"/>
      <c r="AF246" s="1580"/>
      <c r="AG246" s="1580"/>
      <c r="AH246" s="1580"/>
      <c r="AI246" s="1580"/>
      <c r="AJ246" s="1580"/>
      <c r="AK246" s="1580"/>
      <c r="AL246" s="1580"/>
      <c r="AM246" s="1580"/>
    </row>
    <row r="247" spans="1:39">
      <c r="A247" s="1609">
        <v>135</v>
      </c>
      <c r="B247" s="1618" t="s">
        <v>2232</v>
      </c>
      <c r="C247" s="1579" t="s">
        <v>2233</v>
      </c>
      <c r="D247" s="1618" t="s">
        <v>1268</v>
      </c>
      <c r="E247" s="1662">
        <v>15941</v>
      </c>
      <c r="F247" s="1581"/>
      <c r="G247" s="1581"/>
      <c r="H247" s="1581"/>
      <c r="I247" s="1609">
        <v>6</v>
      </c>
      <c r="J247" s="1609">
        <v>205</v>
      </c>
      <c r="K247" s="1581"/>
      <c r="L247" s="1618">
        <v>80</v>
      </c>
      <c r="M247" s="1618"/>
      <c r="N247" s="1581"/>
      <c r="O247" s="1581"/>
      <c r="P247" s="1581">
        <f t="shared" si="29"/>
        <v>80</v>
      </c>
      <c r="Q247" s="1581">
        <f>2000*1.07</f>
        <v>2140</v>
      </c>
      <c r="R247" s="1611">
        <f t="shared" si="30"/>
        <v>171200</v>
      </c>
      <c r="S247" s="1611">
        <f t="shared" si="31"/>
        <v>4868.2464454976298</v>
      </c>
      <c r="T247" s="1611">
        <f t="shared" si="32"/>
        <v>166331.75355450236</v>
      </c>
      <c r="U247" s="1580"/>
      <c r="V247" s="1580"/>
      <c r="W247" s="1580"/>
      <c r="X247" s="1580"/>
      <c r="Y247" s="1580"/>
      <c r="Z247" s="1580"/>
      <c r="AA247" s="1580"/>
      <c r="AB247" s="1580"/>
      <c r="AC247" s="1580"/>
      <c r="AD247" s="1580"/>
      <c r="AE247" s="1580"/>
      <c r="AF247" s="1580"/>
      <c r="AG247" s="1580"/>
      <c r="AH247" s="1580"/>
      <c r="AI247" s="1580"/>
      <c r="AJ247" s="1580"/>
      <c r="AK247" s="1580"/>
      <c r="AL247" s="1580"/>
      <c r="AM247" s="1580"/>
    </row>
    <row r="248" spans="1:39" hidden="1">
      <c r="A248" s="1609">
        <v>256</v>
      </c>
      <c r="B248" s="1622" t="s">
        <v>1624</v>
      </c>
      <c r="C248" s="1579"/>
      <c r="D248" s="1622" t="s">
        <v>1022</v>
      </c>
      <c r="E248" s="1662">
        <v>15941</v>
      </c>
      <c r="F248" s="1581"/>
      <c r="G248" s="1581"/>
      <c r="H248" s="1581"/>
      <c r="I248" s="1609"/>
      <c r="J248" s="1609"/>
      <c r="K248" s="1581"/>
      <c r="L248" s="1622"/>
      <c r="M248" s="1622"/>
      <c r="N248" s="1581"/>
      <c r="O248" s="1581"/>
      <c r="P248" s="1581"/>
      <c r="Q248" s="1581"/>
      <c r="R248" s="1611"/>
      <c r="S248" s="1611"/>
      <c r="T248" s="1611"/>
      <c r="U248" s="1580"/>
      <c r="V248" s="1580"/>
      <c r="W248" s="1580"/>
      <c r="X248" s="1580"/>
      <c r="Y248" s="1580"/>
      <c r="Z248" s="1580"/>
      <c r="AA248" s="1580"/>
      <c r="AB248" s="1580"/>
      <c r="AC248" s="1580"/>
      <c r="AD248" s="1580"/>
      <c r="AE248" s="1580"/>
      <c r="AF248" s="1580"/>
      <c r="AG248" s="1580"/>
      <c r="AH248" s="1580"/>
      <c r="AI248" s="1580"/>
      <c r="AJ248" s="1580"/>
      <c r="AK248" s="1580"/>
      <c r="AL248" s="1580"/>
      <c r="AM248" s="1580"/>
    </row>
    <row r="249" spans="1:39" hidden="1">
      <c r="A249" s="1609">
        <v>213</v>
      </c>
      <c r="B249" s="1620" t="s">
        <v>1624</v>
      </c>
      <c r="C249" s="1579" t="s">
        <v>1625</v>
      </c>
      <c r="D249" s="1620" t="s">
        <v>1022</v>
      </c>
      <c r="E249" s="1662">
        <v>15941</v>
      </c>
      <c r="F249" s="1581"/>
      <c r="G249" s="1581"/>
      <c r="H249" s="1581"/>
      <c r="I249" s="1609"/>
      <c r="J249" s="1609"/>
      <c r="K249" s="1581"/>
      <c r="L249" s="1620"/>
      <c r="M249" s="1620"/>
      <c r="N249" s="1581"/>
      <c r="O249" s="1581"/>
      <c r="P249" s="1581"/>
      <c r="Q249" s="1581"/>
      <c r="R249" s="1611"/>
      <c r="S249" s="1611"/>
      <c r="T249" s="1611"/>
      <c r="U249" s="1580"/>
      <c r="V249" s="1580"/>
      <c r="W249" s="1580"/>
      <c r="X249" s="1580"/>
      <c r="Y249" s="1580"/>
      <c r="Z249" s="1580"/>
      <c r="AA249" s="1580"/>
      <c r="AB249" s="1580"/>
      <c r="AC249" s="1580"/>
      <c r="AD249" s="1580"/>
      <c r="AE249" s="1580"/>
      <c r="AF249" s="1580"/>
      <c r="AG249" s="1580"/>
      <c r="AH249" s="1580"/>
      <c r="AI249" s="1580"/>
      <c r="AJ249" s="1580"/>
      <c r="AK249" s="1580"/>
      <c r="AL249" s="1580"/>
      <c r="AM249" s="1580"/>
    </row>
    <row r="250" spans="1:39" hidden="1">
      <c r="A250" s="1609">
        <v>214</v>
      </c>
      <c r="B250" s="1620" t="s">
        <v>1624</v>
      </c>
      <c r="C250" s="1579" t="s">
        <v>1626</v>
      </c>
      <c r="D250" s="1620" t="s">
        <v>1022</v>
      </c>
      <c r="E250" s="1662">
        <v>15941</v>
      </c>
      <c r="F250" s="1581"/>
      <c r="G250" s="1581"/>
      <c r="H250" s="1581"/>
      <c r="I250" s="1609"/>
      <c r="J250" s="1609"/>
      <c r="K250" s="1581"/>
      <c r="L250" s="1620"/>
      <c r="M250" s="1620"/>
      <c r="N250" s="1581"/>
      <c r="O250" s="1581"/>
      <c r="P250" s="1581"/>
      <c r="Q250" s="1581"/>
      <c r="R250" s="1611"/>
      <c r="S250" s="1611"/>
      <c r="T250" s="1611"/>
      <c r="U250" s="1580"/>
      <c r="V250" s="1580"/>
      <c r="W250" s="1580"/>
      <c r="X250" s="1580"/>
      <c r="Y250" s="1580"/>
      <c r="Z250" s="1580"/>
      <c r="AA250" s="1580"/>
      <c r="AB250" s="1580"/>
      <c r="AC250" s="1580"/>
      <c r="AD250" s="1580"/>
      <c r="AE250" s="1580"/>
      <c r="AF250" s="1580"/>
      <c r="AG250" s="1580"/>
      <c r="AH250" s="1580"/>
      <c r="AI250" s="1580"/>
      <c r="AJ250" s="1580"/>
      <c r="AK250" s="1580"/>
      <c r="AL250" s="1580"/>
      <c r="AM250" s="1580"/>
    </row>
    <row r="251" spans="1:39" hidden="1">
      <c r="A251" s="1609">
        <v>215</v>
      </c>
      <c r="B251" s="1620" t="s">
        <v>1624</v>
      </c>
      <c r="C251" s="1579" t="s">
        <v>1627</v>
      </c>
      <c r="D251" s="1620" t="s">
        <v>1022</v>
      </c>
      <c r="E251" s="1662">
        <v>15941</v>
      </c>
      <c r="F251" s="1581"/>
      <c r="G251" s="1581"/>
      <c r="H251" s="1581"/>
      <c r="I251" s="1609"/>
      <c r="J251" s="1609"/>
      <c r="K251" s="1581"/>
      <c r="L251" s="1620"/>
      <c r="M251" s="1620"/>
      <c r="N251" s="1581"/>
      <c r="O251" s="1581"/>
      <c r="P251" s="1581"/>
      <c r="Q251" s="1581"/>
      <c r="R251" s="1611"/>
      <c r="S251" s="1611"/>
      <c r="T251" s="1611"/>
      <c r="U251" s="1580"/>
      <c r="V251" s="1580"/>
      <c r="W251" s="1580"/>
      <c r="X251" s="1580"/>
      <c r="Y251" s="1580"/>
      <c r="Z251" s="1580"/>
      <c r="AA251" s="1580"/>
      <c r="AB251" s="1580"/>
      <c r="AC251" s="1580"/>
      <c r="AD251" s="1580"/>
      <c r="AE251" s="1580"/>
      <c r="AF251" s="1580"/>
      <c r="AG251" s="1580"/>
      <c r="AH251" s="1580"/>
      <c r="AI251" s="1580"/>
      <c r="AJ251" s="1580"/>
      <c r="AK251" s="1580"/>
      <c r="AL251" s="1580"/>
      <c r="AM251" s="1580"/>
    </row>
    <row r="252" spans="1:39" hidden="1">
      <c r="A252" s="1609">
        <v>268</v>
      </c>
      <c r="B252" s="1618" t="s">
        <v>1628</v>
      </c>
      <c r="C252" s="1579" t="s">
        <v>1629</v>
      </c>
      <c r="D252" s="1618" t="s">
        <v>1022</v>
      </c>
      <c r="E252" s="1662">
        <v>15941</v>
      </c>
      <c r="F252" s="1581"/>
      <c r="G252" s="1581"/>
      <c r="H252" s="1581"/>
      <c r="I252" s="1609">
        <v>6</v>
      </c>
      <c r="J252" s="1609">
        <v>205</v>
      </c>
      <c r="K252" s="1581"/>
      <c r="L252" s="1622"/>
      <c r="M252" s="1622"/>
      <c r="N252" s="1581"/>
      <c r="O252" s="1581"/>
      <c r="P252" s="1581">
        <f t="shared" si="29"/>
        <v>0</v>
      </c>
      <c r="Q252" s="1581"/>
      <c r="R252" s="1611">
        <f t="shared" si="30"/>
        <v>0</v>
      </c>
      <c r="S252" s="1611">
        <f t="shared" si="31"/>
        <v>0</v>
      </c>
      <c r="T252" s="1611">
        <f t="shared" si="32"/>
        <v>0</v>
      </c>
      <c r="U252" s="1580"/>
      <c r="V252" s="1580"/>
      <c r="W252" s="1580"/>
      <c r="X252" s="1580"/>
      <c r="Y252" s="1580"/>
      <c r="Z252" s="1580"/>
      <c r="AA252" s="1580"/>
      <c r="AB252" s="1580"/>
      <c r="AC252" s="1580"/>
      <c r="AD252" s="1580"/>
      <c r="AE252" s="1580"/>
      <c r="AF252" s="1580"/>
      <c r="AG252" s="1580"/>
      <c r="AH252" s="1580"/>
      <c r="AI252" s="1580"/>
      <c r="AJ252" s="1580"/>
      <c r="AK252" s="1580"/>
      <c r="AL252" s="1580"/>
      <c r="AM252" s="1580"/>
    </row>
    <row r="253" spans="1:39" hidden="1">
      <c r="A253" s="1609">
        <v>269</v>
      </c>
      <c r="B253" s="1618" t="s">
        <v>1630</v>
      </c>
      <c r="C253" s="1579" t="s">
        <v>1631</v>
      </c>
      <c r="D253" s="1618" t="s">
        <v>1022</v>
      </c>
      <c r="E253" s="1662">
        <v>15941</v>
      </c>
      <c r="F253" s="1581"/>
      <c r="G253" s="1581"/>
      <c r="H253" s="1581"/>
      <c r="I253" s="1609">
        <v>6</v>
      </c>
      <c r="J253" s="1609">
        <v>205</v>
      </c>
      <c r="K253" s="1581"/>
      <c r="L253" s="1622"/>
      <c r="M253" s="1622"/>
      <c r="N253" s="1581"/>
      <c r="O253" s="1581"/>
      <c r="P253" s="1581">
        <f t="shared" si="29"/>
        <v>0</v>
      </c>
      <c r="Q253" s="1581"/>
      <c r="R253" s="1611">
        <f t="shared" si="30"/>
        <v>0</v>
      </c>
      <c r="S253" s="1611">
        <f t="shared" si="31"/>
        <v>0</v>
      </c>
      <c r="T253" s="1611">
        <f t="shared" si="32"/>
        <v>0</v>
      </c>
      <c r="U253" s="1580"/>
      <c r="V253" s="1580"/>
      <c r="W253" s="1580"/>
      <c r="X253" s="1580"/>
      <c r="Y253" s="1580"/>
      <c r="Z253" s="1580"/>
      <c r="AA253" s="1580"/>
      <c r="AB253" s="1580"/>
      <c r="AC253" s="1580"/>
      <c r="AD253" s="1580"/>
      <c r="AE253" s="1580"/>
      <c r="AF253" s="1580"/>
      <c r="AG253" s="1580"/>
      <c r="AH253" s="1580"/>
      <c r="AI253" s="1580"/>
      <c r="AJ253" s="1580"/>
      <c r="AK253" s="1580"/>
      <c r="AL253" s="1580"/>
      <c r="AM253" s="1580"/>
    </row>
    <row r="254" spans="1:39" hidden="1">
      <c r="A254" s="1609">
        <v>260</v>
      </c>
      <c r="B254" s="1625" t="s">
        <v>1632</v>
      </c>
      <c r="C254" s="1579" t="s">
        <v>1633</v>
      </c>
      <c r="D254" s="1610" t="s">
        <v>1022</v>
      </c>
      <c r="E254" s="1662">
        <v>15941</v>
      </c>
      <c r="F254" s="1581"/>
      <c r="G254" s="1581"/>
      <c r="H254" s="1581"/>
      <c r="I254" s="1609">
        <v>6</v>
      </c>
      <c r="J254" s="1609">
        <v>205</v>
      </c>
      <c r="K254" s="1581"/>
      <c r="L254" s="1610"/>
      <c r="M254" s="1610"/>
      <c r="N254" s="1581"/>
      <c r="O254" s="1581"/>
      <c r="P254" s="1581">
        <f t="shared" si="29"/>
        <v>0</v>
      </c>
      <c r="Q254" s="1581"/>
      <c r="R254" s="1611">
        <f t="shared" si="30"/>
        <v>0</v>
      </c>
      <c r="S254" s="1611">
        <f t="shared" si="31"/>
        <v>0</v>
      </c>
      <c r="T254" s="1611">
        <f t="shared" si="32"/>
        <v>0</v>
      </c>
      <c r="U254" s="1580"/>
      <c r="V254" s="1580"/>
      <c r="W254" s="1580"/>
      <c r="X254" s="1580"/>
      <c r="Y254" s="1580"/>
      <c r="Z254" s="1580"/>
      <c r="AA254" s="1580"/>
      <c r="AB254" s="1580"/>
      <c r="AC254" s="1580"/>
      <c r="AD254" s="1580"/>
      <c r="AE254" s="1580"/>
      <c r="AF254" s="1580"/>
      <c r="AG254" s="1580"/>
      <c r="AH254" s="1580"/>
      <c r="AI254" s="1580"/>
      <c r="AJ254" s="1580"/>
      <c r="AK254" s="1580"/>
      <c r="AL254" s="1580"/>
      <c r="AM254" s="1580"/>
    </row>
    <row r="255" spans="1:39" ht="38.25">
      <c r="A255" s="1609">
        <v>68</v>
      </c>
      <c r="B255" s="1619" t="s">
        <v>1634</v>
      </c>
      <c r="C255" s="917" t="s">
        <v>1635</v>
      </c>
      <c r="D255" s="1619" t="s">
        <v>1268</v>
      </c>
      <c r="E255" s="1662">
        <v>15941</v>
      </c>
      <c r="F255" s="1609"/>
      <c r="G255" s="1609"/>
      <c r="H255" s="1609"/>
      <c r="I255" s="1609">
        <v>6</v>
      </c>
      <c r="J255" s="1609">
        <v>205</v>
      </c>
      <c r="K255" s="1609"/>
      <c r="L255" s="1619">
        <v>10</v>
      </c>
      <c r="M255" s="1619"/>
      <c r="N255" s="1609"/>
      <c r="O255" s="1609"/>
      <c r="P255" s="1581">
        <f t="shared" si="29"/>
        <v>10</v>
      </c>
      <c r="Q255" s="1610">
        <f>6500*1.07</f>
        <v>6955</v>
      </c>
      <c r="R255" s="1611">
        <f t="shared" si="30"/>
        <v>69550</v>
      </c>
      <c r="S255" s="1611">
        <f t="shared" si="31"/>
        <v>1977.7251184834122</v>
      </c>
      <c r="T255" s="1611">
        <f t="shared" si="32"/>
        <v>67572.274881516583</v>
      </c>
      <c r="U255" s="1580"/>
      <c r="V255" s="1580"/>
      <c r="W255" s="1580"/>
      <c r="X255" s="1580"/>
      <c r="Y255" s="1580"/>
      <c r="Z255" s="1580"/>
      <c r="AA255" s="1580"/>
      <c r="AB255" s="1580"/>
      <c r="AC255" s="1580"/>
      <c r="AD255" s="1580"/>
      <c r="AE255" s="1580"/>
      <c r="AF255" s="1580"/>
      <c r="AG255" s="1580"/>
      <c r="AH255" s="1580"/>
      <c r="AI255" s="1580"/>
      <c r="AJ255" s="1580"/>
      <c r="AK255" s="1580"/>
      <c r="AL255" s="1580"/>
      <c r="AM255" s="1580"/>
    </row>
    <row r="256" spans="1:39" ht="38.25">
      <c r="A256" s="1609">
        <v>66</v>
      </c>
      <c r="B256" s="1619" t="s">
        <v>1636</v>
      </c>
      <c r="C256" s="917" t="s">
        <v>1637</v>
      </c>
      <c r="D256" s="1619" t="s">
        <v>1268</v>
      </c>
      <c r="E256" s="1662">
        <v>15941</v>
      </c>
      <c r="F256" s="1609"/>
      <c r="G256" s="1609"/>
      <c r="H256" s="1609"/>
      <c r="I256" s="1609">
        <v>6</v>
      </c>
      <c r="J256" s="1609">
        <v>205</v>
      </c>
      <c r="K256" s="1609"/>
      <c r="L256" s="1619">
        <v>20</v>
      </c>
      <c r="M256" s="1619"/>
      <c r="N256" s="1609"/>
      <c r="O256" s="1609"/>
      <c r="P256" s="1581">
        <f t="shared" si="29"/>
        <v>20</v>
      </c>
      <c r="Q256" s="1610">
        <f>12000*1.07</f>
        <v>12840</v>
      </c>
      <c r="R256" s="1611">
        <f t="shared" si="30"/>
        <v>256800</v>
      </c>
      <c r="S256" s="1611">
        <f t="shared" si="31"/>
        <v>7302.3696682464451</v>
      </c>
      <c r="T256" s="1611">
        <f t="shared" si="32"/>
        <v>249497.63033175355</v>
      </c>
      <c r="U256" s="1580"/>
      <c r="V256" s="1580"/>
      <c r="W256" s="1580"/>
      <c r="X256" s="1580"/>
      <c r="Y256" s="1580"/>
      <c r="Z256" s="1580"/>
      <c r="AA256" s="1580"/>
      <c r="AB256" s="1580"/>
      <c r="AC256" s="1580"/>
      <c r="AD256" s="1580"/>
      <c r="AE256" s="1580"/>
      <c r="AF256" s="1580"/>
      <c r="AG256" s="1580"/>
      <c r="AH256" s="1580"/>
      <c r="AI256" s="1580"/>
      <c r="AJ256" s="1580"/>
      <c r="AK256" s="1580"/>
      <c r="AL256" s="1580"/>
      <c r="AM256" s="1580"/>
    </row>
    <row r="257" spans="1:39" ht="25.5" hidden="1">
      <c r="A257" s="1609">
        <v>284</v>
      </c>
      <c r="B257" s="1618" t="s">
        <v>1638</v>
      </c>
      <c r="C257" s="1579" t="s">
        <v>1639</v>
      </c>
      <c r="D257" s="1618" t="s">
        <v>1022</v>
      </c>
      <c r="E257" s="1662">
        <v>15941</v>
      </c>
      <c r="F257" s="1581"/>
      <c r="G257" s="1581"/>
      <c r="H257" s="1581"/>
      <c r="I257" s="1609">
        <v>6</v>
      </c>
      <c r="J257" s="1609">
        <v>205</v>
      </c>
      <c r="K257" s="1581"/>
      <c r="L257" s="1622"/>
      <c r="M257" s="1622"/>
      <c r="N257" s="1581"/>
      <c r="O257" s="1581"/>
      <c r="P257" s="1581">
        <f t="shared" si="29"/>
        <v>0</v>
      </c>
      <c r="Q257" s="1581"/>
      <c r="R257" s="1611">
        <f t="shared" si="30"/>
        <v>0</v>
      </c>
      <c r="S257" s="1611">
        <f t="shared" si="31"/>
        <v>0</v>
      </c>
      <c r="T257" s="1611">
        <f t="shared" si="32"/>
        <v>0</v>
      </c>
      <c r="U257" s="1580"/>
      <c r="V257" s="1580"/>
      <c r="W257" s="1580"/>
      <c r="X257" s="1580"/>
      <c r="Y257" s="1580"/>
      <c r="Z257" s="1580"/>
      <c r="AA257" s="1580"/>
      <c r="AB257" s="1580"/>
      <c r="AC257" s="1580"/>
      <c r="AD257" s="1580"/>
      <c r="AE257" s="1580"/>
      <c r="AF257" s="1580"/>
      <c r="AG257" s="1580"/>
      <c r="AH257" s="1580"/>
      <c r="AI257" s="1580"/>
      <c r="AJ257" s="1580"/>
      <c r="AK257" s="1580"/>
      <c r="AL257" s="1580"/>
      <c r="AM257" s="1580"/>
    </row>
    <row r="258" spans="1:39" ht="25.5">
      <c r="A258" s="1609">
        <v>62</v>
      </c>
      <c r="B258" s="1619" t="s">
        <v>1640</v>
      </c>
      <c r="C258" s="917" t="s">
        <v>1641</v>
      </c>
      <c r="D258" s="1619" t="s">
        <v>1268</v>
      </c>
      <c r="E258" s="1662">
        <v>15941</v>
      </c>
      <c r="F258" s="1609"/>
      <c r="G258" s="1609"/>
      <c r="H258" s="1609"/>
      <c r="I258" s="1609">
        <v>6</v>
      </c>
      <c r="J258" s="1609">
        <v>205</v>
      </c>
      <c r="K258" s="1609"/>
      <c r="L258" s="1619">
        <v>20</v>
      </c>
      <c r="M258" s="1619"/>
      <c r="N258" s="1609"/>
      <c r="O258" s="1609"/>
      <c r="P258" s="1581">
        <f t="shared" si="29"/>
        <v>20</v>
      </c>
      <c r="Q258" s="1610">
        <f>6000*1.07</f>
        <v>6420</v>
      </c>
      <c r="R258" s="1611">
        <f t="shared" si="30"/>
        <v>128400</v>
      </c>
      <c r="S258" s="1611">
        <f t="shared" si="31"/>
        <v>3651.1848341232226</v>
      </c>
      <c r="T258" s="1611">
        <f t="shared" si="32"/>
        <v>124748.81516587677</v>
      </c>
      <c r="U258" s="1580"/>
      <c r="V258" s="1580"/>
      <c r="W258" s="1580"/>
      <c r="X258" s="1580"/>
      <c r="Y258" s="1580"/>
      <c r="Z258" s="1580"/>
      <c r="AA258" s="1580"/>
      <c r="AB258" s="1580"/>
      <c r="AC258" s="1580"/>
      <c r="AD258" s="1580"/>
      <c r="AE258" s="1580"/>
      <c r="AF258" s="1580"/>
      <c r="AG258" s="1580"/>
      <c r="AH258" s="1580"/>
      <c r="AI258" s="1580"/>
      <c r="AJ258" s="1580"/>
      <c r="AK258" s="1580"/>
      <c r="AL258" s="1580"/>
      <c r="AM258" s="1580"/>
    </row>
    <row r="259" spans="1:39" ht="38.25">
      <c r="A259" s="1609">
        <v>67</v>
      </c>
      <c r="B259" s="1619" t="s">
        <v>1640</v>
      </c>
      <c r="C259" s="917" t="s">
        <v>1642</v>
      </c>
      <c r="D259" s="1619" t="s">
        <v>1268</v>
      </c>
      <c r="E259" s="1662">
        <v>15941</v>
      </c>
      <c r="F259" s="1609"/>
      <c r="G259" s="1609"/>
      <c r="H259" s="1609"/>
      <c r="I259" s="1609">
        <v>6</v>
      </c>
      <c r="J259" s="1609">
        <v>205</v>
      </c>
      <c r="K259" s="1609"/>
      <c r="L259" s="1619">
        <v>20</v>
      </c>
      <c r="M259" s="1619"/>
      <c r="N259" s="1609"/>
      <c r="O259" s="1609"/>
      <c r="P259" s="1581">
        <f t="shared" si="29"/>
        <v>20</v>
      </c>
      <c r="Q259" s="1610">
        <f>6000*1.07</f>
        <v>6420</v>
      </c>
      <c r="R259" s="1611">
        <f t="shared" si="30"/>
        <v>128400</v>
      </c>
      <c r="S259" s="1611">
        <f t="shared" si="31"/>
        <v>3651.1848341232226</v>
      </c>
      <c r="T259" s="1611">
        <f t="shared" si="32"/>
        <v>124748.81516587677</v>
      </c>
      <c r="U259" s="1580"/>
      <c r="V259" s="1580"/>
      <c r="W259" s="1580"/>
      <c r="X259" s="1580"/>
      <c r="Y259" s="1580"/>
      <c r="Z259" s="1580"/>
      <c r="AA259" s="1580"/>
      <c r="AB259" s="1580"/>
      <c r="AC259" s="1580"/>
      <c r="AD259" s="1580"/>
      <c r="AE259" s="1580"/>
      <c r="AF259" s="1580"/>
      <c r="AG259" s="1580"/>
      <c r="AH259" s="1580"/>
      <c r="AI259" s="1580"/>
      <c r="AJ259" s="1580"/>
      <c r="AK259" s="1580"/>
      <c r="AL259" s="1580"/>
      <c r="AM259" s="1580"/>
    </row>
    <row r="260" spans="1:39" ht="25.5">
      <c r="A260" s="1609">
        <v>78</v>
      </c>
      <c r="B260" s="1619" t="s">
        <v>1643</v>
      </c>
      <c r="C260" s="917" t="s">
        <v>1644</v>
      </c>
      <c r="D260" s="1619" t="s">
        <v>1268</v>
      </c>
      <c r="E260" s="1662">
        <v>15941</v>
      </c>
      <c r="F260" s="1609"/>
      <c r="G260" s="1609"/>
      <c r="H260" s="1609"/>
      <c r="I260" s="1609">
        <v>6</v>
      </c>
      <c r="J260" s="1609">
        <v>205</v>
      </c>
      <c r="K260" s="1609"/>
      <c r="L260" s="1619">
        <v>6</v>
      </c>
      <c r="M260" s="1619"/>
      <c r="N260" s="1609"/>
      <c r="O260" s="1609"/>
      <c r="P260" s="1581">
        <f t="shared" si="29"/>
        <v>6</v>
      </c>
      <c r="Q260" s="1610">
        <f>4000*1.07</f>
        <v>4280</v>
      </c>
      <c r="R260" s="1611">
        <f t="shared" si="30"/>
        <v>25680</v>
      </c>
      <c r="S260" s="1611">
        <f t="shared" si="31"/>
        <v>730.23696682464447</v>
      </c>
      <c r="T260" s="1611">
        <f t="shared" si="32"/>
        <v>24949.763033175357</v>
      </c>
      <c r="U260" s="1580"/>
      <c r="V260" s="1580"/>
      <c r="W260" s="1580"/>
      <c r="X260" s="1580"/>
      <c r="Y260" s="1580"/>
      <c r="Z260" s="1580"/>
      <c r="AA260" s="1580"/>
      <c r="AB260" s="1580"/>
      <c r="AC260" s="1580"/>
      <c r="AD260" s="1580"/>
      <c r="AE260" s="1580"/>
      <c r="AF260" s="1580"/>
      <c r="AG260" s="1580"/>
      <c r="AH260" s="1580"/>
      <c r="AI260" s="1580"/>
      <c r="AJ260" s="1580"/>
      <c r="AK260" s="1580"/>
      <c r="AL260" s="1580"/>
      <c r="AM260" s="1580"/>
    </row>
    <row r="261" spans="1:39" ht="38.25">
      <c r="A261" s="1609">
        <v>77</v>
      </c>
      <c r="B261" s="1619" t="s">
        <v>1645</v>
      </c>
      <c r="C261" s="1614" t="s">
        <v>1646</v>
      </c>
      <c r="D261" s="1619" t="s">
        <v>1268</v>
      </c>
      <c r="E261" s="1662">
        <v>15941</v>
      </c>
      <c r="F261" s="1609"/>
      <c r="G261" s="1609"/>
      <c r="H261" s="1609"/>
      <c r="I261" s="1609">
        <v>6</v>
      </c>
      <c r="J261" s="1609">
        <v>205</v>
      </c>
      <c r="K261" s="1609"/>
      <c r="L261" s="1619">
        <v>10</v>
      </c>
      <c r="M261" s="1619"/>
      <c r="N261" s="1609"/>
      <c r="O261" s="1609"/>
      <c r="P261" s="1581">
        <f t="shared" si="29"/>
        <v>10</v>
      </c>
      <c r="Q261" s="1610">
        <f>6000*1.07</f>
        <v>6420</v>
      </c>
      <c r="R261" s="1611">
        <f t="shared" si="30"/>
        <v>64200</v>
      </c>
      <c r="S261" s="1611">
        <f t="shared" si="31"/>
        <v>1825.5924170616113</v>
      </c>
      <c r="T261" s="1611">
        <f t="shared" si="32"/>
        <v>62374.407582938387</v>
      </c>
      <c r="U261" s="1580"/>
      <c r="V261" s="1580"/>
      <c r="W261" s="1580"/>
      <c r="X261" s="1580"/>
      <c r="Y261" s="1580"/>
      <c r="Z261" s="1580"/>
      <c r="AA261" s="1580"/>
      <c r="AB261" s="1580"/>
      <c r="AC261" s="1580"/>
      <c r="AD261" s="1580"/>
      <c r="AE261" s="1580"/>
      <c r="AF261" s="1580"/>
      <c r="AG261" s="1580"/>
      <c r="AH261" s="1580"/>
      <c r="AI261" s="1580"/>
      <c r="AJ261" s="1580"/>
      <c r="AK261" s="1580"/>
      <c r="AL261" s="1580"/>
      <c r="AM261" s="1580"/>
    </row>
    <row r="262" spans="1:39" ht="25.5">
      <c r="A262" s="1609">
        <v>76</v>
      </c>
      <c r="B262" s="1619" t="s">
        <v>1647</v>
      </c>
      <c r="C262" s="917" t="s">
        <v>1648</v>
      </c>
      <c r="D262" s="1619" t="s">
        <v>1268</v>
      </c>
      <c r="E262" s="1662">
        <v>15941</v>
      </c>
      <c r="F262" s="1609"/>
      <c r="G262" s="1609"/>
      <c r="H262" s="1609"/>
      <c r="I262" s="1609">
        <v>6</v>
      </c>
      <c r="J262" s="1609">
        <v>205</v>
      </c>
      <c r="K262" s="1609"/>
      <c r="L262" s="1619">
        <v>10</v>
      </c>
      <c r="M262" s="1619"/>
      <c r="N262" s="1609"/>
      <c r="O262" s="1609"/>
      <c r="P262" s="1581">
        <f t="shared" si="29"/>
        <v>10</v>
      </c>
      <c r="Q262" s="1610">
        <f>6000*1.07</f>
        <v>6420</v>
      </c>
      <c r="R262" s="1611">
        <f t="shared" si="30"/>
        <v>64200</v>
      </c>
      <c r="S262" s="1611">
        <f t="shared" si="31"/>
        <v>1825.5924170616113</v>
      </c>
      <c r="T262" s="1611">
        <f t="shared" si="32"/>
        <v>62374.407582938387</v>
      </c>
      <c r="U262" s="1580"/>
      <c r="V262" s="1580"/>
      <c r="W262" s="1580"/>
      <c r="X262" s="1580"/>
      <c r="Y262" s="1580"/>
      <c r="Z262" s="1580"/>
      <c r="AA262" s="1580"/>
      <c r="AB262" s="1580"/>
      <c r="AC262" s="1580"/>
      <c r="AD262" s="1580"/>
      <c r="AE262" s="1580"/>
      <c r="AF262" s="1580"/>
      <c r="AG262" s="1580"/>
      <c r="AH262" s="1580"/>
      <c r="AI262" s="1580"/>
      <c r="AJ262" s="1580"/>
      <c r="AK262" s="1580"/>
      <c r="AL262" s="1580"/>
      <c r="AM262" s="1580"/>
    </row>
    <row r="263" spans="1:39" ht="38.25">
      <c r="A263" s="1609">
        <v>75</v>
      </c>
      <c r="B263" s="1619" t="s">
        <v>1649</v>
      </c>
      <c r="C263" s="917" t="s">
        <v>1650</v>
      </c>
      <c r="D263" s="1619" t="s">
        <v>1268</v>
      </c>
      <c r="E263" s="1662">
        <v>15941</v>
      </c>
      <c r="F263" s="1609"/>
      <c r="G263" s="1609"/>
      <c r="H263" s="1609"/>
      <c r="I263" s="1609">
        <v>6</v>
      </c>
      <c r="J263" s="1609">
        <v>205</v>
      </c>
      <c r="K263" s="1609"/>
      <c r="L263" s="1619">
        <v>10</v>
      </c>
      <c r="M263" s="1619"/>
      <c r="N263" s="1609"/>
      <c r="O263" s="1609"/>
      <c r="P263" s="1581">
        <f t="shared" si="29"/>
        <v>10</v>
      </c>
      <c r="Q263" s="1610">
        <f>4000*1.07</f>
        <v>4280</v>
      </c>
      <c r="R263" s="1611">
        <f t="shared" si="30"/>
        <v>42800</v>
      </c>
      <c r="S263" s="1611">
        <f t="shared" si="31"/>
        <v>1217.0616113744074</v>
      </c>
      <c r="T263" s="1611">
        <f t="shared" si="32"/>
        <v>41582.938388625589</v>
      </c>
      <c r="U263" s="1580"/>
      <c r="V263" s="1580"/>
      <c r="W263" s="1580"/>
      <c r="X263" s="1580"/>
      <c r="Y263" s="1580"/>
      <c r="Z263" s="1580"/>
      <c r="AA263" s="1580"/>
      <c r="AB263" s="1580"/>
      <c r="AC263" s="1580"/>
      <c r="AD263" s="1580"/>
      <c r="AE263" s="1580"/>
      <c r="AF263" s="1580"/>
      <c r="AG263" s="1580"/>
      <c r="AH263" s="1580"/>
      <c r="AI263" s="1580"/>
      <c r="AJ263" s="1580"/>
      <c r="AK263" s="1580"/>
      <c r="AL263" s="1580"/>
      <c r="AM263" s="1580"/>
    </row>
    <row r="264" spans="1:39" ht="38.25">
      <c r="A264" s="1609">
        <v>74</v>
      </c>
      <c r="B264" s="1619" t="s">
        <v>1651</v>
      </c>
      <c r="C264" s="917" t="s">
        <v>1652</v>
      </c>
      <c r="D264" s="1619" t="s">
        <v>1268</v>
      </c>
      <c r="E264" s="1662">
        <v>15941</v>
      </c>
      <c r="F264" s="1609"/>
      <c r="G264" s="1609"/>
      <c r="H264" s="1609"/>
      <c r="I264" s="1609">
        <v>6</v>
      </c>
      <c r="J264" s="1609">
        <v>205</v>
      </c>
      <c r="K264" s="1609"/>
      <c r="L264" s="1619">
        <v>20</v>
      </c>
      <c r="M264" s="1619"/>
      <c r="N264" s="1609"/>
      <c r="O264" s="1609"/>
      <c r="P264" s="1581">
        <f t="shared" si="29"/>
        <v>20</v>
      </c>
      <c r="Q264" s="1610">
        <f>6500*1.07</f>
        <v>6955</v>
      </c>
      <c r="R264" s="1611">
        <f t="shared" si="30"/>
        <v>139100</v>
      </c>
      <c r="S264" s="1611">
        <f t="shared" si="31"/>
        <v>3955.4502369668244</v>
      </c>
      <c r="T264" s="1611">
        <f t="shared" si="32"/>
        <v>135144.54976303317</v>
      </c>
      <c r="U264" s="1580"/>
      <c r="V264" s="1580"/>
      <c r="W264" s="1580"/>
      <c r="X264" s="1580"/>
      <c r="Y264" s="1580"/>
      <c r="Z264" s="1580"/>
      <c r="AA264" s="1580"/>
      <c r="AB264" s="1580"/>
      <c r="AC264" s="1580"/>
      <c r="AD264" s="1580"/>
      <c r="AE264" s="1580"/>
      <c r="AF264" s="1580"/>
      <c r="AG264" s="1580"/>
      <c r="AH264" s="1580"/>
      <c r="AI264" s="1580"/>
      <c r="AJ264" s="1580"/>
      <c r="AK264" s="1580"/>
      <c r="AL264" s="1580"/>
      <c r="AM264" s="1580"/>
    </row>
    <row r="265" spans="1:39" ht="25.5">
      <c r="A265" s="1609">
        <v>64</v>
      </c>
      <c r="B265" s="1619" t="s">
        <v>1653</v>
      </c>
      <c r="C265" s="917" t="s">
        <v>1654</v>
      </c>
      <c r="D265" s="1619" t="s">
        <v>1268</v>
      </c>
      <c r="E265" s="1662">
        <v>15941</v>
      </c>
      <c r="F265" s="1609"/>
      <c r="G265" s="1609"/>
      <c r="H265" s="1609"/>
      <c r="I265" s="1609">
        <v>6</v>
      </c>
      <c r="J265" s="1609">
        <v>205</v>
      </c>
      <c r="K265" s="1609"/>
      <c r="L265" s="1619">
        <v>10</v>
      </c>
      <c r="M265" s="1619"/>
      <c r="N265" s="1609"/>
      <c r="O265" s="1609"/>
      <c r="P265" s="1581">
        <f t="shared" si="29"/>
        <v>10</v>
      </c>
      <c r="Q265" s="1610">
        <f>4000*1.07</f>
        <v>4280</v>
      </c>
      <c r="R265" s="1611">
        <f t="shared" si="30"/>
        <v>42800</v>
      </c>
      <c r="S265" s="1611">
        <f t="shared" si="31"/>
        <v>1217.0616113744074</v>
      </c>
      <c r="T265" s="1611">
        <f t="shared" si="32"/>
        <v>41582.938388625589</v>
      </c>
      <c r="U265" s="1580"/>
      <c r="V265" s="1580"/>
      <c r="W265" s="1580"/>
      <c r="X265" s="1580"/>
      <c r="Y265" s="1580"/>
      <c r="Z265" s="1580"/>
      <c r="AA265" s="1580"/>
      <c r="AB265" s="1580"/>
      <c r="AC265" s="1580"/>
      <c r="AD265" s="1580"/>
      <c r="AE265" s="1580"/>
      <c r="AF265" s="1580"/>
      <c r="AG265" s="1580"/>
      <c r="AH265" s="1580"/>
      <c r="AI265" s="1580"/>
      <c r="AJ265" s="1580"/>
      <c r="AK265" s="1580"/>
      <c r="AL265" s="1580"/>
      <c r="AM265" s="1580"/>
    </row>
    <row r="266" spans="1:39" ht="25.5">
      <c r="A266" s="1609">
        <v>63</v>
      </c>
      <c r="B266" s="1619" t="s">
        <v>1655</v>
      </c>
      <c r="C266" s="917" t="s">
        <v>1641</v>
      </c>
      <c r="D266" s="1619" t="s">
        <v>1268</v>
      </c>
      <c r="E266" s="1662">
        <v>15941</v>
      </c>
      <c r="F266" s="1609"/>
      <c r="G266" s="1609"/>
      <c r="H266" s="1609"/>
      <c r="I266" s="1609">
        <v>6</v>
      </c>
      <c r="J266" s="1609">
        <v>205</v>
      </c>
      <c r="K266" s="1609"/>
      <c r="L266" s="1619">
        <v>30</v>
      </c>
      <c r="M266" s="1619"/>
      <c r="N266" s="1609"/>
      <c r="O266" s="1609"/>
      <c r="P266" s="1581">
        <f t="shared" si="29"/>
        <v>30</v>
      </c>
      <c r="Q266" s="1610">
        <f>6000*1.07</f>
        <v>6420</v>
      </c>
      <c r="R266" s="1611">
        <f t="shared" si="30"/>
        <v>192600</v>
      </c>
      <c r="S266" s="1611">
        <f t="shared" si="31"/>
        <v>5476.7772511848343</v>
      </c>
      <c r="T266" s="1611">
        <f t="shared" si="32"/>
        <v>187123.22274881517</v>
      </c>
      <c r="U266" s="1580"/>
      <c r="V266" s="1580"/>
      <c r="W266" s="1580"/>
      <c r="X266" s="1580"/>
      <c r="Y266" s="1580"/>
      <c r="Z266" s="1580"/>
      <c r="AA266" s="1580"/>
      <c r="AB266" s="1580"/>
      <c r="AC266" s="1580"/>
      <c r="AD266" s="1580"/>
      <c r="AE266" s="1580"/>
      <c r="AF266" s="1580"/>
      <c r="AG266" s="1580"/>
      <c r="AH266" s="1580"/>
      <c r="AI266" s="1580"/>
      <c r="AJ266" s="1580"/>
      <c r="AK266" s="1580"/>
      <c r="AL266" s="1580"/>
      <c r="AM266" s="1580"/>
    </row>
    <row r="267" spans="1:39" ht="25.5">
      <c r="A267" s="1609">
        <v>69</v>
      </c>
      <c r="B267" s="1619" t="s">
        <v>1655</v>
      </c>
      <c r="C267" s="917" t="s">
        <v>1656</v>
      </c>
      <c r="D267" s="1619" t="s">
        <v>1268</v>
      </c>
      <c r="E267" s="1662">
        <v>15941</v>
      </c>
      <c r="F267" s="1609"/>
      <c r="G267" s="1609"/>
      <c r="H267" s="1609"/>
      <c r="I267" s="1609">
        <v>6</v>
      </c>
      <c r="J267" s="1609">
        <v>205</v>
      </c>
      <c r="K267" s="1609"/>
      <c r="L267" s="1619">
        <v>10</v>
      </c>
      <c r="M267" s="1619"/>
      <c r="N267" s="1609"/>
      <c r="O267" s="1609"/>
      <c r="P267" s="1581">
        <f t="shared" si="29"/>
        <v>10</v>
      </c>
      <c r="Q267" s="1610">
        <f>6000*1.07</f>
        <v>6420</v>
      </c>
      <c r="R267" s="1611">
        <f t="shared" si="30"/>
        <v>64200</v>
      </c>
      <c r="S267" s="1611">
        <f t="shared" si="31"/>
        <v>1825.5924170616113</v>
      </c>
      <c r="T267" s="1611">
        <f t="shared" si="32"/>
        <v>62374.407582938387</v>
      </c>
      <c r="U267" s="1580"/>
      <c r="V267" s="1580"/>
      <c r="W267" s="1580"/>
      <c r="X267" s="1580"/>
      <c r="Y267" s="1580"/>
      <c r="Z267" s="1580"/>
      <c r="AA267" s="1580"/>
      <c r="AB267" s="1580"/>
      <c r="AC267" s="1580"/>
      <c r="AD267" s="1580"/>
      <c r="AE267" s="1580"/>
      <c r="AF267" s="1580"/>
      <c r="AG267" s="1580"/>
      <c r="AH267" s="1580"/>
      <c r="AI267" s="1580"/>
      <c r="AJ267" s="1580"/>
      <c r="AK267" s="1580"/>
      <c r="AL267" s="1580"/>
      <c r="AM267" s="1580"/>
    </row>
    <row r="268" spans="1:39" ht="38.25">
      <c r="A268" s="1609">
        <v>70</v>
      </c>
      <c r="B268" s="1619" t="s">
        <v>1655</v>
      </c>
      <c r="C268" s="917" t="s">
        <v>1657</v>
      </c>
      <c r="D268" s="1619" t="s">
        <v>1268</v>
      </c>
      <c r="E268" s="1662">
        <v>15941</v>
      </c>
      <c r="F268" s="1609"/>
      <c r="G268" s="1609"/>
      <c r="H268" s="1609"/>
      <c r="I268" s="1609">
        <v>6</v>
      </c>
      <c r="J268" s="1609">
        <v>205</v>
      </c>
      <c r="K268" s="1609"/>
      <c r="L268" s="1619">
        <v>10</v>
      </c>
      <c r="M268" s="1619"/>
      <c r="N268" s="1609"/>
      <c r="O268" s="1609"/>
      <c r="P268" s="1581">
        <f t="shared" si="29"/>
        <v>10</v>
      </c>
      <c r="Q268" s="1610">
        <f>6000*1.07</f>
        <v>6420</v>
      </c>
      <c r="R268" s="1611">
        <f t="shared" si="30"/>
        <v>64200</v>
      </c>
      <c r="S268" s="1611">
        <f t="shared" si="31"/>
        <v>1825.5924170616113</v>
      </c>
      <c r="T268" s="1611">
        <f t="shared" si="32"/>
        <v>62374.407582938387</v>
      </c>
      <c r="U268" s="1580"/>
      <c r="V268" s="1580"/>
      <c r="W268" s="1580"/>
      <c r="X268" s="1580"/>
      <c r="Y268" s="1580"/>
      <c r="Z268" s="1580"/>
      <c r="AA268" s="1580"/>
      <c r="AB268" s="1580"/>
      <c r="AC268" s="1580"/>
      <c r="AD268" s="1580"/>
      <c r="AE268" s="1580"/>
      <c r="AF268" s="1580"/>
      <c r="AG268" s="1580"/>
      <c r="AH268" s="1580"/>
      <c r="AI268" s="1580"/>
      <c r="AJ268" s="1580"/>
      <c r="AK268" s="1580"/>
      <c r="AL268" s="1580"/>
      <c r="AM268" s="1580"/>
    </row>
    <row r="269" spans="1:39" ht="38.25">
      <c r="A269" s="1609">
        <v>71</v>
      </c>
      <c r="B269" s="1619" t="s">
        <v>1655</v>
      </c>
      <c r="C269" s="917" t="s">
        <v>1652</v>
      </c>
      <c r="D269" s="1619" t="s">
        <v>1268</v>
      </c>
      <c r="E269" s="1662">
        <v>15941</v>
      </c>
      <c r="F269" s="1609"/>
      <c r="G269" s="1609"/>
      <c r="H269" s="1609"/>
      <c r="I269" s="1609">
        <v>6</v>
      </c>
      <c r="J269" s="1609">
        <v>205</v>
      </c>
      <c r="K269" s="1609"/>
      <c r="L269" s="1619">
        <v>20</v>
      </c>
      <c r="M269" s="1619"/>
      <c r="N269" s="1609"/>
      <c r="O269" s="1609"/>
      <c r="P269" s="1581">
        <f t="shared" si="29"/>
        <v>20</v>
      </c>
      <c r="Q269" s="1610">
        <f>6500*1.07</f>
        <v>6955</v>
      </c>
      <c r="R269" s="1611">
        <f t="shared" si="30"/>
        <v>139100</v>
      </c>
      <c r="S269" s="1611">
        <f t="shared" si="31"/>
        <v>3955.4502369668244</v>
      </c>
      <c r="T269" s="1611">
        <f t="shared" si="32"/>
        <v>135144.54976303317</v>
      </c>
      <c r="U269" s="1580"/>
      <c r="V269" s="1580"/>
      <c r="W269" s="1580"/>
      <c r="X269" s="1580"/>
      <c r="Y269" s="1580"/>
      <c r="Z269" s="1580"/>
      <c r="AA269" s="1580"/>
      <c r="AB269" s="1580"/>
      <c r="AC269" s="1580"/>
      <c r="AD269" s="1580"/>
      <c r="AE269" s="1580"/>
      <c r="AF269" s="1580"/>
      <c r="AG269" s="1580"/>
      <c r="AH269" s="1580"/>
      <c r="AI269" s="1580"/>
      <c r="AJ269" s="1580"/>
      <c r="AK269" s="1580"/>
      <c r="AL269" s="1580"/>
      <c r="AM269" s="1580"/>
    </row>
    <row r="270" spans="1:39" ht="38.25">
      <c r="A270" s="1609">
        <v>72</v>
      </c>
      <c r="B270" s="1619" t="s">
        <v>1655</v>
      </c>
      <c r="C270" s="917" t="s">
        <v>1658</v>
      </c>
      <c r="D270" s="1619" t="s">
        <v>1268</v>
      </c>
      <c r="E270" s="1662">
        <v>15941</v>
      </c>
      <c r="F270" s="1609"/>
      <c r="G270" s="1609"/>
      <c r="H270" s="1609"/>
      <c r="I270" s="1609">
        <v>6</v>
      </c>
      <c r="J270" s="1609">
        <v>205</v>
      </c>
      <c r="K270" s="1609"/>
      <c r="L270" s="1619">
        <v>20</v>
      </c>
      <c r="M270" s="1619"/>
      <c r="N270" s="1609"/>
      <c r="O270" s="1609"/>
      <c r="P270" s="1581">
        <f t="shared" si="29"/>
        <v>20</v>
      </c>
      <c r="Q270" s="1610">
        <f>6000*1.07</f>
        <v>6420</v>
      </c>
      <c r="R270" s="1611">
        <f t="shared" si="30"/>
        <v>128400</v>
      </c>
      <c r="S270" s="1611">
        <f t="shared" si="31"/>
        <v>3651.1848341232226</v>
      </c>
      <c r="T270" s="1611">
        <f t="shared" si="32"/>
        <v>124748.81516587677</v>
      </c>
      <c r="U270" s="1580"/>
      <c r="V270" s="1580"/>
      <c r="W270" s="1580"/>
      <c r="X270" s="1580"/>
      <c r="Y270" s="1580"/>
      <c r="Z270" s="1580"/>
      <c r="AA270" s="1580"/>
      <c r="AB270" s="1580"/>
      <c r="AC270" s="1580"/>
      <c r="AD270" s="1580"/>
      <c r="AE270" s="1580"/>
      <c r="AF270" s="1580"/>
      <c r="AG270" s="1580"/>
      <c r="AH270" s="1580"/>
      <c r="AI270" s="1580"/>
      <c r="AJ270" s="1580"/>
      <c r="AK270" s="1580"/>
      <c r="AL270" s="1580"/>
      <c r="AM270" s="1580"/>
    </row>
    <row r="271" spans="1:39" ht="38.25">
      <c r="A271" s="1609">
        <v>73</v>
      </c>
      <c r="B271" s="1619" t="s">
        <v>1655</v>
      </c>
      <c r="C271" s="917" t="s">
        <v>1659</v>
      </c>
      <c r="D271" s="1619" t="s">
        <v>1268</v>
      </c>
      <c r="E271" s="1662">
        <v>15941</v>
      </c>
      <c r="F271" s="1609"/>
      <c r="G271" s="1609"/>
      <c r="H271" s="1609"/>
      <c r="I271" s="1609">
        <v>6</v>
      </c>
      <c r="J271" s="1609">
        <v>205</v>
      </c>
      <c r="K271" s="1609"/>
      <c r="L271" s="1619">
        <v>10</v>
      </c>
      <c r="M271" s="1619"/>
      <c r="N271" s="1609"/>
      <c r="O271" s="1609"/>
      <c r="P271" s="1581">
        <f t="shared" si="29"/>
        <v>10</v>
      </c>
      <c r="Q271" s="1610">
        <f>6000*1.07</f>
        <v>6420</v>
      </c>
      <c r="R271" s="1611">
        <f t="shared" si="30"/>
        <v>64200</v>
      </c>
      <c r="S271" s="1611">
        <f t="shared" si="31"/>
        <v>1825.5924170616113</v>
      </c>
      <c r="T271" s="1611">
        <f t="shared" si="32"/>
        <v>62374.407582938387</v>
      </c>
      <c r="U271" s="1580"/>
      <c r="V271" s="1580"/>
      <c r="W271" s="1580"/>
      <c r="X271" s="1580"/>
      <c r="Y271" s="1580"/>
      <c r="Z271" s="1580"/>
      <c r="AA271" s="1580"/>
      <c r="AB271" s="1580"/>
      <c r="AC271" s="1580"/>
      <c r="AD271" s="1580"/>
      <c r="AE271" s="1580"/>
      <c r="AF271" s="1580"/>
      <c r="AG271" s="1580"/>
      <c r="AH271" s="1580"/>
      <c r="AI271" s="1580"/>
      <c r="AJ271" s="1580"/>
      <c r="AK271" s="1580"/>
      <c r="AL271" s="1580"/>
      <c r="AM271" s="1580"/>
    </row>
    <row r="272" spans="1:39" ht="38.25" hidden="1">
      <c r="A272" s="1581">
        <v>306</v>
      </c>
      <c r="B272" s="1625" t="s">
        <v>1655</v>
      </c>
      <c r="C272" s="1579" t="s">
        <v>1660</v>
      </c>
      <c r="D272" s="1625" t="s">
        <v>1268</v>
      </c>
      <c r="E272" s="1662">
        <v>15941</v>
      </c>
      <c r="F272" s="1581"/>
      <c r="G272" s="1581"/>
      <c r="H272" s="1581"/>
      <c r="I272" s="1609">
        <v>6</v>
      </c>
      <c r="J272" s="1609">
        <v>205</v>
      </c>
      <c r="K272" s="1581"/>
      <c r="L272" s="1625"/>
      <c r="M272" s="1625"/>
      <c r="N272" s="1581"/>
      <c r="O272" s="1581"/>
      <c r="P272" s="1581">
        <f t="shared" si="29"/>
        <v>0</v>
      </c>
      <c r="Q272" s="1581"/>
      <c r="R272" s="1611">
        <f t="shared" si="30"/>
        <v>0</v>
      </c>
      <c r="S272" s="1611">
        <f t="shared" si="31"/>
        <v>0</v>
      </c>
      <c r="T272" s="1611">
        <f t="shared" si="32"/>
        <v>0</v>
      </c>
      <c r="U272" s="1580"/>
      <c r="V272" s="1580"/>
      <c r="W272" s="1580"/>
      <c r="X272" s="1580"/>
      <c r="Y272" s="1580"/>
      <c r="Z272" s="1580"/>
      <c r="AA272" s="1580"/>
      <c r="AB272" s="1580"/>
      <c r="AC272" s="1580"/>
      <c r="AD272" s="1580"/>
      <c r="AE272" s="1580"/>
      <c r="AF272" s="1580"/>
      <c r="AG272" s="1580"/>
      <c r="AH272" s="1580"/>
      <c r="AI272" s="1580"/>
      <c r="AJ272" s="1580"/>
      <c r="AK272" s="1580"/>
      <c r="AL272" s="1580"/>
      <c r="AM272" s="1580"/>
    </row>
    <row r="273" spans="1:39" ht="38.25" hidden="1">
      <c r="A273" s="1581">
        <v>307</v>
      </c>
      <c r="B273" s="1625" t="s">
        <v>1655</v>
      </c>
      <c r="C273" s="1579" t="s">
        <v>1661</v>
      </c>
      <c r="D273" s="1625" t="s">
        <v>1268</v>
      </c>
      <c r="E273" s="1662">
        <v>15941</v>
      </c>
      <c r="F273" s="1581"/>
      <c r="G273" s="1581"/>
      <c r="H273" s="1581"/>
      <c r="I273" s="1609">
        <v>6</v>
      </c>
      <c r="J273" s="1609">
        <v>205</v>
      </c>
      <c r="K273" s="1581"/>
      <c r="L273" s="1625"/>
      <c r="M273" s="1625"/>
      <c r="N273" s="1581"/>
      <c r="O273" s="1581"/>
      <c r="P273" s="1581">
        <f t="shared" si="29"/>
        <v>0</v>
      </c>
      <c r="Q273" s="1581"/>
      <c r="R273" s="1611">
        <f t="shared" si="30"/>
        <v>0</v>
      </c>
      <c r="S273" s="1611">
        <f t="shared" si="31"/>
        <v>0</v>
      </c>
      <c r="T273" s="1611">
        <f t="shared" si="32"/>
        <v>0</v>
      </c>
      <c r="U273" s="1580"/>
      <c r="V273" s="1580"/>
      <c r="W273" s="1580"/>
      <c r="X273" s="1580"/>
      <c r="Y273" s="1580"/>
      <c r="Z273" s="1580"/>
      <c r="AA273" s="1580"/>
      <c r="AB273" s="1580"/>
      <c r="AC273" s="1580"/>
      <c r="AD273" s="1580"/>
      <c r="AE273" s="1580"/>
      <c r="AF273" s="1580"/>
      <c r="AG273" s="1580"/>
      <c r="AH273" s="1580"/>
      <c r="AI273" s="1580"/>
      <c r="AJ273" s="1580"/>
      <c r="AK273" s="1580"/>
      <c r="AL273" s="1580"/>
      <c r="AM273" s="1580"/>
    </row>
    <row r="274" spans="1:39" ht="38.25" hidden="1">
      <c r="A274" s="1581">
        <v>308</v>
      </c>
      <c r="B274" s="1625" t="s">
        <v>1655</v>
      </c>
      <c r="C274" s="1579" t="s">
        <v>1662</v>
      </c>
      <c r="D274" s="1625" t="s">
        <v>1268</v>
      </c>
      <c r="E274" s="1662">
        <v>15941</v>
      </c>
      <c r="F274" s="1581"/>
      <c r="G274" s="1581"/>
      <c r="H274" s="1581"/>
      <c r="I274" s="1609">
        <v>6</v>
      </c>
      <c r="J274" s="1609">
        <v>205</v>
      </c>
      <c r="K274" s="1581"/>
      <c r="L274" s="1625"/>
      <c r="M274" s="1625"/>
      <c r="N274" s="1581"/>
      <c r="O274" s="1581"/>
      <c r="P274" s="1581">
        <f t="shared" si="29"/>
        <v>0</v>
      </c>
      <c r="Q274" s="1581"/>
      <c r="R274" s="1611">
        <f t="shared" si="30"/>
        <v>0</v>
      </c>
      <c r="S274" s="1611">
        <f t="shared" si="31"/>
        <v>0</v>
      </c>
      <c r="T274" s="1611">
        <f t="shared" si="32"/>
        <v>0</v>
      </c>
      <c r="U274" s="1580"/>
      <c r="V274" s="1580"/>
      <c r="W274" s="1580"/>
      <c r="X274" s="1580"/>
      <c r="Y274" s="1580"/>
      <c r="Z274" s="1580"/>
      <c r="AA274" s="1580"/>
      <c r="AB274" s="1580"/>
      <c r="AC274" s="1580"/>
      <c r="AD274" s="1580"/>
      <c r="AE274" s="1580"/>
      <c r="AF274" s="1580"/>
      <c r="AG274" s="1580"/>
      <c r="AH274" s="1580"/>
      <c r="AI274" s="1580"/>
      <c r="AJ274" s="1580"/>
      <c r="AK274" s="1580"/>
      <c r="AL274" s="1580"/>
      <c r="AM274" s="1580"/>
    </row>
    <row r="275" spans="1:39" ht="38.25">
      <c r="A275" s="1609">
        <v>65</v>
      </c>
      <c r="B275" s="1619" t="s">
        <v>1663</v>
      </c>
      <c r="C275" s="917" t="s">
        <v>1664</v>
      </c>
      <c r="D275" s="1619" t="s">
        <v>1268</v>
      </c>
      <c r="E275" s="1662">
        <v>15941</v>
      </c>
      <c r="F275" s="1609"/>
      <c r="G275" s="1609"/>
      <c r="H275" s="1609"/>
      <c r="I275" s="1609">
        <v>6</v>
      </c>
      <c r="J275" s="1609">
        <v>205</v>
      </c>
      <c r="K275" s="1609"/>
      <c r="L275" s="1619">
        <v>25</v>
      </c>
      <c r="M275" s="1619"/>
      <c r="N275" s="1609"/>
      <c r="O275" s="1609"/>
      <c r="P275" s="1581">
        <f t="shared" si="29"/>
        <v>25</v>
      </c>
      <c r="Q275" s="1610">
        <f>6000*1.07</f>
        <v>6420</v>
      </c>
      <c r="R275" s="1611">
        <f t="shared" si="30"/>
        <v>160500</v>
      </c>
      <c r="S275" s="1611">
        <f t="shared" si="31"/>
        <v>4563.981042654028</v>
      </c>
      <c r="T275" s="1611">
        <f t="shared" si="32"/>
        <v>155936.01895734598</v>
      </c>
      <c r="U275" s="1580"/>
      <c r="V275" s="1580"/>
      <c r="W275" s="1580"/>
      <c r="X275" s="1580"/>
      <c r="Y275" s="1580"/>
      <c r="Z275" s="1580"/>
      <c r="AA275" s="1580"/>
      <c r="AB275" s="1580"/>
      <c r="AC275" s="1580"/>
      <c r="AD275" s="1580"/>
      <c r="AE275" s="1580"/>
      <c r="AF275" s="1580"/>
      <c r="AG275" s="1580"/>
      <c r="AH275" s="1580"/>
      <c r="AI275" s="1580"/>
      <c r="AJ275" s="1580"/>
      <c r="AK275" s="1580"/>
      <c r="AL275" s="1580"/>
      <c r="AM275" s="1580"/>
    </row>
    <row r="276" spans="1:39" hidden="1">
      <c r="A276" s="1609">
        <v>220</v>
      </c>
      <c r="B276" s="1620" t="s">
        <v>1665</v>
      </c>
      <c r="C276" s="1579" t="s">
        <v>1666</v>
      </c>
      <c r="D276" s="1620" t="s">
        <v>1022</v>
      </c>
      <c r="E276" s="1662">
        <v>15941</v>
      </c>
      <c r="F276" s="1581"/>
      <c r="G276" s="1581"/>
      <c r="H276" s="1581"/>
      <c r="I276" s="1609">
        <v>6</v>
      </c>
      <c r="J276" s="1609">
        <v>205</v>
      </c>
      <c r="K276" s="1581"/>
      <c r="L276" s="1620"/>
      <c r="M276" s="1620"/>
      <c r="N276" s="1581"/>
      <c r="O276" s="1581"/>
      <c r="P276" s="1581">
        <f t="shared" si="29"/>
        <v>0</v>
      </c>
      <c r="Q276" s="1581"/>
      <c r="R276" s="1611">
        <f t="shared" si="30"/>
        <v>0</v>
      </c>
      <c r="S276" s="1611">
        <f t="shared" si="31"/>
        <v>0</v>
      </c>
      <c r="T276" s="1611">
        <f t="shared" si="32"/>
        <v>0</v>
      </c>
      <c r="U276" s="1580"/>
      <c r="V276" s="1580"/>
      <c r="W276" s="1580"/>
      <c r="X276" s="1580"/>
      <c r="Y276" s="1580"/>
      <c r="Z276" s="1580"/>
      <c r="AA276" s="1580"/>
      <c r="AB276" s="1580"/>
      <c r="AC276" s="1580"/>
      <c r="AD276" s="1580"/>
      <c r="AE276" s="1580"/>
      <c r="AF276" s="1580"/>
      <c r="AG276" s="1580"/>
      <c r="AH276" s="1580"/>
      <c r="AI276" s="1580"/>
      <c r="AJ276" s="1580"/>
      <c r="AK276" s="1580"/>
      <c r="AL276" s="1580"/>
      <c r="AM276" s="1580"/>
    </row>
    <row r="277" spans="1:39">
      <c r="A277" s="1609">
        <v>160</v>
      </c>
      <c r="B277" s="1618" t="s">
        <v>1665</v>
      </c>
      <c r="C277" s="1579" t="s">
        <v>1667</v>
      </c>
      <c r="D277" s="1618" t="s">
        <v>1022</v>
      </c>
      <c r="E277" s="1662">
        <v>15941</v>
      </c>
      <c r="F277" s="1581"/>
      <c r="G277" s="1581"/>
      <c r="H277" s="1581"/>
      <c r="I277" s="1609">
        <v>6</v>
      </c>
      <c r="J277" s="1609">
        <v>205</v>
      </c>
      <c r="K277" s="1581"/>
      <c r="L277" s="1618">
        <v>40</v>
      </c>
      <c r="M277" s="1618"/>
      <c r="N277" s="1581"/>
      <c r="O277" s="1581"/>
      <c r="P277" s="1581">
        <f t="shared" si="29"/>
        <v>40</v>
      </c>
      <c r="Q277" s="1581">
        <f>2000*1.07</f>
        <v>2140</v>
      </c>
      <c r="R277" s="1611">
        <f t="shared" si="30"/>
        <v>85600</v>
      </c>
      <c r="S277" s="1611">
        <f t="shared" si="31"/>
        <v>2434.1232227488149</v>
      </c>
      <c r="T277" s="1611">
        <f t="shared" si="32"/>
        <v>83165.876777251178</v>
      </c>
      <c r="U277" s="1580"/>
      <c r="V277" s="1580"/>
      <c r="W277" s="1580"/>
      <c r="X277" s="1580"/>
      <c r="Y277" s="1580"/>
      <c r="Z277" s="1580"/>
      <c r="AA277" s="1580"/>
      <c r="AB277" s="1580"/>
      <c r="AC277" s="1580"/>
      <c r="AD277" s="1580"/>
      <c r="AE277" s="1580"/>
      <c r="AF277" s="1580"/>
      <c r="AG277" s="1580"/>
      <c r="AH277" s="1580"/>
      <c r="AI277" s="1580"/>
      <c r="AJ277" s="1580"/>
      <c r="AK277" s="1580"/>
      <c r="AL277" s="1580"/>
      <c r="AM277" s="1580"/>
    </row>
    <row r="278" spans="1:39" ht="25.5">
      <c r="A278" s="1609">
        <v>157</v>
      </c>
      <c r="B278" s="1618" t="s">
        <v>1668</v>
      </c>
      <c r="C278" s="1579" t="s">
        <v>1669</v>
      </c>
      <c r="D278" s="1618" t="s">
        <v>1022</v>
      </c>
      <c r="E278" s="1662">
        <v>15941</v>
      </c>
      <c r="F278" s="1581"/>
      <c r="G278" s="1581"/>
      <c r="H278" s="1581"/>
      <c r="I278" s="1609">
        <v>6</v>
      </c>
      <c r="J278" s="1609">
        <v>205</v>
      </c>
      <c r="K278" s="1581"/>
      <c r="L278" s="1618">
        <v>80</v>
      </c>
      <c r="M278" s="1618"/>
      <c r="N278" s="1581"/>
      <c r="O278" s="1581"/>
      <c r="P278" s="1581">
        <f t="shared" si="29"/>
        <v>80</v>
      </c>
      <c r="Q278" s="1581">
        <f>500*1.07</f>
        <v>535</v>
      </c>
      <c r="R278" s="1611">
        <f t="shared" si="30"/>
        <v>42800</v>
      </c>
      <c r="S278" s="1611">
        <f t="shared" si="31"/>
        <v>1217.0616113744074</v>
      </c>
      <c r="T278" s="1611">
        <f t="shared" si="32"/>
        <v>41582.938388625589</v>
      </c>
      <c r="U278" s="1580"/>
      <c r="V278" s="1580"/>
      <c r="W278" s="1580"/>
      <c r="X278" s="1580"/>
      <c r="Y278" s="1580"/>
      <c r="Z278" s="1580"/>
      <c r="AA278" s="1580"/>
      <c r="AB278" s="1580"/>
      <c r="AC278" s="1580"/>
      <c r="AD278" s="1580"/>
      <c r="AE278" s="1580"/>
      <c r="AF278" s="1580"/>
      <c r="AG278" s="1580"/>
      <c r="AH278" s="1580"/>
      <c r="AI278" s="1580"/>
      <c r="AJ278" s="1580"/>
      <c r="AK278" s="1580"/>
      <c r="AL278" s="1580"/>
      <c r="AM278" s="1580"/>
    </row>
    <row r="279" spans="1:39" ht="0.75" customHeight="1">
      <c r="A279" s="1609">
        <v>257</v>
      </c>
      <c r="B279" s="1610" t="s">
        <v>1670</v>
      </c>
      <c r="C279" s="1579" t="s">
        <v>1671</v>
      </c>
      <c r="D279" s="1610" t="s">
        <v>1672</v>
      </c>
      <c r="E279" s="1662">
        <v>15941</v>
      </c>
      <c r="F279" s="1581"/>
      <c r="G279" s="1581"/>
      <c r="H279" s="1581"/>
      <c r="I279" s="1609"/>
      <c r="J279" s="1609"/>
      <c r="K279" s="1581"/>
      <c r="L279" s="1610"/>
      <c r="M279" s="1610"/>
      <c r="N279" s="1581"/>
      <c r="O279" s="1581"/>
      <c r="P279" s="1581">
        <f t="shared" si="29"/>
        <v>0</v>
      </c>
      <c r="Q279" s="1581"/>
      <c r="R279" s="1611">
        <f t="shared" si="30"/>
        <v>0</v>
      </c>
      <c r="S279" s="1611"/>
      <c r="T279" s="1611"/>
      <c r="U279" s="1580">
        <v>1600</v>
      </c>
      <c r="V279" s="1580"/>
      <c r="W279" s="1580"/>
      <c r="X279" s="1580"/>
      <c r="Y279" s="1580"/>
      <c r="Z279" s="1580"/>
      <c r="AA279" s="1580"/>
      <c r="AB279" s="1580"/>
      <c r="AC279" s="1580"/>
      <c r="AD279" s="1580"/>
      <c r="AE279" s="1580"/>
      <c r="AF279" s="1580"/>
      <c r="AG279" s="1580"/>
      <c r="AH279" s="1580"/>
      <c r="AI279" s="1580"/>
      <c r="AJ279" s="1580"/>
      <c r="AK279" s="1580"/>
      <c r="AL279" s="1580"/>
      <c r="AM279" s="1580"/>
    </row>
    <row r="280" spans="1:39" hidden="1">
      <c r="A280" s="1581">
        <v>314</v>
      </c>
      <c r="B280" s="1579" t="s">
        <v>1673</v>
      </c>
      <c r="C280" s="1579" t="s">
        <v>1674</v>
      </c>
      <c r="D280" s="1625" t="s">
        <v>1268</v>
      </c>
      <c r="E280" s="1662">
        <v>15941</v>
      </c>
      <c r="F280" s="1581"/>
      <c r="G280" s="1581"/>
      <c r="H280" s="1581"/>
      <c r="I280" s="1609">
        <v>6</v>
      </c>
      <c r="J280" s="1609">
        <v>205</v>
      </c>
      <c r="K280" s="1581"/>
      <c r="L280" s="1625"/>
      <c r="M280" s="1625"/>
      <c r="N280" s="1581"/>
      <c r="O280" s="1581"/>
      <c r="P280" s="1581">
        <f t="shared" si="29"/>
        <v>0</v>
      </c>
      <c r="Q280" s="1581"/>
      <c r="R280" s="1611">
        <f t="shared" si="30"/>
        <v>0</v>
      </c>
      <c r="S280" s="1611">
        <f t="shared" si="31"/>
        <v>0</v>
      </c>
      <c r="T280" s="1611">
        <f t="shared" si="32"/>
        <v>0</v>
      </c>
      <c r="U280" s="1580"/>
      <c r="V280" s="1580"/>
      <c r="W280" s="1580"/>
      <c r="X280" s="1580"/>
      <c r="Y280" s="1580"/>
      <c r="Z280" s="1580"/>
      <c r="AA280" s="1580"/>
      <c r="AB280" s="1580"/>
      <c r="AC280" s="1580"/>
      <c r="AD280" s="1580"/>
      <c r="AE280" s="1580"/>
      <c r="AF280" s="1580"/>
      <c r="AG280" s="1580"/>
      <c r="AH280" s="1580"/>
      <c r="AI280" s="1580"/>
      <c r="AJ280" s="1580"/>
      <c r="AK280" s="1580"/>
      <c r="AL280" s="1580"/>
      <c r="AM280" s="1580"/>
    </row>
    <row r="281" spans="1:39" ht="38.25">
      <c r="A281" s="1609">
        <v>198</v>
      </c>
      <c r="B281" s="1620" t="s">
        <v>1675</v>
      </c>
      <c r="C281" s="1579" t="s">
        <v>1676</v>
      </c>
      <c r="D281" s="1620" t="s">
        <v>1022</v>
      </c>
      <c r="E281" s="1662">
        <v>15941</v>
      </c>
      <c r="F281" s="1581"/>
      <c r="G281" s="1581"/>
      <c r="H281" s="1581"/>
      <c r="I281" s="1609">
        <v>6</v>
      </c>
      <c r="J281" s="1609">
        <v>205</v>
      </c>
      <c r="K281" s="1581"/>
      <c r="L281" s="1620">
        <v>3</v>
      </c>
      <c r="M281" s="1620">
        <v>8</v>
      </c>
      <c r="N281" s="1581"/>
      <c r="O281" s="1581"/>
      <c r="P281" s="1581">
        <f t="shared" si="29"/>
        <v>3</v>
      </c>
      <c r="Q281" s="1581">
        <f>7500*1.07</f>
        <v>8025.0000000000009</v>
      </c>
      <c r="R281" s="1611">
        <f t="shared" si="30"/>
        <v>24075.000000000004</v>
      </c>
      <c r="S281" s="1611">
        <f t="shared" si="31"/>
        <v>684.59715639810429</v>
      </c>
      <c r="T281" s="1611">
        <f t="shared" si="32"/>
        <v>23390.4028436019</v>
      </c>
      <c r="U281" s="357" t="s">
        <v>2234</v>
      </c>
      <c r="V281" s="1580">
        <f>2+2+2+2</f>
        <v>8</v>
      </c>
      <c r="W281" s="1580"/>
      <c r="X281" s="1580"/>
      <c r="Y281" s="1580"/>
      <c r="Z281" s="1580"/>
      <c r="AA281" s="1580"/>
      <c r="AB281" s="1580"/>
      <c r="AC281" s="1580"/>
      <c r="AD281" s="1580"/>
      <c r="AE281" s="1580"/>
      <c r="AF281" s="1580"/>
      <c r="AG281" s="1580"/>
      <c r="AH281" s="1580"/>
      <c r="AI281" s="1580"/>
      <c r="AJ281" s="1580"/>
      <c r="AK281" s="1580"/>
      <c r="AL281" s="1580"/>
      <c r="AM281" s="1580"/>
    </row>
    <row r="282" spans="1:39" ht="25.5" hidden="1">
      <c r="A282" s="1581"/>
      <c r="B282" s="1056" t="s">
        <v>1677</v>
      </c>
      <c r="C282" s="917" t="s">
        <v>1678</v>
      </c>
      <c r="D282" s="1609" t="s">
        <v>1022</v>
      </c>
      <c r="E282" s="1662">
        <v>15941</v>
      </c>
      <c r="F282" s="1609"/>
      <c r="G282" s="1609"/>
      <c r="H282" s="1609"/>
      <c r="I282" s="1609"/>
      <c r="J282" s="1609"/>
      <c r="K282" s="1609"/>
      <c r="L282" s="1581"/>
      <c r="M282" s="1581"/>
      <c r="N282" s="1609"/>
      <c r="O282" s="1609"/>
      <c r="P282" s="1581"/>
      <c r="Q282" s="1610"/>
      <c r="R282" s="1611"/>
      <c r="S282" s="1611"/>
      <c r="T282" s="1611"/>
      <c r="U282" s="1580" t="s">
        <v>1679</v>
      </c>
      <c r="V282" s="1580"/>
      <c r="W282" s="1580"/>
      <c r="X282" s="1580"/>
      <c r="Y282" s="1580"/>
      <c r="Z282" s="1580"/>
      <c r="AA282" s="1580"/>
      <c r="AB282" s="1580"/>
      <c r="AC282" s="1580"/>
      <c r="AD282" s="1580"/>
      <c r="AE282" s="1580"/>
      <c r="AF282" s="1580"/>
      <c r="AG282" s="1580"/>
      <c r="AH282" s="1580"/>
      <c r="AI282" s="1580"/>
      <c r="AJ282" s="1580"/>
      <c r="AK282" s="1580"/>
      <c r="AL282" s="1580"/>
      <c r="AM282" s="1580"/>
    </row>
    <row r="283" spans="1:39">
      <c r="A283" s="1609">
        <v>147</v>
      </c>
      <c r="B283" s="1618" t="s">
        <v>1680</v>
      </c>
      <c r="C283" s="1579" t="s">
        <v>1681</v>
      </c>
      <c r="D283" s="1618" t="s">
        <v>1022</v>
      </c>
      <c r="E283" s="1662">
        <v>15941</v>
      </c>
      <c r="F283" s="1581"/>
      <c r="G283" s="1581"/>
      <c r="H283" s="1581"/>
      <c r="I283" s="1609">
        <v>6</v>
      </c>
      <c r="J283" s="1609">
        <v>205</v>
      </c>
      <c r="K283" s="1581"/>
      <c r="L283" s="1618">
        <v>20</v>
      </c>
      <c r="M283" s="1618"/>
      <c r="N283" s="1581"/>
      <c r="O283" s="1581"/>
      <c r="P283" s="1581">
        <f t="shared" ref="P283:P290" si="33">L283-O283</f>
        <v>20</v>
      </c>
      <c r="Q283" s="1581">
        <f>10000*1.07</f>
        <v>10700</v>
      </c>
      <c r="R283" s="1611">
        <f t="shared" ref="R283:R290" si="34">P283*Q283</f>
        <v>214000</v>
      </c>
      <c r="S283" s="1611">
        <f t="shared" ref="S283:S290" si="35">R283*(I283/(I283+J283+K283))</f>
        <v>6085.3080568720379</v>
      </c>
      <c r="T283" s="1611">
        <f t="shared" ref="T283:T290" si="36">R283-S283</f>
        <v>207914.69194312795</v>
      </c>
      <c r="U283" s="1580"/>
      <c r="V283" s="1580"/>
      <c r="W283" s="1580"/>
      <c r="X283" s="1580"/>
      <c r="Y283" s="1580"/>
      <c r="Z283" s="1580"/>
      <c r="AA283" s="1580"/>
      <c r="AB283" s="1580"/>
      <c r="AC283" s="1580"/>
      <c r="AD283" s="1580"/>
      <c r="AE283" s="1580"/>
      <c r="AF283" s="1580"/>
      <c r="AG283" s="1580"/>
      <c r="AH283" s="1580"/>
      <c r="AI283" s="1580"/>
      <c r="AJ283" s="1580"/>
      <c r="AK283" s="1580"/>
      <c r="AL283" s="1580"/>
      <c r="AM283" s="1580"/>
    </row>
    <row r="284" spans="1:39" ht="25.5">
      <c r="A284" s="1609">
        <v>28</v>
      </c>
      <c r="B284" s="1618" t="s">
        <v>1682</v>
      </c>
      <c r="C284" s="917" t="s">
        <v>1683</v>
      </c>
      <c r="D284" s="1619" t="s">
        <v>1268</v>
      </c>
      <c r="E284" s="1662">
        <v>15941</v>
      </c>
      <c r="F284" s="1609"/>
      <c r="G284" s="1609"/>
      <c r="H284" s="1609"/>
      <c r="I284" s="1609">
        <v>6</v>
      </c>
      <c r="J284" s="1609">
        <v>205</v>
      </c>
      <c r="K284" s="1609"/>
      <c r="L284" s="1623">
        <v>200</v>
      </c>
      <c r="M284" s="1623"/>
      <c r="N284" s="1609"/>
      <c r="O284" s="1609"/>
      <c r="P284" s="1581">
        <f t="shared" si="33"/>
        <v>200</v>
      </c>
      <c r="Q284" s="1610">
        <f>20*1.07</f>
        <v>21.400000000000002</v>
      </c>
      <c r="R284" s="1611">
        <f t="shared" si="34"/>
        <v>4280</v>
      </c>
      <c r="S284" s="1611">
        <f t="shared" si="35"/>
        <v>121.70616113744076</v>
      </c>
      <c r="T284" s="1611">
        <f t="shared" si="36"/>
        <v>4158.2938388625589</v>
      </c>
      <c r="U284" s="1580"/>
      <c r="V284" s="1580"/>
      <c r="W284" s="1580"/>
      <c r="X284" s="1580"/>
      <c r="Y284" s="1580"/>
      <c r="Z284" s="1580"/>
      <c r="AA284" s="1580"/>
      <c r="AB284" s="1580"/>
      <c r="AC284" s="1580"/>
      <c r="AD284" s="1580"/>
      <c r="AE284" s="1580"/>
      <c r="AF284" s="1580"/>
      <c r="AG284" s="1580"/>
      <c r="AH284" s="1580"/>
      <c r="AI284" s="1580"/>
      <c r="AJ284" s="1580"/>
      <c r="AK284" s="1580"/>
      <c r="AL284" s="1580"/>
      <c r="AM284" s="1580"/>
    </row>
    <row r="285" spans="1:39" ht="25.5">
      <c r="A285" s="1609">
        <v>29</v>
      </c>
      <c r="B285" s="1618" t="s">
        <v>1682</v>
      </c>
      <c r="C285" s="917" t="s">
        <v>1684</v>
      </c>
      <c r="D285" s="1619" t="s">
        <v>1268</v>
      </c>
      <c r="E285" s="1662">
        <v>15941</v>
      </c>
      <c r="F285" s="1609"/>
      <c r="G285" s="1609"/>
      <c r="H285" s="1609"/>
      <c r="I285" s="1609">
        <v>6</v>
      </c>
      <c r="J285" s="1609">
        <v>205</v>
      </c>
      <c r="K285" s="1609"/>
      <c r="L285" s="1623">
        <v>200</v>
      </c>
      <c r="M285" s="1623"/>
      <c r="N285" s="1609"/>
      <c r="O285" s="1609"/>
      <c r="P285" s="1581">
        <f t="shared" si="33"/>
        <v>200</v>
      </c>
      <c r="Q285" s="1610">
        <f>20*1.07</f>
        <v>21.400000000000002</v>
      </c>
      <c r="R285" s="1611">
        <f t="shared" si="34"/>
        <v>4280</v>
      </c>
      <c r="S285" s="1611">
        <f t="shared" si="35"/>
        <v>121.70616113744076</v>
      </c>
      <c r="T285" s="1611">
        <f t="shared" si="36"/>
        <v>4158.2938388625589</v>
      </c>
      <c r="U285" s="1580"/>
      <c r="V285" s="1580"/>
      <c r="W285" s="1580"/>
      <c r="X285" s="1580"/>
      <c r="Y285" s="1580"/>
      <c r="Z285" s="1580"/>
      <c r="AA285" s="1580"/>
      <c r="AB285" s="1580"/>
      <c r="AC285" s="1580"/>
      <c r="AD285" s="1580"/>
      <c r="AE285" s="1580"/>
      <c r="AF285" s="1580"/>
      <c r="AG285" s="1580"/>
      <c r="AH285" s="1580"/>
      <c r="AI285" s="1580"/>
      <c r="AJ285" s="1580"/>
      <c r="AK285" s="1580"/>
      <c r="AL285" s="1580"/>
      <c r="AM285" s="1580"/>
    </row>
    <row r="286" spans="1:39" ht="25.5">
      <c r="A286" s="1609">
        <v>30</v>
      </c>
      <c r="B286" s="1618" t="s">
        <v>1682</v>
      </c>
      <c r="C286" s="917" t="s">
        <v>1685</v>
      </c>
      <c r="D286" s="1619" t="s">
        <v>1268</v>
      </c>
      <c r="E286" s="1662">
        <v>15941</v>
      </c>
      <c r="F286" s="1609"/>
      <c r="G286" s="1609"/>
      <c r="H286" s="1609"/>
      <c r="I286" s="1609">
        <v>6</v>
      </c>
      <c r="J286" s="1609">
        <v>205</v>
      </c>
      <c r="K286" s="1609"/>
      <c r="L286" s="1623">
        <v>200</v>
      </c>
      <c r="M286" s="1623"/>
      <c r="N286" s="1609"/>
      <c r="O286" s="1609"/>
      <c r="P286" s="1581">
        <f t="shared" si="33"/>
        <v>200</v>
      </c>
      <c r="Q286" s="1610">
        <f>20*1.07</f>
        <v>21.400000000000002</v>
      </c>
      <c r="R286" s="1611">
        <f t="shared" si="34"/>
        <v>4280</v>
      </c>
      <c r="S286" s="1611">
        <f t="shared" si="35"/>
        <v>121.70616113744076</v>
      </c>
      <c r="T286" s="1611">
        <f t="shared" si="36"/>
        <v>4158.2938388625589</v>
      </c>
      <c r="U286" s="1580"/>
      <c r="V286" s="1580"/>
      <c r="W286" s="1580"/>
      <c r="X286" s="1580"/>
      <c r="Y286" s="1580"/>
      <c r="Z286" s="1580"/>
      <c r="AA286" s="1580"/>
      <c r="AB286" s="1580"/>
      <c r="AC286" s="1580"/>
      <c r="AD286" s="1580"/>
      <c r="AE286" s="1580"/>
      <c r="AF286" s="1580"/>
      <c r="AG286" s="1580"/>
      <c r="AH286" s="1580"/>
      <c r="AI286" s="1580"/>
      <c r="AJ286" s="1580"/>
      <c r="AK286" s="1580"/>
      <c r="AL286" s="1580"/>
      <c r="AM286" s="1580"/>
    </row>
    <row r="287" spans="1:39" ht="25.5">
      <c r="A287" s="1609">
        <v>31</v>
      </c>
      <c r="B287" s="1618" t="s">
        <v>1682</v>
      </c>
      <c r="C287" s="917" t="s">
        <v>1686</v>
      </c>
      <c r="D287" s="1619" t="s">
        <v>1268</v>
      </c>
      <c r="E287" s="1662">
        <v>15941</v>
      </c>
      <c r="F287" s="1609"/>
      <c r="G287" s="1609"/>
      <c r="H287" s="1609"/>
      <c r="I287" s="1609">
        <v>6</v>
      </c>
      <c r="J287" s="1609">
        <v>205</v>
      </c>
      <c r="K287" s="1609"/>
      <c r="L287" s="1623">
        <v>200</v>
      </c>
      <c r="M287" s="1623"/>
      <c r="N287" s="1609"/>
      <c r="O287" s="1609"/>
      <c r="P287" s="1581">
        <f t="shared" si="33"/>
        <v>200</v>
      </c>
      <c r="Q287" s="1610">
        <f>20*1.07</f>
        <v>21.400000000000002</v>
      </c>
      <c r="R287" s="1611">
        <f t="shared" si="34"/>
        <v>4280</v>
      </c>
      <c r="S287" s="1611">
        <f t="shared" si="35"/>
        <v>121.70616113744076</v>
      </c>
      <c r="T287" s="1611">
        <f t="shared" si="36"/>
        <v>4158.2938388625589</v>
      </c>
      <c r="U287" s="1580"/>
      <c r="V287" s="1580"/>
      <c r="W287" s="1580"/>
      <c r="X287" s="1580"/>
      <c r="Y287" s="1580"/>
      <c r="Z287" s="1580"/>
      <c r="AA287" s="1580"/>
      <c r="AB287" s="1580"/>
      <c r="AC287" s="1580"/>
      <c r="AD287" s="1580"/>
      <c r="AE287" s="1580"/>
      <c r="AF287" s="1580"/>
      <c r="AG287" s="1580"/>
      <c r="AH287" s="1580"/>
      <c r="AI287" s="1580"/>
      <c r="AJ287" s="1580"/>
      <c r="AK287" s="1580"/>
      <c r="AL287" s="1580"/>
      <c r="AM287" s="1580"/>
    </row>
    <row r="288" spans="1:39">
      <c r="A288" s="1609">
        <v>174</v>
      </c>
      <c r="B288" s="1618" t="s">
        <v>1687</v>
      </c>
      <c r="C288" s="1579" t="s">
        <v>1688</v>
      </c>
      <c r="D288" s="1618" t="s">
        <v>1395</v>
      </c>
      <c r="E288" s="1662">
        <v>15941</v>
      </c>
      <c r="F288" s="1581"/>
      <c r="G288" s="1581"/>
      <c r="H288" s="1581"/>
      <c r="I288" s="1609">
        <v>6</v>
      </c>
      <c r="J288" s="1609">
        <v>205</v>
      </c>
      <c r="K288" s="1581"/>
      <c r="L288" s="1618">
        <v>600</v>
      </c>
      <c r="M288" s="1618"/>
      <c r="N288" s="1581"/>
      <c r="O288" s="1581"/>
      <c r="P288" s="1581">
        <f t="shared" si="33"/>
        <v>600</v>
      </c>
      <c r="Q288" s="1581">
        <f>140*1.07</f>
        <v>149.80000000000001</v>
      </c>
      <c r="R288" s="1611">
        <f t="shared" si="34"/>
        <v>89880</v>
      </c>
      <c r="S288" s="1611">
        <f t="shared" si="35"/>
        <v>2555.829383886256</v>
      </c>
      <c r="T288" s="1611">
        <f t="shared" si="36"/>
        <v>87324.170616113741</v>
      </c>
      <c r="U288" s="1580"/>
      <c r="V288" s="1580"/>
      <c r="W288" s="1580"/>
      <c r="X288" s="1580"/>
      <c r="Y288" s="1580"/>
      <c r="Z288" s="1580"/>
      <c r="AA288" s="1580"/>
      <c r="AB288" s="1580"/>
      <c r="AC288" s="1580"/>
      <c r="AD288" s="1580"/>
      <c r="AE288" s="1580"/>
      <c r="AF288" s="1580"/>
      <c r="AG288" s="1580"/>
      <c r="AH288" s="1580"/>
      <c r="AI288" s="1580"/>
      <c r="AJ288" s="1580"/>
      <c r="AK288" s="1580"/>
      <c r="AL288" s="1580"/>
      <c r="AM288" s="1580"/>
    </row>
    <row r="289" spans="1:39">
      <c r="A289" s="1609">
        <v>228</v>
      </c>
      <c r="B289" s="1620" t="s">
        <v>1689</v>
      </c>
      <c r="C289" s="1579" t="s">
        <v>1690</v>
      </c>
      <c r="D289" s="1620" t="s">
        <v>1395</v>
      </c>
      <c r="E289" s="1662">
        <v>15941</v>
      </c>
      <c r="F289" s="1581"/>
      <c r="G289" s="1581"/>
      <c r="H289" s="1581"/>
      <c r="I289" s="1609">
        <v>6</v>
      </c>
      <c r="J289" s="1609">
        <v>205</v>
      </c>
      <c r="K289" s="1581"/>
      <c r="L289" s="1620">
        <v>200</v>
      </c>
      <c r="M289" s="1620"/>
      <c r="N289" s="1581"/>
      <c r="O289" s="1581"/>
      <c r="P289" s="1581">
        <f t="shared" si="33"/>
        <v>200</v>
      </c>
      <c r="Q289" s="1581">
        <f>150*1.07</f>
        <v>160.5</v>
      </c>
      <c r="R289" s="1611">
        <f t="shared" si="34"/>
        <v>32100</v>
      </c>
      <c r="S289" s="1611">
        <f t="shared" si="35"/>
        <v>912.79620853080564</v>
      </c>
      <c r="T289" s="1611">
        <f t="shared" si="36"/>
        <v>31187.203791469194</v>
      </c>
      <c r="U289" s="1580"/>
      <c r="V289" s="1580"/>
      <c r="W289" s="1580"/>
      <c r="X289" s="1580"/>
      <c r="Y289" s="1580"/>
      <c r="Z289" s="1580"/>
      <c r="AA289" s="1580"/>
      <c r="AB289" s="1580"/>
      <c r="AC289" s="1580"/>
      <c r="AD289" s="1580"/>
      <c r="AE289" s="1580"/>
      <c r="AF289" s="1580"/>
      <c r="AG289" s="1580"/>
      <c r="AH289" s="1580"/>
      <c r="AI289" s="1580"/>
      <c r="AJ289" s="1580"/>
      <c r="AK289" s="1580"/>
      <c r="AL289" s="1580"/>
      <c r="AM289" s="1580"/>
    </row>
    <row r="290" spans="1:39" ht="38.25">
      <c r="A290" s="1581"/>
      <c r="B290" s="1056" t="s">
        <v>1691</v>
      </c>
      <c r="C290" s="917" t="s">
        <v>1692</v>
      </c>
      <c r="D290" s="1609" t="s">
        <v>1022</v>
      </c>
      <c r="E290" s="1662">
        <v>15941</v>
      </c>
      <c r="F290" s="1609"/>
      <c r="G290" s="1609"/>
      <c r="H290" s="1609"/>
      <c r="I290" s="1609">
        <v>6</v>
      </c>
      <c r="J290" s="1609">
        <v>205</v>
      </c>
      <c r="K290" s="1609"/>
      <c r="L290" s="1581">
        <v>300</v>
      </c>
      <c r="M290" s="1581"/>
      <c r="N290" s="1609"/>
      <c r="O290" s="1609"/>
      <c r="P290" s="1581">
        <f t="shared" si="33"/>
        <v>300</v>
      </c>
      <c r="Q290" s="1610">
        <f>600*1.07</f>
        <v>642</v>
      </c>
      <c r="R290" s="1611">
        <f t="shared" si="34"/>
        <v>192600</v>
      </c>
      <c r="S290" s="1611">
        <f t="shared" si="35"/>
        <v>5476.7772511848343</v>
      </c>
      <c r="T290" s="1611">
        <f t="shared" si="36"/>
        <v>187123.22274881517</v>
      </c>
      <c r="U290" s="1580" t="s">
        <v>1693</v>
      </c>
      <c r="V290" s="1580"/>
      <c r="W290" s="1580"/>
      <c r="X290" s="1580"/>
      <c r="Y290" s="1580"/>
      <c r="Z290" s="1580"/>
      <c r="AA290" s="1580"/>
      <c r="AB290" s="1580"/>
      <c r="AC290" s="1580"/>
      <c r="AD290" s="1580"/>
      <c r="AE290" s="1580"/>
      <c r="AF290" s="1580"/>
      <c r="AG290" s="1580"/>
      <c r="AH290" s="1580"/>
      <c r="AI290" s="1580"/>
      <c r="AJ290" s="1580"/>
      <c r="AK290" s="1580"/>
      <c r="AL290" s="1580"/>
      <c r="AM290" s="1580"/>
    </row>
    <row r="291" spans="1:39" ht="0.75" customHeight="1">
      <c r="A291" s="1581"/>
      <c r="B291" s="1056" t="s">
        <v>1694</v>
      </c>
      <c r="C291" s="917" t="s">
        <v>1695</v>
      </c>
      <c r="D291" s="1609" t="s">
        <v>1022</v>
      </c>
      <c r="E291" s="1662">
        <v>15941</v>
      </c>
      <c r="F291" s="1609"/>
      <c r="G291" s="1609"/>
      <c r="H291" s="1609"/>
      <c r="I291" s="1609"/>
      <c r="J291" s="1609"/>
      <c r="K291" s="1609"/>
      <c r="L291" s="1581"/>
      <c r="M291" s="1581"/>
      <c r="N291" s="1609"/>
      <c r="O291" s="1609"/>
      <c r="P291" s="1581"/>
      <c r="Q291" s="1610"/>
      <c r="R291" s="1611"/>
      <c r="S291" s="1611"/>
      <c r="T291" s="1611"/>
      <c r="U291" s="1580"/>
      <c r="V291" s="1580"/>
      <c r="W291" s="1580"/>
      <c r="X291" s="1580"/>
      <c r="Y291" s="1580"/>
      <c r="Z291" s="1580"/>
      <c r="AA291" s="1580"/>
      <c r="AB291" s="1580"/>
      <c r="AC291" s="1580"/>
      <c r="AD291" s="1580"/>
      <c r="AE291" s="1580"/>
      <c r="AF291" s="1580"/>
      <c r="AG291" s="1580"/>
      <c r="AH291" s="1580"/>
      <c r="AI291" s="1580"/>
      <c r="AJ291" s="1580"/>
      <c r="AK291" s="1580"/>
      <c r="AL291" s="1580"/>
      <c r="AM291" s="1580"/>
    </row>
    <row r="292" spans="1:39" ht="25.5" hidden="1">
      <c r="A292" s="1609">
        <v>195</v>
      </c>
      <c r="B292" s="1618" t="s">
        <v>1696</v>
      </c>
      <c r="C292" s="1579" t="s">
        <v>1697</v>
      </c>
      <c r="D292" s="1618"/>
      <c r="E292" s="1662">
        <v>15941</v>
      </c>
      <c r="F292" s="1581"/>
      <c r="G292" s="1581"/>
      <c r="H292" s="1581"/>
      <c r="I292" s="1609">
        <v>6</v>
      </c>
      <c r="J292" s="1609">
        <v>205</v>
      </c>
      <c r="K292" s="1581"/>
      <c r="L292" s="1620"/>
      <c r="M292" s="1620"/>
      <c r="N292" s="1581"/>
      <c r="O292" s="1581"/>
      <c r="P292" s="1581">
        <f t="shared" ref="P292:P300" si="37">L292-O292</f>
        <v>0</v>
      </c>
      <c r="Q292" s="1581"/>
      <c r="R292" s="1611">
        <f t="shared" ref="R292:R300" si="38">P292*Q292</f>
        <v>0</v>
      </c>
      <c r="S292" s="1611">
        <f t="shared" ref="S292:S300" si="39">R292*(I292/(I292+J292+K292))</f>
        <v>0</v>
      </c>
      <c r="T292" s="1611">
        <f t="shared" ref="T292:T300" si="40">R292-S292</f>
        <v>0</v>
      </c>
      <c r="U292" s="1580"/>
      <c r="V292" s="1580"/>
      <c r="W292" s="1580"/>
      <c r="X292" s="1580"/>
      <c r="Y292" s="1580"/>
      <c r="Z292" s="1580"/>
      <c r="AA292" s="1580"/>
      <c r="AB292" s="1580"/>
      <c r="AC292" s="1580"/>
      <c r="AD292" s="1580"/>
      <c r="AE292" s="1580"/>
      <c r="AF292" s="1580"/>
      <c r="AG292" s="1580"/>
      <c r="AH292" s="1580"/>
      <c r="AI292" s="1580"/>
      <c r="AJ292" s="1580"/>
      <c r="AK292" s="1580"/>
      <c r="AL292" s="1580"/>
      <c r="AM292" s="1580"/>
    </row>
    <row r="293" spans="1:39" hidden="1">
      <c r="A293" s="1609">
        <v>273</v>
      </c>
      <c r="B293" s="1618" t="s">
        <v>1698</v>
      </c>
      <c r="C293" s="1579" t="s">
        <v>1699</v>
      </c>
      <c r="D293" s="1618" t="s">
        <v>1022</v>
      </c>
      <c r="E293" s="1662">
        <v>15941</v>
      </c>
      <c r="F293" s="1581"/>
      <c r="G293" s="1581"/>
      <c r="H293" s="1581"/>
      <c r="I293" s="1609">
        <v>6</v>
      </c>
      <c r="J293" s="1609">
        <v>205</v>
      </c>
      <c r="K293" s="1581"/>
      <c r="L293" s="1622"/>
      <c r="M293" s="1622"/>
      <c r="N293" s="1581"/>
      <c r="O293" s="1581"/>
      <c r="P293" s="1581">
        <f t="shared" si="37"/>
        <v>0</v>
      </c>
      <c r="Q293" s="1581"/>
      <c r="R293" s="1611">
        <f t="shared" si="38"/>
        <v>0</v>
      </c>
      <c r="S293" s="1611">
        <f t="shared" si="39"/>
        <v>0</v>
      </c>
      <c r="T293" s="1611">
        <f t="shared" si="40"/>
        <v>0</v>
      </c>
      <c r="U293" s="1580"/>
      <c r="V293" s="1580"/>
      <c r="W293" s="1580"/>
      <c r="X293" s="1580"/>
      <c r="Y293" s="1580"/>
      <c r="Z293" s="1580"/>
      <c r="AA293" s="1580"/>
      <c r="AB293" s="1580"/>
      <c r="AC293" s="1580"/>
      <c r="AD293" s="1580"/>
      <c r="AE293" s="1580"/>
      <c r="AF293" s="1580"/>
      <c r="AG293" s="1580"/>
      <c r="AH293" s="1580"/>
      <c r="AI293" s="1580"/>
      <c r="AJ293" s="1580"/>
      <c r="AK293" s="1580"/>
      <c r="AL293" s="1580"/>
      <c r="AM293" s="1580"/>
    </row>
    <row r="294" spans="1:39" hidden="1">
      <c r="A294" s="1609">
        <v>272</v>
      </c>
      <c r="B294" s="1618" t="s">
        <v>1700</v>
      </c>
      <c r="C294" s="1579" t="s">
        <v>1701</v>
      </c>
      <c r="D294" s="1618" t="s">
        <v>1022</v>
      </c>
      <c r="E294" s="1662">
        <v>15941</v>
      </c>
      <c r="F294" s="1581"/>
      <c r="G294" s="1581"/>
      <c r="H294" s="1581"/>
      <c r="I294" s="1609">
        <v>6</v>
      </c>
      <c r="J294" s="1609">
        <v>205</v>
      </c>
      <c r="K294" s="1581"/>
      <c r="L294" s="1622"/>
      <c r="M294" s="1622"/>
      <c r="N294" s="1581"/>
      <c r="O294" s="1581"/>
      <c r="P294" s="1581">
        <f t="shared" si="37"/>
        <v>0</v>
      </c>
      <c r="Q294" s="1581"/>
      <c r="R294" s="1611">
        <f t="shared" si="38"/>
        <v>0</v>
      </c>
      <c r="S294" s="1611">
        <f t="shared" si="39"/>
        <v>0</v>
      </c>
      <c r="T294" s="1611">
        <f t="shared" si="40"/>
        <v>0</v>
      </c>
      <c r="U294" s="1580"/>
      <c r="V294" s="1580"/>
      <c r="W294" s="1580"/>
      <c r="X294" s="1580"/>
      <c r="Y294" s="1580"/>
      <c r="Z294" s="1580"/>
      <c r="AA294" s="1580"/>
      <c r="AB294" s="1580"/>
      <c r="AC294" s="1580"/>
      <c r="AD294" s="1580"/>
      <c r="AE294" s="1580"/>
      <c r="AF294" s="1580"/>
      <c r="AG294" s="1580"/>
      <c r="AH294" s="1580"/>
      <c r="AI294" s="1580"/>
      <c r="AJ294" s="1580"/>
      <c r="AK294" s="1580"/>
      <c r="AL294" s="1580"/>
      <c r="AM294" s="1580"/>
    </row>
    <row r="295" spans="1:39">
      <c r="A295" s="1609">
        <v>91</v>
      </c>
      <c r="B295" s="1619" t="s">
        <v>1702</v>
      </c>
      <c r="C295" s="917" t="s">
        <v>1703</v>
      </c>
      <c r="D295" s="1619" t="s">
        <v>1268</v>
      </c>
      <c r="E295" s="1662">
        <v>15941</v>
      </c>
      <c r="F295" s="1609"/>
      <c r="G295" s="1609"/>
      <c r="H295" s="1609"/>
      <c r="I295" s="1609">
        <v>6</v>
      </c>
      <c r="J295" s="1609">
        <v>205</v>
      </c>
      <c r="K295" s="1609"/>
      <c r="L295" s="1619">
        <v>500</v>
      </c>
      <c r="M295" s="1619"/>
      <c r="N295" s="1609"/>
      <c r="O295" s="1609"/>
      <c r="P295" s="1581">
        <f t="shared" si="37"/>
        <v>500</v>
      </c>
      <c r="Q295" s="1610">
        <f>100*1.07</f>
        <v>107</v>
      </c>
      <c r="R295" s="1611">
        <f t="shared" si="38"/>
        <v>53500</v>
      </c>
      <c r="S295" s="1611">
        <f t="shared" si="39"/>
        <v>1521.3270142180095</v>
      </c>
      <c r="T295" s="1611">
        <f t="shared" si="40"/>
        <v>51978.672985781988</v>
      </c>
      <c r="U295" s="1580"/>
      <c r="V295" s="1580"/>
      <c r="W295" s="1580"/>
      <c r="X295" s="1580"/>
      <c r="Y295" s="1580"/>
      <c r="Z295" s="1580"/>
      <c r="AA295" s="1580"/>
      <c r="AB295" s="1580"/>
      <c r="AC295" s="1580"/>
      <c r="AD295" s="1580"/>
      <c r="AE295" s="1580"/>
      <c r="AF295" s="1580"/>
      <c r="AG295" s="1580"/>
      <c r="AH295" s="1580"/>
      <c r="AI295" s="1580"/>
      <c r="AJ295" s="1580"/>
      <c r="AK295" s="1580"/>
      <c r="AL295" s="1580"/>
      <c r="AM295" s="1580"/>
    </row>
    <row r="296" spans="1:39">
      <c r="A296" s="1609">
        <v>95</v>
      </c>
      <c r="B296" s="1619" t="s">
        <v>1704</v>
      </c>
      <c r="C296" s="917" t="s">
        <v>1705</v>
      </c>
      <c r="D296" s="1619" t="s">
        <v>1268</v>
      </c>
      <c r="E296" s="1662">
        <v>15941</v>
      </c>
      <c r="F296" s="1609"/>
      <c r="G296" s="1609"/>
      <c r="H296" s="1609"/>
      <c r="I296" s="1609">
        <v>6</v>
      </c>
      <c r="J296" s="1609">
        <v>205</v>
      </c>
      <c r="K296" s="1609"/>
      <c r="L296" s="1619">
        <v>4</v>
      </c>
      <c r="M296" s="1619"/>
      <c r="N296" s="1609"/>
      <c r="O296" s="1609"/>
      <c r="P296" s="1581">
        <f t="shared" si="37"/>
        <v>4</v>
      </c>
      <c r="Q296" s="1610">
        <f>2500*1.07</f>
        <v>2675</v>
      </c>
      <c r="R296" s="1611">
        <f t="shared" si="38"/>
        <v>10700</v>
      </c>
      <c r="S296" s="1611">
        <f t="shared" si="39"/>
        <v>304.26540284360186</v>
      </c>
      <c r="T296" s="1611">
        <f t="shared" si="40"/>
        <v>10395.734597156397</v>
      </c>
      <c r="U296" s="1580"/>
      <c r="V296" s="1580"/>
      <c r="W296" s="1580"/>
      <c r="X296" s="1580"/>
      <c r="Y296" s="1580"/>
      <c r="Z296" s="1580"/>
      <c r="AA296" s="1580"/>
      <c r="AB296" s="1580"/>
      <c r="AC296" s="1580"/>
      <c r="AD296" s="1580"/>
      <c r="AE296" s="1580"/>
      <c r="AF296" s="1580"/>
      <c r="AG296" s="1580"/>
      <c r="AH296" s="1580"/>
      <c r="AI296" s="1580"/>
      <c r="AJ296" s="1580"/>
      <c r="AK296" s="1580"/>
      <c r="AL296" s="1580"/>
      <c r="AM296" s="1580"/>
    </row>
    <row r="297" spans="1:39">
      <c r="A297" s="1609">
        <v>201</v>
      </c>
      <c r="B297" s="1620" t="s">
        <v>1706</v>
      </c>
      <c r="C297" s="1579" t="s">
        <v>1707</v>
      </c>
      <c r="D297" s="1620" t="s">
        <v>1022</v>
      </c>
      <c r="E297" s="1662">
        <v>15941</v>
      </c>
      <c r="F297" s="1581"/>
      <c r="G297" s="1581"/>
      <c r="H297" s="1581"/>
      <c r="I297" s="1609">
        <v>6</v>
      </c>
      <c r="J297" s="1609">
        <v>205</v>
      </c>
      <c r="K297" s="1581"/>
      <c r="L297" s="1620">
        <v>10</v>
      </c>
      <c r="M297" s="1620"/>
      <c r="N297" s="1581"/>
      <c r="O297" s="1581"/>
      <c r="P297" s="1581">
        <f t="shared" si="37"/>
        <v>10</v>
      </c>
      <c r="Q297" s="1581">
        <f>150*1.07</f>
        <v>160.5</v>
      </c>
      <c r="R297" s="1611">
        <f t="shared" si="38"/>
        <v>1605</v>
      </c>
      <c r="S297" s="1611">
        <f t="shared" si="39"/>
        <v>45.639810426540279</v>
      </c>
      <c r="T297" s="1611">
        <f t="shared" si="40"/>
        <v>1559.3601895734598</v>
      </c>
      <c r="U297" s="1580"/>
      <c r="V297" s="1580"/>
      <c r="W297" s="1580"/>
      <c r="X297" s="1580"/>
      <c r="Y297" s="1580"/>
      <c r="Z297" s="1580"/>
      <c r="AA297" s="1580"/>
      <c r="AB297" s="1580"/>
      <c r="AC297" s="1580"/>
      <c r="AD297" s="1580"/>
      <c r="AE297" s="1580"/>
      <c r="AF297" s="1580"/>
      <c r="AG297" s="1580"/>
      <c r="AH297" s="1580"/>
      <c r="AI297" s="1580"/>
      <c r="AJ297" s="1580"/>
      <c r="AK297" s="1580"/>
      <c r="AL297" s="1580"/>
      <c r="AM297" s="1580"/>
    </row>
    <row r="298" spans="1:39">
      <c r="A298" s="1609">
        <v>107</v>
      </c>
      <c r="B298" s="1619" t="s">
        <v>1708</v>
      </c>
      <c r="C298" s="917" t="s">
        <v>1709</v>
      </c>
      <c r="D298" s="1619" t="s">
        <v>1411</v>
      </c>
      <c r="E298" s="1662">
        <v>15941</v>
      </c>
      <c r="F298" s="1609"/>
      <c r="G298" s="1609"/>
      <c r="H298" s="1609"/>
      <c r="I298" s="1609">
        <v>6</v>
      </c>
      <c r="J298" s="1609">
        <v>205</v>
      </c>
      <c r="K298" s="1609"/>
      <c r="L298" s="1619">
        <v>400</v>
      </c>
      <c r="M298" s="1619"/>
      <c r="N298" s="1609"/>
      <c r="O298" s="1609"/>
      <c r="P298" s="1581">
        <f t="shared" si="37"/>
        <v>400</v>
      </c>
      <c r="Q298" s="1609">
        <f>250*1.07</f>
        <v>267.5</v>
      </c>
      <c r="R298" s="1611">
        <f t="shared" si="38"/>
        <v>107000</v>
      </c>
      <c r="S298" s="1611">
        <f t="shared" si="39"/>
        <v>3042.654028436019</v>
      </c>
      <c r="T298" s="1611">
        <f t="shared" si="40"/>
        <v>103957.34597156398</v>
      </c>
      <c r="U298" s="1580"/>
      <c r="V298" s="1580"/>
      <c r="W298" s="1580"/>
      <c r="X298" s="1580"/>
      <c r="Y298" s="1580"/>
      <c r="Z298" s="1580"/>
      <c r="AA298" s="1580"/>
      <c r="AB298" s="1580"/>
      <c r="AC298" s="1580"/>
      <c r="AD298" s="1580"/>
      <c r="AE298" s="1580"/>
      <c r="AF298" s="1580"/>
      <c r="AG298" s="1580"/>
      <c r="AH298" s="1580"/>
      <c r="AI298" s="1580"/>
      <c r="AJ298" s="1580"/>
      <c r="AK298" s="1580"/>
      <c r="AL298" s="1580"/>
      <c r="AM298" s="1580"/>
    </row>
    <row r="299" spans="1:39">
      <c r="A299" s="1609">
        <v>123</v>
      </c>
      <c r="B299" s="1618" t="s">
        <v>1710</v>
      </c>
      <c r="C299" s="1579" t="s">
        <v>1711</v>
      </c>
      <c r="D299" s="1618" t="s">
        <v>1411</v>
      </c>
      <c r="E299" s="1662">
        <v>15941</v>
      </c>
      <c r="F299" s="1581"/>
      <c r="G299" s="1581"/>
      <c r="H299" s="1609"/>
      <c r="I299" s="1609">
        <v>6</v>
      </c>
      <c r="J299" s="1609">
        <v>205</v>
      </c>
      <c r="K299" s="1609"/>
      <c r="L299" s="1618">
        <v>300</v>
      </c>
      <c r="M299" s="1618"/>
      <c r="N299" s="1609"/>
      <c r="O299" s="1609"/>
      <c r="P299" s="1581">
        <f t="shared" si="37"/>
        <v>300</v>
      </c>
      <c r="Q299" s="1609">
        <f>1000*1.07</f>
        <v>1070</v>
      </c>
      <c r="R299" s="1611">
        <f t="shared" si="38"/>
        <v>321000</v>
      </c>
      <c r="S299" s="1611">
        <f t="shared" si="39"/>
        <v>9127.962085308056</v>
      </c>
      <c r="T299" s="1611">
        <f t="shared" si="40"/>
        <v>311872.03791469196</v>
      </c>
      <c r="U299" s="1580"/>
      <c r="V299" s="1580"/>
      <c r="W299" s="1580"/>
      <c r="X299" s="1580"/>
      <c r="Y299" s="1580"/>
      <c r="Z299" s="1580"/>
      <c r="AA299" s="1580"/>
      <c r="AB299" s="1580"/>
      <c r="AC299" s="1580"/>
      <c r="AD299" s="1580"/>
      <c r="AE299" s="1580"/>
      <c r="AF299" s="1580"/>
      <c r="AG299" s="1580"/>
      <c r="AH299" s="1580"/>
      <c r="AI299" s="1580"/>
      <c r="AJ299" s="1580"/>
      <c r="AK299" s="1580"/>
      <c r="AL299" s="1580"/>
      <c r="AM299" s="1580"/>
    </row>
    <row r="300" spans="1:39" ht="25.5">
      <c r="A300" s="1581">
        <v>313</v>
      </c>
      <c r="B300" s="1579" t="s">
        <v>1712</v>
      </c>
      <c r="C300" s="1579" t="s">
        <v>1713</v>
      </c>
      <c r="D300" s="1625" t="s">
        <v>1268</v>
      </c>
      <c r="E300" s="1662">
        <v>15941</v>
      </c>
      <c r="F300" s="1581"/>
      <c r="G300" s="1581"/>
      <c r="H300" s="1581"/>
      <c r="I300" s="1609">
        <v>6</v>
      </c>
      <c r="J300" s="1609">
        <v>205</v>
      </c>
      <c r="K300" s="1581"/>
      <c r="L300" s="1625">
        <v>80</v>
      </c>
      <c r="M300" s="1625"/>
      <c r="N300" s="1581"/>
      <c r="O300" s="1581"/>
      <c r="P300" s="1581">
        <f t="shared" si="37"/>
        <v>80</v>
      </c>
      <c r="Q300" s="1581">
        <f>450*1.07</f>
        <v>481.5</v>
      </c>
      <c r="R300" s="1611">
        <f t="shared" si="38"/>
        <v>38520</v>
      </c>
      <c r="S300" s="1611">
        <f t="shared" si="39"/>
        <v>1095.3554502369668</v>
      </c>
      <c r="T300" s="1611">
        <f t="shared" si="40"/>
        <v>37424.644549763034</v>
      </c>
      <c r="U300" s="1580"/>
      <c r="V300" s="1580"/>
      <c r="W300" s="1580"/>
      <c r="X300" s="1580"/>
      <c r="Y300" s="1580"/>
      <c r="Z300" s="1580"/>
      <c r="AA300" s="1580"/>
      <c r="AB300" s="1580"/>
      <c r="AC300" s="1580"/>
      <c r="AD300" s="1580"/>
      <c r="AE300" s="1580"/>
      <c r="AF300" s="1580"/>
      <c r="AG300" s="1580"/>
      <c r="AH300" s="1580"/>
      <c r="AI300" s="1580"/>
      <c r="AJ300" s="1580"/>
      <c r="AK300" s="1580"/>
      <c r="AL300" s="1580"/>
      <c r="AM300" s="1580"/>
    </row>
    <row r="301" spans="1:39" hidden="1">
      <c r="A301" s="1581"/>
      <c r="B301" s="1579" t="s">
        <v>1712</v>
      </c>
      <c r="C301" s="1579" t="s">
        <v>1715</v>
      </c>
      <c r="D301" s="1625" t="s">
        <v>1290</v>
      </c>
      <c r="E301" s="1662">
        <v>15941</v>
      </c>
      <c r="F301" s="1581"/>
      <c r="G301" s="1581"/>
      <c r="H301" s="1581"/>
      <c r="I301" s="1609"/>
      <c r="J301" s="1609"/>
      <c r="K301" s="1581"/>
      <c r="L301" s="1625"/>
      <c r="M301" s="1625"/>
      <c r="N301" s="1581"/>
      <c r="O301" s="1581"/>
      <c r="P301" s="1581"/>
      <c r="Q301" s="1581"/>
      <c r="R301" s="1611"/>
      <c r="S301" s="1611"/>
      <c r="T301" s="1611"/>
      <c r="U301" s="1580" t="s">
        <v>1716</v>
      </c>
      <c r="V301" s="1580"/>
      <c r="W301" s="1580"/>
      <c r="X301" s="1580"/>
      <c r="Y301" s="1580"/>
      <c r="Z301" s="1580"/>
      <c r="AA301" s="1580"/>
      <c r="AB301" s="1580"/>
      <c r="AC301" s="1580"/>
      <c r="AD301" s="1580"/>
      <c r="AE301" s="1580"/>
      <c r="AF301" s="1580"/>
      <c r="AG301" s="1580"/>
      <c r="AH301" s="1580"/>
      <c r="AI301" s="1580"/>
      <c r="AJ301" s="1580"/>
      <c r="AK301" s="1580"/>
      <c r="AL301" s="1580"/>
      <c r="AM301" s="1580"/>
    </row>
    <row r="302" spans="1:39" hidden="1">
      <c r="A302" s="1609"/>
      <c r="B302" s="1619" t="s">
        <v>1435</v>
      </c>
      <c r="C302" s="1579" t="s">
        <v>1717</v>
      </c>
      <c r="D302" s="1619" t="s">
        <v>1268</v>
      </c>
      <c r="E302" s="1662">
        <v>15941</v>
      </c>
      <c r="F302" s="1581"/>
      <c r="G302" s="1581"/>
      <c r="H302" s="1609"/>
      <c r="I302" s="1609">
        <v>6</v>
      </c>
      <c r="J302" s="1609">
        <v>205</v>
      </c>
      <c r="K302" s="1609"/>
      <c r="L302" s="1619"/>
      <c r="M302" s="1619"/>
      <c r="N302" s="1609"/>
      <c r="O302" s="1609"/>
      <c r="P302" s="1581">
        <f t="shared" ref="P302:P313" si="41">L302-O302</f>
        <v>0</v>
      </c>
      <c r="Q302" s="1609"/>
      <c r="R302" s="1611">
        <f t="shared" ref="R302:R313" si="42">P302*Q302</f>
        <v>0</v>
      </c>
      <c r="S302" s="1611">
        <f t="shared" ref="S302:S313" si="43">R302*(I302/(I302+J302+K302))</f>
        <v>0</v>
      </c>
      <c r="T302" s="1611">
        <f t="shared" ref="T302:T313" si="44">R302-S302</f>
        <v>0</v>
      </c>
      <c r="U302" s="1580"/>
      <c r="V302" s="1580"/>
      <c r="W302" s="1580"/>
      <c r="X302" s="1580"/>
      <c r="Y302" s="1580"/>
      <c r="Z302" s="1580"/>
      <c r="AA302" s="1580"/>
      <c r="AB302" s="1580"/>
      <c r="AC302" s="1580"/>
      <c r="AD302" s="1580"/>
      <c r="AE302" s="1580"/>
      <c r="AF302" s="1580"/>
      <c r="AG302" s="1580"/>
      <c r="AH302" s="1580"/>
      <c r="AI302" s="1580"/>
      <c r="AJ302" s="1580"/>
      <c r="AK302" s="1580"/>
      <c r="AL302" s="1580"/>
      <c r="AM302" s="1580"/>
    </row>
    <row r="303" spans="1:39" ht="25.5">
      <c r="A303" s="1609">
        <v>96</v>
      </c>
      <c r="B303" s="1619" t="s">
        <v>1718</v>
      </c>
      <c r="C303" s="917" t="s">
        <v>1719</v>
      </c>
      <c r="D303" s="1619" t="s">
        <v>1268</v>
      </c>
      <c r="E303" s="1662">
        <v>15941</v>
      </c>
      <c r="F303" s="1609"/>
      <c r="G303" s="1609"/>
      <c r="H303" s="1609"/>
      <c r="I303" s="1609">
        <v>6</v>
      </c>
      <c r="J303" s="1609">
        <v>205</v>
      </c>
      <c r="K303" s="1609"/>
      <c r="L303" s="1619">
        <v>2</v>
      </c>
      <c r="M303" s="1619"/>
      <c r="N303" s="1609"/>
      <c r="O303" s="1609"/>
      <c r="P303" s="1581">
        <f t="shared" si="41"/>
        <v>2</v>
      </c>
      <c r="Q303" s="1610">
        <f>5100*1.07</f>
        <v>5457</v>
      </c>
      <c r="R303" s="1611">
        <f t="shared" si="42"/>
        <v>10914</v>
      </c>
      <c r="S303" s="1611">
        <f t="shared" si="43"/>
        <v>310.35071090047393</v>
      </c>
      <c r="T303" s="1611">
        <f t="shared" si="44"/>
        <v>10603.649289099527</v>
      </c>
      <c r="U303" s="1580"/>
      <c r="V303" s="1580"/>
      <c r="W303" s="1580"/>
      <c r="X303" s="1580"/>
      <c r="Y303" s="1580"/>
      <c r="Z303" s="1580"/>
      <c r="AA303" s="1580"/>
      <c r="AB303" s="1580"/>
      <c r="AC303" s="1580"/>
      <c r="AD303" s="1580"/>
      <c r="AE303" s="1580"/>
      <c r="AF303" s="1580"/>
      <c r="AG303" s="1580"/>
      <c r="AH303" s="1580"/>
      <c r="AI303" s="1580"/>
      <c r="AJ303" s="1580"/>
      <c r="AK303" s="1580"/>
      <c r="AL303" s="1580"/>
      <c r="AM303" s="1580"/>
    </row>
    <row r="304" spans="1:39">
      <c r="A304" s="1609">
        <v>240</v>
      </c>
      <c r="B304" s="1622" t="s">
        <v>1720</v>
      </c>
      <c r="C304" s="1579" t="s">
        <v>1721</v>
      </c>
      <c r="D304" s="1622" t="s">
        <v>1325</v>
      </c>
      <c r="E304" s="1662">
        <v>15941</v>
      </c>
      <c r="F304" s="1581"/>
      <c r="G304" s="1581"/>
      <c r="H304" s="1581"/>
      <c r="I304" s="1609">
        <v>6</v>
      </c>
      <c r="J304" s="1609">
        <v>205</v>
      </c>
      <c r="K304" s="1581"/>
      <c r="L304" s="1610">
        <v>5</v>
      </c>
      <c r="M304" s="1610"/>
      <c r="N304" s="1581"/>
      <c r="O304" s="1581"/>
      <c r="P304" s="1581">
        <f t="shared" si="41"/>
        <v>5</v>
      </c>
      <c r="Q304" s="1581">
        <f>22000*1.07</f>
        <v>23540</v>
      </c>
      <c r="R304" s="1611">
        <f t="shared" si="42"/>
        <v>117700</v>
      </c>
      <c r="S304" s="1611">
        <f t="shared" si="43"/>
        <v>3346.9194312796208</v>
      </c>
      <c r="T304" s="1611">
        <f t="shared" si="44"/>
        <v>114353.08056872038</v>
      </c>
      <c r="U304" s="1580"/>
      <c r="V304" s="1580"/>
      <c r="W304" s="1580"/>
      <c r="X304" s="1580"/>
      <c r="Y304" s="1580"/>
      <c r="Z304" s="1580"/>
      <c r="AA304" s="1580"/>
      <c r="AB304" s="1580"/>
      <c r="AC304" s="1580"/>
      <c r="AD304" s="1580"/>
      <c r="AE304" s="1580"/>
      <c r="AF304" s="1580"/>
      <c r="AG304" s="1580"/>
      <c r="AH304" s="1580"/>
      <c r="AI304" s="1580"/>
      <c r="AJ304" s="1580"/>
      <c r="AK304" s="1580"/>
      <c r="AL304" s="1580"/>
      <c r="AM304" s="1580"/>
    </row>
    <row r="305" spans="1:39" ht="25.5" hidden="1">
      <c r="A305" s="1609">
        <v>140</v>
      </c>
      <c r="B305" s="1618" t="s">
        <v>1722</v>
      </c>
      <c r="C305" s="1579" t="s">
        <v>1723</v>
      </c>
      <c r="D305" s="1618" t="s">
        <v>1022</v>
      </c>
      <c r="E305" s="1662">
        <v>15941</v>
      </c>
      <c r="F305" s="1581"/>
      <c r="G305" s="1581"/>
      <c r="H305" s="1581"/>
      <c r="I305" s="1609"/>
      <c r="J305" s="1609"/>
      <c r="K305" s="1581"/>
      <c r="L305" s="1618"/>
      <c r="M305" s="1618"/>
      <c r="N305" s="1581"/>
      <c r="O305" s="1581"/>
      <c r="P305" s="1581"/>
      <c r="Q305" s="1581"/>
      <c r="R305" s="1611"/>
      <c r="S305" s="1611"/>
      <c r="T305" s="1611"/>
      <c r="U305" s="1580"/>
      <c r="V305" s="1580"/>
      <c r="W305" s="1580"/>
      <c r="X305" s="1580"/>
      <c r="Y305" s="1580"/>
      <c r="Z305" s="1580"/>
      <c r="AA305" s="1580"/>
      <c r="AB305" s="1580"/>
      <c r="AC305" s="1580"/>
      <c r="AD305" s="1580"/>
      <c r="AE305" s="1580"/>
      <c r="AF305" s="1580"/>
      <c r="AG305" s="1580"/>
      <c r="AH305" s="1580"/>
      <c r="AI305" s="1580"/>
      <c r="AJ305" s="1580"/>
      <c r="AK305" s="1580"/>
      <c r="AL305" s="1580"/>
      <c r="AM305" s="1580"/>
    </row>
    <row r="306" spans="1:39" hidden="1">
      <c r="A306" s="1581"/>
      <c r="B306" s="1618"/>
      <c r="C306" s="1579"/>
      <c r="D306" s="1618" t="s">
        <v>1022</v>
      </c>
      <c r="E306" s="1662">
        <v>15941</v>
      </c>
      <c r="F306" s="1581"/>
      <c r="G306" s="1581"/>
      <c r="H306" s="1581"/>
      <c r="I306" s="1609">
        <v>6</v>
      </c>
      <c r="J306" s="1609">
        <v>205</v>
      </c>
      <c r="K306" s="1581"/>
      <c r="L306" s="1622"/>
      <c r="M306" s="1622"/>
      <c r="N306" s="1581"/>
      <c r="O306" s="1581"/>
      <c r="P306" s="1581">
        <f t="shared" si="41"/>
        <v>0</v>
      </c>
      <c r="Q306" s="1581"/>
      <c r="R306" s="1611">
        <f t="shared" si="42"/>
        <v>0</v>
      </c>
      <c r="S306" s="1611">
        <f t="shared" si="43"/>
        <v>0</v>
      </c>
      <c r="T306" s="1611">
        <f t="shared" si="44"/>
        <v>0</v>
      </c>
      <c r="U306" s="1580"/>
      <c r="V306" s="1580"/>
      <c r="W306" s="1580"/>
      <c r="X306" s="1580"/>
      <c r="Y306" s="1580"/>
      <c r="Z306" s="1580"/>
      <c r="AA306" s="1580"/>
      <c r="AB306" s="1580"/>
      <c r="AC306" s="1580"/>
      <c r="AD306" s="1580"/>
      <c r="AE306" s="1580"/>
      <c r="AF306" s="1580"/>
      <c r="AG306" s="1580"/>
      <c r="AH306" s="1580"/>
      <c r="AI306" s="1580"/>
      <c r="AJ306" s="1580"/>
      <c r="AK306" s="1580"/>
      <c r="AL306" s="1580"/>
      <c r="AM306" s="1580"/>
    </row>
    <row r="307" spans="1:39" ht="25.5">
      <c r="A307" s="1609">
        <v>115</v>
      </c>
      <c r="B307" s="1619" t="s">
        <v>1724</v>
      </c>
      <c r="C307" s="917" t="s">
        <v>1725</v>
      </c>
      <c r="D307" s="1619" t="s">
        <v>1268</v>
      </c>
      <c r="E307" s="1662">
        <v>15941</v>
      </c>
      <c r="F307" s="1609"/>
      <c r="G307" s="1609"/>
      <c r="H307" s="1609"/>
      <c r="I307" s="1609">
        <v>6</v>
      </c>
      <c r="J307" s="1609">
        <v>205</v>
      </c>
      <c r="K307" s="1609"/>
      <c r="L307" s="1619">
        <v>4</v>
      </c>
      <c r="M307" s="1619"/>
      <c r="N307" s="1609"/>
      <c r="O307" s="1609"/>
      <c r="P307" s="1581">
        <f t="shared" si="41"/>
        <v>4</v>
      </c>
      <c r="Q307" s="1609">
        <f>5000*1.07</f>
        <v>5350</v>
      </c>
      <c r="R307" s="1611">
        <f t="shared" si="42"/>
        <v>21400</v>
      </c>
      <c r="S307" s="1611">
        <f t="shared" si="43"/>
        <v>608.53080568720372</v>
      </c>
      <c r="T307" s="1611">
        <f t="shared" si="44"/>
        <v>20791.469194312795</v>
      </c>
      <c r="U307" s="1580"/>
      <c r="V307" s="1580"/>
      <c r="W307" s="1580"/>
      <c r="X307" s="1580"/>
      <c r="Y307" s="1580"/>
      <c r="Z307" s="1580"/>
      <c r="AA307" s="1580"/>
      <c r="AB307" s="1580"/>
      <c r="AC307" s="1580"/>
      <c r="AD307" s="1580"/>
      <c r="AE307" s="1580"/>
      <c r="AF307" s="1580"/>
      <c r="AG307" s="1580"/>
      <c r="AH307" s="1580"/>
      <c r="AI307" s="1580"/>
      <c r="AJ307" s="1580"/>
      <c r="AK307" s="1580"/>
      <c r="AL307" s="1580"/>
      <c r="AM307" s="1580"/>
    </row>
    <row r="308" spans="1:39" ht="25.5" hidden="1">
      <c r="A308" s="1581">
        <v>308</v>
      </c>
      <c r="B308" s="1618" t="s">
        <v>1726</v>
      </c>
      <c r="C308" s="1579"/>
      <c r="D308" s="1618" t="s">
        <v>1022</v>
      </c>
      <c r="E308" s="1662">
        <v>15941</v>
      </c>
      <c r="F308" s="1581"/>
      <c r="G308" s="1581"/>
      <c r="H308" s="1581"/>
      <c r="I308" s="1609">
        <v>6</v>
      </c>
      <c r="J308" s="1609">
        <v>205</v>
      </c>
      <c r="K308" s="1581"/>
      <c r="L308" s="1622"/>
      <c r="M308" s="1622"/>
      <c r="N308" s="1581"/>
      <c r="O308" s="1581"/>
      <c r="P308" s="1581">
        <f t="shared" si="41"/>
        <v>0</v>
      </c>
      <c r="Q308" s="1581"/>
      <c r="R308" s="1611">
        <f t="shared" si="42"/>
        <v>0</v>
      </c>
      <c r="S308" s="1611">
        <f t="shared" si="43"/>
        <v>0</v>
      </c>
      <c r="T308" s="1611">
        <f t="shared" si="44"/>
        <v>0</v>
      </c>
      <c r="U308" s="1580"/>
      <c r="V308" s="1580"/>
      <c r="W308" s="1580"/>
      <c r="X308" s="1580"/>
      <c r="Y308" s="1580"/>
      <c r="Z308" s="1580"/>
      <c r="AA308" s="1580"/>
      <c r="AB308" s="1580"/>
      <c r="AC308" s="1580"/>
      <c r="AD308" s="1580"/>
      <c r="AE308" s="1580"/>
      <c r="AF308" s="1580"/>
      <c r="AG308" s="1580"/>
      <c r="AH308" s="1580"/>
      <c r="AI308" s="1580"/>
      <c r="AJ308" s="1580"/>
      <c r="AK308" s="1580"/>
      <c r="AL308" s="1580"/>
      <c r="AM308" s="1580"/>
    </row>
    <row r="309" spans="1:39" ht="25.5" hidden="1">
      <c r="A309" s="1581"/>
      <c r="B309" s="1618" t="s">
        <v>1727</v>
      </c>
      <c r="C309" s="1579"/>
      <c r="D309" s="1618" t="s">
        <v>1022</v>
      </c>
      <c r="E309" s="1662">
        <v>15941</v>
      </c>
      <c r="F309" s="1581"/>
      <c r="G309" s="1581"/>
      <c r="H309" s="1581"/>
      <c r="I309" s="1609">
        <v>6</v>
      </c>
      <c r="J309" s="1609">
        <v>205</v>
      </c>
      <c r="K309" s="1581"/>
      <c r="L309" s="1610">
        <v>1</v>
      </c>
      <c r="M309" s="1610"/>
      <c r="N309" s="1581"/>
      <c r="O309" s="1581"/>
      <c r="P309" s="1581">
        <f t="shared" si="41"/>
        <v>1</v>
      </c>
      <c r="Q309" s="1581"/>
      <c r="R309" s="1611">
        <f t="shared" si="42"/>
        <v>0</v>
      </c>
      <c r="S309" s="1611">
        <f t="shared" si="43"/>
        <v>0</v>
      </c>
      <c r="T309" s="1611">
        <f t="shared" si="44"/>
        <v>0</v>
      </c>
      <c r="U309" s="1580"/>
      <c r="V309" s="1580"/>
      <c r="W309" s="1580"/>
      <c r="X309" s="1580"/>
      <c r="Y309" s="1580"/>
      <c r="Z309" s="1580"/>
      <c r="AA309" s="1580"/>
      <c r="AB309" s="1580"/>
      <c r="AC309" s="1580"/>
      <c r="AD309" s="1580"/>
      <c r="AE309" s="1580"/>
      <c r="AF309" s="1580"/>
      <c r="AG309" s="1580"/>
      <c r="AH309" s="1580"/>
      <c r="AI309" s="1580"/>
      <c r="AJ309" s="1580"/>
      <c r="AK309" s="1580"/>
      <c r="AL309" s="1580"/>
      <c r="AM309" s="1580"/>
    </row>
    <row r="310" spans="1:39" ht="25.5">
      <c r="A310" s="1609">
        <v>152</v>
      </c>
      <c r="B310" s="1618" t="s">
        <v>1728</v>
      </c>
      <c r="C310" s="1579" t="s">
        <v>1729</v>
      </c>
      <c r="D310" s="1618" t="s">
        <v>1587</v>
      </c>
      <c r="E310" s="1662">
        <v>15941</v>
      </c>
      <c r="F310" s="1581"/>
      <c r="G310" s="1581"/>
      <c r="H310" s="1581"/>
      <c r="I310" s="1609">
        <v>6</v>
      </c>
      <c r="J310" s="1609">
        <v>205</v>
      </c>
      <c r="K310" s="1581"/>
      <c r="L310" s="1618">
        <v>60</v>
      </c>
      <c r="M310" s="1618"/>
      <c r="N310" s="1581"/>
      <c r="O310" s="1581"/>
      <c r="P310" s="1581">
        <f t="shared" si="41"/>
        <v>60</v>
      </c>
      <c r="Q310" s="1581">
        <f>400*1.07</f>
        <v>428</v>
      </c>
      <c r="R310" s="1611">
        <f t="shared" si="42"/>
        <v>25680</v>
      </c>
      <c r="S310" s="1611">
        <f t="shared" si="43"/>
        <v>730.23696682464447</v>
      </c>
      <c r="T310" s="1611">
        <f t="shared" si="44"/>
        <v>24949.763033175357</v>
      </c>
      <c r="U310" s="1580"/>
      <c r="V310" s="1580"/>
      <c r="W310" s="1580"/>
      <c r="X310" s="1580"/>
      <c r="Y310" s="1580"/>
      <c r="Z310" s="1580"/>
      <c r="AA310" s="1580"/>
      <c r="AB310" s="1580"/>
      <c r="AC310" s="1580"/>
      <c r="AD310" s="1580"/>
      <c r="AE310" s="1580"/>
      <c r="AF310" s="1580"/>
      <c r="AG310" s="1580"/>
      <c r="AH310" s="1580"/>
      <c r="AI310" s="1580"/>
      <c r="AJ310" s="1580"/>
      <c r="AK310" s="1580"/>
      <c r="AL310" s="1580"/>
      <c r="AM310" s="1580"/>
    </row>
    <row r="311" spans="1:39">
      <c r="A311" s="1609">
        <v>27</v>
      </c>
      <c r="B311" s="1618" t="s">
        <v>1730</v>
      </c>
      <c r="C311" s="917" t="s">
        <v>1731</v>
      </c>
      <c r="D311" s="1619" t="s">
        <v>1268</v>
      </c>
      <c r="E311" s="1662">
        <v>15941</v>
      </c>
      <c r="F311" s="1609"/>
      <c r="G311" s="1609"/>
      <c r="H311" s="1609"/>
      <c r="I311" s="1609">
        <v>6</v>
      </c>
      <c r="J311" s="1609">
        <v>205</v>
      </c>
      <c r="K311" s="1609"/>
      <c r="L311" s="1623">
        <v>1800</v>
      </c>
      <c r="M311" s="1623"/>
      <c r="N311" s="1609"/>
      <c r="O311" s="1609"/>
      <c r="P311" s="1581">
        <f t="shared" si="41"/>
        <v>1800</v>
      </c>
      <c r="Q311" s="1610">
        <f>20*1.07</f>
        <v>21.400000000000002</v>
      </c>
      <c r="R311" s="1611">
        <f t="shared" si="42"/>
        <v>38520.000000000007</v>
      </c>
      <c r="S311" s="1611">
        <f t="shared" si="43"/>
        <v>1095.355450236967</v>
      </c>
      <c r="T311" s="1611">
        <f t="shared" si="44"/>
        <v>37424.644549763041</v>
      </c>
      <c r="U311" s="1580"/>
      <c r="V311" s="1580"/>
      <c r="W311" s="1580"/>
      <c r="X311" s="1580"/>
      <c r="Y311" s="1580"/>
      <c r="Z311" s="1580"/>
      <c r="AA311" s="1580"/>
      <c r="AB311" s="1580"/>
      <c r="AC311" s="1580"/>
      <c r="AD311" s="1580"/>
      <c r="AE311" s="1580"/>
      <c r="AF311" s="1580"/>
      <c r="AG311" s="1580"/>
      <c r="AH311" s="1580"/>
      <c r="AI311" s="1580"/>
      <c r="AJ311" s="1580"/>
      <c r="AK311" s="1580"/>
      <c r="AL311" s="1580"/>
      <c r="AM311" s="1580"/>
    </row>
    <row r="312" spans="1:39" ht="25.5">
      <c r="A312" s="1609">
        <v>196</v>
      </c>
      <c r="B312" s="1618" t="s">
        <v>1732</v>
      </c>
      <c r="C312" s="1579" t="s">
        <v>1733</v>
      </c>
      <c r="D312" s="1618" t="s">
        <v>1268</v>
      </c>
      <c r="E312" s="1662">
        <v>15941</v>
      </c>
      <c r="F312" s="1581"/>
      <c r="G312" s="1581"/>
      <c r="H312" s="1581"/>
      <c r="I312" s="1609">
        <v>6</v>
      </c>
      <c r="J312" s="1609">
        <v>205</v>
      </c>
      <c r="K312" s="1581"/>
      <c r="L312" s="1620">
        <v>33</v>
      </c>
      <c r="M312" s="1620">
        <v>61</v>
      </c>
      <c r="N312" s="1581"/>
      <c r="O312" s="1581"/>
      <c r="P312" s="1581">
        <f t="shared" si="41"/>
        <v>33</v>
      </c>
      <c r="Q312" s="1581">
        <f>2000*1.07</f>
        <v>2140</v>
      </c>
      <c r="R312" s="1611">
        <f t="shared" si="42"/>
        <v>70620</v>
      </c>
      <c r="S312" s="1611">
        <f t="shared" si="43"/>
        <v>2008.1516587677725</v>
      </c>
      <c r="T312" s="1611">
        <f t="shared" si="44"/>
        <v>68611.848341232224</v>
      </c>
      <c r="U312" s="1580">
        <f>(26+35)*2</f>
        <v>122</v>
      </c>
      <c r="V312" s="1580" t="s">
        <v>2206</v>
      </c>
      <c r="W312" s="1580"/>
      <c r="X312" s="1580"/>
      <c r="Y312" s="1580"/>
      <c r="Z312" s="1580"/>
      <c r="AA312" s="1580"/>
      <c r="AB312" s="1580"/>
      <c r="AC312" s="1580"/>
      <c r="AD312" s="1580"/>
      <c r="AE312" s="1580"/>
      <c r="AF312" s="1580"/>
      <c r="AG312" s="1580"/>
      <c r="AH312" s="1580"/>
      <c r="AI312" s="1580"/>
      <c r="AJ312" s="1580"/>
      <c r="AK312" s="1580"/>
      <c r="AL312" s="1580"/>
      <c r="AM312" s="1580"/>
    </row>
    <row r="313" spans="1:39" ht="38.25">
      <c r="A313" s="1609"/>
      <c r="B313" s="1618" t="s">
        <v>1732</v>
      </c>
      <c r="C313" s="1579" t="s">
        <v>1734</v>
      </c>
      <c r="D313" s="1618"/>
      <c r="E313" s="1662">
        <v>15941</v>
      </c>
      <c r="F313" s="1581"/>
      <c r="G313" s="1581"/>
      <c r="H313" s="1581"/>
      <c r="I313" s="1609">
        <v>6</v>
      </c>
      <c r="J313" s="1609">
        <v>205</v>
      </c>
      <c r="K313" s="1581"/>
      <c r="L313" s="1620">
        <v>80</v>
      </c>
      <c r="M313" s="1620"/>
      <c r="N313" s="1581"/>
      <c r="O313" s="1581"/>
      <c r="P313" s="1581">
        <f t="shared" si="41"/>
        <v>80</v>
      </c>
      <c r="Q313" s="1581">
        <f>1500*1.07</f>
        <v>1605</v>
      </c>
      <c r="R313" s="1611">
        <f t="shared" si="42"/>
        <v>128400</v>
      </c>
      <c r="S313" s="1611">
        <f t="shared" si="43"/>
        <v>3651.1848341232226</v>
      </c>
      <c r="T313" s="1611">
        <f t="shared" si="44"/>
        <v>124748.81516587677</v>
      </c>
      <c r="U313" s="1580"/>
      <c r="V313" s="1580"/>
      <c r="W313" s="1580"/>
      <c r="X313" s="1580"/>
      <c r="Y313" s="1580"/>
      <c r="Z313" s="1580"/>
      <c r="AA313" s="1580"/>
      <c r="AB313" s="1580"/>
      <c r="AC313" s="1580"/>
      <c r="AD313" s="1580"/>
      <c r="AE313" s="1580"/>
      <c r="AF313" s="1580"/>
      <c r="AG313" s="1580"/>
      <c r="AH313" s="1580"/>
      <c r="AI313" s="1580"/>
      <c r="AJ313" s="1580"/>
      <c r="AK313" s="1580"/>
      <c r="AL313" s="1580"/>
      <c r="AM313" s="1580"/>
    </row>
    <row r="314" spans="1:39" ht="25.5">
      <c r="A314" s="1609">
        <v>246</v>
      </c>
      <c r="B314" s="1622" t="s">
        <v>1732</v>
      </c>
      <c r="C314" s="1579" t="s">
        <v>1735</v>
      </c>
      <c r="D314" s="1622" t="s">
        <v>1022</v>
      </c>
      <c r="E314" s="1662">
        <v>15941</v>
      </c>
      <c r="F314" s="1581"/>
      <c r="G314" s="1581"/>
      <c r="H314" s="1581"/>
      <c r="I314" s="1609">
        <v>6</v>
      </c>
      <c r="J314" s="1609">
        <v>205</v>
      </c>
      <c r="K314" s="1581"/>
      <c r="L314" s="1610">
        <v>20</v>
      </c>
      <c r="M314" s="1610">
        <v>61</v>
      </c>
      <c r="N314" s="1581"/>
      <c r="O314" s="1581"/>
      <c r="P314" s="1581">
        <f t="shared" ref="P314:P322" si="45">L314-O314</f>
        <v>20</v>
      </c>
      <c r="Q314" s="1581">
        <f>1700*1.07</f>
        <v>1819</v>
      </c>
      <c r="R314" s="1611">
        <f t="shared" ref="R314:R322" si="46">P314*Q314</f>
        <v>36380</v>
      </c>
      <c r="S314" s="1611">
        <f t="shared" ref="S314:S322" si="47">R314*(I314/(I314+J314+K314))</f>
        <v>1034.5023696682465</v>
      </c>
      <c r="T314" s="1611">
        <f t="shared" ref="T314:T322" si="48">R314-S314</f>
        <v>35345.497630331753</v>
      </c>
      <c r="U314" s="1580" t="s">
        <v>2206</v>
      </c>
      <c r="V314" s="1580">
        <f>(26+35)*2</f>
        <v>122</v>
      </c>
      <c r="W314" s="1580"/>
      <c r="X314" s="1580"/>
      <c r="Y314" s="1580"/>
      <c r="Z314" s="1580"/>
      <c r="AA314" s="1580"/>
      <c r="AB314" s="1580"/>
      <c r="AC314" s="1580"/>
      <c r="AD314" s="1580"/>
      <c r="AE314" s="1580"/>
      <c r="AF314" s="1580"/>
      <c r="AG314" s="1580"/>
      <c r="AH314" s="1580"/>
      <c r="AI314" s="1580"/>
      <c r="AJ314" s="1580"/>
      <c r="AK314" s="1580"/>
      <c r="AL314" s="1580"/>
      <c r="AM314" s="1580"/>
    </row>
    <row r="315" spans="1:39">
      <c r="A315" s="1609">
        <v>138</v>
      </c>
      <c r="B315" s="1618" t="s">
        <v>1736</v>
      </c>
      <c r="C315" s="1579" t="s">
        <v>1737</v>
      </c>
      <c r="D315" s="1618" t="s">
        <v>1022</v>
      </c>
      <c r="E315" s="1662">
        <v>15941</v>
      </c>
      <c r="F315" s="1581"/>
      <c r="G315" s="1581"/>
      <c r="H315" s="1581"/>
      <c r="I315" s="1609">
        <v>6</v>
      </c>
      <c r="J315" s="1609">
        <v>205</v>
      </c>
      <c r="K315" s="1581"/>
      <c r="L315" s="1618">
        <v>40</v>
      </c>
      <c r="M315" s="1618"/>
      <c r="N315" s="1581"/>
      <c r="O315" s="1581"/>
      <c r="P315" s="1581">
        <f t="shared" si="45"/>
        <v>40</v>
      </c>
      <c r="Q315" s="1581">
        <f>1500*1.07</f>
        <v>1605</v>
      </c>
      <c r="R315" s="1611">
        <f t="shared" si="46"/>
        <v>64200</v>
      </c>
      <c r="S315" s="1611">
        <f t="shared" si="47"/>
        <v>1825.5924170616113</v>
      </c>
      <c r="T315" s="1611">
        <f t="shared" si="48"/>
        <v>62374.407582938387</v>
      </c>
      <c r="U315" s="1580"/>
      <c r="V315" s="1580"/>
      <c r="W315" s="1580"/>
      <c r="X315" s="1580"/>
      <c r="Y315" s="1580"/>
      <c r="Z315" s="1580"/>
      <c r="AA315" s="1580"/>
      <c r="AB315" s="1580"/>
      <c r="AC315" s="1580"/>
      <c r="AD315" s="1580"/>
      <c r="AE315" s="1580"/>
      <c r="AF315" s="1580"/>
      <c r="AG315" s="1580"/>
      <c r="AH315" s="1580"/>
      <c r="AI315" s="1580"/>
      <c r="AJ315" s="1580"/>
      <c r="AK315" s="1580"/>
      <c r="AL315" s="1580"/>
      <c r="AM315" s="1580"/>
    </row>
    <row r="316" spans="1:39">
      <c r="A316" s="1609">
        <v>139</v>
      </c>
      <c r="B316" s="1618" t="s">
        <v>1738</v>
      </c>
      <c r="C316" s="1579" t="s">
        <v>1739</v>
      </c>
      <c r="D316" s="1618" t="s">
        <v>1022</v>
      </c>
      <c r="E316" s="1662">
        <v>15941</v>
      </c>
      <c r="F316" s="1581"/>
      <c r="G316" s="1581"/>
      <c r="H316" s="1581"/>
      <c r="I316" s="1609">
        <v>6</v>
      </c>
      <c r="J316" s="1609">
        <v>205</v>
      </c>
      <c r="K316" s="1581"/>
      <c r="L316" s="1618">
        <v>80</v>
      </c>
      <c r="M316" s="1618"/>
      <c r="N316" s="1581"/>
      <c r="O316" s="1581"/>
      <c r="P316" s="1581">
        <f t="shared" si="45"/>
        <v>80</v>
      </c>
      <c r="Q316" s="1581">
        <f>1200*1.07</f>
        <v>1284</v>
      </c>
      <c r="R316" s="1611">
        <f t="shared" si="46"/>
        <v>102720</v>
      </c>
      <c r="S316" s="1611">
        <f t="shared" si="47"/>
        <v>2920.9478672985779</v>
      </c>
      <c r="T316" s="1611">
        <f t="shared" si="48"/>
        <v>99799.052132701428</v>
      </c>
      <c r="U316" s="1580"/>
      <c r="V316" s="1580"/>
      <c r="W316" s="1580"/>
      <c r="X316" s="1580"/>
      <c r="Y316" s="1580"/>
      <c r="Z316" s="1580"/>
      <c r="AA316" s="1580"/>
      <c r="AB316" s="1580"/>
      <c r="AC316" s="1580"/>
      <c r="AD316" s="1580"/>
      <c r="AE316" s="1580"/>
      <c r="AF316" s="1580"/>
      <c r="AG316" s="1580"/>
      <c r="AH316" s="1580"/>
      <c r="AI316" s="1580"/>
      <c r="AJ316" s="1580"/>
      <c r="AK316" s="1580"/>
      <c r="AL316" s="1580"/>
      <c r="AM316" s="1580"/>
    </row>
    <row r="317" spans="1:39">
      <c r="A317" s="1609">
        <v>237</v>
      </c>
      <c r="B317" s="1622" t="s">
        <v>1740</v>
      </c>
      <c r="C317" s="1579" t="s">
        <v>1741</v>
      </c>
      <c r="D317" s="1622" t="s">
        <v>1587</v>
      </c>
      <c r="E317" s="1662">
        <v>15941</v>
      </c>
      <c r="F317" s="1581"/>
      <c r="G317" s="1581"/>
      <c r="H317" s="1581"/>
      <c r="I317" s="1609">
        <v>6</v>
      </c>
      <c r="J317" s="1609">
        <v>205</v>
      </c>
      <c r="K317" s="1581"/>
      <c r="L317" s="1610">
        <v>3</v>
      </c>
      <c r="M317" s="1610"/>
      <c r="N317" s="1581"/>
      <c r="O317" s="1581"/>
      <c r="P317" s="1581">
        <f t="shared" si="45"/>
        <v>3</v>
      </c>
      <c r="Q317" s="1581">
        <f>500*1.07</f>
        <v>535</v>
      </c>
      <c r="R317" s="1611">
        <f t="shared" si="46"/>
        <v>1605</v>
      </c>
      <c r="S317" s="1611">
        <f t="shared" si="47"/>
        <v>45.639810426540279</v>
      </c>
      <c r="T317" s="1611">
        <f t="shared" si="48"/>
        <v>1559.3601895734598</v>
      </c>
      <c r="U317" s="1580"/>
      <c r="V317" s="1580"/>
      <c r="W317" s="1580"/>
      <c r="X317" s="1580"/>
      <c r="Y317" s="1580"/>
      <c r="Z317" s="1580"/>
      <c r="AA317" s="1580"/>
      <c r="AB317" s="1580"/>
      <c r="AC317" s="1580"/>
      <c r="AD317" s="1580"/>
      <c r="AE317" s="1580"/>
      <c r="AF317" s="1580"/>
      <c r="AG317" s="1580"/>
      <c r="AH317" s="1580"/>
      <c r="AI317" s="1580"/>
      <c r="AJ317" s="1580"/>
      <c r="AK317" s="1580"/>
      <c r="AL317" s="1580"/>
      <c r="AM317" s="1580"/>
    </row>
    <row r="318" spans="1:39">
      <c r="A318" s="1609">
        <v>146</v>
      </c>
      <c r="B318" s="1618" t="s">
        <v>1742</v>
      </c>
      <c r="C318" s="1579" t="s">
        <v>1743</v>
      </c>
      <c r="D318" s="1618" t="s">
        <v>1022</v>
      </c>
      <c r="E318" s="1662">
        <v>15941</v>
      </c>
      <c r="F318" s="1581"/>
      <c r="G318" s="1581"/>
      <c r="H318" s="1581"/>
      <c r="I318" s="1609">
        <v>6</v>
      </c>
      <c r="J318" s="1609">
        <v>205</v>
      </c>
      <c r="K318" s="1581"/>
      <c r="L318" s="1618">
        <v>12</v>
      </c>
      <c r="M318" s="1618"/>
      <c r="N318" s="1581"/>
      <c r="O318" s="1581"/>
      <c r="P318" s="1581">
        <f t="shared" si="45"/>
        <v>12</v>
      </c>
      <c r="Q318" s="1581">
        <f>400*1.07</f>
        <v>428</v>
      </c>
      <c r="R318" s="1611">
        <f t="shared" si="46"/>
        <v>5136</v>
      </c>
      <c r="S318" s="1611">
        <f t="shared" si="47"/>
        <v>146.04739336492889</v>
      </c>
      <c r="T318" s="1611">
        <f t="shared" si="48"/>
        <v>4989.9526066350709</v>
      </c>
      <c r="U318" s="1580"/>
      <c r="V318" s="1580"/>
      <c r="W318" s="1580"/>
      <c r="X318" s="1580"/>
      <c r="Y318" s="1580"/>
      <c r="Z318" s="1580"/>
      <c r="AA318" s="1580"/>
      <c r="AB318" s="1580"/>
      <c r="AC318" s="1580"/>
      <c r="AD318" s="1580"/>
      <c r="AE318" s="1580"/>
      <c r="AF318" s="1580"/>
      <c r="AG318" s="1580"/>
      <c r="AH318" s="1580"/>
      <c r="AI318" s="1580"/>
      <c r="AJ318" s="1580"/>
      <c r="AK318" s="1580"/>
      <c r="AL318" s="1580"/>
      <c r="AM318" s="1580"/>
    </row>
    <row r="319" spans="1:39">
      <c r="A319" s="1609">
        <v>116</v>
      </c>
      <c r="B319" s="1619" t="s">
        <v>1744</v>
      </c>
      <c r="C319" s="1614" t="s">
        <v>2137</v>
      </c>
      <c r="D319" s="1619" t="s">
        <v>1119</v>
      </c>
      <c r="E319" s="1662">
        <v>15941</v>
      </c>
      <c r="F319" s="1609"/>
      <c r="G319" s="1609"/>
      <c r="H319" s="1609"/>
      <c r="I319" s="1609">
        <v>6</v>
      </c>
      <c r="J319" s="1609">
        <v>205</v>
      </c>
      <c r="K319" s="1609"/>
      <c r="L319" s="1619">
        <v>2000</v>
      </c>
      <c r="M319" s="1619"/>
      <c r="N319" s="1609"/>
      <c r="O319" s="1609"/>
      <c r="P319" s="1581">
        <f t="shared" si="45"/>
        <v>2000</v>
      </c>
      <c r="Q319" s="1609">
        <f>20*1.07</f>
        <v>21.400000000000002</v>
      </c>
      <c r="R319" s="1611">
        <f t="shared" si="46"/>
        <v>42800.000000000007</v>
      </c>
      <c r="S319" s="1611">
        <f t="shared" si="47"/>
        <v>1217.0616113744077</v>
      </c>
      <c r="T319" s="1611">
        <f t="shared" si="48"/>
        <v>41582.938388625596</v>
      </c>
      <c r="U319" s="1580"/>
      <c r="V319" s="1580"/>
      <c r="W319" s="1580"/>
      <c r="X319" s="1580"/>
      <c r="Y319" s="1580"/>
      <c r="Z319" s="1580"/>
      <c r="AA319" s="1580"/>
      <c r="AB319" s="1580"/>
      <c r="AC319" s="1580"/>
      <c r="AD319" s="1580"/>
      <c r="AE319" s="1580"/>
      <c r="AF319" s="1580"/>
      <c r="AG319" s="1580"/>
      <c r="AH319" s="1580"/>
      <c r="AI319" s="1580"/>
      <c r="AJ319" s="1580"/>
      <c r="AK319" s="1580"/>
      <c r="AL319" s="1580"/>
      <c r="AM319" s="1580"/>
    </row>
    <row r="320" spans="1:39">
      <c r="A320" s="1609">
        <v>117</v>
      </c>
      <c r="B320" s="1628" t="s">
        <v>1744</v>
      </c>
      <c r="C320" s="1621" t="s">
        <v>1746</v>
      </c>
      <c r="D320" s="1619" t="s">
        <v>1268</v>
      </c>
      <c r="E320" s="1662">
        <v>15941</v>
      </c>
      <c r="F320" s="1581"/>
      <c r="G320" s="1581"/>
      <c r="H320" s="1581"/>
      <c r="I320" s="1609">
        <v>6</v>
      </c>
      <c r="J320" s="1609">
        <v>205</v>
      </c>
      <c r="K320" s="1581"/>
      <c r="L320" s="1619">
        <v>2000</v>
      </c>
      <c r="M320" s="1619"/>
      <c r="N320" s="1581"/>
      <c r="O320" s="1581"/>
      <c r="P320" s="1581">
        <f t="shared" si="45"/>
        <v>2000</v>
      </c>
      <c r="Q320" s="1609">
        <f>20*1.07</f>
        <v>21.400000000000002</v>
      </c>
      <c r="R320" s="1611">
        <f t="shared" si="46"/>
        <v>42800.000000000007</v>
      </c>
      <c r="S320" s="1611">
        <f t="shared" si="47"/>
        <v>1217.0616113744077</v>
      </c>
      <c r="T320" s="1611">
        <f t="shared" si="48"/>
        <v>41582.938388625596</v>
      </c>
      <c r="U320" s="1580"/>
      <c r="V320" s="1580"/>
      <c r="W320" s="1580"/>
      <c r="X320" s="1580"/>
      <c r="Y320" s="1580"/>
      <c r="Z320" s="1580"/>
      <c r="AA320" s="1580"/>
      <c r="AB320" s="1580"/>
      <c r="AC320" s="1580"/>
      <c r="AD320" s="1580"/>
      <c r="AE320" s="1580"/>
      <c r="AF320" s="1580"/>
      <c r="AG320" s="1580"/>
      <c r="AH320" s="1580"/>
      <c r="AI320" s="1580"/>
      <c r="AJ320" s="1580"/>
      <c r="AK320" s="1580"/>
      <c r="AL320" s="1580"/>
      <c r="AM320" s="1580"/>
    </row>
    <row r="321" spans="1:39" ht="25.5">
      <c r="A321" s="1609">
        <v>199</v>
      </c>
      <c r="B321" s="1620" t="s">
        <v>1747</v>
      </c>
      <c r="C321" s="1621" t="s">
        <v>1748</v>
      </c>
      <c r="D321" s="1620" t="s">
        <v>1022</v>
      </c>
      <c r="E321" s="1662">
        <v>15941</v>
      </c>
      <c r="F321" s="1581"/>
      <c r="G321" s="1581"/>
      <c r="H321" s="1581"/>
      <c r="I321" s="1609">
        <v>6</v>
      </c>
      <c r="J321" s="1609">
        <v>205</v>
      </c>
      <c r="K321" s="1581"/>
      <c r="L321" s="1620">
        <v>60</v>
      </c>
      <c r="M321" s="1620">
        <v>61</v>
      </c>
      <c r="N321" s="1581"/>
      <c r="O321" s="1581"/>
      <c r="P321" s="1581">
        <f t="shared" si="45"/>
        <v>60</v>
      </c>
      <c r="Q321" s="1581">
        <f>327*1.07</f>
        <v>349.89000000000004</v>
      </c>
      <c r="R321" s="1611">
        <f t="shared" si="46"/>
        <v>20993.4</v>
      </c>
      <c r="S321" s="1611">
        <f t="shared" si="47"/>
        <v>596.96872037914693</v>
      </c>
      <c r="T321" s="1611">
        <f t="shared" si="48"/>
        <v>20396.431279620854</v>
      </c>
      <c r="U321" s="357" t="s">
        <v>2235</v>
      </c>
      <c r="V321" s="1580">
        <f>26+35</f>
        <v>61</v>
      </c>
      <c r="W321" s="1580"/>
      <c r="X321" s="1580"/>
      <c r="Y321" s="1580"/>
      <c r="Z321" s="1580"/>
      <c r="AA321" s="1580"/>
      <c r="AB321" s="1580"/>
      <c r="AC321" s="1580"/>
      <c r="AD321" s="1580"/>
      <c r="AE321" s="1580"/>
      <c r="AF321" s="1580"/>
      <c r="AG321" s="1580"/>
      <c r="AH321" s="1580"/>
      <c r="AI321" s="1580"/>
      <c r="AJ321" s="1580"/>
      <c r="AK321" s="1580"/>
      <c r="AL321" s="1580"/>
      <c r="AM321" s="1580"/>
    </row>
    <row r="322" spans="1:39" ht="25.5">
      <c r="A322" s="1609">
        <v>252</v>
      </c>
      <c r="B322" s="1629" t="s">
        <v>1747</v>
      </c>
      <c r="C322" s="1614" t="s">
        <v>1749</v>
      </c>
      <c r="D322" s="1622" t="s">
        <v>1022</v>
      </c>
      <c r="E322" s="1662">
        <v>15941</v>
      </c>
      <c r="F322" s="1581"/>
      <c r="G322" s="1581"/>
      <c r="H322" s="1581"/>
      <c r="I322" s="1609">
        <v>6</v>
      </c>
      <c r="J322" s="1609">
        <v>205</v>
      </c>
      <c r="K322" s="1581"/>
      <c r="L322" s="1610">
        <v>50</v>
      </c>
      <c r="M322" s="1610"/>
      <c r="N322" s="1581"/>
      <c r="O322" s="1581"/>
      <c r="P322" s="1581">
        <f t="shared" si="45"/>
        <v>50</v>
      </c>
      <c r="Q322" s="1581">
        <f>1250*1.07</f>
        <v>1337.5</v>
      </c>
      <c r="R322" s="1611">
        <f t="shared" si="46"/>
        <v>66875</v>
      </c>
      <c r="S322" s="1611">
        <f t="shared" si="47"/>
        <v>1901.6587677725117</v>
      </c>
      <c r="T322" s="1611">
        <f t="shared" si="48"/>
        <v>64973.341232227489</v>
      </c>
      <c r="U322" s="1580"/>
      <c r="V322" s="1580"/>
      <c r="W322" s="1580"/>
      <c r="X322" s="1580"/>
      <c r="Y322" s="1580"/>
      <c r="Z322" s="1580"/>
      <c r="AA322" s="1580"/>
      <c r="AB322" s="1580"/>
      <c r="AC322" s="1580"/>
      <c r="AD322" s="1580"/>
      <c r="AE322" s="1580"/>
      <c r="AF322" s="1580"/>
      <c r="AG322" s="1580"/>
      <c r="AH322" s="1580"/>
      <c r="AI322" s="1580"/>
      <c r="AJ322" s="1580"/>
      <c r="AK322" s="1580"/>
      <c r="AL322" s="1580"/>
      <c r="AM322" s="1580"/>
    </row>
    <row r="323" spans="1:39" hidden="1">
      <c r="A323" s="1581"/>
      <c r="B323" s="1630" t="s">
        <v>1750</v>
      </c>
      <c r="C323" s="1614" t="s">
        <v>1751</v>
      </c>
      <c r="D323" s="1609" t="s">
        <v>1022</v>
      </c>
      <c r="E323" s="1662">
        <v>15941</v>
      </c>
      <c r="F323" s="1609"/>
      <c r="G323" s="1609"/>
      <c r="H323" s="1609"/>
      <c r="I323" s="1609"/>
      <c r="J323" s="1609"/>
      <c r="K323" s="1609"/>
      <c r="L323" s="1581"/>
      <c r="M323" s="1581"/>
      <c r="N323" s="1609"/>
      <c r="O323" s="1609"/>
      <c r="P323" s="1581"/>
      <c r="Q323" s="1610"/>
      <c r="R323" s="1611"/>
      <c r="S323" s="1611"/>
      <c r="T323" s="1611"/>
      <c r="U323" s="1580"/>
      <c r="V323" s="1580"/>
      <c r="W323" s="1580"/>
      <c r="X323" s="1580"/>
      <c r="Y323" s="1580"/>
      <c r="Z323" s="1580"/>
      <c r="AA323" s="1580"/>
      <c r="AB323" s="1580"/>
      <c r="AC323" s="1580"/>
      <c r="AD323" s="1580"/>
      <c r="AE323" s="1580"/>
      <c r="AF323" s="1580"/>
      <c r="AG323" s="1580"/>
      <c r="AH323" s="1580"/>
      <c r="AI323" s="1580"/>
      <c r="AJ323" s="1580"/>
      <c r="AK323" s="1580"/>
      <c r="AL323" s="1580"/>
      <c r="AM323" s="1580"/>
    </row>
    <row r="324" spans="1:39">
      <c r="A324" s="1609">
        <v>229</v>
      </c>
      <c r="B324" s="1631" t="s">
        <v>1750</v>
      </c>
      <c r="C324" s="1621" t="s">
        <v>1752</v>
      </c>
      <c r="D324" s="1620" t="s">
        <v>1022</v>
      </c>
      <c r="E324" s="1662">
        <v>15941</v>
      </c>
      <c r="F324" s="1581"/>
      <c r="G324" s="1581"/>
      <c r="H324" s="1581"/>
      <c r="I324" s="1609">
        <v>6</v>
      </c>
      <c r="J324" s="1609">
        <v>205</v>
      </c>
      <c r="K324" s="1581"/>
      <c r="L324" s="1620">
        <v>3</v>
      </c>
      <c r="M324" s="1620"/>
      <c r="N324" s="1581"/>
      <c r="O324" s="1581"/>
      <c r="P324" s="1581">
        <f t="shared" ref="P324:P330" si="49">L324-O324</f>
        <v>3</v>
      </c>
      <c r="Q324" s="1581">
        <f>2500*1.07</f>
        <v>2675</v>
      </c>
      <c r="R324" s="1611">
        <f t="shared" ref="R324:R330" si="50">P324*Q324</f>
        <v>8025</v>
      </c>
      <c r="S324" s="1611">
        <f t="shared" ref="S324:S330" si="51">R324*(I324/(I324+J324+K324))</f>
        <v>228.19905213270141</v>
      </c>
      <c r="T324" s="1611">
        <f t="shared" ref="T324:T365" si="52">R324-S324</f>
        <v>7796.8009478672984</v>
      </c>
      <c r="U324" s="1580"/>
      <c r="V324" s="1580"/>
      <c r="W324" s="1580"/>
      <c r="X324" s="1580"/>
      <c r="Y324" s="1580"/>
      <c r="Z324" s="1580"/>
      <c r="AA324" s="1580"/>
      <c r="AB324" s="1580"/>
      <c r="AC324" s="1580"/>
      <c r="AD324" s="1580"/>
      <c r="AE324" s="1580"/>
      <c r="AF324" s="1580"/>
      <c r="AG324" s="1580"/>
      <c r="AH324" s="1580"/>
      <c r="AI324" s="1580"/>
      <c r="AJ324" s="1580"/>
      <c r="AK324" s="1580"/>
      <c r="AL324" s="1580"/>
      <c r="AM324" s="1580"/>
    </row>
    <row r="325" spans="1:39">
      <c r="A325" s="1609">
        <v>133</v>
      </c>
      <c r="B325" s="1632" t="s">
        <v>1753</v>
      </c>
      <c r="C325" s="357" t="s">
        <v>1754</v>
      </c>
      <c r="D325" s="1618" t="s">
        <v>1119</v>
      </c>
      <c r="E325" s="1662">
        <v>15941</v>
      </c>
      <c r="F325" s="1581"/>
      <c r="G325" s="1581"/>
      <c r="H325" s="1581"/>
      <c r="I325" s="1609">
        <v>6</v>
      </c>
      <c r="J325" s="1609">
        <v>205</v>
      </c>
      <c r="K325" s="1581"/>
      <c r="L325" s="1618">
        <v>12</v>
      </c>
      <c r="M325" s="1618"/>
      <c r="N325" s="1581"/>
      <c r="O325" s="1581"/>
      <c r="P325" s="1581">
        <f t="shared" si="49"/>
        <v>12</v>
      </c>
      <c r="Q325" s="1581">
        <f>1500*1.07</f>
        <v>1605</v>
      </c>
      <c r="R325" s="1611">
        <f t="shared" si="50"/>
        <v>19260</v>
      </c>
      <c r="S325" s="1611">
        <f t="shared" si="51"/>
        <v>547.67772511848341</v>
      </c>
      <c r="T325" s="1611">
        <f t="shared" si="52"/>
        <v>18712.322274881517</v>
      </c>
      <c r="U325" s="1580"/>
      <c r="V325" s="1580"/>
      <c r="W325" s="1580"/>
      <c r="X325" s="1580"/>
      <c r="Y325" s="1580"/>
      <c r="Z325" s="1580"/>
      <c r="AA325" s="1580"/>
      <c r="AB325" s="1580"/>
      <c r="AC325" s="1580"/>
      <c r="AD325" s="1580"/>
      <c r="AE325" s="1580"/>
      <c r="AF325" s="1580"/>
      <c r="AG325" s="1580"/>
      <c r="AH325" s="1580"/>
      <c r="AI325" s="1580"/>
      <c r="AJ325" s="1580"/>
      <c r="AK325" s="1580"/>
      <c r="AL325" s="1580"/>
      <c r="AM325" s="1580"/>
    </row>
    <row r="326" spans="1:39">
      <c r="A326" s="1609">
        <v>87</v>
      </c>
      <c r="B326" s="1619" t="s">
        <v>1755</v>
      </c>
      <c r="C326" s="1614" t="s">
        <v>1369</v>
      </c>
      <c r="D326" s="1619" t="s">
        <v>1268</v>
      </c>
      <c r="E326" s="1662">
        <v>15941</v>
      </c>
      <c r="F326" s="1609"/>
      <c r="G326" s="1609"/>
      <c r="H326" s="1609"/>
      <c r="I326" s="1609">
        <v>6</v>
      </c>
      <c r="J326" s="1609">
        <v>205</v>
      </c>
      <c r="K326" s="1609"/>
      <c r="L326" s="1619">
        <v>60</v>
      </c>
      <c r="M326" s="1619"/>
      <c r="N326" s="1609"/>
      <c r="O326" s="1609"/>
      <c r="P326" s="1581">
        <f t="shared" si="49"/>
        <v>60</v>
      </c>
      <c r="Q326" s="1610">
        <f>3900*1.07</f>
        <v>4173</v>
      </c>
      <c r="R326" s="1611">
        <f t="shared" si="50"/>
        <v>250380</v>
      </c>
      <c r="S326" s="1611">
        <f t="shared" si="51"/>
        <v>7119.8104265402844</v>
      </c>
      <c r="T326" s="1611">
        <f t="shared" si="52"/>
        <v>243260.18957345971</v>
      </c>
      <c r="U326" s="1580"/>
      <c r="V326" s="1580"/>
      <c r="W326" s="1580"/>
      <c r="X326" s="1580"/>
      <c r="Y326" s="1580"/>
      <c r="Z326" s="1580"/>
      <c r="AA326" s="1580"/>
      <c r="AB326" s="1580"/>
      <c r="AC326" s="1580"/>
      <c r="AD326" s="1580"/>
      <c r="AE326" s="1580"/>
      <c r="AF326" s="1580"/>
      <c r="AG326" s="1580"/>
      <c r="AH326" s="1580"/>
      <c r="AI326" s="1580"/>
      <c r="AJ326" s="1580"/>
      <c r="AK326" s="1580"/>
      <c r="AL326" s="1580"/>
      <c r="AM326" s="1580"/>
    </row>
    <row r="327" spans="1:39">
      <c r="A327" s="1609">
        <v>88</v>
      </c>
      <c r="B327" s="1628" t="s">
        <v>1756</v>
      </c>
      <c r="C327" s="1614" t="s">
        <v>1370</v>
      </c>
      <c r="D327" s="1619" t="s">
        <v>1268</v>
      </c>
      <c r="E327" s="1662">
        <v>15941</v>
      </c>
      <c r="F327" s="1609"/>
      <c r="G327" s="1609"/>
      <c r="H327" s="1609"/>
      <c r="I327" s="1609">
        <v>6</v>
      </c>
      <c r="J327" s="1609">
        <v>205</v>
      </c>
      <c r="K327" s="1609"/>
      <c r="L327" s="1619">
        <v>60</v>
      </c>
      <c r="M327" s="1619"/>
      <c r="N327" s="1609"/>
      <c r="O327" s="1609"/>
      <c r="P327" s="1581">
        <f t="shared" si="49"/>
        <v>60</v>
      </c>
      <c r="Q327" s="1610">
        <f>3900*1.07</f>
        <v>4173</v>
      </c>
      <c r="R327" s="1611">
        <f t="shared" si="50"/>
        <v>250380</v>
      </c>
      <c r="S327" s="1611">
        <f t="shared" si="51"/>
        <v>7119.8104265402844</v>
      </c>
      <c r="T327" s="1611">
        <f t="shared" si="52"/>
        <v>243260.18957345971</v>
      </c>
      <c r="U327" s="1580"/>
      <c r="V327" s="1580"/>
      <c r="W327" s="1580"/>
      <c r="X327" s="1580"/>
      <c r="Y327" s="1580"/>
      <c r="Z327" s="1580"/>
      <c r="AA327" s="1580"/>
      <c r="AB327" s="1580"/>
      <c r="AC327" s="1580"/>
      <c r="AD327" s="1580"/>
      <c r="AE327" s="1580"/>
      <c r="AF327" s="1580"/>
      <c r="AG327" s="1580"/>
      <c r="AH327" s="1580"/>
      <c r="AI327" s="1580"/>
      <c r="AJ327" s="1580"/>
      <c r="AK327" s="1580"/>
      <c r="AL327" s="1580"/>
      <c r="AM327" s="1580"/>
    </row>
    <row r="328" spans="1:39" ht="25.5">
      <c r="A328" s="1609">
        <v>185</v>
      </c>
      <c r="B328" s="1620" t="s">
        <v>1757</v>
      </c>
      <c r="C328" s="1579" t="s">
        <v>1758</v>
      </c>
      <c r="D328" s="1620" t="s">
        <v>1022</v>
      </c>
      <c r="E328" s="1662">
        <v>15941</v>
      </c>
      <c r="F328" s="1581"/>
      <c r="G328" s="1581"/>
      <c r="H328" s="1581"/>
      <c r="I328" s="1609">
        <v>6</v>
      </c>
      <c r="J328" s="1609">
        <v>205</v>
      </c>
      <c r="K328" s="1581"/>
      <c r="L328" s="1620">
        <v>50</v>
      </c>
      <c r="M328" s="1620"/>
      <c r="N328" s="1581"/>
      <c r="O328" s="1581"/>
      <c r="P328" s="1581">
        <f t="shared" si="49"/>
        <v>50</v>
      </c>
      <c r="Q328" s="1581">
        <f>500*1.07</f>
        <v>535</v>
      </c>
      <c r="R328" s="1611">
        <f t="shared" si="50"/>
        <v>26750</v>
      </c>
      <c r="S328" s="1611">
        <f t="shared" si="51"/>
        <v>760.66350710900474</v>
      </c>
      <c r="T328" s="1611">
        <f t="shared" si="52"/>
        <v>25989.336492890994</v>
      </c>
      <c r="U328" s="1580"/>
      <c r="V328" s="1580"/>
      <c r="W328" s="1580"/>
      <c r="X328" s="1580"/>
      <c r="Y328" s="1580"/>
      <c r="Z328" s="1580"/>
      <c r="AA328" s="1580"/>
      <c r="AB328" s="1580"/>
      <c r="AC328" s="1580"/>
      <c r="AD328" s="1580"/>
      <c r="AE328" s="1580"/>
      <c r="AF328" s="1580"/>
      <c r="AG328" s="1580"/>
      <c r="AH328" s="1580"/>
      <c r="AI328" s="1580"/>
      <c r="AJ328" s="1580"/>
      <c r="AK328" s="1580"/>
      <c r="AL328" s="1580"/>
      <c r="AM328" s="1580"/>
    </row>
    <row r="329" spans="1:39" ht="33" customHeight="1">
      <c r="A329" s="1609">
        <v>183</v>
      </c>
      <c r="B329" s="1620" t="s">
        <v>1757</v>
      </c>
      <c r="C329" s="1579" t="s">
        <v>1759</v>
      </c>
      <c r="D329" s="1620" t="s">
        <v>1022</v>
      </c>
      <c r="E329" s="1662">
        <v>15941</v>
      </c>
      <c r="F329" s="1581"/>
      <c r="G329" s="1581"/>
      <c r="H329" s="1581"/>
      <c r="I329" s="1609">
        <v>6</v>
      </c>
      <c r="J329" s="1609">
        <v>205</v>
      </c>
      <c r="K329" s="1581"/>
      <c r="L329" s="1620">
        <v>50</v>
      </c>
      <c r="M329" s="1620"/>
      <c r="N329" s="1581"/>
      <c r="O329" s="1581"/>
      <c r="P329" s="1581">
        <f t="shared" si="49"/>
        <v>50</v>
      </c>
      <c r="Q329" s="1581">
        <f>2500*1.07</f>
        <v>2675</v>
      </c>
      <c r="R329" s="1611">
        <f t="shared" si="50"/>
        <v>133750</v>
      </c>
      <c r="S329" s="1611">
        <f t="shared" si="51"/>
        <v>3803.3175355450235</v>
      </c>
      <c r="T329" s="1611">
        <f t="shared" si="52"/>
        <v>129946.68246445498</v>
      </c>
      <c r="U329" s="1580"/>
      <c r="V329" s="1580"/>
      <c r="W329" s="1580"/>
      <c r="X329" s="1580"/>
      <c r="Y329" s="1580"/>
      <c r="Z329" s="1580"/>
      <c r="AA329" s="1580"/>
      <c r="AB329" s="1580"/>
      <c r="AC329" s="1580"/>
      <c r="AD329" s="1580"/>
      <c r="AE329" s="1580"/>
      <c r="AF329" s="1580"/>
      <c r="AG329" s="1580"/>
      <c r="AH329" s="1580"/>
      <c r="AI329" s="1580"/>
      <c r="AJ329" s="1580"/>
      <c r="AK329" s="1580"/>
      <c r="AL329" s="1580"/>
      <c r="AM329" s="1580"/>
    </row>
    <row r="330" spans="1:39" ht="25.5">
      <c r="A330" s="1609">
        <v>184</v>
      </c>
      <c r="B330" s="1620" t="s">
        <v>1757</v>
      </c>
      <c r="C330" s="1579" t="s">
        <v>1760</v>
      </c>
      <c r="D330" s="1620" t="s">
        <v>1022</v>
      </c>
      <c r="E330" s="1662">
        <v>15941</v>
      </c>
      <c r="F330" s="1581"/>
      <c r="G330" s="1581"/>
      <c r="H330" s="1581"/>
      <c r="I330" s="1609">
        <v>6</v>
      </c>
      <c r="J330" s="1609">
        <v>205</v>
      </c>
      <c r="K330" s="1581"/>
      <c r="L330" s="1620">
        <v>50</v>
      </c>
      <c r="M330" s="1620"/>
      <c r="N330" s="1581"/>
      <c r="O330" s="1581"/>
      <c r="P330" s="1581">
        <f t="shared" si="49"/>
        <v>50</v>
      </c>
      <c r="Q330" s="1581">
        <f>1000*1.07</f>
        <v>1070</v>
      </c>
      <c r="R330" s="1611">
        <f t="shared" si="50"/>
        <v>53500</v>
      </c>
      <c r="S330" s="1611">
        <f t="shared" si="51"/>
        <v>1521.3270142180095</v>
      </c>
      <c r="T330" s="1611">
        <f t="shared" si="52"/>
        <v>51978.672985781988</v>
      </c>
      <c r="U330" s="1580"/>
      <c r="V330" s="1580"/>
      <c r="W330" s="1580"/>
      <c r="X330" s="1580"/>
      <c r="Y330" s="1580"/>
      <c r="Z330" s="1580"/>
      <c r="AA330" s="1580"/>
      <c r="AB330" s="1580"/>
      <c r="AC330" s="1580"/>
      <c r="AD330" s="1580"/>
      <c r="AE330" s="1580"/>
      <c r="AF330" s="1580"/>
      <c r="AG330" s="1580"/>
      <c r="AH330" s="1580"/>
      <c r="AI330" s="1580"/>
      <c r="AJ330" s="1580"/>
      <c r="AK330" s="1580"/>
      <c r="AL330" s="1580"/>
      <c r="AM330" s="1580"/>
    </row>
    <row r="331" spans="1:39">
      <c r="A331" s="1581">
        <v>323</v>
      </c>
      <c r="B331" s="1056" t="s">
        <v>1761</v>
      </c>
      <c r="C331" s="1579" t="s">
        <v>1764</v>
      </c>
      <c r="D331" s="1625" t="s">
        <v>1022</v>
      </c>
      <c r="E331" s="1662">
        <v>15941</v>
      </c>
      <c r="F331" s="1581"/>
      <c r="G331" s="1581"/>
      <c r="H331" s="1581"/>
      <c r="I331" s="1609">
        <v>6</v>
      </c>
      <c r="J331" s="1609">
        <v>205</v>
      </c>
      <c r="K331" s="1581"/>
      <c r="L331" s="1625">
        <f>10+10</f>
        <v>20</v>
      </c>
      <c r="M331" s="1625"/>
      <c r="N331" s="1581"/>
      <c r="O331" s="1581"/>
      <c r="P331" s="1581">
        <f>L331-O331</f>
        <v>20</v>
      </c>
      <c r="Q331" s="1056">
        <f>3500*1.07</f>
        <v>3745</v>
      </c>
      <c r="R331" s="1611">
        <f>P331*Q331</f>
        <v>74900</v>
      </c>
      <c r="S331" s="1611">
        <f>R331*(I331/(I331+J331+K331))</f>
        <v>2129.8578199052131</v>
      </c>
      <c r="T331" s="1611">
        <f>R331-S331</f>
        <v>72770.142180094786</v>
      </c>
      <c r="U331" s="1580"/>
      <c r="V331" s="1580"/>
      <c r="W331" s="1580"/>
      <c r="X331" s="1580"/>
      <c r="Y331" s="1580"/>
      <c r="Z331" s="1580"/>
      <c r="AA331" s="1580"/>
      <c r="AB331" s="1580"/>
      <c r="AC331" s="1580"/>
      <c r="AD331" s="1580"/>
      <c r="AE331" s="1580"/>
      <c r="AF331" s="1580"/>
      <c r="AG331" s="1580"/>
      <c r="AH331" s="1580"/>
      <c r="AI331" s="1580"/>
      <c r="AJ331" s="1580"/>
      <c r="AK331" s="1580"/>
      <c r="AL331" s="1580"/>
      <c r="AM331" s="1580"/>
    </row>
    <row r="332" spans="1:39">
      <c r="A332" s="1581">
        <v>322</v>
      </c>
      <c r="B332" s="1056" t="s">
        <v>1761</v>
      </c>
      <c r="C332" s="1579" t="s">
        <v>1765</v>
      </c>
      <c r="D332" s="1625" t="s">
        <v>1022</v>
      </c>
      <c r="E332" s="1662">
        <v>15941</v>
      </c>
      <c r="F332" s="1581"/>
      <c r="G332" s="1581"/>
      <c r="H332" s="1581"/>
      <c r="I332" s="1609">
        <v>6</v>
      </c>
      <c r="J332" s="1609">
        <v>205</v>
      </c>
      <c r="K332" s="1581"/>
      <c r="L332" s="1625">
        <v>20</v>
      </c>
      <c r="M332" s="1625"/>
      <c r="N332" s="1581"/>
      <c r="O332" s="1581"/>
      <c r="P332" s="1581">
        <f>L332-O332</f>
        <v>20</v>
      </c>
      <c r="Q332" s="1056">
        <f>7500*1.07</f>
        <v>8025.0000000000009</v>
      </c>
      <c r="R332" s="1611">
        <f>P332*Q332</f>
        <v>160500.00000000003</v>
      </c>
      <c r="S332" s="1611">
        <f>R332*(I332/(I332+J332+K332))</f>
        <v>4563.9810426540289</v>
      </c>
      <c r="T332" s="1611">
        <f>R332-S332</f>
        <v>155936.01895734601</v>
      </c>
      <c r="U332" s="1580"/>
      <c r="V332" s="1580"/>
      <c r="W332" s="1580"/>
      <c r="X332" s="1580"/>
      <c r="Y332" s="1580"/>
      <c r="Z332" s="1580"/>
      <c r="AA332" s="1580"/>
      <c r="AB332" s="1580"/>
      <c r="AC332" s="1580"/>
      <c r="AD332" s="1580"/>
      <c r="AE332" s="1580"/>
      <c r="AF332" s="1580"/>
      <c r="AG332" s="1580"/>
      <c r="AH332" s="1580"/>
      <c r="AI332" s="1580"/>
      <c r="AJ332" s="1580"/>
      <c r="AK332" s="1580"/>
      <c r="AL332" s="1580"/>
      <c r="AM332" s="1580"/>
    </row>
    <row r="333" spans="1:39">
      <c r="A333" s="1581"/>
      <c r="B333" s="1056"/>
      <c r="C333" s="1579"/>
      <c r="D333" s="1625"/>
      <c r="E333" s="1662"/>
      <c r="F333" s="1581"/>
      <c r="G333" s="1581"/>
      <c r="H333" s="1581"/>
      <c r="I333" s="1609"/>
      <c r="J333" s="1609"/>
      <c r="K333" s="1581"/>
      <c r="L333" s="1625"/>
      <c r="M333" s="1625"/>
      <c r="N333" s="1581"/>
      <c r="O333" s="1581"/>
      <c r="P333" s="1581"/>
      <c r="Q333" s="1056"/>
      <c r="R333" s="1616">
        <f>SUM(R334:R365)</f>
        <v>12456833</v>
      </c>
      <c r="S333" s="1616">
        <f>SUM(S334:S365)</f>
        <v>354222.7393364929</v>
      </c>
      <c r="T333" s="1616">
        <f>SUM(T334:T365)</f>
        <v>12102610.260663509</v>
      </c>
      <c r="U333" s="1580"/>
      <c r="V333" s="1580"/>
      <c r="W333" s="1580"/>
      <c r="X333" s="1580"/>
      <c r="Y333" s="1580"/>
      <c r="Z333" s="1580"/>
      <c r="AA333" s="1580"/>
      <c r="AB333" s="1580"/>
      <c r="AC333" s="1580"/>
      <c r="AD333" s="1580"/>
      <c r="AE333" s="1580"/>
      <c r="AF333" s="1580"/>
      <c r="AG333" s="1580"/>
      <c r="AH333" s="1580"/>
      <c r="AI333" s="1580"/>
      <c r="AJ333" s="1580"/>
      <c r="AK333" s="1580"/>
      <c r="AL333" s="1580"/>
      <c r="AM333" s="1580"/>
    </row>
    <row r="334" spans="1:39">
      <c r="A334" s="1581">
        <v>325</v>
      </c>
      <c r="B334" s="1062" t="s">
        <v>1767</v>
      </c>
      <c r="C334" s="1579" t="s">
        <v>1768</v>
      </c>
      <c r="D334" s="1625" t="s">
        <v>1022</v>
      </c>
      <c r="E334" s="1662">
        <v>15941</v>
      </c>
      <c r="F334" s="1581"/>
      <c r="G334" s="1581"/>
      <c r="H334" s="1581"/>
      <c r="I334" s="1609">
        <v>6</v>
      </c>
      <c r="J334" s="1609">
        <v>205</v>
      </c>
      <c r="K334" s="1581"/>
      <c r="L334" s="1625">
        <f>10+10</f>
        <v>20</v>
      </c>
      <c r="M334" s="1625"/>
      <c r="N334" s="1581"/>
      <c r="O334" s="1581"/>
      <c r="P334" s="1581">
        <f>L334-O334</f>
        <v>20</v>
      </c>
      <c r="Q334" s="1581">
        <f>4900*1.07</f>
        <v>5243</v>
      </c>
      <c r="R334" s="1611">
        <f>P334*Q334</f>
        <v>104860</v>
      </c>
      <c r="S334" s="1611">
        <f>R334*(I334/(I334+J334+K334))</f>
        <v>2981.8009478672984</v>
      </c>
      <c r="T334" s="1611">
        <f>R334-S334</f>
        <v>101878.1990521327</v>
      </c>
      <c r="U334" s="1580"/>
      <c r="V334" s="1580"/>
      <c r="W334" s="1580"/>
      <c r="X334" s="1580"/>
      <c r="Y334" s="1580"/>
      <c r="Z334" s="1580"/>
      <c r="AA334" s="1580"/>
      <c r="AB334" s="1580"/>
      <c r="AC334" s="1580"/>
      <c r="AD334" s="1580"/>
      <c r="AE334" s="1580"/>
      <c r="AF334" s="1580"/>
      <c r="AG334" s="1580"/>
      <c r="AH334" s="1580"/>
      <c r="AI334" s="1580"/>
      <c r="AJ334" s="1580"/>
      <c r="AK334" s="1580"/>
      <c r="AL334" s="1580"/>
      <c r="AM334" s="1580"/>
    </row>
    <row r="335" spans="1:39" hidden="1">
      <c r="A335" s="1581">
        <v>326</v>
      </c>
      <c r="B335" s="1062" t="s">
        <v>1769</v>
      </c>
      <c r="C335" s="1579" t="s">
        <v>1770</v>
      </c>
      <c r="D335" s="1625" t="s">
        <v>1022</v>
      </c>
      <c r="E335" s="1662">
        <v>15941</v>
      </c>
      <c r="F335" s="1581"/>
      <c r="G335" s="1581"/>
      <c r="H335" s="1581"/>
      <c r="I335" s="1609">
        <v>6</v>
      </c>
      <c r="J335" s="1609">
        <v>205</v>
      </c>
      <c r="K335" s="1581"/>
      <c r="L335" s="1625"/>
      <c r="M335" s="1625"/>
      <c r="N335" s="1581"/>
      <c r="O335" s="1581"/>
      <c r="P335" s="1581">
        <f t="shared" ref="P335:P349" si="53">L335-O335</f>
        <v>0</v>
      </c>
      <c r="Q335" s="1581"/>
      <c r="R335" s="1611">
        <f t="shared" ref="R335:R365" si="54">P335*Q335</f>
        <v>0</v>
      </c>
      <c r="S335" s="1611">
        <f t="shared" ref="S335:S365" si="55">R335*(I335/(I335+J335+K335))</f>
        <v>0</v>
      </c>
      <c r="T335" s="1611">
        <f t="shared" si="52"/>
        <v>0</v>
      </c>
      <c r="U335" s="1580"/>
      <c r="V335" s="1580"/>
      <c r="W335" s="1580"/>
      <c r="X335" s="1580"/>
      <c r="Y335" s="1580"/>
      <c r="Z335" s="1580"/>
      <c r="AA335" s="1580"/>
      <c r="AB335" s="1580"/>
      <c r="AC335" s="1580"/>
      <c r="AD335" s="1580"/>
      <c r="AE335" s="1580"/>
      <c r="AF335" s="1580"/>
      <c r="AG335" s="1580"/>
      <c r="AH335" s="1580"/>
      <c r="AI335" s="1580"/>
      <c r="AJ335" s="1580"/>
      <c r="AK335" s="1580"/>
      <c r="AL335" s="1580"/>
      <c r="AM335" s="1580"/>
    </row>
    <row r="336" spans="1:39" hidden="1">
      <c r="A336" s="1581">
        <v>333</v>
      </c>
      <c r="B336" s="1062" t="s">
        <v>1771</v>
      </c>
      <c r="C336" s="1579" t="s">
        <v>1772</v>
      </c>
      <c r="D336" s="1625" t="s">
        <v>1022</v>
      </c>
      <c r="E336" s="1662">
        <v>15941</v>
      </c>
      <c r="F336" s="1581"/>
      <c r="G336" s="1581"/>
      <c r="H336" s="1581"/>
      <c r="I336" s="1609">
        <v>6</v>
      </c>
      <c r="J336" s="1609">
        <v>205</v>
      </c>
      <c r="K336" s="1581"/>
      <c r="L336" s="1579"/>
      <c r="M336" s="1579"/>
      <c r="N336" s="1581"/>
      <c r="O336" s="1581"/>
      <c r="P336" s="1581">
        <f t="shared" si="53"/>
        <v>0</v>
      </c>
      <c r="Q336" s="1581"/>
      <c r="R336" s="1611">
        <f t="shared" si="54"/>
        <v>0</v>
      </c>
      <c r="S336" s="1611">
        <f t="shared" si="55"/>
        <v>0</v>
      </c>
      <c r="T336" s="1611">
        <f t="shared" si="52"/>
        <v>0</v>
      </c>
      <c r="U336" s="1580"/>
      <c r="V336" s="1580"/>
      <c r="W336" s="1580"/>
      <c r="X336" s="1580"/>
      <c r="Y336" s="1580"/>
      <c r="Z336" s="1580"/>
      <c r="AA336" s="1580"/>
      <c r="AB336" s="1580"/>
      <c r="AC336" s="1580"/>
      <c r="AD336" s="1580"/>
      <c r="AE336" s="1580"/>
      <c r="AF336" s="1580"/>
      <c r="AG336" s="1580"/>
      <c r="AH336" s="1580"/>
      <c r="AI336" s="1580"/>
      <c r="AJ336" s="1580"/>
      <c r="AK336" s="1580"/>
      <c r="AL336" s="1580"/>
      <c r="AM336" s="1580"/>
    </row>
    <row r="337" spans="1:39">
      <c r="A337" s="1581">
        <v>319</v>
      </c>
      <c r="B337" s="1056" t="s">
        <v>1773</v>
      </c>
      <c r="C337" s="1649"/>
      <c r="D337" s="1625" t="s">
        <v>1022</v>
      </c>
      <c r="E337" s="1662">
        <v>15941</v>
      </c>
      <c r="F337" s="1581"/>
      <c r="G337" s="1581"/>
      <c r="H337" s="1581"/>
      <c r="I337" s="1609">
        <v>6</v>
      </c>
      <c r="J337" s="1609">
        <v>205</v>
      </c>
      <c r="K337" s="1581"/>
      <c r="L337" s="1625">
        <f>65+65</f>
        <v>130</v>
      </c>
      <c r="M337" s="1625"/>
      <c r="N337" s="1581"/>
      <c r="O337" s="1581"/>
      <c r="P337" s="1581">
        <f t="shared" si="53"/>
        <v>130</v>
      </c>
      <c r="Q337" s="1056">
        <f>8500*1.07</f>
        <v>9095</v>
      </c>
      <c r="R337" s="1611">
        <f t="shared" si="54"/>
        <v>1182350</v>
      </c>
      <c r="S337" s="1611">
        <f t="shared" si="55"/>
        <v>33621.327014218004</v>
      </c>
      <c r="T337" s="1611">
        <f t="shared" si="52"/>
        <v>1148728.6729857819</v>
      </c>
      <c r="U337" s="1580"/>
      <c r="V337" s="1580"/>
      <c r="W337" s="1580"/>
      <c r="X337" s="1580"/>
      <c r="Y337" s="1580"/>
      <c r="Z337" s="1580"/>
      <c r="AA337" s="1580"/>
      <c r="AB337" s="1580"/>
      <c r="AC337" s="1580"/>
      <c r="AD337" s="1580"/>
      <c r="AE337" s="1580"/>
      <c r="AF337" s="1580"/>
      <c r="AG337" s="1580"/>
      <c r="AH337" s="1580"/>
      <c r="AI337" s="1580"/>
      <c r="AJ337" s="1580"/>
      <c r="AK337" s="1580"/>
      <c r="AL337" s="1580"/>
      <c r="AM337" s="1580"/>
    </row>
    <row r="338" spans="1:39" ht="114.75">
      <c r="A338" s="1581">
        <v>318</v>
      </c>
      <c r="B338" s="1056" t="s">
        <v>1774</v>
      </c>
      <c r="C338" s="1579" t="s">
        <v>1775</v>
      </c>
      <c r="D338" s="1625" t="s">
        <v>1022</v>
      </c>
      <c r="E338" s="1662">
        <v>15941</v>
      </c>
      <c r="F338" s="1581"/>
      <c r="G338" s="1581"/>
      <c r="H338" s="1581"/>
      <c r="I338" s="1609">
        <v>6</v>
      </c>
      <c r="J338" s="1609">
        <v>205</v>
      </c>
      <c r="K338" s="1581"/>
      <c r="L338" s="1625">
        <f>31</f>
        <v>31</v>
      </c>
      <c r="M338" s="1625"/>
      <c r="N338" s="1581"/>
      <c r="O338" s="1581"/>
      <c r="P338" s="1581">
        <f t="shared" si="53"/>
        <v>31</v>
      </c>
      <c r="Q338" s="1056">
        <f>60000*1.07</f>
        <v>64200.000000000007</v>
      </c>
      <c r="R338" s="1611">
        <f t="shared" si="54"/>
        <v>1990200.0000000002</v>
      </c>
      <c r="S338" s="1611">
        <f t="shared" si="55"/>
        <v>56593.364928909956</v>
      </c>
      <c r="T338" s="1611">
        <f t="shared" si="52"/>
        <v>1933606.6350710902</v>
      </c>
      <c r="U338" s="1580"/>
      <c r="V338" s="1580"/>
      <c r="W338" s="1580"/>
      <c r="X338" s="1580"/>
      <c r="Y338" s="1580"/>
      <c r="Z338" s="1580"/>
      <c r="AA338" s="1580"/>
      <c r="AB338" s="1580"/>
      <c r="AC338" s="1580"/>
      <c r="AD338" s="1580"/>
      <c r="AE338" s="1580"/>
      <c r="AF338" s="1580"/>
      <c r="AG338" s="1580"/>
      <c r="AH338" s="1580"/>
      <c r="AI338" s="1580"/>
      <c r="AJ338" s="1580"/>
      <c r="AK338" s="1580"/>
      <c r="AL338" s="1580"/>
      <c r="AM338" s="1580"/>
    </row>
    <row r="339" spans="1:39" ht="140.25">
      <c r="A339" s="1581">
        <v>324</v>
      </c>
      <c r="B339" s="1056" t="s">
        <v>1776</v>
      </c>
      <c r="C339" s="1579" t="s">
        <v>1777</v>
      </c>
      <c r="D339" s="1625" t="s">
        <v>1022</v>
      </c>
      <c r="E339" s="1662">
        <v>15941</v>
      </c>
      <c r="F339" s="1581"/>
      <c r="G339" s="1581"/>
      <c r="H339" s="1581"/>
      <c r="I339" s="1609">
        <v>6</v>
      </c>
      <c r="J339" s="1609">
        <v>205</v>
      </c>
      <c r="K339" s="1581"/>
      <c r="L339" s="1625">
        <f>2</f>
        <v>2</v>
      </c>
      <c r="M339" s="1625"/>
      <c r="N339" s="1581"/>
      <c r="O339" s="1581"/>
      <c r="P339" s="1581">
        <f t="shared" si="53"/>
        <v>2</v>
      </c>
      <c r="Q339" s="1056">
        <f>27400*1.07</f>
        <v>29318</v>
      </c>
      <c r="R339" s="1611">
        <f t="shared" si="54"/>
        <v>58636</v>
      </c>
      <c r="S339" s="1611">
        <f t="shared" si="55"/>
        <v>1667.3744075829384</v>
      </c>
      <c r="T339" s="1611">
        <f t="shared" si="52"/>
        <v>56968.625592417062</v>
      </c>
      <c r="U339" s="1580"/>
      <c r="V339" s="1580"/>
      <c r="W339" s="1580"/>
      <c r="X339" s="1580"/>
      <c r="Y339" s="1580"/>
      <c r="Z339" s="1580"/>
      <c r="AA339" s="1580"/>
      <c r="AB339" s="1580"/>
      <c r="AC339" s="1580"/>
      <c r="AD339" s="1580"/>
      <c r="AE339" s="1580"/>
      <c r="AF339" s="1580"/>
      <c r="AG339" s="1580"/>
      <c r="AH339" s="1580"/>
      <c r="AI339" s="1580"/>
      <c r="AJ339" s="1580"/>
      <c r="AK339" s="1580"/>
      <c r="AL339" s="1580"/>
      <c r="AM339" s="1580"/>
    </row>
    <row r="340" spans="1:39">
      <c r="A340" s="1581">
        <v>317</v>
      </c>
      <c r="B340" s="1056" t="s">
        <v>1781</v>
      </c>
      <c r="C340" s="1579" t="s">
        <v>1782</v>
      </c>
      <c r="D340" s="1625" t="s">
        <v>1022</v>
      </c>
      <c r="E340" s="1662">
        <v>15941</v>
      </c>
      <c r="F340" s="1581"/>
      <c r="G340" s="1581"/>
      <c r="H340" s="1581"/>
      <c r="I340" s="1609">
        <v>6</v>
      </c>
      <c r="J340" s="1609">
        <v>205</v>
      </c>
      <c r="K340" s="1581"/>
      <c r="L340" s="1625">
        <f>1050+641</f>
        <v>1691</v>
      </c>
      <c r="M340" s="1625"/>
      <c r="N340" s="1581"/>
      <c r="O340" s="1581"/>
      <c r="P340" s="1581">
        <f t="shared" si="53"/>
        <v>1691</v>
      </c>
      <c r="Q340" s="1056">
        <f>3500*1.07</f>
        <v>3745</v>
      </c>
      <c r="R340" s="1611">
        <f t="shared" si="54"/>
        <v>6332795</v>
      </c>
      <c r="S340" s="1611">
        <f t="shared" si="55"/>
        <v>180079.47867298577</v>
      </c>
      <c r="T340" s="1611">
        <f t="shared" si="52"/>
        <v>6152715.5213270141</v>
      </c>
      <c r="U340" s="1580"/>
      <c r="V340" s="1580"/>
      <c r="W340" s="1580"/>
      <c r="X340" s="1580"/>
      <c r="Y340" s="1580"/>
      <c r="Z340" s="1580"/>
      <c r="AA340" s="1580"/>
      <c r="AB340" s="1580"/>
      <c r="AC340" s="1580"/>
      <c r="AD340" s="1580"/>
      <c r="AE340" s="1580"/>
      <c r="AF340" s="1580"/>
      <c r="AG340" s="1580"/>
      <c r="AH340" s="1580"/>
      <c r="AI340" s="1580"/>
      <c r="AJ340" s="1580"/>
      <c r="AK340" s="1580"/>
      <c r="AL340" s="1580"/>
      <c r="AM340" s="1580"/>
    </row>
    <row r="341" spans="1:39" hidden="1">
      <c r="A341" s="1581">
        <v>331</v>
      </c>
      <c r="B341" s="1062" t="s">
        <v>1785</v>
      </c>
      <c r="C341" s="1579" t="s">
        <v>1786</v>
      </c>
      <c r="D341" s="1625" t="s">
        <v>1022</v>
      </c>
      <c r="E341" s="1662">
        <v>15941</v>
      </c>
      <c r="F341" s="1581"/>
      <c r="G341" s="1581"/>
      <c r="H341" s="1581"/>
      <c r="I341" s="1609">
        <v>6</v>
      </c>
      <c r="J341" s="1609">
        <v>205</v>
      </c>
      <c r="K341" s="1581"/>
      <c r="L341" s="1579"/>
      <c r="M341" s="1579"/>
      <c r="N341" s="1581"/>
      <c r="O341" s="1581"/>
      <c r="P341" s="1581"/>
      <c r="Q341" s="1581"/>
      <c r="R341" s="1611">
        <f t="shared" si="54"/>
        <v>0</v>
      </c>
      <c r="S341" s="1611">
        <f t="shared" si="55"/>
        <v>0</v>
      </c>
      <c r="T341" s="1611">
        <f t="shared" si="52"/>
        <v>0</v>
      </c>
      <c r="U341" s="1580"/>
      <c r="V341" s="1580"/>
      <c r="W341" s="1580"/>
      <c r="X341" s="1580"/>
      <c r="Y341" s="1580"/>
      <c r="Z341" s="1580"/>
      <c r="AA341" s="1580"/>
      <c r="AB341" s="1580"/>
      <c r="AC341" s="1580"/>
      <c r="AD341" s="1580"/>
      <c r="AE341" s="1580"/>
      <c r="AF341" s="1580"/>
      <c r="AG341" s="1580"/>
      <c r="AH341" s="1580"/>
      <c r="AI341" s="1580"/>
      <c r="AJ341" s="1580"/>
      <c r="AK341" s="1580"/>
      <c r="AL341" s="1580"/>
      <c r="AM341" s="1580"/>
    </row>
    <row r="342" spans="1:39" hidden="1">
      <c r="A342" s="1581">
        <v>332</v>
      </c>
      <c r="B342" s="1062" t="s">
        <v>1787</v>
      </c>
      <c r="C342" s="1579" t="s">
        <v>1788</v>
      </c>
      <c r="D342" s="1625" t="s">
        <v>1022</v>
      </c>
      <c r="E342" s="1662">
        <v>15941</v>
      </c>
      <c r="F342" s="1581"/>
      <c r="G342" s="1581"/>
      <c r="H342" s="1581"/>
      <c r="I342" s="1609">
        <v>6</v>
      </c>
      <c r="J342" s="1609">
        <v>205</v>
      </c>
      <c r="K342" s="1581"/>
      <c r="L342" s="1579"/>
      <c r="M342" s="1579"/>
      <c r="N342" s="1581"/>
      <c r="O342" s="1581"/>
      <c r="P342" s="1581"/>
      <c r="Q342" s="1581"/>
      <c r="R342" s="1611">
        <f t="shared" si="54"/>
        <v>0</v>
      </c>
      <c r="S342" s="1611">
        <f t="shared" si="55"/>
        <v>0</v>
      </c>
      <c r="T342" s="1611">
        <f t="shared" si="52"/>
        <v>0</v>
      </c>
      <c r="U342" s="1580"/>
      <c r="V342" s="1580"/>
      <c r="W342" s="1580"/>
      <c r="X342" s="1580"/>
      <c r="Y342" s="1580"/>
      <c r="Z342" s="1580"/>
      <c r="AA342" s="1580"/>
      <c r="AB342" s="1580"/>
      <c r="AC342" s="1580"/>
      <c r="AD342" s="1580"/>
      <c r="AE342" s="1580"/>
      <c r="AF342" s="1580"/>
      <c r="AG342" s="1580"/>
      <c r="AH342" s="1580"/>
      <c r="AI342" s="1580"/>
      <c r="AJ342" s="1580"/>
      <c r="AK342" s="1580"/>
      <c r="AL342" s="1580"/>
      <c r="AM342" s="1580"/>
    </row>
    <row r="343" spans="1:39" ht="25.5">
      <c r="A343" s="1581">
        <v>320</v>
      </c>
      <c r="B343" s="1583" t="s">
        <v>1789</v>
      </c>
      <c r="C343" s="1579" t="s">
        <v>1790</v>
      </c>
      <c r="D343" s="1625" t="s">
        <v>1022</v>
      </c>
      <c r="E343" s="1662">
        <v>15941</v>
      </c>
      <c r="F343" s="1581"/>
      <c r="G343" s="1581"/>
      <c r="H343" s="1581"/>
      <c r="I343" s="1609">
        <v>6</v>
      </c>
      <c r="J343" s="1609">
        <v>205</v>
      </c>
      <c r="K343" s="1581"/>
      <c r="L343" s="1625">
        <f>2</f>
        <v>2</v>
      </c>
      <c r="M343" s="1625">
        <v>8</v>
      </c>
      <c r="N343" s="1581"/>
      <c r="O343" s="1581"/>
      <c r="P343" s="1581">
        <f t="shared" si="53"/>
        <v>2</v>
      </c>
      <c r="Q343" s="1056">
        <f>20000*1.07</f>
        <v>21400</v>
      </c>
      <c r="R343" s="1611">
        <f t="shared" si="54"/>
        <v>42800</v>
      </c>
      <c r="S343" s="1611">
        <f t="shared" si="55"/>
        <v>1217.0616113744074</v>
      </c>
      <c r="T343" s="1611">
        <f t="shared" si="52"/>
        <v>41582.938388625589</v>
      </c>
      <c r="U343" s="1580" t="s">
        <v>2236</v>
      </c>
      <c r="V343" s="1580"/>
      <c r="W343" s="1580">
        <f>2+2+2+2</f>
        <v>8</v>
      </c>
      <c r="X343" s="1580"/>
      <c r="Y343" s="1580"/>
      <c r="Z343" s="1580"/>
      <c r="AA343" s="1580"/>
      <c r="AB343" s="1580"/>
      <c r="AC343" s="1580"/>
      <c r="AD343" s="1580"/>
      <c r="AE343" s="1580"/>
      <c r="AF343" s="1580"/>
      <c r="AG343" s="1580"/>
      <c r="AH343" s="1580"/>
      <c r="AI343" s="1580"/>
      <c r="AJ343" s="1580"/>
      <c r="AK343" s="1580"/>
      <c r="AL343" s="1580"/>
      <c r="AM343" s="1580"/>
    </row>
    <row r="344" spans="1:39">
      <c r="A344" s="1581">
        <v>335</v>
      </c>
      <c r="B344" s="1062" t="s">
        <v>1793</v>
      </c>
      <c r="C344" s="1579" t="s">
        <v>1795</v>
      </c>
      <c r="D344" s="1625" t="s">
        <v>1022</v>
      </c>
      <c r="E344" s="1662">
        <v>15941</v>
      </c>
      <c r="F344" s="1581"/>
      <c r="G344" s="1581"/>
      <c r="H344" s="1581"/>
      <c r="I344" s="1609">
        <v>6</v>
      </c>
      <c r="J344" s="1609">
        <v>205</v>
      </c>
      <c r="K344" s="1581"/>
      <c r="L344" s="1581">
        <f>60+60</f>
        <v>120</v>
      </c>
      <c r="M344" s="1581"/>
      <c r="N344" s="1581"/>
      <c r="O344" s="1581"/>
      <c r="P344" s="1581">
        <f t="shared" si="53"/>
        <v>120</v>
      </c>
      <c r="Q344" s="1581">
        <f>3000*1.07</f>
        <v>3210</v>
      </c>
      <c r="R344" s="1611">
        <f t="shared" si="54"/>
        <v>385200</v>
      </c>
      <c r="S344" s="1611">
        <f t="shared" si="55"/>
        <v>10953.554502369669</v>
      </c>
      <c r="T344" s="1611">
        <f t="shared" si="52"/>
        <v>374246.44549763034</v>
      </c>
      <c r="U344" s="1580"/>
      <c r="V344" s="1580"/>
      <c r="W344" s="1580"/>
      <c r="X344" s="1580"/>
      <c r="Y344" s="1580"/>
      <c r="Z344" s="1580"/>
      <c r="AA344" s="1580"/>
      <c r="AB344" s="1580"/>
      <c r="AC344" s="1580"/>
      <c r="AD344" s="1580"/>
      <c r="AE344" s="1580"/>
      <c r="AF344" s="1580"/>
      <c r="AG344" s="1580"/>
      <c r="AH344" s="1580"/>
      <c r="AI344" s="1580"/>
      <c r="AJ344" s="1580"/>
      <c r="AK344" s="1580"/>
      <c r="AL344" s="1580"/>
      <c r="AM344" s="1580"/>
    </row>
    <row r="345" spans="1:39">
      <c r="A345" s="1581">
        <v>334</v>
      </c>
      <c r="B345" s="1062" t="s">
        <v>1793</v>
      </c>
      <c r="C345" s="1579" t="s">
        <v>1796</v>
      </c>
      <c r="D345" s="1625" t="s">
        <v>1022</v>
      </c>
      <c r="E345" s="1662">
        <v>15941</v>
      </c>
      <c r="F345" s="1581"/>
      <c r="G345" s="1581"/>
      <c r="H345" s="1581"/>
      <c r="I345" s="1609">
        <v>6</v>
      </c>
      <c r="J345" s="1609">
        <v>205</v>
      </c>
      <c r="K345" s="1581"/>
      <c r="L345" s="1581">
        <f>60+60</f>
        <v>120</v>
      </c>
      <c r="M345" s="1581"/>
      <c r="N345" s="1581"/>
      <c r="O345" s="1581"/>
      <c r="P345" s="1581">
        <f t="shared" si="53"/>
        <v>120</v>
      </c>
      <c r="Q345" s="1581">
        <f>3000*1.07</f>
        <v>3210</v>
      </c>
      <c r="R345" s="1611">
        <f t="shared" si="54"/>
        <v>385200</v>
      </c>
      <c r="S345" s="1611">
        <f t="shared" si="55"/>
        <v>10953.554502369669</v>
      </c>
      <c r="T345" s="1611">
        <f t="shared" si="52"/>
        <v>374246.44549763034</v>
      </c>
      <c r="U345" s="1580"/>
      <c r="V345" s="1580"/>
      <c r="W345" s="1580"/>
      <c r="X345" s="1580"/>
      <c r="Y345" s="1580"/>
      <c r="Z345" s="1580"/>
      <c r="AA345" s="1580"/>
      <c r="AB345" s="1580"/>
      <c r="AC345" s="1580"/>
      <c r="AD345" s="1580"/>
      <c r="AE345" s="1580"/>
      <c r="AF345" s="1580"/>
      <c r="AG345" s="1580"/>
      <c r="AH345" s="1580"/>
      <c r="AI345" s="1580"/>
      <c r="AJ345" s="1580"/>
      <c r="AK345" s="1580"/>
      <c r="AL345" s="1580"/>
      <c r="AM345" s="1580"/>
    </row>
    <row r="346" spans="1:39" hidden="1">
      <c r="A346" s="1581">
        <v>328</v>
      </c>
      <c r="B346" s="1062" t="s">
        <v>1797</v>
      </c>
      <c r="C346" s="1579" t="s">
        <v>1798</v>
      </c>
      <c r="D346" s="1625" t="s">
        <v>1022</v>
      </c>
      <c r="E346" s="1662">
        <v>15941</v>
      </c>
      <c r="F346" s="1581"/>
      <c r="G346" s="1581"/>
      <c r="H346" s="1581"/>
      <c r="I346" s="1609">
        <v>6</v>
      </c>
      <c r="J346" s="1609">
        <v>205</v>
      </c>
      <c r="K346" s="1581"/>
      <c r="L346" s="1579"/>
      <c r="M346" s="1579"/>
      <c r="N346" s="1581"/>
      <c r="O346" s="1581"/>
      <c r="P346" s="1581"/>
      <c r="Q346" s="1581"/>
      <c r="R346" s="1611">
        <f t="shared" si="54"/>
        <v>0</v>
      </c>
      <c r="S346" s="1611">
        <f t="shared" si="55"/>
        <v>0</v>
      </c>
      <c r="T346" s="1611">
        <f t="shared" si="52"/>
        <v>0</v>
      </c>
      <c r="U346" s="1580"/>
      <c r="V346" s="1580"/>
      <c r="W346" s="1580"/>
      <c r="X346" s="1580"/>
      <c r="Y346" s="1580"/>
      <c r="Z346" s="1580"/>
      <c r="AA346" s="1580"/>
      <c r="AB346" s="1580"/>
      <c r="AC346" s="1580"/>
      <c r="AD346" s="1580"/>
      <c r="AE346" s="1580"/>
      <c r="AF346" s="1580"/>
      <c r="AG346" s="1580"/>
      <c r="AH346" s="1580"/>
      <c r="AI346" s="1580"/>
      <c r="AJ346" s="1580"/>
      <c r="AK346" s="1580"/>
      <c r="AL346" s="1580"/>
      <c r="AM346" s="1580"/>
    </row>
    <row r="347" spans="1:39" ht="17.25" hidden="1" customHeight="1">
      <c r="A347" s="1581">
        <v>329</v>
      </c>
      <c r="B347" s="1062" t="s">
        <v>1797</v>
      </c>
      <c r="C347" s="1579" t="s">
        <v>1799</v>
      </c>
      <c r="D347" s="1625" t="s">
        <v>1022</v>
      </c>
      <c r="E347" s="1662">
        <v>15941</v>
      </c>
      <c r="F347" s="1581"/>
      <c r="G347" s="1581"/>
      <c r="H347" s="1581"/>
      <c r="I347" s="1609">
        <v>6</v>
      </c>
      <c r="J347" s="1609">
        <v>205</v>
      </c>
      <c r="K347" s="1581"/>
      <c r="L347" s="1579"/>
      <c r="M347" s="1579"/>
      <c r="N347" s="1581"/>
      <c r="O347" s="1581"/>
      <c r="P347" s="1581"/>
      <c r="Q347" s="1581"/>
      <c r="R347" s="1611">
        <f t="shared" si="54"/>
        <v>0</v>
      </c>
      <c r="S347" s="1611">
        <f t="shared" si="55"/>
        <v>0</v>
      </c>
      <c r="T347" s="1611">
        <f t="shared" si="52"/>
        <v>0</v>
      </c>
      <c r="U347" s="1580"/>
      <c r="V347" s="1580"/>
      <c r="W347" s="1580"/>
      <c r="X347" s="1580"/>
      <c r="Y347" s="1580"/>
      <c r="Z347" s="1580"/>
      <c r="AA347" s="1580"/>
      <c r="AB347" s="1580"/>
      <c r="AC347" s="1580"/>
      <c r="AD347" s="1580"/>
      <c r="AE347" s="1580"/>
      <c r="AF347" s="1580"/>
      <c r="AG347" s="1580"/>
      <c r="AH347" s="1580"/>
      <c r="AI347" s="1580"/>
      <c r="AJ347" s="1580"/>
      <c r="AK347" s="1580"/>
      <c r="AL347" s="1580"/>
      <c r="AM347" s="1580"/>
    </row>
    <row r="348" spans="1:39" ht="16.5" hidden="1" customHeight="1">
      <c r="A348" s="1581">
        <v>330</v>
      </c>
      <c r="B348" s="1062" t="s">
        <v>1800</v>
      </c>
      <c r="C348" s="1579" t="s">
        <v>1801</v>
      </c>
      <c r="D348" s="1625" t="s">
        <v>1022</v>
      </c>
      <c r="E348" s="1662">
        <v>15941</v>
      </c>
      <c r="F348" s="1581"/>
      <c r="G348" s="1581"/>
      <c r="H348" s="1581"/>
      <c r="I348" s="1609">
        <v>6</v>
      </c>
      <c r="J348" s="1609">
        <v>205</v>
      </c>
      <c r="K348" s="1581"/>
      <c r="L348" s="1579"/>
      <c r="M348" s="1579"/>
      <c r="N348" s="1581"/>
      <c r="O348" s="1581"/>
      <c r="P348" s="1581"/>
      <c r="Q348" s="1581"/>
      <c r="R348" s="1611">
        <f t="shared" si="54"/>
        <v>0</v>
      </c>
      <c r="S348" s="1611">
        <f t="shared" si="55"/>
        <v>0</v>
      </c>
      <c r="T348" s="1611">
        <f t="shared" si="52"/>
        <v>0</v>
      </c>
      <c r="U348" s="1580"/>
      <c r="V348" s="1580"/>
      <c r="W348" s="1580"/>
      <c r="X348" s="1580"/>
      <c r="Y348" s="1580"/>
      <c r="Z348" s="1580"/>
      <c r="AA348" s="1580"/>
      <c r="AB348" s="1580"/>
      <c r="AC348" s="1580"/>
      <c r="AD348" s="1580"/>
      <c r="AE348" s="1580"/>
      <c r="AF348" s="1580"/>
      <c r="AG348" s="1580"/>
      <c r="AH348" s="1580"/>
      <c r="AI348" s="1580"/>
      <c r="AJ348" s="1580"/>
      <c r="AK348" s="1580"/>
      <c r="AL348" s="1580"/>
      <c r="AM348" s="1580"/>
    </row>
    <row r="349" spans="1:39">
      <c r="A349" s="1581">
        <v>340</v>
      </c>
      <c r="B349" s="1670" t="s">
        <v>1802</v>
      </c>
      <c r="C349" s="1670" t="s">
        <v>1803</v>
      </c>
      <c r="D349" s="1581" t="s">
        <v>1022</v>
      </c>
      <c r="E349" s="1662">
        <v>15941</v>
      </c>
      <c r="F349" s="1671"/>
      <c r="G349" s="1671"/>
      <c r="H349" s="1671"/>
      <c r="I349" s="1672">
        <v>6</v>
      </c>
      <c r="J349" s="1672">
        <v>205</v>
      </c>
      <c r="K349" s="1671"/>
      <c r="L349" s="1671">
        <f>2+2</f>
        <v>4</v>
      </c>
      <c r="M349" s="1671"/>
      <c r="N349" s="1671"/>
      <c r="O349" s="1671"/>
      <c r="P349" s="1671">
        <f t="shared" si="53"/>
        <v>4</v>
      </c>
      <c r="Q349" s="1671">
        <f>160000*1.07</f>
        <v>171200</v>
      </c>
      <c r="R349" s="1671">
        <f t="shared" si="54"/>
        <v>684800</v>
      </c>
      <c r="S349" s="1673">
        <f t="shared" si="55"/>
        <v>19472.985781990519</v>
      </c>
      <c r="T349" s="1611">
        <f t="shared" si="52"/>
        <v>665327.01421800943</v>
      </c>
      <c r="U349" s="1580"/>
      <c r="V349" s="1580"/>
      <c r="W349" s="1580"/>
      <c r="X349" s="1580"/>
      <c r="Y349" s="1580"/>
      <c r="Z349" s="1580"/>
      <c r="AA349" s="1580"/>
      <c r="AB349" s="1580"/>
      <c r="AC349" s="1580"/>
      <c r="AD349" s="1580"/>
      <c r="AE349" s="1580"/>
      <c r="AF349" s="1580"/>
      <c r="AG349" s="1580"/>
      <c r="AH349" s="1580"/>
      <c r="AI349" s="1580"/>
      <c r="AJ349" s="1580"/>
      <c r="AK349" s="1580"/>
      <c r="AL349" s="1580"/>
      <c r="AM349" s="1580"/>
    </row>
    <row r="350" spans="1:39" ht="18.75" hidden="1" customHeight="1">
      <c r="A350" s="1581">
        <v>327</v>
      </c>
      <c r="B350" s="1062" t="s">
        <v>1804</v>
      </c>
      <c r="C350" s="1579" t="s">
        <v>1805</v>
      </c>
      <c r="D350" s="1625" t="s">
        <v>1022</v>
      </c>
      <c r="E350" s="1662">
        <v>15941</v>
      </c>
      <c r="F350" s="1581"/>
      <c r="G350" s="1581"/>
      <c r="H350" s="1581"/>
      <c r="I350" s="1609">
        <v>6</v>
      </c>
      <c r="J350" s="1609">
        <v>205</v>
      </c>
      <c r="K350" s="1581"/>
      <c r="L350" s="1581"/>
      <c r="M350" s="1581"/>
      <c r="N350" s="1581"/>
      <c r="O350" s="1581"/>
      <c r="P350" s="1581"/>
      <c r="Q350" s="1581"/>
      <c r="R350" s="1611">
        <f t="shared" si="54"/>
        <v>0</v>
      </c>
      <c r="S350" s="1611">
        <f t="shared" si="55"/>
        <v>0</v>
      </c>
      <c r="T350" s="1611">
        <f t="shared" si="52"/>
        <v>0</v>
      </c>
      <c r="U350" s="1580"/>
      <c r="V350" s="1580"/>
      <c r="W350" s="1580"/>
      <c r="X350" s="1580"/>
      <c r="Y350" s="1580"/>
      <c r="Z350" s="1580"/>
      <c r="AA350" s="1580"/>
      <c r="AB350" s="1580"/>
      <c r="AC350" s="1580"/>
      <c r="AD350" s="1580"/>
      <c r="AE350" s="1580"/>
      <c r="AF350" s="1580"/>
      <c r="AG350" s="1580"/>
      <c r="AH350" s="1580"/>
      <c r="AI350" s="1580"/>
      <c r="AJ350" s="1580"/>
      <c r="AK350" s="1580"/>
      <c r="AL350" s="1580"/>
      <c r="AM350" s="1580"/>
    </row>
    <row r="351" spans="1:39">
      <c r="A351" s="1609">
        <v>230</v>
      </c>
      <c r="B351" s="1674" t="s">
        <v>1808</v>
      </c>
      <c r="C351" s="1579" t="s">
        <v>1809</v>
      </c>
      <c r="D351" s="1610" t="s">
        <v>1022</v>
      </c>
      <c r="E351" s="1662">
        <v>15941</v>
      </c>
      <c r="F351" s="1581"/>
      <c r="G351" s="1581"/>
      <c r="H351" s="1581"/>
      <c r="I351" s="1609">
        <v>6</v>
      </c>
      <c r="J351" s="1609">
        <v>205</v>
      </c>
      <c r="K351" s="1581"/>
      <c r="L351" s="1610">
        <f>80</f>
        <v>80</v>
      </c>
      <c r="M351" s="1610"/>
      <c r="N351" s="1581"/>
      <c r="O351" s="1581"/>
      <c r="P351" s="1581">
        <f t="shared" ref="P351:P365" si="56">L351-O351</f>
        <v>80</v>
      </c>
      <c r="Q351" s="1581">
        <f>250*1.07</f>
        <v>267.5</v>
      </c>
      <c r="R351" s="1611">
        <f t="shared" si="54"/>
        <v>21400</v>
      </c>
      <c r="S351" s="1611">
        <f t="shared" si="55"/>
        <v>608.53080568720372</v>
      </c>
      <c r="T351" s="1611">
        <f t="shared" si="52"/>
        <v>20791.469194312795</v>
      </c>
      <c r="U351" s="1580"/>
      <c r="V351" s="1580"/>
      <c r="W351" s="1580"/>
      <c r="X351" s="1580"/>
      <c r="Y351" s="1580"/>
      <c r="Z351" s="1580"/>
      <c r="AA351" s="1580"/>
      <c r="AB351" s="1580"/>
      <c r="AC351" s="1580"/>
      <c r="AD351" s="1580"/>
      <c r="AE351" s="1580"/>
      <c r="AF351" s="1580"/>
      <c r="AG351" s="1580"/>
      <c r="AH351" s="1580"/>
      <c r="AI351" s="1580"/>
      <c r="AJ351" s="1580"/>
      <c r="AK351" s="1580"/>
      <c r="AL351" s="1580"/>
      <c r="AM351" s="1580"/>
    </row>
    <row r="352" spans="1:39" ht="32.25" customHeight="1">
      <c r="A352" s="1609">
        <v>244</v>
      </c>
      <c r="B352" s="1622" t="s">
        <v>1810</v>
      </c>
      <c r="C352" s="1579" t="s">
        <v>1811</v>
      </c>
      <c r="D352" s="1622" t="s">
        <v>1022</v>
      </c>
      <c r="E352" s="1662">
        <v>15941</v>
      </c>
      <c r="F352" s="1581"/>
      <c r="G352" s="1581"/>
      <c r="H352" s="1581"/>
      <c r="I352" s="1609">
        <v>6</v>
      </c>
      <c r="J352" s="1609">
        <v>205</v>
      </c>
      <c r="K352" s="1581"/>
      <c r="L352" s="1610">
        <f>2</f>
        <v>2</v>
      </c>
      <c r="M352" s="1610"/>
      <c r="N352" s="1581"/>
      <c r="O352" s="1581"/>
      <c r="P352" s="1581">
        <f t="shared" si="56"/>
        <v>2</v>
      </c>
      <c r="Q352" s="1581">
        <f>4500*1.07</f>
        <v>4815</v>
      </c>
      <c r="R352" s="1611">
        <f t="shared" si="54"/>
        <v>9630</v>
      </c>
      <c r="S352" s="1611">
        <f t="shared" si="55"/>
        <v>273.8388625592417</v>
      </c>
      <c r="T352" s="1611">
        <f t="shared" si="52"/>
        <v>9356.1611374407585</v>
      </c>
      <c r="U352" s="1580"/>
      <c r="V352" s="1580"/>
      <c r="W352" s="1580"/>
      <c r="X352" s="1580"/>
      <c r="Y352" s="1580"/>
      <c r="Z352" s="1580"/>
      <c r="AA352" s="1580"/>
      <c r="AB352" s="1580"/>
      <c r="AC352" s="1580"/>
      <c r="AD352" s="1580"/>
      <c r="AE352" s="1580"/>
      <c r="AF352" s="1580"/>
      <c r="AG352" s="1580"/>
      <c r="AH352" s="1580"/>
      <c r="AI352" s="1580"/>
      <c r="AJ352" s="1580"/>
      <c r="AK352" s="1580"/>
      <c r="AL352" s="1580"/>
      <c r="AM352" s="1580"/>
    </row>
    <row r="353" spans="1:39">
      <c r="A353" s="1609">
        <v>164</v>
      </c>
      <c r="B353" s="1618" t="s">
        <v>1812</v>
      </c>
      <c r="C353" s="1579" t="s">
        <v>1813</v>
      </c>
      <c r="D353" s="1618" t="s">
        <v>1022</v>
      </c>
      <c r="E353" s="1662">
        <v>15941</v>
      </c>
      <c r="F353" s="1581"/>
      <c r="G353" s="1581"/>
      <c r="H353" s="1581"/>
      <c r="I353" s="1609">
        <v>6</v>
      </c>
      <c r="J353" s="1609">
        <v>205</v>
      </c>
      <c r="K353" s="1581"/>
      <c r="L353" s="1618">
        <f>2+2</f>
        <v>4</v>
      </c>
      <c r="M353" s="1618"/>
      <c r="N353" s="1581"/>
      <c r="O353" s="1581"/>
      <c r="P353" s="1581">
        <f t="shared" si="56"/>
        <v>4</v>
      </c>
      <c r="Q353" s="1581">
        <f>18000*1.07</f>
        <v>19260</v>
      </c>
      <c r="R353" s="1611">
        <f t="shared" si="54"/>
        <v>77040</v>
      </c>
      <c r="S353" s="1611">
        <f t="shared" si="55"/>
        <v>2190.7109004739336</v>
      </c>
      <c r="T353" s="1611">
        <f t="shared" si="52"/>
        <v>74849.289099526068</v>
      </c>
      <c r="U353" s="1580"/>
      <c r="V353" s="1580"/>
      <c r="W353" s="1580"/>
      <c r="X353" s="1580"/>
      <c r="Y353" s="1580"/>
      <c r="Z353" s="1580"/>
      <c r="AA353" s="1580"/>
      <c r="AB353" s="1580"/>
      <c r="AC353" s="1580"/>
      <c r="AD353" s="1580"/>
      <c r="AE353" s="1580"/>
      <c r="AF353" s="1580"/>
      <c r="AG353" s="1580"/>
      <c r="AH353" s="1580"/>
      <c r="AI353" s="1580"/>
      <c r="AJ353" s="1580"/>
      <c r="AK353" s="1580"/>
      <c r="AL353" s="1580"/>
      <c r="AM353" s="1580"/>
    </row>
    <row r="354" spans="1:39">
      <c r="A354" s="1609">
        <v>163</v>
      </c>
      <c r="B354" s="1618" t="s">
        <v>1812</v>
      </c>
      <c r="C354" s="1579" t="s">
        <v>1814</v>
      </c>
      <c r="D354" s="1618" t="s">
        <v>1022</v>
      </c>
      <c r="E354" s="1662">
        <v>15941</v>
      </c>
      <c r="F354" s="1581"/>
      <c r="G354" s="1581"/>
      <c r="H354" s="1581"/>
      <c r="I354" s="1609">
        <v>6</v>
      </c>
      <c r="J354" s="1609">
        <v>205</v>
      </c>
      <c r="K354" s="1581"/>
      <c r="L354" s="1618">
        <f>1+1</f>
        <v>2</v>
      </c>
      <c r="M354" s="1618"/>
      <c r="N354" s="1581"/>
      <c r="O354" s="1581"/>
      <c r="P354" s="1581">
        <f t="shared" si="56"/>
        <v>2</v>
      </c>
      <c r="Q354" s="1581">
        <f>25000*1.07</f>
        <v>26750</v>
      </c>
      <c r="R354" s="1611">
        <f t="shared" si="54"/>
        <v>53500</v>
      </c>
      <c r="S354" s="1611">
        <f t="shared" si="55"/>
        <v>1521.3270142180095</v>
      </c>
      <c r="T354" s="1611">
        <f t="shared" si="52"/>
        <v>51978.672985781988</v>
      </c>
      <c r="U354" s="1580"/>
      <c r="V354" s="1580"/>
      <c r="W354" s="1580"/>
      <c r="X354" s="1580"/>
      <c r="Y354" s="1580"/>
      <c r="Z354" s="1580"/>
      <c r="AA354" s="1580"/>
      <c r="AB354" s="1580"/>
      <c r="AC354" s="1580"/>
      <c r="AD354" s="1580"/>
      <c r="AE354" s="1580"/>
      <c r="AF354" s="1580"/>
      <c r="AG354" s="1580"/>
      <c r="AH354" s="1580"/>
      <c r="AI354" s="1580"/>
      <c r="AJ354" s="1580"/>
      <c r="AK354" s="1580"/>
      <c r="AL354" s="1580"/>
      <c r="AM354" s="1580"/>
    </row>
    <row r="355" spans="1:39" ht="38.25">
      <c r="A355" s="1609">
        <v>110</v>
      </c>
      <c r="B355" s="1619" t="s">
        <v>1815</v>
      </c>
      <c r="C355" s="917" t="s">
        <v>1816</v>
      </c>
      <c r="D355" s="1619" t="s">
        <v>1268</v>
      </c>
      <c r="E355" s="1662">
        <v>15941</v>
      </c>
      <c r="F355" s="1609"/>
      <c r="G355" s="1609"/>
      <c r="H355" s="1609"/>
      <c r="I355" s="1609">
        <v>6</v>
      </c>
      <c r="J355" s="1609">
        <v>205</v>
      </c>
      <c r="K355" s="1609"/>
      <c r="L355" s="1619">
        <f>2+2</f>
        <v>4</v>
      </c>
      <c r="M355" s="1619"/>
      <c r="N355" s="1609"/>
      <c r="O355" s="1609"/>
      <c r="P355" s="1581">
        <f t="shared" si="56"/>
        <v>4</v>
      </c>
      <c r="Q355" s="1609">
        <f>27000*1.07</f>
        <v>28890</v>
      </c>
      <c r="R355" s="1611">
        <f t="shared" si="54"/>
        <v>115560</v>
      </c>
      <c r="S355" s="1611">
        <f t="shared" si="55"/>
        <v>3286.0663507109002</v>
      </c>
      <c r="T355" s="1611">
        <f t="shared" si="52"/>
        <v>112273.9336492891</v>
      </c>
      <c r="U355" s="1580"/>
      <c r="V355" s="1580"/>
      <c r="W355" s="1580"/>
      <c r="X355" s="1580"/>
      <c r="Y355" s="1580"/>
      <c r="Z355" s="1580"/>
      <c r="AA355" s="1580"/>
      <c r="AB355" s="1580"/>
      <c r="AC355" s="1580"/>
      <c r="AD355" s="1580"/>
      <c r="AE355" s="1580"/>
      <c r="AF355" s="1580"/>
      <c r="AG355" s="1580"/>
      <c r="AH355" s="1580"/>
      <c r="AI355" s="1580"/>
      <c r="AJ355" s="1580"/>
      <c r="AK355" s="1580"/>
      <c r="AL355" s="1580"/>
      <c r="AM355" s="1580"/>
    </row>
    <row r="356" spans="1:39">
      <c r="A356" s="1609">
        <v>134</v>
      </c>
      <c r="B356" s="1618" t="s">
        <v>1817</v>
      </c>
      <c r="C356" s="1579" t="s">
        <v>1818</v>
      </c>
      <c r="D356" s="1618" t="s">
        <v>1268</v>
      </c>
      <c r="E356" s="1662">
        <v>15941</v>
      </c>
      <c r="F356" s="1581"/>
      <c r="G356" s="1581"/>
      <c r="H356" s="1581"/>
      <c r="I356" s="1609">
        <v>6</v>
      </c>
      <c r="J356" s="1609">
        <v>205</v>
      </c>
      <c r="K356" s="1581"/>
      <c r="L356" s="1618">
        <f>2+2</f>
        <v>4</v>
      </c>
      <c r="M356" s="1618"/>
      <c r="N356" s="1581"/>
      <c r="O356" s="1581"/>
      <c r="P356" s="1581">
        <f t="shared" si="56"/>
        <v>4</v>
      </c>
      <c r="Q356" s="1581">
        <f>25000*1.07</f>
        <v>26750</v>
      </c>
      <c r="R356" s="1611">
        <f t="shared" si="54"/>
        <v>107000</v>
      </c>
      <c r="S356" s="1611">
        <f t="shared" si="55"/>
        <v>3042.654028436019</v>
      </c>
      <c r="T356" s="1611">
        <f t="shared" si="52"/>
        <v>103957.34597156398</v>
      </c>
      <c r="U356" s="1580"/>
      <c r="V356" s="1580"/>
      <c r="W356" s="1580"/>
      <c r="X356" s="1580"/>
      <c r="Y356" s="1580"/>
      <c r="Z356" s="1580"/>
      <c r="AA356" s="1580"/>
      <c r="AB356" s="1580"/>
      <c r="AC356" s="1580"/>
      <c r="AD356" s="1580"/>
      <c r="AE356" s="1580"/>
      <c r="AF356" s="1580"/>
      <c r="AG356" s="1580"/>
      <c r="AH356" s="1580"/>
      <c r="AI356" s="1580"/>
      <c r="AJ356" s="1580"/>
      <c r="AK356" s="1580"/>
      <c r="AL356" s="1580"/>
      <c r="AM356" s="1580"/>
    </row>
    <row r="357" spans="1:39" ht="25.5">
      <c r="A357" s="1609">
        <v>114</v>
      </c>
      <c r="B357" s="1619" t="s">
        <v>1819</v>
      </c>
      <c r="C357" s="1614" t="s">
        <v>1820</v>
      </c>
      <c r="D357" s="1619" t="s">
        <v>1268</v>
      </c>
      <c r="E357" s="1662">
        <v>15941</v>
      </c>
      <c r="F357" s="1609"/>
      <c r="G357" s="1609"/>
      <c r="H357" s="1609"/>
      <c r="I357" s="1609">
        <v>6</v>
      </c>
      <c r="J357" s="1609">
        <v>205</v>
      </c>
      <c r="K357" s="1609"/>
      <c r="L357" s="1619">
        <f>1+1</f>
        <v>2</v>
      </c>
      <c r="M357" s="1619"/>
      <c r="N357" s="1609"/>
      <c r="O357" s="1609"/>
      <c r="P357" s="1581">
        <f t="shared" si="56"/>
        <v>2</v>
      </c>
      <c r="Q357" s="1609">
        <f>20000*1.07</f>
        <v>21400</v>
      </c>
      <c r="R357" s="1611">
        <f t="shared" si="54"/>
        <v>42800</v>
      </c>
      <c r="S357" s="1611">
        <f t="shared" si="55"/>
        <v>1217.0616113744074</v>
      </c>
      <c r="T357" s="1611">
        <f t="shared" si="52"/>
        <v>41582.938388625589</v>
      </c>
      <c r="U357" s="1580"/>
      <c r="V357" s="1580"/>
      <c r="W357" s="1580"/>
      <c r="X357" s="1580"/>
      <c r="Y357" s="1580"/>
      <c r="Z357" s="1580"/>
      <c r="AA357" s="1580"/>
      <c r="AB357" s="1580"/>
      <c r="AC357" s="1580"/>
      <c r="AD357" s="1580"/>
      <c r="AE357" s="1580"/>
      <c r="AF357" s="1580"/>
      <c r="AG357" s="1580"/>
      <c r="AH357" s="1580"/>
      <c r="AI357" s="1580"/>
      <c r="AJ357" s="1580"/>
      <c r="AK357" s="1580"/>
      <c r="AL357" s="1580"/>
      <c r="AM357" s="1580"/>
    </row>
    <row r="358" spans="1:39">
      <c r="A358" s="1609">
        <v>166</v>
      </c>
      <c r="B358" s="1618" t="s">
        <v>1821</v>
      </c>
      <c r="C358" s="1621" t="s">
        <v>1822</v>
      </c>
      <c r="D358" s="1618" t="s">
        <v>1022</v>
      </c>
      <c r="E358" s="1662">
        <v>15941</v>
      </c>
      <c r="F358" s="1581"/>
      <c r="G358" s="1581"/>
      <c r="H358" s="1581"/>
      <c r="I358" s="1609">
        <v>6</v>
      </c>
      <c r="J358" s="1609">
        <v>205</v>
      </c>
      <c r="K358" s="1581"/>
      <c r="L358" s="1618">
        <f>1+1</f>
        <v>2</v>
      </c>
      <c r="M358" s="1618"/>
      <c r="N358" s="1581"/>
      <c r="O358" s="1581"/>
      <c r="P358" s="1581">
        <f t="shared" si="56"/>
        <v>2</v>
      </c>
      <c r="Q358" s="1581">
        <f>25000*1.07</f>
        <v>26750</v>
      </c>
      <c r="R358" s="1611">
        <f t="shared" si="54"/>
        <v>53500</v>
      </c>
      <c r="S358" s="1611">
        <f t="shared" si="55"/>
        <v>1521.3270142180095</v>
      </c>
      <c r="T358" s="1611">
        <f t="shared" si="52"/>
        <v>51978.672985781988</v>
      </c>
      <c r="U358" s="1580"/>
      <c r="V358" s="1580"/>
      <c r="W358" s="1580"/>
      <c r="X358" s="1580"/>
      <c r="Y358" s="1580"/>
      <c r="Z358" s="1580"/>
      <c r="AA358" s="1580"/>
      <c r="AB358" s="1580"/>
      <c r="AC358" s="1580"/>
      <c r="AD358" s="1580"/>
      <c r="AE358" s="1580"/>
      <c r="AF358" s="1580"/>
      <c r="AG358" s="1580"/>
      <c r="AH358" s="1580"/>
      <c r="AI358" s="1580"/>
      <c r="AJ358" s="1580"/>
      <c r="AK358" s="1580"/>
      <c r="AL358" s="1580"/>
      <c r="AM358" s="1580"/>
    </row>
    <row r="359" spans="1:39">
      <c r="A359" s="1609">
        <v>112</v>
      </c>
      <c r="B359" s="1619" t="s">
        <v>1823</v>
      </c>
      <c r="C359" s="917" t="s">
        <v>1824</v>
      </c>
      <c r="D359" s="1619" t="s">
        <v>1022</v>
      </c>
      <c r="E359" s="1662">
        <v>15941</v>
      </c>
      <c r="F359" s="1609"/>
      <c r="G359" s="1609"/>
      <c r="H359" s="1609"/>
      <c r="I359" s="1609">
        <v>6</v>
      </c>
      <c r="J359" s="1609">
        <v>205</v>
      </c>
      <c r="K359" s="1609"/>
      <c r="L359" s="1619">
        <f>1+1</f>
        <v>2</v>
      </c>
      <c r="M359" s="1619"/>
      <c r="N359" s="1609"/>
      <c r="O359" s="1609"/>
      <c r="P359" s="1581">
        <f t="shared" si="56"/>
        <v>2</v>
      </c>
      <c r="Q359" s="1609">
        <f>50000*1.07</f>
        <v>53500</v>
      </c>
      <c r="R359" s="1611">
        <f t="shared" si="54"/>
        <v>107000</v>
      </c>
      <c r="S359" s="1611">
        <f t="shared" si="55"/>
        <v>3042.654028436019</v>
      </c>
      <c r="T359" s="1611">
        <f t="shared" si="52"/>
        <v>103957.34597156398</v>
      </c>
      <c r="U359" s="1580"/>
      <c r="V359" s="1580"/>
      <c r="W359" s="1580"/>
      <c r="X359" s="1580"/>
      <c r="Y359" s="1580"/>
      <c r="Z359" s="1580"/>
      <c r="AA359" s="1580"/>
      <c r="AB359" s="1580"/>
      <c r="AC359" s="1580"/>
      <c r="AD359" s="1580"/>
      <c r="AE359" s="1580"/>
      <c r="AF359" s="1580"/>
      <c r="AG359" s="1580"/>
      <c r="AH359" s="1580"/>
      <c r="AI359" s="1580"/>
      <c r="AJ359" s="1580"/>
      <c r="AK359" s="1580"/>
      <c r="AL359" s="1580"/>
      <c r="AM359" s="1580"/>
    </row>
    <row r="360" spans="1:39">
      <c r="A360" s="1609">
        <v>137</v>
      </c>
      <c r="B360" s="1618" t="s">
        <v>1825</v>
      </c>
      <c r="C360" s="1579"/>
      <c r="D360" s="1618" t="s">
        <v>1268</v>
      </c>
      <c r="E360" s="1662">
        <v>15941</v>
      </c>
      <c r="F360" s="1581"/>
      <c r="G360" s="1581"/>
      <c r="H360" s="1581"/>
      <c r="I360" s="1609">
        <v>6</v>
      </c>
      <c r="J360" s="1609">
        <v>205</v>
      </c>
      <c r="K360" s="1581"/>
      <c r="L360" s="1618">
        <f>2+2</f>
        <v>4</v>
      </c>
      <c r="M360" s="1618"/>
      <c r="N360" s="1581"/>
      <c r="O360" s="1581"/>
      <c r="P360" s="1581">
        <f t="shared" si="56"/>
        <v>4</v>
      </c>
      <c r="Q360" s="1581">
        <f>50000*1.07</f>
        <v>53500</v>
      </c>
      <c r="R360" s="1611">
        <f t="shared" si="54"/>
        <v>214000</v>
      </c>
      <c r="S360" s="1611">
        <f t="shared" si="55"/>
        <v>6085.3080568720379</v>
      </c>
      <c r="T360" s="1611">
        <f t="shared" si="52"/>
        <v>207914.69194312795</v>
      </c>
      <c r="U360" s="1580"/>
      <c r="V360" s="1580"/>
      <c r="W360" s="1580"/>
      <c r="X360" s="1580"/>
      <c r="Y360" s="1580"/>
      <c r="Z360" s="1580"/>
      <c r="AA360" s="1580"/>
      <c r="AB360" s="1580"/>
      <c r="AC360" s="1580"/>
      <c r="AD360" s="1580"/>
      <c r="AE360" s="1580"/>
      <c r="AF360" s="1580"/>
      <c r="AG360" s="1580"/>
      <c r="AH360" s="1580"/>
      <c r="AI360" s="1580"/>
      <c r="AJ360" s="1580"/>
      <c r="AK360" s="1580"/>
      <c r="AL360" s="1580"/>
      <c r="AM360" s="1580"/>
    </row>
    <row r="361" spans="1:39" ht="89.25">
      <c r="A361" s="1609">
        <v>113</v>
      </c>
      <c r="B361" s="1619" t="s">
        <v>1826</v>
      </c>
      <c r="C361" s="1579" t="s">
        <v>1827</v>
      </c>
      <c r="D361" s="1619" t="s">
        <v>1022</v>
      </c>
      <c r="E361" s="1662">
        <v>15941</v>
      </c>
      <c r="F361" s="1609"/>
      <c r="G361" s="1609"/>
      <c r="H361" s="1609"/>
      <c r="I361" s="1609">
        <v>6</v>
      </c>
      <c r="J361" s="1609">
        <v>205</v>
      </c>
      <c r="K361" s="1609"/>
      <c r="L361" s="1619">
        <f>1+1</f>
        <v>2</v>
      </c>
      <c r="M361" s="1619"/>
      <c r="N361" s="1609"/>
      <c r="O361" s="1609"/>
      <c r="P361" s="1581">
        <f t="shared" si="56"/>
        <v>2</v>
      </c>
      <c r="Q361" s="1609">
        <f>25000*1.07</f>
        <v>26750</v>
      </c>
      <c r="R361" s="1611">
        <f t="shared" si="54"/>
        <v>53500</v>
      </c>
      <c r="S361" s="1611">
        <f t="shared" si="55"/>
        <v>1521.3270142180095</v>
      </c>
      <c r="T361" s="1611">
        <f t="shared" si="52"/>
        <v>51978.672985781988</v>
      </c>
      <c r="U361" s="1580"/>
      <c r="V361" s="1580"/>
      <c r="W361" s="1580"/>
      <c r="X361" s="1580"/>
      <c r="Y361" s="1580"/>
      <c r="Z361" s="1580"/>
      <c r="AA361" s="1580"/>
      <c r="AB361" s="1580"/>
      <c r="AC361" s="1580"/>
      <c r="AD361" s="1580"/>
      <c r="AE361" s="1580"/>
      <c r="AF361" s="1580"/>
      <c r="AG361" s="1580"/>
      <c r="AH361" s="1580"/>
      <c r="AI361" s="1580"/>
      <c r="AJ361" s="1580"/>
      <c r="AK361" s="1580"/>
      <c r="AL361" s="1580"/>
      <c r="AM361" s="1580"/>
    </row>
    <row r="362" spans="1:39" ht="76.5">
      <c r="A362" s="1609">
        <v>111</v>
      </c>
      <c r="B362" s="1619" t="s">
        <v>1828</v>
      </c>
      <c r="C362" s="917" t="s">
        <v>1829</v>
      </c>
      <c r="D362" s="1619" t="s">
        <v>1268</v>
      </c>
      <c r="E362" s="1662">
        <v>15941</v>
      </c>
      <c r="F362" s="1609"/>
      <c r="G362" s="1609"/>
      <c r="H362" s="1609"/>
      <c r="I362" s="1609">
        <v>6</v>
      </c>
      <c r="J362" s="1609">
        <v>205</v>
      </c>
      <c r="K362" s="1609"/>
      <c r="L362" s="1619">
        <f>1+1</f>
        <v>2</v>
      </c>
      <c r="M362" s="1619"/>
      <c r="N362" s="1609"/>
      <c r="O362" s="1609"/>
      <c r="P362" s="1581">
        <f t="shared" si="56"/>
        <v>2</v>
      </c>
      <c r="Q362" s="1609">
        <f>80000*1.07</f>
        <v>85600</v>
      </c>
      <c r="R362" s="1611">
        <f t="shared" si="54"/>
        <v>171200</v>
      </c>
      <c r="S362" s="1611">
        <f t="shared" si="55"/>
        <v>4868.2464454976298</v>
      </c>
      <c r="T362" s="1611">
        <f t="shared" si="52"/>
        <v>166331.75355450236</v>
      </c>
      <c r="U362" s="1580"/>
      <c r="V362" s="1580"/>
      <c r="W362" s="1580"/>
      <c r="X362" s="1580"/>
      <c r="Y362" s="1580"/>
      <c r="Z362" s="1580"/>
      <c r="AA362" s="1580"/>
      <c r="AB362" s="1580"/>
      <c r="AC362" s="1580"/>
      <c r="AD362" s="1580"/>
      <c r="AE362" s="1580"/>
      <c r="AF362" s="1580"/>
      <c r="AG362" s="1580"/>
      <c r="AH362" s="1580"/>
      <c r="AI362" s="1580"/>
      <c r="AJ362" s="1580"/>
      <c r="AK362" s="1580"/>
      <c r="AL362" s="1580"/>
      <c r="AM362" s="1580"/>
    </row>
    <row r="363" spans="1:39" ht="38.25">
      <c r="A363" s="1609"/>
      <c r="B363" s="917" t="s">
        <v>1830</v>
      </c>
      <c r="C363" s="917" t="s">
        <v>1831</v>
      </c>
      <c r="D363" s="1619" t="s">
        <v>1268</v>
      </c>
      <c r="E363" s="1662">
        <v>15941</v>
      </c>
      <c r="F363" s="1609"/>
      <c r="G363" s="1609"/>
      <c r="H363" s="1609"/>
      <c r="I363" s="1609">
        <v>6</v>
      </c>
      <c r="J363" s="1609">
        <v>205</v>
      </c>
      <c r="K363" s="1609"/>
      <c r="L363" s="1579">
        <v>35</v>
      </c>
      <c r="M363" s="1579">
        <v>35</v>
      </c>
      <c r="N363" s="1609"/>
      <c r="O363" s="1609"/>
      <c r="P363" s="1581">
        <f t="shared" si="56"/>
        <v>35</v>
      </c>
      <c r="Q363" s="1056">
        <f>4500*1.07</f>
        <v>4815</v>
      </c>
      <c r="R363" s="1611">
        <f t="shared" si="54"/>
        <v>168525</v>
      </c>
      <c r="S363" s="1611">
        <f t="shared" si="55"/>
        <v>4792.1800947867296</v>
      </c>
      <c r="T363" s="1611">
        <f t="shared" si="52"/>
        <v>163732.81990521328</v>
      </c>
      <c r="U363" s="1580" t="s">
        <v>2237</v>
      </c>
      <c r="V363" s="1580">
        <f>(26+35)*3</f>
        <v>183</v>
      </c>
      <c r="W363" s="1580"/>
      <c r="X363" s="1580"/>
      <c r="Y363" s="1580"/>
      <c r="Z363" s="1580"/>
      <c r="AA363" s="1580"/>
      <c r="AB363" s="1580"/>
      <c r="AC363" s="1580"/>
      <c r="AD363" s="1580"/>
      <c r="AE363" s="1580"/>
      <c r="AF363" s="1580"/>
      <c r="AG363" s="1580"/>
      <c r="AH363" s="1580"/>
      <c r="AI363" s="1580"/>
      <c r="AJ363" s="1580"/>
      <c r="AK363" s="1580"/>
      <c r="AL363" s="1580"/>
      <c r="AM363" s="1580"/>
    </row>
    <row r="364" spans="1:39">
      <c r="A364" s="1581"/>
      <c r="B364" s="917" t="s">
        <v>1832</v>
      </c>
      <c r="C364" s="917" t="s">
        <v>1833</v>
      </c>
      <c r="D364" s="1619" t="s">
        <v>1268</v>
      </c>
      <c r="E364" s="1662">
        <v>15941</v>
      </c>
      <c r="F364" s="1581"/>
      <c r="G364" s="1675"/>
      <c r="H364" s="1581"/>
      <c r="I364" s="1609">
        <v>6</v>
      </c>
      <c r="J364" s="1609">
        <v>205</v>
      </c>
      <c r="K364" s="1581"/>
      <c r="L364" s="1579">
        <v>35</v>
      </c>
      <c r="M364" s="1579">
        <v>35</v>
      </c>
      <c r="N364" s="1581"/>
      <c r="O364" s="1581"/>
      <c r="P364" s="1581">
        <f t="shared" si="56"/>
        <v>35</v>
      </c>
      <c r="Q364" s="1056">
        <f>900*1.07</f>
        <v>963</v>
      </c>
      <c r="R364" s="1611">
        <f t="shared" si="54"/>
        <v>33705</v>
      </c>
      <c r="S364" s="1611">
        <f t="shared" si="55"/>
        <v>958.43601895734594</v>
      </c>
      <c r="T364" s="1611">
        <f t="shared" si="52"/>
        <v>32746.563981042655</v>
      </c>
      <c r="U364" s="1580" t="s">
        <v>2237</v>
      </c>
      <c r="V364" s="1580">
        <f>(26+35)*3</f>
        <v>183</v>
      </c>
      <c r="W364" s="1580"/>
      <c r="X364" s="1580"/>
      <c r="Y364" s="1580"/>
      <c r="Z364" s="1580"/>
      <c r="AA364" s="1580"/>
      <c r="AB364" s="1580"/>
      <c r="AC364" s="1580"/>
      <c r="AD364" s="1580"/>
      <c r="AE364" s="1580"/>
      <c r="AF364" s="1580"/>
      <c r="AG364" s="1580"/>
      <c r="AH364" s="1580"/>
      <c r="AI364" s="1580"/>
      <c r="AJ364" s="1580"/>
      <c r="AK364" s="1580"/>
      <c r="AL364" s="1580"/>
      <c r="AM364" s="1580"/>
    </row>
    <row r="365" spans="1:39" ht="25.5">
      <c r="A365" s="1581"/>
      <c r="B365" s="917" t="s">
        <v>1834</v>
      </c>
      <c r="C365" s="917" t="s">
        <v>1835</v>
      </c>
      <c r="D365" s="1619" t="s">
        <v>1268</v>
      </c>
      <c r="E365" s="1635">
        <v>15941</v>
      </c>
      <c r="F365" s="1581"/>
      <c r="G365" s="1675"/>
      <c r="H365" s="1581"/>
      <c r="I365" s="1609">
        <v>6</v>
      </c>
      <c r="J365" s="1609">
        <v>205</v>
      </c>
      <c r="K365" s="1581"/>
      <c r="L365" s="1579">
        <v>12</v>
      </c>
      <c r="M365" s="1579">
        <v>17</v>
      </c>
      <c r="N365" s="1581"/>
      <c r="O365" s="1581"/>
      <c r="P365" s="1581">
        <f t="shared" si="56"/>
        <v>12</v>
      </c>
      <c r="Q365" s="1056">
        <f>4800*1.07</f>
        <v>5136</v>
      </c>
      <c r="R365" s="1611">
        <f t="shared" si="54"/>
        <v>61632</v>
      </c>
      <c r="S365" s="1611">
        <f t="shared" si="55"/>
        <v>1752.568720379147</v>
      </c>
      <c r="T365" s="1611">
        <f t="shared" si="52"/>
        <v>59879.431279620854</v>
      </c>
      <c r="U365" s="1580" t="s">
        <v>2238</v>
      </c>
      <c r="V365" s="1580">
        <f>(2+2+2+2+1+1+1+1+1+1+2+1)*1</f>
        <v>17</v>
      </c>
      <c r="W365" s="1580"/>
      <c r="X365" s="1580"/>
      <c r="Y365" s="1580"/>
      <c r="Z365" s="1580"/>
      <c r="AA365" s="1580"/>
      <c r="AB365" s="1580"/>
      <c r="AC365" s="1580"/>
      <c r="AD365" s="1580"/>
      <c r="AE365" s="1580"/>
      <c r="AF365" s="1580"/>
      <c r="AG365" s="1580"/>
      <c r="AH365" s="1580"/>
      <c r="AI365" s="1580"/>
      <c r="AJ365" s="1580"/>
      <c r="AK365" s="1580"/>
      <c r="AL365" s="1580"/>
      <c r="AM365" s="1580"/>
    </row>
    <row r="366" spans="1:39">
      <c r="B366" s="1638"/>
      <c r="C366" s="1658"/>
      <c r="D366" s="120"/>
      <c r="E366" s="1641"/>
      <c r="G366" s="1641"/>
    </row>
    <row r="367" spans="1:39">
      <c r="B367" s="524"/>
      <c r="C367" s="1676"/>
      <c r="D367" s="120"/>
      <c r="E367" s="1641"/>
      <c r="G367" s="1641"/>
    </row>
    <row r="368" spans="1:39">
      <c r="B368" s="524"/>
      <c r="C368" s="1676"/>
      <c r="D368" s="120"/>
      <c r="E368" s="1641"/>
      <c r="G368" s="1677"/>
    </row>
    <row r="369" spans="1:7">
      <c r="B369" s="524"/>
      <c r="C369" s="524"/>
      <c r="D369" s="1677"/>
      <c r="E369" s="1677"/>
      <c r="G369" s="1641"/>
    </row>
    <row r="370" spans="1:7">
      <c r="B370" s="524"/>
      <c r="C370" s="524"/>
    </row>
    <row r="371" spans="1:7">
      <c r="A371" s="1587">
        <v>1</v>
      </c>
      <c r="B371" s="524"/>
      <c r="C371" s="524"/>
    </row>
    <row r="372" spans="1:7">
      <c r="A372" s="1587">
        <v>2</v>
      </c>
      <c r="B372" s="524"/>
      <c r="C372" s="1677"/>
      <c r="D372" s="1587" t="s">
        <v>1839</v>
      </c>
    </row>
    <row r="373" spans="1:7">
      <c r="A373" s="1587">
        <v>3</v>
      </c>
      <c r="D373" s="1587" t="s">
        <v>1841</v>
      </c>
    </row>
    <row r="374" spans="1:7">
      <c r="A374" s="1587">
        <v>4</v>
      </c>
      <c r="B374" s="1587" t="s">
        <v>1836</v>
      </c>
    </row>
    <row r="375" spans="1:7">
      <c r="A375" s="1587">
        <v>5</v>
      </c>
      <c r="B375" s="1587" t="s">
        <v>1837</v>
      </c>
      <c r="C375" s="1655" t="s">
        <v>1838</v>
      </c>
    </row>
    <row r="376" spans="1:7">
      <c r="A376" s="1587">
        <v>6</v>
      </c>
      <c r="B376" s="1587" t="s">
        <v>1837</v>
      </c>
      <c r="C376" s="1655" t="s">
        <v>1840</v>
      </c>
    </row>
    <row r="377" spans="1:7" ht="45" customHeight="1">
      <c r="A377" s="1587">
        <v>7</v>
      </c>
      <c r="B377" s="1587" t="s">
        <v>1842</v>
      </c>
      <c r="C377" s="1655" t="s">
        <v>1843</v>
      </c>
    </row>
    <row r="378" spans="1:7" ht="25.5">
      <c r="A378" s="1587">
        <v>8</v>
      </c>
      <c r="B378" s="1587" t="s">
        <v>1675</v>
      </c>
      <c r="C378" s="1655" t="s">
        <v>1844</v>
      </c>
      <c r="D378" s="1587" t="s">
        <v>1395</v>
      </c>
    </row>
    <row r="379" spans="1:7">
      <c r="A379" s="1587">
        <v>9</v>
      </c>
      <c r="B379" s="1587" t="s">
        <v>1845</v>
      </c>
      <c r="C379" s="1655" t="s">
        <v>1846</v>
      </c>
      <c r="D379" s="1587" t="s">
        <v>1016</v>
      </c>
    </row>
    <row r="380" spans="1:7" ht="38.25">
      <c r="A380" s="1587">
        <v>10</v>
      </c>
      <c r="B380" s="1587" t="s">
        <v>1675</v>
      </c>
      <c r="C380" s="1655" t="s">
        <v>1847</v>
      </c>
      <c r="D380" s="1587" t="s">
        <v>1587</v>
      </c>
    </row>
    <row r="381" spans="1:7">
      <c r="A381" s="1587">
        <v>11</v>
      </c>
      <c r="B381" s="1587" t="s">
        <v>1848</v>
      </c>
      <c r="C381" s="1655" t="s">
        <v>1849</v>
      </c>
      <c r="D381" s="1587" t="s">
        <v>1022</v>
      </c>
    </row>
    <row r="382" spans="1:7">
      <c r="A382" s="1587">
        <v>12</v>
      </c>
      <c r="B382" s="1587" t="s">
        <v>1850</v>
      </c>
      <c r="C382" s="1655" t="s">
        <v>1851</v>
      </c>
      <c r="D382" s="1587" t="s">
        <v>1022</v>
      </c>
    </row>
    <row r="383" spans="1:7">
      <c r="A383" s="1587">
        <v>13</v>
      </c>
      <c r="B383" s="1587" t="s">
        <v>1852</v>
      </c>
      <c r="C383" s="1655" t="s">
        <v>1853</v>
      </c>
      <c r="D383" s="1587" t="s">
        <v>1395</v>
      </c>
    </row>
    <row r="384" spans="1:7" hidden="1">
      <c r="A384" s="1587">
        <v>14</v>
      </c>
      <c r="B384" s="1587" t="s">
        <v>1854</v>
      </c>
      <c r="C384" s="1655" t="s">
        <v>1855</v>
      </c>
      <c r="D384" s="1587" t="s">
        <v>1860</v>
      </c>
      <c r="E384" s="1587" t="s">
        <v>469</v>
      </c>
      <c r="F384" s="1587" t="s">
        <v>1861</v>
      </c>
      <c r="G384" s="1587" t="s">
        <v>1196</v>
      </c>
    </row>
    <row r="385" spans="1:8" hidden="1">
      <c r="A385" s="1587">
        <v>15</v>
      </c>
      <c r="B385" s="1587" t="s">
        <v>1856</v>
      </c>
      <c r="C385" s="1655" t="s">
        <v>1857</v>
      </c>
      <c r="D385" s="1588">
        <v>1050</v>
      </c>
      <c r="E385" s="1588">
        <v>1050</v>
      </c>
      <c r="G385" s="1585">
        <v>420</v>
      </c>
      <c r="H385" s="1678">
        <f t="shared" ref="H385:H391" si="57">C388+D385+E385+F385+G385</f>
        <v>2850</v>
      </c>
    </row>
    <row r="386" spans="1:8" hidden="1">
      <c r="A386" s="1587">
        <v>16</v>
      </c>
      <c r="B386" s="1587" t="s">
        <v>1444</v>
      </c>
      <c r="C386" s="1655" t="s">
        <v>1858</v>
      </c>
      <c r="D386" s="1586">
        <v>24</v>
      </c>
      <c r="E386" s="1586">
        <v>31</v>
      </c>
      <c r="G386" s="1585">
        <v>33</v>
      </c>
      <c r="H386" s="1678">
        <f t="shared" si="57"/>
        <v>93</v>
      </c>
    </row>
    <row r="387" spans="1:8" hidden="1">
      <c r="A387" s="1587">
        <v>17</v>
      </c>
      <c r="C387" s="1655" t="s">
        <v>1859</v>
      </c>
      <c r="D387" s="1579">
        <v>65</v>
      </c>
      <c r="E387" s="1585">
        <v>65</v>
      </c>
      <c r="F387" s="1582">
        <v>65</v>
      </c>
      <c r="G387" s="1585">
        <v>91</v>
      </c>
      <c r="H387" s="1678">
        <f t="shared" si="57"/>
        <v>331</v>
      </c>
    </row>
    <row r="388" spans="1:8" hidden="1">
      <c r="A388" s="1587">
        <v>18</v>
      </c>
      <c r="B388" s="1534" t="s">
        <v>1781</v>
      </c>
      <c r="C388" s="1534">
        <v>330</v>
      </c>
      <c r="D388" s="1586">
        <v>2</v>
      </c>
      <c r="E388" s="1586">
        <v>2</v>
      </c>
      <c r="G388" s="1585">
        <v>2</v>
      </c>
      <c r="H388" s="1678">
        <f t="shared" si="57"/>
        <v>8</v>
      </c>
    </row>
    <row r="389" spans="1:8" hidden="1">
      <c r="A389" s="1587">
        <v>19</v>
      </c>
      <c r="B389" s="1534" t="s">
        <v>1862</v>
      </c>
      <c r="C389" s="1056">
        <v>5</v>
      </c>
      <c r="D389" s="1585">
        <v>10</v>
      </c>
      <c r="E389" s="1586"/>
      <c r="G389" s="1585">
        <v>70</v>
      </c>
      <c r="H389" s="1678">
        <f t="shared" si="57"/>
        <v>125</v>
      </c>
    </row>
    <row r="390" spans="1:8" hidden="1">
      <c r="A390" s="1587">
        <v>20</v>
      </c>
      <c r="B390" s="1534" t="s">
        <v>1863</v>
      </c>
      <c r="C390" s="1534">
        <v>45</v>
      </c>
      <c r="D390" s="1586">
        <v>50</v>
      </c>
      <c r="E390" s="1585">
        <v>10</v>
      </c>
      <c r="F390" s="1587">
        <v>10</v>
      </c>
      <c r="G390" s="1585">
        <v>80</v>
      </c>
      <c r="H390" s="1678">
        <f t="shared" si="57"/>
        <v>195</v>
      </c>
    </row>
    <row r="391" spans="1:8" hidden="1">
      <c r="A391" s="1587">
        <v>21</v>
      </c>
      <c r="B391" s="1589" t="s">
        <v>1864</v>
      </c>
      <c r="C391" s="1056">
        <v>2</v>
      </c>
      <c r="D391" s="1584">
        <v>2</v>
      </c>
      <c r="E391" s="1586">
        <v>2</v>
      </c>
      <c r="G391" s="1584">
        <v>2</v>
      </c>
      <c r="H391" s="1678">
        <f t="shared" si="57"/>
        <v>7</v>
      </c>
    </row>
    <row r="392" spans="1:8" hidden="1">
      <c r="A392" s="1587">
        <v>22</v>
      </c>
      <c r="B392" s="1534" t="s">
        <v>1865</v>
      </c>
      <c r="C392" s="1056">
        <v>45</v>
      </c>
      <c r="E392" s="1587">
        <v>10</v>
      </c>
      <c r="F392" s="1587">
        <v>10</v>
      </c>
    </row>
    <row r="393" spans="1:8" hidden="1">
      <c r="A393" s="1587">
        <v>23</v>
      </c>
      <c r="B393" s="1534" t="s">
        <v>1866</v>
      </c>
      <c r="C393" s="1534">
        <v>45</v>
      </c>
      <c r="D393" s="1586">
        <v>14</v>
      </c>
      <c r="E393" s="1587">
        <v>10</v>
      </c>
      <c r="F393" s="1587">
        <f>D393+E393</f>
        <v>24</v>
      </c>
    </row>
    <row r="394" spans="1:8" hidden="1">
      <c r="A394" s="1587">
        <v>24</v>
      </c>
      <c r="B394" s="1056" t="s">
        <v>1776</v>
      </c>
      <c r="C394" s="1534">
        <v>1</v>
      </c>
      <c r="D394" s="1586">
        <v>3</v>
      </c>
      <c r="F394" s="1587">
        <f t="shared" ref="F394:F404" si="58">D394+E394</f>
        <v>3</v>
      </c>
    </row>
    <row r="395" spans="1:8" hidden="1">
      <c r="A395" s="1587">
        <v>25</v>
      </c>
      <c r="B395" s="1587" t="s">
        <v>1867</v>
      </c>
      <c r="D395" s="1586">
        <v>3000</v>
      </c>
      <c r="F395" s="1587">
        <f t="shared" si="58"/>
        <v>3000</v>
      </c>
    </row>
    <row r="396" spans="1:8" ht="25.5" hidden="1">
      <c r="A396" s="1587">
        <v>26</v>
      </c>
      <c r="B396" s="1062" t="s">
        <v>1868</v>
      </c>
      <c r="C396" s="1579" t="s">
        <v>1022</v>
      </c>
      <c r="D396" s="1586">
        <v>12</v>
      </c>
      <c r="F396" s="1587">
        <f t="shared" si="58"/>
        <v>12</v>
      </c>
    </row>
    <row r="397" spans="1:8" ht="25.5" hidden="1">
      <c r="A397" s="1587">
        <v>27</v>
      </c>
      <c r="B397" s="1062" t="s">
        <v>1869</v>
      </c>
      <c r="C397" s="1579" t="s">
        <v>1022</v>
      </c>
      <c r="D397" s="1586">
        <v>12</v>
      </c>
      <c r="F397" s="1587">
        <f t="shared" si="58"/>
        <v>12</v>
      </c>
    </row>
    <row r="398" spans="1:8" hidden="1">
      <c r="A398" s="1587">
        <v>28</v>
      </c>
      <c r="B398" s="1062" t="s">
        <v>1870</v>
      </c>
      <c r="C398" s="1579" t="s">
        <v>1022</v>
      </c>
      <c r="D398" s="1586">
        <v>14</v>
      </c>
      <c r="F398" s="1587">
        <f t="shared" si="58"/>
        <v>14</v>
      </c>
    </row>
    <row r="399" spans="1:8" ht="25.5" hidden="1">
      <c r="A399" s="1587">
        <v>29</v>
      </c>
      <c r="B399" s="1062" t="s">
        <v>1871</v>
      </c>
      <c r="C399" s="1579" t="s">
        <v>1022</v>
      </c>
      <c r="D399" s="1586">
        <v>48</v>
      </c>
      <c r="F399" s="1587">
        <f t="shared" si="58"/>
        <v>48</v>
      </c>
    </row>
    <row r="400" spans="1:8" ht="25.5" hidden="1">
      <c r="A400" s="1587">
        <v>30</v>
      </c>
      <c r="B400" s="1062" t="s">
        <v>1872</v>
      </c>
      <c r="C400" s="1579" t="s">
        <v>1022</v>
      </c>
      <c r="D400" s="1586">
        <v>1</v>
      </c>
      <c r="F400" s="1587">
        <f t="shared" si="58"/>
        <v>1</v>
      </c>
    </row>
    <row r="401" spans="1:6" ht="25.5" hidden="1">
      <c r="A401" s="1587">
        <v>31</v>
      </c>
      <c r="B401" s="1062" t="s">
        <v>1873</v>
      </c>
      <c r="C401" s="1579" t="s">
        <v>1022</v>
      </c>
      <c r="D401" s="1586">
        <v>1</v>
      </c>
      <c r="F401" s="1587">
        <f t="shared" si="58"/>
        <v>1</v>
      </c>
    </row>
    <row r="402" spans="1:6" ht="25.5" hidden="1">
      <c r="A402" s="1587">
        <v>32</v>
      </c>
      <c r="B402" s="1062" t="s">
        <v>1874</v>
      </c>
      <c r="C402" s="1579" t="s">
        <v>1022</v>
      </c>
      <c r="D402" s="1586">
        <v>60</v>
      </c>
      <c r="E402" s="1587">
        <v>60</v>
      </c>
      <c r="F402" s="1587">
        <f t="shared" si="58"/>
        <v>120</v>
      </c>
    </row>
    <row r="403" spans="1:6" ht="25.5" hidden="1">
      <c r="A403" s="1587">
        <v>33</v>
      </c>
      <c r="B403" s="1062" t="s">
        <v>1875</v>
      </c>
      <c r="C403" s="1579" t="s">
        <v>1022</v>
      </c>
      <c r="D403" s="1586">
        <v>60</v>
      </c>
      <c r="E403" s="1587">
        <v>60</v>
      </c>
      <c r="F403" s="1587">
        <f t="shared" si="58"/>
        <v>120</v>
      </c>
    </row>
    <row r="404" spans="1:6" ht="25.5" hidden="1">
      <c r="A404" s="1587">
        <v>34</v>
      </c>
      <c r="B404" s="1062" t="s">
        <v>1876</v>
      </c>
      <c r="C404" s="1579" t="s">
        <v>1022</v>
      </c>
      <c r="D404" s="1585">
        <v>36</v>
      </c>
      <c r="F404" s="1587">
        <f t="shared" si="58"/>
        <v>36</v>
      </c>
    </row>
    <row r="405" spans="1:6" ht="25.5" hidden="1">
      <c r="A405" s="1587">
        <v>35</v>
      </c>
      <c r="B405" s="1062" t="s">
        <v>1877</v>
      </c>
      <c r="C405" s="1579" t="s">
        <v>1022</v>
      </c>
      <c r="D405" s="1585"/>
    </row>
    <row r="406" spans="1:6" ht="25.5">
      <c r="A406" s="1587">
        <v>36</v>
      </c>
      <c r="B406" s="1062" t="s">
        <v>1878</v>
      </c>
      <c r="C406" s="1579" t="s">
        <v>1022</v>
      </c>
      <c r="D406" s="1587" t="s">
        <v>1022</v>
      </c>
    </row>
    <row r="407" spans="1:6">
      <c r="A407" s="1587">
        <v>37</v>
      </c>
      <c r="B407" s="1535" t="s">
        <v>1879</v>
      </c>
      <c r="C407" s="1579" t="s">
        <v>1268</v>
      </c>
      <c r="D407" s="1587" t="s">
        <v>1022</v>
      </c>
    </row>
    <row r="408" spans="1:6">
      <c r="A408" s="1587">
        <v>38</v>
      </c>
      <c r="B408" s="1535"/>
      <c r="C408" s="1579"/>
    </row>
    <row r="409" spans="1:6">
      <c r="A409" s="1587">
        <v>39</v>
      </c>
      <c r="B409" s="1655" t="s">
        <v>1444</v>
      </c>
      <c r="C409" s="1655" t="s">
        <v>1880</v>
      </c>
      <c r="D409" s="1587" t="s">
        <v>1022</v>
      </c>
    </row>
    <row r="410" spans="1:6">
      <c r="A410" s="1587">
        <v>40</v>
      </c>
      <c r="B410" s="1655" t="s">
        <v>1881</v>
      </c>
      <c r="C410" s="1655" t="s">
        <v>1882</v>
      </c>
    </row>
    <row r="411" spans="1:6">
      <c r="A411" s="1587">
        <v>41</v>
      </c>
      <c r="B411" s="1655" t="s">
        <v>1883</v>
      </c>
      <c r="C411" s="1655" t="s">
        <v>1884</v>
      </c>
    </row>
    <row r="412" spans="1:6">
      <c r="A412" s="1587">
        <v>42</v>
      </c>
      <c r="B412" s="1655" t="s">
        <v>1885</v>
      </c>
      <c r="C412" s="1655" t="s">
        <v>1886</v>
      </c>
    </row>
    <row r="413" spans="1:6">
      <c r="A413" s="1587">
        <v>43</v>
      </c>
      <c r="B413" s="1655" t="s">
        <v>1887</v>
      </c>
      <c r="C413" s="1655" t="s">
        <v>1888</v>
      </c>
    </row>
    <row r="414" spans="1:6">
      <c r="A414" s="1587">
        <v>44</v>
      </c>
      <c r="B414" s="1655" t="s">
        <v>1889</v>
      </c>
      <c r="C414" s="1655" t="s">
        <v>1890</v>
      </c>
    </row>
    <row r="415" spans="1:6">
      <c r="A415" s="1587">
        <v>45</v>
      </c>
      <c r="B415" s="1655" t="s">
        <v>1891</v>
      </c>
      <c r="C415" s="1655" t="s">
        <v>1892</v>
      </c>
    </row>
    <row r="416" spans="1:6">
      <c r="A416" s="1587">
        <v>46</v>
      </c>
      <c r="B416" s="1655" t="s">
        <v>1893</v>
      </c>
      <c r="C416" s="1655" t="s">
        <v>1894</v>
      </c>
      <c r="D416" s="1587" t="s">
        <v>1016</v>
      </c>
    </row>
    <row r="417" spans="1:5">
      <c r="A417" s="1587">
        <v>47</v>
      </c>
      <c r="B417" s="1655" t="s">
        <v>1895</v>
      </c>
      <c r="C417" s="1655" t="s">
        <v>1896</v>
      </c>
      <c r="D417" s="1587" t="s">
        <v>1290</v>
      </c>
    </row>
    <row r="418" spans="1:5" ht="38.25">
      <c r="A418" s="1587">
        <v>48</v>
      </c>
      <c r="B418" s="1655" t="s">
        <v>1897</v>
      </c>
      <c r="C418" s="1655" t="s">
        <v>1898</v>
      </c>
      <c r="D418" s="1587" t="s">
        <v>1022</v>
      </c>
    </row>
    <row r="419" spans="1:5">
      <c r="A419" s="1587">
        <v>49</v>
      </c>
      <c r="B419" s="1655" t="s">
        <v>1899</v>
      </c>
      <c r="C419" s="1655" t="s">
        <v>1900</v>
      </c>
    </row>
    <row r="420" spans="1:5" ht="25.5">
      <c r="A420" s="1587">
        <v>50</v>
      </c>
      <c r="B420" s="1655" t="s">
        <v>1901</v>
      </c>
      <c r="C420" s="1655" t="s">
        <v>1902</v>
      </c>
      <c r="D420" s="1587" t="s">
        <v>1909</v>
      </c>
    </row>
    <row r="421" spans="1:5" ht="25.5">
      <c r="A421" s="1587">
        <v>51</v>
      </c>
      <c r="B421" s="1655" t="s">
        <v>1903</v>
      </c>
      <c r="C421" s="1655" t="s">
        <v>1904</v>
      </c>
      <c r="D421" s="1587" t="s">
        <v>1022</v>
      </c>
      <c r="E421" s="1587" t="s">
        <v>1912</v>
      </c>
    </row>
    <row r="422" spans="1:5" ht="25.5">
      <c r="A422" s="1587">
        <v>52</v>
      </c>
      <c r="B422" s="1655" t="s">
        <v>1905</v>
      </c>
      <c r="C422" s="1655" t="s">
        <v>1906</v>
      </c>
      <c r="D422" s="1587" t="s">
        <v>1914</v>
      </c>
    </row>
    <row r="423" spans="1:5">
      <c r="A423" s="1587">
        <v>53</v>
      </c>
      <c r="B423" s="1587" t="s">
        <v>1907</v>
      </c>
      <c r="C423" s="1655" t="s">
        <v>1908</v>
      </c>
      <c r="D423" s="1587" t="s">
        <v>1022</v>
      </c>
    </row>
    <row r="424" spans="1:5">
      <c r="A424" s="1587">
        <v>54</v>
      </c>
      <c r="B424" s="1655" t="s">
        <v>1910</v>
      </c>
      <c r="C424" s="1655" t="s">
        <v>1911</v>
      </c>
      <c r="D424" s="1587" t="s">
        <v>1914</v>
      </c>
    </row>
    <row r="425" spans="1:5" ht="25.5">
      <c r="A425" s="1587">
        <v>55</v>
      </c>
      <c r="B425" s="1655" t="s">
        <v>1913</v>
      </c>
      <c r="D425" s="1587" t="s">
        <v>1022</v>
      </c>
    </row>
    <row r="426" spans="1:5">
      <c r="A426" s="1587">
        <v>56</v>
      </c>
      <c r="B426" s="1655" t="s">
        <v>1915</v>
      </c>
      <c r="C426" s="1655" t="s">
        <v>1916</v>
      </c>
      <c r="D426" s="1587" t="s">
        <v>1022</v>
      </c>
    </row>
    <row r="427" spans="1:5">
      <c r="A427" s="1587">
        <v>57</v>
      </c>
      <c r="B427" s="1655" t="s">
        <v>1917</v>
      </c>
      <c r="C427" s="1655" t="s">
        <v>1918</v>
      </c>
      <c r="D427" s="1587" t="s">
        <v>1914</v>
      </c>
    </row>
    <row r="428" spans="1:5">
      <c r="A428" s="1587">
        <v>58</v>
      </c>
      <c r="B428" s="1655" t="s">
        <v>1919</v>
      </c>
      <c r="C428" s="1655" t="s">
        <v>1920</v>
      </c>
      <c r="D428" s="1587" t="s">
        <v>1022</v>
      </c>
    </row>
    <row r="429" spans="1:5">
      <c r="A429" s="1587">
        <v>59</v>
      </c>
      <c r="B429" s="1655" t="s">
        <v>1921</v>
      </c>
      <c r="C429" s="1655" t="s">
        <v>1922</v>
      </c>
      <c r="D429" s="1587" t="s">
        <v>1022</v>
      </c>
    </row>
    <row r="430" spans="1:5" ht="25.5">
      <c r="A430" s="1587">
        <v>60</v>
      </c>
      <c r="B430" s="1655" t="s">
        <v>1923</v>
      </c>
      <c r="C430" s="1655" t="s">
        <v>1924</v>
      </c>
      <c r="D430" s="1587" t="s">
        <v>1022</v>
      </c>
    </row>
    <row r="431" spans="1:5" ht="25.5">
      <c r="A431" s="1587">
        <v>61</v>
      </c>
      <c r="B431" s="1655" t="s">
        <v>1925</v>
      </c>
      <c r="C431" s="1655" t="s">
        <v>1926</v>
      </c>
      <c r="D431" s="1587" t="s">
        <v>1933</v>
      </c>
    </row>
    <row r="432" spans="1:5" ht="25.5">
      <c r="A432" s="1587">
        <v>62</v>
      </c>
      <c r="B432" s="1655" t="s">
        <v>1927</v>
      </c>
      <c r="C432" s="1655" t="s">
        <v>1928</v>
      </c>
      <c r="D432" s="1587" t="s">
        <v>1022</v>
      </c>
    </row>
    <row r="433" spans="1:5">
      <c r="A433" s="1587">
        <v>63</v>
      </c>
      <c r="B433" s="1655" t="s">
        <v>1929</v>
      </c>
      <c r="C433" s="1655" t="s">
        <v>1930</v>
      </c>
      <c r="D433" s="1587" t="s">
        <v>1022</v>
      </c>
    </row>
    <row r="434" spans="1:5">
      <c r="A434" s="1587">
        <v>64</v>
      </c>
      <c r="B434" s="1655" t="s">
        <v>1931</v>
      </c>
      <c r="C434" s="1655" t="s">
        <v>1932</v>
      </c>
    </row>
    <row r="435" spans="1:5">
      <c r="A435" s="1587">
        <v>65</v>
      </c>
      <c r="B435" s="1655" t="s">
        <v>1934</v>
      </c>
      <c r="C435" s="1655" t="s">
        <v>1935</v>
      </c>
      <c r="D435" s="1587" t="s">
        <v>1940</v>
      </c>
    </row>
    <row r="436" spans="1:5" ht="25.5">
      <c r="A436" s="1587">
        <v>66</v>
      </c>
      <c r="B436" s="1655" t="s">
        <v>1934</v>
      </c>
      <c r="C436" s="1655" t="s">
        <v>1936</v>
      </c>
    </row>
    <row r="437" spans="1:5">
      <c r="A437" s="1587">
        <v>67</v>
      </c>
      <c r="B437" s="1655" t="s">
        <v>1320</v>
      </c>
      <c r="C437" s="1655" t="s">
        <v>1937</v>
      </c>
      <c r="D437" s="1587" t="s">
        <v>1022</v>
      </c>
    </row>
    <row r="438" spans="1:5" ht="25.5">
      <c r="A438" s="1587">
        <v>68</v>
      </c>
      <c r="B438" s="1655" t="s">
        <v>1938</v>
      </c>
      <c r="C438" s="1655" t="s">
        <v>1939</v>
      </c>
      <c r="D438" s="1587" t="s">
        <v>1022</v>
      </c>
    </row>
    <row r="439" spans="1:5" ht="25.5">
      <c r="A439" s="1587">
        <v>69</v>
      </c>
      <c r="B439" s="1655" t="s">
        <v>1941</v>
      </c>
      <c r="C439" s="1655" t="s">
        <v>1942</v>
      </c>
      <c r="D439" s="1587" t="s">
        <v>1022</v>
      </c>
    </row>
    <row r="440" spans="1:5" ht="25.5">
      <c r="A440" s="1587">
        <v>70</v>
      </c>
      <c r="B440" s="1655" t="s">
        <v>1943</v>
      </c>
      <c r="D440" s="1587" t="s">
        <v>1022</v>
      </c>
    </row>
    <row r="441" spans="1:5" ht="25.5">
      <c r="A441" s="1587">
        <v>71</v>
      </c>
      <c r="B441" s="1655" t="s">
        <v>1944</v>
      </c>
    </row>
    <row r="442" spans="1:5">
      <c r="A442" s="1587">
        <v>72</v>
      </c>
      <c r="B442" s="1655" t="s">
        <v>1945</v>
      </c>
    </row>
    <row r="443" spans="1:5">
      <c r="A443" s="1587">
        <v>73</v>
      </c>
      <c r="B443" s="1655" t="s">
        <v>1946</v>
      </c>
      <c r="C443" s="1655" t="s">
        <v>1947</v>
      </c>
    </row>
    <row r="444" spans="1:5">
      <c r="A444" s="1587">
        <v>74</v>
      </c>
      <c r="B444" s="1655" t="s">
        <v>1724</v>
      </c>
      <c r="C444" s="1655" t="s">
        <v>1948</v>
      </c>
      <c r="E444" s="1587" t="s">
        <v>1954</v>
      </c>
    </row>
    <row r="445" spans="1:5">
      <c r="A445" s="1587">
        <v>75</v>
      </c>
      <c r="B445" s="1638" t="s">
        <v>1435</v>
      </c>
      <c r="C445" s="1655" t="s">
        <v>1949</v>
      </c>
    </row>
    <row r="446" spans="1:5">
      <c r="A446" s="1587">
        <v>76</v>
      </c>
      <c r="B446" s="1655" t="s">
        <v>1950</v>
      </c>
      <c r="C446" s="1655" t="s">
        <v>1951</v>
      </c>
      <c r="D446" s="1587" t="s">
        <v>1022</v>
      </c>
    </row>
    <row r="447" spans="1:5">
      <c r="A447" s="1587">
        <v>77</v>
      </c>
      <c r="B447" s="1655" t="s">
        <v>1952</v>
      </c>
      <c r="C447" s="1655" t="s">
        <v>1953</v>
      </c>
      <c r="D447" s="1587" t="s">
        <v>1411</v>
      </c>
    </row>
    <row r="448" spans="1:5">
      <c r="A448" s="1587">
        <v>78</v>
      </c>
      <c r="B448" s="1643" t="s">
        <v>1706</v>
      </c>
      <c r="C448" s="1655" t="s">
        <v>1955</v>
      </c>
      <c r="D448" s="1587" t="s">
        <v>1022</v>
      </c>
    </row>
    <row r="449" spans="1:4">
      <c r="A449" s="1587">
        <v>79</v>
      </c>
      <c r="B449" s="1655" t="s">
        <v>1956</v>
      </c>
      <c r="C449" s="1655" t="s">
        <v>1957</v>
      </c>
      <c r="D449" s="1587" t="s">
        <v>1022</v>
      </c>
    </row>
    <row r="450" spans="1:4">
      <c r="A450" s="1587">
        <v>80</v>
      </c>
      <c r="B450" s="1655" t="s">
        <v>1710</v>
      </c>
    </row>
    <row r="451" spans="1:4">
      <c r="A451" s="1587">
        <v>81</v>
      </c>
      <c r="B451" s="1655" t="s">
        <v>1958</v>
      </c>
      <c r="C451" s="1655" t="s">
        <v>1959</v>
      </c>
      <c r="D451" s="1587" t="s">
        <v>1022</v>
      </c>
    </row>
    <row r="452" spans="1:4">
      <c r="A452" s="1587">
        <v>82</v>
      </c>
      <c r="B452" s="1587" t="s">
        <v>1958</v>
      </c>
      <c r="C452" s="1655" t="s">
        <v>1960</v>
      </c>
    </row>
    <row r="453" spans="1:4">
      <c r="A453" s="1587">
        <v>83</v>
      </c>
      <c r="B453" s="1587" t="s">
        <v>1961</v>
      </c>
    </row>
    <row r="454" spans="1:4">
      <c r="A454" s="1587">
        <v>84</v>
      </c>
      <c r="B454" s="1587" t="s">
        <v>1962</v>
      </c>
      <c r="C454" s="1655" t="s">
        <v>1963</v>
      </c>
      <c r="D454" s="1587" t="s">
        <v>1022</v>
      </c>
    </row>
    <row r="455" spans="1:4">
      <c r="A455" s="1587">
        <v>85</v>
      </c>
      <c r="B455" s="1587" t="s">
        <v>1964</v>
      </c>
      <c r="C455" s="1655" t="s">
        <v>1965</v>
      </c>
    </row>
    <row r="456" spans="1:4">
      <c r="B456" s="1587" t="s">
        <v>1966</v>
      </c>
      <c r="D456" s="1587" t="s">
        <v>1022</v>
      </c>
    </row>
    <row r="457" spans="1:4">
      <c r="B457" s="1587" t="s">
        <v>1967</v>
      </c>
      <c r="C457" s="1655" t="s">
        <v>1968</v>
      </c>
      <c r="D457" s="1587" t="s">
        <v>1022</v>
      </c>
    </row>
    <row r="458" spans="1:4">
      <c r="B458" s="1587" t="s">
        <v>1969</v>
      </c>
      <c r="C458" s="1655" t="s">
        <v>1970</v>
      </c>
      <c r="D458" s="1587" t="s">
        <v>1022</v>
      </c>
    </row>
    <row r="459" spans="1:4">
      <c r="B459" s="1587" t="s">
        <v>1971</v>
      </c>
      <c r="D459" s="1587" t="s">
        <v>1022</v>
      </c>
    </row>
    <row r="460" spans="1:4">
      <c r="B460" s="1587" t="s">
        <v>1972</v>
      </c>
      <c r="C460" s="1655" t="s">
        <v>1963</v>
      </c>
      <c r="D460" s="1587" t="s">
        <v>1022</v>
      </c>
    </row>
    <row r="461" spans="1:4">
      <c r="B461" s="1587" t="s">
        <v>1972</v>
      </c>
      <c r="C461" s="1655" t="s">
        <v>1973</v>
      </c>
      <c r="D461" s="1587" t="s">
        <v>1022</v>
      </c>
    </row>
    <row r="462" spans="1:4">
      <c r="B462" s="1587" t="s">
        <v>1974</v>
      </c>
      <c r="C462" s="1655" t="s">
        <v>1975</v>
      </c>
    </row>
    <row r="463" spans="1:4">
      <c r="B463" s="1587" t="s">
        <v>1976</v>
      </c>
      <c r="C463" s="1655" t="s">
        <v>1975</v>
      </c>
      <c r="D463" s="1587" t="s">
        <v>1022</v>
      </c>
    </row>
    <row r="464" spans="1:4">
      <c r="B464" s="1587" t="s">
        <v>1977</v>
      </c>
      <c r="C464" s="1655" t="s">
        <v>1978</v>
      </c>
      <c r="D464" s="1587" t="s">
        <v>1525</v>
      </c>
    </row>
    <row r="465" spans="2:4">
      <c r="B465" s="1587" t="s">
        <v>1979</v>
      </c>
      <c r="D465" s="1587" t="s">
        <v>1525</v>
      </c>
    </row>
    <row r="466" spans="2:4">
      <c r="B466" s="1587" t="s">
        <v>1980</v>
      </c>
      <c r="C466" s="1655" t="s">
        <v>1978</v>
      </c>
      <c r="D466" s="1587" t="s">
        <v>1525</v>
      </c>
    </row>
    <row r="467" spans="2:4">
      <c r="B467" s="1655" t="s">
        <v>1981</v>
      </c>
      <c r="C467" s="1655" t="s">
        <v>1982</v>
      </c>
    </row>
    <row r="468" spans="2:4">
      <c r="B468" s="1655" t="s">
        <v>1983</v>
      </c>
      <c r="C468" s="1655" t="s">
        <v>1984</v>
      </c>
    </row>
    <row r="469" spans="2:4">
      <c r="B469" s="1655" t="s">
        <v>1985</v>
      </c>
      <c r="C469" s="1655" t="s">
        <v>1978</v>
      </c>
      <c r="D469" s="1587" t="s">
        <v>1290</v>
      </c>
    </row>
    <row r="470" spans="2:4">
      <c r="B470" s="1655" t="s">
        <v>1523</v>
      </c>
      <c r="D470" s="1587" t="s">
        <v>1022</v>
      </c>
    </row>
    <row r="471" spans="2:4">
      <c r="B471" s="1655" t="s">
        <v>1986</v>
      </c>
      <c r="D471" s="1587" t="s">
        <v>1991</v>
      </c>
    </row>
    <row r="472" spans="2:4">
      <c r="B472" s="1655" t="s">
        <v>1987</v>
      </c>
      <c r="D472" s="1587" t="s">
        <v>1991</v>
      </c>
    </row>
    <row r="473" spans="2:4" ht="25.5">
      <c r="B473" s="1655" t="s">
        <v>1988</v>
      </c>
      <c r="C473" s="1655" t="s">
        <v>1989</v>
      </c>
      <c r="D473" s="1587" t="s">
        <v>1994</v>
      </c>
    </row>
    <row r="474" spans="2:4">
      <c r="B474" s="1655" t="s">
        <v>1990</v>
      </c>
      <c r="C474" s="1655" t="s">
        <v>1578</v>
      </c>
      <c r="D474" s="1587" t="s">
        <v>1994</v>
      </c>
    </row>
    <row r="475" spans="2:4">
      <c r="B475" s="1587" t="s">
        <v>1992</v>
      </c>
      <c r="C475" s="1655" t="s">
        <v>1578</v>
      </c>
      <c r="D475" s="1587" t="s">
        <v>1022</v>
      </c>
    </row>
    <row r="476" spans="2:4">
      <c r="B476" s="1587" t="s">
        <v>1993</v>
      </c>
      <c r="C476" s="1655" t="s">
        <v>1578</v>
      </c>
      <c r="D476" s="1587" t="s">
        <v>1022</v>
      </c>
    </row>
    <row r="477" spans="2:4">
      <c r="B477" s="1587" t="s">
        <v>1995</v>
      </c>
      <c r="C477" s="1655" t="s">
        <v>1996</v>
      </c>
      <c r="D477" s="1587" t="s">
        <v>1022</v>
      </c>
    </row>
    <row r="478" spans="2:4">
      <c r="B478" s="1587" t="s">
        <v>1997</v>
      </c>
      <c r="C478" s="1655" t="s">
        <v>1998</v>
      </c>
      <c r="D478" s="1587" t="s">
        <v>1022</v>
      </c>
    </row>
    <row r="479" spans="2:4">
      <c r="B479" s="1587" t="s">
        <v>1997</v>
      </c>
      <c r="C479" s="1655" t="s">
        <v>1999</v>
      </c>
    </row>
    <row r="480" spans="2:4">
      <c r="B480" s="1587" t="s">
        <v>2000</v>
      </c>
      <c r="C480" s="1655" t="s">
        <v>1512</v>
      </c>
    </row>
    <row r="481" spans="2:4">
      <c r="B481" s="1587" t="s">
        <v>2001</v>
      </c>
      <c r="C481" s="1655" t="s">
        <v>2002</v>
      </c>
    </row>
    <row r="482" spans="2:4">
      <c r="B482" s="1587" t="s">
        <v>2003</v>
      </c>
    </row>
    <row r="483" spans="2:4">
      <c r="B483" s="1587" t="s">
        <v>2004</v>
      </c>
    </row>
    <row r="484" spans="2:4">
      <c r="B484" s="1587" t="s">
        <v>2005</v>
      </c>
      <c r="C484" s="1655" t="s">
        <v>2006</v>
      </c>
    </row>
    <row r="485" spans="2:4">
      <c r="B485" s="1587" t="s">
        <v>2007</v>
      </c>
      <c r="C485" s="1655" t="s">
        <v>2008</v>
      </c>
    </row>
    <row r="486" spans="2:4">
      <c r="B486" s="1587" t="s">
        <v>2009</v>
      </c>
      <c r="C486" s="1655" t="s">
        <v>2010</v>
      </c>
      <c r="D486" s="1587" t="s">
        <v>1022</v>
      </c>
    </row>
    <row r="487" spans="2:4">
      <c r="B487" s="1587" t="s">
        <v>2011</v>
      </c>
      <c r="C487" s="1655" t="s">
        <v>2012</v>
      </c>
      <c r="D487" s="1587" t="s">
        <v>1022</v>
      </c>
    </row>
    <row r="488" spans="2:4">
      <c r="B488" s="1587" t="s">
        <v>2013</v>
      </c>
      <c r="D488" s="1587" t="s">
        <v>1022</v>
      </c>
    </row>
    <row r="489" spans="2:4">
      <c r="B489" s="1587" t="s">
        <v>1154</v>
      </c>
      <c r="C489" s="1655" t="s">
        <v>1623</v>
      </c>
    </row>
    <row r="490" spans="2:4">
      <c r="B490" s="1587" t="s">
        <v>2014</v>
      </c>
    </row>
    <row r="491" spans="2:4">
      <c r="B491" s="1587" t="s">
        <v>2015</v>
      </c>
      <c r="D491" s="1587" t="s">
        <v>1022</v>
      </c>
    </row>
    <row r="492" spans="2:4">
      <c r="B492" s="1587" t="s">
        <v>2016</v>
      </c>
      <c r="C492" s="1655" t="s">
        <v>2017</v>
      </c>
    </row>
    <row r="493" spans="2:4">
      <c r="B493" s="1587" t="s">
        <v>2016</v>
      </c>
      <c r="C493" s="1655" t="s">
        <v>2018</v>
      </c>
    </row>
    <row r="494" spans="2:4">
      <c r="B494" s="1587" t="s">
        <v>2019</v>
      </c>
      <c r="C494" s="1655" t="s">
        <v>1582</v>
      </c>
      <c r="D494" s="1587" t="s">
        <v>1022</v>
      </c>
    </row>
    <row r="495" spans="2:4">
      <c r="B495" s="1587" t="s">
        <v>2020</v>
      </c>
      <c r="C495" s="1655" t="s">
        <v>2021</v>
      </c>
      <c r="D495" s="1587" t="s">
        <v>1022</v>
      </c>
    </row>
    <row r="496" spans="2:4">
      <c r="B496" s="1587" t="s">
        <v>1380</v>
      </c>
      <c r="C496" s="1655" t="s">
        <v>2022</v>
      </c>
      <c r="D496" s="1587" t="s">
        <v>1940</v>
      </c>
    </row>
    <row r="497" spans="2:5">
      <c r="B497" s="1587" t="s">
        <v>2023</v>
      </c>
      <c r="C497" s="1655" t="s">
        <v>2024</v>
      </c>
      <c r="D497" s="1587" t="s">
        <v>1022</v>
      </c>
    </row>
    <row r="498" spans="2:5">
      <c r="B498" s="1587" t="s">
        <v>2025</v>
      </c>
      <c r="C498" s="1655" t="s">
        <v>2024</v>
      </c>
      <c r="D498" s="1587" t="s">
        <v>1022</v>
      </c>
    </row>
    <row r="499" spans="2:5">
      <c r="B499" s="1587" t="s">
        <v>2026</v>
      </c>
    </row>
    <row r="500" spans="2:5">
      <c r="B500" s="1587" t="s">
        <v>2027</v>
      </c>
      <c r="C500" s="1655" t="s">
        <v>2028</v>
      </c>
    </row>
    <row r="501" spans="2:5">
      <c r="B501" s="1587" t="s">
        <v>2029</v>
      </c>
      <c r="C501" s="1655" t="s">
        <v>2030</v>
      </c>
    </row>
    <row r="502" spans="2:5">
      <c r="B502" s="1587" t="s">
        <v>2031</v>
      </c>
      <c r="D502" s="1587" t="s">
        <v>1022</v>
      </c>
      <c r="E502" s="1587" t="s">
        <v>2037</v>
      </c>
    </row>
    <row r="503" spans="2:5">
      <c r="B503" s="1587" t="s">
        <v>2032</v>
      </c>
      <c r="C503" s="1655" t="s">
        <v>2033</v>
      </c>
      <c r="D503" s="1587" t="s">
        <v>1290</v>
      </c>
    </row>
    <row r="504" spans="2:5">
      <c r="B504" s="1587" t="s">
        <v>2034</v>
      </c>
      <c r="D504" s="1587" t="s">
        <v>1351</v>
      </c>
    </row>
    <row r="505" spans="2:5">
      <c r="B505" s="1587" t="s">
        <v>2035</v>
      </c>
      <c r="C505" s="1655" t="s">
        <v>2036</v>
      </c>
      <c r="D505" s="1587" t="s">
        <v>1022</v>
      </c>
    </row>
    <row r="506" spans="2:5" ht="25.5">
      <c r="B506" s="1587" t="s">
        <v>1167</v>
      </c>
      <c r="C506" s="1655" t="s">
        <v>2038</v>
      </c>
      <c r="D506" s="1587" t="s">
        <v>1022</v>
      </c>
    </row>
    <row r="507" spans="2:5">
      <c r="B507" s="1587" t="s">
        <v>2039</v>
      </c>
      <c r="C507" s="1655" t="s">
        <v>2040</v>
      </c>
    </row>
    <row r="508" spans="2:5">
      <c r="B508" s="1587" t="s">
        <v>2041</v>
      </c>
      <c r="C508" s="1655" t="s">
        <v>1623</v>
      </c>
      <c r="D508" s="1587" t="s">
        <v>1587</v>
      </c>
    </row>
    <row r="509" spans="2:5">
      <c r="B509" s="1587" t="s">
        <v>2042</v>
      </c>
      <c r="C509" s="1655" t="s">
        <v>2043</v>
      </c>
      <c r="D509" s="1587" t="s">
        <v>1411</v>
      </c>
    </row>
    <row r="510" spans="2:5">
      <c r="B510" s="1587" t="s">
        <v>2044</v>
      </c>
      <c r="C510" s="1655" t="s">
        <v>2045</v>
      </c>
      <c r="D510" s="1587" t="s">
        <v>1022</v>
      </c>
    </row>
    <row r="511" spans="2:5">
      <c r="B511" s="1587" t="s">
        <v>2046</v>
      </c>
      <c r="C511" s="1655" t="s">
        <v>2047</v>
      </c>
      <c r="D511" s="1587" t="s">
        <v>1022</v>
      </c>
    </row>
    <row r="512" spans="2:5">
      <c r="B512" s="1587" t="s">
        <v>2048</v>
      </c>
      <c r="C512" s="1655" t="s">
        <v>2049</v>
      </c>
      <c r="D512" s="1587" t="s">
        <v>1022</v>
      </c>
    </row>
    <row r="513" spans="1:4">
      <c r="B513" s="1587" t="s">
        <v>2050</v>
      </c>
      <c r="D513" s="1587" t="s">
        <v>1022</v>
      </c>
    </row>
    <row r="514" spans="1:4" ht="25.5">
      <c r="B514" s="1587" t="s">
        <v>2051</v>
      </c>
      <c r="C514" s="1655" t="s">
        <v>2052</v>
      </c>
      <c r="D514" s="1587" t="s">
        <v>1022</v>
      </c>
    </row>
    <row r="515" spans="1:4" ht="25.5">
      <c r="B515" s="1587" t="s">
        <v>2051</v>
      </c>
      <c r="C515" s="1655" t="s">
        <v>2053</v>
      </c>
      <c r="D515" s="1587" t="s">
        <v>1290</v>
      </c>
    </row>
    <row r="516" spans="1:4" ht="25.5">
      <c r="B516" s="1587" t="s">
        <v>2054</v>
      </c>
      <c r="C516" s="1655" t="s">
        <v>2055</v>
      </c>
      <c r="D516" s="1587" t="s">
        <v>1022</v>
      </c>
    </row>
    <row r="517" spans="1:4" ht="25.5">
      <c r="B517" s="1587" t="s">
        <v>2056</v>
      </c>
      <c r="C517" s="1655" t="s">
        <v>2057</v>
      </c>
    </row>
    <row r="518" spans="1:4">
      <c r="B518" s="1587" t="s">
        <v>2058</v>
      </c>
      <c r="C518" s="1655" t="s">
        <v>2059</v>
      </c>
      <c r="D518" s="1587" t="s">
        <v>1395</v>
      </c>
    </row>
    <row r="519" spans="1:4">
      <c r="B519" s="1587" t="s">
        <v>2060</v>
      </c>
      <c r="C519" s="1655" t="s">
        <v>2061</v>
      </c>
      <c r="D519" s="1587" t="s">
        <v>1022</v>
      </c>
    </row>
    <row r="520" spans="1:4">
      <c r="B520" s="1587" t="s">
        <v>2062</v>
      </c>
      <c r="C520" s="1655" t="s">
        <v>2063</v>
      </c>
      <c r="D520" s="1587" t="s">
        <v>1022</v>
      </c>
    </row>
    <row r="521" spans="1:4">
      <c r="B521" s="1587" t="s">
        <v>2064</v>
      </c>
      <c r="C521" s="1655" t="s">
        <v>2065</v>
      </c>
      <c r="D521" s="1587" t="s">
        <v>1022</v>
      </c>
    </row>
    <row r="522" spans="1:4">
      <c r="B522" s="1587" t="s">
        <v>2066</v>
      </c>
      <c r="C522" s="1655" t="s">
        <v>2067</v>
      </c>
    </row>
    <row r="523" spans="1:4" ht="25.5">
      <c r="A523" s="1587" t="s">
        <v>2072</v>
      </c>
      <c r="B523" s="1587" t="s">
        <v>2068</v>
      </c>
      <c r="C523" s="1655" t="s">
        <v>2069</v>
      </c>
    </row>
    <row r="524" spans="1:4">
      <c r="B524" s="1655" t="s">
        <v>2070</v>
      </c>
      <c r="C524" s="1655" t="s">
        <v>2071</v>
      </c>
      <c r="D524" s="1587" t="s">
        <v>1395</v>
      </c>
    </row>
    <row r="525" spans="1:4">
      <c r="B525" s="1655" t="s">
        <v>1945</v>
      </c>
      <c r="D525" s="1587" t="s">
        <v>1022</v>
      </c>
    </row>
    <row r="526" spans="1:4">
      <c r="B526" s="1655" t="s">
        <v>2073</v>
      </c>
      <c r="C526" s="1655" t="s">
        <v>2074</v>
      </c>
      <c r="D526" s="1587" t="s">
        <v>1022</v>
      </c>
    </row>
    <row r="527" spans="1:4">
      <c r="B527" s="1655" t="s">
        <v>2075</v>
      </c>
      <c r="C527" s="1655" t="s">
        <v>2076</v>
      </c>
      <c r="D527" s="1587" t="s">
        <v>1022</v>
      </c>
    </row>
    <row r="528" spans="1:4" ht="25.5">
      <c r="B528" s="1655" t="s">
        <v>2077</v>
      </c>
      <c r="C528" s="1655" t="s">
        <v>2078</v>
      </c>
      <c r="D528" s="1587" t="s">
        <v>1022</v>
      </c>
    </row>
    <row r="529" spans="2:8" ht="25.5">
      <c r="B529" s="1655" t="s">
        <v>2077</v>
      </c>
      <c r="C529" s="1655" t="s">
        <v>2079</v>
      </c>
    </row>
    <row r="530" spans="2:8">
      <c r="B530" s="1655" t="s">
        <v>2080</v>
      </c>
      <c r="C530" s="1655" t="s">
        <v>2081</v>
      </c>
    </row>
    <row r="531" spans="2:8">
      <c r="B531" s="1655" t="s">
        <v>2082</v>
      </c>
      <c r="C531" s="1655" t="s">
        <v>2083</v>
      </c>
    </row>
    <row r="532" spans="2:8" ht="25.5">
      <c r="B532" s="1655" t="s">
        <v>2084</v>
      </c>
      <c r="C532" s="1655" t="s">
        <v>2085</v>
      </c>
    </row>
    <row r="533" spans="2:8">
      <c r="B533" s="1655" t="s">
        <v>2086</v>
      </c>
      <c r="C533" s="1655" t="s">
        <v>2087</v>
      </c>
      <c r="D533" s="1587" t="s">
        <v>1022</v>
      </c>
    </row>
    <row r="534" spans="2:8">
      <c r="B534" s="1655" t="s">
        <v>2086</v>
      </c>
      <c r="C534" s="1655" t="s">
        <v>2088</v>
      </c>
      <c r="D534" s="1587" t="s">
        <v>1022</v>
      </c>
    </row>
    <row r="535" spans="2:8">
      <c r="B535" s="1655" t="s">
        <v>2089</v>
      </c>
    </row>
    <row r="536" spans="2:8" ht="25.5">
      <c r="B536" s="1587" t="s">
        <v>2090</v>
      </c>
      <c r="C536" s="1655" t="s">
        <v>2091</v>
      </c>
      <c r="D536" s="1587" t="s">
        <v>1022</v>
      </c>
    </row>
    <row r="537" spans="2:8">
      <c r="B537" s="1587" t="s">
        <v>2092</v>
      </c>
      <c r="C537" s="1655" t="s">
        <v>2093</v>
      </c>
    </row>
    <row r="538" spans="2:8" ht="25.5">
      <c r="B538" s="1589" t="s">
        <v>2094</v>
      </c>
      <c r="C538" s="1586" t="s">
        <v>2095</v>
      </c>
      <c r="D538" s="1587" t="s">
        <v>1022</v>
      </c>
    </row>
    <row r="539" spans="2:8">
      <c r="B539" s="1587" t="s">
        <v>2096</v>
      </c>
      <c r="C539" s="1655" t="s">
        <v>2097</v>
      </c>
      <c r="H539" s="1587" t="s">
        <v>2104</v>
      </c>
    </row>
    <row r="540" spans="2:8">
      <c r="B540" s="1587" t="s">
        <v>2098</v>
      </c>
      <c r="C540" s="1655" t="s">
        <v>2099</v>
      </c>
    </row>
    <row r="541" spans="2:8">
      <c r="B541" s="1587" t="s">
        <v>2100</v>
      </c>
      <c r="C541" s="1655" t="s">
        <v>2101</v>
      </c>
    </row>
    <row r="542" spans="2:8">
      <c r="B542" s="1587" t="s">
        <v>2102</v>
      </c>
      <c r="C542" s="1655" t="s">
        <v>2103</v>
      </c>
    </row>
    <row r="543" spans="2:8">
      <c r="B543" s="1587" t="s">
        <v>2105</v>
      </c>
      <c r="C543" s="1655" t="s">
        <v>2106</v>
      </c>
    </row>
    <row r="544" spans="2:8">
      <c r="B544" s="1587" t="s">
        <v>2107</v>
      </c>
    </row>
    <row r="546" spans="3:3">
      <c r="C546" s="1655" t="s">
        <v>2108</v>
      </c>
    </row>
  </sheetData>
  <sheetProtection formatColumns="0" insertRows="0" deleteRows="0"/>
  <mergeCells count="20">
    <mergeCell ref="Z7:Z10"/>
    <mergeCell ref="AA7:AA10"/>
    <mergeCell ref="AB7:AB10"/>
    <mergeCell ref="U7:U10"/>
    <mergeCell ref="V7:V10"/>
    <mergeCell ref="W7:W10"/>
    <mergeCell ref="X7:X10"/>
    <mergeCell ref="Y7:Y10"/>
    <mergeCell ref="A7:A8"/>
    <mergeCell ref="B7:B8"/>
    <mergeCell ref="C7:C8"/>
    <mergeCell ref="D7:D8"/>
    <mergeCell ref="E7:E8"/>
    <mergeCell ref="R7:R8"/>
    <mergeCell ref="S7:T7"/>
    <mergeCell ref="F7:G7"/>
    <mergeCell ref="H7:H8"/>
    <mergeCell ref="I7:K7"/>
    <mergeCell ref="L7:P7"/>
    <mergeCell ref="Q7:Q8"/>
  </mergeCells>
  <dataValidations count="1">
    <dataValidation allowBlank="1" showInputMessage="1" showErrorMessage="1" prompt="Укажите &quot;Краткую характеристику ТРУ&quot;" sqref="C337" xr:uid="{00000000-0002-0000-3200-000000000000}"/>
  </dataValidations>
  <pageMargins left="0" right="0" top="0" bottom="0" header="0" footer="0"/>
  <pageSetup paperSize="9" scale="48" fitToHeight="0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theme="8" tint="0.39997558519241921"/>
    <pageSetUpPr fitToPage="1"/>
  </sheetPr>
  <dimension ref="A1:AF29"/>
  <sheetViews>
    <sheetView topLeftCell="A7" workbookViewId="0">
      <pane xSplit="4" ySplit="5" topLeftCell="M12" activePane="bottomRight" state="frozen"/>
      <selection pane="topRight" activeCell="S58" sqref="S58:S60"/>
      <selection pane="bottomLeft" activeCell="S58" sqref="S58:S60"/>
      <selection pane="bottomRight" activeCell="AE27" sqref="AE27"/>
    </sheetView>
  </sheetViews>
  <sheetFormatPr defaultColWidth="9.140625" defaultRowHeight="12"/>
  <cols>
    <col min="1" max="1" width="4" style="2052" customWidth="1"/>
    <col min="2" max="2" width="18.28515625" style="2052" customWidth="1"/>
    <col min="3" max="3" width="36.28515625" style="2887" customWidth="1"/>
    <col min="4" max="4" width="8.28515625" style="2052" customWidth="1"/>
    <col min="5" max="5" width="10.42578125" style="2052" bestFit="1" customWidth="1"/>
    <col min="6" max="6" width="6.28515625" style="2052" hidden="1" customWidth="1"/>
    <col min="7" max="7" width="11.28515625" style="2052" hidden="1" customWidth="1"/>
    <col min="8" max="8" width="12.42578125" style="2052" customWidth="1"/>
    <col min="9" max="9" width="7.5703125" style="2052" customWidth="1"/>
    <col min="10" max="10" width="8" style="2052" customWidth="1"/>
    <col min="11" max="11" width="10.28515625" style="2052" customWidth="1"/>
    <col min="12" max="12" width="12.85546875" style="2052" customWidth="1"/>
    <col min="13" max="13" width="11.42578125" style="2052" bestFit="1" customWidth="1"/>
    <col min="14" max="14" width="14" style="2052" customWidth="1"/>
    <col min="15" max="15" width="12.28515625" style="2052" customWidth="1"/>
    <col min="16" max="16" width="14.42578125" style="2052" customWidth="1"/>
    <col min="17" max="17" width="11" style="2052" customWidth="1"/>
    <col min="18" max="18" width="11" style="2052" hidden="1" customWidth="1"/>
    <col min="19" max="19" width="11" style="2052" customWidth="1"/>
    <col min="20" max="20" width="11" style="2052" hidden="1" customWidth="1"/>
    <col min="21" max="21" width="11" style="2052" customWidth="1"/>
    <col min="22" max="22" width="16.5703125" style="2052" customWidth="1"/>
    <col min="23" max="23" width="6.5703125" style="2052" customWidth="1"/>
    <col min="24" max="24" width="13" style="2052" customWidth="1"/>
    <col min="25" max="25" width="11.28515625" style="2052" hidden="1" customWidth="1"/>
    <col min="26" max="26" width="8.5703125" style="2052" hidden="1" customWidth="1"/>
    <col min="27" max="27" width="9.140625" style="2052"/>
    <col min="28" max="28" width="12.5703125" style="2052" bestFit="1" customWidth="1"/>
    <col min="29" max="29" width="9.140625" style="2052"/>
    <col min="30" max="30" width="12.5703125" style="2052" bestFit="1" customWidth="1"/>
    <col min="31" max="31" width="13.140625" style="2052" customWidth="1"/>
    <col min="32" max="32" width="12.5703125" style="2052" bestFit="1" customWidth="1"/>
    <col min="33" max="16384" width="9.140625" style="2052"/>
  </cols>
  <sheetData>
    <row r="1" spans="1:32">
      <c r="W1" s="2052" t="s">
        <v>267</v>
      </c>
      <c r="X1" s="2054" t="s">
        <v>596</v>
      </c>
    </row>
    <row r="2" spans="1:32" s="2056" customFormat="1">
      <c r="A2" s="2055" t="s">
        <v>1188</v>
      </c>
      <c r="C2" s="2888"/>
    </row>
    <row r="3" spans="1:32">
      <c r="A3" s="2058"/>
      <c r="D3" s="2052" t="s">
        <v>1189</v>
      </c>
    </row>
    <row r="4" spans="1:32" s="2056" customFormat="1">
      <c r="A4" s="2059" t="s">
        <v>1190</v>
      </c>
      <c r="C4" s="2888"/>
    </row>
    <row r="5" spans="1:32">
      <c r="A5" s="2060" t="s">
        <v>990</v>
      </c>
    </row>
    <row r="7" spans="1:32" ht="12.75">
      <c r="A7" s="2041" t="s">
        <v>2239</v>
      </c>
      <c r="B7" s="2046"/>
      <c r="C7" s="2889"/>
      <c r="D7" s="2046"/>
      <c r="E7" s="2046"/>
      <c r="F7" s="2046"/>
      <c r="G7" s="2046"/>
      <c r="V7" s="1755" t="s">
        <v>267</v>
      </c>
      <c r="W7" s="1764" t="s">
        <v>596</v>
      </c>
    </row>
    <row r="8" spans="1:32" ht="12.75">
      <c r="A8" s="2042"/>
      <c r="B8" s="2043" t="s">
        <v>1189</v>
      </c>
      <c r="C8" s="2890"/>
      <c r="E8" s="2048"/>
      <c r="F8" s="2048"/>
      <c r="G8" s="2048"/>
    </row>
    <row r="9" spans="1:32" ht="12.75">
      <c r="A9" s="2045" t="s">
        <v>2240</v>
      </c>
      <c r="B9" s="2046"/>
      <c r="C9" s="2889"/>
      <c r="D9" s="2046"/>
      <c r="E9" s="2046"/>
      <c r="F9" s="2046"/>
      <c r="G9" s="2046"/>
      <c r="V9" s="2147">
        <f>V14+'моющФМН 2.03.05'!V14</f>
        <v>986664.1</v>
      </c>
      <c r="AF9" s="2052">
        <f>AF12-AF10</f>
        <v>4.0000001899898052E-3</v>
      </c>
    </row>
    <row r="10" spans="1:32" ht="12.75">
      <c r="A10" s="1732" t="s">
        <v>990</v>
      </c>
      <c r="B10" s="2048"/>
      <c r="C10" s="2891"/>
      <c r="D10" s="2048"/>
      <c r="E10" s="2048"/>
      <c r="F10" s="2048"/>
      <c r="G10" s="2048"/>
      <c r="V10" s="2147">
        <f>V14+'моющФМН 2.03.05'!V14+моющМШ!R9+моющОрынб!R9+'моющИНТ 2.03.05.'!V9</f>
        <v>3690455.21</v>
      </c>
      <c r="AF10" s="3644">
        <v>2169958.2200000002</v>
      </c>
    </row>
    <row r="11" spans="1:32" ht="12.75">
      <c r="A11" s="2050"/>
      <c r="B11" s="2048"/>
      <c r="C11" s="2891"/>
      <c r="D11" s="2048"/>
      <c r="E11" s="2048"/>
      <c r="F11" s="2048"/>
      <c r="G11" s="2048"/>
      <c r="AD11" s="2052" t="s">
        <v>2241</v>
      </c>
    </row>
    <row r="12" spans="1:32" ht="30" customHeight="1">
      <c r="A12" s="4025" t="s">
        <v>2</v>
      </c>
      <c r="B12" s="4025" t="s">
        <v>478</v>
      </c>
      <c r="C12" s="4033" t="s">
        <v>995</v>
      </c>
      <c r="D12" s="4025" t="s">
        <v>996</v>
      </c>
      <c r="E12" s="4025" t="s">
        <v>1191</v>
      </c>
      <c r="F12" s="4025" t="s">
        <v>255</v>
      </c>
      <c r="G12" s="4025"/>
      <c r="H12" s="4030" t="s">
        <v>1193</v>
      </c>
      <c r="I12" s="4031"/>
      <c r="J12" s="4031"/>
      <c r="K12" s="4032"/>
      <c r="L12" s="4026" t="s">
        <v>922</v>
      </c>
      <c r="M12" s="4028"/>
      <c r="N12" s="4028"/>
      <c r="O12" s="4028"/>
      <c r="P12" s="4027"/>
      <c r="Q12" s="4025" t="s">
        <v>999</v>
      </c>
      <c r="R12" s="2061"/>
      <c r="S12" s="4025" t="s">
        <v>2242</v>
      </c>
      <c r="T12" s="2061"/>
      <c r="U12" s="4029" t="s">
        <v>2243</v>
      </c>
      <c r="V12" s="4025" t="s">
        <v>2244</v>
      </c>
      <c r="W12" s="4026" t="s">
        <v>1001</v>
      </c>
      <c r="X12" s="4027"/>
      <c r="Y12" s="4024" t="s">
        <v>2245</v>
      </c>
      <c r="AB12" s="2052">
        <f>X14+'моющФМН 2.03.05'!X14+'моющИНТ 2.03.05.'!X9</f>
        <v>2169958.21</v>
      </c>
      <c r="AD12" s="2052" t="s">
        <v>4</v>
      </c>
      <c r="AE12" s="2052" t="s">
        <v>5</v>
      </c>
      <c r="AF12" s="2052">
        <f>SUM(AF13:AF21)</f>
        <v>2169958.2240000004</v>
      </c>
    </row>
    <row r="13" spans="1:32" ht="36">
      <c r="A13" s="4025"/>
      <c r="B13" s="4025"/>
      <c r="C13" s="4033"/>
      <c r="D13" s="4025"/>
      <c r="E13" s="4025"/>
      <c r="F13" s="2061" t="s">
        <v>7</v>
      </c>
      <c r="G13" s="2061" t="s">
        <v>8</v>
      </c>
      <c r="H13" s="2061" t="s">
        <v>306</v>
      </c>
      <c r="I13" s="2061" t="s">
        <v>7</v>
      </c>
      <c r="J13" s="2061" t="s">
        <v>8</v>
      </c>
      <c r="K13" s="2061" t="s">
        <v>1096</v>
      </c>
      <c r="L13" s="2061" t="s">
        <v>1099</v>
      </c>
      <c r="M13" s="2061" t="s">
        <v>1194</v>
      </c>
      <c r="N13" s="2061" t="s">
        <v>1011</v>
      </c>
      <c r="O13" s="2061" t="s">
        <v>1012</v>
      </c>
      <c r="P13" s="2061" t="s">
        <v>1013</v>
      </c>
      <c r="Q13" s="4025"/>
      <c r="R13" s="2061"/>
      <c r="S13" s="4025"/>
      <c r="T13" s="2061"/>
      <c r="U13" s="4029"/>
      <c r="V13" s="4025"/>
      <c r="W13" s="2062" t="s">
        <v>7</v>
      </c>
      <c r="X13" s="2062" t="s">
        <v>8</v>
      </c>
      <c r="Y13" s="4024"/>
      <c r="Z13" s="2052">
        <v>1.1200000000000001</v>
      </c>
      <c r="AD13" s="2052">
        <f>'моющИНТ 2.03.05.'!AM10</f>
        <v>424</v>
      </c>
      <c r="AE13" s="2052">
        <f>'моющИНТ 2.03.05.'!AN10</f>
        <v>1113</v>
      </c>
      <c r="AF13" s="2052">
        <f>AD13*AE13</f>
        <v>471912</v>
      </c>
    </row>
    <row r="14" spans="1:32">
      <c r="A14" s="2063"/>
      <c r="B14" s="2064" t="s">
        <v>306</v>
      </c>
      <c r="C14" s="2892"/>
      <c r="D14" s="2063"/>
      <c r="E14" s="2066"/>
      <c r="F14" s="2066">
        <f>SUM(F15:F16)</f>
        <v>0</v>
      </c>
      <c r="G14" s="2066"/>
      <c r="H14" s="3479">
        <f>H17</f>
        <v>1218.5</v>
      </c>
      <c r="I14" s="3479">
        <f t="shared" ref="I14:K14" si="0">I17</f>
        <v>23</v>
      </c>
      <c r="J14" s="3479">
        <f t="shared" si="0"/>
        <v>284.5</v>
      </c>
      <c r="K14" s="3479">
        <f t="shared" si="0"/>
        <v>911</v>
      </c>
      <c r="L14" s="2066">
        <f>SUM(L15:L21)</f>
        <v>775</v>
      </c>
      <c r="M14" s="2066">
        <f t="shared" ref="M14:O14" si="1">SUM(M15:M21)</f>
        <v>749</v>
      </c>
      <c r="N14" s="2066">
        <f t="shared" si="1"/>
        <v>189</v>
      </c>
      <c r="O14" s="2066">
        <f t="shared" si="1"/>
        <v>0</v>
      </c>
      <c r="P14" s="2066">
        <f>SUM(P15:P21)</f>
        <v>775</v>
      </c>
      <c r="Q14" s="2066"/>
      <c r="R14" s="2066"/>
      <c r="S14" s="2066"/>
      <c r="T14" s="2066"/>
      <c r="U14" s="2066"/>
      <c r="V14" s="2066">
        <f>SUM(V15:V21)</f>
        <v>495246.41</v>
      </c>
      <c r="W14" s="2066">
        <f t="shared" ref="W14:X14" si="2">SUM(W15:W21)</f>
        <v>0</v>
      </c>
      <c r="X14" s="2066">
        <f t="shared" si="2"/>
        <v>495246.41</v>
      </c>
      <c r="Y14" s="2066"/>
      <c r="AB14" s="2052">
        <f>SUM(AB15:AB21)+'моющИНТ 2.03.05.'!X10+'моющИНТ 2.03.05.'!X11</f>
        <v>2169958.2240000004</v>
      </c>
      <c r="AD14" s="2052">
        <f>'моющИНТ 2.03.05.'!AM11</f>
        <v>639</v>
      </c>
      <c r="AE14" s="2052">
        <f>'моющИНТ 2.03.05.'!AN11</f>
        <v>824.44444444444457</v>
      </c>
      <c r="AF14" s="2052">
        <f>AD14*AE14</f>
        <v>526820.00000000012</v>
      </c>
    </row>
    <row r="15" spans="1:32" ht="24">
      <c r="A15" s="3223">
        <v>1</v>
      </c>
      <c r="B15" s="3228" t="s">
        <v>2246</v>
      </c>
      <c r="C15" s="3228" t="s">
        <v>2247</v>
      </c>
      <c r="D15" s="3229" t="s">
        <v>1022</v>
      </c>
      <c r="E15" s="3224">
        <f>'площ для обсл объек'!F13</f>
        <v>16859.699999999997</v>
      </c>
      <c r="F15" s="3225"/>
      <c r="G15" s="3473">
        <f t="shared" ref="G15:G16" si="3">E15</f>
        <v>16859.699999999997</v>
      </c>
      <c r="H15" s="3473">
        <f>I15+J15+K15</f>
        <v>0</v>
      </c>
      <c r="I15" s="3473"/>
      <c r="J15" s="3473"/>
      <c r="K15" s="3473"/>
      <c r="L15" s="3481">
        <v>6</v>
      </c>
      <c r="M15" s="3473"/>
      <c r="N15" s="3483">
        <f>ROUND(9600/500/3,0)</f>
        <v>6</v>
      </c>
      <c r="O15" s="3473"/>
      <c r="P15" s="3476">
        <f>MIN(L15,M15)-O15</f>
        <v>6</v>
      </c>
      <c r="Q15" s="3474">
        <f>170</f>
        <v>170</v>
      </c>
      <c r="R15" s="3474">
        <v>1.06</v>
      </c>
      <c r="S15" s="3474">
        <f>Q15*R15</f>
        <v>180.20000000000002</v>
      </c>
      <c r="T15" s="3474">
        <v>1.1200000000000001</v>
      </c>
      <c r="U15" s="3474">
        <f>S15*T15</f>
        <v>201.82400000000004</v>
      </c>
      <c r="V15" s="3475">
        <f>ROUND(P15*U15,2)</f>
        <v>1210.94</v>
      </c>
      <c r="W15" s="3475"/>
      <c r="X15" s="3475">
        <f t="shared" ref="X15:X21" si="4">V15-W15</f>
        <v>1210.94</v>
      </c>
      <c r="Y15" s="3476"/>
      <c r="Z15" s="2052">
        <v>1.1200000000000001</v>
      </c>
      <c r="AA15" s="2052">
        <f>P15+'моющФМН 2.03.05'!P15+'моющИНТ 2.03.05.'!P12</f>
        <v>18</v>
      </c>
      <c r="AB15" s="2052">
        <f>AA15*U15</f>
        <v>3632.8320000000008</v>
      </c>
      <c r="AC15" s="2052" t="s">
        <v>2248</v>
      </c>
      <c r="AD15" s="2052">
        <f>AA15*500</f>
        <v>9000</v>
      </c>
      <c r="AE15" s="2052">
        <f>U15/500</f>
        <v>0.40364800000000006</v>
      </c>
      <c r="AF15" s="2052">
        <f>AD15*AE15</f>
        <v>3632.8320000000003</v>
      </c>
    </row>
    <row r="16" spans="1:32">
      <c r="A16" s="3223">
        <v>2</v>
      </c>
      <c r="B16" s="3228" t="s">
        <v>2249</v>
      </c>
      <c r="C16" s="3228" t="s">
        <v>2250</v>
      </c>
      <c r="D16" s="3229" t="s">
        <v>1022</v>
      </c>
      <c r="E16" s="3224">
        <f>'площ для обсл объек'!F13</f>
        <v>16859.699999999997</v>
      </c>
      <c r="F16" s="3225"/>
      <c r="G16" s="3473">
        <f t="shared" si="3"/>
        <v>16859.699999999997</v>
      </c>
      <c r="H16" s="3473">
        <f t="shared" ref="H16:H21" si="5">I16+J16+K16</f>
        <v>0</v>
      </c>
      <c r="I16" s="3473"/>
      <c r="J16" s="3473"/>
      <c r="K16" s="3473"/>
      <c r="L16" s="3481">
        <v>8</v>
      </c>
      <c r="M16" s="3473"/>
      <c r="N16" s="3483">
        <f>ROUND(10500/500/3,0)</f>
        <v>7</v>
      </c>
      <c r="O16" s="3473"/>
      <c r="P16" s="3476">
        <f t="shared" ref="P16:P17" si="6">MIN(L16,M16)-O16</f>
        <v>8</v>
      </c>
      <c r="Q16" s="3474">
        <f>175</f>
        <v>175</v>
      </c>
      <c r="R16" s="3474">
        <v>1.06</v>
      </c>
      <c r="S16" s="3474">
        <f>Q16*R16</f>
        <v>185.5</v>
      </c>
      <c r="T16" s="3474">
        <v>1.1200000000000001</v>
      </c>
      <c r="U16" s="3474">
        <f t="shared" ref="U16:U21" si="7">S16*T16</f>
        <v>207.76000000000002</v>
      </c>
      <c r="V16" s="3475">
        <f>ROUND(P16*U16,2)</f>
        <v>1662.08</v>
      </c>
      <c r="W16" s="3475"/>
      <c r="X16" s="3475">
        <f t="shared" si="4"/>
        <v>1662.08</v>
      </c>
      <c r="Y16" s="3476"/>
      <c r="Z16" s="2052">
        <v>1.1200000000000001</v>
      </c>
      <c r="AA16" s="2052">
        <f>P16+'моющФМН 2.03.05'!P16+'моющИНТ 2.03.05.'!P13</f>
        <v>24</v>
      </c>
      <c r="AB16" s="2052">
        <f t="shared" ref="AB16:AB21" si="8">AA16*U16</f>
        <v>4986.2400000000007</v>
      </c>
      <c r="AC16" s="2052" t="s">
        <v>2248</v>
      </c>
      <c r="AD16" s="2052">
        <f>AA16*500</f>
        <v>12000</v>
      </c>
      <c r="AE16" s="2052">
        <f>U16/500</f>
        <v>0.41552000000000006</v>
      </c>
      <c r="AF16" s="2052">
        <f>AD16*AE16</f>
        <v>4986.2400000000007</v>
      </c>
    </row>
    <row r="17" spans="1:32">
      <c r="A17" s="3223">
        <v>3</v>
      </c>
      <c r="B17" s="3228" t="s">
        <v>2251</v>
      </c>
      <c r="C17" s="3480" t="s">
        <v>2252</v>
      </c>
      <c r="D17" s="2139" t="s">
        <v>2253</v>
      </c>
      <c r="E17" s="3224">
        <v>16859.699999999997</v>
      </c>
      <c r="F17" s="3225"/>
      <c r="G17" s="3473">
        <f t="shared" ref="G17" si="9">E17</f>
        <v>16859.699999999997</v>
      </c>
      <c r="H17" s="3473">
        <f t="shared" si="5"/>
        <v>1218.5</v>
      </c>
      <c r="I17" s="3476">
        <v>23</v>
      </c>
      <c r="J17" s="3476">
        <v>284.5</v>
      </c>
      <c r="K17" s="3476">
        <v>911</v>
      </c>
      <c r="L17" s="3482">
        <v>91</v>
      </c>
      <c r="M17" s="3476">
        <f>ROUND(500*K17/5000,0)</f>
        <v>91</v>
      </c>
      <c r="N17" s="3482">
        <f>ROUND(177000/5000,0)</f>
        <v>35</v>
      </c>
      <c r="O17" s="3476">
        <v>0</v>
      </c>
      <c r="P17" s="3476">
        <f t="shared" si="6"/>
        <v>91</v>
      </c>
      <c r="Q17" s="3476">
        <f>800</f>
        <v>800</v>
      </c>
      <c r="R17" s="3474">
        <v>1.06</v>
      </c>
      <c r="S17" s="3474">
        <f t="shared" ref="S17:S21" si="10">Q17*R17</f>
        <v>848</v>
      </c>
      <c r="T17" s="3474">
        <v>1.1200000000000001</v>
      </c>
      <c r="U17" s="3474">
        <f t="shared" si="7"/>
        <v>949.7600000000001</v>
      </c>
      <c r="V17" s="3475">
        <f t="shared" ref="V17:V21" si="11">ROUND(P17*U17,2)</f>
        <v>86428.160000000003</v>
      </c>
      <c r="W17" s="3476"/>
      <c r="X17" s="3475">
        <f t="shared" si="4"/>
        <v>86428.160000000003</v>
      </c>
      <c r="Y17" s="3476"/>
      <c r="Z17" s="2052">
        <v>1.1200000000000001</v>
      </c>
      <c r="AA17" s="2052">
        <f>P17+'моющФМН 2.03.05'!P17+'моющИНТ 2.03.05.'!P14</f>
        <v>202</v>
      </c>
      <c r="AB17" s="2052">
        <f>AA17*U17</f>
        <v>191851.52000000002</v>
      </c>
      <c r="AC17" s="2052" t="s">
        <v>2254</v>
      </c>
      <c r="AD17" s="2052">
        <f>ROUND(AA17*5*1000,2)</f>
        <v>1010000</v>
      </c>
      <c r="AE17" s="2052">
        <f>U17/5/1000</f>
        <v>0.18995200000000004</v>
      </c>
      <c r="AF17" s="2052">
        <f>AE17*AD17</f>
        <v>191851.52000000005</v>
      </c>
    </row>
    <row r="18" spans="1:32" ht="24">
      <c r="A18" s="3223">
        <v>4</v>
      </c>
      <c r="B18" s="3228" t="s">
        <v>2255</v>
      </c>
      <c r="C18" s="3228" t="s">
        <v>2256</v>
      </c>
      <c r="D18" s="3229" t="s">
        <v>1022</v>
      </c>
      <c r="E18" s="3224">
        <v>16859.699999999997</v>
      </c>
      <c r="F18" s="3225"/>
      <c r="G18" s="3473">
        <f t="shared" ref="G18" si="12">E18</f>
        <v>16859.699999999997</v>
      </c>
      <c r="H18" s="3473">
        <f t="shared" si="5"/>
        <v>0</v>
      </c>
      <c r="I18" s="3477"/>
      <c r="J18" s="3476"/>
      <c r="K18" s="3476"/>
      <c r="L18" s="3482">
        <v>337</v>
      </c>
      <c r="M18" s="3476">
        <f>ROUND(E18/500*10,0)</f>
        <v>337</v>
      </c>
      <c r="N18" s="3482">
        <f>ROUND(10400/200/3,0)</f>
        <v>17</v>
      </c>
      <c r="O18" s="3476"/>
      <c r="P18" s="3476">
        <f>MIN(L18,M18)-O18</f>
        <v>337</v>
      </c>
      <c r="Q18" s="3476">
        <f>95</f>
        <v>95</v>
      </c>
      <c r="R18" s="3474">
        <v>1.06</v>
      </c>
      <c r="S18" s="3474">
        <f t="shared" si="10"/>
        <v>100.7</v>
      </c>
      <c r="T18" s="3474">
        <v>1.1200000000000001</v>
      </c>
      <c r="U18" s="3474">
        <f t="shared" si="7"/>
        <v>112.78400000000002</v>
      </c>
      <c r="V18" s="3475">
        <f t="shared" si="11"/>
        <v>38008.21</v>
      </c>
      <c r="W18" s="3476"/>
      <c r="X18" s="3475">
        <f t="shared" si="4"/>
        <v>38008.21</v>
      </c>
      <c r="Y18" s="3476"/>
      <c r="Z18" s="2052">
        <v>1.1200000000000001</v>
      </c>
      <c r="AA18" s="2052">
        <f>P18+'моющФМН 2.03.05'!P18+'моющИНТ 2.03.05.'!P15</f>
        <v>933</v>
      </c>
      <c r="AB18" s="2052">
        <f t="shared" si="8"/>
        <v>105227.47200000002</v>
      </c>
      <c r="AC18" s="2052" t="s">
        <v>2248</v>
      </c>
      <c r="AD18" s="2052">
        <f>AA18*200</f>
        <v>186600</v>
      </c>
      <c r="AE18" s="3640">
        <f>U18/200</f>
        <v>0.56392000000000009</v>
      </c>
      <c r="AF18" s="2052">
        <f>AD18*AE18</f>
        <v>105227.47200000002</v>
      </c>
    </row>
    <row r="19" spans="1:32" ht="24">
      <c r="A19" s="3223">
        <v>5</v>
      </c>
      <c r="B19" s="3228" t="s">
        <v>2257</v>
      </c>
      <c r="C19" s="3438" t="s">
        <v>2258</v>
      </c>
      <c r="D19" s="3439" t="s">
        <v>2253</v>
      </c>
      <c r="E19" s="3224">
        <v>16859.699999999997</v>
      </c>
      <c r="F19" s="3225"/>
      <c r="G19" s="3473">
        <f t="shared" ref="G19:G20" si="13">E19</f>
        <v>16859.699999999997</v>
      </c>
      <c r="H19" s="3473">
        <f t="shared" si="5"/>
        <v>0</v>
      </c>
      <c r="I19" s="3477"/>
      <c r="J19" s="3476"/>
      <c r="K19" s="3476"/>
      <c r="L19" s="3482">
        <v>12</v>
      </c>
      <c r="M19" s="3476"/>
      <c r="N19" s="3476">
        <f>24/3</f>
        <v>8</v>
      </c>
      <c r="O19" s="3476"/>
      <c r="P19" s="3476">
        <f>MIN(L19,M19)-O19</f>
        <v>12</v>
      </c>
      <c r="Q19" s="3476">
        <f>625</f>
        <v>625</v>
      </c>
      <c r="R19" s="3474">
        <v>1.06</v>
      </c>
      <c r="S19" s="3474">
        <f t="shared" si="10"/>
        <v>662.5</v>
      </c>
      <c r="T19" s="3474">
        <v>1.1200000000000001</v>
      </c>
      <c r="U19" s="3474">
        <f t="shared" si="7"/>
        <v>742.00000000000011</v>
      </c>
      <c r="V19" s="3475">
        <f t="shared" si="11"/>
        <v>8904</v>
      </c>
      <c r="W19" s="3476"/>
      <c r="X19" s="3475">
        <f t="shared" si="4"/>
        <v>8904</v>
      </c>
      <c r="Y19" s="3476"/>
      <c r="Z19" s="2052">
        <v>1.1200000000000001</v>
      </c>
      <c r="AA19" s="2052">
        <f>P19+'моющФМН 2.03.05'!P19+'моющИНТ 2.03.05.'!P16</f>
        <v>34</v>
      </c>
      <c r="AB19" s="2052">
        <f t="shared" si="8"/>
        <v>25228.000000000004</v>
      </c>
      <c r="AC19" s="2052" t="s">
        <v>1016</v>
      </c>
      <c r="AD19" s="2052">
        <f>AA19</f>
        <v>34</v>
      </c>
      <c r="AE19" s="2052">
        <f>U19</f>
        <v>742.00000000000011</v>
      </c>
      <c r="AF19" s="2052">
        <f>AD19*AE19</f>
        <v>25228.000000000004</v>
      </c>
    </row>
    <row r="20" spans="1:32" ht="36">
      <c r="A20" s="3223">
        <v>6</v>
      </c>
      <c r="B20" s="3228" t="s">
        <v>2259</v>
      </c>
      <c r="C20" s="3438" t="s">
        <v>2260</v>
      </c>
      <c r="D20" s="3439" t="s">
        <v>2253</v>
      </c>
      <c r="E20" s="3224">
        <v>16859.699999999997</v>
      </c>
      <c r="F20" s="3225"/>
      <c r="G20" s="3473">
        <f t="shared" si="13"/>
        <v>16859.699999999997</v>
      </c>
      <c r="H20" s="3473">
        <f t="shared" si="5"/>
        <v>0</v>
      </c>
      <c r="I20" s="3477"/>
      <c r="J20" s="3476"/>
      <c r="K20" s="3476"/>
      <c r="L20" s="3482">
        <v>152</v>
      </c>
      <c r="M20" s="3476">
        <f>ROUND(E20/500*0.45*10,0)</f>
        <v>152</v>
      </c>
      <c r="N20" s="3476">
        <f>30/3</f>
        <v>10</v>
      </c>
      <c r="O20" s="3476"/>
      <c r="P20" s="3476">
        <f t="shared" ref="P20:P21" si="14">MIN(L20,M20)-O20</f>
        <v>152</v>
      </c>
      <c r="Q20" s="3476">
        <f>900</f>
        <v>900</v>
      </c>
      <c r="R20" s="3474">
        <v>1.06</v>
      </c>
      <c r="S20" s="3474">
        <f t="shared" si="10"/>
        <v>954</v>
      </c>
      <c r="T20" s="3474">
        <v>1.1200000000000001</v>
      </c>
      <c r="U20" s="3474">
        <f t="shared" si="7"/>
        <v>1068.48</v>
      </c>
      <c r="V20" s="3475">
        <f t="shared" si="11"/>
        <v>162408.95999999999</v>
      </c>
      <c r="W20" s="3476"/>
      <c r="X20" s="3475">
        <f t="shared" si="4"/>
        <v>162408.95999999999</v>
      </c>
      <c r="Y20" s="3476"/>
      <c r="Z20" s="2052">
        <v>1.1200000000000001</v>
      </c>
      <c r="AA20" s="2052">
        <f>P20+'моющФМН 2.03.05'!P20+'моющИНТ 2.03.05.'!P17</f>
        <v>340</v>
      </c>
      <c r="AB20" s="2052">
        <f t="shared" si="8"/>
        <v>363283.20000000001</v>
      </c>
      <c r="AC20" s="2052" t="s">
        <v>1016</v>
      </c>
      <c r="AD20" s="2052">
        <f>AA20*1000/1000</f>
        <v>340</v>
      </c>
      <c r="AE20" s="2052">
        <f>U20*1000/1000</f>
        <v>1068.48</v>
      </c>
      <c r="AF20" s="2052">
        <f>AD20*AE20</f>
        <v>363283.20000000001</v>
      </c>
    </row>
    <row r="21" spans="1:32" ht="24">
      <c r="A21" s="3223">
        <v>7</v>
      </c>
      <c r="B21" s="3228" t="s">
        <v>2261</v>
      </c>
      <c r="C21" s="3438" t="s">
        <v>2262</v>
      </c>
      <c r="D21" s="2139" t="s">
        <v>1022</v>
      </c>
      <c r="E21" s="3227">
        <v>16859.699999999997</v>
      </c>
      <c r="F21" s="3225"/>
      <c r="G21" s="3473">
        <f t="shared" ref="G21" si="15">E21</f>
        <v>16859.699999999997</v>
      </c>
      <c r="H21" s="3473">
        <f t="shared" si="5"/>
        <v>0</v>
      </c>
      <c r="I21" s="3476"/>
      <c r="J21" s="3476"/>
      <c r="K21" s="3476"/>
      <c r="L21" s="3482">
        <v>169</v>
      </c>
      <c r="M21" s="3476">
        <f>ROUND(E21/500*0.5*10,0)</f>
        <v>169</v>
      </c>
      <c r="N21" s="3476">
        <f>ROUND(159/0.5/3,0)</f>
        <v>106</v>
      </c>
      <c r="O21" s="3476"/>
      <c r="P21" s="3476">
        <f t="shared" si="14"/>
        <v>169</v>
      </c>
      <c r="Q21" s="3476">
        <f>980</f>
        <v>980</v>
      </c>
      <c r="R21" s="3474">
        <v>1.06</v>
      </c>
      <c r="S21" s="3474">
        <f t="shared" si="10"/>
        <v>1038.8</v>
      </c>
      <c r="T21" s="3474">
        <v>1.1200000000000001</v>
      </c>
      <c r="U21" s="3474">
        <f t="shared" si="7"/>
        <v>1163.4560000000001</v>
      </c>
      <c r="V21" s="3475">
        <f t="shared" si="11"/>
        <v>196624.06</v>
      </c>
      <c r="W21" s="3476"/>
      <c r="X21" s="3475">
        <f t="shared" si="4"/>
        <v>196624.06</v>
      </c>
      <c r="Y21" s="3476"/>
      <c r="Z21" s="2052">
        <v>1.1200000000000001</v>
      </c>
      <c r="AA21" s="2052">
        <f>P21+'моющФМН 2.03.05'!P21+'моющИНТ 2.03.05.'!P18</f>
        <v>410</v>
      </c>
      <c r="AB21" s="2052">
        <f t="shared" si="8"/>
        <v>477016.96000000008</v>
      </c>
      <c r="AC21" s="2052" t="s">
        <v>1016</v>
      </c>
      <c r="AD21" s="2052">
        <f>AA21*0.5</f>
        <v>205</v>
      </c>
      <c r="AE21" s="2052">
        <f>U21*2</f>
        <v>2326.9120000000003</v>
      </c>
      <c r="AF21" s="2052">
        <f>AD21*AE21</f>
        <v>477016.96000000008</v>
      </c>
    </row>
    <row r="22" spans="1:32">
      <c r="G22" s="3478"/>
      <c r="H22" s="3478"/>
      <c r="I22" s="3478"/>
      <c r="J22" s="3478"/>
      <c r="K22" s="3478"/>
      <c r="L22" s="3478"/>
      <c r="M22" s="3478"/>
      <c r="N22" s="3478"/>
      <c r="O22" s="3478"/>
      <c r="P22" s="3478"/>
      <c r="Q22" s="3478"/>
      <c r="R22" s="3478"/>
      <c r="S22" s="3478"/>
      <c r="T22" s="3478"/>
      <c r="U22" s="3478"/>
      <c r="V22" s="3478"/>
      <c r="W22" s="3478"/>
      <c r="X22" s="3478"/>
      <c r="Y22" s="3478"/>
    </row>
    <row r="24" spans="1:32" ht="15.75">
      <c r="B24" s="2042" t="s">
        <v>368</v>
      </c>
      <c r="C24" s="475"/>
      <c r="D24" s="2884"/>
      <c r="E24" s="2884"/>
      <c r="F24" s="463"/>
      <c r="G24" s="406"/>
      <c r="H24" s="3238"/>
      <c r="I24" s="406"/>
      <c r="J24" s="3237"/>
      <c r="K24" s="3239"/>
    </row>
    <row r="25" spans="1:32" ht="15.75">
      <c r="B25" s="2042" t="s">
        <v>370</v>
      </c>
      <c r="C25" s="475"/>
      <c r="D25" s="2884"/>
      <c r="E25" s="2884"/>
      <c r="F25" s="3241"/>
      <c r="G25" s="2923"/>
      <c r="H25" s="2042"/>
      <c r="I25" s="2923"/>
      <c r="J25" s="2042"/>
      <c r="K25" s="2041" t="s">
        <v>371</v>
      </c>
    </row>
    <row r="26" spans="1:32" ht="15.75">
      <c r="B26" s="2042"/>
      <c r="C26" s="475"/>
      <c r="D26" s="2884"/>
      <c r="E26" s="2884"/>
      <c r="F26" s="356"/>
      <c r="G26" s="2923"/>
      <c r="H26" s="1923"/>
      <c r="I26" s="2923"/>
      <c r="J26" s="2042"/>
      <c r="K26" s="3030"/>
    </row>
    <row r="27" spans="1:32" ht="15.75">
      <c r="B27" s="2042" t="s">
        <v>451</v>
      </c>
      <c r="C27" s="2952"/>
      <c r="D27" s="2952"/>
      <c r="E27" s="2952"/>
      <c r="F27" s="356"/>
      <c r="G27" s="2923"/>
      <c r="H27" s="2042"/>
      <c r="I27" s="2923"/>
      <c r="J27" s="2042"/>
      <c r="K27" s="2042" t="s">
        <v>452</v>
      </c>
    </row>
    <row r="28" spans="1:32" ht="15">
      <c r="B28" s="2042"/>
      <c r="C28" s="2924"/>
      <c r="D28" s="2924"/>
      <c r="E28" s="2924"/>
      <c r="F28" s="2924"/>
      <c r="G28" s="2924"/>
      <c r="H28" s="2924"/>
      <c r="I28" s="2924"/>
      <c r="J28" s="2924"/>
      <c r="K28" s="3030"/>
    </row>
    <row r="29" spans="1:32" ht="15">
      <c r="B29" s="2042" t="s">
        <v>375</v>
      </c>
      <c r="C29" s="2924"/>
      <c r="D29" s="2924"/>
      <c r="E29" s="2924"/>
      <c r="F29" s="2924"/>
      <c r="G29" s="2924"/>
      <c r="H29" s="2924"/>
      <c r="I29" s="2924"/>
      <c r="J29" s="2924"/>
      <c r="K29" s="2042" t="s">
        <v>377</v>
      </c>
    </row>
  </sheetData>
  <sheetProtection formatColumns="0" insertRows="0" deleteRows="0"/>
  <mergeCells count="14">
    <mergeCell ref="A12:A13"/>
    <mergeCell ref="B12:B13"/>
    <mergeCell ref="C12:C13"/>
    <mergeCell ref="D12:D13"/>
    <mergeCell ref="E12:E13"/>
    <mergeCell ref="Y12:Y13"/>
    <mergeCell ref="V12:V13"/>
    <mergeCell ref="W12:X12"/>
    <mergeCell ref="F12:G12"/>
    <mergeCell ref="L12:P12"/>
    <mergeCell ref="Q12:Q13"/>
    <mergeCell ref="S12:S13"/>
    <mergeCell ref="U12:U13"/>
    <mergeCell ref="H12:K12"/>
  </mergeCells>
  <pageMargins left="0" right="0" top="0" bottom="0" header="0" footer="0"/>
  <pageSetup paperSize="9" scale="57" fitToHeight="0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theme="8" tint="0.39997558519241921"/>
    <pageSetUpPr fitToPage="1"/>
  </sheetPr>
  <dimension ref="A1:AJ28"/>
  <sheetViews>
    <sheetView topLeftCell="A7" zoomScaleNormal="100" workbookViewId="0">
      <pane xSplit="4" ySplit="7" topLeftCell="E14" activePane="bottomRight" state="frozen"/>
      <selection pane="topRight" activeCell="S58" sqref="S58:S60"/>
      <selection pane="bottomLeft" activeCell="S58" sqref="S58:S60"/>
      <selection pane="bottomRight" activeCell="L20" sqref="L20"/>
    </sheetView>
  </sheetViews>
  <sheetFormatPr defaultColWidth="9.140625" defaultRowHeight="12"/>
  <cols>
    <col min="1" max="1" width="4" style="2052" customWidth="1"/>
    <col min="2" max="2" width="18.28515625" style="2052" customWidth="1"/>
    <col min="3" max="3" width="31.42578125" style="2053" customWidth="1"/>
    <col min="4" max="4" width="8.28515625" style="2052" customWidth="1"/>
    <col min="5" max="5" width="10.42578125" style="2052" bestFit="1" customWidth="1"/>
    <col min="6" max="6" width="6.28515625" style="2052" hidden="1" customWidth="1"/>
    <col min="7" max="7" width="10.42578125" style="2052" hidden="1" customWidth="1"/>
    <col min="8" max="8" width="11.85546875" style="2052" customWidth="1"/>
    <col min="9" max="9" width="7.5703125" style="2052" customWidth="1"/>
    <col min="10" max="10" width="8.7109375" style="2052" customWidth="1"/>
    <col min="11" max="11" width="10.28515625" style="2052" customWidth="1"/>
    <col min="12" max="12" width="11.7109375" style="2052" customWidth="1"/>
    <col min="13" max="13" width="10.85546875" style="2052" bestFit="1" customWidth="1"/>
    <col min="14" max="14" width="10.7109375" style="2052" customWidth="1"/>
    <col min="15" max="15" width="8.85546875" style="2052" customWidth="1"/>
    <col min="16" max="16" width="11.85546875" style="2052" customWidth="1"/>
    <col min="17" max="17" width="11" style="2052" customWidth="1"/>
    <col min="18" max="18" width="11" style="2052" hidden="1" customWidth="1"/>
    <col min="19" max="19" width="11" style="2052" customWidth="1"/>
    <col min="20" max="20" width="11" style="2052" hidden="1" customWidth="1"/>
    <col min="21" max="21" width="11" style="2052" customWidth="1"/>
    <col min="22" max="22" width="15" style="2052" customWidth="1"/>
    <col min="23" max="23" width="7.140625" style="2052" customWidth="1"/>
    <col min="24" max="24" width="12.5703125" style="2052" customWidth="1"/>
    <col min="25" max="25" width="9.5703125" style="2052" hidden="1" customWidth="1"/>
    <col min="26" max="26" width="13.5703125" style="2052" hidden="1" customWidth="1"/>
    <col min="27" max="27" width="9.140625" style="2052" hidden="1" customWidth="1"/>
    <col min="28" max="28" width="13.5703125" style="2052" hidden="1" customWidth="1"/>
    <col min="29" max="29" width="9.5703125" style="2052" hidden="1" customWidth="1"/>
    <col min="30" max="30" width="13.5703125" style="2052" hidden="1" customWidth="1"/>
    <col min="31" max="31" width="6.28515625" style="2052" hidden="1" customWidth="1"/>
    <col min="32" max="32" width="4" style="2052" hidden="1" customWidth="1"/>
    <col min="33" max="33" width="9.5703125" style="2052" hidden="1" customWidth="1"/>
    <col min="34" max="34" width="6.5703125" style="2052" hidden="1" customWidth="1"/>
    <col min="35" max="35" width="9.140625" style="2052" hidden="1" customWidth="1"/>
    <col min="36" max="36" width="11.28515625" style="2052" hidden="1" customWidth="1"/>
    <col min="37" max="38" width="11.28515625" style="2052" bestFit="1" customWidth="1"/>
    <col min="39" max="16384" width="9.140625" style="2052"/>
  </cols>
  <sheetData>
    <row r="1" spans="1:36">
      <c r="W1" s="2052" t="s">
        <v>267</v>
      </c>
      <c r="X1" s="2054" t="s">
        <v>596</v>
      </c>
    </row>
    <row r="2" spans="1:36" s="2056" customFormat="1">
      <c r="A2" s="2055" t="s">
        <v>1188</v>
      </c>
      <c r="C2" s="2057"/>
    </row>
    <row r="3" spans="1:36">
      <c r="A3" s="2058"/>
      <c r="D3" s="2052" t="s">
        <v>1189</v>
      </c>
    </row>
    <row r="4" spans="1:36" s="2056" customFormat="1">
      <c r="A4" s="2059" t="s">
        <v>1190</v>
      </c>
      <c r="C4" s="2057"/>
    </row>
    <row r="5" spans="1:36">
      <c r="A5" s="2060" t="s">
        <v>990</v>
      </c>
    </row>
    <row r="7" spans="1:36" ht="12.75">
      <c r="A7" s="2041" t="s">
        <v>2239</v>
      </c>
      <c r="B7" s="2046"/>
      <c r="C7" s="2047"/>
      <c r="D7" s="2046"/>
      <c r="E7" s="2046"/>
      <c r="F7" s="2046"/>
      <c r="G7" s="2046"/>
      <c r="V7" s="1755" t="s">
        <v>267</v>
      </c>
      <c r="W7" s="1764" t="s">
        <v>596</v>
      </c>
    </row>
    <row r="8" spans="1:36" ht="12.75">
      <c r="A8" s="2042"/>
      <c r="B8" s="2043" t="s">
        <v>1189</v>
      </c>
      <c r="C8" s="2044"/>
      <c r="E8" s="2048"/>
      <c r="F8" s="2048"/>
      <c r="G8" s="2048"/>
    </row>
    <row r="9" spans="1:36" ht="12.75">
      <c r="A9" s="2045" t="s">
        <v>2263</v>
      </c>
      <c r="B9" s="2046"/>
      <c r="C9" s="2047"/>
      <c r="D9" s="2046"/>
      <c r="E9" s="2046"/>
      <c r="F9" s="2046"/>
      <c r="G9" s="2046"/>
    </row>
    <row r="10" spans="1:36" ht="12.75">
      <c r="A10" s="1732" t="s">
        <v>990</v>
      </c>
      <c r="B10" s="2048"/>
      <c r="C10" s="2049"/>
      <c r="D10" s="2048"/>
      <c r="E10" s="2048"/>
      <c r="F10" s="2048"/>
      <c r="G10" s="2048"/>
      <c r="V10" s="2052">
        <v>488449.7</v>
      </c>
    </row>
    <row r="11" spans="1:36" ht="12.75">
      <c r="A11" s="2050"/>
      <c r="B11" s="2048"/>
      <c r="C11" s="2049"/>
      <c r="D11" s="2048"/>
      <c r="E11" s="2048"/>
      <c r="F11" s="2048"/>
      <c r="G11" s="2048"/>
    </row>
    <row r="12" spans="1:36" ht="30" customHeight="1">
      <c r="A12" s="4025" t="s">
        <v>2</v>
      </c>
      <c r="B12" s="4025" t="s">
        <v>478</v>
      </c>
      <c r="C12" s="4025" t="s">
        <v>995</v>
      </c>
      <c r="D12" s="4025" t="s">
        <v>996</v>
      </c>
      <c r="E12" s="4025" t="s">
        <v>1191</v>
      </c>
      <c r="F12" s="4025" t="s">
        <v>255</v>
      </c>
      <c r="G12" s="4025"/>
      <c r="H12" s="4030" t="s">
        <v>1193</v>
      </c>
      <c r="I12" s="4031"/>
      <c r="J12" s="4031"/>
      <c r="K12" s="4032"/>
      <c r="L12" s="4026" t="s">
        <v>922</v>
      </c>
      <c r="M12" s="4028"/>
      <c r="N12" s="4028"/>
      <c r="O12" s="4028"/>
      <c r="P12" s="4027"/>
      <c r="Q12" s="4025" t="s">
        <v>2264</v>
      </c>
      <c r="R12" s="2061"/>
      <c r="S12" s="4025" t="s">
        <v>2242</v>
      </c>
      <c r="T12" s="2061"/>
      <c r="U12" s="4029" t="s">
        <v>2265</v>
      </c>
      <c r="V12" s="4025" t="s">
        <v>2266</v>
      </c>
      <c r="W12" s="4026" t="s">
        <v>1001</v>
      </c>
      <c r="X12" s="4027"/>
      <c r="Y12" s="4025" t="s">
        <v>999</v>
      </c>
      <c r="Z12" s="4025" t="s">
        <v>2267</v>
      </c>
      <c r="AA12" s="4026" t="s">
        <v>1001</v>
      </c>
      <c r="AB12" s="4027"/>
      <c r="AC12" s="4025" t="s">
        <v>999</v>
      </c>
      <c r="AD12" s="4025" t="s">
        <v>2268</v>
      </c>
      <c r="AE12" s="4026" t="s">
        <v>1001</v>
      </c>
      <c r="AF12" s="4028"/>
    </row>
    <row r="13" spans="1:36" ht="60">
      <c r="A13" s="4025"/>
      <c r="B13" s="4025"/>
      <c r="C13" s="4025"/>
      <c r="D13" s="4025"/>
      <c r="E13" s="4025"/>
      <c r="F13" s="2061" t="s">
        <v>7</v>
      </c>
      <c r="G13" s="2061" t="s">
        <v>8</v>
      </c>
      <c r="H13" s="2061" t="s">
        <v>306</v>
      </c>
      <c r="I13" s="2061" t="s">
        <v>7</v>
      </c>
      <c r="J13" s="2061" t="s">
        <v>8</v>
      </c>
      <c r="K13" s="2061" t="s">
        <v>1096</v>
      </c>
      <c r="L13" s="2061" t="s">
        <v>1099</v>
      </c>
      <c r="M13" s="2061" t="s">
        <v>1194</v>
      </c>
      <c r="N13" s="2061" t="s">
        <v>1011</v>
      </c>
      <c r="O13" s="2061" t="s">
        <v>1012</v>
      </c>
      <c r="P13" s="2061" t="s">
        <v>1013</v>
      </c>
      <c r="Q13" s="4025"/>
      <c r="R13" s="2061"/>
      <c r="S13" s="4025"/>
      <c r="T13" s="2061"/>
      <c r="U13" s="4029"/>
      <c r="V13" s="4025"/>
      <c r="W13" s="2062" t="s">
        <v>7</v>
      </c>
      <c r="X13" s="2062" t="s">
        <v>8</v>
      </c>
      <c r="Y13" s="4025"/>
      <c r="Z13" s="4025"/>
      <c r="AA13" s="2062" t="s">
        <v>7</v>
      </c>
      <c r="AB13" s="2062" t="s">
        <v>8</v>
      </c>
      <c r="AC13" s="4025"/>
      <c r="AD13" s="4025"/>
      <c r="AE13" s="2062" t="s">
        <v>7</v>
      </c>
      <c r="AF13" s="3275" t="s">
        <v>8</v>
      </c>
    </row>
    <row r="14" spans="1:36">
      <c r="A14" s="2063"/>
      <c r="B14" s="2064" t="s">
        <v>306</v>
      </c>
      <c r="C14" s="2065"/>
      <c r="D14" s="2063"/>
      <c r="E14" s="2066"/>
      <c r="F14" s="2066">
        <f>SUM(F15:F16)</f>
        <v>0</v>
      </c>
      <c r="G14" s="2066"/>
      <c r="H14" s="2066">
        <f>H17</f>
        <v>1164.25</v>
      </c>
      <c r="I14" s="2066">
        <f t="shared" ref="I14:K14" si="0">I17</f>
        <v>22</v>
      </c>
      <c r="J14" s="2066">
        <f t="shared" si="0"/>
        <v>231.25</v>
      </c>
      <c r="K14" s="2066">
        <f t="shared" si="0"/>
        <v>911</v>
      </c>
      <c r="L14" s="2066">
        <f>SUM(L15:L21)</f>
        <v>794</v>
      </c>
      <c r="M14" s="2066">
        <f t="shared" ref="M14:P14" si="1">SUM(M15:M21)</f>
        <v>746</v>
      </c>
      <c r="N14" s="2066">
        <f t="shared" si="1"/>
        <v>209</v>
      </c>
      <c r="O14" s="2066">
        <f t="shared" si="1"/>
        <v>0</v>
      </c>
      <c r="P14" s="2066">
        <f t="shared" si="1"/>
        <v>770</v>
      </c>
      <c r="Q14" s="2066"/>
      <c r="R14" s="2066"/>
      <c r="S14" s="2066"/>
      <c r="T14" s="2066"/>
      <c r="U14" s="2066"/>
      <c r="V14" s="2066">
        <f>SUM(V15:V21)</f>
        <v>491417.69</v>
      </c>
      <c r="W14" s="2066">
        <f t="shared" ref="W14:AF14" si="2">SUM(W15:W21)</f>
        <v>0</v>
      </c>
      <c r="X14" s="2066">
        <f t="shared" si="2"/>
        <v>491417.69</v>
      </c>
      <c r="Y14" s="2066">
        <f t="shared" si="2"/>
        <v>1374</v>
      </c>
      <c r="Z14" s="2066">
        <f t="shared" si="2"/>
        <v>2570.2399999999998</v>
      </c>
      <c r="AA14" s="2066">
        <f t="shared" si="2"/>
        <v>0</v>
      </c>
      <c r="AB14" s="2066">
        <f t="shared" si="2"/>
        <v>2568</v>
      </c>
      <c r="AC14" s="2066">
        <f t="shared" si="2"/>
        <v>384</v>
      </c>
      <c r="AD14" s="2066">
        <f t="shared" si="2"/>
        <v>2694</v>
      </c>
      <c r="AE14" s="2066">
        <f t="shared" si="2"/>
        <v>0</v>
      </c>
      <c r="AF14" s="2066">
        <f t="shared" si="2"/>
        <v>2694</v>
      </c>
      <c r="AG14" s="2139"/>
    </row>
    <row r="15" spans="1:36" ht="24">
      <c r="A15" s="2074">
        <v>1</v>
      </c>
      <c r="B15" s="1766" t="s">
        <v>2246</v>
      </c>
      <c r="C15" s="2713" t="s">
        <v>2246</v>
      </c>
      <c r="D15" s="2067" t="s">
        <v>1022</v>
      </c>
      <c r="E15" s="2071">
        <f>'площ для обсл объек'!F12</f>
        <v>16815.8</v>
      </c>
      <c r="F15" s="2067"/>
      <c r="G15" s="2067">
        <f t="shared" ref="G15:G17" si="3">E15</f>
        <v>16815.8</v>
      </c>
      <c r="H15" s="2067">
        <f>I15+J15+K15</f>
        <v>0</v>
      </c>
      <c r="I15" s="2067"/>
      <c r="J15" s="2067"/>
      <c r="K15" s="2067"/>
      <c r="L15" s="2071">
        <v>6</v>
      </c>
      <c r="M15" s="2067"/>
      <c r="N15" s="2067">
        <f>ROUND(9600/500/3,0)</f>
        <v>6</v>
      </c>
      <c r="O15" s="2067"/>
      <c r="P15" s="3476">
        <f>MIN(L15,M15)-O15</f>
        <v>6</v>
      </c>
      <c r="Q15" s="3230">
        <f>170</f>
        <v>170</v>
      </c>
      <c r="R15" s="3230">
        <v>1.06</v>
      </c>
      <c r="S15" s="3230">
        <f>Q15*R15</f>
        <v>180.20000000000002</v>
      </c>
      <c r="T15" s="3230">
        <v>1.1200000000000001</v>
      </c>
      <c r="U15" s="3230">
        <f>S15*T15</f>
        <v>201.82400000000004</v>
      </c>
      <c r="V15" s="2071">
        <f>ROUND(P15*U15,2)</f>
        <v>1210.94</v>
      </c>
      <c r="W15" s="2071"/>
      <c r="X15" s="2071">
        <f t="shared" ref="X15:X17" si="4">V15-W15</f>
        <v>1210.94</v>
      </c>
      <c r="Y15" s="2071">
        <f t="shared" ref="Y15:Y16" si="5">ROUND(Q15*1.06,0)</f>
        <v>180</v>
      </c>
      <c r="Z15" s="2071">
        <f t="shared" ref="Z15:Z16" si="6">ROUND(P15*Y15,0)</f>
        <v>1080</v>
      </c>
      <c r="AA15" s="2071"/>
      <c r="AB15" s="2071">
        <f t="shared" ref="AB15:AB16" si="7">Z15-AA15</f>
        <v>1080</v>
      </c>
      <c r="AC15" s="2071">
        <f t="shared" ref="AC15:AC16" si="8">ROUND(Y15*1.05,0)</f>
        <v>189</v>
      </c>
      <c r="AD15" s="2071">
        <f t="shared" ref="AD15:AD16" si="9">ROUND(P15*AC15,0)</f>
        <v>1134</v>
      </c>
      <c r="AE15" s="2071"/>
      <c r="AF15" s="3276">
        <f t="shared" ref="AF15:AF16" si="10">AD15-AE15</f>
        <v>1134</v>
      </c>
      <c r="AG15" s="2139"/>
      <c r="AH15" s="2052">
        <v>1.1200000000000001</v>
      </c>
      <c r="AJ15" s="2052">
        <v>2000</v>
      </c>
    </row>
    <row r="16" spans="1:36">
      <c r="A16" s="2074">
        <v>2</v>
      </c>
      <c r="B16" s="1766" t="s">
        <v>2249</v>
      </c>
      <c r="C16" s="2072" t="s">
        <v>2249</v>
      </c>
      <c r="D16" s="2067" t="s">
        <v>1022</v>
      </c>
      <c r="E16" s="2071">
        <v>16815.8</v>
      </c>
      <c r="F16" s="2067"/>
      <c r="G16" s="2067">
        <f t="shared" si="3"/>
        <v>16815.8</v>
      </c>
      <c r="H16" s="2067">
        <f t="shared" ref="H16:H21" si="11">I16+J16+K16</f>
        <v>0</v>
      </c>
      <c r="I16" s="2067"/>
      <c r="J16" s="2067"/>
      <c r="K16" s="2067"/>
      <c r="L16" s="2071">
        <v>8</v>
      </c>
      <c r="M16" s="2067"/>
      <c r="N16" s="2067">
        <f>ROUND(10500/3/500,0)</f>
        <v>7</v>
      </c>
      <c r="O16" s="2067"/>
      <c r="P16" s="3476">
        <f t="shared" ref="P16:P21" si="12">MIN(L16,M16)-O16</f>
        <v>8</v>
      </c>
      <c r="Q16" s="3230">
        <f>175</f>
        <v>175</v>
      </c>
      <c r="R16" s="3230">
        <v>1.06</v>
      </c>
      <c r="S16" s="3230">
        <f t="shared" ref="S16:S21" si="13">Q16*R16</f>
        <v>185.5</v>
      </c>
      <c r="T16" s="3230">
        <v>1.1200000000000001</v>
      </c>
      <c r="U16" s="3230">
        <f t="shared" ref="U16:U21" si="14">S16*T16</f>
        <v>207.76000000000002</v>
      </c>
      <c r="V16" s="2071">
        <f t="shared" ref="V16:V21" si="15">ROUND(P16*U16,2)</f>
        <v>1662.08</v>
      </c>
      <c r="W16" s="2071"/>
      <c r="X16" s="2071">
        <f t="shared" si="4"/>
        <v>1662.08</v>
      </c>
      <c r="Y16" s="2071">
        <f t="shared" si="5"/>
        <v>186</v>
      </c>
      <c r="Z16" s="2071">
        <f t="shared" si="6"/>
        <v>1488</v>
      </c>
      <c r="AA16" s="2071"/>
      <c r="AB16" s="2071">
        <f t="shared" si="7"/>
        <v>1488</v>
      </c>
      <c r="AC16" s="2071">
        <f t="shared" si="8"/>
        <v>195</v>
      </c>
      <c r="AD16" s="2071">
        <f t="shared" si="9"/>
        <v>1560</v>
      </c>
      <c r="AE16" s="2071"/>
      <c r="AF16" s="3276">
        <f t="shared" si="10"/>
        <v>1560</v>
      </c>
      <c r="AG16" s="2139"/>
      <c r="AH16" s="2052">
        <v>1.1200000000000001</v>
      </c>
      <c r="AJ16" s="2052">
        <v>3600</v>
      </c>
    </row>
    <row r="17" spans="1:34">
      <c r="A17" s="2074">
        <v>3</v>
      </c>
      <c r="B17" s="1766" t="s">
        <v>2251</v>
      </c>
      <c r="C17" s="3461" t="s">
        <v>2252</v>
      </c>
      <c r="D17" s="2139" t="s">
        <v>2253</v>
      </c>
      <c r="E17" s="3227">
        <v>16815.8</v>
      </c>
      <c r="F17" s="3225"/>
      <c r="G17" s="3225">
        <f t="shared" si="3"/>
        <v>16815.8</v>
      </c>
      <c r="H17" s="2067">
        <f t="shared" si="11"/>
        <v>1164.25</v>
      </c>
      <c r="I17" s="2139">
        <v>22</v>
      </c>
      <c r="J17" s="2139">
        <v>231.25</v>
      </c>
      <c r="K17" s="2139">
        <v>911</v>
      </c>
      <c r="L17" s="2139">
        <v>91</v>
      </c>
      <c r="M17" s="2139">
        <f>ROUND(500*K17/5000,0)</f>
        <v>91</v>
      </c>
      <c r="N17" s="2139">
        <f>ROUND((40500+235000)/5000,0)</f>
        <v>55</v>
      </c>
      <c r="O17" s="2139">
        <v>0</v>
      </c>
      <c r="P17" s="3476">
        <f t="shared" si="12"/>
        <v>91</v>
      </c>
      <c r="Q17" s="2139">
        <f>800</f>
        <v>800</v>
      </c>
      <c r="R17" s="3230">
        <v>1.06</v>
      </c>
      <c r="S17" s="3230">
        <f t="shared" si="13"/>
        <v>848</v>
      </c>
      <c r="T17" s="3230">
        <v>1.1200000000000001</v>
      </c>
      <c r="U17" s="3230">
        <f t="shared" si="14"/>
        <v>949.7600000000001</v>
      </c>
      <c r="V17" s="2071">
        <f t="shared" si="15"/>
        <v>86428.160000000003</v>
      </c>
      <c r="W17" s="2139"/>
      <c r="X17" s="2071">
        <f t="shared" si="4"/>
        <v>86428.160000000003</v>
      </c>
      <c r="Y17" s="2139"/>
      <c r="AG17" s="2139"/>
      <c r="AH17" s="2052">
        <v>1.1200000000000001</v>
      </c>
    </row>
    <row r="18" spans="1:34" ht="24">
      <c r="A18" s="2074">
        <v>4</v>
      </c>
      <c r="B18" s="1766" t="s">
        <v>2255</v>
      </c>
      <c r="C18" s="3228" t="s">
        <v>2269</v>
      </c>
      <c r="D18" s="3437" t="s">
        <v>1022</v>
      </c>
      <c r="E18" s="3227">
        <v>16815.8</v>
      </c>
      <c r="F18" s="3225"/>
      <c r="G18" s="3225">
        <f t="shared" ref="G18:G21" si="16">E18</f>
        <v>16815.8</v>
      </c>
      <c r="H18" s="2067">
        <f t="shared" si="11"/>
        <v>0</v>
      </c>
      <c r="I18" s="3437"/>
      <c r="J18" s="2139"/>
      <c r="K18" s="2139"/>
      <c r="L18" s="2139">
        <v>360</v>
      </c>
      <c r="M18" s="3476">
        <f>ROUND(E18/500*10,0)</f>
        <v>336</v>
      </c>
      <c r="N18" s="2139">
        <f>ROUND(10400/200/3,0)</f>
        <v>17</v>
      </c>
      <c r="O18" s="2139">
        <v>0</v>
      </c>
      <c r="P18" s="3476">
        <f t="shared" si="12"/>
        <v>336</v>
      </c>
      <c r="Q18" s="2139">
        <f>95</f>
        <v>95</v>
      </c>
      <c r="R18" s="3230">
        <v>1.06</v>
      </c>
      <c r="S18" s="3230">
        <f t="shared" si="13"/>
        <v>100.7</v>
      </c>
      <c r="T18" s="3230">
        <v>1.1200000000000001</v>
      </c>
      <c r="U18" s="3230">
        <f t="shared" si="14"/>
        <v>112.78400000000002</v>
      </c>
      <c r="V18" s="2071">
        <f t="shared" si="15"/>
        <v>37895.42</v>
      </c>
      <c r="W18" s="2139"/>
      <c r="X18" s="2071">
        <f t="shared" ref="X18:X21" si="17">V18-W18</f>
        <v>37895.42</v>
      </c>
      <c r="Y18" s="2139"/>
      <c r="AG18" s="2139"/>
      <c r="AH18" s="2052">
        <v>1.1200000000000001</v>
      </c>
    </row>
    <row r="19" spans="1:34" ht="24">
      <c r="A19" s="2074">
        <v>5</v>
      </c>
      <c r="B19" s="1766" t="s">
        <v>2257</v>
      </c>
      <c r="C19" s="3438" t="s">
        <v>2257</v>
      </c>
      <c r="D19" s="3437" t="s">
        <v>2253</v>
      </c>
      <c r="E19" s="3227">
        <v>16815.8</v>
      </c>
      <c r="F19" s="3225"/>
      <c r="G19" s="3225">
        <f t="shared" si="16"/>
        <v>16815.8</v>
      </c>
      <c r="H19" s="2067">
        <f t="shared" si="11"/>
        <v>0</v>
      </c>
      <c r="I19" s="3437"/>
      <c r="J19" s="2139"/>
      <c r="K19" s="2139"/>
      <c r="L19" s="2139">
        <v>10</v>
      </c>
      <c r="M19" s="2139"/>
      <c r="N19" s="2139">
        <f>24/3</f>
        <v>8</v>
      </c>
      <c r="O19" s="2139"/>
      <c r="P19" s="3476">
        <f t="shared" si="12"/>
        <v>10</v>
      </c>
      <c r="Q19" s="2139">
        <f>625</f>
        <v>625</v>
      </c>
      <c r="R19" s="3230">
        <v>1.06</v>
      </c>
      <c r="S19" s="3230">
        <f t="shared" si="13"/>
        <v>662.5</v>
      </c>
      <c r="T19" s="3230">
        <v>1.1200000000000001</v>
      </c>
      <c r="U19" s="3230">
        <f t="shared" si="14"/>
        <v>742.00000000000011</v>
      </c>
      <c r="V19" s="2071">
        <f t="shared" si="15"/>
        <v>7420</v>
      </c>
      <c r="W19" s="2139"/>
      <c r="X19" s="2071">
        <f t="shared" si="17"/>
        <v>7420</v>
      </c>
      <c r="Y19" s="2139"/>
      <c r="AG19" s="2139"/>
      <c r="AH19" s="2052">
        <v>1.1200000000000001</v>
      </c>
    </row>
    <row r="20" spans="1:34" ht="36">
      <c r="A20" s="3223">
        <v>6</v>
      </c>
      <c r="B20" s="1766" t="s">
        <v>2259</v>
      </c>
      <c r="C20" s="3438" t="s">
        <v>2260</v>
      </c>
      <c r="D20" s="3439" t="s">
        <v>2253</v>
      </c>
      <c r="E20" s="3227">
        <v>16815.8</v>
      </c>
      <c r="F20" s="3225"/>
      <c r="G20" s="3225">
        <f t="shared" si="16"/>
        <v>16815.8</v>
      </c>
      <c r="H20" s="2067">
        <f t="shared" si="11"/>
        <v>0</v>
      </c>
      <c r="I20" s="3437"/>
      <c r="J20" s="2139"/>
      <c r="K20" s="2139"/>
      <c r="L20" s="2139">
        <v>151</v>
      </c>
      <c r="M20" s="2139">
        <f>ROUND(E20/500*450*10/1000,0)</f>
        <v>151</v>
      </c>
      <c r="N20" s="2139">
        <f>30/3</f>
        <v>10</v>
      </c>
      <c r="O20" s="2139"/>
      <c r="P20" s="3476">
        <f t="shared" si="12"/>
        <v>151</v>
      </c>
      <c r="Q20" s="2139">
        <f>900</f>
        <v>900</v>
      </c>
      <c r="R20" s="3230">
        <v>1.06</v>
      </c>
      <c r="S20" s="3230">
        <f t="shared" si="13"/>
        <v>954</v>
      </c>
      <c r="T20" s="3230">
        <v>1.1200000000000001</v>
      </c>
      <c r="U20" s="3230">
        <f t="shared" si="14"/>
        <v>1068.48</v>
      </c>
      <c r="V20" s="2071">
        <f t="shared" si="15"/>
        <v>161340.48000000001</v>
      </c>
      <c r="W20" s="2139"/>
      <c r="X20" s="3227">
        <f t="shared" si="17"/>
        <v>161340.48000000001</v>
      </c>
      <c r="Y20" s="2139">
        <f t="shared" ref="Y20" si="18">ROUND(Q20*Z20,2)</f>
        <v>1008</v>
      </c>
      <c r="Z20" s="2052">
        <v>1.1200000000000001</v>
      </c>
      <c r="AG20" s="2139"/>
      <c r="AH20" s="2052">
        <v>1.1200000000000001</v>
      </c>
    </row>
    <row r="21" spans="1:34" ht="24">
      <c r="A21" s="3223">
        <v>7</v>
      </c>
      <c r="B21" s="1766" t="s">
        <v>2261</v>
      </c>
      <c r="C21" s="3438" t="s">
        <v>2262</v>
      </c>
      <c r="D21" s="2139" t="s">
        <v>1022</v>
      </c>
      <c r="E21" s="3227">
        <v>16815.8</v>
      </c>
      <c r="F21" s="3225"/>
      <c r="G21" s="3225">
        <f t="shared" si="16"/>
        <v>16815.8</v>
      </c>
      <c r="H21" s="2067">
        <f t="shared" si="11"/>
        <v>0</v>
      </c>
      <c r="I21" s="2139"/>
      <c r="J21" s="2139"/>
      <c r="K21" s="2139"/>
      <c r="L21" s="2139">
        <v>168</v>
      </c>
      <c r="M21" s="2139">
        <f>ROUND(E21/500*0.5*10,0)</f>
        <v>168</v>
      </c>
      <c r="N21" s="2139">
        <f>ROUND(159/0.5/3,0)</f>
        <v>106</v>
      </c>
      <c r="O21" s="2139"/>
      <c r="P21" s="3476">
        <f t="shared" si="12"/>
        <v>168</v>
      </c>
      <c r="Q21" s="2139">
        <f>980</f>
        <v>980</v>
      </c>
      <c r="R21" s="3230">
        <v>1.06</v>
      </c>
      <c r="S21" s="3230">
        <f t="shared" si="13"/>
        <v>1038.8</v>
      </c>
      <c r="T21" s="3230">
        <v>1.1200000000000001</v>
      </c>
      <c r="U21" s="3230">
        <f t="shared" si="14"/>
        <v>1163.4560000000001</v>
      </c>
      <c r="V21" s="2071">
        <f t="shared" si="15"/>
        <v>195460.61</v>
      </c>
      <c r="W21" s="2139"/>
      <c r="X21" s="3227">
        <f t="shared" si="17"/>
        <v>195460.61</v>
      </c>
      <c r="Y21" s="2139"/>
      <c r="Z21" s="2052">
        <v>1.1200000000000001</v>
      </c>
      <c r="AG21" s="2139"/>
      <c r="AH21" s="2052">
        <v>1.1200000000000001</v>
      </c>
    </row>
    <row r="22" spans="1:34" ht="12.75">
      <c r="C22" s="2165"/>
      <c r="D22" s="3330"/>
      <c r="E22" s="3330"/>
      <c r="F22" s="3330"/>
      <c r="G22" s="3332"/>
      <c r="H22" s="3332"/>
      <c r="I22" s="2749"/>
      <c r="J22" s="2749"/>
      <c r="K22" s="2749"/>
      <c r="L22" s="2749"/>
    </row>
    <row r="23" spans="1:34" ht="15.75">
      <c r="B23" s="2042" t="s">
        <v>368</v>
      </c>
      <c r="C23" s="475"/>
      <c r="D23" s="2884"/>
      <c r="E23" s="2884"/>
      <c r="F23" s="463"/>
      <c r="G23" s="406"/>
      <c r="H23" s="3238"/>
      <c r="I23" s="406"/>
      <c r="J23" s="3237"/>
      <c r="K23" s="3239"/>
      <c r="L23" s="2749"/>
    </row>
    <row r="24" spans="1:34" ht="15.75">
      <c r="B24" s="2042" t="s">
        <v>370</v>
      </c>
      <c r="C24" s="475"/>
      <c r="D24" s="2884"/>
      <c r="E24" s="2884"/>
      <c r="F24" s="3241"/>
      <c r="G24" s="2923"/>
      <c r="H24" s="2042"/>
      <c r="I24" s="2923"/>
      <c r="J24" s="2042"/>
      <c r="L24" s="2749"/>
      <c r="O24" s="2041" t="s">
        <v>371</v>
      </c>
    </row>
    <row r="25" spans="1:34" ht="15.75">
      <c r="B25" s="2042"/>
      <c r="C25" s="475"/>
      <c r="D25" s="2884"/>
      <c r="E25" s="2884"/>
      <c r="F25" s="356"/>
      <c r="G25" s="2923"/>
      <c r="H25" s="1923"/>
      <c r="I25" s="2923"/>
      <c r="J25" s="2042"/>
      <c r="L25" s="2749"/>
      <c r="O25" s="3030"/>
    </row>
    <row r="26" spans="1:34" ht="15.75">
      <c r="B26" s="2042" t="s">
        <v>451</v>
      </c>
      <c r="C26" s="2952"/>
      <c r="D26" s="2952"/>
      <c r="E26" s="2952"/>
      <c r="F26" s="356"/>
      <c r="G26" s="2923"/>
      <c r="H26" s="2042"/>
      <c r="I26" s="2923"/>
      <c r="J26" s="2042"/>
      <c r="O26" s="2042" t="s">
        <v>452</v>
      </c>
    </row>
    <row r="27" spans="1:34" ht="15">
      <c r="B27" s="2042"/>
      <c r="C27" s="2924"/>
      <c r="D27" s="2924"/>
      <c r="E27" s="2924"/>
      <c r="F27" s="2924"/>
      <c r="G27" s="2924"/>
      <c r="H27" s="2924"/>
      <c r="I27" s="2924"/>
      <c r="J27" s="2924"/>
      <c r="O27" s="3030"/>
    </row>
    <row r="28" spans="1:34" ht="15">
      <c r="B28" s="2042" t="s">
        <v>375</v>
      </c>
      <c r="C28" s="2924"/>
      <c r="D28" s="2924"/>
      <c r="E28" s="2924"/>
      <c r="F28" s="2924"/>
      <c r="G28" s="2924"/>
      <c r="H28" s="2924"/>
      <c r="I28" s="2924"/>
      <c r="J28" s="2924"/>
      <c r="O28" s="2042" t="s">
        <v>377</v>
      </c>
    </row>
  </sheetData>
  <sheetProtection formatColumns="0" insertRows="0" deleteRows="0"/>
  <mergeCells count="19">
    <mergeCell ref="W12:X12"/>
    <mergeCell ref="A12:A13"/>
    <mergeCell ref="B12:B13"/>
    <mergeCell ref="C12:C13"/>
    <mergeCell ref="D12:D13"/>
    <mergeCell ref="E12:E13"/>
    <mergeCell ref="F12:G12"/>
    <mergeCell ref="L12:P12"/>
    <mergeCell ref="Q12:Q13"/>
    <mergeCell ref="V12:V13"/>
    <mergeCell ref="H12:K12"/>
    <mergeCell ref="S12:S13"/>
    <mergeCell ref="U12:U13"/>
    <mergeCell ref="AE12:AF12"/>
    <mergeCell ref="Y12:Y13"/>
    <mergeCell ref="Z12:Z13"/>
    <mergeCell ref="AA12:AB12"/>
    <mergeCell ref="AC12:AC13"/>
    <mergeCell ref="AD12:AD13"/>
  </mergeCells>
  <pageMargins left="0" right="0" top="0" bottom="0" header="0" footer="0"/>
  <pageSetup paperSize="9" scale="62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92D050"/>
    <pageSetUpPr fitToPage="1"/>
  </sheetPr>
  <dimension ref="A1:AM339"/>
  <sheetViews>
    <sheetView zoomScale="112" zoomScaleNormal="112" zoomScaleSheetLayoutView="80" workbookViewId="0">
      <pane xSplit="2" ySplit="9" topLeftCell="C181" activePane="bottomRight" state="frozen"/>
      <selection pane="topRight" activeCell="C1" sqref="C1"/>
      <selection pane="bottomLeft" activeCell="A12" sqref="A12"/>
      <selection pane="bottomRight" activeCell="P184" sqref="P184"/>
    </sheetView>
  </sheetViews>
  <sheetFormatPr defaultColWidth="9.140625" defaultRowHeight="12"/>
  <cols>
    <col min="1" max="1" width="4.5703125" style="2159" customWidth="1"/>
    <col min="2" max="2" width="26" style="2052" customWidth="1"/>
    <col min="3" max="3" width="28.7109375" style="2053" customWidth="1"/>
    <col min="4" max="4" width="7.42578125" style="2052" customWidth="1"/>
    <col min="5" max="5" width="10.42578125" style="2052" hidden="1" customWidth="1"/>
    <col min="6" max="6" width="6.140625" style="2052" hidden="1" customWidth="1"/>
    <col min="7" max="7" width="10.85546875" style="2052" hidden="1" customWidth="1"/>
    <col min="8" max="8" width="6.85546875" style="2052" hidden="1" customWidth="1"/>
    <col min="9" max="9" width="6.42578125" style="2052" hidden="1" customWidth="1"/>
    <col min="10" max="10" width="10" style="2052" hidden="1" customWidth="1"/>
    <col min="11" max="11" width="8.85546875" style="2052" customWidth="1"/>
    <col min="12" max="12" width="10.7109375" style="2052" customWidth="1"/>
    <col min="13" max="13" width="11.28515625" style="2052" customWidth="1"/>
    <col min="14" max="14" width="10.85546875" style="2730" customWidth="1"/>
    <col min="15" max="15" width="11" style="2754" customWidth="1"/>
    <col min="16" max="16" width="10.140625" style="2715" customWidth="1"/>
    <col min="17" max="17" width="12.28515625" style="2052" customWidth="1"/>
    <col min="18" max="18" width="13.28515625" style="2052" customWidth="1"/>
    <col min="19" max="19" width="9.28515625" style="2052" customWidth="1"/>
    <col min="20" max="20" width="13.42578125" style="2052" customWidth="1"/>
    <col min="21" max="21" width="16.85546875" style="2052" hidden="1" customWidth="1"/>
    <col min="22" max="22" width="14.28515625" style="2052" hidden="1" customWidth="1"/>
    <col min="23" max="23" width="11.28515625" style="2052" hidden="1" customWidth="1"/>
    <col min="24" max="24" width="13.42578125" style="2052" hidden="1" customWidth="1"/>
    <col min="25" max="25" width="13" style="2052" hidden="1" customWidth="1"/>
    <col min="26" max="26" width="13.42578125" style="2052" hidden="1" customWidth="1"/>
    <col min="27" max="27" width="10.140625" style="2052" hidden="1" customWidth="1"/>
    <col min="28" max="28" width="14.5703125" style="2052" hidden="1" customWidth="1"/>
    <col min="29" max="29" width="0" style="2052" hidden="1" customWidth="1"/>
    <col min="30" max="30" width="13.7109375" style="2052" hidden="1" customWidth="1"/>
    <col min="31" max="16384" width="9.140625" style="2052"/>
  </cols>
  <sheetData>
    <row r="1" spans="1:39">
      <c r="A1" s="2256"/>
      <c r="S1" s="2052" t="s">
        <v>267</v>
      </c>
      <c r="T1" s="2054" t="s">
        <v>2270</v>
      </c>
    </row>
    <row r="2" spans="1:39" s="2056" customFormat="1">
      <c r="A2" s="2487" t="s">
        <v>2271</v>
      </c>
      <c r="C2" s="2057"/>
      <c r="N2" s="2731"/>
      <c r="O2" s="2755"/>
      <c r="P2" s="2716"/>
    </row>
    <row r="3" spans="1:39">
      <c r="A3" s="2488"/>
    </row>
    <row r="4" spans="1:39" s="2056" customFormat="1">
      <c r="A4" s="2105" t="s">
        <v>2272</v>
      </c>
      <c r="C4" s="2057"/>
      <c r="N4" s="2731"/>
      <c r="O4" s="2755"/>
      <c r="P4" s="2716"/>
      <c r="Q4" s="2490">
        <v>1.07</v>
      </c>
      <c r="AB4" s="2146" t="e">
        <f>R9+#REF!+'хоз кот и ул освещ'!V4+'хоз кот и ул освещ'!V4</f>
        <v>#REF!</v>
      </c>
    </row>
    <row r="5" spans="1:39">
      <c r="A5" s="2489" t="s">
        <v>990</v>
      </c>
      <c r="R5" s="2729" t="e">
        <f>T9-R9</f>
        <v>#REF!</v>
      </c>
    </row>
    <row r="7" spans="1:39" ht="30" customHeight="1">
      <c r="A7" s="4038" t="s">
        <v>2</v>
      </c>
      <c r="B7" s="4025" t="s">
        <v>478</v>
      </c>
      <c r="C7" s="4025" t="s">
        <v>995</v>
      </c>
      <c r="D7" s="4025" t="s">
        <v>996</v>
      </c>
      <c r="E7" s="4025" t="s">
        <v>1191</v>
      </c>
      <c r="F7" s="4025" t="s">
        <v>255</v>
      </c>
      <c r="G7" s="4025"/>
      <c r="H7" s="4036" t="s">
        <v>1192</v>
      </c>
      <c r="I7" s="4026" t="s">
        <v>1193</v>
      </c>
      <c r="J7" s="4028"/>
      <c r="K7" s="4027"/>
      <c r="L7" s="4026" t="s">
        <v>922</v>
      </c>
      <c r="M7" s="4028"/>
      <c r="N7" s="4028"/>
      <c r="O7" s="4028"/>
      <c r="P7" s="4027"/>
      <c r="Q7" s="4025" t="s">
        <v>999</v>
      </c>
      <c r="R7" s="4025" t="s">
        <v>2273</v>
      </c>
      <c r="S7" s="4026" t="s">
        <v>1001</v>
      </c>
      <c r="T7" s="4027"/>
      <c r="U7" s="4034"/>
      <c r="V7" s="4035"/>
      <c r="W7" s="4025" t="s">
        <v>999</v>
      </c>
      <c r="X7" s="4025" t="s">
        <v>1078</v>
      </c>
      <c r="Y7" s="4026" t="s">
        <v>1001</v>
      </c>
      <c r="Z7" s="4027"/>
      <c r="AA7" s="4025" t="s">
        <v>999</v>
      </c>
      <c r="AB7" s="4025" t="s">
        <v>2267</v>
      </c>
      <c r="AC7" s="4026" t="s">
        <v>1001</v>
      </c>
      <c r="AD7" s="4027"/>
      <c r="AE7" s="2135"/>
      <c r="AF7" s="2135"/>
      <c r="AG7" s="2135"/>
      <c r="AH7" s="2135"/>
      <c r="AI7" s="2135"/>
      <c r="AJ7" s="2135"/>
      <c r="AK7" s="2135"/>
      <c r="AL7" s="2135"/>
      <c r="AM7" s="2135"/>
    </row>
    <row r="8" spans="1:39" ht="60">
      <c r="A8" s="4038"/>
      <c r="B8" s="4025"/>
      <c r="C8" s="4025"/>
      <c r="D8" s="4025"/>
      <c r="E8" s="4025"/>
      <c r="F8" s="2061" t="s">
        <v>7</v>
      </c>
      <c r="G8" s="2061" t="s">
        <v>8</v>
      </c>
      <c r="H8" s="4037"/>
      <c r="I8" s="2061" t="s">
        <v>7</v>
      </c>
      <c r="J8" s="2061" t="s">
        <v>8</v>
      </c>
      <c r="K8" s="2061" t="s">
        <v>1096</v>
      </c>
      <c r="L8" s="2061" t="s">
        <v>1099</v>
      </c>
      <c r="M8" s="2061" t="s">
        <v>1194</v>
      </c>
      <c r="N8" s="2732" t="s">
        <v>1011</v>
      </c>
      <c r="O8" s="2756" t="s">
        <v>1012</v>
      </c>
      <c r="P8" s="2717" t="s">
        <v>1013</v>
      </c>
      <c r="Q8" s="4025"/>
      <c r="R8" s="4025"/>
      <c r="S8" s="2062" t="s">
        <v>7</v>
      </c>
      <c r="T8" s="2062" t="s">
        <v>8</v>
      </c>
      <c r="U8" s="4034"/>
      <c r="V8" s="4035"/>
      <c r="W8" s="4025"/>
      <c r="X8" s="4025"/>
      <c r="Y8" s="2062" t="s">
        <v>7</v>
      </c>
      <c r="Z8" s="2062" t="s">
        <v>8</v>
      </c>
      <c r="AA8" s="4025"/>
      <c r="AB8" s="4025"/>
      <c r="AC8" s="2062" t="s">
        <v>7</v>
      </c>
      <c r="AD8" s="2062" t="s">
        <v>8</v>
      </c>
      <c r="AE8" s="2137"/>
      <c r="AF8" s="2135"/>
      <c r="AG8" s="2137"/>
      <c r="AH8" s="2137"/>
      <c r="AI8" s="2137"/>
      <c r="AJ8" s="2137"/>
      <c r="AK8" s="2137"/>
      <c r="AL8" s="2137"/>
      <c r="AM8" s="2137"/>
    </row>
    <row r="9" spans="1:39">
      <c r="A9" s="2160"/>
      <c r="B9" s="2064" t="s">
        <v>306</v>
      </c>
      <c r="C9" s="2065"/>
      <c r="D9" s="2063"/>
      <c r="E9" s="2066">
        <v>48365.919999999998</v>
      </c>
      <c r="F9" s="2066">
        <f>SUM(F10:F185)</f>
        <v>0</v>
      </c>
      <c r="G9" s="2066">
        <v>48365.919999999998</v>
      </c>
      <c r="H9" s="2066"/>
      <c r="I9" s="2066"/>
      <c r="J9" s="2066"/>
      <c r="K9" s="2066"/>
      <c r="L9" s="2066"/>
      <c r="M9" s="2066"/>
      <c r="N9" s="2733"/>
      <c r="O9" s="2757"/>
      <c r="P9" s="2718"/>
      <c r="Q9" s="2066"/>
      <c r="R9" s="2064" t="e">
        <f>SUM(R10:R324)</f>
        <v>#REF!</v>
      </c>
      <c r="S9" s="2064"/>
      <c r="T9" s="2064" t="e">
        <f>SUM(T10:T324)</f>
        <v>#REF!</v>
      </c>
      <c r="U9" s="4034"/>
      <c r="V9" s="4035"/>
      <c r="W9" s="2066"/>
      <c r="X9" s="2064" t="e">
        <f>SUM(X10:X229)</f>
        <v>#REF!</v>
      </c>
      <c r="Y9" s="2064">
        <f>SUM(Y10:Y185)</f>
        <v>0</v>
      </c>
      <c r="Z9" s="2064" t="e">
        <f>SUM(Z10:Z229)</f>
        <v>#REF!</v>
      </c>
      <c r="AA9" s="2066"/>
      <c r="AB9" s="2064" t="e">
        <f>SUM(AB10:AB229)</f>
        <v>#REF!</v>
      </c>
      <c r="AC9" s="2064">
        <f>SUM(AC10:AC185)</f>
        <v>0</v>
      </c>
      <c r="AD9" s="2064" t="e">
        <f>SUM(AD10:AD229)</f>
        <v>#REF!</v>
      </c>
      <c r="AE9" s="2135"/>
      <c r="AF9" s="2135"/>
      <c r="AG9" s="2135"/>
      <c r="AH9" s="2135"/>
      <c r="AI9" s="2135"/>
      <c r="AJ9" s="2135"/>
      <c r="AK9" s="2135"/>
      <c r="AL9" s="2135"/>
      <c r="AM9" s="2135"/>
    </row>
    <row r="10" spans="1:39" s="2161" customFormat="1" ht="16.149999999999999" customHeight="1">
      <c r="A10" s="2743">
        <v>1</v>
      </c>
      <c r="B10" s="2744" t="s">
        <v>2274</v>
      </c>
      <c r="C10" s="2744" t="s">
        <v>2275</v>
      </c>
      <c r="D10" s="2745" t="s">
        <v>1268</v>
      </c>
      <c r="E10" s="2746">
        <f>Лист2!F10</f>
        <v>16815.8</v>
      </c>
      <c r="F10" s="2747"/>
      <c r="G10" s="2746">
        <f t="shared" ref="G10:G41" si="0">E10</f>
        <v>16815.8</v>
      </c>
      <c r="H10" s="2747"/>
      <c r="I10" s="2747"/>
      <c r="J10" s="2747"/>
      <c r="K10" s="2747"/>
      <c r="L10" s="2744">
        <v>30</v>
      </c>
      <c r="M10" s="2744"/>
      <c r="N10" s="2747">
        <f>900/3</f>
        <v>300</v>
      </c>
      <c r="O10" s="2758">
        <v>0</v>
      </c>
      <c r="P10" s="2745" t="e">
        <f>#REF!+#REF!+хозАДМ!P10+хозИНТ!P8</f>
        <v>#REF!</v>
      </c>
      <c r="Q10" s="2745">
        <f>ROUND(120*Q4,2)</f>
        <v>128.4</v>
      </c>
      <c r="R10" s="2745" t="e">
        <f>ROUND(P10*Q10,0)</f>
        <v>#REF!</v>
      </c>
      <c r="S10" s="2745"/>
      <c r="T10" s="2745" t="e">
        <f>R10-S10</f>
        <v>#REF!</v>
      </c>
      <c r="U10" s="2148"/>
      <c r="V10" s="2148"/>
      <c r="W10" s="2745">
        <f>ROUND(Q10*1.07,2)</f>
        <v>137.38999999999999</v>
      </c>
      <c r="X10" s="2745" t="e">
        <f>ROUND(P10*W10,0)</f>
        <v>#REF!</v>
      </c>
      <c r="Y10" s="2745"/>
      <c r="Z10" s="2745" t="e">
        <f t="shared" ref="Z10:Z73" si="1">X10-Y10</f>
        <v>#REF!</v>
      </c>
      <c r="AA10" s="2745">
        <f>ROUND(W10*1.07,2)</f>
        <v>147.01</v>
      </c>
      <c r="AB10" s="2745" t="e">
        <f>ROUND(P10*AA10,0)</f>
        <v>#REF!</v>
      </c>
      <c r="AC10" s="2745"/>
      <c r="AD10" s="2745" t="e">
        <f t="shared" ref="AD10:AD73" si="2">AB10-AC10</f>
        <v>#REF!</v>
      </c>
      <c r="AE10" s="2148"/>
      <c r="AF10" s="2148"/>
      <c r="AG10" s="2148"/>
      <c r="AH10" s="2148"/>
      <c r="AI10" s="2148"/>
      <c r="AJ10" s="2148"/>
      <c r="AK10" s="2148"/>
      <c r="AL10" s="2148"/>
      <c r="AM10" s="2148"/>
    </row>
    <row r="11" spans="1:39">
      <c r="A11" s="2074">
        <v>2</v>
      </c>
      <c r="B11" s="2068" t="s">
        <v>2274</v>
      </c>
      <c r="C11" s="2068" t="s">
        <v>2276</v>
      </c>
      <c r="D11" s="2071" t="s">
        <v>1268</v>
      </c>
      <c r="E11" s="2070">
        <v>16815.8</v>
      </c>
      <c r="F11" s="2067"/>
      <c r="G11" s="2070">
        <f t="shared" si="0"/>
        <v>16815.8</v>
      </c>
      <c r="H11" s="2067"/>
      <c r="I11" s="2067"/>
      <c r="J11" s="2067"/>
      <c r="K11" s="2067"/>
      <c r="L11" s="2068">
        <v>30</v>
      </c>
      <c r="M11" s="2068"/>
      <c r="N11" s="2734">
        <v>50</v>
      </c>
      <c r="O11" s="2759"/>
      <c r="P11" s="2719" t="e">
        <f>#REF!+#REF!+хозАДМ!P11+хозИНТ!P9</f>
        <v>#REF!</v>
      </c>
      <c r="Q11" s="2071">
        <f>ROUND(160*Q4,2)</f>
        <v>171.2</v>
      </c>
      <c r="R11" s="2071" t="e">
        <f t="shared" ref="R11:R74" si="3">ROUND(P11*Q11,0)</f>
        <v>#REF!</v>
      </c>
      <c r="S11" s="2071"/>
      <c r="T11" s="2071" t="e">
        <f t="shared" ref="T11:T41" si="4">R11-S11</f>
        <v>#REF!</v>
      </c>
      <c r="U11" s="2135"/>
      <c r="V11" s="2135"/>
      <c r="W11" s="2071">
        <f t="shared" ref="W11:W74" si="5">ROUND(Q11*1.07,2)</f>
        <v>183.18</v>
      </c>
      <c r="X11" s="2071" t="e">
        <f t="shared" ref="X11:X74" si="6">ROUND(P11*W11,0)</f>
        <v>#REF!</v>
      </c>
      <c r="Y11" s="2071"/>
      <c r="Z11" s="2071" t="e">
        <f t="shared" si="1"/>
        <v>#REF!</v>
      </c>
      <c r="AA11" s="2071">
        <f t="shared" ref="AA11:AA74" si="7">ROUND(W11*1.07,2)</f>
        <v>196</v>
      </c>
      <c r="AB11" s="2071" t="e">
        <f t="shared" ref="AB11:AB74" si="8">ROUND(P11*AA11,0)</f>
        <v>#REF!</v>
      </c>
      <c r="AC11" s="2071"/>
      <c r="AD11" s="2071" t="e">
        <f t="shared" si="2"/>
        <v>#REF!</v>
      </c>
      <c r="AE11" s="2135"/>
      <c r="AF11" s="2135"/>
      <c r="AG11" s="2135"/>
      <c r="AH11" s="2135"/>
      <c r="AI11" s="2135"/>
      <c r="AJ11" s="2135"/>
      <c r="AK11" s="2135"/>
      <c r="AL11" s="2135"/>
      <c r="AM11" s="2135"/>
    </row>
    <row r="12" spans="1:39">
      <c r="A12" s="2074">
        <v>3</v>
      </c>
      <c r="B12" s="2068" t="s">
        <v>2274</v>
      </c>
      <c r="C12" s="2068" t="s">
        <v>2277</v>
      </c>
      <c r="D12" s="2071" t="s">
        <v>1268</v>
      </c>
      <c r="E12" s="2070">
        <v>16815.8</v>
      </c>
      <c r="F12" s="2067"/>
      <c r="G12" s="2070">
        <f t="shared" si="0"/>
        <v>16815.8</v>
      </c>
      <c r="H12" s="2067"/>
      <c r="I12" s="2067"/>
      <c r="J12" s="2067"/>
      <c r="K12" s="2067"/>
      <c r="L12" s="2068">
        <v>30</v>
      </c>
      <c r="M12" s="2068"/>
      <c r="N12" s="2734">
        <f>900/3</f>
        <v>300</v>
      </c>
      <c r="O12" s="2759"/>
      <c r="P12" s="2719" t="e">
        <f>#REF!+#REF!+хозАДМ!P12+хозИНТ!P10</f>
        <v>#REF!</v>
      </c>
      <c r="Q12" s="2071">
        <f>ROUND(190*Q4,2)</f>
        <v>203.3</v>
      </c>
      <c r="R12" s="2071" t="e">
        <f t="shared" si="3"/>
        <v>#REF!</v>
      </c>
      <c r="S12" s="2071"/>
      <c r="T12" s="2071" t="e">
        <f t="shared" si="4"/>
        <v>#REF!</v>
      </c>
      <c r="U12" s="2135"/>
      <c r="V12" s="2135"/>
      <c r="W12" s="2071">
        <f t="shared" si="5"/>
        <v>217.53</v>
      </c>
      <c r="X12" s="2071" t="e">
        <f t="shared" si="6"/>
        <v>#REF!</v>
      </c>
      <c r="Y12" s="2071"/>
      <c r="Z12" s="2071" t="e">
        <f t="shared" si="1"/>
        <v>#REF!</v>
      </c>
      <c r="AA12" s="2071">
        <f t="shared" si="7"/>
        <v>232.76</v>
      </c>
      <c r="AB12" s="2071" t="e">
        <f t="shared" si="8"/>
        <v>#REF!</v>
      </c>
      <c r="AC12" s="2071"/>
      <c r="AD12" s="2071" t="e">
        <f t="shared" si="2"/>
        <v>#REF!</v>
      </c>
      <c r="AE12" s="2135"/>
      <c r="AF12" s="2135"/>
      <c r="AG12" s="2135"/>
      <c r="AH12" s="2135"/>
      <c r="AI12" s="2135"/>
      <c r="AJ12" s="2135"/>
      <c r="AK12" s="2135"/>
      <c r="AL12" s="2135"/>
      <c r="AM12" s="2135"/>
    </row>
    <row r="13" spans="1:39" s="2161" customFormat="1">
      <c r="A13" s="2743">
        <v>4</v>
      </c>
      <c r="B13" s="2744" t="s">
        <v>2274</v>
      </c>
      <c r="C13" s="2744" t="s">
        <v>2278</v>
      </c>
      <c r="D13" s="2745" t="s">
        <v>1268</v>
      </c>
      <c r="E13" s="2746">
        <v>16815.8</v>
      </c>
      <c r="F13" s="2747"/>
      <c r="G13" s="2746">
        <f t="shared" si="0"/>
        <v>16815.8</v>
      </c>
      <c r="H13" s="2747"/>
      <c r="I13" s="2747"/>
      <c r="J13" s="2747"/>
      <c r="K13" s="2747"/>
      <c r="L13" s="2744">
        <v>20</v>
      </c>
      <c r="M13" s="2744"/>
      <c r="N13" s="2747">
        <f>900/3</f>
        <v>300</v>
      </c>
      <c r="O13" s="2758">
        <v>0</v>
      </c>
      <c r="P13" s="2745" t="e">
        <f>#REF!+#REF!+хозАДМ!P13+хозИНТ!P11</f>
        <v>#REF!</v>
      </c>
      <c r="Q13" s="2745">
        <f>ROUND(230*Q4,2)</f>
        <v>246.1</v>
      </c>
      <c r="R13" s="2745" t="e">
        <f t="shared" si="3"/>
        <v>#REF!</v>
      </c>
      <c r="S13" s="2745"/>
      <c r="T13" s="2745" t="e">
        <f t="shared" si="4"/>
        <v>#REF!</v>
      </c>
      <c r="U13" s="2148"/>
      <c r="V13" s="2148"/>
      <c r="W13" s="2745">
        <f t="shared" si="5"/>
        <v>263.33</v>
      </c>
      <c r="X13" s="2745" t="e">
        <f t="shared" si="6"/>
        <v>#REF!</v>
      </c>
      <c r="Y13" s="2745"/>
      <c r="Z13" s="2745" t="e">
        <f t="shared" si="1"/>
        <v>#REF!</v>
      </c>
      <c r="AA13" s="2745">
        <f t="shared" si="7"/>
        <v>281.76</v>
      </c>
      <c r="AB13" s="2745" t="e">
        <f t="shared" si="8"/>
        <v>#REF!</v>
      </c>
      <c r="AC13" s="2745"/>
      <c r="AD13" s="2745" t="e">
        <f t="shared" si="2"/>
        <v>#REF!</v>
      </c>
      <c r="AE13" s="2148"/>
      <c r="AF13" s="2148"/>
      <c r="AG13" s="2148"/>
      <c r="AH13" s="2148"/>
      <c r="AI13" s="2148"/>
      <c r="AJ13" s="2148"/>
      <c r="AK13" s="2148"/>
      <c r="AL13" s="2148"/>
      <c r="AM13" s="2148"/>
    </row>
    <row r="14" spans="1:39" ht="24">
      <c r="A14" s="2074">
        <v>5</v>
      </c>
      <c r="B14" s="2068" t="s">
        <v>2279</v>
      </c>
      <c r="C14" s="2068" t="s">
        <v>2280</v>
      </c>
      <c r="D14" s="2071" t="s">
        <v>1395</v>
      </c>
      <c r="E14" s="2070">
        <v>16815.8</v>
      </c>
      <c r="F14" s="2067"/>
      <c r="G14" s="2070">
        <f t="shared" si="0"/>
        <v>16815.8</v>
      </c>
      <c r="H14" s="2067"/>
      <c r="I14" s="2067"/>
      <c r="J14" s="2067"/>
      <c r="K14" s="2067"/>
      <c r="L14" s="2068">
        <v>90</v>
      </c>
      <c r="M14" s="2068"/>
      <c r="N14" s="2734"/>
      <c r="O14" s="2759"/>
      <c r="P14" s="2719" t="e">
        <f>#REF!+#REF!+хозАДМ!P14+хозИНТ!P12</f>
        <v>#REF!</v>
      </c>
      <c r="Q14" s="2071">
        <f>ROUND(1640*Q4,2)</f>
        <v>1754.8</v>
      </c>
      <c r="R14" s="2071" t="e">
        <f t="shared" si="3"/>
        <v>#REF!</v>
      </c>
      <c r="S14" s="2071"/>
      <c r="T14" s="2071" t="e">
        <f t="shared" si="4"/>
        <v>#REF!</v>
      </c>
      <c r="U14" s="2135"/>
      <c r="V14" s="2135"/>
      <c r="W14" s="2071">
        <f t="shared" si="5"/>
        <v>1877.64</v>
      </c>
      <c r="X14" s="2071" t="e">
        <f t="shared" si="6"/>
        <v>#REF!</v>
      </c>
      <c r="Y14" s="2071"/>
      <c r="Z14" s="2071" t="e">
        <f t="shared" si="1"/>
        <v>#REF!</v>
      </c>
      <c r="AA14" s="2071">
        <f t="shared" si="7"/>
        <v>2009.07</v>
      </c>
      <c r="AB14" s="2071" t="e">
        <f t="shared" si="8"/>
        <v>#REF!</v>
      </c>
      <c r="AC14" s="2071"/>
      <c r="AD14" s="2071" t="e">
        <f t="shared" si="2"/>
        <v>#REF!</v>
      </c>
      <c r="AE14" s="2135"/>
      <c r="AF14" s="2135"/>
      <c r="AG14" s="2135"/>
      <c r="AH14" s="2135"/>
      <c r="AI14" s="2135"/>
      <c r="AJ14" s="2135"/>
      <c r="AK14" s="2135"/>
      <c r="AL14" s="2135"/>
      <c r="AM14" s="2135"/>
    </row>
    <row r="15" spans="1:39" s="2161" customFormat="1">
      <c r="A15" s="2743">
        <v>6</v>
      </c>
      <c r="B15" s="2744" t="s">
        <v>2281</v>
      </c>
      <c r="C15" s="2744" t="s">
        <v>2282</v>
      </c>
      <c r="D15" s="2745" t="s">
        <v>1395</v>
      </c>
      <c r="E15" s="2746">
        <v>16815.8</v>
      </c>
      <c r="F15" s="2747"/>
      <c r="G15" s="2746">
        <f t="shared" si="0"/>
        <v>16815.8</v>
      </c>
      <c r="H15" s="2747"/>
      <c r="I15" s="2747"/>
      <c r="J15" s="2747"/>
      <c r="K15" s="2747"/>
      <c r="L15" s="2744">
        <v>3</v>
      </c>
      <c r="M15" s="2744"/>
      <c r="N15" s="2747">
        <v>31</v>
      </c>
      <c r="O15" s="2758">
        <v>0</v>
      </c>
      <c r="P15" s="2745" t="e">
        <f>#REF!+#REF!+хозАДМ!P15+хозИНТ!P13</f>
        <v>#REF!</v>
      </c>
      <c r="Q15" s="2745">
        <f>ROUND(4210*Q4,2)</f>
        <v>4504.7</v>
      </c>
      <c r="R15" s="2745" t="e">
        <f t="shared" si="3"/>
        <v>#REF!</v>
      </c>
      <c r="S15" s="2745"/>
      <c r="T15" s="2745" t="e">
        <f t="shared" si="4"/>
        <v>#REF!</v>
      </c>
      <c r="U15" s="2148"/>
      <c r="V15" s="2148"/>
      <c r="W15" s="2745">
        <f t="shared" si="5"/>
        <v>4820.03</v>
      </c>
      <c r="X15" s="2745" t="e">
        <f t="shared" si="6"/>
        <v>#REF!</v>
      </c>
      <c r="Y15" s="2745"/>
      <c r="Z15" s="2745" t="e">
        <f t="shared" si="1"/>
        <v>#REF!</v>
      </c>
      <c r="AA15" s="2745">
        <f t="shared" si="7"/>
        <v>5157.43</v>
      </c>
      <c r="AB15" s="2745" t="e">
        <f t="shared" si="8"/>
        <v>#REF!</v>
      </c>
      <c r="AC15" s="2745"/>
      <c r="AD15" s="2745" t="e">
        <f t="shared" si="2"/>
        <v>#REF!</v>
      </c>
      <c r="AE15" s="2148"/>
      <c r="AF15" s="2148"/>
      <c r="AG15" s="2148"/>
      <c r="AH15" s="2148"/>
      <c r="AI15" s="2148"/>
      <c r="AJ15" s="2148"/>
      <c r="AK15" s="2148"/>
      <c r="AL15" s="2148"/>
      <c r="AM15" s="2148"/>
    </row>
    <row r="16" spans="1:39" ht="48">
      <c r="A16" s="2074">
        <v>7</v>
      </c>
      <c r="B16" s="2068" t="s">
        <v>2283</v>
      </c>
      <c r="C16" s="2069" t="s">
        <v>2284</v>
      </c>
      <c r="D16" s="2068" t="s">
        <v>1268</v>
      </c>
      <c r="E16" s="2070">
        <v>16815.8</v>
      </c>
      <c r="F16" s="2067"/>
      <c r="G16" s="2070">
        <f t="shared" si="0"/>
        <v>16815.8</v>
      </c>
      <c r="H16" s="2067"/>
      <c r="I16" s="2067"/>
      <c r="J16" s="2067"/>
      <c r="K16" s="2067"/>
      <c r="L16" s="2068">
        <v>6</v>
      </c>
      <c r="M16" s="2068"/>
      <c r="N16" s="2734"/>
      <c r="O16" s="2759"/>
      <c r="P16" s="2719" t="e">
        <f>#REF!+#REF!+хозИНТ!P14+хозАДМ!#REF!</f>
        <v>#REF!</v>
      </c>
      <c r="Q16" s="2071">
        <f>ROUND(1550*Q4,2)</f>
        <v>1658.5</v>
      </c>
      <c r="R16" s="2071" t="e">
        <f t="shared" si="3"/>
        <v>#REF!</v>
      </c>
      <c r="S16" s="2071"/>
      <c r="T16" s="2071" t="e">
        <f t="shared" si="4"/>
        <v>#REF!</v>
      </c>
      <c r="U16" s="2135"/>
      <c r="V16" s="2135"/>
      <c r="W16" s="2071">
        <f t="shared" si="5"/>
        <v>1774.6</v>
      </c>
      <c r="X16" s="2071" t="e">
        <f t="shared" si="6"/>
        <v>#REF!</v>
      </c>
      <c r="Y16" s="2071"/>
      <c r="Z16" s="2071" t="e">
        <f t="shared" si="1"/>
        <v>#REF!</v>
      </c>
      <c r="AA16" s="2071">
        <f t="shared" si="7"/>
        <v>1898.82</v>
      </c>
      <c r="AB16" s="2071" t="e">
        <f t="shared" si="8"/>
        <v>#REF!</v>
      </c>
      <c r="AC16" s="2071"/>
      <c r="AD16" s="2071" t="e">
        <f t="shared" si="2"/>
        <v>#REF!</v>
      </c>
      <c r="AE16" s="2135"/>
      <c r="AF16" s="2135"/>
      <c r="AG16" s="2135"/>
      <c r="AH16" s="2135"/>
      <c r="AI16" s="2135"/>
      <c r="AJ16" s="2135"/>
      <c r="AK16" s="2135"/>
      <c r="AL16" s="2135"/>
      <c r="AM16" s="2135"/>
    </row>
    <row r="17" spans="1:39" ht="84">
      <c r="A17" s="2074">
        <v>8</v>
      </c>
      <c r="B17" s="2068" t="s">
        <v>2285</v>
      </c>
      <c r="C17" s="2069" t="s">
        <v>2286</v>
      </c>
      <c r="D17" s="2068" t="s">
        <v>1268</v>
      </c>
      <c r="E17" s="2070">
        <v>16815.8</v>
      </c>
      <c r="F17" s="2067"/>
      <c r="G17" s="2070">
        <f t="shared" si="0"/>
        <v>16815.8</v>
      </c>
      <c r="H17" s="2067"/>
      <c r="I17" s="2067"/>
      <c r="J17" s="2067"/>
      <c r="K17" s="2067"/>
      <c r="L17" s="2068">
        <v>6</v>
      </c>
      <c r="M17" s="2068"/>
      <c r="N17" s="2734"/>
      <c r="O17" s="2759"/>
      <c r="P17" s="2719" t="e">
        <f>#REF!+#REF!+хозАДМ!P16+хозИНТ!P15</f>
        <v>#REF!</v>
      </c>
      <c r="Q17" s="2071">
        <f>ROUND(6200*Q4,2)</f>
        <v>6634</v>
      </c>
      <c r="R17" s="2071" t="e">
        <f t="shared" si="3"/>
        <v>#REF!</v>
      </c>
      <c r="S17" s="2071"/>
      <c r="T17" s="2071" t="e">
        <f t="shared" si="4"/>
        <v>#REF!</v>
      </c>
      <c r="U17" s="2135"/>
      <c r="V17" s="2135"/>
      <c r="W17" s="2071">
        <f t="shared" si="5"/>
        <v>7098.38</v>
      </c>
      <c r="X17" s="2071" t="e">
        <f t="shared" si="6"/>
        <v>#REF!</v>
      </c>
      <c r="Y17" s="2071"/>
      <c r="Z17" s="2071" t="e">
        <f t="shared" si="1"/>
        <v>#REF!</v>
      </c>
      <c r="AA17" s="2071">
        <f t="shared" si="7"/>
        <v>7595.27</v>
      </c>
      <c r="AB17" s="2071" t="e">
        <f t="shared" si="8"/>
        <v>#REF!</v>
      </c>
      <c r="AC17" s="2071"/>
      <c r="AD17" s="2071" t="e">
        <f t="shared" si="2"/>
        <v>#REF!</v>
      </c>
      <c r="AE17" s="2135"/>
      <c r="AF17" s="2135"/>
      <c r="AG17" s="2135"/>
      <c r="AH17" s="2135"/>
      <c r="AI17" s="2135"/>
      <c r="AJ17" s="2135"/>
      <c r="AK17" s="2135"/>
      <c r="AL17" s="2135"/>
      <c r="AM17" s="2135"/>
    </row>
    <row r="18" spans="1:39" ht="24">
      <c r="A18" s="2074">
        <v>9</v>
      </c>
      <c r="B18" s="2068" t="s">
        <v>2287</v>
      </c>
      <c r="C18" s="2069" t="s">
        <v>2288</v>
      </c>
      <c r="D18" s="2068" t="s">
        <v>1268</v>
      </c>
      <c r="E18" s="2070">
        <v>16815.8</v>
      </c>
      <c r="F18" s="2067"/>
      <c r="G18" s="2070">
        <f t="shared" si="0"/>
        <v>16815.8</v>
      </c>
      <c r="H18" s="2067"/>
      <c r="I18" s="2067"/>
      <c r="J18" s="2067"/>
      <c r="K18" s="2067"/>
      <c r="L18" s="2068">
        <v>10</v>
      </c>
      <c r="M18" s="2068"/>
      <c r="N18" s="2734">
        <v>13</v>
      </c>
      <c r="O18" s="2759">
        <f>N18-5</f>
        <v>8</v>
      </c>
      <c r="P18" s="2719" t="e">
        <f>#REF!+#REF!+хозАДМ!#REF!+хозИНТ!P16</f>
        <v>#REF!</v>
      </c>
      <c r="Q18" s="2071">
        <f>ROUND(740*Q4,2)</f>
        <v>791.8</v>
      </c>
      <c r="R18" s="2071" t="e">
        <f t="shared" si="3"/>
        <v>#REF!</v>
      </c>
      <c r="S18" s="2071"/>
      <c r="T18" s="2071" t="e">
        <f t="shared" si="4"/>
        <v>#REF!</v>
      </c>
      <c r="U18" s="2135"/>
      <c r="V18" s="2135"/>
      <c r="W18" s="2071">
        <f t="shared" si="5"/>
        <v>847.23</v>
      </c>
      <c r="X18" s="2071" t="e">
        <f t="shared" si="6"/>
        <v>#REF!</v>
      </c>
      <c r="Y18" s="2071"/>
      <c r="Z18" s="2071" t="e">
        <f t="shared" si="1"/>
        <v>#REF!</v>
      </c>
      <c r="AA18" s="2071">
        <f t="shared" si="7"/>
        <v>906.54</v>
      </c>
      <c r="AB18" s="2071" t="e">
        <f t="shared" si="8"/>
        <v>#REF!</v>
      </c>
      <c r="AC18" s="2071"/>
      <c r="AD18" s="2071" t="e">
        <f t="shared" si="2"/>
        <v>#REF!</v>
      </c>
      <c r="AE18" s="2135"/>
      <c r="AF18" s="2135"/>
      <c r="AG18" s="2135"/>
      <c r="AH18" s="2135"/>
      <c r="AI18" s="2135"/>
      <c r="AJ18" s="2135"/>
      <c r="AK18" s="2135"/>
      <c r="AL18" s="2135"/>
      <c r="AM18" s="2135"/>
    </row>
    <row r="19" spans="1:39">
      <c r="A19" s="2074">
        <v>10</v>
      </c>
      <c r="B19" s="2068" t="s">
        <v>2289</v>
      </c>
      <c r="C19" s="2069" t="s">
        <v>2290</v>
      </c>
      <c r="D19" s="2068" t="s">
        <v>2291</v>
      </c>
      <c r="E19" s="2070">
        <v>16815.8</v>
      </c>
      <c r="F19" s="2067"/>
      <c r="G19" s="2070">
        <f t="shared" si="0"/>
        <v>16815.8</v>
      </c>
      <c r="H19" s="2067"/>
      <c r="I19" s="2067"/>
      <c r="J19" s="2067"/>
      <c r="K19" s="2067"/>
      <c r="L19" s="2068">
        <v>2</v>
      </c>
      <c r="M19" s="2068"/>
      <c r="N19" s="2734"/>
      <c r="O19" s="2759"/>
      <c r="P19" s="2719" t="e">
        <f>#REF!+#REF!+хозАДМ!#REF!+хозИНТ!P17</f>
        <v>#REF!</v>
      </c>
      <c r="Q19" s="2071">
        <f>ROUND(1300*Q4,2)</f>
        <v>1391</v>
      </c>
      <c r="R19" s="2071" t="e">
        <f t="shared" si="3"/>
        <v>#REF!</v>
      </c>
      <c r="S19" s="2071"/>
      <c r="T19" s="2071" t="e">
        <f t="shared" si="4"/>
        <v>#REF!</v>
      </c>
      <c r="U19" s="2135"/>
      <c r="V19" s="2135"/>
      <c r="W19" s="2071">
        <f t="shared" si="5"/>
        <v>1488.37</v>
      </c>
      <c r="X19" s="2071" t="e">
        <f t="shared" si="6"/>
        <v>#REF!</v>
      </c>
      <c r="Y19" s="2071"/>
      <c r="Z19" s="2071" t="e">
        <f t="shared" si="1"/>
        <v>#REF!</v>
      </c>
      <c r="AA19" s="2071">
        <f t="shared" si="7"/>
        <v>1592.56</v>
      </c>
      <c r="AB19" s="2071" t="e">
        <f t="shared" si="8"/>
        <v>#REF!</v>
      </c>
      <c r="AC19" s="2071"/>
      <c r="AD19" s="2071" t="e">
        <f t="shared" si="2"/>
        <v>#REF!</v>
      </c>
      <c r="AE19" s="2135"/>
      <c r="AF19" s="2135"/>
      <c r="AG19" s="2135"/>
      <c r="AH19" s="2135"/>
      <c r="AI19" s="2135"/>
      <c r="AJ19" s="2135"/>
      <c r="AK19" s="2135"/>
      <c r="AL19" s="2135"/>
      <c r="AM19" s="2135"/>
    </row>
    <row r="20" spans="1:39">
      <c r="A20" s="2074">
        <v>11</v>
      </c>
      <c r="B20" s="2068" t="s">
        <v>2289</v>
      </c>
      <c r="C20" s="2069" t="s">
        <v>2292</v>
      </c>
      <c r="D20" s="2068" t="s">
        <v>2291</v>
      </c>
      <c r="E20" s="2070">
        <v>16815.8</v>
      </c>
      <c r="F20" s="2067"/>
      <c r="G20" s="2070">
        <f t="shared" si="0"/>
        <v>16815.8</v>
      </c>
      <c r="H20" s="2067"/>
      <c r="I20" s="2067"/>
      <c r="J20" s="2067"/>
      <c r="K20" s="2067"/>
      <c r="L20" s="2068">
        <v>2</v>
      </c>
      <c r="M20" s="2068"/>
      <c r="N20" s="2734"/>
      <c r="O20" s="2759"/>
      <c r="P20" s="2719" t="e">
        <f>#REF!+#REF!+хозАДМ!P17+хозИНТ!P18</f>
        <v>#REF!</v>
      </c>
      <c r="Q20" s="2071">
        <f>ROUND(1750*1.07,2)</f>
        <v>1872.5</v>
      </c>
      <c r="R20" s="2071" t="e">
        <f t="shared" si="3"/>
        <v>#REF!</v>
      </c>
      <c r="S20" s="2071"/>
      <c r="T20" s="2071" t="e">
        <f t="shared" si="4"/>
        <v>#REF!</v>
      </c>
      <c r="U20" s="2135"/>
      <c r="V20" s="2135"/>
      <c r="W20" s="2071">
        <f t="shared" si="5"/>
        <v>2003.58</v>
      </c>
      <c r="X20" s="2071" t="e">
        <f t="shared" si="6"/>
        <v>#REF!</v>
      </c>
      <c r="Y20" s="2071"/>
      <c r="Z20" s="2071" t="e">
        <f t="shared" si="1"/>
        <v>#REF!</v>
      </c>
      <c r="AA20" s="2071">
        <f t="shared" si="7"/>
        <v>2143.83</v>
      </c>
      <c r="AB20" s="2071" t="e">
        <f t="shared" si="8"/>
        <v>#REF!</v>
      </c>
      <c r="AC20" s="2071"/>
      <c r="AD20" s="2071" t="e">
        <f t="shared" si="2"/>
        <v>#REF!</v>
      </c>
      <c r="AE20" s="2135"/>
      <c r="AF20" s="2135"/>
      <c r="AG20" s="2135"/>
      <c r="AH20" s="2135"/>
      <c r="AI20" s="2135"/>
      <c r="AJ20" s="2135"/>
      <c r="AK20" s="2135"/>
      <c r="AL20" s="2135"/>
      <c r="AM20" s="2135"/>
    </row>
    <row r="21" spans="1:39" ht="24">
      <c r="A21" s="2074">
        <v>12</v>
      </c>
      <c r="B21" s="2068" t="s">
        <v>2293</v>
      </c>
      <c r="C21" s="2069" t="s">
        <v>2294</v>
      </c>
      <c r="D21" s="2068" t="s">
        <v>2295</v>
      </c>
      <c r="E21" s="2070">
        <v>16815.8</v>
      </c>
      <c r="F21" s="2067"/>
      <c r="G21" s="2070">
        <f t="shared" si="0"/>
        <v>16815.8</v>
      </c>
      <c r="H21" s="2067"/>
      <c r="I21" s="2067"/>
      <c r="J21" s="2067"/>
      <c r="K21" s="2067"/>
      <c r="L21" s="2068">
        <v>100</v>
      </c>
      <c r="M21" s="2068"/>
      <c r="N21" s="2734"/>
      <c r="O21" s="2759"/>
      <c r="P21" s="2719" t="e">
        <f>#REF!+#REF!+хозАДМ!P18+хозИНТ!P19</f>
        <v>#REF!</v>
      </c>
      <c r="Q21" s="2071">
        <f>ROUND(2700*1.07,2)</f>
        <v>2889</v>
      </c>
      <c r="R21" s="2071" t="e">
        <f t="shared" si="3"/>
        <v>#REF!</v>
      </c>
      <c r="S21" s="2071"/>
      <c r="T21" s="2071" t="e">
        <f t="shared" si="4"/>
        <v>#REF!</v>
      </c>
      <c r="U21" s="2135"/>
      <c r="V21" s="2135"/>
      <c r="W21" s="2071">
        <f t="shared" si="5"/>
        <v>3091.23</v>
      </c>
      <c r="X21" s="2071" t="e">
        <f t="shared" si="6"/>
        <v>#REF!</v>
      </c>
      <c r="Y21" s="2071"/>
      <c r="Z21" s="2071" t="e">
        <f t="shared" si="1"/>
        <v>#REF!</v>
      </c>
      <c r="AA21" s="2071">
        <f t="shared" si="7"/>
        <v>3307.62</v>
      </c>
      <c r="AB21" s="2071" t="e">
        <f t="shared" si="8"/>
        <v>#REF!</v>
      </c>
      <c r="AC21" s="2071"/>
      <c r="AD21" s="2071" t="e">
        <f t="shared" si="2"/>
        <v>#REF!</v>
      </c>
      <c r="AE21" s="2135"/>
      <c r="AF21" s="2135"/>
      <c r="AG21" s="2135"/>
      <c r="AH21" s="2135"/>
      <c r="AI21" s="2135"/>
      <c r="AJ21" s="2135"/>
      <c r="AK21" s="2135"/>
      <c r="AL21" s="2135"/>
      <c r="AM21" s="2135"/>
    </row>
    <row r="22" spans="1:39">
      <c r="A22" s="2074">
        <v>13</v>
      </c>
      <c r="B22" s="2068" t="s">
        <v>2296</v>
      </c>
      <c r="C22" s="2069" t="s">
        <v>2297</v>
      </c>
      <c r="D22" s="2068" t="s">
        <v>1268</v>
      </c>
      <c r="E22" s="2070">
        <v>16815.8</v>
      </c>
      <c r="F22" s="2067"/>
      <c r="G22" s="2070">
        <f t="shared" si="0"/>
        <v>16815.8</v>
      </c>
      <c r="H22" s="2067"/>
      <c r="I22" s="2067"/>
      <c r="J22" s="2067"/>
      <c r="K22" s="2067"/>
      <c r="L22" s="2068">
        <v>8</v>
      </c>
      <c r="M22" s="2068"/>
      <c r="N22" s="2734"/>
      <c r="O22" s="2759"/>
      <c r="P22" s="2719" t="e">
        <f>#REF!+#REF!+хозАДМ!#REF!+хозИНТ!P20</f>
        <v>#REF!</v>
      </c>
      <c r="Q22" s="2071">
        <f>ROUND(4200*1.07,2)</f>
        <v>4494</v>
      </c>
      <c r="R22" s="2071" t="e">
        <f t="shared" si="3"/>
        <v>#REF!</v>
      </c>
      <c r="S22" s="2071"/>
      <c r="T22" s="2071" t="e">
        <f t="shared" si="4"/>
        <v>#REF!</v>
      </c>
      <c r="U22" s="2135"/>
      <c r="V22" s="2135"/>
      <c r="W22" s="2071">
        <f t="shared" si="5"/>
        <v>4808.58</v>
      </c>
      <c r="X22" s="2071" t="e">
        <f t="shared" si="6"/>
        <v>#REF!</v>
      </c>
      <c r="Y22" s="2071"/>
      <c r="Z22" s="2071" t="e">
        <f t="shared" si="1"/>
        <v>#REF!</v>
      </c>
      <c r="AA22" s="2071">
        <f t="shared" si="7"/>
        <v>5145.18</v>
      </c>
      <c r="AB22" s="2071" t="e">
        <f t="shared" si="8"/>
        <v>#REF!</v>
      </c>
      <c r="AC22" s="2071"/>
      <c r="AD22" s="2071" t="e">
        <f t="shared" si="2"/>
        <v>#REF!</v>
      </c>
      <c r="AE22" s="2135"/>
      <c r="AF22" s="2135"/>
      <c r="AG22" s="2135"/>
      <c r="AH22" s="2135"/>
      <c r="AI22" s="2135"/>
      <c r="AJ22" s="2135"/>
      <c r="AK22" s="2135"/>
      <c r="AL22" s="2135"/>
      <c r="AM22" s="2135"/>
    </row>
    <row r="23" spans="1:39">
      <c r="A23" s="2074">
        <v>14</v>
      </c>
      <c r="B23" s="2068" t="s">
        <v>2289</v>
      </c>
      <c r="C23" s="2069" t="s">
        <v>2298</v>
      </c>
      <c r="D23" s="2068" t="s">
        <v>2291</v>
      </c>
      <c r="E23" s="2070">
        <v>16815.8</v>
      </c>
      <c r="F23" s="2067"/>
      <c r="G23" s="2070">
        <f t="shared" si="0"/>
        <v>16815.8</v>
      </c>
      <c r="H23" s="2067"/>
      <c r="I23" s="2067"/>
      <c r="J23" s="2067"/>
      <c r="K23" s="2067"/>
      <c r="L23" s="2068">
        <v>10</v>
      </c>
      <c r="M23" s="2068"/>
      <c r="N23" s="2734"/>
      <c r="O23" s="2759"/>
      <c r="P23" s="2719" t="e">
        <f>#REF!+#REF!+хозАДМ!P19+хозИНТ!P21</f>
        <v>#REF!</v>
      </c>
      <c r="Q23" s="2071">
        <f>ROUND(1200*1.07,2)</f>
        <v>1284</v>
      </c>
      <c r="R23" s="2071" t="e">
        <f t="shared" si="3"/>
        <v>#REF!</v>
      </c>
      <c r="S23" s="2071"/>
      <c r="T23" s="2071" t="e">
        <f t="shared" si="4"/>
        <v>#REF!</v>
      </c>
      <c r="U23" s="2135"/>
      <c r="V23" s="2135"/>
      <c r="W23" s="2071">
        <f t="shared" si="5"/>
        <v>1373.88</v>
      </c>
      <c r="X23" s="2071" t="e">
        <f t="shared" si="6"/>
        <v>#REF!</v>
      </c>
      <c r="Y23" s="2071"/>
      <c r="Z23" s="2071" t="e">
        <f t="shared" si="1"/>
        <v>#REF!</v>
      </c>
      <c r="AA23" s="2071">
        <f t="shared" si="7"/>
        <v>1470.05</v>
      </c>
      <c r="AB23" s="2071" t="e">
        <f t="shared" si="8"/>
        <v>#REF!</v>
      </c>
      <c r="AC23" s="2071"/>
      <c r="AD23" s="2071" t="e">
        <f t="shared" si="2"/>
        <v>#REF!</v>
      </c>
      <c r="AE23" s="2135"/>
      <c r="AF23" s="2135"/>
      <c r="AG23" s="2135"/>
      <c r="AH23" s="2135"/>
      <c r="AI23" s="2135"/>
      <c r="AJ23" s="2135"/>
      <c r="AK23" s="2135"/>
      <c r="AL23" s="2135"/>
      <c r="AM23" s="2135"/>
    </row>
    <row r="24" spans="1:39">
      <c r="A24" s="2074">
        <v>15</v>
      </c>
      <c r="B24" s="2068" t="s">
        <v>2299</v>
      </c>
      <c r="C24" s="2069" t="s">
        <v>2300</v>
      </c>
      <c r="D24" s="2068" t="s">
        <v>1268</v>
      </c>
      <c r="E24" s="2070">
        <v>16815.8</v>
      </c>
      <c r="F24" s="2071"/>
      <c r="G24" s="2070">
        <f t="shared" si="0"/>
        <v>16815.8</v>
      </c>
      <c r="H24" s="2071"/>
      <c r="I24" s="2067"/>
      <c r="J24" s="2067"/>
      <c r="K24" s="2071"/>
      <c r="L24" s="2068">
        <v>40</v>
      </c>
      <c r="M24" s="2071"/>
      <c r="N24" s="2735"/>
      <c r="O24" s="2760"/>
      <c r="P24" s="2719" t="e">
        <f>#REF!+#REF!+хозАДМ!P20+хозИНТ!P22</f>
        <v>#REF!</v>
      </c>
      <c r="Q24" s="2071">
        <f>ROUND(560*1.07,2)</f>
        <v>599.20000000000005</v>
      </c>
      <c r="R24" s="2071" t="e">
        <f t="shared" si="3"/>
        <v>#REF!</v>
      </c>
      <c r="S24" s="2071"/>
      <c r="T24" s="2071" t="e">
        <f t="shared" si="4"/>
        <v>#REF!</v>
      </c>
      <c r="U24" s="2135"/>
      <c r="V24" s="2135"/>
      <c r="W24" s="2071">
        <f t="shared" si="5"/>
        <v>641.14</v>
      </c>
      <c r="X24" s="2071" t="e">
        <f t="shared" si="6"/>
        <v>#REF!</v>
      </c>
      <c r="Y24" s="2071"/>
      <c r="Z24" s="2071" t="e">
        <f t="shared" si="1"/>
        <v>#REF!</v>
      </c>
      <c r="AA24" s="2071">
        <f t="shared" si="7"/>
        <v>686.02</v>
      </c>
      <c r="AB24" s="2071" t="e">
        <f t="shared" si="8"/>
        <v>#REF!</v>
      </c>
      <c r="AC24" s="2071"/>
      <c r="AD24" s="2071" t="e">
        <f t="shared" si="2"/>
        <v>#REF!</v>
      </c>
      <c r="AE24" s="2135"/>
      <c r="AF24" s="2135"/>
      <c r="AG24" s="2135"/>
      <c r="AH24" s="2135"/>
      <c r="AI24" s="2135"/>
      <c r="AJ24" s="2135"/>
      <c r="AK24" s="2135"/>
      <c r="AL24" s="2135"/>
      <c r="AM24" s="2135"/>
    </row>
    <row r="25" spans="1:39">
      <c r="A25" s="2074">
        <v>16</v>
      </c>
      <c r="B25" s="2068" t="s">
        <v>2299</v>
      </c>
      <c r="C25" s="2069" t="s">
        <v>2301</v>
      </c>
      <c r="D25" s="2068" t="s">
        <v>1268</v>
      </c>
      <c r="E25" s="2070">
        <v>16815.8</v>
      </c>
      <c r="F25" s="2071"/>
      <c r="G25" s="2070">
        <f t="shared" si="0"/>
        <v>16815.8</v>
      </c>
      <c r="H25" s="2071"/>
      <c r="I25" s="2067"/>
      <c r="J25" s="2067"/>
      <c r="K25" s="2071"/>
      <c r="L25" s="2068">
        <v>30</v>
      </c>
      <c r="M25" s="2071"/>
      <c r="N25" s="2735"/>
      <c r="O25" s="2760"/>
      <c r="P25" s="2719" t="e">
        <f>#REF!+#REF!+хозАДМ!P21+хозИНТ!P23</f>
        <v>#REF!</v>
      </c>
      <c r="Q25" s="2071">
        <f>ROUND(490*1.07,2)</f>
        <v>524.29999999999995</v>
      </c>
      <c r="R25" s="2071" t="e">
        <f t="shared" si="3"/>
        <v>#REF!</v>
      </c>
      <c r="S25" s="2071"/>
      <c r="T25" s="2071" t="e">
        <f t="shared" si="4"/>
        <v>#REF!</v>
      </c>
      <c r="U25" s="2135"/>
      <c r="V25" s="2135"/>
      <c r="W25" s="2071">
        <f t="shared" si="5"/>
        <v>561</v>
      </c>
      <c r="X25" s="2071" t="e">
        <f t="shared" si="6"/>
        <v>#REF!</v>
      </c>
      <c r="Y25" s="2071"/>
      <c r="Z25" s="2071" t="e">
        <f t="shared" si="1"/>
        <v>#REF!</v>
      </c>
      <c r="AA25" s="2071">
        <f t="shared" si="7"/>
        <v>600.27</v>
      </c>
      <c r="AB25" s="2071" t="e">
        <f t="shared" si="8"/>
        <v>#REF!</v>
      </c>
      <c r="AC25" s="2071"/>
      <c r="AD25" s="2071" t="e">
        <f t="shared" si="2"/>
        <v>#REF!</v>
      </c>
      <c r="AE25" s="2135"/>
      <c r="AF25" s="2135"/>
      <c r="AG25" s="2135"/>
      <c r="AH25" s="2135"/>
      <c r="AI25" s="2135"/>
      <c r="AJ25" s="2135"/>
      <c r="AK25" s="2135"/>
      <c r="AL25" s="2135"/>
      <c r="AM25" s="2135"/>
    </row>
    <row r="26" spans="1:39">
      <c r="A26" s="2074">
        <v>17</v>
      </c>
      <c r="B26" s="2068" t="s">
        <v>2299</v>
      </c>
      <c r="C26" s="2069" t="s">
        <v>2302</v>
      </c>
      <c r="D26" s="2068" t="s">
        <v>1268</v>
      </c>
      <c r="E26" s="2070">
        <v>16815.8</v>
      </c>
      <c r="F26" s="2071"/>
      <c r="G26" s="2070">
        <f t="shared" si="0"/>
        <v>16815.8</v>
      </c>
      <c r="H26" s="2071"/>
      <c r="I26" s="2067"/>
      <c r="J26" s="2067"/>
      <c r="K26" s="2071"/>
      <c r="L26" s="2068">
        <v>20</v>
      </c>
      <c r="M26" s="2068"/>
      <c r="N26" s="2735"/>
      <c r="O26" s="2760"/>
      <c r="P26" s="2719" t="e">
        <f>#REF!+#REF!+хозАДМ!P22+хозИНТ!P24</f>
        <v>#REF!</v>
      </c>
      <c r="Q26" s="2071">
        <f>ROUND(560*1.07,2)</f>
        <v>599.20000000000005</v>
      </c>
      <c r="R26" s="2071" t="e">
        <f t="shared" si="3"/>
        <v>#REF!</v>
      </c>
      <c r="S26" s="2071"/>
      <c r="T26" s="2071" t="e">
        <f t="shared" si="4"/>
        <v>#REF!</v>
      </c>
      <c r="U26" s="2135"/>
      <c r="V26" s="2135"/>
      <c r="W26" s="2071">
        <f t="shared" si="5"/>
        <v>641.14</v>
      </c>
      <c r="X26" s="2071" t="e">
        <f t="shared" si="6"/>
        <v>#REF!</v>
      </c>
      <c r="Y26" s="2071"/>
      <c r="Z26" s="2071" t="e">
        <f t="shared" si="1"/>
        <v>#REF!</v>
      </c>
      <c r="AA26" s="2071">
        <f t="shared" si="7"/>
        <v>686.02</v>
      </c>
      <c r="AB26" s="2071" t="e">
        <f t="shared" si="8"/>
        <v>#REF!</v>
      </c>
      <c r="AC26" s="2071"/>
      <c r="AD26" s="2071" t="e">
        <f t="shared" si="2"/>
        <v>#REF!</v>
      </c>
      <c r="AE26" s="2135"/>
      <c r="AF26" s="2135"/>
      <c r="AG26" s="2135"/>
      <c r="AH26" s="2135"/>
      <c r="AI26" s="2135"/>
      <c r="AJ26" s="2135"/>
      <c r="AK26" s="2135"/>
      <c r="AL26" s="2135"/>
      <c r="AM26" s="2135"/>
    </row>
    <row r="27" spans="1:39" ht="15" customHeight="1">
      <c r="A27" s="2074">
        <v>18</v>
      </c>
      <c r="B27" s="2068" t="s">
        <v>2299</v>
      </c>
      <c r="C27" s="2069" t="s">
        <v>2303</v>
      </c>
      <c r="D27" s="2068" t="s">
        <v>1268</v>
      </c>
      <c r="E27" s="2070">
        <v>16815.8</v>
      </c>
      <c r="F27" s="2067"/>
      <c r="G27" s="2070">
        <f t="shared" si="0"/>
        <v>16815.8</v>
      </c>
      <c r="H27" s="2067"/>
      <c r="I27" s="2067"/>
      <c r="J27" s="2067"/>
      <c r="K27" s="2067"/>
      <c r="L27" s="2068">
        <v>20</v>
      </c>
      <c r="M27" s="2068"/>
      <c r="N27" s="2734"/>
      <c r="O27" s="2759"/>
      <c r="P27" s="2719" t="e">
        <f>#REF!+#REF!+хозАДМ!P23+хозИНТ!P25</f>
        <v>#REF!</v>
      </c>
      <c r="Q27" s="2071">
        <f>ROUND(620*1.07,2)</f>
        <v>663.4</v>
      </c>
      <c r="R27" s="2071" t="e">
        <f t="shared" si="3"/>
        <v>#REF!</v>
      </c>
      <c r="S27" s="2071"/>
      <c r="T27" s="2071" t="e">
        <f t="shared" si="4"/>
        <v>#REF!</v>
      </c>
      <c r="U27" s="2135"/>
      <c r="V27" s="2135"/>
      <c r="W27" s="2071">
        <f t="shared" si="5"/>
        <v>709.84</v>
      </c>
      <c r="X27" s="2071" t="e">
        <f t="shared" si="6"/>
        <v>#REF!</v>
      </c>
      <c r="Y27" s="2071"/>
      <c r="Z27" s="2071" t="e">
        <f t="shared" si="1"/>
        <v>#REF!</v>
      </c>
      <c r="AA27" s="2071">
        <f t="shared" si="7"/>
        <v>759.53</v>
      </c>
      <c r="AB27" s="2071" t="e">
        <f t="shared" si="8"/>
        <v>#REF!</v>
      </c>
      <c r="AC27" s="2071"/>
      <c r="AD27" s="2071" t="e">
        <f t="shared" si="2"/>
        <v>#REF!</v>
      </c>
      <c r="AE27" s="2135"/>
      <c r="AF27" s="2135"/>
      <c r="AG27" s="2135"/>
      <c r="AH27" s="2135"/>
      <c r="AI27" s="2135"/>
      <c r="AJ27" s="2135"/>
      <c r="AK27" s="2135"/>
      <c r="AL27" s="2135"/>
      <c r="AM27" s="2135"/>
    </row>
    <row r="28" spans="1:39">
      <c r="A28" s="2074">
        <v>19</v>
      </c>
      <c r="B28" s="2068" t="s">
        <v>2304</v>
      </c>
      <c r="C28" s="2069" t="s">
        <v>2305</v>
      </c>
      <c r="D28" s="2068" t="s">
        <v>1268</v>
      </c>
      <c r="E28" s="2070">
        <v>16815.8</v>
      </c>
      <c r="F28" s="2067"/>
      <c r="G28" s="2070">
        <f t="shared" si="0"/>
        <v>16815.8</v>
      </c>
      <c r="H28" s="2067"/>
      <c r="I28" s="2067"/>
      <c r="J28" s="2067"/>
      <c r="K28" s="2067"/>
      <c r="L28" s="2068">
        <v>40</v>
      </c>
      <c r="M28" s="2068"/>
      <c r="N28" s="2734"/>
      <c r="O28" s="2759"/>
      <c r="P28" s="2719" t="e">
        <f>#REF!+#REF!+хозАДМ!P24+хозИНТ!P26</f>
        <v>#REF!</v>
      </c>
      <c r="Q28" s="2071">
        <f>ROUND(220*1.07,2)</f>
        <v>235.4</v>
      </c>
      <c r="R28" s="2071" t="e">
        <f t="shared" si="3"/>
        <v>#REF!</v>
      </c>
      <c r="S28" s="2071"/>
      <c r="T28" s="2071" t="e">
        <f t="shared" si="4"/>
        <v>#REF!</v>
      </c>
      <c r="U28" s="2135"/>
      <c r="V28" s="2135"/>
      <c r="W28" s="2071">
        <f t="shared" si="5"/>
        <v>251.88</v>
      </c>
      <c r="X28" s="2071" t="e">
        <f t="shared" si="6"/>
        <v>#REF!</v>
      </c>
      <c r="Y28" s="2071"/>
      <c r="Z28" s="2071" t="e">
        <f t="shared" si="1"/>
        <v>#REF!</v>
      </c>
      <c r="AA28" s="2071">
        <f t="shared" si="7"/>
        <v>269.51</v>
      </c>
      <c r="AB28" s="2071" t="e">
        <f t="shared" si="8"/>
        <v>#REF!</v>
      </c>
      <c r="AC28" s="2071"/>
      <c r="AD28" s="2071" t="e">
        <f t="shared" si="2"/>
        <v>#REF!</v>
      </c>
      <c r="AE28" s="2135"/>
      <c r="AF28" s="2135"/>
      <c r="AG28" s="2135"/>
      <c r="AH28" s="2135"/>
      <c r="AI28" s="2135"/>
      <c r="AJ28" s="2135"/>
      <c r="AK28" s="2135"/>
      <c r="AL28" s="2135"/>
      <c r="AM28" s="2135"/>
    </row>
    <row r="29" spans="1:39">
      <c r="A29" s="2074">
        <v>20</v>
      </c>
      <c r="B29" s="2068" t="s">
        <v>2304</v>
      </c>
      <c r="C29" s="2069" t="s">
        <v>2306</v>
      </c>
      <c r="D29" s="2068" t="s">
        <v>1268</v>
      </c>
      <c r="E29" s="2070">
        <v>16815.8</v>
      </c>
      <c r="F29" s="2067"/>
      <c r="G29" s="2070">
        <f t="shared" si="0"/>
        <v>16815.8</v>
      </c>
      <c r="H29" s="2067"/>
      <c r="I29" s="2067"/>
      <c r="J29" s="2067"/>
      <c r="K29" s="2067"/>
      <c r="L29" s="2068">
        <v>40</v>
      </c>
      <c r="M29" s="2068"/>
      <c r="N29" s="2734"/>
      <c r="O29" s="2759"/>
      <c r="P29" s="2719" t="e">
        <f>#REF!+#REF!+хозАДМ!P25+хозИНТ!P27</f>
        <v>#REF!</v>
      </c>
      <c r="Q29" s="2071">
        <f>ROUND(210*1.07,2)</f>
        <v>224.7</v>
      </c>
      <c r="R29" s="2071" t="e">
        <f t="shared" si="3"/>
        <v>#REF!</v>
      </c>
      <c r="S29" s="2071"/>
      <c r="T29" s="2071" t="e">
        <f t="shared" si="4"/>
        <v>#REF!</v>
      </c>
      <c r="U29" s="2135"/>
      <c r="V29" s="2135"/>
      <c r="W29" s="2071">
        <f t="shared" si="5"/>
        <v>240.43</v>
      </c>
      <c r="X29" s="2071" t="e">
        <f t="shared" si="6"/>
        <v>#REF!</v>
      </c>
      <c r="Y29" s="2071"/>
      <c r="Z29" s="2071" t="e">
        <f t="shared" si="1"/>
        <v>#REF!</v>
      </c>
      <c r="AA29" s="2071">
        <f t="shared" si="7"/>
        <v>257.26</v>
      </c>
      <c r="AB29" s="2071" t="e">
        <f t="shared" si="8"/>
        <v>#REF!</v>
      </c>
      <c r="AC29" s="2071"/>
      <c r="AD29" s="2071" t="e">
        <f t="shared" si="2"/>
        <v>#REF!</v>
      </c>
      <c r="AE29" s="2135"/>
      <c r="AF29" s="2135"/>
      <c r="AG29" s="2135"/>
      <c r="AH29" s="2135"/>
      <c r="AI29" s="2135"/>
      <c r="AJ29" s="2135"/>
      <c r="AK29" s="2135"/>
      <c r="AL29" s="2135"/>
      <c r="AM29" s="2135"/>
    </row>
    <row r="30" spans="1:39">
      <c r="A30" s="2074">
        <v>21</v>
      </c>
      <c r="B30" s="2068" t="s">
        <v>2304</v>
      </c>
      <c r="C30" s="2069" t="s">
        <v>2307</v>
      </c>
      <c r="D30" s="2068" t="s">
        <v>1268</v>
      </c>
      <c r="E30" s="2070">
        <v>16815.8</v>
      </c>
      <c r="F30" s="2071"/>
      <c r="G30" s="2070">
        <f t="shared" si="0"/>
        <v>16815.8</v>
      </c>
      <c r="H30" s="2071"/>
      <c r="I30" s="2067"/>
      <c r="J30" s="2067"/>
      <c r="K30" s="2071"/>
      <c r="L30" s="2068">
        <v>40</v>
      </c>
      <c r="M30" s="2068"/>
      <c r="N30" s="2735"/>
      <c r="O30" s="2760"/>
      <c r="P30" s="2719" t="e">
        <f>#REF!+#REF!+хозАДМ!P26+хозИНТ!P28</f>
        <v>#REF!</v>
      </c>
      <c r="Q30" s="2071">
        <f>ROUND(260*1.07,2)</f>
        <v>278.2</v>
      </c>
      <c r="R30" s="2071" t="e">
        <f t="shared" si="3"/>
        <v>#REF!</v>
      </c>
      <c r="S30" s="2071"/>
      <c r="T30" s="2071" t="e">
        <f t="shared" si="4"/>
        <v>#REF!</v>
      </c>
      <c r="U30" s="2135"/>
      <c r="V30" s="2135"/>
      <c r="W30" s="2071">
        <f t="shared" si="5"/>
        <v>297.67</v>
      </c>
      <c r="X30" s="2071" t="e">
        <f t="shared" si="6"/>
        <v>#REF!</v>
      </c>
      <c r="Y30" s="2071"/>
      <c r="Z30" s="2071" t="e">
        <f t="shared" si="1"/>
        <v>#REF!</v>
      </c>
      <c r="AA30" s="2071">
        <f t="shared" si="7"/>
        <v>318.51</v>
      </c>
      <c r="AB30" s="2071" t="e">
        <f t="shared" si="8"/>
        <v>#REF!</v>
      </c>
      <c r="AC30" s="2071"/>
      <c r="AD30" s="2071" t="e">
        <f t="shared" si="2"/>
        <v>#REF!</v>
      </c>
      <c r="AE30" s="2135"/>
      <c r="AF30" s="2135"/>
      <c r="AG30" s="2135"/>
      <c r="AH30" s="2135"/>
      <c r="AI30" s="2135"/>
      <c r="AJ30" s="2135"/>
      <c r="AK30" s="2135"/>
      <c r="AL30" s="2135"/>
      <c r="AM30" s="2135"/>
    </row>
    <row r="31" spans="1:39" s="2161" customFormat="1">
      <c r="A31" s="2074">
        <v>22</v>
      </c>
      <c r="B31" s="2068" t="s">
        <v>2304</v>
      </c>
      <c r="C31" s="2069" t="s">
        <v>2308</v>
      </c>
      <c r="D31" s="2068" t="s">
        <v>1268</v>
      </c>
      <c r="E31" s="2070">
        <v>16815.8</v>
      </c>
      <c r="F31" s="2071"/>
      <c r="G31" s="2070">
        <f t="shared" si="0"/>
        <v>16815.8</v>
      </c>
      <c r="H31" s="2071"/>
      <c r="I31" s="2067"/>
      <c r="J31" s="2067"/>
      <c r="K31" s="2071"/>
      <c r="L31" s="2068">
        <v>40</v>
      </c>
      <c r="M31" s="2071"/>
      <c r="N31" s="2735"/>
      <c r="O31" s="2760"/>
      <c r="P31" s="2719" t="e">
        <f>#REF!+#REF!+хозАДМ!P27+хозИНТ!P29</f>
        <v>#REF!</v>
      </c>
      <c r="Q31" s="2071">
        <f>ROUND(310*1.07,2)</f>
        <v>331.7</v>
      </c>
      <c r="R31" s="2071" t="e">
        <f t="shared" si="3"/>
        <v>#REF!</v>
      </c>
      <c r="S31" s="2071"/>
      <c r="T31" s="2071" t="e">
        <f t="shared" si="4"/>
        <v>#REF!</v>
      </c>
      <c r="U31" s="2137"/>
      <c r="V31" s="2135"/>
      <c r="W31" s="2071">
        <f t="shared" si="5"/>
        <v>354.92</v>
      </c>
      <c r="X31" s="2071" t="e">
        <f t="shared" si="6"/>
        <v>#REF!</v>
      </c>
      <c r="Y31" s="2071"/>
      <c r="Z31" s="2071" t="e">
        <f t="shared" si="1"/>
        <v>#REF!</v>
      </c>
      <c r="AA31" s="2071">
        <f t="shared" si="7"/>
        <v>379.76</v>
      </c>
      <c r="AB31" s="2071" t="e">
        <f t="shared" si="8"/>
        <v>#REF!</v>
      </c>
      <c r="AC31" s="2071"/>
      <c r="AD31" s="2071" t="e">
        <f t="shared" si="2"/>
        <v>#REF!</v>
      </c>
      <c r="AE31" s="2135"/>
      <c r="AF31" s="2135"/>
      <c r="AG31" s="2135"/>
      <c r="AH31" s="2135"/>
      <c r="AI31" s="2135"/>
      <c r="AJ31" s="2135"/>
      <c r="AK31" s="2135"/>
      <c r="AL31" s="2135"/>
      <c r="AM31" s="2135"/>
    </row>
    <row r="32" spans="1:39">
      <c r="A32" s="2074">
        <v>23</v>
      </c>
      <c r="B32" s="2068" t="s">
        <v>2309</v>
      </c>
      <c r="C32" s="2069" t="s">
        <v>2305</v>
      </c>
      <c r="D32" s="2068" t="s">
        <v>1268</v>
      </c>
      <c r="E32" s="2070">
        <v>16815.8</v>
      </c>
      <c r="F32" s="2071"/>
      <c r="G32" s="2070">
        <f t="shared" si="0"/>
        <v>16815.8</v>
      </c>
      <c r="H32" s="2071"/>
      <c r="I32" s="2067"/>
      <c r="J32" s="2067"/>
      <c r="K32" s="2071"/>
      <c r="L32" s="2068">
        <v>30</v>
      </c>
      <c r="M32" s="2068"/>
      <c r="N32" s="2735"/>
      <c r="O32" s="2760"/>
      <c r="P32" s="2719" t="e">
        <f>#REF!+#REF!+хозАДМ!P28+хозИНТ!P30</f>
        <v>#REF!</v>
      </c>
      <c r="Q32" s="2071">
        <f>ROUND(340*1.07,2)</f>
        <v>363.8</v>
      </c>
      <c r="R32" s="2071" t="e">
        <f t="shared" si="3"/>
        <v>#REF!</v>
      </c>
      <c r="S32" s="2071"/>
      <c r="T32" s="2071" t="e">
        <f t="shared" si="4"/>
        <v>#REF!</v>
      </c>
      <c r="U32" s="2135"/>
      <c r="V32" s="2135"/>
      <c r="W32" s="2071">
        <f t="shared" si="5"/>
        <v>389.27</v>
      </c>
      <c r="X32" s="2071" t="e">
        <f t="shared" si="6"/>
        <v>#REF!</v>
      </c>
      <c r="Y32" s="2071"/>
      <c r="Z32" s="2071" t="e">
        <f t="shared" si="1"/>
        <v>#REF!</v>
      </c>
      <c r="AA32" s="2071">
        <f t="shared" si="7"/>
        <v>416.52</v>
      </c>
      <c r="AB32" s="2071" t="e">
        <f t="shared" si="8"/>
        <v>#REF!</v>
      </c>
      <c r="AC32" s="2071"/>
      <c r="AD32" s="2071" t="e">
        <f t="shared" si="2"/>
        <v>#REF!</v>
      </c>
      <c r="AE32" s="2135"/>
      <c r="AF32" s="2135"/>
      <c r="AG32" s="2135"/>
      <c r="AH32" s="2135"/>
      <c r="AI32" s="2135"/>
      <c r="AJ32" s="2135"/>
      <c r="AK32" s="2135"/>
      <c r="AL32" s="2135"/>
      <c r="AM32" s="2135"/>
    </row>
    <row r="33" spans="1:39">
      <c r="A33" s="2074">
        <v>24</v>
      </c>
      <c r="B33" s="2068" t="s">
        <v>2309</v>
      </c>
      <c r="C33" s="2069" t="s">
        <v>2306</v>
      </c>
      <c r="D33" s="2068" t="s">
        <v>1268</v>
      </c>
      <c r="E33" s="2070">
        <v>16815.8</v>
      </c>
      <c r="F33" s="2071"/>
      <c r="G33" s="2070">
        <f t="shared" si="0"/>
        <v>16815.8</v>
      </c>
      <c r="H33" s="2071"/>
      <c r="I33" s="2067"/>
      <c r="J33" s="2067"/>
      <c r="K33" s="2071"/>
      <c r="L33" s="2068">
        <v>30</v>
      </c>
      <c r="M33" s="2068"/>
      <c r="N33" s="2735"/>
      <c r="O33" s="2760"/>
      <c r="P33" s="2719" t="e">
        <f>#REF!+#REF!+хозАДМ!P29+хозИНТ!P31</f>
        <v>#REF!</v>
      </c>
      <c r="Q33" s="2071">
        <f>ROUND(310*1.07,2)</f>
        <v>331.7</v>
      </c>
      <c r="R33" s="2071" t="e">
        <f t="shared" si="3"/>
        <v>#REF!</v>
      </c>
      <c r="S33" s="2071"/>
      <c r="T33" s="2071" t="e">
        <f t="shared" si="4"/>
        <v>#REF!</v>
      </c>
      <c r="U33" s="2135"/>
      <c r="V33" s="2135"/>
      <c r="W33" s="2071">
        <f t="shared" si="5"/>
        <v>354.92</v>
      </c>
      <c r="X33" s="2071" t="e">
        <f t="shared" si="6"/>
        <v>#REF!</v>
      </c>
      <c r="Y33" s="2071"/>
      <c r="Z33" s="2071" t="e">
        <f t="shared" si="1"/>
        <v>#REF!</v>
      </c>
      <c r="AA33" s="2071">
        <f t="shared" si="7"/>
        <v>379.76</v>
      </c>
      <c r="AB33" s="2071" t="e">
        <f t="shared" si="8"/>
        <v>#REF!</v>
      </c>
      <c r="AC33" s="2071"/>
      <c r="AD33" s="2071" t="e">
        <f t="shared" si="2"/>
        <v>#REF!</v>
      </c>
      <c r="AE33" s="2135"/>
      <c r="AF33" s="2135"/>
      <c r="AG33" s="2135"/>
      <c r="AH33" s="2135"/>
      <c r="AI33" s="2135"/>
      <c r="AJ33" s="2135"/>
      <c r="AK33" s="2135"/>
      <c r="AL33" s="2135"/>
      <c r="AM33" s="2135"/>
    </row>
    <row r="34" spans="1:39">
      <c r="A34" s="2074">
        <v>25</v>
      </c>
      <c r="B34" s="2068" t="s">
        <v>2309</v>
      </c>
      <c r="C34" s="2069" t="s">
        <v>2307</v>
      </c>
      <c r="D34" s="2068" t="s">
        <v>1268</v>
      </c>
      <c r="E34" s="2070">
        <v>16815.8</v>
      </c>
      <c r="F34" s="2071"/>
      <c r="G34" s="2070">
        <f t="shared" si="0"/>
        <v>16815.8</v>
      </c>
      <c r="H34" s="2071"/>
      <c r="I34" s="2067"/>
      <c r="J34" s="2067"/>
      <c r="K34" s="2071"/>
      <c r="L34" s="2068">
        <v>30</v>
      </c>
      <c r="M34" s="2068"/>
      <c r="N34" s="2735"/>
      <c r="O34" s="2760"/>
      <c r="P34" s="2719" t="e">
        <f>#REF!+#REF!+хозАДМ!P30+хозИНТ!P32</f>
        <v>#REF!</v>
      </c>
      <c r="Q34" s="2071">
        <f>ROUND(390*1.07,2)</f>
        <v>417.3</v>
      </c>
      <c r="R34" s="2071" t="e">
        <f t="shared" si="3"/>
        <v>#REF!</v>
      </c>
      <c r="S34" s="2071"/>
      <c r="T34" s="2071" t="e">
        <f t="shared" si="4"/>
        <v>#REF!</v>
      </c>
      <c r="U34" s="2135"/>
      <c r="V34" s="2135"/>
      <c r="W34" s="2071">
        <f t="shared" si="5"/>
        <v>446.51</v>
      </c>
      <c r="X34" s="2071" t="e">
        <f t="shared" si="6"/>
        <v>#REF!</v>
      </c>
      <c r="Y34" s="2071"/>
      <c r="Z34" s="2071" t="e">
        <f t="shared" si="1"/>
        <v>#REF!</v>
      </c>
      <c r="AA34" s="2071">
        <f t="shared" si="7"/>
        <v>477.77</v>
      </c>
      <c r="AB34" s="2071" t="e">
        <f t="shared" si="8"/>
        <v>#REF!</v>
      </c>
      <c r="AC34" s="2071"/>
      <c r="AD34" s="2071" t="e">
        <f t="shared" si="2"/>
        <v>#REF!</v>
      </c>
      <c r="AE34" s="2135"/>
      <c r="AF34" s="2135"/>
      <c r="AG34" s="2135"/>
      <c r="AH34" s="2135"/>
      <c r="AI34" s="2135"/>
      <c r="AJ34" s="2135"/>
      <c r="AK34" s="2135"/>
      <c r="AL34" s="2135"/>
      <c r="AM34" s="2135"/>
    </row>
    <row r="35" spans="1:39" s="2161" customFormat="1">
      <c r="A35" s="2743">
        <v>26</v>
      </c>
      <c r="B35" s="2744" t="s">
        <v>2309</v>
      </c>
      <c r="C35" s="2748" t="s">
        <v>2308</v>
      </c>
      <c r="D35" s="2744" t="s">
        <v>1268</v>
      </c>
      <c r="E35" s="2746">
        <v>16815.8</v>
      </c>
      <c r="F35" s="2745"/>
      <c r="G35" s="2746">
        <f t="shared" si="0"/>
        <v>16815.8</v>
      </c>
      <c r="H35" s="2745"/>
      <c r="I35" s="2747"/>
      <c r="J35" s="2747"/>
      <c r="K35" s="2745"/>
      <c r="L35" s="2744">
        <v>30</v>
      </c>
      <c r="M35" s="2744"/>
      <c r="N35" s="2745">
        <v>345</v>
      </c>
      <c r="O35" s="2761"/>
      <c r="P35" s="2745" t="e">
        <f>#REF!+#REF!+хозАДМ!P31+хозИНТ!P33</f>
        <v>#REF!</v>
      </c>
      <c r="Q35" s="2745">
        <f>ROUND(460*1.07,2)</f>
        <v>492.2</v>
      </c>
      <c r="R35" s="2745" t="e">
        <f t="shared" si="3"/>
        <v>#REF!</v>
      </c>
      <c r="S35" s="2745"/>
      <c r="T35" s="2745" t="e">
        <f t="shared" si="4"/>
        <v>#REF!</v>
      </c>
      <c r="U35" s="2148"/>
      <c r="V35" s="2148"/>
      <c r="W35" s="2745">
        <f t="shared" si="5"/>
        <v>526.65</v>
      </c>
      <c r="X35" s="2745" t="e">
        <f t="shared" si="6"/>
        <v>#REF!</v>
      </c>
      <c r="Y35" s="2745"/>
      <c r="Z35" s="2745" t="e">
        <f t="shared" si="1"/>
        <v>#REF!</v>
      </c>
      <c r="AA35" s="2745">
        <f t="shared" si="7"/>
        <v>563.52</v>
      </c>
      <c r="AB35" s="2745" t="e">
        <f t="shared" si="8"/>
        <v>#REF!</v>
      </c>
      <c r="AC35" s="2745"/>
      <c r="AD35" s="2745" t="e">
        <f t="shared" si="2"/>
        <v>#REF!</v>
      </c>
      <c r="AE35" s="2148"/>
      <c r="AF35" s="2148"/>
      <c r="AG35" s="2148"/>
      <c r="AH35" s="2148"/>
      <c r="AI35" s="2148"/>
      <c r="AJ35" s="2148"/>
      <c r="AK35" s="2148"/>
      <c r="AL35" s="2148"/>
      <c r="AM35" s="2148"/>
    </row>
    <row r="36" spans="1:39" s="2161" customFormat="1">
      <c r="A36" s="2743">
        <v>27</v>
      </c>
      <c r="B36" s="2744" t="s">
        <v>2310</v>
      </c>
      <c r="C36" s="2748" t="s">
        <v>2311</v>
      </c>
      <c r="D36" s="2744" t="s">
        <v>1268</v>
      </c>
      <c r="E36" s="2746">
        <v>16815.8</v>
      </c>
      <c r="F36" s="2745"/>
      <c r="G36" s="2746">
        <f t="shared" si="0"/>
        <v>16815.8</v>
      </c>
      <c r="H36" s="2745"/>
      <c r="I36" s="2747"/>
      <c r="J36" s="2747"/>
      <c r="K36" s="2745"/>
      <c r="L36" s="2744">
        <v>20</v>
      </c>
      <c r="M36" s="2745"/>
      <c r="N36" s="2745">
        <v>9</v>
      </c>
      <c r="O36" s="2761">
        <v>10</v>
      </c>
      <c r="P36" s="2745" t="e">
        <f>#REF!+#REF!+хозАДМ!#REF!+хозИНТ!P34</f>
        <v>#REF!</v>
      </c>
      <c r="Q36" s="2745">
        <f>ROUND(390*1.07,2)</f>
        <v>417.3</v>
      </c>
      <c r="R36" s="2745" t="e">
        <f t="shared" si="3"/>
        <v>#REF!</v>
      </c>
      <c r="S36" s="2745"/>
      <c r="T36" s="2745" t="e">
        <f t="shared" si="4"/>
        <v>#REF!</v>
      </c>
      <c r="U36" s="2148"/>
      <c r="V36" s="2148"/>
      <c r="W36" s="2745">
        <f t="shared" si="5"/>
        <v>446.51</v>
      </c>
      <c r="X36" s="2745" t="e">
        <f t="shared" si="6"/>
        <v>#REF!</v>
      </c>
      <c r="Y36" s="2745"/>
      <c r="Z36" s="2745" t="e">
        <f t="shared" si="1"/>
        <v>#REF!</v>
      </c>
      <c r="AA36" s="2745">
        <f t="shared" si="7"/>
        <v>477.77</v>
      </c>
      <c r="AB36" s="2745" t="e">
        <f t="shared" si="8"/>
        <v>#REF!</v>
      </c>
      <c r="AC36" s="2745"/>
      <c r="AD36" s="2745" t="e">
        <f t="shared" si="2"/>
        <v>#REF!</v>
      </c>
      <c r="AE36" s="2148"/>
      <c r="AF36" s="2148"/>
      <c r="AG36" s="2148"/>
      <c r="AH36" s="2148"/>
      <c r="AI36" s="2148"/>
      <c r="AJ36" s="2148"/>
      <c r="AK36" s="2148"/>
      <c r="AL36" s="2148"/>
      <c r="AM36" s="2148"/>
    </row>
    <row r="37" spans="1:39" s="2161" customFormat="1">
      <c r="A37" s="2743">
        <v>28</v>
      </c>
      <c r="B37" s="2744" t="s">
        <v>2310</v>
      </c>
      <c r="C37" s="2748" t="s">
        <v>2312</v>
      </c>
      <c r="D37" s="2744" t="s">
        <v>1268</v>
      </c>
      <c r="E37" s="2746">
        <v>16815.8</v>
      </c>
      <c r="F37" s="2745"/>
      <c r="G37" s="2746">
        <f t="shared" si="0"/>
        <v>16815.8</v>
      </c>
      <c r="H37" s="2745"/>
      <c r="I37" s="2747"/>
      <c r="J37" s="2747"/>
      <c r="K37" s="2745"/>
      <c r="L37" s="2744">
        <v>20</v>
      </c>
      <c r="M37" s="2745"/>
      <c r="N37" s="2745"/>
      <c r="O37" s="2761">
        <v>10</v>
      </c>
      <c r="P37" s="2745" t="e">
        <f>#REF!+#REF!+хозАДМ!P32+хозИНТ!P35</f>
        <v>#REF!</v>
      </c>
      <c r="Q37" s="2745">
        <f>ROUND(460*1.07,2)</f>
        <v>492.2</v>
      </c>
      <c r="R37" s="2745" t="e">
        <f t="shared" si="3"/>
        <v>#REF!</v>
      </c>
      <c r="S37" s="2745"/>
      <c r="T37" s="2745" t="e">
        <f t="shared" si="4"/>
        <v>#REF!</v>
      </c>
      <c r="U37" s="2148"/>
      <c r="V37" s="2148"/>
      <c r="W37" s="2745">
        <f t="shared" si="5"/>
        <v>526.65</v>
      </c>
      <c r="X37" s="2745" t="e">
        <f t="shared" si="6"/>
        <v>#REF!</v>
      </c>
      <c r="Y37" s="2745"/>
      <c r="Z37" s="2745" t="e">
        <f t="shared" si="1"/>
        <v>#REF!</v>
      </c>
      <c r="AA37" s="2745">
        <f t="shared" si="7"/>
        <v>563.52</v>
      </c>
      <c r="AB37" s="2745" t="e">
        <f t="shared" si="8"/>
        <v>#REF!</v>
      </c>
      <c r="AC37" s="2745"/>
      <c r="AD37" s="2745" t="e">
        <f t="shared" si="2"/>
        <v>#REF!</v>
      </c>
      <c r="AE37" s="2148"/>
      <c r="AF37" s="2148"/>
      <c r="AG37" s="2148"/>
      <c r="AH37" s="2148"/>
      <c r="AI37" s="2148"/>
      <c r="AJ37" s="2148"/>
      <c r="AK37" s="2148"/>
      <c r="AL37" s="2148"/>
      <c r="AM37" s="2148"/>
    </row>
    <row r="38" spans="1:39" s="2161" customFormat="1">
      <c r="A38" s="2743">
        <v>29</v>
      </c>
      <c r="B38" s="2744" t="s">
        <v>2310</v>
      </c>
      <c r="C38" s="2748" t="s">
        <v>2313</v>
      </c>
      <c r="D38" s="2744" t="s">
        <v>1268</v>
      </c>
      <c r="E38" s="2746">
        <v>16815.8</v>
      </c>
      <c r="F38" s="2745"/>
      <c r="G38" s="2746">
        <f t="shared" si="0"/>
        <v>16815.8</v>
      </c>
      <c r="H38" s="2745"/>
      <c r="I38" s="2747"/>
      <c r="J38" s="2747"/>
      <c r="K38" s="2745"/>
      <c r="L38" s="2744">
        <v>20</v>
      </c>
      <c r="M38" s="2744"/>
      <c r="N38" s="2745"/>
      <c r="O38" s="2761">
        <v>10</v>
      </c>
      <c r="P38" s="2745" t="e">
        <f>#REF!+#REF!+хозАДМ!P33+хозИНТ!P36</f>
        <v>#REF!</v>
      </c>
      <c r="Q38" s="2745">
        <f>ROUND(410*1.07,2)</f>
        <v>438.7</v>
      </c>
      <c r="R38" s="2745" t="e">
        <f t="shared" si="3"/>
        <v>#REF!</v>
      </c>
      <c r="S38" s="2745"/>
      <c r="T38" s="2745" t="e">
        <f t="shared" si="4"/>
        <v>#REF!</v>
      </c>
      <c r="U38" s="2148"/>
      <c r="V38" s="2148"/>
      <c r="W38" s="2745">
        <f t="shared" si="5"/>
        <v>469.41</v>
      </c>
      <c r="X38" s="2745" t="e">
        <f t="shared" si="6"/>
        <v>#REF!</v>
      </c>
      <c r="Y38" s="2745"/>
      <c r="Z38" s="2745" t="e">
        <f t="shared" si="1"/>
        <v>#REF!</v>
      </c>
      <c r="AA38" s="2745">
        <f t="shared" si="7"/>
        <v>502.27</v>
      </c>
      <c r="AB38" s="2745" t="e">
        <f t="shared" si="8"/>
        <v>#REF!</v>
      </c>
      <c r="AC38" s="2745"/>
      <c r="AD38" s="2745" t="e">
        <f t="shared" si="2"/>
        <v>#REF!</v>
      </c>
      <c r="AE38" s="2148"/>
      <c r="AF38" s="2148"/>
      <c r="AG38" s="2148"/>
      <c r="AH38" s="2148"/>
      <c r="AI38" s="2148"/>
      <c r="AJ38" s="2148"/>
      <c r="AK38" s="2148"/>
      <c r="AL38" s="2148"/>
      <c r="AM38" s="2148"/>
    </row>
    <row r="39" spans="1:39" s="2161" customFormat="1">
      <c r="A39" s="2743">
        <v>30</v>
      </c>
      <c r="B39" s="2744" t="s">
        <v>2310</v>
      </c>
      <c r="C39" s="2748" t="s">
        <v>2314</v>
      </c>
      <c r="D39" s="2744" t="s">
        <v>1268</v>
      </c>
      <c r="E39" s="2746">
        <v>16815.8</v>
      </c>
      <c r="F39" s="2747"/>
      <c r="G39" s="2746">
        <f t="shared" si="0"/>
        <v>16815.8</v>
      </c>
      <c r="H39" s="2747"/>
      <c r="I39" s="2747"/>
      <c r="J39" s="2747"/>
      <c r="K39" s="2747"/>
      <c r="L39" s="2744">
        <v>20</v>
      </c>
      <c r="M39" s="2744"/>
      <c r="N39" s="2747"/>
      <c r="O39" s="2758">
        <v>10</v>
      </c>
      <c r="P39" s="2745" t="e">
        <f>#REF!+#REF!+хозАДМ!P34+хозИНТ!P37</f>
        <v>#REF!</v>
      </c>
      <c r="Q39" s="2745">
        <f>ROUND(490*1.07,2)</f>
        <v>524.29999999999995</v>
      </c>
      <c r="R39" s="2745" t="e">
        <f t="shared" si="3"/>
        <v>#REF!</v>
      </c>
      <c r="S39" s="2745"/>
      <c r="T39" s="2745" t="e">
        <f t="shared" si="4"/>
        <v>#REF!</v>
      </c>
      <c r="U39" s="2148"/>
      <c r="V39" s="2148"/>
      <c r="W39" s="2745">
        <f t="shared" si="5"/>
        <v>561</v>
      </c>
      <c r="X39" s="2745" t="e">
        <f t="shared" si="6"/>
        <v>#REF!</v>
      </c>
      <c r="Y39" s="2745"/>
      <c r="Z39" s="2745" t="e">
        <f t="shared" si="1"/>
        <v>#REF!</v>
      </c>
      <c r="AA39" s="2745">
        <f t="shared" si="7"/>
        <v>600.27</v>
      </c>
      <c r="AB39" s="2745" t="e">
        <f t="shared" si="8"/>
        <v>#REF!</v>
      </c>
      <c r="AC39" s="2745"/>
      <c r="AD39" s="2745" t="e">
        <f t="shared" si="2"/>
        <v>#REF!</v>
      </c>
      <c r="AE39" s="2148"/>
      <c r="AF39" s="2148"/>
      <c r="AG39" s="2148"/>
      <c r="AH39" s="2148"/>
      <c r="AI39" s="2148"/>
      <c r="AJ39" s="2148"/>
      <c r="AK39" s="2148"/>
      <c r="AL39" s="2148"/>
      <c r="AM39" s="2148"/>
    </row>
    <row r="40" spans="1:39">
      <c r="A40" s="2074">
        <v>31</v>
      </c>
      <c r="B40" s="2068" t="s">
        <v>2315</v>
      </c>
      <c r="C40" s="2068" t="s">
        <v>2316</v>
      </c>
      <c r="D40" s="2068" t="s">
        <v>2317</v>
      </c>
      <c r="E40" s="2070">
        <v>16815.8</v>
      </c>
      <c r="F40" s="2071"/>
      <c r="G40" s="2070">
        <f t="shared" si="0"/>
        <v>16815.8</v>
      </c>
      <c r="H40" s="2071"/>
      <c r="I40" s="2067"/>
      <c r="J40" s="2067"/>
      <c r="K40" s="2071"/>
      <c r="L40" s="2068">
        <v>50</v>
      </c>
      <c r="M40" s="2068"/>
      <c r="N40" s="2735"/>
      <c r="O40" s="2760"/>
      <c r="P40" s="2719" t="e">
        <f>#REF!+#REF!+хозАДМ!P35+хозИНТ!P38</f>
        <v>#REF!</v>
      </c>
      <c r="Q40" s="2071">
        <f>ROUND(430*1.07,2)</f>
        <v>460.1</v>
      </c>
      <c r="R40" s="2071" t="e">
        <f t="shared" si="3"/>
        <v>#REF!</v>
      </c>
      <c r="S40" s="2071"/>
      <c r="T40" s="2071" t="e">
        <f t="shared" si="4"/>
        <v>#REF!</v>
      </c>
      <c r="U40" s="2135"/>
      <c r="V40" s="2135"/>
      <c r="W40" s="2071">
        <f t="shared" si="5"/>
        <v>492.31</v>
      </c>
      <c r="X40" s="2071" t="e">
        <f t="shared" si="6"/>
        <v>#REF!</v>
      </c>
      <c r="Y40" s="2071"/>
      <c r="Z40" s="2071" t="e">
        <f t="shared" si="1"/>
        <v>#REF!</v>
      </c>
      <c r="AA40" s="2071">
        <f t="shared" si="7"/>
        <v>526.77</v>
      </c>
      <c r="AB40" s="2071" t="e">
        <f t="shared" si="8"/>
        <v>#REF!</v>
      </c>
      <c r="AC40" s="2071"/>
      <c r="AD40" s="2071" t="e">
        <f t="shared" si="2"/>
        <v>#REF!</v>
      </c>
      <c r="AE40" s="2135"/>
      <c r="AF40" s="2135"/>
      <c r="AG40" s="2135"/>
      <c r="AH40" s="2135"/>
      <c r="AI40" s="2135"/>
      <c r="AJ40" s="2135"/>
      <c r="AK40" s="2135"/>
      <c r="AL40" s="2135"/>
      <c r="AM40" s="2135"/>
    </row>
    <row r="41" spans="1:39">
      <c r="A41" s="2074">
        <v>32</v>
      </c>
      <c r="B41" s="2068" t="s">
        <v>2315</v>
      </c>
      <c r="C41" s="2068" t="s">
        <v>2318</v>
      </c>
      <c r="D41" s="2068" t="s">
        <v>2317</v>
      </c>
      <c r="E41" s="2070">
        <v>16815.8</v>
      </c>
      <c r="F41" s="2067"/>
      <c r="G41" s="2070">
        <f t="shared" si="0"/>
        <v>16815.8</v>
      </c>
      <c r="H41" s="2067"/>
      <c r="I41" s="2067"/>
      <c r="J41" s="2067"/>
      <c r="K41" s="2067"/>
      <c r="L41" s="2068">
        <v>50</v>
      </c>
      <c r="M41" s="2068"/>
      <c r="N41" s="2734"/>
      <c r="O41" s="2759"/>
      <c r="P41" s="2719" t="e">
        <f>#REF!+#REF!+хозАДМ!P36+хозИНТ!P39</f>
        <v>#REF!</v>
      </c>
      <c r="Q41" s="2071">
        <f>ROUND(705*1.07,2)</f>
        <v>754.35</v>
      </c>
      <c r="R41" s="2071" t="e">
        <f t="shared" si="3"/>
        <v>#REF!</v>
      </c>
      <c r="S41" s="2071"/>
      <c r="T41" s="2071" t="e">
        <f t="shared" si="4"/>
        <v>#REF!</v>
      </c>
      <c r="U41" s="2135"/>
      <c r="V41" s="2135"/>
      <c r="W41" s="2071">
        <f t="shared" si="5"/>
        <v>807.15</v>
      </c>
      <c r="X41" s="2071" t="e">
        <f t="shared" si="6"/>
        <v>#REF!</v>
      </c>
      <c r="Y41" s="2071"/>
      <c r="Z41" s="2071" t="e">
        <f t="shared" si="1"/>
        <v>#REF!</v>
      </c>
      <c r="AA41" s="2071">
        <f t="shared" si="7"/>
        <v>863.65</v>
      </c>
      <c r="AB41" s="2071" t="e">
        <f t="shared" si="8"/>
        <v>#REF!</v>
      </c>
      <c r="AC41" s="2071"/>
      <c r="AD41" s="2071" t="e">
        <f t="shared" si="2"/>
        <v>#REF!</v>
      </c>
      <c r="AE41" s="2135"/>
      <c r="AF41" s="2135"/>
      <c r="AG41" s="2135"/>
      <c r="AH41" s="2135"/>
      <c r="AI41" s="2135"/>
      <c r="AJ41" s="2135"/>
      <c r="AK41" s="2135"/>
      <c r="AL41" s="2135"/>
      <c r="AM41" s="2135"/>
    </row>
    <row r="42" spans="1:39" s="2161" customFormat="1">
      <c r="A42" s="2743">
        <v>33</v>
      </c>
      <c r="B42" s="2744" t="s">
        <v>2315</v>
      </c>
      <c r="C42" s="2744" t="s">
        <v>2319</v>
      </c>
      <c r="D42" s="2744" t="s">
        <v>2317</v>
      </c>
      <c r="E42" s="2746">
        <v>16815.8</v>
      </c>
      <c r="F42" s="2747"/>
      <c r="G42" s="2746">
        <f t="shared" ref="G42:G63" si="9">E42</f>
        <v>16815.8</v>
      </c>
      <c r="H42" s="2747"/>
      <c r="I42" s="2747"/>
      <c r="J42" s="2747"/>
      <c r="K42" s="2747"/>
      <c r="L42" s="2744">
        <v>50</v>
      </c>
      <c r="M42" s="2744"/>
      <c r="N42" s="2747">
        <v>350</v>
      </c>
      <c r="O42" s="2758">
        <v>0</v>
      </c>
      <c r="P42" s="2745" t="e">
        <f>#REF!+#REF!+хозАДМ!#REF!+хозИНТ!P40</f>
        <v>#REF!</v>
      </c>
      <c r="Q42" s="2745">
        <f>ROUND(780*1.07,2)</f>
        <v>834.6</v>
      </c>
      <c r="R42" s="2745" t="e">
        <f t="shared" si="3"/>
        <v>#REF!</v>
      </c>
      <c r="S42" s="2745"/>
      <c r="T42" s="2745" t="e">
        <f t="shared" ref="T42:T73" si="10">R42-S42</f>
        <v>#REF!</v>
      </c>
      <c r="U42" s="2148"/>
      <c r="V42" s="2148"/>
      <c r="W42" s="2745">
        <f t="shared" si="5"/>
        <v>893.02</v>
      </c>
      <c r="X42" s="2745" t="e">
        <f t="shared" si="6"/>
        <v>#REF!</v>
      </c>
      <c r="Y42" s="2745"/>
      <c r="Z42" s="2745" t="e">
        <f t="shared" si="1"/>
        <v>#REF!</v>
      </c>
      <c r="AA42" s="2745">
        <f t="shared" si="7"/>
        <v>955.53</v>
      </c>
      <c r="AB42" s="2745" t="e">
        <f t="shared" si="8"/>
        <v>#REF!</v>
      </c>
      <c r="AC42" s="2745"/>
      <c r="AD42" s="2745" t="e">
        <f t="shared" si="2"/>
        <v>#REF!</v>
      </c>
      <c r="AE42" s="2148"/>
      <c r="AF42" s="2148"/>
      <c r="AG42" s="2148"/>
      <c r="AH42" s="2148"/>
      <c r="AI42" s="2148"/>
      <c r="AJ42" s="2148"/>
      <c r="AK42" s="2148"/>
      <c r="AL42" s="2148"/>
      <c r="AM42" s="2148"/>
    </row>
    <row r="43" spans="1:39">
      <c r="A43" s="2074">
        <v>34</v>
      </c>
      <c r="B43" s="2068" t="s">
        <v>2315</v>
      </c>
      <c r="C43" s="2068" t="s">
        <v>2320</v>
      </c>
      <c r="D43" s="2068" t="s">
        <v>2317</v>
      </c>
      <c r="E43" s="2070">
        <v>16815.8</v>
      </c>
      <c r="F43" s="2067"/>
      <c r="G43" s="2070">
        <f t="shared" si="9"/>
        <v>16815.8</v>
      </c>
      <c r="H43" s="2067"/>
      <c r="I43" s="2067"/>
      <c r="J43" s="2067"/>
      <c r="K43" s="2067"/>
      <c r="L43" s="2068">
        <v>50</v>
      </c>
      <c r="M43" s="2068"/>
      <c r="N43" s="2734"/>
      <c r="O43" s="2759"/>
      <c r="P43" s="2719" t="e">
        <f>#REF!+#REF!+хозАДМ!P37+хозИНТ!P41</f>
        <v>#REF!</v>
      </c>
      <c r="Q43" s="2071">
        <f>ROUND(930*1.07,2)</f>
        <v>995.1</v>
      </c>
      <c r="R43" s="2071" t="e">
        <f t="shared" si="3"/>
        <v>#REF!</v>
      </c>
      <c r="S43" s="2071"/>
      <c r="T43" s="2071" t="e">
        <f t="shared" si="10"/>
        <v>#REF!</v>
      </c>
      <c r="U43" s="2135"/>
      <c r="V43" s="2135"/>
      <c r="W43" s="2071">
        <f t="shared" si="5"/>
        <v>1064.76</v>
      </c>
      <c r="X43" s="2071" t="e">
        <f t="shared" si="6"/>
        <v>#REF!</v>
      </c>
      <c r="Y43" s="2071"/>
      <c r="Z43" s="2071" t="e">
        <f t="shared" si="1"/>
        <v>#REF!</v>
      </c>
      <c r="AA43" s="2071">
        <f t="shared" si="7"/>
        <v>1139.29</v>
      </c>
      <c r="AB43" s="2071" t="e">
        <f t="shared" si="8"/>
        <v>#REF!</v>
      </c>
      <c r="AC43" s="2071"/>
      <c r="AD43" s="2071" t="e">
        <f t="shared" si="2"/>
        <v>#REF!</v>
      </c>
      <c r="AE43" s="2135"/>
      <c r="AF43" s="2135"/>
      <c r="AG43" s="2135"/>
      <c r="AH43" s="2135"/>
      <c r="AI43" s="2135"/>
      <c r="AJ43" s="2135"/>
      <c r="AK43" s="2135"/>
      <c r="AL43" s="2135"/>
      <c r="AM43" s="2135"/>
    </row>
    <row r="44" spans="1:39">
      <c r="A44" s="2074">
        <v>35</v>
      </c>
      <c r="B44" s="2068" t="s">
        <v>1956</v>
      </c>
      <c r="C44" s="2068" t="s">
        <v>2321</v>
      </c>
      <c r="D44" s="2071" t="s">
        <v>1268</v>
      </c>
      <c r="E44" s="2070">
        <v>16815.8</v>
      </c>
      <c r="F44" s="2067"/>
      <c r="G44" s="2070">
        <f t="shared" si="9"/>
        <v>16815.8</v>
      </c>
      <c r="H44" s="2067"/>
      <c r="I44" s="2067"/>
      <c r="J44" s="2067"/>
      <c r="K44" s="2067"/>
      <c r="L44" s="2068">
        <v>10</v>
      </c>
      <c r="M44" s="2068"/>
      <c r="N44" s="2734"/>
      <c r="O44" s="2759"/>
      <c r="P44" s="2719" t="e">
        <f>#REF!+#REF!+хозАДМ!#REF!+хозИНТ!P42</f>
        <v>#REF!</v>
      </c>
      <c r="Q44" s="2071">
        <f>ROUND(2145*1.07,2)</f>
        <v>2295.15</v>
      </c>
      <c r="R44" s="2071" t="e">
        <f t="shared" si="3"/>
        <v>#REF!</v>
      </c>
      <c r="S44" s="2071"/>
      <c r="T44" s="2071" t="e">
        <f t="shared" si="10"/>
        <v>#REF!</v>
      </c>
      <c r="U44" s="2135"/>
      <c r="V44" s="2135"/>
      <c r="W44" s="2071">
        <f t="shared" si="5"/>
        <v>2455.81</v>
      </c>
      <c r="X44" s="2071" t="e">
        <f t="shared" si="6"/>
        <v>#REF!</v>
      </c>
      <c r="Y44" s="2071"/>
      <c r="Z44" s="2071" t="e">
        <f t="shared" si="1"/>
        <v>#REF!</v>
      </c>
      <c r="AA44" s="2071">
        <f t="shared" si="7"/>
        <v>2627.72</v>
      </c>
      <c r="AB44" s="2071" t="e">
        <f t="shared" si="8"/>
        <v>#REF!</v>
      </c>
      <c r="AC44" s="2071"/>
      <c r="AD44" s="2071" t="e">
        <f t="shared" si="2"/>
        <v>#REF!</v>
      </c>
      <c r="AE44" s="2135"/>
      <c r="AF44" s="2135"/>
      <c r="AG44" s="2135"/>
      <c r="AH44" s="2135"/>
      <c r="AI44" s="2135"/>
      <c r="AJ44" s="2135"/>
      <c r="AK44" s="2135"/>
      <c r="AL44" s="2135"/>
      <c r="AM44" s="2135"/>
    </row>
    <row r="45" spans="1:39">
      <c r="A45" s="2074">
        <v>36</v>
      </c>
      <c r="B45" s="2068" t="s">
        <v>1956</v>
      </c>
      <c r="C45" s="2068" t="s">
        <v>2322</v>
      </c>
      <c r="D45" s="2071" t="s">
        <v>1268</v>
      </c>
      <c r="E45" s="2070">
        <v>16815.8</v>
      </c>
      <c r="F45" s="2071"/>
      <c r="G45" s="2070">
        <f t="shared" si="9"/>
        <v>16815.8</v>
      </c>
      <c r="H45" s="2071"/>
      <c r="I45" s="2067"/>
      <c r="J45" s="2067"/>
      <c r="K45" s="2071"/>
      <c r="L45" s="2068">
        <v>10</v>
      </c>
      <c r="M45" s="2068"/>
      <c r="N45" s="2735"/>
      <c r="O45" s="2760"/>
      <c r="P45" s="2719" t="e">
        <f>#REF!+#REF!+хозАДМ!P38+хозИНТ!P43</f>
        <v>#REF!</v>
      </c>
      <c r="Q45" s="2071">
        <f>ROUND(1830*1.07,2)</f>
        <v>1958.1</v>
      </c>
      <c r="R45" s="2071" t="e">
        <f t="shared" si="3"/>
        <v>#REF!</v>
      </c>
      <c r="S45" s="2071"/>
      <c r="T45" s="2071" t="e">
        <f t="shared" si="10"/>
        <v>#REF!</v>
      </c>
      <c r="U45" s="2135"/>
      <c r="V45" s="2135"/>
      <c r="W45" s="2071">
        <f t="shared" si="5"/>
        <v>2095.17</v>
      </c>
      <c r="X45" s="2071" t="e">
        <f t="shared" si="6"/>
        <v>#REF!</v>
      </c>
      <c r="Y45" s="2071"/>
      <c r="Z45" s="2071" t="e">
        <f t="shared" si="1"/>
        <v>#REF!</v>
      </c>
      <c r="AA45" s="2071">
        <f t="shared" si="7"/>
        <v>2241.83</v>
      </c>
      <c r="AB45" s="2071" t="e">
        <f t="shared" si="8"/>
        <v>#REF!</v>
      </c>
      <c r="AC45" s="2071"/>
      <c r="AD45" s="2071" t="e">
        <f t="shared" si="2"/>
        <v>#REF!</v>
      </c>
      <c r="AE45" s="2135"/>
      <c r="AF45" s="2135"/>
      <c r="AG45" s="2135"/>
      <c r="AH45" s="2135"/>
      <c r="AI45" s="2135"/>
      <c r="AJ45" s="2135"/>
      <c r="AK45" s="2135"/>
      <c r="AL45" s="2135"/>
      <c r="AM45" s="2135"/>
    </row>
    <row r="46" spans="1:39" ht="24">
      <c r="A46" s="2074">
        <v>37</v>
      </c>
      <c r="B46" s="2068" t="s">
        <v>2323</v>
      </c>
      <c r="C46" s="2068" t="s">
        <v>2324</v>
      </c>
      <c r="D46" s="2071" t="s">
        <v>1411</v>
      </c>
      <c r="E46" s="2070">
        <v>16815.8</v>
      </c>
      <c r="F46" s="2071"/>
      <c r="G46" s="2070">
        <f t="shared" si="9"/>
        <v>16815.8</v>
      </c>
      <c r="H46" s="2071"/>
      <c r="I46" s="2067"/>
      <c r="J46" s="2067"/>
      <c r="K46" s="2071"/>
      <c r="L46" s="2068">
        <v>50</v>
      </c>
      <c r="M46" s="2068"/>
      <c r="N46" s="2735"/>
      <c r="O46" s="2760"/>
      <c r="P46" s="2719" t="e">
        <f>#REF!+#REF!+хозАДМ!#REF!+хозИНТ!P44</f>
        <v>#REF!</v>
      </c>
      <c r="Q46" s="2071">
        <f>ROUND(2410*1.07,2)</f>
        <v>2578.6999999999998</v>
      </c>
      <c r="R46" s="2071" t="e">
        <f t="shared" si="3"/>
        <v>#REF!</v>
      </c>
      <c r="S46" s="2071"/>
      <c r="T46" s="2071" t="e">
        <f t="shared" si="10"/>
        <v>#REF!</v>
      </c>
      <c r="U46" s="2135"/>
      <c r="V46" s="2135"/>
      <c r="W46" s="2071">
        <f t="shared" si="5"/>
        <v>2759.21</v>
      </c>
      <c r="X46" s="2071" t="e">
        <f t="shared" si="6"/>
        <v>#REF!</v>
      </c>
      <c r="Y46" s="2071"/>
      <c r="Z46" s="2071" t="e">
        <f t="shared" si="1"/>
        <v>#REF!</v>
      </c>
      <c r="AA46" s="2071">
        <f t="shared" si="7"/>
        <v>2952.35</v>
      </c>
      <c r="AB46" s="2071" t="e">
        <f t="shared" si="8"/>
        <v>#REF!</v>
      </c>
      <c r="AC46" s="2071"/>
      <c r="AD46" s="2071" t="e">
        <f t="shared" si="2"/>
        <v>#REF!</v>
      </c>
      <c r="AE46" s="2135"/>
      <c r="AF46" s="2135"/>
      <c r="AG46" s="2135"/>
      <c r="AH46" s="2135"/>
      <c r="AI46" s="2135"/>
      <c r="AJ46" s="2135"/>
      <c r="AK46" s="2135"/>
      <c r="AL46" s="2135"/>
      <c r="AM46" s="2135"/>
    </row>
    <row r="47" spans="1:39" s="2161" customFormat="1" ht="24">
      <c r="A47" s="2074">
        <v>38</v>
      </c>
      <c r="B47" s="2068" t="s">
        <v>2323</v>
      </c>
      <c r="C47" s="2068" t="s">
        <v>2325</v>
      </c>
      <c r="D47" s="2071" t="s">
        <v>1411</v>
      </c>
      <c r="E47" s="2070">
        <v>16815.8</v>
      </c>
      <c r="F47" s="2071"/>
      <c r="G47" s="2070">
        <f t="shared" si="9"/>
        <v>16815.8</v>
      </c>
      <c r="H47" s="2071"/>
      <c r="I47" s="2067"/>
      <c r="J47" s="2067"/>
      <c r="K47" s="2071"/>
      <c r="L47" s="2068">
        <v>70</v>
      </c>
      <c r="M47" s="2071"/>
      <c r="N47" s="2735"/>
      <c r="O47" s="2760"/>
      <c r="P47" s="2719" t="e">
        <f>#REF!+#REF!+хозАДМ!#REF!+хозИНТ!P45</f>
        <v>#REF!</v>
      </c>
      <c r="Q47" s="2071">
        <f>ROUND(1420*1.07,2)</f>
        <v>1519.4</v>
      </c>
      <c r="R47" s="2071" t="e">
        <f t="shared" si="3"/>
        <v>#REF!</v>
      </c>
      <c r="S47" s="2071"/>
      <c r="T47" s="2071" t="e">
        <f t="shared" si="10"/>
        <v>#REF!</v>
      </c>
      <c r="U47" s="2135"/>
      <c r="V47" s="2135"/>
      <c r="W47" s="2071">
        <f t="shared" si="5"/>
        <v>1625.76</v>
      </c>
      <c r="X47" s="2071" t="e">
        <f t="shared" si="6"/>
        <v>#REF!</v>
      </c>
      <c r="Y47" s="2071"/>
      <c r="Z47" s="2071" t="e">
        <f t="shared" si="1"/>
        <v>#REF!</v>
      </c>
      <c r="AA47" s="2071">
        <f t="shared" si="7"/>
        <v>1739.56</v>
      </c>
      <c r="AB47" s="2071" t="e">
        <f t="shared" si="8"/>
        <v>#REF!</v>
      </c>
      <c r="AC47" s="2071"/>
      <c r="AD47" s="2071" t="e">
        <f t="shared" si="2"/>
        <v>#REF!</v>
      </c>
      <c r="AE47" s="2135"/>
      <c r="AF47" s="2135"/>
      <c r="AG47" s="2135"/>
      <c r="AH47" s="2135"/>
      <c r="AI47" s="2135"/>
      <c r="AJ47" s="2135"/>
      <c r="AK47" s="2135"/>
      <c r="AL47" s="2135"/>
      <c r="AM47" s="2135"/>
    </row>
    <row r="48" spans="1:39" ht="36">
      <c r="A48" s="2074">
        <v>39</v>
      </c>
      <c r="B48" s="2068" t="s">
        <v>1961</v>
      </c>
      <c r="C48" s="2068" t="s">
        <v>2326</v>
      </c>
      <c r="D48" s="2071" t="s">
        <v>1268</v>
      </c>
      <c r="E48" s="2070">
        <v>16815.8</v>
      </c>
      <c r="F48" s="2071"/>
      <c r="G48" s="2070">
        <f t="shared" si="9"/>
        <v>16815.8</v>
      </c>
      <c r="H48" s="2071"/>
      <c r="I48" s="2067"/>
      <c r="J48" s="2067"/>
      <c r="K48" s="2071"/>
      <c r="L48" s="2068">
        <v>30</v>
      </c>
      <c r="M48" s="2068"/>
      <c r="N48" s="2735"/>
      <c r="O48" s="2760"/>
      <c r="P48" s="2719" t="e">
        <f>#REF!+#REF!+хозАДМ!P39+хозИНТ!P46</f>
        <v>#REF!</v>
      </c>
      <c r="Q48" s="2071">
        <f>ROUND(630*1.07,2)</f>
        <v>674.1</v>
      </c>
      <c r="R48" s="2071" t="e">
        <f t="shared" si="3"/>
        <v>#REF!</v>
      </c>
      <c r="S48" s="2071"/>
      <c r="T48" s="2071" t="e">
        <f t="shared" si="10"/>
        <v>#REF!</v>
      </c>
      <c r="U48" s="2135"/>
      <c r="V48" s="2135"/>
      <c r="W48" s="2071">
        <f t="shared" si="5"/>
        <v>721.29</v>
      </c>
      <c r="X48" s="2071" t="e">
        <f t="shared" si="6"/>
        <v>#REF!</v>
      </c>
      <c r="Y48" s="2071"/>
      <c r="Z48" s="2071" t="e">
        <f t="shared" si="1"/>
        <v>#REF!</v>
      </c>
      <c r="AA48" s="2071">
        <f t="shared" si="7"/>
        <v>771.78</v>
      </c>
      <c r="AB48" s="2071" t="e">
        <f t="shared" si="8"/>
        <v>#REF!</v>
      </c>
      <c r="AC48" s="2071"/>
      <c r="AD48" s="2071" t="e">
        <f t="shared" si="2"/>
        <v>#REF!</v>
      </c>
      <c r="AE48" s="2135"/>
      <c r="AF48" s="2135"/>
      <c r="AG48" s="2135"/>
      <c r="AH48" s="2135"/>
      <c r="AI48" s="2135"/>
      <c r="AJ48" s="2135"/>
      <c r="AK48" s="2135"/>
      <c r="AL48" s="2135"/>
      <c r="AM48" s="2135"/>
    </row>
    <row r="49" spans="1:39" ht="24">
      <c r="A49" s="2074">
        <v>40</v>
      </c>
      <c r="B49" s="2068" t="s">
        <v>1961</v>
      </c>
      <c r="C49" s="2068" t="s">
        <v>2327</v>
      </c>
      <c r="D49" s="2071" t="s">
        <v>1268</v>
      </c>
      <c r="E49" s="2070">
        <v>16815.8</v>
      </c>
      <c r="F49" s="2071"/>
      <c r="G49" s="2070">
        <f t="shared" si="9"/>
        <v>16815.8</v>
      </c>
      <c r="H49" s="2071"/>
      <c r="I49" s="2067"/>
      <c r="J49" s="2067"/>
      <c r="K49" s="2071"/>
      <c r="L49" s="2068">
        <v>30</v>
      </c>
      <c r="M49" s="2068"/>
      <c r="N49" s="2735"/>
      <c r="O49" s="2760"/>
      <c r="P49" s="2719" t="e">
        <f>#REF!+#REF!+хозАДМ!P40+хозИНТ!P47</f>
        <v>#REF!</v>
      </c>
      <c r="Q49" s="2071">
        <f>ROUND(690*1.07,2)</f>
        <v>738.3</v>
      </c>
      <c r="R49" s="2071" t="e">
        <f t="shared" si="3"/>
        <v>#REF!</v>
      </c>
      <c r="S49" s="2071"/>
      <c r="T49" s="2071" t="e">
        <f t="shared" si="10"/>
        <v>#REF!</v>
      </c>
      <c r="U49" s="2135"/>
      <c r="V49" s="2135"/>
      <c r="W49" s="2071">
        <f t="shared" si="5"/>
        <v>789.98</v>
      </c>
      <c r="X49" s="2071" t="e">
        <f t="shared" si="6"/>
        <v>#REF!</v>
      </c>
      <c r="Y49" s="2071"/>
      <c r="Z49" s="2071" t="e">
        <f t="shared" si="1"/>
        <v>#REF!</v>
      </c>
      <c r="AA49" s="2071">
        <f t="shared" si="7"/>
        <v>845.28</v>
      </c>
      <c r="AB49" s="2071" t="e">
        <f t="shared" si="8"/>
        <v>#REF!</v>
      </c>
      <c r="AC49" s="2071"/>
      <c r="AD49" s="2071" t="e">
        <f t="shared" si="2"/>
        <v>#REF!</v>
      </c>
      <c r="AE49" s="2135"/>
      <c r="AF49" s="2135"/>
      <c r="AG49" s="2135"/>
      <c r="AH49" s="2135"/>
      <c r="AI49" s="2135"/>
      <c r="AJ49" s="2135"/>
      <c r="AK49" s="2135"/>
      <c r="AL49" s="2135"/>
      <c r="AM49" s="2135"/>
    </row>
    <row r="50" spans="1:39" ht="24">
      <c r="A50" s="2074">
        <v>41</v>
      </c>
      <c r="B50" s="2068" t="s">
        <v>1961</v>
      </c>
      <c r="C50" s="2068" t="s">
        <v>2328</v>
      </c>
      <c r="D50" s="2071" t="s">
        <v>1268</v>
      </c>
      <c r="E50" s="2070">
        <v>16815.8</v>
      </c>
      <c r="F50" s="2071"/>
      <c r="G50" s="2070">
        <f t="shared" si="9"/>
        <v>16815.8</v>
      </c>
      <c r="H50" s="2071"/>
      <c r="I50" s="2067"/>
      <c r="J50" s="2067"/>
      <c r="K50" s="2071"/>
      <c r="L50" s="2068">
        <v>20</v>
      </c>
      <c r="M50" s="2068"/>
      <c r="N50" s="2735"/>
      <c r="O50" s="2760"/>
      <c r="P50" s="2719" t="e">
        <f>#REF!+#REF!+хозАДМ!P41+хозИНТ!P48</f>
        <v>#REF!</v>
      </c>
      <c r="Q50" s="2071">
        <f>ROUND(750*1.07,2)</f>
        <v>802.5</v>
      </c>
      <c r="R50" s="2071" t="e">
        <f t="shared" si="3"/>
        <v>#REF!</v>
      </c>
      <c r="S50" s="2071"/>
      <c r="T50" s="2071" t="e">
        <f t="shared" si="10"/>
        <v>#REF!</v>
      </c>
      <c r="U50" s="2135"/>
      <c r="V50" s="2135"/>
      <c r="W50" s="2071">
        <f t="shared" si="5"/>
        <v>858.68</v>
      </c>
      <c r="X50" s="2071" t="e">
        <f t="shared" si="6"/>
        <v>#REF!</v>
      </c>
      <c r="Y50" s="2071"/>
      <c r="Z50" s="2071" t="e">
        <f t="shared" si="1"/>
        <v>#REF!</v>
      </c>
      <c r="AA50" s="2071">
        <f t="shared" si="7"/>
        <v>918.79</v>
      </c>
      <c r="AB50" s="2071" t="e">
        <f t="shared" si="8"/>
        <v>#REF!</v>
      </c>
      <c r="AC50" s="2071"/>
      <c r="AD50" s="2071" t="e">
        <f t="shared" si="2"/>
        <v>#REF!</v>
      </c>
      <c r="AE50" s="2135"/>
      <c r="AF50" s="2135"/>
      <c r="AG50" s="2135"/>
      <c r="AH50" s="2135"/>
      <c r="AI50" s="2135"/>
      <c r="AJ50" s="2135"/>
      <c r="AK50" s="2135"/>
      <c r="AL50" s="2135"/>
      <c r="AM50" s="2135"/>
    </row>
    <row r="51" spans="1:39" ht="24">
      <c r="A51" s="2074">
        <v>42</v>
      </c>
      <c r="B51" s="2068" t="s">
        <v>1961</v>
      </c>
      <c r="C51" s="2068" t="s">
        <v>2329</v>
      </c>
      <c r="D51" s="2071" t="s">
        <v>1268</v>
      </c>
      <c r="E51" s="2070">
        <v>16815.8</v>
      </c>
      <c r="F51" s="2067"/>
      <c r="G51" s="2070">
        <f t="shared" si="9"/>
        <v>16815.8</v>
      </c>
      <c r="H51" s="2067"/>
      <c r="I51" s="2067"/>
      <c r="J51" s="2067"/>
      <c r="K51" s="2067"/>
      <c r="L51" s="2068">
        <v>20</v>
      </c>
      <c r="M51" s="2068"/>
      <c r="N51" s="2734"/>
      <c r="O51" s="2759"/>
      <c r="P51" s="2719" t="e">
        <f>#REF!+#REF!+хозАДМ!#REF!+хозИНТ!P49</f>
        <v>#REF!</v>
      </c>
      <c r="Q51" s="2071">
        <f>ROUND(860*1.07,2)</f>
        <v>920.2</v>
      </c>
      <c r="R51" s="2071" t="e">
        <f t="shared" si="3"/>
        <v>#REF!</v>
      </c>
      <c r="S51" s="2071"/>
      <c r="T51" s="2071" t="e">
        <f t="shared" si="10"/>
        <v>#REF!</v>
      </c>
      <c r="U51" s="2135"/>
      <c r="V51" s="2135"/>
      <c r="W51" s="2071">
        <f t="shared" si="5"/>
        <v>984.61</v>
      </c>
      <c r="X51" s="2071" t="e">
        <f t="shared" si="6"/>
        <v>#REF!</v>
      </c>
      <c r="Y51" s="2071"/>
      <c r="Z51" s="2071" t="e">
        <f t="shared" si="1"/>
        <v>#REF!</v>
      </c>
      <c r="AA51" s="2071">
        <f t="shared" si="7"/>
        <v>1053.53</v>
      </c>
      <c r="AB51" s="2071" t="e">
        <f t="shared" si="8"/>
        <v>#REF!</v>
      </c>
      <c r="AC51" s="2071"/>
      <c r="AD51" s="2071" t="e">
        <f t="shared" si="2"/>
        <v>#REF!</v>
      </c>
      <c r="AE51" s="2135"/>
      <c r="AF51" s="2135"/>
      <c r="AG51" s="2135"/>
      <c r="AH51" s="2135"/>
      <c r="AI51" s="2135"/>
      <c r="AJ51" s="2135"/>
      <c r="AK51" s="2135"/>
      <c r="AL51" s="2135"/>
      <c r="AM51" s="2135"/>
    </row>
    <row r="52" spans="1:39" ht="24">
      <c r="A52" s="2074">
        <v>43</v>
      </c>
      <c r="B52" s="2068" t="s">
        <v>1961</v>
      </c>
      <c r="C52" s="2068" t="s">
        <v>2330</v>
      </c>
      <c r="D52" s="2071" t="s">
        <v>1268</v>
      </c>
      <c r="E52" s="2070">
        <v>16815.8</v>
      </c>
      <c r="F52" s="2067"/>
      <c r="G52" s="2070">
        <f t="shared" si="9"/>
        <v>16815.8</v>
      </c>
      <c r="H52" s="2067"/>
      <c r="I52" s="2067"/>
      <c r="J52" s="2067"/>
      <c r="K52" s="2067"/>
      <c r="L52" s="2068">
        <v>20</v>
      </c>
      <c r="M52" s="2068"/>
      <c r="N52" s="2734"/>
      <c r="O52" s="2759"/>
      <c r="P52" s="2719" t="e">
        <f>#REF!+#REF!+хозАДМ!P42+хозИНТ!P50</f>
        <v>#REF!</v>
      </c>
      <c r="Q52" s="2071">
        <f>ROUND(1330*1.07,2)</f>
        <v>1423.1</v>
      </c>
      <c r="R52" s="2071" t="e">
        <f t="shared" si="3"/>
        <v>#REF!</v>
      </c>
      <c r="S52" s="2071"/>
      <c r="T52" s="2071" t="e">
        <f t="shared" si="10"/>
        <v>#REF!</v>
      </c>
      <c r="U52" s="2135"/>
      <c r="V52" s="2135"/>
      <c r="W52" s="2071">
        <f t="shared" si="5"/>
        <v>1522.72</v>
      </c>
      <c r="X52" s="2071" t="e">
        <f t="shared" si="6"/>
        <v>#REF!</v>
      </c>
      <c r="Y52" s="2071"/>
      <c r="Z52" s="2071" t="e">
        <f t="shared" si="1"/>
        <v>#REF!</v>
      </c>
      <c r="AA52" s="2071">
        <f t="shared" si="7"/>
        <v>1629.31</v>
      </c>
      <c r="AB52" s="2071" t="e">
        <f t="shared" si="8"/>
        <v>#REF!</v>
      </c>
      <c r="AC52" s="2071"/>
      <c r="AD52" s="2071" t="e">
        <f t="shared" si="2"/>
        <v>#REF!</v>
      </c>
      <c r="AE52" s="2135"/>
      <c r="AF52" s="2135"/>
      <c r="AG52" s="2135"/>
      <c r="AH52" s="2135"/>
      <c r="AI52" s="2135"/>
      <c r="AJ52" s="2135"/>
      <c r="AK52" s="2135"/>
      <c r="AL52" s="2135"/>
      <c r="AM52" s="2135"/>
    </row>
    <row r="53" spans="1:39">
      <c r="A53" s="2074">
        <v>44</v>
      </c>
      <c r="B53" s="2068" t="s">
        <v>1958</v>
      </c>
      <c r="C53" s="2068" t="s">
        <v>2331</v>
      </c>
      <c r="D53" s="2071" t="s">
        <v>1268</v>
      </c>
      <c r="E53" s="2070">
        <v>16815.8</v>
      </c>
      <c r="F53" s="2071"/>
      <c r="G53" s="2070">
        <f t="shared" si="9"/>
        <v>16815.8</v>
      </c>
      <c r="H53" s="2067"/>
      <c r="I53" s="2067"/>
      <c r="J53" s="2067"/>
      <c r="K53" s="2067"/>
      <c r="L53" s="2068">
        <v>20</v>
      </c>
      <c r="M53" s="2068"/>
      <c r="N53" s="2734"/>
      <c r="O53" s="2759"/>
      <c r="P53" s="2719" t="e">
        <f>#REF!+#REF!+хозАДМ!P43+хозИНТ!P51</f>
        <v>#REF!</v>
      </c>
      <c r="Q53" s="2067">
        <f>ROUND(840*1.07,2)</f>
        <v>898.8</v>
      </c>
      <c r="R53" s="2071" t="e">
        <f t="shared" si="3"/>
        <v>#REF!</v>
      </c>
      <c r="S53" s="2071"/>
      <c r="T53" s="2071" t="e">
        <f t="shared" si="10"/>
        <v>#REF!</v>
      </c>
      <c r="U53" s="2135"/>
      <c r="V53" s="2135"/>
      <c r="W53" s="2071">
        <f t="shared" si="5"/>
        <v>961.72</v>
      </c>
      <c r="X53" s="2071" t="e">
        <f t="shared" si="6"/>
        <v>#REF!</v>
      </c>
      <c r="Y53" s="2071"/>
      <c r="Z53" s="2071" t="e">
        <f t="shared" si="1"/>
        <v>#REF!</v>
      </c>
      <c r="AA53" s="2071">
        <f t="shared" si="7"/>
        <v>1029.04</v>
      </c>
      <c r="AB53" s="2071" t="e">
        <f t="shared" si="8"/>
        <v>#REF!</v>
      </c>
      <c r="AC53" s="2071"/>
      <c r="AD53" s="2071" t="e">
        <f t="shared" si="2"/>
        <v>#REF!</v>
      </c>
      <c r="AE53" s="2135"/>
      <c r="AF53" s="2135"/>
      <c r="AG53" s="2135"/>
      <c r="AH53" s="2135"/>
      <c r="AI53" s="2135"/>
      <c r="AJ53" s="2135"/>
      <c r="AK53" s="2135"/>
      <c r="AL53" s="2135"/>
      <c r="AM53" s="2135"/>
    </row>
    <row r="54" spans="1:39">
      <c r="A54" s="2074">
        <v>45</v>
      </c>
      <c r="B54" s="2068" t="s">
        <v>1958</v>
      </c>
      <c r="C54" s="2068" t="s">
        <v>2332</v>
      </c>
      <c r="D54" s="2071" t="s">
        <v>1268</v>
      </c>
      <c r="E54" s="2070">
        <v>16815.8</v>
      </c>
      <c r="F54" s="2071"/>
      <c r="G54" s="2070">
        <f t="shared" si="9"/>
        <v>16815.8</v>
      </c>
      <c r="H54" s="2071"/>
      <c r="I54" s="2067"/>
      <c r="J54" s="2067"/>
      <c r="K54" s="2071"/>
      <c r="L54" s="2068">
        <v>20</v>
      </c>
      <c r="M54" s="2068"/>
      <c r="N54" s="2735"/>
      <c r="O54" s="2760"/>
      <c r="P54" s="2719" t="e">
        <f>#REF!+#REF!+хозАДМ!#REF!+хозИНТ!P52</f>
        <v>#REF!</v>
      </c>
      <c r="Q54" s="2071">
        <f>ROUND(780*1.07,2)</f>
        <v>834.6</v>
      </c>
      <c r="R54" s="2071" t="e">
        <f t="shared" si="3"/>
        <v>#REF!</v>
      </c>
      <c r="S54" s="2071"/>
      <c r="T54" s="2071" t="e">
        <f t="shared" si="10"/>
        <v>#REF!</v>
      </c>
      <c r="U54" s="2135"/>
      <c r="V54" s="2135"/>
      <c r="W54" s="2071">
        <f t="shared" si="5"/>
        <v>893.02</v>
      </c>
      <c r="X54" s="2071" t="e">
        <f t="shared" si="6"/>
        <v>#REF!</v>
      </c>
      <c r="Y54" s="2071"/>
      <c r="Z54" s="2071" t="e">
        <f t="shared" si="1"/>
        <v>#REF!</v>
      </c>
      <c r="AA54" s="2071">
        <f t="shared" si="7"/>
        <v>955.53</v>
      </c>
      <c r="AB54" s="2071" t="e">
        <f t="shared" si="8"/>
        <v>#REF!</v>
      </c>
      <c r="AC54" s="2071"/>
      <c r="AD54" s="2071" t="e">
        <f t="shared" si="2"/>
        <v>#REF!</v>
      </c>
      <c r="AE54" s="2135"/>
      <c r="AF54" s="2135"/>
      <c r="AG54" s="2135"/>
      <c r="AH54" s="2135"/>
      <c r="AI54" s="2135"/>
      <c r="AJ54" s="2135"/>
      <c r="AK54" s="2135"/>
      <c r="AL54" s="2135"/>
      <c r="AM54" s="2135"/>
    </row>
    <row r="55" spans="1:39">
      <c r="A55" s="2074">
        <v>46</v>
      </c>
      <c r="B55" s="2068" t="s">
        <v>2333</v>
      </c>
      <c r="C55" s="2068" t="s">
        <v>2331</v>
      </c>
      <c r="D55" s="2071" t="s">
        <v>1268</v>
      </c>
      <c r="E55" s="2070">
        <v>16815.8</v>
      </c>
      <c r="F55" s="2071"/>
      <c r="G55" s="2070">
        <f t="shared" si="9"/>
        <v>16815.8</v>
      </c>
      <c r="H55" s="2071"/>
      <c r="I55" s="2067"/>
      <c r="J55" s="2067"/>
      <c r="K55" s="2071"/>
      <c r="L55" s="2068">
        <v>20</v>
      </c>
      <c r="M55" s="2068"/>
      <c r="N55" s="2735"/>
      <c r="O55" s="2760"/>
      <c r="P55" s="2719" t="e">
        <f>#REF!+#REF!+хозАДМ!#REF!+хозИНТ!P53</f>
        <v>#REF!</v>
      </c>
      <c r="Q55" s="2071">
        <f>ROUND(230*1.07,2)</f>
        <v>246.1</v>
      </c>
      <c r="R55" s="2071" t="e">
        <f t="shared" si="3"/>
        <v>#REF!</v>
      </c>
      <c r="S55" s="2071"/>
      <c r="T55" s="2071" t="e">
        <f t="shared" si="10"/>
        <v>#REF!</v>
      </c>
      <c r="U55" s="2135"/>
      <c r="V55" s="2135"/>
      <c r="W55" s="2071">
        <f t="shared" si="5"/>
        <v>263.33</v>
      </c>
      <c r="X55" s="2071" t="e">
        <f t="shared" si="6"/>
        <v>#REF!</v>
      </c>
      <c r="Y55" s="2071"/>
      <c r="Z55" s="2071" t="e">
        <f t="shared" si="1"/>
        <v>#REF!</v>
      </c>
      <c r="AA55" s="2071">
        <f t="shared" si="7"/>
        <v>281.76</v>
      </c>
      <c r="AB55" s="2071" t="e">
        <f t="shared" si="8"/>
        <v>#REF!</v>
      </c>
      <c r="AC55" s="2071"/>
      <c r="AD55" s="2071" t="e">
        <f t="shared" si="2"/>
        <v>#REF!</v>
      </c>
      <c r="AE55" s="2135"/>
      <c r="AF55" s="2135"/>
      <c r="AG55" s="2135"/>
      <c r="AH55" s="2135"/>
      <c r="AI55" s="2135"/>
      <c r="AJ55" s="2135"/>
      <c r="AK55" s="2135"/>
      <c r="AL55" s="2135"/>
      <c r="AM55" s="2135"/>
    </row>
    <row r="56" spans="1:39">
      <c r="A56" s="2074">
        <v>47</v>
      </c>
      <c r="B56" s="2068" t="s">
        <v>2333</v>
      </c>
      <c r="C56" s="2068" t="s">
        <v>2332</v>
      </c>
      <c r="D56" s="2071" t="s">
        <v>1268</v>
      </c>
      <c r="E56" s="2070">
        <v>16815.8</v>
      </c>
      <c r="F56" s="2071"/>
      <c r="G56" s="2070">
        <f t="shared" si="9"/>
        <v>16815.8</v>
      </c>
      <c r="H56" s="2071"/>
      <c r="I56" s="2067"/>
      <c r="J56" s="2067"/>
      <c r="K56" s="2071"/>
      <c r="L56" s="2068">
        <v>20</v>
      </c>
      <c r="M56" s="2071"/>
      <c r="N56" s="2735"/>
      <c r="O56" s="2760"/>
      <c r="P56" s="2719" t="e">
        <f>#REF!+#REF!+хозАДМ!#REF!+хозИНТ!P54</f>
        <v>#REF!</v>
      </c>
      <c r="Q56" s="2071">
        <f>ROUND(180*1.07,2)</f>
        <v>192.6</v>
      </c>
      <c r="R56" s="2071" t="e">
        <f t="shared" si="3"/>
        <v>#REF!</v>
      </c>
      <c r="S56" s="2071"/>
      <c r="T56" s="2071" t="e">
        <f t="shared" si="10"/>
        <v>#REF!</v>
      </c>
      <c r="U56" s="2135"/>
      <c r="V56" s="2135"/>
      <c r="W56" s="2071">
        <f t="shared" si="5"/>
        <v>206.08</v>
      </c>
      <c r="X56" s="2071" t="e">
        <f t="shared" si="6"/>
        <v>#REF!</v>
      </c>
      <c r="Y56" s="2071"/>
      <c r="Z56" s="2071" t="e">
        <f t="shared" si="1"/>
        <v>#REF!</v>
      </c>
      <c r="AA56" s="2071">
        <f t="shared" si="7"/>
        <v>220.51</v>
      </c>
      <c r="AB56" s="2071" t="e">
        <f t="shared" si="8"/>
        <v>#REF!</v>
      </c>
      <c r="AC56" s="2071"/>
      <c r="AD56" s="2071" t="e">
        <f t="shared" si="2"/>
        <v>#REF!</v>
      </c>
      <c r="AE56" s="2135"/>
      <c r="AF56" s="2135"/>
      <c r="AG56" s="2135"/>
      <c r="AH56" s="2135"/>
      <c r="AI56" s="2135"/>
      <c r="AJ56" s="2135"/>
      <c r="AK56" s="2135"/>
      <c r="AL56" s="2135"/>
      <c r="AM56" s="2135"/>
    </row>
    <row r="57" spans="1:39" s="2161" customFormat="1">
      <c r="A57" s="2743">
        <v>48</v>
      </c>
      <c r="B57" s="2744" t="s">
        <v>2334</v>
      </c>
      <c r="C57" s="2744" t="s">
        <v>2335</v>
      </c>
      <c r="D57" s="2745" t="s">
        <v>1268</v>
      </c>
      <c r="E57" s="2746">
        <v>16815.8</v>
      </c>
      <c r="F57" s="2745"/>
      <c r="G57" s="2746">
        <f t="shared" si="9"/>
        <v>16815.8</v>
      </c>
      <c r="H57" s="2745"/>
      <c r="I57" s="2747"/>
      <c r="J57" s="2747"/>
      <c r="K57" s="2745"/>
      <c r="L57" s="2744">
        <v>100</v>
      </c>
      <c r="M57" s="2745"/>
      <c r="N57" s="2745">
        <v>90</v>
      </c>
      <c r="O57" s="2761">
        <v>20</v>
      </c>
      <c r="P57" s="2745" t="e">
        <f>#REF!+#REF!+хозАДМ!#REF!+хозИНТ!P55</f>
        <v>#REF!</v>
      </c>
      <c r="Q57" s="2745">
        <f>ROUND(810*1.07,2)</f>
        <v>866.7</v>
      </c>
      <c r="R57" s="2745" t="e">
        <f t="shared" si="3"/>
        <v>#REF!</v>
      </c>
      <c r="S57" s="2745"/>
      <c r="T57" s="2745" t="e">
        <f t="shared" si="10"/>
        <v>#REF!</v>
      </c>
      <c r="U57" s="2148"/>
      <c r="V57" s="2148"/>
      <c r="W57" s="2745">
        <f t="shared" si="5"/>
        <v>927.37</v>
      </c>
      <c r="X57" s="2745" t="e">
        <f t="shared" si="6"/>
        <v>#REF!</v>
      </c>
      <c r="Y57" s="2745"/>
      <c r="Z57" s="2745" t="e">
        <f t="shared" si="1"/>
        <v>#REF!</v>
      </c>
      <c r="AA57" s="2745">
        <f t="shared" si="7"/>
        <v>992.29</v>
      </c>
      <c r="AB57" s="2745" t="e">
        <f t="shared" si="8"/>
        <v>#REF!</v>
      </c>
      <c r="AC57" s="2745"/>
      <c r="AD57" s="2745" t="e">
        <f t="shared" si="2"/>
        <v>#REF!</v>
      </c>
      <c r="AE57" s="2148"/>
      <c r="AF57" s="2148"/>
      <c r="AG57" s="2148"/>
      <c r="AH57" s="2148"/>
      <c r="AI57" s="2148"/>
      <c r="AJ57" s="2148"/>
      <c r="AK57" s="2148"/>
      <c r="AL57" s="2148"/>
      <c r="AM57" s="2148"/>
    </row>
    <row r="58" spans="1:39" s="2161" customFormat="1">
      <c r="A58" s="2743">
        <v>49</v>
      </c>
      <c r="B58" s="2744" t="s">
        <v>2336</v>
      </c>
      <c r="C58" s="2744" t="s">
        <v>2335</v>
      </c>
      <c r="D58" s="2745" t="s">
        <v>1268</v>
      </c>
      <c r="E58" s="2746">
        <v>16815.8</v>
      </c>
      <c r="F58" s="2745"/>
      <c r="G58" s="2746">
        <f t="shared" si="9"/>
        <v>16815.8</v>
      </c>
      <c r="H58" s="2745"/>
      <c r="I58" s="2747"/>
      <c r="J58" s="2747"/>
      <c r="K58" s="2745"/>
      <c r="L58" s="2744">
        <v>100</v>
      </c>
      <c r="M58" s="2744"/>
      <c r="N58" s="2745">
        <v>41</v>
      </c>
      <c r="O58" s="2761">
        <v>20</v>
      </c>
      <c r="P58" s="2745" t="e">
        <f>#REF!+#REF!+хозАДМ!P44+хозИНТ!P56</f>
        <v>#REF!</v>
      </c>
      <c r="Q58" s="2745">
        <f>ROUND(740*1.07,2)</f>
        <v>791.8</v>
      </c>
      <c r="R58" s="2745" t="e">
        <f t="shared" si="3"/>
        <v>#REF!</v>
      </c>
      <c r="S58" s="2745"/>
      <c r="T58" s="2745" t="e">
        <f t="shared" si="10"/>
        <v>#REF!</v>
      </c>
      <c r="U58" s="2148"/>
      <c r="V58" s="2148"/>
      <c r="W58" s="2745">
        <f t="shared" si="5"/>
        <v>847.23</v>
      </c>
      <c r="X58" s="2745" t="e">
        <f t="shared" si="6"/>
        <v>#REF!</v>
      </c>
      <c r="Y58" s="2745"/>
      <c r="Z58" s="2745" t="e">
        <f t="shared" si="1"/>
        <v>#REF!</v>
      </c>
      <c r="AA58" s="2745">
        <f t="shared" si="7"/>
        <v>906.54</v>
      </c>
      <c r="AB58" s="2745" t="e">
        <f t="shared" si="8"/>
        <v>#REF!</v>
      </c>
      <c r="AC58" s="2745"/>
      <c r="AD58" s="2745" t="e">
        <f t="shared" si="2"/>
        <v>#REF!</v>
      </c>
      <c r="AE58" s="2148"/>
      <c r="AF58" s="2148"/>
      <c r="AG58" s="2148"/>
      <c r="AH58" s="2148"/>
      <c r="AI58" s="2148"/>
      <c r="AJ58" s="2148"/>
      <c r="AK58" s="2148"/>
      <c r="AL58" s="2148"/>
      <c r="AM58" s="2148"/>
    </row>
    <row r="59" spans="1:39" s="2715" customFormat="1">
      <c r="A59" s="2074">
        <v>50</v>
      </c>
      <c r="B59" s="2723" t="s">
        <v>2337</v>
      </c>
      <c r="C59" s="2723" t="s">
        <v>2338</v>
      </c>
      <c r="D59" s="2719" t="s">
        <v>1268</v>
      </c>
      <c r="E59" s="2724">
        <v>16815.8</v>
      </c>
      <c r="F59" s="2719"/>
      <c r="G59" s="2724">
        <f t="shared" si="9"/>
        <v>16815.8</v>
      </c>
      <c r="H59" s="2719"/>
      <c r="I59" s="2725"/>
      <c r="J59" s="2725"/>
      <c r="K59" s="2719"/>
      <c r="L59" s="2723">
        <v>20</v>
      </c>
      <c r="M59" s="2723"/>
      <c r="N59" s="2735"/>
      <c r="O59" s="2762"/>
      <c r="P59" s="2719" t="e">
        <f>#REF!+#REF!+хозАДМ!P45+хозИНТ!P57</f>
        <v>#REF!</v>
      </c>
      <c r="Q59" s="2719">
        <f>ROUND(1400*1.07,2)</f>
        <v>1498</v>
      </c>
      <c r="R59" s="2719" t="e">
        <f t="shared" si="3"/>
        <v>#REF!</v>
      </c>
      <c r="S59" s="2719"/>
      <c r="T59" s="2719" t="e">
        <f t="shared" si="10"/>
        <v>#REF!</v>
      </c>
      <c r="U59" s="2721"/>
      <c r="V59" s="2721"/>
      <c r="W59" s="2719">
        <f t="shared" si="5"/>
        <v>1602.86</v>
      </c>
      <c r="X59" s="2719" t="e">
        <f t="shared" si="6"/>
        <v>#REF!</v>
      </c>
      <c r="Y59" s="2719"/>
      <c r="Z59" s="2719" t="e">
        <f t="shared" si="1"/>
        <v>#REF!</v>
      </c>
      <c r="AA59" s="2719">
        <f t="shared" si="7"/>
        <v>1715.06</v>
      </c>
      <c r="AB59" s="2719" t="e">
        <f t="shared" si="8"/>
        <v>#REF!</v>
      </c>
      <c r="AC59" s="2719"/>
      <c r="AD59" s="2719" t="e">
        <f t="shared" si="2"/>
        <v>#REF!</v>
      </c>
      <c r="AE59" s="2721"/>
      <c r="AF59" s="2721"/>
      <c r="AG59" s="2721"/>
      <c r="AH59" s="2721"/>
      <c r="AI59" s="2721"/>
      <c r="AJ59" s="2721"/>
      <c r="AK59" s="2721"/>
      <c r="AL59" s="2721"/>
      <c r="AM59" s="2721"/>
    </row>
    <row r="60" spans="1:39">
      <c r="A60" s="2074">
        <v>51</v>
      </c>
      <c r="B60" s="2068" t="s">
        <v>2339</v>
      </c>
      <c r="C60" s="2068" t="s">
        <v>2340</v>
      </c>
      <c r="D60" s="2071" t="s">
        <v>1268</v>
      </c>
      <c r="E60" s="2070">
        <v>16815.8</v>
      </c>
      <c r="F60" s="2067"/>
      <c r="G60" s="2070">
        <f t="shared" si="9"/>
        <v>16815.8</v>
      </c>
      <c r="H60" s="2067"/>
      <c r="I60" s="2067"/>
      <c r="J60" s="2067"/>
      <c r="K60" s="2067"/>
      <c r="L60" s="2068">
        <v>20</v>
      </c>
      <c r="M60" s="2068"/>
      <c r="N60" s="2734"/>
      <c r="O60" s="2759"/>
      <c r="P60" s="2719" t="e">
        <f>#REF!+#REF!+хозАДМ!P46+хозИНТ!P58</f>
        <v>#REF!</v>
      </c>
      <c r="Q60" s="2067">
        <f>ROUND(2160*1.07,2)</f>
        <v>2311.1999999999998</v>
      </c>
      <c r="R60" s="2071" t="e">
        <f t="shared" si="3"/>
        <v>#REF!</v>
      </c>
      <c r="S60" s="2071"/>
      <c r="T60" s="2071" t="e">
        <f t="shared" si="10"/>
        <v>#REF!</v>
      </c>
      <c r="U60" s="2135"/>
      <c r="V60" s="2135"/>
      <c r="W60" s="2071">
        <f t="shared" si="5"/>
        <v>2472.98</v>
      </c>
      <c r="X60" s="2071" t="e">
        <f t="shared" si="6"/>
        <v>#REF!</v>
      </c>
      <c r="Y60" s="2071"/>
      <c r="Z60" s="2071" t="e">
        <f t="shared" si="1"/>
        <v>#REF!</v>
      </c>
      <c r="AA60" s="2071">
        <f t="shared" si="7"/>
        <v>2646.09</v>
      </c>
      <c r="AB60" s="2071" t="e">
        <f t="shared" si="8"/>
        <v>#REF!</v>
      </c>
      <c r="AC60" s="2071"/>
      <c r="AD60" s="2071" t="e">
        <f t="shared" si="2"/>
        <v>#REF!</v>
      </c>
      <c r="AE60" s="2135"/>
      <c r="AF60" s="2135"/>
      <c r="AG60" s="2135"/>
      <c r="AH60" s="2135"/>
      <c r="AI60" s="2135"/>
      <c r="AJ60" s="2135"/>
      <c r="AK60" s="2135"/>
      <c r="AL60" s="2135"/>
      <c r="AM60" s="2135"/>
    </row>
    <row r="61" spans="1:39" ht="24">
      <c r="A61" s="2074">
        <v>52</v>
      </c>
      <c r="B61" s="2068" t="s">
        <v>2341</v>
      </c>
      <c r="C61" s="2068" t="s">
        <v>2342</v>
      </c>
      <c r="D61" s="2071" t="s">
        <v>1268</v>
      </c>
      <c r="E61" s="2070">
        <v>16815.8</v>
      </c>
      <c r="F61" s="2067"/>
      <c r="G61" s="2070">
        <f t="shared" si="9"/>
        <v>16815.8</v>
      </c>
      <c r="H61" s="2067"/>
      <c r="I61" s="2067"/>
      <c r="J61" s="2067"/>
      <c r="K61" s="2067"/>
      <c r="L61" s="2068">
        <v>30</v>
      </c>
      <c r="M61" s="2068"/>
      <c r="N61" s="2734"/>
      <c r="O61" s="2759"/>
      <c r="P61" s="2719" t="e">
        <f>#REF!+#REF!+хозАДМ!P47+хозИНТ!P59</f>
        <v>#REF!</v>
      </c>
      <c r="Q61" s="2071">
        <f>ROUND(3850*1.07,2)</f>
        <v>4119.5</v>
      </c>
      <c r="R61" s="2071" t="e">
        <f t="shared" si="3"/>
        <v>#REF!</v>
      </c>
      <c r="S61" s="2071"/>
      <c r="T61" s="2071" t="e">
        <f t="shared" si="10"/>
        <v>#REF!</v>
      </c>
      <c r="U61" s="2135"/>
      <c r="V61" s="2135"/>
      <c r="W61" s="2071">
        <f t="shared" si="5"/>
        <v>4407.87</v>
      </c>
      <c r="X61" s="2071" t="e">
        <f t="shared" si="6"/>
        <v>#REF!</v>
      </c>
      <c r="Y61" s="2071"/>
      <c r="Z61" s="2071" t="e">
        <f t="shared" si="1"/>
        <v>#REF!</v>
      </c>
      <c r="AA61" s="2071">
        <f t="shared" si="7"/>
        <v>4716.42</v>
      </c>
      <c r="AB61" s="2071" t="e">
        <f t="shared" si="8"/>
        <v>#REF!</v>
      </c>
      <c r="AC61" s="2071"/>
      <c r="AD61" s="2071" t="e">
        <f t="shared" si="2"/>
        <v>#REF!</v>
      </c>
      <c r="AE61" s="2135"/>
      <c r="AF61" s="2135"/>
      <c r="AG61" s="2135"/>
      <c r="AH61" s="2135"/>
      <c r="AI61" s="2135"/>
      <c r="AJ61" s="2135"/>
      <c r="AK61" s="2135"/>
      <c r="AL61" s="2135"/>
      <c r="AM61" s="2135"/>
    </row>
    <row r="62" spans="1:39">
      <c r="A62" s="2074">
        <v>53</v>
      </c>
      <c r="B62" s="2068" t="s">
        <v>2343</v>
      </c>
      <c r="C62" s="2068" t="s">
        <v>2344</v>
      </c>
      <c r="D62" s="2071" t="s">
        <v>1268</v>
      </c>
      <c r="E62" s="2070">
        <v>16815.8</v>
      </c>
      <c r="F62" s="2067"/>
      <c r="G62" s="2070">
        <f t="shared" si="9"/>
        <v>16815.8</v>
      </c>
      <c r="H62" s="2067"/>
      <c r="I62" s="2067"/>
      <c r="J62" s="2067"/>
      <c r="K62" s="2067"/>
      <c r="L62" s="2068">
        <v>30</v>
      </c>
      <c r="M62" s="2068"/>
      <c r="N62" s="2734"/>
      <c r="O62" s="2759"/>
      <c r="P62" s="2719" t="e">
        <f>#REF!+#REF!+хозАДМ!P48+хозИНТ!P60</f>
        <v>#REF!</v>
      </c>
      <c r="Q62" s="2067">
        <f>ROUND(5460*1.07,2)</f>
        <v>5842.2</v>
      </c>
      <c r="R62" s="2071" t="e">
        <f t="shared" si="3"/>
        <v>#REF!</v>
      </c>
      <c r="S62" s="2071"/>
      <c r="T62" s="2071" t="e">
        <f t="shared" si="10"/>
        <v>#REF!</v>
      </c>
      <c r="U62" s="2135"/>
      <c r="V62" s="2135"/>
      <c r="W62" s="2071">
        <f t="shared" si="5"/>
        <v>6251.15</v>
      </c>
      <c r="X62" s="2071" t="e">
        <f t="shared" si="6"/>
        <v>#REF!</v>
      </c>
      <c r="Y62" s="2071"/>
      <c r="Z62" s="2071" t="e">
        <f t="shared" si="1"/>
        <v>#REF!</v>
      </c>
      <c r="AA62" s="2071">
        <f t="shared" si="7"/>
        <v>6688.73</v>
      </c>
      <c r="AB62" s="2071" t="e">
        <f t="shared" si="8"/>
        <v>#REF!</v>
      </c>
      <c r="AC62" s="2071"/>
      <c r="AD62" s="2071" t="e">
        <f t="shared" si="2"/>
        <v>#REF!</v>
      </c>
      <c r="AE62" s="2135"/>
      <c r="AF62" s="2135"/>
      <c r="AG62" s="2135"/>
      <c r="AH62" s="2135"/>
      <c r="AI62" s="2135"/>
      <c r="AJ62" s="2135"/>
      <c r="AK62" s="2135"/>
      <c r="AL62" s="2135"/>
      <c r="AM62" s="2135"/>
    </row>
    <row r="63" spans="1:39" ht="36">
      <c r="A63" s="2074">
        <v>54</v>
      </c>
      <c r="B63" s="2068" t="s">
        <v>1927</v>
      </c>
      <c r="C63" s="2068" t="s">
        <v>2345</v>
      </c>
      <c r="D63" s="2071" t="s">
        <v>2295</v>
      </c>
      <c r="E63" s="2070">
        <v>16815.8</v>
      </c>
      <c r="F63" s="2067"/>
      <c r="G63" s="2070">
        <f t="shared" si="9"/>
        <v>16815.8</v>
      </c>
      <c r="H63" s="2067"/>
      <c r="I63" s="2067"/>
      <c r="J63" s="2067"/>
      <c r="K63" s="2067"/>
      <c r="L63" s="2068">
        <v>20</v>
      </c>
      <c r="M63" s="2068"/>
      <c r="N63" s="2734"/>
      <c r="O63" s="2759"/>
      <c r="P63" s="2719" t="e">
        <f>#REF!+#REF!+хозИНТ!P61</f>
        <v>#REF!</v>
      </c>
      <c r="Q63" s="2067">
        <f>ROUND(2592*1.07,2)</f>
        <v>2773.44</v>
      </c>
      <c r="R63" s="2071" t="e">
        <f t="shared" si="3"/>
        <v>#REF!</v>
      </c>
      <c r="S63" s="2071"/>
      <c r="T63" s="2071" t="e">
        <f t="shared" si="10"/>
        <v>#REF!</v>
      </c>
      <c r="U63" s="2135"/>
      <c r="V63" s="2135"/>
      <c r="W63" s="2071">
        <f t="shared" si="5"/>
        <v>2967.58</v>
      </c>
      <c r="X63" s="2071" t="e">
        <f t="shared" si="6"/>
        <v>#REF!</v>
      </c>
      <c r="Y63" s="2071"/>
      <c r="Z63" s="2071" t="e">
        <f t="shared" si="1"/>
        <v>#REF!</v>
      </c>
      <c r="AA63" s="2071">
        <f t="shared" si="7"/>
        <v>3175.31</v>
      </c>
      <c r="AB63" s="2071" t="e">
        <f t="shared" si="8"/>
        <v>#REF!</v>
      </c>
      <c r="AC63" s="2071"/>
      <c r="AD63" s="2071" t="e">
        <f t="shared" si="2"/>
        <v>#REF!</v>
      </c>
      <c r="AE63" s="2135"/>
      <c r="AF63" s="2135"/>
      <c r="AG63" s="2135"/>
      <c r="AH63" s="2135"/>
      <c r="AI63" s="2135"/>
      <c r="AJ63" s="2135"/>
      <c r="AK63" s="2135"/>
      <c r="AL63" s="2135"/>
      <c r="AM63" s="2135"/>
    </row>
    <row r="64" spans="1:39" ht="48">
      <c r="A64" s="2074">
        <v>55</v>
      </c>
      <c r="B64" s="2068" t="s">
        <v>2346</v>
      </c>
      <c r="C64" s="2068" t="s">
        <v>2347</v>
      </c>
      <c r="D64" s="2071" t="s">
        <v>1268</v>
      </c>
      <c r="E64" s="2070">
        <v>16815.8</v>
      </c>
      <c r="F64" s="2067"/>
      <c r="G64" s="2070">
        <f>24182.96*2</f>
        <v>48365.919999999998</v>
      </c>
      <c r="H64" s="2067"/>
      <c r="I64" s="2067"/>
      <c r="J64" s="2067"/>
      <c r="K64" s="2067"/>
      <c r="L64" s="2068">
        <v>4</v>
      </c>
      <c r="M64" s="2068"/>
      <c r="N64" s="2734"/>
      <c r="O64" s="2759"/>
      <c r="P64" s="2719" t="e">
        <f>#REF!+#REF!+хозИНТ!P61</f>
        <v>#REF!</v>
      </c>
      <c r="Q64" s="2067">
        <f>ROUND(6970*1.07,2)</f>
        <v>7457.9</v>
      </c>
      <c r="R64" s="2071" t="e">
        <f t="shared" si="3"/>
        <v>#REF!</v>
      </c>
      <c r="S64" s="2071"/>
      <c r="T64" s="2071" t="e">
        <f t="shared" si="10"/>
        <v>#REF!</v>
      </c>
      <c r="U64" s="2135"/>
      <c r="V64" s="2135"/>
      <c r="W64" s="2071">
        <f t="shared" si="5"/>
        <v>7979.95</v>
      </c>
      <c r="X64" s="2071" t="e">
        <f t="shared" si="6"/>
        <v>#REF!</v>
      </c>
      <c r="Y64" s="2071"/>
      <c r="Z64" s="2071" t="e">
        <f t="shared" si="1"/>
        <v>#REF!</v>
      </c>
      <c r="AA64" s="2071">
        <f t="shared" si="7"/>
        <v>8538.5499999999993</v>
      </c>
      <c r="AB64" s="2071" t="e">
        <f t="shared" si="8"/>
        <v>#REF!</v>
      </c>
      <c r="AC64" s="2071"/>
      <c r="AD64" s="2071" t="e">
        <f t="shared" si="2"/>
        <v>#REF!</v>
      </c>
      <c r="AE64" s="2135"/>
      <c r="AF64" s="2135"/>
      <c r="AG64" s="2135"/>
      <c r="AH64" s="2135"/>
      <c r="AI64" s="2135"/>
      <c r="AJ64" s="2135"/>
      <c r="AK64" s="2135"/>
      <c r="AL64" s="2135"/>
      <c r="AM64" s="2135"/>
    </row>
    <row r="65" spans="1:39" s="2161" customFormat="1" ht="24">
      <c r="A65" s="2743">
        <v>56</v>
      </c>
      <c r="B65" s="2744" t="s">
        <v>2348</v>
      </c>
      <c r="C65" s="2744" t="s">
        <v>2349</v>
      </c>
      <c r="D65" s="2745" t="s">
        <v>1268</v>
      </c>
      <c r="E65" s="2746">
        <v>16815.8</v>
      </c>
      <c r="F65" s="2747"/>
      <c r="G65" s="2746">
        <f t="shared" ref="G65:G97" si="11">E65</f>
        <v>16815.8</v>
      </c>
      <c r="H65" s="2747"/>
      <c r="I65" s="2747"/>
      <c r="J65" s="2747"/>
      <c r="K65" s="2747"/>
      <c r="L65" s="2744">
        <v>5</v>
      </c>
      <c r="M65" s="2744"/>
      <c r="N65" s="2747">
        <v>13</v>
      </c>
      <c r="O65" s="2758">
        <v>0</v>
      </c>
      <c r="P65" s="2745" t="e">
        <f>#REF!+#REF!+хозИНТ!P63</f>
        <v>#REF!</v>
      </c>
      <c r="Q65" s="2747">
        <f>ROUND(8694*1.07,2)</f>
        <v>9302.58</v>
      </c>
      <c r="R65" s="2745" t="e">
        <f t="shared" si="3"/>
        <v>#REF!</v>
      </c>
      <c r="S65" s="2745"/>
      <c r="T65" s="2745" t="e">
        <f t="shared" si="10"/>
        <v>#REF!</v>
      </c>
      <c r="U65" s="2148"/>
      <c r="V65" s="2148"/>
      <c r="W65" s="2745">
        <f t="shared" si="5"/>
        <v>9953.76</v>
      </c>
      <c r="X65" s="2745" t="e">
        <f t="shared" si="6"/>
        <v>#REF!</v>
      </c>
      <c r="Y65" s="2745"/>
      <c r="Z65" s="2745" t="e">
        <f t="shared" si="1"/>
        <v>#REF!</v>
      </c>
      <c r="AA65" s="2745">
        <f t="shared" si="7"/>
        <v>10650.52</v>
      </c>
      <c r="AB65" s="2745" t="e">
        <f t="shared" si="8"/>
        <v>#REF!</v>
      </c>
      <c r="AC65" s="2745"/>
      <c r="AD65" s="2745" t="e">
        <f t="shared" si="2"/>
        <v>#REF!</v>
      </c>
      <c r="AE65" s="2148"/>
      <c r="AF65" s="2148"/>
      <c r="AG65" s="2148"/>
      <c r="AH65" s="2148"/>
      <c r="AI65" s="2148"/>
      <c r="AJ65" s="2148"/>
      <c r="AK65" s="2148"/>
      <c r="AL65" s="2148"/>
      <c r="AM65" s="2148"/>
    </row>
    <row r="66" spans="1:39" s="2161" customFormat="1" ht="36">
      <c r="A66" s="2743">
        <v>57</v>
      </c>
      <c r="B66" s="2744" t="s">
        <v>1353</v>
      </c>
      <c r="C66" s="2744" t="s">
        <v>1354</v>
      </c>
      <c r="D66" s="2745" t="s">
        <v>1022</v>
      </c>
      <c r="E66" s="2746">
        <v>16815.8</v>
      </c>
      <c r="F66" s="2747"/>
      <c r="G66" s="2746">
        <f t="shared" si="11"/>
        <v>16815.8</v>
      </c>
      <c r="H66" s="2747"/>
      <c r="I66" s="2747"/>
      <c r="J66" s="2747"/>
      <c r="K66" s="2747"/>
      <c r="L66" s="2744">
        <v>30</v>
      </c>
      <c r="M66" s="2744"/>
      <c r="N66" s="2747">
        <v>31</v>
      </c>
      <c r="O66" s="2758">
        <v>10</v>
      </c>
      <c r="P66" s="2745" t="e">
        <f>#REF!+#REF!+хозАДМ!P49+хозИНТ!P64</f>
        <v>#REF!</v>
      </c>
      <c r="Q66" s="2747">
        <f>ROUND(1980*1.07,2)</f>
        <v>2118.6</v>
      </c>
      <c r="R66" s="2745" t="e">
        <f t="shared" si="3"/>
        <v>#REF!</v>
      </c>
      <c r="S66" s="2745"/>
      <c r="T66" s="2745" t="e">
        <f t="shared" si="10"/>
        <v>#REF!</v>
      </c>
      <c r="U66" s="2148"/>
      <c r="V66" s="2148"/>
      <c r="W66" s="2745">
        <f t="shared" si="5"/>
        <v>2266.9</v>
      </c>
      <c r="X66" s="2745" t="e">
        <f t="shared" si="6"/>
        <v>#REF!</v>
      </c>
      <c r="Y66" s="2745"/>
      <c r="Z66" s="2745" t="e">
        <f t="shared" si="1"/>
        <v>#REF!</v>
      </c>
      <c r="AA66" s="2745">
        <f t="shared" si="7"/>
        <v>2425.58</v>
      </c>
      <c r="AB66" s="2745" t="e">
        <f t="shared" si="8"/>
        <v>#REF!</v>
      </c>
      <c r="AC66" s="2745"/>
      <c r="AD66" s="2745" t="e">
        <f t="shared" si="2"/>
        <v>#REF!</v>
      </c>
      <c r="AE66" s="2148"/>
      <c r="AF66" s="2148"/>
      <c r="AG66" s="2148"/>
      <c r="AH66" s="2148"/>
      <c r="AI66" s="2148"/>
      <c r="AJ66" s="2148"/>
      <c r="AK66" s="2148"/>
      <c r="AL66" s="2148"/>
      <c r="AM66" s="2148"/>
    </row>
    <row r="67" spans="1:39" s="2161" customFormat="1">
      <c r="A67" s="2743">
        <v>58</v>
      </c>
      <c r="B67" s="2744" t="s">
        <v>2350</v>
      </c>
      <c r="C67" s="2744" t="s">
        <v>2351</v>
      </c>
      <c r="D67" s="2745" t="s">
        <v>1268</v>
      </c>
      <c r="E67" s="2746">
        <v>16815.8</v>
      </c>
      <c r="F67" s="2747"/>
      <c r="G67" s="2746">
        <f t="shared" si="11"/>
        <v>16815.8</v>
      </c>
      <c r="H67" s="2747"/>
      <c r="I67" s="2747"/>
      <c r="J67" s="2747"/>
      <c r="K67" s="2747"/>
      <c r="L67" s="2744">
        <v>30</v>
      </c>
      <c r="M67" s="2744"/>
      <c r="N67" s="2747"/>
      <c r="O67" s="2758">
        <v>18</v>
      </c>
      <c r="P67" s="2745" t="e">
        <f>#REF!+#REF!+хозИНТ!P65</f>
        <v>#REF!</v>
      </c>
      <c r="Q67" s="2745">
        <f>ROUND(610*1.07,2)</f>
        <v>652.70000000000005</v>
      </c>
      <c r="R67" s="2745" t="e">
        <f t="shared" si="3"/>
        <v>#REF!</v>
      </c>
      <c r="S67" s="2745"/>
      <c r="T67" s="2745" t="e">
        <f t="shared" si="10"/>
        <v>#REF!</v>
      </c>
      <c r="U67" s="2148"/>
      <c r="V67" s="2148"/>
      <c r="W67" s="2745">
        <f t="shared" si="5"/>
        <v>698.39</v>
      </c>
      <c r="X67" s="2745" t="e">
        <f t="shared" si="6"/>
        <v>#REF!</v>
      </c>
      <c r="Y67" s="2745"/>
      <c r="Z67" s="2745" t="e">
        <f t="shared" si="1"/>
        <v>#REF!</v>
      </c>
      <c r="AA67" s="2745">
        <f t="shared" si="7"/>
        <v>747.28</v>
      </c>
      <c r="AB67" s="2745" t="e">
        <f t="shared" si="8"/>
        <v>#REF!</v>
      </c>
      <c r="AC67" s="2745"/>
      <c r="AD67" s="2745" t="e">
        <f t="shared" si="2"/>
        <v>#REF!</v>
      </c>
      <c r="AE67" s="2148"/>
      <c r="AF67" s="2148"/>
      <c r="AG67" s="2148"/>
      <c r="AH67" s="2148"/>
      <c r="AI67" s="2148"/>
      <c r="AJ67" s="2148"/>
      <c r="AK67" s="2148"/>
      <c r="AL67" s="2148"/>
      <c r="AM67" s="2148"/>
    </row>
    <row r="68" spans="1:39" s="2161" customFormat="1">
      <c r="A68" s="2743">
        <v>59</v>
      </c>
      <c r="B68" s="2744" t="s">
        <v>2350</v>
      </c>
      <c r="C68" s="2744" t="s">
        <v>2352</v>
      </c>
      <c r="D68" s="2745" t="s">
        <v>1268</v>
      </c>
      <c r="E68" s="2746">
        <v>16815.8</v>
      </c>
      <c r="F68" s="2745"/>
      <c r="G68" s="2746">
        <f t="shared" si="11"/>
        <v>16815.8</v>
      </c>
      <c r="H68" s="2745"/>
      <c r="I68" s="2747"/>
      <c r="J68" s="2747"/>
      <c r="K68" s="2745"/>
      <c r="L68" s="2744">
        <v>30</v>
      </c>
      <c r="M68" s="2744"/>
      <c r="N68" s="2745"/>
      <c r="O68" s="2761">
        <v>18</v>
      </c>
      <c r="P68" s="2745" t="e">
        <f>#REF!+#REF!+хозИНТ!P66</f>
        <v>#REF!</v>
      </c>
      <c r="Q68" s="2745">
        <f>ROUND(702*1.07,2)</f>
        <v>751.14</v>
      </c>
      <c r="R68" s="2745" t="e">
        <f t="shared" si="3"/>
        <v>#REF!</v>
      </c>
      <c r="S68" s="2745"/>
      <c r="T68" s="2745" t="e">
        <f t="shared" si="10"/>
        <v>#REF!</v>
      </c>
      <c r="U68" s="2148"/>
      <c r="V68" s="2148"/>
      <c r="W68" s="2745">
        <f t="shared" si="5"/>
        <v>803.72</v>
      </c>
      <c r="X68" s="2745" t="e">
        <f t="shared" si="6"/>
        <v>#REF!</v>
      </c>
      <c r="Y68" s="2745"/>
      <c r="Z68" s="2745" t="e">
        <f t="shared" si="1"/>
        <v>#REF!</v>
      </c>
      <c r="AA68" s="2745">
        <f t="shared" si="7"/>
        <v>859.98</v>
      </c>
      <c r="AB68" s="2745" t="e">
        <f t="shared" si="8"/>
        <v>#REF!</v>
      </c>
      <c r="AC68" s="2745"/>
      <c r="AD68" s="2745" t="e">
        <f t="shared" si="2"/>
        <v>#REF!</v>
      </c>
      <c r="AE68" s="2148"/>
      <c r="AF68" s="2148"/>
      <c r="AG68" s="2148"/>
      <c r="AH68" s="2148"/>
      <c r="AI68" s="2148"/>
      <c r="AJ68" s="2148"/>
      <c r="AK68" s="2148"/>
      <c r="AL68" s="2148"/>
      <c r="AM68" s="2148"/>
    </row>
    <row r="69" spans="1:39" s="2161" customFormat="1">
      <c r="A69" s="2743">
        <v>60</v>
      </c>
      <c r="B69" s="2744" t="s">
        <v>2350</v>
      </c>
      <c r="C69" s="2744" t="s">
        <v>2353</v>
      </c>
      <c r="D69" s="2745" t="s">
        <v>1268</v>
      </c>
      <c r="E69" s="2746">
        <v>16815.8</v>
      </c>
      <c r="F69" s="2745"/>
      <c r="G69" s="2746">
        <f t="shared" si="11"/>
        <v>16815.8</v>
      </c>
      <c r="H69" s="2745"/>
      <c r="I69" s="2747"/>
      <c r="J69" s="2747"/>
      <c r="K69" s="2745"/>
      <c r="L69" s="2744">
        <v>20</v>
      </c>
      <c r="M69" s="2745"/>
      <c r="N69" s="2745"/>
      <c r="O69" s="2761">
        <v>12</v>
      </c>
      <c r="P69" s="2745" t="e">
        <f>#REF!+#REF!+хозИНТ!P67</f>
        <v>#REF!</v>
      </c>
      <c r="Q69" s="2745">
        <f>ROUND(756*1.07,2)</f>
        <v>808.92</v>
      </c>
      <c r="R69" s="2745" t="e">
        <f t="shared" si="3"/>
        <v>#REF!</v>
      </c>
      <c r="S69" s="2745"/>
      <c r="T69" s="2745" t="e">
        <f t="shared" si="10"/>
        <v>#REF!</v>
      </c>
      <c r="U69" s="2148"/>
      <c r="V69" s="2148"/>
      <c r="W69" s="2745">
        <f t="shared" si="5"/>
        <v>865.54</v>
      </c>
      <c r="X69" s="2745" t="e">
        <f t="shared" si="6"/>
        <v>#REF!</v>
      </c>
      <c r="Y69" s="2745"/>
      <c r="Z69" s="2745" t="e">
        <f t="shared" si="1"/>
        <v>#REF!</v>
      </c>
      <c r="AA69" s="2745">
        <f t="shared" si="7"/>
        <v>926.13</v>
      </c>
      <c r="AB69" s="2745" t="e">
        <f t="shared" si="8"/>
        <v>#REF!</v>
      </c>
      <c r="AC69" s="2745"/>
      <c r="AD69" s="2745" t="e">
        <f t="shared" si="2"/>
        <v>#REF!</v>
      </c>
      <c r="AE69" s="2148"/>
      <c r="AF69" s="2148"/>
      <c r="AG69" s="2148"/>
      <c r="AH69" s="2148"/>
      <c r="AI69" s="2148"/>
      <c r="AJ69" s="2148"/>
      <c r="AK69" s="2148"/>
      <c r="AL69" s="2148"/>
      <c r="AM69" s="2148"/>
    </row>
    <row r="70" spans="1:39" s="2161" customFormat="1">
      <c r="A70" s="2743">
        <v>61</v>
      </c>
      <c r="B70" s="2744" t="s">
        <v>2350</v>
      </c>
      <c r="C70" s="2744" t="s">
        <v>2354</v>
      </c>
      <c r="D70" s="2745" t="s">
        <v>1268</v>
      </c>
      <c r="E70" s="2746">
        <v>16815.8</v>
      </c>
      <c r="F70" s="2745"/>
      <c r="G70" s="2746">
        <f t="shared" si="11"/>
        <v>16815.8</v>
      </c>
      <c r="H70" s="2745"/>
      <c r="I70" s="2747"/>
      <c r="J70" s="2747"/>
      <c r="K70" s="2745"/>
      <c r="L70" s="2744">
        <v>20</v>
      </c>
      <c r="M70" s="2744"/>
      <c r="N70" s="2745"/>
      <c r="O70" s="2761">
        <v>12</v>
      </c>
      <c r="P70" s="2745" t="e">
        <f>#REF!+#REF!+хозИНТ!P68</f>
        <v>#REF!</v>
      </c>
      <c r="Q70" s="2745">
        <f>ROUND(830*1.07,2)</f>
        <v>888.1</v>
      </c>
      <c r="R70" s="2745" t="e">
        <f t="shared" si="3"/>
        <v>#REF!</v>
      </c>
      <c r="S70" s="2745"/>
      <c r="T70" s="2745" t="e">
        <f t="shared" si="10"/>
        <v>#REF!</v>
      </c>
      <c r="U70" s="2148"/>
      <c r="V70" s="2148"/>
      <c r="W70" s="2745">
        <f t="shared" si="5"/>
        <v>950.27</v>
      </c>
      <c r="X70" s="2745" t="e">
        <f t="shared" si="6"/>
        <v>#REF!</v>
      </c>
      <c r="Y70" s="2745"/>
      <c r="Z70" s="2745" t="e">
        <f t="shared" si="1"/>
        <v>#REF!</v>
      </c>
      <c r="AA70" s="2745">
        <f t="shared" si="7"/>
        <v>1016.79</v>
      </c>
      <c r="AB70" s="2745" t="e">
        <f t="shared" si="8"/>
        <v>#REF!</v>
      </c>
      <c r="AC70" s="2745"/>
      <c r="AD70" s="2745" t="e">
        <f t="shared" si="2"/>
        <v>#REF!</v>
      </c>
      <c r="AE70" s="2148"/>
      <c r="AF70" s="2148"/>
      <c r="AG70" s="2148"/>
      <c r="AH70" s="2148"/>
      <c r="AI70" s="2148"/>
      <c r="AJ70" s="2148"/>
      <c r="AK70" s="2148"/>
      <c r="AL70" s="2148"/>
      <c r="AM70" s="2148"/>
    </row>
    <row r="71" spans="1:39" s="2161" customFormat="1">
      <c r="A71" s="2743">
        <v>62</v>
      </c>
      <c r="B71" s="2744" t="s">
        <v>2350</v>
      </c>
      <c r="C71" s="2744" t="s">
        <v>2355</v>
      </c>
      <c r="D71" s="2745" t="s">
        <v>1268</v>
      </c>
      <c r="E71" s="2746">
        <v>16815.8</v>
      </c>
      <c r="F71" s="2745"/>
      <c r="G71" s="2746">
        <f t="shared" si="11"/>
        <v>16815.8</v>
      </c>
      <c r="H71" s="2745"/>
      <c r="I71" s="2747"/>
      <c r="J71" s="2747"/>
      <c r="K71" s="2745"/>
      <c r="L71" s="2744">
        <v>20</v>
      </c>
      <c r="M71" s="2744"/>
      <c r="N71" s="2745"/>
      <c r="O71" s="2761">
        <v>12</v>
      </c>
      <c r="P71" s="2745" t="e">
        <f>#REF!+#REF!+хозИНТ!P69</f>
        <v>#REF!</v>
      </c>
      <c r="Q71" s="2745">
        <f>ROUND(989*1.07,2)</f>
        <v>1058.23</v>
      </c>
      <c r="R71" s="2745" t="e">
        <f t="shared" si="3"/>
        <v>#REF!</v>
      </c>
      <c r="S71" s="2745"/>
      <c r="T71" s="2745" t="e">
        <f t="shared" si="10"/>
        <v>#REF!</v>
      </c>
      <c r="U71" s="2148"/>
      <c r="V71" s="2148"/>
      <c r="W71" s="2745">
        <f t="shared" si="5"/>
        <v>1132.31</v>
      </c>
      <c r="X71" s="2745" t="e">
        <f t="shared" si="6"/>
        <v>#REF!</v>
      </c>
      <c r="Y71" s="2745"/>
      <c r="Z71" s="2745" t="e">
        <f t="shared" si="1"/>
        <v>#REF!</v>
      </c>
      <c r="AA71" s="2745">
        <f t="shared" si="7"/>
        <v>1211.57</v>
      </c>
      <c r="AB71" s="2745" t="e">
        <f t="shared" si="8"/>
        <v>#REF!</v>
      </c>
      <c r="AC71" s="2745"/>
      <c r="AD71" s="2745" t="e">
        <f t="shared" si="2"/>
        <v>#REF!</v>
      </c>
      <c r="AE71" s="2148"/>
      <c r="AF71" s="2148"/>
      <c r="AG71" s="2148"/>
      <c r="AH71" s="2148"/>
      <c r="AI71" s="2148"/>
      <c r="AJ71" s="2148"/>
      <c r="AK71" s="2148"/>
      <c r="AL71" s="2148"/>
      <c r="AM71" s="2148"/>
    </row>
    <row r="72" spans="1:39" s="2161" customFormat="1">
      <c r="A72" s="2743">
        <v>63</v>
      </c>
      <c r="B72" s="2744" t="s">
        <v>2356</v>
      </c>
      <c r="C72" s="2744" t="s">
        <v>2357</v>
      </c>
      <c r="D72" s="2745" t="s">
        <v>1268</v>
      </c>
      <c r="E72" s="2746">
        <v>16815.8</v>
      </c>
      <c r="F72" s="2745"/>
      <c r="G72" s="2746">
        <f t="shared" si="11"/>
        <v>16815.8</v>
      </c>
      <c r="H72" s="2745"/>
      <c r="I72" s="2747"/>
      <c r="J72" s="2747"/>
      <c r="K72" s="2745"/>
      <c r="L72" s="2744">
        <v>30</v>
      </c>
      <c r="M72" s="2744"/>
      <c r="N72" s="2745"/>
      <c r="O72" s="2761">
        <v>18</v>
      </c>
      <c r="P72" s="2745" t="e">
        <f>#REF!+#REF!+хозИНТ!P70</f>
        <v>#REF!</v>
      </c>
      <c r="Q72" s="2745">
        <f>ROUND(513*1.07,2)</f>
        <v>548.91</v>
      </c>
      <c r="R72" s="2745" t="e">
        <f t="shared" si="3"/>
        <v>#REF!</v>
      </c>
      <c r="S72" s="2745"/>
      <c r="T72" s="2745" t="e">
        <f t="shared" si="10"/>
        <v>#REF!</v>
      </c>
      <c r="U72" s="2148"/>
      <c r="V72" s="2148"/>
      <c r="W72" s="2745">
        <f t="shared" si="5"/>
        <v>587.33000000000004</v>
      </c>
      <c r="X72" s="2745" t="e">
        <f t="shared" si="6"/>
        <v>#REF!</v>
      </c>
      <c r="Y72" s="2745"/>
      <c r="Z72" s="2745" t="e">
        <f t="shared" si="1"/>
        <v>#REF!</v>
      </c>
      <c r="AA72" s="2745">
        <f t="shared" si="7"/>
        <v>628.44000000000005</v>
      </c>
      <c r="AB72" s="2745" t="e">
        <f t="shared" si="8"/>
        <v>#REF!</v>
      </c>
      <c r="AC72" s="2745"/>
      <c r="AD72" s="2745" t="e">
        <f t="shared" si="2"/>
        <v>#REF!</v>
      </c>
      <c r="AE72" s="2148"/>
      <c r="AF72" s="2148"/>
      <c r="AG72" s="2148"/>
      <c r="AH72" s="2148"/>
      <c r="AI72" s="2148"/>
      <c r="AJ72" s="2148"/>
      <c r="AK72" s="2148"/>
      <c r="AL72" s="2148"/>
      <c r="AM72" s="2148"/>
    </row>
    <row r="73" spans="1:39" s="2161" customFormat="1">
      <c r="A73" s="2743">
        <v>64</v>
      </c>
      <c r="B73" s="2744" t="s">
        <v>2356</v>
      </c>
      <c r="C73" s="2744" t="s">
        <v>2358</v>
      </c>
      <c r="D73" s="2745" t="s">
        <v>1268</v>
      </c>
      <c r="E73" s="2746">
        <v>16815.8</v>
      </c>
      <c r="F73" s="2745"/>
      <c r="G73" s="2746">
        <f t="shared" si="11"/>
        <v>16815.8</v>
      </c>
      <c r="H73" s="2745"/>
      <c r="I73" s="2747"/>
      <c r="J73" s="2747"/>
      <c r="K73" s="2745"/>
      <c r="L73" s="2744">
        <v>30</v>
      </c>
      <c r="M73" s="2744"/>
      <c r="N73" s="2745"/>
      <c r="O73" s="2761">
        <v>18</v>
      </c>
      <c r="P73" s="2745" t="e">
        <f>#REF!+#REF!+хозИНТ!P71</f>
        <v>#REF!</v>
      </c>
      <c r="Q73" s="2745">
        <f>ROUND(567*1.07,2)</f>
        <v>606.69000000000005</v>
      </c>
      <c r="R73" s="2745" t="e">
        <f t="shared" si="3"/>
        <v>#REF!</v>
      </c>
      <c r="S73" s="2745"/>
      <c r="T73" s="2745" t="e">
        <f t="shared" si="10"/>
        <v>#REF!</v>
      </c>
      <c r="U73" s="2148"/>
      <c r="V73" s="2148"/>
      <c r="W73" s="2745">
        <f t="shared" si="5"/>
        <v>649.16</v>
      </c>
      <c r="X73" s="2745" t="e">
        <f t="shared" si="6"/>
        <v>#REF!</v>
      </c>
      <c r="Y73" s="2745"/>
      <c r="Z73" s="2745" t="e">
        <f t="shared" si="1"/>
        <v>#REF!</v>
      </c>
      <c r="AA73" s="2745">
        <f t="shared" si="7"/>
        <v>694.6</v>
      </c>
      <c r="AB73" s="2745" t="e">
        <f t="shared" si="8"/>
        <v>#REF!</v>
      </c>
      <c r="AC73" s="2745"/>
      <c r="AD73" s="2745" t="e">
        <f t="shared" si="2"/>
        <v>#REF!</v>
      </c>
      <c r="AE73" s="2148"/>
      <c r="AF73" s="2148"/>
      <c r="AG73" s="2148"/>
      <c r="AH73" s="2148"/>
      <c r="AI73" s="2148"/>
      <c r="AJ73" s="2148"/>
      <c r="AK73" s="2148"/>
      <c r="AL73" s="2148"/>
      <c r="AM73" s="2148"/>
    </row>
    <row r="74" spans="1:39" s="2161" customFormat="1">
      <c r="A74" s="2743">
        <v>65</v>
      </c>
      <c r="B74" s="2744" t="s">
        <v>2356</v>
      </c>
      <c r="C74" s="2744" t="s">
        <v>2359</v>
      </c>
      <c r="D74" s="2745" t="s">
        <v>1268</v>
      </c>
      <c r="E74" s="2746">
        <v>16815.8</v>
      </c>
      <c r="F74" s="2747"/>
      <c r="G74" s="2746">
        <f t="shared" si="11"/>
        <v>16815.8</v>
      </c>
      <c r="H74" s="2747"/>
      <c r="I74" s="2747"/>
      <c r="J74" s="2747"/>
      <c r="K74" s="2747"/>
      <c r="L74" s="2744">
        <v>20</v>
      </c>
      <c r="M74" s="2744"/>
      <c r="N74" s="2747"/>
      <c r="O74" s="2758">
        <v>12</v>
      </c>
      <c r="P74" s="2745" t="e">
        <f>#REF!+#REF!+хозИНТ!P72</f>
        <v>#REF!</v>
      </c>
      <c r="Q74" s="2745">
        <f>ROUND(610*1.07,2)</f>
        <v>652.70000000000005</v>
      </c>
      <c r="R74" s="2745" t="e">
        <f t="shared" si="3"/>
        <v>#REF!</v>
      </c>
      <c r="S74" s="2745"/>
      <c r="T74" s="2745" t="e">
        <f t="shared" ref="T74:T106" si="12">R74-S74</f>
        <v>#REF!</v>
      </c>
      <c r="U74" s="2148"/>
      <c r="V74" s="2148"/>
      <c r="W74" s="2745">
        <f t="shared" si="5"/>
        <v>698.39</v>
      </c>
      <c r="X74" s="2745" t="e">
        <f t="shared" si="6"/>
        <v>#REF!</v>
      </c>
      <c r="Y74" s="2745"/>
      <c r="Z74" s="2745" t="e">
        <f t="shared" ref="Z74:Z138" si="13">X74-Y74</f>
        <v>#REF!</v>
      </c>
      <c r="AA74" s="2745">
        <f t="shared" si="7"/>
        <v>747.28</v>
      </c>
      <c r="AB74" s="2745" t="e">
        <f t="shared" si="8"/>
        <v>#REF!</v>
      </c>
      <c r="AC74" s="2745"/>
      <c r="AD74" s="2745" t="e">
        <f t="shared" ref="AD74:AD138" si="14">AB74-AC74</f>
        <v>#REF!</v>
      </c>
      <c r="AE74" s="2148"/>
      <c r="AF74" s="2148"/>
      <c r="AG74" s="2148"/>
      <c r="AH74" s="2148"/>
      <c r="AI74" s="2148"/>
      <c r="AJ74" s="2148"/>
      <c r="AK74" s="2148"/>
      <c r="AL74" s="2148"/>
      <c r="AM74" s="2148"/>
    </row>
    <row r="75" spans="1:39" s="2161" customFormat="1">
      <c r="A75" s="2743">
        <v>66</v>
      </c>
      <c r="B75" s="2744" t="s">
        <v>2356</v>
      </c>
      <c r="C75" s="2744" t="s">
        <v>2360</v>
      </c>
      <c r="D75" s="2745" t="s">
        <v>1268</v>
      </c>
      <c r="E75" s="2746">
        <v>16815.8</v>
      </c>
      <c r="F75" s="2747"/>
      <c r="G75" s="2746">
        <f t="shared" si="11"/>
        <v>16815.8</v>
      </c>
      <c r="H75" s="2747"/>
      <c r="I75" s="2747"/>
      <c r="J75" s="2747"/>
      <c r="K75" s="2747"/>
      <c r="L75" s="2744">
        <v>20</v>
      </c>
      <c r="M75" s="2744"/>
      <c r="N75" s="2747"/>
      <c r="O75" s="2758">
        <v>12</v>
      </c>
      <c r="P75" s="2745" t="e">
        <f>#REF!+#REF!+хозИНТ!P73</f>
        <v>#REF!</v>
      </c>
      <c r="Q75" s="2745">
        <f>ROUND(702*1.07,2)</f>
        <v>751.14</v>
      </c>
      <c r="R75" s="2745" t="e">
        <f t="shared" ref="R75:R139" si="15">ROUND(P75*Q75,0)</f>
        <v>#REF!</v>
      </c>
      <c r="S75" s="2745"/>
      <c r="T75" s="2745" t="e">
        <f t="shared" si="12"/>
        <v>#REF!</v>
      </c>
      <c r="U75" s="2148"/>
      <c r="V75" s="2148"/>
      <c r="W75" s="2745">
        <f t="shared" ref="W75:W139" si="16">ROUND(Q75*1.07,2)</f>
        <v>803.72</v>
      </c>
      <c r="X75" s="2745" t="e">
        <f t="shared" ref="X75:X139" si="17">ROUND(P75*W75,0)</f>
        <v>#REF!</v>
      </c>
      <c r="Y75" s="2745"/>
      <c r="Z75" s="2745" t="e">
        <f t="shared" si="13"/>
        <v>#REF!</v>
      </c>
      <c r="AA75" s="2745">
        <f t="shared" ref="AA75:AA139" si="18">ROUND(W75*1.07,2)</f>
        <v>859.98</v>
      </c>
      <c r="AB75" s="2745" t="e">
        <f t="shared" ref="AB75:AB139" si="19">ROUND(P75*AA75,0)</f>
        <v>#REF!</v>
      </c>
      <c r="AC75" s="2745"/>
      <c r="AD75" s="2745" t="e">
        <f t="shared" si="14"/>
        <v>#REF!</v>
      </c>
      <c r="AE75" s="2148"/>
      <c r="AF75" s="2148"/>
      <c r="AG75" s="2148"/>
      <c r="AH75" s="2148"/>
      <c r="AI75" s="2148"/>
      <c r="AJ75" s="2148"/>
      <c r="AK75" s="2148"/>
      <c r="AL75" s="2148"/>
      <c r="AM75" s="2148"/>
    </row>
    <row r="76" spans="1:39" s="2161" customFormat="1">
      <c r="A76" s="2743">
        <v>67</v>
      </c>
      <c r="B76" s="2744" t="s">
        <v>2356</v>
      </c>
      <c r="C76" s="2744" t="s">
        <v>2361</v>
      </c>
      <c r="D76" s="2745" t="s">
        <v>1268</v>
      </c>
      <c r="E76" s="2746">
        <v>16815.8</v>
      </c>
      <c r="F76" s="2747"/>
      <c r="G76" s="2746">
        <f t="shared" si="11"/>
        <v>16815.8</v>
      </c>
      <c r="H76" s="2747"/>
      <c r="I76" s="2747"/>
      <c r="J76" s="2747"/>
      <c r="K76" s="2747"/>
      <c r="L76" s="2744">
        <v>20</v>
      </c>
      <c r="M76" s="2744"/>
      <c r="N76" s="2747"/>
      <c r="O76" s="2758">
        <v>12</v>
      </c>
      <c r="P76" s="2745" t="e">
        <f>#REF!+#REF!+хозИНТ!P74</f>
        <v>#REF!</v>
      </c>
      <c r="Q76" s="2745">
        <f>ROUND(810*1.07,2)</f>
        <v>866.7</v>
      </c>
      <c r="R76" s="2745" t="e">
        <f t="shared" si="15"/>
        <v>#REF!</v>
      </c>
      <c r="S76" s="2745"/>
      <c r="T76" s="2745" t="e">
        <f t="shared" si="12"/>
        <v>#REF!</v>
      </c>
      <c r="U76" s="2148"/>
      <c r="V76" s="2148"/>
      <c r="W76" s="2745">
        <f t="shared" si="16"/>
        <v>927.37</v>
      </c>
      <c r="X76" s="2745" t="e">
        <f t="shared" si="17"/>
        <v>#REF!</v>
      </c>
      <c r="Y76" s="2745"/>
      <c r="Z76" s="2745" t="e">
        <f t="shared" si="13"/>
        <v>#REF!</v>
      </c>
      <c r="AA76" s="2745">
        <f t="shared" si="18"/>
        <v>992.29</v>
      </c>
      <c r="AB76" s="2745" t="e">
        <f t="shared" si="19"/>
        <v>#REF!</v>
      </c>
      <c r="AC76" s="2745"/>
      <c r="AD76" s="2745" t="e">
        <f t="shared" si="14"/>
        <v>#REF!</v>
      </c>
      <c r="AE76" s="2148"/>
      <c r="AF76" s="2148"/>
      <c r="AG76" s="2148"/>
      <c r="AH76" s="2148"/>
      <c r="AI76" s="2148"/>
      <c r="AJ76" s="2148"/>
      <c r="AK76" s="2148"/>
      <c r="AL76" s="2148"/>
      <c r="AM76" s="2148"/>
    </row>
    <row r="77" spans="1:39" s="2161" customFormat="1">
      <c r="A77" s="2743">
        <v>68</v>
      </c>
      <c r="B77" s="2744" t="s">
        <v>2362</v>
      </c>
      <c r="C77" s="2744" t="s">
        <v>2363</v>
      </c>
      <c r="D77" s="2745" t="s">
        <v>1268</v>
      </c>
      <c r="E77" s="2746">
        <v>16815.8</v>
      </c>
      <c r="F77" s="2747"/>
      <c r="G77" s="2746">
        <f t="shared" si="11"/>
        <v>16815.8</v>
      </c>
      <c r="H77" s="2747"/>
      <c r="I77" s="2747"/>
      <c r="J77" s="2747"/>
      <c r="K77" s="2747"/>
      <c r="L77" s="2744">
        <v>30</v>
      </c>
      <c r="M77" s="2744"/>
      <c r="N77" s="2747"/>
      <c r="O77" s="2758">
        <v>18</v>
      </c>
      <c r="P77" s="2745" t="e">
        <f>#REF!+#REF!+хозИНТ!P75</f>
        <v>#REF!</v>
      </c>
      <c r="Q77" s="2745">
        <f>ROUND(280*1.07,2)</f>
        <v>299.60000000000002</v>
      </c>
      <c r="R77" s="2745" t="e">
        <f t="shared" si="15"/>
        <v>#REF!</v>
      </c>
      <c r="S77" s="2745"/>
      <c r="T77" s="2745" t="e">
        <f t="shared" si="12"/>
        <v>#REF!</v>
      </c>
      <c r="U77" s="2148"/>
      <c r="V77" s="2148"/>
      <c r="W77" s="2745">
        <f t="shared" si="16"/>
        <v>320.57</v>
      </c>
      <c r="X77" s="2745" t="e">
        <f t="shared" si="17"/>
        <v>#REF!</v>
      </c>
      <c r="Y77" s="2745"/>
      <c r="Z77" s="2745" t="e">
        <f t="shared" si="13"/>
        <v>#REF!</v>
      </c>
      <c r="AA77" s="2745">
        <f t="shared" si="18"/>
        <v>343.01</v>
      </c>
      <c r="AB77" s="2745" t="e">
        <f t="shared" si="19"/>
        <v>#REF!</v>
      </c>
      <c r="AC77" s="2745"/>
      <c r="AD77" s="2745" t="e">
        <f t="shared" si="14"/>
        <v>#REF!</v>
      </c>
      <c r="AE77" s="2148"/>
      <c r="AF77" s="2148"/>
      <c r="AG77" s="2148"/>
      <c r="AH77" s="2148"/>
      <c r="AI77" s="2148"/>
      <c r="AJ77" s="2148"/>
      <c r="AK77" s="2148"/>
      <c r="AL77" s="2148"/>
      <c r="AM77" s="2148"/>
    </row>
    <row r="78" spans="1:39" s="2161" customFormat="1">
      <c r="A78" s="2743">
        <v>69</v>
      </c>
      <c r="B78" s="2744" t="s">
        <v>2362</v>
      </c>
      <c r="C78" s="2744" t="s">
        <v>2364</v>
      </c>
      <c r="D78" s="2745" t="s">
        <v>1268</v>
      </c>
      <c r="E78" s="2746">
        <v>16815.8</v>
      </c>
      <c r="F78" s="2745"/>
      <c r="G78" s="2746">
        <f t="shared" si="11"/>
        <v>16815.8</v>
      </c>
      <c r="H78" s="2745"/>
      <c r="I78" s="2747"/>
      <c r="J78" s="2747"/>
      <c r="K78" s="2745"/>
      <c r="L78" s="2744">
        <v>30</v>
      </c>
      <c r="M78" s="2744"/>
      <c r="N78" s="2745"/>
      <c r="O78" s="2761">
        <v>18</v>
      </c>
      <c r="P78" s="2745" t="e">
        <f>#REF!+#REF!+хозИНТ!P76</f>
        <v>#REF!</v>
      </c>
      <c r="Q78" s="2745">
        <f>ROUND(333*1.07,2)</f>
        <v>356.31</v>
      </c>
      <c r="R78" s="2745" t="e">
        <f t="shared" si="15"/>
        <v>#REF!</v>
      </c>
      <c r="S78" s="2745"/>
      <c r="T78" s="2745" t="e">
        <f t="shared" si="12"/>
        <v>#REF!</v>
      </c>
      <c r="U78" s="2148"/>
      <c r="V78" s="2148"/>
      <c r="W78" s="2745">
        <f t="shared" si="16"/>
        <v>381.25</v>
      </c>
      <c r="X78" s="2745" t="e">
        <f t="shared" si="17"/>
        <v>#REF!</v>
      </c>
      <c r="Y78" s="2745"/>
      <c r="Z78" s="2745" t="e">
        <f t="shared" si="13"/>
        <v>#REF!</v>
      </c>
      <c r="AA78" s="2745">
        <f t="shared" si="18"/>
        <v>407.94</v>
      </c>
      <c r="AB78" s="2745" t="e">
        <f t="shared" si="19"/>
        <v>#REF!</v>
      </c>
      <c r="AC78" s="2745"/>
      <c r="AD78" s="2745" t="e">
        <f t="shared" si="14"/>
        <v>#REF!</v>
      </c>
      <c r="AE78" s="2148"/>
      <c r="AF78" s="2148"/>
      <c r="AG78" s="2148"/>
      <c r="AH78" s="2148"/>
      <c r="AI78" s="2148"/>
      <c r="AJ78" s="2148"/>
      <c r="AK78" s="2148"/>
      <c r="AL78" s="2148"/>
      <c r="AM78" s="2148"/>
    </row>
    <row r="79" spans="1:39" s="2161" customFormat="1">
      <c r="A79" s="2743">
        <v>70</v>
      </c>
      <c r="B79" s="2744" t="s">
        <v>2362</v>
      </c>
      <c r="C79" s="2744" t="s">
        <v>2365</v>
      </c>
      <c r="D79" s="2745" t="s">
        <v>1268</v>
      </c>
      <c r="E79" s="2746">
        <v>16815.8</v>
      </c>
      <c r="F79" s="2745"/>
      <c r="G79" s="2746">
        <f t="shared" si="11"/>
        <v>16815.8</v>
      </c>
      <c r="H79" s="2745"/>
      <c r="I79" s="2747"/>
      <c r="J79" s="2747"/>
      <c r="K79" s="2745"/>
      <c r="L79" s="2744">
        <v>20</v>
      </c>
      <c r="M79" s="2744"/>
      <c r="N79" s="2745"/>
      <c r="O79" s="2761">
        <v>12</v>
      </c>
      <c r="P79" s="2745" t="e">
        <f>#REF!+#REF!+хозИНТ!P77</f>
        <v>#REF!</v>
      </c>
      <c r="Q79" s="2745">
        <f>ROUND(378*1.07,2)</f>
        <v>404.46</v>
      </c>
      <c r="R79" s="2745" t="e">
        <f t="shared" si="15"/>
        <v>#REF!</v>
      </c>
      <c r="S79" s="2745"/>
      <c r="T79" s="2745" t="e">
        <f t="shared" si="12"/>
        <v>#REF!</v>
      </c>
      <c r="U79" s="2148"/>
      <c r="V79" s="2148"/>
      <c r="W79" s="2745">
        <f t="shared" si="16"/>
        <v>432.77</v>
      </c>
      <c r="X79" s="2745" t="e">
        <f t="shared" si="17"/>
        <v>#REF!</v>
      </c>
      <c r="Y79" s="2745"/>
      <c r="Z79" s="2745" t="e">
        <f t="shared" si="13"/>
        <v>#REF!</v>
      </c>
      <c r="AA79" s="2745">
        <f t="shared" si="18"/>
        <v>463.06</v>
      </c>
      <c r="AB79" s="2745" t="e">
        <f t="shared" si="19"/>
        <v>#REF!</v>
      </c>
      <c r="AC79" s="2745"/>
      <c r="AD79" s="2745" t="e">
        <f t="shared" si="14"/>
        <v>#REF!</v>
      </c>
      <c r="AE79" s="2148"/>
      <c r="AF79" s="2148"/>
      <c r="AG79" s="2148"/>
      <c r="AH79" s="2148"/>
      <c r="AI79" s="2148"/>
      <c r="AJ79" s="2148"/>
      <c r="AK79" s="2148"/>
      <c r="AL79" s="2148"/>
      <c r="AM79" s="2148"/>
    </row>
    <row r="80" spans="1:39" s="2161" customFormat="1">
      <c r="A80" s="2743">
        <v>71</v>
      </c>
      <c r="B80" s="2744" t="s">
        <v>2362</v>
      </c>
      <c r="C80" s="2744" t="s">
        <v>2366</v>
      </c>
      <c r="D80" s="2745" t="s">
        <v>1268</v>
      </c>
      <c r="E80" s="2746">
        <v>16815.8</v>
      </c>
      <c r="F80" s="2745"/>
      <c r="G80" s="2746">
        <f t="shared" si="11"/>
        <v>16815.8</v>
      </c>
      <c r="H80" s="2745"/>
      <c r="I80" s="2747"/>
      <c r="J80" s="2747"/>
      <c r="K80" s="2745"/>
      <c r="L80" s="2744">
        <v>20</v>
      </c>
      <c r="M80" s="2744"/>
      <c r="N80" s="2745"/>
      <c r="O80" s="2761">
        <v>12</v>
      </c>
      <c r="P80" s="2745" t="e">
        <f>#REF!+#REF!+хозИНТ!P78</f>
        <v>#REF!</v>
      </c>
      <c r="Q80" s="2745">
        <f>ROUND(430*1.07,2)</f>
        <v>460.1</v>
      </c>
      <c r="R80" s="2745" t="e">
        <f t="shared" si="15"/>
        <v>#REF!</v>
      </c>
      <c r="S80" s="2745"/>
      <c r="T80" s="2745" t="e">
        <f t="shared" si="12"/>
        <v>#REF!</v>
      </c>
      <c r="U80" s="2148"/>
      <c r="V80" s="2148"/>
      <c r="W80" s="2745">
        <f t="shared" si="16"/>
        <v>492.31</v>
      </c>
      <c r="X80" s="2745" t="e">
        <f t="shared" si="17"/>
        <v>#REF!</v>
      </c>
      <c r="Y80" s="2745"/>
      <c r="Z80" s="2745" t="e">
        <f t="shared" si="13"/>
        <v>#REF!</v>
      </c>
      <c r="AA80" s="2745">
        <f t="shared" si="18"/>
        <v>526.77</v>
      </c>
      <c r="AB80" s="2745" t="e">
        <f t="shared" si="19"/>
        <v>#REF!</v>
      </c>
      <c r="AC80" s="2745"/>
      <c r="AD80" s="2745" t="e">
        <f t="shared" si="14"/>
        <v>#REF!</v>
      </c>
      <c r="AE80" s="2148"/>
      <c r="AF80" s="2148"/>
      <c r="AG80" s="2148"/>
      <c r="AH80" s="2148"/>
      <c r="AI80" s="2148"/>
      <c r="AJ80" s="2148"/>
      <c r="AK80" s="2148"/>
      <c r="AL80" s="2148"/>
      <c r="AM80" s="2148"/>
    </row>
    <row r="81" spans="1:39" s="2161" customFormat="1">
      <c r="A81" s="2743">
        <v>72</v>
      </c>
      <c r="B81" s="2744" t="s">
        <v>2362</v>
      </c>
      <c r="C81" s="2744" t="s">
        <v>2367</v>
      </c>
      <c r="D81" s="2745" t="s">
        <v>1268</v>
      </c>
      <c r="E81" s="2746">
        <v>16815.8</v>
      </c>
      <c r="F81" s="2745"/>
      <c r="G81" s="2746">
        <f t="shared" si="11"/>
        <v>16815.8</v>
      </c>
      <c r="H81" s="2745"/>
      <c r="I81" s="2747"/>
      <c r="J81" s="2747"/>
      <c r="K81" s="2745"/>
      <c r="L81" s="2744">
        <v>20</v>
      </c>
      <c r="M81" s="2744"/>
      <c r="N81" s="2745"/>
      <c r="O81" s="2761">
        <v>12</v>
      </c>
      <c r="P81" s="2745" t="e">
        <f>#REF!+#REF!+хозИНТ!P79</f>
        <v>#REF!</v>
      </c>
      <c r="Q81" s="2745">
        <f>ROUND(480*1.07,2)</f>
        <v>513.6</v>
      </c>
      <c r="R81" s="2745" t="e">
        <f t="shared" si="15"/>
        <v>#REF!</v>
      </c>
      <c r="S81" s="2745"/>
      <c r="T81" s="2745" t="e">
        <f t="shared" si="12"/>
        <v>#REF!</v>
      </c>
      <c r="U81" s="2148"/>
      <c r="V81" s="2148"/>
      <c r="W81" s="2745">
        <f t="shared" si="16"/>
        <v>549.54999999999995</v>
      </c>
      <c r="X81" s="2745" t="e">
        <f t="shared" si="17"/>
        <v>#REF!</v>
      </c>
      <c r="Y81" s="2745"/>
      <c r="Z81" s="2745" t="e">
        <f t="shared" si="13"/>
        <v>#REF!</v>
      </c>
      <c r="AA81" s="2745">
        <f t="shared" si="18"/>
        <v>588.02</v>
      </c>
      <c r="AB81" s="2745" t="e">
        <f t="shared" si="19"/>
        <v>#REF!</v>
      </c>
      <c r="AC81" s="2745"/>
      <c r="AD81" s="2745" t="e">
        <f t="shared" si="14"/>
        <v>#REF!</v>
      </c>
      <c r="AE81" s="2148"/>
      <c r="AF81" s="2148"/>
      <c r="AG81" s="2148"/>
      <c r="AH81" s="2148"/>
      <c r="AI81" s="2148"/>
      <c r="AJ81" s="2148"/>
      <c r="AK81" s="2148"/>
      <c r="AL81" s="2148"/>
      <c r="AM81" s="2148"/>
    </row>
    <row r="82" spans="1:39" s="2161" customFormat="1">
      <c r="A82" s="2743">
        <v>73</v>
      </c>
      <c r="B82" s="2744" t="s">
        <v>2368</v>
      </c>
      <c r="C82" s="2744" t="s">
        <v>2369</v>
      </c>
      <c r="D82" s="2745" t="s">
        <v>1268</v>
      </c>
      <c r="E82" s="2746">
        <v>16815.8</v>
      </c>
      <c r="F82" s="2745"/>
      <c r="G82" s="2746">
        <f t="shared" si="11"/>
        <v>16815.8</v>
      </c>
      <c r="H82" s="2747"/>
      <c r="I82" s="2747"/>
      <c r="J82" s="2747"/>
      <c r="K82" s="2747"/>
      <c r="L82" s="2744">
        <v>30</v>
      </c>
      <c r="M82" s="2744"/>
      <c r="N82" s="2747"/>
      <c r="O82" s="2758">
        <v>18</v>
      </c>
      <c r="P82" s="2745" t="e">
        <f>#REF!+#REF!+хозИНТ!P80</f>
        <v>#REF!</v>
      </c>
      <c r="Q82" s="2747">
        <f>ROUND(260*1.07,2)</f>
        <v>278.2</v>
      </c>
      <c r="R82" s="2745" t="e">
        <f t="shared" si="15"/>
        <v>#REF!</v>
      </c>
      <c r="S82" s="2745"/>
      <c r="T82" s="2745" t="e">
        <f t="shared" si="12"/>
        <v>#REF!</v>
      </c>
      <c r="U82" s="2148"/>
      <c r="V82" s="2148"/>
      <c r="W82" s="2745">
        <f t="shared" si="16"/>
        <v>297.67</v>
      </c>
      <c r="X82" s="2745" t="e">
        <f t="shared" si="17"/>
        <v>#REF!</v>
      </c>
      <c r="Y82" s="2745"/>
      <c r="Z82" s="2745" t="e">
        <f t="shared" si="13"/>
        <v>#REF!</v>
      </c>
      <c r="AA82" s="2745">
        <f t="shared" si="18"/>
        <v>318.51</v>
      </c>
      <c r="AB82" s="2745" t="e">
        <f t="shared" si="19"/>
        <v>#REF!</v>
      </c>
      <c r="AC82" s="2745"/>
      <c r="AD82" s="2745" t="e">
        <f t="shared" si="14"/>
        <v>#REF!</v>
      </c>
      <c r="AE82" s="2148"/>
      <c r="AF82" s="2148"/>
      <c r="AG82" s="2148"/>
      <c r="AH82" s="2148"/>
      <c r="AI82" s="2148"/>
      <c r="AJ82" s="2148"/>
      <c r="AK82" s="2148"/>
      <c r="AL82" s="2148"/>
      <c r="AM82" s="2148"/>
    </row>
    <row r="83" spans="1:39" s="2161" customFormat="1">
      <c r="A83" s="2743">
        <v>74</v>
      </c>
      <c r="B83" s="2744" t="s">
        <v>2368</v>
      </c>
      <c r="C83" s="2744" t="s">
        <v>2370</v>
      </c>
      <c r="D83" s="2745" t="s">
        <v>1268</v>
      </c>
      <c r="E83" s="2746">
        <v>16815.8</v>
      </c>
      <c r="F83" s="2745"/>
      <c r="G83" s="2746">
        <f t="shared" si="11"/>
        <v>16815.8</v>
      </c>
      <c r="H83" s="2745"/>
      <c r="I83" s="2747"/>
      <c r="J83" s="2747"/>
      <c r="K83" s="2745"/>
      <c r="L83" s="2744">
        <v>30</v>
      </c>
      <c r="M83" s="2744"/>
      <c r="N83" s="2745"/>
      <c r="O83" s="2761">
        <v>18</v>
      </c>
      <c r="P83" s="2745" t="e">
        <f>#REF!+#REF!+хозИНТ!P81</f>
        <v>#REF!</v>
      </c>
      <c r="Q83" s="2745">
        <f>ROUND(290*1.07,2)</f>
        <v>310.3</v>
      </c>
      <c r="R83" s="2745" t="e">
        <f t="shared" si="15"/>
        <v>#REF!</v>
      </c>
      <c r="S83" s="2745"/>
      <c r="T83" s="2745" t="e">
        <f t="shared" si="12"/>
        <v>#REF!</v>
      </c>
      <c r="U83" s="2148"/>
      <c r="V83" s="2148"/>
      <c r="W83" s="2745">
        <f t="shared" si="16"/>
        <v>332.02</v>
      </c>
      <c r="X83" s="2745" t="e">
        <f t="shared" si="17"/>
        <v>#REF!</v>
      </c>
      <c r="Y83" s="2745"/>
      <c r="Z83" s="2745" t="e">
        <f t="shared" si="13"/>
        <v>#REF!</v>
      </c>
      <c r="AA83" s="2745">
        <f t="shared" si="18"/>
        <v>355.26</v>
      </c>
      <c r="AB83" s="2745" t="e">
        <f t="shared" si="19"/>
        <v>#REF!</v>
      </c>
      <c r="AC83" s="2745"/>
      <c r="AD83" s="2745" t="e">
        <f t="shared" si="14"/>
        <v>#REF!</v>
      </c>
      <c r="AE83" s="2148"/>
      <c r="AF83" s="2148"/>
      <c r="AG83" s="2148"/>
      <c r="AH83" s="2148"/>
      <c r="AI83" s="2148"/>
      <c r="AJ83" s="2148"/>
      <c r="AK83" s="2148"/>
      <c r="AL83" s="2148"/>
      <c r="AM83" s="2148"/>
    </row>
    <row r="84" spans="1:39" s="2161" customFormat="1">
      <c r="A84" s="2743">
        <v>75</v>
      </c>
      <c r="B84" s="2744" t="s">
        <v>2368</v>
      </c>
      <c r="C84" s="2744" t="s">
        <v>2371</v>
      </c>
      <c r="D84" s="2745" t="s">
        <v>1268</v>
      </c>
      <c r="E84" s="2746">
        <v>16815.8</v>
      </c>
      <c r="F84" s="2745"/>
      <c r="G84" s="2746">
        <f t="shared" si="11"/>
        <v>16815.8</v>
      </c>
      <c r="H84" s="2745"/>
      <c r="I84" s="2747"/>
      <c r="J84" s="2747"/>
      <c r="K84" s="2745"/>
      <c r="L84" s="2744">
        <v>20</v>
      </c>
      <c r="M84" s="2744"/>
      <c r="N84" s="2745"/>
      <c r="O84" s="2761">
        <v>12</v>
      </c>
      <c r="P84" s="2745" t="e">
        <f>#REF!+#REF!+хозИНТ!P82</f>
        <v>#REF!</v>
      </c>
      <c r="Q84" s="2745">
        <f>ROUND(305*1.07,2)</f>
        <v>326.35000000000002</v>
      </c>
      <c r="R84" s="2745" t="e">
        <f t="shared" si="15"/>
        <v>#REF!</v>
      </c>
      <c r="S84" s="2745"/>
      <c r="T84" s="2745" t="e">
        <f t="shared" si="12"/>
        <v>#REF!</v>
      </c>
      <c r="U84" s="2148"/>
      <c r="V84" s="2148"/>
      <c r="W84" s="2745">
        <f t="shared" si="16"/>
        <v>349.19</v>
      </c>
      <c r="X84" s="2745" t="e">
        <f t="shared" si="17"/>
        <v>#REF!</v>
      </c>
      <c r="Y84" s="2745"/>
      <c r="Z84" s="2745" t="e">
        <f t="shared" si="13"/>
        <v>#REF!</v>
      </c>
      <c r="AA84" s="2745">
        <f t="shared" si="18"/>
        <v>373.63</v>
      </c>
      <c r="AB84" s="2745" t="e">
        <f t="shared" si="19"/>
        <v>#REF!</v>
      </c>
      <c r="AC84" s="2745"/>
      <c r="AD84" s="2745" t="e">
        <f t="shared" si="14"/>
        <v>#REF!</v>
      </c>
      <c r="AE84" s="2148"/>
      <c r="AF84" s="2148"/>
      <c r="AG84" s="2148"/>
      <c r="AH84" s="2148"/>
      <c r="AI84" s="2148"/>
      <c r="AJ84" s="2148"/>
      <c r="AK84" s="2148"/>
      <c r="AL84" s="2148"/>
      <c r="AM84" s="2148"/>
    </row>
    <row r="85" spans="1:39" s="2161" customFormat="1">
      <c r="A85" s="2743">
        <v>76</v>
      </c>
      <c r="B85" s="2744" t="s">
        <v>2368</v>
      </c>
      <c r="C85" s="2744" t="s">
        <v>2372</v>
      </c>
      <c r="D85" s="2745" t="s">
        <v>1268</v>
      </c>
      <c r="E85" s="2746">
        <v>16815.8</v>
      </c>
      <c r="F85" s="2745"/>
      <c r="G85" s="2746">
        <f t="shared" si="11"/>
        <v>16815.8</v>
      </c>
      <c r="H85" s="2745"/>
      <c r="I85" s="2747"/>
      <c r="J85" s="2747"/>
      <c r="K85" s="2745"/>
      <c r="L85" s="2744">
        <v>20</v>
      </c>
      <c r="M85" s="2744"/>
      <c r="N85" s="2745"/>
      <c r="O85" s="2761">
        <v>12</v>
      </c>
      <c r="P85" s="2745" t="e">
        <f>#REF!+#REF!+хозИНТ!P83</f>
        <v>#REF!</v>
      </c>
      <c r="Q85" s="2745">
        <f>ROUND(310*1.07,2)</f>
        <v>331.7</v>
      </c>
      <c r="R85" s="2745" t="e">
        <f t="shared" si="15"/>
        <v>#REF!</v>
      </c>
      <c r="S85" s="2745"/>
      <c r="T85" s="2745" t="e">
        <f t="shared" si="12"/>
        <v>#REF!</v>
      </c>
      <c r="U85" s="2148"/>
      <c r="V85" s="2148"/>
      <c r="W85" s="2745">
        <f t="shared" si="16"/>
        <v>354.92</v>
      </c>
      <c r="X85" s="2745" t="e">
        <f t="shared" si="17"/>
        <v>#REF!</v>
      </c>
      <c r="Y85" s="2745"/>
      <c r="Z85" s="2745" t="e">
        <f t="shared" si="13"/>
        <v>#REF!</v>
      </c>
      <c r="AA85" s="2745">
        <f t="shared" si="18"/>
        <v>379.76</v>
      </c>
      <c r="AB85" s="2745" t="e">
        <f t="shared" si="19"/>
        <v>#REF!</v>
      </c>
      <c r="AC85" s="2745"/>
      <c r="AD85" s="2745" t="e">
        <f t="shared" si="14"/>
        <v>#REF!</v>
      </c>
      <c r="AE85" s="2148"/>
      <c r="AF85" s="2148"/>
      <c r="AG85" s="2148"/>
      <c r="AH85" s="2148"/>
      <c r="AI85" s="2148"/>
      <c r="AJ85" s="2148"/>
      <c r="AK85" s="2148"/>
      <c r="AL85" s="2148"/>
      <c r="AM85" s="2148"/>
    </row>
    <row r="86" spans="1:39" s="2161" customFormat="1">
      <c r="A86" s="2743">
        <v>77</v>
      </c>
      <c r="B86" s="2744" t="s">
        <v>2368</v>
      </c>
      <c r="C86" s="2744" t="s">
        <v>2373</v>
      </c>
      <c r="D86" s="2745" t="s">
        <v>1268</v>
      </c>
      <c r="E86" s="2746">
        <v>16815.8</v>
      </c>
      <c r="F86" s="2745"/>
      <c r="G86" s="2746">
        <f t="shared" si="11"/>
        <v>16815.8</v>
      </c>
      <c r="H86" s="2745"/>
      <c r="I86" s="2747"/>
      <c r="J86" s="2747"/>
      <c r="K86" s="2745"/>
      <c r="L86" s="2744">
        <v>20</v>
      </c>
      <c r="M86" s="2745"/>
      <c r="N86" s="2745"/>
      <c r="O86" s="2761">
        <v>12</v>
      </c>
      <c r="P86" s="2745" t="e">
        <f>#REF!+#REF!+хозИНТ!P84</f>
        <v>#REF!</v>
      </c>
      <c r="Q86" s="2745">
        <f>ROUND(370*1.07,2)</f>
        <v>395.9</v>
      </c>
      <c r="R86" s="2745" t="e">
        <f t="shared" si="15"/>
        <v>#REF!</v>
      </c>
      <c r="S86" s="2745"/>
      <c r="T86" s="2745" t="e">
        <f t="shared" si="12"/>
        <v>#REF!</v>
      </c>
      <c r="U86" s="2148"/>
      <c r="V86" s="2148"/>
      <c r="W86" s="2745">
        <f t="shared" si="16"/>
        <v>423.61</v>
      </c>
      <c r="X86" s="2745" t="e">
        <f t="shared" si="17"/>
        <v>#REF!</v>
      </c>
      <c r="Y86" s="2745"/>
      <c r="Z86" s="2745" t="e">
        <f t="shared" si="13"/>
        <v>#REF!</v>
      </c>
      <c r="AA86" s="2745">
        <f t="shared" si="18"/>
        <v>453.26</v>
      </c>
      <c r="AB86" s="2745" t="e">
        <f t="shared" si="19"/>
        <v>#REF!</v>
      </c>
      <c r="AC86" s="2745"/>
      <c r="AD86" s="2745" t="e">
        <f t="shared" si="14"/>
        <v>#REF!</v>
      </c>
      <c r="AE86" s="2148"/>
      <c r="AF86" s="2148"/>
      <c r="AG86" s="2148"/>
      <c r="AH86" s="2148"/>
      <c r="AI86" s="2148"/>
      <c r="AJ86" s="2148"/>
      <c r="AK86" s="2148"/>
      <c r="AL86" s="2148"/>
      <c r="AM86" s="2148"/>
    </row>
    <row r="87" spans="1:39" ht="24">
      <c r="A87" s="2074">
        <v>78</v>
      </c>
      <c r="B87" s="2068" t="s">
        <v>1983</v>
      </c>
      <c r="C87" s="2068" t="s">
        <v>2374</v>
      </c>
      <c r="D87" s="2071" t="s">
        <v>1525</v>
      </c>
      <c r="E87" s="2070">
        <v>16815.8</v>
      </c>
      <c r="F87" s="2071"/>
      <c r="G87" s="2070">
        <f t="shared" si="11"/>
        <v>16815.8</v>
      </c>
      <c r="H87" s="2071"/>
      <c r="I87" s="2067"/>
      <c r="J87" s="2067"/>
      <c r="K87" s="2071"/>
      <c r="L87" s="2068">
        <v>1</v>
      </c>
      <c r="M87" s="2068"/>
      <c r="N87" s="2735"/>
      <c r="O87" s="2760"/>
      <c r="P87" s="2719" t="e">
        <f>#REF!+#REF!+хозИНТ!P85+хозАДМ!P50</f>
        <v>#REF!</v>
      </c>
      <c r="Q87" s="2071">
        <f>ROUND(36000*1.07,2)</f>
        <v>38520</v>
      </c>
      <c r="R87" s="2071" t="e">
        <f t="shared" si="15"/>
        <v>#REF!</v>
      </c>
      <c r="S87" s="2071"/>
      <c r="T87" s="2071" t="e">
        <f t="shared" si="12"/>
        <v>#REF!</v>
      </c>
      <c r="U87" s="2135"/>
      <c r="V87" s="2135"/>
      <c r="W87" s="2071">
        <f t="shared" si="16"/>
        <v>41216.400000000001</v>
      </c>
      <c r="X87" s="2071" t="e">
        <f t="shared" si="17"/>
        <v>#REF!</v>
      </c>
      <c r="Y87" s="2071"/>
      <c r="Z87" s="2071" t="e">
        <f t="shared" si="13"/>
        <v>#REF!</v>
      </c>
      <c r="AA87" s="2071">
        <f t="shared" si="18"/>
        <v>44101.55</v>
      </c>
      <c r="AB87" s="2071" t="e">
        <f t="shared" si="19"/>
        <v>#REF!</v>
      </c>
      <c r="AC87" s="2071"/>
      <c r="AD87" s="2071" t="e">
        <f t="shared" si="14"/>
        <v>#REF!</v>
      </c>
      <c r="AE87" s="2135"/>
      <c r="AF87" s="2135"/>
      <c r="AG87" s="2135"/>
      <c r="AH87" s="2135"/>
      <c r="AI87" s="2135"/>
      <c r="AJ87" s="2135"/>
      <c r="AK87" s="2135"/>
      <c r="AL87" s="2135"/>
      <c r="AM87" s="2135"/>
    </row>
    <row r="88" spans="1:39" ht="36">
      <c r="A88" s="2074">
        <v>79</v>
      </c>
      <c r="B88" s="2068" t="s">
        <v>2375</v>
      </c>
      <c r="C88" s="2068" t="s">
        <v>2376</v>
      </c>
      <c r="D88" s="2071" t="s">
        <v>1395</v>
      </c>
      <c r="E88" s="2070">
        <v>16815.8</v>
      </c>
      <c r="F88" s="2071"/>
      <c r="G88" s="2070">
        <f t="shared" si="11"/>
        <v>16815.8</v>
      </c>
      <c r="H88" s="2071"/>
      <c r="I88" s="2067"/>
      <c r="J88" s="2067"/>
      <c r="K88" s="2071"/>
      <c r="L88" s="2068">
        <v>1000</v>
      </c>
      <c r="M88" s="2068"/>
      <c r="N88" s="2735"/>
      <c r="O88" s="2760"/>
      <c r="P88" s="2719" t="e">
        <f>#REF!+#REF!+хозИНТ!P86+хозАДМ!P51</f>
        <v>#REF!</v>
      </c>
      <c r="Q88" s="2071">
        <f>ROUND(5*1.07,2)</f>
        <v>5.35</v>
      </c>
      <c r="R88" s="2071" t="e">
        <f t="shared" si="15"/>
        <v>#REF!</v>
      </c>
      <c r="S88" s="2071"/>
      <c r="T88" s="2071" t="e">
        <f t="shared" si="12"/>
        <v>#REF!</v>
      </c>
      <c r="U88" s="2135"/>
      <c r="V88" s="2135"/>
      <c r="W88" s="2071">
        <f t="shared" si="16"/>
        <v>5.72</v>
      </c>
      <c r="X88" s="2071" t="e">
        <f t="shared" si="17"/>
        <v>#REF!</v>
      </c>
      <c r="Y88" s="2071"/>
      <c r="Z88" s="2071" t="e">
        <f t="shared" si="13"/>
        <v>#REF!</v>
      </c>
      <c r="AA88" s="2071">
        <f t="shared" si="18"/>
        <v>6.12</v>
      </c>
      <c r="AB88" s="2071" t="e">
        <f t="shared" si="19"/>
        <v>#REF!</v>
      </c>
      <c r="AC88" s="2071"/>
      <c r="AD88" s="2071" t="e">
        <f t="shared" si="14"/>
        <v>#REF!</v>
      </c>
      <c r="AE88" s="2135"/>
      <c r="AF88" s="2135"/>
      <c r="AG88" s="2135"/>
      <c r="AH88" s="2135"/>
      <c r="AI88" s="2135"/>
      <c r="AJ88" s="2135"/>
      <c r="AK88" s="2135"/>
      <c r="AL88" s="2135"/>
      <c r="AM88" s="2135"/>
    </row>
    <row r="89" spans="1:39">
      <c r="A89" s="2074">
        <v>80</v>
      </c>
      <c r="B89" s="2068" t="s">
        <v>2039</v>
      </c>
      <c r="C89" s="2068" t="s">
        <v>2377</v>
      </c>
      <c r="D89" s="2071" t="s">
        <v>1395</v>
      </c>
      <c r="E89" s="2070">
        <v>16815.8</v>
      </c>
      <c r="F89" s="2071"/>
      <c r="G89" s="2070">
        <f t="shared" si="11"/>
        <v>16815.8</v>
      </c>
      <c r="H89" s="2071"/>
      <c r="I89" s="2067"/>
      <c r="J89" s="2067"/>
      <c r="K89" s="2071"/>
      <c r="L89" s="2068">
        <v>250</v>
      </c>
      <c r="M89" s="2068"/>
      <c r="N89" s="2735"/>
      <c r="O89" s="2760"/>
      <c r="P89" s="2719" t="e">
        <f>#REF!+#REF!+хозИНТ!P87+хозАДМ!#REF!</f>
        <v>#REF!</v>
      </c>
      <c r="Q89" s="2071">
        <f>ROUND(100*1.07,2)</f>
        <v>107</v>
      </c>
      <c r="R89" s="2071" t="e">
        <f t="shared" si="15"/>
        <v>#REF!</v>
      </c>
      <c r="S89" s="2071"/>
      <c r="T89" s="2071" t="e">
        <f t="shared" si="12"/>
        <v>#REF!</v>
      </c>
      <c r="U89" s="2135"/>
      <c r="V89" s="2135"/>
      <c r="W89" s="2071">
        <f t="shared" si="16"/>
        <v>114.49</v>
      </c>
      <c r="X89" s="2071" t="e">
        <f t="shared" si="17"/>
        <v>#REF!</v>
      </c>
      <c r="Y89" s="2071"/>
      <c r="Z89" s="2071" t="e">
        <f t="shared" si="13"/>
        <v>#REF!</v>
      </c>
      <c r="AA89" s="2071">
        <f t="shared" si="18"/>
        <v>122.5</v>
      </c>
      <c r="AB89" s="2071" t="e">
        <f t="shared" si="19"/>
        <v>#REF!</v>
      </c>
      <c r="AC89" s="2071"/>
      <c r="AD89" s="2071" t="e">
        <f t="shared" si="14"/>
        <v>#REF!</v>
      </c>
      <c r="AE89" s="2135"/>
      <c r="AF89" s="2135"/>
      <c r="AG89" s="2135"/>
      <c r="AH89" s="2135"/>
      <c r="AI89" s="2135"/>
      <c r="AJ89" s="2135"/>
      <c r="AK89" s="2135"/>
      <c r="AL89" s="2135"/>
      <c r="AM89" s="2135"/>
    </row>
    <row r="90" spans="1:39">
      <c r="A90" s="2074">
        <v>81</v>
      </c>
      <c r="B90" s="2068" t="s">
        <v>2378</v>
      </c>
      <c r="C90" s="2068" t="s">
        <v>2379</v>
      </c>
      <c r="D90" s="2071" t="s">
        <v>1395</v>
      </c>
      <c r="E90" s="2070">
        <v>16815.8</v>
      </c>
      <c r="F90" s="2067"/>
      <c r="G90" s="2070">
        <f t="shared" si="11"/>
        <v>16815.8</v>
      </c>
      <c r="H90" s="2067"/>
      <c r="I90" s="2067"/>
      <c r="J90" s="2067"/>
      <c r="K90" s="2067"/>
      <c r="L90" s="2068">
        <v>250</v>
      </c>
      <c r="M90" s="2068"/>
      <c r="N90" s="2734">
        <v>9</v>
      </c>
      <c r="O90" s="2759"/>
      <c r="P90" s="2719" t="e">
        <f>#REF!+#REF!+хозАДМ!#REF!+хозИНТ!P88</f>
        <v>#REF!</v>
      </c>
      <c r="Q90" s="2071">
        <f>ROUND(150*1.07,2)</f>
        <v>160.5</v>
      </c>
      <c r="R90" s="2071" t="e">
        <f t="shared" si="15"/>
        <v>#REF!</v>
      </c>
      <c r="S90" s="2071"/>
      <c r="T90" s="2071" t="e">
        <f t="shared" si="12"/>
        <v>#REF!</v>
      </c>
      <c r="U90" s="2135"/>
      <c r="V90" s="2135"/>
      <c r="W90" s="2071">
        <f t="shared" si="16"/>
        <v>171.74</v>
      </c>
      <c r="X90" s="2071" t="e">
        <f t="shared" si="17"/>
        <v>#REF!</v>
      </c>
      <c r="Y90" s="2071"/>
      <c r="Z90" s="2071" t="e">
        <f t="shared" si="13"/>
        <v>#REF!</v>
      </c>
      <c r="AA90" s="2071">
        <f t="shared" si="18"/>
        <v>183.76</v>
      </c>
      <c r="AB90" s="2071" t="e">
        <f t="shared" si="19"/>
        <v>#REF!</v>
      </c>
      <c r="AC90" s="2071"/>
      <c r="AD90" s="2071" t="e">
        <f t="shared" si="14"/>
        <v>#REF!</v>
      </c>
      <c r="AE90" s="2135"/>
      <c r="AF90" s="2135"/>
      <c r="AG90" s="2135"/>
      <c r="AH90" s="2135"/>
      <c r="AI90" s="2135"/>
      <c r="AJ90" s="2135"/>
      <c r="AK90" s="2135"/>
      <c r="AL90" s="2135"/>
      <c r="AM90" s="2135"/>
    </row>
    <row r="91" spans="1:39" ht="36">
      <c r="A91" s="2074">
        <v>82</v>
      </c>
      <c r="B91" s="2068" t="s">
        <v>2380</v>
      </c>
      <c r="C91" s="2068" t="s">
        <v>2381</v>
      </c>
      <c r="D91" s="2071" t="s">
        <v>2291</v>
      </c>
      <c r="E91" s="2070">
        <v>16815.8</v>
      </c>
      <c r="F91" s="2067"/>
      <c r="G91" s="2070">
        <f t="shared" si="11"/>
        <v>16815.8</v>
      </c>
      <c r="H91" s="2067"/>
      <c r="I91" s="2067"/>
      <c r="J91" s="2067"/>
      <c r="K91" s="2067"/>
      <c r="L91" s="2068">
        <v>100</v>
      </c>
      <c r="M91" s="2068"/>
      <c r="N91" s="2734">
        <v>110</v>
      </c>
      <c r="O91" s="2759">
        <v>20</v>
      </c>
      <c r="P91" s="2719" t="e">
        <f>#REF!+#REF!+хозИНТ!P89</f>
        <v>#REF!</v>
      </c>
      <c r="Q91" s="2071">
        <f>ROUND(3834*1.07,2)</f>
        <v>4102.38</v>
      </c>
      <c r="R91" s="2071" t="e">
        <f t="shared" si="15"/>
        <v>#REF!</v>
      </c>
      <c r="S91" s="2071"/>
      <c r="T91" s="2071" t="e">
        <f t="shared" si="12"/>
        <v>#REF!</v>
      </c>
      <c r="U91" s="2135"/>
      <c r="V91" s="2135"/>
      <c r="W91" s="2071">
        <f t="shared" si="16"/>
        <v>4389.55</v>
      </c>
      <c r="X91" s="2071" t="e">
        <f t="shared" si="17"/>
        <v>#REF!</v>
      </c>
      <c r="Y91" s="2071"/>
      <c r="Z91" s="2071" t="e">
        <f t="shared" si="13"/>
        <v>#REF!</v>
      </c>
      <c r="AA91" s="2071">
        <f t="shared" si="18"/>
        <v>4696.82</v>
      </c>
      <c r="AB91" s="2071" t="e">
        <f t="shared" si="19"/>
        <v>#REF!</v>
      </c>
      <c r="AC91" s="2071"/>
      <c r="AD91" s="2071" t="e">
        <f t="shared" si="14"/>
        <v>#REF!</v>
      </c>
      <c r="AE91" s="2135"/>
      <c r="AF91" s="2135"/>
      <c r="AG91" s="2135"/>
      <c r="AH91" s="2135"/>
      <c r="AI91" s="2135"/>
      <c r="AJ91" s="2135"/>
      <c r="AK91" s="2135"/>
      <c r="AL91" s="2135"/>
      <c r="AM91" s="2135"/>
    </row>
    <row r="92" spans="1:39">
      <c r="A92" s="2074">
        <v>83</v>
      </c>
      <c r="B92" s="2068" t="s">
        <v>2378</v>
      </c>
      <c r="C92" s="2068" t="s">
        <v>2382</v>
      </c>
      <c r="D92" s="2071" t="s">
        <v>1395</v>
      </c>
      <c r="E92" s="2070">
        <v>16815.8</v>
      </c>
      <c r="F92" s="2067"/>
      <c r="G92" s="2070">
        <f t="shared" si="11"/>
        <v>16815.8</v>
      </c>
      <c r="H92" s="2067"/>
      <c r="I92" s="2067"/>
      <c r="J92" s="2067"/>
      <c r="K92" s="2067"/>
      <c r="L92" s="2068">
        <v>250</v>
      </c>
      <c r="M92" s="2068"/>
      <c r="N92" s="2734"/>
      <c r="O92" s="2759"/>
      <c r="P92" s="2719" t="e">
        <f>#REF!+#REF!+хозАДМ!#REF!+хозИНТ!P90</f>
        <v>#REF!</v>
      </c>
      <c r="Q92" s="2071">
        <f>ROUND(200*1.07,2)</f>
        <v>214</v>
      </c>
      <c r="R92" s="2071" t="e">
        <f t="shared" si="15"/>
        <v>#REF!</v>
      </c>
      <c r="S92" s="2071"/>
      <c r="T92" s="2071" t="e">
        <f t="shared" si="12"/>
        <v>#REF!</v>
      </c>
      <c r="U92" s="2135"/>
      <c r="V92" s="2135"/>
      <c r="W92" s="2071">
        <f t="shared" si="16"/>
        <v>228.98</v>
      </c>
      <c r="X92" s="2071" t="e">
        <f t="shared" si="17"/>
        <v>#REF!</v>
      </c>
      <c r="Y92" s="2071"/>
      <c r="Z92" s="2071" t="e">
        <f t="shared" si="13"/>
        <v>#REF!</v>
      </c>
      <c r="AA92" s="2071">
        <f t="shared" si="18"/>
        <v>245.01</v>
      </c>
      <c r="AB92" s="2071" t="e">
        <f t="shared" si="19"/>
        <v>#REF!</v>
      </c>
      <c r="AC92" s="2071"/>
      <c r="AD92" s="2071" t="e">
        <f t="shared" si="14"/>
        <v>#REF!</v>
      </c>
      <c r="AE92" s="2135"/>
      <c r="AF92" s="2135"/>
      <c r="AG92" s="2135"/>
      <c r="AH92" s="2135"/>
      <c r="AI92" s="2135"/>
      <c r="AJ92" s="2135"/>
      <c r="AK92" s="2135"/>
      <c r="AL92" s="2135"/>
      <c r="AM92" s="2135"/>
    </row>
    <row r="93" spans="1:39" s="2043" customFormat="1" ht="127.5">
      <c r="A93" s="2074">
        <v>84</v>
      </c>
      <c r="B93" s="2085" t="s">
        <v>2378</v>
      </c>
      <c r="C93" s="2727" t="s">
        <v>2383</v>
      </c>
      <c r="D93" s="2087" t="s">
        <v>1395</v>
      </c>
      <c r="E93" s="2088">
        <v>10053.200000000001</v>
      </c>
      <c r="F93" s="1610"/>
      <c r="G93" s="2088">
        <f t="shared" si="11"/>
        <v>10053.200000000001</v>
      </c>
      <c r="H93" s="1610"/>
      <c r="I93" s="1820"/>
      <c r="J93" s="1820"/>
      <c r="K93" s="1610"/>
      <c r="L93" s="1625">
        <v>750</v>
      </c>
      <c r="M93" s="1625"/>
      <c r="N93" s="2736">
        <v>0</v>
      </c>
      <c r="O93" s="2763"/>
      <c r="P93" s="2722">
        <f t="shared" ref="P93" si="20">ROUND((L93-O93)/2,0)</f>
        <v>375</v>
      </c>
      <c r="Q93" s="1610">
        <v>1.07</v>
      </c>
      <c r="R93" s="1610">
        <v>540</v>
      </c>
      <c r="S93" s="1610"/>
      <c r="T93" s="2071">
        <f t="shared" si="12"/>
        <v>540</v>
      </c>
      <c r="U93" s="1610"/>
      <c r="V93" s="1610">
        <f t="shared" ref="V93" si="21">T93-U93</f>
        <v>540</v>
      </c>
      <c r="W93" s="1610">
        <f t="shared" ref="W93" si="22">ROUND(S93*1.07,2)</f>
        <v>0</v>
      </c>
      <c r="X93" s="1610">
        <f t="shared" si="17"/>
        <v>0</v>
      </c>
      <c r="Y93" s="1610"/>
      <c r="Z93" s="1610">
        <f t="shared" si="13"/>
        <v>0</v>
      </c>
      <c r="AA93" s="1610">
        <f t="shared" si="18"/>
        <v>0</v>
      </c>
      <c r="AB93" s="1610">
        <f t="shared" si="19"/>
        <v>0</v>
      </c>
      <c r="AC93" s="1610"/>
      <c r="AD93" s="1610">
        <f t="shared" si="14"/>
        <v>0</v>
      </c>
    </row>
    <row r="94" spans="1:39" ht="108">
      <c r="A94" s="2074">
        <v>85</v>
      </c>
      <c r="B94" s="2068" t="s">
        <v>2384</v>
      </c>
      <c r="C94" s="2726" t="s">
        <v>2383</v>
      </c>
      <c r="D94" s="2071" t="s">
        <v>1395</v>
      </c>
      <c r="E94" s="2070">
        <v>16815.8</v>
      </c>
      <c r="F94" s="2067"/>
      <c r="G94" s="2070">
        <f t="shared" si="11"/>
        <v>16815.8</v>
      </c>
      <c r="H94" s="2067"/>
      <c r="I94" s="2067"/>
      <c r="J94" s="2067"/>
      <c r="K94" s="2067"/>
      <c r="L94" s="2068">
        <v>750</v>
      </c>
      <c r="M94" s="2068"/>
      <c r="N94" s="2734"/>
      <c r="O94" s="2759"/>
      <c r="P94" s="2719" t="e">
        <f>#REF!+#REF!+хозИНТ!P91</f>
        <v>#REF!</v>
      </c>
      <c r="Q94" s="2071">
        <f>ROUND(540*1.07,2)</f>
        <v>577.79999999999995</v>
      </c>
      <c r="R94" s="2071" t="e">
        <f t="shared" si="15"/>
        <v>#REF!</v>
      </c>
      <c r="S94" s="2071"/>
      <c r="T94" s="2071" t="e">
        <f t="shared" si="12"/>
        <v>#REF!</v>
      </c>
      <c r="U94" s="2135"/>
      <c r="V94" s="2135"/>
      <c r="W94" s="2071">
        <f t="shared" si="16"/>
        <v>618.25</v>
      </c>
      <c r="X94" s="2071" t="e">
        <f t="shared" si="17"/>
        <v>#REF!</v>
      </c>
      <c r="Y94" s="2071"/>
      <c r="Z94" s="2071" t="e">
        <f t="shared" si="13"/>
        <v>#REF!</v>
      </c>
      <c r="AA94" s="2071">
        <f t="shared" si="18"/>
        <v>661.53</v>
      </c>
      <c r="AB94" s="2071" t="e">
        <f t="shared" si="19"/>
        <v>#REF!</v>
      </c>
      <c r="AC94" s="2071"/>
      <c r="AD94" s="2071" t="e">
        <f t="shared" si="14"/>
        <v>#REF!</v>
      </c>
      <c r="AE94" s="2135"/>
      <c r="AF94" s="2135"/>
      <c r="AG94" s="2135"/>
      <c r="AH94" s="2135"/>
      <c r="AI94" s="2135"/>
      <c r="AJ94" s="2135"/>
      <c r="AK94" s="2135"/>
      <c r="AL94" s="2135"/>
      <c r="AM94" s="2135"/>
    </row>
    <row r="95" spans="1:39" ht="36">
      <c r="A95" s="2074">
        <v>86</v>
      </c>
      <c r="B95" s="2068" t="s">
        <v>2385</v>
      </c>
      <c r="C95" s="2068" t="s">
        <v>2386</v>
      </c>
      <c r="D95" s="2071" t="s">
        <v>1395</v>
      </c>
      <c r="E95" s="2070">
        <v>16815.8</v>
      </c>
      <c r="F95" s="2067"/>
      <c r="G95" s="2070">
        <f t="shared" si="11"/>
        <v>16815.8</v>
      </c>
      <c r="H95" s="2067"/>
      <c r="I95" s="2067"/>
      <c r="J95" s="2067"/>
      <c r="K95" s="2067"/>
      <c r="L95" s="2068">
        <v>30</v>
      </c>
      <c r="M95" s="2068"/>
      <c r="N95" s="2734"/>
      <c r="O95" s="2759"/>
      <c r="P95" s="2719" t="e">
        <f>#REF!+#REF!+хозАДМ!P53+хозИНТ!P92</f>
        <v>#REF!</v>
      </c>
      <c r="Q95" s="2071">
        <f>ROUND(780*1.07,2)</f>
        <v>834.6</v>
      </c>
      <c r="R95" s="2071" t="e">
        <f t="shared" si="15"/>
        <v>#REF!</v>
      </c>
      <c r="S95" s="2071"/>
      <c r="T95" s="2071" t="e">
        <f t="shared" si="12"/>
        <v>#REF!</v>
      </c>
      <c r="U95" s="2135"/>
      <c r="V95" s="2135"/>
      <c r="W95" s="2071">
        <f t="shared" si="16"/>
        <v>893.02</v>
      </c>
      <c r="X95" s="2071" t="e">
        <f t="shared" si="17"/>
        <v>#REF!</v>
      </c>
      <c r="Y95" s="2071"/>
      <c r="Z95" s="2071" t="e">
        <f t="shared" si="13"/>
        <v>#REF!</v>
      </c>
      <c r="AA95" s="2071">
        <f t="shared" si="18"/>
        <v>955.53</v>
      </c>
      <c r="AB95" s="2071" t="e">
        <f t="shared" si="19"/>
        <v>#REF!</v>
      </c>
      <c r="AC95" s="2071"/>
      <c r="AD95" s="2071" t="e">
        <f t="shared" si="14"/>
        <v>#REF!</v>
      </c>
      <c r="AE95" s="2135"/>
      <c r="AF95" s="2135"/>
      <c r="AG95" s="2135"/>
      <c r="AH95" s="2135"/>
      <c r="AI95" s="2135"/>
      <c r="AJ95" s="2135"/>
      <c r="AK95" s="2135"/>
      <c r="AL95" s="2135"/>
      <c r="AM95" s="2135"/>
    </row>
    <row r="96" spans="1:39" ht="24">
      <c r="A96" s="2074">
        <v>87</v>
      </c>
      <c r="B96" s="2068" t="s">
        <v>2387</v>
      </c>
      <c r="C96" s="2068" t="s">
        <v>2388</v>
      </c>
      <c r="D96" s="2071" t="s">
        <v>2291</v>
      </c>
      <c r="E96" s="2070">
        <v>16815.8</v>
      </c>
      <c r="F96" s="2067"/>
      <c r="G96" s="2070">
        <f t="shared" si="11"/>
        <v>16815.8</v>
      </c>
      <c r="H96" s="2067"/>
      <c r="I96" s="2067"/>
      <c r="J96" s="2067"/>
      <c r="K96" s="2067"/>
      <c r="L96" s="2068">
        <v>50</v>
      </c>
      <c r="M96" s="2068"/>
      <c r="N96" s="2734"/>
      <c r="O96" s="2759"/>
      <c r="P96" s="2719" t="e">
        <f>#REF!+#REF!+хозИНТ!P93</f>
        <v>#REF!</v>
      </c>
      <c r="Q96" s="2071">
        <f>ROUND(5400*1.07,2)</f>
        <v>5778</v>
      </c>
      <c r="R96" s="2071" t="e">
        <f t="shared" si="15"/>
        <v>#REF!</v>
      </c>
      <c r="S96" s="2071"/>
      <c r="T96" s="2071" t="e">
        <f t="shared" si="12"/>
        <v>#REF!</v>
      </c>
      <c r="U96" s="2135"/>
      <c r="V96" s="2135"/>
      <c r="W96" s="2071">
        <f t="shared" si="16"/>
        <v>6182.46</v>
      </c>
      <c r="X96" s="2071" t="e">
        <f t="shared" si="17"/>
        <v>#REF!</v>
      </c>
      <c r="Y96" s="2071"/>
      <c r="Z96" s="2071" t="e">
        <f t="shared" si="13"/>
        <v>#REF!</v>
      </c>
      <c r="AA96" s="2071">
        <f t="shared" si="18"/>
        <v>6615.23</v>
      </c>
      <c r="AB96" s="2071" t="e">
        <f t="shared" si="19"/>
        <v>#REF!</v>
      </c>
      <c r="AC96" s="2071"/>
      <c r="AD96" s="2071" t="e">
        <f t="shared" si="14"/>
        <v>#REF!</v>
      </c>
      <c r="AE96" s="2135"/>
      <c r="AF96" s="2135"/>
      <c r="AG96" s="2135"/>
      <c r="AH96" s="2135"/>
      <c r="AI96" s="2135"/>
      <c r="AJ96" s="2135"/>
      <c r="AK96" s="2135"/>
      <c r="AL96" s="2135"/>
      <c r="AM96" s="2135"/>
    </row>
    <row r="97" spans="1:39" s="2161" customFormat="1">
      <c r="A97" s="2743">
        <v>88</v>
      </c>
      <c r="B97" s="2744" t="s">
        <v>2389</v>
      </c>
      <c r="C97" s="2744" t="s">
        <v>2390</v>
      </c>
      <c r="D97" s="2745" t="s">
        <v>2291</v>
      </c>
      <c r="E97" s="2746">
        <v>16815.8</v>
      </c>
      <c r="F97" s="2747"/>
      <c r="G97" s="2746">
        <f t="shared" si="11"/>
        <v>16815.8</v>
      </c>
      <c r="H97" s="2747"/>
      <c r="I97" s="2747"/>
      <c r="J97" s="2747"/>
      <c r="K97" s="2747"/>
      <c r="L97" s="2744">
        <v>30</v>
      </c>
      <c r="M97" s="2744"/>
      <c r="N97" s="2747">
        <v>41.84</v>
      </c>
      <c r="O97" s="2758"/>
      <c r="P97" s="2745" t="e">
        <f>#REF!+#REF!+хозИНТ!P94</f>
        <v>#REF!</v>
      </c>
      <c r="Q97" s="2745">
        <f>ROUND(4600*1.07,2)</f>
        <v>4922</v>
      </c>
      <c r="R97" s="2745" t="e">
        <f t="shared" si="15"/>
        <v>#REF!</v>
      </c>
      <c r="S97" s="2745"/>
      <c r="T97" s="2745" t="e">
        <f t="shared" si="12"/>
        <v>#REF!</v>
      </c>
      <c r="U97" s="2148"/>
      <c r="V97" s="2148"/>
      <c r="W97" s="2745">
        <f t="shared" si="16"/>
        <v>5266.54</v>
      </c>
      <c r="X97" s="2745" t="e">
        <f t="shared" si="17"/>
        <v>#REF!</v>
      </c>
      <c r="Y97" s="2745"/>
      <c r="Z97" s="2745" t="e">
        <f t="shared" si="13"/>
        <v>#REF!</v>
      </c>
      <c r="AA97" s="2745">
        <f t="shared" si="18"/>
        <v>5635.2</v>
      </c>
      <c r="AB97" s="2745" t="e">
        <f t="shared" si="19"/>
        <v>#REF!</v>
      </c>
      <c r="AC97" s="2745"/>
      <c r="AD97" s="2745" t="e">
        <f t="shared" si="14"/>
        <v>#REF!</v>
      </c>
      <c r="AE97" s="2148"/>
      <c r="AF97" s="2148"/>
      <c r="AG97" s="2148"/>
      <c r="AH97" s="2148"/>
      <c r="AI97" s="2148"/>
      <c r="AJ97" s="2148"/>
      <c r="AK97" s="2148"/>
      <c r="AL97" s="2148"/>
      <c r="AM97" s="2148"/>
    </row>
    <row r="98" spans="1:39" ht="24">
      <c r="A98" s="2074">
        <v>89</v>
      </c>
      <c r="B98" s="2068" t="s">
        <v>2391</v>
      </c>
      <c r="C98" s="2068" t="s">
        <v>2392</v>
      </c>
      <c r="D98" s="2071" t="s">
        <v>2393</v>
      </c>
      <c r="E98" s="2070">
        <v>16815.8</v>
      </c>
      <c r="F98" s="2071"/>
      <c r="G98" s="2070">
        <f t="shared" ref="G98:G118" si="23">E98</f>
        <v>16815.8</v>
      </c>
      <c r="H98" s="2071"/>
      <c r="I98" s="2067"/>
      <c r="J98" s="2067"/>
      <c r="K98" s="2071"/>
      <c r="L98" s="2068">
        <v>3</v>
      </c>
      <c r="M98" s="2068"/>
      <c r="N98" s="2735"/>
      <c r="O98" s="2760"/>
      <c r="P98" s="2719" t="e">
        <f>#REF!+#REF!+хозИНТ!P95</f>
        <v>#REF!</v>
      </c>
      <c r="Q98" s="2071">
        <f>ROUND(700*1.07,2)</f>
        <v>749</v>
      </c>
      <c r="R98" s="2071" t="e">
        <f t="shared" si="15"/>
        <v>#REF!</v>
      </c>
      <c r="S98" s="2071"/>
      <c r="T98" s="2071" t="e">
        <f t="shared" si="12"/>
        <v>#REF!</v>
      </c>
      <c r="U98" s="2135"/>
      <c r="V98" s="2135"/>
      <c r="W98" s="2071">
        <f t="shared" si="16"/>
        <v>801.43</v>
      </c>
      <c r="X98" s="2071" t="e">
        <f t="shared" si="17"/>
        <v>#REF!</v>
      </c>
      <c r="Y98" s="2071"/>
      <c r="Z98" s="2071" t="e">
        <f t="shared" si="13"/>
        <v>#REF!</v>
      </c>
      <c r="AA98" s="2071">
        <f t="shared" si="18"/>
        <v>857.53</v>
      </c>
      <c r="AB98" s="2071" t="e">
        <f t="shared" si="19"/>
        <v>#REF!</v>
      </c>
      <c r="AC98" s="2071"/>
      <c r="AD98" s="2071" t="e">
        <f t="shared" si="14"/>
        <v>#REF!</v>
      </c>
      <c r="AE98" s="2135"/>
      <c r="AF98" s="2135"/>
      <c r="AG98" s="2135"/>
      <c r="AH98" s="2135"/>
      <c r="AI98" s="2135"/>
      <c r="AJ98" s="2135"/>
      <c r="AK98" s="2135"/>
      <c r="AL98" s="2135"/>
      <c r="AM98" s="2135"/>
    </row>
    <row r="99" spans="1:39" ht="48">
      <c r="A99" s="2074">
        <v>90</v>
      </c>
      <c r="B99" s="2068" t="s">
        <v>2394</v>
      </c>
      <c r="C99" s="2068" t="s">
        <v>2395</v>
      </c>
      <c r="D99" s="2071" t="s">
        <v>1395</v>
      </c>
      <c r="E99" s="2070">
        <v>16815.8</v>
      </c>
      <c r="F99" s="2071"/>
      <c r="G99" s="2070">
        <f t="shared" si="23"/>
        <v>16815.8</v>
      </c>
      <c r="H99" s="2071"/>
      <c r="I99" s="2067"/>
      <c r="J99" s="2067"/>
      <c r="K99" s="2071"/>
      <c r="L99" s="2068">
        <v>100</v>
      </c>
      <c r="M99" s="2068"/>
      <c r="N99" s="2735">
        <v>4</v>
      </c>
      <c r="O99" s="2760"/>
      <c r="P99" s="2719" t="e">
        <f>#REF!+#REF!+хозАДМ!P54+хозИНТ!P96</f>
        <v>#REF!</v>
      </c>
      <c r="Q99" s="2071">
        <f>ROUND(130*1.07,2)</f>
        <v>139.1</v>
      </c>
      <c r="R99" s="2071" t="e">
        <f t="shared" si="15"/>
        <v>#REF!</v>
      </c>
      <c r="S99" s="2071"/>
      <c r="T99" s="2071" t="e">
        <f t="shared" si="12"/>
        <v>#REF!</v>
      </c>
      <c r="U99" s="2135"/>
      <c r="V99" s="2135"/>
      <c r="W99" s="2071">
        <f t="shared" si="16"/>
        <v>148.84</v>
      </c>
      <c r="X99" s="2071" t="e">
        <f t="shared" si="17"/>
        <v>#REF!</v>
      </c>
      <c r="Y99" s="2071"/>
      <c r="Z99" s="2071" t="e">
        <f t="shared" si="13"/>
        <v>#REF!</v>
      </c>
      <c r="AA99" s="2071">
        <f t="shared" si="18"/>
        <v>159.26</v>
      </c>
      <c r="AB99" s="2071" t="e">
        <f t="shared" si="19"/>
        <v>#REF!</v>
      </c>
      <c r="AC99" s="2071"/>
      <c r="AD99" s="2071" t="e">
        <f t="shared" si="14"/>
        <v>#REF!</v>
      </c>
      <c r="AE99" s="2135"/>
      <c r="AF99" s="2135"/>
      <c r="AG99" s="2135"/>
      <c r="AH99" s="2135"/>
      <c r="AI99" s="2135"/>
      <c r="AJ99" s="2135"/>
      <c r="AK99" s="2135"/>
      <c r="AL99" s="2135"/>
      <c r="AM99" s="2135"/>
    </row>
    <row r="100" spans="1:39" s="2161" customFormat="1" ht="24">
      <c r="A100" s="2074">
        <v>91</v>
      </c>
      <c r="B100" s="2068" t="s">
        <v>2396</v>
      </c>
      <c r="C100" s="2068" t="s">
        <v>2397</v>
      </c>
      <c r="D100" s="2071" t="s">
        <v>2291</v>
      </c>
      <c r="E100" s="2070">
        <v>16815.8</v>
      </c>
      <c r="F100" s="2071"/>
      <c r="G100" s="2070">
        <f t="shared" si="23"/>
        <v>16815.8</v>
      </c>
      <c r="H100" s="2071"/>
      <c r="I100" s="2067"/>
      <c r="J100" s="2067"/>
      <c r="K100" s="2071"/>
      <c r="L100" s="2068">
        <v>25</v>
      </c>
      <c r="M100" s="2068">
        <v>8</v>
      </c>
      <c r="N100" s="2735"/>
      <c r="O100" s="2760"/>
      <c r="P100" s="2719" t="e">
        <f>#REF!+#REF!+хозАДМ!#REF!+хозИНТ!P97</f>
        <v>#REF!</v>
      </c>
      <c r="Q100" s="2071">
        <f>ROUND(2300*1.07,2)</f>
        <v>2461</v>
      </c>
      <c r="R100" s="2071" t="e">
        <f t="shared" si="15"/>
        <v>#REF!</v>
      </c>
      <c r="S100" s="2071"/>
      <c r="T100" s="2071" t="e">
        <f t="shared" si="12"/>
        <v>#REF!</v>
      </c>
      <c r="U100" s="2135"/>
      <c r="V100" s="2135"/>
      <c r="W100" s="2071">
        <f t="shared" si="16"/>
        <v>2633.27</v>
      </c>
      <c r="X100" s="2071" t="e">
        <f t="shared" si="17"/>
        <v>#REF!</v>
      </c>
      <c r="Y100" s="2071"/>
      <c r="Z100" s="2071" t="e">
        <f t="shared" si="13"/>
        <v>#REF!</v>
      </c>
      <c r="AA100" s="2071">
        <f t="shared" si="18"/>
        <v>2817.6</v>
      </c>
      <c r="AB100" s="2071" t="e">
        <f t="shared" si="19"/>
        <v>#REF!</v>
      </c>
      <c r="AC100" s="2071"/>
      <c r="AD100" s="2071" t="e">
        <f t="shared" si="14"/>
        <v>#REF!</v>
      </c>
      <c r="AE100" s="2135"/>
      <c r="AF100" s="2135"/>
      <c r="AG100" s="2135"/>
      <c r="AH100" s="2135"/>
      <c r="AI100" s="2135"/>
      <c r="AJ100" s="2135"/>
      <c r="AK100" s="2135"/>
      <c r="AL100" s="2135"/>
      <c r="AM100" s="2135"/>
    </row>
    <row r="101" spans="1:39" s="2161" customFormat="1">
      <c r="A101" s="2074">
        <v>92</v>
      </c>
      <c r="B101" s="2068" t="s">
        <v>2398</v>
      </c>
      <c r="C101" s="2068" t="s">
        <v>2399</v>
      </c>
      <c r="D101" s="2071" t="s">
        <v>1395</v>
      </c>
      <c r="E101" s="2070">
        <v>16815.8</v>
      </c>
      <c r="F101" s="2071"/>
      <c r="G101" s="2070">
        <f t="shared" si="23"/>
        <v>16815.8</v>
      </c>
      <c r="H101" s="2071"/>
      <c r="I101" s="2067"/>
      <c r="J101" s="2067"/>
      <c r="K101" s="2071"/>
      <c r="L101" s="2068">
        <v>10</v>
      </c>
      <c r="M101" s="2068"/>
      <c r="N101" s="2735"/>
      <c r="O101" s="2760"/>
      <c r="P101" s="2719" t="e">
        <f>#REF!+#REF!+хозАДМ!#REF!+хозИНТ!P98</f>
        <v>#REF!</v>
      </c>
      <c r="Q101" s="2071">
        <f>ROUND(410*1.07,2)</f>
        <v>438.7</v>
      </c>
      <c r="R101" s="2071" t="e">
        <f t="shared" si="15"/>
        <v>#REF!</v>
      </c>
      <c r="S101" s="2071"/>
      <c r="T101" s="2071" t="e">
        <f t="shared" si="12"/>
        <v>#REF!</v>
      </c>
      <c r="U101" s="2135"/>
      <c r="V101" s="2135"/>
      <c r="W101" s="2071">
        <f t="shared" si="16"/>
        <v>469.41</v>
      </c>
      <c r="X101" s="2071" t="e">
        <f t="shared" si="17"/>
        <v>#REF!</v>
      </c>
      <c r="Y101" s="2071"/>
      <c r="Z101" s="2071" t="e">
        <f t="shared" si="13"/>
        <v>#REF!</v>
      </c>
      <c r="AA101" s="2071">
        <f t="shared" si="18"/>
        <v>502.27</v>
      </c>
      <c r="AB101" s="2071" t="e">
        <f t="shared" si="19"/>
        <v>#REF!</v>
      </c>
      <c r="AC101" s="2071"/>
      <c r="AD101" s="2071" t="e">
        <f t="shared" si="14"/>
        <v>#REF!</v>
      </c>
      <c r="AE101" s="2135"/>
      <c r="AF101" s="2135"/>
      <c r="AG101" s="2135"/>
      <c r="AH101" s="2135"/>
      <c r="AI101" s="2135"/>
      <c r="AJ101" s="2135"/>
      <c r="AK101" s="2135"/>
      <c r="AL101" s="2135"/>
      <c r="AM101" s="2135"/>
    </row>
    <row r="102" spans="1:39" s="2161" customFormat="1" ht="45.75" customHeight="1">
      <c r="A102" s="2743">
        <v>93</v>
      </c>
      <c r="B102" s="2744" t="s">
        <v>2400</v>
      </c>
      <c r="C102" s="2744" t="s">
        <v>2401</v>
      </c>
      <c r="D102" s="2745" t="s">
        <v>1338</v>
      </c>
      <c r="E102" s="2746">
        <v>16815.8</v>
      </c>
      <c r="F102" s="2745"/>
      <c r="G102" s="2746">
        <f t="shared" si="23"/>
        <v>16815.8</v>
      </c>
      <c r="H102" s="2745"/>
      <c r="I102" s="2747"/>
      <c r="J102" s="2747"/>
      <c r="K102" s="2745"/>
      <c r="L102" s="2744">
        <v>15</v>
      </c>
      <c r="M102" s="2744"/>
      <c r="N102" s="2745">
        <v>60</v>
      </c>
      <c r="O102" s="2761">
        <v>0</v>
      </c>
      <c r="P102" s="2745" t="e">
        <f>#REF!+#REF!+хозАДМ!#REF!+хозИНТ!P99</f>
        <v>#REF!</v>
      </c>
      <c r="Q102" s="2745">
        <f>ROUND(2100*1.07,2)</f>
        <v>2247</v>
      </c>
      <c r="R102" s="2745" t="e">
        <f t="shared" si="15"/>
        <v>#REF!</v>
      </c>
      <c r="S102" s="2745"/>
      <c r="T102" s="2745" t="e">
        <f t="shared" si="12"/>
        <v>#REF!</v>
      </c>
      <c r="U102" s="2148"/>
      <c r="V102" s="2148"/>
      <c r="W102" s="2745">
        <f t="shared" si="16"/>
        <v>2404.29</v>
      </c>
      <c r="X102" s="2745" t="e">
        <f t="shared" si="17"/>
        <v>#REF!</v>
      </c>
      <c r="Y102" s="2745"/>
      <c r="Z102" s="2745" t="e">
        <f t="shared" si="13"/>
        <v>#REF!</v>
      </c>
      <c r="AA102" s="2745">
        <f t="shared" si="18"/>
        <v>2572.59</v>
      </c>
      <c r="AB102" s="2745" t="e">
        <f t="shared" si="19"/>
        <v>#REF!</v>
      </c>
      <c r="AC102" s="2745"/>
      <c r="AD102" s="2745" t="e">
        <f t="shared" si="14"/>
        <v>#REF!</v>
      </c>
      <c r="AE102" s="2148"/>
      <c r="AF102" s="2148"/>
      <c r="AG102" s="2148"/>
      <c r="AH102" s="2148"/>
      <c r="AI102" s="2148"/>
      <c r="AJ102" s="2148"/>
      <c r="AK102" s="2148"/>
      <c r="AL102" s="2148"/>
      <c r="AM102" s="2148"/>
    </row>
    <row r="103" spans="1:39">
      <c r="A103" s="2074">
        <v>94</v>
      </c>
      <c r="B103" s="2068" t="s">
        <v>2402</v>
      </c>
      <c r="C103" s="2068" t="s">
        <v>2403</v>
      </c>
      <c r="D103" s="2071" t="s">
        <v>1268</v>
      </c>
      <c r="E103" s="2070">
        <v>16815.8</v>
      </c>
      <c r="F103" s="2071"/>
      <c r="G103" s="2070">
        <f t="shared" si="23"/>
        <v>16815.8</v>
      </c>
      <c r="H103" s="2071"/>
      <c r="I103" s="2067"/>
      <c r="J103" s="2067"/>
      <c r="K103" s="2071"/>
      <c r="L103" s="2068">
        <v>20</v>
      </c>
      <c r="M103" s="2068"/>
      <c r="N103" s="2735"/>
      <c r="O103" s="2760"/>
      <c r="P103" s="2719" t="e">
        <f>#REF!+#REF!+хозАДМ!P55+хозИНТ!P100</f>
        <v>#REF!</v>
      </c>
      <c r="Q103" s="2071">
        <f>ROUND(U103*V103,2)</f>
        <v>321</v>
      </c>
      <c r="R103" s="2071" t="e">
        <f t="shared" si="15"/>
        <v>#REF!</v>
      </c>
      <c r="S103" s="2071"/>
      <c r="T103" s="2071" t="e">
        <f t="shared" si="12"/>
        <v>#REF!</v>
      </c>
      <c r="U103" s="2135">
        <v>300</v>
      </c>
      <c r="V103" s="2135">
        <v>1.07</v>
      </c>
      <c r="W103" s="2071">
        <f t="shared" si="16"/>
        <v>343.47</v>
      </c>
      <c r="X103" s="2071" t="e">
        <f t="shared" si="17"/>
        <v>#REF!</v>
      </c>
      <c r="Y103" s="2071"/>
      <c r="Z103" s="2071" t="e">
        <f t="shared" si="13"/>
        <v>#REF!</v>
      </c>
      <c r="AA103" s="2071">
        <f t="shared" si="18"/>
        <v>367.51</v>
      </c>
      <c r="AB103" s="2071" t="e">
        <f t="shared" si="19"/>
        <v>#REF!</v>
      </c>
      <c r="AC103" s="2071"/>
      <c r="AD103" s="2071" t="e">
        <f t="shared" si="14"/>
        <v>#REF!</v>
      </c>
      <c r="AE103" s="2135"/>
      <c r="AF103" s="2135"/>
      <c r="AG103" s="2135"/>
      <c r="AH103" s="2135"/>
      <c r="AI103" s="2135"/>
      <c r="AJ103" s="2135"/>
      <c r="AK103" s="2135"/>
      <c r="AL103" s="2135"/>
      <c r="AM103" s="2135"/>
    </row>
    <row r="104" spans="1:39">
      <c r="A104" s="2074">
        <v>95</v>
      </c>
      <c r="B104" s="2068" t="s">
        <v>2404</v>
      </c>
      <c r="C104" s="2068" t="s">
        <v>2405</v>
      </c>
      <c r="D104" s="2071" t="s">
        <v>1268</v>
      </c>
      <c r="E104" s="2070">
        <v>16815.8</v>
      </c>
      <c r="F104" s="2071"/>
      <c r="G104" s="2070">
        <f t="shared" si="23"/>
        <v>16815.8</v>
      </c>
      <c r="H104" s="2071"/>
      <c r="I104" s="2067"/>
      <c r="J104" s="2067"/>
      <c r="K104" s="2071"/>
      <c r="L104" s="2068">
        <v>5</v>
      </c>
      <c r="M104" s="2068"/>
      <c r="N104" s="2735"/>
      <c r="O104" s="2760"/>
      <c r="P104" s="2719" t="e">
        <f>#REF!+#REF!+хозАДМ!P56+хозИНТ!P101</f>
        <v>#REF!</v>
      </c>
      <c r="Q104" s="2071">
        <f t="shared" ref="Q104:Q167" si="24">ROUND(U104*V104,2)</f>
        <v>428</v>
      </c>
      <c r="R104" s="2071" t="e">
        <f t="shared" si="15"/>
        <v>#REF!</v>
      </c>
      <c r="S104" s="2071"/>
      <c r="T104" s="2071" t="e">
        <f t="shared" si="12"/>
        <v>#REF!</v>
      </c>
      <c r="U104" s="2135">
        <v>400</v>
      </c>
      <c r="V104" s="2135">
        <v>1.07</v>
      </c>
      <c r="W104" s="2071">
        <f t="shared" si="16"/>
        <v>457.96</v>
      </c>
      <c r="X104" s="2071" t="e">
        <f t="shared" si="17"/>
        <v>#REF!</v>
      </c>
      <c r="Y104" s="2071"/>
      <c r="Z104" s="2071" t="e">
        <f t="shared" si="13"/>
        <v>#REF!</v>
      </c>
      <c r="AA104" s="2071">
        <f t="shared" si="18"/>
        <v>490.02</v>
      </c>
      <c r="AB104" s="2071" t="e">
        <f t="shared" si="19"/>
        <v>#REF!</v>
      </c>
      <c r="AC104" s="2071"/>
      <c r="AD104" s="2071" t="e">
        <f t="shared" si="14"/>
        <v>#REF!</v>
      </c>
      <c r="AE104" s="2135"/>
      <c r="AF104" s="2135"/>
      <c r="AG104" s="2135"/>
      <c r="AH104" s="2135"/>
      <c r="AI104" s="2135"/>
      <c r="AJ104" s="2135"/>
      <c r="AK104" s="2135"/>
      <c r="AL104" s="2135"/>
      <c r="AM104" s="2135"/>
    </row>
    <row r="105" spans="1:39">
      <c r="A105" s="2074">
        <v>96</v>
      </c>
      <c r="B105" s="2068" t="s">
        <v>2406</v>
      </c>
      <c r="C105" s="2068" t="s">
        <v>2407</v>
      </c>
      <c r="D105" s="2071" t="s">
        <v>1268</v>
      </c>
      <c r="E105" s="2070">
        <v>16815.8</v>
      </c>
      <c r="F105" s="2067"/>
      <c r="G105" s="2070">
        <f t="shared" si="23"/>
        <v>16815.8</v>
      </c>
      <c r="H105" s="2067"/>
      <c r="I105" s="2067"/>
      <c r="J105" s="2067"/>
      <c r="K105" s="2067"/>
      <c r="L105" s="2068">
        <v>5</v>
      </c>
      <c r="M105" s="2068"/>
      <c r="N105" s="2734"/>
      <c r="O105" s="2759"/>
      <c r="P105" s="2719" t="e">
        <f>#REF!+#REF!+хозАДМ!P57+хозИНТ!P102</f>
        <v>#REF!</v>
      </c>
      <c r="Q105" s="2071">
        <f t="shared" si="24"/>
        <v>652.70000000000005</v>
      </c>
      <c r="R105" s="2071" t="e">
        <f t="shared" si="15"/>
        <v>#REF!</v>
      </c>
      <c r="S105" s="2071"/>
      <c r="T105" s="2071" t="e">
        <f t="shared" si="12"/>
        <v>#REF!</v>
      </c>
      <c r="U105" s="2135">
        <v>610</v>
      </c>
      <c r="V105" s="2135">
        <v>1.07</v>
      </c>
      <c r="W105" s="2071">
        <f t="shared" si="16"/>
        <v>698.39</v>
      </c>
      <c r="X105" s="2071" t="e">
        <f t="shared" si="17"/>
        <v>#REF!</v>
      </c>
      <c r="Y105" s="2071"/>
      <c r="Z105" s="2071" t="e">
        <f t="shared" si="13"/>
        <v>#REF!</v>
      </c>
      <c r="AA105" s="2071">
        <f t="shared" si="18"/>
        <v>747.28</v>
      </c>
      <c r="AB105" s="2071" t="e">
        <f t="shared" si="19"/>
        <v>#REF!</v>
      </c>
      <c r="AC105" s="2071"/>
      <c r="AD105" s="2071" t="e">
        <f t="shared" si="14"/>
        <v>#REF!</v>
      </c>
      <c r="AE105" s="2135"/>
      <c r="AF105" s="2135"/>
      <c r="AG105" s="2135"/>
      <c r="AH105" s="2135"/>
      <c r="AI105" s="2135"/>
      <c r="AJ105" s="2135"/>
      <c r="AK105" s="2135"/>
      <c r="AL105" s="2135"/>
      <c r="AM105" s="2135"/>
    </row>
    <row r="106" spans="1:39" s="2161" customFormat="1" ht="51.75" customHeight="1">
      <c r="A106" s="2743">
        <v>97</v>
      </c>
      <c r="B106" s="2744" t="s">
        <v>2408</v>
      </c>
      <c r="C106" s="2744" t="s">
        <v>2409</v>
      </c>
      <c r="D106" s="2745" t="s">
        <v>1268</v>
      </c>
      <c r="E106" s="2746">
        <v>16815.8</v>
      </c>
      <c r="F106" s="2745"/>
      <c r="G106" s="2746">
        <f t="shared" si="23"/>
        <v>16815.8</v>
      </c>
      <c r="H106" s="2745"/>
      <c r="I106" s="2747"/>
      <c r="J106" s="2747"/>
      <c r="K106" s="2745"/>
      <c r="L106" s="2744">
        <v>10</v>
      </c>
      <c r="M106" s="2744"/>
      <c r="N106" s="2745">
        <v>77</v>
      </c>
      <c r="O106" s="2761">
        <v>0</v>
      </c>
      <c r="P106" s="2745" t="e">
        <f>#REF!+#REF!+хозАДМ!#REF!+хозИНТ!P103</f>
        <v>#REF!</v>
      </c>
      <c r="Q106" s="2745">
        <f t="shared" si="24"/>
        <v>1926</v>
      </c>
      <c r="R106" s="2745" t="e">
        <f t="shared" si="15"/>
        <v>#REF!</v>
      </c>
      <c r="S106" s="2745"/>
      <c r="T106" s="2745" t="e">
        <f t="shared" si="12"/>
        <v>#REF!</v>
      </c>
      <c r="U106" s="2148">
        <v>1800</v>
      </c>
      <c r="V106" s="2148">
        <v>1.07</v>
      </c>
      <c r="W106" s="2745">
        <f t="shared" si="16"/>
        <v>2060.8200000000002</v>
      </c>
      <c r="X106" s="2745" t="e">
        <f t="shared" si="17"/>
        <v>#REF!</v>
      </c>
      <c r="Y106" s="2745"/>
      <c r="Z106" s="2745" t="e">
        <f t="shared" si="13"/>
        <v>#REF!</v>
      </c>
      <c r="AA106" s="2745">
        <f t="shared" si="18"/>
        <v>2205.08</v>
      </c>
      <c r="AB106" s="2745" t="e">
        <f t="shared" si="19"/>
        <v>#REF!</v>
      </c>
      <c r="AC106" s="2745"/>
      <c r="AD106" s="2745" t="e">
        <f t="shared" si="14"/>
        <v>#REF!</v>
      </c>
      <c r="AE106" s="2148"/>
      <c r="AF106" s="2148"/>
      <c r="AG106" s="2148"/>
      <c r="AH106" s="2148"/>
      <c r="AI106" s="2148"/>
      <c r="AJ106" s="2148"/>
      <c r="AK106" s="2148"/>
      <c r="AL106" s="2148"/>
      <c r="AM106" s="2148"/>
    </row>
    <row r="107" spans="1:39" s="2161" customFormat="1" ht="21.75" customHeight="1">
      <c r="A107" s="2743">
        <v>98</v>
      </c>
      <c r="B107" s="2744" t="s">
        <v>1742</v>
      </c>
      <c r="C107" s="2744" t="s">
        <v>2410</v>
      </c>
      <c r="D107" s="2745" t="s">
        <v>1525</v>
      </c>
      <c r="E107" s="2746">
        <v>16815.8</v>
      </c>
      <c r="F107" s="2745"/>
      <c r="G107" s="2746">
        <f t="shared" si="23"/>
        <v>16815.8</v>
      </c>
      <c r="H107" s="2745"/>
      <c r="I107" s="2747"/>
      <c r="J107" s="2747"/>
      <c r="K107" s="2745"/>
      <c r="L107" s="2744">
        <v>5</v>
      </c>
      <c r="M107" s="2745"/>
      <c r="N107" s="2745">
        <v>16</v>
      </c>
      <c r="O107" s="2761">
        <v>0</v>
      </c>
      <c r="P107" s="2745" t="e">
        <f>#REF!+#REF!+хозАДМ!P58+хозИНТ!P104</f>
        <v>#REF!</v>
      </c>
      <c r="Q107" s="2745">
        <f t="shared" si="24"/>
        <v>4601</v>
      </c>
      <c r="R107" s="2745" t="e">
        <f t="shared" si="15"/>
        <v>#REF!</v>
      </c>
      <c r="S107" s="2745"/>
      <c r="T107" s="2745" t="e">
        <f t="shared" ref="T107:T114" si="25">R107-S107</f>
        <v>#REF!</v>
      </c>
      <c r="U107" s="2148">
        <v>4300</v>
      </c>
      <c r="V107" s="2148">
        <v>1.07</v>
      </c>
      <c r="W107" s="2745">
        <f t="shared" si="16"/>
        <v>4923.07</v>
      </c>
      <c r="X107" s="2745" t="e">
        <f t="shared" si="17"/>
        <v>#REF!</v>
      </c>
      <c r="Y107" s="2745"/>
      <c r="Z107" s="2745" t="e">
        <f t="shared" si="13"/>
        <v>#REF!</v>
      </c>
      <c r="AA107" s="2745">
        <f t="shared" si="18"/>
        <v>5267.68</v>
      </c>
      <c r="AB107" s="2745" t="e">
        <f t="shared" si="19"/>
        <v>#REF!</v>
      </c>
      <c r="AC107" s="2745"/>
      <c r="AD107" s="2745" t="e">
        <f t="shared" si="14"/>
        <v>#REF!</v>
      </c>
      <c r="AE107" s="2148"/>
      <c r="AF107" s="2148"/>
      <c r="AG107" s="2148"/>
      <c r="AH107" s="2148"/>
      <c r="AI107" s="2148"/>
      <c r="AJ107" s="2148"/>
      <c r="AK107" s="2148"/>
      <c r="AL107" s="2148"/>
      <c r="AM107" s="2148"/>
    </row>
    <row r="108" spans="1:39" ht="24">
      <c r="A108" s="2074">
        <v>99</v>
      </c>
      <c r="B108" s="2068" t="s">
        <v>1308</v>
      </c>
      <c r="C108" s="2068" t="s">
        <v>2411</v>
      </c>
      <c r="D108" s="2071" t="s">
        <v>1525</v>
      </c>
      <c r="E108" s="2070">
        <v>16815.8</v>
      </c>
      <c r="F108" s="2071"/>
      <c r="G108" s="2070">
        <f t="shared" si="23"/>
        <v>16815.8</v>
      </c>
      <c r="H108" s="2071"/>
      <c r="I108" s="2067"/>
      <c r="J108" s="2067"/>
      <c r="K108" s="2071"/>
      <c r="L108" s="2068">
        <v>10</v>
      </c>
      <c r="M108" s="2071"/>
      <c r="N108" s="2735"/>
      <c r="O108" s="2760"/>
      <c r="P108" s="2719" t="e">
        <f>#REF!+#REF!+хозАДМ!P59+хозИНТ!P105</f>
        <v>#REF!</v>
      </c>
      <c r="Q108" s="2071">
        <f t="shared" si="24"/>
        <v>5457</v>
      </c>
      <c r="R108" s="2071" t="e">
        <f t="shared" si="15"/>
        <v>#REF!</v>
      </c>
      <c r="S108" s="2071"/>
      <c r="T108" s="2071" t="e">
        <f t="shared" si="25"/>
        <v>#REF!</v>
      </c>
      <c r="U108" s="2135">
        <v>5100</v>
      </c>
      <c r="V108" s="2135">
        <v>1.07</v>
      </c>
      <c r="W108" s="2071">
        <f t="shared" si="16"/>
        <v>5838.99</v>
      </c>
      <c r="X108" s="2071" t="e">
        <f t="shared" si="17"/>
        <v>#REF!</v>
      </c>
      <c r="Y108" s="2071"/>
      <c r="Z108" s="2071" t="e">
        <f t="shared" si="13"/>
        <v>#REF!</v>
      </c>
      <c r="AA108" s="2071">
        <f t="shared" si="18"/>
        <v>6247.72</v>
      </c>
      <c r="AB108" s="2071" t="e">
        <f t="shared" si="19"/>
        <v>#REF!</v>
      </c>
      <c r="AC108" s="2071"/>
      <c r="AD108" s="2071" t="e">
        <f t="shared" si="14"/>
        <v>#REF!</v>
      </c>
      <c r="AE108" s="2135"/>
      <c r="AF108" s="2135"/>
      <c r="AG108" s="2135"/>
      <c r="AH108" s="2135"/>
      <c r="AI108" s="2135"/>
      <c r="AJ108" s="2135"/>
      <c r="AK108" s="2135"/>
      <c r="AL108" s="2135"/>
      <c r="AM108" s="2135"/>
    </row>
    <row r="109" spans="1:39" s="2161" customFormat="1" ht="24">
      <c r="A109" s="2074">
        <v>100</v>
      </c>
      <c r="B109" s="2068" t="s">
        <v>1585</v>
      </c>
      <c r="C109" s="2068" t="s">
        <v>1586</v>
      </c>
      <c r="D109" s="2071" t="s">
        <v>1587</v>
      </c>
      <c r="E109" s="2070">
        <v>16815.8</v>
      </c>
      <c r="F109" s="2067"/>
      <c r="G109" s="2070">
        <f t="shared" si="23"/>
        <v>16815.8</v>
      </c>
      <c r="H109" s="2067"/>
      <c r="I109" s="2067"/>
      <c r="J109" s="2067"/>
      <c r="K109" s="2067"/>
      <c r="L109" s="2068">
        <v>2</v>
      </c>
      <c r="M109" s="2071"/>
      <c r="N109" s="2734">
        <v>3</v>
      </c>
      <c r="O109" s="2759"/>
      <c r="P109" s="2719" t="e">
        <f>#REF!+#REF!+хозАДМ!P60+хозИНТ!P106</f>
        <v>#REF!</v>
      </c>
      <c r="Q109" s="2071">
        <f t="shared" si="24"/>
        <v>22694.7</v>
      </c>
      <c r="R109" s="2071" t="e">
        <f t="shared" si="15"/>
        <v>#REF!</v>
      </c>
      <c r="S109" s="2071"/>
      <c r="T109" s="2071" t="e">
        <f t="shared" si="25"/>
        <v>#REF!</v>
      </c>
      <c r="U109" s="2135">
        <v>21210</v>
      </c>
      <c r="V109" s="2135">
        <v>1.07</v>
      </c>
      <c r="W109" s="2071">
        <f t="shared" si="16"/>
        <v>24283.33</v>
      </c>
      <c r="X109" s="2071" t="e">
        <f t="shared" si="17"/>
        <v>#REF!</v>
      </c>
      <c r="Y109" s="2071"/>
      <c r="Z109" s="2071" t="e">
        <f t="shared" si="13"/>
        <v>#REF!</v>
      </c>
      <c r="AA109" s="2071">
        <f t="shared" si="18"/>
        <v>25983.16</v>
      </c>
      <c r="AB109" s="2071" t="e">
        <f t="shared" si="19"/>
        <v>#REF!</v>
      </c>
      <c r="AC109" s="2071"/>
      <c r="AD109" s="2071" t="e">
        <f t="shared" si="14"/>
        <v>#REF!</v>
      </c>
      <c r="AE109" s="2135"/>
      <c r="AF109" s="2135"/>
      <c r="AG109" s="2135"/>
      <c r="AH109" s="2135"/>
      <c r="AI109" s="2135"/>
      <c r="AJ109" s="2135"/>
      <c r="AK109" s="2135"/>
      <c r="AL109" s="2135"/>
      <c r="AM109" s="2135"/>
    </row>
    <row r="110" spans="1:39" s="2161" customFormat="1">
      <c r="A110" s="2743">
        <v>101</v>
      </c>
      <c r="B110" s="2744" t="s">
        <v>2412</v>
      </c>
      <c r="C110" s="2744" t="s">
        <v>2413</v>
      </c>
      <c r="D110" s="2745" t="s">
        <v>1268</v>
      </c>
      <c r="E110" s="2746">
        <v>16815.8</v>
      </c>
      <c r="F110" s="2745"/>
      <c r="G110" s="2746">
        <f t="shared" si="23"/>
        <v>16815.8</v>
      </c>
      <c r="H110" s="2745"/>
      <c r="I110" s="2747"/>
      <c r="J110" s="2747"/>
      <c r="K110" s="2745"/>
      <c r="L110" s="2744">
        <v>5</v>
      </c>
      <c r="M110" s="2744"/>
      <c r="N110" s="2745">
        <v>3</v>
      </c>
      <c r="O110" s="2761">
        <v>3</v>
      </c>
      <c r="P110" s="2745" t="e">
        <f>#REF!+#REF!+хозАДМ!P61+хозИНТ!P107</f>
        <v>#REF!</v>
      </c>
      <c r="Q110" s="2745">
        <f t="shared" si="24"/>
        <v>1926</v>
      </c>
      <c r="R110" s="2745" t="e">
        <f t="shared" si="15"/>
        <v>#REF!</v>
      </c>
      <c r="S110" s="2745"/>
      <c r="T110" s="2745" t="e">
        <f t="shared" si="25"/>
        <v>#REF!</v>
      </c>
      <c r="U110" s="2148">
        <v>1800</v>
      </c>
      <c r="V110" s="2148">
        <v>1.07</v>
      </c>
      <c r="W110" s="2745">
        <f t="shared" si="16"/>
        <v>2060.8200000000002</v>
      </c>
      <c r="X110" s="2745" t="e">
        <f t="shared" si="17"/>
        <v>#REF!</v>
      </c>
      <c r="Y110" s="2745"/>
      <c r="Z110" s="2745" t="e">
        <f t="shared" si="13"/>
        <v>#REF!</v>
      </c>
      <c r="AA110" s="2745">
        <f t="shared" si="18"/>
        <v>2205.08</v>
      </c>
      <c r="AB110" s="2745" t="e">
        <f t="shared" si="19"/>
        <v>#REF!</v>
      </c>
      <c r="AC110" s="2745"/>
      <c r="AD110" s="2745" t="e">
        <f t="shared" si="14"/>
        <v>#REF!</v>
      </c>
      <c r="AE110" s="2148"/>
      <c r="AF110" s="2148"/>
      <c r="AG110" s="2148"/>
      <c r="AH110" s="2148"/>
      <c r="AI110" s="2148"/>
      <c r="AJ110" s="2148"/>
      <c r="AK110" s="2148"/>
      <c r="AL110" s="2148"/>
      <c r="AM110" s="2148"/>
    </row>
    <row r="111" spans="1:39" s="2161" customFormat="1" ht="36">
      <c r="A111" s="2743">
        <v>102</v>
      </c>
      <c r="B111" s="2744" t="s">
        <v>2414</v>
      </c>
      <c r="C111" s="2744" t="s">
        <v>2415</v>
      </c>
      <c r="D111" s="2745" t="s">
        <v>1268</v>
      </c>
      <c r="E111" s="2746">
        <v>16815.8</v>
      </c>
      <c r="F111" s="2745"/>
      <c r="G111" s="2746">
        <f t="shared" si="23"/>
        <v>16815.8</v>
      </c>
      <c r="H111" s="2745"/>
      <c r="I111" s="2747"/>
      <c r="J111" s="2747"/>
      <c r="K111" s="2745"/>
      <c r="L111" s="2744">
        <v>10</v>
      </c>
      <c r="M111" s="2745"/>
      <c r="N111" s="2745">
        <v>23</v>
      </c>
      <c r="O111" s="2761">
        <v>0</v>
      </c>
      <c r="P111" s="2745" t="e">
        <f>#REF!+#REF!+хозАДМ!#REF!+хозИНТ!P108</f>
        <v>#REF!</v>
      </c>
      <c r="Q111" s="2745">
        <f>ROUND(U111*V111,2)</f>
        <v>642</v>
      </c>
      <c r="R111" s="2745" t="e">
        <f t="shared" si="15"/>
        <v>#REF!</v>
      </c>
      <c r="S111" s="2745"/>
      <c r="T111" s="2745" t="e">
        <f t="shared" si="25"/>
        <v>#REF!</v>
      </c>
      <c r="U111" s="2148">
        <v>600</v>
      </c>
      <c r="V111" s="2148">
        <v>1.07</v>
      </c>
      <c r="W111" s="2745">
        <f t="shared" si="16"/>
        <v>686.94</v>
      </c>
      <c r="X111" s="2745" t="e">
        <f t="shared" si="17"/>
        <v>#REF!</v>
      </c>
      <c r="Y111" s="2745"/>
      <c r="Z111" s="2745" t="e">
        <f t="shared" si="13"/>
        <v>#REF!</v>
      </c>
      <c r="AA111" s="2745">
        <f t="shared" si="18"/>
        <v>735.03</v>
      </c>
      <c r="AB111" s="2745" t="e">
        <f t="shared" si="19"/>
        <v>#REF!</v>
      </c>
      <c r="AC111" s="2745"/>
      <c r="AD111" s="2745" t="e">
        <f t="shared" si="14"/>
        <v>#REF!</v>
      </c>
      <c r="AE111" s="2148"/>
      <c r="AF111" s="2148"/>
      <c r="AG111" s="2148"/>
      <c r="AH111" s="2148"/>
      <c r="AI111" s="2148"/>
      <c r="AJ111" s="2148"/>
      <c r="AK111" s="2148"/>
      <c r="AL111" s="2148"/>
      <c r="AM111" s="2148"/>
    </row>
    <row r="112" spans="1:39" s="2161" customFormat="1" ht="24">
      <c r="A112" s="2074">
        <v>103</v>
      </c>
      <c r="B112" s="2068" t="s">
        <v>2416</v>
      </c>
      <c r="C112" s="2068" t="s">
        <v>2417</v>
      </c>
      <c r="D112" s="2071" t="s">
        <v>1268</v>
      </c>
      <c r="E112" s="2070">
        <v>16815.8</v>
      </c>
      <c r="F112" s="2071"/>
      <c r="G112" s="2070">
        <f t="shared" si="23"/>
        <v>16815.8</v>
      </c>
      <c r="H112" s="2071"/>
      <c r="I112" s="2067"/>
      <c r="J112" s="2067"/>
      <c r="K112" s="2071"/>
      <c r="L112" s="2068">
        <v>1</v>
      </c>
      <c r="M112" s="2071"/>
      <c r="N112" s="2735"/>
      <c r="O112" s="2760"/>
      <c r="P112" s="2719" t="e">
        <f>#REF!+#REF!+хозИНТ!P109</f>
        <v>#REF!</v>
      </c>
      <c r="Q112" s="2071">
        <f t="shared" si="24"/>
        <v>24610</v>
      </c>
      <c r="R112" s="2071" t="e">
        <f t="shared" si="15"/>
        <v>#REF!</v>
      </c>
      <c r="S112" s="2071"/>
      <c r="T112" s="2071" t="e">
        <f t="shared" si="25"/>
        <v>#REF!</v>
      </c>
      <c r="U112" s="2135">
        <v>23000</v>
      </c>
      <c r="V112" s="2135">
        <v>1.07</v>
      </c>
      <c r="W112" s="2071">
        <f t="shared" si="16"/>
        <v>26332.7</v>
      </c>
      <c r="X112" s="2071" t="e">
        <f t="shared" si="17"/>
        <v>#REF!</v>
      </c>
      <c r="Y112" s="2071"/>
      <c r="Z112" s="2071" t="e">
        <f t="shared" si="13"/>
        <v>#REF!</v>
      </c>
      <c r="AA112" s="2071">
        <f t="shared" si="18"/>
        <v>28175.99</v>
      </c>
      <c r="AB112" s="2071" t="e">
        <f t="shared" si="19"/>
        <v>#REF!</v>
      </c>
      <c r="AC112" s="2071"/>
      <c r="AD112" s="2071" t="e">
        <f t="shared" si="14"/>
        <v>#REF!</v>
      </c>
      <c r="AE112" s="2135"/>
      <c r="AF112" s="2135"/>
      <c r="AG112" s="2135"/>
      <c r="AH112" s="2135"/>
      <c r="AI112" s="2135"/>
      <c r="AJ112" s="2135"/>
      <c r="AK112" s="2135"/>
      <c r="AL112" s="2135"/>
      <c r="AM112" s="2135"/>
    </row>
    <row r="113" spans="1:39">
      <c r="A113" s="2074">
        <v>104</v>
      </c>
      <c r="B113" s="2068" t="s">
        <v>2418</v>
      </c>
      <c r="C113" s="2068" t="s">
        <v>2419</v>
      </c>
      <c r="D113" s="2071" t="s">
        <v>1268</v>
      </c>
      <c r="E113" s="2070">
        <v>16815.8</v>
      </c>
      <c r="F113" s="2071"/>
      <c r="G113" s="2070">
        <f t="shared" si="23"/>
        <v>16815.8</v>
      </c>
      <c r="H113" s="2071"/>
      <c r="I113" s="2067"/>
      <c r="J113" s="2067"/>
      <c r="K113" s="2071"/>
      <c r="L113" s="2068">
        <v>20</v>
      </c>
      <c r="M113" s="2068"/>
      <c r="N113" s="2735"/>
      <c r="O113" s="2760"/>
      <c r="P113" s="2719" t="e">
        <f>#REF!+#REF!+хозАДМ!#REF!+хозИНТ!P110</f>
        <v>#REF!</v>
      </c>
      <c r="Q113" s="2071">
        <f t="shared" si="24"/>
        <v>374.5</v>
      </c>
      <c r="R113" s="2071" t="e">
        <f t="shared" si="15"/>
        <v>#REF!</v>
      </c>
      <c r="S113" s="2071"/>
      <c r="T113" s="2071" t="e">
        <f t="shared" si="25"/>
        <v>#REF!</v>
      </c>
      <c r="U113" s="2135">
        <v>350</v>
      </c>
      <c r="V113" s="2135">
        <v>1.07</v>
      </c>
      <c r="W113" s="2071">
        <f t="shared" si="16"/>
        <v>400.72</v>
      </c>
      <c r="X113" s="2071" t="e">
        <f t="shared" si="17"/>
        <v>#REF!</v>
      </c>
      <c r="Y113" s="2071"/>
      <c r="Z113" s="2071" t="e">
        <f t="shared" si="13"/>
        <v>#REF!</v>
      </c>
      <c r="AA113" s="2071">
        <f t="shared" si="18"/>
        <v>428.77</v>
      </c>
      <c r="AB113" s="2071" t="e">
        <f t="shared" si="19"/>
        <v>#REF!</v>
      </c>
      <c r="AC113" s="2071"/>
      <c r="AD113" s="2071" t="e">
        <f t="shared" si="14"/>
        <v>#REF!</v>
      </c>
      <c r="AE113" s="2135"/>
      <c r="AF113" s="2135"/>
      <c r="AG113" s="2135"/>
      <c r="AH113" s="2135"/>
      <c r="AI113" s="2135"/>
      <c r="AJ113" s="2135"/>
      <c r="AK113" s="2135"/>
      <c r="AL113" s="2135"/>
      <c r="AM113" s="2135"/>
    </row>
    <row r="114" spans="1:39" s="2161" customFormat="1">
      <c r="A114" s="2074">
        <v>105</v>
      </c>
      <c r="B114" s="2068" t="s">
        <v>2420</v>
      </c>
      <c r="C114" s="2068" t="s">
        <v>2421</v>
      </c>
      <c r="D114" s="2071" t="s">
        <v>1268</v>
      </c>
      <c r="E114" s="2070">
        <v>16815.8</v>
      </c>
      <c r="F114" s="2071"/>
      <c r="G114" s="2070">
        <f t="shared" si="23"/>
        <v>16815.8</v>
      </c>
      <c r="H114" s="2067"/>
      <c r="I114" s="2067"/>
      <c r="J114" s="2067"/>
      <c r="K114" s="2067"/>
      <c r="L114" s="2068">
        <v>2</v>
      </c>
      <c r="M114" s="2068"/>
      <c r="N114" s="2734"/>
      <c r="O114" s="2759"/>
      <c r="P114" s="2719" t="e">
        <f>#REF!+#REF!+хозАДМ!P62+хозИНТ!P111</f>
        <v>#REF!</v>
      </c>
      <c r="Q114" s="2071">
        <f t="shared" si="24"/>
        <v>4815</v>
      </c>
      <c r="R114" s="2071" t="e">
        <f t="shared" si="15"/>
        <v>#REF!</v>
      </c>
      <c r="S114" s="2071"/>
      <c r="T114" s="2071" t="e">
        <f t="shared" si="25"/>
        <v>#REF!</v>
      </c>
      <c r="U114" s="2135">
        <v>4500</v>
      </c>
      <c r="V114" s="2135">
        <v>1.07</v>
      </c>
      <c r="W114" s="2071">
        <f t="shared" si="16"/>
        <v>5152.05</v>
      </c>
      <c r="X114" s="2071" t="e">
        <f t="shared" si="17"/>
        <v>#REF!</v>
      </c>
      <c r="Y114" s="2071"/>
      <c r="Z114" s="2071" t="e">
        <f t="shared" si="13"/>
        <v>#REF!</v>
      </c>
      <c r="AA114" s="2071">
        <f t="shared" si="18"/>
        <v>5512.69</v>
      </c>
      <c r="AB114" s="2071" t="e">
        <f t="shared" si="19"/>
        <v>#REF!</v>
      </c>
      <c r="AC114" s="2071"/>
      <c r="AD114" s="2071" t="e">
        <f t="shared" si="14"/>
        <v>#REF!</v>
      </c>
      <c r="AE114" s="2135"/>
      <c r="AF114" s="2135"/>
      <c r="AG114" s="2135"/>
      <c r="AH114" s="2135"/>
      <c r="AI114" s="2135"/>
      <c r="AJ114" s="2135"/>
      <c r="AK114" s="2135"/>
      <c r="AL114" s="2135"/>
      <c r="AM114" s="2135"/>
    </row>
    <row r="115" spans="1:39">
      <c r="A115" s="2074">
        <v>106</v>
      </c>
      <c r="B115" s="2068" t="s">
        <v>2422</v>
      </c>
      <c r="C115" s="2068" t="s">
        <v>1512</v>
      </c>
      <c r="D115" s="2071" t="s">
        <v>1268</v>
      </c>
      <c r="E115" s="2070">
        <v>16815.8</v>
      </c>
      <c r="F115" s="2067"/>
      <c r="G115" s="2070">
        <f t="shared" si="23"/>
        <v>16815.8</v>
      </c>
      <c r="H115" s="2067"/>
      <c r="I115" s="2067"/>
      <c r="J115" s="2067"/>
      <c r="K115" s="2067"/>
      <c r="L115" s="2068">
        <v>2</v>
      </c>
      <c r="M115" s="2068"/>
      <c r="N115" s="2734"/>
      <c r="O115" s="2759"/>
      <c r="P115" s="2719" t="e">
        <f>#REF!+#REF!+хозАДМ!P63+хозИНТ!P112</f>
        <v>#REF!</v>
      </c>
      <c r="Q115" s="2071">
        <f t="shared" si="24"/>
        <v>3317</v>
      </c>
      <c r="R115" s="2071" t="e">
        <f t="shared" si="15"/>
        <v>#REF!</v>
      </c>
      <c r="S115" s="2071"/>
      <c r="T115" s="2071" t="e">
        <f t="shared" ref="T115:T150" si="26">R115-S115</f>
        <v>#REF!</v>
      </c>
      <c r="U115" s="2135">
        <v>3100</v>
      </c>
      <c r="V115" s="2135">
        <v>1.07</v>
      </c>
      <c r="W115" s="2071">
        <f t="shared" si="16"/>
        <v>3549.19</v>
      </c>
      <c r="X115" s="2071" t="e">
        <f t="shared" si="17"/>
        <v>#REF!</v>
      </c>
      <c r="Y115" s="2071"/>
      <c r="Z115" s="2071" t="e">
        <f t="shared" si="13"/>
        <v>#REF!</v>
      </c>
      <c r="AA115" s="2071">
        <f t="shared" si="18"/>
        <v>3797.63</v>
      </c>
      <c r="AB115" s="2071" t="e">
        <f t="shared" si="19"/>
        <v>#REF!</v>
      </c>
      <c r="AC115" s="2071"/>
      <c r="AD115" s="2071" t="e">
        <f t="shared" si="14"/>
        <v>#REF!</v>
      </c>
      <c r="AE115" s="2135"/>
      <c r="AF115" s="2135"/>
      <c r="AG115" s="2135"/>
      <c r="AH115" s="2135"/>
      <c r="AI115" s="2135"/>
      <c r="AJ115" s="2135"/>
      <c r="AK115" s="2135"/>
      <c r="AL115" s="2135"/>
      <c r="AM115" s="2135"/>
    </row>
    <row r="116" spans="1:39">
      <c r="A116" s="2074">
        <v>107</v>
      </c>
      <c r="B116" s="2068" t="s">
        <v>2423</v>
      </c>
      <c r="C116" s="2068" t="s">
        <v>2424</v>
      </c>
      <c r="D116" s="2071" t="s">
        <v>1268</v>
      </c>
      <c r="E116" s="2070">
        <v>16815.8</v>
      </c>
      <c r="F116" s="2067"/>
      <c r="G116" s="2070">
        <f t="shared" si="23"/>
        <v>16815.8</v>
      </c>
      <c r="H116" s="2067"/>
      <c r="I116" s="2067"/>
      <c r="J116" s="2067"/>
      <c r="K116" s="2067"/>
      <c r="L116" s="2068">
        <v>3</v>
      </c>
      <c r="M116" s="2068"/>
      <c r="N116" s="2734"/>
      <c r="O116" s="2759"/>
      <c r="P116" s="2719" t="e">
        <f>#REF!+#REF!+хозАДМ!P64+хозИНТ!P113</f>
        <v>#REF!</v>
      </c>
      <c r="Q116" s="2071">
        <f t="shared" si="24"/>
        <v>1284</v>
      </c>
      <c r="R116" s="2071" t="e">
        <f t="shared" si="15"/>
        <v>#REF!</v>
      </c>
      <c r="S116" s="2071"/>
      <c r="T116" s="2071" t="e">
        <f t="shared" si="26"/>
        <v>#REF!</v>
      </c>
      <c r="U116" s="2135">
        <v>1200</v>
      </c>
      <c r="V116" s="2135">
        <v>1.07</v>
      </c>
      <c r="W116" s="2071">
        <f t="shared" si="16"/>
        <v>1373.88</v>
      </c>
      <c r="X116" s="2071" t="e">
        <f t="shared" si="17"/>
        <v>#REF!</v>
      </c>
      <c r="Y116" s="2071"/>
      <c r="Z116" s="2071" t="e">
        <f t="shared" si="13"/>
        <v>#REF!</v>
      </c>
      <c r="AA116" s="2071">
        <f t="shared" si="18"/>
        <v>1470.05</v>
      </c>
      <c r="AB116" s="2071" t="e">
        <f t="shared" si="19"/>
        <v>#REF!</v>
      </c>
      <c r="AC116" s="2071"/>
      <c r="AD116" s="2071" t="e">
        <f t="shared" si="14"/>
        <v>#REF!</v>
      </c>
      <c r="AE116" s="2135"/>
      <c r="AF116" s="2135"/>
      <c r="AG116" s="2135"/>
      <c r="AH116" s="2135"/>
      <c r="AI116" s="2135"/>
      <c r="AJ116" s="2135"/>
      <c r="AK116" s="2135"/>
      <c r="AL116" s="2135"/>
      <c r="AM116" s="2135"/>
    </row>
    <row r="117" spans="1:39" ht="24">
      <c r="A117" s="2074">
        <v>108</v>
      </c>
      <c r="B117" s="2068" t="s">
        <v>2425</v>
      </c>
      <c r="C117" s="2068" t="s">
        <v>2426</v>
      </c>
      <c r="D117" s="2071" t="s">
        <v>1268</v>
      </c>
      <c r="E117" s="2070">
        <v>16815.8</v>
      </c>
      <c r="F117" s="2071"/>
      <c r="G117" s="2070">
        <f t="shared" si="23"/>
        <v>16815.8</v>
      </c>
      <c r="H117" s="2071"/>
      <c r="I117" s="2067"/>
      <c r="J117" s="2067"/>
      <c r="K117" s="2071"/>
      <c r="L117" s="2068">
        <v>2</v>
      </c>
      <c r="M117" s="2068"/>
      <c r="N117" s="2735"/>
      <c r="O117" s="2760"/>
      <c r="P117" s="2719" t="e">
        <f>#REF!+#REF!+хозАДМ!P65+хозИНТ!P114</f>
        <v>#REF!</v>
      </c>
      <c r="Q117" s="2071">
        <f t="shared" si="24"/>
        <v>5564</v>
      </c>
      <c r="R117" s="2071" t="e">
        <f t="shared" si="15"/>
        <v>#REF!</v>
      </c>
      <c r="S117" s="2071"/>
      <c r="T117" s="2071" t="e">
        <f t="shared" si="26"/>
        <v>#REF!</v>
      </c>
      <c r="U117" s="2135">
        <v>5200</v>
      </c>
      <c r="V117" s="2135">
        <v>1.07</v>
      </c>
      <c r="W117" s="2071">
        <f t="shared" si="16"/>
        <v>5953.48</v>
      </c>
      <c r="X117" s="2071" t="e">
        <f t="shared" si="17"/>
        <v>#REF!</v>
      </c>
      <c r="Y117" s="2071"/>
      <c r="Z117" s="2071" t="e">
        <f t="shared" si="13"/>
        <v>#REF!</v>
      </c>
      <c r="AA117" s="2071">
        <f t="shared" si="18"/>
        <v>6370.22</v>
      </c>
      <c r="AB117" s="2071" t="e">
        <f t="shared" si="19"/>
        <v>#REF!</v>
      </c>
      <c r="AC117" s="2071"/>
      <c r="AD117" s="2071" t="e">
        <f t="shared" si="14"/>
        <v>#REF!</v>
      </c>
      <c r="AE117" s="2135"/>
      <c r="AF117" s="2135"/>
      <c r="AG117" s="2135"/>
      <c r="AH117" s="2135"/>
      <c r="AI117" s="2135"/>
      <c r="AJ117" s="2135"/>
      <c r="AK117" s="2135"/>
      <c r="AL117" s="2135"/>
      <c r="AM117" s="2135"/>
    </row>
    <row r="118" spans="1:39" s="2161" customFormat="1" ht="108">
      <c r="A118" s="2074">
        <v>109</v>
      </c>
      <c r="B118" s="2068" t="s">
        <v>1444</v>
      </c>
      <c r="C118" s="2068" t="s">
        <v>2427</v>
      </c>
      <c r="D118" s="2071" t="s">
        <v>1218</v>
      </c>
      <c r="E118" s="2070">
        <v>16815.8</v>
      </c>
      <c r="F118" s="2071"/>
      <c r="G118" s="2070">
        <f t="shared" si="23"/>
        <v>16815.8</v>
      </c>
      <c r="H118" s="2071"/>
      <c r="I118" s="2067"/>
      <c r="J118" s="2067"/>
      <c r="K118" s="2071"/>
      <c r="L118" s="2068">
        <v>25</v>
      </c>
      <c r="M118" s="2071"/>
      <c r="N118" s="2735"/>
      <c r="O118" s="2760"/>
      <c r="P118" s="2719" t="e">
        <f>#REF!+#REF!+хозИНТ!P115</f>
        <v>#REF!</v>
      </c>
      <c r="Q118" s="2071">
        <f t="shared" si="24"/>
        <v>1184.49</v>
      </c>
      <c r="R118" s="2071" t="e">
        <f t="shared" si="15"/>
        <v>#REF!</v>
      </c>
      <c r="S118" s="2071"/>
      <c r="T118" s="2071" t="e">
        <f t="shared" si="26"/>
        <v>#REF!</v>
      </c>
      <c r="U118" s="2135">
        <v>1107</v>
      </c>
      <c r="V118" s="2135">
        <v>1.07</v>
      </c>
      <c r="W118" s="2071">
        <f t="shared" si="16"/>
        <v>1267.4000000000001</v>
      </c>
      <c r="X118" s="2071" t="e">
        <f t="shared" si="17"/>
        <v>#REF!</v>
      </c>
      <c r="Y118" s="2071"/>
      <c r="Z118" s="2071" t="e">
        <f t="shared" si="13"/>
        <v>#REF!</v>
      </c>
      <c r="AA118" s="2071">
        <f t="shared" si="18"/>
        <v>1356.12</v>
      </c>
      <c r="AB118" s="2071" t="e">
        <f t="shared" si="19"/>
        <v>#REF!</v>
      </c>
      <c r="AC118" s="2071"/>
      <c r="AD118" s="2071" t="e">
        <f t="shared" si="14"/>
        <v>#REF!</v>
      </c>
      <c r="AE118" s="2135"/>
      <c r="AF118" s="2135"/>
      <c r="AG118" s="2135"/>
      <c r="AH118" s="2135"/>
      <c r="AI118" s="2135"/>
      <c r="AJ118" s="2135"/>
      <c r="AK118" s="2135"/>
      <c r="AL118" s="2135"/>
      <c r="AM118" s="2135"/>
    </row>
    <row r="119" spans="1:39">
      <c r="A119" s="2074">
        <v>110</v>
      </c>
      <c r="B119" s="2068" t="s">
        <v>2428</v>
      </c>
      <c r="C119" s="2068" t="s">
        <v>2429</v>
      </c>
      <c r="D119" s="2071" t="s">
        <v>1218</v>
      </c>
      <c r="E119" s="2070">
        <v>16815.8</v>
      </c>
      <c r="F119" s="2071"/>
      <c r="G119" s="2070">
        <f t="shared" ref="G119:G177" si="27">E119</f>
        <v>16815.8</v>
      </c>
      <c r="H119" s="2071"/>
      <c r="I119" s="2067"/>
      <c r="J119" s="2067"/>
      <c r="K119" s="2071"/>
      <c r="L119" s="2068">
        <v>30</v>
      </c>
      <c r="M119" s="2071"/>
      <c r="N119" s="2735"/>
      <c r="O119" s="2760"/>
      <c r="P119" s="2719" t="e">
        <f>#REF!+#REF!+хозИНТ!P116</f>
        <v>#REF!</v>
      </c>
      <c r="Q119" s="2071">
        <f t="shared" si="24"/>
        <v>593.85</v>
      </c>
      <c r="R119" s="2071" t="e">
        <f t="shared" si="15"/>
        <v>#REF!</v>
      </c>
      <c r="S119" s="2071"/>
      <c r="T119" s="2071" t="e">
        <f t="shared" si="26"/>
        <v>#REF!</v>
      </c>
      <c r="U119" s="2135">
        <v>555</v>
      </c>
      <c r="V119" s="2135">
        <v>1.07</v>
      </c>
      <c r="W119" s="2071">
        <f t="shared" si="16"/>
        <v>635.41999999999996</v>
      </c>
      <c r="X119" s="2071" t="e">
        <f t="shared" si="17"/>
        <v>#REF!</v>
      </c>
      <c r="Y119" s="2071"/>
      <c r="Z119" s="2071" t="e">
        <f t="shared" si="13"/>
        <v>#REF!</v>
      </c>
      <c r="AA119" s="2071">
        <f t="shared" si="18"/>
        <v>679.9</v>
      </c>
      <c r="AB119" s="2071" t="e">
        <f t="shared" si="19"/>
        <v>#REF!</v>
      </c>
      <c r="AC119" s="2071"/>
      <c r="AD119" s="2071" t="e">
        <f t="shared" si="14"/>
        <v>#REF!</v>
      </c>
      <c r="AE119" s="2135"/>
      <c r="AF119" s="2135"/>
      <c r="AG119" s="2135"/>
      <c r="AH119" s="2135"/>
      <c r="AI119" s="2135"/>
      <c r="AJ119" s="2135"/>
      <c r="AK119" s="2135"/>
      <c r="AL119" s="2135"/>
      <c r="AM119" s="2135"/>
    </row>
    <row r="120" spans="1:39">
      <c r="A120" s="2074">
        <v>111</v>
      </c>
      <c r="B120" s="2068" t="s">
        <v>2430</v>
      </c>
      <c r="C120" s="2068" t="s">
        <v>2431</v>
      </c>
      <c r="D120" s="2071" t="s">
        <v>1268</v>
      </c>
      <c r="E120" s="2070">
        <v>16815.8</v>
      </c>
      <c r="F120" s="2071"/>
      <c r="G120" s="2070">
        <f t="shared" si="27"/>
        <v>16815.8</v>
      </c>
      <c r="H120" s="2071"/>
      <c r="I120" s="2067"/>
      <c r="J120" s="2067"/>
      <c r="K120" s="2071"/>
      <c r="L120" s="2068">
        <v>30</v>
      </c>
      <c r="M120" s="2068"/>
      <c r="N120" s="2735"/>
      <c r="O120" s="2760"/>
      <c r="P120" s="2719" t="e">
        <f>#REF!+#REF!+хозИНТ!P117</f>
        <v>#REF!</v>
      </c>
      <c r="Q120" s="2071">
        <f t="shared" si="24"/>
        <v>1473.39</v>
      </c>
      <c r="R120" s="2071" t="e">
        <f t="shared" si="15"/>
        <v>#REF!</v>
      </c>
      <c r="S120" s="2071"/>
      <c r="T120" s="2071" t="e">
        <f t="shared" si="26"/>
        <v>#REF!</v>
      </c>
      <c r="U120" s="2135">
        <v>1377</v>
      </c>
      <c r="V120" s="2135">
        <v>1.07</v>
      </c>
      <c r="W120" s="2071">
        <f t="shared" si="16"/>
        <v>1576.53</v>
      </c>
      <c r="X120" s="2071" t="e">
        <f t="shared" si="17"/>
        <v>#REF!</v>
      </c>
      <c r="Y120" s="2071"/>
      <c r="Z120" s="2071" t="e">
        <f t="shared" si="13"/>
        <v>#REF!</v>
      </c>
      <c r="AA120" s="2071">
        <f t="shared" si="18"/>
        <v>1686.89</v>
      </c>
      <c r="AB120" s="2071" t="e">
        <f t="shared" si="19"/>
        <v>#REF!</v>
      </c>
      <c r="AC120" s="2071"/>
      <c r="AD120" s="2071" t="e">
        <f t="shared" si="14"/>
        <v>#REF!</v>
      </c>
      <c r="AE120" s="2135"/>
      <c r="AF120" s="2135"/>
      <c r="AG120" s="2135"/>
      <c r="AH120" s="2135"/>
      <c r="AI120" s="2135"/>
      <c r="AJ120" s="2135"/>
      <c r="AK120" s="2135"/>
      <c r="AL120" s="2135"/>
      <c r="AM120" s="2135"/>
    </row>
    <row r="121" spans="1:39" ht="15.75" customHeight="1">
      <c r="A121" s="2074">
        <v>112</v>
      </c>
      <c r="B121" s="2068" t="s">
        <v>2432</v>
      </c>
      <c r="C121" s="2068" t="s">
        <v>2433</v>
      </c>
      <c r="D121" s="2071" t="s">
        <v>1268</v>
      </c>
      <c r="E121" s="2070">
        <v>16815.8</v>
      </c>
      <c r="F121" s="2071"/>
      <c r="G121" s="2070">
        <f t="shared" si="27"/>
        <v>16815.8</v>
      </c>
      <c r="H121" s="2071"/>
      <c r="I121" s="2067"/>
      <c r="J121" s="2067"/>
      <c r="K121" s="2071"/>
      <c r="L121" s="2068">
        <v>10</v>
      </c>
      <c r="M121" s="2068"/>
      <c r="N121" s="2735"/>
      <c r="O121" s="2760"/>
      <c r="P121" s="2719" t="e">
        <f>#REF!+#REF!+хозИНТ!P118</f>
        <v>#REF!</v>
      </c>
      <c r="Q121" s="2071">
        <f t="shared" si="24"/>
        <v>1059.3</v>
      </c>
      <c r="R121" s="2071" t="e">
        <f t="shared" si="15"/>
        <v>#REF!</v>
      </c>
      <c r="S121" s="2071"/>
      <c r="T121" s="2071" t="e">
        <f t="shared" si="26"/>
        <v>#REF!</v>
      </c>
      <c r="U121" s="2135">
        <v>990</v>
      </c>
      <c r="V121" s="2135">
        <v>1.07</v>
      </c>
      <c r="W121" s="2071">
        <f t="shared" si="16"/>
        <v>1133.45</v>
      </c>
      <c r="X121" s="2071" t="e">
        <f t="shared" si="17"/>
        <v>#REF!</v>
      </c>
      <c r="Y121" s="2071"/>
      <c r="Z121" s="2071" t="e">
        <f t="shared" si="13"/>
        <v>#REF!</v>
      </c>
      <c r="AA121" s="2071">
        <f t="shared" si="18"/>
        <v>1212.79</v>
      </c>
      <c r="AB121" s="2071" t="e">
        <f t="shared" si="19"/>
        <v>#REF!</v>
      </c>
      <c r="AC121" s="2071"/>
      <c r="AD121" s="2071" t="e">
        <f t="shared" si="14"/>
        <v>#REF!</v>
      </c>
      <c r="AE121" s="2135"/>
      <c r="AF121" s="2135"/>
      <c r="AG121" s="2135"/>
      <c r="AH121" s="2135"/>
      <c r="AI121" s="2135"/>
      <c r="AJ121" s="2135"/>
      <c r="AK121" s="2135"/>
      <c r="AL121" s="2135"/>
      <c r="AM121" s="2135"/>
    </row>
    <row r="122" spans="1:39">
      <c r="A122" s="2074">
        <v>113</v>
      </c>
      <c r="B122" s="2068" t="s">
        <v>2432</v>
      </c>
      <c r="C122" s="2068" t="s">
        <v>2434</v>
      </c>
      <c r="D122" s="2071" t="s">
        <v>1268</v>
      </c>
      <c r="E122" s="2070">
        <v>16815.8</v>
      </c>
      <c r="F122" s="2067"/>
      <c r="G122" s="2070">
        <f t="shared" si="27"/>
        <v>16815.8</v>
      </c>
      <c r="H122" s="2067"/>
      <c r="I122" s="2067"/>
      <c r="J122" s="2067"/>
      <c r="K122" s="2067"/>
      <c r="L122" s="2068">
        <v>10</v>
      </c>
      <c r="M122" s="2068"/>
      <c r="N122" s="2734"/>
      <c r="O122" s="2759"/>
      <c r="P122" s="2719" t="e">
        <f>#REF!+#REF!+хозИНТ!P119</f>
        <v>#REF!</v>
      </c>
      <c r="Q122" s="2071">
        <f t="shared" si="24"/>
        <v>1386.72</v>
      </c>
      <c r="R122" s="2071" t="e">
        <f t="shared" si="15"/>
        <v>#REF!</v>
      </c>
      <c r="S122" s="2071"/>
      <c r="T122" s="2071" t="e">
        <f t="shared" si="26"/>
        <v>#REF!</v>
      </c>
      <c r="U122" s="2135">
        <v>1296</v>
      </c>
      <c r="V122" s="2135">
        <v>1.07</v>
      </c>
      <c r="W122" s="2071">
        <f t="shared" si="16"/>
        <v>1483.79</v>
      </c>
      <c r="X122" s="2071" t="e">
        <f t="shared" si="17"/>
        <v>#REF!</v>
      </c>
      <c r="Y122" s="2071"/>
      <c r="Z122" s="2071" t="e">
        <f t="shared" si="13"/>
        <v>#REF!</v>
      </c>
      <c r="AA122" s="2071">
        <f t="shared" si="18"/>
        <v>1587.66</v>
      </c>
      <c r="AB122" s="2071" t="e">
        <f t="shared" si="19"/>
        <v>#REF!</v>
      </c>
      <c r="AC122" s="2071"/>
      <c r="AD122" s="2071" t="e">
        <f t="shared" si="14"/>
        <v>#REF!</v>
      </c>
      <c r="AE122" s="2135"/>
      <c r="AF122" s="2135"/>
      <c r="AG122" s="2135"/>
      <c r="AH122" s="2135"/>
      <c r="AI122" s="2135"/>
      <c r="AJ122" s="2135"/>
      <c r="AK122" s="2135"/>
      <c r="AL122" s="2135"/>
      <c r="AM122" s="2135"/>
    </row>
    <row r="123" spans="1:39" s="2161" customFormat="1">
      <c r="A123" s="2743">
        <v>114</v>
      </c>
      <c r="B123" s="2744" t="s">
        <v>2435</v>
      </c>
      <c r="C123" s="2744" t="s">
        <v>2436</v>
      </c>
      <c r="D123" s="2745" t="s">
        <v>1268</v>
      </c>
      <c r="E123" s="2746">
        <v>16815.8</v>
      </c>
      <c r="F123" s="2747"/>
      <c r="G123" s="2746">
        <f t="shared" si="27"/>
        <v>16815.8</v>
      </c>
      <c r="H123" s="2747"/>
      <c r="I123" s="2747"/>
      <c r="J123" s="2747"/>
      <c r="K123" s="2747"/>
      <c r="L123" s="2744">
        <v>1000</v>
      </c>
      <c r="M123" s="2744"/>
      <c r="N123" s="2747">
        <f>4380/10+438</f>
        <v>876</v>
      </c>
      <c r="O123" s="2758">
        <v>200</v>
      </c>
      <c r="P123" s="2745" t="e">
        <f>#REF!+#REF!+хозИНТ!P120</f>
        <v>#REF!</v>
      </c>
      <c r="Q123" s="2745">
        <f t="shared" si="24"/>
        <v>20.329999999999998</v>
      </c>
      <c r="R123" s="2745" t="e">
        <f t="shared" si="15"/>
        <v>#REF!</v>
      </c>
      <c r="S123" s="2745"/>
      <c r="T123" s="2745" t="e">
        <f t="shared" si="26"/>
        <v>#REF!</v>
      </c>
      <c r="U123" s="2148">
        <v>19</v>
      </c>
      <c r="V123" s="2148">
        <v>1.07</v>
      </c>
      <c r="W123" s="2745">
        <f t="shared" si="16"/>
        <v>21.75</v>
      </c>
      <c r="X123" s="2745" t="e">
        <f t="shared" si="17"/>
        <v>#REF!</v>
      </c>
      <c r="Y123" s="2745"/>
      <c r="Z123" s="2745" t="e">
        <f t="shared" si="13"/>
        <v>#REF!</v>
      </c>
      <c r="AA123" s="2745">
        <f t="shared" si="18"/>
        <v>23.27</v>
      </c>
      <c r="AB123" s="2745" t="e">
        <f t="shared" si="19"/>
        <v>#REF!</v>
      </c>
      <c r="AC123" s="2745"/>
      <c r="AD123" s="2745" t="e">
        <f t="shared" si="14"/>
        <v>#REF!</v>
      </c>
      <c r="AE123" s="2148"/>
      <c r="AF123" s="2148"/>
      <c r="AG123" s="2148"/>
      <c r="AH123" s="2148"/>
      <c r="AI123" s="2148"/>
      <c r="AJ123" s="2148"/>
      <c r="AK123" s="2148"/>
      <c r="AL123" s="2148"/>
      <c r="AM123" s="2148"/>
    </row>
    <row r="124" spans="1:39" s="2161" customFormat="1">
      <c r="A124" s="2743">
        <v>115</v>
      </c>
      <c r="B124" s="2744" t="s">
        <v>2435</v>
      </c>
      <c r="C124" s="2744" t="s">
        <v>2437</v>
      </c>
      <c r="D124" s="2745" t="s">
        <v>1268</v>
      </c>
      <c r="E124" s="2746">
        <v>16815.8</v>
      </c>
      <c r="F124" s="2747"/>
      <c r="G124" s="2746">
        <f t="shared" si="27"/>
        <v>16815.8</v>
      </c>
      <c r="H124" s="2747"/>
      <c r="I124" s="2747"/>
      <c r="J124" s="2747"/>
      <c r="K124" s="2747"/>
      <c r="L124" s="2744">
        <v>500</v>
      </c>
      <c r="M124" s="2744"/>
      <c r="N124" s="2747">
        <f t="shared" ref="N124:N131" si="28">4380/10</f>
        <v>438</v>
      </c>
      <c r="O124" s="2758">
        <v>200</v>
      </c>
      <c r="P124" s="2745" t="e">
        <f>#REF!+#REF!+хозИНТ!P121</f>
        <v>#REF!</v>
      </c>
      <c r="Q124" s="2745">
        <f t="shared" si="24"/>
        <v>27.82</v>
      </c>
      <c r="R124" s="2745" t="e">
        <f t="shared" si="15"/>
        <v>#REF!</v>
      </c>
      <c r="S124" s="2745"/>
      <c r="T124" s="2745" t="e">
        <f t="shared" si="26"/>
        <v>#REF!</v>
      </c>
      <c r="U124" s="2148">
        <v>26</v>
      </c>
      <c r="V124" s="2148">
        <v>1.07</v>
      </c>
      <c r="W124" s="2745">
        <f t="shared" si="16"/>
        <v>29.77</v>
      </c>
      <c r="X124" s="2745" t="e">
        <f t="shared" si="17"/>
        <v>#REF!</v>
      </c>
      <c r="Y124" s="2745"/>
      <c r="Z124" s="2745" t="e">
        <f t="shared" si="13"/>
        <v>#REF!</v>
      </c>
      <c r="AA124" s="2745">
        <f t="shared" si="18"/>
        <v>31.85</v>
      </c>
      <c r="AB124" s="2745" t="e">
        <f t="shared" si="19"/>
        <v>#REF!</v>
      </c>
      <c r="AC124" s="2745"/>
      <c r="AD124" s="2745" t="e">
        <f t="shared" si="14"/>
        <v>#REF!</v>
      </c>
      <c r="AE124" s="2148"/>
      <c r="AF124" s="2148"/>
      <c r="AG124" s="2148"/>
      <c r="AH124" s="2148"/>
      <c r="AI124" s="2148"/>
      <c r="AJ124" s="2148"/>
      <c r="AK124" s="2148"/>
      <c r="AL124" s="2148"/>
      <c r="AM124" s="2148"/>
    </row>
    <row r="125" spans="1:39" s="2161" customFormat="1">
      <c r="A125" s="2743">
        <v>116</v>
      </c>
      <c r="B125" s="2744" t="s">
        <v>2435</v>
      </c>
      <c r="C125" s="2744" t="s">
        <v>2438</v>
      </c>
      <c r="D125" s="2745" t="s">
        <v>1268</v>
      </c>
      <c r="E125" s="2746">
        <v>16815.8</v>
      </c>
      <c r="F125" s="2747"/>
      <c r="G125" s="2746">
        <f t="shared" si="27"/>
        <v>16815.8</v>
      </c>
      <c r="H125" s="2747"/>
      <c r="I125" s="2747"/>
      <c r="J125" s="2747"/>
      <c r="K125" s="2747"/>
      <c r="L125" s="2744">
        <v>500</v>
      </c>
      <c r="M125" s="2744"/>
      <c r="N125" s="2747">
        <f t="shared" si="28"/>
        <v>438</v>
      </c>
      <c r="O125" s="2758">
        <v>200</v>
      </c>
      <c r="P125" s="2745" t="e">
        <f>#REF!+#REF!+хозИНТ!P122</f>
        <v>#REF!</v>
      </c>
      <c r="Q125" s="2745">
        <f t="shared" si="24"/>
        <v>33.17</v>
      </c>
      <c r="R125" s="2745" t="e">
        <f t="shared" si="15"/>
        <v>#REF!</v>
      </c>
      <c r="S125" s="2745"/>
      <c r="T125" s="2745" t="e">
        <f t="shared" si="26"/>
        <v>#REF!</v>
      </c>
      <c r="U125" s="2148">
        <v>31</v>
      </c>
      <c r="V125" s="2148">
        <v>1.07</v>
      </c>
      <c r="W125" s="2745">
        <f t="shared" si="16"/>
        <v>35.49</v>
      </c>
      <c r="X125" s="2745" t="e">
        <f t="shared" si="17"/>
        <v>#REF!</v>
      </c>
      <c r="Y125" s="2745"/>
      <c r="Z125" s="2745" t="e">
        <f t="shared" si="13"/>
        <v>#REF!</v>
      </c>
      <c r="AA125" s="2745">
        <f t="shared" si="18"/>
        <v>37.97</v>
      </c>
      <c r="AB125" s="2745" t="e">
        <f t="shared" si="19"/>
        <v>#REF!</v>
      </c>
      <c r="AC125" s="2745"/>
      <c r="AD125" s="2745" t="e">
        <f t="shared" si="14"/>
        <v>#REF!</v>
      </c>
      <c r="AE125" s="2148"/>
      <c r="AF125" s="2148"/>
      <c r="AG125" s="2148"/>
      <c r="AH125" s="2148"/>
      <c r="AI125" s="2148"/>
      <c r="AJ125" s="2148"/>
      <c r="AK125" s="2148"/>
      <c r="AL125" s="2148"/>
      <c r="AM125" s="2148"/>
    </row>
    <row r="126" spans="1:39" s="2161" customFormat="1">
      <c r="A126" s="2743">
        <v>117</v>
      </c>
      <c r="B126" s="2744" t="s">
        <v>2435</v>
      </c>
      <c r="C126" s="2744" t="s">
        <v>2439</v>
      </c>
      <c r="D126" s="2745" t="s">
        <v>1268</v>
      </c>
      <c r="E126" s="2746">
        <v>16815.8</v>
      </c>
      <c r="F126" s="2747"/>
      <c r="G126" s="2746">
        <f t="shared" si="27"/>
        <v>16815.8</v>
      </c>
      <c r="H126" s="2747"/>
      <c r="I126" s="2747"/>
      <c r="J126" s="2747"/>
      <c r="K126" s="2747"/>
      <c r="L126" s="2744">
        <v>200</v>
      </c>
      <c r="M126" s="2744"/>
      <c r="N126" s="2747">
        <f t="shared" si="28"/>
        <v>438</v>
      </c>
      <c r="O126" s="2758">
        <v>200</v>
      </c>
      <c r="P126" s="2745" t="e">
        <f>#REF!+#REF!+хозИНТ!P123</f>
        <v>#REF!</v>
      </c>
      <c r="Q126" s="2745">
        <f t="shared" si="24"/>
        <v>40.659999999999997</v>
      </c>
      <c r="R126" s="2745" t="e">
        <f t="shared" si="15"/>
        <v>#REF!</v>
      </c>
      <c r="S126" s="2745"/>
      <c r="T126" s="2745" t="e">
        <f t="shared" si="26"/>
        <v>#REF!</v>
      </c>
      <c r="U126" s="2148">
        <v>38</v>
      </c>
      <c r="V126" s="2148">
        <v>1.07</v>
      </c>
      <c r="W126" s="2745">
        <f t="shared" si="16"/>
        <v>43.51</v>
      </c>
      <c r="X126" s="2745" t="e">
        <f t="shared" si="17"/>
        <v>#REF!</v>
      </c>
      <c r="Y126" s="2745"/>
      <c r="Z126" s="2745" t="e">
        <f t="shared" si="13"/>
        <v>#REF!</v>
      </c>
      <c r="AA126" s="2745">
        <f t="shared" si="18"/>
        <v>46.56</v>
      </c>
      <c r="AB126" s="2745" t="e">
        <f t="shared" si="19"/>
        <v>#REF!</v>
      </c>
      <c r="AC126" s="2745"/>
      <c r="AD126" s="2745" t="e">
        <f t="shared" si="14"/>
        <v>#REF!</v>
      </c>
      <c r="AE126" s="2148"/>
      <c r="AF126" s="2148"/>
      <c r="AG126" s="2148"/>
      <c r="AH126" s="2148"/>
      <c r="AI126" s="2148"/>
      <c r="AJ126" s="2148"/>
      <c r="AK126" s="2148"/>
      <c r="AL126" s="2148"/>
      <c r="AM126" s="2148"/>
    </row>
    <row r="127" spans="1:39" s="2161" customFormat="1">
      <c r="A127" s="2743">
        <v>118</v>
      </c>
      <c r="B127" s="2744" t="s">
        <v>2435</v>
      </c>
      <c r="C127" s="2744" t="s">
        <v>2440</v>
      </c>
      <c r="D127" s="2745" t="s">
        <v>1268</v>
      </c>
      <c r="E127" s="2746">
        <v>16815.8</v>
      </c>
      <c r="F127" s="2745"/>
      <c r="G127" s="2746">
        <f t="shared" si="27"/>
        <v>16815.8</v>
      </c>
      <c r="H127" s="2745"/>
      <c r="I127" s="2747"/>
      <c r="J127" s="2747"/>
      <c r="K127" s="2745"/>
      <c r="L127" s="2744">
        <v>200</v>
      </c>
      <c r="M127" s="2745"/>
      <c r="N127" s="2747">
        <f t="shared" si="28"/>
        <v>438</v>
      </c>
      <c r="O127" s="2758">
        <v>200</v>
      </c>
      <c r="P127" s="2745" t="e">
        <f>#REF!+#REF!+хозИНТ!P124</f>
        <v>#REF!</v>
      </c>
      <c r="Q127" s="2745">
        <f t="shared" si="24"/>
        <v>62.06</v>
      </c>
      <c r="R127" s="2745" t="e">
        <f t="shared" si="15"/>
        <v>#REF!</v>
      </c>
      <c r="S127" s="2745"/>
      <c r="T127" s="2745" t="e">
        <f t="shared" si="26"/>
        <v>#REF!</v>
      </c>
      <c r="U127" s="2148">
        <v>58</v>
      </c>
      <c r="V127" s="2148">
        <v>1.07</v>
      </c>
      <c r="W127" s="2745">
        <f t="shared" si="16"/>
        <v>66.400000000000006</v>
      </c>
      <c r="X127" s="2745" t="e">
        <f t="shared" si="17"/>
        <v>#REF!</v>
      </c>
      <c r="Y127" s="2745"/>
      <c r="Z127" s="2745" t="e">
        <f t="shared" si="13"/>
        <v>#REF!</v>
      </c>
      <c r="AA127" s="2745">
        <f t="shared" si="18"/>
        <v>71.05</v>
      </c>
      <c r="AB127" s="2745" t="e">
        <f t="shared" si="19"/>
        <v>#REF!</v>
      </c>
      <c r="AC127" s="2745"/>
      <c r="AD127" s="2745" t="e">
        <f t="shared" si="14"/>
        <v>#REF!</v>
      </c>
      <c r="AE127" s="2148"/>
      <c r="AF127" s="2148"/>
      <c r="AG127" s="2148"/>
      <c r="AH127" s="2148"/>
      <c r="AI127" s="2148"/>
      <c r="AJ127" s="2148"/>
      <c r="AK127" s="2148"/>
      <c r="AL127" s="2148"/>
      <c r="AM127" s="2148"/>
    </row>
    <row r="128" spans="1:39" s="2161" customFormat="1">
      <c r="A128" s="2743">
        <v>119</v>
      </c>
      <c r="B128" s="2744" t="s">
        <v>2435</v>
      </c>
      <c r="C128" s="2744" t="s">
        <v>2441</v>
      </c>
      <c r="D128" s="2745" t="s">
        <v>1268</v>
      </c>
      <c r="E128" s="2746">
        <v>16815.8</v>
      </c>
      <c r="F128" s="2745"/>
      <c r="G128" s="2746">
        <f t="shared" si="27"/>
        <v>16815.8</v>
      </c>
      <c r="H128" s="2747"/>
      <c r="I128" s="2747"/>
      <c r="J128" s="2747"/>
      <c r="K128" s="2747"/>
      <c r="L128" s="2744">
        <v>200</v>
      </c>
      <c r="M128" s="2744"/>
      <c r="N128" s="2747">
        <f t="shared" si="28"/>
        <v>438</v>
      </c>
      <c r="O128" s="2758">
        <v>200</v>
      </c>
      <c r="P128" s="2745" t="e">
        <f>#REF!+#REF!+хозИНТ!P125</f>
        <v>#REF!</v>
      </c>
      <c r="Q128" s="2745">
        <f t="shared" si="24"/>
        <v>18.190000000000001</v>
      </c>
      <c r="R128" s="2745" t="e">
        <f t="shared" si="15"/>
        <v>#REF!</v>
      </c>
      <c r="S128" s="2745"/>
      <c r="T128" s="2745" t="e">
        <f t="shared" si="26"/>
        <v>#REF!</v>
      </c>
      <c r="U128" s="2148">
        <v>17</v>
      </c>
      <c r="V128" s="2148">
        <v>1.07</v>
      </c>
      <c r="W128" s="2745">
        <f t="shared" si="16"/>
        <v>19.46</v>
      </c>
      <c r="X128" s="2745" t="e">
        <f t="shared" si="17"/>
        <v>#REF!</v>
      </c>
      <c r="Y128" s="2745"/>
      <c r="Z128" s="2745" t="e">
        <f t="shared" si="13"/>
        <v>#REF!</v>
      </c>
      <c r="AA128" s="2745">
        <f t="shared" si="18"/>
        <v>20.82</v>
      </c>
      <c r="AB128" s="2745" t="e">
        <f t="shared" si="19"/>
        <v>#REF!</v>
      </c>
      <c r="AC128" s="2745"/>
      <c r="AD128" s="2745" t="e">
        <f t="shared" si="14"/>
        <v>#REF!</v>
      </c>
      <c r="AE128" s="2148"/>
      <c r="AF128" s="2148"/>
      <c r="AG128" s="2148"/>
      <c r="AH128" s="2148"/>
      <c r="AI128" s="2148"/>
      <c r="AJ128" s="2148"/>
      <c r="AK128" s="2148"/>
      <c r="AL128" s="2148"/>
      <c r="AM128" s="2148"/>
    </row>
    <row r="129" spans="1:39" s="2161" customFormat="1">
      <c r="A129" s="2743">
        <v>120</v>
      </c>
      <c r="B129" s="2744" t="s">
        <v>2435</v>
      </c>
      <c r="C129" s="2744" t="s">
        <v>2442</v>
      </c>
      <c r="D129" s="2745" t="s">
        <v>1268</v>
      </c>
      <c r="E129" s="2746">
        <v>16815.8</v>
      </c>
      <c r="F129" s="2745"/>
      <c r="G129" s="2746">
        <f t="shared" si="27"/>
        <v>16815.8</v>
      </c>
      <c r="H129" s="2745"/>
      <c r="I129" s="2747"/>
      <c r="J129" s="2747"/>
      <c r="K129" s="2745"/>
      <c r="L129" s="2744">
        <v>200</v>
      </c>
      <c r="M129" s="2744"/>
      <c r="N129" s="2747">
        <f t="shared" si="28"/>
        <v>438</v>
      </c>
      <c r="O129" s="2758">
        <v>200</v>
      </c>
      <c r="P129" s="2745" t="e">
        <f>#REF!+#REF!+хозИНТ!P126</f>
        <v>#REF!</v>
      </c>
      <c r="Q129" s="2745">
        <f t="shared" si="24"/>
        <v>47.08</v>
      </c>
      <c r="R129" s="2745" t="e">
        <f t="shared" si="15"/>
        <v>#REF!</v>
      </c>
      <c r="S129" s="2745"/>
      <c r="T129" s="2745" t="e">
        <f t="shared" si="26"/>
        <v>#REF!</v>
      </c>
      <c r="U129" s="2148">
        <v>44</v>
      </c>
      <c r="V129" s="2148">
        <v>1.07</v>
      </c>
      <c r="W129" s="2745">
        <f t="shared" si="16"/>
        <v>50.38</v>
      </c>
      <c r="X129" s="2745" t="e">
        <f t="shared" si="17"/>
        <v>#REF!</v>
      </c>
      <c r="Y129" s="2745"/>
      <c r="Z129" s="2745" t="e">
        <f t="shared" si="13"/>
        <v>#REF!</v>
      </c>
      <c r="AA129" s="2745">
        <f t="shared" si="18"/>
        <v>53.91</v>
      </c>
      <c r="AB129" s="2745" t="e">
        <f t="shared" si="19"/>
        <v>#REF!</v>
      </c>
      <c r="AC129" s="2745"/>
      <c r="AD129" s="2745" t="e">
        <f t="shared" si="14"/>
        <v>#REF!</v>
      </c>
      <c r="AE129" s="2148"/>
      <c r="AF129" s="2148"/>
      <c r="AG129" s="2148"/>
      <c r="AH129" s="2148"/>
      <c r="AI129" s="2148"/>
      <c r="AJ129" s="2148"/>
      <c r="AK129" s="2148"/>
      <c r="AL129" s="2148"/>
      <c r="AM129" s="2148"/>
    </row>
    <row r="130" spans="1:39" s="2161" customFormat="1">
      <c r="A130" s="2743">
        <v>121</v>
      </c>
      <c r="B130" s="2744" t="s">
        <v>2435</v>
      </c>
      <c r="C130" s="2744" t="s">
        <v>2443</v>
      </c>
      <c r="D130" s="2745" t="s">
        <v>1268</v>
      </c>
      <c r="E130" s="2746">
        <v>16815.8</v>
      </c>
      <c r="F130" s="2745"/>
      <c r="G130" s="2746">
        <f t="shared" si="27"/>
        <v>16815.8</v>
      </c>
      <c r="H130" s="2745"/>
      <c r="I130" s="2747"/>
      <c r="J130" s="2747"/>
      <c r="K130" s="2745"/>
      <c r="L130" s="2744">
        <v>200</v>
      </c>
      <c r="M130" s="2744"/>
      <c r="N130" s="2747">
        <f t="shared" si="28"/>
        <v>438</v>
      </c>
      <c r="O130" s="2758">
        <v>200</v>
      </c>
      <c r="P130" s="2745" t="e">
        <f>#REF!+#REF!+хозИНТ!P127</f>
        <v>#REF!</v>
      </c>
      <c r="Q130" s="2745">
        <f t="shared" si="24"/>
        <v>59.92</v>
      </c>
      <c r="R130" s="2745" t="e">
        <f t="shared" si="15"/>
        <v>#REF!</v>
      </c>
      <c r="S130" s="2745"/>
      <c r="T130" s="2745" t="e">
        <f t="shared" si="26"/>
        <v>#REF!</v>
      </c>
      <c r="U130" s="2148">
        <v>56</v>
      </c>
      <c r="V130" s="2148">
        <v>1.07</v>
      </c>
      <c r="W130" s="2745">
        <f t="shared" si="16"/>
        <v>64.11</v>
      </c>
      <c r="X130" s="2745" t="e">
        <f t="shared" si="17"/>
        <v>#REF!</v>
      </c>
      <c r="Y130" s="2745"/>
      <c r="Z130" s="2745" t="e">
        <f t="shared" si="13"/>
        <v>#REF!</v>
      </c>
      <c r="AA130" s="2745">
        <f t="shared" si="18"/>
        <v>68.599999999999994</v>
      </c>
      <c r="AB130" s="2745" t="e">
        <f t="shared" si="19"/>
        <v>#REF!</v>
      </c>
      <c r="AC130" s="2745"/>
      <c r="AD130" s="2745" t="e">
        <f t="shared" si="14"/>
        <v>#REF!</v>
      </c>
      <c r="AE130" s="2148"/>
      <c r="AF130" s="2148"/>
      <c r="AG130" s="2148"/>
      <c r="AH130" s="2148"/>
      <c r="AI130" s="2148"/>
      <c r="AJ130" s="2148"/>
      <c r="AK130" s="2148"/>
      <c r="AL130" s="2148"/>
      <c r="AM130" s="2148"/>
    </row>
    <row r="131" spans="1:39" s="2161" customFormat="1">
      <c r="A131" s="2743">
        <v>122</v>
      </c>
      <c r="B131" s="2744" t="s">
        <v>2435</v>
      </c>
      <c r="C131" s="2744" t="s">
        <v>2444</v>
      </c>
      <c r="D131" s="2745" t="s">
        <v>1268</v>
      </c>
      <c r="E131" s="2746">
        <v>16815.8</v>
      </c>
      <c r="F131" s="2747"/>
      <c r="G131" s="2746">
        <f t="shared" si="27"/>
        <v>16815.8</v>
      </c>
      <c r="H131" s="2747"/>
      <c r="I131" s="2747"/>
      <c r="J131" s="2747"/>
      <c r="K131" s="2747"/>
      <c r="L131" s="2744">
        <v>500</v>
      </c>
      <c r="M131" s="2744"/>
      <c r="N131" s="2747">
        <f t="shared" si="28"/>
        <v>438</v>
      </c>
      <c r="O131" s="2758">
        <v>200</v>
      </c>
      <c r="P131" s="2745" t="e">
        <f>#REF!+#REF!+хозИНТ!P128</f>
        <v>#REF!</v>
      </c>
      <c r="Q131" s="2745">
        <f t="shared" si="24"/>
        <v>20.329999999999998</v>
      </c>
      <c r="R131" s="2745" t="e">
        <f t="shared" si="15"/>
        <v>#REF!</v>
      </c>
      <c r="S131" s="2745"/>
      <c r="T131" s="2745" t="e">
        <f t="shared" si="26"/>
        <v>#REF!</v>
      </c>
      <c r="U131" s="2148">
        <v>19</v>
      </c>
      <c r="V131" s="2148">
        <v>1.07</v>
      </c>
      <c r="W131" s="2745">
        <f t="shared" si="16"/>
        <v>21.75</v>
      </c>
      <c r="X131" s="2745" t="e">
        <f t="shared" si="17"/>
        <v>#REF!</v>
      </c>
      <c r="Y131" s="2745"/>
      <c r="Z131" s="2745" t="e">
        <f t="shared" si="13"/>
        <v>#REF!</v>
      </c>
      <c r="AA131" s="2745">
        <f t="shared" si="18"/>
        <v>23.27</v>
      </c>
      <c r="AB131" s="2745" t="e">
        <f t="shared" si="19"/>
        <v>#REF!</v>
      </c>
      <c r="AC131" s="2745"/>
      <c r="AD131" s="2745" t="e">
        <f t="shared" si="14"/>
        <v>#REF!</v>
      </c>
      <c r="AE131" s="2148"/>
      <c r="AF131" s="2148"/>
      <c r="AG131" s="2148"/>
      <c r="AH131" s="2148"/>
      <c r="AI131" s="2148"/>
      <c r="AJ131" s="2148"/>
      <c r="AK131" s="2148"/>
      <c r="AL131" s="2148"/>
      <c r="AM131" s="2148"/>
    </row>
    <row r="132" spans="1:39" s="2161" customFormat="1" ht="24">
      <c r="A132" s="2743">
        <v>123</v>
      </c>
      <c r="B132" s="2744" t="s">
        <v>2445</v>
      </c>
      <c r="C132" s="2744" t="s">
        <v>2446</v>
      </c>
      <c r="D132" s="2745" t="s">
        <v>1268</v>
      </c>
      <c r="E132" s="2746">
        <v>16815.8</v>
      </c>
      <c r="F132" s="2747"/>
      <c r="G132" s="2746">
        <f t="shared" si="27"/>
        <v>16815.8</v>
      </c>
      <c r="H132" s="2747"/>
      <c r="I132" s="2747"/>
      <c r="J132" s="2747"/>
      <c r="K132" s="2747"/>
      <c r="L132" s="2744">
        <v>200</v>
      </c>
      <c r="M132" s="2744"/>
      <c r="N132" s="2747">
        <v>500</v>
      </c>
      <c r="O132" s="2758">
        <v>50</v>
      </c>
      <c r="P132" s="2745" t="e">
        <f>#REF!+#REF!+хозИНТ!P129</f>
        <v>#REF!</v>
      </c>
      <c r="Q132" s="2745">
        <f t="shared" si="24"/>
        <v>29.96</v>
      </c>
      <c r="R132" s="2745" t="e">
        <f t="shared" si="15"/>
        <v>#REF!</v>
      </c>
      <c r="S132" s="2745"/>
      <c r="T132" s="2745" t="e">
        <f t="shared" ref="T132:T139" si="29">R132-S132</f>
        <v>#REF!</v>
      </c>
      <c r="U132" s="2148">
        <v>28</v>
      </c>
      <c r="V132" s="2148">
        <v>1.07</v>
      </c>
      <c r="W132" s="2745">
        <f t="shared" si="16"/>
        <v>32.06</v>
      </c>
      <c r="X132" s="2745" t="e">
        <f t="shared" si="17"/>
        <v>#REF!</v>
      </c>
      <c r="Y132" s="2745"/>
      <c r="Z132" s="2745" t="e">
        <f t="shared" si="13"/>
        <v>#REF!</v>
      </c>
      <c r="AA132" s="2745">
        <f t="shared" si="18"/>
        <v>34.299999999999997</v>
      </c>
      <c r="AB132" s="2745" t="e">
        <f t="shared" si="19"/>
        <v>#REF!</v>
      </c>
      <c r="AC132" s="2745"/>
      <c r="AD132" s="2745" t="e">
        <f t="shared" si="14"/>
        <v>#REF!</v>
      </c>
      <c r="AE132" s="2148"/>
      <c r="AF132" s="2148"/>
      <c r="AG132" s="2148"/>
      <c r="AH132" s="2148"/>
      <c r="AI132" s="2148"/>
      <c r="AJ132" s="2148"/>
      <c r="AK132" s="2148"/>
      <c r="AL132" s="2148"/>
      <c r="AM132" s="2148"/>
    </row>
    <row r="133" spans="1:39" s="2161" customFormat="1" ht="24">
      <c r="A133" s="2743">
        <v>124</v>
      </c>
      <c r="B133" s="2744" t="s">
        <v>2445</v>
      </c>
      <c r="C133" s="2744" t="s">
        <v>2447</v>
      </c>
      <c r="D133" s="2745" t="s">
        <v>1268</v>
      </c>
      <c r="E133" s="2746">
        <v>16815.8</v>
      </c>
      <c r="F133" s="2747"/>
      <c r="G133" s="2746">
        <f t="shared" si="27"/>
        <v>16815.8</v>
      </c>
      <c r="H133" s="2747"/>
      <c r="I133" s="2747"/>
      <c r="J133" s="2747"/>
      <c r="K133" s="2747"/>
      <c r="L133" s="2744">
        <v>200</v>
      </c>
      <c r="M133" s="2744"/>
      <c r="N133" s="2747">
        <v>500</v>
      </c>
      <c r="O133" s="2758">
        <v>50</v>
      </c>
      <c r="P133" s="2745" t="e">
        <f>#REF!+#REF!+хозИНТ!P130</f>
        <v>#REF!</v>
      </c>
      <c r="Q133" s="2745">
        <f t="shared" si="24"/>
        <v>70.62</v>
      </c>
      <c r="R133" s="2745" t="e">
        <f t="shared" si="15"/>
        <v>#REF!</v>
      </c>
      <c r="S133" s="2745"/>
      <c r="T133" s="2745" t="e">
        <f t="shared" si="29"/>
        <v>#REF!</v>
      </c>
      <c r="U133" s="2148">
        <v>66</v>
      </c>
      <c r="V133" s="2148">
        <v>1.07</v>
      </c>
      <c r="W133" s="2745">
        <f t="shared" si="16"/>
        <v>75.56</v>
      </c>
      <c r="X133" s="2745" t="e">
        <f t="shared" si="17"/>
        <v>#REF!</v>
      </c>
      <c r="Y133" s="2745"/>
      <c r="Z133" s="2745" t="e">
        <f t="shared" si="13"/>
        <v>#REF!</v>
      </c>
      <c r="AA133" s="2745">
        <f t="shared" si="18"/>
        <v>80.849999999999994</v>
      </c>
      <c r="AB133" s="2745" t="e">
        <f t="shared" si="19"/>
        <v>#REF!</v>
      </c>
      <c r="AC133" s="2745"/>
      <c r="AD133" s="2745" t="e">
        <f t="shared" si="14"/>
        <v>#REF!</v>
      </c>
      <c r="AE133" s="2148"/>
      <c r="AF133" s="2148"/>
      <c r="AG133" s="2148"/>
      <c r="AH133" s="2148"/>
      <c r="AI133" s="2148"/>
      <c r="AJ133" s="2148"/>
      <c r="AK133" s="2148"/>
      <c r="AL133" s="2148"/>
      <c r="AM133" s="2148"/>
    </row>
    <row r="134" spans="1:39" s="2161" customFormat="1">
      <c r="A134" s="2743">
        <v>125</v>
      </c>
      <c r="B134" s="2744" t="s">
        <v>2448</v>
      </c>
      <c r="C134" s="2744" t="s">
        <v>2449</v>
      </c>
      <c r="D134" s="2745" t="s">
        <v>1268</v>
      </c>
      <c r="E134" s="2746">
        <v>16815.8</v>
      </c>
      <c r="F134" s="2747"/>
      <c r="G134" s="2746">
        <f t="shared" si="27"/>
        <v>16815.8</v>
      </c>
      <c r="H134" s="2747"/>
      <c r="I134" s="2747"/>
      <c r="J134" s="2747"/>
      <c r="K134" s="2747"/>
      <c r="L134" s="2744">
        <v>200</v>
      </c>
      <c r="M134" s="2744"/>
      <c r="N134" s="2747">
        <v>500</v>
      </c>
      <c r="O134" s="2758">
        <v>50</v>
      </c>
      <c r="P134" s="2745" t="e">
        <f>#REF!+#REF!+хозИНТ!P131</f>
        <v>#REF!</v>
      </c>
      <c r="Q134" s="2745">
        <f t="shared" si="24"/>
        <v>41.73</v>
      </c>
      <c r="R134" s="2745" t="e">
        <f t="shared" si="15"/>
        <v>#REF!</v>
      </c>
      <c r="S134" s="2745"/>
      <c r="T134" s="2745" t="e">
        <f t="shared" si="29"/>
        <v>#REF!</v>
      </c>
      <c r="U134" s="2148">
        <v>39</v>
      </c>
      <c r="V134" s="2148">
        <v>1.07</v>
      </c>
      <c r="W134" s="2745">
        <f t="shared" si="16"/>
        <v>44.65</v>
      </c>
      <c r="X134" s="2745" t="e">
        <f t="shared" si="17"/>
        <v>#REF!</v>
      </c>
      <c r="Y134" s="2745"/>
      <c r="Z134" s="2745" t="e">
        <f t="shared" si="13"/>
        <v>#REF!</v>
      </c>
      <c r="AA134" s="2745">
        <f t="shared" si="18"/>
        <v>47.78</v>
      </c>
      <c r="AB134" s="2745" t="e">
        <f t="shared" si="19"/>
        <v>#REF!</v>
      </c>
      <c r="AC134" s="2745"/>
      <c r="AD134" s="2745" t="e">
        <f t="shared" si="14"/>
        <v>#REF!</v>
      </c>
      <c r="AE134" s="2148"/>
      <c r="AF134" s="2148"/>
      <c r="AG134" s="2148"/>
      <c r="AH134" s="2148"/>
      <c r="AI134" s="2148"/>
      <c r="AJ134" s="2148"/>
      <c r="AK134" s="2148"/>
      <c r="AL134" s="2148"/>
      <c r="AM134" s="2148"/>
    </row>
    <row r="135" spans="1:39" s="2161" customFormat="1">
      <c r="A135" s="2743">
        <v>126</v>
      </c>
      <c r="B135" s="2744" t="s">
        <v>2448</v>
      </c>
      <c r="C135" s="2744" t="s">
        <v>2450</v>
      </c>
      <c r="D135" s="2745" t="s">
        <v>1268</v>
      </c>
      <c r="E135" s="2746">
        <v>16815.8</v>
      </c>
      <c r="F135" s="2747"/>
      <c r="G135" s="2746">
        <f t="shared" si="27"/>
        <v>16815.8</v>
      </c>
      <c r="H135" s="2747"/>
      <c r="I135" s="2747"/>
      <c r="J135" s="2747"/>
      <c r="K135" s="2747"/>
      <c r="L135" s="2744">
        <v>500</v>
      </c>
      <c r="M135" s="2744"/>
      <c r="N135" s="2747">
        <v>500</v>
      </c>
      <c r="O135" s="2758">
        <v>50</v>
      </c>
      <c r="P135" s="2745" t="e">
        <f>#REF!+#REF!+хозИНТ!P132</f>
        <v>#REF!</v>
      </c>
      <c r="Q135" s="2745">
        <f t="shared" si="24"/>
        <v>33.17</v>
      </c>
      <c r="R135" s="2745" t="e">
        <f t="shared" si="15"/>
        <v>#REF!</v>
      </c>
      <c r="S135" s="2745"/>
      <c r="T135" s="2745" t="e">
        <f t="shared" si="29"/>
        <v>#REF!</v>
      </c>
      <c r="U135" s="2148">
        <v>31</v>
      </c>
      <c r="V135" s="2148">
        <v>1.07</v>
      </c>
      <c r="W135" s="2745">
        <f t="shared" si="16"/>
        <v>35.49</v>
      </c>
      <c r="X135" s="2745" t="e">
        <f t="shared" si="17"/>
        <v>#REF!</v>
      </c>
      <c r="Y135" s="2745"/>
      <c r="Z135" s="2745" t="e">
        <f t="shared" si="13"/>
        <v>#REF!</v>
      </c>
      <c r="AA135" s="2745">
        <f t="shared" si="18"/>
        <v>37.97</v>
      </c>
      <c r="AB135" s="2745" t="e">
        <f t="shared" si="19"/>
        <v>#REF!</v>
      </c>
      <c r="AC135" s="2745"/>
      <c r="AD135" s="2745" t="e">
        <f t="shared" si="14"/>
        <v>#REF!</v>
      </c>
      <c r="AE135" s="2148"/>
      <c r="AF135" s="2148"/>
      <c r="AG135" s="2148"/>
      <c r="AH135" s="2148"/>
      <c r="AI135" s="2148"/>
      <c r="AJ135" s="2148"/>
      <c r="AK135" s="2148"/>
      <c r="AL135" s="2148"/>
      <c r="AM135" s="2148"/>
    </row>
    <row r="136" spans="1:39" s="2161" customFormat="1">
      <c r="A136" s="2743">
        <v>127</v>
      </c>
      <c r="B136" s="2744" t="s">
        <v>2448</v>
      </c>
      <c r="C136" s="2744" t="s">
        <v>2451</v>
      </c>
      <c r="D136" s="2745" t="s">
        <v>1268</v>
      </c>
      <c r="E136" s="2746">
        <v>16815.8</v>
      </c>
      <c r="F136" s="2747"/>
      <c r="G136" s="2746">
        <f t="shared" si="27"/>
        <v>16815.8</v>
      </c>
      <c r="H136" s="2747"/>
      <c r="I136" s="2747"/>
      <c r="J136" s="2747"/>
      <c r="K136" s="2747"/>
      <c r="L136" s="2744">
        <v>200</v>
      </c>
      <c r="M136" s="2744"/>
      <c r="N136" s="2747">
        <v>222</v>
      </c>
      <c r="O136" s="2758">
        <v>50</v>
      </c>
      <c r="P136" s="2745" t="e">
        <f>#REF!+#REF!+хозИНТ!P133</f>
        <v>#REF!</v>
      </c>
      <c r="Q136" s="2745">
        <f t="shared" si="24"/>
        <v>60.99</v>
      </c>
      <c r="R136" s="2745" t="e">
        <f t="shared" si="15"/>
        <v>#REF!</v>
      </c>
      <c r="S136" s="2745"/>
      <c r="T136" s="2745" t="e">
        <f t="shared" si="29"/>
        <v>#REF!</v>
      </c>
      <c r="U136" s="2148">
        <v>57</v>
      </c>
      <c r="V136" s="2148">
        <v>1.07</v>
      </c>
      <c r="W136" s="2745">
        <f t="shared" si="16"/>
        <v>65.260000000000005</v>
      </c>
      <c r="X136" s="2745" t="e">
        <f t="shared" si="17"/>
        <v>#REF!</v>
      </c>
      <c r="Y136" s="2745"/>
      <c r="Z136" s="2745" t="e">
        <f t="shared" si="13"/>
        <v>#REF!</v>
      </c>
      <c r="AA136" s="2745">
        <f t="shared" si="18"/>
        <v>69.83</v>
      </c>
      <c r="AB136" s="2745" t="e">
        <f t="shared" si="19"/>
        <v>#REF!</v>
      </c>
      <c r="AC136" s="2745"/>
      <c r="AD136" s="2745" t="e">
        <f t="shared" si="14"/>
        <v>#REF!</v>
      </c>
      <c r="AE136" s="2148"/>
      <c r="AF136" s="2148"/>
      <c r="AG136" s="2148"/>
      <c r="AH136" s="2148"/>
      <c r="AI136" s="2148"/>
      <c r="AJ136" s="2148"/>
      <c r="AK136" s="2148"/>
      <c r="AL136" s="2148"/>
      <c r="AM136" s="2148"/>
    </row>
    <row r="137" spans="1:39" ht="24">
      <c r="A137" s="2074">
        <v>128</v>
      </c>
      <c r="B137" s="2068" t="s">
        <v>2452</v>
      </c>
      <c r="C137" s="2068" t="s">
        <v>2453</v>
      </c>
      <c r="D137" s="2071" t="s">
        <v>1268</v>
      </c>
      <c r="E137" s="2070">
        <v>16815.8</v>
      </c>
      <c r="F137" s="2067"/>
      <c r="G137" s="2070">
        <f t="shared" si="27"/>
        <v>16815.8</v>
      </c>
      <c r="H137" s="2067"/>
      <c r="I137" s="2067"/>
      <c r="J137" s="2067"/>
      <c r="K137" s="2067"/>
      <c r="L137" s="2068">
        <v>2</v>
      </c>
      <c r="M137" s="2068"/>
      <c r="N137" s="2734"/>
      <c r="O137" s="2759"/>
      <c r="P137" s="2719" t="e">
        <f>#REF!+#REF!+хозИНТ!P134</f>
        <v>#REF!</v>
      </c>
      <c r="Q137" s="2071">
        <f t="shared" si="24"/>
        <v>1213.3800000000001</v>
      </c>
      <c r="R137" s="2071" t="e">
        <f t="shared" si="15"/>
        <v>#REF!</v>
      </c>
      <c r="S137" s="2071"/>
      <c r="T137" s="2071" t="e">
        <f t="shared" si="29"/>
        <v>#REF!</v>
      </c>
      <c r="U137" s="2135">
        <v>1134</v>
      </c>
      <c r="V137" s="2135">
        <v>1.07</v>
      </c>
      <c r="W137" s="2071">
        <f t="shared" si="16"/>
        <v>1298.32</v>
      </c>
      <c r="X137" s="2071" t="e">
        <f t="shared" si="17"/>
        <v>#REF!</v>
      </c>
      <c r="Y137" s="2071"/>
      <c r="Z137" s="2071" t="e">
        <f t="shared" si="13"/>
        <v>#REF!</v>
      </c>
      <c r="AA137" s="2071">
        <f t="shared" si="18"/>
        <v>1389.2</v>
      </c>
      <c r="AB137" s="2071" t="e">
        <f t="shared" si="19"/>
        <v>#REF!</v>
      </c>
      <c r="AC137" s="2071"/>
      <c r="AD137" s="2071" t="e">
        <f t="shared" si="14"/>
        <v>#REF!</v>
      </c>
      <c r="AE137" s="2135"/>
      <c r="AF137" s="2135"/>
      <c r="AG137" s="2135"/>
      <c r="AH137" s="2135"/>
      <c r="AI137" s="2135"/>
      <c r="AJ137" s="2135"/>
      <c r="AK137" s="2135"/>
      <c r="AL137" s="2135"/>
      <c r="AM137" s="2135"/>
    </row>
    <row r="138" spans="1:39">
      <c r="A138" s="2074">
        <v>129</v>
      </c>
      <c r="B138" s="2068" t="s">
        <v>2454</v>
      </c>
      <c r="C138" s="2068" t="s">
        <v>2455</v>
      </c>
      <c r="D138" s="2071" t="s">
        <v>1268</v>
      </c>
      <c r="E138" s="2070">
        <v>16815.8</v>
      </c>
      <c r="F138" s="2067"/>
      <c r="G138" s="2070">
        <f t="shared" si="27"/>
        <v>16815.8</v>
      </c>
      <c r="H138" s="2067"/>
      <c r="I138" s="2067"/>
      <c r="J138" s="2067"/>
      <c r="K138" s="2067"/>
      <c r="L138" s="2068">
        <v>100</v>
      </c>
      <c r="M138" s="2068"/>
      <c r="N138" s="2734"/>
      <c r="O138" s="2759"/>
      <c r="P138" s="2719" t="e">
        <f>#REF!+#REF!+хозИНТ!P135</f>
        <v>#REF!</v>
      </c>
      <c r="Q138" s="2071">
        <f t="shared" si="24"/>
        <v>86.67</v>
      </c>
      <c r="R138" s="2071" t="e">
        <f t="shared" si="15"/>
        <v>#REF!</v>
      </c>
      <c r="S138" s="2071"/>
      <c r="T138" s="2071" t="e">
        <f t="shared" si="29"/>
        <v>#REF!</v>
      </c>
      <c r="U138" s="2135">
        <v>81</v>
      </c>
      <c r="V138" s="2135">
        <v>1.07</v>
      </c>
      <c r="W138" s="2071">
        <f t="shared" si="16"/>
        <v>92.74</v>
      </c>
      <c r="X138" s="2071" t="e">
        <f t="shared" si="17"/>
        <v>#REF!</v>
      </c>
      <c r="Y138" s="2071"/>
      <c r="Z138" s="2071" t="e">
        <f t="shared" si="13"/>
        <v>#REF!</v>
      </c>
      <c r="AA138" s="2071">
        <f t="shared" si="18"/>
        <v>99.23</v>
      </c>
      <c r="AB138" s="2071" t="e">
        <f t="shared" si="19"/>
        <v>#REF!</v>
      </c>
      <c r="AC138" s="2071"/>
      <c r="AD138" s="2071" t="e">
        <f t="shared" si="14"/>
        <v>#REF!</v>
      </c>
      <c r="AE138" s="2135"/>
      <c r="AF138" s="2135"/>
      <c r="AG138" s="2135"/>
      <c r="AH138" s="2135"/>
      <c r="AI138" s="2135"/>
      <c r="AJ138" s="2135"/>
      <c r="AK138" s="2135"/>
      <c r="AL138" s="2135"/>
      <c r="AM138" s="2135"/>
    </row>
    <row r="139" spans="1:39">
      <c r="A139" s="2074">
        <v>130</v>
      </c>
      <c r="B139" s="2068" t="s">
        <v>2456</v>
      </c>
      <c r="C139" s="2068" t="s">
        <v>2457</v>
      </c>
      <c r="D139" s="2071" t="s">
        <v>1268</v>
      </c>
      <c r="E139" s="2070">
        <v>16815.8</v>
      </c>
      <c r="F139" s="2067"/>
      <c r="G139" s="2070">
        <f t="shared" si="27"/>
        <v>16815.8</v>
      </c>
      <c r="H139" s="2067"/>
      <c r="I139" s="2067"/>
      <c r="J139" s="2067"/>
      <c r="K139" s="2067"/>
      <c r="L139" s="2068">
        <v>100</v>
      </c>
      <c r="M139" s="2068"/>
      <c r="N139" s="2734"/>
      <c r="O139" s="2759"/>
      <c r="P139" s="2719" t="e">
        <f>#REF!+#REF!+хозИНТ!P136</f>
        <v>#REF!</v>
      </c>
      <c r="Q139" s="2071">
        <f t="shared" si="24"/>
        <v>141.24</v>
      </c>
      <c r="R139" s="2071" t="e">
        <f t="shared" si="15"/>
        <v>#REF!</v>
      </c>
      <c r="S139" s="2071"/>
      <c r="T139" s="2071" t="e">
        <f t="shared" si="29"/>
        <v>#REF!</v>
      </c>
      <c r="U139" s="2135">
        <v>132</v>
      </c>
      <c r="V139" s="2135">
        <v>1.07</v>
      </c>
      <c r="W139" s="2071">
        <f t="shared" si="16"/>
        <v>151.13</v>
      </c>
      <c r="X139" s="2071" t="e">
        <f t="shared" si="17"/>
        <v>#REF!</v>
      </c>
      <c r="Y139" s="2071"/>
      <c r="Z139" s="2071" t="e">
        <f t="shared" ref="Z139:Z157" si="30">X139-Y139</f>
        <v>#REF!</v>
      </c>
      <c r="AA139" s="2071">
        <f t="shared" si="18"/>
        <v>161.71</v>
      </c>
      <c r="AB139" s="2071" t="e">
        <f t="shared" si="19"/>
        <v>#REF!</v>
      </c>
      <c r="AC139" s="2071"/>
      <c r="AD139" s="2071" t="e">
        <f t="shared" ref="AD139:AD157" si="31">AB139-AC139</f>
        <v>#REF!</v>
      </c>
      <c r="AE139" s="2135"/>
      <c r="AF139" s="2135"/>
      <c r="AG139" s="2135"/>
      <c r="AH139" s="2135"/>
      <c r="AI139" s="2135"/>
      <c r="AJ139" s="2135"/>
      <c r="AK139" s="2135"/>
      <c r="AL139" s="2135"/>
      <c r="AM139" s="2135"/>
    </row>
    <row r="140" spans="1:39">
      <c r="A140" s="2074">
        <v>131</v>
      </c>
      <c r="B140" s="2068" t="s">
        <v>1974</v>
      </c>
      <c r="C140" s="2068" t="s">
        <v>2458</v>
      </c>
      <c r="D140" s="2071" t="s">
        <v>1268</v>
      </c>
      <c r="E140" s="2070">
        <v>16815.8</v>
      </c>
      <c r="F140" s="2067"/>
      <c r="G140" s="2070">
        <f t="shared" si="27"/>
        <v>16815.8</v>
      </c>
      <c r="H140" s="2067"/>
      <c r="I140" s="2067"/>
      <c r="J140" s="2067"/>
      <c r="K140" s="2067"/>
      <c r="L140" s="2068">
        <v>200</v>
      </c>
      <c r="M140" s="2068"/>
      <c r="N140" s="2734"/>
      <c r="O140" s="2759"/>
      <c r="P140" s="2719" t="e">
        <f>#REF!+#REF!+хозИНТ!P137</f>
        <v>#REF!</v>
      </c>
      <c r="Q140" s="2071">
        <f t="shared" si="24"/>
        <v>87.74</v>
      </c>
      <c r="R140" s="2071" t="e">
        <f t="shared" ref="R140:R203" si="32">ROUND(P140*Q140,0)</f>
        <v>#REF!</v>
      </c>
      <c r="S140" s="2071"/>
      <c r="T140" s="2071" t="e">
        <f t="shared" si="26"/>
        <v>#REF!</v>
      </c>
      <c r="U140" s="2135">
        <v>82</v>
      </c>
      <c r="V140" s="2135">
        <v>1.07</v>
      </c>
      <c r="W140" s="2071">
        <f t="shared" ref="W140:W203" si="33">ROUND(Q140*1.07,2)</f>
        <v>93.88</v>
      </c>
      <c r="X140" s="2071" t="e">
        <f t="shared" ref="X140:X203" si="34">ROUND(P140*W140,0)</f>
        <v>#REF!</v>
      </c>
      <c r="Y140" s="2071"/>
      <c r="Z140" s="2071" t="e">
        <f t="shared" si="30"/>
        <v>#REF!</v>
      </c>
      <c r="AA140" s="2071">
        <f t="shared" ref="AA140:AA203" si="35">ROUND(W140*1.07,2)</f>
        <v>100.45</v>
      </c>
      <c r="AB140" s="2071" t="e">
        <f t="shared" ref="AB140:AB203" si="36">ROUND(P140*AA140,0)</f>
        <v>#REF!</v>
      </c>
      <c r="AC140" s="2071"/>
      <c r="AD140" s="2071" t="e">
        <f t="shared" si="31"/>
        <v>#REF!</v>
      </c>
      <c r="AE140" s="2135"/>
      <c r="AF140" s="2135"/>
      <c r="AG140" s="2135"/>
      <c r="AH140" s="2135"/>
      <c r="AI140" s="2135"/>
      <c r="AJ140" s="2135"/>
      <c r="AK140" s="2135"/>
      <c r="AL140" s="2135"/>
      <c r="AM140" s="2135"/>
    </row>
    <row r="141" spans="1:39">
      <c r="A141" s="2074">
        <v>132</v>
      </c>
      <c r="B141" s="2068" t="s">
        <v>2456</v>
      </c>
      <c r="C141" s="2068" t="s">
        <v>2459</v>
      </c>
      <c r="D141" s="2071" t="s">
        <v>1268</v>
      </c>
      <c r="E141" s="2070">
        <v>16815.8</v>
      </c>
      <c r="F141" s="2067"/>
      <c r="G141" s="2070">
        <f t="shared" si="27"/>
        <v>16815.8</v>
      </c>
      <c r="H141" s="2067"/>
      <c r="I141" s="2067"/>
      <c r="J141" s="2067"/>
      <c r="K141" s="2067"/>
      <c r="L141" s="2068">
        <v>100</v>
      </c>
      <c r="M141" s="2068"/>
      <c r="N141" s="2734"/>
      <c r="O141" s="2759"/>
      <c r="P141" s="2719" t="e">
        <f>#REF!+#REF!+хозИНТ!P138</f>
        <v>#REF!</v>
      </c>
      <c r="Q141" s="2071">
        <f t="shared" si="24"/>
        <v>115.56</v>
      </c>
      <c r="R141" s="2071" t="e">
        <f t="shared" si="32"/>
        <v>#REF!</v>
      </c>
      <c r="S141" s="2071"/>
      <c r="T141" s="2071" t="e">
        <f t="shared" si="26"/>
        <v>#REF!</v>
      </c>
      <c r="U141" s="2135">
        <v>108</v>
      </c>
      <c r="V141" s="2135">
        <v>1.07</v>
      </c>
      <c r="W141" s="2071">
        <f t="shared" si="33"/>
        <v>123.65</v>
      </c>
      <c r="X141" s="2071" t="e">
        <f t="shared" si="34"/>
        <v>#REF!</v>
      </c>
      <c r="Y141" s="2071"/>
      <c r="Z141" s="2071" t="e">
        <f t="shared" si="30"/>
        <v>#REF!</v>
      </c>
      <c r="AA141" s="2071">
        <f t="shared" si="35"/>
        <v>132.31</v>
      </c>
      <c r="AB141" s="2071" t="e">
        <f t="shared" si="36"/>
        <v>#REF!</v>
      </c>
      <c r="AC141" s="2071"/>
      <c r="AD141" s="2071" t="e">
        <f t="shared" si="31"/>
        <v>#REF!</v>
      </c>
      <c r="AE141" s="2135"/>
      <c r="AF141" s="2135"/>
      <c r="AG141" s="2135"/>
      <c r="AH141" s="2135"/>
      <c r="AI141" s="2135"/>
      <c r="AJ141" s="2135"/>
      <c r="AK141" s="2135"/>
      <c r="AL141" s="2135"/>
      <c r="AM141" s="2135"/>
    </row>
    <row r="142" spans="1:39">
      <c r="A142" s="2074">
        <v>133</v>
      </c>
      <c r="B142" s="2068" t="s">
        <v>2460</v>
      </c>
      <c r="C142" s="2068" t="s">
        <v>2461</v>
      </c>
      <c r="D142" s="2071" t="s">
        <v>1268</v>
      </c>
      <c r="E142" s="2070">
        <v>16815.8</v>
      </c>
      <c r="F142" s="2067"/>
      <c r="G142" s="2070">
        <f t="shared" si="27"/>
        <v>16815.8</v>
      </c>
      <c r="H142" s="2067"/>
      <c r="I142" s="2067"/>
      <c r="J142" s="2067"/>
      <c r="K142" s="2067"/>
      <c r="L142" s="2068">
        <v>2</v>
      </c>
      <c r="M142" s="2068"/>
      <c r="N142" s="2734"/>
      <c r="O142" s="2759"/>
      <c r="P142" s="2719" t="e">
        <f>#REF!+#REF!+хозИНТ!P139</f>
        <v>#REF!</v>
      </c>
      <c r="Q142" s="2071">
        <f t="shared" si="24"/>
        <v>3466.8</v>
      </c>
      <c r="R142" s="2071" t="e">
        <f t="shared" si="32"/>
        <v>#REF!</v>
      </c>
      <c r="S142" s="2071"/>
      <c r="T142" s="2071" t="e">
        <f t="shared" si="26"/>
        <v>#REF!</v>
      </c>
      <c r="U142" s="2135">
        <v>3240</v>
      </c>
      <c r="V142" s="2135">
        <v>1.07</v>
      </c>
      <c r="W142" s="2071">
        <f t="shared" si="33"/>
        <v>3709.48</v>
      </c>
      <c r="X142" s="2071" t="e">
        <f t="shared" si="34"/>
        <v>#REF!</v>
      </c>
      <c r="Y142" s="2071"/>
      <c r="Z142" s="2071" t="e">
        <f t="shared" si="30"/>
        <v>#REF!</v>
      </c>
      <c r="AA142" s="2071">
        <f t="shared" si="35"/>
        <v>3969.14</v>
      </c>
      <c r="AB142" s="2071" t="e">
        <f t="shared" si="36"/>
        <v>#REF!</v>
      </c>
      <c r="AC142" s="2071"/>
      <c r="AD142" s="2071" t="e">
        <f t="shared" si="31"/>
        <v>#REF!</v>
      </c>
      <c r="AE142" s="2135"/>
      <c r="AF142" s="2135"/>
      <c r="AG142" s="2135"/>
      <c r="AH142" s="2135"/>
      <c r="AI142" s="2135"/>
      <c r="AJ142" s="2135"/>
      <c r="AK142" s="2135"/>
      <c r="AL142" s="2135"/>
      <c r="AM142" s="2135"/>
    </row>
    <row r="143" spans="1:39" ht="24">
      <c r="A143" s="2074">
        <v>134</v>
      </c>
      <c r="B143" s="2068" t="s">
        <v>2082</v>
      </c>
      <c r="C143" s="2068" t="s">
        <v>2462</v>
      </c>
      <c r="D143" s="2071" t="s">
        <v>1268</v>
      </c>
      <c r="E143" s="2070">
        <v>16815.8</v>
      </c>
      <c r="F143" s="2067"/>
      <c r="G143" s="2070">
        <f t="shared" si="27"/>
        <v>16815.8</v>
      </c>
      <c r="H143" s="2067"/>
      <c r="I143" s="2067"/>
      <c r="J143" s="2067"/>
      <c r="K143" s="2067"/>
      <c r="L143" s="2068">
        <v>1</v>
      </c>
      <c r="M143" s="2068"/>
      <c r="N143" s="2734"/>
      <c r="O143" s="2759"/>
      <c r="P143" s="2719" t="e">
        <f>#REF!+#REF!+хозИНТ!P140</f>
        <v>#REF!</v>
      </c>
      <c r="Q143" s="2071">
        <f t="shared" si="24"/>
        <v>5026.8599999999997</v>
      </c>
      <c r="R143" s="2071" t="e">
        <f t="shared" si="32"/>
        <v>#REF!</v>
      </c>
      <c r="S143" s="2071"/>
      <c r="T143" s="2071" t="e">
        <f t="shared" si="26"/>
        <v>#REF!</v>
      </c>
      <c r="U143" s="2135">
        <v>4698</v>
      </c>
      <c r="V143" s="2135">
        <v>1.07</v>
      </c>
      <c r="W143" s="2071">
        <f t="shared" si="33"/>
        <v>5378.74</v>
      </c>
      <c r="X143" s="2071" t="e">
        <f t="shared" si="34"/>
        <v>#REF!</v>
      </c>
      <c r="Y143" s="2071"/>
      <c r="Z143" s="2071" t="e">
        <f t="shared" si="30"/>
        <v>#REF!</v>
      </c>
      <c r="AA143" s="2071">
        <f t="shared" si="35"/>
        <v>5755.25</v>
      </c>
      <c r="AB143" s="2071" t="e">
        <f t="shared" si="36"/>
        <v>#REF!</v>
      </c>
      <c r="AC143" s="2071"/>
      <c r="AD143" s="2071" t="e">
        <f t="shared" si="31"/>
        <v>#REF!</v>
      </c>
      <c r="AE143" s="2135"/>
      <c r="AF143" s="2135"/>
      <c r="AG143" s="2135"/>
      <c r="AH143" s="2135"/>
      <c r="AI143" s="2135"/>
      <c r="AJ143" s="2135"/>
      <c r="AK143" s="2135"/>
      <c r="AL143" s="2135"/>
      <c r="AM143" s="2135"/>
    </row>
    <row r="144" spans="1:39" ht="156">
      <c r="A144" s="2074">
        <v>135</v>
      </c>
      <c r="B144" s="2068" t="s">
        <v>2463</v>
      </c>
      <c r="C144" s="2726" t="s">
        <v>2464</v>
      </c>
      <c r="D144" s="2071" t="s">
        <v>1268</v>
      </c>
      <c r="E144" s="2070">
        <v>16815.8</v>
      </c>
      <c r="F144" s="2067"/>
      <c r="G144" s="2070">
        <f t="shared" si="27"/>
        <v>16815.8</v>
      </c>
      <c r="H144" s="2067"/>
      <c r="I144" s="2067"/>
      <c r="J144" s="2067"/>
      <c r="K144" s="2067"/>
      <c r="L144" s="2068">
        <v>1</v>
      </c>
      <c r="M144" s="2068"/>
      <c r="N144" s="2734"/>
      <c r="O144" s="2759"/>
      <c r="P144" s="2719" t="e">
        <f>#REF!+#REF!+хозАДМ!#REF!+хозИНТ!P141</f>
        <v>#REF!</v>
      </c>
      <c r="Q144" s="2071">
        <f t="shared" si="24"/>
        <v>37450</v>
      </c>
      <c r="R144" s="2071" t="e">
        <f t="shared" si="32"/>
        <v>#REF!</v>
      </c>
      <c r="S144" s="2071"/>
      <c r="T144" s="2071" t="e">
        <f t="shared" si="26"/>
        <v>#REF!</v>
      </c>
      <c r="U144" s="2135">
        <v>35000</v>
      </c>
      <c r="V144" s="2135">
        <v>1.07</v>
      </c>
      <c r="W144" s="2071">
        <f t="shared" si="33"/>
        <v>40071.5</v>
      </c>
      <c r="X144" s="2071" t="e">
        <f t="shared" si="34"/>
        <v>#REF!</v>
      </c>
      <c r="Y144" s="2071"/>
      <c r="Z144" s="2071" t="e">
        <f t="shared" si="30"/>
        <v>#REF!</v>
      </c>
      <c r="AA144" s="2071">
        <f t="shared" si="35"/>
        <v>42876.51</v>
      </c>
      <c r="AB144" s="2071" t="e">
        <f t="shared" si="36"/>
        <v>#REF!</v>
      </c>
      <c r="AC144" s="2071"/>
      <c r="AD144" s="2071" t="e">
        <f t="shared" si="31"/>
        <v>#REF!</v>
      </c>
      <c r="AE144" s="2135"/>
      <c r="AF144" s="2135"/>
      <c r="AG144" s="2135"/>
      <c r="AH144" s="2135"/>
      <c r="AI144" s="2135"/>
      <c r="AJ144" s="2135"/>
      <c r="AK144" s="2135"/>
      <c r="AL144" s="2135"/>
      <c r="AM144" s="2135"/>
    </row>
    <row r="145" spans="1:39" ht="84">
      <c r="A145" s="2074">
        <v>136</v>
      </c>
      <c r="B145" s="2068" t="s">
        <v>2465</v>
      </c>
      <c r="C145" s="2068" t="s">
        <v>2466</v>
      </c>
      <c r="D145" s="2071" t="s">
        <v>1268</v>
      </c>
      <c r="E145" s="2070">
        <v>16815.8</v>
      </c>
      <c r="F145" s="2067"/>
      <c r="G145" s="2070">
        <f t="shared" si="27"/>
        <v>16815.8</v>
      </c>
      <c r="H145" s="2067"/>
      <c r="I145" s="2067"/>
      <c r="J145" s="2067"/>
      <c r="K145" s="2067"/>
      <c r="L145" s="2068">
        <v>1</v>
      </c>
      <c r="M145" s="2068"/>
      <c r="N145" s="2734"/>
      <c r="O145" s="2759"/>
      <c r="P145" s="2719" t="e">
        <f>#REF!+#REF!+хозАДМ!P66+хозИНТ!P142</f>
        <v>#REF!</v>
      </c>
      <c r="Q145" s="2071">
        <f t="shared" si="24"/>
        <v>50932</v>
      </c>
      <c r="R145" s="2071" t="e">
        <f t="shared" si="32"/>
        <v>#REF!</v>
      </c>
      <c r="S145" s="2071"/>
      <c r="T145" s="2071" t="e">
        <f t="shared" si="26"/>
        <v>#REF!</v>
      </c>
      <c r="U145" s="2135">
        <v>47600</v>
      </c>
      <c r="V145" s="2135">
        <v>1.07</v>
      </c>
      <c r="W145" s="2071">
        <f t="shared" si="33"/>
        <v>54497.24</v>
      </c>
      <c r="X145" s="2071" t="e">
        <f t="shared" si="34"/>
        <v>#REF!</v>
      </c>
      <c r="Y145" s="2071"/>
      <c r="Z145" s="2071" t="e">
        <f t="shared" si="30"/>
        <v>#REF!</v>
      </c>
      <c r="AA145" s="2071">
        <f t="shared" si="35"/>
        <v>58312.05</v>
      </c>
      <c r="AB145" s="2071" t="e">
        <f t="shared" si="36"/>
        <v>#REF!</v>
      </c>
      <c r="AC145" s="2071"/>
      <c r="AD145" s="2071" t="e">
        <f t="shared" si="31"/>
        <v>#REF!</v>
      </c>
      <c r="AE145" s="2135"/>
      <c r="AF145" s="2135"/>
      <c r="AG145" s="2135"/>
      <c r="AH145" s="2135"/>
      <c r="AI145" s="2135"/>
      <c r="AJ145" s="2135"/>
      <c r="AK145" s="2135"/>
      <c r="AL145" s="2135"/>
      <c r="AM145" s="2135"/>
    </row>
    <row r="146" spans="1:39" ht="96">
      <c r="A146" s="2074">
        <v>137</v>
      </c>
      <c r="B146" s="2068" t="s">
        <v>2467</v>
      </c>
      <c r="C146" s="2068" t="s">
        <v>2468</v>
      </c>
      <c r="D146" s="2071" t="s">
        <v>1268</v>
      </c>
      <c r="E146" s="2070">
        <v>16815.8</v>
      </c>
      <c r="F146" s="2067"/>
      <c r="G146" s="2070">
        <f t="shared" si="27"/>
        <v>16815.8</v>
      </c>
      <c r="H146" s="2067"/>
      <c r="I146" s="2067"/>
      <c r="J146" s="2067"/>
      <c r="K146" s="2067"/>
      <c r="L146" s="2068">
        <v>1</v>
      </c>
      <c r="M146" s="2068"/>
      <c r="N146" s="2734"/>
      <c r="O146" s="2759"/>
      <c r="P146" s="2719" t="e">
        <f>#REF!+#REF!+хозАДМ!P67+хозИНТ!P143</f>
        <v>#REF!</v>
      </c>
      <c r="Q146" s="2071">
        <f t="shared" si="24"/>
        <v>15194</v>
      </c>
      <c r="R146" s="2071" t="e">
        <f t="shared" si="32"/>
        <v>#REF!</v>
      </c>
      <c r="S146" s="2071"/>
      <c r="T146" s="2071" t="e">
        <f t="shared" si="26"/>
        <v>#REF!</v>
      </c>
      <c r="U146" s="2135">
        <v>14200</v>
      </c>
      <c r="V146" s="2135">
        <v>1.07</v>
      </c>
      <c r="W146" s="2071">
        <f t="shared" si="33"/>
        <v>16257.58</v>
      </c>
      <c r="X146" s="2071" t="e">
        <f t="shared" si="34"/>
        <v>#REF!</v>
      </c>
      <c r="Y146" s="2071"/>
      <c r="Z146" s="2071" t="e">
        <f t="shared" si="30"/>
        <v>#REF!</v>
      </c>
      <c r="AA146" s="2071">
        <f t="shared" si="35"/>
        <v>17395.61</v>
      </c>
      <c r="AB146" s="2071" t="e">
        <f t="shared" si="36"/>
        <v>#REF!</v>
      </c>
      <c r="AC146" s="2071"/>
      <c r="AD146" s="2071" t="e">
        <f t="shared" si="31"/>
        <v>#REF!</v>
      </c>
      <c r="AE146" s="2135"/>
      <c r="AF146" s="2135"/>
      <c r="AG146" s="2135"/>
      <c r="AH146" s="2135"/>
      <c r="AI146" s="2135"/>
      <c r="AJ146" s="2135"/>
      <c r="AK146" s="2135"/>
      <c r="AL146" s="2135"/>
      <c r="AM146" s="2135"/>
    </row>
    <row r="147" spans="1:39">
      <c r="A147" s="2074">
        <v>138</v>
      </c>
      <c r="B147" s="2068" t="s">
        <v>2469</v>
      </c>
      <c r="C147" s="2068" t="s">
        <v>2470</v>
      </c>
      <c r="D147" s="2071" t="s">
        <v>1268</v>
      </c>
      <c r="E147" s="2070">
        <v>16815.8</v>
      </c>
      <c r="F147" s="2067"/>
      <c r="G147" s="2070">
        <f t="shared" si="27"/>
        <v>16815.8</v>
      </c>
      <c r="H147" s="2067"/>
      <c r="I147" s="2067"/>
      <c r="J147" s="2067"/>
      <c r="K147" s="2067"/>
      <c r="L147" s="2068">
        <v>1</v>
      </c>
      <c r="M147" s="2068"/>
      <c r="N147" s="2734"/>
      <c r="O147" s="2759"/>
      <c r="P147" s="2719" t="e">
        <f>#REF!+#REF!+хозАДМ!#REF!+хозИНТ!P144</f>
        <v>#REF!</v>
      </c>
      <c r="Q147" s="2071">
        <f t="shared" si="24"/>
        <v>6741</v>
      </c>
      <c r="R147" s="2071" t="e">
        <f t="shared" si="32"/>
        <v>#REF!</v>
      </c>
      <c r="S147" s="2071"/>
      <c r="T147" s="2071" t="e">
        <f t="shared" si="26"/>
        <v>#REF!</v>
      </c>
      <c r="U147" s="2135">
        <v>6300</v>
      </c>
      <c r="V147" s="2135">
        <v>1.07</v>
      </c>
      <c r="W147" s="2071">
        <f t="shared" si="33"/>
        <v>7212.87</v>
      </c>
      <c r="X147" s="2071" t="e">
        <f t="shared" si="34"/>
        <v>#REF!</v>
      </c>
      <c r="Y147" s="2071"/>
      <c r="Z147" s="2071" t="e">
        <f t="shared" si="30"/>
        <v>#REF!</v>
      </c>
      <c r="AA147" s="2071">
        <f t="shared" si="35"/>
        <v>7717.77</v>
      </c>
      <c r="AB147" s="2071" t="e">
        <f t="shared" si="36"/>
        <v>#REF!</v>
      </c>
      <c r="AC147" s="2071"/>
      <c r="AD147" s="2071" t="e">
        <f t="shared" si="31"/>
        <v>#REF!</v>
      </c>
      <c r="AE147" s="2135"/>
      <c r="AF147" s="2135"/>
      <c r="AG147" s="2135"/>
      <c r="AH147" s="2135"/>
      <c r="AI147" s="2135"/>
      <c r="AJ147" s="2135"/>
      <c r="AK147" s="2135"/>
      <c r="AL147" s="2135"/>
      <c r="AM147" s="2135"/>
    </row>
    <row r="148" spans="1:39">
      <c r="A148" s="2074">
        <v>139</v>
      </c>
      <c r="B148" s="2068" t="s">
        <v>1169</v>
      </c>
      <c r="C148" s="2068" t="s">
        <v>2471</v>
      </c>
      <c r="D148" s="2071" t="s">
        <v>1268</v>
      </c>
      <c r="E148" s="2070">
        <v>16815.8</v>
      </c>
      <c r="F148" s="2071"/>
      <c r="G148" s="2070">
        <f t="shared" si="27"/>
        <v>16815.8</v>
      </c>
      <c r="H148" s="2071"/>
      <c r="I148" s="2067"/>
      <c r="J148" s="2067"/>
      <c r="K148" s="2071"/>
      <c r="L148" s="2068">
        <v>1000</v>
      </c>
      <c r="M148" s="2068"/>
      <c r="N148" s="2735"/>
      <c r="O148" s="2760"/>
      <c r="P148" s="2719" t="e">
        <f>#REF!+#REF!+хозАДМ!#REF!+хозИНТ!P145</f>
        <v>#REF!</v>
      </c>
      <c r="Q148" s="2071">
        <f t="shared" si="24"/>
        <v>21.4</v>
      </c>
      <c r="R148" s="2071" t="e">
        <f t="shared" si="32"/>
        <v>#REF!</v>
      </c>
      <c r="S148" s="2071"/>
      <c r="T148" s="2071" t="e">
        <f t="shared" si="26"/>
        <v>#REF!</v>
      </c>
      <c r="U148" s="2135">
        <v>20</v>
      </c>
      <c r="V148" s="2135">
        <v>1.07</v>
      </c>
      <c r="W148" s="2071">
        <f t="shared" si="33"/>
        <v>22.9</v>
      </c>
      <c r="X148" s="2071" t="e">
        <f t="shared" si="34"/>
        <v>#REF!</v>
      </c>
      <c r="Y148" s="2071"/>
      <c r="Z148" s="2071" t="e">
        <f t="shared" si="30"/>
        <v>#REF!</v>
      </c>
      <c r="AA148" s="2071">
        <f t="shared" si="35"/>
        <v>24.5</v>
      </c>
      <c r="AB148" s="2071" t="e">
        <f t="shared" si="36"/>
        <v>#REF!</v>
      </c>
      <c r="AC148" s="2071"/>
      <c r="AD148" s="2071" t="e">
        <f t="shared" si="31"/>
        <v>#REF!</v>
      </c>
      <c r="AE148" s="2135"/>
      <c r="AF148" s="2135"/>
      <c r="AG148" s="2135"/>
      <c r="AH148" s="2135"/>
      <c r="AI148" s="2135"/>
      <c r="AJ148" s="2135"/>
      <c r="AK148" s="2135"/>
      <c r="AL148" s="2135"/>
      <c r="AM148" s="2135"/>
    </row>
    <row r="149" spans="1:39" ht="24">
      <c r="A149" s="2074">
        <v>140</v>
      </c>
      <c r="B149" s="2068" t="s">
        <v>2472</v>
      </c>
      <c r="C149" s="2068" t="s">
        <v>2473</v>
      </c>
      <c r="D149" s="2071" t="s">
        <v>1268</v>
      </c>
      <c r="E149" s="2070">
        <v>16815.8</v>
      </c>
      <c r="F149" s="2071"/>
      <c r="G149" s="2070">
        <f t="shared" si="27"/>
        <v>16815.8</v>
      </c>
      <c r="H149" s="2071"/>
      <c r="I149" s="2067"/>
      <c r="J149" s="2067"/>
      <c r="K149" s="2071"/>
      <c r="L149" s="2068">
        <v>1</v>
      </c>
      <c r="M149" s="2068"/>
      <c r="N149" s="2735"/>
      <c r="O149" s="2760"/>
      <c r="P149" s="2719" t="e">
        <f>#REF!+#REF!+хозАДМ!#REF!+хозИНТ!P146</f>
        <v>#REF!</v>
      </c>
      <c r="Q149" s="2071">
        <f t="shared" si="24"/>
        <v>3745</v>
      </c>
      <c r="R149" s="2071" t="e">
        <f t="shared" si="32"/>
        <v>#REF!</v>
      </c>
      <c r="S149" s="2071"/>
      <c r="T149" s="2071" t="e">
        <f t="shared" si="26"/>
        <v>#REF!</v>
      </c>
      <c r="U149" s="2135">
        <v>3500</v>
      </c>
      <c r="V149" s="2135">
        <v>1.07</v>
      </c>
      <c r="W149" s="2071">
        <f t="shared" si="33"/>
        <v>4007.15</v>
      </c>
      <c r="X149" s="2071" t="e">
        <f t="shared" si="34"/>
        <v>#REF!</v>
      </c>
      <c r="Y149" s="2071"/>
      <c r="Z149" s="2071" t="e">
        <f t="shared" si="30"/>
        <v>#REF!</v>
      </c>
      <c r="AA149" s="2071">
        <f t="shared" si="35"/>
        <v>4287.6499999999996</v>
      </c>
      <c r="AB149" s="2071" t="e">
        <f t="shared" si="36"/>
        <v>#REF!</v>
      </c>
      <c r="AC149" s="2071"/>
      <c r="AD149" s="2071" t="e">
        <f t="shared" si="31"/>
        <v>#REF!</v>
      </c>
      <c r="AE149" s="2135"/>
      <c r="AF149" s="2135"/>
      <c r="AG149" s="2135"/>
      <c r="AH149" s="2135"/>
      <c r="AI149" s="2135"/>
      <c r="AJ149" s="2135"/>
      <c r="AK149" s="2135"/>
      <c r="AL149" s="2135"/>
      <c r="AM149" s="2135"/>
    </row>
    <row r="150" spans="1:39">
      <c r="A150" s="2074">
        <v>141</v>
      </c>
      <c r="B150" s="2068" t="s">
        <v>2474</v>
      </c>
      <c r="C150" s="2068" t="s">
        <v>2475</v>
      </c>
      <c r="D150" s="2071" t="s">
        <v>1268</v>
      </c>
      <c r="E150" s="2070">
        <v>16815.8</v>
      </c>
      <c r="F150" s="2071"/>
      <c r="G150" s="2070">
        <f t="shared" si="27"/>
        <v>16815.8</v>
      </c>
      <c r="H150" s="2071"/>
      <c r="I150" s="2067"/>
      <c r="J150" s="2067"/>
      <c r="K150" s="2071"/>
      <c r="L150" s="2068">
        <v>500</v>
      </c>
      <c r="M150" s="2068">
        <v>8</v>
      </c>
      <c r="N150" s="2735"/>
      <c r="O150" s="2760"/>
      <c r="P150" s="2719" t="e">
        <f>#REF!+#REF!+хозАДМ!P68+хозИНТ!P147</f>
        <v>#REF!</v>
      </c>
      <c r="Q150" s="2071">
        <f t="shared" si="24"/>
        <v>4.28</v>
      </c>
      <c r="R150" s="2071" t="e">
        <f t="shared" si="32"/>
        <v>#REF!</v>
      </c>
      <c r="S150" s="2071"/>
      <c r="T150" s="2071" t="e">
        <f t="shared" si="26"/>
        <v>#REF!</v>
      </c>
      <c r="U150" s="2137">
        <v>4</v>
      </c>
      <c r="V150" s="2135">
        <v>1.07</v>
      </c>
      <c r="W150" s="2071">
        <f t="shared" si="33"/>
        <v>4.58</v>
      </c>
      <c r="X150" s="2071" t="e">
        <f t="shared" si="34"/>
        <v>#REF!</v>
      </c>
      <c r="Y150" s="2071"/>
      <c r="Z150" s="2071" t="e">
        <f t="shared" si="30"/>
        <v>#REF!</v>
      </c>
      <c r="AA150" s="2071">
        <f t="shared" si="35"/>
        <v>4.9000000000000004</v>
      </c>
      <c r="AB150" s="2071" t="e">
        <f t="shared" si="36"/>
        <v>#REF!</v>
      </c>
      <c r="AC150" s="2071"/>
      <c r="AD150" s="2071" t="e">
        <f t="shared" si="31"/>
        <v>#REF!</v>
      </c>
      <c r="AE150" s="2135"/>
      <c r="AF150" s="2135"/>
      <c r="AG150" s="2135"/>
      <c r="AH150" s="2135"/>
      <c r="AI150" s="2135"/>
      <c r="AJ150" s="2135"/>
      <c r="AK150" s="2135"/>
      <c r="AL150" s="2135"/>
      <c r="AM150" s="2135"/>
    </row>
    <row r="151" spans="1:39" ht="24">
      <c r="A151" s="2074">
        <v>142</v>
      </c>
      <c r="B151" s="2068" t="s">
        <v>2476</v>
      </c>
      <c r="C151" s="2068" t="s">
        <v>2477</v>
      </c>
      <c r="D151" s="2071" t="s">
        <v>1268</v>
      </c>
      <c r="E151" s="2070">
        <v>16815.8</v>
      </c>
      <c r="F151" s="2067"/>
      <c r="G151" s="2070">
        <f t="shared" si="27"/>
        <v>16815.8</v>
      </c>
      <c r="H151" s="2067"/>
      <c r="I151" s="2067"/>
      <c r="J151" s="2067"/>
      <c r="K151" s="2067"/>
      <c r="L151" s="2068">
        <v>5</v>
      </c>
      <c r="M151" s="2068"/>
      <c r="N151" s="2734"/>
      <c r="O151" s="2759"/>
      <c r="P151" s="2719" t="e">
        <f>#REF!+#REF!+хозАДМ!P69+хозИНТ!P148</f>
        <v>#REF!</v>
      </c>
      <c r="Q151" s="2071">
        <f t="shared" si="24"/>
        <v>502.9</v>
      </c>
      <c r="R151" s="2071" t="e">
        <f t="shared" si="32"/>
        <v>#REF!</v>
      </c>
      <c r="S151" s="2071"/>
      <c r="T151" s="2071" t="e">
        <f t="shared" ref="T151:T157" si="37">R151-S151</f>
        <v>#REF!</v>
      </c>
      <c r="U151" s="2135">
        <v>470</v>
      </c>
      <c r="V151" s="2135">
        <v>1.07</v>
      </c>
      <c r="W151" s="2071">
        <f t="shared" si="33"/>
        <v>538.1</v>
      </c>
      <c r="X151" s="2071" t="e">
        <f t="shared" si="34"/>
        <v>#REF!</v>
      </c>
      <c r="Y151" s="2071"/>
      <c r="Z151" s="2071" t="e">
        <f t="shared" si="30"/>
        <v>#REF!</v>
      </c>
      <c r="AA151" s="2071">
        <f t="shared" si="35"/>
        <v>575.77</v>
      </c>
      <c r="AB151" s="2071" t="e">
        <f t="shared" si="36"/>
        <v>#REF!</v>
      </c>
      <c r="AC151" s="2071"/>
      <c r="AD151" s="2071" t="e">
        <f t="shared" si="31"/>
        <v>#REF!</v>
      </c>
      <c r="AE151" s="2135"/>
      <c r="AF151" s="2135"/>
      <c r="AG151" s="2135"/>
      <c r="AH151" s="2135"/>
      <c r="AI151" s="2135"/>
      <c r="AJ151" s="2135"/>
      <c r="AK151" s="2135"/>
      <c r="AL151" s="2135"/>
      <c r="AM151" s="2135"/>
    </row>
    <row r="152" spans="1:39" ht="24">
      <c r="A152" s="2074">
        <v>143</v>
      </c>
      <c r="B152" s="2068" t="s">
        <v>2478</v>
      </c>
      <c r="C152" s="2068" t="s">
        <v>2479</v>
      </c>
      <c r="D152" s="2071" t="s">
        <v>1268</v>
      </c>
      <c r="E152" s="2070">
        <v>16815.8</v>
      </c>
      <c r="F152" s="2067"/>
      <c r="G152" s="2070">
        <f t="shared" si="27"/>
        <v>16815.8</v>
      </c>
      <c r="H152" s="2067"/>
      <c r="I152" s="2067"/>
      <c r="J152" s="2067"/>
      <c r="K152" s="2067"/>
      <c r="L152" s="2068">
        <v>2</v>
      </c>
      <c r="M152" s="2068"/>
      <c r="N152" s="2734"/>
      <c r="O152" s="2759"/>
      <c r="P152" s="2719" t="e">
        <f>#REF!+#REF!+хозИНТ!P149</f>
        <v>#REF!</v>
      </c>
      <c r="Q152" s="2071">
        <f t="shared" si="24"/>
        <v>3156.5</v>
      </c>
      <c r="R152" s="2071" t="e">
        <f t="shared" si="32"/>
        <v>#REF!</v>
      </c>
      <c r="S152" s="2071"/>
      <c r="T152" s="2071" t="e">
        <f t="shared" si="37"/>
        <v>#REF!</v>
      </c>
      <c r="U152" s="2135">
        <v>2950</v>
      </c>
      <c r="V152" s="2135">
        <v>1.07</v>
      </c>
      <c r="W152" s="2071">
        <f t="shared" si="33"/>
        <v>3377.46</v>
      </c>
      <c r="X152" s="2071" t="e">
        <f t="shared" si="34"/>
        <v>#REF!</v>
      </c>
      <c r="Y152" s="2071"/>
      <c r="Z152" s="2071" t="e">
        <f t="shared" si="30"/>
        <v>#REF!</v>
      </c>
      <c r="AA152" s="2071">
        <f t="shared" si="35"/>
        <v>3613.88</v>
      </c>
      <c r="AB152" s="2071" t="e">
        <f t="shared" si="36"/>
        <v>#REF!</v>
      </c>
      <c r="AC152" s="2071"/>
      <c r="AD152" s="2071" t="e">
        <f t="shared" si="31"/>
        <v>#REF!</v>
      </c>
      <c r="AE152" s="2135"/>
      <c r="AF152" s="2135"/>
      <c r="AG152" s="2135"/>
      <c r="AH152" s="2135"/>
      <c r="AI152" s="2135"/>
      <c r="AJ152" s="2135"/>
      <c r="AK152" s="2135"/>
      <c r="AL152" s="2135"/>
      <c r="AM152" s="2135"/>
    </row>
    <row r="153" spans="1:39" s="2161" customFormat="1" ht="24">
      <c r="A153" s="2743">
        <v>144</v>
      </c>
      <c r="B153" s="2744" t="s">
        <v>1310</v>
      </c>
      <c r="C153" s="2744" t="s">
        <v>1311</v>
      </c>
      <c r="D153" s="2745" t="s">
        <v>1268</v>
      </c>
      <c r="E153" s="2746">
        <v>16815.8</v>
      </c>
      <c r="F153" s="2747"/>
      <c r="G153" s="2746">
        <f t="shared" si="27"/>
        <v>16815.8</v>
      </c>
      <c r="H153" s="2747"/>
      <c r="I153" s="2747"/>
      <c r="J153" s="2747"/>
      <c r="K153" s="2747"/>
      <c r="L153" s="2744">
        <v>6</v>
      </c>
      <c r="M153" s="2744"/>
      <c r="N153" s="2747">
        <v>7</v>
      </c>
      <c r="O153" s="2758">
        <v>5</v>
      </c>
      <c r="P153" s="2745" t="e">
        <f>#REF!+#REF!+хозАДМ!P70+хозИНТ!P150</f>
        <v>#REF!</v>
      </c>
      <c r="Q153" s="2745">
        <f t="shared" si="24"/>
        <v>2814.1</v>
      </c>
      <c r="R153" s="2745" t="e">
        <f t="shared" si="32"/>
        <v>#REF!</v>
      </c>
      <c r="S153" s="2745"/>
      <c r="T153" s="2745" t="e">
        <f t="shared" si="37"/>
        <v>#REF!</v>
      </c>
      <c r="U153" s="2148">
        <v>2630</v>
      </c>
      <c r="V153" s="2148">
        <v>1.07</v>
      </c>
      <c r="W153" s="2745">
        <f t="shared" si="33"/>
        <v>3011.09</v>
      </c>
      <c r="X153" s="2745" t="e">
        <f t="shared" si="34"/>
        <v>#REF!</v>
      </c>
      <c r="Y153" s="2745"/>
      <c r="Z153" s="2745" t="e">
        <f t="shared" si="30"/>
        <v>#REF!</v>
      </c>
      <c r="AA153" s="2745">
        <f t="shared" si="35"/>
        <v>3221.87</v>
      </c>
      <c r="AB153" s="2745" t="e">
        <f t="shared" si="36"/>
        <v>#REF!</v>
      </c>
      <c r="AC153" s="2745"/>
      <c r="AD153" s="2745" t="e">
        <f t="shared" si="31"/>
        <v>#REF!</v>
      </c>
      <c r="AE153" s="2148"/>
      <c r="AF153" s="2148"/>
      <c r="AG153" s="2148"/>
      <c r="AH153" s="2148"/>
      <c r="AI153" s="2148"/>
      <c r="AJ153" s="2148"/>
      <c r="AK153" s="2148"/>
      <c r="AL153" s="2148"/>
      <c r="AM153" s="2148"/>
    </row>
    <row r="154" spans="1:39" ht="24">
      <c r="A154" s="2074">
        <v>145</v>
      </c>
      <c r="B154" s="2068" t="s">
        <v>2480</v>
      </c>
      <c r="C154" s="2068" t="s">
        <v>2481</v>
      </c>
      <c r="D154" s="2071" t="s">
        <v>1268</v>
      </c>
      <c r="E154" s="2070">
        <v>16815.8</v>
      </c>
      <c r="F154" s="2067"/>
      <c r="G154" s="2070">
        <f t="shared" si="27"/>
        <v>16815.8</v>
      </c>
      <c r="H154" s="2067"/>
      <c r="I154" s="2067"/>
      <c r="J154" s="2067"/>
      <c r="K154" s="2067"/>
      <c r="L154" s="2068">
        <v>5</v>
      </c>
      <c r="M154" s="2068"/>
      <c r="N154" s="2734"/>
      <c r="O154" s="2759"/>
      <c r="P154" s="2719" t="e">
        <f>#REF!+#REF!+хозАДМ!P71+хозИНТ!P151</f>
        <v>#REF!</v>
      </c>
      <c r="Q154" s="2071">
        <f t="shared" si="24"/>
        <v>3338.4</v>
      </c>
      <c r="R154" s="2071" t="e">
        <f t="shared" si="32"/>
        <v>#REF!</v>
      </c>
      <c r="S154" s="2071"/>
      <c r="T154" s="2071" t="e">
        <f t="shared" si="37"/>
        <v>#REF!</v>
      </c>
      <c r="U154" s="2135">
        <v>3120</v>
      </c>
      <c r="V154" s="2135">
        <v>1.07</v>
      </c>
      <c r="W154" s="2071">
        <f t="shared" si="33"/>
        <v>3572.09</v>
      </c>
      <c r="X154" s="2071" t="e">
        <f t="shared" si="34"/>
        <v>#REF!</v>
      </c>
      <c r="Y154" s="2071"/>
      <c r="Z154" s="2071" t="e">
        <f t="shared" si="30"/>
        <v>#REF!</v>
      </c>
      <c r="AA154" s="2071">
        <f t="shared" si="35"/>
        <v>3822.14</v>
      </c>
      <c r="AB154" s="2071" t="e">
        <f t="shared" si="36"/>
        <v>#REF!</v>
      </c>
      <c r="AC154" s="2071"/>
      <c r="AD154" s="2071" t="e">
        <f t="shared" si="31"/>
        <v>#REF!</v>
      </c>
      <c r="AE154" s="2135"/>
      <c r="AF154" s="2135"/>
      <c r="AG154" s="2135"/>
      <c r="AH154" s="2135"/>
      <c r="AI154" s="2135"/>
      <c r="AJ154" s="2135"/>
      <c r="AK154" s="2135"/>
      <c r="AL154" s="2135"/>
      <c r="AM154" s="2135"/>
    </row>
    <row r="155" spans="1:39" s="2161" customFormat="1">
      <c r="A155" s="2743">
        <v>146</v>
      </c>
      <c r="B155" s="2744" t="s">
        <v>1380</v>
      </c>
      <c r="C155" s="2744" t="s">
        <v>1381</v>
      </c>
      <c r="D155" s="2745" t="s">
        <v>1022</v>
      </c>
      <c r="E155" s="2746">
        <v>16815.8</v>
      </c>
      <c r="F155" s="2745"/>
      <c r="G155" s="2746">
        <f t="shared" si="27"/>
        <v>16815.8</v>
      </c>
      <c r="H155" s="2745"/>
      <c r="I155" s="2747"/>
      <c r="J155" s="2747"/>
      <c r="K155" s="2745"/>
      <c r="L155" s="2744">
        <v>20</v>
      </c>
      <c r="M155" s="2744"/>
      <c r="N155" s="2745">
        <f>499+18</f>
        <v>517</v>
      </c>
      <c r="O155" s="2761">
        <v>0</v>
      </c>
      <c r="P155" s="2745" t="e">
        <f>#REF!+#REF!+хозАДМ!P72+хозИНТ!P152</f>
        <v>#REF!</v>
      </c>
      <c r="Q155" s="2745">
        <f t="shared" si="24"/>
        <v>3702.2</v>
      </c>
      <c r="R155" s="2745" t="e">
        <f t="shared" si="32"/>
        <v>#REF!</v>
      </c>
      <c r="S155" s="2745"/>
      <c r="T155" s="2745" t="e">
        <f t="shared" si="37"/>
        <v>#REF!</v>
      </c>
      <c r="U155" s="2148">
        <v>3460</v>
      </c>
      <c r="V155" s="2148">
        <v>1.07</v>
      </c>
      <c r="W155" s="2745">
        <f t="shared" si="33"/>
        <v>3961.35</v>
      </c>
      <c r="X155" s="2745" t="e">
        <f t="shared" si="34"/>
        <v>#REF!</v>
      </c>
      <c r="Y155" s="2745"/>
      <c r="Z155" s="2745" t="e">
        <f t="shared" si="30"/>
        <v>#REF!</v>
      </c>
      <c r="AA155" s="2745">
        <f t="shared" si="35"/>
        <v>4238.6400000000003</v>
      </c>
      <c r="AB155" s="2745" t="e">
        <f t="shared" si="36"/>
        <v>#REF!</v>
      </c>
      <c r="AC155" s="2745"/>
      <c r="AD155" s="2745" t="e">
        <f t="shared" si="31"/>
        <v>#REF!</v>
      </c>
      <c r="AE155" s="2148"/>
      <c r="AF155" s="2148"/>
      <c r="AG155" s="2148"/>
      <c r="AH155" s="2148"/>
      <c r="AI155" s="2148"/>
      <c r="AJ155" s="2148"/>
      <c r="AK155" s="2148"/>
      <c r="AL155" s="2148"/>
      <c r="AM155" s="2148"/>
    </row>
    <row r="156" spans="1:39" s="2161" customFormat="1">
      <c r="A156" s="2743">
        <v>147</v>
      </c>
      <c r="B156" s="2744" t="s">
        <v>1378</v>
      </c>
      <c r="C156" s="2744" t="s">
        <v>1382</v>
      </c>
      <c r="D156" s="2745" t="s">
        <v>1022</v>
      </c>
      <c r="E156" s="2746">
        <v>16815.8</v>
      </c>
      <c r="F156" s="2745"/>
      <c r="G156" s="2746">
        <f t="shared" si="27"/>
        <v>16815.8</v>
      </c>
      <c r="H156" s="2745"/>
      <c r="I156" s="2747"/>
      <c r="J156" s="2747"/>
      <c r="K156" s="2745"/>
      <c r="L156" s="2744">
        <v>10</v>
      </c>
      <c r="M156" s="2744"/>
      <c r="N156" s="2745">
        <v>6</v>
      </c>
      <c r="O156" s="2761">
        <v>10</v>
      </c>
      <c r="P156" s="2745" t="e">
        <f>#REF!+#REF!+хозАДМ!P73+хозИНТ!P153</f>
        <v>#REF!</v>
      </c>
      <c r="Q156" s="2745">
        <f t="shared" si="24"/>
        <v>984.4</v>
      </c>
      <c r="R156" s="2745" t="e">
        <f t="shared" si="32"/>
        <v>#REF!</v>
      </c>
      <c r="S156" s="2745"/>
      <c r="T156" s="2745" t="e">
        <f t="shared" si="37"/>
        <v>#REF!</v>
      </c>
      <c r="U156" s="2148">
        <v>920</v>
      </c>
      <c r="V156" s="2148">
        <v>1.07</v>
      </c>
      <c r="W156" s="2745">
        <f t="shared" si="33"/>
        <v>1053.31</v>
      </c>
      <c r="X156" s="2745" t="e">
        <f t="shared" si="34"/>
        <v>#REF!</v>
      </c>
      <c r="Y156" s="2745"/>
      <c r="Z156" s="2745" t="e">
        <f t="shared" si="30"/>
        <v>#REF!</v>
      </c>
      <c r="AA156" s="2745">
        <f t="shared" si="35"/>
        <v>1127.04</v>
      </c>
      <c r="AB156" s="2745" t="e">
        <f t="shared" si="36"/>
        <v>#REF!</v>
      </c>
      <c r="AC156" s="2745"/>
      <c r="AD156" s="2745" t="e">
        <f t="shared" si="31"/>
        <v>#REF!</v>
      </c>
      <c r="AE156" s="2148"/>
      <c r="AF156" s="2148"/>
      <c r="AG156" s="2148"/>
      <c r="AH156" s="2148"/>
      <c r="AI156" s="2148"/>
      <c r="AJ156" s="2148"/>
      <c r="AK156" s="2148"/>
      <c r="AL156" s="2148"/>
      <c r="AM156" s="2148"/>
    </row>
    <row r="157" spans="1:39" s="2161" customFormat="1">
      <c r="A157" s="2743">
        <v>148</v>
      </c>
      <c r="B157" s="2744" t="s">
        <v>1380</v>
      </c>
      <c r="C157" s="2744" t="s">
        <v>1384</v>
      </c>
      <c r="D157" s="2745" t="s">
        <v>1022</v>
      </c>
      <c r="E157" s="2746">
        <v>16815.8</v>
      </c>
      <c r="F157" s="2747"/>
      <c r="G157" s="2746">
        <f t="shared" si="27"/>
        <v>16815.8</v>
      </c>
      <c r="H157" s="2747"/>
      <c r="I157" s="2747"/>
      <c r="J157" s="2747"/>
      <c r="K157" s="2747"/>
      <c r="L157" s="2744">
        <v>50</v>
      </c>
      <c r="M157" s="2745"/>
      <c r="N157" s="2747">
        <v>16</v>
      </c>
      <c r="O157" s="2758">
        <v>50</v>
      </c>
      <c r="P157" s="2745" t="e">
        <f>#REF!+#REF!+хозАДМ!#REF!+хозИНТ!P154</f>
        <v>#REF!</v>
      </c>
      <c r="Q157" s="2745">
        <f t="shared" si="24"/>
        <v>759.7</v>
      </c>
      <c r="R157" s="2745" t="e">
        <f t="shared" si="32"/>
        <v>#REF!</v>
      </c>
      <c r="S157" s="2745"/>
      <c r="T157" s="2745" t="e">
        <f t="shared" si="37"/>
        <v>#REF!</v>
      </c>
      <c r="U157" s="2148">
        <v>710</v>
      </c>
      <c r="V157" s="2148">
        <v>1.07</v>
      </c>
      <c r="W157" s="2745">
        <f t="shared" si="33"/>
        <v>812.88</v>
      </c>
      <c r="X157" s="2745" t="e">
        <f t="shared" si="34"/>
        <v>#REF!</v>
      </c>
      <c r="Y157" s="2745"/>
      <c r="Z157" s="2745" t="e">
        <f t="shared" si="30"/>
        <v>#REF!</v>
      </c>
      <c r="AA157" s="2745">
        <f t="shared" si="35"/>
        <v>869.78</v>
      </c>
      <c r="AB157" s="2745" t="e">
        <f t="shared" si="36"/>
        <v>#REF!</v>
      </c>
      <c r="AC157" s="2745"/>
      <c r="AD157" s="2745" t="e">
        <f t="shared" si="31"/>
        <v>#REF!</v>
      </c>
      <c r="AE157" s="2148"/>
      <c r="AF157" s="2148"/>
      <c r="AG157" s="2148"/>
      <c r="AH157" s="2148"/>
      <c r="AI157" s="2148"/>
      <c r="AJ157" s="2148"/>
      <c r="AK157" s="2148"/>
      <c r="AL157" s="2148"/>
      <c r="AM157" s="2148"/>
    </row>
    <row r="158" spans="1:39" ht="16.5" customHeight="1">
      <c r="A158" s="2074">
        <v>149</v>
      </c>
      <c r="B158" s="2068" t="s">
        <v>1380</v>
      </c>
      <c r="C158" s="2068" t="s">
        <v>1385</v>
      </c>
      <c r="D158" s="2071" t="s">
        <v>1022</v>
      </c>
      <c r="E158" s="2070">
        <v>16815.8</v>
      </c>
      <c r="F158" s="2067"/>
      <c r="G158" s="2070">
        <f t="shared" si="27"/>
        <v>16815.8</v>
      </c>
      <c r="H158" s="2067"/>
      <c r="I158" s="2067"/>
      <c r="J158" s="2067"/>
      <c r="K158" s="2067"/>
      <c r="L158" s="2068">
        <v>50</v>
      </c>
      <c r="M158" s="2068"/>
      <c r="N158" s="2734"/>
      <c r="O158" s="2759"/>
      <c r="P158" s="2719" t="e">
        <f>#REF!+#REF!+хозАДМ!P74+хозИНТ!P155</f>
        <v>#REF!</v>
      </c>
      <c r="Q158" s="2071">
        <f t="shared" si="24"/>
        <v>470.8</v>
      </c>
      <c r="R158" s="2071" t="e">
        <f t="shared" si="32"/>
        <v>#REF!</v>
      </c>
      <c r="S158" s="2071"/>
      <c r="T158" s="2071" t="e">
        <f>R158-S158</f>
        <v>#REF!</v>
      </c>
      <c r="U158" s="2135">
        <v>440</v>
      </c>
      <c r="V158" s="2135">
        <v>1.07</v>
      </c>
      <c r="W158" s="2071">
        <f t="shared" si="33"/>
        <v>503.76</v>
      </c>
      <c r="X158" s="2071" t="e">
        <f t="shared" si="34"/>
        <v>#REF!</v>
      </c>
      <c r="Y158" s="2071"/>
      <c r="Z158" s="2071" t="e">
        <f>X158-Y158</f>
        <v>#REF!</v>
      </c>
      <c r="AA158" s="2071">
        <f t="shared" si="35"/>
        <v>539.02</v>
      </c>
      <c r="AB158" s="2071" t="e">
        <f t="shared" si="36"/>
        <v>#REF!</v>
      </c>
      <c r="AC158" s="2071"/>
      <c r="AD158" s="2071" t="e">
        <f>AB158-AC158</f>
        <v>#REF!</v>
      </c>
      <c r="AE158" s="2135"/>
      <c r="AF158" s="2135"/>
      <c r="AG158" s="2135"/>
      <c r="AH158" s="2135"/>
      <c r="AI158" s="2135"/>
      <c r="AJ158" s="2135"/>
      <c r="AK158" s="2135"/>
      <c r="AL158" s="2135"/>
      <c r="AM158" s="2135"/>
    </row>
    <row r="159" spans="1:39" s="2161" customFormat="1">
      <c r="A159" s="2743">
        <v>150</v>
      </c>
      <c r="B159" s="2744" t="s">
        <v>1665</v>
      </c>
      <c r="C159" s="2744" t="s">
        <v>1667</v>
      </c>
      <c r="D159" s="2745" t="s">
        <v>1022</v>
      </c>
      <c r="E159" s="2746">
        <v>16815.8</v>
      </c>
      <c r="F159" s="2747"/>
      <c r="G159" s="2746">
        <f t="shared" si="27"/>
        <v>16815.8</v>
      </c>
      <c r="H159" s="2747"/>
      <c r="I159" s="2747"/>
      <c r="J159" s="2747"/>
      <c r="K159" s="2747"/>
      <c r="L159" s="2744">
        <v>40</v>
      </c>
      <c r="M159" s="2744"/>
      <c r="N159" s="2747">
        <v>15</v>
      </c>
      <c r="O159" s="2758">
        <v>35</v>
      </c>
      <c r="P159" s="2745" t="e">
        <f>#REF!+#REF!+хозАДМ!P75+хозИНТ!P156</f>
        <v>#REF!</v>
      </c>
      <c r="Q159" s="2745">
        <f t="shared" si="24"/>
        <v>1831.84</v>
      </c>
      <c r="R159" s="2745" t="e">
        <f t="shared" si="32"/>
        <v>#REF!</v>
      </c>
      <c r="S159" s="2745"/>
      <c r="T159" s="2745" t="e">
        <f>R159-S159</f>
        <v>#REF!</v>
      </c>
      <c r="U159" s="2148">
        <v>1712</v>
      </c>
      <c r="V159" s="2148">
        <v>1.07</v>
      </c>
      <c r="W159" s="2745">
        <f t="shared" si="33"/>
        <v>1960.07</v>
      </c>
      <c r="X159" s="2745" t="e">
        <f t="shared" si="34"/>
        <v>#REF!</v>
      </c>
      <c r="Y159" s="2745"/>
      <c r="Z159" s="2745" t="e">
        <f>X159-Y159</f>
        <v>#REF!</v>
      </c>
      <c r="AA159" s="2745">
        <f t="shared" si="35"/>
        <v>2097.27</v>
      </c>
      <c r="AB159" s="2745" t="e">
        <f t="shared" si="36"/>
        <v>#REF!</v>
      </c>
      <c r="AC159" s="2745"/>
      <c r="AD159" s="2745" t="e">
        <f>AB159-AC159</f>
        <v>#REF!</v>
      </c>
      <c r="AE159" s="2148"/>
      <c r="AF159" s="2148"/>
      <c r="AG159" s="2148"/>
      <c r="AH159" s="2148"/>
      <c r="AI159" s="2148"/>
      <c r="AJ159" s="2148"/>
      <c r="AK159" s="2148"/>
      <c r="AL159" s="2148"/>
      <c r="AM159" s="2148"/>
    </row>
    <row r="160" spans="1:39" s="2749" customFormat="1" ht="24">
      <c r="A160" s="2375">
        <v>151</v>
      </c>
      <c r="B160" s="2355" t="s">
        <v>1462</v>
      </c>
      <c r="C160" s="2355" t="s">
        <v>1463</v>
      </c>
      <c r="D160" s="2458" t="s">
        <v>1268</v>
      </c>
      <c r="E160" s="2742">
        <v>16815.8</v>
      </c>
      <c r="F160" s="2458"/>
      <c r="G160" s="2742">
        <f t="shared" si="27"/>
        <v>16815.8</v>
      </c>
      <c r="H160" s="2458"/>
      <c r="I160" s="2492"/>
      <c r="J160" s="2492"/>
      <c r="K160" s="2458"/>
      <c r="L160" s="2355">
        <v>20</v>
      </c>
      <c r="M160" s="2355"/>
      <c r="N160" s="2458">
        <v>38</v>
      </c>
      <c r="O160" s="2764"/>
      <c r="P160" s="2458" t="e">
        <f>#REF!+#REF!+хозАДМ!#REF!+хозИНТ!P157</f>
        <v>#REF!</v>
      </c>
      <c r="Q160" s="2458">
        <f t="shared" si="24"/>
        <v>1412.4</v>
      </c>
      <c r="R160" s="2458" t="e">
        <f t="shared" si="32"/>
        <v>#REF!</v>
      </c>
      <c r="S160" s="2458"/>
      <c r="T160" s="2458" t="e">
        <f>R160-S160</f>
        <v>#REF!</v>
      </c>
      <c r="U160" s="2357">
        <v>1320</v>
      </c>
      <c r="V160" s="2357">
        <v>1.07</v>
      </c>
      <c r="W160" s="2458">
        <f t="shared" si="33"/>
        <v>1511.27</v>
      </c>
      <c r="X160" s="2458" t="e">
        <f t="shared" si="34"/>
        <v>#REF!</v>
      </c>
      <c r="Y160" s="2458"/>
      <c r="Z160" s="2458" t="e">
        <f>X160-Y160</f>
        <v>#REF!</v>
      </c>
      <c r="AA160" s="2458">
        <f t="shared" si="35"/>
        <v>1617.06</v>
      </c>
      <c r="AB160" s="2458" t="e">
        <f t="shared" si="36"/>
        <v>#REF!</v>
      </c>
      <c r="AC160" s="2458"/>
      <c r="AD160" s="2458" t="e">
        <f>AB160-AC160</f>
        <v>#REF!</v>
      </c>
      <c r="AE160" s="2357"/>
      <c r="AF160" s="2357"/>
      <c r="AG160" s="2357"/>
      <c r="AH160" s="2357"/>
      <c r="AI160" s="2357"/>
      <c r="AJ160" s="2357"/>
      <c r="AK160" s="2357"/>
      <c r="AL160" s="2357"/>
      <c r="AM160" s="2357"/>
    </row>
    <row r="161" spans="1:39" ht="24">
      <c r="A161" s="2074">
        <v>152</v>
      </c>
      <c r="B161" s="2068" t="s">
        <v>2482</v>
      </c>
      <c r="C161" s="2068" t="s">
        <v>2483</v>
      </c>
      <c r="D161" s="2071" t="s">
        <v>1268</v>
      </c>
      <c r="E161" s="2070">
        <v>16815.8</v>
      </c>
      <c r="F161" s="2067"/>
      <c r="G161" s="2070">
        <f t="shared" si="27"/>
        <v>16815.8</v>
      </c>
      <c r="H161" s="2067"/>
      <c r="I161" s="2067"/>
      <c r="J161" s="2067"/>
      <c r="K161" s="2067"/>
      <c r="L161" s="2068">
        <v>1</v>
      </c>
      <c r="M161" s="2068"/>
      <c r="N161" s="2734"/>
      <c r="O161" s="2759"/>
      <c r="P161" s="2719" t="e">
        <f>#REF!+#REF!+хозАДМ!P76+хозИНТ!P158</f>
        <v>#REF!</v>
      </c>
      <c r="Q161" s="2071">
        <f t="shared" si="24"/>
        <v>3317</v>
      </c>
      <c r="R161" s="2071" t="e">
        <f t="shared" si="32"/>
        <v>#REF!</v>
      </c>
      <c r="S161" s="2071"/>
      <c r="T161" s="2071" t="e">
        <f t="shared" ref="T161:T176" si="38">R161-S161</f>
        <v>#REF!</v>
      </c>
      <c r="U161" s="2135">
        <v>3100</v>
      </c>
      <c r="V161" s="2135">
        <v>1.07</v>
      </c>
      <c r="W161" s="2071">
        <f t="shared" si="33"/>
        <v>3549.19</v>
      </c>
      <c r="X161" s="2071" t="e">
        <f t="shared" si="34"/>
        <v>#REF!</v>
      </c>
      <c r="Y161" s="2071"/>
      <c r="Z161" s="2071" t="e">
        <f t="shared" ref="Z161:Z183" si="39">X161-Y161</f>
        <v>#REF!</v>
      </c>
      <c r="AA161" s="2071">
        <f t="shared" si="35"/>
        <v>3797.63</v>
      </c>
      <c r="AB161" s="2071" t="e">
        <f t="shared" si="36"/>
        <v>#REF!</v>
      </c>
      <c r="AC161" s="2071"/>
      <c r="AD161" s="2071" t="e">
        <f t="shared" ref="AD161:AD183" si="40">AB161-AC161</f>
        <v>#REF!</v>
      </c>
      <c r="AE161" s="2135"/>
      <c r="AF161" s="2135"/>
      <c r="AG161" s="2135"/>
      <c r="AH161" s="2135"/>
      <c r="AI161" s="2135"/>
      <c r="AJ161" s="2135"/>
      <c r="AK161" s="2135"/>
      <c r="AL161" s="2135"/>
      <c r="AM161" s="2135"/>
    </row>
    <row r="162" spans="1:39" ht="24">
      <c r="A162" s="2074">
        <v>153</v>
      </c>
      <c r="B162" s="2068" t="s">
        <v>2482</v>
      </c>
      <c r="C162" s="2068" t="s">
        <v>2484</v>
      </c>
      <c r="D162" s="2071" t="s">
        <v>1268</v>
      </c>
      <c r="E162" s="2070">
        <v>16815.8</v>
      </c>
      <c r="F162" s="2071"/>
      <c r="G162" s="2070">
        <f t="shared" si="27"/>
        <v>16815.8</v>
      </c>
      <c r="H162" s="2071"/>
      <c r="I162" s="2067"/>
      <c r="J162" s="2067"/>
      <c r="K162" s="2071"/>
      <c r="L162" s="2068">
        <v>1</v>
      </c>
      <c r="M162" s="2071"/>
      <c r="N162" s="2735"/>
      <c r="O162" s="2760"/>
      <c r="P162" s="2719" t="e">
        <f>#REF!+#REF!+хозАДМ!P77+хозИНТ!P159</f>
        <v>#REF!</v>
      </c>
      <c r="Q162" s="2071">
        <f t="shared" si="24"/>
        <v>1926</v>
      </c>
      <c r="R162" s="2071" t="e">
        <f t="shared" si="32"/>
        <v>#REF!</v>
      </c>
      <c r="S162" s="2071"/>
      <c r="T162" s="2071" t="e">
        <f t="shared" si="38"/>
        <v>#REF!</v>
      </c>
      <c r="U162" s="2135">
        <v>1800</v>
      </c>
      <c r="V162" s="2135">
        <v>1.07</v>
      </c>
      <c r="W162" s="2071">
        <f t="shared" si="33"/>
        <v>2060.8200000000002</v>
      </c>
      <c r="X162" s="2071" t="e">
        <f t="shared" si="34"/>
        <v>#REF!</v>
      </c>
      <c r="Y162" s="2071"/>
      <c r="Z162" s="2071" t="e">
        <f t="shared" si="39"/>
        <v>#REF!</v>
      </c>
      <c r="AA162" s="2071">
        <f t="shared" si="35"/>
        <v>2205.08</v>
      </c>
      <c r="AB162" s="2071" t="e">
        <f t="shared" si="36"/>
        <v>#REF!</v>
      </c>
      <c r="AC162" s="2071"/>
      <c r="AD162" s="2071" t="e">
        <f t="shared" si="40"/>
        <v>#REF!</v>
      </c>
      <c r="AE162" s="2135"/>
      <c r="AF162" s="2135"/>
      <c r="AG162" s="2135"/>
      <c r="AH162" s="2135"/>
      <c r="AI162" s="2135"/>
      <c r="AJ162" s="2135"/>
      <c r="AK162" s="2135"/>
      <c r="AL162" s="2135"/>
      <c r="AM162" s="2135"/>
    </row>
    <row r="163" spans="1:39" ht="24">
      <c r="A163" s="2074">
        <v>154</v>
      </c>
      <c r="B163" s="2068" t="s">
        <v>2482</v>
      </c>
      <c r="C163" s="2068" t="s">
        <v>2485</v>
      </c>
      <c r="D163" s="2071" t="s">
        <v>1268</v>
      </c>
      <c r="E163" s="2070">
        <v>16815.8</v>
      </c>
      <c r="F163" s="2067"/>
      <c r="G163" s="2070">
        <f t="shared" si="27"/>
        <v>16815.8</v>
      </c>
      <c r="H163" s="2067"/>
      <c r="I163" s="2067"/>
      <c r="J163" s="2067"/>
      <c r="K163" s="2067"/>
      <c r="L163" s="2068">
        <v>1</v>
      </c>
      <c r="M163" s="2068"/>
      <c r="N163" s="2734"/>
      <c r="O163" s="2759"/>
      <c r="P163" s="2719" t="e">
        <f>#REF!+#REF!+хозАДМ!P78+хозИНТ!P160</f>
        <v>#REF!</v>
      </c>
      <c r="Q163" s="2071">
        <f t="shared" si="24"/>
        <v>2675</v>
      </c>
      <c r="R163" s="2071" t="e">
        <f t="shared" si="32"/>
        <v>#REF!</v>
      </c>
      <c r="S163" s="2071"/>
      <c r="T163" s="2071" t="e">
        <f t="shared" si="38"/>
        <v>#REF!</v>
      </c>
      <c r="U163" s="2135">
        <v>2500</v>
      </c>
      <c r="V163" s="2135">
        <v>1.07</v>
      </c>
      <c r="W163" s="2071">
        <f t="shared" si="33"/>
        <v>2862.25</v>
      </c>
      <c r="X163" s="2071" t="e">
        <f t="shared" si="34"/>
        <v>#REF!</v>
      </c>
      <c r="Y163" s="2071"/>
      <c r="Z163" s="2071" t="e">
        <f t="shared" si="39"/>
        <v>#REF!</v>
      </c>
      <c r="AA163" s="2071">
        <f t="shared" si="35"/>
        <v>3062.61</v>
      </c>
      <c r="AB163" s="2071" t="e">
        <f t="shared" si="36"/>
        <v>#REF!</v>
      </c>
      <c r="AC163" s="2071"/>
      <c r="AD163" s="2071" t="e">
        <f t="shared" si="40"/>
        <v>#REF!</v>
      </c>
      <c r="AE163" s="2135"/>
      <c r="AF163" s="2135"/>
      <c r="AG163" s="2135"/>
      <c r="AH163" s="2135"/>
      <c r="AI163" s="2135"/>
      <c r="AJ163" s="2135"/>
      <c r="AK163" s="2135"/>
      <c r="AL163" s="2135"/>
      <c r="AM163" s="2135"/>
    </row>
    <row r="164" spans="1:39" ht="25.5" customHeight="1">
      <c r="A164" s="2074">
        <v>155</v>
      </c>
      <c r="B164" s="2068" t="s">
        <v>2013</v>
      </c>
      <c r="C164" s="2068" t="s">
        <v>2486</v>
      </c>
      <c r="D164" s="2071" t="s">
        <v>1525</v>
      </c>
      <c r="E164" s="2070">
        <v>16815.8</v>
      </c>
      <c r="F164" s="2071"/>
      <c r="G164" s="2070">
        <f t="shared" si="27"/>
        <v>16815.8</v>
      </c>
      <c r="H164" s="2071"/>
      <c r="I164" s="2067"/>
      <c r="J164" s="2067"/>
      <c r="K164" s="2071"/>
      <c r="L164" s="2068">
        <v>2</v>
      </c>
      <c r="M164" s="2071"/>
      <c r="N164" s="2735"/>
      <c r="O164" s="2760"/>
      <c r="P164" s="2719" t="e">
        <f>#REF!+#REF!+хозАДМ!P79+хозИНТ!P161</f>
        <v>#REF!</v>
      </c>
      <c r="Q164" s="2071">
        <f t="shared" si="24"/>
        <v>4023.2</v>
      </c>
      <c r="R164" s="2071" t="e">
        <f t="shared" si="32"/>
        <v>#REF!</v>
      </c>
      <c r="S164" s="2071"/>
      <c r="T164" s="2071" t="e">
        <f t="shared" si="38"/>
        <v>#REF!</v>
      </c>
      <c r="U164" s="2135">
        <v>3760</v>
      </c>
      <c r="V164" s="2135">
        <v>1.07</v>
      </c>
      <c r="W164" s="2071">
        <f t="shared" si="33"/>
        <v>4304.82</v>
      </c>
      <c r="X164" s="2071" t="e">
        <f t="shared" si="34"/>
        <v>#REF!</v>
      </c>
      <c r="Y164" s="2071"/>
      <c r="Z164" s="2071" t="e">
        <f t="shared" si="39"/>
        <v>#REF!</v>
      </c>
      <c r="AA164" s="2071">
        <f t="shared" si="35"/>
        <v>4606.16</v>
      </c>
      <c r="AB164" s="2071" t="e">
        <f t="shared" si="36"/>
        <v>#REF!</v>
      </c>
      <c r="AC164" s="2071"/>
      <c r="AD164" s="2071" t="e">
        <f t="shared" si="40"/>
        <v>#REF!</v>
      </c>
      <c r="AE164" s="2135"/>
      <c r="AF164" s="2135"/>
      <c r="AG164" s="2135"/>
      <c r="AH164" s="2135"/>
      <c r="AI164" s="2135"/>
      <c r="AJ164" s="2135"/>
      <c r="AK164" s="2135"/>
      <c r="AL164" s="2135"/>
      <c r="AM164" s="2135"/>
    </row>
    <row r="165" spans="1:39" ht="24">
      <c r="A165" s="2074">
        <v>156</v>
      </c>
      <c r="B165" s="2068" t="s">
        <v>1981</v>
      </c>
      <c r="C165" s="2068" t="s">
        <v>2486</v>
      </c>
      <c r="D165" s="2071" t="s">
        <v>1525</v>
      </c>
      <c r="E165" s="2070">
        <v>16815.8</v>
      </c>
      <c r="F165" s="2071"/>
      <c r="G165" s="2070">
        <f t="shared" si="27"/>
        <v>16815.8</v>
      </c>
      <c r="H165" s="2071"/>
      <c r="I165" s="2067"/>
      <c r="J165" s="2067"/>
      <c r="K165" s="2071"/>
      <c r="L165" s="2068">
        <v>2</v>
      </c>
      <c r="M165" s="2068"/>
      <c r="N165" s="2735"/>
      <c r="O165" s="2760"/>
      <c r="P165" s="2719" t="e">
        <f>#REF!+#REF!+хозАДМ!P80+хозИНТ!P162</f>
        <v>#REF!</v>
      </c>
      <c r="Q165" s="2071">
        <f t="shared" si="24"/>
        <v>4419.1000000000004</v>
      </c>
      <c r="R165" s="2071" t="e">
        <f t="shared" si="32"/>
        <v>#REF!</v>
      </c>
      <c r="S165" s="2071"/>
      <c r="T165" s="2071" t="e">
        <f t="shared" si="38"/>
        <v>#REF!</v>
      </c>
      <c r="U165" s="2135">
        <v>4130</v>
      </c>
      <c r="V165" s="2135">
        <v>1.07</v>
      </c>
      <c r="W165" s="2071">
        <f t="shared" si="33"/>
        <v>4728.4399999999996</v>
      </c>
      <c r="X165" s="2071" t="e">
        <f t="shared" si="34"/>
        <v>#REF!</v>
      </c>
      <c r="Y165" s="2071"/>
      <c r="Z165" s="2071" t="e">
        <f t="shared" si="39"/>
        <v>#REF!</v>
      </c>
      <c r="AA165" s="2071">
        <f t="shared" si="35"/>
        <v>5059.43</v>
      </c>
      <c r="AB165" s="2071" t="e">
        <f t="shared" si="36"/>
        <v>#REF!</v>
      </c>
      <c r="AC165" s="2071"/>
      <c r="AD165" s="2071" t="e">
        <f t="shared" si="40"/>
        <v>#REF!</v>
      </c>
      <c r="AE165" s="2135"/>
      <c r="AF165" s="2135"/>
      <c r="AG165" s="2135"/>
      <c r="AH165" s="2135"/>
      <c r="AI165" s="2135"/>
      <c r="AJ165" s="2135"/>
      <c r="AK165" s="2135"/>
      <c r="AL165" s="2135"/>
      <c r="AM165" s="2135"/>
    </row>
    <row r="166" spans="1:39">
      <c r="A166" s="2074">
        <v>157</v>
      </c>
      <c r="B166" s="2068" t="s">
        <v>1562</v>
      </c>
      <c r="C166" s="2068" t="s">
        <v>1563</v>
      </c>
      <c r="D166" s="2071" t="s">
        <v>1564</v>
      </c>
      <c r="E166" s="2070">
        <v>16815.8</v>
      </c>
      <c r="F166" s="2067"/>
      <c r="G166" s="2070">
        <f t="shared" si="27"/>
        <v>16815.8</v>
      </c>
      <c r="H166" s="2067"/>
      <c r="I166" s="2067"/>
      <c r="J166" s="2067"/>
      <c r="K166" s="2067"/>
      <c r="L166" s="2068">
        <v>432</v>
      </c>
      <c r="M166" s="2068">
        <f>12*36</f>
        <v>432</v>
      </c>
      <c r="N166" s="2734">
        <v>136</v>
      </c>
      <c r="O166" s="2759">
        <f>N166-50</f>
        <v>86</v>
      </c>
      <c r="P166" s="2719" t="e">
        <f>#REF!+#REF!+хозАДМ!P81+хозИНТ!P163</f>
        <v>#REF!</v>
      </c>
      <c r="Q166" s="2071">
        <f t="shared" si="24"/>
        <v>176.55</v>
      </c>
      <c r="R166" s="2071" t="e">
        <f t="shared" si="32"/>
        <v>#REF!</v>
      </c>
      <c r="S166" s="2071"/>
      <c r="T166" s="2071" t="e">
        <f t="shared" si="38"/>
        <v>#REF!</v>
      </c>
      <c r="U166" s="2148">
        <v>165</v>
      </c>
      <c r="V166" s="2135">
        <v>1.07</v>
      </c>
      <c r="W166" s="2071">
        <f t="shared" si="33"/>
        <v>188.91</v>
      </c>
      <c r="X166" s="2071" t="e">
        <f t="shared" si="34"/>
        <v>#REF!</v>
      </c>
      <c r="Y166" s="2071"/>
      <c r="Z166" s="2071" t="e">
        <f t="shared" si="39"/>
        <v>#REF!</v>
      </c>
      <c r="AA166" s="2071">
        <f t="shared" si="35"/>
        <v>202.13</v>
      </c>
      <c r="AB166" s="2071" t="e">
        <f t="shared" si="36"/>
        <v>#REF!</v>
      </c>
      <c r="AC166" s="2071"/>
      <c r="AD166" s="2071" t="e">
        <f t="shared" si="40"/>
        <v>#REF!</v>
      </c>
      <c r="AE166" s="2135"/>
      <c r="AF166" s="2135"/>
      <c r="AG166" s="2135"/>
      <c r="AH166" s="2135"/>
      <c r="AI166" s="2135"/>
      <c r="AJ166" s="2135"/>
      <c r="AK166" s="2135"/>
      <c r="AL166" s="2135"/>
      <c r="AM166" s="2135"/>
    </row>
    <row r="167" spans="1:39" s="2161" customFormat="1" ht="180">
      <c r="A167" s="2074">
        <v>158</v>
      </c>
      <c r="B167" s="2068" t="s">
        <v>2487</v>
      </c>
      <c r="C167" s="2726" t="s">
        <v>2488</v>
      </c>
      <c r="D167" s="2071" t="s">
        <v>1268</v>
      </c>
      <c r="E167" s="2070">
        <v>16815.8</v>
      </c>
      <c r="F167" s="2071"/>
      <c r="G167" s="2070">
        <f t="shared" si="27"/>
        <v>16815.8</v>
      </c>
      <c r="H167" s="2071"/>
      <c r="I167" s="2067"/>
      <c r="J167" s="2067"/>
      <c r="K167" s="2071"/>
      <c r="L167" s="2068">
        <v>8</v>
      </c>
      <c r="M167" s="2068"/>
      <c r="N167" s="2735"/>
      <c r="O167" s="2760"/>
      <c r="P167" s="2719" t="e">
        <f>#REF!+#REF!+хозИНТ!P164</f>
        <v>#REF!</v>
      </c>
      <c r="Q167" s="2071">
        <f t="shared" si="24"/>
        <v>5489.1</v>
      </c>
      <c r="R167" s="2071" t="e">
        <f t="shared" si="32"/>
        <v>#REF!</v>
      </c>
      <c r="S167" s="2071"/>
      <c r="T167" s="2071" t="e">
        <f t="shared" si="38"/>
        <v>#REF!</v>
      </c>
      <c r="U167" s="2135">
        <v>5130</v>
      </c>
      <c r="V167" s="2135">
        <v>1.07</v>
      </c>
      <c r="W167" s="2071">
        <f t="shared" si="33"/>
        <v>5873.34</v>
      </c>
      <c r="X167" s="2071" t="e">
        <f t="shared" si="34"/>
        <v>#REF!</v>
      </c>
      <c r="Y167" s="2071"/>
      <c r="Z167" s="2071" t="e">
        <f t="shared" si="39"/>
        <v>#REF!</v>
      </c>
      <c r="AA167" s="2071">
        <f t="shared" si="35"/>
        <v>6284.47</v>
      </c>
      <c r="AB167" s="2071" t="e">
        <f t="shared" si="36"/>
        <v>#REF!</v>
      </c>
      <c r="AC167" s="2071"/>
      <c r="AD167" s="2071" t="e">
        <f t="shared" si="40"/>
        <v>#REF!</v>
      </c>
      <c r="AE167" s="2135"/>
      <c r="AF167" s="2135"/>
      <c r="AG167" s="2135"/>
      <c r="AH167" s="2135"/>
      <c r="AI167" s="2135"/>
      <c r="AJ167" s="2135"/>
      <c r="AK167" s="2135"/>
      <c r="AL167" s="2135"/>
      <c r="AM167" s="2135"/>
    </row>
    <row r="168" spans="1:39" s="2161" customFormat="1" ht="120">
      <c r="A168" s="2074">
        <v>159</v>
      </c>
      <c r="B168" s="2068" t="s">
        <v>2489</v>
      </c>
      <c r="C168" s="2068" t="s">
        <v>2490</v>
      </c>
      <c r="D168" s="2071" t="s">
        <v>1268</v>
      </c>
      <c r="E168" s="2070">
        <v>16815.8</v>
      </c>
      <c r="F168" s="2071"/>
      <c r="G168" s="2070">
        <f t="shared" si="27"/>
        <v>16815.8</v>
      </c>
      <c r="H168" s="2071"/>
      <c r="I168" s="2067"/>
      <c r="J168" s="2067"/>
      <c r="K168" s="2071"/>
      <c r="L168" s="2068">
        <v>2</v>
      </c>
      <c r="M168" s="2068"/>
      <c r="N168" s="2735"/>
      <c r="O168" s="2760"/>
      <c r="P168" s="2719" t="e">
        <f>#REF!+#REF!+хозИНТ!P165</f>
        <v>#REF!</v>
      </c>
      <c r="Q168" s="2071">
        <f t="shared" ref="Q168:Q229" si="41">ROUND(U168*V168,2)</f>
        <v>11411.55</v>
      </c>
      <c r="R168" s="2071" t="e">
        <f t="shared" si="32"/>
        <v>#REF!</v>
      </c>
      <c r="S168" s="2071"/>
      <c r="T168" s="2071" t="e">
        <f t="shared" si="38"/>
        <v>#REF!</v>
      </c>
      <c r="U168" s="2135">
        <v>10665</v>
      </c>
      <c r="V168" s="2135">
        <v>1.07</v>
      </c>
      <c r="W168" s="2071">
        <f t="shared" si="33"/>
        <v>12210.36</v>
      </c>
      <c r="X168" s="2071" t="e">
        <f t="shared" si="34"/>
        <v>#REF!</v>
      </c>
      <c r="Y168" s="2071"/>
      <c r="Z168" s="2071" t="e">
        <f t="shared" si="39"/>
        <v>#REF!</v>
      </c>
      <c r="AA168" s="2071">
        <f t="shared" si="35"/>
        <v>13065.09</v>
      </c>
      <c r="AB168" s="2071" t="e">
        <f t="shared" si="36"/>
        <v>#REF!</v>
      </c>
      <c r="AC168" s="2071"/>
      <c r="AD168" s="2071" t="e">
        <f t="shared" si="40"/>
        <v>#REF!</v>
      </c>
      <c r="AE168" s="2135"/>
      <c r="AF168" s="2135"/>
      <c r="AG168" s="2135"/>
      <c r="AH168" s="2135"/>
      <c r="AI168" s="2135"/>
      <c r="AJ168" s="2135"/>
      <c r="AK168" s="2135"/>
      <c r="AL168" s="2135"/>
      <c r="AM168" s="2135"/>
    </row>
    <row r="169" spans="1:39" s="2161" customFormat="1" ht="84">
      <c r="A169" s="2074">
        <v>160</v>
      </c>
      <c r="B169" s="2068" t="s">
        <v>2491</v>
      </c>
      <c r="C169" s="2068" t="s">
        <v>2492</v>
      </c>
      <c r="D169" s="2071" t="s">
        <v>1268</v>
      </c>
      <c r="E169" s="2070">
        <v>16815.8</v>
      </c>
      <c r="F169" s="2071"/>
      <c r="G169" s="2070">
        <f t="shared" si="27"/>
        <v>16815.8</v>
      </c>
      <c r="H169" s="2071"/>
      <c r="I169" s="2067"/>
      <c r="J169" s="2067"/>
      <c r="K169" s="2071"/>
      <c r="L169" s="2068">
        <v>2</v>
      </c>
      <c r="M169" s="2071">
        <v>61</v>
      </c>
      <c r="N169" s="2735"/>
      <c r="O169" s="2760"/>
      <c r="P169" s="2719" t="e">
        <f>#REF!+#REF!+хозИНТ!P166</f>
        <v>#REF!</v>
      </c>
      <c r="Q169" s="2071">
        <f t="shared" si="41"/>
        <v>2963.9</v>
      </c>
      <c r="R169" s="2071" t="e">
        <f t="shared" si="32"/>
        <v>#REF!</v>
      </c>
      <c r="S169" s="2071"/>
      <c r="T169" s="2071" t="e">
        <f t="shared" si="38"/>
        <v>#REF!</v>
      </c>
      <c r="U169" s="2135">
        <v>2770</v>
      </c>
      <c r="V169" s="2135">
        <v>1.07</v>
      </c>
      <c r="W169" s="2071">
        <f t="shared" si="33"/>
        <v>3171.37</v>
      </c>
      <c r="X169" s="2071" t="e">
        <f t="shared" si="34"/>
        <v>#REF!</v>
      </c>
      <c r="Y169" s="2071"/>
      <c r="Z169" s="2071" t="e">
        <f t="shared" si="39"/>
        <v>#REF!</v>
      </c>
      <c r="AA169" s="2071">
        <f t="shared" si="35"/>
        <v>3393.37</v>
      </c>
      <c r="AB169" s="2071" t="e">
        <f t="shared" si="36"/>
        <v>#REF!</v>
      </c>
      <c r="AC169" s="2071"/>
      <c r="AD169" s="2071" t="e">
        <f t="shared" si="40"/>
        <v>#REF!</v>
      </c>
      <c r="AE169" s="2135"/>
      <c r="AF169" s="2135"/>
      <c r="AG169" s="2135"/>
      <c r="AH169" s="2135"/>
      <c r="AI169" s="2135"/>
      <c r="AJ169" s="2135"/>
      <c r="AK169" s="2135"/>
      <c r="AL169" s="2135"/>
      <c r="AM169" s="2135"/>
    </row>
    <row r="170" spans="1:39" s="2161" customFormat="1" ht="24">
      <c r="A170" s="2743">
        <v>161</v>
      </c>
      <c r="B170" s="2744" t="s">
        <v>1273</v>
      </c>
      <c r="C170" s="2748" t="s">
        <v>2493</v>
      </c>
      <c r="D170" s="2745" t="s">
        <v>1268</v>
      </c>
      <c r="E170" s="2746">
        <v>16815.8</v>
      </c>
      <c r="F170" s="2745"/>
      <c r="G170" s="2746">
        <f t="shared" si="27"/>
        <v>16815.8</v>
      </c>
      <c r="H170" s="2745"/>
      <c r="I170" s="2747"/>
      <c r="J170" s="2747"/>
      <c r="K170" s="2745"/>
      <c r="L170" s="2744">
        <v>10</v>
      </c>
      <c r="M170" s="2744"/>
      <c r="N170" s="2745">
        <v>23</v>
      </c>
      <c r="O170" s="2761">
        <v>0</v>
      </c>
      <c r="P170" s="2745" t="e">
        <f>#REF!+#REF!+хозАДМ!P82+хозИНТ!P167</f>
        <v>#REF!</v>
      </c>
      <c r="Q170" s="2745">
        <f t="shared" si="41"/>
        <v>1990.2</v>
      </c>
      <c r="R170" s="2745" t="e">
        <f t="shared" si="32"/>
        <v>#REF!</v>
      </c>
      <c r="S170" s="2745"/>
      <c r="T170" s="2745" t="e">
        <f t="shared" si="38"/>
        <v>#REF!</v>
      </c>
      <c r="U170" s="2148">
        <v>1860</v>
      </c>
      <c r="V170" s="2148">
        <v>1.07</v>
      </c>
      <c r="W170" s="2745">
        <f t="shared" si="33"/>
        <v>2129.5100000000002</v>
      </c>
      <c r="X170" s="2745" t="e">
        <f t="shared" si="34"/>
        <v>#REF!</v>
      </c>
      <c r="Y170" s="2745"/>
      <c r="Z170" s="2745" t="e">
        <f t="shared" si="39"/>
        <v>#REF!</v>
      </c>
      <c r="AA170" s="2745">
        <f t="shared" si="35"/>
        <v>2278.58</v>
      </c>
      <c r="AB170" s="2745" t="e">
        <f t="shared" si="36"/>
        <v>#REF!</v>
      </c>
      <c r="AC170" s="2745"/>
      <c r="AD170" s="2745" t="e">
        <f t="shared" si="40"/>
        <v>#REF!</v>
      </c>
      <c r="AE170" s="2148"/>
      <c r="AF170" s="2148"/>
      <c r="AG170" s="2148"/>
      <c r="AH170" s="2148"/>
      <c r="AI170" s="2148"/>
      <c r="AJ170" s="2148"/>
      <c r="AK170" s="2148"/>
      <c r="AL170" s="2148"/>
      <c r="AM170" s="2148"/>
    </row>
    <row r="171" spans="1:39" s="2161" customFormat="1" ht="24">
      <c r="A171" s="2743">
        <v>162</v>
      </c>
      <c r="B171" s="2744" t="s">
        <v>2494</v>
      </c>
      <c r="C171" s="2748" t="s">
        <v>2495</v>
      </c>
      <c r="D171" s="2745" t="s">
        <v>1268</v>
      </c>
      <c r="E171" s="2746">
        <v>16815.8</v>
      </c>
      <c r="F171" s="2745"/>
      <c r="G171" s="2746">
        <f t="shared" si="27"/>
        <v>16815.8</v>
      </c>
      <c r="H171" s="2745"/>
      <c r="I171" s="2747"/>
      <c r="J171" s="2747"/>
      <c r="K171" s="2745"/>
      <c r="L171" s="2744">
        <v>10</v>
      </c>
      <c r="M171" s="2745"/>
      <c r="N171" s="2745">
        <v>2</v>
      </c>
      <c r="O171" s="2761">
        <v>5</v>
      </c>
      <c r="P171" s="2745" t="e">
        <f>#REF!+#REF!+хозАДМ!P83+хозИНТ!P168</f>
        <v>#REF!</v>
      </c>
      <c r="Q171" s="2745">
        <f t="shared" si="41"/>
        <v>1701.3</v>
      </c>
      <c r="R171" s="2745" t="e">
        <f t="shared" si="32"/>
        <v>#REF!</v>
      </c>
      <c r="S171" s="2745"/>
      <c r="T171" s="2745" t="e">
        <f t="shared" si="38"/>
        <v>#REF!</v>
      </c>
      <c r="U171" s="2148">
        <v>1590</v>
      </c>
      <c r="V171" s="2148">
        <v>1.07</v>
      </c>
      <c r="W171" s="2745">
        <f t="shared" si="33"/>
        <v>1820.39</v>
      </c>
      <c r="X171" s="2745" t="e">
        <f t="shared" si="34"/>
        <v>#REF!</v>
      </c>
      <c r="Y171" s="2745"/>
      <c r="Z171" s="2745" t="e">
        <f t="shared" si="39"/>
        <v>#REF!</v>
      </c>
      <c r="AA171" s="2745">
        <f t="shared" si="35"/>
        <v>1947.82</v>
      </c>
      <c r="AB171" s="2745" t="e">
        <f t="shared" si="36"/>
        <v>#REF!</v>
      </c>
      <c r="AC171" s="2745"/>
      <c r="AD171" s="2745" t="e">
        <f t="shared" si="40"/>
        <v>#REF!</v>
      </c>
      <c r="AE171" s="2148"/>
      <c r="AF171" s="2148"/>
      <c r="AG171" s="2148"/>
      <c r="AH171" s="2148"/>
      <c r="AI171" s="2148"/>
      <c r="AJ171" s="2148"/>
      <c r="AK171" s="2148"/>
      <c r="AL171" s="2148"/>
      <c r="AM171" s="2148"/>
    </row>
    <row r="172" spans="1:39" s="2161" customFormat="1" ht="24">
      <c r="A172" s="2743">
        <v>163</v>
      </c>
      <c r="B172" s="2744" t="s">
        <v>2494</v>
      </c>
      <c r="C172" s="2748" t="s">
        <v>2496</v>
      </c>
      <c r="D172" s="2745" t="s">
        <v>1268</v>
      </c>
      <c r="E172" s="2746">
        <v>16815.8</v>
      </c>
      <c r="F172" s="2745"/>
      <c r="G172" s="2746">
        <f t="shared" si="27"/>
        <v>16815.8</v>
      </c>
      <c r="H172" s="2745"/>
      <c r="I172" s="2747"/>
      <c r="J172" s="2747"/>
      <c r="K172" s="2745"/>
      <c r="L172" s="2744">
        <v>5</v>
      </c>
      <c r="M172" s="2744"/>
      <c r="N172" s="2745">
        <v>23</v>
      </c>
      <c r="O172" s="2761">
        <v>0</v>
      </c>
      <c r="P172" s="2745" t="e">
        <f>#REF!+#REF!+хозАДМ!P84+хозИНТ!P169</f>
        <v>#REF!</v>
      </c>
      <c r="Q172" s="2745">
        <f t="shared" si="41"/>
        <v>2364.6999999999998</v>
      </c>
      <c r="R172" s="2745" t="e">
        <f t="shared" si="32"/>
        <v>#REF!</v>
      </c>
      <c r="S172" s="2745"/>
      <c r="T172" s="2745" t="e">
        <f t="shared" si="38"/>
        <v>#REF!</v>
      </c>
      <c r="U172" s="2148">
        <v>2210</v>
      </c>
      <c r="V172" s="2148">
        <v>1.07</v>
      </c>
      <c r="W172" s="2745">
        <f t="shared" si="33"/>
        <v>2530.23</v>
      </c>
      <c r="X172" s="2745" t="e">
        <f t="shared" si="34"/>
        <v>#REF!</v>
      </c>
      <c r="Y172" s="2745"/>
      <c r="Z172" s="2745" t="e">
        <f t="shared" si="39"/>
        <v>#REF!</v>
      </c>
      <c r="AA172" s="2745">
        <f t="shared" si="35"/>
        <v>2707.35</v>
      </c>
      <c r="AB172" s="2745" t="e">
        <f t="shared" si="36"/>
        <v>#REF!</v>
      </c>
      <c r="AC172" s="2745"/>
      <c r="AD172" s="2745" t="e">
        <f t="shared" si="40"/>
        <v>#REF!</v>
      </c>
      <c r="AE172" s="2148"/>
      <c r="AF172" s="2148"/>
      <c r="AG172" s="2148"/>
      <c r="AH172" s="2148"/>
      <c r="AI172" s="2148"/>
      <c r="AJ172" s="2148"/>
      <c r="AK172" s="2148"/>
      <c r="AL172" s="2148"/>
      <c r="AM172" s="2148"/>
    </row>
    <row r="173" spans="1:39" s="2161" customFormat="1" ht="24">
      <c r="A173" s="2743">
        <v>164</v>
      </c>
      <c r="B173" s="2744" t="s">
        <v>2497</v>
      </c>
      <c r="C173" s="2748" t="s">
        <v>2498</v>
      </c>
      <c r="D173" s="2745" t="s">
        <v>1268</v>
      </c>
      <c r="E173" s="2746">
        <v>16815.8</v>
      </c>
      <c r="F173" s="2747"/>
      <c r="G173" s="2746">
        <f t="shared" si="27"/>
        <v>16815.8</v>
      </c>
      <c r="H173" s="2747"/>
      <c r="I173" s="2747"/>
      <c r="J173" s="2747"/>
      <c r="K173" s="2747"/>
      <c r="L173" s="2744">
        <v>10</v>
      </c>
      <c r="M173" s="2744"/>
      <c r="N173" s="2747">
        <v>6</v>
      </c>
      <c r="O173" s="2758">
        <v>3</v>
      </c>
      <c r="P173" s="2745" t="e">
        <f>#REF!+#REF!+хозАДМ!#REF!+хозИНТ!P170</f>
        <v>#REF!</v>
      </c>
      <c r="Q173" s="2745">
        <f t="shared" si="41"/>
        <v>652.70000000000005</v>
      </c>
      <c r="R173" s="2745" t="e">
        <f t="shared" si="32"/>
        <v>#REF!</v>
      </c>
      <c r="S173" s="2745"/>
      <c r="T173" s="2745" t="e">
        <f t="shared" si="38"/>
        <v>#REF!</v>
      </c>
      <c r="U173" s="2148">
        <v>610</v>
      </c>
      <c r="V173" s="2148">
        <v>1.07</v>
      </c>
      <c r="W173" s="2745">
        <f t="shared" si="33"/>
        <v>698.39</v>
      </c>
      <c r="X173" s="2745" t="e">
        <f t="shared" si="34"/>
        <v>#REF!</v>
      </c>
      <c r="Y173" s="2745"/>
      <c r="Z173" s="2745" t="e">
        <f t="shared" si="39"/>
        <v>#REF!</v>
      </c>
      <c r="AA173" s="2745">
        <f t="shared" si="35"/>
        <v>747.28</v>
      </c>
      <c r="AB173" s="2745" t="e">
        <f t="shared" si="36"/>
        <v>#REF!</v>
      </c>
      <c r="AC173" s="2745"/>
      <c r="AD173" s="2745" t="e">
        <f t="shared" si="40"/>
        <v>#REF!</v>
      </c>
      <c r="AE173" s="2148"/>
      <c r="AF173" s="2148"/>
      <c r="AG173" s="2148"/>
      <c r="AH173" s="2148"/>
      <c r="AI173" s="2148"/>
      <c r="AJ173" s="2148"/>
      <c r="AK173" s="2148"/>
      <c r="AL173" s="2148"/>
      <c r="AM173" s="2148"/>
    </row>
    <row r="174" spans="1:39" s="2161" customFormat="1" ht="24">
      <c r="A174" s="2743">
        <v>165</v>
      </c>
      <c r="B174" s="2744" t="s">
        <v>2497</v>
      </c>
      <c r="C174" s="2748" t="s">
        <v>2499</v>
      </c>
      <c r="D174" s="2745" t="s">
        <v>1268</v>
      </c>
      <c r="E174" s="2746">
        <v>16815.8</v>
      </c>
      <c r="F174" s="2745"/>
      <c r="G174" s="2746">
        <f t="shared" si="27"/>
        <v>16815.8</v>
      </c>
      <c r="H174" s="2745"/>
      <c r="I174" s="2747"/>
      <c r="J174" s="2747"/>
      <c r="K174" s="2745"/>
      <c r="L174" s="2744">
        <v>15</v>
      </c>
      <c r="M174" s="2744"/>
      <c r="N174" s="2745">
        <v>2</v>
      </c>
      <c r="O174" s="2761">
        <v>3</v>
      </c>
      <c r="P174" s="2745" t="e">
        <f>#REF!+#REF!+хозАДМ!P85+хозИНТ!P171</f>
        <v>#REF!</v>
      </c>
      <c r="Q174" s="2745">
        <f t="shared" si="41"/>
        <v>781.1</v>
      </c>
      <c r="R174" s="2745" t="e">
        <f t="shared" si="32"/>
        <v>#REF!</v>
      </c>
      <c r="S174" s="2745"/>
      <c r="T174" s="2745" t="e">
        <f t="shared" si="38"/>
        <v>#REF!</v>
      </c>
      <c r="U174" s="2148">
        <v>730</v>
      </c>
      <c r="V174" s="2148">
        <v>1.07</v>
      </c>
      <c r="W174" s="2745">
        <f t="shared" si="33"/>
        <v>835.78</v>
      </c>
      <c r="X174" s="2745" t="e">
        <f t="shared" si="34"/>
        <v>#REF!</v>
      </c>
      <c r="Y174" s="2745"/>
      <c r="Z174" s="2745" t="e">
        <f t="shared" si="39"/>
        <v>#REF!</v>
      </c>
      <c r="AA174" s="2745">
        <f t="shared" si="35"/>
        <v>894.28</v>
      </c>
      <c r="AB174" s="2745" t="e">
        <f t="shared" si="36"/>
        <v>#REF!</v>
      </c>
      <c r="AC174" s="2745"/>
      <c r="AD174" s="2745" t="e">
        <f t="shared" si="40"/>
        <v>#REF!</v>
      </c>
      <c r="AE174" s="2148"/>
      <c r="AF174" s="2148"/>
      <c r="AG174" s="2148"/>
      <c r="AH174" s="2148"/>
      <c r="AI174" s="2148"/>
      <c r="AJ174" s="2148"/>
      <c r="AK174" s="2148"/>
      <c r="AL174" s="2148"/>
      <c r="AM174" s="2148"/>
    </row>
    <row r="175" spans="1:39" s="2161" customFormat="1" ht="24">
      <c r="A175" s="2743">
        <v>166</v>
      </c>
      <c r="B175" s="2744" t="s">
        <v>2497</v>
      </c>
      <c r="C175" s="2748" t="s">
        <v>2500</v>
      </c>
      <c r="D175" s="2745" t="s">
        <v>1268</v>
      </c>
      <c r="E175" s="2746">
        <v>16815.8</v>
      </c>
      <c r="F175" s="2745"/>
      <c r="G175" s="2746">
        <f t="shared" si="27"/>
        <v>16815.8</v>
      </c>
      <c r="H175" s="2745"/>
      <c r="I175" s="2747"/>
      <c r="J175" s="2747"/>
      <c r="K175" s="2745"/>
      <c r="L175" s="2744">
        <v>15</v>
      </c>
      <c r="M175" s="2744"/>
      <c r="N175" s="2745">
        <v>22</v>
      </c>
      <c r="O175" s="2761">
        <v>0</v>
      </c>
      <c r="P175" s="2745" t="e">
        <f>#REF!+#REF!+хозАДМ!#REF!+хозИНТ!P172</f>
        <v>#REF!</v>
      </c>
      <c r="Q175" s="2745">
        <f t="shared" si="41"/>
        <v>834.6</v>
      </c>
      <c r="R175" s="2745" t="e">
        <f t="shared" si="32"/>
        <v>#REF!</v>
      </c>
      <c r="S175" s="2745"/>
      <c r="T175" s="2745" t="e">
        <f t="shared" si="38"/>
        <v>#REF!</v>
      </c>
      <c r="U175" s="2753">
        <v>780</v>
      </c>
      <c r="V175" s="2148">
        <v>1.07</v>
      </c>
      <c r="W175" s="2745">
        <f t="shared" si="33"/>
        <v>893.02</v>
      </c>
      <c r="X175" s="2745" t="e">
        <f t="shared" si="34"/>
        <v>#REF!</v>
      </c>
      <c r="Y175" s="2745"/>
      <c r="Z175" s="2745" t="e">
        <f t="shared" si="39"/>
        <v>#REF!</v>
      </c>
      <c r="AA175" s="2745">
        <f t="shared" si="35"/>
        <v>955.53</v>
      </c>
      <c r="AB175" s="2745" t="e">
        <f t="shared" si="36"/>
        <v>#REF!</v>
      </c>
      <c r="AC175" s="2745"/>
      <c r="AD175" s="2745" t="e">
        <f t="shared" si="40"/>
        <v>#REF!</v>
      </c>
      <c r="AE175" s="2148"/>
      <c r="AF175" s="2148"/>
      <c r="AG175" s="2148"/>
      <c r="AH175" s="2148"/>
      <c r="AI175" s="2148"/>
      <c r="AJ175" s="2148"/>
      <c r="AK175" s="2148"/>
      <c r="AL175" s="2148"/>
      <c r="AM175" s="2148"/>
    </row>
    <row r="176" spans="1:39" s="2161" customFormat="1" ht="24">
      <c r="A176" s="2074">
        <v>167</v>
      </c>
      <c r="B176" s="2068" t="s">
        <v>1282</v>
      </c>
      <c r="C176" s="2069" t="s">
        <v>1283</v>
      </c>
      <c r="D176" s="2071" t="s">
        <v>1268</v>
      </c>
      <c r="E176" s="2070">
        <v>16815.8</v>
      </c>
      <c r="F176" s="2071"/>
      <c r="G176" s="2070">
        <f t="shared" si="27"/>
        <v>16815.8</v>
      </c>
      <c r="H176" s="2071"/>
      <c r="I176" s="2067"/>
      <c r="J176" s="2067"/>
      <c r="K176" s="2071"/>
      <c r="L176" s="2068">
        <v>5</v>
      </c>
      <c r="M176" s="2071"/>
      <c r="N176" s="2735"/>
      <c r="O176" s="2760"/>
      <c r="P176" s="2719" t="e">
        <f>#REF!+#REF!+хозАДМ!#REF!+хозИНТ!P173</f>
        <v>#REF!</v>
      </c>
      <c r="Q176" s="2071">
        <f t="shared" si="41"/>
        <v>877.4</v>
      </c>
      <c r="R176" s="2071" t="e">
        <f t="shared" si="32"/>
        <v>#REF!</v>
      </c>
      <c r="S176" s="2071"/>
      <c r="T176" s="2071" t="e">
        <f t="shared" si="38"/>
        <v>#REF!</v>
      </c>
      <c r="U176" s="2135">
        <v>820</v>
      </c>
      <c r="V176" s="2135">
        <v>1.07</v>
      </c>
      <c r="W176" s="2071">
        <f t="shared" si="33"/>
        <v>938.82</v>
      </c>
      <c r="X176" s="2071" t="e">
        <f t="shared" si="34"/>
        <v>#REF!</v>
      </c>
      <c r="Y176" s="2071"/>
      <c r="Z176" s="2071" t="e">
        <f t="shared" si="39"/>
        <v>#REF!</v>
      </c>
      <c r="AA176" s="2071">
        <f t="shared" si="35"/>
        <v>1004.54</v>
      </c>
      <c r="AB176" s="2071" t="e">
        <f t="shared" si="36"/>
        <v>#REF!</v>
      </c>
      <c r="AC176" s="2071"/>
      <c r="AD176" s="2071" t="e">
        <f t="shared" si="40"/>
        <v>#REF!</v>
      </c>
      <c r="AE176" s="2135"/>
      <c r="AF176" s="2135"/>
      <c r="AG176" s="2135"/>
      <c r="AH176" s="2135"/>
      <c r="AI176" s="2135"/>
      <c r="AJ176" s="2135"/>
      <c r="AK176" s="2135"/>
      <c r="AL176" s="2135"/>
      <c r="AM176" s="2135"/>
    </row>
    <row r="177" spans="1:39" s="2161" customFormat="1">
      <c r="A177" s="2743">
        <v>168</v>
      </c>
      <c r="B177" s="2744" t="s">
        <v>1294</v>
      </c>
      <c r="C177" s="2748" t="s">
        <v>2203</v>
      </c>
      <c r="D177" s="2745" t="s">
        <v>1268</v>
      </c>
      <c r="E177" s="2746">
        <v>16815.8</v>
      </c>
      <c r="F177" s="2745"/>
      <c r="G177" s="2746">
        <f t="shared" si="27"/>
        <v>16815.8</v>
      </c>
      <c r="H177" s="2745"/>
      <c r="I177" s="2747"/>
      <c r="J177" s="2747"/>
      <c r="K177" s="2745"/>
      <c r="L177" s="2744">
        <v>20</v>
      </c>
      <c r="M177" s="2744"/>
      <c r="N177" s="2745">
        <v>28</v>
      </c>
      <c r="O177" s="2761">
        <v>0</v>
      </c>
      <c r="P177" s="2745" t="e">
        <f>#REF!+#REF!+хозАДМ!#REF!+хозИНТ!P174</f>
        <v>#REF!</v>
      </c>
      <c r="Q177" s="2745">
        <f t="shared" si="41"/>
        <v>663.4</v>
      </c>
      <c r="R177" s="2745" t="e">
        <f t="shared" si="32"/>
        <v>#REF!</v>
      </c>
      <c r="S177" s="2745"/>
      <c r="T177" s="2745" t="e">
        <f t="shared" ref="T177:T183" si="42">R177-S177</f>
        <v>#REF!</v>
      </c>
      <c r="U177" s="2148">
        <v>620</v>
      </c>
      <c r="V177" s="2148">
        <v>1.07</v>
      </c>
      <c r="W177" s="2745">
        <f t="shared" si="33"/>
        <v>709.84</v>
      </c>
      <c r="X177" s="2745" t="e">
        <f t="shared" si="34"/>
        <v>#REF!</v>
      </c>
      <c r="Y177" s="2745"/>
      <c r="Z177" s="2745" t="e">
        <f t="shared" si="39"/>
        <v>#REF!</v>
      </c>
      <c r="AA177" s="2745">
        <f t="shared" si="35"/>
        <v>759.53</v>
      </c>
      <c r="AB177" s="2745" t="e">
        <f t="shared" si="36"/>
        <v>#REF!</v>
      </c>
      <c r="AC177" s="2745"/>
      <c r="AD177" s="2745" t="e">
        <f t="shared" si="40"/>
        <v>#REF!</v>
      </c>
      <c r="AE177" s="2148"/>
      <c r="AF177" s="2148"/>
      <c r="AG177" s="2148"/>
      <c r="AH177" s="2148"/>
      <c r="AI177" s="2148"/>
      <c r="AJ177" s="2148"/>
      <c r="AK177" s="2148"/>
      <c r="AL177" s="2148"/>
      <c r="AM177" s="2148"/>
    </row>
    <row r="178" spans="1:39" s="2161" customFormat="1">
      <c r="A178" s="2743">
        <v>169</v>
      </c>
      <c r="B178" s="2744" t="s">
        <v>1294</v>
      </c>
      <c r="C178" s="2748" t="s">
        <v>2204</v>
      </c>
      <c r="D178" s="2745" t="s">
        <v>1268</v>
      </c>
      <c r="E178" s="2746">
        <v>16815.8</v>
      </c>
      <c r="F178" s="2745"/>
      <c r="G178" s="2746">
        <f t="shared" ref="G178:G211" si="43">E178</f>
        <v>16815.8</v>
      </c>
      <c r="H178" s="2745"/>
      <c r="I178" s="2747"/>
      <c r="J178" s="2747"/>
      <c r="K178" s="2745"/>
      <c r="L178" s="2744">
        <v>20</v>
      </c>
      <c r="M178" s="2744"/>
      <c r="N178" s="2745">
        <v>53</v>
      </c>
      <c r="O178" s="2761">
        <v>0</v>
      </c>
      <c r="P178" s="2745" t="e">
        <f>#REF!+#REF!+хозАДМ!#REF!+хозИНТ!P175</f>
        <v>#REF!</v>
      </c>
      <c r="Q178" s="2745">
        <f t="shared" si="41"/>
        <v>460.1</v>
      </c>
      <c r="R178" s="2745" t="e">
        <f t="shared" si="32"/>
        <v>#REF!</v>
      </c>
      <c r="S178" s="2745"/>
      <c r="T178" s="2745" t="e">
        <f t="shared" si="42"/>
        <v>#REF!</v>
      </c>
      <c r="U178" s="2148">
        <v>430</v>
      </c>
      <c r="V178" s="2148">
        <v>1.07</v>
      </c>
      <c r="W178" s="2745">
        <f t="shared" si="33"/>
        <v>492.31</v>
      </c>
      <c r="X178" s="2745" t="e">
        <f t="shared" si="34"/>
        <v>#REF!</v>
      </c>
      <c r="Y178" s="2745"/>
      <c r="Z178" s="2745" t="e">
        <f t="shared" si="39"/>
        <v>#REF!</v>
      </c>
      <c r="AA178" s="2745">
        <f t="shared" si="35"/>
        <v>526.77</v>
      </c>
      <c r="AB178" s="2745" t="e">
        <f t="shared" si="36"/>
        <v>#REF!</v>
      </c>
      <c r="AC178" s="2745"/>
      <c r="AD178" s="2745" t="e">
        <f t="shared" si="40"/>
        <v>#REF!</v>
      </c>
      <c r="AE178" s="2148"/>
      <c r="AF178" s="2148"/>
      <c r="AG178" s="2148"/>
      <c r="AH178" s="2148"/>
      <c r="AI178" s="2148"/>
      <c r="AJ178" s="2148"/>
      <c r="AK178" s="2148"/>
      <c r="AL178" s="2148"/>
      <c r="AM178" s="2148"/>
    </row>
    <row r="179" spans="1:39" s="2161" customFormat="1" ht="24">
      <c r="A179" s="2743">
        <v>170</v>
      </c>
      <c r="B179" s="2744" t="s">
        <v>1330</v>
      </c>
      <c r="C179" s="2744" t="s">
        <v>1331</v>
      </c>
      <c r="D179" s="2745" t="s">
        <v>1268</v>
      </c>
      <c r="E179" s="2746">
        <v>16815.8</v>
      </c>
      <c r="F179" s="2747"/>
      <c r="G179" s="2746">
        <f t="shared" si="43"/>
        <v>16815.8</v>
      </c>
      <c r="H179" s="2747"/>
      <c r="I179" s="2747"/>
      <c r="J179" s="2747"/>
      <c r="K179" s="2747"/>
      <c r="L179" s="2744">
        <v>15</v>
      </c>
      <c r="M179" s="2744"/>
      <c r="N179" s="2747">
        <v>172</v>
      </c>
      <c r="O179" s="2758">
        <v>0</v>
      </c>
      <c r="P179" s="2745" t="e">
        <f>#REF!+#REF!+хозАДМ!#REF!+хозИНТ!P176</f>
        <v>#REF!</v>
      </c>
      <c r="Q179" s="2745">
        <f t="shared" si="41"/>
        <v>631.29999999999995</v>
      </c>
      <c r="R179" s="2745" t="e">
        <f t="shared" si="32"/>
        <v>#REF!</v>
      </c>
      <c r="S179" s="2745"/>
      <c r="T179" s="2745" t="e">
        <f t="shared" si="42"/>
        <v>#REF!</v>
      </c>
      <c r="U179" s="2148">
        <v>590</v>
      </c>
      <c r="V179" s="2148">
        <v>1.07</v>
      </c>
      <c r="W179" s="2745">
        <f t="shared" si="33"/>
        <v>675.49</v>
      </c>
      <c r="X179" s="2745" t="e">
        <f t="shared" si="34"/>
        <v>#REF!</v>
      </c>
      <c r="Y179" s="2745"/>
      <c r="Z179" s="2745" t="e">
        <f t="shared" si="39"/>
        <v>#REF!</v>
      </c>
      <c r="AA179" s="2745">
        <f t="shared" si="35"/>
        <v>722.77</v>
      </c>
      <c r="AB179" s="2745" t="e">
        <f t="shared" si="36"/>
        <v>#REF!</v>
      </c>
      <c r="AC179" s="2745"/>
      <c r="AD179" s="2745" t="e">
        <f t="shared" si="40"/>
        <v>#REF!</v>
      </c>
      <c r="AE179" s="2148"/>
      <c r="AF179" s="2148"/>
      <c r="AG179" s="2148"/>
      <c r="AH179" s="2148"/>
      <c r="AI179" s="2148"/>
      <c r="AJ179" s="2148"/>
      <c r="AK179" s="2148"/>
      <c r="AL179" s="2148"/>
      <c r="AM179" s="2148"/>
    </row>
    <row r="180" spans="1:39" s="2161" customFormat="1" ht="36">
      <c r="A180" s="2743">
        <v>171</v>
      </c>
      <c r="B180" s="2744" t="s">
        <v>1343</v>
      </c>
      <c r="C180" s="2748" t="s">
        <v>1344</v>
      </c>
      <c r="D180" s="2745" t="s">
        <v>1268</v>
      </c>
      <c r="E180" s="2746">
        <v>16815.8</v>
      </c>
      <c r="F180" s="2747"/>
      <c r="G180" s="2746">
        <f t="shared" si="43"/>
        <v>16815.8</v>
      </c>
      <c r="H180" s="2747"/>
      <c r="I180" s="2747"/>
      <c r="J180" s="2747"/>
      <c r="K180" s="2747"/>
      <c r="L180" s="2744">
        <v>10</v>
      </c>
      <c r="M180" s="2744"/>
      <c r="N180" s="2747">
        <v>34</v>
      </c>
      <c r="O180" s="2758">
        <v>0</v>
      </c>
      <c r="P180" s="2745" t="e">
        <f>#REF!+#REF!+хозАДМ!#REF!+хозИНТ!P177</f>
        <v>#REF!</v>
      </c>
      <c r="Q180" s="2745">
        <f t="shared" si="41"/>
        <v>652.70000000000005</v>
      </c>
      <c r="R180" s="2745" t="e">
        <f t="shared" si="32"/>
        <v>#REF!</v>
      </c>
      <c r="S180" s="2745"/>
      <c r="T180" s="2745" t="e">
        <f t="shared" si="42"/>
        <v>#REF!</v>
      </c>
      <c r="U180" s="2148">
        <v>610</v>
      </c>
      <c r="V180" s="2148">
        <v>1.07</v>
      </c>
      <c r="W180" s="2745">
        <f t="shared" si="33"/>
        <v>698.39</v>
      </c>
      <c r="X180" s="2745" t="e">
        <f t="shared" si="34"/>
        <v>#REF!</v>
      </c>
      <c r="Y180" s="2745"/>
      <c r="Z180" s="2745" t="e">
        <f t="shared" si="39"/>
        <v>#REF!</v>
      </c>
      <c r="AA180" s="2745">
        <f t="shared" si="35"/>
        <v>747.28</v>
      </c>
      <c r="AB180" s="2745" t="e">
        <f t="shared" si="36"/>
        <v>#REF!</v>
      </c>
      <c r="AC180" s="2745"/>
      <c r="AD180" s="2745" t="e">
        <f t="shared" si="40"/>
        <v>#REF!</v>
      </c>
      <c r="AE180" s="2148"/>
      <c r="AF180" s="2148"/>
      <c r="AG180" s="2148"/>
      <c r="AH180" s="2148"/>
      <c r="AI180" s="2148"/>
      <c r="AJ180" s="2148"/>
      <c r="AK180" s="2148"/>
      <c r="AL180" s="2148"/>
      <c r="AM180" s="2148"/>
    </row>
    <row r="181" spans="1:39" s="2161" customFormat="1" ht="36">
      <c r="A181" s="2743">
        <v>172</v>
      </c>
      <c r="B181" s="2744" t="s">
        <v>1341</v>
      </c>
      <c r="C181" s="2748" t="s">
        <v>1345</v>
      </c>
      <c r="D181" s="2745" t="s">
        <v>1268</v>
      </c>
      <c r="E181" s="2746">
        <v>16815.8</v>
      </c>
      <c r="F181" s="2745"/>
      <c r="G181" s="2746">
        <f t="shared" si="43"/>
        <v>16815.8</v>
      </c>
      <c r="H181" s="2745"/>
      <c r="I181" s="2747"/>
      <c r="J181" s="2747"/>
      <c r="K181" s="2745"/>
      <c r="L181" s="2744">
        <v>10</v>
      </c>
      <c r="M181" s="2744"/>
      <c r="N181" s="2745">
        <v>26</v>
      </c>
      <c r="O181" s="2761">
        <v>0</v>
      </c>
      <c r="P181" s="2745" t="e">
        <f>#REF!+#REF!+хозИНТ!P178</f>
        <v>#REF!</v>
      </c>
      <c r="Q181" s="2745">
        <f t="shared" si="41"/>
        <v>695.5</v>
      </c>
      <c r="R181" s="2745" t="e">
        <f t="shared" si="32"/>
        <v>#REF!</v>
      </c>
      <c r="S181" s="2745"/>
      <c r="T181" s="2745" t="e">
        <f t="shared" si="42"/>
        <v>#REF!</v>
      </c>
      <c r="U181" s="2148">
        <v>650</v>
      </c>
      <c r="V181" s="2148">
        <v>1.07</v>
      </c>
      <c r="W181" s="2745">
        <f t="shared" si="33"/>
        <v>744.19</v>
      </c>
      <c r="X181" s="2745" t="e">
        <f t="shared" si="34"/>
        <v>#REF!</v>
      </c>
      <c r="Y181" s="2745"/>
      <c r="Z181" s="2745" t="e">
        <f t="shared" si="39"/>
        <v>#REF!</v>
      </c>
      <c r="AA181" s="2745">
        <f t="shared" si="35"/>
        <v>796.28</v>
      </c>
      <c r="AB181" s="2745" t="e">
        <f t="shared" si="36"/>
        <v>#REF!</v>
      </c>
      <c r="AC181" s="2745"/>
      <c r="AD181" s="2745" t="e">
        <f t="shared" si="40"/>
        <v>#REF!</v>
      </c>
      <c r="AE181" s="2148"/>
      <c r="AF181" s="2148"/>
      <c r="AG181" s="2148"/>
      <c r="AH181" s="2148"/>
      <c r="AI181" s="2148"/>
      <c r="AJ181" s="2148"/>
      <c r="AK181" s="2148"/>
      <c r="AL181" s="2148"/>
      <c r="AM181" s="2148"/>
    </row>
    <row r="182" spans="1:39" s="2161" customFormat="1" ht="33" customHeight="1">
      <c r="A182" s="2743">
        <v>173</v>
      </c>
      <c r="B182" s="2744" t="s">
        <v>1346</v>
      </c>
      <c r="C182" s="2748" t="s">
        <v>1347</v>
      </c>
      <c r="D182" s="2745" t="s">
        <v>1268</v>
      </c>
      <c r="E182" s="2746">
        <v>16815.8</v>
      </c>
      <c r="F182" s="2745"/>
      <c r="G182" s="2746">
        <f t="shared" si="43"/>
        <v>16815.8</v>
      </c>
      <c r="H182" s="2745"/>
      <c r="I182" s="2747"/>
      <c r="J182" s="2747"/>
      <c r="K182" s="2745"/>
      <c r="L182" s="2744">
        <v>20</v>
      </c>
      <c r="M182" s="2744"/>
      <c r="N182" s="2745">
        <v>38</v>
      </c>
      <c r="O182" s="2761">
        <v>0</v>
      </c>
      <c r="P182" s="2745" t="e">
        <f>#REF!+#REF!+хозИНТ!P179</f>
        <v>#REF!</v>
      </c>
      <c r="Q182" s="2745">
        <f t="shared" si="41"/>
        <v>577.79999999999995</v>
      </c>
      <c r="R182" s="2745" t="e">
        <f t="shared" si="32"/>
        <v>#REF!</v>
      </c>
      <c r="S182" s="2745"/>
      <c r="T182" s="2745" t="e">
        <f t="shared" si="42"/>
        <v>#REF!</v>
      </c>
      <c r="U182" s="2148">
        <v>540</v>
      </c>
      <c r="V182" s="2148">
        <v>1.07</v>
      </c>
      <c r="W182" s="2745">
        <f t="shared" si="33"/>
        <v>618.25</v>
      </c>
      <c r="X182" s="2745" t="e">
        <f t="shared" si="34"/>
        <v>#REF!</v>
      </c>
      <c r="Y182" s="2745"/>
      <c r="Z182" s="2745" t="e">
        <f t="shared" si="39"/>
        <v>#REF!</v>
      </c>
      <c r="AA182" s="2745">
        <f t="shared" si="35"/>
        <v>661.53</v>
      </c>
      <c r="AB182" s="2745" t="e">
        <f t="shared" si="36"/>
        <v>#REF!</v>
      </c>
      <c r="AC182" s="2745"/>
      <c r="AD182" s="2745" t="e">
        <f t="shared" si="40"/>
        <v>#REF!</v>
      </c>
      <c r="AE182" s="2148"/>
      <c r="AF182" s="2148"/>
      <c r="AG182" s="2148"/>
      <c r="AH182" s="2148"/>
      <c r="AI182" s="2148"/>
      <c r="AJ182" s="2148"/>
      <c r="AK182" s="2148"/>
      <c r="AL182" s="2148"/>
      <c r="AM182" s="2148"/>
    </row>
    <row r="183" spans="1:39" s="2161" customFormat="1" ht="36">
      <c r="A183" s="2743">
        <v>174</v>
      </c>
      <c r="B183" s="2744" t="s">
        <v>1343</v>
      </c>
      <c r="C183" s="2748" t="s">
        <v>1348</v>
      </c>
      <c r="D183" s="2745" t="s">
        <v>1268</v>
      </c>
      <c r="E183" s="2746">
        <v>16815.8</v>
      </c>
      <c r="F183" s="2745"/>
      <c r="G183" s="2746">
        <f t="shared" si="43"/>
        <v>16815.8</v>
      </c>
      <c r="H183" s="2745"/>
      <c r="I183" s="2747"/>
      <c r="J183" s="2747"/>
      <c r="K183" s="2745"/>
      <c r="L183" s="2744">
        <v>20</v>
      </c>
      <c r="M183" s="2744"/>
      <c r="N183" s="2745">
        <v>40</v>
      </c>
      <c r="O183" s="2761">
        <v>0</v>
      </c>
      <c r="P183" s="2745" t="e">
        <f>#REF!+#REF!+хозАДМ!#REF!+хозИНТ!P180</f>
        <v>#REF!</v>
      </c>
      <c r="Q183" s="2745">
        <f t="shared" si="41"/>
        <v>631.29999999999995</v>
      </c>
      <c r="R183" s="2745" t="e">
        <f t="shared" si="32"/>
        <v>#REF!</v>
      </c>
      <c r="S183" s="2745"/>
      <c r="T183" s="2745" t="e">
        <f t="shared" si="42"/>
        <v>#REF!</v>
      </c>
      <c r="U183" s="2148">
        <v>590</v>
      </c>
      <c r="V183" s="2148">
        <v>1.07</v>
      </c>
      <c r="W183" s="2745">
        <f t="shared" si="33"/>
        <v>675.49</v>
      </c>
      <c r="X183" s="2745" t="e">
        <f t="shared" si="34"/>
        <v>#REF!</v>
      </c>
      <c r="Y183" s="2745"/>
      <c r="Z183" s="2745" t="e">
        <f t="shared" si="39"/>
        <v>#REF!</v>
      </c>
      <c r="AA183" s="2745">
        <f t="shared" si="35"/>
        <v>722.77</v>
      </c>
      <c r="AB183" s="2745" t="e">
        <f t="shared" si="36"/>
        <v>#REF!</v>
      </c>
      <c r="AC183" s="2745"/>
      <c r="AD183" s="2745" t="e">
        <f t="shared" si="40"/>
        <v>#REF!</v>
      </c>
      <c r="AE183" s="2148"/>
      <c r="AF183" s="2148"/>
      <c r="AG183" s="2148"/>
      <c r="AH183" s="2148"/>
      <c r="AI183" s="2148"/>
      <c r="AJ183" s="2148"/>
      <c r="AK183" s="2148"/>
      <c r="AL183" s="2148"/>
      <c r="AM183" s="2148"/>
    </row>
    <row r="184" spans="1:39" s="2161" customFormat="1">
      <c r="A184" s="2743">
        <v>175</v>
      </c>
      <c r="B184" s="2744" t="s">
        <v>1409</v>
      </c>
      <c r="C184" s="2748" t="s">
        <v>1410</v>
      </c>
      <c r="D184" s="2745" t="s">
        <v>1411</v>
      </c>
      <c r="E184" s="2746">
        <v>16815.8</v>
      </c>
      <c r="F184" s="2745"/>
      <c r="G184" s="2746">
        <f t="shared" si="43"/>
        <v>16815.8</v>
      </c>
      <c r="H184" s="2745"/>
      <c r="I184" s="2747"/>
      <c r="J184" s="2747"/>
      <c r="K184" s="2745"/>
      <c r="L184" s="2744">
        <v>200</v>
      </c>
      <c r="M184" s="2744"/>
      <c r="N184" s="2745">
        <v>412</v>
      </c>
      <c r="O184" s="2761">
        <v>200</v>
      </c>
      <c r="P184" s="2745" t="e">
        <f>#REF!+#REF!+хозМШ!P16+хозАДМ!#REF!+хозИНТ!P181</f>
        <v>#REF!</v>
      </c>
      <c r="Q184" s="2745">
        <f t="shared" si="41"/>
        <v>834.6</v>
      </c>
      <c r="R184" s="2745" t="e">
        <f t="shared" si="32"/>
        <v>#REF!</v>
      </c>
      <c r="S184" s="2745"/>
      <c r="T184" s="2745" t="e">
        <f>R184-S184</f>
        <v>#REF!</v>
      </c>
      <c r="U184" s="2148">
        <v>780</v>
      </c>
      <c r="V184" s="2148">
        <v>1.07</v>
      </c>
      <c r="W184" s="2745">
        <f t="shared" si="33"/>
        <v>893.02</v>
      </c>
      <c r="X184" s="2745" t="e">
        <f t="shared" si="34"/>
        <v>#REF!</v>
      </c>
      <c r="Y184" s="2745"/>
      <c r="Z184" s="2745" t="e">
        <f>X184-Y184</f>
        <v>#REF!</v>
      </c>
      <c r="AA184" s="2745">
        <f t="shared" si="35"/>
        <v>955.53</v>
      </c>
      <c r="AB184" s="2745" t="e">
        <f t="shared" si="36"/>
        <v>#REF!</v>
      </c>
      <c r="AC184" s="2745"/>
      <c r="AD184" s="2745" t="e">
        <f>AB184-AC184</f>
        <v>#REF!</v>
      </c>
      <c r="AE184" s="2148"/>
      <c r="AF184" s="2148"/>
      <c r="AG184" s="2148"/>
      <c r="AH184" s="2148"/>
      <c r="AI184" s="2148"/>
      <c r="AJ184" s="2148"/>
      <c r="AK184" s="2148"/>
      <c r="AL184" s="2148"/>
      <c r="AM184" s="2148"/>
    </row>
    <row r="185" spans="1:39" s="2161" customFormat="1">
      <c r="A185" s="2743">
        <v>176</v>
      </c>
      <c r="B185" s="2744" t="s">
        <v>1409</v>
      </c>
      <c r="C185" s="2748" t="s">
        <v>1412</v>
      </c>
      <c r="D185" s="2745" t="s">
        <v>1411</v>
      </c>
      <c r="E185" s="2746">
        <v>16815.8</v>
      </c>
      <c r="F185" s="2745"/>
      <c r="G185" s="2746">
        <f t="shared" si="43"/>
        <v>16815.8</v>
      </c>
      <c r="H185" s="2745"/>
      <c r="I185" s="2747"/>
      <c r="J185" s="2747"/>
      <c r="K185" s="2745"/>
      <c r="L185" s="2744">
        <v>100</v>
      </c>
      <c r="M185" s="2744"/>
      <c r="N185" s="2745">
        <v>444</v>
      </c>
      <c r="O185" s="2761">
        <v>50</v>
      </c>
      <c r="P185" s="2745" t="e">
        <f>#REF!+#REF!+хозАДМ!#REF!+хозИНТ!P182</f>
        <v>#REF!</v>
      </c>
      <c r="Q185" s="2745">
        <f t="shared" si="41"/>
        <v>909.5</v>
      </c>
      <c r="R185" s="2745" t="e">
        <f t="shared" si="32"/>
        <v>#REF!</v>
      </c>
      <c r="S185" s="2745"/>
      <c r="T185" s="2745" t="e">
        <f>R185-S185</f>
        <v>#REF!</v>
      </c>
      <c r="U185" s="2148">
        <v>850</v>
      </c>
      <c r="V185" s="2148">
        <v>1.07</v>
      </c>
      <c r="W185" s="2745">
        <f t="shared" si="33"/>
        <v>973.17</v>
      </c>
      <c r="X185" s="2745" t="e">
        <f t="shared" si="34"/>
        <v>#REF!</v>
      </c>
      <c r="Y185" s="2745"/>
      <c r="Z185" s="2745" t="e">
        <f>X185-Y185</f>
        <v>#REF!</v>
      </c>
      <c r="AA185" s="2745">
        <f t="shared" si="35"/>
        <v>1041.29</v>
      </c>
      <c r="AB185" s="2745" t="e">
        <f t="shared" si="36"/>
        <v>#REF!</v>
      </c>
      <c r="AC185" s="2745"/>
      <c r="AD185" s="2745" t="e">
        <f>AB185-AC185</f>
        <v>#REF!</v>
      </c>
      <c r="AE185" s="2148"/>
      <c r="AF185" s="2148"/>
      <c r="AG185" s="2148"/>
      <c r="AH185" s="2148"/>
      <c r="AI185" s="2148"/>
      <c r="AJ185" s="2148"/>
      <c r="AK185" s="2148"/>
      <c r="AL185" s="2148"/>
      <c r="AM185" s="2148"/>
    </row>
    <row r="186" spans="1:39" s="2161" customFormat="1">
      <c r="A186" s="2743">
        <v>177</v>
      </c>
      <c r="B186" s="2744" t="s">
        <v>1413</v>
      </c>
      <c r="C186" s="2744" t="s">
        <v>1414</v>
      </c>
      <c r="D186" s="2745" t="s">
        <v>1411</v>
      </c>
      <c r="E186" s="2746">
        <v>16815.8</v>
      </c>
      <c r="F186" s="2745"/>
      <c r="G186" s="2746">
        <f t="shared" si="43"/>
        <v>16815.8</v>
      </c>
      <c r="H186" s="2745"/>
      <c r="I186" s="2747"/>
      <c r="J186" s="2747"/>
      <c r="K186" s="2745"/>
      <c r="L186" s="2744">
        <v>100</v>
      </c>
      <c r="M186" s="2744"/>
      <c r="N186" s="2745">
        <v>455</v>
      </c>
      <c r="O186" s="2761">
        <v>70</v>
      </c>
      <c r="P186" s="2745" t="e">
        <f>#REF!+#REF!+хозИНТ!P183+хозАДМ!#REF!</f>
        <v>#REF!</v>
      </c>
      <c r="Q186" s="2745">
        <f t="shared" si="41"/>
        <v>727.6</v>
      </c>
      <c r="R186" s="2745" t="e">
        <f t="shared" si="32"/>
        <v>#REF!</v>
      </c>
      <c r="S186" s="2745"/>
      <c r="T186" s="2745" t="e">
        <f>R186-S186</f>
        <v>#REF!</v>
      </c>
      <c r="U186" s="2148">
        <v>680</v>
      </c>
      <c r="V186" s="2148">
        <v>1.07</v>
      </c>
      <c r="W186" s="2745">
        <f t="shared" si="33"/>
        <v>778.53</v>
      </c>
      <c r="X186" s="2745" t="e">
        <f t="shared" si="34"/>
        <v>#REF!</v>
      </c>
      <c r="Y186" s="2745"/>
      <c r="Z186" s="2745" t="e">
        <f>X186-Y186</f>
        <v>#REF!</v>
      </c>
      <c r="AA186" s="2745">
        <f t="shared" si="35"/>
        <v>833.03</v>
      </c>
      <c r="AB186" s="2745" t="e">
        <f t="shared" si="36"/>
        <v>#REF!</v>
      </c>
      <c r="AC186" s="2745"/>
      <c r="AD186" s="2745" t="e">
        <f>AB186-AC186</f>
        <v>#REF!</v>
      </c>
      <c r="AE186" s="2148"/>
      <c r="AF186" s="2148"/>
      <c r="AG186" s="2148"/>
      <c r="AH186" s="2148"/>
      <c r="AI186" s="2148"/>
      <c r="AJ186" s="2148"/>
      <c r="AK186" s="2148"/>
      <c r="AL186" s="2148"/>
      <c r="AM186" s="2148"/>
    </row>
    <row r="187" spans="1:39" s="2161" customFormat="1">
      <c r="A187" s="2743">
        <v>178</v>
      </c>
      <c r="B187" s="2744" t="s">
        <v>1416</v>
      </c>
      <c r="C187" s="2748" t="s">
        <v>1417</v>
      </c>
      <c r="D187" s="2745" t="s">
        <v>1411</v>
      </c>
      <c r="E187" s="2746">
        <v>16815.8</v>
      </c>
      <c r="F187" s="2745"/>
      <c r="G187" s="2746">
        <f t="shared" si="43"/>
        <v>16815.8</v>
      </c>
      <c r="H187" s="2745"/>
      <c r="I187" s="2747"/>
      <c r="J187" s="2747"/>
      <c r="K187" s="2745"/>
      <c r="L187" s="2744">
        <v>200</v>
      </c>
      <c r="M187" s="2744"/>
      <c r="N187" s="2745">
        <v>301</v>
      </c>
      <c r="O187" s="2761">
        <v>100</v>
      </c>
      <c r="P187" s="2745" t="e">
        <f>#REF!+#REF!+хозАДМ!P86+хозИНТ!P184</f>
        <v>#REF!</v>
      </c>
      <c r="Q187" s="2745">
        <f t="shared" si="41"/>
        <v>930.9</v>
      </c>
      <c r="R187" s="2745" t="e">
        <f t="shared" si="32"/>
        <v>#REF!</v>
      </c>
      <c r="S187" s="2745"/>
      <c r="T187" s="2745" t="e">
        <f>R187-S187</f>
        <v>#REF!</v>
      </c>
      <c r="U187" s="2148">
        <v>870</v>
      </c>
      <c r="V187" s="2148">
        <v>1.07</v>
      </c>
      <c r="W187" s="2745">
        <f t="shared" si="33"/>
        <v>996.06</v>
      </c>
      <c r="X187" s="2745" t="e">
        <f t="shared" si="34"/>
        <v>#REF!</v>
      </c>
      <c r="Y187" s="2745"/>
      <c r="Z187" s="2745" t="e">
        <f>X187-Y187</f>
        <v>#REF!</v>
      </c>
      <c r="AA187" s="2745">
        <f t="shared" si="35"/>
        <v>1065.78</v>
      </c>
      <c r="AB187" s="2745" t="e">
        <f t="shared" si="36"/>
        <v>#REF!</v>
      </c>
      <c r="AC187" s="2745"/>
      <c r="AD187" s="2745" t="e">
        <f>AB187-AC187</f>
        <v>#REF!</v>
      </c>
      <c r="AE187" s="2148"/>
      <c r="AF187" s="2148"/>
      <c r="AG187" s="2148"/>
      <c r="AH187" s="2148"/>
      <c r="AI187" s="2148"/>
      <c r="AJ187" s="2148"/>
      <c r="AK187" s="2148"/>
      <c r="AL187" s="2148"/>
      <c r="AM187" s="2148"/>
    </row>
    <row r="188" spans="1:39" s="2161" customFormat="1">
      <c r="A188" s="2743">
        <v>179</v>
      </c>
      <c r="B188" s="2744" t="s">
        <v>1416</v>
      </c>
      <c r="C188" s="2748" t="s">
        <v>1418</v>
      </c>
      <c r="D188" s="2745" t="s">
        <v>1411</v>
      </c>
      <c r="E188" s="2745">
        <v>16815.8</v>
      </c>
      <c r="F188" s="2745"/>
      <c r="G188" s="2745">
        <f t="shared" si="43"/>
        <v>16815.8</v>
      </c>
      <c r="H188" s="2745"/>
      <c r="I188" s="2745"/>
      <c r="J188" s="2745"/>
      <c r="K188" s="2745"/>
      <c r="L188" s="2744">
        <v>150</v>
      </c>
      <c r="M188" s="2745"/>
      <c r="N188" s="2745"/>
      <c r="O188" s="2761">
        <v>122</v>
      </c>
      <c r="P188" s="2745" t="e">
        <f>#REF!+#REF!+хозАДМ!#REF!+хозИНТ!P185</f>
        <v>#REF!</v>
      </c>
      <c r="Q188" s="2745">
        <f t="shared" si="41"/>
        <v>1219.8</v>
      </c>
      <c r="R188" s="2745" t="e">
        <f t="shared" si="32"/>
        <v>#REF!</v>
      </c>
      <c r="S188" s="2745"/>
      <c r="T188" s="2745" t="e">
        <f t="shared" ref="T188:T211" si="44">R188-S188</f>
        <v>#REF!</v>
      </c>
      <c r="U188" s="2148">
        <v>1140</v>
      </c>
      <c r="V188" s="2148">
        <v>1.07</v>
      </c>
      <c r="W188" s="2745">
        <f t="shared" si="33"/>
        <v>1305.19</v>
      </c>
      <c r="X188" s="2745" t="e">
        <f t="shared" si="34"/>
        <v>#REF!</v>
      </c>
      <c r="Y188" s="2745"/>
      <c r="Z188" s="2745" t="e">
        <f t="shared" ref="Z188:Z230" si="45">X188-Y188</f>
        <v>#REF!</v>
      </c>
      <c r="AA188" s="2745">
        <f t="shared" si="35"/>
        <v>1396.55</v>
      </c>
      <c r="AB188" s="2745" t="e">
        <f t="shared" si="36"/>
        <v>#REF!</v>
      </c>
      <c r="AC188" s="2745"/>
      <c r="AD188" s="2745" t="e">
        <f t="shared" ref="AD188:AD230" si="46">AB188-AC188</f>
        <v>#REF!</v>
      </c>
    </row>
    <row r="189" spans="1:39" s="2161" customFormat="1">
      <c r="A189" s="2743">
        <v>180</v>
      </c>
      <c r="B189" s="2744" t="s">
        <v>1425</v>
      </c>
      <c r="C189" s="2748" t="s">
        <v>1426</v>
      </c>
      <c r="D189" s="2745" t="s">
        <v>1411</v>
      </c>
      <c r="E189" s="2745">
        <v>16815.8</v>
      </c>
      <c r="F189" s="2745"/>
      <c r="G189" s="2745">
        <f t="shared" si="43"/>
        <v>16815.8</v>
      </c>
      <c r="H189" s="2745"/>
      <c r="I189" s="2745"/>
      <c r="J189" s="2752"/>
      <c r="K189" s="2745"/>
      <c r="L189" s="2744">
        <v>100</v>
      </c>
      <c r="M189" s="2745"/>
      <c r="N189" s="2745">
        <v>72</v>
      </c>
      <c r="O189" s="2761">
        <v>70</v>
      </c>
      <c r="P189" s="2745" t="e">
        <f>#REF!+#REF!+хозАДМ!P87+хозИНТ!P186</f>
        <v>#REF!</v>
      </c>
      <c r="Q189" s="2745">
        <f t="shared" si="41"/>
        <v>1797.6</v>
      </c>
      <c r="R189" s="2745" t="e">
        <f t="shared" si="32"/>
        <v>#REF!</v>
      </c>
      <c r="S189" s="2745"/>
      <c r="T189" s="2745" t="e">
        <f t="shared" si="44"/>
        <v>#REF!</v>
      </c>
      <c r="U189" s="2148">
        <v>1680</v>
      </c>
      <c r="V189" s="2148">
        <v>1.07</v>
      </c>
      <c r="W189" s="2745">
        <f t="shared" si="33"/>
        <v>1923.43</v>
      </c>
      <c r="X189" s="2745" t="e">
        <f t="shared" si="34"/>
        <v>#REF!</v>
      </c>
      <c r="Y189" s="2745"/>
      <c r="Z189" s="2745" t="e">
        <f t="shared" si="45"/>
        <v>#REF!</v>
      </c>
      <c r="AA189" s="2745">
        <f t="shared" si="35"/>
        <v>2058.0700000000002</v>
      </c>
      <c r="AB189" s="2745" t="e">
        <f t="shared" si="36"/>
        <v>#REF!</v>
      </c>
      <c r="AC189" s="2745"/>
      <c r="AD189" s="2745" t="e">
        <f t="shared" si="46"/>
        <v>#REF!</v>
      </c>
    </row>
    <row r="190" spans="1:39" s="2161" customFormat="1">
      <c r="A190" s="2743">
        <v>181</v>
      </c>
      <c r="B190" s="2744" t="s">
        <v>1427</v>
      </c>
      <c r="C190" s="2748" t="s">
        <v>1428</v>
      </c>
      <c r="D190" s="2745" t="s">
        <v>1411</v>
      </c>
      <c r="E190" s="2745">
        <v>16815.8</v>
      </c>
      <c r="F190" s="2745"/>
      <c r="G190" s="2745">
        <f t="shared" si="43"/>
        <v>16815.8</v>
      </c>
      <c r="H190" s="2745"/>
      <c r="I190" s="2745"/>
      <c r="J190" s="2752"/>
      <c r="K190" s="2745"/>
      <c r="L190" s="2744">
        <v>20</v>
      </c>
      <c r="M190" s="2745"/>
      <c r="N190" s="2745">
        <v>82</v>
      </c>
      <c r="O190" s="2761">
        <v>10</v>
      </c>
      <c r="P190" s="2745" t="e">
        <f>#REF!+#REF!+хозАДМ!P88+хозИНТ!P187</f>
        <v>#REF!</v>
      </c>
      <c r="Q190" s="2745">
        <f t="shared" si="41"/>
        <v>2846.2</v>
      </c>
      <c r="R190" s="2745" t="e">
        <f t="shared" si="32"/>
        <v>#REF!</v>
      </c>
      <c r="S190" s="2745"/>
      <c r="T190" s="2745" t="e">
        <f t="shared" si="44"/>
        <v>#REF!</v>
      </c>
      <c r="U190" s="2148">
        <v>2660</v>
      </c>
      <c r="V190" s="2148">
        <v>1.07</v>
      </c>
      <c r="W190" s="2745">
        <f t="shared" si="33"/>
        <v>3045.43</v>
      </c>
      <c r="X190" s="2745" t="e">
        <f t="shared" si="34"/>
        <v>#REF!</v>
      </c>
      <c r="Y190" s="2745"/>
      <c r="Z190" s="2745" t="e">
        <f t="shared" si="45"/>
        <v>#REF!</v>
      </c>
      <c r="AA190" s="2745">
        <f t="shared" si="35"/>
        <v>3258.61</v>
      </c>
      <c r="AB190" s="2745" t="e">
        <f t="shared" si="36"/>
        <v>#REF!</v>
      </c>
      <c r="AC190" s="2745"/>
      <c r="AD190" s="2745" t="e">
        <f t="shared" si="46"/>
        <v>#REF!</v>
      </c>
    </row>
    <row r="191" spans="1:39" s="2161" customFormat="1">
      <c r="A191" s="2743">
        <v>182</v>
      </c>
      <c r="B191" s="2744" t="s">
        <v>1495</v>
      </c>
      <c r="C191" s="2748" t="s">
        <v>1496</v>
      </c>
      <c r="D191" s="2745" t="s">
        <v>1268</v>
      </c>
      <c r="E191" s="2745">
        <v>16815.8</v>
      </c>
      <c r="F191" s="2745"/>
      <c r="G191" s="2745">
        <f t="shared" si="43"/>
        <v>16815.8</v>
      </c>
      <c r="H191" s="2745"/>
      <c r="I191" s="2745"/>
      <c r="J191" s="2750"/>
      <c r="K191" s="2745"/>
      <c r="L191" s="2744">
        <v>200</v>
      </c>
      <c r="M191" s="2745"/>
      <c r="N191" s="2745">
        <v>125</v>
      </c>
      <c r="O191" s="2761">
        <v>120</v>
      </c>
      <c r="P191" s="2745" t="e">
        <f>#REF!+#REF!+хозАДМ!#REF!+хозИНТ!P188</f>
        <v>#REF!</v>
      </c>
      <c r="Q191" s="2745">
        <f t="shared" si="41"/>
        <v>856</v>
      </c>
      <c r="R191" s="2745" t="e">
        <f t="shared" si="32"/>
        <v>#REF!</v>
      </c>
      <c r="S191" s="2745"/>
      <c r="T191" s="2745" t="e">
        <f t="shared" si="44"/>
        <v>#REF!</v>
      </c>
      <c r="U191" s="2148">
        <v>800</v>
      </c>
      <c r="V191" s="2148">
        <v>1.07</v>
      </c>
      <c r="W191" s="2745">
        <f t="shared" si="33"/>
        <v>915.92</v>
      </c>
      <c r="X191" s="2745" t="e">
        <f t="shared" si="34"/>
        <v>#REF!</v>
      </c>
      <c r="Y191" s="2745"/>
      <c r="Z191" s="2745" t="e">
        <f t="shared" si="45"/>
        <v>#REF!</v>
      </c>
      <c r="AA191" s="2745">
        <f t="shared" si="35"/>
        <v>980.03</v>
      </c>
      <c r="AB191" s="2745" t="e">
        <f t="shared" si="36"/>
        <v>#REF!</v>
      </c>
      <c r="AC191" s="2745"/>
      <c r="AD191" s="2745" t="e">
        <f t="shared" si="46"/>
        <v>#REF!</v>
      </c>
    </row>
    <row r="192" spans="1:39" s="2161" customFormat="1">
      <c r="A192" s="2743">
        <v>183</v>
      </c>
      <c r="B192" s="2744" t="s">
        <v>1498</v>
      </c>
      <c r="C192" s="2748" t="s">
        <v>1499</v>
      </c>
      <c r="D192" s="2745" t="s">
        <v>1268</v>
      </c>
      <c r="E192" s="2745">
        <v>16815.8</v>
      </c>
      <c r="F192" s="2745"/>
      <c r="G192" s="2745">
        <f t="shared" si="43"/>
        <v>16815.8</v>
      </c>
      <c r="H192" s="2745"/>
      <c r="I192" s="2745"/>
      <c r="J192" s="2751"/>
      <c r="K192" s="2745"/>
      <c r="L192" s="2744">
        <v>10</v>
      </c>
      <c r="M192" s="2745"/>
      <c r="N192" s="2745">
        <v>15</v>
      </c>
      <c r="O192" s="2761">
        <v>7</v>
      </c>
      <c r="P192" s="2745" t="e">
        <f>#REF!+#REF!+хозАДМ!P89+хозИНТ!P189</f>
        <v>#REF!</v>
      </c>
      <c r="Q192" s="2745">
        <f t="shared" si="41"/>
        <v>7211.8</v>
      </c>
      <c r="R192" s="2745" t="e">
        <f t="shared" si="32"/>
        <v>#REF!</v>
      </c>
      <c r="S192" s="2745"/>
      <c r="T192" s="2745" t="e">
        <f t="shared" si="44"/>
        <v>#REF!</v>
      </c>
      <c r="U192" s="2148">
        <v>6740</v>
      </c>
      <c r="V192" s="2148">
        <v>1.07</v>
      </c>
      <c r="W192" s="2745">
        <f t="shared" si="33"/>
        <v>7716.63</v>
      </c>
      <c r="X192" s="2745" t="e">
        <f t="shared" si="34"/>
        <v>#REF!</v>
      </c>
      <c r="Y192" s="2745"/>
      <c r="Z192" s="2745" t="e">
        <f t="shared" si="45"/>
        <v>#REF!</v>
      </c>
      <c r="AA192" s="2745">
        <f t="shared" si="35"/>
        <v>8256.7900000000009</v>
      </c>
      <c r="AB192" s="2745" t="e">
        <f t="shared" si="36"/>
        <v>#REF!</v>
      </c>
      <c r="AC192" s="2745"/>
      <c r="AD192" s="2745" t="e">
        <f t="shared" si="46"/>
        <v>#REF!</v>
      </c>
    </row>
    <row r="193" spans="1:30" s="2161" customFormat="1">
      <c r="A193" s="2743">
        <v>184</v>
      </c>
      <c r="B193" s="2744" t="s">
        <v>1490</v>
      </c>
      <c r="C193" s="2748" t="s">
        <v>2501</v>
      </c>
      <c r="D193" s="2745" t="s">
        <v>1268</v>
      </c>
      <c r="E193" s="2745">
        <v>16815.8</v>
      </c>
      <c r="F193" s="2745"/>
      <c r="G193" s="2745">
        <f t="shared" si="43"/>
        <v>16815.8</v>
      </c>
      <c r="H193" s="2745"/>
      <c r="I193" s="2745"/>
      <c r="J193" s="2750"/>
      <c r="K193" s="2745"/>
      <c r="L193" s="2744">
        <v>300</v>
      </c>
      <c r="M193" s="2745"/>
      <c r="N193" s="2745">
        <v>1800</v>
      </c>
      <c r="O193" s="2761">
        <v>100</v>
      </c>
      <c r="P193" s="2745" t="e">
        <f>#REF!+#REF!+хозИНТ!P190</f>
        <v>#REF!</v>
      </c>
      <c r="Q193" s="2745">
        <f t="shared" si="41"/>
        <v>449.4</v>
      </c>
      <c r="R193" s="2745" t="e">
        <f t="shared" si="32"/>
        <v>#REF!</v>
      </c>
      <c r="S193" s="2745"/>
      <c r="T193" s="2745" t="e">
        <f t="shared" si="44"/>
        <v>#REF!</v>
      </c>
      <c r="U193" s="2148">
        <v>420</v>
      </c>
      <c r="V193" s="2148">
        <v>1.07</v>
      </c>
      <c r="W193" s="2745">
        <f t="shared" si="33"/>
        <v>480.86</v>
      </c>
      <c r="X193" s="2745" t="e">
        <f t="shared" si="34"/>
        <v>#REF!</v>
      </c>
      <c r="Y193" s="2745"/>
      <c r="Z193" s="2745" t="e">
        <f t="shared" si="45"/>
        <v>#REF!</v>
      </c>
      <c r="AA193" s="2745">
        <f t="shared" si="35"/>
        <v>514.52</v>
      </c>
      <c r="AB193" s="2745" t="e">
        <f t="shared" si="36"/>
        <v>#REF!</v>
      </c>
      <c r="AC193" s="2745"/>
      <c r="AD193" s="2745" t="e">
        <f t="shared" si="46"/>
        <v>#REF!</v>
      </c>
    </row>
    <row r="194" spans="1:30" s="2161" customFormat="1">
      <c r="A194" s="2743">
        <v>185</v>
      </c>
      <c r="B194" s="2744" t="s">
        <v>1490</v>
      </c>
      <c r="C194" s="2748" t="s">
        <v>2502</v>
      </c>
      <c r="D194" s="2745" t="s">
        <v>1268</v>
      </c>
      <c r="E194" s="2745">
        <v>16815.8</v>
      </c>
      <c r="F194" s="2745"/>
      <c r="G194" s="2745">
        <f t="shared" si="43"/>
        <v>16815.8</v>
      </c>
      <c r="H194" s="2745"/>
      <c r="I194" s="2745"/>
      <c r="J194" s="2745"/>
      <c r="K194" s="2745"/>
      <c r="L194" s="2744">
        <v>200</v>
      </c>
      <c r="M194" s="2745"/>
      <c r="N194" s="2745">
        <v>915</v>
      </c>
      <c r="O194" s="2761">
        <v>125</v>
      </c>
      <c r="P194" s="2745" t="e">
        <f>#REF!+#REF!+хозИНТ!P191</f>
        <v>#REF!</v>
      </c>
      <c r="Q194" s="2745">
        <f t="shared" si="41"/>
        <v>635.58000000000004</v>
      </c>
      <c r="R194" s="2745" t="e">
        <f t="shared" si="32"/>
        <v>#REF!</v>
      </c>
      <c r="S194" s="2745"/>
      <c r="T194" s="2745" t="e">
        <f t="shared" si="44"/>
        <v>#REF!</v>
      </c>
      <c r="U194" s="2148">
        <v>594</v>
      </c>
      <c r="V194" s="2148">
        <v>1.07</v>
      </c>
      <c r="W194" s="2745">
        <f t="shared" si="33"/>
        <v>680.07</v>
      </c>
      <c r="X194" s="2745" t="e">
        <f t="shared" si="34"/>
        <v>#REF!</v>
      </c>
      <c r="Y194" s="2745"/>
      <c r="Z194" s="2745" t="e">
        <f t="shared" si="45"/>
        <v>#REF!</v>
      </c>
      <c r="AA194" s="2745">
        <f t="shared" si="35"/>
        <v>727.67</v>
      </c>
      <c r="AB194" s="2745" t="e">
        <f t="shared" si="36"/>
        <v>#REF!</v>
      </c>
      <c r="AC194" s="2745"/>
      <c r="AD194" s="2745" t="e">
        <f t="shared" si="46"/>
        <v>#REF!</v>
      </c>
    </row>
    <row r="195" spans="1:30" s="2161" customFormat="1">
      <c r="A195" s="2743">
        <v>186</v>
      </c>
      <c r="B195" s="2744" t="s">
        <v>1490</v>
      </c>
      <c r="C195" s="2748" t="s">
        <v>1500</v>
      </c>
      <c r="D195" s="2745" t="s">
        <v>1268</v>
      </c>
      <c r="E195" s="2745">
        <v>16815.8</v>
      </c>
      <c r="F195" s="2745"/>
      <c r="G195" s="2745">
        <f t="shared" si="43"/>
        <v>16815.8</v>
      </c>
      <c r="H195" s="2745"/>
      <c r="I195" s="2745"/>
      <c r="J195" s="2745"/>
      <c r="K195" s="2745"/>
      <c r="L195" s="2744">
        <v>40</v>
      </c>
      <c r="M195" s="2745"/>
      <c r="N195" s="2745"/>
      <c r="O195" s="2761">
        <v>34</v>
      </c>
      <c r="P195" s="2745" t="e">
        <f>#REF!+#REF!+хозАДМ!#REF!+хозИНТ!P192</f>
        <v>#REF!</v>
      </c>
      <c r="Q195" s="2745">
        <f t="shared" si="41"/>
        <v>1947.4</v>
      </c>
      <c r="R195" s="2745" t="e">
        <f t="shared" si="32"/>
        <v>#REF!</v>
      </c>
      <c r="S195" s="2745"/>
      <c r="T195" s="2745" t="e">
        <f t="shared" si="44"/>
        <v>#REF!</v>
      </c>
      <c r="U195" s="2148">
        <v>1820</v>
      </c>
      <c r="V195" s="2148">
        <v>1.07</v>
      </c>
      <c r="W195" s="2745">
        <f t="shared" si="33"/>
        <v>2083.7199999999998</v>
      </c>
      <c r="X195" s="2745" t="e">
        <f t="shared" si="34"/>
        <v>#REF!</v>
      </c>
      <c r="Y195" s="2745"/>
      <c r="Z195" s="2745" t="e">
        <f t="shared" si="45"/>
        <v>#REF!</v>
      </c>
      <c r="AA195" s="2745">
        <f t="shared" si="35"/>
        <v>2229.58</v>
      </c>
      <c r="AB195" s="2745" t="e">
        <f t="shared" si="36"/>
        <v>#REF!</v>
      </c>
      <c r="AC195" s="2745"/>
      <c r="AD195" s="2745" t="e">
        <f t="shared" si="46"/>
        <v>#REF!</v>
      </c>
    </row>
    <row r="196" spans="1:30" s="2161" customFormat="1">
      <c r="A196" s="2743">
        <v>187</v>
      </c>
      <c r="B196" s="2744" t="s">
        <v>1490</v>
      </c>
      <c r="C196" s="2748" t="s">
        <v>1501</v>
      </c>
      <c r="D196" s="2745" t="s">
        <v>1268</v>
      </c>
      <c r="E196" s="2745">
        <v>16815.8</v>
      </c>
      <c r="F196" s="2745"/>
      <c r="G196" s="2745">
        <f t="shared" si="43"/>
        <v>16815.8</v>
      </c>
      <c r="H196" s="2745"/>
      <c r="I196" s="2745"/>
      <c r="J196" s="2745"/>
      <c r="K196" s="2745"/>
      <c r="L196" s="2744">
        <v>40</v>
      </c>
      <c r="M196" s="2745"/>
      <c r="N196" s="2745">
        <v>500</v>
      </c>
      <c r="O196" s="2761">
        <v>25</v>
      </c>
      <c r="P196" s="2745" t="e">
        <f>#REF!+#REF!+хозАДМ!P90+хозИНТ!P193</f>
        <v>#REF!</v>
      </c>
      <c r="Q196" s="2745">
        <f t="shared" si="41"/>
        <v>3076.79</v>
      </c>
      <c r="R196" s="2745" t="e">
        <f t="shared" si="32"/>
        <v>#REF!</v>
      </c>
      <c r="S196" s="2745"/>
      <c r="T196" s="2745" t="e">
        <f t="shared" si="44"/>
        <v>#REF!</v>
      </c>
      <c r="U196" s="2148">
        <v>2875.5</v>
      </c>
      <c r="V196" s="2148">
        <v>1.07</v>
      </c>
      <c r="W196" s="2745">
        <f t="shared" si="33"/>
        <v>3292.17</v>
      </c>
      <c r="X196" s="2745" t="e">
        <f t="shared" si="34"/>
        <v>#REF!</v>
      </c>
      <c r="Y196" s="2745"/>
      <c r="Z196" s="2745" t="e">
        <f t="shared" si="45"/>
        <v>#REF!</v>
      </c>
      <c r="AA196" s="2745">
        <f t="shared" si="35"/>
        <v>3522.62</v>
      </c>
      <c r="AB196" s="2745" t="e">
        <f t="shared" si="36"/>
        <v>#REF!</v>
      </c>
      <c r="AC196" s="2745"/>
      <c r="AD196" s="2745" t="e">
        <f t="shared" si="46"/>
        <v>#REF!</v>
      </c>
    </row>
    <row r="197" spans="1:30" s="2161" customFormat="1">
      <c r="A197" s="2743">
        <v>188</v>
      </c>
      <c r="B197" s="2744" t="s">
        <v>1506</v>
      </c>
      <c r="C197" s="2748" t="s">
        <v>1507</v>
      </c>
      <c r="D197" s="2745" t="s">
        <v>1268</v>
      </c>
      <c r="E197" s="2745">
        <v>16815.8</v>
      </c>
      <c r="F197" s="2745"/>
      <c r="G197" s="2745">
        <f t="shared" si="43"/>
        <v>16815.8</v>
      </c>
      <c r="H197" s="2745"/>
      <c r="I197" s="2745"/>
      <c r="J197" s="2745"/>
      <c r="K197" s="2745"/>
      <c r="L197" s="2744">
        <v>20</v>
      </c>
      <c r="M197" s="2745"/>
      <c r="N197" s="2745">
        <v>31</v>
      </c>
      <c r="O197" s="2761">
        <v>15</v>
      </c>
      <c r="P197" s="2745" t="e">
        <f>#REF!+#REF!+хозАДМ!P91+хозИНТ!P194</f>
        <v>#REF!</v>
      </c>
      <c r="Q197" s="2745">
        <f t="shared" si="41"/>
        <v>10571.6</v>
      </c>
      <c r="R197" s="2745" t="e">
        <f t="shared" si="32"/>
        <v>#REF!</v>
      </c>
      <c r="S197" s="2745"/>
      <c r="T197" s="2745" t="e">
        <f t="shared" si="44"/>
        <v>#REF!</v>
      </c>
      <c r="U197" s="2148">
        <v>9880</v>
      </c>
      <c r="V197" s="2148">
        <v>1.07</v>
      </c>
      <c r="W197" s="2745">
        <f t="shared" si="33"/>
        <v>11311.61</v>
      </c>
      <c r="X197" s="2745" t="e">
        <f t="shared" si="34"/>
        <v>#REF!</v>
      </c>
      <c r="Y197" s="2745"/>
      <c r="Z197" s="2745" t="e">
        <f t="shared" si="45"/>
        <v>#REF!</v>
      </c>
      <c r="AA197" s="2745">
        <f t="shared" si="35"/>
        <v>12103.42</v>
      </c>
      <c r="AB197" s="2745" t="e">
        <f t="shared" si="36"/>
        <v>#REF!</v>
      </c>
      <c r="AC197" s="2745"/>
      <c r="AD197" s="2745" t="e">
        <f t="shared" si="46"/>
        <v>#REF!</v>
      </c>
    </row>
    <row r="198" spans="1:30" s="2161" customFormat="1" ht="48">
      <c r="A198" s="2743">
        <v>189</v>
      </c>
      <c r="B198" s="2744" t="s">
        <v>2503</v>
      </c>
      <c r="C198" s="2748" t="s">
        <v>1605</v>
      </c>
      <c r="D198" s="2745" t="s">
        <v>1268</v>
      </c>
      <c r="E198" s="2745">
        <v>16815.8</v>
      </c>
      <c r="F198" s="2745"/>
      <c r="G198" s="2745">
        <f t="shared" si="43"/>
        <v>16815.8</v>
      </c>
      <c r="H198" s="2745"/>
      <c r="I198" s="2745"/>
      <c r="J198" s="2745"/>
      <c r="K198" s="2745"/>
      <c r="L198" s="2744">
        <v>15</v>
      </c>
      <c r="M198" s="2745"/>
      <c r="N198" s="2745">
        <v>45</v>
      </c>
      <c r="O198" s="2761">
        <v>0</v>
      </c>
      <c r="P198" s="2745" t="e">
        <f>#REF!+#REF!+хозМШ!P26+хозАДМ!#REF!+хозИНТ!P195</f>
        <v>#REF!</v>
      </c>
      <c r="Q198" s="2745">
        <f t="shared" si="41"/>
        <v>654.84</v>
      </c>
      <c r="R198" s="2745" t="e">
        <f t="shared" si="32"/>
        <v>#REF!</v>
      </c>
      <c r="S198" s="2745"/>
      <c r="T198" s="2745" t="e">
        <f t="shared" si="44"/>
        <v>#REF!</v>
      </c>
      <c r="U198" s="2148">
        <v>612</v>
      </c>
      <c r="V198" s="2148">
        <v>1.07</v>
      </c>
      <c r="W198" s="2745">
        <f t="shared" si="33"/>
        <v>700.68</v>
      </c>
      <c r="X198" s="2745" t="e">
        <f t="shared" si="34"/>
        <v>#REF!</v>
      </c>
      <c r="Y198" s="2745"/>
      <c r="Z198" s="2745" t="e">
        <f t="shared" si="45"/>
        <v>#REF!</v>
      </c>
      <c r="AA198" s="2745">
        <f t="shared" si="35"/>
        <v>749.73</v>
      </c>
      <c r="AB198" s="2745" t="e">
        <f t="shared" si="36"/>
        <v>#REF!</v>
      </c>
      <c r="AC198" s="2745"/>
      <c r="AD198" s="2745" t="e">
        <f t="shared" si="46"/>
        <v>#REF!</v>
      </c>
    </row>
    <row r="199" spans="1:30" s="2161" customFormat="1" ht="48">
      <c r="A199" s="2743">
        <v>190</v>
      </c>
      <c r="B199" s="2744" t="s">
        <v>2503</v>
      </c>
      <c r="C199" s="2748" t="s">
        <v>1606</v>
      </c>
      <c r="D199" s="2745" t="s">
        <v>1268</v>
      </c>
      <c r="E199" s="2745">
        <v>16815.8</v>
      </c>
      <c r="F199" s="2745"/>
      <c r="G199" s="2745">
        <f t="shared" si="43"/>
        <v>16815.8</v>
      </c>
      <c r="H199" s="2745"/>
      <c r="I199" s="2745"/>
      <c r="J199" s="2745"/>
      <c r="K199" s="2745"/>
      <c r="L199" s="2744">
        <v>15</v>
      </c>
      <c r="M199" s="2745"/>
      <c r="N199" s="2745">
        <v>27</v>
      </c>
      <c r="O199" s="2761">
        <v>0</v>
      </c>
      <c r="P199" s="2745" t="e">
        <f>#REF!+#REF!+хозМШ!P27+хозАДМ!P92+хозИНТ!P196</f>
        <v>#REF!</v>
      </c>
      <c r="Q199" s="2745">
        <f t="shared" si="41"/>
        <v>896.66</v>
      </c>
      <c r="R199" s="2745" t="e">
        <f t="shared" si="32"/>
        <v>#REF!</v>
      </c>
      <c r="S199" s="2745"/>
      <c r="T199" s="2745" t="e">
        <f t="shared" si="44"/>
        <v>#REF!</v>
      </c>
      <c r="U199" s="2148">
        <v>838</v>
      </c>
      <c r="V199" s="2148">
        <v>1.07</v>
      </c>
      <c r="W199" s="2745">
        <f t="shared" si="33"/>
        <v>959.43</v>
      </c>
      <c r="X199" s="2745" t="e">
        <f t="shared" si="34"/>
        <v>#REF!</v>
      </c>
      <c r="Y199" s="2745"/>
      <c r="Z199" s="2745" t="e">
        <f t="shared" si="45"/>
        <v>#REF!</v>
      </c>
      <c r="AA199" s="2745">
        <f t="shared" si="35"/>
        <v>1026.5899999999999</v>
      </c>
      <c r="AB199" s="2745" t="e">
        <f t="shared" si="36"/>
        <v>#REF!</v>
      </c>
      <c r="AC199" s="2745"/>
      <c r="AD199" s="2745" t="e">
        <f t="shared" si="46"/>
        <v>#REF!</v>
      </c>
    </row>
    <row r="200" spans="1:30" s="2161" customFormat="1" ht="48">
      <c r="A200" s="2743">
        <v>191</v>
      </c>
      <c r="B200" s="2744" t="s">
        <v>2504</v>
      </c>
      <c r="C200" s="2748" t="s">
        <v>1605</v>
      </c>
      <c r="D200" s="2745" t="s">
        <v>1268</v>
      </c>
      <c r="E200" s="2745">
        <v>16815.8</v>
      </c>
      <c r="F200" s="2745"/>
      <c r="G200" s="2745">
        <f t="shared" si="43"/>
        <v>16815.8</v>
      </c>
      <c r="H200" s="2745"/>
      <c r="I200" s="2745"/>
      <c r="J200" s="2745"/>
      <c r="K200" s="2745"/>
      <c r="L200" s="2744">
        <v>25</v>
      </c>
      <c r="M200" s="2745"/>
      <c r="N200" s="2745">
        <v>27</v>
      </c>
      <c r="O200" s="2761">
        <v>0</v>
      </c>
      <c r="P200" s="2745" t="e">
        <f>#REF!+#REF!+хозМШ!P24+хозАДМ!P93+хозИНТ!P197</f>
        <v>#REF!</v>
      </c>
      <c r="Q200" s="2745">
        <f t="shared" si="41"/>
        <v>689.08</v>
      </c>
      <c r="R200" s="2745" t="e">
        <f t="shared" si="32"/>
        <v>#REF!</v>
      </c>
      <c r="S200" s="2745"/>
      <c r="T200" s="2745" t="e">
        <f t="shared" si="44"/>
        <v>#REF!</v>
      </c>
      <c r="U200" s="2148">
        <v>644</v>
      </c>
      <c r="V200" s="2148">
        <v>1.07</v>
      </c>
      <c r="W200" s="2745">
        <f t="shared" si="33"/>
        <v>737.32</v>
      </c>
      <c r="X200" s="2745" t="e">
        <f t="shared" si="34"/>
        <v>#REF!</v>
      </c>
      <c r="Y200" s="2745"/>
      <c r="Z200" s="2745" t="e">
        <f t="shared" si="45"/>
        <v>#REF!</v>
      </c>
      <c r="AA200" s="2745">
        <f t="shared" si="35"/>
        <v>788.93</v>
      </c>
      <c r="AB200" s="2745" t="e">
        <f t="shared" si="36"/>
        <v>#REF!</v>
      </c>
      <c r="AC200" s="2745"/>
      <c r="AD200" s="2745" t="e">
        <f t="shared" si="46"/>
        <v>#REF!</v>
      </c>
    </row>
    <row r="201" spans="1:30" s="2161" customFormat="1" ht="48">
      <c r="A201" s="2743">
        <v>192</v>
      </c>
      <c r="B201" s="2744" t="s">
        <v>2504</v>
      </c>
      <c r="C201" s="2748" t="s">
        <v>1606</v>
      </c>
      <c r="D201" s="2745" t="s">
        <v>1268</v>
      </c>
      <c r="E201" s="2745">
        <v>16815.8</v>
      </c>
      <c r="F201" s="2745"/>
      <c r="G201" s="2745">
        <f t="shared" si="43"/>
        <v>16815.8</v>
      </c>
      <c r="H201" s="2745"/>
      <c r="I201" s="2745"/>
      <c r="J201" s="2745"/>
      <c r="K201" s="2745"/>
      <c r="L201" s="2744">
        <v>25</v>
      </c>
      <c r="M201" s="2745"/>
      <c r="N201" s="2745"/>
      <c r="O201" s="2761"/>
      <c r="P201" s="2745" t="e">
        <f>#REF!+#REF!+хозМШ!P25+хозАДМ!P94+хозИНТ!P198</f>
        <v>#REF!</v>
      </c>
      <c r="Q201" s="2745">
        <f t="shared" si="41"/>
        <v>937.32</v>
      </c>
      <c r="R201" s="2745" t="e">
        <f t="shared" si="32"/>
        <v>#REF!</v>
      </c>
      <c r="S201" s="2745"/>
      <c r="T201" s="2745" t="e">
        <f t="shared" si="44"/>
        <v>#REF!</v>
      </c>
      <c r="U201" s="2148">
        <v>876</v>
      </c>
      <c r="V201" s="2148">
        <v>1.07</v>
      </c>
      <c r="W201" s="2745">
        <f t="shared" si="33"/>
        <v>1002.93</v>
      </c>
      <c r="X201" s="2745" t="e">
        <f t="shared" si="34"/>
        <v>#REF!</v>
      </c>
      <c r="Y201" s="2745"/>
      <c r="Z201" s="2745" t="e">
        <f t="shared" si="45"/>
        <v>#REF!</v>
      </c>
      <c r="AA201" s="2745">
        <f t="shared" si="35"/>
        <v>1073.1400000000001</v>
      </c>
      <c r="AB201" s="2745" t="e">
        <f t="shared" si="36"/>
        <v>#REF!</v>
      </c>
      <c r="AC201" s="2745"/>
      <c r="AD201" s="2745" t="e">
        <f t="shared" si="46"/>
        <v>#REF!</v>
      </c>
    </row>
    <row r="202" spans="1:30">
      <c r="A202" s="2074">
        <v>193</v>
      </c>
      <c r="B202" s="2068" t="s">
        <v>2505</v>
      </c>
      <c r="C202" s="2069" t="s">
        <v>2506</v>
      </c>
      <c r="D202" s="2071" t="s">
        <v>1268</v>
      </c>
      <c r="E202" s="2071">
        <v>16815.8</v>
      </c>
      <c r="F202" s="2071"/>
      <c r="G202" s="2071">
        <f t="shared" si="43"/>
        <v>16815.8</v>
      </c>
      <c r="H202" s="2071"/>
      <c r="I202" s="2071"/>
      <c r="J202" s="2071"/>
      <c r="K202" s="2071"/>
      <c r="L202" s="2068">
        <v>5</v>
      </c>
      <c r="M202" s="2071"/>
      <c r="N202" s="2735"/>
      <c r="O202" s="2760"/>
      <c r="P202" s="2719" t="e">
        <f>#REF!+#REF!+хозИНТ!P199</f>
        <v>#REF!</v>
      </c>
      <c r="Q202" s="2071">
        <f t="shared" si="41"/>
        <v>6890.8</v>
      </c>
      <c r="R202" s="2071" t="e">
        <f t="shared" si="32"/>
        <v>#REF!</v>
      </c>
      <c r="S202" s="2071"/>
      <c r="T202" s="2071" t="e">
        <f t="shared" si="44"/>
        <v>#REF!</v>
      </c>
      <c r="U202" s="2135">
        <v>6440</v>
      </c>
      <c r="V202" s="2135">
        <v>1.07</v>
      </c>
      <c r="W202" s="2071">
        <f t="shared" si="33"/>
        <v>7373.16</v>
      </c>
      <c r="X202" s="2071" t="e">
        <f t="shared" si="34"/>
        <v>#REF!</v>
      </c>
      <c r="Y202" s="2071"/>
      <c r="Z202" s="2071" t="e">
        <f t="shared" si="45"/>
        <v>#REF!</v>
      </c>
      <c r="AA202" s="2071">
        <f t="shared" si="35"/>
        <v>7889.28</v>
      </c>
      <c r="AB202" s="2071" t="e">
        <f t="shared" si="36"/>
        <v>#REF!</v>
      </c>
      <c r="AC202" s="2071"/>
      <c r="AD202" s="2071" t="e">
        <f t="shared" si="46"/>
        <v>#REF!</v>
      </c>
    </row>
    <row r="203" spans="1:30">
      <c r="A203" s="2074">
        <v>194</v>
      </c>
      <c r="B203" s="2068" t="s">
        <v>2505</v>
      </c>
      <c r="C203" s="2069" t="s">
        <v>2507</v>
      </c>
      <c r="D203" s="2071" t="s">
        <v>1268</v>
      </c>
      <c r="E203" s="2071">
        <v>16815.8</v>
      </c>
      <c r="F203" s="2071"/>
      <c r="G203" s="2071">
        <f t="shared" si="43"/>
        <v>16815.8</v>
      </c>
      <c r="H203" s="2071"/>
      <c r="I203" s="2071"/>
      <c r="J203" s="2071"/>
      <c r="K203" s="2071"/>
      <c r="L203" s="2068">
        <v>5</v>
      </c>
      <c r="M203" s="2071"/>
      <c r="N203" s="2735"/>
      <c r="O203" s="2760"/>
      <c r="P203" s="2719" t="e">
        <f>#REF!+#REF!+хозИНТ!P200</f>
        <v>#REF!</v>
      </c>
      <c r="Q203" s="2071">
        <f t="shared" si="41"/>
        <v>5590.75</v>
      </c>
      <c r="R203" s="2071" t="e">
        <f t="shared" si="32"/>
        <v>#REF!</v>
      </c>
      <c r="S203" s="2071"/>
      <c r="T203" s="2071" t="e">
        <f t="shared" si="44"/>
        <v>#REF!</v>
      </c>
      <c r="U203" s="2135">
        <v>5225</v>
      </c>
      <c r="V203" s="2135">
        <v>1.07</v>
      </c>
      <c r="W203" s="2071">
        <f t="shared" si="33"/>
        <v>5982.1</v>
      </c>
      <c r="X203" s="2071" t="e">
        <f t="shared" si="34"/>
        <v>#REF!</v>
      </c>
      <c r="Y203" s="2071"/>
      <c r="Z203" s="2071" t="e">
        <f t="shared" si="45"/>
        <v>#REF!</v>
      </c>
      <c r="AA203" s="2071">
        <f t="shared" si="35"/>
        <v>6400.85</v>
      </c>
      <c r="AB203" s="2071" t="e">
        <f t="shared" si="36"/>
        <v>#REF!</v>
      </c>
      <c r="AC203" s="2071"/>
      <c r="AD203" s="2071" t="e">
        <f t="shared" si="46"/>
        <v>#REF!</v>
      </c>
    </row>
    <row r="204" spans="1:30" ht="24">
      <c r="A204" s="2074">
        <v>195</v>
      </c>
      <c r="B204" s="2068" t="s">
        <v>2508</v>
      </c>
      <c r="C204" s="2068" t="s">
        <v>2509</v>
      </c>
      <c r="D204" s="2071" t="s">
        <v>1268</v>
      </c>
      <c r="E204" s="2071">
        <v>16815.8</v>
      </c>
      <c r="F204" s="2071"/>
      <c r="G204" s="2071">
        <f t="shared" si="43"/>
        <v>16815.8</v>
      </c>
      <c r="H204" s="2071"/>
      <c r="I204" s="2071"/>
      <c r="J204" s="2071"/>
      <c r="K204" s="2071"/>
      <c r="L204" s="2068">
        <v>10</v>
      </c>
      <c r="M204" s="2071"/>
      <c r="N204" s="2735"/>
      <c r="O204" s="2760"/>
      <c r="P204" s="2719" t="e">
        <f>#REF!+#REF!+хозИНТ!P201</f>
        <v>#REF!</v>
      </c>
      <c r="Q204" s="2071">
        <f t="shared" si="41"/>
        <v>5280.45</v>
      </c>
      <c r="R204" s="2071" t="e">
        <f t="shared" ref="R204:R229" si="47">ROUND(P204*Q204,0)</f>
        <v>#REF!</v>
      </c>
      <c r="S204" s="2071"/>
      <c r="T204" s="2071" t="e">
        <f t="shared" si="44"/>
        <v>#REF!</v>
      </c>
      <c r="U204" s="2135">
        <v>4935</v>
      </c>
      <c r="V204" s="2135">
        <v>1.07</v>
      </c>
      <c r="W204" s="2071">
        <f t="shared" ref="W204:W230" si="48">ROUND(Q204*1.07,2)</f>
        <v>5650.08</v>
      </c>
      <c r="X204" s="2071" t="e">
        <f t="shared" ref="X204:X230" si="49">ROUND(P204*W204,0)</f>
        <v>#REF!</v>
      </c>
      <c r="Y204" s="2071"/>
      <c r="Z204" s="2071" t="e">
        <f t="shared" si="45"/>
        <v>#REF!</v>
      </c>
      <c r="AA204" s="2071">
        <f t="shared" ref="AA204:AA230" si="50">ROUND(W204*1.07,2)</f>
        <v>6045.59</v>
      </c>
      <c r="AB204" s="2071" t="e">
        <f t="shared" ref="AB204:AB230" si="51">ROUND(P204*AA204,0)</f>
        <v>#REF!</v>
      </c>
      <c r="AC204" s="2071"/>
      <c r="AD204" s="2071" t="e">
        <f t="shared" si="46"/>
        <v>#REF!</v>
      </c>
    </row>
    <row r="205" spans="1:30" ht="96">
      <c r="A205" s="2074">
        <v>196</v>
      </c>
      <c r="B205" s="2068" t="s">
        <v>2510</v>
      </c>
      <c r="C205" s="2068" t="s">
        <v>2511</v>
      </c>
      <c r="D205" s="2071" t="s">
        <v>2295</v>
      </c>
      <c r="E205" s="2071">
        <v>16815.8</v>
      </c>
      <c r="F205" s="2071"/>
      <c r="G205" s="2071">
        <f t="shared" si="43"/>
        <v>16815.8</v>
      </c>
      <c r="H205" s="2071"/>
      <c r="I205" s="2071"/>
      <c r="J205" s="2071"/>
      <c r="K205" s="2071"/>
      <c r="L205" s="2068">
        <v>60</v>
      </c>
      <c r="M205" s="2071"/>
      <c r="N205" s="2735"/>
      <c r="O205" s="2760"/>
      <c r="P205" s="2719" t="e">
        <f>#REF!+#REF!+хозАДМ!#REF!+хозИНТ!P202</f>
        <v>#REF!</v>
      </c>
      <c r="Q205" s="2071">
        <f t="shared" si="41"/>
        <v>19260</v>
      </c>
      <c r="R205" s="2071" t="e">
        <f t="shared" si="47"/>
        <v>#REF!</v>
      </c>
      <c r="S205" s="2071"/>
      <c r="T205" s="2071" t="e">
        <f t="shared" si="44"/>
        <v>#REF!</v>
      </c>
      <c r="U205" s="2135">
        <v>18000</v>
      </c>
      <c r="V205" s="2135">
        <v>1.07</v>
      </c>
      <c r="W205" s="2071">
        <f t="shared" si="48"/>
        <v>20608.2</v>
      </c>
      <c r="X205" s="2071" t="e">
        <f t="shared" si="49"/>
        <v>#REF!</v>
      </c>
      <c r="Y205" s="2071"/>
      <c r="Z205" s="2071" t="e">
        <f t="shared" si="45"/>
        <v>#REF!</v>
      </c>
      <c r="AA205" s="2071">
        <f t="shared" si="50"/>
        <v>22050.77</v>
      </c>
      <c r="AB205" s="2071" t="e">
        <f t="shared" si="51"/>
        <v>#REF!</v>
      </c>
      <c r="AC205" s="2071"/>
      <c r="AD205" s="2071" t="e">
        <f t="shared" si="46"/>
        <v>#REF!</v>
      </c>
    </row>
    <row r="206" spans="1:30" ht="84">
      <c r="A206" s="2074">
        <v>197</v>
      </c>
      <c r="B206" s="2068" t="s">
        <v>2512</v>
      </c>
      <c r="C206" s="2068" t="s">
        <v>2513</v>
      </c>
      <c r="D206" s="2071" t="s">
        <v>1119</v>
      </c>
      <c r="E206" s="2071">
        <v>16815.8</v>
      </c>
      <c r="F206" s="2071"/>
      <c r="G206" s="2071">
        <f t="shared" si="43"/>
        <v>16815.8</v>
      </c>
      <c r="H206" s="2071"/>
      <c r="I206" s="2071"/>
      <c r="J206" s="2071"/>
      <c r="K206" s="2071"/>
      <c r="L206" s="2068">
        <v>15</v>
      </c>
      <c r="M206" s="2071"/>
      <c r="N206" s="2735"/>
      <c r="O206" s="2760"/>
      <c r="P206" s="2719" t="e">
        <f>#REF!+#REF!+хозАДМ!#REF!+хозИНТ!P203</f>
        <v>#REF!</v>
      </c>
      <c r="Q206" s="2071">
        <f t="shared" si="41"/>
        <v>363.8</v>
      </c>
      <c r="R206" s="2071" t="e">
        <f t="shared" si="47"/>
        <v>#REF!</v>
      </c>
      <c r="S206" s="2071"/>
      <c r="T206" s="2071" t="e">
        <f t="shared" si="44"/>
        <v>#REF!</v>
      </c>
      <c r="U206" s="2135">
        <v>340</v>
      </c>
      <c r="V206" s="2135">
        <v>1.07</v>
      </c>
      <c r="W206" s="2071">
        <f t="shared" si="48"/>
        <v>389.27</v>
      </c>
      <c r="X206" s="2071" t="e">
        <f t="shared" si="49"/>
        <v>#REF!</v>
      </c>
      <c r="Y206" s="2071"/>
      <c r="Z206" s="2071" t="e">
        <f t="shared" si="45"/>
        <v>#REF!</v>
      </c>
      <c r="AA206" s="2071">
        <f t="shared" si="50"/>
        <v>416.52</v>
      </c>
      <c r="AB206" s="2071" t="e">
        <f t="shared" si="51"/>
        <v>#REF!</v>
      </c>
      <c r="AC206" s="2071"/>
      <c r="AD206" s="2071" t="e">
        <f t="shared" si="46"/>
        <v>#REF!</v>
      </c>
    </row>
    <row r="207" spans="1:30" ht="24">
      <c r="A207" s="2074">
        <v>198</v>
      </c>
      <c r="B207" s="2068" t="s">
        <v>2512</v>
      </c>
      <c r="C207" s="2068" t="s">
        <v>2514</v>
      </c>
      <c r="D207" s="2068" t="s">
        <v>2515</v>
      </c>
      <c r="E207" s="2071">
        <v>16815.8</v>
      </c>
      <c r="F207" s="2071"/>
      <c r="G207" s="2071">
        <f t="shared" si="43"/>
        <v>16815.8</v>
      </c>
      <c r="H207" s="2071"/>
      <c r="I207" s="2071"/>
      <c r="J207" s="2071"/>
      <c r="K207" s="2071"/>
      <c r="L207" s="2068">
        <v>1</v>
      </c>
      <c r="M207" s="2071"/>
      <c r="N207" s="2735"/>
      <c r="O207" s="2760"/>
      <c r="P207" s="2719" t="e">
        <f>#REF!+#REF!+хозАДМ!#REF!+хозИНТ!P204</f>
        <v>#REF!</v>
      </c>
      <c r="Q207" s="2071">
        <f t="shared" si="41"/>
        <v>41676.5</v>
      </c>
      <c r="R207" s="2071" t="e">
        <f t="shared" si="47"/>
        <v>#REF!</v>
      </c>
      <c r="S207" s="2071"/>
      <c r="T207" s="2071" t="e">
        <f t="shared" si="44"/>
        <v>#REF!</v>
      </c>
      <c r="U207" s="2135">
        <v>38950</v>
      </c>
      <c r="V207" s="2135">
        <v>1.07</v>
      </c>
      <c r="W207" s="2071">
        <f t="shared" si="48"/>
        <v>44593.86</v>
      </c>
      <c r="X207" s="2071" t="e">
        <f t="shared" si="49"/>
        <v>#REF!</v>
      </c>
      <c r="Y207" s="2071"/>
      <c r="Z207" s="2071" t="e">
        <f t="shared" si="45"/>
        <v>#REF!</v>
      </c>
      <c r="AA207" s="2071">
        <f t="shared" si="50"/>
        <v>47715.43</v>
      </c>
      <c r="AB207" s="2071" t="e">
        <f t="shared" si="51"/>
        <v>#REF!</v>
      </c>
      <c r="AC207" s="2071"/>
      <c r="AD207" s="2071" t="e">
        <f t="shared" si="46"/>
        <v>#REF!</v>
      </c>
    </row>
    <row r="208" spans="1:30">
      <c r="A208" s="2074">
        <v>199</v>
      </c>
      <c r="B208" s="2068" t="s">
        <v>2516</v>
      </c>
      <c r="C208" s="2068" t="s">
        <v>2517</v>
      </c>
      <c r="D208" s="2071" t="s">
        <v>1351</v>
      </c>
      <c r="E208" s="2071">
        <v>16815.8</v>
      </c>
      <c r="F208" s="2071"/>
      <c r="G208" s="2071">
        <f t="shared" si="43"/>
        <v>16815.8</v>
      </c>
      <c r="H208" s="2071"/>
      <c r="I208" s="2071"/>
      <c r="J208" s="2071"/>
      <c r="K208" s="2071"/>
      <c r="L208" s="2068">
        <v>1</v>
      </c>
      <c r="M208" s="2071"/>
      <c r="N208" s="2735"/>
      <c r="O208" s="2760"/>
      <c r="P208" s="2719" t="e">
        <f>#REF!+#REF!+хозАДМ!#REF!</f>
        <v>#REF!</v>
      </c>
      <c r="Q208" s="2071">
        <f t="shared" si="41"/>
        <v>54816.1</v>
      </c>
      <c r="R208" s="2071" t="e">
        <f t="shared" si="47"/>
        <v>#REF!</v>
      </c>
      <c r="S208" s="2071"/>
      <c r="T208" s="2071" t="e">
        <f t="shared" si="44"/>
        <v>#REF!</v>
      </c>
      <c r="U208" s="2135">
        <v>51230</v>
      </c>
      <c r="V208" s="2135">
        <v>1.07</v>
      </c>
      <c r="W208" s="2071">
        <f t="shared" si="48"/>
        <v>58653.23</v>
      </c>
      <c r="X208" s="2071" t="e">
        <f t="shared" si="49"/>
        <v>#REF!</v>
      </c>
      <c r="Y208" s="2071"/>
      <c r="Z208" s="2071" t="e">
        <f t="shared" si="45"/>
        <v>#REF!</v>
      </c>
      <c r="AA208" s="2071">
        <f t="shared" si="50"/>
        <v>62758.96</v>
      </c>
      <c r="AB208" s="2071" t="e">
        <f t="shared" si="51"/>
        <v>#REF!</v>
      </c>
      <c r="AC208" s="2071"/>
      <c r="AD208" s="2071" t="e">
        <f t="shared" si="46"/>
        <v>#REF!</v>
      </c>
    </row>
    <row r="209" spans="1:30" ht="48">
      <c r="A209" s="2074">
        <v>200</v>
      </c>
      <c r="B209" s="2068" t="s">
        <v>2518</v>
      </c>
      <c r="C209" s="2259" t="s">
        <v>1304</v>
      </c>
      <c r="D209" s="2071"/>
      <c r="E209" s="2071">
        <v>16815.8</v>
      </c>
      <c r="F209" s="2071"/>
      <c r="G209" s="2071">
        <f t="shared" si="43"/>
        <v>16815.8</v>
      </c>
      <c r="H209" s="2071"/>
      <c r="I209" s="2071"/>
      <c r="J209" s="2071"/>
      <c r="K209" s="2258">
        <v>1015</v>
      </c>
      <c r="L209" s="2068"/>
      <c r="M209" s="2071">
        <v>0</v>
      </c>
      <c r="N209" s="2735">
        <v>29508</v>
      </c>
      <c r="O209" s="2760"/>
      <c r="P209" s="2719" t="e">
        <f>#REF!+#REF!+хозМШ!P52+хозИНТ!P221</f>
        <v>#REF!</v>
      </c>
      <c r="Q209" s="2071">
        <f t="shared" si="41"/>
        <v>85.6</v>
      </c>
      <c r="R209" s="2071" t="e">
        <f t="shared" si="47"/>
        <v>#REF!</v>
      </c>
      <c r="S209" s="2071"/>
      <c r="T209" s="2071" t="e">
        <f t="shared" si="44"/>
        <v>#REF!</v>
      </c>
      <c r="U209" s="2135">
        <v>80</v>
      </c>
      <c r="V209" s="2135">
        <v>1.07</v>
      </c>
      <c r="W209" s="2071">
        <f t="shared" si="48"/>
        <v>91.59</v>
      </c>
      <c r="X209" s="2071" t="e">
        <f t="shared" si="49"/>
        <v>#REF!</v>
      </c>
      <c r="Y209" s="2071"/>
      <c r="Z209" s="2071" t="e">
        <f t="shared" si="45"/>
        <v>#REF!</v>
      </c>
      <c r="AA209" s="2071">
        <f t="shared" si="50"/>
        <v>98</v>
      </c>
      <c r="AB209" s="2071" t="e">
        <f t="shared" si="51"/>
        <v>#REF!</v>
      </c>
      <c r="AC209" s="2071"/>
      <c r="AD209" s="2071" t="e">
        <f t="shared" si="46"/>
        <v>#REF!</v>
      </c>
    </row>
    <row r="210" spans="1:30">
      <c r="A210" s="2074">
        <v>201</v>
      </c>
      <c r="B210" s="2068" t="s">
        <v>1562</v>
      </c>
      <c r="C210" s="2068" t="s">
        <v>2519</v>
      </c>
      <c r="D210" s="2071" t="s">
        <v>2520</v>
      </c>
      <c r="E210" s="2071">
        <v>16815.8</v>
      </c>
      <c r="F210" s="2071"/>
      <c r="G210" s="2071">
        <f t="shared" si="43"/>
        <v>16815.8</v>
      </c>
      <c r="H210" s="2071"/>
      <c r="I210" s="2071"/>
      <c r="J210" s="2071"/>
      <c r="K210" s="2071"/>
      <c r="L210" s="2068"/>
      <c r="M210" s="2071"/>
      <c r="N210" s="2735">
        <v>2713</v>
      </c>
      <c r="O210" s="2760"/>
      <c r="P210" s="2719" t="e">
        <f>#REF!+#REF!+хозМШ!P53+хозИНТ!P222</f>
        <v>#REF!</v>
      </c>
      <c r="Q210" s="2071">
        <f t="shared" si="41"/>
        <v>342.4</v>
      </c>
      <c r="R210" s="2071" t="e">
        <f t="shared" si="47"/>
        <v>#REF!</v>
      </c>
      <c r="S210" s="2071"/>
      <c r="T210" s="2071" t="e">
        <f t="shared" si="44"/>
        <v>#REF!</v>
      </c>
      <c r="U210" s="2135">
        <v>320</v>
      </c>
      <c r="V210" s="2135">
        <v>1.07</v>
      </c>
      <c r="W210" s="2071">
        <f t="shared" si="48"/>
        <v>366.37</v>
      </c>
      <c r="X210" s="2071" t="e">
        <f t="shared" si="49"/>
        <v>#REF!</v>
      </c>
      <c r="Y210" s="2071"/>
      <c r="Z210" s="2071" t="e">
        <f t="shared" si="45"/>
        <v>#REF!</v>
      </c>
      <c r="AA210" s="2071">
        <f t="shared" si="50"/>
        <v>392.02</v>
      </c>
      <c r="AB210" s="2071" t="e">
        <f t="shared" si="51"/>
        <v>#REF!</v>
      </c>
      <c r="AC210" s="2071"/>
      <c r="AD210" s="2071" t="e">
        <f t="shared" si="46"/>
        <v>#REF!</v>
      </c>
    </row>
    <row r="211" spans="1:30">
      <c r="A211" s="2074">
        <v>202</v>
      </c>
      <c r="B211" s="2068" t="s">
        <v>2521</v>
      </c>
      <c r="C211" s="2068" t="s">
        <v>2522</v>
      </c>
      <c r="D211" s="2071" t="s">
        <v>1587</v>
      </c>
      <c r="E211" s="2071">
        <v>16815.8</v>
      </c>
      <c r="F211" s="2071"/>
      <c r="G211" s="2071">
        <f t="shared" si="43"/>
        <v>16815.8</v>
      </c>
      <c r="H211" s="2071"/>
      <c r="I211" s="2071"/>
      <c r="J211" s="2071"/>
      <c r="K211" s="2071"/>
      <c r="L211" s="2068"/>
      <c r="M211" s="2258"/>
      <c r="N211" s="2735">
        <v>399</v>
      </c>
      <c r="O211" s="2760"/>
      <c r="P211" s="2719" t="e">
        <f>#REF!+#REF!+хозМШ!P54+хозАДМ!S95</f>
        <v>#REF!</v>
      </c>
      <c r="Q211" s="2071">
        <f t="shared" si="41"/>
        <v>428</v>
      </c>
      <c r="R211" s="2071" t="e">
        <f t="shared" si="47"/>
        <v>#REF!</v>
      </c>
      <c r="S211" s="2071"/>
      <c r="T211" s="2071" t="e">
        <f t="shared" si="44"/>
        <v>#REF!</v>
      </c>
      <c r="U211" s="2135">
        <v>400</v>
      </c>
      <c r="V211" s="2135">
        <v>1.07</v>
      </c>
      <c r="W211" s="2071">
        <f t="shared" si="48"/>
        <v>457.96</v>
      </c>
      <c r="X211" s="2071" t="e">
        <f t="shared" si="49"/>
        <v>#REF!</v>
      </c>
      <c r="Y211" s="2071"/>
      <c r="Z211" s="2071" t="e">
        <f t="shared" si="45"/>
        <v>#REF!</v>
      </c>
      <c r="AA211" s="2071">
        <f t="shared" si="50"/>
        <v>490.02</v>
      </c>
      <c r="AB211" s="2071" t="e">
        <f t="shared" si="51"/>
        <v>#REF!</v>
      </c>
      <c r="AC211" s="2071"/>
      <c r="AD211" s="2071" t="e">
        <f t="shared" si="46"/>
        <v>#REF!</v>
      </c>
    </row>
    <row r="212" spans="1:30">
      <c r="A212" s="2074">
        <v>203</v>
      </c>
      <c r="B212" s="2068" t="s">
        <v>2521</v>
      </c>
      <c r="C212" s="2068" t="s">
        <v>2523</v>
      </c>
      <c r="D212" s="2071" t="s">
        <v>1587</v>
      </c>
      <c r="E212" s="2071">
        <v>16815.8</v>
      </c>
      <c r="F212" s="2071"/>
      <c r="G212" s="2071">
        <f t="shared" ref="G212:G229" si="52">E212</f>
        <v>16815.8</v>
      </c>
      <c r="H212" s="2071"/>
      <c r="I212" s="2071"/>
      <c r="J212" s="2071"/>
      <c r="K212" s="2071"/>
      <c r="L212" s="2068"/>
      <c r="M212" s="2258"/>
      <c r="N212" s="2735">
        <v>1614</v>
      </c>
      <c r="O212" s="2760"/>
      <c r="P212" s="2719" t="e">
        <f>#REF!+#REF!+хозМШ!P55+хозИНТ!P223</f>
        <v>#REF!</v>
      </c>
      <c r="Q212" s="2071">
        <f t="shared" si="41"/>
        <v>321</v>
      </c>
      <c r="R212" s="2071" t="e">
        <f t="shared" si="47"/>
        <v>#REF!</v>
      </c>
      <c r="S212" s="2071"/>
      <c r="T212" s="2071" t="e">
        <f t="shared" ref="T212:T275" si="53">R212-S212</f>
        <v>#REF!</v>
      </c>
      <c r="U212" s="2135">
        <v>300</v>
      </c>
      <c r="V212" s="2135">
        <v>1.07</v>
      </c>
      <c r="W212" s="2071">
        <f t="shared" si="48"/>
        <v>343.47</v>
      </c>
      <c r="X212" s="2071" t="e">
        <f t="shared" si="49"/>
        <v>#REF!</v>
      </c>
      <c r="Y212" s="2071"/>
      <c r="Z212" s="2071" t="e">
        <f t="shared" si="45"/>
        <v>#REF!</v>
      </c>
      <c r="AA212" s="2071">
        <f t="shared" si="50"/>
        <v>367.51</v>
      </c>
      <c r="AB212" s="2071" t="e">
        <f t="shared" si="51"/>
        <v>#REF!</v>
      </c>
      <c r="AC212" s="2071"/>
      <c r="AD212" s="2071" t="e">
        <f t="shared" si="46"/>
        <v>#REF!</v>
      </c>
    </row>
    <row r="213" spans="1:30" ht="24">
      <c r="A213" s="2074">
        <v>204</v>
      </c>
      <c r="B213" s="2068" t="s">
        <v>2524</v>
      </c>
      <c r="C213" s="1699" t="s">
        <v>1329</v>
      </c>
      <c r="D213" s="2071" t="s">
        <v>1590</v>
      </c>
      <c r="E213" s="2071">
        <v>16815.8</v>
      </c>
      <c r="F213" s="2071"/>
      <c r="G213" s="2071">
        <f t="shared" si="52"/>
        <v>16815.8</v>
      </c>
      <c r="H213" s="2071"/>
      <c r="I213" s="2071"/>
      <c r="J213" s="2071"/>
      <c r="K213" s="2071"/>
      <c r="L213" s="2068"/>
      <c r="M213" s="2258"/>
      <c r="N213" s="2735">
        <v>4174</v>
      </c>
      <c r="O213" s="2760"/>
      <c r="P213" s="2719" t="e">
        <f>#REF!+#REF!+хозМШ!P56+хозИНТ!P224</f>
        <v>#REF!</v>
      </c>
      <c r="Q213" s="2071">
        <f t="shared" si="41"/>
        <v>214</v>
      </c>
      <c r="R213" s="2071" t="e">
        <f t="shared" si="47"/>
        <v>#REF!</v>
      </c>
      <c r="S213" s="2071"/>
      <c r="T213" s="2071" t="e">
        <f t="shared" si="53"/>
        <v>#REF!</v>
      </c>
      <c r="U213" s="2135">
        <v>200</v>
      </c>
      <c r="V213" s="2135">
        <v>1.07</v>
      </c>
      <c r="W213" s="2071">
        <f t="shared" si="48"/>
        <v>228.98</v>
      </c>
      <c r="X213" s="2071" t="e">
        <f t="shared" si="49"/>
        <v>#REF!</v>
      </c>
      <c r="Y213" s="2071"/>
      <c r="Z213" s="2071" t="e">
        <f t="shared" si="45"/>
        <v>#REF!</v>
      </c>
      <c r="AA213" s="2071">
        <f t="shared" si="50"/>
        <v>245.01</v>
      </c>
      <c r="AB213" s="2071" t="e">
        <f t="shared" si="51"/>
        <v>#REF!</v>
      </c>
      <c r="AC213" s="2071"/>
      <c r="AD213" s="2071" t="e">
        <f t="shared" si="46"/>
        <v>#REF!</v>
      </c>
    </row>
    <row r="214" spans="1:30">
      <c r="A214" s="2074">
        <v>205</v>
      </c>
      <c r="B214" s="2068" t="s">
        <v>2525</v>
      </c>
      <c r="C214" s="1699" t="s">
        <v>1589</v>
      </c>
      <c r="D214" s="2071" t="s">
        <v>1590</v>
      </c>
      <c r="E214" s="2071">
        <v>16815.8</v>
      </c>
      <c r="F214" s="2071"/>
      <c r="G214" s="2071">
        <f t="shared" si="52"/>
        <v>16815.8</v>
      </c>
      <c r="H214" s="2071"/>
      <c r="I214" s="2071"/>
      <c r="J214" s="2071"/>
      <c r="K214" s="2071"/>
      <c r="L214" s="2068"/>
      <c r="M214" s="2258"/>
      <c r="N214" s="2735">
        <v>293.8</v>
      </c>
      <c r="O214" s="2760"/>
      <c r="P214" s="2719" t="e">
        <f>#REF!+#REF!+хозМШ!P57+хозИНТ!P225</f>
        <v>#REF!</v>
      </c>
      <c r="Q214" s="2071">
        <f t="shared" si="41"/>
        <v>321</v>
      </c>
      <c r="R214" s="2071" t="e">
        <f t="shared" si="47"/>
        <v>#REF!</v>
      </c>
      <c r="S214" s="2071"/>
      <c r="T214" s="2071" t="e">
        <f t="shared" si="53"/>
        <v>#REF!</v>
      </c>
      <c r="U214" s="2135">
        <v>300</v>
      </c>
      <c r="V214" s="2135">
        <v>1.07</v>
      </c>
      <c r="W214" s="2071">
        <f t="shared" si="48"/>
        <v>343.47</v>
      </c>
      <c r="X214" s="2071" t="e">
        <f t="shared" si="49"/>
        <v>#REF!</v>
      </c>
      <c r="Y214" s="2071"/>
      <c r="Z214" s="2071" t="e">
        <f t="shared" si="45"/>
        <v>#REF!</v>
      </c>
      <c r="AA214" s="2071">
        <f t="shared" si="50"/>
        <v>367.51</v>
      </c>
      <c r="AB214" s="2071" t="e">
        <f t="shared" si="51"/>
        <v>#REF!</v>
      </c>
      <c r="AC214" s="2071"/>
      <c r="AD214" s="2071" t="e">
        <f t="shared" si="46"/>
        <v>#REF!</v>
      </c>
    </row>
    <row r="215" spans="1:30">
      <c r="A215" s="2074">
        <v>206</v>
      </c>
      <c r="B215" s="2068" t="s">
        <v>2526</v>
      </c>
      <c r="C215" s="1699" t="s">
        <v>2527</v>
      </c>
      <c r="D215" s="2068" t="s">
        <v>2528</v>
      </c>
      <c r="E215" s="2068">
        <v>16815.8</v>
      </c>
      <c r="F215" s="2141"/>
      <c r="G215" s="2071">
        <f t="shared" si="52"/>
        <v>16815.8</v>
      </c>
      <c r="H215" s="2071"/>
      <c r="I215" s="2071"/>
      <c r="J215" s="2071"/>
      <c r="K215" s="2071"/>
      <c r="L215" s="2068">
        <v>1</v>
      </c>
      <c r="M215" s="2258"/>
      <c r="N215" s="2735"/>
      <c r="O215" s="2760"/>
      <c r="P215" s="2719" t="e">
        <f>#REF!+#REF!</f>
        <v>#REF!</v>
      </c>
      <c r="Q215" s="2071">
        <f t="shared" si="41"/>
        <v>21400</v>
      </c>
      <c r="R215" s="2071" t="e">
        <f t="shared" si="47"/>
        <v>#REF!</v>
      </c>
      <c r="S215" s="2071"/>
      <c r="T215" s="2071" t="e">
        <f t="shared" si="53"/>
        <v>#REF!</v>
      </c>
      <c r="U215" s="2135">
        <v>20000</v>
      </c>
      <c r="V215" s="2135">
        <v>1.07</v>
      </c>
      <c r="W215" s="2071">
        <f t="shared" si="48"/>
        <v>22898</v>
      </c>
      <c r="X215" s="2071" t="e">
        <f t="shared" si="49"/>
        <v>#REF!</v>
      </c>
      <c r="Y215" s="2071"/>
      <c r="Z215" s="2071" t="e">
        <f t="shared" si="45"/>
        <v>#REF!</v>
      </c>
      <c r="AA215" s="2071">
        <f t="shared" si="50"/>
        <v>24500.86</v>
      </c>
      <c r="AB215" s="2071" t="e">
        <f t="shared" si="51"/>
        <v>#REF!</v>
      </c>
      <c r="AC215" s="2071"/>
      <c r="AD215" s="2071" t="e">
        <f t="shared" si="46"/>
        <v>#REF!</v>
      </c>
    </row>
    <row r="216" spans="1:30">
      <c r="A216" s="2074">
        <v>207</v>
      </c>
      <c r="B216" s="2068" t="s">
        <v>2529</v>
      </c>
      <c r="C216" s="1699" t="s">
        <v>2530</v>
      </c>
      <c r="D216" s="2068" t="s">
        <v>1351</v>
      </c>
      <c r="E216" s="2068">
        <v>16815.8</v>
      </c>
      <c r="F216" s="2071"/>
      <c r="G216" s="2071">
        <f t="shared" si="52"/>
        <v>16815.8</v>
      </c>
      <c r="H216" s="2071"/>
      <c r="I216" s="2071"/>
      <c r="J216" s="2071"/>
      <c r="K216" s="2071"/>
      <c r="L216" s="2068">
        <v>2</v>
      </c>
      <c r="M216" s="2258"/>
      <c r="N216" s="2735">
        <v>8</v>
      </c>
      <c r="O216" s="2760"/>
      <c r="P216" s="2719" t="e">
        <f>#REF!+#REF!</f>
        <v>#REF!</v>
      </c>
      <c r="Q216" s="2071">
        <f t="shared" si="41"/>
        <v>2889</v>
      </c>
      <c r="R216" s="2071" t="e">
        <f t="shared" si="47"/>
        <v>#REF!</v>
      </c>
      <c r="S216" s="2071"/>
      <c r="T216" s="2071" t="e">
        <f t="shared" si="53"/>
        <v>#REF!</v>
      </c>
      <c r="U216" s="2135">
        <v>2700</v>
      </c>
      <c r="V216" s="2135">
        <v>1.07</v>
      </c>
      <c r="W216" s="2071">
        <f t="shared" si="48"/>
        <v>3091.23</v>
      </c>
      <c r="X216" s="2071" t="e">
        <f t="shared" si="49"/>
        <v>#REF!</v>
      </c>
      <c r="Y216" s="2071"/>
      <c r="Z216" s="2071" t="e">
        <f t="shared" si="45"/>
        <v>#REF!</v>
      </c>
      <c r="AA216" s="2071">
        <f t="shared" si="50"/>
        <v>3307.62</v>
      </c>
      <c r="AB216" s="2071" t="e">
        <f t="shared" si="51"/>
        <v>#REF!</v>
      </c>
      <c r="AC216" s="2071"/>
      <c r="AD216" s="2071" t="e">
        <f t="shared" si="46"/>
        <v>#REF!</v>
      </c>
    </row>
    <row r="217" spans="1:30" ht="48">
      <c r="A217" s="2074">
        <v>208</v>
      </c>
      <c r="B217" s="2068" t="s">
        <v>2529</v>
      </c>
      <c r="C217" s="1699" t="s">
        <v>2531</v>
      </c>
      <c r="D217" s="2068" t="s">
        <v>1351</v>
      </c>
      <c r="E217" s="2068">
        <v>16815.8</v>
      </c>
      <c r="F217" s="2071"/>
      <c r="G217" s="2071">
        <f t="shared" si="52"/>
        <v>16815.8</v>
      </c>
      <c r="H217" s="2071"/>
      <c r="I217" s="2071"/>
      <c r="J217" s="2071"/>
      <c r="K217" s="2071"/>
      <c r="L217" s="2068">
        <v>2</v>
      </c>
      <c r="M217" s="2258"/>
      <c r="N217" s="2735"/>
      <c r="O217" s="2760"/>
      <c r="P217" s="2719" t="e">
        <f>#REF!+#REF!</f>
        <v>#REF!</v>
      </c>
      <c r="Q217" s="2071">
        <f t="shared" si="41"/>
        <v>5778</v>
      </c>
      <c r="R217" s="2071" t="e">
        <f t="shared" si="47"/>
        <v>#REF!</v>
      </c>
      <c r="S217" s="2071"/>
      <c r="T217" s="2071" t="e">
        <f t="shared" si="53"/>
        <v>#REF!</v>
      </c>
      <c r="U217" s="2135">
        <v>5400</v>
      </c>
      <c r="V217" s="2135">
        <v>1.07</v>
      </c>
      <c r="W217" s="2071">
        <f t="shared" si="48"/>
        <v>6182.46</v>
      </c>
      <c r="X217" s="2071" t="e">
        <f t="shared" si="49"/>
        <v>#REF!</v>
      </c>
      <c r="Y217" s="2071"/>
      <c r="Z217" s="2071" t="e">
        <f t="shared" si="45"/>
        <v>#REF!</v>
      </c>
      <c r="AA217" s="2071">
        <f t="shared" si="50"/>
        <v>6615.23</v>
      </c>
      <c r="AB217" s="2071" t="e">
        <f t="shared" si="51"/>
        <v>#REF!</v>
      </c>
      <c r="AC217" s="2071"/>
      <c r="AD217" s="2071" t="e">
        <f t="shared" si="46"/>
        <v>#REF!</v>
      </c>
    </row>
    <row r="218" spans="1:30" ht="24">
      <c r="A218" s="2074">
        <v>209</v>
      </c>
      <c r="B218" s="2068" t="s">
        <v>2532</v>
      </c>
      <c r="C218" s="1699" t="s">
        <v>2533</v>
      </c>
      <c r="D218" s="2068" t="s">
        <v>1119</v>
      </c>
      <c r="E218" s="2068">
        <v>16815.8</v>
      </c>
      <c r="F218" s="2071"/>
      <c r="G218" s="2071">
        <f t="shared" si="52"/>
        <v>16815.8</v>
      </c>
      <c r="H218" s="2071"/>
      <c r="I218" s="2071"/>
      <c r="J218" s="2071"/>
      <c r="K218" s="2071"/>
      <c r="L218" s="2068">
        <v>5</v>
      </c>
      <c r="M218" s="2258"/>
      <c r="N218" s="2735"/>
      <c r="O218" s="2760"/>
      <c r="P218" s="2719" t="e">
        <f>#REF!+#REF!</f>
        <v>#REF!</v>
      </c>
      <c r="Q218" s="2071">
        <f t="shared" si="41"/>
        <v>267.5</v>
      </c>
      <c r="R218" s="2071" t="e">
        <f t="shared" si="47"/>
        <v>#REF!</v>
      </c>
      <c r="S218" s="2071"/>
      <c r="T218" s="2071" t="e">
        <f t="shared" si="53"/>
        <v>#REF!</v>
      </c>
      <c r="U218" s="2135">
        <v>250</v>
      </c>
      <c r="V218" s="2135">
        <v>1.07</v>
      </c>
      <c r="W218" s="2071">
        <f t="shared" si="48"/>
        <v>286.23</v>
      </c>
      <c r="X218" s="2071" t="e">
        <f t="shared" si="49"/>
        <v>#REF!</v>
      </c>
      <c r="Y218" s="2071"/>
      <c r="Z218" s="2071" t="e">
        <f t="shared" si="45"/>
        <v>#REF!</v>
      </c>
      <c r="AA218" s="2071">
        <f t="shared" si="50"/>
        <v>306.27</v>
      </c>
      <c r="AB218" s="2071" t="e">
        <f t="shared" si="51"/>
        <v>#REF!</v>
      </c>
      <c r="AC218" s="2071"/>
      <c r="AD218" s="2071" t="e">
        <f t="shared" si="46"/>
        <v>#REF!</v>
      </c>
    </row>
    <row r="219" spans="1:30" ht="24">
      <c r="A219" s="2074">
        <v>210</v>
      </c>
      <c r="B219" s="2068" t="s">
        <v>2534</v>
      </c>
      <c r="C219" s="1699" t="s">
        <v>2535</v>
      </c>
      <c r="D219" s="2068" t="s">
        <v>2253</v>
      </c>
      <c r="E219" s="2068">
        <v>16815.8</v>
      </c>
      <c r="F219" s="2071"/>
      <c r="G219" s="2071">
        <f t="shared" si="52"/>
        <v>16815.8</v>
      </c>
      <c r="H219" s="2071"/>
      <c r="I219" s="2071"/>
      <c r="J219" s="2071"/>
      <c r="K219" s="2071"/>
      <c r="L219" s="2068">
        <v>5</v>
      </c>
      <c r="M219" s="2258"/>
      <c r="N219" s="2735"/>
      <c r="O219" s="2760"/>
      <c r="P219" s="2719" t="e">
        <f>#REF!+#REF!</f>
        <v>#REF!</v>
      </c>
      <c r="Q219" s="2071">
        <f t="shared" si="41"/>
        <v>428</v>
      </c>
      <c r="R219" s="2071" t="e">
        <f t="shared" si="47"/>
        <v>#REF!</v>
      </c>
      <c r="S219" s="2071"/>
      <c r="T219" s="2071" t="e">
        <f t="shared" si="53"/>
        <v>#REF!</v>
      </c>
      <c r="U219" s="2135">
        <v>400</v>
      </c>
      <c r="V219" s="2135">
        <v>1.07</v>
      </c>
      <c r="W219" s="2071">
        <f t="shared" si="48"/>
        <v>457.96</v>
      </c>
      <c r="X219" s="2071" t="e">
        <f t="shared" si="49"/>
        <v>#REF!</v>
      </c>
      <c r="Y219" s="2071"/>
      <c r="Z219" s="2071" t="e">
        <f t="shared" si="45"/>
        <v>#REF!</v>
      </c>
      <c r="AA219" s="2071">
        <f t="shared" si="50"/>
        <v>490.02</v>
      </c>
      <c r="AB219" s="2071" t="e">
        <f t="shared" si="51"/>
        <v>#REF!</v>
      </c>
      <c r="AC219" s="2071"/>
      <c r="AD219" s="2071" t="e">
        <f t="shared" si="46"/>
        <v>#REF!</v>
      </c>
    </row>
    <row r="220" spans="1:30" ht="24">
      <c r="A220" s="2074">
        <v>211</v>
      </c>
      <c r="B220" s="2068" t="s">
        <v>2536</v>
      </c>
      <c r="C220" s="1699" t="s">
        <v>2537</v>
      </c>
      <c r="D220" s="2068" t="s">
        <v>2253</v>
      </c>
      <c r="E220" s="2068">
        <v>16815.8</v>
      </c>
      <c r="F220" s="2071"/>
      <c r="G220" s="2071">
        <f t="shared" si="52"/>
        <v>16815.8</v>
      </c>
      <c r="H220" s="2071"/>
      <c r="I220" s="2071"/>
      <c r="J220" s="2071"/>
      <c r="K220" s="2071"/>
      <c r="L220" s="2068">
        <v>5</v>
      </c>
      <c r="M220" s="2258"/>
      <c r="N220" s="2735"/>
      <c r="O220" s="2760"/>
      <c r="P220" s="2719" t="e">
        <f>#REF!+#REF!</f>
        <v>#REF!</v>
      </c>
      <c r="Q220" s="2071">
        <f t="shared" si="41"/>
        <v>428</v>
      </c>
      <c r="R220" s="2071" t="e">
        <f t="shared" si="47"/>
        <v>#REF!</v>
      </c>
      <c r="S220" s="2071"/>
      <c r="T220" s="2071" t="e">
        <f t="shared" si="53"/>
        <v>#REF!</v>
      </c>
      <c r="U220" s="2135">
        <v>400</v>
      </c>
      <c r="V220" s="2135">
        <v>1.07</v>
      </c>
      <c r="W220" s="2071">
        <f t="shared" si="48"/>
        <v>457.96</v>
      </c>
      <c r="X220" s="2071" t="e">
        <f t="shared" si="49"/>
        <v>#REF!</v>
      </c>
      <c r="Y220" s="2071"/>
      <c r="Z220" s="2071" t="e">
        <f t="shared" si="45"/>
        <v>#REF!</v>
      </c>
      <c r="AA220" s="2071">
        <f t="shared" si="50"/>
        <v>490.02</v>
      </c>
      <c r="AB220" s="2071" t="e">
        <f t="shared" si="51"/>
        <v>#REF!</v>
      </c>
      <c r="AC220" s="2071"/>
      <c r="AD220" s="2071" t="e">
        <f t="shared" si="46"/>
        <v>#REF!</v>
      </c>
    </row>
    <row r="221" spans="1:30" ht="24">
      <c r="A221" s="2074">
        <v>212</v>
      </c>
      <c r="B221" s="2068" t="s">
        <v>2538</v>
      </c>
      <c r="C221" s="2068" t="s">
        <v>2539</v>
      </c>
      <c r="D221" s="2068" t="s">
        <v>2253</v>
      </c>
      <c r="E221" s="2068">
        <v>16815.8</v>
      </c>
      <c r="F221" s="2071"/>
      <c r="G221" s="2071">
        <f t="shared" si="52"/>
        <v>16815.8</v>
      </c>
      <c r="H221" s="2071"/>
      <c r="I221" s="2071"/>
      <c r="J221" s="2071"/>
      <c r="K221" s="2071"/>
      <c r="L221" s="2068">
        <v>5</v>
      </c>
      <c r="M221" s="2258"/>
      <c r="N221" s="2735"/>
      <c r="O221" s="2760"/>
      <c r="P221" s="2719" t="e">
        <f>#REF!+#REF!</f>
        <v>#REF!</v>
      </c>
      <c r="Q221" s="2071">
        <f t="shared" si="41"/>
        <v>428</v>
      </c>
      <c r="R221" s="2071" t="e">
        <f t="shared" si="47"/>
        <v>#REF!</v>
      </c>
      <c r="S221" s="2071"/>
      <c r="T221" s="2071" t="e">
        <f t="shared" si="53"/>
        <v>#REF!</v>
      </c>
      <c r="U221" s="2135">
        <v>400</v>
      </c>
      <c r="V221" s="2135">
        <v>1.07</v>
      </c>
      <c r="W221" s="2071">
        <f t="shared" si="48"/>
        <v>457.96</v>
      </c>
      <c r="X221" s="2071" t="e">
        <f t="shared" si="49"/>
        <v>#REF!</v>
      </c>
      <c r="Y221" s="2071"/>
      <c r="Z221" s="2071" t="e">
        <f t="shared" si="45"/>
        <v>#REF!</v>
      </c>
      <c r="AA221" s="2071">
        <f t="shared" si="50"/>
        <v>490.02</v>
      </c>
      <c r="AB221" s="2071" t="e">
        <f t="shared" si="51"/>
        <v>#REF!</v>
      </c>
      <c r="AC221" s="2071"/>
      <c r="AD221" s="2071" t="e">
        <f t="shared" si="46"/>
        <v>#REF!</v>
      </c>
    </row>
    <row r="222" spans="1:30" ht="24">
      <c r="A222" s="2074">
        <v>213</v>
      </c>
      <c r="B222" s="2068" t="s">
        <v>2540</v>
      </c>
      <c r="C222" s="2068" t="s">
        <v>2541</v>
      </c>
      <c r="D222" s="2068" t="s">
        <v>2253</v>
      </c>
      <c r="E222" s="2068">
        <v>16815.8</v>
      </c>
      <c r="F222" s="2071"/>
      <c r="G222" s="2071">
        <f t="shared" si="52"/>
        <v>16815.8</v>
      </c>
      <c r="H222" s="2071"/>
      <c r="I222" s="2071"/>
      <c r="J222" s="2071"/>
      <c r="K222" s="2071"/>
      <c r="L222" s="2068">
        <v>5</v>
      </c>
      <c r="M222" s="2258"/>
      <c r="N222" s="2735"/>
      <c r="O222" s="2760"/>
      <c r="P222" s="2719" t="e">
        <f>#REF!+#REF!</f>
        <v>#REF!</v>
      </c>
      <c r="Q222" s="2071">
        <f t="shared" si="41"/>
        <v>535</v>
      </c>
      <c r="R222" s="2071" t="e">
        <f t="shared" si="47"/>
        <v>#REF!</v>
      </c>
      <c r="S222" s="2071"/>
      <c r="T222" s="2071" t="e">
        <f t="shared" si="53"/>
        <v>#REF!</v>
      </c>
      <c r="U222" s="2135">
        <v>500</v>
      </c>
      <c r="V222" s="2135">
        <v>1.07</v>
      </c>
      <c r="W222" s="2071">
        <f t="shared" si="48"/>
        <v>572.45000000000005</v>
      </c>
      <c r="X222" s="2071" t="e">
        <f t="shared" si="49"/>
        <v>#REF!</v>
      </c>
      <c r="Y222" s="2071"/>
      <c r="Z222" s="2071" t="e">
        <f t="shared" si="45"/>
        <v>#REF!</v>
      </c>
      <c r="AA222" s="2071">
        <f t="shared" si="50"/>
        <v>612.52</v>
      </c>
      <c r="AB222" s="2071" t="e">
        <f t="shared" si="51"/>
        <v>#REF!</v>
      </c>
      <c r="AC222" s="2071"/>
      <c r="AD222" s="2071" t="e">
        <f t="shared" si="46"/>
        <v>#REF!</v>
      </c>
    </row>
    <row r="223" spans="1:30">
      <c r="A223" s="2074">
        <v>214</v>
      </c>
      <c r="B223" s="2068" t="s">
        <v>2542</v>
      </c>
      <c r="C223" s="2068" t="s">
        <v>2543</v>
      </c>
      <c r="D223" s="2068" t="s">
        <v>1022</v>
      </c>
      <c r="E223" s="2068">
        <v>16815.8</v>
      </c>
      <c r="F223" s="2071"/>
      <c r="G223" s="2071">
        <f t="shared" si="52"/>
        <v>16815.8</v>
      </c>
      <c r="H223" s="2071"/>
      <c r="I223" s="2071"/>
      <c r="J223" s="2071"/>
      <c r="K223" s="2071"/>
      <c r="L223" s="2068">
        <v>10</v>
      </c>
      <c r="M223" s="2258"/>
      <c r="N223" s="2735"/>
      <c r="O223" s="2760"/>
      <c r="P223" s="2719" t="e">
        <f>#REF!+#REF!</f>
        <v>#REF!</v>
      </c>
      <c r="Q223" s="2071">
        <f t="shared" si="41"/>
        <v>1605</v>
      </c>
      <c r="R223" s="2071" t="e">
        <f t="shared" si="47"/>
        <v>#REF!</v>
      </c>
      <c r="S223" s="2071"/>
      <c r="T223" s="2071" t="e">
        <f t="shared" si="53"/>
        <v>#REF!</v>
      </c>
      <c r="U223" s="2135">
        <v>1500</v>
      </c>
      <c r="V223" s="2135">
        <v>1.07</v>
      </c>
      <c r="W223" s="2071">
        <f t="shared" si="48"/>
        <v>1717.35</v>
      </c>
      <c r="X223" s="2071" t="e">
        <f t="shared" si="49"/>
        <v>#REF!</v>
      </c>
      <c r="Y223" s="2071"/>
      <c r="Z223" s="2071" t="e">
        <f t="shared" si="45"/>
        <v>#REF!</v>
      </c>
      <c r="AA223" s="2071">
        <f t="shared" si="50"/>
        <v>1837.56</v>
      </c>
      <c r="AB223" s="2071" t="e">
        <f t="shared" si="51"/>
        <v>#REF!</v>
      </c>
      <c r="AC223" s="2071"/>
      <c r="AD223" s="2071" t="e">
        <f t="shared" si="46"/>
        <v>#REF!</v>
      </c>
    </row>
    <row r="224" spans="1:30">
      <c r="A224" s="2074">
        <v>215</v>
      </c>
      <c r="B224" s="2068" t="s">
        <v>2544</v>
      </c>
      <c r="C224" s="2068" t="s">
        <v>2545</v>
      </c>
      <c r="D224" s="2068" t="s">
        <v>1022</v>
      </c>
      <c r="E224" s="2068">
        <v>16815.8</v>
      </c>
      <c r="F224" s="2071"/>
      <c r="G224" s="2071">
        <f t="shared" si="52"/>
        <v>16815.8</v>
      </c>
      <c r="H224" s="2071"/>
      <c r="I224" s="2071"/>
      <c r="J224" s="2071"/>
      <c r="K224" s="2071"/>
      <c r="L224" s="2068">
        <v>10</v>
      </c>
      <c r="M224" s="2258"/>
      <c r="N224" s="2735"/>
      <c r="O224" s="2760"/>
      <c r="P224" s="2719" t="e">
        <f>#REF!+#REF!</f>
        <v>#REF!</v>
      </c>
      <c r="Q224" s="2071">
        <f t="shared" si="41"/>
        <v>3210</v>
      </c>
      <c r="R224" s="2071" t="e">
        <f t="shared" si="47"/>
        <v>#REF!</v>
      </c>
      <c r="S224" s="2071"/>
      <c r="T224" s="2071" t="e">
        <f t="shared" si="53"/>
        <v>#REF!</v>
      </c>
      <c r="U224" s="2135">
        <v>3000</v>
      </c>
      <c r="V224" s="2135">
        <v>1.07</v>
      </c>
      <c r="W224" s="2071">
        <f t="shared" si="48"/>
        <v>3434.7</v>
      </c>
      <c r="X224" s="2071" t="e">
        <f t="shared" si="49"/>
        <v>#REF!</v>
      </c>
      <c r="Y224" s="2071"/>
      <c r="Z224" s="2071" t="e">
        <f t="shared" si="45"/>
        <v>#REF!</v>
      </c>
      <c r="AA224" s="2071">
        <f t="shared" si="50"/>
        <v>3675.13</v>
      </c>
      <c r="AB224" s="2071" t="e">
        <f t="shared" si="51"/>
        <v>#REF!</v>
      </c>
      <c r="AC224" s="2071"/>
      <c r="AD224" s="2071" t="e">
        <f t="shared" si="46"/>
        <v>#REF!</v>
      </c>
    </row>
    <row r="225" spans="1:30">
      <c r="A225" s="2074">
        <v>216</v>
      </c>
      <c r="B225" s="2068" t="s">
        <v>2546</v>
      </c>
      <c r="C225" s="2068" t="s">
        <v>2547</v>
      </c>
      <c r="D225" s="2068" t="s">
        <v>1022</v>
      </c>
      <c r="E225" s="2068">
        <v>16815.8</v>
      </c>
      <c r="F225" s="2071"/>
      <c r="G225" s="2071">
        <f t="shared" si="52"/>
        <v>16815.8</v>
      </c>
      <c r="H225" s="2071"/>
      <c r="I225" s="2071"/>
      <c r="J225" s="2071"/>
      <c r="K225" s="2071"/>
      <c r="L225" s="2068">
        <v>20</v>
      </c>
      <c r="M225" s="2258"/>
      <c r="N225" s="2735"/>
      <c r="O225" s="2760"/>
      <c r="P225" s="2719" t="e">
        <f>#REF!+#REF!</f>
        <v>#REF!</v>
      </c>
      <c r="Q225" s="2071">
        <f t="shared" si="41"/>
        <v>535</v>
      </c>
      <c r="R225" s="2071" t="e">
        <f t="shared" si="47"/>
        <v>#REF!</v>
      </c>
      <c r="S225" s="2071"/>
      <c r="T225" s="2071" t="e">
        <f t="shared" si="53"/>
        <v>#REF!</v>
      </c>
      <c r="U225" s="2135">
        <v>500</v>
      </c>
      <c r="V225" s="2135">
        <v>1.07</v>
      </c>
      <c r="W225" s="2071">
        <f t="shared" si="48"/>
        <v>572.45000000000005</v>
      </c>
      <c r="X225" s="2071" t="e">
        <f t="shared" si="49"/>
        <v>#REF!</v>
      </c>
      <c r="Y225" s="2071"/>
      <c r="Z225" s="2071" t="e">
        <f t="shared" si="45"/>
        <v>#REF!</v>
      </c>
      <c r="AA225" s="2071">
        <f t="shared" si="50"/>
        <v>612.52</v>
      </c>
      <c r="AB225" s="2071" t="e">
        <f t="shared" si="51"/>
        <v>#REF!</v>
      </c>
      <c r="AC225" s="2071"/>
      <c r="AD225" s="2071" t="e">
        <f t="shared" si="46"/>
        <v>#REF!</v>
      </c>
    </row>
    <row r="226" spans="1:30">
      <c r="A226" s="2074">
        <v>217</v>
      </c>
      <c r="B226" s="2068" t="s">
        <v>2548</v>
      </c>
      <c r="C226" s="2068" t="s">
        <v>2549</v>
      </c>
      <c r="D226" s="2068" t="s">
        <v>1587</v>
      </c>
      <c r="E226" s="2068">
        <v>16815.8</v>
      </c>
      <c r="F226" s="2071"/>
      <c r="G226" s="2071">
        <f t="shared" si="52"/>
        <v>16815.8</v>
      </c>
      <c r="H226" s="2071"/>
      <c r="I226" s="2071"/>
      <c r="J226" s="2071"/>
      <c r="K226" s="2071"/>
      <c r="L226" s="2068">
        <v>1</v>
      </c>
      <c r="M226" s="2258"/>
      <c r="N226" s="2735"/>
      <c r="O226" s="2760"/>
      <c r="P226" s="2719" t="e">
        <f>#REF!+#REF!</f>
        <v>#REF!</v>
      </c>
      <c r="Q226" s="2071">
        <f t="shared" si="41"/>
        <v>2675</v>
      </c>
      <c r="R226" s="2071" t="e">
        <f t="shared" si="47"/>
        <v>#REF!</v>
      </c>
      <c r="S226" s="2071"/>
      <c r="T226" s="2071" t="e">
        <f t="shared" si="53"/>
        <v>#REF!</v>
      </c>
      <c r="U226" s="2135">
        <v>2500</v>
      </c>
      <c r="V226" s="2135">
        <v>1.07</v>
      </c>
      <c r="W226" s="2071">
        <f t="shared" si="48"/>
        <v>2862.25</v>
      </c>
      <c r="X226" s="2071" t="e">
        <f t="shared" si="49"/>
        <v>#REF!</v>
      </c>
      <c r="Y226" s="2071"/>
      <c r="Z226" s="2071" t="e">
        <f t="shared" si="45"/>
        <v>#REF!</v>
      </c>
      <c r="AA226" s="2071">
        <f t="shared" si="50"/>
        <v>3062.61</v>
      </c>
      <c r="AB226" s="2071" t="e">
        <f t="shared" si="51"/>
        <v>#REF!</v>
      </c>
      <c r="AC226" s="2071"/>
      <c r="AD226" s="2071" t="e">
        <f t="shared" si="46"/>
        <v>#REF!</v>
      </c>
    </row>
    <row r="227" spans="1:30">
      <c r="A227" s="2074">
        <v>218</v>
      </c>
      <c r="B227" s="2068" t="s">
        <v>1901</v>
      </c>
      <c r="C227" s="2068" t="s">
        <v>2550</v>
      </c>
      <c r="D227" s="2068" t="s">
        <v>1022</v>
      </c>
      <c r="E227" s="2068">
        <v>16815.8</v>
      </c>
      <c r="F227" s="2071"/>
      <c r="G227" s="2071">
        <f t="shared" si="52"/>
        <v>16815.8</v>
      </c>
      <c r="H227" s="2071"/>
      <c r="I227" s="2071"/>
      <c r="J227" s="2071"/>
      <c r="K227" s="2071"/>
      <c r="L227" s="2068">
        <v>10</v>
      </c>
      <c r="M227" s="2258"/>
      <c r="N227" s="2735"/>
      <c r="O227" s="2760"/>
      <c r="P227" s="2719" t="e">
        <f>#REF!+#REF!</f>
        <v>#REF!</v>
      </c>
      <c r="Q227" s="2071">
        <f t="shared" si="41"/>
        <v>428</v>
      </c>
      <c r="R227" s="2071" t="e">
        <f t="shared" si="47"/>
        <v>#REF!</v>
      </c>
      <c r="S227" s="2071"/>
      <c r="T227" s="2071" t="e">
        <f t="shared" si="53"/>
        <v>#REF!</v>
      </c>
      <c r="U227" s="2135">
        <v>400</v>
      </c>
      <c r="V227" s="2135">
        <v>1.07</v>
      </c>
      <c r="W227" s="2071">
        <f t="shared" si="48"/>
        <v>457.96</v>
      </c>
      <c r="X227" s="2071" t="e">
        <f t="shared" si="49"/>
        <v>#REF!</v>
      </c>
      <c r="Y227" s="2071"/>
      <c r="Z227" s="2071" t="e">
        <f t="shared" si="45"/>
        <v>#REF!</v>
      </c>
      <c r="AA227" s="2071">
        <f t="shared" si="50"/>
        <v>490.02</v>
      </c>
      <c r="AB227" s="2071" t="e">
        <f t="shared" si="51"/>
        <v>#REF!</v>
      </c>
      <c r="AC227" s="2071"/>
      <c r="AD227" s="2071" t="e">
        <f t="shared" si="46"/>
        <v>#REF!</v>
      </c>
    </row>
    <row r="228" spans="1:30">
      <c r="A228" s="2074">
        <v>219</v>
      </c>
      <c r="B228" s="2068" t="s">
        <v>2551</v>
      </c>
      <c r="C228" s="2068" t="s">
        <v>2552</v>
      </c>
      <c r="D228" s="2068" t="s">
        <v>1022</v>
      </c>
      <c r="E228" s="2068">
        <v>16815.8</v>
      </c>
      <c r="F228" s="2071"/>
      <c r="G228" s="2071">
        <f t="shared" si="52"/>
        <v>16815.8</v>
      </c>
      <c r="H228" s="2071"/>
      <c r="I228" s="2071"/>
      <c r="J228" s="2071"/>
      <c r="K228" s="2071"/>
      <c r="L228" s="2068">
        <v>5</v>
      </c>
      <c r="M228" s="2258"/>
      <c r="N228" s="2735"/>
      <c r="O228" s="2760"/>
      <c r="P228" s="2719" t="e">
        <f>#REF!+#REF!</f>
        <v>#REF!</v>
      </c>
      <c r="Q228" s="2071">
        <f t="shared" si="41"/>
        <v>3745</v>
      </c>
      <c r="R228" s="2071" t="e">
        <f t="shared" si="47"/>
        <v>#REF!</v>
      </c>
      <c r="S228" s="2071"/>
      <c r="T228" s="2071" t="e">
        <f t="shared" si="53"/>
        <v>#REF!</v>
      </c>
      <c r="U228" s="2135">
        <v>3500</v>
      </c>
      <c r="V228" s="2135">
        <v>1.07</v>
      </c>
      <c r="W228" s="2071">
        <f t="shared" si="48"/>
        <v>4007.15</v>
      </c>
      <c r="X228" s="2071" t="e">
        <f t="shared" si="49"/>
        <v>#REF!</v>
      </c>
      <c r="Y228" s="2071"/>
      <c r="Z228" s="2071" t="e">
        <f t="shared" si="45"/>
        <v>#REF!</v>
      </c>
      <c r="AA228" s="2071">
        <f t="shared" si="50"/>
        <v>4287.6499999999996</v>
      </c>
      <c r="AB228" s="2071" t="e">
        <f t="shared" si="51"/>
        <v>#REF!</v>
      </c>
      <c r="AC228" s="2071"/>
      <c r="AD228" s="2071" t="e">
        <f t="shared" si="46"/>
        <v>#REF!</v>
      </c>
    </row>
    <row r="229" spans="1:30">
      <c r="A229" s="2074">
        <v>220</v>
      </c>
      <c r="B229" s="2068" t="s">
        <v>2551</v>
      </c>
      <c r="C229" s="2068" t="s">
        <v>2553</v>
      </c>
      <c r="D229" s="2068" t="s">
        <v>1022</v>
      </c>
      <c r="E229" s="2068">
        <v>16815.8</v>
      </c>
      <c r="F229" s="2071"/>
      <c r="G229" s="2071">
        <f t="shared" si="52"/>
        <v>16815.8</v>
      </c>
      <c r="H229" s="2071"/>
      <c r="I229" s="2071"/>
      <c r="J229" s="2071"/>
      <c r="K229" s="2071"/>
      <c r="L229" s="2068">
        <v>5</v>
      </c>
      <c r="M229" s="2258"/>
      <c r="N229" s="2735"/>
      <c r="O229" s="2760"/>
      <c r="P229" s="2719" t="e">
        <f>#REF!+#REF!</f>
        <v>#REF!</v>
      </c>
      <c r="Q229" s="2071">
        <f t="shared" si="41"/>
        <v>2996</v>
      </c>
      <c r="R229" s="2071" t="e">
        <f t="shared" si="47"/>
        <v>#REF!</v>
      </c>
      <c r="S229" s="2071"/>
      <c r="T229" s="2071" t="e">
        <f t="shared" si="53"/>
        <v>#REF!</v>
      </c>
      <c r="U229" s="2135">
        <v>2800</v>
      </c>
      <c r="V229" s="2135">
        <v>1.07</v>
      </c>
      <c r="W229" s="2071">
        <f t="shared" si="48"/>
        <v>3205.72</v>
      </c>
      <c r="X229" s="2071" t="e">
        <f t="shared" si="49"/>
        <v>#REF!</v>
      </c>
      <c r="Y229" s="2071"/>
      <c r="Z229" s="2071" t="e">
        <f t="shared" si="45"/>
        <v>#REF!</v>
      </c>
      <c r="AA229" s="2071">
        <f t="shared" si="50"/>
        <v>3430.12</v>
      </c>
      <c r="AB229" s="2071" t="e">
        <f t="shared" si="51"/>
        <v>#REF!</v>
      </c>
      <c r="AC229" s="2071"/>
      <c r="AD229" s="2071" t="e">
        <f t="shared" si="46"/>
        <v>#REF!</v>
      </c>
    </row>
    <row r="230" spans="1:30">
      <c r="A230" s="2074">
        <v>221</v>
      </c>
      <c r="B230" s="2068" t="e">
        <f>хозАДМ!#REF!</f>
        <v>#REF!</v>
      </c>
      <c r="C230" s="2068" t="e">
        <f>хозАДМ!#REF!</f>
        <v>#REF!</v>
      </c>
      <c r="D230" s="2068"/>
      <c r="E230" s="2068"/>
      <c r="F230" s="2071"/>
      <c r="G230" s="2071"/>
      <c r="H230" s="2071"/>
      <c r="I230" s="2071"/>
      <c r="J230" s="2071"/>
      <c r="K230" s="2071"/>
      <c r="L230" s="2068"/>
      <c r="M230" s="2258"/>
      <c r="N230" s="2735"/>
      <c r="O230" s="2760"/>
      <c r="P230" s="2719" t="e">
        <f>хозАДМ!#REF!</f>
        <v>#REF!</v>
      </c>
      <c r="Q230" s="2071" t="e">
        <f>хозАДМ!#REF!</f>
        <v>#REF!</v>
      </c>
      <c r="R230" s="2071" t="e">
        <f>ROUND(P230*Q230,0)</f>
        <v>#REF!</v>
      </c>
      <c r="S230" s="2071"/>
      <c r="T230" s="2071" t="e">
        <f t="shared" si="53"/>
        <v>#REF!</v>
      </c>
      <c r="U230" s="2135"/>
      <c r="V230" s="2135"/>
      <c r="W230" s="2141" t="e">
        <f t="shared" si="48"/>
        <v>#REF!</v>
      </c>
      <c r="X230" s="2141" t="e">
        <f t="shared" si="49"/>
        <v>#REF!</v>
      </c>
      <c r="Y230" s="2141"/>
      <c r="Z230" s="2141" t="e">
        <f t="shared" si="45"/>
        <v>#REF!</v>
      </c>
      <c r="AA230" s="2141" t="e">
        <f t="shared" si="50"/>
        <v>#REF!</v>
      </c>
      <c r="AB230" s="2141" t="e">
        <f t="shared" si="51"/>
        <v>#REF!</v>
      </c>
      <c r="AC230" s="2141"/>
      <c r="AD230" s="2141" t="e">
        <f t="shared" si="46"/>
        <v>#REF!</v>
      </c>
    </row>
    <row r="231" spans="1:30" ht="12.75">
      <c r="A231" s="2074">
        <v>222</v>
      </c>
      <c r="B231" s="2068" t="s">
        <v>2554</v>
      </c>
      <c r="C231" s="2068"/>
      <c r="D231" s="2071" t="s">
        <v>1022</v>
      </c>
      <c r="E231" s="2127">
        <v>4080.2</v>
      </c>
      <c r="F231" s="2071"/>
      <c r="G231" s="2071">
        <f t="shared" ref="G231:G249" si="54">E231</f>
        <v>4080.2</v>
      </c>
      <c r="H231" s="2071"/>
      <c r="I231" s="2071"/>
      <c r="J231" s="2071"/>
      <c r="K231" s="2071"/>
      <c r="L231" s="2071">
        <v>2</v>
      </c>
      <c r="M231" s="2071"/>
      <c r="N231" s="2735"/>
      <c r="O231" s="2760"/>
      <c r="P231" s="1728">
        <f t="shared" ref="P231:P246" si="55">ROUND((L231-O231)/2,0)</f>
        <v>1</v>
      </c>
      <c r="Q231" s="1664">
        <v>58850</v>
      </c>
      <c r="R231" s="2071">
        <f t="shared" ref="R231:R294" si="56">ROUND(P231*Q231,0)</f>
        <v>58850</v>
      </c>
      <c r="S231" s="2071"/>
      <c r="T231" s="2071">
        <f t="shared" si="53"/>
        <v>58850</v>
      </c>
      <c r="U231" s="2135"/>
      <c r="V231" s="2135"/>
      <c r="W231" s="2141"/>
      <c r="X231" s="2141"/>
      <c r="Y231" s="2141"/>
      <c r="Z231" s="2141"/>
      <c r="AA231" s="2141"/>
      <c r="AB231" s="2141"/>
      <c r="AC231" s="2141"/>
      <c r="AD231" s="2141"/>
    </row>
    <row r="232" spans="1:30" ht="12.75">
      <c r="A232" s="2074">
        <v>223</v>
      </c>
      <c r="B232" s="2068" t="s">
        <v>2555</v>
      </c>
      <c r="C232" s="2068"/>
      <c r="D232" s="2071" t="s">
        <v>1022</v>
      </c>
      <c r="E232" s="2127">
        <v>4080.2</v>
      </c>
      <c r="F232" s="2071"/>
      <c r="G232" s="2071">
        <f t="shared" si="54"/>
        <v>4080.2</v>
      </c>
      <c r="H232" s="2071"/>
      <c r="I232" s="2071"/>
      <c r="J232" s="2071"/>
      <c r="K232" s="2071"/>
      <c r="L232" s="2071">
        <v>2</v>
      </c>
      <c r="M232" s="2071"/>
      <c r="N232" s="2735"/>
      <c r="O232" s="2760"/>
      <c r="P232" s="1728">
        <f t="shared" si="55"/>
        <v>1</v>
      </c>
      <c r="Q232" s="1664">
        <v>128400</v>
      </c>
      <c r="R232" s="2071">
        <f t="shared" si="56"/>
        <v>128400</v>
      </c>
      <c r="S232" s="2071"/>
      <c r="T232" s="2071">
        <f t="shared" si="53"/>
        <v>128400</v>
      </c>
      <c r="U232" s="2135"/>
      <c r="V232" s="2135"/>
      <c r="W232" s="2141"/>
      <c r="X232" s="2141"/>
      <c r="Y232" s="2141"/>
      <c r="Z232" s="2141"/>
      <c r="AA232" s="2141"/>
      <c r="AB232" s="2141"/>
      <c r="AC232" s="2141"/>
      <c r="AD232" s="2141"/>
    </row>
    <row r="233" spans="1:30" ht="12.75">
      <c r="A233" s="2074">
        <v>224</v>
      </c>
      <c r="B233" s="2068" t="s">
        <v>2556</v>
      </c>
      <c r="C233" s="2068"/>
      <c r="D233" s="2071" t="s">
        <v>1022</v>
      </c>
      <c r="E233" s="2127">
        <v>4080.2</v>
      </c>
      <c r="F233" s="2071"/>
      <c r="G233" s="2071">
        <f t="shared" si="54"/>
        <v>4080.2</v>
      </c>
      <c r="H233" s="2071"/>
      <c r="I233" s="2071"/>
      <c r="J233" s="2071"/>
      <c r="K233" s="2071"/>
      <c r="L233" s="2071">
        <v>1</v>
      </c>
      <c r="M233" s="2071"/>
      <c r="N233" s="2735"/>
      <c r="O233" s="2760"/>
      <c r="P233" s="1728">
        <f t="shared" si="55"/>
        <v>1</v>
      </c>
      <c r="Q233" s="1664">
        <v>32742</v>
      </c>
      <c r="R233" s="2071">
        <f t="shared" si="56"/>
        <v>32742</v>
      </c>
      <c r="S233" s="2071"/>
      <c r="T233" s="2071">
        <f t="shared" si="53"/>
        <v>32742</v>
      </c>
      <c r="U233" s="2135"/>
      <c r="V233" s="2135"/>
      <c r="W233" s="2141"/>
      <c r="X233" s="2141"/>
      <c r="Y233" s="2141"/>
      <c r="Z233" s="2141"/>
      <c r="AA233" s="2141"/>
      <c r="AB233" s="2141"/>
      <c r="AC233" s="2141"/>
      <c r="AD233" s="2141"/>
    </row>
    <row r="234" spans="1:30" ht="24">
      <c r="A234" s="2074">
        <v>225</v>
      </c>
      <c r="B234" s="2068" t="s">
        <v>2557</v>
      </c>
      <c r="C234" s="2068"/>
      <c r="D234" s="2071" t="s">
        <v>1022</v>
      </c>
      <c r="E234" s="2127">
        <v>4080.2</v>
      </c>
      <c r="F234" s="2071"/>
      <c r="G234" s="2071">
        <f t="shared" si="54"/>
        <v>4080.2</v>
      </c>
      <c r="H234" s="2071"/>
      <c r="I234" s="2071"/>
      <c r="J234" s="2071"/>
      <c r="K234" s="2071"/>
      <c r="L234" s="2071">
        <v>5</v>
      </c>
      <c r="M234" s="2071"/>
      <c r="N234" s="2735"/>
      <c r="O234" s="2760"/>
      <c r="P234" s="1728">
        <f t="shared" si="55"/>
        <v>3</v>
      </c>
      <c r="Q234" s="1664">
        <v>71690</v>
      </c>
      <c r="R234" s="2071">
        <f t="shared" si="56"/>
        <v>215070</v>
      </c>
      <c r="S234" s="2071"/>
      <c r="T234" s="2071">
        <f t="shared" si="53"/>
        <v>215070</v>
      </c>
      <c r="U234" s="2135"/>
      <c r="V234" s="2135"/>
      <c r="W234" s="2141"/>
      <c r="X234" s="2141"/>
      <c r="Y234" s="2141"/>
      <c r="Z234" s="2141"/>
      <c r="AA234" s="2141"/>
      <c r="AB234" s="2141"/>
      <c r="AC234" s="2141"/>
      <c r="AD234" s="2141"/>
    </row>
    <row r="235" spans="1:30" ht="12.75">
      <c r="A235" s="2074">
        <v>226</v>
      </c>
      <c r="B235" s="2068" t="s">
        <v>2558</v>
      </c>
      <c r="C235" s="2068"/>
      <c r="D235" s="2071" t="s">
        <v>1914</v>
      </c>
      <c r="E235" s="2127">
        <v>4080.2</v>
      </c>
      <c r="F235" s="2071"/>
      <c r="G235" s="2071">
        <f t="shared" si="54"/>
        <v>4080.2</v>
      </c>
      <c r="H235" s="2071"/>
      <c r="I235" s="2071"/>
      <c r="J235" s="2071"/>
      <c r="K235" s="2071"/>
      <c r="L235" s="2071">
        <v>4</v>
      </c>
      <c r="M235" s="2071"/>
      <c r="N235" s="2735"/>
      <c r="O235" s="2760"/>
      <c r="P235" s="1728">
        <f t="shared" si="55"/>
        <v>2</v>
      </c>
      <c r="Q235" s="1664">
        <v>146590</v>
      </c>
      <c r="R235" s="2071">
        <f t="shared" si="56"/>
        <v>293180</v>
      </c>
      <c r="S235" s="2071"/>
      <c r="T235" s="2071">
        <f t="shared" si="53"/>
        <v>293180</v>
      </c>
      <c r="U235" s="2135"/>
      <c r="V235" s="2135"/>
      <c r="W235" s="2141"/>
      <c r="X235" s="2141"/>
      <c r="Y235" s="2141"/>
      <c r="Z235" s="2141"/>
      <c r="AA235" s="2141"/>
      <c r="AB235" s="2141"/>
      <c r="AC235" s="2141"/>
      <c r="AD235" s="2141"/>
    </row>
    <row r="236" spans="1:30" ht="24">
      <c r="A236" s="2074">
        <v>227</v>
      </c>
      <c r="B236" s="2068" t="s">
        <v>2559</v>
      </c>
      <c r="C236" s="2068"/>
      <c r="D236" s="2071" t="s">
        <v>1022</v>
      </c>
      <c r="E236" s="2127">
        <v>4080.2</v>
      </c>
      <c r="F236" s="2071"/>
      <c r="G236" s="2071">
        <f t="shared" si="54"/>
        <v>4080.2</v>
      </c>
      <c r="H236" s="2071"/>
      <c r="I236" s="2071"/>
      <c r="J236" s="2071"/>
      <c r="K236" s="2071"/>
      <c r="L236" s="2071">
        <v>1</v>
      </c>
      <c r="M236" s="2071"/>
      <c r="N236" s="2735"/>
      <c r="O236" s="2760"/>
      <c r="P236" s="1728">
        <f t="shared" si="55"/>
        <v>1</v>
      </c>
      <c r="Q236" s="1664">
        <v>278200</v>
      </c>
      <c r="R236" s="2071">
        <f t="shared" si="56"/>
        <v>278200</v>
      </c>
      <c r="S236" s="2071"/>
      <c r="T236" s="2071">
        <f t="shared" si="53"/>
        <v>278200</v>
      </c>
      <c r="U236" s="2135"/>
      <c r="V236" s="2135"/>
      <c r="W236" s="2141"/>
      <c r="X236" s="2141"/>
      <c r="Y236" s="2141"/>
      <c r="Z236" s="2141"/>
      <c r="AA236" s="2141"/>
      <c r="AB236" s="2141"/>
      <c r="AC236" s="2141"/>
      <c r="AD236" s="2141"/>
    </row>
    <row r="237" spans="1:30" ht="24">
      <c r="A237" s="2074">
        <v>228</v>
      </c>
      <c r="B237" s="2068" t="s">
        <v>2560</v>
      </c>
      <c r="C237" s="2068"/>
      <c r="D237" s="2071" t="s">
        <v>1022</v>
      </c>
      <c r="E237" s="2127">
        <v>4080.2</v>
      </c>
      <c r="F237" s="2071"/>
      <c r="G237" s="2071">
        <f t="shared" si="54"/>
        <v>4080.2</v>
      </c>
      <c r="H237" s="2071"/>
      <c r="I237" s="2071"/>
      <c r="J237" s="2071"/>
      <c r="K237" s="2071"/>
      <c r="L237" s="2071">
        <v>1</v>
      </c>
      <c r="M237" s="2071"/>
      <c r="N237" s="2735"/>
      <c r="O237" s="2760"/>
      <c r="P237" s="1728">
        <f t="shared" si="55"/>
        <v>1</v>
      </c>
      <c r="Q237" s="1664">
        <v>90950</v>
      </c>
      <c r="R237" s="2071">
        <f t="shared" si="56"/>
        <v>90950</v>
      </c>
      <c r="S237" s="2071"/>
      <c r="T237" s="2071">
        <f t="shared" si="53"/>
        <v>90950</v>
      </c>
      <c r="U237" s="2135"/>
      <c r="V237" s="2135"/>
      <c r="W237" s="2141"/>
      <c r="X237" s="2141"/>
      <c r="Y237" s="2141"/>
      <c r="Z237" s="2141"/>
      <c r="AA237" s="2141"/>
      <c r="AB237" s="2141"/>
      <c r="AC237" s="2141"/>
      <c r="AD237" s="2141"/>
    </row>
    <row r="238" spans="1:30" ht="12.75">
      <c r="A238" s="2074">
        <v>229</v>
      </c>
      <c r="B238" s="2068" t="s">
        <v>2561</v>
      </c>
      <c r="C238" s="2068"/>
      <c r="D238" s="2071" t="s">
        <v>1022</v>
      </c>
      <c r="E238" s="2127">
        <v>4080.2</v>
      </c>
      <c r="F238" s="2071"/>
      <c r="G238" s="2071">
        <f t="shared" si="54"/>
        <v>4080.2</v>
      </c>
      <c r="H238" s="2071"/>
      <c r="I238" s="2071"/>
      <c r="J238" s="2071"/>
      <c r="K238" s="2071"/>
      <c r="L238" s="2071">
        <v>2</v>
      </c>
      <c r="M238" s="2071"/>
      <c r="N238" s="2735"/>
      <c r="O238" s="2760"/>
      <c r="P238" s="1728">
        <f t="shared" si="55"/>
        <v>1</v>
      </c>
      <c r="Q238" s="1664">
        <v>47615</v>
      </c>
      <c r="R238" s="2071">
        <f t="shared" si="56"/>
        <v>47615</v>
      </c>
      <c r="S238" s="2139"/>
      <c r="T238" s="2071">
        <f t="shared" si="53"/>
        <v>47615</v>
      </c>
    </row>
    <row r="239" spans="1:30" ht="12.75">
      <c r="A239" s="2074">
        <v>230</v>
      </c>
      <c r="B239" s="2068" t="s">
        <v>2562</v>
      </c>
      <c r="C239" s="2068"/>
      <c r="D239" s="2071" t="s">
        <v>1022</v>
      </c>
      <c r="E239" s="2127">
        <v>4080.2</v>
      </c>
      <c r="F239" s="2071"/>
      <c r="G239" s="2071">
        <f t="shared" si="54"/>
        <v>4080.2</v>
      </c>
      <c r="H239" s="2071"/>
      <c r="I239" s="2071"/>
      <c r="J239" s="2071"/>
      <c r="K239" s="2071"/>
      <c r="L239" s="2071">
        <v>2</v>
      </c>
      <c r="M239" s="2071"/>
      <c r="N239" s="2735"/>
      <c r="O239" s="2760"/>
      <c r="P239" s="1728">
        <f t="shared" si="55"/>
        <v>1</v>
      </c>
      <c r="Q239" s="1664">
        <v>51360</v>
      </c>
      <c r="R239" s="2071">
        <f t="shared" si="56"/>
        <v>51360</v>
      </c>
      <c r="S239" s="2139"/>
      <c r="T239" s="2071">
        <f t="shared" si="53"/>
        <v>51360</v>
      </c>
    </row>
    <row r="240" spans="1:30" ht="12.75">
      <c r="A240" s="2074">
        <v>231</v>
      </c>
      <c r="B240" s="2068" t="s">
        <v>2563</v>
      </c>
      <c r="C240" s="2068"/>
      <c r="D240" s="2071" t="s">
        <v>1218</v>
      </c>
      <c r="E240" s="2127">
        <v>4080.2</v>
      </c>
      <c r="F240" s="2071"/>
      <c r="G240" s="2071">
        <f t="shared" si="54"/>
        <v>4080.2</v>
      </c>
      <c r="H240" s="2071"/>
      <c r="I240" s="2071"/>
      <c r="J240" s="2071"/>
      <c r="K240" s="2071"/>
      <c r="L240" s="2071">
        <v>3</v>
      </c>
      <c r="M240" s="2071"/>
      <c r="N240" s="2735"/>
      <c r="O240" s="2760"/>
      <c r="P240" s="1728">
        <f t="shared" si="55"/>
        <v>2</v>
      </c>
      <c r="Q240" s="1664">
        <v>3745</v>
      </c>
      <c r="R240" s="2071">
        <f t="shared" si="56"/>
        <v>7490</v>
      </c>
      <c r="S240" s="2139"/>
      <c r="T240" s="2071">
        <f t="shared" si="53"/>
        <v>7490</v>
      </c>
    </row>
    <row r="241" spans="1:20" ht="12.75">
      <c r="A241" s="2074">
        <v>232</v>
      </c>
      <c r="B241" s="2068" t="s">
        <v>2564</v>
      </c>
      <c r="C241" s="2068"/>
      <c r="D241" s="2071" t="s">
        <v>1590</v>
      </c>
      <c r="E241" s="2127">
        <v>4080.2</v>
      </c>
      <c r="F241" s="2071"/>
      <c r="G241" s="2071">
        <f t="shared" si="54"/>
        <v>4080.2</v>
      </c>
      <c r="H241" s="2071"/>
      <c r="I241" s="2071"/>
      <c r="J241" s="2071"/>
      <c r="K241" s="2071"/>
      <c r="L241" s="2071">
        <v>12</v>
      </c>
      <c r="M241" s="2071"/>
      <c r="N241" s="2735"/>
      <c r="O241" s="2760"/>
      <c r="P241" s="1728">
        <f t="shared" si="55"/>
        <v>6</v>
      </c>
      <c r="Q241" s="1664">
        <v>5885</v>
      </c>
      <c r="R241" s="2071">
        <f t="shared" si="56"/>
        <v>35310</v>
      </c>
      <c r="S241" s="2139"/>
      <c r="T241" s="2071">
        <f t="shared" si="53"/>
        <v>35310</v>
      </c>
    </row>
    <row r="242" spans="1:20" ht="24">
      <c r="A242" s="2074">
        <v>233</v>
      </c>
      <c r="B242" s="2068" t="s">
        <v>2565</v>
      </c>
      <c r="C242" s="2068"/>
      <c r="D242" s="2071" t="s">
        <v>1590</v>
      </c>
      <c r="E242" s="2127">
        <v>4080.2</v>
      </c>
      <c r="F242" s="2071"/>
      <c r="G242" s="2071">
        <f t="shared" si="54"/>
        <v>4080.2</v>
      </c>
      <c r="H242" s="2071"/>
      <c r="I242" s="2071"/>
      <c r="J242" s="2071"/>
      <c r="K242" s="2071"/>
      <c r="L242" s="2071">
        <v>12</v>
      </c>
      <c r="M242" s="2071"/>
      <c r="N242" s="2735"/>
      <c r="O242" s="2760"/>
      <c r="P242" s="1728">
        <f t="shared" si="55"/>
        <v>6</v>
      </c>
      <c r="Q242" s="1664">
        <v>8025</v>
      </c>
      <c r="R242" s="2071">
        <f t="shared" si="56"/>
        <v>48150</v>
      </c>
      <c r="S242" s="2139"/>
      <c r="T242" s="2071">
        <f t="shared" si="53"/>
        <v>48150</v>
      </c>
    </row>
    <row r="243" spans="1:20" ht="24">
      <c r="A243" s="2074">
        <v>234</v>
      </c>
      <c r="B243" s="2068" t="s">
        <v>2566</v>
      </c>
      <c r="C243" s="2068"/>
      <c r="D243" s="2071" t="s">
        <v>1022</v>
      </c>
      <c r="E243" s="2127">
        <v>4080.2</v>
      </c>
      <c r="F243" s="2071"/>
      <c r="G243" s="2071">
        <f t="shared" si="54"/>
        <v>4080.2</v>
      </c>
      <c r="H243" s="2071"/>
      <c r="I243" s="2071"/>
      <c r="J243" s="2071"/>
      <c r="K243" s="2071"/>
      <c r="L243" s="2071">
        <v>5</v>
      </c>
      <c r="M243" s="2071"/>
      <c r="N243" s="2735"/>
      <c r="O243" s="2760"/>
      <c r="P243" s="1728">
        <f t="shared" si="55"/>
        <v>3</v>
      </c>
      <c r="Q243" s="1664">
        <v>13375</v>
      </c>
      <c r="R243" s="2071">
        <f t="shared" si="56"/>
        <v>40125</v>
      </c>
      <c r="S243" s="2139"/>
      <c r="T243" s="2071">
        <f t="shared" si="53"/>
        <v>40125</v>
      </c>
    </row>
    <row r="244" spans="1:20" ht="24">
      <c r="A244" s="2074">
        <v>235</v>
      </c>
      <c r="B244" s="2068" t="s">
        <v>2567</v>
      </c>
      <c r="C244" s="2068"/>
      <c r="D244" s="2071" t="s">
        <v>1022</v>
      </c>
      <c r="E244" s="2127">
        <v>4080.2</v>
      </c>
      <c r="F244" s="2071"/>
      <c r="G244" s="2071">
        <f t="shared" si="54"/>
        <v>4080.2</v>
      </c>
      <c r="H244" s="2071"/>
      <c r="I244" s="2071"/>
      <c r="J244" s="2071"/>
      <c r="K244" s="2071"/>
      <c r="L244" s="2071">
        <v>3</v>
      </c>
      <c r="M244" s="2071"/>
      <c r="N244" s="2735"/>
      <c r="O244" s="2760"/>
      <c r="P244" s="1728">
        <f t="shared" si="55"/>
        <v>2</v>
      </c>
      <c r="Q244" s="1664">
        <v>219350</v>
      </c>
      <c r="R244" s="2071">
        <f t="shared" si="56"/>
        <v>438700</v>
      </c>
      <c r="S244" s="2139"/>
      <c r="T244" s="2071">
        <f t="shared" si="53"/>
        <v>438700</v>
      </c>
    </row>
    <row r="245" spans="1:20" ht="12.75">
      <c r="A245" s="2074">
        <v>236</v>
      </c>
      <c r="B245" s="2068" t="s">
        <v>2568</v>
      </c>
      <c r="C245" s="2068"/>
      <c r="D245" s="2071" t="s">
        <v>1022</v>
      </c>
      <c r="E245" s="2127">
        <v>4080.2</v>
      </c>
      <c r="F245" s="2071"/>
      <c r="G245" s="2071">
        <f t="shared" si="54"/>
        <v>4080.2</v>
      </c>
      <c r="H245" s="2071"/>
      <c r="I245" s="2071"/>
      <c r="J245" s="2071"/>
      <c r="K245" s="2071"/>
      <c r="L245" s="2071">
        <v>5</v>
      </c>
      <c r="M245" s="2071"/>
      <c r="N245" s="2735"/>
      <c r="O245" s="2760"/>
      <c r="P245" s="1728">
        <f t="shared" si="55"/>
        <v>3</v>
      </c>
      <c r="Q245" s="1664">
        <v>37450</v>
      </c>
      <c r="R245" s="2071">
        <f t="shared" si="56"/>
        <v>112350</v>
      </c>
      <c r="S245" s="2139"/>
      <c r="T245" s="2071">
        <f t="shared" si="53"/>
        <v>112350</v>
      </c>
    </row>
    <row r="246" spans="1:20" ht="12.75">
      <c r="A246" s="2074">
        <v>237</v>
      </c>
      <c r="B246" s="2068" t="s">
        <v>2569</v>
      </c>
      <c r="C246" s="1579"/>
      <c r="D246" s="2071" t="s">
        <v>1022</v>
      </c>
      <c r="E246" s="2127">
        <v>4080.2</v>
      </c>
      <c r="F246" s="1581"/>
      <c r="G246" s="2071">
        <f t="shared" si="54"/>
        <v>4080.2</v>
      </c>
      <c r="H246" s="1581"/>
      <c r="I246" s="1581"/>
      <c r="J246" s="1581"/>
      <c r="K246" s="1581"/>
      <c r="L246" s="2071">
        <v>1</v>
      </c>
      <c r="M246" s="1581"/>
      <c r="N246" s="2737"/>
      <c r="O246" s="2765"/>
      <c r="P246" s="1728">
        <f t="shared" si="55"/>
        <v>1</v>
      </c>
      <c r="Q246" s="1664">
        <v>786450</v>
      </c>
      <c r="R246" s="2071">
        <f t="shared" si="56"/>
        <v>786450</v>
      </c>
      <c r="S246" s="2139"/>
      <c r="T246" s="2071">
        <f t="shared" si="53"/>
        <v>786450</v>
      </c>
    </row>
    <row r="247" spans="1:20" ht="12.75">
      <c r="A247" s="2074">
        <v>238</v>
      </c>
      <c r="B247" s="2068" t="s">
        <v>2570</v>
      </c>
      <c r="C247" s="917" t="s">
        <v>1520</v>
      </c>
      <c r="D247" s="2071" t="s">
        <v>1022</v>
      </c>
      <c r="E247" s="2127">
        <v>4080.2</v>
      </c>
      <c r="F247" s="2071"/>
      <c r="G247" s="2071">
        <f t="shared" si="54"/>
        <v>4080.2</v>
      </c>
      <c r="H247" s="2071"/>
      <c r="I247" s="2071"/>
      <c r="J247" s="2071"/>
      <c r="K247" s="2071"/>
      <c r="L247" s="2071">
        <f t="shared" ref="L247:L248" si="57">M247</f>
        <v>200</v>
      </c>
      <c r="M247" s="2258">
        <f>200*1</f>
        <v>200</v>
      </c>
      <c r="N247" s="2735">
        <v>13</v>
      </c>
      <c r="O247" s="2760">
        <f>N247</f>
        <v>13</v>
      </c>
      <c r="P247" s="1728">
        <v>88</v>
      </c>
      <c r="Q247" s="2071">
        <v>535</v>
      </c>
      <c r="R247" s="2071">
        <f t="shared" si="56"/>
        <v>47080</v>
      </c>
      <c r="S247" s="2139"/>
      <c r="T247" s="2071">
        <f t="shared" si="53"/>
        <v>47080</v>
      </c>
    </row>
    <row r="248" spans="1:20" ht="51">
      <c r="A248" s="2074">
        <v>239</v>
      </c>
      <c r="B248" s="2068" t="s">
        <v>1390</v>
      </c>
      <c r="C248" s="917" t="s">
        <v>1391</v>
      </c>
      <c r="D248" s="2071" t="s">
        <v>1022</v>
      </c>
      <c r="E248" s="2127">
        <v>4080.2</v>
      </c>
      <c r="F248" s="2071"/>
      <c r="G248" s="2071">
        <f t="shared" si="54"/>
        <v>4080.2</v>
      </c>
      <c r="H248" s="2071"/>
      <c r="I248" s="2071"/>
      <c r="J248" s="2071"/>
      <c r="K248" s="2071"/>
      <c r="L248" s="2071">
        <f t="shared" si="57"/>
        <v>600</v>
      </c>
      <c r="M248" s="2258">
        <f>200*3</f>
        <v>600</v>
      </c>
      <c r="N248" s="2735">
        <v>313</v>
      </c>
      <c r="O248" s="2760">
        <f>N248-200</f>
        <v>113</v>
      </c>
      <c r="P248" s="1728">
        <v>238</v>
      </c>
      <c r="Q248" s="2071">
        <v>535</v>
      </c>
      <c r="R248" s="2071">
        <f t="shared" si="56"/>
        <v>127330</v>
      </c>
      <c r="S248" s="2139"/>
      <c r="T248" s="2071">
        <f t="shared" si="53"/>
        <v>127330</v>
      </c>
    </row>
    <row r="249" spans="1:20" ht="12.75">
      <c r="A249" s="2074">
        <v>240</v>
      </c>
      <c r="B249" s="2068" t="s">
        <v>1551</v>
      </c>
      <c r="C249" s="917" t="s">
        <v>2571</v>
      </c>
      <c r="D249" s="2071" t="s">
        <v>1022</v>
      </c>
      <c r="E249" s="2127">
        <v>4081.2</v>
      </c>
      <c r="F249" s="2071"/>
      <c r="G249" s="2071">
        <f t="shared" si="54"/>
        <v>4081.2</v>
      </c>
      <c r="H249" s="2071"/>
      <c r="I249" s="2071"/>
      <c r="J249" s="2071"/>
      <c r="K249" s="2071"/>
      <c r="L249" s="2071">
        <v>200</v>
      </c>
      <c r="M249" s="2258"/>
      <c r="N249" s="2738">
        <v>300</v>
      </c>
      <c r="O249" s="2760">
        <v>0</v>
      </c>
      <c r="P249" s="1728">
        <f>хозМШ!P58+хозИНТ!P228</f>
        <v>70</v>
      </c>
      <c r="Q249" s="2071">
        <v>631.29999999999995</v>
      </c>
      <c r="R249" s="2071">
        <f t="shared" si="56"/>
        <v>44191</v>
      </c>
      <c r="S249" s="2139"/>
      <c r="T249" s="2071">
        <f t="shared" si="53"/>
        <v>44191</v>
      </c>
    </row>
    <row r="250" spans="1:20" ht="144">
      <c r="A250" s="2074">
        <v>241</v>
      </c>
      <c r="B250" s="2068" t="s">
        <v>2572</v>
      </c>
      <c r="C250" s="2706" t="s">
        <v>2573</v>
      </c>
      <c r="D250" s="2068" t="s">
        <v>1022</v>
      </c>
      <c r="E250" s="2139">
        <f>12100-834.8</f>
        <v>11265.2</v>
      </c>
      <c r="F250" s="2071"/>
      <c r="G250" s="2139">
        <f>12100-834.8</f>
        <v>11265.2</v>
      </c>
      <c r="H250" s="2071"/>
      <c r="I250" s="2067"/>
      <c r="J250" s="2067"/>
      <c r="K250" s="2071"/>
      <c r="L250" s="2071">
        <v>15</v>
      </c>
      <c r="M250" s="2071"/>
      <c r="N250" s="2735"/>
      <c r="O250" s="2764"/>
      <c r="P250" s="2719">
        <f>ROUND((L250-O250)/2,0)</f>
        <v>8</v>
      </c>
      <c r="Q250" s="2071">
        <v>21400</v>
      </c>
      <c r="R250" s="2071">
        <f t="shared" si="56"/>
        <v>171200</v>
      </c>
      <c r="S250" s="2139"/>
      <c r="T250" s="2071">
        <f t="shared" si="53"/>
        <v>171200</v>
      </c>
    </row>
    <row r="251" spans="1:20" ht="48">
      <c r="A251" s="2074">
        <v>242</v>
      </c>
      <c r="B251" s="2068" t="s">
        <v>2574</v>
      </c>
      <c r="C251" s="2073" t="s">
        <v>2575</v>
      </c>
      <c r="D251" s="2068" t="s">
        <v>1022</v>
      </c>
      <c r="E251" s="2071">
        <f t="shared" ref="E251:G266" si="58">12100-834.8</f>
        <v>11265.2</v>
      </c>
      <c r="F251" s="2071"/>
      <c r="G251" s="2071">
        <f t="shared" si="58"/>
        <v>11265.2</v>
      </c>
      <c r="H251" s="2071"/>
      <c r="I251" s="2071"/>
      <c r="J251" s="2071"/>
      <c r="K251" s="2071"/>
      <c r="L251" s="2071">
        <v>2</v>
      </c>
      <c r="M251" s="2071"/>
      <c r="N251" s="2735"/>
      <c r="O251" s="2764"/>
      <c r="P251" s="2719">
        <f t="shared" ref="P251:P281" si="59">ROUND((L251-O251)/2,0)</f>
        <v>1</v>
      </c>
      <c r="Q251" s="2071">
        <v>15670.15</v>
      </c>
      <c r="R251" s="2071">
        <f t="shared" si="56"/>
        <v>15670</v>
      </c>
      <c r="S251" s="2139"/>
      <c r="T251" s="2071">
        <f t="shared" si="53"/>
        <v>15670</v>
      </c>
    </row>
    <row r="252" spans="1:20">
      <c r="A252" s="2074">
        <v>243</v>
      </c>
      <c r="B252" s="2068" t="s">
        <v>2576</v>
      </c>
      <c r="C252" s="2073" t="s">
        <v>2577</v>
      </c>
      <c r="D252" s="2068" t="s">
        <v>1022</v>
      </c>
      <c r="E252" s="2071">
        <f t="shared" si="58"/>
        <v>11265.2</v>
      </c>
      <c r="F252" s="2071"/>
      <c r="G252" s="2071">
        <f t="shared" si="58"/>
        <v>11265.2</v>
      </c>
      <c r="H252" s="2071"/>
      <c r="I252" s="2071"/>
      <c r="J252" s="2071"/>
      <c r="K252" s="2071"/>
      <c r="L252" s="2071">
        <v>1</v>
      </c>
      <c r="M252" s="2068"/>
      <c r="N252" s="2735"/>
      <c r="O252" s="2764"/>
      <c r="P252" s="2719">
        <f t="shared" si="59"/>
        <v>1</v>
      </c>
      <c r="Q252" s="2071">
        <v>4376.78</v>
      </c>
      <c r="R252" s="2071">
        <f t="shared" si="56"/>
        <v>4377</v>
      </c>
      <c r="S252" s="2139"/>
      <c r="T252" s="2071">
        <f t="shared" si="53"/>
        <v>4377</v>
      </c>
    </row>
    <row r="253" spans="1:20">
      <c r="A253" s="2074">
        <v>244</v>
      </c>
      <c r="B253" s="2068" t="s">
        <v>2576</v>
      </c>
      <c r="C253" s="2073" t="s">
        <v>2578</v>
      </c>
      <c r="D253" s="2068" t="s">
        <v>1022</v>
      </c>
      <c r="E253" s="2071">
        <f t="shared" si="58"/>
        <v>11265.2</v>
      </c>
      <c r="F253" s="2071"/>
      <c r="G253" s="2071">
        <f t="shared" si="58"/>
        <v>11265.2</v>
      </c>
      <c r="H253" s="2071"/>
      <c r="I253" s="2071"/>
      <c r="J253" s="2071"/>
      <c r="K253" s="2071"/>
      <c r="L253" s="2071">
        <v>5</v>
      </c>
      <c r="M253" s="2071"/>
      <c r="N253" s="2735">
        <v>23</v>
      </c>
      <c r="O253" s="2764"/>
      <c r="P253" s="2719">
        <f t="shared" si="59"/>
        <v>3</v>
      </c>
      <c r="Q253" s="2071">
        <v>311.85000000000002</v>
      </c>
      <c r="R253" s="2071">
        <f t="shared" si="56"/>
        <v>936</v>
      </c>
      <c r="S253" s="2139"/>
      <c r="T253" s="2071">
        <f t="shared" si="53"/>
        <v>936</v>
      </c>
    </row>
    <row r="254" spans="1:20">
      <c r="A254" s="2074">
        <v>245</v>
      </c>
      <c r="B254" s="2068" t="s">
        <v>2576</v>
      </c>
      <c r="C254" s="2073" t="s">
        <v>2579</v>
      </c>
      <c r="D254" s="2068" t="s">
        <v>1022</v>
      </c>
      <c r="E254" s="2071">
        <f t="shared" si="58"/>
        <v>11265.2</v>
      </c>
      <c r="F254" s="2071"/>
      <c r="G254" s="2071">
        <f t="shared" si="58"/>
        <v>11265.2</v>
      </c>
      <c r="H254" s="2071"/>
      <c r="I254" s="2071"/>
      <c r="J254" s="2071"/>
      <c r="K254" s="2071"/>
      <c r="L254" s="2071">
        <v>5</v>
      </c>
      <c r="M254" s="2071"/>
      <c r="N254" s="2735">
        <v>23</v>
      </c>
      <c r="O254" s="2764"/>
      <c r="P254" s="2719">
        <f t="shared" si="59"/>
        <v>3</v>
      </c>
      <c r="Q254" s="2139">
        <v>937.11</v>
      </c>
      <c r="R254" s="2071">
        <f t="shared" si="56"/>
        <v>2811</v>
      </c>
      <c r="S254" s="2139"/>
      <c r="T254" s="2071">
        <f t="shared" si="53"/>
        <v>2811</v>
      </c>
    </row>
    <row r="255" spans="1:20" ht="24">
      <c r="A255" s="2074">
        <v>246</v>
      </c>
      <c r="B255" s="2068" t="s">
        <v>2580</v>
      </c>
      <c r="C255" s="2073" t="s">
        <v>2581</v>
      </c>
      <c r="D255" s="2068" t="s">
        <v>1022</v>
      </c>
      <c r="E255" s="2071">
        <f t="shared" si="58"/>
        <v>11265.2</v>
      </c>
      <c r="F255" s="2071"/>
      <c r="G255" s="2071">
        <f t="shared" si="58"/>
        <v>11265.2</v>
      </c>
      <c r="H255" s="2071"/>
      <c r="I255" s="2071"/>
      <c r="J255" s="2071"/>
      <c r="K255" s="2071"/>
      <c r="L255" s="2071">
        <v>2</v>
      </c>
      <c r="M255" s="2071"/>
      <c r="N255" s="2735">
        <v>6</v>
      </c>
      <c r="O255" s="2764">
        <v>0</v>
      </c>
      <c r="P255" s="2719">
        <v>1</v>
      </c>
      <c r="Q255" s="2139">
        <v>198.59</v>
      </c>
      <c r="R255" s="2071">
        <f t="shared" si="56"/>
        <v>199</v>
      </c>
      <c r="S255" s="2139"/>
      <c r="T255" s="2071">
        <f t="shared" si="53"/>
        <v>199</v>
      </c>
    </row>
    <row r="256" spans="1:20" ht="36">
      <c r="A256" s="2074">
        <v>247</v>
      </c>
      <c r="B256" s="2068" t="s">
        <v>2582</v>
      </c>
      <c r="C256" s="2073" t="s">
        <v>2583</v>
      </c>
      <c r="D256" s="2068" t="s">
        <v>1022</v>
      </c>
      <c r="E256" s="2071">
        <f t="shared" si="58"/>
        <v>11265.2</v>
      </c>
      <c r="F256" s="2071"/>
      <c r="G256" s="2071">
        <f t="shared" si="58"/>
        <v>11265.2</v>
      </c>
      <c r="H256" s="2071"/>
      <c r="I256" s="2071"/>
      <c r="J256" s="2071"/>
      <c r="K256" s="2071"/>
      <c r="L256" s="2071">
        <v>1</v>
      </c>
      <c r="M256" s="2071"/>
      <c r="N256" s="2735"/>
      <c r="O256" s="2764"/>
      <c r="P256" s="2719">
        <f t="shared" si="59"/>
        <v>1</v>
      </c>
      <c r="Q256" s="2139">
        <v>1045.71</v>
      </c>
      <c r="R256" s="2071">
        <f t="shared" si="56"/>
        <v>1046</v>
      </c>
      <c r="S256" s="2139"/>
      <c r="T256" s="2071">
        <f t="shared" si="53"/>
        <v>1046</v>
      </c>
    </row>
    <row r="257" spans="1:20" ht="96">
      <c r="A257" s="2074">
        <v>248</v>
      </c>
      <c r="B257" s="2068" t="s">
        <v>2584</v>
      </c>
      <c r="C257" s="2073" t="s">
        <v>2585</v>
      </c>
      <c r="D257" s="2068" t="s">
        <v>1525</v>
      </c>
      <c r="E257" s="2071">
        <f t="shared" si="58"/>
        <v>11265.2</v>
      </c>
      <c r="F257" s="2071"/>
      <c r="G257" s="2071">
        <f t="shared" si="58"/>
        <v>11265.2</v>
      </c>
      <c r="H257" s="2071"/>
      <c r="I257" s="2071"/>
      <c r="J257" s="2071"/>
      <c r="K257" s="2071"/>
      <c r="L257" s="2071">
        <v>1</v>
      </c>
      <c r="M257" s="2071"/>
      <c r="N257" s="2738">
        <v>0</v>
      </c>
      <c r="O257" s="2764">
        <v>0</v>
      </c>
      <c r="P257" s="2719">
        <f t="shared" si="59"/>
        <v>1</v>
      </c>
      <c r="Q257" s="2139">
        <v>9572.76</v>
      </c>
      <c r="R257" s="2071">
        <f t="shared" si="56"/>
        <v>9573</v>
      </c>
      <c r="S257" s="2139"/>
      <c r="T257" s="2071">
        <f t="shared" si="53"/>
        <v>9573</v>
      </c>
    </row>
    <row r="258" spans="1:20">
      <c r="A258" s="2074">
        <v>249</v>
      </c>
      <c r="B258" s="2068" t="s">
        <v>2586</v>
      </c>
      <c r="C258" s="2068" t="s">
        <v>2587</v>
      </c>
      <c r="D258" s="2068" t="s">
        <v>1022</v>
      </c>
      <c r="E258" s="2071">
        <f t="shared" si="58"/>
        <v>11265.2</v>
      </c>
      <c r="F258" s="2071"/>
      <c r="G258" s="2071">
        <f t="shared" si="58"/>
        <v>11265.2</v>
      </c>
      <c r="H258" s="2071"/>
      <c r="I258" s="2071"/>
      <c r="J258" s="2071"/>
      <c r="K258" s="2071"/>
      <c r="L258" s="2071">
        <v>10</v>
      </c>
      <c r="M258" s="2071"/>
      <c r="N258" s="2738">
        <v>0</v>
      </c>
      <c r="O258" s="2764">
        <v>0</v>
      </c>
      <c r="P258" s="2719">
        <f t="shared" si="59"/>
        <v>5</v>
      </c>
      <c r="Q258" s="2139">
        <v>77.58</v>
      </c>
      <c r="R258" s="2071">
        <f t="shared" si="56"/>
        <v>388</v>
      </c>
      <c r="S258" s="2139"/>
      <c r="T258" s="2071">
        <f t="shared" si="53"/>
        <v>388</v>
      </c>
    </row>
    <row r="259" spans="1:20" ht="24">
      <c r="A259" s="2074">
        <v>250</v>
      </c>
      <c r="B259" s="2068" t="s">
        <v>2588</v>
      </c>
      <c r="C259" s="2068" t="s">
        <v>2589</v>
      </c>
      <c r="D259" s="2068" t="s">
        <v>2520</v>
      </c>
      <c r="E259" s="2071">
        <f t="shared" si="58"/>
        <v>11265.2</v>
      </c>
      <c r="F259" s="2071"/>
      <c r="G259" s="2071">
        <f t="shared" si="58"/>
        <v>11265.2</v>
      </c>
      <c r="H259" s="2071"/>
      <c r="I259" s="2071"/>
      <c r="J259" s="2071"/>
      <c r="K259" s="2071"/>
      <c r="L259" s="2071">
        <v>2</v>
      </c>
      <c r="M259" s="2071"/>
      <c r="N259" s="2735">
        <v>3</v>
      </c>
      <c r="O259" s="2764"/>
      <c r="P259" s="2719">
        <v>1</v>
      </c>
      <c r="Q259" s="2139">
        <v>6655.94</v>
      </c>
      <c r="R259" s="2071">
        <f t="shared" si="56"/>
        <v>6656</v>
      </c>
      <c r="S259" s="2139"/>
      <c r="T259" s="2071">
        <f t="shared" si="53"/>
        <v>6656</v>
      </c>
    </row>
    <row r="260" spans="1:20">
      <c r="A260" s="2074">
        <v>251</v>
      </c>
      <c r="B260" s="2068" t="s">
        <v>1881</v>
      </c>
      <c r="C260" s="2068" t="s">
        <v>2590</v>
      </c>
      <c r="D260" s="2068" t="s">
        <v>1022</v>
      </c>
      <c r="E260" s="2071">
        <f t="shared" si="58"/>
        <v>11265.2</v>
      </c>
      <c r="F260" s="2071"/>
      <c r="G260" s="2071">
        <f t="shared" si="58"/>
        <v>11265.2</v>
      </c>
      <c r="H260" s="2071"/>
      <c r="I260" s="2071"/>
      <c r="J260" s="2071"/>
      <c r="K260" s="2071"/>
      <c r="L260" s="2071">
        <v>1</v>
      </c>
      <c r="M260" s="2071"/>
      <c r="N260" s="2735">
        <v>1</v>
      </c>
      <c r="O260" s="2764"/>
      <c r="P260" s="2719">
        <v>1</v>
      </c>
      <c r="Q260" s="2139">
        <v>3878.75</v>
      </c>
      <c r="R260" s="2071">
        <f t="shared" si="56"/>
        <v>3879</v>
      </c>
      <c r="S260" s="2139"/>
      <c r="T260" s="2071">
        <f t="shared" si="53"/>
        <v>3879</v>
      </c>
    </row>
    <row r="261" spans="1:20" ht="24">
      <c r="A261" s="2074">
        <v>252</v>
      </c>
      <c r="B261" s="2068" t="s">
        <v>2591</v>
      </c>
      <c r="C261" s="2149" t="s">
        <v>2592</v>
      </c>
      <c r="D261" s="2068" t="s">
        <v>1525</v>
      </c>
      <c r="E261" s="2071">
        <f t="shared" si="58"/>
        <v>11265.2</v>
      </c>
      <c r="F261" s="2071"/>
      <c r="G261" s="2071">
        <f t="shared" si="58"/>
        <v>11265.2</v>
      </c>
      <c r="H261" s="2071"/>
      <c r="I261" s="2071"/>
      <c r="J261" s="2071"/>
      <c r="K261" s="2071"/>
      <c r="L261" s="2071">
        <v>1</v>
      </c>
      <c r="M261" s="2071"/>
      <c r="N261" s="2735"/>
      <c r="O261" s="2764"/>
      <c r="P261" s="2719">
        <f t="shared" si="59"/>
        <v>1</v>
      </c>
      <c r="Q261" s="2139">
        <v>1784.23</v>
      </c>
      <c r="R261" s="2071">
        <f t="shared" si="56"/>
        <v>1784</v>
      </c>
      <c r="S261" s="2139"/>
      <c r="T261" s="2071">
        <f t="shared" si="53"/>
        <v>1784</v>
      </c>
    </row>
    <row r="262" spans="1:20" ht="60">
      <c r="A262" s="2074">
        <v>253</v>
      </c>
      <c r="B262" s="2068" t="s">
        <v>2593</v>
      </c>
      <c r="C262" s="2069" t="s">
        <v>2594</v>
      </c>
      <c r="D262" s="2068" t="s">
        <v>1268</v>
      </c>
      <c r="E262" s="2071">
        <f t="shared" si="58"/>
        <v>11265.2</v>
      </c>
      <c r="F262" s="2071"/>
      <c r="G262" s="2071">
        <f t="shared" si="58"/>
        <v>11265.2</v>
      </c>
      <c r="H262" s="2071"/>
      <c r="I262" s="2071"/>
      <c r="J262" s="2071"/>
      <c r="K262" s="2071"/>
      <c r="L262" s="2071">
        <v>2</v>
      </c>
      <c r="M262" s="2068"/>
      <c r="N262" s="2734"/>
      <c r="O262" s="2766"/>
      <c r="P262" s="2719">
        <f t="shared" si="59"/>
        <v>1</v>
      </c>
      <c r="Q262" s="2139">
        <v>2947.85</v>
      </c>
      <c r="R262" s="2071">
        <f t="shared" si="56"/>
        <v>2948</v>
      </c>
      <c r="S262" s="2139"/>
      <c r="T262" s="2071">
        <f t="shared" si="53"/>
        <v>2948</v>
      </c>
    </row>
    <row r="263" spans="1:20">
      <c r="A263" s="2074">
        <v>254</v>
      </c>
      <c r="B263" s="2068" t="s">
        <v>2595</v>
      </c>
      <c r="C263" s="2068" t="s">
        <v>2596</v>
      </c>
      <c r="D263" s="2071" t="s">
        <v>1022</v>
      </c>
      <c r="E263" s="2071">
        <f t="shared" si="58"/>
        <v>11265.2</v>
      </c>
      <c r="F263" s="2071"/>
      <c r="G263" s="2071">
        <f t="shared" si="58"/>
        <v>11265.2</v>
      </c>
      <c r="H263" s="2071"/>
      <c r="I263" s="2071"/>
      <c r="J263" s="2071"/>
      <c r="K263" s="2071"/>
      <c r="L263" s="2071">
        <v>1000</v>
      </c>
      <c r="M263" s="2071"/>
      <c r="N263" s="2735"/>
      <c r="O263" s="2764"/>
      <c r="P263" s="2719">
        <f t="shared" si="59"/>
        <v>500</v>
      </c>
      <c r="Q263" s="2139">
        <v>279.27</v>
      </c>
      <c r="R263" s="2071">
        <f t="shared" si="56"/>
        <v>139635</v>
      </c>
      <c r="S263" s="2139"/>
      <c r="T263" s="2071">
        <f t="shared" si="53"/>
        <v>139635</v>
      </c>
    </row>
    <row r="264" spans="1:20">
      <c r="A264" s="2074">
        <v>255</v>
      </c>
      <c r="B264" s="2068" t="s">
        <v>2595</v>
      </c>
      <c r="C264" s="2068" t="s">
        <v>2597</v>
      </c>
      <c r="D264" s="2071" t="s">
        <v>1022</v>
      </c>
      <c r="E264" s="2071">
        <f t="shared" si="58"/>
        <v>11265.2</v>
      </c>
      <c r="F264" s="2071"/>
      <c r="G264" s="2071">
        <f t="shared" si="58"/>
        <v>11265.2</v>
      </c>
      <c r="H264" s="2071"/>
      <c r="I264" s="2071"/>
      <c r="J264" s="2071"/>
      <c r="K264" s="2071"/>
      <c r="L264" s="2071">
        <v>500</v>
      </c>
      <c r="M264" s="2071"/>
      <c r="N264" s="2735">
        <v>300</v>
      </c>
      <c r="O264" s="2764">
        <v>200</v>
      </c>
      <c r="P264" s="2719">
        <f t="shared" si="59"/>
        <v>150</v>
      </c>
      <c r="Q264" s="2139">
        <v>884.36</v>
      </c>
      <c r="R264" s="2071">
        <f t="shared" si="56"/>
        <v>132654</v>
      </c>
      <c r="S264" s="2139"/>
      <c r="T264" s="2071">
        <f t="shared" si="53"/>
        <v>132654</v>
      </c>
    </row>
    <row r="265" spans="1:20" ht="24">
      <c r="A265" s="2074">
        <v>256</v>
      </c>
      <c r="B265" s="2068" t="s">
        <v>2598</v>
      </c>
      <c r="C265" s="2068" t="s">
        <v>2599</v>
      </c>
      <c r="D265" s="2068" t="s">
        <v>1022</v>
      </c>
      <c r="E265" s="2071">
        <f t="shared" si="58"/>
        <v>11265.2</v>
      </c>
      <c r="F265" s="2071"/>
      <c r="G265" s="2071">
        <f t="shared" si="58"/>
        <v>11265.2</v>
      </c>
      <c r="H265" s="2071"/>
      <c r="I265" s="2071"/>
      <c r="J265" s="2071"/>
      <c r="K265" s="2071"/>
      <c r="L265" s="2071">
        <v>50</v>
      </c>
      <c r="M265" s="2071"/>
      <c r="N265" s="2735"/>
      <c r="O265" s="2764"/>
      <c r="P265" s="2719">
        <f t="shared" si="59"/>
        <v>25</v>
      </c>
      <c r="Q265" s="2139">
        <v>1210.17</v>
      </c>
      <c r="R265" s="2071">
        <f t="shared" si="56"/>
        <v>30254</v>
      </c>
      <c r="S265" s="2139"/>
      <c r="T265" s="2071">
        <f t="shared" si="53"/>
        <v>30254</v>
      </c>
    </row>
    <row r="266" spans="1:20">
      <c r="A266" s="2074">
        <v>257</v>
      </c>
      <c r="B266" s="2068" t="s">
        <v>2595</v>
      </c>
      <c r="C266" s="2068" t="s">
        <v>2600</v>
      </c>
      <c r="D266" s="2068" t="s">
        <v>1022</v>
      </c>
      <c r="E266" s="2071">
        <f t="shared" si="58"/>
        <v>11265.2</v>
      </c>
      <c r="F266" s="2071"/>
      <c r="G266" s="2071">
        <f t="shared" si="58"/>
        <v>11265.2</v>
      </c>
      <c r="H266" s="2071"/>
      <c r="I266" s="2071"/>
      <c r="J266" s="2071"/>
      <c r="K266" s="2071"/>
      <c r="L266" s="2071">
        <v>9</v>
      </c>
      <c r="M266" s="2071"/>
      <c r="N266" s="2738">
        <v>0</v>
      </c>
      <c r="O266" s="2764">
        <v>0</v>
      </c>
      <c r="P266" s="2719">
        <f t="shared" si="59"/>
        <v>5</v>
      </c>
      <c r="Q266" s="2139">
        <v>5585.4</v>
      </c>
      <c r="R266" s="2071">
        <f t="shared" si="56"/>
        <v>27927</v>
      </c>
      <c r="S266" s="2139"/>
      <c r="T266" s="2071">
        <f t="shared" si="53"/>
        <v>27927</v>
      </c>
    </row>
    <row r="267" spans="1:20" ht="24">
      <c r="A267" s="2074">
        <v>258</v>
      </c>
      <c r="B267" s="2068" t="s">
        <v>2601</v>
      </c>
      <c r="C267" s="2068" t="s">
        <v>2602</v>
      </c>
      <c r="D267" s="2071" t="s">
        <v>1022</v>
      </c>
      <c r="E267" s="2071">
        <f t="shared" ref="E267:G281" si="60">12100-834.8</f>
        <v>11265.2</v>
      </c>
      <c r="F267" s="2071"/>
      <c r="G267" s="2071">
        <f t="shared" si="60"/>
        <v>11265.2</v>
      </c>
      <c r="H267" s="2071"/>
      <c r="I267" s="2071"/>
      <c r="J267" s="2071"/>
      <c r="K267" s="2071"/>
      <c r="L267" s="2071">
        <v>20</v>
      </c>
      <c r="M267" s="2071"/>
      <c r="N267" s="2735">
        <v>20</v>
      </c>
      <c r="O267" s="2764">
        <v>10</v>
      </c>
      <c r="P267" s="2719">
        <f t="shared" si="59"/>
        <v>5</v>
      </c>
      <c r="Q267" s="2139">
        <v>620.6</v>
      </c>
      <c r="R267" s="2071">
        <f t="shared" si="56"/>
        <v>3103</v>
      </c>
      <c r="S267" s="2139"/>
      <c r="T267" s="2071">
        <f t="shared" si="53"/>
        <v>3103</v>
      </c>
    </row>
    <row r="268" spans="1:20" ht="48">
      <c r="A268" s="2074">
        <v>259</v>
      </c>
      <c r="B268" s="2068" t="s">
        <v>2603</v>
      </c>
      <c r="C268" s="2068" t="s">
        <v>2604</v>
      </c>
      <c r="D268" s="2068" t="s">
        <v>1022</v>
      </c>
      <c r="E268" s="2071">
        <f t="shared" si="60"/>
        <v>11265.2</v>
      </c>
      <c r="F268" s="2071"/>
      <c r="G268" s="2071">
        <f t="shared" si="60"/>
        <v>11265.2</v>
      </c>
      <c r="H268" s="2071"/>
      <c r="I268" s="2071"/>
      <c r="J268" s="2071"/>
      <c r="K268" s="2071"/>
      <c r="L268" s="2071">
        <v>1</v>
      </c>
      <c r="M268" s="2071"/>
      <c r="N268" s="2735">
        <v>1</v>
      </c>
      <c r="O268" s="2764"/>
      <c r="P268" s="2719">
        <v>1</v>
      </c>
      <c r="Q268" s="2139">
        <v>6206</v>
      </c>
      <c r="R268" s="2071">
        <f t="shared" si="56"/>
        <v>6206</v>
      </c>
      <c r="S268" s="2139"/>
      <c r="T268" s="2071">
        <f t="shared" si="53"/>
        <v>6206</v>
      </c>
    </row>
    <row r="269" spans="1:20" ht="72">
      <c r="A269" s="2074">
        <v>260</v>
      </c>
      <c r="B269" s="2068" t="s">
        <v>2605</v>
      </c>
      <c r="C269" s="2149" t="s">
        <v>2606</v>
      </c>
      <c r="D269" s="2068" t="s">
        <v>1022</v>
      </c>
      <c r="E269" s="2071">
        <f t="shared" si="60"/>
        <v>11265.2</v>
      </c>
      <c r="F269" s="2071"/>
      <c r="G269" s="2071">
        <f t="shared" si="60"/>
        <v>11265.2</v>
      </c>
      <c r="H269" s="2071"/>
      <c r="I269" s="2071"/>
      <c r="J269" s="2071"/>
      <c r="K269" s="2071"/>
      <c r="L269" s="2071">
        <v>1</v>
      </c>
      <c r="M269" s="2071"/>
      <c r="N269" s="2735">
        <v>2</v>
      </c>
      <c r="O269" s="2764">
        <v>1</v>
      </c>
      <c r="P269" s="2719">
        <f t="shared" si="59"/>
        <v>0</v>
      </c>
      <c r="Q269" s="2139">
        <v>46545</v>
      </c>
      <c r="R269" s="2071">
        <f t="shared" si="56"/>
        <v>0</v>
      </c>
      <c r="S269" s="2139"/>
      <c r="T269" s="2071">
        <f t="shared" si="53"/>
        <v>0</v>
      </c>
    </row>
    <row r="270" spans="1:20" ht="96">
      <c r="A270" s="2074">
        <v>261</v>
      </c>
      <c r="B270" s="2068" t="s">
        <v>2607</v>
      </c>
      <c r="C270" s="2068" t="s">
        <v>2608</v>
      </c>
      <c r="D270" s="2068" t="s">
        <v>1022</v>
      </c>
      <c r="E270" s="2071">
        <f t="shared" si="60"/>
        <v>11265.2</v>
      </c>
      <c r="F270" s="2071"/>
      <c r="G270" s="2071">
        <f t="shared" si="60"/>
        <v>11265.2</v>
      </c>
      <c r="H270" s="2071"/>
      <c r="I270" s="2071"/>
      <c r="J270" s="2071"/>
      <c r="K270" s="2071"/>
      <c r="L270" s="2071">
        <v>50</v>
      </c>
      <c r="M270" s="2071"/>
      <c r="N270" s="2738">
        <v>0</v>
      </c>
      <c r="O270" s="2764">
        <v>0</v>
      </c>
      <c r="P270" s="2719">
        <f t="shared" si="59"/>
        <v>25</v>
      </c>
      <c r="Q270" s="2139">
        <v>1706.65</v>
      </c>
      <c r="R270" s="2071">
        <f t="shared" si="56"/>
        <v>42666</v>
      </c>
      <c r="S270" s="2139"/>
      <c r="T270" s="2071">
        <f t="shared" si="53"/>
        <v>42666</v>
      </c>
    </row>
    <row r="271" spans="1:20">
      <c r="A271" s="2074">
        <v>262</v>
      </c>
      <c r="B271" s="2068" t="s">
        <v>2609</v>
      </c>
      <c r="C271" s="2068" t="s">
        <v>2610</v>
      </c>
      <c r="D271" s="2071" t="s">
        <v>1590</v>
      </c>
      <c r="E271" s="2071">
        <f t="shared" si="60"/>
        <v>11265.2</v>
      </c>
      <c r="F271" s="2071"/>
      <c r="G271" s="2071">
        <f t="shared" si="60"/>
        <v>11265.2</v>
      </c>
      <c r="H271" s="2071"/>
      <c r="I271" s="2071"/>
      <c r="J271" s="2071"/>
      <c r="K271" s="2071"/>
      <c r="L271" s="2071">
        <v>100</v>
      </c>
      <c r="M271" s="2068"/>
      <c r="N271" s="2735"/>
      <c r="O271" s="2764"/>
      <c r="P271" s="2719">
        <f t="shared" si="59"/>
        <v>50</v>
      </c>
      <c r="Q271" s="2139">
        <v>744.72</v>
      </c>
      <c r="R271" s="2071">
        <f t="shared" si="56"/>
        <v>37236</v>
      </c>
      <c r="S271" s="2139"/>
      <c r="T271" s="2071">
        <f t="shared" si="53"/>
        <v>37236</v>
      </c>
    </row>
    <row r="272" spans="1:20">
      <c r="A272" s="2074">
        <v>263</v>
      </c>
      <c r="B272" s="2068" t="s">
        <v>2611</v>
      </c>
      <c r="C272" s="2068" t="s">
        <v>2612</v>
      </c>
      <c r="D272" s="2068" t="s">
        <v>1022</v>
      </c>
      <c r="E272" s="2071">
        <f t="shared" si="60"/>
        <v>11265.2</v>
      </c>
      <c r="F272" s="2071"/>
      <c r="G272" s="2071">
        <f t="shared" si="60"/>
        <v>11265.2</v>
      </c>
      <c r="H272" s="2071"/>
      <c r="I272" s="2071"/>
      <c r="J272" s="2071"/>
      <c r="K272" s="2071"/>
      <c r="L272" s="2071">
        <v>50</v>
      </c>
      <c r="M272" s="2071"/>
      <c r="N272" s="2735">
        <v>200</v>
      </c>
      <c r="O272" s="2764">
        <v>0</v>
      </c>
      <c r="P272" s="2719">
        <f t="shared" si="59"/>
        <v>25</v>
      </c>
      <c r="Q272" s="2139">
        <v>387.88</v>
      </c>
      <c r="R272" s="2071">
        <f t="shared" si="56"/>
        <v>9697</v>
      </c>
      <c r="S272" s="2139"/>
      <c r="T272" s="2071">
        <f t="shared" si="53"/>
        <v>9697</v>
      </c>
    </row>
    <row r="273" spans="1:20">
      <c r="A273" s="2074">
        <v>264</v>
      </c>
      <c r="B273" s="2068" t="s">
        <v>2613</v>
      </c>
      <c r="C273" s="2068" t="s">
        <v>2614</v>
      </c>
      <c r="D273" s="2068" t="s">
        <v>1022</v>
      </c>
      <c r="E273" s="2071">
        <f t="shared" si="60"/>
        <v>11265.2</v>
      </c>
      <c r="F273" s="2071"/>
      <c r="G273" s="2071">
        <f t="shared" si="60"/>
        <v>11265.2</v>
      </c>
      <c r="H273" s="2071"/>
      <c r="I273" s="2071"/>
      <c r="J273" s="2071"/>
      <c r="K273" s="2071"/>
      <c r="L273" s="2071">
        <v>24</v>
      </c>
      <c r="M273" s="2071"/>
      <c r="N273" s="2735"/>
      <c r="O273" s="2764"/>
      <c r="P273" s="2719">
        <f t="shared" si="59"/>
        <v>12</v>
      </c>
      <c r="Q273" s="2139">
        <v>930.9</v>
      </c>
      <c r="R273" s="2071">
        <f t="shared" si="56"/>
        <v>11171</v>
      </c>
      <c r="S273" s="2139"/>
      <c r="T273" s="2071">
        <f t="shared" si="53"/>
        <v>11171</v>
      </c>
    </row>
    <row r="274" spans="1:20">
      <c r="A274" s="2074">
        <v>265</v>
      </c>
      <c r="B274" s="2068" t="s">
        <v>2613</v>
      </c>
      <c r="C274" s="2068" t="s">
        <v>2615</v>
      </c>
      <c r="D274" s="2068" t="s">
        <v>1022</v>
      </c>
      <c r="E274" s="2071">
        <f t="shared" si="60"/>
        <v>11265.2</v>
      </c>
      <c r="F274" s="2071"/>
      <c r="G274" s="2071">
        <f t="shared" si="60"/>
        <v>11265.2</v>
      </c>
      <c r="H274" s="2071"/>
      <c r="I274" s="2071"/>
      <c r="J274" s="2071"/>
      <c r="K274" s="2071"/>
      <c r="L274" s="2071">
        <v>2</v>
      </c>
      <c r="M274" s="2071"/>
      <c r="N274" s="2735"/>
      <c r="O274" s="2764"/>
      <c r="P274" s="2719">
        <f t="shared" si="59"/>
        <v>1</v>
      </c>
      <c r="Q274" s="2139">
        <v>1241.2</v>
      </c>
      <c r="R274" s="2071">
        <f t="shared" si="56"/>
        <v>1241</v>
      </c>
      <c r="S274" s="2139"/>
      <c r="T274" s="2071">
        <f t="shared" si="53"/>
        <v>1241</v>
      </c>
    </row>
    <row r="275" spans="1:20">
      <c r="A275" s="2074">
        <v>266</v>
      </c>
      <c r="B275" s="2068" t="s">
        <v>1409</v>
      </c>
      <c r="C275" s="2068" t="s">
        <v>2616</v>
      </c>
      <c r="D275" s="2068" t="s">
        <v>1590</v>
      </c>
      <c r="E275" s="2071">
        <f t="shared" si="60"/>
        <v>11265.2</v>
      </c>
      <c r="F275" s="2071"/>
      <c r="G275" s="2071">
        <f t="shared" si="60"/>
        <v>11265.2</v>
      </c>
      <c r="H275" s="2071"/>
      <c r="I275" s="2071"/>
      <c r="J275" s="2071"/>
      <c r="K275" s="2071"/>
      <c r="L275" s="2071">
        <v>75</v>
      </c>
      <c r="M275" s="2071"/>
      <c r="N275" s="2735">
        <v>140</v>
      </c>
      <c r="O275" s="2764"/>
      <c r="P275" s="2719">
        <f t="shared" si="59"/>
        <v>38</v>
      </c>
      <c r="Q275" s="2139">
        <v>1163.6300000000001</v>
      </c>
      <c r="R275" s="2071">
        <f t="shared" si="56"/>
        <v>44218</v>
      </c>
      <c r="S275" s="2139"/>
      <c r="T275" s="2071">
        <f t="shared" si="53"/>
        <v>44218</v>
      </c>
    </row>
    <row r="276" spans="1:20">
      <c r="A276" s="2074">
        <v>267</v>
      </c>
      <c r="B276" s="2068" t="s">
        <v>1409</v>
      </c>
      <c r="C276" s="2068" t="s">
        <v>2617</v>
      </c>
      <c r="D276" s="2068" t="s">
        <v>1590</v>
      </c>
      <c r="E276" s="2071">
        <f t="shared" si="60"/>
        <v>11265.2</v>
      </c>
      <c r="F276" s="2071"/>
      <c r="G276" s="2071">
        <f t="shared" si="60"/>
        <v>11265.2</v>
      </c>
      <c r="H276" s="2071"/>
      <c r="I276" s="2071"/>
      <c r="J276" s="2071"/>
      <c r="K276" s="2071"/>
      <c r="L276" s="2071">
        <v>54</v>
      </c>
      <c r="M276" s="2071"/>
      <c r="N276" s="2735"/>
      <c r="O276" s="2764"/>
      <c r="P276" s="2719">
        <f t="shared" si="59"/>
        <v>27</v>
      </c>
      <c r="Q276" s="2139">
        <v>1023.99</v>
      </c>
      <c r="R276" s="2071">
        <f t="shared" si="56"/>
        <v>27648</v>
      </c>
      <c r="S276" s="2139"/>
      <c r="T276" s="2071">
        <f t="shared" ref="T276:T324" si="61">R276-S276</f>
        <v>27648</v>
      </c>
    </row>
    <row r="277" spans="1:20">
      <c r="A277" s="2074">
        <v>268</v>
      </c>
      <c r="B277" s="2068" t="s">
        <v>2609</v>
      </c>
      <c r="C277" s="2068" t="s">
        <v>2618</v>
      </c>
      <c r="D277" s="2068" t="s">
        <v>1590</v>
      </c>
      <c r="E277" s="2071">
        <f t="shared" si="60"/>
        <v>11265.2</v>
      </c>
      <c r="F277" s="2071"/>
      <c r="G277" s="2071">
        <f t="shared" si="60"/>
        <v>11265.2</v>
      </c>
      <c r="H277" s="2071"/>
      <c r="I277" s="2071"/>
      <c r="J277" s="2071"/>
      <c r="K277" s="2071"/>
      <c r="L277" s="2071">
        <v>60</v>
      </c>
      <c r="M277" s="2071"/>
      <c r="N277" s="2735"/>
      <c r="O277" s="2764"/>
      <c r="P277" s="2719">
        <f t="shared" si="59"/>
        <v>30</v>
      </c>
      <c r="Q277" s="2139">
        <v>62.06</v>
      </c>
      <c r="R277" s="2071">
        <f t="shared" si="56"/>
        <v>1862</v>
      </c>
      <c r="S277" s="2139"/>
      <c r="T277" s="2071">
        <f t="shared" si="61"/>
        <v>1862</v>
      </c>
    </row>
    <row r="278" spans="1:20">
      <c r="A278" s="2074">
        <v>269</v>
      </c>
      <c r="B278" s="2068" t="s">
        <v>2607</v>
      </c>
      <c r="C278" s="2068" t="s">
        <v>2619</v>
      </c>
      <c r="D278" s="2068" t="s">
        <v>1590</v>
      </c>
      <c r="E278" s="2071">
        <f t="shared" si="60"/>
        <v>11265.2</v>
      </c>
      <c r="F278" s="2071"/>
      <c r="G278" s="2071">
        <f t="shared" si="60"/>
        <v>11265.2</v>
      </c>
      <c r="H278" s="2071"/>
      <c r="I278" s="2071"/>
      <c r="J278" s="2071"/>
      <c r="K278" s="2071"/>
      <c r="L278" s="2071">
        <v>5</v>
      </c>
      <c r="M278" s="2071"/>
      <c r="N278" s="2735"/>
      <c r="O278" s="2764"/>
      <c r="P278" s="2719">
        <f t="shared" si="59"/>
        <v>3</v>
      </c>
      <c r="Q278" s="2139">
        <v>232.73</v>
      </c>
      <c r="R278" s="2071">
        <f t="shared" si="56"/>
        <v>698</v>
      </c>
      <c r="S278" s="2139"/>
      <c r="T278" s="2071">
        <f t="shared" si="61"/>
        <v>698</v>
      </c>
    </row>
    <row r="279" spans="1:20">
      <c r="A279" s="2074">
        <v>270</v>
      </c>
      <c r="B279" s="2068" t="s">
        <v>2620</v>
      </c>
      <c r="C279" s="2069" t="s">
        <v>2621</v>
      </c>
      <c r="D279" s="2068" t="s">
        <v>1022</v>
      </c>
      <c r="E279" s="2071">
        <f t="shared" si="60"/>
        <v>11265.2</v>
      </c>
      <c r="F279" s="2071"/>
      <c r="G279" s="2071">
        <f t="shared" si="60"/>
        <v>11265.2</v>
      </c>
      <c r="H279" s="2071"/>
      <c r="I279" s="2071"/>
      <c r="J279" s="2071"/>
      <c r="K279" s="2071"/>
      <c r="L279" s="2071">
        <v>2</v>
      </c>
      <c r="M279" s="2071"/>
      <c r="N279" s="2735"/>
      <c r="O279" s="2764"/>
      <c r="P279" s="2719">
        <f t="shared" si="59"/>
        <v>1</v>
      </c>
      <c r="Q279" s="2139">
        <v>1706.65</v>
      </c>
      <c r="R279" s="2071">
        <f t="shared" si="56"/>
        <v>1707</v>
      </c>
      <c r="S279" s="2139"/>
      <c r="T279" s="2071">
        <f t="shared" si="61"/>
        <v>1707</v>
      </c>
    </row>
    <row r="280" spans="1:20">
      <c r="A280" s="2074">
        <v>271</v>
      </c>
      <c r="B280" s="2068" t="s">
        <v>2620</v>
      </c>
      <c r="C280" s="2069" t="s">
        <v>2622</v>
      </c>
      <c r="D280" s="2068" t="s">
        <v>1268</v>
      </c>
      <c r="E280" s="2071">
        <f t="shared" si="60"/>
        <v>11265.2</v>
      </c>
      <c r="F280" s="2071"/>
      <c r="G280" s="2071">
        <f t="shared" si="60"/>
        <v>11265.2</v>
      </c>
      <c r="H280" s="2071"/>
      <c r="I280" s="2071"/>
      <c r="J280" s="2071"/>
      <c r="K280" s="2071"/>
      <c r="L280" s="2071">
        <v>6</v>
      </c>
      <c r="M280" s="2068"/>
      <c r="N280" s="2735"/>
      <c r="O280" s="2764"/>
      <c r="P280" s="2719">
        <f t="shared" si="59"/>
        <v>3</v>
      </c>
      <c r="Q280" s="2139">
        <v>1241.2</v>
      </c>
      <c r="R280" s="2071">
        <f t="shared" si="56"/>
        <v>3724</v>
      </c>
      <c r="S280" s="2139"/>
      <c r="T280" s="2071">
        <f t="shared" si="61"/>
        <v>3724</v>
      </c>
    </row>
    <row r="281" spans="1:20">
      <c r="A281" s="2074">
        <v>272</v>
      </c>
      <c r="B281" s="2068" t="s">
        <v>2620</v>
      </c>
      <c r="C281" s="2069" t="s">
        <v>2623</v>
      </c>
      <c r="D281" s="2068" t="s">
        <v>1268</v>
      </c>
      <c r="E281" s="2071">
        <f t="shared" si="60"/>
        <v>11265.2</v>
      </c>
      <c r="F281" s="2071"/>
      <c r="G281" s="2071">
        <f t="shared" si="60"/>
        <v>11265.2</v>
      </c>
      <c r="H281" s="2071"/>
      <c r="I281" s="2071"/>
      <c r="J281" s="2071"/>
      <c r="K281" s="2071"/>
      <c r="L281" s="2071">
        <v>4</v>
      </c>
      <c r="M281" s="2068"/>
      <c r="N281" s="2735">
        <v>18</v>
      </c>
      <c r="O281" s="2764"/>
      <c r="P281" s="2719">
        <f t="shared" si="59"/>
        <v>2</v>
      </c>
      <c r="Q281" s="2139">
        <v>775.75</v>
      </c>
      <c r="R281" s="2071">
        <f t="shared" si="56"/>
        <v>1552</v>
      </c>
      <c r="S281" s="2139"/>
      <c r="T281" s="2071">
        <f t="shared" si="61"/>
        <v>1552</v>
      </c>
    </row>
    <row r="282" spans="1:20" ht="12.75">
      <c r="A282" s="2074">
        <v>273</v>
      </c>
      <c r="B282" s="2085" t="s">
        <v>2624</v>
      </c>
      <c r="C282" s="2086" t="s">
        <v>2625</v>
      </c>
      <c r="D282" s="2087" t="s">
        <v>1268</v>
      </c>
      <c r="E282" s="2088"/>
      <c r="F282" s="1820"/>
      <c r="G282" s="2127">
        <f>E282</f>
        <v>0</v>
      </c>
      <c r="H282" s="1820"/>
      <c r="I282" s="1820"/>
      <c r="J282" s="1820"/>
      <c r="K282" s="1820"/>
      <c r="L282" s="2128">
        <v>1</v>
      </c>
      <c r="M282" s="1742"/>
      <c r="N282" s="2739"/>
      <c r="O282" s="2767"/>
      <c r="P282" s="1664">
        <f>ROUND((L282-O282)/2,0)</f>
        <v>1</v>
      </c>
      <c r="Q282" s="2139">
        <v>128.4</v>
      </c>
      <c r="R282" s="2071">
        <f t="shared" si="56"/>
        <v>128</v>
      </c>
      <c r="S282" s="2139"/>
      <c r="T282" s="2071">
        <f t="shared" si="61"/>
        <v>128</v>
      </c>
    </row>
    <row r="283" spans="1:20" ht="25.5">
      <c r="A283" s="2074">
        <v>274</v>
      </c>
      <c r="B283" s="2085" t="s">
        <v>2626</v>
      </c>
      <c r="C283" s="2086" t="s">
        <v>2627</v>
      </c>
      <c r="D283" s="2087" t="s">
        <v>2295</v>
      </c>
      <c r="E283" s="2127"/>
      <c r="F283" s="1820"/>
      <c r="G283" s="2127">
        <f t="shared" ref="G283:G324" si="62">E283</f>
        <v>0</v>
      </c>
      <c r="H283" s="1820"/>
      <c r="I283" s="1820"/>
      <c r="J283" s="1820"/>
      <c r="K283" s="1820"/>
      <c r="L283" s="2128">
        <v>2</v>
      </c>
      <c r="M283" s="1742"/>
      <c r="N283" s="2739"/>
      <c r="O283" s="2767"/>
      <c r="P283" s="1664">
        <f t="shared" ref="P283:P301" si="63">ROUND((L283-O283)/2,0)</f>
        <v>1</v>
      </c>
      <c r="Q283" s="2139">
        <v>4280</v>
      </c>
      <c r="R283" s="2071">
        <f t="shared" si="56"/>
        <v>4280</v>
      </c>
      <c r="S283" s="2139"/>
      <c r="T283" s="2071">
        <f t="shared" si="61"/>
        <v>4280</v>
      </c>
    </row>
    <row r="284" spans="1:20" ht="12.75">
      <c r="A284" s="2074">
        <v>275</v>
      </c>
      <c r="B284" s="2085" t="s">
        <v>2628</v>
      </c>
      <c r="C284" s="2086" t="s">
        <v>2629</v>
      </c>
      <c r="D284" s="2087" t="s">
        <v>1268</v>
      </c>
      <c r="E284" s="2127"/>
      <c r="F284" s="1820"/>
      <c r="G284" s="2127">
        <f t="shared" si="62"/>
        <v>0</v>
      </c>
      <c r="H284" s="1820"/>
      <c r="I284" s="1820"/>
      <c r="J284" s="1820"/>
      <c r="K284" s="1820"/>
      <c r="L284" s="2128">
        <v>2</v>
      </c>
      <c r="M284" s="1742"/>
      <c r="N284" s="2739"/>
      <c r="O284" s="2767"/>
      <c r="P284" s="1664">
        <f t="shared" si="63"/>
        <v>1</v>
      </c>
      <c r="Q284" s="2139">
        <v>5350</v>
      </c>
      <c r="R284" s="2071">
        <f t="shared" si="56"/>
        <v>5350</v>
      </c>
      <c r="S284" s="2139"/>
      <c r="T284" s="2071">
        <f t="shared" si="61"/>
        <v>5350</v>
      </c>
    </row>
    <row r="285" spans="1:20" ht="12.75">
      <c r="A285" s="2074">
        <v>276</v>
      </c>
      <c r="B285" s="2085" t="s">
        <v>2630</v>
      </c>
      <c r="C285" s="2086" t="s">
        <v>2631</v>
      </c>
      <c r="D285" s="2087" t="s">
        <v>1994</v>
      </c>
      <c r="E285" s="2127"/>
      <c r="F285" s="1820"/>
      <c r="G285" s="2127">
        <f t="shared" si="62"/>
        <v>0</v>
      </c>
      <c r="H285" s="1820"/>
      <c r="I285" s="1820"/>
      <c r="J285" s="1820"/>
      <c r="K285" s="1820"/>
      <c r="L285" s="2128">
        <v>500</v>
      </c>
      <c r="M285" s="1742"/>
      <c r="N285" s="2739"/>
      <c r="O285" s="2767"/>
      <c r="P285" s="1664">
        <f t="shared" si="63"/>
        <v>250</v>
      </c>
      <c r="Q285" s="2139">
        <v>101.65</v>
      </c>
      <c r="R285" s="2071">
        <f t="shared" si="56"/>
        <v>25413</v>
      </c>
      <c r="S285" s="2139"/>
      <c r="T285" s="2071">
        <f t="shared" si="61"/>
        <v>25413</v>
      </c>
    </row>
    <row r="286" spans="1:20" ht="12.75">
      <c r="A286" s="2074">
        <v>277</v>
      </c>
      <c r="B286" s="2085" t="s">
        <v>2630</v>
      </c>
      <c r="C286" s="2086" t="s">
        <v>2632</v>
      </c>
      <c r="D286" s="2087" t="s">
        <v>1994</v>
      </c>
      <c r="E286" s="2127"/>
      <c r="F286" s="1820"/>
      <c r="G286" s="2127">
        <f t="shared" si="62"/>
        <v>0</v>
      </c>
      <c r="H286" s="1820"/>
      <c r="I286" s="1820"/>
      <c r="J286" s="1820"/>
      <c r="K286" s="1820"/>
      <c r="L286" s="2128">
        <v>500</v>
      </c>
      <c r="M286" s="1742"/>
      <c r="N286" s="2739"/>
      <c r="O286" s="2767"/>
      <c r="P286" s="1664">
        <f t="shared" si="63"/>
        <v>250</v>
      </c>
      <c r="Q286" s="2139">
        <v>112.35</v>
      </c>
      <c r="R286" s="2071">
        <f t="shared" si="56"/>
        <v>28088</v>
      </c>
      <c r="S286" s="2139"/>
      <c r="T286" s="2071">
        <f t="shared" si="61"/>
        <v>28088</v>
      </c>
    </row>
    <row r="287" spans="1:20" ht="25.5">
      <c r="A287" s="2074">
        <v>278</v>
      </c>
      <c r="B287" s="2085" t="s">
        <v>2633</v>
      </c>
      <c r="C287" s="2086" t="s">
        <v>2634</v>
      </c>
      <c r="D287" s="2087" t="s">
        <v>1022</v>
      </c>
      <c r="E287" s="2127"/>
      <c r="F287" s="1820"/>
      <c r="G287" s="2127">
        <f t="shared" si="62"/>
        <v>0</v>
      </c>
      <c r="H287" s="1820"/>
      <c r="I287" s="1820"/>
      <c r="J287" s="1820"/>
      <c r="K287" s="1820"/>
      <c r="L287" s="2128">
        <v>6</v>
      </c>
      <c r="M287" s="1742"/>
      <c r="N287" s="2739"/>
      <c r="O287" s="2767"/>
      <c r="P287" s="1664">
        <f t="shared" si="63"/>
        <v>3</v>
      </c>
      <c r="Q287" s="2139">
        <v>21400</v>
      </c>
      <c r="R287" s="2071">
        <f t="shared" si="56"/>
        <v>64200</v>
      </c>
      <c r="S287" s="2139"/>
      <c r="T287" s="2071">
        <f t="shared" si="61"/>
        <v>64200</v>
      </c>
    </row>
    <row r="288" spans="1:20" ht="25.5">
      <c r="A288" s="2074">
        <v>279</v>
      </c>
      <c r="B288" s="2085" t="s">
        <v>2633</v>
      </c>
      <c r="C288" s="2086" t="s">
        <v>2635</v>
      </c>
      <c r="D288" s="2090" t="s">
        <v>1268</v>
      </c>
      <c r="E288" s="2127"/>
      <c r="F288" s="1820"/>
      <c r="G288" s="2127">
        <f t="shared" si="62"/>
        <v>0</v>
      </c>
      <c r="H288" s="1820"/>
      <c r="I288" s="1820"/>
      <c r="J288" s="1820"/>
      <c r="K288" s="1820"/>
      <c r="L288" s="2128">
        <v>4</v>
      </c>
      <c r="M288" s="1742"/>
      <c r="N288" s="2739"/>
      <c r="O288" s="2767"/>
      <c r="P288" s="1664">
        <f t="shared" si="63"/>
        <v>2</v>
      </c>
      <c r="Q288" s="2139">
        <v>24610</v>
      </c>
      <c r="R288" s="2071">
        <f t="shared" si="56"/>
        <v>49220</v>
      </c>
      <c r="S288" s="2139"/>
      <c r="T288" s="2071">
        <f t="shared" si="61"/>
        <v>49220</v>
      </c>
    </row>
    <row r="289" spans="1:20" ht="12.75">
      <c r="A289" s="2074">
        <v>280</v>
      </c>
      <c r="B289" s="2085" t="s">
        <v>1495</v>
      </c>
      <c r="C289" s="2089" t="s">
        <v>2636</v>
      </c>
      <c r="D289" s="2090" t="s">
        <v>1268</v>
      </c>
      <c r="E289" s="2127"/>
      <c r="F289" s="1820"/>
      <c r="G289" s="2127">
        <f t="shared" si="62"/>
        <v>0</v>
      </c>
      <c r="H289" s="1820"/>
      <c r="I289" s="1820"/>
      <c r="J289" s="1820"/>
      <c r="K289" s="1820"/>
      <c r="L289" s="2128">
        <v>500</v>
      </c>
      <c r="M289" s="1742"/>
      <c r="N289" s="2739"/>
      <c r="O289" s="2767"/>
      <c r="P289" s="1664">
        <f t="shared" si="63"/>
        <v>250</v>
      </c>
      <c r="Q289" s="2139">
        <v>1070</v>
      </c>
      <c r="R289" s="2071">
        <f t="shared" si="56"/>
        <v>267500</v>
      </c>
      <c r="S289" s="2139"/>
      <c r="T289" s="2071">
        <f t="shared" si="61"/>
        <v>267500</v>
      </c>
    </row>
    <row r="290" spans="1:20" ht="12.75">
      <c r="A290" s="2074">
        <v>281</v>
      </c>
      <c r="B290" s="2085" t="s">
        <v>2595</v>
      </c>
      <c r="C290" s="2089" t="s">
        <v>2637</v>
      </c>
      <c r="D290" s="2090" t="s">
        <v>1268</v>
      </c>
      <c r="E290" s="2127"/>
      <c r="F290" s="1610"/>
      <c r="G290" s="2127">
        <f t="shared" si="62"/>
        <v>0</v>
      </c>
      <c r="H290" s="1610"/>
      <c r="I290" s="1820"/>
      <c r="J290" s="1820"/>
      <c r="K290" s="1610"/>
      <c r="L290" s="2128">
        <v>160</v>
      </c>
      <c r="M290" s="1664">
        <f>W290</f>
        <v>0</v>
      </c>
      <c r="N290" s="2740"/>
      <c r="O290" s="2768"/>
      <c r="P290" s="1664">
        <f t="shared" si="63"/>
        <v>80</v>
      </c>
      <c r="Q290" s="2139">
        <v>2247</v>
      </c>
      <c r="R290" s="2071">
        <f t="shared" si="56"/>
        <v>179760</v>
      </c>
      <c r="S290" s="2139"/>
      <c r="T290" s="2071">
        <f t="shared" si="61"/>
        <v>179760</v>
      </c>
    </row>
    <row r="291" spans="1:20" ht="12.75">
      <c r="A291" s="2074">
        <v>282</v>
      </c>
      <c r="B291" s="2085" t="s">
        <v>2638</v>
      </c>
      <c r="C291" s="2089" t="s">
        <v>2639</v>
      </c>
      <c r="D291" s="2090" t="s">
        <v>1022</v>
      </c>
      <c r="E291" s="2127"/>
      <c r="F291" s="1610"/>
      <c r="G291" s="2127">
        <f t="shared" si="62"/>
        <v>0</v>
      </c>
      <c r="H291" s="1610"/>
      <c r="I291" s="1820"/>
      <c r="J291" s="1820"/>
      <c r="K291" s="1610"/>
      <c r="L291" s="2128">
        <v>10</v>
      </c>
      <c r="M291" s="1742"/>
      <c r="N291" s="2740"/>
      <c r="O291" s="2768"/>
      <c r="P291" s="1664">
        <f t="shared" si="63"/>
        <v>5</v>
      </c>
      <c r="Q291" s="2139">
        <v>8025</v>
      </c>
      <c r="R291" s="2071">
        <f t="shared" si="56"/>
        <v>40125</v>
      </c>
      <c r="S291" s="2139"/>
      <c r="T291" s="2071">
        <f t="shared" si="61"/>
        <v>40125</v>
      </c>
    </row>
    <row r="292" spans="1:20" ht="25.5">
      <c r="A292" s="2074">
        <v>283</v>
      </c>
      <c r="B292" s="2085" t="s">
        <v>2595</v>
      </c>
      <c r="C292" s="2089" t="s">
        <v>2640</v>
      </c>
      <c r="D292" s="2090" t="s">
        <v>1022</v>
      </c>
      <c r="E292" s="2127"/>
      <c r="F292" s="1610"/>
      <c r="G292" s="2127">
        <f t="shared" si="62"/>
        <v>0</v>
      </c>
      <c r="H292" s="1610"/>
      <c r="I292" s="1820"/>
      <c r="J292" s="1820"/>
      <c r="K292" s="1610"/>
      <c r="L292" s="2128">
        <v>25</v>
      </c>
      <c r="M292" s="1742"/>
      <c r="N292" s="2740"/>
      <c r="O292" s="2768"/>
      <c r="P292" s="1664">
        <f t="shared" si="63"/>
        <v>13</v>
      </c>
      <c r="Q292" s="2139">
        <v>4815</v>
      </c>
      <c r="R292" s="2071">
        <f t="shared" si="56"/>
        <v>62595</v>
      </c>
      <c r="S292" s="2139"/>
      <c r="T292" s="2071">
        <f t="shared" si="61"/>
        <v>62595</v>
      </c>
    </row>
    <row r="293" spans="1:20" ht="12.75">
      <c r="A293" s="2074">
        <v>284</v>
      </c>
      <c r="B293" s="2085" t="s">
        <v>2641</v>
      </c>
      <c r="C293" s="2089" t="s">
        <v>2642</v>
      </c>
      <c r="D293" s="2090" t="s">
        <v>1022</v>
      </c>
      <c r="E293" s="2127"/>
      <c r="F293" s="1820"/>
      <c r="G293" s="2127">
        <f t="shared" si="62"/>
        <v>0</v>
      </c>
      <c r="H293" s="1820"/>
      <c r="I293" s="1820"/>
      <c r="J293" s="1820"/>
      <c r="K293" s="1820"/>
      <c r="L293" s="2128">
        <v>20</v>
      </c>
      <c r="M293" s="1742"/>
      <c r="N293" s="2739"/>
      <c r="O293" s="2767"/>
      <c r="P293" s="1664">
        <f t="shared" si="63"/>
        <v>10</v>
      </c>
      <c r="Q293" s="2139">
        <v>481.5</v>
      </c>
      <c r="R293" s="2071">
        <f t="shared" si="56"/>
        <v>4815</v>
      </c>
      <c r="S293" s="2139"/>
      <c r="T293" s="2071">
        <f t="shared" si="61"/>
        <v>4815</v>
      </c>
    </row>
    <row r="294" spans="1:20" ht="12.75">
      <c r="A294" s="2074">
        <v>285</v>
      </c>
      <c r="B294" s="2085" t="s">
        <v>2643</v>
      </c>
      <c r="C294" s="2089" t="s">
        <v>2644</v>
      </c>
      <c r="D294" s="2090" t="s">
        <v>2645</v>
      </c>
      <c r="E294" s="2127"/>
      <c r="F294" s="1610"/>
      <c r="G294" s="2127">
        <f t="shared" si="62"/>
        <v>0</v>
      </c>
      <c r="H294" s="1610"/>
      <c r="I294" s="1820"/>
      <c r="J294" s="1820"/>
      <c r="K294" s="1610"/>
      <c r="L294" s="2128">
        <v>10</v>
      </c>
      <c r="M294" s="1742"/>
      <c r="N294" s="2740"/>
      <c r="O294" s="2768"/>
      <c r="P294" s="1664">
        <f t="shared" si="63"/>
        <v>5</v>
      </c>
      <c r="Q294" s="2139">
        <v>160.5</v>
      </c>
      <c r="R294" s="2071">
        <f t="shared" si="56"/>
        <v>803</v>
      </c>
      <c r="S294" s="2139"/>
      <c r="T294" s="2071">
        <f t="shared" si="61"/>
        <v>803</v>
      </c>
    </row>
    <row r="295" spans="1:20" ht="25.5">
      <c r="A295" s="2074">
        <v>286</v>
      </c>
      <c r="B295" s="2085" t="s">
        <v>2646</v>
      </c>
      <c r="C295" s="2089" t="s">
        <v>2647</v>
      </c>
      <c r="D295" s="2090" t="s">
        <v>1022</v>
      </c>
      <c r="E295" s="2127"/>
      <c r="F295" s="1820"/>
      <c r="G295" s="2127">
        <f t="shared" si="62"/>
        <v>0</v>
      </c>
      <c r="H295" s="1820"/>
      <c r="I295" s="1820"/>
      <c r="J295" s="1820"/>
      <c r="K295" s="1820"/>
      <c r="L295" s="2128">
        <v>60</v>
      </c>
      <c r="M295" s="1742"/>
      <c r="N295" s="2739"/>
      <c r="O295" s="2767"/>
      <c r="P295" s="1664">
        <f t="shared" si="63"/>
        <v>30</v>
      </c>
      <c r="Q295" s="2139">
        <v>1070</v>
      </c>
      <c r="R295" s="2071">
        <f t="shared" ref="R295:R324" si="64">ROUND(P295*Q295,0)</f>
        <v>32100</v>
      </c>
      <c r="S295" s="2139"/>
      <c r="T295" s="2071">
        <f t="shared" si="61"/>
        <v>32100</v>
      </c>
    </row>
    <row r="296" spans="1:20" ht="25.5">
      <c r="A296" s="2074">
        <v>287</v>
      </c>
      <c r="B296" s="2085" t="s">
        <v>2646</v>
      </c>
      <c r="C296" s="2089" t="s">
        <v>2648</v>
      </c>
      <c r="D296" s="2090" t="s">
        <v>1268</v>
      </c>
      <c r="E296" s="2127"/>
      <c r="F296" s="1820"/>
      <c r="G296" s="2127">
        <f t="shared" si="62"/>
        <v>0</v>
      </c>
      <c r="H296" s="1820"/>
      <c r="I296" s="1820"/>
      <c r="J296" s="1820"/>
      <c r="K296" s="1820"/>
      <c r="L296" s="2128">
        <v>20</v>
      </c>
      <c r="M296" s="1742"/>
      <c r="N296" s="2739"/>
      <c r="O296" s="2767"/>
      <c r="P296" s="1664">
        <f t="shared" si="63"/>
        <v>10</v>
      </c>
      <c r="Q296" s="2139">
        <v>1070</v>
      </c>
      <c r="R296" s="2071">
        <f t="shared" si="64"/>
        <v>10700</v>
      </c>
      <c r="S296" s="2139"/>
      <c r="T296" s="2071">
        <f t="shared" si="61"/>
        <v>10700</v>
      </c>
    </row>
    <row r="297" spans="1:20" ht="12.75">
      <c r="A297" s="2074">
        <v>288</v>
      </c>
      <c r="B297" s="2085" t="s">
        <v>2649</v>
      </c>
      <c r="C297" s="2089" t="s">
        <v>2650</v>
      </c>
      <c r="D297" s="2090" t="s">
        <v>1268</v>
      </c>
      <c r="E297" s="2127"/>
      <c r="F297" s="1820"/>
      <c r="G297" s="2127">
        <f t="shared" si="62"/>
        <v>0</v>
      </c>
      <c r="H297" s="1820"/>
      <c r="I297" s="1820"/>
      <c r="J297" s="1820"/>
      <c r="K297" s="1820"/>
      <c r="L297" s="2128">
        <v>1</v>
      </c>
      <c r="M297" s="1742"/>
      <c r="N297" s="2739"/>
      <c r="O297" s="2767"/>
      <c r="P297" s="1664">
        <f t="shared" si="63"/>
        <v>1</v>
      </c>
      <c r="Q297" s="2139">
        <v>10700</v>
      </c>
      <c r="R297" s="2071">
        <f t="shared" si="64"/>
        <v>10700</v>
      </c>
      <c r="S297" s="2139"/>
      <c r="T297" s="2071">
        <f t="shared" si="61"/>
        <v>10700</v>
      </c>
    </row>
    <row r="298" spans="1:20" ht="25.5">
      <c r="A298" s="2074">
        <v>289</v>
      </c>
      <c r="B298" s="2085" t="s">
        <v>2646</v>
      </c>
      <c r="C298" s="2089" t="s">
        <v>2651</v>
      </c>
      <c r="D298" s="2090" t="s">
        <v>1268</v>
      </c>
      <c r="E298" s="2127"/>
      <c r="F298" s="1820"/>
      <c r="G298" s="2127">
        <f t="shared" si="62"/>
        <v>0</v>
      </c>
      <c r="H298" s="1820"/>
      <c r="I298" s="1820"/>
      <c r="J298" s="1820"/>
      <c r="K298" s="1820"/>
      <c r="L298" s="2128">
        <v>24</v>
      </c>
      <c r="M298" s="1742"/>
      <c r="N298" s="2739"/>
      <c r="O298" s="2767"/>
      <c r="P298" s="1664">
        <f t="shared" si="63"/>
        <v>12</v>
      </c>
      <c r="Q298" s="2139">
        <v>1070</v>
      </c>
      <c r="R298" s="2071">
        <f t="shared" si="64"/>
        <v>12840</v>
      </c>
      <c r="S298" s="2139"/>
      <c r="T298" s="2071">
        <f t="shared" si="61"/>
        <v>12840</v>
      </c>
    </row>
    <row r="299" spans="1:20" ht="25.5">
      <c r="A299" s="2074">
        <v>290</v>
      </c>
      <c r="B299" s="2085" t="s">
        <v>2652</v>
      </c>
      <c r="C299" s="2089" t="s">
        <v>2653</v>
      </c>
      <c r="D299" s="2090" t="s">
        <v>1268</v>
      </c>
      <c r="E299" s="2127"/>
      <c r="F299" s="1610"/>
      <c r="G299" s="2127">
        <f t="shared" si="62"/>
        <v>0</v>
      </c>
      <c r="H299" s="1610"/>
      <c r="I299" s="1820"/>
      <c r="J299" s="1820"/>
      <c r="K299" s="1610"/>
      <c r="L299" s="2128">
        <v>20</v>
      </c>
      <c r="M299" s="1742"/>
      <c r="N299" s="2740"/>
      <c r="O299" s="2768"/>
      <c r="P299" s="1664">
        <f t="shared" si="63"/>
        <v>10</v>
      </c>
      <c r="Q299" s="2139">
        <v>1712</v>
      </c>
      <c r="R299" s="2071">
        <f t="shared" si="64"/>
        <v>17120</v>
      </c>
      <c r="S299" s="2139"/>
      <c r="T299" s="2071">
        <f t="shared" si="61"/>
        <v>17120</v>
      </c>
    </row>
    <row r="300" spans="1:20" ht="25.5">
      <c r="A300" s="2074">
        <v>291</v>
      </c>
      <c r="B300" s="2085" t="s">
        <v>2654</v>
      </c>
      <c r="C300" s="2089" t="s">
        <v>2655</v>
      </c>
      <c r="D300" s="2090" t="s">
        <v>1268</v>
      </c>
      <c r="E300" s="2127"/>
      <c r="F300" s="1820"/>
      <c r="G300" s="2127">
        <f t="shared" si="62"/>
        <v>0</v>
      </c>
      <c r="H300" s="1820"/>
      <c r="I300" s="1820"/>
      <c r="J300" s="1820"/>
      <c r="K300" s="1820"/>
      <c r="L300" s="2128">
        <v>1</v>
      </c>
      <c r="M300" s="1742"/>
      <c r="N300" s="2739"/>
      <c r="O300" s="2767"/>
      <c r="P300" s="1664">
        <f t="shared" si="63"/>
        <v>1</v>
      </c>
      <c r="Q300" s="2139">
        <v>6634</v>
      </c>
      <c r="R300" s="2071">
        <f t="shared" si="64"/>
        <v>6634</v>
      </c>
      <c r="S300" s="2139"/>
      <c r="T300" s="2071">
        <f t="shared" si="61"/>
        <v>6634</v>
      </c>
    </row>
    <row r="301" spans="1:20" ht="12.75">
      <c r="A301" s="2074">
        <v>292</v>
      </c>
      <c r="B301" s="2085" t="s">
        <v>2656</v>
      </c>
      <c r="C301" s="2089" t="s">
        <v>2657</v>
      </c>
      <c r="D301" s="2090" t="s">
        <v>1268</v>
      </c>
      <c r="E301" s="2127"/>
      <c r="F301" s="1820"/>
      <c r="G301" s="2127">
        <f t="shared" si="62"/>
        <v>0</v>
      </c>
      <c r="H301" s="1820"/>
      <c r="I301" s="1820"/>
      <c r="J301" s="1820"/>
      <c r="K301" s="1820"/>
      <c r="L301" s="2128">
        <v>10</v>
      </c>
      <c r="M301" s="1742"/>
      <c r="N301" s="2739"/>
      <c r="O301" s="2767"/>
      <c r="P301" s="1664">
        <f t="shared" si="63"/>
        <v>5</v>
      </c>
      <c r="Q301" s="2139">
        <v>2140</v>
      </c>
      <c r="R301" s="2071">
        <f t="shared" si="64"/>
        <v>10700</v>
      </c>
      <c r="S301" s="2139"/>
      <c r="T301" s="2071">
        <f t="shared" si="61"/>
        <v>10700</v>
      </c>
    </row>
    <row r="302" spans="1:20" ht="13.5">
      <c r="A302" s="2074">
        <v>293</v>
      </c>
      <c r="B302" s="2157" t="s">
        <v>2658</v>
      </c>
      <c r="C302" s="2089"/>
      <c r="D302" s="2090"/>
      <c r="E302" s="2127"/>
      <c r="F302" s="1820"/>
      <c r="G302" s="2127"/>
      <c r="H302" s="1820"/>
      <c r="I302" s="1820"/>
      <c r="J302" s="1820"/>
      <c r="K302" s="1820"/>
      <c r="L302" s="2128"/>
      <c r="M302" s="1742"/>
      <c r="N302" s="2739"/>
      <c r="O302" s="2767"/>
      <c r="P302" s="1664"/>
      <c r="Q302" s="2139">
        <v>0</v>
      </c>
      <c r="R302" s="2071">
        <f t="shared" si="64"/>
        <v>0</v>
      </c>
      <c r="S302" s="2139"/>
      <c r="T302" s="2071">
        <f t="shared" si="61"/>
        <v>0</v>
      </c>
    </row>
    <row r="303" spans="1:20" ht="12.75">
      <c r="A303" s="2074">
        <v>294</v>
      </c>
      <c r="B303" s="2085" t="s">
        <v>2343</v>
      </c>
      <c r="C303" s="2089" t="s">
        <v>2659</v>
      </c>
      <c r="D303" s="2090" t="s">
        <v>1268</v>
      </c>
      <c r="E303" s="2127"/>
      <c r="F303" s="1610"/>
      <c r="G303" s="2127">
        <f t="shared" si="62"/>
        <v>0</v>
      </c>
      <c r="H303" s="1820"/>
      <c r="I303" s="1820"/>
      <c r="J303" s="1820"/>
      <c r="K303" s="1820"/>
      <c r="L303" s="2128">
        <v>12</v>
      </c>
      <c r="M303" s="1742"/>
      <c r="N303" s="2739"/>
      <c r="O303" s="2767"/>
      <c r="P303" s="1664">
        <f>ROUND((L303-O303)/2,0)</f>
        <v>6</v>
      </c>
      <c r="Q303" s="2139">
        <v>2140</v>
      </c>
      <c r="R303" s="2071">
        <f t="shared" si="64"/>
        <v>12840</v>
      </c>
      <c r="S303" s="2139"/>
      <c r="T303" s="2071">
        <f t="shared" si="61"/>
        <v>12840</v>
      </c>
    </row>
    <row r="304" spans="1:20" ht="12.75">
      <c r="A304" s="2074">
        <v>295</v>
      </c>
      <c r="B304" s="2085" t="s">
        <v>2660</v>
      </c>
      <c r="C304" s="2089" t="s">
        <v>2661</v>
      </c>
      <c r="D304" s="2090" t="s">
        <v>1395</v>
      </c>
      <c r="E304" s="2127"/>
      <c r="F304" s="1610"/>
      <c r="G304" s="2127">
        <f t="shared" si="62"/>
        <v>0</v>
      </c>
      <c r="H304" s="1610"/>
      <c r="I304" s="1820"/>
      <c r="J304" s="1820"/>
      <c r="K304" s="1610"/>
      <c r="L304" s="2128">
        <v>10</v>
      </c>
      <c r="M304" s="1742"/>
      <c r="N304" s="2740"/>
      <c r="O304" s="2768"/>
      <c r="P304" s="1664">
        <f t="shared" ref="P304:P324" si="65">ROUND((L304-O304)/2,0)</f>
        <v>5</v>
      </c>
      <c r="Q304" s="2139">
        <v>1754.8</v>
      </c>
      <c r="R304" s="2071">
        <f t="shared" si="64"/>
        <v>8774</v>
      </c>
      <c r="S304" s="2139"/>
      <c r="T304" s="2071">
        <f t="shared" si="61"/>
        <v>8774</v>
      </c>
    </row>
    <row r="305" spans="1:20" ht="12.75">
      <c r="A305" s="2074">
        <v>296</v>
      </c>
      <c r="B305" s="2085" t="s">
        <v>2662</v>
      </c>
      <c r="C305" s="2089" t="s">
        <v>2663</v>
      </c>
      <c r="D305" s="2090" t="s">
        <v>1268</v>
      </c>
      <c r="E305" s="2127"/>
      <c r="F305" s="1820"/>
      <c r="G305" s="2127">
        <f t="shared" si="62"/>
        <v>0</v>
      </c>
      <c r="H305" s="1820"/>
      <c r="I305" s="1820"/>
      <c r="J305" s="1820"/>
      <c r="K305" s="1820"/>
      <c r="L305" s="2128">
        <v>1</v>
      </c>
      <c r="M305" s="1742"/>
      <c r="N305" s="2739"/>
      <c r="O305" s="2767"/>
      <c r="P305" s="1664">
        <f t="shared" si="65"/>
        <v>1</v>
      </c>
      <c r="Q305" s="2139">
        <v>8346</v>
      </c>
      <c r="R305" s="2071">
        <f t="shared" si="64"/>
        <v>8346</v>
      </c>
      <c r="S305" s="2139"/>
      <c r="T305" s="2071">
        <f t="shared" si="61"/>
        <v>8346</v>
      </c>
    </row>
    <row r="306" spans="1:20" ht="12.75">
      <c r="A306" s="2074">
        <v>297</v>
      </c>
      <c r="B306" s="2085" t="s">
        <v>2664</v>
      </c>
      <c r="C306" s="2089"/>
      <c r="D306" s="2090" t="s">
        <v>1395</v>
      </c>
      <c r="E306" s="2127"/>
      <c r="F306" s="1820"/>
      <c r="G306" s="2127">
        <f t="shared" si="62"/>
        <v>0</v>
      </c>
      <c r="H306" s="1820"/>
      <c r="I306" s="1820"/>
      <c r="J306" s="1820"/>
      <c r="K306" s="1820"/>
      <c r="L306" s="2128">
        <v>6</v>
      </c>
      <c r="M306" s="1742"/>
      <c r="N306" s="2739"/>
      <c r="O306" s="2767"/>
      <c r="P306" s="1664">
        <f t="shared" si="65"/>
        <v>3</v>
      </c>
      <c r="Q306" s="2139">
        <v>1754.8</v>
      </c>
      <c r="R306" s="2071">
        <f t="shared" si="64"/>
        <v>5264</v>
      </c>
      <c r="S306" s="2139"/>
      <c r="T306" s="2071">
        <f t="shared" si="61"/>
        <v>5264</v>
      </c>
    </row>
    <row r="307" spans="1:20" ht="25.5">
      <c r="A307" s="2074">
        <v>298</v>
      </c>
      <c r="B307" s="2085" t="s">
        <v>2665</v>
      </c>
      <c r="C307" s="2089" t="s">
        <v>2666</v>
      </c>
      <c r="D307" s="2090" t="s">
        <v>1268</v>
      </c>
      <c r="E307" s="2127"/>
      <c r="F307" s="1820"/>
      <c r="G307" s="2127">
        <f t="shared" si="62"/>
        <v>0</v>
      </c>
      <c r="H307" s="1820"/>
      <c r="I307" s="1820"/>
      <c r="J307" s="1820"/>
      <c r="K307" s="1820"/>
      <c r="L307" s="2128">
        <v>6</v>
      </c>
      <c r="M307" s="1742"/>
      <c r="N307" s="2739"/>
      <c r="O307" s="2767"/>
      <c r="P307" s="1664">
        <f t="shared" si="65"/>
        <v>3</v>
      </c>
      <c r="Q307" s="2139">
        <v>8560</v>
      </c>
      <c r="R307" s="2071">
        <f t="shared" si="64"/>
        <v>25680</v>
      </c>
      <c r="S307" s="2139"/>
      <c r="T307" s="2071">
        <f t="shared" si="61"/>
        <v>25680</v>
      </c>
    </row>
    <row r="308" spans="1:20" ht="12.75">
      <c r="A308" s="2074">
        <v>299</v>
      </c>
      <c r="B308" s="2085" t="s">
        <v>2667</v>
      </c>
      <c r="C308" s="2089" t="s">
        <v>2668</v>
      </c>
      <c r="D308" s="2090" t="s">
        <v>1268</v>
      </c>
      <c r="E308" s="2127"/>
      <c r="F308" s="1820"/>
      <c r="G308" s="2127">
        <f t="shared" si="62"/>
        <v>0</v>
      </c>
      <c r="H308" s="1820"/>
      <c r="I308" s="1820"/>
      <c r="J308" s="1820"/>
      <c r="K308" s="1820"/>
      <c r="L308" s="2128">
        <v>1</v>
      </c>
      <c r="M308" s="1742"/>
      <c r="N308" s="2739"/>
      <c r="O308" s="2767"/>
      <c r="P308" s="1664">
        <f t="shared" si="65"/>
        <v>1</v>
      </c>
      <c r="Q308" s="2139">
        <v>7490</v>
      </c>
      <c r="R308" s="2071">
        <f t="shared" si="64"/>
        <v>7490</v>
      </c>
      <c r="S308" s="2139"/>
      <c r="T308" s="2071">
        <f t="shared" si="61"/>
        <v>7490</v>
      </c>
    </row>
    <row r="309" spans="1:20" ht="12.75">
      <c r="A309" s="2074">
        <v>300</v>
      </c>
      <c r="B309" s="2085" t="s">
        <v>1320</v>
      </c>
      <c r="C309" s="2089" t="s">
        <v>2669</v>
      </c>
      <c r="D309" s="2090" t="s">
        <v>1268</v>
      </c>
      <c r="E309" s="2127"/>
      <c r="F309" s="1820"/>
      <c r="G309" s="2127">
        <f t="shared" si="62"/>
        <v>0</v>
      </c>
      <c r="H309" s="1820"/>
      <c r="I309" s="1820"/>
      <c r="J309" s="1820"/>
      <c r="K309" s="1820"/>
      <c r="L309" s="2128">
        <v>6</v>
      </c>
      <c r="M309" s="1742"/>
      <c r="N309" s="2739"/>
      <c r="O309" s="2767"/>
      <c r="P309" s="1664">
        <f t="shared" si="65"/>
        <v>3</v>
      </c>
      <c r="Q309" s="2139">
        <v>6955</v>
      </c>
      <c r="R309" s="2071">
        <f t="shared" si="64"/>
        <v>20865</v>
      </c>
      <c r="S309" s="2139"/>
      <c r="T309" s="2071">
        <f t="shared" si="61"/>
        <v>20865</v>
      </c>
    </row>
    <row r="310" spans="1:20" ht="12.75">
      <c r="A310" s="2074">
        <v>301</v>
      </c>
      <c r="B310" s="2085" t="s">
        <v>1320</v>
      </c>
      <c r="C310" s="2089" t="s">
        <v>2670</v>
      </c>
      <c r="D310" s="2090" t="s">
        <v>1268</v>
      </c>
      <c r="E310" s="2127"/>
      <c r="F310" s="1820"/>
      <c r="G310" s="2127">
        <f t="shared" si="62"/>
        <v>0</v>
      </c>
      <c r="H310" s="1820"/>
      <c r="I310" s="1820"/>
      <c r="J310" s="1820"/>
      <c r="K310" s="1820"/>
      <c r="L310" s="2128">
        <v>10</v>
      </c>
      <c r="M310" s="1742"/>
      <c r="N310" s="2739"/>
      <c r="O310" s="2767"/>
      <c r="P310" s="1664">
        <f t="shared" si="65"/>
        <v>5</v>
      </c>
      <c r="Q310" s="2139">
        <v>3745</v>
      </c>
      <c r="R310" s="2071">
        <f t="shared" si="64"/>
        <v>18725</v>
      </c>
      <c r="S310" s="2139"/>
      <c r="T310" s="2071">
        <f t="shared" si="61"/>
        <v>18725</v>
      </c>
    </row>
    <row r="311" spans="1:20" ht="25.5">
      <c r="A311" s="2074">
        <v>302</v>
      </c>
      <c r="B311" s="2085" t="s">
        <v>2341</v>
      </c>
      <c r="C311" s="2089" t="s">
        <v>2671</v>
      </c>
      <c r="D311" s="2090" t="s">
        <v>1268</v>
      </c>
      <c r="E311" s="2127"/>
      <c r="F311" s="1610"/>
      <c r="G311" s="2127">
        <f t="shared" si="62"/>
        <v>0</v>
      </c>
      <c r="H311" s="1610"/>
      <c r="I311" s="1820"/>
      <c r="J311" s="1820"/>
      <c r="K311" s="1610"/>
      <c r="L311" s="2128">
        <v>6</v>
      </c>
      <c r="M311" s="1742"/>
      <c r="N311" s="2740"/>
      <c r="O311" s="2768"/>
      <c r="P311" s="1664">
        <f t="shared" si="65"/>
        <v>3</v>
      </c>
      <c r="Q311" s="2139">
        <v>2675</v>
      </c>
      <c r="R311" s="2071">
        <f t="shared" si="64"/>
        <v>8025</v>
      </c>
      <c r="S311" s="2139"/>
      <c r="T311" s="2071">
        <f t="shared" si="61"/>
        <v>8025</v>
      </c>
    </row>
    <row r="312" spans="1:20" ht="12.75">
      <c r="A312" s="2074">
        <v>303</v>
      </c>
      <c r="B312" s="2085" t="s">
        <v>1320</v>
      </c>
      <c r="C312" s="2089" t="s">
        <v>2672</v>
      </c>
      <c r="D312" s="2090" t="s">
        <v>1268</v>
      </c>
      <c r="E312" s="2127"/>
      <c r="F312" s="1820"/>
      <c r="G312" s="2127">
        <f t="shared" si="62"/>
        <v>0</v>
      </c>
      <c r="H312" s="1820"/>
      <c r="I312" s="1820"/>
      <c r="J312" s="1820"/>
      <c r="K312" s="1820"/>
      <c r="L312" s="2128">
        <v>6</v>
      </c>
      <c r="M312" s="1742"/>
      <c r="N312" s="2739"/>
      <c r="O312" s="2767"/>
      <c r="P312" s="1664">
        <f t="shared" si="65"/>
        <v>3</v>
      </c>
      <c r="Q312" s="2139">
        <v>7276</v>
      </c>
      <c r="R312" s="2071">
        <f t="shared" si="64"/>
        <v>21828</v>
      </c>
      <c r="S312" s="2139"/>
      <c r="T312" s="2071">
        <f t="shared" si="61"/>
        <v>21828</v>
      </c>
    </row>
    <row r="313" spans="1:20" ht="12.75">
      <c r="A313" s="2074">
        <v>304</v>
      </c>
      <c r="B313" s="2085" t="s">
        <v>1687</v>
      </c>
      <c r="C313" s="2086" t="s">
        <v>2673</v>
      </c>
      <c r="D313" s="2090" t="s">
        <v>1395</v>
      </c>
      <c r="E313" s="2127"/>
      <c r="F313" s="1820"/>
      <c r="G313" s="2127">
        <f t="shared" si="62"/>
        <v>0</v>
      </c>
      <c r="H313" s="1820"/>
      <c r="I313" s="1820"/>
      <c r="J313" s="1820"/>
      <c r="K313" s="1820"/>
      <c r="L313" s="2128">
        <v>600</v>
      </c>
      <c r="M313" s="1742"/>
      <c r="N313" s="2739">
        <v>540</v>
      </c>
      <c r="O313" s="2767">
        <f>N313/2</f>
        <v>270</v>
      </c>
      <c r="P313" s="1664">
        <f t="shared" si="65"/>
        <v>165</v>
      </c>
      <c r="Q313" s="2139">
        <v>1819</v>
      </c>
      <c r="R313" s="2071">
        <f t="shared" si="64"/>
        <v>300135</v>
      </c>
      <c r="S313" s="2139"/>
      <c r="T313" s="2071">
        <f t="shared" si="61"/>
        <v>300135</v>
      </c>
    </row>
    <row r="314" spans="1:20" ht="12.75">
      <c r="A314" s="2074">
        <v>305</v>
      </c>
      <c r="B314" s="2085" t="s">
        <v>2649</v>
      </c>
      <c r="C314" s="2086" t="s">
        <v>2674</v>
      </c>
      <c r="D314" s="2090" t="s">
        <v>1022</v>
      </c>
      <c r="E314" s="2127"/>
      <c r="F314" s="1820"/>
      <c r="G314" s="2127">
        <f t="shared" si="62"/>
        <v>0</v>
      </c>
      <c r="H314" s="1820"/>
      <c r="I314" s="1820"/>
      <c r="J314" s="1820"/>
      <c r="K314" s="1820"/>
      <c r="L314" s="2128">
        <v>6</v>
      </c>
      <c r="M314" s="1742"/>
      <c r="N314" s="2739"/>
      <c r="O314" s="2767"/>
      <c r="P314" s="1664">
        <f t="shared" si="65"/>
        <v>3</v>
      </c>
      <c r="Q314" s="2139">
        <v>8560</v>
      </c>
      <c r="R314" s="2071">
        <f t="shared" si="64"/>
        <v>25680</v>
      </c>
      <c r="S314" s="2139"/>
      <c r="T314" s="2071">
        <f t="shared" si="61"/>
        <v>25680</v>
      </c>
    </row>
    <row r="315" spans="1:20" ht="12.75">
      <c r="A315" s="2074">
        <v>306</v>
      </c>
      <c r="B315" s="2085" t="s">
        <v>2595</v>
      </c>
      <c r="C315" s="2086" t="s">
        <v>2675</v>
      </c>
      <c r="D315" s="2090" t="s">
        <v>1022</v>
      </c>
      <c r="E315" s="2127"/>
      <c r="F315" s="1820"/>
      <c r="G315" s="2127">
        <f t="shared" si="62"/>
        <v>0</v>
      </c>
      <c r="H315" s="1820"/>
      <c r="I315" s="1820"/>
      <c r="J315" s="1820"/>
      <c r="K315" s="1820"/>
      <c r="L315" s="2128">
        <v>40</v>
      </c>
      <c r="M315" s="1742"/>
      <c r="N315" s="2739"/>
      <c r="O315" s="2767"/>
      <c r="P315" s="1664">
        <f t="shared" si="65"/>
        <v>20</v>
      </c>
      <c r="Q315" s="2139">
        <v>267.5</v>
      </c>
      <c r="R315" s="2071">
        <f t="shared" si="64"/>
        <v>5350</v>
      </c>
      <c r="S315" s="2139"/>
      <c r="T315" s="2071">
        <f t="shared" si="61"/>
        <v>5350</v>
      </c>
    </row>
    <row r="316" spans="1:20" ht="12.75">
      <c r="A316" s="2074">
        <v>307</v>
      </c>
      <c r="B316" s="2130" t="s">
        <v>2676</v>
      </c>
      <c r="C316" s="2130" t="s">
        <v>2677</v>
      </c>
      <c r="D316" s="2482" t="s">
        <v>1022</v>
      </c>
      <c r="E316" s="2130"/>
      <c r="F316" s="1610"/>
      <c r="G316" s="2127">
        <f t="shared" si="62"/>
        <v>0</v>
      </c>
      <c r="H316" s="1610"/>
      <c r="I316" s="1820"/>
      <c r="J316" s="1820"/>
      <c r="K316" s="1610"/>
      <c r="L316" s="2481">
        <v>8</v>
      </c>
      <c r="M316" s="2130"/>
      <c r="N316" s="2740"/>
      <c r="O316" s="2768"/>
      <c r="P316" s="1664">
        <f t="shared" si="65"/>
        <v>4</v>
      </c>
      <c r="Q316" s="2139">
        <v>1712</v>
      </c>
      <c r="R316" s="2071">
        <f t="shared" si="64"/>
        <v>6848</v>
      </c>
      <c r="S316" s="2139"/>
      <c r="T316" s="2071">
        <f t="shared" si="61"/>
        <v>6848</v>
      </c>
    </row>
    <row r="317" spans="1:20" ht="12.75">
      <c r="A317" s="2074">
        <v>308</v>
      </c>
      <c r="B317" s="2085" t="s">
        <v>2678</v>
      </c>
      <c r="C317" s="2086" t="s">
        <v>2679</v>
      </c>
      <c r="D317" s="2087" t="s">
        <v>1268</v>
      </c>
      <c r="E317" s="2127"/>
      <c r="F317" s="1820"/>
      <c r="G317" s="2127">
        <f t="shared" si="62"/>
        <v>0</v>
      </c>
      <c r="H317" s="1820"/>
      <c r="I317" s="1820"/>
      <c r="J317" s="1820"/>
      <c r="K317" s="1820"/>
      <c r="L317" s="2128">
        <v>50</v>
      </c>
      <c r="M317" s="1742"/>
      <c r="N317" s="2739"/>
      <c r="O317" s="2767"/>
      <c r="P317" s="1664">
        <f t="shared" si="65"/>
        <v>25</v>
      </c>
      <c r="Q317" s="2139">
        <v>69.55</v>
      </c>
      <c r="R317" s="2071">
        <f t="shared" si="64"/>
        <v>1739</v>
      </c>
      <c r="S317" s="2139"/>
      <c r="T317" s="2071">
        <f t="shared" si="61"/>
        <v>1739</v>
      </c>
    </row>
    <row r="318" spans="1:20" ht="12.75">
      <c r="A318" s="2074">
        <v>309</v>
      </c>
      <c r="B318" s="2085" t="s">
        <v>2680</v>
      </c>
      <c r="C318" s="2086" t="s">
        <v>2681</v>
      </c>
      <c r="D318" s="2087" t="s">
        <v>1395</v>
      </c>
      <c r="E318" s="2127"/>
      <c r="F318" s="1820"/>
      <c r="G318" s="2127">
        <f t="shared" si="62"/>
        <v>0</v>
      </c>
      <c r="H318" s="1820"/>
      <c r="I318" s="1820"/>
      <c r="J318" s="1820"/>
      <c r="K318" s="1820"/>
      <c r="L318" s="2128">
        <v>20</v>
      </c>
      <c r="M318" s="1742"/>
      <c r="N318" s="2739"/>
      <c r="O318" s="2767"/>
      <c r="P318" s="1664">
        <f t="shared" si="65"/>
        <v>10</v>
      </c>
      <c r="Q318" s="2139">
        <v>1391</v>
      </c>
      <c r="R318" s="2071">
        <f t="shared" si="64"/>
        <v>13910</v>
      </c>
      <c r="S318" s="2139"/>
      <c r="T318" s="2071">
        <f t="shared" si="61"/>
        <v>13910</v>
      </c>
    </row>
    <row r="319" spans="1:20" ht="12.75">
      <c r="A319" s="2074">
        <v>310</v>
      </c>
      <c r="B319" s="2085" t="s">
        <v>2682</v>
      </c>
      <c r="C319" s="2086" t="s">
        <v>2683</v>
      </c>
      <c r="D319" s="2087" t="s">
        <v>2295</v>
      </c>
      <c r="E319" s="2127"/>
      <c r="F319" s="1820"/>
      <c r="G319" s="2127">
        <f t="shared" si="62"/>
        <v>0</v>
      </c>
      <c r="H319" s="1820"/>
      <c r="I319" s="1820"/>
      <c r="J319" s="1820"/>
      <c r="K319" s="1820"/>
      <c r="L319" s="2128">
        <v>15</v>
      </c>
      <c r="M319" s="1742"/>
      <c r="N319" s="2739"/>
      <c r="O319" s="2767"/>
      <c r="P319" s="1664">
        <f t="shared" si="65"/>
        <v>8</v>
      </c>
      <c r="Q319" s="2139">
        <v>3210</v>
      </c>
      <c r="R319" s="2071">
        <f t="shared" si="64"/>
        <v>25680</v>
      </c>
      <c r="S319" s="2139"/>
      <c r="T319" s="2071">
        <f t="shared" si="61"/>
        <v>25680</v>
      </c>
    </row>
    <row r="320" spans="1:20" ht="12.75">
      <c r="A320" s="2074">
        <v>311</v>
      </c>
      <c r="B320" s="2085" t="s">
        <v>2684</v>
      </c>
      <c r="C320" s="2086" t="s">
        <v>2685</v>
      </c>
      <c r="D320" s="2087" t="s">
        <v>2686</v>
      </c>
      <c r="E320" s="2127"/>
      <c r="F320" s="1610"/>
      <c r="G320" s="2127">
        <f t="shared" si="62"/>
        <v>0</v>
      </c>
      <c r="H320" s="1610"/>
      <c r="I320" s="1820"/>
      <c r="J320" s="1820"/>
      <c r="K320" s="1610"/>
      <c r="L320" s="2128">
        <v>6</v>
      </c>
      <c r="M320" s="1742"/>
      <c r="N320" s="2740"/>
      <c r="O320" s="2768"/>
      <c r="P320" s="1664">
        <f t="shared" si="65"/>
        <v>3</v>
      </c>
      <c r="Q320" s="2139">
        <v>2675</v>
      </c>
      <c r="R320" s="2071">
        <f t="shared" si="64"/>
        <v>8025</v>
      </c>
      <c r="S320" s="2139"/>
      <c r="T320" s="2071">
        <f t="shared" si="61"/>
        <v>8025</v>
      </c>
    </row>
    <row r="321" spans="1:20" ht="12.75">
      <c r="A321" s="2074">
        <v>312</v>
      </c>
      <c r="B321" s="2085" t="s">
        <v>1969</v>
      </c>
      <c r="C321" s="2086"/>
      <c r="D321" s="2087" t="s">
        <v>1268</v>
      </c>
      <c r="E321" s="2127"/>
      <c r="F321" s="1610"/>
      <c r="G321" s="2127">
        <f t="shared" si="62"/>
        <v>0</v>
      </c>
      <c r="H321" s="1610"/>
      <c r="I321" s="1820"/>
      <c r="J321" s="1820"/>
      <c r="K321" s="1610"/>
      <c r="L321" s="2128">
        <v>20</v>
      </c>
      <c r="M321" s="1742"/>
      <c r="N321" s="2740"/>
      <c r="O321" s="2768"/>
      <c r="P321" s="1664">
        <f t="shared" si="65"/>
        <v>10</v>
      </c>
      <c r="Q321" s="2139">
        <v>2675</v>
      </c>
      <c r="R321" s="2071">
        <f t="shared" si="64"/>
        <v>26750</v>
      </c>
      <c r="S321" s="2139"/>
      <c r="T321" s="2071">
        <f t="shared" si="61"/>
        <v>26750</v>
      </c>
    </row>
    <row r="322" spans="1:20" ht="12.75">
      <c r="A322" s="2074">
        <v>313</v>
      </c>
      <c r="B322" s="2085" t="s">
        <v>2687</v>
      </c>
      <c r="C322" s="2086" t="s">
        <v>2688</v>
      </c>
      <c r="D322" s="2087" t="s">
        <v>1395</v>
      </c>
      <c r="E322" s="2127"/>
      <c r="F322" s="1610"/>
      <c r="G322" s="2127">
        <f t="shared" si="62"/>
        <v>0</v>
      </c>
      <c r="H322" s="1610"/>
      <c r="I322" s="1820"/>
      <c r="J322" s="1820"/>
      <c r="K322" s="1610"/>
      <c r="L322" s="2128">
        <v>2</v>
      </c>
      <c r="M322" s="1742"/>
      <c r="N322" s="2740"/>
      <c r="O322" s="2768"/>
      <c r="P322" s="1664">
        <f t="shared" si="65"/>
        <v>1</v>
      </c>
      <c r="Q322" s="2139">
        <v>6313</v>
      </c>
      <c r="R322" s="2071">
        <f t="shared" si="64"/>
        <v>6313</v>
      </c>
      <c r="S322" s="2139"/>
      <c r="T322" s="2071">
        <f t="shared" si="61"/>
        <v>6313</v>
      </c>
    </row>
    <row r="323" spans="1:20" ht="25.5">
      <c r="A323" s="2074">
        <v>314</v>
      </c>
      <c r="B323" s="2085" t="s">
        <v>2689</v>
      </c>
      <c r="C323" s="2086" t="s">
        <v>2690</v>
      </c>
      <c r="D323" s="2087" t="s">
        <v>1268</v>
      </c>
      <c r="E323" s="2127"/>
      <c r="F323" s="1610"/>
      <c r="G323" s="2127">
        <f t="shared" si="62"/>
        <v>0</v>
      </c>
      <c r="H323" s="1820"/>
      <c r="I323" s="1820"/>
      <c r="J323" s="1820"/>
      <c r="K323" s="1820"/>
      <c r="L323" s="2128">
        <v>1</v>
      </c>
      <c r="M323" s="1742"/>
      <c r="N323" s="2739"/>
      <c r="O323" s="2767"/>
      <c r="P323" s="1664">
        <f t="shared" si="65"/>
        <v>1</v>
      </c>
      <c r="Q323" s="2139">
        <v>6420</v>
      </c>
      <c r="R323" s="2071">
        <f t="shared" si="64"/>
        <v>6420</v>
      </c>
      <c r="S323" s="2139"/>
      <c r="T323" s="2071">
        <f t="shared" si="61"/>
        <v>6420</v>
      </c>
    </row>
    <row r="324" spans="1:20" ht="12.75">
      <c r="A324" s="2074">
        <v>315</v>
      </c>
      <c r="B324" s="2091" t="s">
        <v>2691</v>
      </c>
      <c r="C324" s="2086"/>
      <c r="D324" s="2087" t="s">
        <v>1268</v>
      </c>
      <c r="E324" s="2127"/>
      <c r="F324" s="1610"/>
      <c r="G324" s="2127">
        <f t="shared" si="62"/>
        <v>0</v>
      </c>
      <c r="H324" s="1610"/>
      <c r="I324" s="1820"/>
      <c r="J324" s="1820"/>
      <c r="K324" s="1610"/>
      <c r="L324" s="2128">
        <v>3</v>
      </c>
      <c r="M324" s="1742"/>
      <c r="N324" s="2740"/>
      <c r="O324" s="2768"/>
      <c r="P324" s="1664">
        <f t="shared" si="65"/>
        <v>2</v>
      </c>
      <c r="Q324" s="2139">
        <v>80250</v>
      </c>
      <c r="R324" s="2071">
        <f t="shared" si="64"/>
        <v>160500</v>
      </c>
      <c r="S324" s="2139"/>
      <c r="T324" s="2071">
        <f t="shared" si="61"/>
        <v>160500</v>
      </c>
    </row>
    <row r="325" spans="1:20">
      <c r="A325" s="2728"/>
      <c r="B325" s="2140"/>
      <c r="C325" s="2140"/>
      <c r="D325" s="2140"/>
      <c r="E325" s="2140"/>
      <c r="F325" s="2141"/>
      <c r="G325" s="2141"/>
      <c r="H325" s="2141"/>
      <c r="I325" s="2141"/>
      <c r="J325" s="2141"/>
      <c r="K325" s="2141"/>
      <c r="L325" s="2140"/>
      <c r="M325" s="2257"/>
      <c r="N325" s="2741"/>
      <c r="O325" s="2769"/>
      <c r="P325" s="2720"/>
    </row>
    <row r="326" spans="1:20">
      <c r="A326" s="2728"/>
      <c r="B326" s="2140"/>
      <c r="C326" s="2140"/>
      <c r="D326" s="2140"/>
      <c r="E326" s="2140"/>
      <c r="F326" s="2141"/>
      <c r="G326" s="2141"/>
      <c r="H326" s="2141"/>
      <c r="I326" s="2141"/>
      <c r="J326" s="2141"/>
      <c r="K326" s="2141"/>
      <c r="L326" s="2140"/>
      <c r="M326" s="2257"/>
      <c r="N326" s="2741"/>
      <c r="O326" s="2769"/>
      <c r="P326" s="2720"/>
    </row>
    <row r="327" spans="1:20">
      <c r="A327" s="2728"/>
      <c r="B327" s="2140"/>
      <c r="C327" s="2140"/>
      <c r="D327" s="2140"/>
      <c r="E327" s="2140"/>
      <c r="F327" s="2141"/>
      <c r="G327" s="2141"/>
      <c r="H327" s="2141"/>
      <c r="I327" s="2141"/>
      <c r="J327" s="2141"/>
      <c r="K327" s="2141"/>
      <c r="L327" s="2140"/>
      <c r="M327" s="2257"/>
      <c r="N327" s="2741"/>
      <c r="O327" s="2769"/>
      <c r="P327" s="2720"/>
    </row>
    <row r="328" spans="1:20">
      <c r="A328" s="2728"/>
      <c r="B328" s="2140"/>
      <c r="C328" s="2140"/>
      <c r="D328" s="2140"/>
      <c r="E328" s="2140"/>
      <c r="F328" s="2141"/>
      <c r="G328" s="2141"/>
      <c r="H328" s="2141"/>
      <c r="I328" s="2141"/>
      <c r="J328" s="2141"/>
      <c r="K328" s="2141"/>
      <c r="L328" s="2140"/>
      <c r="M328" s="2257"/>
      <c r="N328" s="2741"/>
      <c r="O328" s="2769"/>
      <c r="P328" s="2720"/>
    </row>
    <row r="329" spans="1:20">
      <c r="A329" s="2728"/>
      <c r="B329" s="2140"/>
      <c r="C329" s="2140"/>
      <c r="D329" s="2140"/>
      <c r="E329" s="2140"/>
      <c r="F329" s="2141"/>
      <c r="G329" s="2141"/>
      <c r="H329" s="2141"/>
      <c r="I329" s="2141"/>
      <c r="J329" s="2141"/>
      <c r="K329" s="2141"/>
      <c r="L329" s="2140"/>
      <c r="M329" s="2257"/>
      <c r="N329" s="2741"/>
      <c r="O329" s="2769"/>
      <c r="P329" s="2720"/>
    </row>
    <row r="330" spans="1:20">
      <c r="A330" s="2728"/>
      <c r="B330" s="2140"/>
      <c r="C330" s="2140"/>
      <c r="D330" s="2140"/>
      <c r="E330" s="2140"/>
      <c r="F330" s="2141"/>
      <c r="G330" s="2141"/>
      <c r="H330" s="2141"/>
      <c r="I330" s="2141"/>
      <c r="J330" s="2141"/>
      <c r="K330" s="2141"/>
      <c r="L330" s="2140"/>
      <c r="M330" s="2257"/>
      <c r="N330" s="2741"/>
      <c r="O330" s="2769"/>
      <c r="P330" s="2720"/>
    </row>
    <row r="331" spans="1:20">
      <c r="A331" s="2728"/>
      <c r="B331" s="2140"/>
      <c r="C331" s="2140"/>
      <c r="D331" s="2140"/>
      <c r="E331" s="2140"/>
      <c r="F331" s="2141"/>
      <c r="G331" s="2141"/>
      <c r="H331" s="2141"/>
      <c r="I331" s="2141"/>
      <c r="J331" s="2141"/>
      <c r="K331" s="2141"/>
      <c r="L331" s="2140"/>
      <c r="M331" s="2257"/>
      <c r="N331" s="2741"/>
      <c r="O331" s="2769"/>
      <c r="P331" s="2720"/>
    </row>
    <row r="333" spans="1:20" ht="12.75">
      <c r="B333" s="2098" t="s">
        <v>368</v>
      </c>
      <c r="C333" s="2098"/>
      <c r="D333" s="2098"/>
      <c r="E333" s="2099"/>
      <c r="F333" s="2048"/>
      <c r="G333" s="2099"/>
    </row>
    <row r="334" spans="1:20" ht="12.75">
      <c r="B334" s="2098" t="s">
        <v>370</v>
      </c>
      <c r="C334" s="2098"/>
      <c r="D334" s="2098"/>
      <c r="E334" s="2099"/>
      <c r="F334" s="2048"/>
      <c r="G334" s="2099"/>
    </row>
    <row r="335" spans="1:20" ht="12.75">
      <c r="B335" s="2098"/>
      <c r="C335" s="2098"/>
      <c r="D335" s="2098"/>
      <c r="E335" s="2098"/>
      <c r="F335" s="2048"/>
      <c r="G335" s="2048"/>
    </row>
    <row r="336" spans="1:20" ht="12.75">
      <c r="B336" s="2098" t="s">
        <v>372</v>
      </c>
      <c r="C336" s="2098"/>
      <c r="D336" s="2098"/>
      <c r="E336" s="2098"/>
      <c r="F336" s="2048"/>
      <c r="G336" s="2098"/>
    </row>
    <row r="337" spans="2:7" ht="12.75">
      <c r="B337" s="2098"/>
      <c r="C337" s="2098"/>
      <c r="D337" s="2098"/>
      <c r="E337" s="2098"/>
      <c r="F337" s="2048"/>
      <c r="G337" s="2101"/>
    </row>
    <row r="338" spans="2:7" ht="12.75">
      <c r="B338" s="2098" t="s">
        <v>375</v>
      </c>
      <c r="C338" s="2101"/>
      <c r="D338" s="2101"/>
      <c r="E338" s="2101"/>
      <c r="F338" s="2048"/>
      <c r="G338" s="2098"/>
    </row>
    <row r="339" spans="2:7" ht="12.75">
      <c r="B339" s="2048"/>
      <c r="C339" s="2049"/>
      <c r="D339" s="2048"/>
      <c r="E339" s="2048"/>
      <c r="F339" s="2048"/>
      <c r="G339" s="2048"/>
    </row>
  </sheetData>
  <sheetProtection formatColumns="0" insertRows="0" deleteRows="0"/>
  <mergeCells count="20">
    <mergeCell ref="A7:A8"/>
    <mergeCell ref="B7:B8"/>
    <mergeCell ref="C7:C8"/>
    <mergeCell ref="D7:D8"/>
    <mergeCell ref="E7:E8"/>
    <mergeCell ref="F7:G7"/>
    <mergeCell ref="H7:H8"/>
    <mergeCell ref="I7:K7"/>
    <mergeCell ref="L7:P7"/>
    <mergeCell ref="Q7:Q8"/>
    <mergeCell ref="AC7:AD7"/>
    <mergeCell ref="R7:R8"/>
    <mergeCell ref="S7:T7"/>
    <mergeCell ref="U7:U9"/>
    <mergeCell ref="V7:V9"/>
    <mergeCell ref="W7:W8"/>
    <mergeCell ref="X7:X8"/>
    <mergeCell ref="Y7:Z7"/>
    <mergeCell ref="AA7:AA8"/>
    <mergeCell ref="AB7:AB8"/>
  </mergeCells>
  <pageMargins left="0" right="0" top="0" bottom="0" header="0" footer="0"/>
  <pageSetup paperSize="9" scale="66" fitToHeight="5" orientation="landscape" r:id="rId1"/>
  <rowBreaks count="1" manualBreakCount="1">
    <brk id="37" max="19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CS160"/>
  <sheetViews>
    <sheetView topLeftCell="A139" zoomScale="78" zoomScaleNormal="78" workbookViewId="0">
      <selection activeCell="K19" sqref="K19"/>
    </sheetView>
  </sheetViews>
  <sheetFormatPr defaultColWidth="8.85546875" defaultRowHeight="18.75"/>
  <cols>
    <col min="1" max="1" width="5.42578125" style="3174" customWidth="1"/>
    <col min="2" max="2" width="78.42578125" style="3173" customWidth="1"/>
    <col min="3" max="3" width="72.28515625" style="3173" customWidth="1"/>
    <col min="4" max="4" width="10" style="3174" customWidth="1"/>
    <col min="5" max="5" width="10.140625" style="3174" customWidth="1"/>
    <col min="6" max="6" width="15.140625" style="3174" customWidth="1"/>
    <col min="7" max="7" width="18" style="3174" customWidth="1"/>
    <col min="8" max="8" width="11.85546875" style="3174" customWidth="1"/>
    <col min="9" max="10" width="8.28515625" style="572" customWidth="1"/>
    <col min="11" max="256" width="8.85546875" style="572"/>
    <col min="257" max="257" width="5.42578125" style="572" customWidth="1"/>
    <col min="258" max="258" width="78.42578125" style="572" customWidth="1"/>
    <col min="259" max="259" width="72.28515625" style="572" customWidth="1"/>
    <col min="260" max="260" width="10" style="572" customWidth="1"/>
    <col min="261" max="261" width="10.140625" style="572" customWidth="1"/>
    <col min="262" max="262" width="15.140625" style="572" customWidth="1"/>
    <col min="263" max="263" width="18" style="572" customWidth="1"/>
    <col min="264" max="264" width="8.85546875" style="572" customWidth="1"/>
    <col min="265" max="266" width="8.28515625" style="572" customWidth="1"/>
    <col min="267" max="512" width="8.85546875" style="572"/>
    <col min="513" max="513" width="5.42578125" style="572" customWidth="1"/>
    <col min="514" max="514" width="78.42578125" style="572" customWidth="1"/>
    <col min="515" max="515" width="72.28515625" style="572" customWidth="1"/>
    <col min="516" max="516" width="10" style="572" customWidth="1"/>
    <col min="517" max="517" width="10.140625" style="572" customWidth="1"/>
    <col min="518" max="518" width="15.140625" style="572" customWidth="1"/>
    <col min="519" max="519" width="18" style="572" customWidth="1"/>
    <col min="520" max="520" width="8.85546875" style="572" customWidth="1"/>
    <col min="521" max="522" width="8.28515625" style="572" customWidth="1"/>
    <col min="523" max="768" width="8.85546875" style="572"/>
    <col min="769" max="769" width="5.42578125" style="572" customWidth="1"/>
    <col min="770" max="770" width="78.42578125" style="572" customWidth="1"/>
    <col min="771" max="771" width="72.28515625" style="572" customWidth="1"/>
    <col min="772" max="772" width="10" style="572" customWidth="1"/>
    <col min="773" max="773" width="10.140625" style="572" customWidth="1"/>
    <col min="774" max="774" width="15.140625" style="572" customWidth="1"/>
    <col min="775" max="775" width="18" style="572" customWidth="1"/>
    <col min="776" max="776" width="8.85546875" style="572" customWidth="1"/>
    <col min="777" max="778" width="8.28515625" style="572" customWidth="1"/>
    <col min="779" max="1024" width="8.85546875" style="572"/>
    <col min="1025" max="1025" width="5.42578125" style="572" customWidth="1"/>
    <col min="1026" max="1026" width="78.42578125" style="572" customWidth="1"/>
    <col min="1027" max="1027" width="72.28515625" style="572" customWidth="1"/>
    <col min="1028" max="1028" width="10" style="572" customWidth="1"/>
    <col min="1029" max="1029" width="10.140625" style="572" customWidth="1"/>
    <col min="1030" max="1030" width="15.140625" style="572" customWidth="1"/>
    <col min="1031" max="1031" width="18" style="572" customWidth="1"/>
    <col min="1032" max="1032" width="8.85546875" style="572" customWidth="1"/>
    <col min="1033" max="1034" width="8.28515625" style="572" customWidth="1"/>
    <col min="1035" max="1280" width="8.85546875" style="572"/>
    <col min="1281" max="1281" width="5.42578125" style="572" customWidth="1"/>
    <col min="1282" max="1282" width="78.42578125" style="572" customWidth="1"/>
    <col min="1283" max="1283" width="72.28515625" style="572" customWidth="1"/>
    <col min="1284" max="1284" width="10" style="572" customWidth="1"/>
    <col min="1285" max="1285" width="10.140625" style="572" customWidth="1"/>
    <col min="1286" max="1286" width="15.140625" style="572" customWidth="1"/>
    <col min="1287" max="1287" width="18" style="572" customWidth="1"/>
    <col min="1288" max="1288" width="8.85546875" style="572" customWidth="1"/>
    <col min="1289" max="1290" width="8.28515625" style="572" customWidth="1"/>
    <col min="1291" max="1536" width="8.85546875" style="572"/>
    <col min="1537" max="1537" width="5.42578125" style="572" customWidth="1"/>
    <col min="1538" max="1538" width="78.42578125" style="572" customWidth="1"/>
    <col min="1539" max="1539" width="72.28515625" style="572" customWidth="1"/>
    <col min="1540" max="1540" width="10" style="572" customWidth="1"/>
    <col min="1541" max="1541" width="10.140625" style="572" customWidth="1"/>
    <col min="1542" max="1542" width="15.140625" style="572" customWidth="1"/>
    <col min="1543" max="1543" width="18" style="572" customWidth="1"/>
    <col min="1544" max="1544" width="8.85546875" style="572" customWidth="1"/>
    <col min="1545" max="1546" width="8.28515625" style="572" customWidth="1"/>
    <col min="1547" max="1792" width="8.85546875" style="572"/>
    <col min="1793" max="1793" width="5.42578125" style="572" customWidth="1"/>
    <col min="1794" max="1794" width="78.42578125" style="572" customWidth="1"/>
    <col min="1795" max="1795" width="72.28515625" style="572" customWidth="1"/>
    <col min="1796" max="1796" width="10" style="572" customWidth="1"/>
    <col min="1797" max="1797" width="10.140625" style="572" customWidth="1"/>
    <col min="1798" max="1798" width="15.140625" style="572" customWidth="1"/>
    <col min="1799" max="1799" width="18" style="572" customWidth="1"/>
    <col min="1800" max="1800" width="8.85546875" style="572" customWidth="1"/>
    <col min="1801" max="1802" width="8.28515625" style="572" customWidth="1"/>
    <col min="1803" max="2048" width="8.85546875" style="572"/>
    <col min="2049" max="2049" width="5.42578125" style="572" customWidth="1"/>
    <col min="2050" max="2050" width="78.42578125" style="572" customWidth="1"/>
    <col min="2051" max="2051" width="72.28515625" style="572" customWidth="1"/>
    <col min="2052" max="2052" width="10" style="572" customWidth="1"/>
    <col min="2053" max="2053" width="10.140625" style="572" customWidth="1"/>
    <col min="2054" max="2054" width="15.140625" style="572" customWidth="1"/>
    <col min="2055" max="2055" width="18" style="572" customWidth="1"/>
    <col min="2056" max="2056" width="8.85546875" style="572" customWidth="1"/>
    <col min="2057" max="2058" width="8.28515625" style="572" customWidth="1"/>
    <col min="2059" max="2304" width="8.85546875" style="572"/>
    <col min="2305" max="2305" width="5.42578125" style="572" customWidth="1"/>
    <col min="2306" max="2306" width="78.42578125" style="572" customWidth="1"/>
    <col min="2307" max="2307" width="72.28515625" style="572" customWidth="1"/>
    <col min="2308" max="2308" width="10" style="572" customWidth="1"/>
    <col min="2309" max="2309" width="10.140625" style="572" customWidth="1"/>
    <col min="2310" max="2310" width="15.140625" style="572" customWidth="1"/>
    <col min="2311" max="2311" width="18" style="572" customWidth="1"/>
    <col min="2312" max="2312" width="8.85546875" style="572" customWidth="1"/>
    <col min="2313" max="2314" width="8.28515625" style="572" customWidth="1"/>
    <col min="2315" max="2560" width="8.85546875" style="572"/>
    <col min="2561" max="2561" width="5.42578125" style="572" customWidth="1"/>
    <col min="2562" max="2562" width="78.42578125" style="572" customWidth="1"/>
    <col min="2563" max="2563" width="72.28515625" style="572" customWidth="1"/>
    <col min="2564" max="2564" width="10" style="572" customWidth="1"/>
    <col min="2565" max="2565" width="10.140625" style="572" customWidth="1"/>
    <col min="2566" max="2566" width="15.140625" style="572" customWidth="1"/>
    <col min="2567" max="2567" width="18" style="572" customWidth="1"/>
    <col min="2568" max="2568" width="8.85546875" style="572" customWidth="1"/>
    <col min="2569" max="2570" width="8.28515625" style="572" customWidth="1"/>
    <col min="2571" max="2816" width="8.85546875" style="572"/>
    <col min="2817" max="2817" width="5.42578125" style="572" customWidth="1"/>
    <col min="2818" max="2818" width="78.42578125" style="572" customWidth="1"/>
    <col min="2819" max="2819" width="72.28515625" style="572" customWidth="1"/>
    <col min="2820" max="2820" width="10" style="572" customWidth="1"/>
    <col min="2821" max="2821" width="10.140625" style="572" customWidth="1"/>
    <col min="2822" max="2822" width="15.140625" style="572" customWidth="1"/>
    <col min="2823" max="2823" width="18" style="572" customWidth="1"/>
    <col min="2824" max="2824" width="8.85546875" style="572" customWidth="1"/>
    <col min="2825" max="2826" width="8.28515625" style="572" customWidth="1"/>
    <col min="2827" max="3072" width="8.85546875" style="572"/>
    <col min="3073" max="3073" width="5.42578125" style="572" customWidth="1"/>
    <col min="3074" max="3074" width="78.42578125" style="572" customWidth="1"/>
    <col min="3075" max="3075" width="72.28515625" style="572" customWidth="1"/>
    <col min="3076" max="3076" width="10" style="572" customWidth="1"/>
    <col min="3077" max="3077" width="10.140625" style="572" customWidth="1"/>
    <col min="3078" max="3078" width="15.140625" style="572" customWidth="1"/>
    <col min="3079" max="3079" width="18" style="572" customWidth="1"/>
    <col min="3080" max="3080" width="8.85546875" style="572" customWidth="1"/>
    <col min="3081" max="3082" width="8.28515625" style="572" customWidth="1"/>
    <col min="3083" max="3328" width="8.85546875" style="572"/>
    <col min="3329" max="3329" width="5.42578125" style="572" customWidth="1"/>
    <col min="3330" max="3330" width="78.42578125" style="572" customWidth="1"/>
    <col min="3331" max="3331" width="72.28515625" style="572" customWidth="1"/>
    <col min="3332" max="3332" width="10" style="572" customWidth="1"/>
    <col min="3333" max="3333" width="10.140625" style="572" customWidth="1"/>
    <col min="3334" max="3334" width="15.140625" style="572" customWidth="1"/>
    <col min="3335" max="3335" width="18" style="572" customWidth="1"/>
    <col min="3336" max="3336" width="8.85546875" style="572" customWidth="1"/>
    <col min="3337" max="3338" width="8.28515625" style="572" customWidth="1"/>
    <col min="3339" max="3584" width="8.85546875" style="572"/>
    <col min="3585" max="3585" width="5.42578125" style="572" customWidth="1"/>
    <col min="3586" max="3586" width="78.42578125" style="572" customWidth="1"/>
    <col min="3587" max="3587" width="72.28515625" style="572" customWidth="1"/>
    <col min="3588" max="3588" width="10" style="572" customWidth="1"/>
    <col min="3589" max="3589" width="10.140625" style="572" customWidth="1"/>
    <col min="3590" max="3590" width="15.140625" style="572" customWidth="1"/>
    <col min="3591" max="3591" width="18" style="572" customWidth="1"/>
    <col min="3592" max="3592" width="8.85546875" style="572" customWidth="1"/>
    <col min="3593" max="3594" width="8.28515625" style="572" customWidth="1"/>
    <col min="3595" max="3840" width="8.85546875" style="572"/>
    <col min="3841" max="3841" width="5.42578125" style="572" customWidth="1"/>
    <col min="3842" max="3842" width="78.42578125" style="572" customWidth="1"/>
    <col min="3843" max="3843" width="72.28515625" style="572" customWidth="1"/>
    <col min="3844" max="3844" width="10" style="572" customWidth="1"/>
    <col min="3845" max="3845" width="10.140625" style="572" customWidth="1"/>
    <col min="3846" max="3846" width="15.140625" style="572" customWidth="1"/>
    <col min="3847" max="3847" width="18" style="572" customWidth="1"/>
    <col min="3848" max="3848" width="8.85546875" style="572" customWidth="1"/>
    <col min="3849" max="3850" width="8.28515625" style="572" customWidth="1"/>
    <col min="3851" max="4096" width="8.85546875" style="572"/>
    <col min="4097" max="4097" width="5.42578125" style="572" customWidth="1"/>
    <col min="4098" max="4098" width="78.42578125" style="572" customWidth="1"/>
    <col min="4099" max="4099" width="72.28515625" style="572" customWidth="1"/>
    <col min="4100" max="4100" width="10" style="572" customWidth="1"/>
    <col min="4101" max="4101" width="10.140625" style="572" customWidth="1"/>
    <col min="4102" max="4102" width="15.140625" style="572" customWidth="1"/>
    <col min="4103" max="4103" width="18" style="572" customWidth="1"/>
    <col min="4104" max="4104" width="8.85546875" style="572" customWidth="1"/>
    <col min="4105" max="4106" width="8.28515625" style="572" customWidth="1"/>
    <col min="4107" max="4352" width="8.85546875" style="572"/>
    <col min="4353" max="4353" width="5.42578125" style="572" customWidth="1"/>
    <col min="4354" max="4354" width="78.42578125" style="572" customWidth="1"/>
    <col min="4355" max="4355" width="72.28515625" style="572" customWidth="1"/>
    <col min="4356" max="4356" width="10" style="572" customWidth="1"/>
    <col min="4357" max="4357" width="10.140625" style="572" customWidth="1"/>
    <col min="4358" max="4358" width="15.140625" style="572" customWidth="1"/>
    <col min="4359" max="4359" width="18" style="572" customWidth="1"/>
    <col min="4360" max="4360" width="8.85546875" style="572" customWidth="1"/>
    <col min="4361" max="4362" width="8.28515625" style="572" customWidth="1"/>
    <col min="4363" max="4608" width="8.85546875" style="572"/>
    <col min="4609" max="4609" width="5.42578125" style="572" customWidth="1"/>
    <col min="4610" max="4610" width="78.42578125" style="572" customWidth="1"/>
    <col min="4611" max="4611" width="72.28515625" style="572" customWidth="1"/>
    <col min="4612" max="4612" width="10" style="572" customWidth="1"/>
    <col min="4613" max="4613" width="10.140625" style="572" customWidth="1"/>
    <col min="4614" max="4614" width="15.140625" style="572" customWidth="1"/>
    <col min="4615" max="4615" width="18" style="572" customWidth="1"/>
    <col min="4616" max="4616" width="8.85546875" style="572" customWidth="1"/>
    <col min="4617" max="4618" width="8.28515625" style="572" customWidth="1"/>
    <col min="4619" max="4864" width="8.85546875" style="572"/>
    <col min="4865" max="4865" width="5.42578125" style="572" customWidth="1"/>
    <col min="4866" max="4866" width="78.42578125" style="572" customWidth="1"/>
    <col min="4867" max="4867" width="72.28515625" style="572" customWidth="1"/>
    <col min="4868" max="4868" width="10" style="572" customWidth="1"/>
    <col min="4869" max="4869" width="10.140625" style="572" customWidth="1"/>
    <col min="4870" max="4870" width="15.140625" style="572" customWidth="1"/>
    <col min="4871" max="4871" width="18" style="572" customWidth="1"/>
    <col min="4872" max="4872" width="8.85546875" style="572" customWidth="1"/>
    <col min="4873" max="4874" width="8.28515625" style="572" customWidth="1"/>
    <col min="4875" max="5120" width="8.85546875" style="572"/>
    <col min="5121" max="5121" width="5.42578125" style="572" customWidth="1"/>
    <col min="5122" max="5122" width="78.42578125" style="572" customWidth="1"/>
    <col min="5123" max="5123" width="72.28515625" style="572" customWidth="1"/>
    <col min="5124" max="5124" width="10" style="572" customWidth="1"/>
    <col min="5125" max="5125" width="10.140625" style="572" customWidth="1"/>
    <col min="5126" max="5126" width="15.140625" style="572" customWidth="1"/>
    <col min="5127" max="5127" width="18" style="572" customWidth="1"/>
    <col min="5128" max="5128" width="8.85546875" style="572" customWidth="1"/>
    <col min="5129" max="5130" width="8.28515625" style="572" customWidth="1"/>
    <col min="5131" max="5376" width="8.85546875" style="572"/>
    <col min="5377" max="5377" width="5.42578125" style="572" customWidth="1"/>
    <col min="5378" max="5378" width="78.42578125" style="572" customWidth="1"/>
    <col min="5379" max="5379" width="72.28515625" style="572" customWidth="1"/>
    <col min="5380" max="5380" width="10" style="572" customWidth="1"/>
    <col min="5381" max="5381" width="10.140625" style="572" customWidth="1"/>
    <col min="5382" max="5382" width="15.140625" style="572" customWidth="1"/>
    <col min="5383" max="5383" width="18" style="572" customWidth="1"/>
    <col min="5384" max="5384" width="8.85546875" style="572" customWidth="1"/>
    <col min="5385" max="5386" width="8.28515625" style="572" customWidth="1"/>
    <col min="5387" max="5632" width="8.85546875" style="572"/>
    <col min="5633" max="5633" width="5.42578125" style="572" customWidth="1"/>
    <col min="5634" max="5634" width="78.42578125" style="572" customWidth="1"/>
    <col min="5635" max="5635" width="72.28515625" style="572" customWidth="1"/>
    <col min="5636" max="5636" width="10" style="572" customWidth="1"/>
    <col min="5637" max="5637" width="10.140625" style="572" customWidth="1"/>
    <col min="5638" max="5638" width="15.140625" style="572" customWidth="1"/>
    <col min="5639" max="5639" width="18" style="572" customWidth="1"/>
    <col min="5640" max="5640" width="8.85546875" style="572" customWidth="1"/>
    <col min="5641" max="5642" width="8.28515625" style="572" customWidth="1"/>
    <col min="5643" max="5888" width="8.85546875" style="572"/>
    <col min="5889" max="5889" width="5.42578125" style="572" customWidth="1"/>
    <col min="5890" max="5890" width="78.42578125" style="572" customWidth="1"/>
    <col min="5891" max="5891" width="72.28515625" style="572" customWidth="1"/>
    <col min="5892" max="5892" width="10" style="572" customWidth="1"/>
    <col min="5893" max="5893" width="10.140625" style="572" customWidth="1"/>
    <col min="5894" max="5894" width="15.140625" style="572" customWidth="1"/>
    <col min="5895" max="5895" width="18" style="572" customWidth="1"/>
    <col min="5896" max="5896" width="8.85546875" style="572" customWidth="1"/>
    <col min="5897" max="5898" width="8.28515625" style="572" customWidth="1"/>
    <col min="5899" max="6144" width="8.85546875" style="572"/>
    <col min="6145" max="6145" width="5.42578125" style="572" customWidth="1"/>
    <col min="6146" max="6146" width="78.42578125" style="572" customWidth="1"/>
    <col min="6147" max="6147" width="72.28515625" style="572" customWidth="1"/>
    <col min="6148" max="6148" width="10" style="572" customWidth="1"/>
    <col min="6149" max="6149" width="10.140625" style="572" customWidth="1"/>
    <col min="6150" max="6150" width="15.140625" style="572" customWidth="1"/>
    <col min="6151" max="6151" width="18" style="572" customWidth="1"/>
    <col min="6152" max="6152" width="8.85546875" style="572" customWidth="1"/>
    <col min="6153" max="6154" width="8.28515625" style="572" customWidth="1"/>
    <col min="6155" max="6400" width="8.85546875" style="572"/>
    <col min="6401" max="6401" width="5.42578125" style="572" customWidth="1"/>
    <col min="6402" max="6402" width="78.42578125" style="572" customWidth="1"/>
    <col min="6403" max="6403" width="72.28515625" style="572" customWidth="1"/>
    <col min="6404" max="6404" width="10" style="572" customWidth="1"/>
    <col min="6405" max="6405" width="10.140625" style="572" customWidth="1"/>
    <col min="6406" max="6406" width="15.140625" style="572" customWidth="1"/>
    <col min="6407" max="6407" width="18" style="572" customWidth="1"/>
    <col min="6408" max="6408" width="8.85546875" style="572" customWidth="1"/>
    <col min="6409" max="6410" width="8.28515625" style="572" customWidth="1"/>
    <col min="6411" max="6656" width="8.85546875" style="572"/>
    <col min="6657" max="6657" width="5.42578125" style="572" customWidth="1"/>
    <col min="6658" max="6658" width="78.42578125" style="572" customWidth="1"/>
    <col min="6659" max="6659" width="72.28515625" style="572" customWidth="1"/>
    <col min="6660" max="6660" width="10" style="572" customWidth="1"/>
    <col min="6661" max="6661" width="10.140625" style="572" customWidth="1"/>
    <col min="6662" max="6662" width="15.140625" style="572" customWidth="1"/>
    <col min="6663" max="6663" width="18" style="572" customWidth="1"/>
    <col min="6664" max="6664" width="8.85546875" style="572" customWidth="1"/>
    <col min="6665" max="6666" width="8.28515625" style="572" customWidth="1"/>
    <col min="6667" max="6912" width="8.85546875" style="572"/>
    <col min="6913" max="6913" width="5.42578125" style="572" customWidth="1"/>
    <col min="6914" max="6914" width="78.42578125" style="572" customWidth="1"/>
    <col min="6915" max="6915" width="72.28515625" style="572" customWidth="1"/>
    <col min="6916" max="6916" width="10" style="572" customWidth="1"/>
    <col min="6917" max="6917" width="10.140625" style="572" customWidth="1"/>
    <col min="6918" max="6918" width="15.140625" style="572" customWidth="1"/>
    <col min="6919" max="6919" width="18" style="572" customWidth="1"/>
    <col min="6920" max="6920" width="8.85546875" style="572" customWidth="1"/>
    <col min="6921" max="6922" width="8.28515625" style="572" customWidth="1"/>
    <col min="6923" max="7168" width="8.85546875" style="572"/>
    <col min="7169" max="7169" width="5.42578125" style="572" customWidth="1"/>
    <col min="7170" max="7170" width="78.42578125" style="572" customWidth="1"/>
    <col min="7171" max="7171" width="72.28515625" style="572" customWidth="1"/>
    <col min="7172" max="7172" width="10" style="572" customWidth="1"/>
    <col min="7173" max="7173" width="10.140625" style="572" customWidth="1"/>
    <col min="7174" max="7174" width="15.140625" style="572" customWidth="1"/>
    <col min="7175" max="7175" width="18" style="572" customWidth="1"/>
    <col min="7176" max="7176" width="8.85546875" style="572" customWidth="1"/>
    <col min="7177" max="7178" width="8.28515625" style="572" customWidth="1"/>
    <col min="7179" max="7424" width="8.85546875" style="572"/>
    <col min="7425" max="7425" width="5.42578125" style="572" customWidth="1"/>
    <col min="7426" max="7426" width="78.42578125" style="572" customWidth="1"/>
    <col min="7427" max="7427" width="72.28515625" style="572" customWidth="1"/>
    <col min="7428" max="7428" width="10" style="572" customWidth="1"/>
    <col min="7429" max="7429" width="10.140625" style="572" customWidth="1"/>
    <col min="7430" max="7430" width="15.140625" style="572" customWidth="1"/>
    <col min="7431" max="7431" width="18" style="572" customWidth="1"/>
    <col min="7432" max="7432" width="8.85546875" style="572" customWidth="1"/>
    <col min="7433" max="7434" width="8.28515625" style="572" customWidth="1"/>
    <col min="7435" max="7680" width="8.85546875" style="572"/>
    <col min="7681" max="7681" width="5.42578125" style="572" customWidth="1"/>
    <col min="7682" max="7682" width="78.42578125" style="572" customWidth="1"/>
    <col min="7683" max="7683" width="72.28515625" style="572" customWidth="1"/>
    <col min="7684" max="7684" width="10" style="572" customWidth="1"/>
    <col min="7685" max="7685" width="10.140625" style="572" customWidth="1"/>
    <col min="7686" max="7686" width="15.140625" style="572" customWidth="1"/>
    <col min="7687" max="7687" width="18" style="572" customWidth="1"/>
    <col min="7688" max="7688" width="8.85546875" style="572" customWidth="1"/>
    <col min="7689" max="7690" width="8.28515625" style="572" customWidth="1"/>
    <col min="7691" max="7936" width="8.85546875" style="572"/>
    <col min="7937" max="7937" width="5.42578125" style="572" customWidth="1"/>
    <col min="7938" max="7938" width="78.42578125" style="572" customWidth="1"/>
    <col min="7939" max="7939" width="72.28515625" style="572" customWidth="1"/>
    <col min="7940" max="7940" width="10" style="572" customWidth="1"/>
    <col min="7941" max="7941" width="10.140625" style="572" customWidth="1"/>
    <col min="7942" max="7942" width="15.140625" style="572" customWidth="1"/>
    <col min="7943" max="7943" width="18" style="572" customWidth="1"/>
    <col min="7944" max="7944" width="8.85546875" style="572" customWidth="1"/>
    <col min="7945" max="7946" width="8.28515625" style="572" customWidth="1"/>
    <col min="7947" max="8192" width="8.85546875" style="572"/>
    <col min="8193" max="8193" width="5.42578125" style="572" customWidth="1"/>
    <col min="8194" max="8194" width="78.42578125" style="572" customWidth="1"/>
    <col min="8195" max="8195" width="72.28515625" style="572" customWidth="1"/>
    <col min="8196" max="8196" width="10" style="572" customWidth="1"/>
    <col min="8197" max="8197" width="10.140625" style="572" customWidth="1"/>
    <col min="8198" max="8198" width="15.140625" style="572" customWidth="1"/>
    <col min="8199" max="8199" width="18" style="572" customWidth="1"/>
    <col min="8200" max="8200" width="8.85546875" style="572" customWidth="1"/>
    <col min="8201" max="8202" width="8.28515625" style="572" customWidth="1"/>
    <col min="8203" max="8448" width="8.85546875" style="572"/>
    <col min="8449" max="8449" width="5.42578125" style="572" customWidth="1"/>
    <col min="8450" max="8450" width="78.42578125" style="572" customWidth="1"/>
    <col min="8451" max="8451" width="72.28515625" style="572" customWidth="1"/>
    <col min="8452" max="8452" width="10" style="572" customWidth="1"/>
    <col min="8453" max="8453" width="10.140625" style="572" customWidth="1"/>
    <col min="8454" max="8454" width="15.140625" style="572" customWidth="1"/>
    <col min="8455" max="8455" width="18" style="572" customWidth="1"/>
    <col min="8456" max="8456" width="8.85546875" style="572" customWidth="1"/>
    <col min="8457" max="8458" width="8.28515625" style="572" customWidth="1"/>
    <col min="8459" max="8704" width="8.85546875" style="572"/>
    <col min="8705" max="8705" width="5.42578125" style="572" customWidth="1"/>
    <col min="8706" max="8706" width="78.42578125" style="572" customWidth="1"/>
    <col min="8707" max="8707" width="72.28515625" style="572" customWidth="1"/>
    <col min="8708" max="8708" width="10" style="572" customWidth="1"/>
    <col min="8709" max="8709" width="10.140625" style="572" customWidth="1"/>
    <col min="8710" max="8710" width="15.140625" style="572" customWidth="1"/>
    <col min="8711" max="8711" width="18" style="572" customWidth="1"/>
    <col min="8712" max="8712" width="8.85546875" style="572" customWidth="1"/>
    <col min="8713" max="8714" width="8.28515625" style="572" customWidth="1"/>
    <col min="8715" max="8960" width="8.85546875" style="572"/>
    <col min="8961" max="8961" width="5.42578125" style="572" customWidth="1"/>
    <col min="8962" max="8962" width="78.42578125" style="572" customWidth="1"/>
    <col min="8963" max="8963" width="72.28515625" style="572" customWidth="1"/>
    <col min="8964" max="8964" width="10" style="572" customWidth="1"/>
    <col min="8965" max="8965" width="10.140625" style="572" customWidth="1"/>
    <col min="8966" max="8966" width="15.140625" style="572" customWidth="1"/>
    <col min="8967" max="8967" width="18" style="572" customWidth="1"/>
    <col min="8968" max="8968" width="8.85546875" style="572" customWidth="1"/>
    <col min="8969" max="8970" width="8.28515625" style="572" customWidth="1"/>
    <col min="8971" max="9216" width="8.85546875" style="572"/>
    <col min="9217" max="9217" width="5.42578125" style="572" customWidth="1"/>
    <col min="9218" max="9218" width="78.42578125" style="572" customWidth="1"/>
    <col min="9219" max="9219" width="72.28515625" style="572" customWidth="1"/>
    <col min="9220" max="9220" width="10" style="572" customWidth="1"/>
    <col min="9221" max="9221" width="10.140625" style="572" customWidth="1"/>
    <col min="9222" max="9222" width="15.140625" style="572" customWidth="1"/>
    <col min="9223" max="9223" width="18" style="572" customWidth="1"/>
    <col min="9224" max="9224" width="8.85546875" style="572" customWidth="1"/>
    <col min="9225" max="9226" width="8.28515625" style="572" customWidth="1"/>
    <col min="9227" max="9472" width="8.85546875" style="572"/>
    <col min="9473" max="9473" width="5.42578125" style="572" customWidth="1"/>
    <col min="9474" max="9474" width="78.42578125" style="572" customWidth="1"/>
    <col min="9475" max="9475" width="72.28515625" style="572" customWidth="1"/>
    <col min="9476" max="9476" width="10" style="572" customWidth="1"/>
    <col min="9477" max="9477" width="10.140625" style="572" customWidth="1"/>
    <col min="9478" max="9478" width="15.140625" style="572" customWidth="1"/>
    <col min="9479" max="9479" width="18" style="572" customWidth="1"/>
    <col min="9480" max="9480" width="8.85546875" style="572" customWidth="1"/>
    <col min="9481" max="9482" width="8.28515625" style="572" customWidth="1"/>
    <col min="9483" max="9728" width="8.85546875" style="572"/>
    <col min="9729" max="9729" width="5.42578125" style="572" customWidth="1"/>
    <col min="9730" max="9730" width="78.42578125" style="572" customWidth="1"/>
    <col min="9731" max="9731" width="72.28515625" style="572" customWidth="1"/>
    <col min="9732" max="9732" width="10" style="572" customWidth="1"/>
    <col min="9733" max="9733" width="10.140625" style="572" customWidth="1"/>
    <col min="9734" max="9734" width="15.140625" style="572" customWidth="1"/>
    <col min="9735" max="9735" width="18" style="572" customWidth="1"/>
    <col min="9736" max="9736" width="8.85546875" style="572" customWidth="1"/>
    <col min="9737" max="9738" width="8.28515625" style="572" customWidth="1"/>
    <col min="9739" max="9984" width="8.85546875" style="572"/>
    <col min="9985" max="9985" width="5.42578125" style="572" customWidth="1"/>
    <col min="9986" max="9986" width="78.42578125" style="572" customWidth="1"/>
    <col min="9987" max="9987" width="72.28515625" style="572" customWidth="1"/>
    <col min="9988" max="9988" width="10" style="572" customWidth="1"/>
    <col min="9989" max="9989" width="10.140625" style="572" customWidth="1"/>
    <col min="9990" max="9990" width="15.140625" style="572" customWidth="1"/>
    <col min="9991" max="9991" width="18" style="572" customWidth="1"/>
    <col min="9992" max="9992" width="8.85546875" style="572" customWidth="1"/>
    <col min="9993" max="9994" width="8.28515625" style="572" customWidth="1"/>
    <col min="9995" max="10240" width="8.85546875" style="572"/>
    <col min="10241" max="10241" width="5.42578125" style="572" customWidth="1"/>
    <col min="10242" max="10242" width="78.42578125" style="572" customWidth="1"/>
    <col min="10243" max="10243" width="72.28515625" style="572" customWidth="1"/>
    <col min="10244" max="10244" width="10" style="572" customWidth="1"/>
    <col min="10245" max="10245" width="10.140625" style="572" customWidth="1"/>
    <col min="10246" max="10246" width="15.140625" style="572" customWidth="1"/>
    <col min="10247" max="10247" width="18" style="572" customWidth="1"/>
    <col min="10248" max="10248" width="8.85546875" style="572" customWidth="1"/>
    <col min="10249" max="10250" width="8.28515625" style="572" customWidth="1"/>
    <col min="10251" max="10496" width="8.85546875" style="572"/>
    <col min="10497" max="10497" width="5.42578125" style="572" customWidth="1"/>
    <col min="10498" max="10498" width="78.42578125" style="572" customWidth="1"/>
    <col min="10499" max="10499" width="72.28515625" style="572" customWidth="1"/>
    <col min="10500" max="10500" width="10" style="572" customWidth="1"/>
    <col min="10501" max="10501" width="10.140625" style="572" customWidth="1"/>
    <col min="10502" max="10502" width="15.140625" style="572" customWidth="1"/>
    <col min="10503" max="10503" width="18" style="572" customWidth="1"/>
    <col min="10504" max="10504" width="8.85546875" style="572" customWidth="1"/>
    <col min="10505" max="10506" width="8.28515625" style="572" customWidth="1"/>
    <col min="10507" max="10752" width="8.85546875" style="572"/>
    <col min="10753" max="10753" width="5.42578125" style="572" customWidth="1"/>
    <col min="10754" max="10754" width="78.42578125" style="572" customWidth="1"/>
    <col min="10755" max="10755" width="72.28515625" style="572" customWidth="1"/>
    <col min="10756" max="10756" width="10" style="572" customWidth="1"/>
    <col min="10757" max="10757" width="10.140625" style="572" customWidth="1"/>
    <col min="10758" max="10758" width="15.140625" style="572" customWidth="1"/>
    <col min="10759" max="10759" width="18" style="572" customWidth="1"/>
    <col min="10760" max="10760" width="8.85546875" style="572" customWidth="1"/>
    <col min="10761" max="10762" width="8.28515625" style="572" customWidth="1"/>
    <col min="10763" max="11008" width="8.85546875" style="572"/>
    <col min="11009" max="11009" width="5.42578125" style="572" customWidth="1"/>
    <col min="11010" max="11010" width="78.42578125" style="572" customWidth="1"/>
    <col min="11011" max="11011" width="72.28515625" style="572" customWidth="1"/>
    <col min="11012" max="11012" width="10" style="572" customWidth="1"/>
    <col min="11013" max="11013" width="10.140625" style="572" customWidth="1"/>
    <col min="11014" max="11014" width="15.140625" style="572" customWidth="1"/>
    <col min="11015" max="11015" width="18" style="572" customWidth="1"/>
    <col min="11016" max="11016" width="8.85546875" style="572" customWidth="1"/>
    <col min="11017" max="11018" width="8.28515625" style="572" customWidth="1"/>
    <col min="11019" max="11264" width="8.85546875" style="572"/>
    <col min="11265" max="11265" width="5.42578125" style="572" customWidth="1"/>
    <col min="11266" max="11266" width="78.42578125" style="572" customWidth="1"/>
    <col min="11267" max="11267" width="72.28515625" style="572" customWidth="1"/>
    <col min="11268" max="11268" width="10" style="572" customWidth="1"/>
    <col min="11269" max="11269" width="10.140625" style="572" customWidth="1"/>
    <col min="11270" max="11270" width="15.140625" style="572" customWidth="1"/>
    <col min="11271" max="11271" width="18" style="572" customWidth="1"/>
    <col min="11272" max="11272" width="8.85546875" style="572" customWidth="1"/>
    <col min="11273" max="11274" width="8.28515625" style="572" customWidth="1"/>
    <col min="11275" max="11520" width="8.85546875" style="572"/>
    <col min="11521" max="11521" width="5.42578125" style="572" customWidth="1"/>
    <col min="11522" max="11522" width="78.42578125" style="572" customWidth="1"/>
    <col min="11523" max="11523" width="72.28515625" style="572" customWidth="1"/>
    <col min="11524" max="11524" width="10" style="572" customWidth="1"/>
    <col min="11525" max="11525" width="10.140625" style="572" customWidth="1"/>
    <col min="11526" max="11526" width="15.140625" style="572" customWidth="1"/>
    <col min="11527" max="11527" width="18" style="572" customWidth="1"/>
    <col min="11528" max="11528" width="8.85546875" style="572" customWidth="1"/>
    <col min="11529" max="11530" width="8.28515625" style="572" customWidth="1"/>
    <col min="11531" max="11776" width="8.85546875" style="572"/>
    <col min="11777" max="11777" width="5.42578125" style="572" customWidth="1"/>
    <col min="11778" max="11778" width="78.42578125" style="572" customWidth="1"/>
    <col min="11779" max="11779" width="72.28515625" style="572" customWidth="1"/>
    <col min="11780" max="11780" width="10" style="572" customWidth="1"/>
    <col min="11781" max="11781" width="10.140625" style="572" customWidth="1"/>
    <col min="11782" max="11782" width="15.140625" style="572" customWidth="1"/>
    <col min="11783" max="11783" width="18" style="572" customWidth="1"/>
    <col min="11784" max="11784" width="8.85546875" style="572" customWidth="1"/>
    <col min="11785" max="11786" width="8.28515625" style="572" customWidth="1"/>
    <col min="11787" max="12032" width="8.85546875" style="572"/>
    <col min="12033" max="12033" width="5.42578125" style="572" customWidth="1"/>
    <col min="12034" max="12034" width="78.42578125" style="572" customWidth="1"/>
    <col min="12035" max="12035" width="72.28515625" style="572" customWidth="1"/>
    <col min="12036" max="12036" width="10" style="572" customWidth="1"/>
    <col min="12037" max="12037" width="10.140625" style="572" customWidth="1"/>
    <col min="12038" max="12038" width="15.140625" style="572" customWidth="1"/>
    <col min="12039" max="12039" width="18" style="572" customWidth="1"/>
    <col min="12040" max="12040" width="8.85546875" style="572" customWidth="1"/>
    <col min="12041" max="12042" width="8.28515625" style="572" customWidth="1"/>
    <col min="12043" max="12288" width="8.85546875" style="572"/>
    <col min="12289" max="12289" width="5.42578125" style="572" customWidth="1"/>
    <col min="12290" max="12290" width="78.42578125" style="572" customWidth="1"/>
    <col min="12291" max="12291" width="72.28515625" style="572" customWidth="1"/>
    <col min="12292" max="12292" width="10" style="572" customWidth="1"/>
    <col min="12293" max="12293" width="10.140625" style="572" customWidth="1"/>
    <col min="12294" max="12294" width="15.140625" style="572" customWidth="1"/>
    <col min="12295" max="12295" width="18" style="572" customWidth="1"/>
    <col min="12296" max="12296" width="8.85546875" style="572" customWidth="1"/>
    <col min="12297" max="12298" width="8.28515625" style="572" customWidth="1"/>
    <col min="12299" max="12544" width="8.85546875" style="572"/>
    <col min="12545" max="12545" width="5.42578125" style="572" customWidth="1"/>
    <col min="12546" max="12546" width="78.42578125" style="572" customWidth="1"/>
    <col min="12547" max="12547" width="72.28515625" style="572" customWidth="1"/>
    <col min="12548" max="12548" width="10" style="572" customWidth="1"/>
    <col min="12549" max="12549" width="10.140625" style="572" customWidth="1"/>
    <col min="12550" max="12550" width="15.140625" style="572" customWidth="1"/>
    <col min="12551" max="12551" width="18" style="572" customWidth="1"/>
    <col min="12552" max="12552" width="8.85546875" style="572" customWidth="1"/>
    <col min="12553" max="12554" width="8.28515625" style="572" customWidth="1"/>
    <col min="12555" max="12800" width="8.85546875" style="572"/>
    <col min="12801" max="12801" width="5.42578125" style="572" customWidth="1"/>
    <col min="12802" max="12802" width="78.42578125" style="572" customWidth="1"/>
    <col min="12803" max="12803" width="72.28515625" style="572" customWidth="1"/>
    <col min="12804" max="12804" width="10" style="572" customWidth="1"/>
    <col min="12805" max="12805" width="10.140625" style="572" customWidth="1"/>
    <col min="12806" max="12806" width="15.140625" style="572" customWidth="1"/>
    <col min="12807" max="12807" width="18" style="572" customWidth="1"/>
    <col min="12808" max="12808" width="8.85546875" style="572" customWidth="1"/>
    <col min="12809" max="12810" width="8.28515625" style="572" customWidth="1"/>
    <col min="12811" max="13056" width="8.85546875" style="572"/>
    <col min="13057" max="13057" width="5.42578125" style="572" customWidth="1"/>
    <col min="13058" max="13058" width="78.42578125" style="572" customWidth="1"/>
    <col min="13059" max="13059" width="72.28515625" style="572" customWidth="1"/>
    <col min="13060" max="13060" width="10" style="572" customWidth="1"/>
    <col min="13061" max="13061" width="10.140625" style="572" customWidth="1"/>
    <col min="13062" max="13062" width="15.140625" style="572" customWidth="1"/>
    <col min="13063" max="13063" width="18" style="572" customWidth="1"/>
    <col min="13064" max="13064" width="8.85546875" style="572" customWidth="1"/>
    <col min="13065" max="13066" width="8.28515625" style="572" customWidth="1"/>
    <col min="13067" max="13312" width="8.85546875" style="572"/>
    <col min="13313" max="13313" width="5.42578125" style="572" customWidth="1"/>
    <col min="13314" max="13314" width="78.42578125" style="572" customWidth="1"/>
    <col min="13315" max="13315" width="72.28515625" style="572" customWidth="1"/>
    <col min="13316" max="13316" width="10" style="572" customWidth="1"/>
    <col min="13317" max="13317" width="10.140625" style="572" customWidth="1"/>
    <col min="13318" max="13318" width="15.140625" style="572" customWidth="1"/>
    <col min="13319" max="13319" width="18" style="572" customWidth="1"/>
    <col min="13320" max="13320" width="8.85546875" style="572" customWidth="1"/>
    <col min="13321" max="13322" width="8.28515625" style="572" customWidth="1"/>
    <col min="13323" max="13568" width="8.85546875" style="572"/>
    <col min="13569" max="13569" width="5.42578125" style="572" customWidth="1"/>
    <col min="13570" max="13570" width="78.42578125" style="572" customWidth="1"/>
    <col min="13571" max="13571" width="72.28515625" style="572" customWidth="1"/>
    <col min="13572" max="13572" width="10" style="572" customWidth="1"/>
    <col min="13573" max="13573" width="10.140625" style="572" customWidth="1"/>
    <col min="13574" max="13574" width="15.140625" style="572" customWidth="1"/>
    <col min="13575" max="13575" width="18" style="572" customWidth="1"/>
    <col min="13576" max="13576" width="8.85546875" style="572" customWidth="1"/>
    <col min="13577" max="13578" width="8.28515625" style="572" customWidth="1"/>
    <col min="13579" max="13824" width="8.85546875" style="572"/>
    <col min="13825" max="13825" width="5.42578125" style="572" customWidth="1"/>
    <col min="13826" max="13826" width="78.42578125" style="572" customWidth="1"/>
    <col min="13827" max="13827" width="72.28515625" style="572" customWidth="1"/>
    <col min="13828" max="13828" width="10" style="572" customWidth="1"/>
    <col min="13829" max="13829" width="10.140625" style="572" customWidth="1"/>
    <col min="13830" max="13830" width="15.140625" style="572" customWidth="1"/>
    <col min="13831" max="13831" width="18" style="572" customWidth="1"/>
    <col min="13832" max="13832" width="8.85546875" style="572" customWidth="1"/>
    <col min="13833" max="13834" width="8.28515625" style="572" customWidth="1"/>
    <col min="13835" max="14080" width="8.85546875" style="572"/>
    <col min="14081" max="14081" width="5.42578125" style="572" customWidth="1"/>
    <col min="14082" max="14082" width="78.42578125" style="572" customWidth="1"/>
    <col min="14083" max="14083" width="72.28515625" style="572" customWidth="1"/>
    <col min="14084" max="14084" width="10" style="572" customWidth="1"/>
    <col min="14085" max="14085" width="10.140625" style="572" customWidth="1"/>
    <col min="14086" max="14086" width="15.140625" style="572" customWidth="1"/>
    <col min="14087" max="14087" width="18" style="572" customWidth="1"/>
    <col min="14088" max="14088" width="8.85546875" style="572" customWidth="1"/>
    <col min="14089" max="14090" width="8.28515625" style="572" customWidth="1"/>
    <col min="14091" max="14336" width="8.85546875" style="572"/>
    <col min="14337" max="14337" width="5.42578125" style="572" customWidth="1"/>
    <col min="14338" max="14338" width="78.42578125" style="572" customWidth="1"/>
    <col min="14339" max="14339" width="72.28515625" style="572" customWidth="1"/>
    <col min="14340" max="14340" width="10" style="572" customWidth="1"/>
    <col min="14341" max="14341" width="10.140625" style="572" customWidth="1"/>
    <col min="14342" max="14342" width="15.140625" style="572" customWidth="1"/>
    <col min="14343" max="14343" width="18" style="572" customWidth="1"/>
    <col min="14344" max="14344" width="8.85546875" style="572" customWidth="1"/>
    <col min="14345" max="14346" width="8.28515625" style="572" customWidth="1"/>
    <col min="14347" max="14592" width="8.85546875" style="572"/>
    <col min="14593" max="14593" width="5.42578125" style="572" customWidth="1"/>
    <col min="14594" max="14594" width="78.42578125" style="572" customWidth="1"/>
    <col min="14595" max="14595" width="72.28515625" style="572" customWidth="1"/>
    <col min="14596" max="14596" width="10" style="572" customWidth="1"/>
    <col min="14597" max="14597" width="10.140625" style="572" customWidth="1"/>
    <col min="14598" max="14598" width="15.140625" style="572" customWidth="1"/>
    <col min="14599" max="14599" width="18" style="572" customWidth="1"/>
    <col min="14600" max="14600" width="8.85546875" style="572" customWidth="1"/>
    <col min="14601" max="14602" width="8.28515625" style="572" customWidth="1"/>
    <col min="14603" max="14848" width="8.85546875" style="572"/>
    <col min="14849" max="14849" width="5.42578125" style="572" customWidth="1"/>
    <col min="14850" max="14850" width="78.42578125" style="572" customWidth="1"/>
    <col min="14851" max="14851" width="72.28515625" style="572" customWidth="1"/>
    <col min="14852" max="14852" width="10" style="572" customWidth="1"/>
    <col min="14853" max="14853" width="10.140625" style="572" customWidth="1"/>
    <col min="14854" max="14854" width="15.140625" style="572" customWidth="1"/>
    <col min="14855" max="14855" width="18" style="572" customWidth="1"/>
    <col min="14856" max="14856" width="8.85546875" style="572" customWidth="1"/>
    <col min="14857" max="14858" width="8.28515625" style="572" customWidth="1"/>
    <col min="14859" max="15104" width="8.85546875" style="572"/>
    <col min="15105" max="15105" width="5.42578125" style="572" customWidth="1"/>
    <col min="15106" max="15106" width="78.42578125" style="572" customWidth="1"/>
    <col min="15107" max="15107" width="72.28515625" style="572" customWidth="1"/>
    <col min="15108" max="15108" width="10" style="572" customWidth="1"/>
    <col min="15109" max="15109" width="10.140625" style="572" customWidth="1"/>
    <col min="15110" max="15110" width="15.140625" style="572" customWidth="1"/>
    <col min="15111" max="15111" width="18" style="572" customWidth="1"/>
    <col min="15112" max="15112" width="8.85546875" style="572" customWidth="1"/>
    <col min="15113" max="15114" width="8.28515625" style="572" customWidth="1"/>
    <col min="15115" max="15360" width="8.85546875" style="572"/>
    <col min="15361" max="15361" width="5.42578125" style="572" customWidth="1"/>
    <col min="15362" max="15362" width="78.42578125" style="572" customWidth="1"/>
    <col min="15363" max="15363" width="72.28515625" style="572" customWidth="1"/>
    <col min="15364" max="15364" width="10" style="572" customWidth="1"/>
    <col min="15365" max="15365" width="10.140625" style="572" customWidth="1"/>
    <col min="15366" max="15366" width="15.140625" style="572" customWidth="1"/>
    <col min="15367" max="15367" width="18" style="572" customWidth="1"/>
    <col min="15368" max="15368" width="8.85546875" style="572" customWidth="1"/>
    <col min="15369" max="15370" width="8.28515625" style="572" customWidth="1"/>
    <col min="15371" max="15616" width="8.85546875" style="572"/>
    <col min="15617" max="15617" width="5.42578125" style="572" customWidth="1"/>
    <col min="15618" max="15618" width="78.42578125" style="572" customWidth="1"/>
    <col min="15619" max="15619" width="72.28515625" style="572" customWidth="1"/>
    <col min="15620" max="15620" width="10" style="572" customWidth="1"/>
    <col min="15621" max="15621" width="10.140625" style="572" customWidth="1"/>
    <col min="15622" max="15622" width="15.140625" style="572" customWidth="1"/>
    <col min="15623" max="15623" width="18" style="572" customWidth="1"/>
    <col min="15624" max="15624" width="8.85546875" style="572" customWidth="1"/>
    <col min="15625" max="15626" width="8.28515625" style="572" customWidth="1"/>
    <col min="15627" max="15872" width="8.85546875" style="572"/>
    <col min="15873" max="15873" width="5.42578125" style="572" customWidth="1"/>
    <col min="15874" max="15874" width="78.42578125" style="572" customWidth="1"/>
    <col min="15875" max="15875" width="72.28515625" style="572" customWidth="1"/>
    <col min="15876" max="15876" width="10" style="572" customWidth="1"/>
    <col min="15877" max="15877" width="10.140625" style="572" customWidth="1"/>
    <col min="15878" max="15878" width="15.140625" style="572" customWidth="1"/>
    <col min="15879" max="15879" width="18" style="572" customWidth="1"/>
    <col min="15880" max="15880" width="8.85546875" style="572" customWidth="1"/>
    <col min="15881" max="15882" width="8.28515625" style="572" customWidth="1"/>
    <col min="15883" max="16128" width="8.85546875" style="572"/>
    <col min="16129" max="16129" width="5.42578125" style="572" customWidth="1"/>
    <col min="16130" max="16130" width="78.42578125" style="572" customWidth="1"/>
    <col min="16131" max="16131" width="72.28515625" style="572" customWidth="1"/>
    <col min="16132" max="16132" width="10" style="572" customWidth="1"/>
    <col min="16133" max="16133" width="10.140625" style="572" customWidth="1"/>
    <col min="16134" max="16134" width="15.140625" style="572" customWidth="1"/>
    <col min="16135" max="16135" width="18" style="572" customWidth="1"/>
    <col min="16136" max="16136" width="8.85546875" style="572" customWidth="1"/>
    <col min="16137" max="16138" width="8.28515625" style="572" customWidth="1"/>
    <col min="16139" max="16384" width="8.85546875" style="572"/>
  </cols>
  <sheetData>
    <row r="1" spans="1:16">
      <c r="A1" s="1580"/>
      <c r="B1" s="1578"/>
      <c r="C1" s="357"/>
      <c r="D1" s="1600"/>
      <c r="E1" s="1600"/>
      <c r="F1" s="1600"/>
      <c r="G1" s="1600"/>
      <c r="H1" s="1580"/>
      <c r="I1" s="1580"/>
      <c r="J1" s="1580"/>
      <c r="K1" s="1580"/>
      <c r="L1" s="916"/>
      <c r="M1" s="1580"/>
      <c r="N1" s="1580"/>
      <c r="O1" s="1580" t="s">
        <v>267</v>
      </c>
      <c r="P1" s="3122" t="s">
        <v>2270</v>
      </c>
    </row>
    <row r="2" spans="1:16">
      <c r="A2" s="3123" t="s">
        <v>2692</v>
      </c>
      <c r="B2" s="3124"/>
      <c r="C2" s="924"/>
      <c r="D2" s="1599"/>
      <c r="E2" s="1599"/>
      <c r="F2" s="1599"/>
      <c r="G2" s="3125" t="s">
        <v>267</v>
      </c>
      <c r="H2" s="3126" t="s">
        <v>2270</v>
      </c>
      <c r="I2" s="1636"/>
      <c r="J2" s="1636"/>
      <c r="K2" s="1636"/>
      <c r="L2" s="3127"/>
      <c r="M2" s="1636"/>
      <c r="N2" s="1636"/>
      <c r="O2" s="1636"/>
      <c r="P2" s="1636"/>
    </row>
    <row r="3" spans="1:16">
      <c r="A3" s="3128"/>
      <c r="B3" s="3129" t="s">
        <v>2693</v>
      </c>
      <c r="C3" s="357"/>
      <c r="D3" s="1600"/>
      <c r="E3" s="1600"/>
      <c r="F3" s="1600"/>
      <c r="G3" s="1600"/>
      <c r="H3" s="1580"/>
      <c r="I3" s="1580"/>
      <c r="J3" s="1580"/>
      <c r="K3" s="1580"/>
      <c r="L3" s="916"/>
      <c r="M3" s="1580"/>
      <c r="N3" s="1580"/>
      <c r="O3" s="1580"/>
      <c r="P3" s="1580"/>
    </row>
    <row r="4" spans="1:16">
      <c r="A4" s="3130" t="s">
        <v>2694</v>
      </c>
      <c r="B4" s="3124"/>
      <c r="C4" s="924"/>
      <c r="D4" s="1599"/>
      <c r="E4" s="1599"/>
      <c r="F4" s="1599"/>
      <c r="G4" s="1599"/>
      <c r="H4" s="1636"/>
      <c r="I4" s="1636"/>
      <c r="J4" s="1636"/>
      <c r="K4" s="1636"/>
      <c r="L4" s="3127"/>
      <c r="M4" s="1636"/>
      <c r="N4" s="1636"/>
      <c r="O4" s="1636"/>
      <c r="P4" s="1636"/>
    </row>
    <row r="5" spans="1:16">
      <c r="A5" s="3131" t="s">
        <v>990</v>
      </c>
      <c r="B5" s="3129"/>
      <c r="C5" s="357"/>
      <c r="D5" s="1600"/>
      <c r="E5" s="1600"/>
      <c r="F5" s="1600"/>
      <c r="G5" s="1600"/>
      <c r="H5" s="1580"/>
      <c r="I5" s="1580"/>
      <c r="J5" s="1580"/>
      <c r="K5" s="1580"/>
      <c r="L5" s="916"/>
      <c r="M5" s="1580"/>
      <c r="N5" s="1580"/>
      <c r="O5" s="1580"/>
      <c r="P5" s="1580"/>
    </row>
    <row r="6" spans="1:16">
      <c r="A6" s="1580"/>
      <c r="B6" s="1578"/>
      <c r="C6" s="357"/>
      <c r="D6" s="1600"/>
      <c r="E6" s="1600"/>
      <c r="F6" s="1600"/>
      <c r="G6" s="1600"/>
      <c r="H6" s="1580"/>
      <c r="I6" s="1580"/>
      <c r="J6" s="1580"/>
      <c r="K6" s="1580"/>
      <c r="L6" s="916"/>
      <c r="M6" s="1580"/>
      <c r="N6" s="1580"/>
      <c r="O6" s="1580"/>
      <c r="P6" s="1580"/>
    </row>
    <row r="7" spans="1:16" ht="37.5">
      <c r="A7" s="3132" t="s">
        <v>34</v>
      </c>
      <c r="B7" s="3132" t="s">
        <v>2695</v>
      </c>
      <c r="C7" s="3132" t="s">
        <v>2696</v>
      </c>
      <c r="D7" s="3133" t="s">
        <v>1072</v>
      </c>
      <c r="E7" s="3132" t="s">
        <v>922</v>
      </c>
      <c r="F7" s="3132" t="s">
        <v>1077</v>
      </c>
      <c r="G7" s="3133" t="s">
        <v>345</v>
      </c>
      <c r="H7" s="3133" t="s">
        <v>1002</v>
      </c>
      <c r="I7" s="3133" t="s">
        <v>2697</v>
      </c>
      <c r="J7" s="3133" t="s">
        <v>2698</v>
      </c>
      <c r="K7" s="1580"/>
      <c r="L7" s="916"/>
      <c r="M7" s="1580"/>
      <c r="N7" s="1580"/>
      <c r="O7" s="1580"/>
      <c r="P7" s="1580"/>
    </row>
    <row r="8" spans="1:16">
      <c r="A8" s="3134">
        <v>1</v>
      </c>
      <c r="B8" s="3135" t="s">
        <v>2699</v>
      </c>
      <c r="C8" s="3135" t="s">
        <v>2700</v>
      </c>
      <c r="D8" s="3136" t="s">
        <v>1268</v>
      </c>
      <c r="E8" s="3136">
        <f t="shared" ref="E8:E71" si="0">H8+I8+J8</f>
        <v>40</v>
      </c>
      <c r="F8" s="3137">
        <v>820</v>
      </c>
      <c r="G8" s="3138">
        <f t="shared" ref="G8:G71" si="1">F8*E8</f>
        <v>32800</v>
      </c>
      <c r="H8" s="3136">
        <v>15</v>
      </c>
      <c r="I8" s="3136">
        <v>15</v>
      </c>
      <c r="J8" s="3136">
        <v>10</v>
      </c>
      <c r="K8" s="1580"/>
      <c r="L8" s="916"/>
      <c r="M8" s="1580"/>
      <c r="N8" s="1580"/>
      <c r="O8" s="1580"/>
      <c r="P8" s="1580"/>
    </row>
    <row r="9" spans="1:16">
      <c r="A9" s="3134">
        <v>2</v>
      </c>
      <c r="B9" s="3135" t="s">
        <v>2701</v>
      </c>
      <c r="C9" s="3135" t="s">
        <v>2702</v>
      </c>
      <c r="D9" s="3136" t="s">
        <v>1268</v>
      </c>
      <c r="E9" s="3136">
        <f t="shared" si="0"/>
        <v>30</v>
      </c>
      <c r="F9" s="3137">
        <v>730</v>
      </c>
      <c r="G9" s="3138">
        <f t="shared" si="1"/>
        <v>21900</v>
      </c>
      <c r="H9" s="3136">
        <v>10</v>
      </c>
      <c r="I9" s="3136">
        <v>10</v>
      </c>
      <c r="J9" s="3136">
        <v>10</v>
      </c>
      <c r="K9" s="1580"/>
      <c r="L9" s="916"/>
      <c r="M9" s="1580"/>
      <c r="N9" s="1580"/>
      <c r="O9" s="1580"/>
      <c r="P9" s="1580"/>
    </row>
    <row r="10" spans="1:16">
      <c r="A10" s="3134">
        <v>3</v>
      </c>
      <c r="B10" s="3135" t="s">
        <v>2703</v>
      </c>
      <c r="C10" s="3135" t="s">
        <v>2704</v>
      </c>
      <c r="D10" s="3136" t="s">
        <v>1268</v>
      </c>
      <c r="E10" s="3136">
        <f t="shared" si="0"/>
        <v>25</v>
      </c>
      <c r="F10" s="3137">
        <v>780</v>
      </c>
      <c r="G10" s="3138">
        <f t="shared" si="1"/>
        <v>19500</v>
      </c>
      <c r="H10" s="3136">
        <v>10</v>
      </c>
      <c r="I10" s="3136">
        <v>10</v>
      </c>
      <c r="J10" s="3136">
        <v>5</v>
      </c>
      <c r="K10" s="1580"/>
      <c r="L10" s="916"/>
      <c r="M10" s="1580"/>
      <c r="N10" s="1580"/>
      <c r="O10" s="1580"/>
      <c r="P10" s="1580"/>
    </row>
    <row r="11" spans="1:16">
      <c r="A11" s="3134">
        <v>4</v>
      </c>
      <c r="B11" s="3135" t="s">
        <v>2705</v>
      </c>
      <c r="C11" s="3135" t="s">
        <v>2706</v>
      </c>
      <c r="D11" s="3136" t="s">
        <v>1268</v>
      </c>
      <c r="E11" s="3136">
        <f t="shared" si="0"/>
        <v>40</v>
      </c>
      <c r="F11" s="3137">
        <v>610</v>
      </c>
      <c r="G11" s="3138">
        <f t="shared" si="1"/>
        <v>24400</v>
      </c>
      <c r="H11" s="3136">
        <v>20</v>
      </c>
      <c r="I11" s="3136">
        <v>15</v>
      </c>
      <c r="J11" s="3136">
        <v>5</v>
      </c>
      <c r="K11" s="1580"/>
      <c r="L11" s="916"/>
      <c r="M11" s="1580"/>
      <c r="N11" s="1580"/>
      <c r="O11" s="1580"/>
      <c r="P11" s="1580"/>
    </row>
    <row r="12" spans="1:16" ht="37.5">
      <c r="A12" s="3134">
        <v>5</v>
      </c>
      <c r="B12" s="3139" t="s">
        <v>2707</v>
      </c>
      <c r="C12" s="3139" t="s">
        <v>2707</v>
      </c>
      <c r="D12" s="3140" t="s">
        <v>1268</v>
      </c>
      <c r="E12" s="3136">
        <f t="shared" si="0"/>
        <v>30</v>
      </c>
      <c r="F12" s="3137">
        <v>650</v>
      </c>
      <c r="G12" s="3138">
        <f t="shared" si="1"/>
        <v>19500</v>
      </c>
      <c r="H12" s="3136">
        <v>10</v>
      </c>
      <c r="I12" s="3136">
        <v>10</v>
      </c>
      <c r="J12" s="3136">
        <v>10</v>
      </c>
    </row>
    <row r="13" spans="1:16" ht="37.5">
      <c r="A13" s="3134">
        <v>6</v>
      </c>
      <c r="B13" s="3139" t="s">
        <v>2708</v>
      </c>
      <c r="C13" s="3139" t="s">
        <v>2708</v>
      </c>
      <c r="D13" s="3140" t="s">
        <v>1268</v>
      </c>
      <c r="E13" s="3136">
        <f t="shared" si="0"/>
        <v>20</v>
      </c>
      <c r="F13" s="3137">
        <v>650</v>
      </c>
      <c r="G13" s="3138">
        <f t="shared" si="1"/>
        <v>13000</v>
      </c>
      <c r="H13" s="3136">
        <v>10</v>
      </c>
      <c r="I13" s="3136">
        <v>5</v>
      </c>
      <c r="J13" s="3136">
        <v>5</v>
      </c>
    </row>
    <row r="14" spans="1:16" ht="37.5">
      <c r="A14" s="3134">
        <v>7</v>
      </c>
      <c r="B14" s="3139" t="s">
        <v>2709</v>
      </c>
      <c r="C14" s="3139" t="s">
        <v>2709</v>
      </c>
      <c r="D14" s="3140" t="s">
        <v>1268</v>
      </c>
      <c r="E14" s="3136">
        <f t="shared" si="0"/>
        <v>10</v>
      </c>
      <c r="F14" s="3137">
        <v>750</v>
      </c>
      <c r="G14" s="3138">
        <f t="shared" si="1"/>
        <v>7500</v>
      </c>
      <c r="H14" s="3136">
        <v>5</v>
      </c>
      <c r="I14" s="3136">
        <v>5</v>
      </c>
      <c r="J14" s="3136">
        <v>0</v>
      </c>
    </row>
    <row r="15" spans="1:16" ht="37.5">
      <c r="A15" s="3134">
        <v>8</v>
      </c>
      <c r="B15" s="3139" t="s">
        <v>2710</v>
      </c>
      <c r="C15" s="3139" t="s">
        <v>2710</v>
      </c>
      <c r="D15" s="3140" t="s">
        <v>1268</v>
      </c>
      <c r="E15" s="3136">
        <f t="shared" si="0"/>
        <v>10</v>
      </c>
      <c r="F15" s="3137">
        <v>750</v>
      </c>
      <c r="G15" s="3138">
        <f t="shared" si="1"/>
        <v>7500</v>
      </c>
      <c r="H15" s="3136">
        <v>0</v>
      </c>
      <c r="I15" s="3136">
        <v>5</v>
      </c>
      <c r="J15" s="3136">
        <v>5</v>
      </c>
    </row>
    <row r="16" spans="1:16" ht="37.5">
      <c r="A16" s="3134">
        <v>9</v>
      </c>
      <c r="B16" s="3139" t="s">
        <v>2711</v>
      </c>
      <c r="C16" s="3139" t="s">
        <v>2711</v>
      </c>
      <c r="D16" s="3140" t="s">
        <v>1268</v>
      </c>
      <c r="E16" s="3136">
        <f t="shared" si="0"/>
        <v>10</v>
      </c>
      <c r="F16" s="3137">
        <v>2500</v>
      </c>
      <c r="G16" s="3138">
        <f t="shared" si="1"/>
        <v>25000</v>
      </c>
      <c r="H16" s="3136">
        <v>5</v>
      </c>
      <c r="I16" s="3136">
        <v>5</v>
      </c>
      <c r="J16" s="3136">
        <v>0</v>
      </c>
    </row>
    <row r="17" spans="1:10" ht="37.5">
      <c r="A17" s="3134">
        <v>10</v>
      </c>
      <c r="B17" s="3139" t="s">
        <v>2712</v>
      </c>
      <c r="C17" s="3139" t="s">
        <v>2712</v>
      </c>
      <c r="D17" s="3140" t="s">
        <v>1268</v>
      </c>
      <c r="E17" s="3136">
        <f t="shared" si="0"/>
        <v>10</v>
      </c>
      <c r="F17" s="3137">
        <v>2500</v>
      </c>
      <c r="G17" s="3138">
        <f t="shared" si="1"/>
        <v>25000</v>
      </c>
      <c r="H17" s="3136">
        <v>5</v>
      </c>
      <c r="I17" s="3136">
        <v>5</v>
      </c>
      <c r="J17" s="3136">
        <v>0</v>
      </c>
    </row>
    <row r="18" spans="1:10" ht="37.5">
      <c r="A18" s="3134">
        <v>11</v>
      </c>
      <c r="B18" s="3139" t="s">
        <v>2713</v>
      </c>
      <c r="C18" s="3139" t="s">
        <v>2713</v>
      </c>
      <c r="D18" s="3140" t="s">
        <v>1268</v>
      </c>
      <c r="E18" s="3136">
        <f t="shared" si="0"/>
        <v>10</v>
      </c>
      <c r="F18" s="3137">
        <v>3500</v>
      </c>
      <c r="G18" s="3138">
        <f t="shared" si="1"/>
        <v>35000</v>
      </c>
      <c r="H18" s="3136">
        <v>0</v>
      </c>
      <c r="I18" s="3136">
        <v>5</v>
      </c>
      <c r="J18" s="3136">
        <v>5</v>
      </c>
    </row>
    <row r="19" spans="1:10" ht="37.5">
      <c r="A19" s="3134">
        <v>12</v>
      </c>
      <c r="B19" s="3139" t="s">
        <v>2714</v>
      </c>
      <c r="C19" s="3139" t="s">
        <v>2714</v>
      </c>
      <c r="D19" s="3140" t="s">
        <v>1268</v>
      </c>
      <c r="E19" s="3136">
        <f t="shared" si="0"/>
        <v>10</v>
      </c>
      <c r="F19" s="3137">
        <v>3500</v>
      </c>
      <c r="G19" s="3138">
        <f t="shared" si="1"/>
        <v>35000</v>
      </c>
      <c r="H19" s="3136">
        <v>0</v>
      </c>
      <c r="I19" s="3136">
        <v>5</v>
      </c>
      <c r="J19" s="3136">
        <v>5</v>
      </c>
    </row>
    <row r="20" spans="1:10" ht="37.5">
      <c r="A20" s="3134">
        <v>13</v>
      </c>
      <c r="B20" s="3139" t="s">
        <v>2715</v>
      </c>
      <c r="C20" s="3139" t="s">
        <v>2715</v>
      </c>
      <c r="D20" s="3140" t="s">
        <v>1268</v>
      </c>
      <c r="E20" s="3136">
        <f t="shared" si="0"/>
        <v>10</v>
      </c>
      <c r="F20" s="3137">
        <v>3500</v>
      </c>
      <c r="G20" s="3138">
        <f t="shared" si="1"/>
        <v>35000</v>
      </c>
      <c r="H20" s="3136">
        <v>5</v>
      </c>
      <c r="I20" s="3136">
        <v>5</v>
      </c>
      <c r="J20" s="3136">
        <v>0</v>
      </c>
    </row>
    <row r="21" spans="1:10" ht="37.5">
      <c r="A21" s="3134">
        <v>14</v>
      </c>
      <c r="B21" s="3139" t="s">
        <v>2716</v>
      </c>
      <c r="C21" s="3139" t="s">
        <v>2716</v>
      </c>
      <c r="D21" s="3140" t="s">
        <v>1268</v>
      </c>
      <c r="E21" s="3136">
        <f t="shared" si="0"/>
        <v>10</v>
      </c>
      <c r="F21" s="3137">
        <v>3500</v>
      </c>
      <c r="G21" s="3138">
        <f t="shared" si="1"/>
        <v>35000</v>
      </c>
      <c r="H21" s="3136">
        <v>0</v>
      </c>
      <c r="I21" s="3136">
        <v>5</v>
      </c>
      <c r="J21" s="3136">
        <v>5</v>
      </c>
    </row>
    <row r="22" spans="1:10">
      <c r="A22" s="3134">
        <v>15</v>
      </c>
      <c r="B22" s="3141" t="s">
        <v>2717</v>
      </c>
      <c r="C22" s="3141" t="s">
        <v>2717</v>
      </c>
      <c r="D22" s="3142" t="s">
        <v>1268</v>
      </c>
      <c r="E22" s="3142">
        <f t="shared" si="0"/>
        <v>30</v>
      </c>
      <c r="F22" s="3143">
        <v>620</v>
      </c>
      <c r="G22" s="3144">
        <f t="shared" si="1"/>
        <v>18600</v>
      </c>
      <c r="H22" s="3142">
        <v>10</v>
      </c>
      <c r="I22" s="3142">
        <v>10</v>
      </c>
      <c r="J22" s="3142">
        <v>10</v>
      </c>
    </row>
    <row r="23" spans="1:10">
      <c r="A23" s="3134">
        <v>16</v>
      </c>
      <c r="B23" s="3145" t="s">
        <v>2718</v>
      </c>
      <c r="C23" s="3145" t="s">
        <v>2718</v>
      </c>
      <c r="D23" s="3136" t="s">
        <v>1268</v>
      </c>
      <c r="E23" s="3136">
        <f t="shared" si="0"/>
        <v>700</v>
      </c>
      <c r="F23" s="3137">
        <v>20</v>
      </c>
      <c r="G23" s="3138">
        <f t="shared" si="1"/>
        <v>14000</v>
      </c>
      <c r="H23" s="3136">
        <v>300</v>
      </c>
      <c r="I23" s="3136">
        <v>300</v>
      </c>
      <c r="J23" s="3136">
        <v>100</v>
      </c>
    </row>
    <row r="24" spans="1:10">
      <c r="A24" s="3134">
        <v>17</v>
      </c>
      <c r="B24" s="3145" t="s">
        <v>2719</v>
      </c>
      <c r="C24" s="3145" t="s">
        <v>2719</v>
      </c>
      <c r="D24" s="3136" t="s">
        <v>1022</v>
      </c>
      <c r="E24" s="3136">
        <f t="shared" si="0"/>
        <v>50</v>
      </c>
      <c r="F24" s="3136" t="s">
        <v>2720</v>
      </c>
      <c r="G24" s="3138">
        <f t="shared" si="1"/>
        <v>4500</v>
      </c>
      <c r="H24" s="3136">
        <v>20</v>
      </c>
      <c r="I24" s="3136">
        <v>20</v>
      </c>
      <c r="J24" s="3136">
        <v>10</v>
      </c>
    </row>
    <row r="25" spans="1:10">
      <c r="A25" s="3134">
        <v>18</v>
      </c>
      <c r="B25" s="3145" t="s">
        <v>2721</v>
      </c>
      <c r="C25" s="3145" t="s">
        <v>2721</v>
      </c>
      <c r="D25" s="3136" t="s">
        <v>1022</v>
      </c>
      <c r="E25" s="3136">
        <f t="shared" si="0"/>
        <v>60</v>
      </c>
      <c r="F25" s="3136" t="s">
        <v>2722</v>
      </c>
      <c r="G25" s="3138">
        <f t="shared" si="1"/>
        <v>6000</v>
      </c>
      <c r="H25" s="3136">
        <v>20</v>
      </c>
      <c r="I25" s="3136">
        <v>20</v>
      </c>
      <c r="J25" s="3136">
        <v>20</v>
      </c>
    </row>
    <row r="26" spans="1:10">
      <c r="A26" s="3134">
        <v>19</v>
      </c>
      <c r="B26" s="3145" t="s">
        <v>2723</v>
      </c>
      <c r="C26" s="3145" t="s">
        <v>2723</v>
      </c>
      <c r="D26" s="3136" t="s">
        <v>1022</v>
      </c>
      <c r="E26" s="3136">
        <f t="shared" si="0"/>
        <v>60</v>
      </c>
      <c r="F26" s="3136" t="s">
        <v>2724</v>
      </c>
      <c r="G26" s="3138">
        <f t="shared" si="1"/>
        <v>4800</v>
      </c>
      <c r="H26" s="3136">
        <v>20</v>
      </c>
      <c r="I26" s="3136">
        <v>20</v>
      </c>
      <c r="J26" s="3136">
        <v>20</v>
      </c>
    </row>
    <row r="27" spans="1:10">
      <c r="A27" s="3134">
        <v>20</v>
      </c>
      <c r="B27" s="3145" t="s">
        <v>2725</v>
      </c>
      <c r="C27" s="3145" t="s">
        <v>2725</v>
      </c>
      <c r="D27" s="3136" t="s">
        <v>1268</v>
      </c>
      <c r="E27" s="3136">
        <f t="shared" si="0"/>
        <v>500</v>
      </c>
      <c r="F27" s="3137">
        <v>17</v>
      </c>
      <c r="G27" s="3138">
        <f t="shared" si="1"/>
        <v>8500</v>
      </c>
      <c r="H27" s="3136">
        <v>200</v>
      </c>
      <c r="I27" s="3136">
        <v>200</v>
      </c>
      <c r="J27" s="3136">
        <v>100</v>
      </c>
    </row>
    <row r="28" spans="1:10">
      <c r="A28" s="3134">
        <v>21</v>
      </c>
      <c r="B28" s="3146" t="s">
        <v>2726</v>
      </c>
      <c r="C28" s="3146" t="s">
        <v>2726</v>
      </c>
      <c r="D28" s="3142" t="s">
        <v>1268</v>
      </c>
      <c r="E28" s="3142">
        <f t="shared" si="0"/>
        <v>4</v>
      </c>
      <c r="F28" s="3147">
        <v>1000</v>
      </c>
      <c r="G28" s="3144">
        <f t="shared" si="1"/>
        <v>4000</v>
      </c>
      <c r="H28" s="3142">
        <v>2</v>
      </c>
      <c r="I28" s="3148">
        <v>1</v>
      </c>
      <c r="J28" s="3148">
        <v>1</v>
      </c>
    </row>
    <row r="29" spans="1:10">
      <c r="A29" s="3134">
        <v>22</v>
      </c>
      <c r="B29" s="3149" t="s">
        <v>2727</v>
      </c>
      <c r="C29" s="3149" t="s">
        <v>2727</v>
      </c>
      <c r="D29" s="3142" t="s">
        <v>1268</v>
      </c>
      <c r="E29" s="3142">
        <f t="shared" si="0"/>
        <v>10</v>
      </c>
      <c r="F29" s="3147">
        <v>1000</v>
      </c>
      <c r="G29" s="3144">
        <f t="shared" si="1"/>
        <v>10000</v>
      </c>
      <c r="H29" s="3142">
        <v>4</v>
      </c>
      <c r="I29" s="3148">
        <v>4</v>
      </c>
      <c r="J29" s="3148">
        <v>2</v>
      </c>
    </row>
    <row r="30" spans="1:10">
      <c r="A30" s="3134">
        <v>23</v>
      </c>
      <c r="B30" s="3149" t="s">
        <v>2728</v>
      </c>
      <c r="C30" s="3149" t="s">
        <v>2728</v>
      </c>
      <c r="D30" s="3142" t="s">
        <v>1268</v>
      </c>
      <c r="E30" s="3142">
        <f t="shared" si="0"/>
        <v>10</v>
      </c>
      <c r="F30" s="3147">
        <v>1100</v>
      </c>
      <c r="G30" s="3144">
        <f t="shared" si="1"/>
        <v>11000</v>
      </c>
      <c r="H30" s="3142">
        <v>4</v>
      </c>
      <c r="I30" s="3148">
        <v>4</v>
      </c>
      <c r="J30" s="3148">
        <v>2</v>
      </c>
    </row>
    <row r="31" spans="1:10">
      <c r="A31" s="3134">
        <v>24</v>
      </c>
      <c r="B31" s="3141" t="s">
        <v>2729</v>
      </c>
      <c r="C31" s="3141" t="s">
        <v>2729</v>
      </c>
      <c r="D31" s="3142" t="s">
        <v>1268</v>
      </c>
      <c r="E31" s="3142">
        <f t="shared" si="0"/>
        <v>500</v>
      </c>
      <c r="F31" s="3147">
        <v>5</v>
      </c>
      <c r="G31" s="3144">
        <f t="shared" si="1"/>
        <v>2500</v>
      </c>
      <c r="H31" s="3142">
        <v>200</v>
      </c>
      <c r="I31" s="3148">
        <v>200</v>
      </c>
      <c r="J31" s="3148">
        <v>100</v>
      </c>
    </row>
    <row r="32" spans="1:10">
      <c r="A32" s="3134">
        <v>25</v>
      </c>
      <c r="B32" s="3141" t="s">
        <v>2730</v>
      </c>
      <c r="C32" s="3141" t="s">
        <v>2730</v>
      </c>
      <c r="D32" s="3142" t="s">
        <v>1268</v>
      </c>
      <c r="E32" s="3142">
        <f t="shared" si="0"/>
        <v>25</v>
      </c>
      <c r="F32" s="3147">
        <v>1000</v>
      </c>
      <c r="G32" s="3144">
        <f t="shared" si="1"/>
        <v>25000</v>
      </c>
      <c r="H32" s="3142">
        <v>10</v>
      </c>
      <c r="I32" s="3148">
        <v>10</v>
      </c>
      <c r="J32" s="3148">
        <v>5</v>
      </c>
    </row>
    <row r="33" spans="1:10" ht="24.75" customHeight="1">
      <c r="A33" s="3134">
        <v>26</v>
      </c>
      <c r="B33" s="3150" t="s">
        <v>2731</v>
      </c>
      <c r="C33" s="3150" t="s">
        <v>2731</v>
      </c>
      <c r="D33" s="3142" t="s">
        <v>2291</v>
      </c>
      <c r="E33" s="3142">
        <f t="shared" si="0"/>
        <v>75</v>
      </c>
      <c r="F33" s="3147">
        <v>550</v>
      </c>
      <c r="G33" s="3144">
        <f t="shared" si="1"/>
        <v>41250</v>
      </c>
      <c r="H33" s="3142">
        <v>45</v>
      </c>
      <c r="I33" s="3142">
        <v>15</v>
      </c>
      <c r="J33" s="3142">
        <v>15</v>
      </c>
    </row>
    <row r="34" spans="1:10">
      <c r="A34" s="3134">
        <v>27</v>
      </c>
      <c r="B34" s="3150" t="s">
        <v>2732</v>
      </c>
      <c r="C34" s="3150" t="s">
        <v>2732</v>
      </c>
      <c r="D34" s="3151" t="s">
        <v>1411</v>
      </c>
      <c r="E34" s="3142">
        <f t="shared" si="0"/>
        <v>150</v>
      </c>
      <c r="F34" s="3147">
        <v>60</v>
      </c>
      <c r="G34" s="3144">
        <f t="shared" si="1"/>
        <v>9000</v>
      </c>
      <c r="H34" s="3142">
        <v>50</v>
      </c>
      <c r="I34" s="3148">
        <v>50</v>
      </c>
      <c r="J34" s="3148">
        <v>50</v>
      </c>
    </row>
    <row r="35" spans="1:10">
      <c r="A35" s="3134">
        <v>28</v>
      </c>
      <c r="B35" s="3152" t="s">
        <v>2733</v>
      </c>
      <c r="C35" s="3152" t="s">
        <v>2733</v>
      </c>
      <c r="D35" s="3142" t="s">
        <v>1022</v>
      </c>
      <c r="E35" s="3142">
        <f t="shared" si="0"/>
        <v>35</v>
      </c>
      <c r="F35" s="3147">
        <v>4500</v>
      </c>
      <c r="G35" s="3144">
        <f t="shared" si="1"/>
        <v>157500</v>
      </c>
      <c r="H35" s="3142">
        <v>15</v>
      </c>
      <c r="I35" s="3148">
        <v>15</v>
      </c>
      <c r="J35" s="3148">
        <v>5</v>
      </c>
    </row>
    <row r="36" spans="1:10">
      <c r="A36" s="3134">
        <v>29</v>
      </c>
      <c r="B36" s="3141" t="s">
        <v>2412</v>
      </c>
      <c r="C36" s="3145" t="s">
        <v>2734</v>
      </c>
      <c r="D36" s="3136" t="s">
        <v>1022</v>
      </c>
      <c r="E36" s="3136">
        <f t="shared" si="0"/>
        <v>5</v>
      </c>
      <c r="F36" s="3136" t="s">
        <v>2735</v>
      </c>
      <c r="G36" s="3138">
        <f t="shared" si="1"/>
        <v>5000</v>
      </c>
      <c r="H36" s="3136">
        <v>2</v>
      </c>
      <c r="I36" s="3153">
        <v>2</v>
      </c>
      <c r="J36" s="3153">
        <v>1</v>
      </c>
    </row>
    <row r="37" spans="1:10">
      <c r="A37" s="3134">
        <v>30</v>
      </c>
      <c r="B37" s="3141" t="s">
        <v>2412</v>
      </c>
      <c r="C37" s="3145" t="s">
        <v>2736</v>
      </c>
      <c r="D37" s="3136" t="s">
        <v>1022</v>
      </c>
      <c r="E37" s="3136">
        <f t="shared" si="0"/>
        <v>5</v>
      </c>
      <c r="F37" s="3136" t="s">
        <v>2737</v>
      </c>
      <c r="G37" s="3138">
        <f t="shared" si="1"/>
        <v>5500</v>
      </c>
      <c r="H37" s="3136">
        <v>2</v>
      </c>
      <c r="I37" s="3153">
        <v>2</v>
      </c>
      <c r="J37" s="3153">
        <v>1</v>
      </c>
    </row>
    <row r="38" spans="1:10">
      <c r="A38" s="3134">
        <v>31</v>
      </c>
      <c r="B38" s="3141" t="s">
        <v>2738</v>
      </c>
      <c r="C38" s="3141" t="s">
        <v>2739</v>
      </c>
      <c r="D38" s="3142" t="s">
        <v>1268</v>
      </c>
      <c r="E38" s="3142">
        <f t="shared" si="0"/>
        <v>5</v>
      </c>
      <c r="F38" s="3143">
        <v>1300</v>
      </c>
      <c r="G38" s="3144">
        <f t="shared" si="1"/>
        <v>6500</v>
      </c>
      <c r="H38" s="3142">
        <v>2</v>
      </c>
      <c r="I38" s="3148">
        <v>2</v>
      </c>
      <c r="J38" s="3148">
        <v>1</v>
      </c>
    </row>
    <row r="39" spans="1:10">
      <c r="A39" s="3134">
        <v>32</v>
      </c>
      <c r="B39" s="3141" t="s">
        <v>2738</v>
      </c>
      <c r="C39" s="3141" t="s">
        <v>2740</v>
      </c>
      <c r="D39" s="3142" t="s">
        <v>1022</v>
      </c>
      <c r="E39" s="3142">
        <f t="shared" si="0"/>
        <v>7</v>
      </c>
      <c r="F39" s="3142" t="s">
        <v>2741</v>
      </c>
      <c r="G39" s="3144">
        <f t="shared" si="1"/>
        <v>6300</v>
      </c>
      <c r="H39" s="3142">
        <v>3</v>
      </c>
      <c r="I39" s="3148">
        <v>3</v>
      </c>
      <c r="J39" s="3148">
        <v>1</v>
      </c>
    </row>
    <row r="40" spans="1:10" ht="21" customHeight="1">
      <c r="A40" s="3134">
        <v>33</v>
      </c>
      <c r="B40" s="3141" t="s">
        <v>2742</v>
      </c>
      <c r="C40" s="3141" t="s">
        <v>2743</v>
      </c>
      <c r="D40" s="3142" t="s">
        <v>1022</v>
      </c>
      <c r="E40" s="3142">
        <f t="shared" si="0"/>
        <v>15</v>
      </c>
      <c r="F40" s="3142" t="s">
        <v>2744</v>
      </c>
      <c r="G40" s="3144">
        <f t="shared" si="1"/>
        <v>900</v>
      </c>
      <c r="H40" s="3142">
        <v>5</v>
      </c>
      <c r="I40" s="3148">
        <v>5</v>
      </c>
      <c r="J40" s="3148">
        <v>5</v>
      </c>
    </row>
    <row r="41" spans="1:10">
      <c r="A41" s="3134">
        <v>34</v>
      </c>
      <c r="B41" s="3141" t="s">
        <v>2745</v>
      </c>
      <c r="C41" s="3141" t="s">
        <v>2746</v>
      </c>
      <c r="D41" s="3142" t="s">
        <v>1022</v>
      </c>
      <c r="E41" s="3142">
        <f t="shared" si="0"/>
        <v>4</v>
      </c>
      <c r="F41" s="3142" t="s">
        <v>2747</v>
      </c>
      <c r="G41" s="3144">
        <f t="shared" si="1"/>
        <v>2000</v>
      </c>
      <c r="H41" s="3142">
        <v>1</v>
      </c>
      <c r="I41" s="3148">
        <v>2</v>
      </c>
      <c r="J41" s="3148">
        <v>1</v>
      </c>
    </row>
    <row r="42" spans="1:10">
      <c r="A42" s="3134">
        <v>35</v>
      </c>
      <c r="B42" s="3141" t="s">
        <v>2748</v>
      </c>
      <c r="C42" s="3141" t="s">
        <v>2748</v>
      </c>
      <c r="D42" s="3142" t="s">
        <v>2393</v>
      </c>
      <c r="E42" s="3142">
        <f t="shared" si="0"/>
        <v>2</v>
      </c>
      <c r="F42" s="3147">
        <v>1000</v>
      </c>
      <c r="G42" s="3144">
        <f t="shared" si="1"/>
        <v>2000</v>
      </c>
      <c r="H42" s="3142">
        <v>1</v>
      </c>
      <c r="I42" s="3148">
        <v>1</v>
      </c>
      <c r="J42" s="3148">
        <v>0</v>
      </c>
    </row>
    <row r="43" spans="1:10">
      <c r="A43" s="3134">
        <v>36</v>
      </c>
      <c r="B43" s="3141" t="s">
        <v>2749</v>
      </c>
      <c r="C43" s="3141" t="s">
        <v>2749</v>
      </c>
      <c r="D43" s="3142" t="s">
        <v>1022</v>
      </c>
      <c r="E43" s="3142">
        <f t="shared" si="0"/>
        <v>10</v>
      </c>
      <c r="F43" s="3147">
        <v>1500</v>
      </c>
      <c r="G43" s="3144">
        <f t="shared" si="1"/>
        <v>15000</v>
      </c>
      <c r="H43" s="3142">
        <v>5</v>
      </c>
      <c r="I43" s="3148">
        <v>0</v>
      </c>
      <c r="J43" s="3148">
        <v>5</v>
      </c>
    </row>
    <row r="44" spans="1:10">
      <c r="A44" s="3134">
        <v>37</v>
      </c>
      <c r="B44" s="3141" t="s">
        <v>2750</v>
      </c>
      <c r="C44" s="3141" t="s">
        <v>1394</v>
      </c>
      <c r="D44" s="3142" t="s">
        <v>2751</v>
      </c>
      <c r="E44" s="3142">
        <f t="shared" si="0"/>
        <v>50</v>
      </c>
      <c r="F44" s="3142">
        <v>80</v>
      </c>
      <c r="G44" s="3144">
        <f t="shared" si="1"/>
        <v>4000</v>
      </c>
      <c r="H44" s="3142">
        <v>25</v>
      </c>
      <c r="I44" s="3148">
        <v>25</v>
      </c>
      <c r="J44" s="3148">
        <v>0</v>
      </c>
    </row>
    <row r="45" spans="1:10" ht="75" customHeight="1">
      <c r="A45" s="3134">
        <v>38</v>
      </c>
      <c r="B45" s="3154" t="s">
        <v>2752</v>
      </c>
      <c r="C45" s="3154" t="s">
        <v>2753</v>
      </c>
      <c r="D45" s="3136" t="s">
        <v>1022</v>
      </c>
      <c r="E45" s="3136">
        <f t="shared" si="0"/>
        <v>1</v>
      </c>
      <c r="F45" s="3155">
        <v>7000</v>
      </c>
      <c r="G45" s="3138">
        <f t="shared" si="1"/>
        <v>7000</v>
      </c>
      <c r="H45" s="3136">
        <v>0</v>
      </c>
      <c r="I45" s="3136">
        <v>1</v>
      </c>
      <c r="J45" s="3136">
        <v>0</v>
      </c>
    </row>
    <row r="46" spans="1:10">
      <c r="A46" s="3134">
        <v>39</v>
      </c>
      <c r="B46" s="3150" t="s">
        <v>2754</v>
      </c>
      <c r="C46" s="3150" t="s">
        <v>2754</v>
      </c>
      <c r="D46" s="3142" t="s">
        <v>1411</v>
      </c>
      <c r="E46" s="3142">
        <f t="shared" si="0"/>
        <v>250</v>
      </c>
      <c r="F46" s="3147">
        <v>160</v>
      </c>
      <c r="G46" s="3144">
        <f t="shared" si="1"/>
        <v>40000</v>
      </c>
      <c r="H46" s="3142">
        <v>100</v>
      </c>
      <c r="I46" s="3148">
        <v>100</v>
      </c>
      <c r="J46" s="3148">
        <v>50</v>
      </c>
    </row>
    <row r="47" spans="1:10">
      <c r="A47" s="3134">
        <v>40</v>
      </c>
      <c r="B47" s="3150" t="s">
        <v>2755</v>
      </c>
      <c r="C47" s="3150" t="s">
        <v>2755</v>
      </c>
      <c r="D47" s="3142" t="s">
        <v>1411</v>
      </c>
      <c r="E47" s="3142">
        <f t="shared" si="0"/>
        <v>150</v>
      </c>
      <c r="F47" s="3147">
        <v>400</v>
      </c>
      <c r="G47" s="3144">
        <f t="shared" si="1"/>
        <v>60000</v>
      </c>
      <c r="H47" s="3142">
        <v>50</v>
      </c>
      <c r="I47" s="3148">
        <v>50</v>
      </c>
      <c r="J47" s="3148">
        <v>50</v>
      </c>
    </row>
    <row r="48" spans="1:10">
      <c r="A48" s="3134">
        <v>41</v>
      </c>
      <c r="B48" s="3150" t="s">
        <v>2756</v>
      </c>
      <c r="C48" s="3150" t="s">
        <v>2756</v>
      </c>
      <c r="D48" s="3142" t="s">
        <v>1411</v>
      </c>
      <c r="E48" s="3142">
        <f t="shared" si="0"/>
        <v>200</v>
      </c>
      <c r="F48" s="3147">
        <v>200</v>
      </c>
      <c r="G48" s="3144">
        <f t="shared" si="1"/>
        <v>40000</v>
      </c>
      <c r="H48" s="3142">
        <v>80</v>
      </c>
      <c r="I48" s="3148">
        <v>80</v>
      </c>
      <c r="J48" s="3148">
        <v>40</v>
      </c>
    </row>
    <row r="49" spans="1:10">
      <c r="A49" s="3134">
        <v>42</v>
      </c>
      <c r="B49" s="3150" t="s">
        <v>2757</v>
      </c>
      <c r="C49" s="3150" t="s">
        <v>2757</v>
      </c>
      <c r="D49" s="3142" t="s">
        <v>1411</v>
      </c>
      <c r="E49" s="3142">
        <f t="shared" si="0"/>
        <v>100</v>
      </c>
      <c r="F49" s="3147">
        <v>100</v>
      </c>
      <c r="G49" s="3144">
        <f t="shared" si="1"/>
        <v>10000</v>
      </c>
      <c r="H49" s="3142">
        <v>50</v>
      </c>
      <c r="I49" s="3148">
        <v>50</v>
      </c>
      <c r="J49" s="3148">
        <v>0</v>
      </c>
    </row>
    <row r="50" spans="1:10">
      <c r="A50" s="3134">
        <v>43</v>
      </c>
      <c r="B50" s="3141" t="s">
        <v>2758</v>
      </c>
      <c r="C50" s="3141" t="s">
        <v>2758</v>
      </c>
      <c r="D50" s="3142" t="s">
        <v>2291</v>
      </c>
      <c r="E50" s="3142">
        <f t="shared" si="0"/>
        <v>30</v>
      </c>
      <c r="F50" s="3147">
        <v>2100</v>
      </c>
      <c r="G50" s="3144">
        <f t="shared" si="1"/>
        <v>63000</v>
      </c>
      <c r="H50" s="3142">
        <v>10</v>
      </c>
      <c r="I50" s="3148">
        <v>10</v>
      </c>
      <c r="J50" s="3148">
        <v>10</v>
      </c>
    </row>
    <row r="51" spans="1:10">
      <c r="A51" s="3134">
        <v>44</v>
      </c>
      <c r="B51" s="3141" t="s">
        <v>2759</v>
      </c>
      <c r="C51" s="3141" t="s">
        <v>2759</v>
      </c>
      <c r="D51" s="3142" t="s">
        <v>2291</v>
      </c>
      <c r="E51" s="3142">
        <f t="shared" si="0"/>
        <v>30</v>
      </c>
      <c r="F51" s="3147">
        <v>2500</v>
      </c>
      <c r="G51" s="3144">
        <f t="shared" si="1"/>
        <v>75000</v>
      </c>
      <c r="H51" s="3142">
        <v>10</v>
      </c>
      <c r="I51" s="3148">
        <v>10</v>
      </c>
      <c r="J51" s="3148">
        <v>10</v>
      </c>
    </row>
    <row r="52" spans="1:10" ht="48" customHeight="1">
      <c r="A52" s="3134">
        <v>45</v>
      </c>
      <c r="B52" s="3141" t="s">
        <v>2760</v>
      </c>
      <c r="C52" s="3141" t="s">
        <v>2395</v>
      </c>
      <c r="D52" s="3142" t="s">
        <v>1268</v>
      </c>
      <c r="E52" s="3142">
        <f t="shared" si="0"/>
        <v>20</v>
      </c>
      <c r="F52" s="3147">
        <v>1300</v>
      </c>
      <c r="G52" s="3144">
        <f t="shared" si="1"/>
        <v>26000</v>
      </c>
      <c r="H52" s="3142">
        <v>10</v>
      </c>
      <c r="I52" s="3142">
        <v>10</v>
      </c>
      <c r="J52" s="3142">
        <v>0</v>
      </c>
    </row>
    <row r="53" spans="1:10">
      <c r="A53" s="3134">
        <v>46</v>
      </c>
      <c r="B53" s="3141" t="s">
        <v>2761</v>
      </c>
      <c r="C53" s="3141" t="s">
        <v>2761</v>
      </c>
      <c r="D53" s="3142" t="s">
        <v>1338</v>
      </c>
      <c r="E53" s="3142">
        <f t="shared" si="0"/>
        <v>10</v>
      </c>
      <c r="F53" s="3147">
        <v>550</v>
      </c>
      <c r="G53" s="3144">
        <f t="shared" si="1"/>
        <v>5500</v>
      </c>
      <c r="H53" s="3142">
        <v>5</v>
      </c>
      <c r="I53" s="3148">
        <v>5</v>
      </c>
      <c r="J53" s="3148">
        <v>0</v>
      </c>
    </row>
    <row r="54" spans="1:10">
      <c r="A54" s="3134">
        <v>47</v>
      </c>
      <c r="B54" s="3141" t="s">
        <v>2762</v>
      </c>
      <c r="C54" s="3141" t="s">
        <v>2762</v>
      </c>
      <c r="D54" s="3142" t="s">
        <v>1268</v>
      </c>
      <c r="E54" s="3142">
        <f t="shared" si="0"/>
        <v>30</v>
      </c>
      <c r="F54" s="3147">
        <v>500</v>
      </c>
      <c r="G54" s="3144">
        <f t="shared" si="1"/>
        <v>15000</v>
      </c>
      <c r="H54" s="3142">
        <v>5</v>
      </c>
      <c r="I54" s="3148">
        <v>25</v>
      </c>
      <c r="J54" s="3148">
        <v>0</v>
      </c>
    </row>
    <row r="55" spans="1:10" ht="50.25" customHeight="1">
      <c r="A55" s="3134">
        <v>48</v>
      </c>
      <c r="B55" s="3145" t="s">
        <v>2763</v>
      </c>
      <c r="C55" s="3145" t="s">
        <v>2764</v>
      </c>
      <c r="D55" s="3136" t="s">
        <v>1268</v>
      </c>
      <c r="E55" s="3136">
        <f t="shared" si="0"/>
        <v>50</v>
      </c>
      <c r="F55" s="3136">
        <v>60</v>
      </c>
      <c r="G55" s="3138">
        <f t="shared" si="1"/>
        <v>3000</v>
      </c>
      <c r="H55" s="3136">
        <v>25</v>
      </c>
      <c r="I55" s="3136">
        <v>25</v>
      </c>
      <c r="J55" s="3136">
        <v>0</v>
      </c>
    </row>
    <row r="56" spans="1:10">
      <c r="A56" s="3134">
        <v>49</v>
      </c>
      <c r="B56" s="3149" t="s">
        <v>2765</v>
      </c>
      <c r="C56" s="3149" t="s">
        <v>2765</v>
      </c>
      <c r="D56" s="3142" t="s">
        <v>1022</v>
      </c>
      <c r="E56" s="3142">
        <f t="shared" si="0"/>
        <v>3</v>
      </c>
      <c r="F56" s="3147">
        <v>2500</v>
      </c>
      <c r="G56" s="3144">
        <f t="shared" si="1"/>
        <v>7500</v>
      </c>
      <c r="H56" s="3142">
        <v>1</v>
      </c>
      <c r="I56" s="3148">
        <v>1</v>
      </c>
      <c r="J56" s="3148">
        <v>1</v>
      </c>
    </row>
    <row r="57" spans="1:10">
      <c r="A57" s="3134">
        <v>50</v>
      </c>
      <c r="B57" s="3149" t="s">
        <v>2766</v>
      </c>
      <c r="C57" s="3149" t="s">
        <v>2766</v>
      </c>
      <c r="D57" s="3142" t="s">
        <v>1022</v>
      </c>
      <c r="E57" s="3142">
        <f t="shared" si="0"/>
        <v>3</v>
      </c>
      <c r="F57" s="3147">
        <v>2500</v>
      </c>
      <c r="G57" s="3144">
        <f t="shared" si="1"/>
        <v>7500</v>
      </c>
      <c r="H57" s="3142">
        <v>1</v>
      </c>
      <c r="I57" s="3148">
        <v>1</v>
      </c>
      <c r="J57" s="3148">
        <v>1</v>
      </c>
    </row>
    <row r="58" spans="1:10">
      <c r="A58" s="3134">
        <v>51</v>
      </c>
      <c r="B58" s="3135" t="s">
        <v>2767</v>
      </c>
      <c r="C58" s="3135" t="s">
        <v>2767</v>
      </c>
      <c r="D58" s="3136" t="s">
        <v>1022</v>
      </c>
      <c r="E58" s="3136">
        <f t="shared" si="0"/>
        <v>5</v>
      </c>
      <c r="F58" s="3136" t="s">
        <v>2768</v>
      </c>
      <c r="G58" s="3138">
        <f t="shared" si="1"/>
        <v>7500</v>
      </c>
      <c r="H58" s="3136">
        <v>2</v>
      </c>
      <c r="I58" s="3153">
        <v>1</v>
      </c>
      <c r="J58" s="3153">
        <v>2</v>
      </c>
    </row>
    <row r="59" spans="1:10">
      <c r="A59" s="3134">
        <v>52</v>
      </c>
      <c r="B59" s="3135" t="s">
        <v>2769</v>
      </c>
      <c r="C59" s="3135" t="s">
        <v>2769</v>
      </c>
      <c r="D59" s="3136" t="s">
        <v>1022</v>
      </c>
      <c r="E59" s="3136">
        <f t="shared" si="0"/>
        <v>10</v>
      </c>
      <c r="F59" s="3136" t="s">
        <v>2770</v>
      </c>
      <c r="G59" s="3138">
        <f t="shared" si="1"/>
        <v>140000</v>
      </c>
      <c r="H59" s="3136">
        <v>0</v>
      </c>
      <c r="I59" s="3153">
        <v>5</v>
      </c>
      <c r="J59" s="3153">
        <v>5</v>
      </c>
    </row>
    <row r="60" spans="1:10">
      <c r="A60" s="3134">
        <v>53</v>
      </c>
      <c r="B60" s="3145" t="s">
        <v>2771</v>
      </c>
      <c r="C60" s="3145" t="s">
        <v>2772</v>
      </c>
      <c r="D60" s="3136" t="s">
        <v>1022</v>
      </c>
      <c r="E60" s="3136">
        <f t="shared" si="0"/>
        <v>5</v>
      </c>
      <c r="F60" s="3136" t="s">
        <v>2773</v>
      </c>
      <c r="G60" s="3138">
        <f t="shared" si="1"/>
        <v>80000</v>
      </c>
      <c r="H60" s="3136">
        <v>2</v>
      </c>
      <c r="I60" s="3153">
        <v>2</v>
      </c>
      <c r="J60" s="3153">
        <v>1</v>
      </c>
    </row>
    <row r="61" spans="1:10">
      <c r="A61" s="3134">
        <v>54</v>
      </c>
      <c r="B61" s="3145" t="s">
        <v>2772</v>
      </c>
      <c r="C61" s="3145" t="s">
        <v>2771</v>
      </c>
      <c r="D61" s="3136" t="s">
        <v>1022</v>
      </c>
      <c r="E61" s="3136">
        <f t="shared" si="0"/>
        <v>6</v>
      </c>
      <c r="F61" s="3136" t="s">
        <v>2774</v>
      </c>
      <c r="G61" s="3138">
        <f t="shared" si="1"/>
        <v>90000</v>
      </c>
      <c r="H61" s="3136">
        <v>2</v>
      </c>
      <c r="I61" s="3153">
        <v>2</v>
      </c>
      <c r="J61" s="3153">
        <v>2</v>
      </c>
    </row>
    <row r="62" spans="1:10">
      <c r="A62" s="3134">
        <v>55</v>
      </c>
      <c r="B62" s="3141" t="s">
        <v>2775</v>
      </c>
      <c r="C62" s="3141" t="s">
        <v>2776</v>
      </c>
      <c r="D62" s="3142" t="s">
        <v>1022</v>
      </c>
      <c r="E62" s="3142">
        <f t="shared" si="0"/>
        <v>15</v>
      </c>
      <c r="F62" s="3142" t="s">
        <v>2741</v>
      </c>
      <c r="G62" s="3144">
        <f t="shared" si="1"/>
        <v>13500</v>
      </c>
      <c r="H62" s="3142">
        <v>7</v>
      </c>
      <c r="I62" s="3142">
        <v>7</v>
      </c>
      <c r="J62" s="3142">
        <v>1</v>
      </c>
    </row>
    <row r="63" spans="1:10">
      <c r="A63" s="3134">
        <v>56</v>
      </c>
      <c r="B63" s="3141" t="s">
        <v>2777</v>
      </c>
      <c r="C63" s="3141" t="s">
        <v>2778</v>
      </c>
      <c r="D63" s="3142" t="s">
        <v>1022</v>
      </c>
      <c r="E63" s="3142">
        <f t="shared" si="0"/>
        <v>15</v>
      </c>
      <c r="F63" s="3142" t="s">
        <v>2779</v>
      </c>
      <c r="G63" s="3144">
        <f t="shared" si="1"/>
        <v>16500</v>
      </c>
      <c r="H63" s="3142">
        <v>7</v>
      </c>
      <c r="I63" s="3142">
        <v>7</v>
      </c>
      <c r="J63" s="3142">
        <v>1</v>
      </c>
    </row>
    <row r="64" spans="1:10">
      <c r="A64" s="3134">
        <v>57</v>
      </c>
      <c r="B64" s="3141" t="s">
        <v>2780</v>
      </c>
      <c r="C64" s="3141" t="s">
        <v>2780</v>
      </c>
      <c r="D64" s="3142" t="s">
        <v>1022</v>
      </c>
      <c r="E64" s="3142">
        <f t="shared" si="0"/>
        <v>10</v>
      </c>
      <c r="F64" s="3142" t="s">
        <v>2768</v>
      </c>
      <c r="G64" s="3144">
        <f t="shared" si="1"/>
        <v>15000</v>
      </c>
      <c r="H64" s="3142">
        <v>5</v>
      </c>
      <c r="I64" s="3142">
        <v>5</v>
      </c>
      <c r="J64" s="3142">
        <v>0</v>
      </c>
    </row>
    <row r="65" spans="1:10">
      <c r="A65" s="3134">
        <v>58</v>
      </c>
      <c r="B65" s="3141" t="s">
        <v>2781</v>
      </c>
      <c r="C65" s="3141" t="s">
        <v>2781</v>
      </c>
      <c r="D65" s="3142" t="s">
        <v>1022</v>
      </c>
      <c r="E65" s="3142">
        <f t="shared" si="0"/>
        <v>10</v>
      </c>
      <c r="F65" s="3142" t="s">
        <v>2782</v>
      </c>
      <c r="G65" s="3144">
        <f t="shared" si="1"/>
        <v>20000</v>
      </c>
      <c r="H65" s="3142">
        <v>5</v>
      </c>
      <c r="I65" s="3142">
        <v>5</v>
      </c>
      <c r="J65" s="3142">
        <v>0</v>
      </c>
    </row>
    <row r="66" spans="1:10">
      <c r="A66" s="3134">
        <v>59</v>
      </c>
      <c r="B66" s="3141" t="s">
        <v>2783</v>
      </c>
      <c r="C66" s="3141" t="s">
        <v>2783</v>
      </c>
      <c r="D66" s="3142" t="s">
        <v>1022</v>
      </c>
      <c r="E66" s="3142">
        <f t="shared" si="0"/>
        <v>10</v>
      </c>
      <c r="F66" s="3142" t="s">
        <v>2784</v>
      </c>
      <c r="G66" s="3144">
        <f t="shared" si="1"/>
        <v>25000</v>
      </c>
      <c r="H66" s="3142">
        <v>5</v>
      </c>
      <c r="I66" s="3142">
        <v>5</v>
      </c>
      <c r="J66" s="3142">
        <v>0</v>
      </c>
    </row>
    <row r="67" spans="1:10">
      <c r="A67" s="3134">
        <v>60</v>
      </c>
      <c r="B67" s="3145" t="s">
        <v>2785</v>
      </c>
      <c r="C67" s="3145" t="s">
        <v>2785</v>
      </c>
      <c r="D67" s="3136" t="s">
        <v>1338</v>
      </c>
      <c r="E67" s="3136">
        <f t="shared" si="0"/>
        <v>6</v>
      </c>
      <c r="F67" s="3136">
        <v>7500</v>
      </c>
      <c r="G67" s="3138">
        <f t="shared" si="1"/>
        <v>45000</v>
      </c>
      <c r="H67" s="3136">
        <v>2</v>
      </c>
      <c r="I67" s="3136">
        <v>2</v>
      </c>
      <c r="J67" s="3136">
        <v>2</v>
      </c>
    </row>
    <row r="68" spans="1:10">
      <c r="A68" s="3134">
        <v>61</v>
      </c>
      <c r="B68" s="3141" t="s">
        <v>2786</v>
      </c>
      <c r="C68" s="3141" t="s">
        <v>2787</v>
      </c>
      <c r="D68" s="3142" t="s">
        <v>1338</v>
      </c>
      <c r="E68" s="3142">
        <f t="shared" si="0"/>
        <v>20</v>
      </c>
      <c r="F68" s="3147">
        <v>3000</v>
      </c>
      <c r="G68" s="3144">
        <f t="shared" si="1"/>
        <v>60000</v>
      </c>
      <c r="H68" s="3142">
        <v>8</v>
      </c>
      <c r="I68" s="3142">
        <v>8</v>
      </c>
      <c r="J68" s="3142">
        <v>4</v>
      </c>
    </row>
    <row r="69" spans="1:10">
      <c r="A69" s="3134">
        <v>62</v>
      </c>
      <c r="B69" s="3145" t="s">
        <v>1938</v>
      </c>
      <c r="C69" s="3145" t="s">
        <v>1938</v>
      </c>
      <c r="D69" s="3136" t="s">
        <v>1268</v>
      </c>
      <c r="E69" s="3136">
        <f t="shared" si="0"/>
        <v>50</v>
      </c>
      <c r="F69" s="3137">
        <v>350</v>
      </c>
      <c r="G69" s="3138">
        <f t="shared" si="1"/>
        <v>17500</v>
      </c>
      <c r="H69" s="3136">
        <v>20</v>
      </c>
      <c r="I69" s="3136">
        <v>20</v>
      </c>
      <c r="J69" s="3136">
        <v>10</v>
      </c>
    </row>
    <row r="70" spans="1:10">
      <c r="A70" s="3134">
        <v>63</v>
      </c>
      <c r="B70" s="3145" t="s">
        <v>2788</v>
      </c>
      <c r="C70" s="3145" t="s">
        <v>2788</v>
      </c>
      <c r="D70" s="3136" t="s">
        <v>1022</v>
      </c>
      <c r="E70" s="3136">
        <f t="shared" si="0"/>
        <v>1000</v>
      </c>
      <c r="F70" s="3136" t="s">
        <v>2789</v>
      </c>
      <c r="G70" s="3138">
        <f t="shared" si="1"/>
        <v>50000</v>
      </c>
      <c r="H70" s="3136">
        <v>500</v>
      </c>
      <c r="I70" s="3136">
        <v>500</v>
      </c>
      <c r="J70" s="3136">
        <v>0</v>
      </c>
    </row>
    <row r="71" spans="1:10">
      <c r="A71" s="3134">
        <v>64</v>
      </c>
      <c r="B71" s="3141" t="s">
        <v>2790</v>
      </c>
      <c r="C71" s="3141" t="s">
        <v>2790</v>
      </c>
      <c r="D71" s="3142" t="s">
        <v>1268</v>
      </c>
      <c r="E71" s="3142">
        <f t="shared" si="0"/>
        <v>10</v>
      </c>
      <c r="F71" s="3147">
        <v>3500</v>
      </c>
      <c r="G71" s="3144">
        <f t="shared" si="1"/>
        <v>35000</v>
      </c>
      <c r="H71" s="3142">
        <v>0</v>
      </c>
      <c r="I71" s="3142">
        <v>10</v>
      </c>
      <c r="J71" s="3142">
        <v>0</v>
      </c>
    </row>
    <row r="72" spans="1:10">
      <c r="A72" s="3134">
        <v>65</v>
      </c>
      <c r="B72" s="3150" t="s">
        <v>2791</v>
      </c>
      <c r="C72" s="3150" t="s">
        <v>2791</v>
      </c>
      <c r="D72" s="3142" t="s">
        <v>1268</v>
      </c>
      <c r="E72" s="3142">
        <f t="shared" ref="E72:E132" si="2">H72+I72+J72</f>
        <v>10</v>
      </c>
      <c r="F72" s="3147">
        <v>3740</v>
      </c>
      <c r="G72" s="3144">
        <f t="shared" ref="G72:G131" si="3">F72*E72</f>
        <v>37400</v>
      </c>
      <c r="H72" s="3142">
        <v>5</v>
      </c>
      <c r="I72" s="3142">
        <v>5</v>
      </c>
      <c r="J72" s="3142">
        <v>0</v>
      </c>
    </row>
    <row r="73" spans="1:10">
      <c r="A73" s="3134">
        <v>66</v>
      </c>
      <c r="B73" s="3150" t="s">
        <v>2792</v>
      </c>
      <c r="C73" s="3150" t="s">
        <v>2792</v>
      </c>
      <c r="D73" s="3142" t="s">
        <v>1268</v>
      </c>
      <c r="E73" s="3142">
        <f t="shared" si="2"/>
        <v>200</v>
      </c>
      <c r="F73" s="3147">
        <v>800</v>
      </c>
      <c r="G73" s="3144">
        <f t="shared" si="3"/>
        <v>160000</v>
      </c>
      <c r="H73" s="3142">
        <v>80</v>
      </c>
      <c r="I73" s="3142">
        <v>80</v>
      </c>
      <c r="J73" s="3142">
        <v>40</v>
      </c>
    </row>
    <row r="74" spans="1:10">
      <c r="A74" s="3134">
        <v>67</v>
      </c>
      <c r="B74" s="3141" t="s">
        <v>1511</v>
      </c>
      <c r="C74" s="3141" t="s">
        <v>1511</v>
      </c>
      <c r="D74" s="3142" t="s">
        <v>1268</v>
      </c>
      <c r="E74" s="3142">
        <f t="shared" si="2"/>
        <v>6</v>
      </c>
      <c r="F74" s="3147">
        <v>2200</v>
      </c>
      <c r="G74" s="3144">
        <f t="shared" si="3"/>
        <v>13200</v>
      </c>
      <c r="H74" s="3142">
        <v>2</v>
      </c>
      <c r="I74" s="3142">
        <v>2</v>
      </c>
      <c r="J74" s="3142">
        <v>2</v>
      </c>
    </row>
    <row r="75" spans="1:10">
      <c r="A75" s="3134">
        <v>68</v>
      </c>
      <c r="B75" s="3141" t="s">
        <v>2793</v>
      </c>
      <c r="C75" s="3152" t="s">
        <v>2793</v>
      </c>
      <c r="D75" s="3142" t="s">
        <v>1268</v>
      </c>
      <c r="E75" s="3142">
        <f t="shared" si="2"/>
        <v>3</v>
      </c>
      <c r="F75" s="3147">
        <v>2560</v>
      </c>
      <c r="G75" s="3144">
        <f t="shared" si="3"/>
        <v>7680</v>
      </c>
      <c r="H75" s="3142">
        <v>1</v>
      </c>
      <c r="I75" s="3142">
        <v>1</v>
      </c>
      <c r="J75" s="3142">
        <v>1</v>
      </c>
    </row>
    <row r="76" spans="1:10" s="3159" customFormat="1">
      <c r="A76" s="3134">
        <v>69</v>
      </c>
      <c r="B76" s="3156" t="s">
        <v>2794</v>
      </c>
      <c r="C76" s="3156" t="s">
        <v>2794</v>
      </c>
      <c r="D76" s="3157" t="s">
        <v>1268</v>
      </c>
      <c r="E76" s="3142">
        <f t="shared" si="2"/>
        <v>7</v>
      </c>
      <c r="F76" s="3158">
        <v>1800</v>
      </c>
      <c r="G76" s="3144">
        <f t="shared" si="3"/>
        <v>12600</v>
      </c>
      <c r="H76" s="3142">
        <v>3</v>
      </c>
      <c r="I76" s="3142">
        <v>3</v>
      </c>
      <c r="J76" s="3142">
        <v>1</v>
      </c>
    </row>
    <row r="77" spans="1:10" ht="37.5">
      <c r="A77" s="3134">
        <v>70</v>
      </c>
      <c r="B77" s="3149" t="s">
        <v>2795</v>
      </c>
      <c r="C77" s="3141" t="s">
        <v>2796</v>
      </c>
      <c r="D77" s="3134" t="s">
        <v>1022</v>
      </c>
      <c r="E77" s="3134">
        <f t="shared" si="2"/>
        <v>11</v>
      </c>
      <c r="F77" s="3147">
        <v>3000</v>
      </c>
      <c r="G77" s="3144">
        <f t="shared" si="3"/>
        <v>33000</v>
      </c>
      <c r="H77" s="3142">
        <v>5</v>
      </c>
      <c r="I77" s="3142">
        <v>3</v>
      </c>
      <c r="J77" s="3142">
        <v>3</v>
      </c>
    </row>
    <row r="78" spans="1:10">
      <c r="A78" s="3134">
        <v>71</v>
      </c>
      <c r="B78" s="3141" t="s">
        <v>2797</v>
      </c>
      <c r="C78" s="3141" t="s">
        <v>2797</v>
      </c>
      <c r="D78" s="3142" t="s">
        <v>1268</v>
      </c>
      <c r="E78" s="3142">
        <f t="shared" si="2"/>
        <v>7</v>
      </c>
      <c r="F78" s="3147">
        <v>2000</v>
      </c>
      <c r="G78" s="3144">
        <f t="shared" si="3"/>
        <v>14000</v>
      </c>
      <c r="H78" s="3142">
        <v>3</v>
      </c>
      <c r="I78" s="3142">
        <v>3</v>
      </c>
      <c r="J78" s="3142">
        <v>1</v>
      </c>
    </row>
    <row r="79" spans="1:10">
      <c r="A79" s="3134">
        <v>72</v>
      </c>
      <c r="B79" s="3141" t="s">
        <v>2798</v>
      </c>
      <c r="C79" s="3141" t="s">
        <v>2798</v>
      </c>
      <c r="D79" s="3142" t="s">
        <v>1022</v>
      </c>
      <c r="E79" s="3142">
        <f t="shared" si="2"/>
        <v>3</v>
      </c>
      <c r="F79" s="3142">
        <v>1000</v>
      </c>
      <c r="G79" s="3144">
        <f t="shared" si="3"/>
        <v>3000</v>
      </c>
      <c r="H79" s="3142">
        <v>1</v>
      </c>
      <c r="I79" s="3142">
        <v>1</v>
      </c>
      <c r="J79" s="3142">
        <v>1</v>
      </c>
    </row>
    <row r="80" spans="1:10">
      <c r="A80" s="3134">
        <v>73</v>
      </c>
      <c r="B80" s="3150" t="s">
        <v>2799</v>
      </c>
      <c r="C80" s="3150" t="s">
        <v>2799</v>
      </c>
      <c r="D80" s="3160" t="s">
        <v>1268</v>
      </c>
      <c r="E80" s="3142">
        <f t="shared" si="2"/>
        <v>30</v>
      </c>
      <c r="F80" s="3147">
        <v>100</v>
      </c>
      <c r="G80" s="3144">
        <f t="shared" si="3"/>
        <v>3000</v>
      </c>
      <c r="H80" s="3142">
        <v>10</v>
      </c>
      <c r="I80" s="3142">
        <v>10</v>
      </c>
      <c r="J80" s="3142">
        <v>10</v>
      </c>
    </row>
    <row r="81" spans="1:10">
      <c r="A81" s="3134">
        <v>74</v>
      </c>
      <c r="B81" s="3150" t="s">
        <v>2800</v>
      </c>
      <c r="C81" s="3150" t="s">
        <v>2800</v>
      </c>
      <c r="D81" s="3157" t="s">
        <v>2801</v>
      </c>
      <c r="E81" s="3142">
        <f t="shared" si="2"/>
        <v>2</v>
      </c>
      <c r="F81" s="3158">
        <v>6500</v>
      </c>
      <c r="G81" s="3144">
        <f t="shared" si="3"/>
        <v>13000</v>
      </c>
      <c r="H81" s="3142">
        <v>1</v>
      </c>
      <c r="I81" s="3142">
        <v>1</v>
      </c>
      <c r="J81" s="3142">
        <v>0</v>
      </c>
    </row>
    <row r="82" spans="1:10" ht="37.5">
      <c r="A82" s="3134">
        <v>75</v>
      </c>
      <c r="B82" s="3145" t="s">
        <v>2802</v>
      </c>
      <c r="C82" s="3145" t="s">
        <v>2803</v>
      </c>
      <c r="D82" s="3136" t="s">
        <v>1022</v>
      </c>
      <c r="E82" s="3136">
        <f t="shared" si="2"/>
        <v>1</v>
      </c>
      <c r="F82" s="3136">
        <v>15000</v>
      </c>
      <c r="G82" s="3138">
        <f t="shared" si="3"/>
        <v>15000</v>
      </c>
      <c r="H82" s="3136">
        <v>0</v>
      </c>
      <c r="I82" s="3136">
        <v>1</v>
      </c>
      <c r="J82" s="3136">
        <v>0</v>
      </c>
    </row>
    <row r="83" spans="1:10" ht="30" customHeight="1">
      <c r="A83" s="3134">
        <v>76</v>
      </c>
      <c r="B83" s="3145" t="s">
        <v>2804</v>
      </c>
      <c r="C83" s="3145" t="s">
        <v>2805</v>
      </c>
      <c r="D83" s="3136" t="s">
        <v>1268</v>
      </c>
      <c r="E83" s="3136">
        <f t="shared" si="2"/>
        <v>30</v>
      </c>
      <c r="F83" s="3137">
        <v>800</v>
      </c>
      <c r="G83" s="3138">
        <f t="shared" si="3"/>
        <v>24000</v>
      </c>
      <c r="H83" s="3136">
        <v>10</v>
      </c>
      <c r="I83" s="3153">
        <v>10</v>
      </c>
      <c r="J83" s="3153">
        <v>10</v>
      </c>
    </row>
    <row r="84" spans="1:10" ht="26.25" customHeight="1">
      <c r="A84" s="3134">
        <v>77</v>
      </c>
      <c r="B84" s="3145" t="s">
        <v>2806</v>
      </c>
      <c r="C84" s="3145" t="s">
        <v>2807</v>
      </c>
      <c r="D84" s="3136" t="s">
        <v>1268</v>
      </c>
      <c r="E84" s="3136">
        <f t="shared" si="2"/>
        <v>20</v>
      </c>
      <c r="F84" s="3137">
        <v>1500</v>
      </c>
      <c r="G84" s="3138">
        <f t="shared" si="3"/>
        <v>30000</v>
      </c>
      <c r="H84" s="3136">
        <v>10</v>
      </c>
      <c r="I84" s="3153">
        <v>0</v>
      </c>
      <c r="J84" s="3153">
        <v>10</v>
      </c>
    </row>
    <row r="85" spans="1:10" ht="31.5" customHeight="1">
      <c r="A85" s="3134">
        <v>78</v>
      </c>
      <c r="B85" s="3145" t="s">
        <v>2808</v>
      </c>
      <c r="C85" s="3145" t="s">
        <v>2809</v>
      </c>
      <c r="D85" s="3136" t="s">
        <v>1268</v>
      </c>
      <c r="E85" s="3136">
        <f t="shared" si="2"/>
        <v>10</v>
      </c>
      <c r="F85" s="3137">
        <v>1200</v>
      </c>
      <c r="G85" s="3138">
        <f t="shared" si="3"/>
        <v>12000</v>
      </c>
      <c r="H85" s="3136">
        <v>0</v>
      </c>
      <c r="I85" s="3153">
        <v>5</v>
      </c>
      <c r="J85" s="3153">
        <v>5</v>
      </c>
    </row>
    <row r="86" spans="1:10" ht="33" customHeight="1">
      <c r="A86" s="3134">
        <v>79</v>
      </c>
      <c r="B86" s="3145" t="s">
        <v>2810</v>
      </c>
      <c r="C86" s="3145" t="s">
        <v>2811</v>
      </c>
      <c r="D86" s="3136" t="s">
        <v>1268</v>
      </c>
      <c r="E86" s="3136">
        <f t="shared" si="2"/>
        <v>20</v>
      </c>
      <c r="F86" s="3137">
        <v>1500</v>
      </c>
      <c r="G86" s="3138">
        <f t="shared" si="3"/>
        <v>30000</v>
      </c>
      <c r="H86" s="3136">
        <v>7</v>
      </c>
      <c r="I86" s="3153">
        <v>7</v>
      </c>
      <c r="J86" s="3153">
        <v>6</v>
      </c>
    </row>
    <row r="87" spans="1:10">
      <c r="A87" s="3134">
        <v>80</v>
      </c>
      <c r="B87" s="3141" t="s">
        <v>2812</v>
      </c>
      <c r="C87" s="3141" t="s">
        <v>2813</v>
      </c>
      <c r="D87" s="3142" t="s">
        <v>1022</v>
      </c>
      <c r="E87" s="3142">
        <f t="shared" si="2"/>
        <v>2</v>
      </c>
      <c r="F87" s="3142">
        <v>3000</v>
      </c>
      <c r="G87" s="3144">
        <f t="shared" si="3"/>
        <v>6000</v>
      </c>
      <c r="H87" s="3142">
        <v>1</v>
      </c>
      <c r="I87" s="3148">
        <v>1</v>
      </c>
      <c r="J87" s="3148">
        <v>0</v>
      </c>
    </row>
    <row r="88" spans="1:10">
      <c r="A88" s="3134">
        <v>81</v>
      </c>
      <c r="B88" s="3141" t="s">
        <v>2814</v>
      </c>
      <c r="C88" s="3141" t="s">
        <v>2814</v>
      </c>
      <c r="D88" s="3142" t="s">
        <v>2815</v>
      </c>
      <c r="E88" s="3142">
        <f t="shared" si="2"/>
        <v>30</v>
      </c>
      <c r="F88" s="3142">
        <v>250</v>
      </c>
      <c r="G88" s="3144">
        <f t="shared" si="3"/>
        <v>7500</v>
      </c>
      <c r="H88" s="3142">
        <v>10</v>
      </c>
      <c r="I88" s="3148">
        <v>10</v>
      </c>
      <c r="J88" s="3148">
        <v>10</v>
      </c>
    </row>
    <row r="89" spans="1:10" ht="20.25" customHeight="1">
      <c r="A89" s="3134">
        <v>82</v>
      </c>
      <c r="B89" s="3141" t="s">
        <v>2816</v>
      </c>
      <c r="C89" s="3141" t="s">
        <v>2816</v>
      </c>
      <c r="D89" s="3142" t="s">
        <v>1268</v>
      </c>
      <c r="E89" s="3142">
        <f t="shared" si="2"/>
        <v>240</v>
      </c>
      <c r="F89" s="3142">
        <v>820</v>
      </c>
      <c r="G89" s="3144">
        <f t="shared" si="3"/>
        <v>196800</v>
      </c>
      <c r="H89" s="3142">
        <v>30</v>
      </c>
      <c r="I89" s="3148">
        <v>180</v>
      </c>
      <c r="J89" s="3148">
        <v>30</v>
      </c>
    </row>
    <row r="90" spans="1:10" ht="32.25" customHeight="1">
      <c r="A90" s="3134">
        <v>83</v>
      </c>
      <c r="B90" s="3145" t="s">
        <v>2817</v>
      </c>
      <c r="C90" s="3145" t="s">
        <v>2818</v>
      </c>
      <c r="D90" s="3136" t="s">
        <v>1022</v>
      </c>
      <c r="E90" s="3136">
        <f t="shared" si="2"/>
        <v>50</v>
      </c>
      <c r="F90" s="3136">
        <v>50</v>
      </c>
      <c r="G90" s="3138">
        <f t="shared" si="3"/>
        <v>2500</v>
      </c>
      <c r="H90" s="3136">
        <v>25</v>
      </c>
      <c r="I90" s="3136">
        <v>25</v>
      </c>
      <c r="J90" s="3136">
        <v>0</v>
      </c>
    </row>
    <row r="91" spans="1:10" ht="24.75" customHeight="1">
      <c r="A91" s="3134">
        <v>84</v>
      </c>
      <c r="B91" s="3141" t="s">
        <v>2819</v>
      </c>
      <c r="C91" s="3141" t="s">
        <v>2819</v>
      </c>
      <c r="D91" s="3142" t="s">
        <v>1022</v>
      </c>
      <c r="E91" s="3142">
        <f t="shared" si="2"/>
        <v>50</v>
      </c>
      <c r="F91" s="3142">
        <v>50</v>
      </c>
      <c r="G91" s="3144">
        <f t="shared" si="3"/>
        <v>2500</v>
      </c>
      <c r="H91" s="3142">
        <v>25</v>
      </c>
      <c r="I91" s="3148">
        <v>25</v>
      </c>
      <c r="J91" s="3148">
        <v>0</v>
      </c>
    </row>
    <row r="92" spans="1:10" ht="19.5" customHeight="1">
      <c r="A92" s="3134">
        <v>85</v>
      </c>
      <c r="B92" s="3150" t="s">
        <v>2820</v>
      </c>
      <c r="C92" s="3150" t="s">
        <v>2820</v>
      </c>
      <c r="D92" s="3142" t="s">
        <v>1268</v>
      </c>
      <c r="E92" s="3142">
        <f t="shared" si="2"/>
        <v>10</v>
      </c>
      <c r="F92" s="3147">
        <v>500</v>
      </c>
      <c r="G92" s="3144">
        <f t="shared" si="3"/>
        <v>5000</v>
      </c>
      <c r="H92" s="3142">
        <v>5</v>
      </c>
      <c r="I92" s="3148">
        <v>5</v>
      </c>
      <c r="J92" s="3148">
        <v>0</v>
      </c>
    </row>
    <row r="93" spans="1:10">
      <c r="A93" s="3134">
        <v>86</v>
      </c>
      <c r="B93" s="3141" t="s">
        <v>2821</v>
      </c>
      <c r="C93" s="3141" t="s">
        <v>2821</v>
      </c>
      <c r="D93" s="3142" t="s">
        <v>1022</v>
      </c>
      <c r="E93" s="3142">
        <f t="shared" si="2"/>
        <v>20</v>
      </c>
      <c r="F93" s="3142">
        <v>2000</v>
      </c>
      <c r="G93" s="3144">
        <f t="shared" si="3"/>
        <v>40000</v>
      </c>
      <c r="H93" s="3142">
        <v>7</v>
      </c>
      <c r="I93" s="3148">
        <v>7</v>
      </c>
      <c r="J93" s="3148">
        <v>6</v>
      </c>
    </row>
    <row r="94" spans="1:10" ht="37.5">
      <c r="A94" s="3134">
        <v>87</v>
      </c>
      <c r="B94" s="3145" t="s">
        <v>2504</v>
      </c>
      <c r="C94" s="3161" t="s">
        <v>1606</v>
      </c>
      <c r="D94" s="3136" t="s">
        <v>1268</v>
      </c>
      <c r="E94" s="3136">
        <f t="shared" si="2"/>
        <v>40</v>
      </c>
      <c r="F94" s="3137">
        <v>600</v>
      </c>
      <c r="G94" s="3138">
        <f t="shared" si="3"/>
        <v>24000</v>
      </c>
      <c r="H94" s="3136">
        <v>15</v>
      </c>
      <c r="I94" s="3136">
        <v>15</v>
      </c>
      <c r="J94" s="3136">
        <v>10</v>
      </c>
    </row>
    <row r="95" spans="1:10">
      <c r="A95" s="3134">
        <v>88</v>
      </c>
      <c r="B95" s="3141" t="s">
        <v>2822</v>
      </c>
      <c r="C95" s="3141" t="s">
        <v>2823</v>
      </c>
      <c r="D95" s="3142" t="s">
        <v>1022</v>
      </c>
      <c r="E95" s="3142">
        <f t="shared" si="2"/>
        <v>7</v>
      </c>
      <c r="F95" s="3142">
        <v>500</v>
      </c>
      <c r="G95" s="3144">
        <f t="shared" si="3"/>
        <v>3500</v>
      </c>
      <c r="H95" s="3142">
        <v>3</v>
      </c>
      <c r="I95" s="3148">
        <v>3</v>
      </c>
      <c r="J95" s="3148">
        <v>1</v>
      </c>
    </row>
    <row r="96" spans="1:10">
      <c r="A96" s="3134">
        <v>89</v>
      </c>
      <c r="B96" s="3141" t="s">
        <v>2824</v>
      </c>
      <c r="C96" s="3141" t="s">
        <v>2825</v>
      </c>
      <c r="D96" s="3142" t="s">
        <v>1022</v>
      </c>
      <c r="E96" s="3142">
        <f t="shared" si="2"/>
        <v>7</v>
      </c>
      <c r="F96" s="3142">
        <v>500</v>
      </c>
      <c r="G96" s="3144">
        <f t="shared" si="3"/>
        <v>3500</v>
      </c>
      <c r="H96" s="3142">
        <v>3</v>
      </c>
      <c r="I96" s="3148">
        <v>3</v>
      </c>
      <c r="J96" s="3148">
        <v>1</v>
      </c>
    </row>
    <row r="97" spans="1:10">
      <c r="A97" s="3134">
        <v>90</v>
      </c>
      <c r="B97" s="3162" t="s">
        <v>2826</v>
      </c>
      <c r="C97" s="3141" t="s">
        <v>2827</v>
      </c>
      <c r="D97" s="3142" t="s">
        <v>1022</v>
      </c>
      <c r="E97" s="3142">
        <f t="shared" si="2"/>
        <v>7</v>
      </c>
      <c r="F97" s="3142">
        <v>500</v>
      </c>
      <c r="G97" s="3144">
        <f t="shared" si="3"/>
        <v>3500</v>
      </c>
      <c r="H97" s="3142">
        <v>3</v>
      </c>
      <c r="I97" s="3148">
        <v>3</v>
      </c>
      <c r="J97" s="3148">
        <v>1</v>
      </c>
    </row>
    <row r="98" spans="1:10" ht="37.5">
      <c r="A98" s="3134">
        <v>91</v>
      </c>
      <c r="B98" s="3152" t="s">
        <v>2828</v>
      </c>
      <c r="C98" s="3152" t="s">
        <v>2828</v>
      </c>
      <c r="D98" s="3134" t="s">
        <v>1325</v>
      </c>
      <c r="E98" s="3134">
        <f t="shared" si="2"/>
        <v>50</v>
      </c>
      <c r="F98" s="3147">
        <v>3300</v>
      </c>
      <c r="G98" s="3144">
        <f t="shared" si="3"/>
        <v>165000</v>
      </c>
      <c r="H98" s="3142">
        <v>15</v>
      </c>
      <c r="I98" s="3142">
        <v>15</v>
      </c>
      <c r="J98" s="3142">
        <v>20</v>
      </c>
    </row>
    <row r="99" spans="1:10">
      <c r="A99" s="3134">
        <v>92</v>
      </c>
      <c r="B99" s="3141" t="s">
        <v>2829</v>
      </c>
      <c r="C99" s="3141" t="s">
        <v>2829</v>
      </c>
      <c r="D99" s="3142" t="s">
        <v>1268</v>
      </c>
      <c r="E99" s="3142">
        <f t="shared" si="2"/>
        <v>2000</v>
      </c>
      <c r="F99" s="3163">
        <v>0.5</v>
      </c>
      <c r="G99" s="3144">
        <f t="shared" si="3"/>
        <v>1000</v>
      </c>
      <c r="H99" s="3142">
        <v>1000</v>
      </c>
      <c r="I99" s="3148">
        <v>1000</v>
      </c>
      <c r="J99" s="3148">
        <v>0</v>
      </c>
    </row>
    <row r="100" spans="1:10">
      <c r="A100" s="3134">
        <v>93</v>
      </c>
      <c r="B100" s="3156" t="s">
        <v>2830</v>
      </c>
      <c r="C100" s="3156" t="s">
        <v>2830</v>
      </c>
      <c r="D100" s="3164" t="s">
        <v>1022</v>
      </c>
      <c r="E100" s="3164">
        <f t="shared" si="2"/>
        <v>300</v>
      </c>
      <c r="F100" s="3164" t="s">
        <v>95</v>
      </c>
      <c r="G100" s="3165">
        <f t="shared" si="3"/>
        <v>900</v>
      </c>
      <c r="H100" s="3164">
        <v>100</v>
      </c>
      <c r="I100" s="3166">
        <v>100</v>
      </c>
      <c r="J100" s="3166">
        <v>100</v>
      </c>
    </row>
    <row r="101" spans="1:10">
      <c r="A101" s="3134">
        <v>94</v>
      </c>
      <c r="B101" s="3149" t="s">
        <v>2831</v>
      </c>
      <c r="C101" s="3149" t="s">
        <v>2832</v>
      </c>
      <c r="D101" s="3134" t="s">
        <v>1022</v>
      </c>
      <c r="E101" s="3134">
        <f t="shared" si="2"/>
        <v>150</v>
      </c>
      <c r="F101" s="3134" t="s">
        <v>2744</v>
      </c>
      <c r="G101" s="3167">
        <f t="shared" si="3"/>
        <v>9000</v>
      </c>
      <c r="H101" s="3134">
        <v>50</v>
      </c>
      <c r="I101" s="3168">
        <v>50</v>
      </c>
      <c r="J101" s="3168">
        <v>50</v>
      </c>
    </row>
    <row r="102" spans="1:10" ht="75">
      <c r="A102" s="3134">
        <v>95</v>
      </c>
      <c r="B102" s="3135" t="s">
        <v>2833</v>
      </c>
      <c r="C102" s="3169" t="s">
        <v>2834</v>
      </c>
      <c r="D102" s="3136" t="s">
        <v>1411</v>
      </c>
      <c r="E102" s="3136">
        <f t="shared" si="2"/>
        <v>1</v>
      </c>
      <c r="F102" s="3136" t="s">
        <v>2835</v>
      </c>
      <c r="G102" s="3138">
        <f t="shared" si="3"/>
        <v>18000</v>
      </c>
      <c r="H102" s="3136">
        <v>0</v>
      </c>
      <c r="I102" s="3153">
        <v>1</v>
      </c>
      <c r="J102" s="3153">
        <v>0</v>
      </c>
    </row>
    <row r="103" spans="1:10">
      <c r="A103" s="3134">
        <v>96</v>
      </c>
      <c r="B103" s="3150" t="s">
        <v>2836</v>
      </c>
      <c r="C103" s="3150" t="s">
        <v>2836</v>
      </c>
      <c r="D103" s="3160" t="s">
        <v>1268</v>
      </c>
      <c r="E103" s="3142">
        <f t="shared" si="2"/>
        <v>50</v>
      </c>
      <c r="F103" s="3147">
        <v>350</v>
      </c>
      <c r="G103" s="3144">
        <f t="shared" si="3"/>
        <v>17500</v>
      </c>
      <c r="H103" s="3142">
        <v>20</v>
      </c>
      <c r="I103" s="3148">
        <v>20</v>
      </c>
      <c r="J103" s="3148">
        <v>10</v>
      </c>
    </row>
    <row r="104" spans="1:10">
      <c r="A104" s="3134">
        <v>97</v>
      </c>
      <c r="B104" s="3141" t="s">
        <v>2837</v>
      </c>
      <c r="C104" s="3141" t="s">
        <v>2838</v>
      </c>
      <c r="D104" s="3142" t="s">
        <v>1395</v>
      </c>
      <c r="E104" s="3142">
        <f t="shared" si="2"/>
        <v>5</v>
      </c>
      <c r="F104" s="3143">
        <v>100</v>
      </c>
      <c r="G104" s="3144">
        <f t="shared" si="3"/>
        <v>500</v>
      </c>
      <c r="H104" s="3142">
        <v>2</v>
      </c>
      <c r="I104" s="3148">
        <v>2</v>
      </c>
      <c r="J104" s="3148">
        <v>1</v>
      </c>
    </row>
    <row r="105" spans="1:10">
      <c r="A105" s="3134">
        <v>98</v>
      </c>
      <c r="B105" s="3141" t="s">
        <v>2839</v>
      </c>
      <c r="C105" s="3141" t="s">
        <v>2839</v>
      </c>
      <c r="D105" s="3142" t="s">
        <v>1268</v>
      </c>
      <c r="E105" s="3142">
        <f t="shared" si="2"/>
        <v>5000</v>
      </c>
      <c r="F105" s="3147">
        <v>5</v>
      </c>
      <c r="G105" s="3144">
        <f t="shared" si="3"/>
        <v>25000</v>
      </c>
      <c r="H105" s="3142">
        <v>2000</v>
      </c>
      <c r="I105" s="3148">
        <v>2000</v>
      </c>
      <c r="J105" s="3148">
        <v>1000</v>
      </c>
    </row>
    <row r="106" spans="1:10" ht="20.25" customHeight="1">
      <c r="A106" s="3134">
        <v>99</v>
      </c>
      <c r="B106" s="3141" t="s">
        <v>2840</v>
      </c>
      <c r="C106" s="3141" t="s">
        <v>2441</v>
      </c>
      <c r="D106" s="3142" t="s">
        <v>2751</v>
      </c>
      <c r="E106" s="3142">
        <f t="shared" si="2"/>
        <v>5</v>
      </c>
      <c r="F106" s="3147">
        <v>600</v>
      </c>
      <c r="G106" s="3144">
        <f t="shared" si="3"/>
        <v>3000</v>
      </c>
      <c r="H106" s="3142">
        <v>2</v>
      </c>
      <c r="I106" s="3148">
        <v>2</v>
      </c>
      <c r="J106" s="3148">
        <v>1</v>
      </c>
    </row>
    <row r="107" spans="1:10" ht="21" customHeight="1">
      <c r="A107" s="3134">
        <v>100</v>
      </c>
      <c r="B107" s="3141" t="s">
        <v>2841</v>
      </c>
      <c r="C107" s="3141" t="s">
        <v>2438</v>
      </c>
      <c r="D107" s="3142" t="s">
        <v>1395</v>
      </c>
      <c r="E107" s="3142">
        <f t="shared" si="2"/>
        <v>5000</v>
      </c>
      <c r="F107" s="3147">
        <v>5</v>
      </c>
      <c r="G107" s="3144">
        <f t="shared" si="3"/>
        <v>25000</v>
      </c>
      <c r="H107" s="3142">
        <v>2000</v>
      </c>
      <c r="I107" s="3148">
        <v>2000</v>
      </c>
      <c r="J107" s="3148">
        <v>1000</v>
      </c>
    </row>
    <row r="108" spans="1:10">
      <c r="A108" s="3134">
        <v>101</v>
      </c>
      <c r="B108" s="3141" t="s">
        <v>2842</v>
      </c>
      <c r="C108" s="3141" t="s">
        <v>2842</v>
      </c>
      <c r="D108" s="3142" t="s">
        <v>2843</v>
      </c>
      <c r="E108" s="3142">
        <f t="shared" si="2"/>
        <v>1000</v>
      </c>
      <c r="F108" s="3147">
        <v>5</v>
      </c>
      <c r="G108" s="3144">
        <f t="shared" si="3"/>
        <v>5000</v>
      </c>
      <c r="H108" s="3142">
        <v>250</v>
      </c>
      <c r="I108" s="3142">
        <v>250</v>
      </c>
      <c r="J108" s="3142">
        <v>500</v>
      </c>
    </row>
    <row r="109" spans="1:10">
      <c r="A109" s="3134">
        <v>102</v>
      </c>
      <c r="B109" s="3141" t="s">
        <v>2844</v>
      </c>
      <c r="C109" s="3141" t="s">
        <v>2844</v>
      </c>
      <c r="D109" s="3142" t="s">
        <v>2751</v>
      </c>
      <c r="E109" s="3142">
        <f t="shared" si="2"/>
        <v>7</v>
      </c>
      <c r="F109" s="3147">
        <v>700</v>
      </c>
      <c r="G109" s="3144">
        <f t="shared" si="3"/>
        <v>4900</v>
      </c>
      <c r="H109" s="3142">
        <v>3</v>
      </c>
      <c r="I109" s="3142">
        <v>3</v>
      </c>
      <c r="J109" s="3142">
        <v>1</v>
      </c>
    </row>
    <row r="110" spans="1:10">
      <c r="A110" s="3134">
        <v>103</v>
      </c>
      <c r="B110" s="3141" t="s">
        <v>2845</v>
      </c>
      <c r="C110" s="3141" t="s">
        <v>2845</v>
      </c>
      <c r="D110" s="3142" t="s">
        <v>2751</v>
      </c>
      <c r="E110" s="3142">
        <f t="shared" si="2"/>
        <v>7</v>
      </c>
      <c r="F110" s="3147">
        <v>700</v>
      </c>
      <c r="G110" s="3144">
        <f t="shared" si="3"/>
        <v>4900</v>
      </c>
      <c r="H110" s="3142">
        <v>3</v>
      </c>
      <c r="I110" s="3142">
        <v>3</v>
      </c>
      <c r="J110" s="3142">
        <v>1</v>
      </c>
    </row>
    <row r="111" spans="1:10">
      <c r="A111" s="3134">
        <v>104</v>
      </c>
      <c r="B111" s="3162" t="s">
        <v>2846</v>
      </c>
      <c r="C111" s="3162" t="s">
        <v>2846</v>
      </c>
      <c r="D111" s="3142" t="s">
        <v>1268</v>
      </c>
      <c r="E111" s="3142">
        <f t="shared" si="2"/>
        <v>5000</v>
      </c>
      <c r="F111" s="3147">
        <v>7</v>
      </c>
      <c r="G111" s="3144">
        <f t="shared" si="3"/>
        <v>35000</v>
      </c>
      <c r="H111" s="3142">
        <v>2000</v>
      </c>
      <c r="I111" s="3142">
        <v>2000</v>
      </c>
      <c r="J111" s="3142">
        <v>1000</v>
      </c>
    </row>
    <row r="112" spans="1:10">
      <c r="A112" s="3134">
        <v>105</v>
      </c>
      <c r="B112" s="3141" t="s">
        <v>2847</v>
      </c>
      <c r="C112" s="3141" t="s">
        <v>2847</v>
      </c>
      <c r="D112" s="3142" t="s">
        <v>1268</v>
      </c>
      <c r="E112" s="3142">
        <f t="shared" si="2"/>
        <v>1000</v>
      </c>
      <c r="F112" s="3147">
        <v>7</v>
      </c>
      <c r="G112" s="3144">
        <f t="shared" si="3"/>
        <v>7000</v>
      </c>
      <c r="H112" s="3142">
        <v>500</v>
      </c>
      <c r="I112" s="3142">
        <v>500</v>
      </c>
      <c r="J112" s="3142">
        <v>0</v>
      </c>
    </row>
    <row r="113" spans="1:97">
      <c r="A113" s="3134">
        <v>106</v>
      </c>
      <c r="B113" s="3150" t="s">
        <v>2848</v>
      </c>
      <c r="C113" s="3150" t="s">
        <v>2848</v>
      </c>
      <c r="D113" s="3142" t="s">
        <v>1338</v>
      </c>
      <c r="E113" s="3142">
        <f t="shared" si="2"/>
        <v>30</v>
      </c>
      <c r="F113" s="3147">
        <v>2500</v>
      </c>
      <c r="G113" s="3144">
        <f t="shared" si="3"/>
        <v>75000</v>
      </c>
      <c r="H113" s="3142">
        <v>10</v>
      </c>
      <c r="I113" s="3142">
        <v>10</v>
      </c>
      <c r="J113" s="3142">
        <v>10</v>
      </c>
    </row>
    <row r="114" spans="1:97">
      <c r="A114" s="3134">
        <v>107</v>
      </c>
      <c r="B114" s="3141" t="s">
        <v>2849</v>
      </c>
      <c r="C114" s="3141" t="s">
        <v>2850</v>
      </c>
      <c r="D114" s="3142" t="s">
        <v>2815</v>
      </c>
      <c r="E114" s="3142">
        <f t="shared" si="2"/>
        <v>4</v>
      </c>
      <c r="F114" s="3142">
        <v>16200</v>
      </c>
      <c r="G114" s="3144">
        <f t="shared" si="3"/>
        <v>64800</v>
      </c>
      <c r="H114" s="3142">
        <v>4</v>
      </c>
      <c r="I114" s="3142">
        <v>0</v>
      </c>
      <c r="J114" s="3142">
        <v>0</v>
      </c>
    </row>
    <row r="115" spans="1:97">
      <c r="A115" s="3134">
        <v>108</v>
      </c>
      <c r="B115" s="3141" t="s">
        <v>2849</v>
      </c>
      <c r="C115" s="3141" t="s">
        <v>2851</v>
      </c>
      <c r="D115" s="3142" t="s">
        <v>2815</v>
      </c>
      <c r="E115" s="3142">
        <f t="shared" si="2"/>
        <v>4</v>
      </c>
      <c r="F115" s="3142">
        <v>3500</v>
      </c>
      <c r="G115" s="3144">
        <f t="shared" si="3"/>
        <v>14000</v>
      </c>
      <c r="H115" s="3142">
        <v>4</v>
      </c>
      <c r="I115" s="3142">
        <v>0</v>
      </c>
      <c r="J115" s="3142">
        <v>0</v>
      </c>
    </row>
    <row r="116" spans="1:97">
      <c r="A116" s="3134">
        <v>109</v>
      </c>
      <c r="B116" s="3141" t="s">
        <v>1017</v>
      </c>
      <c r="C116" s="3141" t="s">
        <v>1018</v>
      </c>
      <c r="D116" s="3142" t="s">
        <v>1016</v>
      </c>
      <c r="E116" s="3142">
        <f t="shared" si="2"/>
        <v>90</v>
      </c>
      <c r="F116" s="3142">
        <v>1200</v>
      </c>
      <c r="G116" s="3144">
        <f t="shared" si="3"/>
        <v>108000</v>
      </c>
      <c r="H116" s="3142">
        <v>90</v>
      </c>
      <c r="I116" s="3142">
        <v>0</v>
      </c>
      <c r="J116" s="3142">
        <v>0</v>
      </c>
    </row>
    <row r="117" spans="1:97">
      <c r="A117" s="3134">
        <v>110</v>
      </c>
      <c r="B117" s="3141" t="s">
        <v>1019</v>
      </c>
      <c r="C117" s="3141" t="s">
        <v>1020</v>
      </c>
      <c r="D117" s="3142" t="s">
        <v>1016</v>
      </c>
      <c r="E117" s="3142">
        <f t="shared" si="2"/>
        <v>80</v>
      </c>
      <c r="F117" s="3142">
        <v>800</v>
      </c>
      <c r="G117" s="3144">
        <f t="shared" si="3"/>
        <v>64000</v>
      </c>
      <c r="H117" s="3142">
        <v>80</v>
      </c>
      <c r="I117" s="3142">
        <v>0</v>
      </c>
      <c r="J117" s="3142">
        <v>0</v>
      </c>
    </row>
    <row r="118" spans="1:97">
      <c r="A118" s="3134">
        <v>111</v>
      </c>
      <c r="B118" s="3141" t="s">
        <v>1014</v>
      </c>
      <c r="C118" s="3141" t="s">
        <v>1015</v>
      </c>
      <c r="D118" s="3142" t="s">
        <v>1016</v>
      </c>
      <c r="E118" s="3142">
        <f t="shared" si="2"/>
        <v>280</v>
      </c>
      <c r="F118" s="3142">
        <v>950</v>
      </c>
      <c r="G118" s="3144">
        <f t="shared" si="3"/>
        <v>266000</v>
      </c>
      <c r="H118" s="3142">
        <v>280</v>
      </c>
      <c r="I118" s="3142">
        <v>0</v>
      </c>
      <c r="J118" s="3142">
        <v>0</v>
      </c>
    </row>
    <row r="119" spans="1:97">
      <c r="A119" s="3134">
        <v>112</v>
      </c>
      <c r="B119" s="3141" t="s">
        <v>2852</v>
      </c>
      <c r="C119" s="3141" t="s">
        <v>2853</v>
      </c>
      <c r="D119" s="3142" t="s">
        <v>1022</v>
      </c>
      <c r="E119" s="3142">
        <f t="shared" si="2"/>
        <v>4</v>
      </c>
      <c r="F119" s="3142">
        <v>40000</v>
      </c>
      <c r="G119" s="3144">
        <f t="shared" si="3"/>
        <v>160000</v>
      </c>
      <c r="H119" s="3142">
        <v>4</v>
      </c>
      <c r="I119" s="3142">
        <v>0</v>
      </c>
      <c r="J119" s="3142">
        <v>0</v>
      </c>
    </row>
    <row r="120" spans="1:97" ht="37.5">
      <c r="A120" s="3134">
        <v>113</v>
      </c>
      <c r="B120" s="3141" t="s">
        <v>2854</v>
      </c>
      <c r="C120" s="3141" t="s">
        <v>2855</v>
      </c>
      <c r="D120" s="3142" t="s">
        <v>2815</v>
      </c>
      <c r="E120" s="3142">
        <f t="shared" si="2"/>
        <v>3</v>
      </c>
      <c r="F120" s="3142">
        <v>15000</v>
      </c>
      <c r="G120" s="3142">
        <f t="shared" si="3"/>
        <v>45000</v>
      </c>
      <c r="H120" s="3142">
        <v>3</v>
      </c>
      <c r="I120" s="3142">
        <v>0</v>
      </c>
      <c r="J120" s="3142">
        <v>0</v>
      </c>
    </row>
    <row r="121" spans="1:97">
      <c r="A121" s="3134">
        <v>114</v>
      </c>
      <c r="B121" s="3141" t="s">
        <v>2856</v>
      </c>
      <c r="C121" s="3141" t="s">
        <v>2857</v>
      </c>
      <c r="D121" s="3142" t="s">
        <v>1022</v>
      </c>
      <c r="E121" s="3142">
        <f t="shared" si="2"/>
        <v>160</v>
      </c>
      <c r="F121" s="3142">
        <v>980</v>
      </c>
      <c r="G121" s="3144">
        <f t="shared" si="3"/>
        <v>156800</v>
      </c>
      <c r="H121" s="3142">
        <v>160</v>
      </c>
      <c r="I121" s="3142">
        <v>0</v>
      </c>
      <c r="J121" s="3142">
        <v>0</v>
      </c>
    </row>
    <row r="122" spans="1:97">
      <c r="A122" s="3134">
        <v>115</v>
      </c>
      <c r="B122" s="3141" t="s">
        <v>2858</v>
      </c>
      <c r="C122" s="3141" t="s">
        <v>2859</v>
      </c>
      <c r="D122" s="3142" t="s">
        <v>1022</v>
      </c>
      <c r="E122" s="3142">
        <f t="shared" si="2"/>
        <v>4</v>
      </c>
      <c r="F122" s="3142">
        <v>6500</v>
      </c>
      <c r="G122" s="3144">
        <f t="shared" si="3"/>
        <v>26000</v>
      </c>
      <c r="H122" s="3142">
        <v>4</v>
      </c>
      <c r="I122" s="3142">
        <v>0</v>
      </c>
      <c r="J122" s="3142">
        <v>0</v>
      </c>
    </row>
    <row r="123" spans="1:97">
      <c r="A123" s="3134">
        <v>116</v>
      </c>
      <c r="B123" s="3141" t="s">
        <v>2860</v>
      </c>
      <c r="C123" s="3141" t="s">
        <v>2861</v>
      </c>
      <c r="D123" s="3142" t="s">
        <v>1022</v>
      </c>
      <c r="E123" s="3142">
        <f t="shared" si="2"/>
        <v>4</v>
      </c>
      <c r="F123" s="3142">
        <v>8500</v>
      </c>
      <c r="G123" s="3144">
        <f t="shared" si="3"/>
        <v>34000</v>
      </c>
      <c r="H123" s="3142">
        <v>4</v>
      </c>
      <c r="I123" s="3142">
        <v>0</v>
      </c>
      <c r="J123" s="3142">
        <v>0</v>
      </c>
    </row>
    <row r="124" spans="1:97" s="3170" customFormat="1" ht="24" customHeight="1">
      <c r="A124" s="3134">
        <v>117</v>
      </c>
      <c r="B124" s="3141" t="s">
        <v>2862</v>
      </c>
      <c r="C124" s="3141" t="s">
        <v>2863</v>
      </c>
      <c r="D124" s="3142" t="s">
        <v>1268</v>
      </c>
      <c r="E124" s="3142">
        <f t="shared" si="2"/>
        <v>15</v>
      </c>
      <c r="F124" s="3142">
        <v>5550</v>
      </c>
      <c r="G124" s="3144">
        <f t="shared" si="3"/>
        <v>83250</v>
      </c>
      <c r="H124" s="3142">
        <v>5</v>
      </c>
      <c r="I124" s="3142">
        <v>5</v>
      </c>
      <c r="J124" s="3142">
        <v>5</v>
      </c>
      <c r="K124" s="3159"/>
      <c r="L124" s="3159"/>
      <c r="M124" s="3159"/>
      <c r="N124" s="3159"/>
      <c r="O124" s="3159"/>
      <c r="P124" s="3159"/>
      <c r="Q124" s="3159"/>
      <c r="R124" s="3159"/>
      <c r="S124" s="3159"/>
      <c r="T124" s="3159"/>
      <c r="U124" s="3159"/>
      <c r="V124" s="3159"/>
      <c r="W124" s="3159"/>
      <c r="X124" s="3159"/>
      <c r="Y124" s="3159"/>
      <c r="Z124" s="3159"/>
      <c r="AA124" s="3159"/>
      <c r="AB124" s="3159"/>
      <c r="AC124" s="3159"/>
      <c r="AD124" s="3159"/>
      <c r="AE124" s="3159"/>
      <c r="AF124" s="3159"/>
      <c r="AG124" s="3159"/>
      <c r="AH124" s="3159"/>
      <c r="AI124" s="3159"/>
      <c r="AJ124" s="3159"/>
      <c r="AK124" s="3159"/>
      <c r="AL124" s="3159"/>
      <c r="AM124" s="3159"/>
      <c r="AN124" s="3159"/>
      <c r="AO124" s="3159"/>
      <c r="AP124" s="3159"/>
      <c r="AQ124" s="3159"/>
      <c r="AR124" s="3159"/>
      <c r="AS124" s="3159"/>
      <c r="AT124" s="3159"/>
      <c r="AU124" s="3159"/>
      <c r="AV124" s="3159"/>
      <c r="AW124" s="3159"/>
      <c r="AX124" s="3159"/>
      <c r="AY124" s="3159"/>
      <c r="AZ124" s="3159"/>
      <c r="BA124" s="3159"/>
      <c r="BB124" s="3159"/>
      <c r="BC124" s="3159"/>
      <c r="BD124" s="3159"/>
      <c r="BE124" s="3159"/>
      <c r="BF124" s="3159"/>
      <c r="BG124" s="3159"/>
      <c r="BH124" s="3159"/>
      <c r="BI124" s="3159"/>
      <c r="BJ124" s="3159"/>
      <c r="BK124" s="3159"/>
      <c r="BL124" s="3159"/>
      <c r="BM124" s="3159"/>
      <c r="BN124" s="3159"/>
      <c r="BO124" s="3159"/>
      <c r="BP124" s="3159"/>
      <c r="BQ124" s="3159"/>
      <c r="BR124" s="3159"/>
      <c r="BS124" s="3159"/>
      <c r="BT124" s="3159"/>
      <c r="BU124" s="3159"/>
      <c r="BV124" s="3159"/>
      <c r="BW124" s="3159"/>
      <c r="BX124" s="3159"/>
      <c r="BY124" s="3159"/>
      <c r="BZ124" s="3159"/>
      <c r="CA124" s="3159"/>
      <c r="CB124" s="3159"/>
      <c r="CC124" s="3159"/>
      <c r="CD124" s="3159"/>
      <c r="CE124" s="3159"/>
      <c r="CF124" s="3159"/>
      <c r="CG124" s="3159"/>
      <c r="CH124" s="3159"/>
      <c r="CI124" s="3159"/>
      <c r="CJ124" s="3159"/>
      <c r="CK124" s="3159"/>
      <c r="CL124" s="3159"/>
      <c r="CM124" s="3159"/>
      <c r="CN124" s="3159"/>
      <c r="CO124" s="3159"/>
      <c r="CP124" s="3159"/>
      <c r="CQ124" s="3159"/>
      <c r="CR124" s="3159"/>
      <c r="CS124" s="3159"/>
    </row>
    <row r="125" spans="1:97" s="3170" customFormat="1">
      <c r="A125" s="3134">
        <v>118</v>
      </c>
      <c r="B125" s="3141" t="s">
        <v>2864</v>
      </c>
      <c r="C125" s="3141" t="s">
        <v>2865</v>
      </c>
      <c r="D125" s="3142" t="s">
        <v>1022</v>
      </c>
      <c r="E125" s="3142">
        <f t="shared" si="2"/>
        <v>4</v>
      </c>
      <c r="F125" s="3142" t="s">
        <v>2866</v>
      </c>
      <c r="G125" s="3144">
        <f t="shared" si="3"/>
        <v>16000</v>
      </c>
      <c r="H125" s="3142">
        <v>0</v>
      </c>
      <c r="I125" s="3142">
        <v>4</v>
      </c>
      <c r="J125" s="3142">
        <v>0</v>
      </c>
      <c r="K125" s="3159"/>
      <c r="L125" s="3159"/>
      <c r="M125" s="3159"/>
      <c r="N125" s="3159"/>
      <c r="O125" s="3159"/>
      <c r="P125" s="3159"/>
      <c r="Q125" s="3159"/>
      <c r="R125" s="3159"/>
      <c r="S125" s="3159"/>
      <c r="T125" s="3159"/>
      <c r="U125" s="3159"/>
      <c r="V125" s="3159"/>
      <c r="W125" s="3159"/>
      <c r="X125" s="3159"/>
      <c r="Y125" s="3159"/>
      <c r="Z125" s="3159"/>
      <c r="AA125" s="3159"/>
      <c r="AB125" s="3159"/>
      <c r="AC125" s="3159"/>
      <c r="AD125" s="3159"/>
      <c r="AE125" s="3159"/>
      <c r="AF125" s="3159"/>
      <c r="AG125" s="3159"/>
      <c r="AH125" s="3159"/>
      <c r="AI125" s="3159"/>
      <c r="AJ125" s="3159"/>
      <c r="AK125" s="3159"/>
      <c r="AL125" s="3159"/>
      <c r="AM125" s="3159"/>
      <c r="AN125" s="3159"/>
      <c r="AO125" s="3159"/>
      <c r="AP125" s="3159"/>
      <c r="AQ125" s="3159"/>
      <c r="AR125" s="3159"/>
      <c r="AS125" s="3159"/>
      <c r="AT125" s="3159"/>
      <c r="AU125" s="3159"/>
      <c r="AV125" s="3159"/>
      <c r="AW125" s="3159"/>
      <c r="AX125" s="3159"/>
      <c r="AY125" s="3159"/>
      <c r="AZ125" s="3159"/>
      <c r="BA125" s="3159"/>
      <c r="BB125" s="3159"/>
      <c r="BC125" s="3159"/>
      <c r="BD125" s="3159"/>
      <c r="BE125" s="3159"/>
      <c r="BF125" s="3159"/>
      <c r="BG125" s="3159"/>
      <c r="BH125" s="3159"/>
      <c r="BI125" s="3159"/>
      <c r="BJ125" s="3159"/>
      <c r="BK125" s="3159"/>
      <c r="BL125" s="3159"/>
      <c r="BM125" s="3159"/>
      <c r="BN125" s="3159"/>
      <c r="BO125" s="3159"/>
      <c r="BP125" s="3159"/>
      <c r="BQ125" s="3159"/>
      <c r="BR125" s="3159"/>
      <c r="BS125" s="3159"/>
      <c r="BT125" s="3159"/>
      <c r="BU125" s="3159"/>
      <c r="BV125" s="3159"/>
      <c r="BW125" s="3159"/>
      <c r="BX125" s="3159"/>
      <c r="BY125" s="3159"/>
      <c r="BZ125" s="3159"/>
      <c r="CA125" s="3159"/>
      <c r="CB125" s="3159"/>
      <c r="CC125" s="3159"/>
      <c r="CD125" s="3159"/>
      <c r="CE125" s="3159"/>
      <c r="CF125" s="3159"/>
      <c r="CG125" s="3159"/>
      <c r="CH125" s="3159"/>
      <c r="CI125" s="3159"/>
      <c r="CJ125" s="3159"/>
      <c r="CK125" s="3159"/>
      <c r="CL125" s="3159"/>
      <c r="CM125" s="3159"/>
      <c r="CN125" s="3159"/>
      <c r="CO125" s="3159"/>
      <c r="CP125" s="3159"/>
      <c r="CQ125" s="3159"/>
      <c r="CR125" s="3159"/>
      <c r="CS125" s="3159"/>
    </row>
    <row r="126" spans="1:97" s="3170" customFormat="1">
      <c r="A126" s="3134">
        <v>119</v>
      </c>
      <c r="B126" s="3141" t="s">
        <v>2867</v>
      </c>
      <c r="C126" s="3141" t="s">
        <v>2867</v>
      </c>
      <c r="D126" s="3142" t="s">
        <v>1022</v>
      </c>
      <c r="E126" s="3142">
        <f t="shared" si="2"/>
        <v>10</v>
      </c>
      <c r="F126" s="3142">
        <v>4000</v>
      </c>
      <c r="G126" s="3144">
        <f t="shared" si="3"/>
        <v>40000</v>
      </c>
      <c r="H126" s="3142">
        <v>0</v>
      </c>
      <c r="I126" s="3142">
        <v>5</v>
      </c>
      <c r="J126" s="3142">
        <v>5</v>
      </c>
      <c r="K126" s="3159"/>
      <c r="L126" s="3159"/>
      <c r="M126" s="3159"/>
      <c r="N126" s="3159"/>
      <c r="O126" s="3159"/>
      <c r="P126" s="3159"/>
      <c r="Q126" s="3159"/>
      <c r="R126" s="3159"/>
      <c r="S126" s="3159"/>
      <c r="T126" s="3159"/>
      <c r="U126" s="3159"/>
      <c r="V126" s="3159"/>
      <c r="W126" s="3159"/>
      <c r="X126" s="3159"/>
      <c r="Y126" s="3159"/>
      <c r="Z126" s="3159"/>
      <c r="AA126" s="3159"/>
      <c r="AB126" s="3159"/>
      <c r="AC126" s="3159"/>
      <c r="AD126" s="3159"/>
      <c r="AE126" s="3159"/>
      <c r="AF126" s="3159"/>
      <c r="AG126" s="3159"/>
      <c r="AH126" s="3159"/>
      <c r="AI126" s="3159"/>
      <c r="AJ126" s="3159"/>
      <c r="AK126" s="3159"/>
      <c r="AL126" s="3159"/>
      <c r="AM126" s="3159"/>
      <c r="AN126" s="3159"/>
      <c r="AO126" s="3159"/>
      <c r="AP126" s="3159"/>
      <c r="AQ126" s="3159"/>
      <c r="AR126" s="3159"/>
      <c r="AS126" s="3159"/>
      <c r="AT126" s="3159"/>
      <c r="AU126" s="3159"/>
      <c r="AV126" s="3159"/>
      <c r="AW126" s="3159"/>
      <c r="AX126" s="3159"/>
      <c r="AY126" s="3159"/>
      <c r="AZ126" s="3159"/>
      <c r="BA126" s="3159"/>
      <c r="BB126" s="3159"/>
      <c r="BC126" s="3159"/>
      <c r="BD126" s="3159"/>
      <c r="BE126" s="3159"/>
      <c r="BF126" s="3159"/>
      <c r="BG126" s="3159"/>
      <c r="BH126" s="3159"/>
      <c r="BI126" s="3159"/>
      <c r="BJ126" s="3159"/>
      <c r="BK126" s="3159"/>
      <c r="BL126" s="3159"/>
      <c r="BM126" s="3159"/>
      <c r="BN126" s="3159"/>
      <c r="BO126" s="3159"/>
      <c r="BP126" s="3159"/>
      <c r="BQ126" s="3159"/>
      <c r="BR126" s="3159"/>
      <c r="BS126" s="3159"/>
      <c r="BT126" s="3159"/>
      <c r="BU126" s="3159"/>
      <c r="BV126" s="3159"/>
      <c r="BW126" s="3159"/>
      <c r="BX126" s="3159"/>
      <c r="BY126" s="3159"/>
      <c r="BZ126" s="3159"/>
      <c r="CA126" s="3159"/>
      <c r="CB126" s="3159"/>
      <c r="CC126" s="3159"/>
      <c r="CD126" s="3159"/>
      <c r="CE126" s="3159"/>
      <c r="CF126" s="3159"/>
      <c r="CG126" s="3159"/>
      <c r="CH126" s="3159"/>
      <c r="CI126" s="3159"/>
      <c r="CJ126" s="3159"/>
      <c r="CK126" s="3159"/>
      <c r="CL126" s="3159"/>
      <c r="CM126" s="3159"/>
      <c r="CN126" s="3159"/>
      <c r="CO126" s="3159"/>
      <c r="CP126" s="3159"/>
      <c r="CQ126" s="3159"/>
      <c r="CR126" s="3159"/>
      <c r="CS126" s="3159"/>
    </row>
    <row r="127" spans="1:97" s="3170" customFormat="1" ht="37.5">
      <c r="A127" s="3134">
        <v>120</v>
      </c>
      <c r="B127" s="3171" t="s">
        <v>2868</v>
      </c>
      <c r="C127" s="3171" t="s">
        <v>2868</v>
      </c>
      <c r="D127" s="3142" t="s">
        <v>2520</v>
      </c>
      <c r="E127" s="3142">
        <f t="shared" si="2"/>
        <v>300</v>
      </c>
      <c r="F127" s="3142">
        <v>120</v>
      </c>
      <c r="G127" s="3144">
        <f t="shared" si="3"/>
        <v>36000</v>
      </c>
      <c r="H127" s="3142">
        <v>100</v>
      </c>
      <c r="I127" s="3142">
        <v>100</v>
      </c>
      <c r="J127" s="3142">
        <v>100</v>
      </c>
      <c r="K127" s="3159"/>
      <c r="L127" s="3159"/>
      <c r="M127" s="3159"/>
      <c r="N127" s="3159"/>
      <c r="O127" s="3159"/>
      <c r="P127" s="3159"/>
      <c r="Q127" s="3159"/>
      <c r="R127" s="3159"/>
      <c r="S127" s="3159"/>
      <c r="T127" s="3159"/>
      <c r="U127" s="3159"/>
      <c r="V127" s="3159"/>
      <c r="W127" s="3159"/>
      <c r="X127" s="3159"/>
      <c r="Y127" s="3159"/>
      <c r="Z127" s="3159"/>
      <c r="AA127" s="3159"/>
      <c r="AB127" s="3159"/>
      <c r="AC127" s="3159"/>
      <c r="AD127" s="3159"/>
      <c r="AE127" s="3159"/>
      <c r="AF127" s="3159"/>
      <c r="AG127" s="3159"/>
      <c r="AH127" s="3159"/>
      <c r="AI127" s="3159"/>
      <c r="AJ127" s="3159"/>
      <c r="AK127" s="3159"/>
      <c r="AL127" s="3159"/>
      <c r="AM127" s="3159"/>
      <c r="AN127" s="3159"/>
      <c r="AO127" s="3159"/>
      <c r="AP127" s="3159"/>
      <c r="AQ127" s="3159"/>
      <c r="AR127" s="3159"/>
      <c r="AS127" s="3159"/>
      <c r="AT127" s="3159"/>
      <c r="AU127" s="3159"/>
      <c r="AV127" s="3159"/>
      <c r="AW127" s="3159"/>
      <c r="AX127" s="3159"/>
      <c r="AY127" s="3159"/>
      <c r="AZ127" s="3159"/>
      <c r="BA127" s="3159"/>
      <c r="BB127" s="3159"/>
      <c r="BC127" s="3159"/>
      <c r="BD127" s="3159"/>
      <c r="BE127" s="3159"/>
      <c r="BF127" s="3159"/>
      <c r="BG127" s="3159"/>
      <c r="BH127" s="3159"/>
      <c r="BI127" s="3159"/>
      <c r="BJ127" s="3159"/>
      <c r="BK127" s="3159"/>
      <c r="BL127" s="3159"/>
      <c r="BM127" s="3159"/>
      <c r="BN127" s="3159"/>
      <c r="BO127" s="3159"/>
      <c r="BP127" s="3159"/>
      <c r="BQ127" s="3159"/>
      <c r="BR127" s="3159"/>
      <c r="BS127" s="3159"/>
      <c r="BT127" s="3159"/>
      <c r="BU127" s="3159"/>
      <c r="BV127" s="3159"/>
      <c r="BW127" s="3159"/>
      <c r="BX127" s="3159"/>
      <c r="BY127" s="3159"/>
      <c r="BZ127" s="3159"/>
      <c r="CA127" s="3159"/>
      <c r="CB127" s="3159"/>
      <c r="CC127" s="3159"/>
      <c r="CD127" s="3159"/>
      <c r="CE127" s="3159"/>
      <c r="CF127" s="3159"/>
      <c r="CG127" s="3159"/>
      <c r="CH127" s="3159"/>
      <c r="CI127" s="3159"/>
      <c r="CJ127" s="3159"/>
      <c r="CK127" s="3159"/>
      <c r="CL127" s="3159"/>
      <c r="CM127" s="3159"/>
      <c r="CN127" s="3159"/>
      <c r="CO127" s="3159"/>
      <c r="CP127" s="3159"/>
      <c r="CQ127" s="3159"/>
      <c r="CR127" s="3159"/>
      <c r="CS127" s="3159"/>
    </row>
    <row r="128" spans="1:97" s="3170" customFormat="1">
      <c r="A128" s="3134">
        <v>121</v>
      </c>
      <c r="B128" s="3141" t="s">
        <v>2869</v>
      </c>
      <c r="C128" s="3141" t="s">
        <v>2870</v>
      </c>
      <c r="D128" s="3142" t="s">
        <v>1338</v>
      </c>
      <c r="E128" s="3142">
        <f t="shared" si="2"/>
        <v>100</v>
      </c>
      <c r="F128" s="3142">
        <v>280</v>
      </c>
      <c r="G128" s="3144">
        <f t="shared" si="3"/>
        <v>28000</v>
      </c>
      <c r="H128" s="3142">
        <v>50</v>
      </c>
      <c r="I128" s="3142">
        <v>50</v>
      </c>
      <c r="J128" s="3142">
        <v>0</v>
      </c>
      <c r="K128" s="3159"/>
      <c r="L128" s="3159"/>
      <c r="M128" s="3159"/>
      <c r="N128" s="3159"/>
      <c r="O128" s="3159"/>
      <c r="P128" s="3159"/>
      <c r="Q128" s="3159"/>
      <c r="R128" s="3159"/>
      <c r="S128" s="3159"/>
      <c r="T128" s="3159"/>
      <c r="U128" s="3159"/>
      <c r="V128" s="3159"/>
      <c r="W128" s="3159"/>
      <c r="X128" s="3159"/>
      <c r="Y128" s="3159"/>
      <c r="Z128" s="3159"/>
      <c r="AA128" s="3159"/>
      <c r="AB128" s="3159"/>
      <c r="AC128" s="3159"/>
      <c r="AD128" s="3159"/>
      <c r="AE128" s="3159"/>
      <c r="AF128" s="3159"/>
      <c r="AG128" s="3159"/>
      <c r="AH128" s="3159"/>
      <c r="AI128" s="3159"/>
      <c r="AJ128" s="3159"/>
      <c r="AK128" s="3159"/>
      <c r="AL128" s="3159"/>
      <c r="AM128" s="3159"/>
      <c r="AN128" s="3159"/>
      <c r="AO128" s="3159"/>
      <c r="AP128" s="3159"/>
      <c r="AQ128" s="3159"/>
      <c r="AR128" s="3159"/>
      <c r="AS128" s="3159"/>
      <c r="AT128" s="3159"/>
      <c r="AU128" s="3159"/>
      <c r="AV128" s="3159"/>
      <c r="AW128" s="3159"/>
      <c r="AX128" s="3159"/>
      <c r="AY128" s="3159"/>
      <c r="AZ128" s="3159"/>
      <c r="BA128" s="3159"/>
      <c r="BB128" s="3159"/>
      <c r="BC128" s="3159"/>
      <c r="BD128" s="3159"/>
      <c r="BE128" s="3159"/>
      <c r="BF128" s="3159"/>
      <c r="BG128" s="3159"/>
      <c r="BH128" s="3159"/>
      <c r="BI128" s="3159"/>
      <c r="BJ128" s="3159"/>
      <c r="BK128" s="3159"/>
      <c r="BL128" s="3159"/>
      <c r="BM128" s="3159"/>
      <c r="BN128" s="3159"/>
      <c r="BO128" s="3159"/>
      <c r="BP128" s="3159"/>
      <c r="BQ128" s="3159"/>
      <c r="BR128" s="3159"/>
      <c r="BS128" s="3159"/>
      <c r="BT128" s="3159"/>
      <c r="BU128" s="3159"/>
      <c r="BV128" s="3159"/>
      <c r="BW128" s="3159"/>
      <c r="BX128" s="3159"/>
      <c r="BY128" s="3159"/>
      <c r="BZ128" s="3159"/>
      <c r="CA128" s="3159"/>
      <c r="CB128" s="3159"/>
      <c r="CC128" s="3159"/>
      <c r="CD128" s="3159"/>
      <c r="CE128" s="3159"/>
      <c r="CF128" s="3159"/>
      <c r="CG128" s="3159"/>
      <c r="CH128" s="3159"/>
      <c r="CI128" s="3159"/>
      <c r="CJ128" s="3159"/>
      <c r="CK128" s="3159"/>
      <c r="CL128" s="3159"/>
      <c r="CM128" s="3159"/>
      <c r="CN128" s="3159"/>
      <c r="CO128" s="3159"/>
      <c r="CP128" s="3159"/>
      <c r="CQ128" s="3159"/>
      <c r="CR128" s="3159"/>
      <c r="CS128" s="3159"/>
    </row>
    <row r="129" spans="1:97" s="3170" customFormat="1">
      <c r="A129" s="3134">
        <v>122</v>
      </c>
      <c r="B129" s="3150" t="s">
        <v>2799</v>
      </c>
      <c r="C129" s="3150" t="s">
        <v>2799</v>
      </c>
      <c r="D129" s="3142" t="s">
        <v>1268</v>
      </c>
      <c r="E129" s="3142">
        <f t="shared" si="2"/>
        <v>20</v>
      </c>
      <c r="F129" s="3142">
        <v>50</v>
      </c>
      <c r="G129" s="3144">
        <f t="shared" si="3"/>
        <v>1000</v>
      </c>
      <c r="H129" s="3148">
        <v>6</v>
      </c>
      <c r="I129" s="3148">
        <v>6</v>
      </c>
      <c r="J129" s="3148">
        <v>8</v>
      </c>
      <c r="K129" s="3159"/>
      <c r="L129" s="3159"/>
      <c r="M129" s="3159"/>
      <c r="N129" s="3159"/>
      <c r="O129" s="3159"/>
      <c r="P129" s="3159"/>
      <c r="Q129" s="3159"/>
      <c r="R129" s="3159"/>
      <c r="S129" s="3159"/>
      <c r="T129" s="3159"/>
      <c r="U129" s="3159"/>
      <c r="V129" s="3159"/>
      <c r="W129" s="3159"/>
      <c r="X129" s="3159"/>
      <c r="Y129" s="3159"/>
      <c r="Z129" s="3159"/>
      <c r="AA129" s="3159"/>
      <c r="AB129" s="3159"/>
      <c r="AC129" s="3159"/>
      <c r="AD129" s="3159"/>
      <c r="AE129" s="3159"/>
      <c r="AF129" s="3159"/>
      <c r="AG129" s="3159"/>
      <c r="AH129" s="3159"/>
      <c r="AI129" s="3159"/>
      <c r="AJ129" s="3159"/>
      <c r="AK129" s="3159"/>
      <c r="AL129" s="3159"/>
      <c r="AM129" s="3159"/>
      <c r="AN129" s="3159"/>
      <c r="AO129" s="3159"/>
      <c r="AP129" s="3159"/>
      <c r="AQ129" s="3159"/>
      <c r="AR129" s="3159"/>
      <c r="AS129" s="3159"/>
      <c r="AT129" s="3159"/>
      <c r="AU129" s="3159"/>
      <c r="AV129" s="3159"/>
      <c r="AW129" s="3159"/>
      <c r="AX129" s="3159"/>
      <c r="AY129" s="3159"/>
      <c r="AZ129" s="3159"/>
      <c r="BA129" s="3159"/>
      <c r="BB129" s="3159"/>
      <c r="BC129" s="3159"/>
      <c r="BD129" s="3159"/>
      <c r="BE129" s="3159"/>
      <c r="BF129" s="3159"/>
      <c r="BG129" s="3159"/>
      <c r="BH129" s="3159"/>
      <c r="BI129" s="3159"/>
      <c r="BJ129" s="3159"/>
      <c r="BK129" s="3159"/>
      <c r="BL129" s="3159"/>
      <c r="BM129" s="3159"/>
      <c r="BN129" s="3159"/>
      <c r="BO129" s="3159"/>
      <c r="BP129" s="3159"/>
      <c r="BQ129" s="3159"/>
      <c r="BR129" s="3159"/>
      <c r="BS129" s="3159"/>
      <c r="BT129" s="3159"/>
      <c r="BU129" s="3159"/>
      <c r="BV129" s="3159"/>
      <c r="BW129" s="3159"/>
      <c r="BX129" s="3159"/>
      <c r="BY129" s="3159"/>
      <c r="BZ129" s="3159"/>
      <c r="CA129" s="3159"/>
      <c r="CB129" s="3159"/>
      <c r="CC129" s="3159"/>
      <c r="CD129" s="3159"/>
      <c r="CE129" s="3159"/>
      <c r="CF129" s="3159"/>
      <c r="CG129" s="3159"/>
      <c r="CH129" s="3159"/>
      <c r="CI129" s="3159"/>
      <c r="CJ129" s="3159"/>
      <c r="CK129" s="3159"/>
      <c r="CL129" s="3159"/>
      <c r="CM129" s="3159"/>
      <c r="CN129" s="3159"/>
      <c r="CO129" s="3159"/>
      <c r="CP129" s="3159"/>
      <c r="CQ129" s="3159"/>
      <c r="CR129" s="3159"/>
      <c r="CS129" s="3159"/>
    </row>
    <row r="130" spans="1:97" s="3170" customFormat="1">
      <c r="A130" s="3134">
        <v>123</v>
      </c>
      <c r="B130" s="3150" t="s">
        <v>2871</v>
      </c>
      <c r="C130" s="3150" t="s">
        <v>2871</v>
      </c>
      <c r="D130" s="3160" t="s">
        <v>1268</v>
      </c>
      <c r="E130" s="3142">
        <f t="shared" si="2"/>
        <v>10</v>
      </c>
      <c r="F130" s="3147">
        <v>80</v>
      </c>
      <c r="G130" s="3144">
        <f t="shared" si="3"/>
        <v>800</v>
      </c>
      <c r="H130" s="3142">
        <v>0</v>
      </c>
      <c r="I130" s="3142">
        <v>10</v>
      </c>
      <c r="J130" s="3142">
        <v>0</v>
      </c>
      <c r="K130" s="3159"/>
      <c r="L130" s="3159"/>
      <c r="M130" s="3159"/>
      <c r="N130" s="3159"/>
      <c r="O130" s="3159"/>
      <c r="P130" s="3159"/>
      <c r="Q130" s="3159"/>
      <c r="R130" s="3159"/>
      <c r="S130" s="3159"/>
      <c r="T130" s="3159"/>
      <c r="U130" s="3159"/>
      <c r="V130" s="3159"/>
      <c r="W130" s="3159"/>
      <c r="X130" s="3159"/>
      <c r="Y130" s="3159"/>
      <c r="Z130" s="3159"/>
      <c r="AA130" s="3159"/>
      <c r="AB130" s="3159"/>
      <c r="AC130" s="3159"/>
      <c r="AD130" s="3159"/>
      <c r="AE130" s="3159"/>
      <c r="AF130" s="3159"/>
      <c r="AG130" s="3159"/>
      <c r="AH130" s="3159"/>
      <c r="AI130" s="3159"/>
      <c r="AJ130" s="3159"/>
      <c r="AK130" s="3159"/>
      <c r="AL130" s="3159"/>
      <c r="AM130" s="3159"/>
      <c r="AN130" s="3159"/>
      <c r="AO130" s="3159"/>
      <c r="AP130" s="3159"/>
      <c r="AQ130" s="3159"/>
      <c r="AR130" s="3159"/>
      <c r="AS130" s="3159"/>
      <c r="AT130" s="3159"/>
      <c r="AU130" s="3159"/>
      <c r="AV130" s="3159"/>
      <c r="AW130" s="3159"/>
      <c r="AX130" s="3159"/>
      <c r="AY130" s="3159"/>
      <c r="AZ130" s="3159"/>
      <c r="BA130" s="3159"/>
      <c r="BB130" s="3159"/>
      <c r="BC130" s="3159"/>
      <c r="BD130" s="3159"/>
      <c r="BE130" s="3159"/>
      <c r="BF130" s="3159"/>
      <c r="BG130" s="3159"/>
      <c r="BH130" s="3159"/>
      <c r="BI130" s="3159"/>
      <c r="BJ130" s="3159"/>
      <c r="BK130" s="3159"/>
      <c r="BL130" s="3159"/>
      <c r="BM130" s="3159"/>
      <c r="BN130" s="3159"/>
      <c r="BO130" s="3159"/>
      <c r="BP130" s="3159"/>
      <c r="BQ130" s="3159"/>
      <c r="BR130" s="3159"/>
      <c r="BS130" s="3159"/>
      <c r="BT130" s="3159"/>
      <c r="BU130" s="3159"/>
      <c r="BV130" s="3159"/>
      <c r="BW130" s="3159"/>
      <c r="BX130" s="3159"/>
      <c r="BY130" s="3159"/>
      <c r="BZ130" s="3159"/>
      <c r="CA130" s="3159"/>
      <c r="CB130" s="3159"/>
      <c r="CC130" s="3159"/>
      <c r="CD130" s="3159"/>
      <c r="CE130" s="3159"/>
      <c r="CF130" s="3159"/>
      <c r="CG130" s="3159"/>
      <c r="CH130" s="3159"/>
      <c r="CI130" s="3159"/>
      <c r="CJ130" s="3159"/>
      <c r="CK130" s="3159"/>
      <c r="CL130" s="3159"/>
      <c r="CM130" s="3159"/>
      <c r="CN130" s="3159"/>
      <c r="CO130" s="3159"/>
      <c r="CP130" s="3159"/>
      <c r="CQ130" s="3159"/>
      <c r="CR130" s="3159"/>
      <c r="CS130" s="3159"/>
    </row>
    <row r="131" spans="1:97">
      <c r="A131" s="3134">
        <v>124</v>
      </c>
      <c r="B131" s="3150" t="s">
        <v>2872</v>
      </c>
      <c r="C131" s="3150" t="s">
        <v>2872</v>
      </c>
      <c r="D131" s="3142" t="s">
        <v>1268</v>
      </c>
      <c r="E131" s="3142">
        <f t="shared" si="2"/>
        <v>70</v>
      </c>
      <c r="F131" s="3142" t="s">
        <v>2873</v>
      </c>
      <c r="G131" s="3144">
        <f t="shared" si="3"/>
        <v>31500</v>
      </c>
      <c r="H131" s="3142">
        <v>30</v>
      </c>
      <c r="I131" s="3148">
        <v>10</v>
      </c>
      <c r="J131" s="3148">
        <v>30</v>
      </c>
      <c r="O131" s="3159"/>
      <c r="P131" s="3159"/>
      <c r="Q131" s="3159"/>
      <c r="R131" s="3159"/>
      <c r="S131" s="3159"/>
      <c r="T131" s="3159"/>
      <c r="U131" s="3159"/>
      <c r="V131" s="3159"/>
      <c r="W131" s="3159"/>
      <c r="X131" s="3159"/>
      <c r="Y131" s="3159"/>
      <c r="Z131" s="3159"/>
      <c r="AA131" s="3159"/>
      <c r="AB131" s="3159"/>
      <c r="AC131" s="3159"/>
      <c r="AD131" s="3159"/>
      <c r="AE131" s="3159"/>
      <c r="AF131" s="3159"/>
      <c r="AG131" s="3159"/>
      <c r="AH131" s="3159"/>
      <c r="AI131" s="3159"/>
      <c r="AJ131" s="3159"/>
      <c r="AK131" s="3159"/>
      <c r="AL131" s="3159"/>
      <c r="AM131" s="3159"/>
      <c r="AN131" s="3159"/>
      <c r="AO131" s="3159"/>
      <c r="AP131" s="3159"/>
      <c r="AQ131" s="3159"/>
      <c r="AR131" s="3159"/>
      <c r="AS131" s="3159"/>
      <c r="AT131" s="3159"/>
      <c r="AU131" s="3159"/>
      <c r="AV131" s="3159"/>
      <c r="AW131" s="3159"/>
      <c r="AX131" s="3159"/>
      <c r="AY131" s="3159"/>
      <c r="AZ131" s="3159"/>
      <c r="BA131" s="3159"/>
      <c r="BB131" s="3159"/>
      <c r="BC131" s="3159"/>
      <c r="BD131" s="3159"/>
      <c r="BE131" s="3159"/>
      <c r="BF131" s="3159"/>
      <c r="BG131" s="3159"/>
      <c r="BH131" s="3159"/>
      <c r="BI131" s="3159"/>
      <c r="BJ131" s="3159"/>
      <c r="BK131" s="3159"/>
      <c r="BL131" s="3159"/>
      <c r="BM131" s="3159"/>
      <c r="BN131" s="3159"/>
      <c r="BO131" s="3159"/>
      <c r="BP131" s="3159"/>
      <c r="BQ131" s="3159"/>
      <c r="BR131" s="3159"/>
      <c r="BS131" s="3159"/>
      <c r="BT131" s="3159"/>
      <c r="BU131" s="3159"/>
      <c r="BV131" s="3159"/>
      <c r="BW131" s="3159"/>
      <c r="BX131" s="3159"/>
      <c r="BY131" s="3159"/>
      <c r="BZ131" s="3159"/>
      <c r="CA131" s="3159"/>
      <c r="CB131" s="3159"/>
      <c r="CC131" s="3159"/>
      <c r="CD131" s="3159"/>
      <c r="CE131" s="3159"/>
      <c r="CF131" s="3159"/>
      <c r="CG131" s="3159"/>
      <c r="CH131" s="3159"/>
      <c r="CI131" s="3159"/>
      <c r="CJ131" s="3159"/>
      <c r="CK131" s="3159"/>
      <c r="CL131" s="3159"/>
      <c r="CM131" s="3159"/>
      <c r="CN131" s="3159"/>
      <c r="CO131" s="3159"/>
      <c r="CP131" s="3159"/>
      <c r="CQ131" s="3159"/>
      <c r="CR131" s="3159"/>
      <c r="CS131" s="3159"/>
    </row>
    <row r="132" spans="1:97">
      <c r="A132" s="3134">
        <v>125</v>
      </c>
      <c r="B132" s="3135" t="s">
        <v>2874</v>
      </c>
      <c r="C132" s="3135" t="s">
        <v>2874</v>
      </c>
      <c r="D132" s="3136" t="s">
        <v>1268</v>
      </c>
      <c r="E132" s="3136">
        <f t="shared" si="2"/>
        <v>1</v>
      </c>
      <c r="F132" s="3136">
        <v>3300</v>
      </c>
      <c r="G132" s="3138">
        <f>F132*E132</f>
        <v>3300</v>
      </c>
      <c r="H132" s="3136">
        <v>0</v>
      </c>
      <c r="I132" s="3153">
        <v>0</v>
      </c>
      <c r="J132" s="3153">
        <v>1</v>
      </c>
    </row>
    <row r="133" spans="1:97">
      <c r="A133" s="3134">
        <v>126</v>
      </c>
      <c r="B133" s="3135" t="s">
        <v>2875</v>
      </c>
      <c r="C133" s="3135" t="s">
        <v>2875</v>
      </c>
      <c r="D133" s="3136" t="s">
        <v>1022</v>
      </c>
      <c r="E133" s="3136">
        <f t="shared" ref="E133:E141" si="4">H133+I133+J133</f>
        <v>1</v>
      </c>
      <c r="F133" s="3136">
        <v>5000</v>
      </c>
      <c r="G133" s="3138">
        <f t="shared" ref="G133:G139" si="5">F133*E133</f>
        <v>5000</v>
      </c>
      <c r="H133" s="3136">
        <v>0</v>
      </c>
      <c r="I133" s="3153">
        <v>0</v>
      </c>
      <c r="J133" s="3153">
        <v>1</v>
      </c>
    </row>
    <row r="134" spans="1:97" ht="23.25" customHeight="1">
      <c r="A134" s="3134">
        <v>127</v>
      </c>
      <c r="B134" s="3135" t="s">
        <v>2876</v>
      </c>
      <c r="C134" s="3172" t="s">
        <v>2876</v>
      </c>
      <c r="D134" s="3136" t="s">
        <v>1022</v>
      </c>
      <c r="E134" s="3136">
        <f t="shared" si="4"/>
        <v>1</v>
      </c>
      <c r="F134" s="3136">
        <v>3300</v>
      </c>
      <c r="G134" s="3138">
        <f t="shared" si="5"/>
        <v>3300</v>
      </c>
      <c r="H134" s="3153">
        <v>0</v>
      </c>
      <c r="I134" s="3153">
        <v>0</v>
      </c>
      <c r="J134" s="3153">
        <v>1</v>
      </c>
    </row>
    <row r="135" spans="1:97">
      <c r="A135" s="3134">
        <v>128</v>
      </c>
      <c r="B135" s="3135" t="s">
        <v>2877</v>
      </c>
      <c r="C135" s="3135" t="s">
        <v>2877</v>
      </c>
      <c r="D135" s="3136" t="s">
        <v>1022</v>
      </c>
      <c r="E135" s="3136">
        <f t="shared" si="4"/>
        <v>2</v>
      </c>
      <c r="F135" s="3136">
        <v>7500</v>
      </c>
      <c r="G135" s="3138">
        <f t="shared" si="5"/>
        <v>15000</v>
      </c>
      <c r="H135" s="3153">
        <v>0</v>
      </c>
      <c r="I135" s="3153">
        <v>0</v>
      </c>
      <c r="J135" s="3153">
        <v>2</v>
      </c>
    </row>
    <row r="136" spans="1:97">
      <c r="A136" s="3134">
        <v>129</v>
      </c>
      <c r="B136" s="3135" t="s">
        <v>2878</v>
      </c>
      <c r="C136" s="3135" t="s">
        <v>2878</v>
      </c>
      <c r="D136" s="3136" t="s">
        <v>1022</v>
      </c>
      <c r="E136" s="3136">
        <f t="shared" si="4"/>
        <v>10</v>
      </c>
      <c r="F136" s="3136">
        <v>600</v>
      </c>
      <c r="G136" s="3138">
        <f t="shared" si="5"/>
        <v>6000</v>
      </c>
      <c r="H136" s="3136">
        <v>0</v>
      </c>
      <c r="I136" s="3153">
        <v>0</v>
      </c>
      <c r="J136" s="3153">
        <v>10</v>
      </c>
    </row>
    <row r="137" spans="1:97">
      <c r="A137" s="3134">
        <v>130</v>
      </c>
      <c r="B137" s="3135" t="s">
        <v>2879</v>
      </c>
      <c r="C137" s="3135" t="s">
        <v>2879</v>
      </c>
      <c r="D137" s="3136" t="s">
        <v>1022</v>
      </c>
      <c r="E137" s="3136">
        <f t="shared" si="4"/>
        <v>2</v>
      </c>
      <c r="F137" s="3136">
        <v>5000</v>
      </c>
      <c r="G137" s="3138">
        <f t="shared" si="5"/>
        <v>10000</v>
      </c>
      <c r="H137" s="3136">
        <v>0</v>
      </c>
      <c r="I137" s="3153">
        <v>0</v>
      </c>
      <c r="J137" s="3153">
        <v>2</v>
      </c>
    </row>
    <row r="138" spans="1:97">
      <c r="A138" s="3134">
        <v>131</v>
      </c>
      <c r="B138" s="3135" t="s">
        <v>2880</v>
      </c>
      <c r="C138" s="3135" t="s">
        <v>2880</v>
      </c>
      <c r="D138" s="3136" t="s">
        <v>1263</v>
      </c>
      <c r="E138" s="3136">
        <f t="shared" si="4"/>
        <v>2</v>
      </c>
      <c r="F138" s="3136">
        <v>7500</v>
      </c>
      <c r="G138" s="3138">
        <f t="shared" si="5"/>
        <v>15000</v>
      </c>
      <c r="H138" s="3136">
        <v>0</v>
      </c>
      <c r="I138" s="3153">
        <v>0</v>
      </c>
      <c r="J138" s="3153">
        <v>2</v>
      </c>
    </row>
    <row r="139" spans="1:97">
      <c r="A139" s="3134">
        <v>132</v>
      </c>
      <c r="B139" s="3135" t="s">
        <v>2881</v>
      </c>
      <c r="C139" s="3135" t="s">
        <v>2881</v>
      </c>
      <c r="D139" s="3136" t="s">
        <v>1268</v>
      </c>
      <c r="E139" s="3136">
        <f t="shared" si="4"/>
        <v>12</v>
      </c>
      <c r="F139" s="3136">
        <v>110000</v>
      </c>
      <c r="G139" s="3138">
        <f t="shared" si="5"/>
        <v>1320000</v>
      </c>
      <c r="H139" s="3153">
        <v>0</v>
      </c>
      <c r="I139" s="3153">
        <v>0</v>
      </c>
      <c r="J139" s="3153">
        <v>12</v>
      </c>
    </row>
    <row r="140" spans="1:97" ht="27" customHeight="1">
      <c r="A140" s="3134">
        <v>133</v>
      </c>
      <c r="B140" s="3135" t="s">
        <v>2882</v>
      </c>
      <c r="C140" s="3135" t="s">
        <v>2882</v>
      </c>
      <c r="D140" s="3136" t="s">
        <v>2815</v>
      </c>
      <c r="E140" s="3136">
        <f t="shared" si="4"/>
        <v>2</v>
      </c>
      <c r="F140" s="3136">
        <v>50000</v>
      </c>
      <c r="G140" s="3138">
        <f>F140*E140</f>
        <v>100000</v>
      </c>
      <c r="H140" s="3136">
        <v>0</v>
      </c>
      <c r="I140" s="3136">
        <v>0</v>
      </c>
      <c r="J140" s="3136">
        <v>2</v>
      </c>
    </row>
    <row r="141" spans="1:97" ht="22.5" customHeight="1" thickBot="1">
      <c r="A141" s="3134">
        <v>134</v>
      </c>
      <c r="B141" s="3135" t="s">
        <v>2883</v>
      </c>
      <c r="C141" s="3135" t="s">
        <v>2883</v>
      </c>
      <c r="D141" s="3136" t="s">
        <v>1022</v>
      </c>
      <c r="E141" s="3136">
        <f t="shared" si="4"/>
        <v>60</v>
      </c>
      <c r="F141" s="3136">
        <v>1200</v>
      </c>
      <c r="G141" s="3138">
        <f>F141*E141</f>
        <v>72000</v>
      </c>
      <c r="H141" s="3136">
        <v>30</v>
      </c>
      <c r="I141" s="3136">
        <v>30</v>
      </c>
      <c r="J141" s="3136">
        <v>0</v>
      </c>
    </row>
    <row r="142" spans="1:97">
      <c r="A142" s="3134">
        <v>135</v>
      </c>
      <c r="B142" s="3196" t="s">
        <v>2884</v>
      </c>
      <c r="C142" s="3197" t="s">
        <v>2885</v>
      </c>
      <c r="D142" s="3198" t="s">
        <v>1268</v>
      </c>
      <c r="E142" s="3198">
        <v>25</v>
      </c>
      <c r="F142" s="3199">
        <v>1500</v>
      </c>
      <c r="G142" s="3200">
        <f t="shared" ref="G142:G160" si="6">F142*E142</f>
        <v>37500</v>
      </c>
      <c r="H142" s="3201">
        <v>15</v>
      </c>
      <c r="I142" s="3201">
        <v>5</v>
      </c>
      <c r="J142" s="3202">
        <v>5</v>
      </c>
    </row>
    <row r="143" spans="1:97">
      <c r="A143" s="3134">
        <v>136</v>
      </c>
      <c r="B143" s="3141" t="s">
        <v>2886</v>
      </c>
      <c r="C143" s="3141" t="s">
        <v>2379</v>
      </c>
      <c r="D143" s="3142" t="s">
        <v>2887</v>
      </c>
      <c r="E143" s="3142">
        <v>30</v>
      </c>
      <c r="F143" s="3203">
        <v>1100</v>
      </c>
      <c r="G143" s="3144">
        <f t="shared" si="6"/>
        <v>33000</v>
      </c>
      <c r="H143" s="3204">
        <v>15</v>
      </c>
      <c r="I143" s="3204">
        <v>10</v>
      </c>
      <c r="J143" s="3205">
        <v>5</v>
      </c>
    </row>
    <row r="144" spans="1:97">
      <c r="A144" s="3134">
        <v>137</v>
      </c>
      <c r="B144" s="3141" t="s">
        <v>2888</v>
      </c>
      <c r="C144" s="3141" t="s">
        <v>2889</v>
      </c>
      <c r="D144" s="3142" t="s">
        <v>1268</v>
      </c>
      <c r="E144" s="3142">
        <v>15</v>
      </c>
      <c r="F144" s="3206">
        <v>2200</v>
      </c>
      <c r="G144" s="3144">
        <f t="shared" si="6"/>
        <v>33000</v>
      </c>
      <c r="H144" s="3204">
        <v>5</v>
      </c>
      <c r="I144" s="3204">
        <v>5</v>
      </c>
      <c r="J144" s="3205">
        <v>5</v>
      </c>
    </row>
    <row r="145" spans="1:10">
      <c r="A145" s="3134">
        <v>138</v>
      </c>
      <c r="B145" s="3141" t="s">
        <v>2890</v>
      </c>
      <c r="C145" s="3141" t="s">
        <v>2891</v>
      </c>
      <c r="D145" s="3142" t="s">
        <v>1268</v>
      </c>
      <c r="E145" s="3142">
        <v>25</v>
      </c>
      <c r="F145" s="3203">
        <v>900</v>
      </c>
      <c r="G145" s="3144">
        <f t="shared" si="6"/>
        <v>22500</v>
      </c>
      <c r="H145" s="3204">
        <v>15</v>
      </c>
      <c r="I145" s="3204">
        <v>5</v>
      </c>
      <c r="J145" s="3205">
        <v>5</v>
      </c>
    </row>
    <row r="146" spans="1:10" ht="37.5">
      <c r="A146" s="3134">
        <v>139</v>
      </c>
      <c r="B146" s="3141" t="s">
        <v>2892</v>
      </c>
      <c r="C146" s="3156" t="s">
        <v>1463</v>
      </c>
      <c r="D146" s="3142" t="s">
        <v>1268</v>
      </c>
      <c r="E146" s="3142">
        <v>350</v>
      </c>
      <c r="F146" s="3203">
        <v>700</v>
      </c>
      <c r="G146" s="3144">
        <f t="shared" si="6"/>
        <v>245000</v>
      </c>
      <c r="H146" s="3204">
        <v>150</v>
      </c>
      <c r="I146" s="3204">
        <v>150</v>
      </c>
      <c r="J146" s="3205">
        <v>50</v>
      </c>
    </row>
    <row r="147" spans="1:10" ht="93.75">
      <c r="A147" s="3134">
        <v>140</v>
      </c>
      <c r="B147" s="3141" t="s">
        <v>2893</v>
      </c>
      <c r="C147" s="3149" t="s">
        <v>2894</v>
      </c>
      <c r="D147" s="3142" t="s">
        <v>1268</v>
      </c>
      <c r="E147" s="3142">
        <v>1070</v>
      </c>
      <c r="F147" s="3203">
        <v>4000</v>
      </c>
      <c r="G147" s="3144">
        <f t="shared" si="6"/>
        <v>4280000</v>
      </c>
      <c r="H147" s="3204">
        <v>585</v>
      </c>
      <c r="I147" s="3204">
        <v>385</v>
      </c>
      <c r="J147" s="3205">
        <v>100</v>
      </c>
    </row>
    <row r="148" spans="1:10" ht="37.5">
      <c r="A148" s="3134">
        <v>141</v>
      </c>
      <c r="B148" s="3141" t="s">
        <v>2895</v>
      </c>
      <c r="C148" s="3141" t="s">
        <v>2896</v>
      </c>
      <c r="D148" s="3142" t="s">
        <v>1395</v>
      </c>
      <c r="E148" s="3142">
        <v>10</v>
      </c>
      <c r="F148" s="3206">
        <v>4500</v>
      </c>
      <c r="G148" s="3144">
        <f t="shared" si="6"/>
        <v>45000</v>
      </c>
      <c r="H148" s="3204">
        <v>5</v>
      </c>
      <c r="I148" s="3204">
        <v>5</v>
      </c>
      <c r="J148" s="3205"/>
    </row>
    <row r="149" spans="1:10" ht="37.5">
      <c r="A149" s="3134">
        <v>142</v>
      </c>
      <c r="B149" s="3141" t="s">
        <v>2897</v>
      </c>
      <c r="C149" s="3141" t="s">
        <v>2401</v>
      </c>
      <c r="D149" s="3142" t="s">
        <v>1022</v>
      </c>
      <c r="E149" s="3142">
        <v>15</v>
      </c>
      <c r="F149" s="3203">
        <v>2100</v>
      </c>
      <c r="G149" s="3144">
        <f t="shared" si="6"/>
        <v>31500</v>
      </c>
      <c r="H149" s="3204">
        <v>5</v>
      </c>
      <c r="I149" s="3204">
        <v>5</v>
      </c>
      <c r="J149" s="3205">
        <v>5</v>
      </c>
    </row>
    <row r="150" spans="1:10">
      <c r="A150" s="3134">
        <v>143</v>
      </c>
      <c r="B150" s="3141" t="s">
        <v>2898</v>
      </c>
      <c r="C150" s="3141" t="s">
        <v>2898</v>
      </c>
      <c r="D150" s="3207" t="s">
        <v>2899</v>
      </c>
      <c r="E150" s="3142">
        <v>2</v>
      </c>
      <c r="F150" s="3203">
        <v>1750</v>
      </c>
      <c r="G150" s="3144">
        <f t="shared" si="6"/>
        <v>3500</v>
      </c>
      <c r="H150" s="3204">
        <v>1</v>
      </c>
      <c r="I150" s="3204">
        <v>1</v>
      </c>
      <c r="J150" s="3205"/>
    </row>
    <row r="151" spans="1:10">
      <c r="A151" s="3134">
        <v>144</v>
      </c>
      <c r="B151" s="3141" t="s">
        <v>2900</v>
      </c>
      <c r="C151" s="3141" t="s">
        <v>2900</v>
      </c>
      <c r="D151" s="3207" t="s">
        <v>2899</v>
      </c>
      <c r="E151" s="3142">
        <v>5</v>
      </c>
      <c r="F151" s="3203">
        <v>1200</v>
      </c>
      <c r="G151" s="3144">
        <f t="shared" si="6"/>
        <v>6000</v>
      </c>
      <c r="H151" s="3204">
        <v>2</v>
      </c>
      <c r="I151" s="3204">
        <v>2</v>
      </c>
      <c r="J151" s="3205">
        <v>1</v>
      </c>
    </row>
    <row r="152" spans="1:10">
      <c r="A152" s="3134">
        <v>145</v>
      </c>
      <c r="B152" s="3208" t="s">
        <v>2901</v>
      </c>
      <c r="C152" s="3208" t="s">
        <v>2292</v>
      </c>
      <c r="D152" s="3207" t="s">
        <v>2899</v>
      </c>
      <c r="E152" s="3142">
        <v>2</v>
      </c>
      <c r="F152" s="3203">
        <v>1450</v>
      </c>
      <c r="G152" s="3144">
        <f t="shared" si="6"/>
        <v>2900</v>
      </c>
      <c r="H152" s="3204">
        <v>1</v>
      </c>
      <c r="I152" s="3204">
        <v>1</v>
      </c>
      <c r="J152" s="3205">
        <v>0</v>
      </c>
    </row>
    <row r="153" spans="1:10">
      <c r="A153" s="3134">
        <v>146</v>
      </c>
      <c r="B153" s="3141" t="s">
        <v>2902</v>
      </c>
      <c r="C153" s="3141" t="s">
        <v>2902</v>
      </c>
      <c r="D153" s="3142" t="s">
        <v>1268</v>
      </c>
      <c r="E153" s="3142">
        <v>60</v>
      </c>
      <c r="F153" s="3203">
        <v>400</v>
      </c>
      <c r="G153" s="3144">
        <f t="shared" si="6"/>
        <v>24000</v>
      </c>
      <c r="H153" s="3204">
        <v>25</v>
      </c>
      <c r="I153" s="3204">
        <v>25</v>
      </c>
      <c r="J153" s="3205">
        <v>10</v>
      </c>
    </row>
    <row r="154" spans="1:10">
      <c r="A154" s="3134">
        <v>147</v>
      </c>
      <c r="B154" s="3141" t="s">
        <v>2903</v>
      </c>
      <c r="C154" s="3141" t="s">
        <v>2903</v>
      </c>
      <c r="D154" s="3142" t="s">
        <v>1268</v>
      </c>
      <c r="E154" s="3142">
        <v>30</v>
      </c>
      <c r="F154" s="3203">
        <v>400</v>
      </c>
      <c r="G154" s="3144">
        <f t="shared" si="6"/>
        <v>12000</v>
      </c>
      <c r="H154" s="3204">
        <v>15</v>
      </c>
      <c r="I154" s="3204">
        <v>10</v>
      </c>
      <c r="J154" s="3205">
        <v>5</v>
      </c>
    </row>
    <row r="155" spans="1:10">
      <c r="A155" s="3134">
        <v>148</v>
      </c>
      <c r="B155" s="3209" t="s">
        <v>2904</v>
      </c>
      <c r="C155" s="3209" t="s">
        <v>2904</v>
      </c>
      <c r="D155" s="3210" t="s">
        <v>1268</v>
      </c>
      <c r="E155" s="3210">
        <v>30</v>
      </c>
      <c r="F155" s="3211">
        <v>700</v>
      </c>
      <c r="G155" s="3144">
        <f t="shared" si="6"/>
        <v>21000</v>
      </c>
      <c r="H155" s="3204">
        <v>15</v>
      </c>
      <c r="I155" s="3204">
        <v>10</v>
      </c>
      <c r="J155" s="3205">
        <v>5</v>
      </c>
    </row>
    <row r="156" spans="1:10">
      <c r="A156" s="3134">
        <v>149</v>
      </c>
      <c r="B156" s="3141" t="s">
        <v>2905</v>
      </c>
      <c r="C156" s="3141" t="s">
        <v>2906</v>
      </c>
      <c r="D156" s="3142" t="s">
        <v>1022</v>
      </c>
      <c r="E156" s="3142">
        <v>20</v>
      </c>
      <c r="F156" s="3212" t="s">
        <v>2907</v>
      </c>
      <c r="G156" s="3144">
        <f t="shared" si="6"/>
        <v>11000</v>
      </c>
      <c r="H156" s="3204">
        <v>8</v>
      </c>
      <c r="I156" s="3204">
        <v>8</v>
      </c>
      <c r="J156" s="3205">
        <v>4</v>
      </c>
    </row>
    <row r="157" spans="1:10">
      <c r="A157" s="3134">
        <v>150</v>
      </c>
      <c r="B157" s="3141" t="s">
        <v>2905</v>
      </c>
      <c r="C157" s="3141" t="s">
        <v>2908</v>
      </c>
      <c r="D157" s="3142" t="s">
        <v>1022</v>
      </c>
      <c r="E157" s="3142">
        <v>20</v>
      </c>
      <c r="F157" s="3212" t="s">
        <v>2907</v>
      </c>
      <c r="G157" s="3144">
        <f t="shared" si="6"/>
        <v>11000</v>
      </c>
      <c r="H157" s="3204">
        <v>8</v>
      </c>
      <c r="I157" s="3204">
        <v>8</v>
      </c>
      <c r="J157" s="3205">
        <v>4</v>
      </c>
    </row>
    <row r="158" spans="1:10">
      <c r="A158" s="3134">
        <v>151</v>
      </c>
      <c r="B158" s="3141" t="s">
        <v>2909</v>
      </c>
      <c r="C158" s="3141" t="s">
        <v>2910</v>
      </c>
      <c r="D158" s="3142" t="s">
        <v>1022</v>
      </c>
      <c r="E158" s="3142">
        <v>6</v>
      </c>
      <c r="F158" s="3213" t="s">
        <v>2911</v>
      </c>
      <c r="G158" s="3144">
        <f t="shared" si="6"/>
        <v>4800</v>
      </c>
      <c r="H158" s="3204">
        <v>3</v>
      </c>
      <c r="I158" s="3204">
        <v>2</v>
      </c>
      <c r="J158" s="3205">
        <v>1</v>
      </c>
    </row>
    <row r="159" spans="1:10">
      <c r="A159" s="3134">
        <v>152</v>
      </c>
      <c r="B159" s="3149" t="s">
        <v>2912</v>
      </c>
      <c r="C159" s="3149" t="s">
        <v>2913</v>
      </c>
      <c r="D159" s="3134" t="s">
        <v>1022</v>
      </c>
      <c r="E159" s="3134">
        <v>17</v>
      </c>
      <c r="F159" s="3206">
        <v>1000</v>
      </c>
      <c r="G159" s="3167">
        <f t="shared" si="6"/>
        <v>17000</v>
      </c>
      <c r="H159" s="3168">
        <v>8</v>
      </c>
      <c r="I159" s="3168">
        <v>6</v>
      </c>
      <c r="J159" s="3205">
        <v>3</v>
      </c>
    </row>
    <row r="160" spans="1:10">
      <c r="A160" s="3134">
        <v>153</v>
      </c>
      <c r="B160" s="3141" t="s">
        <v>2914</v>
      </c>
      <c r="C160" s="3141" t="s">
        <v>2914</v>
      </c>
      <c r="D160" s="3142" t="s">
        <v>1395</v>
      </c>
      <c r="E160" s="3142">
        <v>20</v>
      </c>
      <c r="F160" s="3213" t="s">
        <v>2915</v>
      </c>
      <c r="G160" s="3144">
        <f t="shared" si="6"/>
        <v>500000</v>
      </c>
      <c r="H160" s="3204">
        <v>10</v>
      </c>
      <c r="I160" s="3204">
        <v>10</v>
      </c>
      <c r="J160" s="3205">
        <v>0</v>
      </c>
    </row>
  </sheetData>
  <pageMargins left="0" right="0" top="0.55118110236220474" bottom="0.55118110236220474" header="0.31496062992125984" footer="0.31496062992125984"/>
  <pageSetup paperSize="9" scale="60" fitToWidth="0" fitToHeight="0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theme="8" tint="0.39997558519241921"/>
    <pageSetUpPr fitToPage="1"/>
  </sheetPr>
  <dimension ref="A1:AO27"/>
  <sheetViews>
    <sheetView workbookViewId="0">
      <pane xSplit="4" ySplit="8" topLeftCell="J9" activePane="bottomRight" state="frozen"/>
      <selection pane="topRight" activeCell="S58" sqref="S58:S60"/>
      <selection pane="bottomLeft" activeCell="S58" sqref="S58:S60"/>
      <selection pane="bottomRight" activeCell="L11" sqref="L11"/>
    </sheetView>
  </sheetViews>
  <sheetFormatPr defaultColWidth="9.140625" defaultRowHeight="12"/>
  <cols>
    <col min="1" max="1" width="3.42578125" style="2356" customWidth="1"/>
    <col min="2" max="2" width="26" style="2358" customWidth="1"/>
    <col min="3" max="3" width="38.85546875" style="2359" customWidth="1"/>
    <col min="4" max="4" width="8.28515625" style="2358" customWidth="1"/>
    <col min="5" max="5" width="10.28515625" style="2358" customWidth="1"/>
    <col min="6" max="6" width="6.140625" style="2358" hidden="1" customWidth="1"/>
    <col min="7" max="7" width="10.28515625" style="2358" hidden="1" customWidth="1"/>
    <col min="8" max="8" width="8.85546875" style="2358" customWidth="1"/>
    <col min="9" max="9" width="7.42578125" style="2358" customWidth="1"/>
    <col min="10" max="10" width="7.7109375" style="2358" customWidth="1"/>
    <col min="11" max="11" width="10.140625" style="2358" customWidth="1"/>
    <col min="12" max="12" width="11.140625" style="2358" customWidth="1"/>
    <col min="13" max="13" width="9.5703125" style="3457" bestFit="1" customWidth="1"/>
    <col min="14" max="14" width="9.85546875" style="2358" customWidth="1"/>
    <col min="15" max="15" width="11.140625" style="2358" customWidth="1"/>
    <col min="16" max="16" width="12.140625" style="2358" customWidth="1"/>
    <col min="17" max="17" width="12" style="2358" customWidth="1"/>
    <col min="18" max="18" width="12" style="2358" hidden="1" customWidth="1"/>
    <col min="19" max="19" width="12" style="2358" customWidth="1"/>
    <col min="20" max="20" width="12" style="2358" hidden="1" customWidth="1"/>
    <col min="21" max="21" width="12" style="2358" customWidth="1"/>
    <col min="22" max="22" width="14.28515625" style="2358" customWidth="1"/>
    <col min="23" max="23" width="7.28515625" style="2358" customWidth="1"/>
    <col min="24" max="24" width="13.7109375" style="2358" customWidth="1"/>
    <col min="25" max="25" width="9.5703125" style="2358" hidden="1" customWidth="1"/>
    <col min="26" max="26" width="13" style="2358" hidden="1" customWidth="1"/>
    <col min="27" max="27" width="7.7109375" style="2358" hidden="1" customWidth="1"/>
    <col min="28" max="28" width="13" style="2358" hidden="1" customWidth="1"/>
    <col min="29" max="29" width="9.7109375" style="2358" hidden="1" customWidth="1"/>
    <col min="30" max="30" width="12.42578125" style="2358" hidden="1" customWidth="1"/>
    <col min="31" max="31" width="7.140625" style="2358" hidden="1" customWidth="1"/>
    <col min="32" max="32" width="10.7109375" style="2358" hidden="1" customWidth="1"/>
    <col min="33" max="34" width="11.28515625" style="2358" hidden="1" customWidth="1"/>
    <col min="35" max="35" width="13.85546875" style="2358" hidden="1" customWidth="1"/>
    <col min="36" max="37" width="12.5703125" style="2358" hidden="1" customWidth="1"/>
    <col min="38" max="38" width="12.5703125" style="2358" bestFit="1" customWidth="1"/>
    <col min="39" max="39" width="9.140625" style="2358"/>
    <col min="40" max="40" width="9.5703125" style="2358" bestFit="1" customWidth="1"/>
    <col min="41" max="41" width="11.28515625" style="2358" bestFit="1" customWidth="1"/>
    <col min="42" max="16384" width="9.140625" style="2358"/>
  </cols>
  <sheetData>
    <row r="1" spans="1:41">
      <c r="A1" s="2459"/>
      <c r="W1" s="2360" t="s">
        <v>267</v>
      </c>
      <c r="X1" s="2361" t="s">
        <v>596</v>
      </c>
    </row>
    <row r="2" spans="1:41" s="2362" customFormat="1">
      <c r="A2" s="2460" t="s">
        <v>2916</v>
      </c>
      <c r="C2" s="2363"/>
      <c r="M2" s="3462"/>
    </row>
    <row r="3" spans="1:41" ht="15" customHeight="1">
      <c r="A3" s="4045" t="s">
        <v>1189</v>
      </c>
      <c r="B3" s="4045"/>
      <c r="C3" s="4045"/>
    </row>
    <row r="4" spans="1:41" s="2362" customFormat="1">
      <c r="A4" s="2461" t="s">
        <v>2917</v>
      </c>
      <c r="C4" s="2364"/>
      <c r="D4" s="2365"/>
      <c r="E4" s="2365"/>
      <c r="M4" s="3462"/>
    </row>
    <row r="5" spans="1:41">
      <c r="A5" s="2462" t="s">
        <v>990</v>
      </c>
      <c r="C5" s="2366"/>
      <c r="D5" s="2357"/>
      <c r="E5" s="2357"/>
      <c r="V5" s="2358">
        <v>1156582.1100000001</v>
      </c>
    </row>
    <row r="7" spans="1:41" ht="30" customHeight="1">
      <c r="A7" s="4046" t="s">
        <v>2</v>
      </c>
      <c r="B7" s="4041" t="s">
        <v>478</v>
      </c>
      <c r="C7" s="4041" t="s">
        <v>995</v>
      </c>
      <c r="D7" s="4041" t="s">
        <v>996</v>
      </c>
      <c r="E7" s="4041" t="s">
        <v>1191</v>
      </c>
      <c r="F7" s="4041" t="s">
        <v>255</v>
      </c>
      <c r="G7" s="4041"/>
      <c r="H7" s="4042" t="s">
        <v>1193</v>
      </c>
      <c r="I7" s="4043"/>
      <c r="J7" s="4043"/>
      <c r="K7" s="4044"/>
      <c r="L7" s="4039" t="s">
        <v>922</v>
      </c>
      <c r="M7" s="4047"/>
      <c r="N7" s="4047"/>
      <c r="O7" s="4047"/>
      <c r="P7" s="4040"/>
      <c r="Q7" s="4041" t="s">
        <v>999</v>
      </c>
      <c r="R7" s="3470"/>
      <c r="S7" s="4048" t="s">
        <v>2242</v>
      </c>
      <c r="U7" s="4048" t="s">
        <v>2265</v>
      </c>
      <c r="V7" s="4041" t="s">
        <v>380</v>
      </c>
      <c r="W7" s="4039" t="s">
        <v>1001</v>
      </c>
      <c r="X7" s="4040"/>
      <c r="Y7" s="4041" t="s">
        <v>2245</v>
      </c>
      <c r="Z7" s="4041"/>
      <c r="AA7" s="4039"/>
      <c r="AB7" s="4040"/>
      <c r="AC7" s="4041"/>
      <c r="AD7" s="4041"/>
      <c r="AE7" s="4039"/>
      <c r="AF7" s="4040"/>
      <c r="AG7" s="3403"/>
    </row>
    <row r="8" spans="1:41" ht="60">
      <c r="A8" s="4046"/>
      <c r="B8" s="4041"/>
      <c r="C8" s="4041"/>
      <c r="D8" s="4041"/>
      <c r="E8" s="4041"/>
      <c r="F8" s="2367" t="s">
        <v>7</v>
      </c>
      <c r="G8" s="2367" t="s">
        <v>8</v>
      </c>
      <c r="H8" s="3484" t="s">
        <v>306</v>
      </c>
      <c r="I8" s="2367" t="s">
        <v>7</v>
      </c>
      <c r="J8" s="2367" t="s">
        <v>8</v>
      </c>
      <c r="K8" s="3484" t="s">
        <v>1096</v>
      </c>
      <c r="L8" s="2367" t="s">
        <v>1099</v>
      </c>
      <c r="M8" s="3463" t="s">
        <v>1194</v>
      </c>
      <c r="N8" s="2367" t="s">
        <v>1011</v>
      </c>
      <c r="O8" s="2367" t="s">
        <v>1012</v>
      </c>
      <c r="P8" s="2367" t="s">
        <v>1013</v>
      </c>
      <c r="Q8" s="4041"/>
      <c r="R8" s="2368"/>
      <c r="S8" s="4049"/>
      <c r="U8" s="4049"/>
      <c r="V8" s="4041"/>
      <c r="W8" s="2368" t="s">
        <v>7</v>
      </c>
      <c r="X8" s="2368" t="s">
        <v>8</v>
      </c>
      <c r="Y8" s="4041"/>
      <c r="Z8" s="4041"/>
      <c r="AA8" s="2368"/>
      <c r="AB8" s="2368"/>
      <c r="AC8" s="4041"/>
      <c r="AD8" s="4041"/>
      <c r="AE8" s="2368"/>
      <c r="AF8" s="2368"/>
      <c r="AG8" s="3403" t="s">
        <v>2918</v>
      </c>
      <c r="AI8" s="3403" t="s">
        <v>6</v>
      </c>
    </row>
    <row r="9" spans="1:41">
      <c r="A9" s="2374"/>
      <c r="B9" s="2370" t="s">
        <v>306</v>
      </c>
      <c r="C9" s="2371"/>
      <c r="D9" s="2369"/>
      <c r="E9" s="2372"/>
      <c r="F9" s="2372">
        <f>SUM(F10:F13)</f>
        <v>0</v>
      </c>
      <c r="G9" s="2372"/>
      <c r="H9" s="2373">
        <f>H14</f>
        <v>222</v>
      </c>
      <c r="I9" s="2373">
        <f t="shared" ref="I9:J9" si="0">I14</f>
        <v>1</v>
      </c>
      <c r="J9" s="2373">
        <f t="shared" si="0"/>
        <v>21</v>
      </c>
      <c r="K9" s="2373">
        <v>200</v>
      </c>
      <c r="L9" s="2373">
        <f>SUM(L10:L18)</f>
        <v>699</v>
      </c>
      <c r="M9" s="2373">
        <f t="shared" ref="M9:P9" si="1">SUM(M10:M18)</f>
        <v>1201</v>
      </c>
      <c r="N9" s="2373">
        <f t="shared" si="1"/>
        <v>181</v>
      </c>
      <c r="O9" s="2373">
        <f t="shared" si="1"/>
        <v>0</v>
      </c>
      <c r="P9" s="2373">
        <f t="shared" si="1"/>
        <v>699</v>
      </c>
      <c r="Q9" s="2373"/>
      <c r="R9" s="2373"/>
      <c r="S9" s="2373"/>
      <c r="T9" s="2373"/>
      <c r="U9" s="2373"/>
      <c r="V9" s="2373">
        <f>SUM(V10:V18)</f>
        <v>1183294.1099999999</v>
      </c>
      <c r="W9" s="2373">
        <f t="shared" ref="W9:X9" si="2">SUM(W10:W18)</f>
        <v>0</v>
      </c>
      <c r="X9" s="2373">
        <f t="shared" si="2"/>
        <v>1183294.1099999999</v>
      </c>
      <c r="Y9" s="2373"/>
      <c r="Z9" s="2373"/>
      <c r="AA9" s="2373"/>
      <c r="AB9" s="2373"/>
      <c r="AC9" s="2373"/>
      <c r="AD9" s="2373"/>
      <c r="AE9" s="2373"/>
      <c r="AF9" s="2373"/>
      <c r="AG9" s="3403"/>
      <c r="AI9" s="3403"/>
    </row>
    <row r="10" spans="1:41" s="3457" customFormat="1" ht="48">
      <c r="A10" s="2074">
        <v>1</v>
      </c>
      <c r="B10" s="3246" t="s">
        <v>2919</v>
      </c>
      <c r="C10" s="3450" t="s">
        <v>2920</v>
      </c>
      <c r="D10" s="2068" t="s">
        <v>2253</v>
      </c>
      <c r="E10" s="3451">
        <v>4080.2</v>
      </c>
      <c r="F10" s="3452"/>
      <c r="G10" s="3453">
        <f t="shared" ref="G10:G14" si="3">E10</f>
        <v>4080.2</v>
      </c>
      <c r="H10" s="3454"/>
      <c r="I10" s="3454"/>
      <c r="J10" s="3454"/>
      <c r="K10" s="3455"/>
      <c r="L10" s="3455">
        <v>212</v>
      </c>
      <c r="M10" s="3455"/>
      <c r="N10" s="3455"/>
      <c r="O10" s="3455"/>
      <c r="P10" s="3476">
        <f>MIN(L10,M10)-O10</f>
        <v>212</v>
      </c>
      <c r="Q10" s="3455">
        <f>1875</f>
        <v>1875</v>
      </c>
      <c r="R10" s="3455">
        <v>1.06</v>
      </c>
      <c r="S10" s="3455">
        <f>Q10*R10</f>
        <v>1987.5</v>
      </c>
      <c r="T10" s="3455">
        <v>1.1200000000000001</v>
      </c>
      <c r="U10" s="3455">
        <f>S10*T10</f>
        <v>2226</v>
      </c>
      <c r="V10" s="3455">
        <f>ROUND(P10*U10,2)</f>
        <v>471912</v>
      </c>
      <c r="W10" s="3455"/>
      <c r="X10" s="3455">
        <f t="shared" ref="X10:X14" si="4">V10-W10</f>
        <v>471912</v>
      </c>
      <c r="Y10" s="3455"/>
      <c r="Z10" s="3455">
        <v>1.1200000000000001</v>
      </c>
      <c r="AA10" s="3455"/>
      <c r="AB10" s="3455"/>
      <c r="AC10" s="3455"/>
      <c r="AD10" s="3455"/>
      <c r="AE10" s="3455"/>
      <c r="AF10" s="3455"/>
      <c r="AG10" s="3456">
        <f t="shared" ref="AG10:AG13" si="5">AH10+P10</f>
        <v>212</v>
      </c>
      <c r="AI10" s="3456">
        <f>V10</f>
        <v>471912</v>
      </c>
      <c r="AL10" s="3457" t="s">
        <v>1016</v>
      </c>
      <c r="AM10" s="3457">
        <f>P10*2</f>
        <v>424</v>
      </c>
      <c r="AN10" s="3457">
        <f>U10/2</f>
        <v>1113</v>
      </c>
      <c r="AO10" s="3457">
        <f>AM10*AN10</f>
        <v>471912</v>
      </c>
    </row>
    <row r="11" spans="1:41" s="3457" customFormat="1" ht="60">
      <c r="A11" s="2074">
        <v>2</v>
      </c>
      <c r="B11" s="3246" t="s">
        <v>2921</v>
      </c>
      <c r="C11" s="3450" t="s">
        <v>2922</v>
      </c>
      <c r="D11" s="2067" t="s">
        <v>1022</v>
      </c>
      <c r="E11" s="3451">
        <v>4080.2</v>
      </c>
      <c r="F11" s="3452"/>
      <c r="G11" s="3453">
        <f t="shared" si="3"/>
        <v>4080.2</v>
      </c>
      <c r="H11" s="3454"/>
      <c r="I11" s="3454"/>
      <c r="J11" s="3454"/>
      <c r="K11" s="3455"/>
      <c r="L11" s="3455">
        <v>71</v>
      </c>
      <c r="M11" s="3455">
        <v>71</v>
      </c>
      <c r="N11" s="3458">
        <f>(9+9)/9</f>
        <v>2</v>
      </c>
      <c r="O11" s="3458"/>
      <c r="P11" s="3476">
        <f t="shared" ref="P11:P18" si="6">MIN(L11,M11)-O11</f>
        <v>71</v>
      </c>
      <c r="Q11" s="3455">
        <f>6250</f>
        <v>6250</v>
      </c>
      <c r="R11" s="3455">
        <v>1.06</v>
      </c>
      <c r="S11" s="3455">
        <f t="shared" ref="S11:S18" si="7">Q11*R11</f>
        <v>6625</v>
      </c>
      <c r="T11" s="3455">
        <v>1.1200000000000001</v>
      </c>
      <c r="U11" s="3455">
        <f t="shared" ref="U11:U18" si="8">S11*T11</f>
        <v>7420.0000000000009</v>
      </c>
      <c r="V11" s="3455">
        <f t="shared" ref="V11:V18" si="9">ROUND(P11*U11,2)</f>
        <v>526820</v>
      </c>
      <c r="W11" s="3455"/>
      <c r="X11" s="3455">
        <f t="shared" si="4"/>
        <v>526820</v>
      </c>
      <c r="Y11" s="3455"/>
      <c r="Z11" s="3455">
        <v>1.1200000000000001</v>
      </c>
      <c r="AA11" s="3455"/>
      <c r="AB11" s="3455"/>
      <c r="AC11" s="3455"/>
      <c r="AD11" s="3455"/>
      <c r="AE11" s="3455"/>
      <c r="AF11" s="3455"/>
      <c r="AG11" s="3456">
        <f t="shared" si="5"/>
        <v>71</v>
      </c>
      <c r="AI11" s="3456">
        <f t="shared" ref="AI11" si="10">V11</f>
        <v>526820</v>
      </c>
      <c r="AL11" s="3457" t="s">
        <v>1395</v>
      </c>
      <c r="AM11" s="3457">
        <f>P11*9</f>
        <v>639</v>
      </c>
      <c r="AN11" s="3457">
        <f>U11/9</f>
        <v>824.44444444444457</v>
      </c>
      <c r="AO11" s="3457">
        <f>AM11*AN11</f>
        <v>526820.00000000012</v>
      </c>
    </row>
    <row r="12" spans="1:41" s="3457" customFormat="1">
      <c r="A12" s="2074">
        <v>3</v>
      </c>
      <c r="B12" s="3246" t="s">
        <v>2246</v>
      </c>
      <c r="C12" s="3459" t="s">
        <v>2246</v>
      </c>
      <c r="D12" s="2067" t="s">
        <v>1022</v>
      </c>
      <c r="E12" s="3451">
        <v>4080.2</v>
      </c>
      <c r="F12" s="3452"/>
      <c r="G12" s="3453">
        <f t="shared" si="3"/>
        <v>4080.2</v>
      </c>
      <c r="H12" s="3454"/>
      <c r="I12" s="3454"/>
      <c r="J12" s="3454"/>
      <c r="K12" s="3455"/>
      <c r="L12" s="3455">
        <v>6</v>
      </c>
      <c r="M12" s="3455"/>
      <c r="N12" s="3455">
        <f>ROUND(9600/500/3,0)</f>
        <v>6</v>
      </c>
      <c r="O12" s="3455"/>
      <c r="P12" s="3476">
        <f t="shared" si="6"/>
        <v>6</v>
      </c>
      <c r="Q12" s="3230">
        <f>170</f>
        <v>170</v>
      </c>
      <c r="R12" s="3455">
        <v>1.06</v>
      </c>
      <c r="S12" s="3455">
        <f t="shared" si="7"/>
        <v>180.20000000000002</v>
      </c>
      <c r="T12" s="3455">
        <v>1.1200000000000001</v>
      </c>
      <c r="U12" s="3455">
        <f t="shared" si="8"/>
        <v>201.82400000000004</v>
      </c>
      <c r="V12" s="3455">
        <f t="shared" si="9"/>
        <v>1210.94</v>
      </c>
      <c r="W12" s="3455"/>
      <c r="X12" s="3455">
        <f t="shared" si="4"/>
        <v>1210.94</v>
      </c>
      <c r="Y12" s="3455"/>
      <c r="Z12" s="3455">
        <v>1.1200000000000001</v>
      </c>
      <c r="AA12" s="3455"/>
      <c r="AB12" s="3455"/>
      <c r="AC12" s="3455"/>
      <c r="AD12" s="3455"/>
      <c r="AE12" s="3455"/>
      <c r="AF12" s="3455"/>
      <c r="AG12" s="3456">
        <f t="shared" si="5"/>
        <v>18</v>
      </c>
      <c r="AH12" s="3457">
        <f>'моющФМН 2.03.05'!P15+'моющ МБ 2.03.05'!P15</f>
        <v>12</v>
      </c>
      <c r="AI12" s="3456">
        <f t="shared" ref="AI12:AI13" si="11">AH12*Y12+V12</f>
        <v>1210.94</v>
      </c>
      <c r="AJ12" s="3457">
        <f>V12+'моющФМН 2.03.05'!V15+'моющ МБ 2.03.05'!V15</f>
        <v>3632.82</v>
      </c>
      <c r="AK12" s="3457">
        <f>AI12-AJ12</f>
        <v>-2421.88</v>
      </c>
    </row>
    <row r="13" spans="1:41" s="3457" customFormat="1">
      <c r="A13" s="2074">
        <v>4</v>
      </c>
      <c r="B13" s="3246" t="s">
        <v>2249</v>
      </c>
      <c r="C13" s="3460" t="s">
        <v>2249</v>
      </c>
      <c r="D13" s="2067" t="s">
        <v>1022</v>
      </c>
      <c r="E13" s="3451">
        <v>4080.2</v>
      </c>
      <c r="F13" s="3452"/>
      <c r="G13" s="3453">
        <f t="shared" si="3"/>
        <v>4080.2</v>
      </c>
      <c r="H13" s="3454"/>
      <c r="I13" s="3454"/>
      <c r="J13" s="3454"/>
      <c r="K13" s="3455"/>
      <c r="L13" s="3455">
        <v>8</v>
      </c>
      <c r="M13" s="3455"/>
      <c r="N13" s="3455">
        <f>ROUND(10500/500/3,0)</f>
        <v>7</v>
      </c>
      <c r="O13" s="3455"/>
      <c r="P13" s="3476">
        <f t="shared" si="6"/>
        <v>8</v>
      </c>
      <c r="Q13" s="3230">
        <f>175</f>
        <v>175</v>
      </c>
      <c r="R13" s="3455">
        <v>1.06</v>
      </c>
      <c r="S13" s="3455">
        <f t="shared" si="7"/>
        <v>185.5</v>
      </c>
      <c r="T13" s="3455">
        <v>1.1200000000000001</v>
      </c>
      <c r="U13" s="3455">
        <f t="shared" si="8"/>
        <v>207.76000000000002</v>
      </c>
      <c r="V13" s="3455">
        <f t="shared" si="9"/>
        <v>1662.08</v>
      </c>
      <c r="W13" s="3455"/>
      <c r="X13" s="3455">
        <f t="shared" si="4"/>
        <v>1662.08</v>
      </c>
      <c r="Y13" s="3455"/>
      <c r="Z13" s="3455">
        <v>1.1200000000000001</v>
      </c>
      <c r="AA13" s="3455"/>
      <c r="AB13" s="3455"/>
      <c r="AC13" s="3455"/>
      <c r="AD13" s="3455"/>
      <c r="AE13" s="3455"/>
      <c r="AF13" s="3455"/>
      <c r="AG13" s="3456">
        <f t="shared" si="5"/>
        <v>24</v>
      </c>
      <c r="AH13" s="3457">
        <f>'моющФМН 2.03.05'!P16+'моющ МБ 2.03.05'!P16</f>
        <v>16</v>
      </c>
      <c r="AI13" s="3456">
        <f t="shared" si="11"/>
        <v>1662.08</v>
      </c>
      <c r="AJ13" s="3457">
        <f>V13+'моющФМН 2.03.05'!V16+'моющ МБ 2.03.05'!V16</f>
        <v>4986.24</v>
      </c>
      <c r="AK13" s="3457">
        <f t="shared" ref="AK13" si="12">AI13-AJ13</f>
        <v>-3324.16</v>
      </c>
    </row>
    <row r="14" spans="1:41" s="2052" customFormat="1">
      <c r="A14" s="2074">
        <v>5</v>
      </c>
      <c r="B14" s="3246" t="s">
        <v>2251</v>
      </c>
      <c r="C14" s="3461" t="s">
        <v>2252</v>
      </c>
      <c r="D14" s="2139" t="s">
        <v>2253</v>
      </c>
      <c r="E14" s="3451">
        <v>4080.2</v>
      </c>
      <c r="F14" s="3225"/>
      <c r="G14" s="3225">
        <f t="shared" si="3"/>
        <v>4080.2</v>
      </c>
      <c r="H14" s="2139">
        <f>I14+J14+K14</f>
        <v>222</v>
      </c>
      <c r="I14" s="2139">
        <v>1</v>
      </c>
      <c r="J14" s="2139">
        <v>21</v>
      </c>
      <c r="K14" s="2139">
        <v>200</v>
      </c>
      <c r="L14" s="2139">
        <v>20</v>
      </c>
      <c r="M14" s="2139">
        <f>(500*K14)/5000</f>
        <v>20</v>
      </c>
      <c r="N14" s="2139">
        <f>ROUND(126000/5000,0)</f>
        <v>25</v>
      </c>
      <c r="O14" s="2139"/>
      <c r="P14" s="3476">
        <f t="shared" si="6"/>
        <v>20</v>
      </c>
      <c r="Q14" s="2139">
        <f>800</f>
        <v>800</v>
      </c>
      <c r="R14" s="3455">
        <v>1.06</v>
      </c>
      <c r="S14" s="3455">
        <f t="shared" si="7"/>
        <v>848</v>
      </c>
      <c r="T14" s="3455">
        <v>1.1200000000000001</v>
      </c>
      <c r="U14" s="3455">
        <f t="shared" si="8"/>
        <v>949.7600000000001</v>
      </c>
      <c r="V14" s="3455">
        <f t="shared" si="9"/>
        <v>18995.2</v>
      </c>
      <c r="W14" s="2139"/>
      <c r="X14" s="3455">
        <f t="shared" si="4"/>
        <v>18995.2</v>
      </c>
      <c r="Y14" s="2139"/>
      <c r="Z14" s="2052">
        <v>1.1200000000000001</v>
      </c>
    </row>
    <row r="15" spans="1:41" s="3457" customFormat="1">
      <c r="A15" s="2074">
        <v>6</v>
      </c>
      <c r="B15" s="3246" t="s">
        <v>2255</v>
      </c>
      <c r="C15" s="3438" t="s">
        <v>2269</v>
      </c>
      <c r="D15" s="2139" t="s">
        <v>1022</v>
      </c>
      <c r="E15" s="3451">
        <v>4080.2</v>
      </c>
      <c r="F15" s="3225"/>
      <c r="G15" s="3225">
        <f t="shared" ref="G15:G18" si="13">E15</f>
        <v>4080.2</v>
      </c>
      <c r="H15" s="2139">
        <f>I15+J15+K15</f>
        <v>222</v>
      </c>
      <c r="I15" s="2139">
        <v>1</v>
      </c>
      <c r="J15" s="2139">
        <v>21</v>
      </c>
      <c r="K15" s="2139">
        <v>200</v>
      </c>
      <c r="L15" s="2139">
        <v>260</v>
      </c>
      <c r="M15" s="3493">
        <f>ROUND(1*K15*5,0)</f>
        <v>1000</v>
      </c>
      <c r="N15" s="2139">
        <f>ROUND(10400/3/200,0)</f>
        <v>17</v>
      </c>
      <c r="O15" s="2139"/>
      <c r="P15" s="3476">
        <f t="shared" si="6"/>
        <v>260</v>
      </c>
      <c r="Q15" s="2139">
        <f>95</f>
        <v>95</v>
      </c>
      <c r="R15" s="3455">
        <v>1.06</v>
      </c>
      <c r="S15" s="3455">
        <f t="shared" si="7"/>
        <v>100.7</v>
      </c>
      <c r="T15" s="3455">
        <v>1.1200000000000001</v>
      </c>
      <c r="U15" s="3455">
        <f t="shared" si="8"/>
        <v>112.78400000000002</v>
      </c>
      <c r="V15" s="3455">
        <f t="shared" si="9"/>
        <v>29323.84</v>
      </c>
      <c r="W15" s="2139"/>
      <c r="X15" s="3455">
        <f t="shared" ref="X15:X18" si="14">V15-W15</f>
        <v>29323.84</v>
      </c>
      <c r="Y15" s="2139"/>
      <c r="AH15" s="3457">
        <f>'моющФМН 2.03.05'!P14+'моющ МБ 2.03.05'!P14</f>
        <v>1545</v>
      </c>
      <c r="AL15" s="3457">
        <f>AL14+AK14+AJ14</f>
        <v>0</v>
      </c>
    </row>
    <row r="16" spans="1:41" s="3457" customFormat="1" ht="24">
      <c r="A16" s="2074">
        <v>7</v>
      </c>
      <c r="B16" s="3246" t="s">
        <v>2257</v>
      </c>
      <c r="C16" s="3438" t="s">
        <v>2257</v>
      </c>
      <c r="D16" s="2139" t="s">
        <v>2253</v>
      </c>
      <c r="E16" s="3451">
        <v>4080.2</v>
      </c>
      <c r="F16" s="3225"/>
      <c r="G16" s="3225">
        <f t="shared" si="13"/>
        <v>4080.2</v>
      </c>
      <c r="H16" s="2139"/>
      <c r="I16" s="2139"/>
      <c r="J16" s="2139"/>
      <c r="K16" s="2139"/>
      <c r="L16" s="2139">
        <v>12</v>
      </c>
      <c r="M16" s="2139"/>
      <c r="N16" s="2139">
        <f>24/3</f>
        <v>8</v>
      </c>
      <c r="O16" s="2139"/>
      <c r="P16" s="3476">
        <f t="shared" si="6"/>
        <v>12</v>
      </c>
      <c r="Q16" s="2139">
        <f>625</f>
        <v>625</v>
      </c>
      <c r="R16" s="3455">
        <v>1.06</v>
      </c>
      <c r="S16" s="3455">
        <f t="shared" si="7"/>
        <v>662.5</v>
      </c>
      <c r="T16" s="3455">
        <v>1.1200000000000001</v>
      </c>
      <c r="U16" s="3455">
        <f t="shared" si="8"/>
        <v>742.00000000000011</v>
      </c>
      <c r="V16" s="3455">
        <f t="shared" si="9"/>
        <v>8904</v>
      </c>
      <c r="W16" s="2139"/>
      <c r="X16" s="3455">
        <f t="shared" si="14"/>
        <v>8904</v>
      </c>
      <c r="Y16" s="2139"/>
      <c r="AL16" s="3457">
        <f>AI14-AL15</f>
        <v>0</v>
      </c>
    </row>
    <row r="17" spans="1:26" s="3457" customFormat="1" ht="24">
      <c r="A17" s="2074">
        <v>8</v>
      </c>
      <c r="B17" s="3246" t="s">
        <v>2259</v>
      </c>
      <c r="C17" s="3438" t="s">
        <v>2259</v>
      </c>
      <c r="D17" s="2139" t="s">
        <v>2253</v>
      </c>
      <c r="E17" s="3451">
        <v>4080.2</v>
      </c>
      <c r="F17" s="3225"/>
      <c r="G17" s="3225">
        <f t="shared" si="13"/>
        <v>4080.2</v>
      </c>
      <c r="H17" s="2139"/>
      <c r="I17" s="2139"/>
      <c r="J17" s="2139"/>
      <c r="K17" s="2139"/>
      <c r="L17" s="2139">
        <v>37</v>
      </c>
      <c r="M17" s="2139">
        <f>ROUND((E17/500*450*10)/1000,0)</f>
        <v>37</v>
      </c>
      <c r="N17" s="2139">
        <f>30/3</f>
        <v>10</v>
      </c>
      <c r="O17" s="2139"/>
      <c r="P17" s="3476">
        <f t="shared" si="6"/>
        <v>37</v>
      </c>
      <c r="Q17" s="2139">
        <f>900</f>
        <v>900</v>
      </c>
      <c r="R17" s="3455">
        <v>1.06</v>
      </c>
      <c r="S17" s="3455">
        <f t="shared" si="7"/>
        <v>954</v>
      </c>
      <c r="T17" s="3455">
        <v>1.1200000000000001</v>
      </c>
      <c r="U17" s="3455">
        <f t="shared" si="8"/>
        <v>1068.48</v>
      </c>
      <c r="V17" s="3455">
        <f t="shared" si="9"/>
        <v>39533.760000000002</v>
      </c>
      <c r="W17" s="2139"/>
      <c r="X17" s="3455">
        <f t="shared" si="14"/>
        <v>39533.760000000002</v>
      </c>
      <c r="Y17" s="2139"/>
    </row>
    <row r="18" spans="1:26" s="2052" customFormat="1">
      <c r="A18" s="3223">
        <v>7</v>
      </c>
      <c r="B18" s="3438" t="s">
        <v>2261</v>
      </c>
      <c r="C18" s="3438" t="s">
        <v>2262</v>
      </c>
      <c r="D18" s="2139" t="s">
        <v>1022</v>
      </c>
      <c r="E18" s="3451">
        <v>4080.2</v>
      </c>
      <c r="F18" s="3225"/>
      <c r="G18" s="3225">
        <f t="shared" si="13"/>
        <v>4080.2</v>
      </c>
      <c r="H18" s="2139"/>
      <c r="I18" s="2139"/>
      <c r="J18" s="2139"/>
      <c r="K18" s="2139"/>
      <c r="L18" s="2139">
        <v>73</v>
      </c>
      <c r="M18" s="2139">
        <f>ROUND((E18/500*450*10)/500,0)</f>
        <v>73</v>
      </c>
      <c r="N18" s="2139">
        <f>ROUND(159/0.5/3,0)</f>
        <v>106</v>
      </c>
      <c r="O18" s="2139"/>
      <c r="P18" s="3476">
        <f t="shared" si="6"/>
        <v>73</v>
      </c>
      <c r="Q18" s="2139">
        <f>980</f>
        <v>980</v>
      </c>
      <c r="R18" s="3455">
        <v>1.06</v>
      </c>
      <c r="S18" s="3455">
        <f t="shared" si="7"/>
        <v>1038.8</v>
      </c>
      <c r="T18" s="3455">
        <v>1.1200000000000001</v>
      </c>
      <c r="U18" s="3455">
        <f t="shared" si="8"/>
        <v>1163.4560000000001</v>
      </c>
      <c r="V18" s="3455">
        <f t="shared" si="9"/>
        <v>84932.29</v>
      </c>
      <c r="W18" s="2139"/>
      <c r="X18" s="3455">
        <f t="shared" si="14"/>
        <v>84932.29</v>
      </c>
      <c r="Y18" s="2139"/>
      <c r="Z18" s="2052">
        <v>1.1200000000000001</v>
      </c>
    </row>
    <row r="19" spans="1:26" s="3457" customFormat="1" ht="12.75">
      <c r="A19" s="2142"/>
      <c r="B19" s="2042"/>
      <c r="C19" s="2098"/>
      <c r="D19" s="2098"/>
      <c r="E19" s="2098"/>
      <c r="F19" s="2098"/>
      <c r="G19" s="2098"/>
      <c r="H19" s="2052"/>
      <c r="I19" s="2052"/>
      <c r="J19" s="2052"/>
      <c r="K19" s="2052"/>
    </row>
    <row r="20" spans="1:26" ht="12.75">
      <c r="B20" s="2165"/>
      <c r="C20" s="3330"/>
      <c r="D20" s="3330"/>
      <c r="E20" s="3330"/>
      <c r="F20" s="3332"/>
      <c r="G20" s="3332"/>
      <c r="H20" s="2749"/>
      <c r="I20" s="2749"/>
      <c r="J20" s="2749"/>
      <c r="K20" s="2749"/>
    </row>
    <row r="21" spans="1:26" ht="15.75">
      <c r="B21" s="2042" t="s">
        <v>368</v>
      </c>
      <c r="C21" s="475"/>
      <c r="D21" s="2884"/>
      <c r="E21" s="2884"/>
      <c r="F21" s="463"/>
      <c r="G21" s="406"/>
      <c r="H21" s="3238"/>
      <c r="I21" s="406"/>
      <c r="J21" s="3237"/>
      <c r="K21" s="3239"/>
      <c r="L21" s="2749"/>
      <c r="M21" s="2052"/>
      <c r="N21" s="2052"/>
      <c r="O21" s="2052"/>
      <c r="P21" s="2052"/>
    </row>
    <row r="22" spans="1:26" ht="15.75">
      <c r="B22" s="2042" t="s">
        <v>370</v>
      </c>
      <c r="C22" s="475"/>
      <c r="D22" s="2884"/>
      <c r="E22" s="2884"/>
      <c r="F22" s="3241"/>
      <c r="G22" s="2923"/>
      <c r="H22" s="2042"/>
      <c r="I22" s="2923"/>
      <c r="J22" s="2042"/>
      <c r="K22" s="2052"/>
      <c r="L22" s="2749"/>
      <c r="M22" s="2052"/>
      <c r="N22" s="2052"/>
      <c r="O22" s="2041" t="s">
        <v>371</v>
      </c>
      <c r="P22" s="2052"/>
    </row>
    <row r="23" spans="1:26" ht="15.75">
      <c r="B23" s="2042"/>
      <c r="C23" s="475"/>
      <c r="D23" s="2884"/>
      <c r="E23" s="2884"/>
      <c r="F23" s="356"/>
      <c r="G23" s="2923"/>
      <c r="H23" s="1923"/>
      <c r="I23" s="2923"/>
      <c r="J23" s="2042"/>
      <c r="K23" s="2052"/>
      <c r="L23" s="2749"/>
      <c r="M23" s="2052"/>
      <c r="N23" s="2052"/>
      <c r="O23" s="3030"/>
      <c r="P23" s="2052"/>
    </row>
    <row r="24" spans="1:26" ht="15.75">
      <c r="B24" s="2042" t="s">
        <v>451</v>
      </c>
      <c r="C24" s="2952"/>
      <c r="D24" s="2952"/>
      <c r="E24" s="2952"/>
      <c r="F24" s="356"/>
      <c r="G24" s="2923"/>
      <c r="H24" s="2042"/>
      <c r="I24" s="2923"/>
      <c r="J24" s="2042"/>
      <c r="K24" s="2052"/>
      <c r="L24" s="2052"/>
      <c r="M24" s="2052"/>
      <c r="N24" s="2052"/>
      <c r="O24" s="2042" t="s">
        <v>452</v>
      </c>
      <c r="P24" s="2052"/>
    </row>
    <row r="25" spans="1:26" ht="15">
      <c r="B25" s="2042"/>
      <c r="C25" s="2924"/>
      <c r="D25" s="2924"/>
      <c r="E25" s="2924"/>
      <c r="F25" s="2924"/>
      <c r="G25" s="2924"/>
      <c r="H25" s="2924"/>
      <c r="I25" s="2924"/>
      <c r="J25" s="2924"/>
      <c r="K25" s="2052"/>
      <c r="L25" s="2052"/>
      <c r="M25" s="2052"/>
      <c r="N25" s="2052"/>
      <c r="O25" s="3030"/>
      <c r="P25" s="2052"/>
    </row>
    <row r="26" spans="1:26" ht="15">
      <c r="B26" s="2042" t="s">
        <v>375</v>
      </c>
      <c r="C26" s="2924"/>
      <c r="D26" s="2924"/>
      <c r="E26" s="2924"/>
      <c r="F26" s="2924"/>
      <c r="G26" s="2924"/>
      <c r="H26" s="2924"/>
      <c r="I26" s="2924"/>
      <c r="J26" s="2924"/>
      <c r="K26" s="2052"/>
      <c r="L26" s="2052"/>
      <c r="M26" s="2052"/>
      <c r="N26" s="2052"/>
      <c r="O26" s="2042" t="s">
        <v>377</v>
      </c>
      <c r="P26" s="2052"/>
    </row>
    <row r="27" spans="1:26">
      <c r="B27" s="2052"/>
      <c r="C27" s="2053"/>
      <c r="D27" s="2052"/>
      <c r="E27" s="2052"/>
      <c r="F27" s="2052"/>
      <c r="G27" s="2052"/>
      <c r="H27" s="2052"/>
      <c r="I27" s="2052"/>
      <c r="J27" s="2052"/>
      <c r="K27" s="2052"/>
      <c r="L27" s="2052"/>
      <c r="M27" s="2052"/>
      <c r="N27" s="2052"/>
      <c r="O27" s="2052"/>
      <c r="P27" s="2052"/>
    </row>
  </sheetData>
  <sheetProtection formatColumns="0" insertRows="0" deleteRows="0"/>
  <mergeCells count="20">
    <mergeCell ref="H7:K7"/>
    <mergeCell ref="A3:C3"/>
    <mergeCell ref="W7:X7"/>
    <mergeCell ref="A7:A8"/>
    <mergeCell ref="B7:B8"/>
    <mergeCell ref="C7:C8"/>
    <mergeCell ref="D7:D8"/>
    <mergeCell ref="E7:E8"/>
    <mergeCell ref="V7:V8"/>
    <mergeCell ref="F7:G7"/>
    <mergeCell ref="L7:P7"/>
    <mergeCell ref="Q7:Q8"/>
    <mergeCell ref="S7:S8"/>
    <mergeCell ref="U7:U8"/>
    <mergeCell ref="AE7:AF7"/>
    <mergeCell ref="Y7:Y8"/>
    <mergeCell ref="Z7:Z8"/>
    <mergeCell ref="AA7:AB7"/>
    <mergeCell ref="AC7:AC8"/>
    <mergeCell ref="AD7:AD8"/>
  </mergeCells>
  <pageMargins left="0" right="0" top="0" bottom="0" header="0" footer="0"/>
  <pageSetup paperSize="9" scale="58" fitToHeight="0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theme="3" tint="0.79998168889431442"/>
    <pageSetUpPr fitToPage="1"/>
  </sheetPr>
  <dimension ref="A1:BD120"/>
  <sheetViews>
    <sheetView zoomScale="90" zoomScaleNormal="90" zoomScaleSheetLayoutView="80" workbookViewId="0">
      <pane xSplit="2" ySplit="9" topLeftCell="C38" activePane="bottomRight" state="frozen"/>
      <selection pane="topRight" activeCell="H139" sqref="H139"/>
      <selection pane="bottomLeft" activeCell="H139" sqref="H139"/>
      <selection pane="bottomRight" activeCell="BG45" sqref="BG45"/>
    </sheetView>
  </sheetViews>
  <sheetFormatPr defaultColWidth="9.140625" defaultRowHeight="12"/>
  <cols>
    <col min="1" max="1" width="4.5703125" style="3006" customWidth="1"/>
    <col min="2" max="2" width="28.140625" style="2983" customWidth="1"/>
    <col min="3" max="3" width="39.5703125" style="2984" customWidth="1"/>
    <col min="4" max="4" width="7.42578125" style="2983" customWidth="1"/>
    <col min="5" max="5" width="10.42578125" style="2983" hidden="1" customWidth="1"/>
    <col min="6" max="6" width="6.140625" style="2983" hidden="1" customWidth="1"/>
    <col min="7" max="7" width="10.85546875" style="2983" hidden="1" customWidth="1"/>
    <col min="8" max="8" width="8.85546875" style="2983" customWidth="1"/>
    <col min="9" max="9" width="6.42578125" style="2983" customWidth="1"/>
    <col min="10" max="10" width="10" style="2983" customWidth="1"/>
    <col min="11" max="11" width="8.85546875" style="2983" customWidth="1"/>
    <col min="12" max="12" width="12.5703125" style="2983" customWidth="1"/>
    <col min="13" max="13" width="11.28515625" style="2983" customWidth="1"/>
    <col min="14" max="14" width="11.42578125" style="2983" customWidth="1"/>
    <col min="15" max="15" width="13.7109375" style="2983" customWidth="1"/>
    <col min="16" max="16" width="12.42578125" style="3328" customWidth="1"/>
    <col min="17" max="17" width="12.28515625" style="2983" customWidth="1"/>
    <col min="18" max="18" width="12.28515625" style="2983" hidden="1" customWidth="1"/>
    <col min="19" max="20" width="12.28515625" style="2983" customWidth="1"/>
    <col min="21" max="21" width="14.5703125" style="2983" customWidth="1"/>
    <col min="22" max="22" width="12.42578125" style="2983" hidden="1" customWidth="1"/>
    <col min="23" max="23" width="13.42578125" style="2983" hidden="1" customWidth="1"/>
    <col min="24" max="24" width="11.7109375" style="2983" hidden="1" customWidth="1"/>
    <col min="25" max="26" width="11.28515625" style="2983" hidden="1" customWidth="1"/>
    <col min="27" max="27" width="12.7109375" style="2983" hidden="1" customWidth="1"/>
    <col min="28" max="28" width="13" style="2983" hidden="1" customWidth="1"/>
    <col min="29" max="29" width="0.140625" style="2983" hidden="1" customWidth="1"/>
    <col min="30" max="30" width="12.7109375" style="2983" hidden="1" customWidth="1"/>
    <col min="31" max="31" width="13.42578125" style="2983" hidden="1" customWidth="1"/>
    <col min="32" max="32" width="10.140625" style="2983" hidden="1" customWidth="1"/>
    <col min="33" max="34" width="10.5703125" style="2983" hidden="1" customWidth="1"/>
    <col min="35" max="35" width="10.7109375" style="2983" hidden="1" customWidth="1"/>
    <col min="36" max="36" width="10" style="2983" hidden="1" customWidth="1"/>
    <col min="37" max="37" width="10.42578125" style="2983" hidden="1" customWidth="1"/>
    <col min="38" max="38" width="14.85546875" style="2983" hidden="1" customWidth="1"/>
    <col min="39" max="39" width="11.42578125" style="2983" hidden="1" customWidth="1"/>
    <col min="40" max="40" width="13.28515625" style="2983" hidden="1" customWidth="1"/>
    <col min="41" max="41" width="10.42578125" style="2983" hidden="1" customWidth="1"/>
    <col min="42" max="42" width="13.28515625" style="2983" hidden="1" customWidth="1"/>
    <col min="43" max="43" width="9.85546875" style="2983" customWidth="1"/>
    <col min="44" max="44" width="11.7109375" style="2983" customWidth="1"/>
    <col min="45" max="47" width="9.140625" style="2983" hidden="1" customWidth="1"/>
    <col min="48" max="48" width="10.42578125" style="2983" hidden="1" customWidth="1"/>
    <col min="49" max="49" width="11.42578125" style="2983" hidden="1" customWidth="1"/>
    <col min="50" max="50" width="14.85546875" style="2983" hidden="1" customWidth="1"/>
    <col min="51" max="53" width="13.85546875" style="2983" hidden="1" customWidth="1"/>
    <col min="54" max="54" width="12.42578125" style="2983" hidden="1" customWidth="1"/>
    <col min="55" max="55" width="14.85546875" style="2983" hidden="1" customWidth="1"/>
    <col min="56" max="57" width="0" style="2983" hidden="1" customWidth="1"/>
    <col min="58" max="58" width="13.85546875" style="2983" bestFit="1" customWidth="1"/>
    <col min="59" max="16384" width="9.140625" style="2983"/>
  </cols>
  <sheetData>
    <row r="1" spans="1:56" ht="15">
      <c r="C1" s="3422"/>
      <c r="L1" s="2985">
        <v>2</v>
      </c>
      <c r="M1" s="2985"/>
      <c r="N1" s="2985"/>
      <c r="O1" s="2985"/>
      <c r="P1" s="3379"/>
      <c r="Q1" s="2985"/>
      <c r="R1" s="2985"/>
      <c r="S1" s="2985"/>
      <c r="T1" s="2985"/>
      <c r="U1" s="2985"/>
      <c r="V1" s="2983" t="s">
        <v>267</v>
      </c>
      <c r="W1" s="2986" t="s">
        <v>2270</v>
      </c>
      <c r="AQ1" s="3654" t="s">
        <v>2923</v>
      </c>
      <c r="AR1" s="3654" t="s">
        <v>2924</v>
      </c>
      <c r="AS1" s="3654" t="s">
        <v>2923</v>
      </c>
      <c r="AT1" s="3654" t="s">
        <v>2925</v>
      </c>
    </row>
    <row r="2" spans="1:56" s="2988" customFormat="1">
      <c r="A2" s="2987" t="s">
        <v>2926</v>
      </c>
      <c r="C2" s="2989"/>
      <c r="L2" s="2990"/>
      <c r="M2" s="2990"/>
      <c r="N2" s="2990"/>
      <c r="O2" s="2990"/>
      <c r="P2" s="3380"/>
      <c r="Q2" s="2990">
        <f>V3/Q56</f>
        <v>12.076923076923077</v>
      </c>
      <c r="R2" s="2990"/>
      <c r="S2" s="2990"/>
      <c r="T2" s="2990"/>
      <c r="U2" s="2990"/>
      <c r="AL2" s="2988" t="e">
        <f>U9+'2.03.01.0приобретение комп к ОС'!L9+'моющ МБ 2.03.05'!V14+'моющФМН 2.03.05'!V14+'моющИНТ 2.03.05.'!V9+'пр запасы фмн 2.03.09.'!T9+'пр запасы мб 2.03.09.'!T9+#REF!</f>
        <v>#REF!</v>
      </c>
    </row>
    <row r="3" spans="1:56">
      <c r="A3" s="2991"/>
      <c r="L3" s="2985"/>
      <c r="M3" s="2992">
        <f>0.01/2</f>
        <v>5.0000000000000001E-3</v>
      </c>
      <c r="N3" s="2985"/>
      <c r="O3" s="2985"/>
      <c r="P3" s="3379"/>
      <c r="Q3" s="2985"/>
      <c r="R3" s="2985"/>
      <c r="S3" s="2985"/>
      <c r="T3" s="2985"/>
      <c r="U3" s="2985">
        <f>U9*0.0099</f>
        <v>0</v>
      </c>
      <c r="V3" s="2985">
        <v>15700</v>
      </c>
      <c r="W3" s="2985">
        <f>U56-V3</f>
        <v>-12613.279999999999</v>
      </c>
      <c r="X3" s="2985"/>
      <c r="Y3" s="2985"/>
      <c r="Z3" s="2985">
        <f>W3/Q56</f>
        <v>-9.7025230769230753</v>
      </c>
      <c r="AA3" s="2985"/>
      <c r="AX3" s="3411">
        <f>AX9-AX60-AX69-AX53-AX48-AX12</f>
        <v>879659.02999999991</v>
      </c>
    </row>
    <row r="4" spans="1:56" s="2988" customFormat="1">
      <c r="A4" s="2993" t="s">
        <v>2927</v>
      </c>
      <c r="C4" s="2989"/>
      <c r="L4" s="2990"/>
      <c r="M4" s="2990"/>
      <c r="N4" s="2990"/>
      <c r="O4" s="2990"/>
      <c r="P4" s="3380"/>
      <c r="Q4" s="2990">
        <v>1.07</v>
      </c>
      <c r="R4" s="2990"/>
      <c r="S4" s="2990"/>
      <c r="T4" s="2990"/>
      <c r="U4" s="2990">
        <f>U9-U3</f>
        <v>0</v>
      </c>
      <c r="V4" s="2990">
        <f>U9-V3</f>
        <v>-15700</v>
      </c>
      <c r="W4" s="2990"/>
      <c r="X4" s="2990"/>
      <c r="Y4" s="2990"/>
      <c r="Z4" s="3010">
        <v>1.06</v>
      </c>
      <c r="AA4" s="2990"/>
      <c r="AD4" s="2988">
        <v>1.05</v>
      </c>
      <c r="AE4" s="2990">
        <f>U9+'[67]хоз мб'!T9+'[67]хоз кот и ул освещ'!V4+'[67]хоз кот и ул освещ'!V4</f>
        <v>4686350.666666667</v>
      </c>
    </row>
    <row r="5" spans="1:56">
      <c r="A5" s="2994" t="s">
        <v>990</v>
      </c>
      <c r="L5" s="2985"/>
      <c r="M5" s="2985"/>
      <c r="N5" s="2985"/>
      <c r="O5" s="2985"/>
      <c r="P5" s="3379"/>
      <c r="Q5" s="2985"/>
      <c r="R5" s="2985"/>
      <c r="S5" s="2985"/>
      <c r="T5" s="2985"/>
      <c r="U5" s="2985">
        <f>U9+'[67]хоз мб'!T9+'[67]тмц фмн'!R9+'[67]тмц мб'!T9+'[67]хоз кот и ул освещ'!V4+'[67]хоз кот и ул освещ'!V4</f>
        <v>4942722.666666666</v>
      </c>
      <c r="V5" s="2985">
        <v>3732855</v>
      </c>
      <c r="W5" s="2985">
        <f>U9-V5</f>
        <v>-3732855</v>
      </c>
      <c r="X5" s="2985"/>
      <c r="Y5" s="2985"/>
      <c r="Z5" s="2985">
        <f>26750-W5</f>
        <v>3759605</v>
      </c>
      <c r="AA5" s="2985">
        <f>Z5/Q56</f>
        <v>2892.0038461538461</v>
      </c>
    </row>
    <row r="7" spans="1:56" ht="30" customHeight="1">
      <c r="A7" s="4057" t="s">
        <v>2</v>
      </c>
      <c r="B7" s="4050" t="s">
        <v>478</v>
      </c>
      <c r="C7" s="4050" t="s">
        <v>995</v>
      </c>
      <c r="D7" s="4050" t="s">
        <v>996</v>
      </c>
      <c r="E7" s="4050" t="s">
        <v>1191</v>
      </c>
      <c r="F7" s="4050" t="s">
        <v>255</v>
      </c>
      <c r="G7" s="4050"/>
      <c r="H7" s="4058" t="s">
        <v>1192</v>
      </c>
      <c r="I7" s="4052" t="s">
        <v>1193</v>
      </c>
      <c r="J7" s="4056"/>
      <c r="K7" s="4053"/>
      <c r="L7" s="4052" t="s">
        <v>922</v>
      </c>
      <c r="M7" s="4056"/>
      <c r="N7" s="4056"/>
      <c r="O7" s="4056"/>
      <c r="P7" s="4053"/>
      <c r="Q7" s="4050" t="s">
        <v>999</v>
      </c>
      <c r="R7" s="3551"/>
      <c r="S7" s="4058" t="s">
        <v>2928</v>
      </c>
      <c r="T7" s="4050" t="s">
        <v>2265</v>
      </c>
      <c r="U7" s="4050" t="s">
        <v>2929</v>
      </c>
      <c r="V7" s="4052" t="s">
        <v>1001</v>
      </c>
      <c r="W7" s="4053"/>
      <c r="X7" s="4054"/>
      <c r="Y7" s="4055"/>
      <c r="Z7" s="4050" t="s">
        <v>999</v>
      </c>
      <c r="AA7" s="4050" t="s">
        <v>2267</v>
      </c>
      <c r="AB7" s="4052" t="s">
        <v>1001</v>
      </c>
      <c r="AC7" s="4053"/>
      <c r="AD7" s="4050" t="s">
        <v>999</v>
      </c>
      <c r="AE7" s="4050" t="s">
        <v>2268</v>
      </c>
      <c r="AF7" s="4052" t="s">
        <v>1001</v>
      </c>
      <c r="AG7" s="4056"/>
      <c r="AH7" s="3552"/>
      <c r="AJ7" s="2995"/>
      <c r="AK7" s="4051" t="s">
        <v>1002</v>
      </c>
      <c r="AL7" s="4051" t="s">
        <v>2930</v>
      </c>
      <c r="AM7" s="4051" t="s">
        <v>22</v>
      </c>
      <c r="AN7" s="4051" t="s">
        <v>2931</v>
      </c>
      <c r="AO7" s="4051" t="s">
        <v>2697</v>
      </c>
      <c r="AP7" s="4051" t="s">
        <v>2932</v>
      </c>
      <c r="AQ7" s="4051" t="s">
        <v>2698</v>
      </c>
      <c r="AR7" s="4051" t="s">
        <v>2933</v>
      </c>
      <c r="AS7" s="2995"/>
      <c r="AT7" s="2995"/>
      <c r="AU7" s="2995"/>
    </row>
    <row r="8" spans="1:56" ht="60.75" customHeight="1">
      <c r="A8" s="4057"/>
      <c r="B8" s="4050"/>
      <c r="C8" s="4050"/>
      <c r="D8" s="4050"/>
      <c r="E8" s="4050"/>
      <c r="F8" s="3553" t="s">
        <v>7</v>
      </c>
      <c r="G8" s="3553" t="s">
        <v>8</v>
      </c>
      <c r="H8" s="4059"/>
      <c r="I8" s="3553" t="s">
        <v>7</v>
      </c>
      <c r="J8" s="3553" t="s">
        <v>8</v>
      </c>
      <c r="K8" s="3553" t="s">
        <v>1096</v>
      </c>
      <c r="L8" s="3553" t="s">
        <v>1099</v>
      </c>
      <c r="M8" s="3553" t="s">
        <v>1194</v>
      </c>
      <c r="N8" s="3553" t="s">
        <v>1011</v>
      </c>
      <c r="O8" s="3553" t="s">
        <v>1012</v>
      </c>
      <c r="P8" s="3554" t="s">
        <v>1013</v>
      </c>
      <c r="Q8" s="4050"/>
      <c r="R8" s="3555"/>
      <c r="S8" s="4059"/>
      <c r="T8" s="4050"/>
      <c r="U8" s="4050"/>
      <c r="V8" s="3555" t="s">
        <v>7</v>
      </c>
      <c r="W8" s="3555" t="s">
        <v>8</v>
      </c>
      <c r="X8" s="4054"/>
      <c r="Y8" s="4055"/>
      <c r="Z8" s="4050"/>
      <c r="AA8" s="4050"/>
      <c r="AB8" s="3555" t="s">
        <v>7</v>
      </c>
      <c r="AC8" s="3555" t="s">
        <v>8</v>
      </c>
      <c r="AD8" s="4050"/>
      <c r="AE8" s="4050"/>
      <c r="AF8" s="3555" t="s">
        <v>7</v>
      </c>
      <c r="AG8" s="3556" t="s">
        <v>8</v>
      </c>
      <c r="AH8" s="3556"/>
      <c r="AJ8" s="2995"/>
      <c r="AK8" s="4051"/>
      <c r="AL8" s="4051"/>
      <c r="AM8" s="4051"/>
      <c r="AN8" s="4051"/>
      <c r="AO8" s="4051"/>
      <c r="AP8" s="4051"/>
      <c r="AQ8" s="4051"/>
      <c r="AR8" s="4051"/>
      <c r="AS8" s="2998"/>
      <c r="AT8" s="2998"/>
      <c r="AU8" s="2998"/>
      <c r="AW8" s="3595"/>
      <c r="AX8" s="3596" t="s">
        <v>2163</v>
      </c>
      <c r="AY8" s="3596" t="s">
        <v>469</v>
      </c>
      <c r="AZ8" s="3596" t="s">
        <v>1006</v>
      </c>
      <c r="BA8" s="3596" t="s">
        <v>471</v>
      </c>
      <c r="BB8" s="3596" t="s">
        <v>2934</v>
      </c>
    </row>
    <row r="9" spans="1:56" ht="12.75" customHeight="1">
      <c r="A9" s="3557"/>
      <c r="B9" s="3558" t="s">
        <v>306</v>
      </c>
      <c r="C9" s="3559"/>
      <c r="D9" s="3560"/>
      <c r="E9" s="3561"/>
      <c r="F9" s="3561">
        <f>SUM(F10:F91)</f>
        <v>0</v>
      </c>
      <c r="G9" s="3561"/>
      <c r="H9" s="3561"/>
      <c r="I9" s="3561"/>
      <c r="J9" s="3561"/>
      <c r="K9" s="3561"/>
      <c r="L9" s="3562">
        <f>SUM(L10:L110)</f>
        <v>1992</v>
      </c>
      <c r="M9" s="3562">
        <f>SUM(M10:M110)</f>
        <v>17991</v>
      </c>
      <c r="N9" s="3562">
        <f>SUM(N10:N110)</f>
        <v>3157</v>
      </c>
      <c r="O9" s="3562">
        <f>SUM(O10:O110)</f>
        <v>1</v>
      </c>
      <c r="P9" s="3562">
        <f>SUM(P10:P110)</f>
        <v>777</v>
      </c>
      <c r="Q9" s="3561"/>
      <c r="R9" s="3561"/>
      <c r="S9" s="3561"/>
      <c r="T9" s="3561"/>
      <c r="U9" s="3558"/>
      <c r="V9" s="3558">
        <f>SUM(V10:V91)</f>
        <v>0</v>
      </c>
      <c r="W9" s="3558">
        <f>SUM(W10:W91)</f>
        <v>1146247.5359999998</v>
      </c>
      <c r="X9" s="4054"/>
      <c r="Y9" s="4055"/>
      <c r="Z9" s="3561"/>
      <c r="AA9" s="3558">
        <f>SUM(AA10:AA91)</f>
        <v>913063</v>
      </c>
      <c r="AB9" s="3558">
        <f>SUM(AB10:AB91)</f>
        <v>0</v>
      </c>
      <c r="AC9" s="3558">
        <f>SUM(AC10:AC91)</f>
        <v>913063</v>
      </c>
      <c r="AD9" s="3561"/>
      <c r="AE9" s="3558">
        <f>SUM(AE10:AE91)</f>
        <v>958721</v>
      </c>
      <c r="AF9" s="3558">
        <f>SUM(AF10:AF91)</f>
        <v>0</v>
      </c>
      <c r="AG9" s="3563">
        <f>SUM(AG10:AG91)</f>
        <v>958721</v>
      </c>
      <c r="AH9" s="3563"/>
      <c r="AI9" s="3004"/>
      <c r="AJ9" s="2995"/>
      <c r="AK9" s="3543"/>
      <c r="AL9" s="3494">
        <f>SUM(AL10:AL110)</f>
        <v>3570940.8896000003</v>
      </c>
      <c r="AM9" s="3464"/>
      <c r="AN9" s="3494">
        <f>SUM(AN10:AN110)</f>
        <v>1506458.2624000004</v>
      </c>
      <c r="AO9" s="3464"/>
      <c r="AP9" s="3494">
        <f>SUM(AP10:AP110)</f>
        <v>3062679.2000000007</v>
      </c>
      <c r="AQ9" s="3464"/>
      <c r="AR9" s="3494"/>
      <c r="AS9" s="2995"/>
      <c r="AT9" s="2995"/>
      <c r="AU9" s="2995"/>
      <c r="AW9" s="3595"/>
      <c r="AX9" s="3596">
        <f>SUM(AX10:AX110)</f>
        <v>971310.86999999988</v>
      </c>
      <c r="AY9" s="3596">
        <f>SUM(AY10:AY110)</f>
        <v>3570989.7299999995</v>
      </c>
      <c r="AZ9" s="3596">
        <f>SUM(AZ10:AZ110)</f>
        <v>1506458.9000000001</v>
      </c>
      <c r="BA9" s="3596">
        <f>SUM(BA10:BA110)</f>
        <v>3062719.75</v>
      </c>
      <c r="BB9" s="3596">
        <f>SUM(BB10:BB110)</f>
        <v>866530.23</v>
      </c>
      <c r="BC9" s="2983">
        <f>AY9+AZ9+BA9+BB9</f>
        <v>9006698.6099999994</v>
      </c>
    </row>
    <row r="10" spans="1:56" ht="25.5">
      <c r="A10" s="3265">
        <v>1</v>
      </c>
      <c r="B10" s="3547" t="s">
        <v>2705</v>
      </c>
      <c r="C10" s="3547" t="s">
        <v>2706</v>
      </c>
      <c r="D10" s="3547" t="s">
        <v>1268</v>
      </c>
      <c r="E10" s="3564">
        <v>16815.8</v>
      </c>
      <c r="F10" s="3565"/>
      <c r="G10" s="3564">
        <f t="shared" ref="G10:G44" si="0">E10</f>
        <v>16815.8</v>
      </c>
      <c r="H10" s="3565"/>
      <c r="I10" s="3565"/>
      <c r="J10" s="3565"/>
      <c r="K10" s="3565"/>
      <c r="L10" s="3647">
        <f>AQ10</f>
        <v>5</v>
      </c>
      <c r="M10" s="3566"/>
      <c r="N10" s="3565"/>
      <c r="O10" s="3565"/>
      <c r="P10" s="3567">
        <f t="shared" ref="P10:P40" si="1">L10-N10-O10</f>
        <v>5</v>
      </c>
      <c r="Q10" s="3568">
        <f>810</f>
        <v>810</v>
      </c>
      <c r="R10" s="3568">
        <v>1.06</v>
      </c>
      <c r="S10" s="3568">
        <f t="shared" ref="S10:S40" si="2">Q10*R10</f>
        <v>858.6</v>
      </c>
      <c r="T10" s="3569">
        <f>S10*AH10</f>
        <v>961.63200000000006</v>
      </c>
      <c r="U10" s="3567">
        <f t="shared" ref="U10:U40" si="3">T10*P10</f>
        <v>4808.16</v>
      </c>
      <c r="V10" s="3567"/>
      <c r="W10" s="3567">
        <f t="shared" ref="W10:W55" si="4">U10-V10</f>
        <v>4808.16</v>
      </c>
      <c r="X10" s="3570"/>
      <c r="Y10" s="3570"/>
      <c r="Z10" s="3567">
        <f t="shared" ref="Z10:Z25" si="5">Q10*$Z$4</f>
        <v>858.6</v>
      </c>
      <c r="AA10" s="3567">
        <f t="shared" ref="AA10:AA25" si="6">ROUND(P10*Z10,0)</f>
        <v>4293</v>
      </c>
      <c r="AB10" s="3567"/>
      <c r="AC10" s="3567">
        <f t="shared" ref="AC10:AC25" si="7">AA10-AB10</f>
        <v>4293</v>
      </c>
      <c r="AD10" s="3567">
        <f t="shared" ref="AD10:AD25" si="8">Z10*$AD$4</f>
        <v>901.53000000000009</v>
      </c>
      <c r="AE10" s="3567">
        <f t="shared" ref="AE10:AE25" si="9">ROUND(P10*AD10,0)</f>
        <v>4508</v>
      </c>
      <c r="AF10" s="3567"/>
      <c r="AG10" s="3571">
        <f t="shared" ref="AG10:AG25" si="10">AE10-AF10</f>
        <v>4508</v>
      </c>
      <c r="AH10" s="3571">
        <v>1.1200000000000001</v>
      </c>
      <c r="AI10" s="3004"/>
      <c r="AJ10" s="2995">
        <v>1.1200000000000001</v>
      </c>
      <c r="AK10" s="3004">
        <v>5</v>
      </c>
      <c r="AL10" s="3004">
        <f t="shared" ref="AL10:AL40" si="11">T10*AK10</f>
        <v>4808.16</v>
      </c>
      <c r="AM10" s="3004">
        <v>5</v>
      </c>
      <c r="AN10" s="3004">
        <f t="shared" ref="AN10:AN40" si="12">T10*AM10</f>
        <v>4808.16</v>
      </c>
      <c r="AO10" s="3004">
        <v>5</v>
      </c>
      <c r="AP10" s="3004">
        <f t="shared" ref="AP10:AP40" si="13">T10*AO10</f>
        <v>4808.16</v>
      </c>
      <c r="AQ10" s="3004">
        <v>5</v>
      </c>
      <c r="AR10" s="3004">
        <f>T10*AQ10</f>
        <v>4808.16</v>
      </c>
      <c r="AS10" s="2995" t="s">
        <v>2935</v>
      </c>
      <c r="AT10" s="2995"/>
      <c r="AU10" s="2995"/>
      <c r="AV10" s="2983">
        <f t="shared" ref="AV10:AV40" si="14">P10-AK10-AM10-AO10-AQ10</f>
        <v>-15</v>
      </c>
      <c r="AW10" s="3595">
        <f>ROUND(T10,2)</f>
        <v>961.63</v>
      </c>
      <c r="AX10" s="3595">
        <f t="shared" ref="AX10:AX41" si="15">ROUND(P10*AW10,2)</f>
        <v>4808.1499999999996</v>
      </c>
      <c r="AY10" s="3595">
        <f>ROUND(AK10*AW10,2)</f>
        <v>4808.1499999999996</v>
      </c>
      <c r="AZ10" s="3595">
        <f>ROUND(AM10*AW10,2)</f>
        <v>4808.1499999999996</v>
      </c>
      <c r="BA10" s="3595">
        <f>ROUND(AO10*AW10,2)</f>
        <v>4808.1499999999996</v>
      </c>
      <c r="BB10" s="3595">
        <f>ROUND(AQ10*AW10,2)</f>
        <v>4808.1499999999996</v>
      </c>
      <c r="BC10" s="2983">
        <f>AY10+AZ10+BB10+BA10</f>
        <v>19232.599999999999</v>
      </c>
      <c r="BD10" s="2983">
        <f>AX10-BC10</f>
        <v>-14424.449999999999</v>
      </c>
    </row>
    <row r="11" spans="1:56" ht="25.5">
      <c r="A11" s="3265">
        <v>2</v>
      </c>
      <c r="B11" s="3547" t="s">
        <v>2703</v>
      </c>
      <c r="C11" s="3547" t="s">
        <v>2704</v>
      </c>
      <c r="D11" s="3547" t="s">
        <v>1268</v>
      </c>
      <c r="E11" s="3564">
        <v>16815.8</v>
      </c>
      <c r="F11" s="3565"/>
      <c r="G11" s="3564">
        <f t="shared" si="0"/>
        <v>16815.8</v>
      </c>
      <c r="H11" s="3565"/>
      <c r="I11" s="3565"/>
      <c r="J11" s="3565"/>
      <c r="K11" s="3565"/>
      <c r="L11" s="3647">
        <f t="shared" ref="L11:L74" si="16">AQ11</f>
        <v>4</v>
      </c>
      <c r="M11" s="3566"/>
      <c r="N11" s="3565"/>
      <c r="O11" s="3565"/>
      <c r="P11" s="3567">
        <f t="shared" si="1"/>
        <v>4</v>
      </c>
      <c r="Q11" s="3568">
        <f>980</f>
        <v>980</v>
      </c>
      <c r="R11" s="3568">
        <v>1.06</v>
      </c>
      <c r="S11" s="3568">
        <f t="shared" si="2"/>
        <v>1038.8</v>
      </c>
      <c r="T11" s="3569">
        <f t="shared" ref="T11:T40" si="17">S11*AH11</f>
        <v>1163.4560000000001</v>
      </c>
      <c r="U11" s="3567">
        <f t="shared" si="3"/>
        <v>4653.8240000000005</v>
      </c>
      <c r="V11" s="3567"/>
      <c r="W11" s="3567">
        <f t="shared" si="4"/>
        <v>4653.8240000000005</v>
      </c>
      <c r="X11" s="3570"/>
      <c r="Y11" s="3570"/>
      <c r="Z11" s="3567">
        <f t="shared" si="5"/>
        <v>1038.8</v>
      </c>
      <c r="AA11" s="3567">
        <f t="shared" si="6"/>
        <v>4155</v>
      </c>
      <c r="AB11" s="3567"/>
      <c r="AC11" s="3567">
        <f t="shared" si="7"/>
        <v>4155</v>
      </c>
      <c r="AD11" s="3567">
        <f t="shared" si="8"/>
        <v>1090.74</v>
      </c>
      <c r="AE11" s="3567">
        <f t="shared" si="9"/>
        <v>4363</v>
      </c>
      <c r="AF11" s="3567"/>
      <c r="AG11" s="3571">
        <f t="shared" si="10"/>
        <v>4363</v>
      </c>
      <c r="AH11" s="3571">
        <v>1.1200000000000001</v>
      </c>
      <c r="AI11" s="3004"/>
      <c r="AJ11" s="2995">
        <v>1.1200000000000001</v>
      </c>
      <c r="AK11" s="3004">
        <v>4</v>
      </c>
      <c r="AL11" s="3004">
        <f t="shared" si="11"/>
        <v>4653.8240000000005</v>
      </c>
      <c r="AM11" s="3004">
        <v>3</v>
      </c>
      <c r="AN11" s="3004">
        <f t="shared" si="12"/>
        <v>3490.3680000000004</v>
      </c>
      <c r="AO11" s="3004">
        <v>4</v>
      </c>
      <c r="AP11" s="3004">
        <f t="shared" si="13"/>
        <v>4653.8240000000005</v>
      </c>
      <c r="AQ11" s="3004">
        <v>4</v>
      </c>
      <c r="AR11" s="3004">
        <f t="shared" ref="AR11:AR40" si="18">T11*AQ11</f>
        <v>4653.8240000000005</v>
      </c>
      <c r="AS11" s="2995" t="s">
        <v>2935</v>
      </c>
      <c r="AT11" s="2995"/>
      <c r="AU11" s="2995"/>
      <c r="AV11" s="2983">
        <f t="shared" si="14"/>
        <v>-11</v>
      </c>
      <c r="AW11" s="3595">
        <f t="shared" ref="AW11:AW73" si="19">ROUND(T11,2)</f>
        <v>1163.46</v>
      </c>
      <c r="AX11" s="3595">
        <f t="shared" si="15"/>
        <v>4653.84</v>
      </c>
      <c r="AY11" s="3595">
        <f t="shared" ref="AY11:AY73" si="20">ROUND(AK11*AW11,2)</f>
        <v>4653.84</v>
      </c>
      <c r="AZ11" s="3595">
        <f t="shared" ref="AZ11:AZ73" si="21">ROUND(AM11*AW11,2)</f>
        <v>3490.38</v>
      </c>
      <c r="BA11" s="3595">
        <f t="shared" ref="BA11:BA73" si="22">ROUND(AO11*AW11,2)</f>
        <v>4653.84</v>
      </c>
      <c r="BB11" s="3595">
        <f t="shared" ref="BB11:BB73" si="23">ROUND(AQ11*AW11,2)</f>
        <v>4653.84</v>
      </c>
      <c r="BC11" s="2983">
        <f t="shared" ref="BC11:BC73" si="24">AY11+AZ11+BB11+BA11</f>
        <v>17451.900000000001</v>
      </c>
      <c r="BD11" s="2983">
        <f t="shared" ref="BD11:BD73" si="25">AX11-BC11</f>
        <v>-12798.060000000001</v>
      </c>
    </row>
    <row r="12" spans="1:56" s="3411" customFormat="1" ht="12.75">
      <c r="A12" s="3616">
        <v>3</v>
      </c>
      <c r="B12" s="3617" t="s">
        <v>2936</v>
      </c>
      <c r="C12" s="3617" t="s">
        <v>2936</v>
      </c>
      <c r="D12" s="3617" t="s">
        <v>1022</v>
      </c>
      <c r="E12" s="3618">
        <v>16815.8</v>
      </c>
      <c r="F12" s="3619"/>
      <c r="G12" s="3618">
        <f t="shared" si="0"/>
        <v>16815.8</v>
      </c>
      <c r="H12" s="3619"/>
      <c r="I12" s="3619"/>
      <c r="J12" s="3619"/>
      <c r="K12" s="3619"/>
      <c r="L12" s="3647"/>
      <c r="M12" s="3620"/>
      <c r="N12" s="3619"/>
      <c r="O12" s="3619"/>
      <c r="P12" s="3621"/>
      <c r="Q12" s="3616"/>
      <c r="R12" s="3622">
        <v>1.06</v>
      </c>
      <c r="S12" s="3622">
        <f t="shared" si="2"/>
        <v>0</v>
      </c>
      <c r="T12" s="3623">
        <f t="shared" si="17"/>
        <v>0</v>
      </c>
      <c r="U12" s="3621">
        <f t="shared" si="3"/>
        <v>0</v>
      </c>
      <c r="V12" s="3621"/>
      <c r="W12" s="3621">
        <f t="shared" si="4"/>
        <v>0</v>
      </c>
      <c r="X12" s="3624">
        <v>1296</v>
      </c>
      <c r="Y12" s="3624">
        <v>1.07</v>
      </c>
      <c r="Z12" s="3621">
        <f t="shared" si="5"/>
        <v>0</v>
      </c>
      <c r="AA12" s="3621">
        <f t="shared" si="6"/>
        <v>0</v>
      </c>
      <c r="AB12" s="3621"/>
      <c r="AC12" s="3621">
        <f t="shared" si="7"/>
        <v>0</v>
      </c>
      <c r="AD12" s="3621">
        <f t="shared" si="8"/>
        <v>0</v>
      </c>
      <c r="AE12" s="3621">
        <f t="shared" si="9"/>
        <v>0</v>
      </c>
      <c r="AF12" s="3621"/>
      <c r="AG12" s="3625">
        <f t="shared" si="10"/>
        <v>0</v>
      </c>
      <c r="AH12" s="3625">
        <v>1.1200000000000001</v>
      </c>
      <c r="AI12" s="3626"/>
      <c r="AJ12" s="3409">
        <v>1.1200000000000001</v>
      </c>
      <c r="AK12" s="3626">
        <v>2</v>
      </c>
      <c r="AL12" s="3626">
        <f t="shared" si="11"/>
        <v>0</v>
      </c>
      <c r="AM12" s="3626">
        <v>2</v>
      </c>
      <c r="AN12" s="3626">
        <f t="shared" si="12"/>
        <v>0</v>
      </c>
      <c r="AO12" s="3626">
        <v>2</v>
      </c>
      <c r="AP12" s="3626">
        <f t="shared" si="13"/>
        <v>0</v>
      </c>
      <c r="AQ12" s="3626"/>
      <c r="AR12" s="3626">
        <f t="shared" si="18"/>
        <v>0</v>
      </c>
      <c r="AS12" s="3409"/>
      <c r="AT12" s="3409"/>
      <c r="AU12" s="3409"/>
      <c r="AV12" s="3411">
        <f t="shared" si="14"/>
        <v>-6</v>
      </c>
      <c r="AW12" s="3627">
        <f t="shared" si="19"/>
        <v>0</v>
      </c>
      <c r="AX12" s="3627">
        <f t="shared" si="15"/>
        <v>0</v>
      </c>
      <c r="AY12" s="3627">
        <f t="shared" si="20"/>
        <v>0</v>
      </c>
      <c r="AZ12" s="3627">
        <f t="shared" si="21"/>
        <v>0</v>
      </c>
      <c r="BA12" s="3627">
        <f t="shared" si="22"/>
        <v>0</v>
      </c>
      <c r="BB12" s="3627">
        <f t="shared" si="23"/>
        <v>0</v>
      </c>
      <c r="BC12" s="3411">
        <f t="shared" si="24"/>
        <v>0</v>
      </c>
      <c r="BD12" s="3411">
        <f t="shared" si="25"/>
        <v>0</v>
      </c>
    </row>
    <row r="13" spans="1:56" ht="25.5">
      <c r="A13" s="3265">
        <v>4</v>
      </c>
      <c r="B13" s="3548" t="s">
        <v>2937</v>
      </c>
      <c r="C13" s="3548" t="s">
        <v>2719</v>
      </c>
      <c r="D13" s="3548" t="s">
        <v>1022</v>
      </c>
      <c r="E13" s="3572">
        <v>16815.8</v>
      </c>
      <c r="F13" s="3549"/>
      <c r="G13" s="3572">
        <f t="shared" si="0"/>
        <v>16815.8</v>
      </c>
      <c r="H13" s="3549"/>
      <c r="I13" s="3573"/>
      <c r="J13" s="3573"/>
      <c r="K13" s="3549"/>
      <c r="L13" s="3647"/>
      <c r="M13" s="3574"/>
      <c r="N13" s="3549"/>
      <c r="O13" s="3549"/>
      <c r="P13" s="3549"/>
      <c r="Q13" s="3371"/>
      <c r="R13" s="3568"/>
      <c r="S13" s="3568"/>
      <c r="T13" s="3569"/>
      <c r="U13" s="3567"/>
      <c r="V13" s="3567"/>
      <c r="W13" s="3567"/>
      <c r="X13" s="3570"/>
      <c r="Y13" s="3570"/>
      <c r="Z13" s="3567"/>
      <c r="AA13" s="3567"/>
      <c r="AB13" s="3567"/>
      <c r="AC13" s="3567"/>
      <c r="AD13" s="3567"/>
      <c r="AE13" s="3567"/>
      <c r="AF13" s="3567"/>
      <c r="AG13" s="3571"/>
      <c r="AH13" s="3571"/>
      <c r="AI13" s="3004"/>
      <c r="AJ13" s="2995"/>
      <c r="AK13" s="3004"/>
      <c r="AL13" s="3004"/>
      <c r="AM13" s="3004"/>
      <c r="AN13" s="3004"/>
      <c r="AO13" s="3004"/>
      <c r="AP13" s="3004"/>
      <c r="AQ13" s="3004"/>
      <c r="AR13" s="3004"/>
      <c r="AS13" s="2995"/>
      <c r="AT13" s="2995"/>
      <c r="AU13" s="2995"/>
      <c r="AV13" s="2983">
        <f t="shared" si="14"/>
        <v>0</v>
      </c>
      <c r="AW13" s="3595">
        <f t="shared" si="19"/>
        <v>0</v>
      </c>
      <c r="AX13" s="3595">
        <f t="shared" si="15"/>
        <v>0</v>
      </c>
      <c r="AY13" s="3595">
        <f t="shared" si="20"/>
        <v>0</v>
      </c>
      <c r="AZ13" s="3595">
        <f t="shared" si="21"/>
        <v>0</v>
      </c>
      <c r="BA13" s="3595">
        <f t="shared" si="22"/>
        <v>0</v>
      </c>
      <c r="BB13" s="3595">
        <f t="shared" si="23"/>
        <v>0</v>
      </c>
      <c r="BC13" s="2983">
        <f t="shared" si="24"/>
        <v>0</v>
      </c>
      <c r="BD13" s="2983">
        <f t="shared" si="25"/>
        <v>0</v>
      </c>
    </row>
    <row r="14" spans="1:56" ht="12.75">
      <c r="A14" s="3265">
        <v>5</v>
      </c>
      <c r="B14" s="3548" t="s">
        <v>2727</v>
      </c>
      <c r="C14" s="3548" t="s">
        <v>2727</v>
      </c>
      <c r="D14" s="3548" t="s">
        <v>1268</v>
      </c>
      <c r="E14" s="3572">
        <v>16815.8</v>
      </c>
      <c r="F14" s="3573"/>
      <c r="G14" s="3572">
        <f t="shared" si="0"/>
        <v>16815.8</v>
      </c>
      <c r="H14" s="3573"/>
      <c r="I14" s="3573"/>
      <c r="J14" s="3573"/>
      <c r="K14" s="3573"/>
      <c r="L14" s="3647">
        <f t="shared" si="16"/>
        <v>6</v>
      </c>
      <c r="M14" s="3574"/>
      <c r="N14" s="3573"/>
      <c r="O14" s="3573"/>
      <c r="P14" s="3549">
        <f t="shared" si="1"/>
        <v>6</v>
      </c>
      <c r="Q14" s="3371">
        <f>800</f>
        <v>800</v>
      </c>
      <c r="R14" s="3568">
        <v>1.06</v>
      </c>
      <c r="S14" s="3568">
        <f t="shared" si="2"/>
        <v>848</v>
      </c>
      <c r="T14" s="3569">
        <f t="shared" si="17"/>
        <v>949.7600000000001</v>
      </c>
      <c r="U14" s="3567">
        <f t="shared" si="3"/>
        <v>5698.56</v>
      </c>
      <c r="V14" s="3567"/>
      <c r="W14" s="3567">
        <f t="shared" si="4"/>
        <v>5698.56</v>
      </c>
      <c r="X14" s="3570"/>
      <c r="Y14" s="3570"/>
      <c r="Z14" s="3567">
        <f t="shared" si="5"/>
        <v>848</v>
      </c>
      <c r="AA14" s="3567">
        <f t="shared" si="6"/>
        <v>5088</v>
      </c>
      <c r="AB14" s="3567"/>
      <c r="AC14" s="3567">
        <f t="shared" si="7"/>
        <v>5088</v>
      </c>
      <c r="AD14" s="3567">
        <f t="shared" si="8"/>
        <v>890.40000000000009</v>
      </c>
      <c r="AE14" s="3567">
        <f t="shared" si="9"/>
        <v>5342</v>
      </c>
      <c r="AF14" s="3567"/>
      <c r="AG14" s="3571">
        <f t="shared" si="10"/>
        <v>5342</v>
      </c>
      <c r="AH14" s="3571">
        <v>1.1200000000000001</v>
      </c>
      <c r="AI14" s="3004"/>
      <c r="AJ14" s="2995">
        <v>1.1200000000000001</v>
      </c>
      <c r="AK14" s="3004">
        <v>6</v>
      </c>
      <c r="AL14" s="3004">
        <f t="shared" si="11"/>
        <v>5698.56</v>
      </c>
      <c r="AM14" s="3004">
        <v>4</v>
      </c>
      <c r="AN14" s="3004">
        <f t="shared" si="12"/>
        <v>3799.0400000000004</v>
      </c>
      <c r="AO14" s="3004">
        <v>6</v>
      </c>
      <c r="AP14" s="3004">
        <f t="shared" si="13"/>
        <v>5698.56</v>
      </c>
      <c r="AQ14" s="3004">
        <v>6</v>
      </c>
      <c r="AR14" s="3004">
        <f t="shared" si="18"/>
        <v>5698.56</v>
      </c>
      <c r="AS14" s="2995"/>
      <c r="AT14" s="2995"/>
      <c r="AU14" s="2995"/>
      <c r="AV14" s="2983">
        <f t="shared" si="14"/>
        <v>-16</v>
      </c>
      <c r="AW14" s="3595">
        <f t="shared" si="19"/>
        <v>949.76</v>
      </c>
      <c r="AX14" s="3595">
        <f t="shared" si="15"/>
        <v>5698.56</v>
      </c>
      <c r="AY14" s="3595">
        <f t="shared" si="20"/>
        <v>5698.56</v>
      </c>
      <c r="AZ14" s="3595">
        <f t="shared" si="21"/>
        <v>3799.04</v>
      </c>
      <c r="BA14" s="3595">
        <f t="shared" si="22"/>
        <v>5698.56</v>
      </c>
      <c r="BB14" s="3595">
        <f t="shared" si="23"/>
        <v>5698.56</v>
      </c>
      <c r="BC14" s="2983">
        <f t="shared" si="24"/>
        <v>20894.72</v>
      </c>
      <c r="BD14" s="2983">
        <f t="shared" si="25"/>
        <v>-15196.16</v>
      </c>
    </row>
    <row r="15" spans="1:56" ht="12.75">
      <c r="A15" s="3616">
        <v>6</v>
      </c>
      <c r="B15" s="3548" t="s">
        <v>2728</v>
      </c>
      <c r="C15" s="3548" t="s">
        <v>2728</v>
      </c>
      <c r="D15" s="3548" t="s">
        <v>1268</v>
      </c>
      <c r="E15" s="3572">
        <v>16815.8</v>
      </c>
      <c r="F15" s="3549"/>
      <c r="G15" s="3572">
        <f t="shared" si="0"/>
        <v>16815.8</v>
      </c>
      <c r="H15" s="3549"/>
      <c r="I15" s="3573"/>
      <c r="J15" s="3573"/>
      <c r="K15" s="3549"/>
      <c r="L15" s="3647">
        <f t="shared" si="16"/>
        <v>6</v>
      </c>
      <c r="M15" s="3549"/>
      <c r="N15" s="3549"/>
      <c r="O15" s="3549"/>
      <c r="P15" s="3549">
        <f t="shared" si="1"/>
        <v>6</v>
      </c>
      <c r="Q15" s="3577">
        <f>1000</f>
        <v>1000</v>
      </c>
      <c r="R15" s="3568">
        <v>1.06</v>
      </c>
      <c r="S15" s="3568">
        <f t="shared" si="2"/>
        <v>1060</v>
      </c>
      <c r="T15" s="3569">
        <f t="shared" si="17"/>
        <v>1187.2</v>
      </c>
      <c r="U15" s="3567">
        <f t="shared" si="3"/>
        <v>7123.2000000000007</v>
      </c>
      <c r="V15" s="3567"/>
      <c r="W15" s="3567">
        <f t="shared" si="4"/>
        <v>7123.2000000000007</v>
      </c>
      <c r="X15" s="3570"/>
      <c r="Y15" s="3570"/>
      <c r="Z15" s="3567">
        <f t="shared" si="5"/>
        <v>1060</v>
      </c>
      <c r="AA15" s="3567">
        <f t="shared" si="6"/>
        <v>6360</v>
      </c>
      <c r="AB15" s="3567"/>
      <c r="AC15" s="3567">
        <f t="shared" si="7"/>
        <v>6360</v>
      </c>
      <c r="AD15" s="3567">
        <f t="shared" si="8"/>
        <v>1113</v>
      </c>
      <c r="AE15" s="3567">
        <f t="shared" si="9"/>
        <v>6678</v>
      </c>
      <c r="AF15" s="3567"/>
      <c r="AG15" s="3571">
        <f t="shared" si="10"/>
        <v>6678</v>
      </c>
      <c r="AH15" s="3571">
        <v>1.1200000000000001</v>
      </c>
      <c r="AI15" s="3004"/>
      <c r="AJ15" s="2995">
        <v>1.1200000000000001</v>
      </c>
      <c r="AK15" s="3004">
        <v>5</v>
      </c>
      <c r="AL15" s="3004">
        <f t="shared" si="11"/>
        <v>5936</v>
      </c>
      <c r="AM15" s="3004">
        <v>5</v>
      </c>
      <c r="AN15" s="3004">
        <f t="shared" si="12"/>
        <v>5936</v>
      </c>
      <c r="AO15" s="3004">
        <v>5</v>
      </c>
      <c r="AP15" s="3004">
        <f t="shared" si="13"/>
        <v>5936</v>
      </c>
      <c r="AQ15" s="3004">
        <v>6</v>
      </c>
      <c r="AR15" s="3004">
        <f t="shared" si="18"/>
        <v>7123.2000000000007</v>
      </c>
      <c r="AS15" s="2995"/>
      <c r="AT15" s="2995"/>
      <c r="AU15" s="2995"/>
      <c r="AV15" s="2983">
        <f t="shared" si="14"/>
        <v>-15</v>
      </c>
      <c r="AW15" s="3595">
        <f t="shared" si="19"/>
        <v>1187.2</v>
      </c>
      <c r="AX15" s="3595">
        <f t="shared" si="15"/>
        <v>7123.2</v>
      </c>
      <c r="AY15" s="3595">
        <f t="shared" si="20"/>
        <v>5936</v>
      </c>
      <c r="AZ15" s="3595">
        <f t="shared" si="21"/>
        <v>5936</v>
      </c>
      <c r="BA15" s="3595">
        <f t="shared" si="22"/>
        <v>5936</v>
      </c>
      <c r="BB15" s="3595">
        <f t="shared" si="23"/>
        <v>7123.2</v>
      </c>
      <c r="BC15" s="2983">
        <f t="shared" si="24"/>
        <v>24931.200000000001</v>
      </c>
      <c r="BD15" s="2983">
        <f t="shared" si="25"/>
        <v>-17808</v>
      </c>
    </row>
    <row r="16" spans="1:56" ht="12.75" hidden="1">
      <c r="A16" s="3265">
        <v>7</v>
      </c>
      <c r="B16" s="3548" t="s">
        <v>2938</v>
      </c>
      <c r="C16" s="3548" t="s">
        <v>2939</v>
      </c>
      <c r="D16" s="3548" t="s">
        <v>1022</v>
      </c>
      <c r="E16" s="3572">
        <v>16815.8</v>
      </c>
      <c r="F16" s="3573"/>
      <c r="G16" s="3572">
        <f t="shared" si="0"/>
        <v>16815.8</v>
      </c>
      <c r="H16" s="3573"/>
      <c r="I16" s="3573"/>
      <c r="J16" s="3573"/>
      <c r="K16" s="3573"/>
      <c r="L16" s="3647">
        <f t="shared" si="16"/>
        <v>0</v>
      </c>
      <c r="M16" s="3574"/>
      <c r="N16" s="3573"/>
      <c r="O16" s="3573"/>
      <c r="P16" s="3549">
        <f t="shared" si="1"/>
        <v>0</v>
      </c>
      <c r="Q16" s="3577">
        <f>5500</f>
        <v>5500</v>
      </c>
      <c r="R16" s="3568">
        <v>1.06</v>
      </c>
      <c r="S16" s="3568">
        <f t="shared" si="2"/>
        <v>5830</v>
      </c>
      <c r="T16" s="3569">
        <f t="shared" si="17"/>
        <v>6529.6</v>
      </c>
      <c r="U16" s="3567">
        <f t="shared" si="3"/>
        <v>0</v>
      </c>
      <c r="V16" s="3567"/>
      <c r="W16" s="3567">
        <f t="shared" si="4"/>
        <v>0</v>
      </c>
      <c r="X16" s="3570"/>
      <c r="Y16" s="3570"/>
      <c r="Z16" s="3567">
        <f t="shared" si="5"/>
        <v>5830</v>
      </c>
      <c r="AA16" s="3567">
        <f t="shared" si="6"/>
        <v>0</v>
      </c>
      <c r="AB16" s="3567"/>
      <c r="AC16" s="3567">
        <f t="shared" si="7"/>
        <v>0</v>
      </c>
      <c r="AD16" s="3567">
        <f t="shared" si="8"/>
        <v>6121.5</v>
      </c>
      <c r="AE16" s="3567">
        <f t="shared" si="9"/>
        <v>0</v>
      </c>
      <c r="AF16" s="3567"/>
      <c r="AG16" s="3571">
        <f t="shared" si="10"/>
        <v>0</v>
      </c>
      <c r="AH16" s="3571">
        <v>1.1200000000000001</v>
      </c>
      <c r="AI16" s="3004"/>
      <c r="AJ16" s="2995">
        <v>1.1200000000000001</v>
      </c>
      <c r="AK16" s="3004">
        <v>4</v>
      </c>
      <c r="AL16" s="3004">
        <f t="shared" si="11"/>
        <v>26118.400000000001</v>
      </c>
      <c r="AM16" s="3004">
        <v>2</v>
      </c>
      <c r="AN16" s="3004">
        <f t="shared" si="12"/>
        <v>13059.2</v>
      </c>
      <c r="AO16" s="3004">
        <v>4</v>
      </c>
      <c r="AP16" s="3004">
        <f t="shared" si="13"/>
        <v>26118.400000000001</v>
      </c>
      <c r="AQ16" s="3004"/>
      <c r="AR16" s="3004">
        <f t="shared" si="18"/>
        <v>0</v>
      </c>
      <c r="AS16" s="2995"/>
      <c r="AT16" s="2995"/>
      <c r="AU16" s="2995"/>
      <c r="AV16" s="2983">
        <f t="shared" si="14"/>
        <v>-10</v>
      </c>
      <c r="AW16" s="3595">
        <f t="shared" si="19"/>
        <v>6529.6</v>
      </c>
      <c r="AX16" s="3595">
        <f t="shared" si="15"/>
        <v>0</v>
      </c>
      <c r="AY16" s="3595">
        <f t="shared" si="20"/>
        <v>26118.400000000001</v>
      </c>
      <c r="AZ16" s="3595">
        <f t="shared" si="21"/>
        <v>13059.2</v>
      </c>
      <c r="BA16" s="3595">
        <f t="shared" si="22"/>
        <v>26118.400000000001</v>
      </c>
      <c r="BB16" s="3595">
        <f t="shared" si="23"/>
        <v>0</v>
      </c>
      <c r="BC16" s="2983">
        <f t="shared" si="24"/>
        <v>65296.000000000007</v>
      </c>
      <c r="BD16" s="2983">
        <f t="shared" si="25"/>
        <v>-65296.000000000007</v>
      </c>
    </row>
    <row r="17" spans="1:56" ht="25.5">
      <c r="A17" s="3265">
        <v>7</v>
      </c>
      <c r="B17" s="3548" t="s">
        <v>2730</v>
      </c>
      <c r="C17" s="3548" t="s">
        <v>2730</v>
      </c>
      <c r="D17" s="3548" t="s">
        <v>1268</v>
      </c>
      <c r="E17" s="3572">
        <v>16815.8</v>
      </c>
      <c r="F17" s="3371"/>
      <c r="G17" s="3572">
        <f t="shared" si="0"/>
        <v>16815.8</v>
      </c>
      <c r="H17" s="3549"/>
      <c r="I17" s="3549"/>
      <c r="J17" s="3549"/>
      <c r="K17" s="3549"/>
      <c r="L17" s="3647">
        <v>12</v>
      </c>
      <c r="M17" s="3549"/>
      <c r="N17" s="3549"/>
      <c r="O17" s="3549"/>
      <c r="P17" s="3549">
        <f t="shared" si="1"/>
        <v>12</v>
      </c>
      <c r="Q17" s="3390">
        <v>1800</v>
      </c>
      <c r="R17" s="3568">
        <v>1.06</v>
      </c>
      <c r="S17" s="3568">
        <f t="shared" si="2"/>
        <v>1908</v>
      </c>
      <c r="T17" s="3569">
        <f t="shared" si="17"/>
        <v>2136.96</v>
      </c>
      <c r="U17" s="3567">
        <f t="shared" si="3"/>
        <v>25643.52</v>
      </c>
      <c r="V17" s="3549"/>
      <c r="W17" s="3549">
        <f t="shared" si="4"/>
        <v>25643.52</v>
      </c>
      <c r="X17" s="3578"/>
      <c r="Y17" s="3578"/>
      <c r="Z17" s="3549">
        <f t="shared" si="5"/>
        <v>1908</v>
      </c>
      <c r="AA17" s="3549">
        <f t="shared" si="6"/>
        <v>22896</v>
      </c>
      <c r="AB17" s="3549"/>
      <c r="AC17" s="3549">
        <f t="shared" si="7"/>
        <v>22896</v>
      </c>
      <c r="AD17" s="3549">
        <f t="shared" si="8"/>
        <v>2003.4</v>
      </c>
      <c r="AE17" s="3549">
        <f t="shared" si="9"/>
        <v>24041</v>
      </c>
      <c r="AF17" s="3549"/>
      <c r="AG17" s="3576">
        <f t="shared" si="10"/>
        <v>24041</v>
      </c>
      <c r="AH17" s="3571">
        <v>1.1200000000000001</v>
      </c>
      <c r="AI17" s="3004"/>
      <c r="AJ17" s="2995">
        <v>1.1200000000000001</v>
      </c>
      <c r="AK17" s="3004">
        <v>6</v>
      </c>
      <c r="AL17" s="3004">
        <f t="shared" si="11"/>
        <v>12821.76</v>
      </c>
      <c r="AM17" s="3004">
        <v>6</v>
      </c>
      <c r="AN17" s="3004">
        <f t="shared" si="12"/>
        <v>12821.76</v>
      </c>
      <c r="AO17" s="3004">
        <v>6</v>
      </c>
      <c r="AP17" s="3004">
        <f t="shared" si="13"/>
        <v>12821.76</v>
      </c>
      <c r="AQ17" s="3004">
        <v>12</v>
      </c>
      <c r="AR17" s="3004">
        <f t="shared" si="18"/>
        <v>25643.52</v>
      </c>
      <c r="AS17" s="2995"/>
      <c r="AT17" s="2995"/>
      <c r="AU17" s="2995"/>
      <c r="AV17" s="2983">
        <f t="shared" si="14"/>
        <v>-18</v>
      </c>
      <c r="AW17" s="3595">
        <f t="shared" si="19"/>
        <v>2136.96</v>
      </c>
      <c r="AX17" s="3595">
        <f t="shared" si="15"/>
        <v>25643.52</v>
      </c>
      <c r="AY17" s="3595">
        <f t="shared" si="20"/>
        <v>12821.76</v>
      </c>
      <c r="AZ17" s="3595">
        <f t="shared" si="21"/>
        <v>12821.76</v>
      </c>
      <c r="BA17" s="3595">
        <f t="shared" si="22"/>
        <v>12821.76</v>
      </c>
      <c r="BB17" s="3595">
        <f t="shared" si="23"/>
        <v>25643.52</v>
      </c>
      <c r="BC17" s="2983">
        <f t="shared" si="24"/>
        <v>64108.800000000003</v>
      </c>
      <c r="BD17" s="2983">
        <f t="shared" si="25"/>
        <v>-38465.279999999999</v>
      </c>
    </row>
    <row r="18" spans="1:56" ht="15" hidden="1" customHeight="1">
      <c r="A18" s="3616">
        <v>9</v>
      </c>
      <c r="B18" s="3548" t="s">
        <v>2940</v>
      </c>
      <c r="C18" s="3548" t="s">
        <v>2941</v>
      </c>
      <c r="D18" s="3548" t="s">
        <v>2887</v>
      </c>
      <c r="E18" s="3572">
        <v>16815.8</v>
      </c>
      <c r="F18" s="3549"/>
      <c r="G18" s="3572">
        <f t="shared" si="0"/>
        <v>16815.8</v>
      </c>
      <c r="H18" s="3549"/>
      <c r="I18" s="3573"/>
      <c r="J18" s="3573"/>
      <c r="K18" s="3549"/>
      <c r="L18" s="3647">
        <f t="shared" si="16"/>
        <v>0</v>
      </c>
      <c r="M18" s="3574"/>
      <c r="N18" s="3549"/>
      <c r="O18" s="3549"/>
      <c r="P18" s="3549">
        <f t="shared" si="1"/>
        <v>0</v>
      </c>
      <c r="Q18" s="3577">
        <f>1700</f>
        <v>1700</v>
      </c>
      <c r="R18" s="3568">
        <v>1.06</v>
      </c>
      <c r="S18" s="3568">
        <f t="shared" si="2"/>
        <v>1802</v>
      </c>
      <c r="T18" s="3569">
        <f t="shared" si="17"/>
        <v>2018.2400000000002</v>
      </c>
      <c r="U18" s="3567">
        <f t="shared" si="3"/>
        <v>0</v>
      </c>
      <c r="V18" s="3567"/>
      <c r="W18" s="3567">
        <f t="shared" si="4"/>
        <v>0</v>
      </c>
      <c r="X18" s="3570"/>
      <c r="Y18" s="3570"/>
      <c r="Z18" s="3567">
        <f t="shared" si="5"/>
        <v>1802</v>
      </c>
      <c r="AA18" s="3567">
        <f t="shared" si="6"/>
        <v>0</v>
      </c>
      <c r="AB18" s="3567"/>
      <c r="AC18" s="3567">
        <f t="shared" si="7"/>
        <v>0</v>
      </c>
      <c r="AD18" s="3567">
        <f t="shared" si="8"/>
        <v>1892.1000000000001</v>
      </c>
      <c r="AE18" s="3567">
        <f t="shared" si="9"/>
        <v>0</v>
      </c>
      <c r="AF18" s="3567"/>
      <c r="AG18" s="3571">
        <f t="shared" si="10"/>
        <v>0</v>
      </c>
      <c r="AH18" s="3571">
        <v>1.1200000000000001</v>
      </c>
      <c r="AI18" s="3004"/>
      <c r="AJ18" s="2995">
        <v>1.1200000000000001</v>
      </c>
      <c r="AK18" s="3004">
        <v>5</v>
      </c>
      <c r="AL18" s="3004">
        <f t="shared" si="11"/>
        <v>10091.200000000001</v>
      </c>
      <c r="AM18" s="3004">
        <v>5</v>
      </c>
      <c r="AN18" s="3004">
        <f t="shared" si="12"/>
        <v>10091.200000000001</v>
      </c>
      <c r="AO18" s="3004">
        <v>5</v>
      </c>
      <c r="AP18" s="3004">
        <f t="shared" si="13"/>
        <v>10091.200000000001</v>
      </c>
      <c r="AQ18" s="3004"/>
      <c r="AR18" s="3004">
        <f t="shared" si="18"/>
        <v>0</v>
      </c>
      <c r="AS18" s="2995"/>
      <c r="AT18" s="2995"/>
      <c r="AU18" s="2995"/>
      <c r="AV18" s="2983">
        <f t="shared" si="14"/>
        <v>-15</v>
      </c>
      <c r="AW18" s="3595">
        <f t="shared" si="19"/>
        <v>2018.24</v>
      </c>
      <c r="AX18" s="3595">
        <f t="shared" si="15"/>
        <v>0</v>
      </c>
      <c r="AY18" s="3595">
        <f t="shared" si="20"/>
        <v>10091.200000000001</v>
      </c>
      <c r="AZ18" s="3595">
        <f t="shared" si="21"/>
        <v>10091.200000000001</v>
      </c>
      <c r="BA18" s="3595">
        <f t="shared" si="22"/>
        <v>10091.200000000001</v>
      </c>
      <c r="BB18" s="3595">
        <f t="shared" si="23"/>
        <v>0</v>
      </c>
      <c r="BC18" s="2983">
        <f t="shared" si="24"/>
        <v>30273.600000000002</v>
      </c>
      <c r="BD18" s="2983">
        <f t="shared" si="25"/>
        <v>-30273.600000000002</v>
      </c>
    </row>
    <row r="19" spans="1:56" ht="12.75" hidden="1">
      <c r="A19" s="3265">
        <v>10</v>
      </c>
      <c r="B19" s="3548" t="s">
        <v>2856</v>
      </c>
      <c r="C19" s="3548" t="s">
        <v>2857</v>
      </c>
      <c r="D19" s="3548" t="s">
        <v>1022</v>
      </c>
      <c r="E19" s="3572">
        <v>16815.8</v>
      </c>
      <c r="F19" s="3549"/>
      <c r="G19" s="3572">
        <f t="shared" si="0"/>
        <v>16815.8</v>
      </c>
      <c r="H19" s="3549"/>
      <c r="I19" s="3573"/>
      <c r="J19" s="3573"/>
      <c r="K19" s="3549"/>
      <c r="L19" s="3647">
        <f t="shared" si="16"/>
        <v>0</v>
      </c>
      <c r="M19" s="3549"/>
      <c r="N19" s="3549"/>
      <c r="O19" s="3549"/>
      <c r="P19" s="3549">
        <v>143</v>
      </c>
      <c r="Q19" s="3577">
        <f>1800</f>
        <v>1800</v>
      </c>
      <c r="R19" s="3568">
        <v>1.06</v>
      </c>
      <c r="S19" s="3568">
        <f t="shared" si="2"/>
        <v>1908</v>
      </c>
      <c r="T19" s="3569">
        <f t="shared" si="17"/>
        <v>2136.96</v>
      </c>
      <c r="U19" s="3567">
        <f t="shared" si="3"/>
        <v>305585.28000000003</v>
      </c>
      <c r="V19" s="3567"/>
      <c r="W19" s="3567">
        <f t="shared" si="4"/>
        <v>305585.28000000003</v>
      </c>
      <c r="X19" s="3579"/>
      <c r="Y19" s="3570"/>
      <c r="Z19" s="3567">
        <f t="shared" si="5"/>
        <v>1908</v>
      </c>
      <c r="AA19" s="3567">
        <f t="shared" si="6"/>
        <v>272844</v>
      </c>
      <c r="AB19" s="3567"/>
      <c r="AC19" s="3567">
        <f t="shared" si="7"/>
        <v>272844</v>
      </c>
      <c r="AD19" s="3567">
        <f t="shared" si="8"/>
        <v>2003.4</v>
      </c>
      <c r="AE19" s="3567">
        <f t="shared" si="9"/>
        <v>286486</v>
      </c>
      <c r="AF19" s="3567"/>
      <c r="AG19" s="3571">
        <f t="shared" si="10"/>
        <v>286486</v>
      </c>
      <c r="AH19" s="3571">
        <v>1.1200000000000001</v>
      </c>
      <c r="AI19" s="3004"/>
      <c r="AJ19" s="2995">
        <v>1.1200000000000001</v>
      </c>
      <c r="AK19" s="3004">
        <v>72</v>
      </c>
      <c r="AL19" s="3004">
        <f t="shared" si="11"/>
        <v>153861.12</v>
      </c>
      <c r="AM19" s="3004">
        <v>71</v>
      </c>
      <c r="AN19" s="3004">
        <f t="shared" si="12"/>
        <v>151724.16</v>
      </c>
      <c r="AO19" s="3004"/>
      <c r="AP19" s="3004">
        <f t="shared" si="13"/>
        <v>0</v>
      </c>
      <c r="AQ19" s="3004"/>
      <c r="AR19" s="3004">
        <f t="shared" si="18"/>
        <v>0</v>
      </c>
      <c r="AS19" s="2995"/>
      <c r="AT19" s="2995"/>
      <c r="AU19" s="2995"/>
      <c r="AV19" s="2983">
        <f t="shared" si="14"/>
        <v>0</v>
      </c>
      <c r="AW19" s="3595">
        <f t="shared" si="19"/>
        <v>2136.96</v>
      </c>
      <c r="AX19" s="3595">
        <f t="shared" si="15"/>
        <v>305585.28000000003</v>
      </c>
      <c r="AY19" s="3595">
        <f t="shared" si="20"/>
        <v>153861.12</v>
      </c>
      <c r="AZ19" s="3595">
        <f t="shared" si="21"/>
        <v>151724.16</v>
      </c>
      <c r="BA19" s="3595">
        <f t="shared" si="22"/>
        <v>0</v>
      </c>
      <c r="BB19" s="3595">
        <f t="shared" si="23"/>
        <v>0</v>
      </c>
      <c r="BC19" s="2983">
        <f t="shared" si="24"/>
        <v>305585.28000000003</v>
      </c>
      <c r="BD19" s="2983">
        <f t="shared" si="25"/>
        <v>0</v>
      </c>
    </row>
    <row r="20" spans="1:56" ht="12.75">
      <c r="A20" s="3265">
        <v>8</v>
      </c>
      <c r="B20" s="3548" t="s">
        <v>2738</v>
      </c>
      <c r="C20" s="3548" t="s">
        <v>2739</v>
      </c>
      <c r="D20" s="3548" t="s">
        <v>1268</v>
      </c>
      <c r="E20" s="3572">
        <v>16815.8</v>
      </c>
      <c r="F20" s="3549"/>
      <c r="G20" s="3572">
        <f t="shared" si="0"/>
        <v>16815.8</v>
      </c>
      <c r="H20" s="3549"/>
      <c r="I20" s="3573"/>
      <c r="J20" s="3573"/>
      <c r="K20" s="3549"/>
      <c r="L20" s="3647">
        <f t="shared" si="16"/>
        <v>1</v>
      </c>
      <c r="M20" s="3574"/>
      <c r="N20" s="3549"/>
      <c r="O20" s="3549"/>
      <c r="P20" s="3549">
        <f t="shared" si="1"/>
        <v>1</v>
      </c>
      <c r="Q20" s="3577">
        <f>2500</f>
        <v>2500</v>
      </c>
      <c r="R20" s="3568">
        <v>1.06</v>
      </c>
      <c r="S20" s="3568">
        <f t="shared" si="2"/>
        <v>2650</v>
      </c>
      <c r="T20" s="3569">
        <f t="shared" si="17"/>
        <v>2968.0000000000005</v>
      </c>
      <c r="U20" s="3567">
        <f t="shared" si="3"/>
        <v>2968.0000000000005</v>
      </c>
      <c r="V20" s="3567"/>
      <c r="W20" s="3567">
        <f t="shared" si="4"/>
        <v>2968.0000000000005</v>
      </c>
      <c r="X20" s="3570"/>
      <c r="Y20" s="3570"/>
      <c r="Z20" s="3567">
        <f t="shared" si="5"/>
        <v>2650</v>
      </c>
      <c r="AA20" s="3567">
        <f t="shared" si="6"/>
        <v>2650</v>
      </c>
      <c r="AB20" s="3567"/>
      <c r="AC20" s="3567">
        <f t="shared" si="7"/>
        <v>2650</v>
      </c>
      <c r="AD20" s="3567">
        <f t="shared" si="8"/>
        <v>2782.5</v>
      </c>
      <c r="AE20" s="3567">
        <f t="shared" si="9"/>
        <v>2783</v>
      </c>
      <c r="AF20" s="3567"/>
      <c r="AG20" s="3571">
        <f t="shared" si="10"/>
        <v>2783</v>
      </c>
      <c r="AH20" s="3571">
        <v>1.1200000000000001</v>
      </c>
      <c r="AI20" s="3004"/>
      <c r="AJ20" s="2995">
        <v>1.1200000000000001</v>
      </c>
      <c r="AK20" s="3004"/>
      <c r="AL20" s="3004">
        <f t="shared" si="11"/>
        <v>0</v>
      </c>
      <c r="AM20" s="3004"/>
      <c r="AN20" s="3004">
        <f t="shared" si="12"/>
        <v>0</v>
      </c>
      <c r="AO20" s="3004"/>
      <c r="AP20" s="3004">
        <f t="shared" si="13"/>
        <v>0</v>
      </c>
      <c r="AQ20" s="3004">
        <v>1</v>
      </c>
      <c r="AR20" s="3004">
        <f t="shared" si="18"/>
        <v>2968.0000000000005</v>
      </c>
      <c r="AS20" s="2995"/>
      <c r="AT20" s="2995"/>
      <c r="AU20" s="2995"/>
      <c r="AV20" s="2983">
        <f t="shared" si="14"/>
        <v>0</v>
      </c>
      <c r="AW20" s="3595">
        <f t="shared" si="19"/>
        <v>2968</v>
      </c>
      <c r="AX20" s="3595">
        <f t="shared" si="15"/>
        <v>2968</v>
      </c>
      <c r="AY20" s="3595">
        <f t="shared" si="20"/>
        <v>0</v>
      </c>
      <c r="AZ20" s="3595">
        <f t="shared" si="21"/>
        <v>0</v>
      </c>
      <c r="BA20" s="3595">
        <f t="shared" si="22"/>
        <v>0</v>
      </c>
      <c r="BB20" s="3595">
        <f t="shared" si="23"/>
        <v>2968</v>
      </c>
      <c r="BC20" s="2983">
        <f t="shared" si="24"/>
        <v>2968</v>
      </c>
      <c r="BD20" s="2983">
        <f t="shared" si="25"/>
        <v>0</v>
      </c>
    </row>
    <row r="21" spans="1:56" ht="12.75" hidden="1">
      <c r="A21" s="3616">
        <v>12</v>
      </c>
      <c r="B21" s="3548" t="s">
        <v>2738</v>
      </c>
      <c r="C21" s="3548" t="s">
        <v>2740</v>
      </c>
      <c r="D21" s="3548" t="s">
        <v>1022</v>
      </c>
      <c r="E21" s="3572">
        <v>16815.8</v>
      </c>
      <c r="F21" s="3573"/>
      <c r="G21" s="3572">
        <f t="shared" si="0"/>
        <v>16815.8</v>
      </c>
      <c r="H21" s="3573"/>
      <c r="I21" s="3573"/>
      <c r="J21" s="3573"/>
      <c r="K21" s="3573"/>
      <c r="L21" s="3647">
        <f t="shared" si="16"/>
        <v>0</v>
      </c>
      <c r="M21" s="3574"/>
      <c r="N21" s="3573"/>
      <c r="O21" s="3573"/>
      <c r="P21" s="3549">
        <f t="shared" si="1"/>
        <v>0</v>
      </c>
      <c r="Q21" s="3580">
        <f>2200</f>
        <v>2200</v>
      </c>
      <c r="R21" s="3568">
        <v>1.06</v>
      </c>
      <c r="S21" s="3568">
        <f t="shared" si="2"/>
        <v>2332</v>
      </c>
      <c r="T21" s="3569">
        <f t="shared" si="17"/>
        <v>2611.84</v>
      </c>
      <c r="U21" s="3567">
        <f t="shared" si="3"/>
        <v>0</v>
      </c>
      <c r="V21" s="3549"/>
      <c r="W21" s="3549">
        <f t="shared" si="4"/>
        <v>0</v>
      </c>
      <c r="X21" s="3575">
        <v>64260</v>
      </c>
      <c r="Y21" s="3575">
        <v>1.07</v>
      </c>
      <c r="Z21" s="3549">
        <f t="shared" si="5"/>
        <v>2332</v>
      </c>
      <c r="AA21" s="3549">
        <f t="shared" si="6"/>
        <v>0</v>
      </c>
      <c r="AB21" s="3549"/>
      <c r="AC21" s="3549">
        <f t="shared" si="7"/>
        <v>0</v>
      </c>
      <c r="AD21" s="3549">
        <f t="shared" si="8"/>
        <v>2448.6</v>
      </c>
      <c r="AE21" s="3549">
        <f t="shared" si="9"/>
        <v>0</v>
      </c>
      <c r="AF21" s="3549"/>
      <c r="AG21" s="3576">
        <f t="shared" si="10"/>
        <v>0</v>
      </c>
      <c r="AH21" s="3571">
        <v>1.1200000000000001</v>
      </c>
      <c r="AI21" s="3004"/>
      <c r="AJ21" s="2995">
        <v>1.1200000000000001</v>
      </c>
      <c r="AK21" s="3004">
        <v>1</v>
      </c>
      <c r="AL21" s="3004">
        <f t="shared" si="11"/>
        <v>2611.84</v>
      </c>
      <c r="AM21" s="3004"/>
      <c r="AN21" s="3004">
        <f t="shared" si="12"/>
        <v>0</v>
      </c>
      <c r="AO21" s="3004">
        <v>1</v>
      </c>
      <c r="AP21" s="3004">
        <f t="shared" si="13"/>
        <v>2611.84</v>
      </c>
      <c r="AQ21" s="3004"/>
      <c r="AR21" s="3004">
        <f t="shared" si="18"/>
        <v>0</v>
      </c>
      <c r="AS21" s="2995"/>
      <c r="AT21" s="2995"/>
      <c r="AU21" s="2995"/>
      <c r="AV21" s="2983">
        <f t="shared" si="14"/>
        <v>-2</v>
      </c>
      <c r="AW21" s="3595">
        <f t="shared" si="19"/>
        <v>2611.84</v>
      </c>
      <c r="AX21" s="3595">
        <f t="shared" si="15"/>
        <v>0</v>
      </c>
      <c r="AY21" s="3595">
        <f t="shared" si="20"/>
        <v>2611.84</v>
      </c>
      <c r="AZ21" s="3595">
        <f t="shared" si="21"/>
        <v>0</v>
      </c>
      <c r="BA21" s="3595">
        <f t="shared" si="22"/>
        <v>2611.84</v>
      </c>
      <c r="BB21" s="3595">
        <f t="shared" si="23"/>
        <v>0</v>
      </c>
      <c r="BC21" s="2983">
        <f t="shared" si="24"/>
        <v>5223.68</v>
      </c>
      <c r="BD21" s="2983">
        <f t="shared" si="25"/>
        <v>-5223.68</v>
      </c>
    </row>
    <row r="22" spans="1:56" ht="12.75">
      <c r="A22" s="3265">
        <v>9</v>
      </c>
      <c r="B22" s="3548" t="s">
        <v>2412</v>
      </c>
      <c r="C22" s="3548" t="s">
        <v>2734</v>
      </c>
      <c r="D22" s="3548" t="s">
        <v>1022</v>
      </c>
      <c r="E22" s="3572">
        <v>16815.8</v>
      </c>
      <c r="F22" s="3549"/>
      <c r="G22" s="3572">
        <f t="shared" si="0"/>
        <v>16815.8</v>
      </c>
      <c r="H22" s="3549"/>
      <c r="I22" s="3573"/>
      <c r="J22" s="3573"/>
      <c r="K22" s="3549"/>
      <c r="L22" s="3647">
        <f t="shared" si="16"/>
        <v>1</v>
      </c>
      <c r="M22" s="3574"/>
      <c r="N22" s="3549"/>
      <c r="O22" s="3549"/>
      <c r="P22" s="3549">
        <f t="shared" si="1"/>
        <v>1</v>
      </c>
      <c r="Q22" s="3577">
        <f>1000</f>
        <v>1000</v>
      </c>
      <c r="R22" s="3568">
        <v>1.06</v>
      </c>
      <c r="S22" s="3568">
        <f t="shared" si="2"/>
        <v>1060</v>
      </c>
      <c r="T22" s="3569">
        <f t="shared" si="17"/>
        <v>1187.2</v>
      </c>
      <c r="U22" s="3567">
        <f t="shared" si="3"/>
        <v>1187.2</v>
      </c>
      <c r="V22" s="3567"/>
      <c r="W22" s="3567">
        <f t="shared" si="4"/>
        <v>1187.2</v>
      </c>
      <c r="X22" s="3570"/>
      <c r="Y22" s="3570"/>
      <c r="Z22" s="3567">
        <f t="shared" si="5"/>
        <v>1060</v>
      </c>
      <c r="AA22" s="3567">
        <f t="shared" si="6"/>
        <v>1060</v>
      </c>
      <c r="AB22" s="3567"/>
      <c r="AC22" s="3567">
        <f t="shared" si="7"/>
        <v>1060</v>
      </c>
      <c r="AD22" s="3567">
        <f t="shared" si="8"/>
        <v>1113</v>
      </c>
      <c r="AE22" s="3567">
        <f t="shared" si="9"/>
        <v>1113</v>
      </c>
      <c r="AF22" s="3567"/>
      <c r="AG22" s="3571">
        <f t="shared" si="10"/>
        <v>1113</v>
      </c>
      <c r="AH22" s="3571">
        <v>1.1200000000000001</v>
      </c>
      <c r="AI22" s="3004"/>
      <c r="AJ22" s="2995">
        <v>1.1200000000000001</v>
      </c>
      <c r="AK22" s="3004"/>
      <c r="AL22" s="3004">
        <f t="shared" si="11"/>
        <v>0</v>
      </c>
      <c r="AM22" s="3004"/>
      <c r="AN22" s="3004">
        <f t="shared" si="12"/>
        <v>0</v>
      </c>
      <c r="AO22" s="3004"/>
      <c r="AP22" s="3004">
        <f t="shared" si="13"/>
        <v>0</v>
      </c>
      <c r="AQ22" s="3004">
        <v>1</v>
      </c>
      <c r="AR22" s="3004">
        <f t="shared" si="18"/>
        <v>1187.2</v>
      </c>
      <c r="AS22" s="2995"/>
      <c r="AT22" s="2995"/>
      <c r="AU22" s="2995"/>
      <c r="AV22" s="2983">
        <f t="shared" si="14"/>
        <v>0</v>
      </c>
      <c r="AW22" s="3595">
        <f t="shared" si="19"/>
        <v>1187.2</v>
      </c>
      <c r="AX22" s="3595">
        <f t="shared" si="15"/>
        <v>1187.2</v>
      </c>
      <c r="AY22" s="3595">
        <f t="shared" si="20"/>
        <v>0</v>
      </c>
      <c r="AZ22" s="3595">
        <f t="shared" si="21"/>
        <v>0</v>
      </c>
      <c r="BA22" s="3595">
        <f t="shared" si="22"/>
        <v>0</v>
      </c>
      <c r="BB22" s="3595">
        <f t="shared" si="23"/>
        <v>1187.2</v>
      </c>
      <c r="BC22" s="2983">
        <f t="shared" si="24"/>
        <v>1187.2</v>
      </c>
      <c r="BD22" s="2983">
        <f t="shared" si="25"/>
        <v>0</v>
      </c>
    </row>
    <row r="23" spans="1:56" s="3421" customFormat="1" ht="12.75" hidden="1">
      <c r="A23" s="3265">
        <v>14</v>
      </c>
      <c r="B23" s="3548" t="s">
        <v>2412</v>
      </c>
      <c r="C23" s="3548" t="s">
        <v>2736</v>
      </c>
      <c r="D23" s="3548" t="s">
        <v>1022</v>
      </c>
      <c r="E23" s="3572">
        <v>16815.8</v>
      </c>
      <c r="F23" s="3549"/>
      <c r="G23" s="3572">
        <f t="shared" si="0"/>
        <v>16815.8</v>
      </c>
      <c r="H23" s="3549"/>
      <c r="I23" s="3573"/>
      <c r="J23" s="3573"/>
      <c r="K23" s="3549"/>
      <c r="L23" s="3647">
        <f t="shared" si="16"/>
        <v>0</v>
      </c>
      <c r="M23" s="3574"/>
      <c r="N23" s="3549"/>
      <c r="O23" s="3549"/>
      <c r="P23" s="3549">
        <f t="shared" si="1"/>
        <v>0</v>
      </c>
      <c r="Q23" s="3577">
        <f>1100</f>
        <v>1100</v>
      </c>
      <c r="R23" s="3568">
        <v>1.06</v>
      </c>
      <c r="S23" s="3568">
        <f t="shared" si="2"/>
        <v>1166</v>
      </c>
      <c r="T23" s="3569">
        <f t="shared" si="17"/>
        <v>1305.92</v>
      </c>
      <c r="U23" s="3567">
        <f t="shared" si="3"/>
        <v>0</v>
      </c>
      <c r="V23" s="3567"/>
      <c r="W23" s="3567">
        <f t="shared" si="4"/>
        <v>0</v>
      </c>
      <c r="X23" s="3570"/>
      <c r="Y23" s="3570"/>
      <c r="Z23" s="3567">
        <f t="shared" si="5"/>
        <v>1166</v>
      </c>
      <c r="AA23" s="3567">
        <f t="shared" si="6"/>
        <v>0</v>
      </c>
      <c r="AB23" s="3567"/>
      <c r="AC23" s="3567">
        <f t="shared" si="7"/>
        <v>0</v>
      </c>
      <c r="AD23" s="3567">
        <f t="shared" si="8"/>
        <v>1224.3</v>
      </c>
      <c r="AE23" s="3567">
        <f t="shared" si="9"/>
        <v>0</v>
      </c>
      <c r="AF23" s="3567"/>
      <c r="AG23" s="3571">
        <f t="shared" si="10"/>
        <v>0</v>
      </c>
      <c r="AH23" s="3571">
        <v>1.1200000000000001</v>
      </c>
      <c r="AI23" s="3004"/>
      <c r="AJ23" s="2995">
        <v>1.1200000000000001</v>
      </c>
      <c r="AK23" s="3004">
        <v>1</v>
      </c>
      <c r="AL23" s="3004">
        <f t="shared" si="11"/>
        <v>1305.92</v>
      </c>
      <c r="AM23" s="3004"/>
      <c r="AN23" s="3004">
        <f t="shared" si="12"/>
        <v>0</v>
      </c>
      <c r="AO23" s="3004">
        <v>1</v>
      </c>
      <c r="AP23" s="3004">
        <f t="shared" si="13"/>
        <v>1305.92</v>
      </c>
      <c r="AQ23" s="3004"/>
      <c r="AR23" s="3004">
        <f t="shared" si="18"/>
        <v>0</v>
      </c>
      <c r="AS23" s="2995"/>
      <c r="AV23" s="2983">
        <f t="shared" si="14"/>
        <v>-2</v>
      </c>
      <c r="AW23" s="3595">
        <f t="shared" si="19"/>
        <v>1305.92</v>
      </c>
      <c r="AX23" s="3595">
        <f t="shared" si="15"/>
        <v>0</v>
      </c>
      <c r="AY23" s="3595">
        <f t="shared" si="20"/>
        <v>1305.92</v>
      </c>
      <c r="AZ23" s="3595">
        <f t="shared" si="21"/>
        <v>0</v>
      </c>
      <c r="BA23" s="3595">
        <f t="shared" si="22"/>
        <v>1305.92</v>
      </c>
      <c r="BB23" s="3595">
        <f t="shared" si="23"/>
        <v>0</v>
      </c>
      <c r="BC23" s="2983">
        <f t="shared" si="24"/>
        <v>2611.84</v>
      </c>
      <c r="BD23" s="2983">
        <f t="shared" si="25"/>
        <v>-2611.84</v>
      </c>
    </row>
    <row r="24" spans="1:56" ht="25.5">
      <c r="A24" s="3616">
        <v>10</v>
      </c>
      <c r="B24" s="3547" t="s">
        <v>2942</v>
      </c>
      <c r="C24" s="3547" t="s">
        <v>2943</v>
      </c>
      <c r="D24" s="3547" t="s">
        <v>1022</v>
      </c>
      <c r="E24" s="3572">
        <v>16815.8</v>
      </c>
      <c r="F24" s="3573"/>
      <c r="G24" s="3572">
        <f t="shared" si="0"/>
        <v>16815.8</v>
      </c>
      <c r="H24" s="3573"/>
      <c r="I24" s="3573"/>
      <c r="J24" s="3573"/>
      <c r="K24" s="3573"/>
      <c r="L24" s="3647">
        <f t="shared" si="16"/>
        <v>10</v>
      </c>
      <c r="M24" s="3574"/>
      <c r="N24" s="3573"/>
      <c r="O24" s="3573"/>
      <c r="P24" s="3549">
        <f t="shared" si="1"/>
        <v>10</v>
      </c>
      <c r="Q24" s="3580">
        <f>60</f>
        <v>60</v>
      </c>
      <c r="R24" s="3568">
        <v>1.06</v>
      </c>
      <c r="S24" s="3568">
        <f t="shared" si="2"/>
        <v>63.6</v>
      </c>
      <c r="T24" s="3569">
        <f t="shared" si="17"/>
        <v>71.232000000000014</v>
      </c>
      <c r="U24" s="3567">
        <f t="shared" si="3"/>
        <v>712.32000000000016</v>
      </c>
      <c r="V24" s="3549"/>
      <c r="W24" s="3549">
        <f t="shared" si="4"/>
        <v>712.32000000000016</v>
      </c>
      <c r="X24" s="3575">
        <v>19170</v>
      </c>
      <c r="Y24" s="3575">
        <v>1.07</v>
      </c>
      <c r="Z24" s="3549">
        <f t="shared" si="5"/>
        <v>63.6</v>
      </c>
      <c r="AA24" s="3549">
        <f t="shared" si="6"/>
        <v>636</v>
      </c>
      <c r="AB24" s="3549"/>
      <c r="AC24" s="3549">
        <f t="shared" si="7"/>
        <v>636</v>
      </c>
      <c r="AD24" s="3549">
        <f t="shared" si="8"/>
        <v>66.78</v>
      </c>
      <c r="AE24" s="3549">
        <f t="shared" si="9"/>
        <v>668</v>
      </c>
      <c r="AF24" s="3549"/>
      <c r="AG24" s="3576">
        <f t="shared" si="10"/>
        <v>668</v>
      </c>
      <c r="AH24" s="3571">
        <v>1.1200000000000001</v>
      </c>
      <c r="AI24" s="3004"/>
      <c r="AJ24" s="2995">
        <v>1.1200000000000001</v>
      </c>
      <c r="AK24" s="3004">
        <v>5</v>
      </c>
      <c r="AL24" s="3004">
        <f t="shared" si="11"/>
        <v>356.16000000000008</v>
      </c>
      <c r="AM24" s="3004">
        <v>5</v>
      </c>
      <c r="AN24" s="3004">
        <f t="shared" si="12"/>
        <v>356.16000000000008</v>
      </c>
      <c r="AO24" s="3004">
        <v>5</v>
      </c>
      <c r="AP24" s="3004">
        <f t="shared" si="13"/>
        <v>356.16000000000008</v>
      </c>
      <c r="AQ24" s="3004">
        <v>10</v>
      </c>
      <c r="AR24" s="3004">
        <f t="shared" si="18"/>
        <v>712.32000000000016</v>
      </c>
      <c r="AS24" s="2995"/>
      <c r="AT24" s="2995"/>
      <c r="AU24" s="2995"/>
      <c r="AV24" s="2983">
        <f t="shared" si="14"/>
        <v>-15</v>
      </c>
      <c r="AW24" s="3595">
        <f t="shared" si="19"/>
        <v>71.23</v>
      </c>
      <c r="AX24" s="3595">
        <f t="shared" si="15"/>
        <v>712.3</v>
      </c>
      <c r="AY24" s="3595">
        <f t="shared" si="20"/>
        <v>356.15</v>
      </c>
      <c r="AZ24" s="3595">
        <f t="shared" si="21"/>
        <v>356.15</v>
      </c>
      <c r="BA24" s="3595">
        <f t="shared" si="22"/>
        <v>356.15</v>
      </c>
      <c r="BB24" s="3595">
        <f t="shared" si="23"/>
        <v>712.3</v>
      </c>
      <c r="BC24" s="2983">
        <f t="shared" si="24"/>
        <v>1780.75</v>
      </c>
      <c r="BD24" s="2983">
        <f t="shared" si="25"/>
        <v>-1068.45</v>
      </c>
    </row>
    <row r="25" spans="1:56" s="3421" customFormat="1" ht="12.75">
      <c r="A25" s="3265">
        <v>11</v>
      </c>
      <c r="B25" s="3547" t="s">
        <v>2944</v>
      </c>
      <c r="C25" s="3547" t="s">
        <v>2945</v>
      </c>
      <c r="D25" s="3547" t="s">
        <v>1022</v>
      </c>
      <c r="E25" s="3572">
        <v>16815.8</v>
      </c>
      <c r="F25" s="3549"/>
      <c r="G25" s="3572">
        <f t="shared" si="0"/>
        <v>16815.8</v>
      </c>
      <c r="H25" s="3549"/>
      <c r="I25" s="3573"/>
      <c r="J25" s="3573"/>
      <c r="K25" s="3549"/>
      <c r="L25" s="3647">
        <f t="shared" si="16"/>
        <v>15</v>
      </c>
      <c r="M25" s="3574"/>
      <c r="N25" s="3549"/>
      <c r="O25" s="3549"/>
      <c r="P25" s="3549">
        <f t="shared" si="1"/>
        <v>15</v>
      </c>
      <c r="Q25" s="3577">
        <f>1600</f>
        <v>1600</v>
      </c>
      <c r="R25" s="3568">
        <v>1.06</v>
      </c>
      <c r="S25" s="3568">
        <f t="shared" si="2"/>
        <v>1696</v>
      </c>
      <c r="T25" s="3569">
        <f t="shared" si="17"/>
        <v>1899.5200000000002</v>
      </c>
      <c r="U25" s="3567">
        <f t="shared" si="3"/>
        <v>28492.800000000003</v>
      </c>
      <c r="V25" s="3567"/>
      <c r="W25" s="3567">
        <f t="shared" si="4"/>
        <v>28492.800000000003</v>
      </c>
      <c r="X25" s="3570"/>
      <c r="Y25" s="3570"/>
      <c r="Z25" s="3567">
        <f t="shared" si="5"/>
        <v>1696</v>
      </c>
      <c r="AA25" s="3567">
        <f t="shared" si="6"/>
        <v>25440</v>
      </c>
      <c r="AB25" s="3567"/>
      <c r="AC25" s="3567">
        <f t="shared" si="7"/>
        <v>25440</v>
      </c>
      <c r="AD25" s="3567">
        <f t="shared" si="8"/>
        <v>1780.8000000000002</v>
      </c>
      <c r="AE25" s="3567">
        <f t="shared" si="9"/>
        <v>26712</v>
      </c>
      <c r="AF25" s="3567"/>
      <c r="AG25" s="3571">
        <f t="shared" si="10"/>
        <v>26712</v>
      </c>
      <c r="AH25" s="3571">
        <v>1.1200000000000001</v>
      </c>
      <c r="AI25" s="3004"/>
      <c r="AJ25" s="2995">
        <v>1.1200000000000001</v>
      </c>
      <c r="AK25" s="3004">
        <v>10</v>
      </c>
      <c r="AL25" s="3004">
        <f t="shared" si="11"/>
        <v>18995.2</v>
      </c>
      <c r="AM25" s="3004">
        <v>10</v>
      </c>
      <c r="AN25" s="3004">
        <f t="shared" si="12"/>
        <v>18995.2</v>
      </c>
      <c r="AO25" s="3004">
        <v>10</v>
      </c>
      <c r="AP25" s="3004">
        <f t="shared" si="13"/>
        <v>18995.2</v>
      </c>
      <c r="AQ25" s="3004">
        <v>15</v>
      </c>
      <c r="AR25" s="3004">
        <f t="shared" si="18"/>
        <v>28492.800000000003</v>
      </c>
      <c r="AS25" s="2995"/>
      <c r="AV25" s="2983">
        <f t="shared" si="14"/>
        <v>-30</v>
      </c>
      <c r="AW25" s="3595">
        <f t="shared" si="19"/>
        <v>1899.52</v>
      </c>
      <c r="AX25" s="3595">
        <f t="shared" si="15"/>
        <v>28492.799999999999</v>
      </c>
      <c r="AY25" s="3595">
        <f t="shared" si="20"/>
        <v>18995.2</v>
      </c>
      <c r="AZ25" s="3595">
        <f t="shared" si="21"/>
        <v>18995.2</v>
      </c>
      <c r="BA25" s="3595">
        <f t="shared" si="22"/>
        <v>18995.2</v>
      </c>
      <c r="BB25" s="3595">
        <f t="shared" si="23"/>
        <v>28492.799999999999</v>
      </c>
      <c r="BC25" s="2983">
        <f t="shared" si="24"/>
        <v>85478.399999999994</v>
      </c>
      <c r="BD25" s="2983">
        <f t="shared" si="25"/>
        <v>-56985.599999999991</v>
      </c>
    </row>
    <row r="26" spans="1:56" ht="12.75">
      <c r="A26" s="3265">
        <v>12</v>
      </c>
      <c r="B26" s="3548" t="s">
        <v>2946</v>
      </c>
      <c r="C26" s="3548" t="s">
        <v>2947</v>
      </c>
      <c r="D26" s="3548" t="s">
        <v>1022</v>
      </c>
      <c r="E26" s="3572">
        <v>16815.8</v>
      </c>
      <c r="F26" s="3549"/>
      <c r="G26" s="3572">
        <f t="shared" si="0"/>
        <v>16815.8</v>
      </c>
      <c r="H26" s="3549"/>
      <c r="I26" s="3549"/>
      <c r="J26" s="3549"/>
      <c r="K26" s="3549"/>
      <c r="L26" s="3647">
        <f t="shared" si="16"/>
        <v>5</v>
      </c>
      <c r="M26" s="3549"/>
      <c r="N26" s="3549"/>
      <c r="O26" s="3549"/>
      <c r="P26" s="3549">
        <f t="shared" si="1"/>
        <v>5</v>
      </c>
      <c r="Q26" s="3390">
        <f>305</f>
        <v>305</v>
      </c>
      <c r="R26" s="3568">
        <v>1.06</v>
      </c>
      <c r="S26" s="3568">
        <f t="shared" si="2"/>
        <v>323.3</v>
      </c>
      <c r="T26" s="3569">
        <f t="shared" si="17"/>
        <v>362.09600000000006</v>
      </c>
      <c r="U26" s="3567">
        <f t="shared" si="3"/>
        <v>1810.4800000000002</v>
      </c>
      <c r="V26" s="3549"/>
      <c r="W26" s="3549">
        <f t="shared" si="4"/>
        <v>1810.4800000000002</v>
      </c>
      <c r="X26" s="3578"/>
      <c r="Y26" s="3578"/>
      <c r="Z26" s="3549"/>
      <c r="AA26" s="3549"/>
      <c r="AB26" s="3549"/>
      <c r="AC26" s="3549"/>
      <c r="AD26" s="3549"/>
      <c r="AE26" s="3549"/>
      <c r="AF26" s="3549"/>
      <c r="AG26" s="3576"/>
      <c r="AH26" s="3571">
        <v>1.1200000000000001</v>
      </c>
      <c r="AI26" s="3004"/>
      <c r="AJ26" s="2995">
        <v>1.1200000000000001</v>
      </c>
      <c r="AK26" s="3004">
        <v>5</v>
      </c>
      <c r="AL26" s="3004">
        <f t="shared" si="11"/>
        <v>1810.4800000000002</v>
      </c>
      <c r="AM26" s="3004">
        <v>5</v>
      </c>
      <c r="AN26" s="3004">
        <f t="shared" si="12"/>
        <v>1810.4800000000002</v>
      </c>
      <c r="AO26" s="3004">
        <v>5</v>
      </c>
      <c r="AP26" s="3004">
        <f t="shared" si="13"/>
        <v>1810.4800000000002</v>
      </c>
      <c r="AQ26" s="3004">
        <v>5</v>
      </c>
      <c r="AR26" s="3004">
        <f t="shared" si="18"/>
        <v>1810.4800000000002</v>
      </c>
      <c r="AS26" s="2995"/>
      <c r="AT26" s="2995"/>
      <c r="AU26" s="2995"/>
      <c r="AV26" s="2983">
        <f t="shared" si="14"/>
        <v>-15</v>
      </c>
      <c r="AW26" s="3595">
        <f t="shared" si="19"/>
        <v>362.1</v>
      </c>
      <c r="AX26" s="3595">
        <f t="shared" si="15"/>
        <v>1810.5</v>
      </c>
      <c r="AY26" s="3595">
        <f t="shared" si="20"/>
        <v>1810.5</v>
      </c>
      <c r="AZ26" s="3595">
        <f t="shared" si="21"/>
        <v>1810.5</v>
      </c>
      <c r="BA26" s="3595">
        <f t="shared" si="22"/>
        <v>1810.5</v>
      </c>
      <c r="BB26" s="3595">
        <f t="shared" si="23"/>
        <v>1810.5</v>
      </c>
      <c r="BC26" s="2983">
        <f t="shared" si="24"/>
        <v>7242</v>
      </c>
      <c r="BD26" s="2983">
        <f t="shared" si="25"/>
        <v>-5431.5</v>
      </c>
    </row>
    <row r="27" spans="1:56" ht="25.5">
      <c r="A27" s="3616">
        <v>13</v>
      </c>
      <c r="B27" s="3548" t="s">
        <v>2948</v>
      </c>
      <c r="C27" s="3548" t="s">
        <v>2748</v>
      </c>
      <c r="D27" s="3548" t="s">
        <v>2393</v>
      </c>
      <c r="E27" s="3572">
        <v>16815.8</v>
      </c>
      <c r="F27" s="3549"/>
      <c r="G27" s="3572">
        <f t="shared" si="0"/>
        <v>16815.8</v>
      </c>
      <c r="H27" s="3549"/>
      <c r="I27" s="3549"/>
      <c r="J27" s="3549"/>
      <c r="K27" s="3549"/>
      <c r="L27" s="3647">
        <f t="shared" si="16"/>
        <v>1</v>
      </c>
      <c r="M27" s="3549"/>
      <c r="N27" s="3549"/>
      <c r="O27" s="3549"/>
      <c r="P27" s="3549">
        <f t="shared" si="1"/>
        <v>1</v>
      </c>
      <c r="Q27" s="3390">
        <f>1500</f>
        <v>1500</v>
      </c>
      <c r="R27" s="3568">
        <v>1.06</v>
      </c>
      <c r="S27" s="3568">
        <f t="shared" si="2"/>
        <v>1590</v>
      </c>
      <c r="T27" s="3569">
        <f t="shared" si="17"/>
        <v>1780.8000000000002</v>
      </c>
      <c r="U27" s="3567">
        <f t="shared" si="3"/>
        <v>1780.8000000000002</v>
      </c>
      <c r="V27" s="3549"/>
      <c r="W27" s="3549">
        <f t="shared" si="4"/>
        <v>1780.8000000000002</v>
      </c>
      <c r="X27" s="3578"/>
      <c r="Y27" s="3578"/>
      <c r="Z27" s="3549"/>
      <c r="AA27" s="3549"/>
      <c r="AB27" s="3549"/>
      <c r="AC27" s="3549"/>
      <c r="AD27" s="3549"/>
      <c r="AE27" s="3549"/>
      <c r="AF27" s="3549"/>
      <c r="AG27" s="3576"/>
      <c r="AH27" s="3571">
        <v>1.1200000000000001</v>
      </c>
      <c r="AI27" s="3004"/>
      <c r="AJ27" s="2995">
        <v>1.1200000000000001</v>
      </c>
      <c r="AK27" s="3004">
        <v>1</v>
      </c>
      <c r="AL27" s="3004">
        <f t="shared" si="11"/>
        <v>1780.8000000000002</v>
      </c>
      <c r="AM27" s="3004"/>
      <c r="AN27" s="3004">
        <f t="shared" si="12"/>
        <v>0</v>
      </c>
      <c r="AO27" s="3004">
        <v>1</v>
      </c>
      <c r="AP27" s="3004">
        <f t="shared" si="13"/>
        <v>1780.8000000000002</v>
      </c>
      <c r="AQ27" s="3004">
        <v>1</v>
      </c>
      <c r="AR27" s="3004">
        <f t="shared" si="18"/>
        <v>1780.8000000000002</v>
      </c>
      <c r="AS27" s="2995"/>
      <c r="AT27" s="2995"/>
      <c r="AU27" s="2995"/>
      <c r="AV27" s="2983">
        <f t="shared" si="14"/>
        <v>-2</v>
      </c>
      <c r="AW27" s="3595">
        <f t="shared" si="19"/>
        <v>1780.8</v>
      </c>
      <c r="AX27" s="3595">
        <f t="shared" si="15"/>
        <v>1780.8</v>
      </c>
      <c r="AY27" s="3595">
        <f t="shared" si="20"/>
        <v>1780.8</v>
      </c>
      <c r="AZ27" s="3595">
        <f t="shared" si="21"/>
        <v>0</v>
      </c>
      <c r="BA27" s="3595">
        <f t="shared" si="22"/>
        <v>1780.8</v>
      </c>
      <c r="BB27" s="3595">
        <f t="shared" si="23"/>
        <v>1780.8</v>
      </c>
      <c r="BC27" s="2983">
        <f t="shared" si="24"/>
        <v>5342.4</v>
      </c>
      <c r="BD27" s="2983">
        <f t="shared" si="25"/>
        <v>-3561.5999999999995</v>
      </c>
    </row>
    <row r="28" spans="1:56" ht="25.5">
      <c r="A28" s="3265">
        <v>14</v>
      </c>
      <c r="B28" s="3548" t="s">
        <v>2733</v>
      </c>
      <c r="C28" s="3548" t="s">
        <v>2733</v>
      </c>
      <c r="D28" s="3548" t="s">
        <v>1022</v>
      </c>
      <c r="E28" s="3572">
        <v>16815.8</v>
      </c>
      <c r="F28" s="3573"/>
      <c r="G28" s="3572">
        <f t="shared" si="0"/>
        <v>16815.8</v>
      </c>
      <c r="H28" s="3573"/>
      <c r="I28" s="3573"/>
      <c r="J28" s="3573"/>
      <c r="K28" s="3573"/>
      <c r="L28" s="3647">
        <f t="shared" si="16"/>
        <v>12</v>
      </c>
      <c r="M28" s="3574"/>
      <c r="N28" s="3573"/>
      <c r="O28" s="3573"/>
      <c r="P28" s="3549">
        <f t="shared" si="1"/>
        <v>12</v>
      </c>
      <c r="Q28" s="3371">
        <f>5500</f>
        <v>5500</v>
      </c>
      <c r="R28" s="3568">
        <v>1.06</v>
      </c>
      <c r="S28" s="3568">
        <f t="shared" si="2"/>
        <v>5830</v>
      </c>
      <c r="T28" s="3569">
        <f t="shared" si="17"/>
        <v>6529.6</v>
      </c>
      <c r="U28" s="3567">
        <f t="shared" si="3"/>
        <v>78355.200000000012</v>
      </c>
      <c r="V28" s="3549"/>
      <c r="W28" s="3549">
        <f t="shared" si="4"/>
        <v>78355.200000000012</v>
      </c>
      <c r="X28" s="3575">
        <v>26</v>
      </c>
      <c r="Y28" s="3575">
        <v>1.07</v>
      </c>
      <c r="Z28" s="3549">
        <f>Q28*$Z$4</f>
        <v>5830</v>
      </c>
      <c r="AA28" s="3549">
        <f>ROUND(P28*Z28,0)</f>
        <v>69960</v>
      </c>
      <c r="AB28" s="3549"/>
      <c r="AC28" s="3549">
        <f>AA28-AB28</f>
        <v>69960</v>
      </c>
      <c r="AD28" s="3549">
        <f>Z28*$AD$4</f>
        <v>6121.5</v>
      </c>
      <c r="AE28" s="3549">
        <f>ROUND(P28*AD28,0)</f>
        <v>73458</v>
      </c>
      <c r="AF28" s="3549"/>
      <c r="AG28" s="3576">
        <f>AE28-AF28</f>
        <v>73458</v>
      </c>
      <c r="AH28" s="3571">
        <v>1.1200000000000001</v>
      </c>
      <c r="AI28" s="3004"/>
      <c r="AJ28" s="2995">
        <v>1.1200000000000001</v>
      </c>
      <c r="AK28" s="3004">
        <v>9</v>
      </c>
      <c r="AL28" s="3004">
        <f t="shared" si="11"/>
        <v>58766.400000000001</v>
      </c>
      <c r="AM28" s="3004">
        <v>9</v>
      </c>
      <c r="AN28" s="3004">
        <f t="shared" si="12"/>
        <v>58766.400000000001</v>
      </c>
      <c r="AO28" s="3004">
        <v>9</v>
      </c>
      <c r="AP28" s="3004">
        <f t="shared" si="13"/>
        <v>58766.400000000001</v>
      </c>
      <c r="AQ28" s="3004">
        <v>12</v>
      </c>
      <c r="AR28" s="3004">
        <f t="shared" si="18"/>
        <v>78355.200000000012</v>
      </c>
      <c r="AS28" s="2995"/>
      <c r="AT28" s="2995"/>
      <c r="AU28" s="2995"/>
      <c r="AV28" s="2983">
        <f t="shared" si="14"/>
        <v>-27</v>
      </c>
      <c r="AW28" s="3595">
        <f t="shared" si="19"/>
        <v>6529.6</v>
      </c>
      <c r="AX28" s="3595">
        <f t="shared" si="15"/>
        <v>78355.199999999997</v>
      </c>
      <c r="AY28" s="3595">
        <f t="shared" si="20"/>
        <v>58766.400000000001</v>
      </c>
      <c r="AZ28" s="3595">
        <f t="shared" si="21"/>
        <v>58766.400000000001</v>
      </c>
      <c r="BA28" s="3595">
        <f t="shared" si="22"/>
        <v>58766.400000000001</v>
      </c>
      <c r="BB28" s="3595">
        <f t="shared" si="23"/>
        <v>78355.199999999997</v>
      </c>
      <c r="BC28" s="2983">
        <f t="shared" si="24"/>
        <v>254654.4</v>
      </c>
      <c r="BD28" s="2983">
        <f t="shared" si="25"/>
        <v>-176299.2</v>
      </c>
    </row>
    <row r="29" spans="1:56" ht="12.75">
      <c r="A29" s="3371">
        <v>15</v>
      </c>
      <c r="B29" s="3548" t="s">
        <v>2750</v>
      </c>
      <c r="C29" s="3548" t="s">
        <v>1394</v>
      </c>
      <c r="D29" s="3548" t="s">
        <v>2751</v>
      </c>
      <c r="E29" s="3564">
        <v>16815.8</v>
      </c>
      <c r="F29" s="3565"/>
      <c r="G29" s="3564">
        <f t="shared" si="0"/>
        <v>16815.8</v>
      </c>
      <c r="H29" s="3565"/>
      <c r="I29" s="3565"/>
      <c r="J29" s="3565"/>
      <c r="K29" s="3565"/>
      <c r="L29" s="3647">
        <f t="shared" si="16"/>
        <v>0</v>
      </c>
      <c r="M29" s="3566"/>
      <c r="N29" s="3565"/>
      <c r="O29" s="3565"/>
      <c r="P29" s="3549">
        <f t="shared" si="1"/>
        <v>0</v>
      </c>
      <c r="Q29" s="3265">
        <f>110</f>
        <v>110</v>
      </c>
      <c r="R29" s="3568">
        <v>1.06</v>
      </c>
      <c r="S29" s="3568">
        <f t="shared" si="2"/>
        <v>116.60000000000001</v>
      </c>
      <c r="T29" s="3569">
        <f t="shared" si="17"/>
        <v>130.59200000000001</v>
      </c>
      <c r="U29" s="3567">
        <f t="shared" si="3"/>
        <v>0</v>
      </c>
      <c r="V29" s="3567"/>
      <c r="W29" s="3567">
        <f t="shared" si="4"/>
        <v>0</v>
      </c>
      <c r="X29" s="3570"/>
      <c r="Y29" s="3570"/>
      <c r="Z29" s="3567">
        <f>Q29*$Z$4</f>
        <v>116.60000000000001</v>
      </c>
      <c r="AA29" s="3567">
        <f>ROUND(P29*Z29,0)</f>
        <v>0</v>
      </c>
      <c r="AB29" s="3567"/>
      <c r="AC29" s="3567">
        <f>AA29-AB29</f>
        <v>0</v>
      </c>
      <c r="AD29" s="3567">
        <f>Z29*$AD$4</f>
        <v>122.43000000000002</v>
      </c>
      <c r="AE29" s="3567">
        <f>ROUND(P29*AD29,0)</f>
        <v>0</v>
      </c>
      <c r="AF29" s="3567"/>
      <c r="AG29" s="3571">
        <f>AE29-AF29</f>
        <v>0</v>
      </c>
      <c r="AH29" s="3571">
        <v>1.1200000000000001</v>
      </c>
      <c r="AI29" s="3004"/>
      <c r="AJ29" s="2995">
        <v>1.1200000000000001</v>
      </c>
      <c r="AK29" s="3004">
        <v>20</v>
      </c>
      <c r="AL29" s="3004">
        <f t="shared" si="11"/>
        <v>2611.84</v>
      </c>
      <c r="AM29" s="3004">
        <v>10</v>
      </c>
      <c r="AN29" s="3004">
        <f t="shared" si="12"/>
        <v>1305.92</v>
      </c>
      <c r="AO29" s="3004">
        <v>20</v>
      </c>
      <c r="AP29" s="3004">
        <f t="shared" si="13"/>
        <v>2611.84</v>
      </c>
      <c r="AQ29" s="3004"/>
      <c r="AR29" s="3004">
        <f t="shared" si="18"/>
        <v>0</v>
      </c>
      <c r="AS29" s="2995"/>
      <c r="AT29" s="2995"/>
      <c r="AU29" s="2995"/>
      <c r="AV29" s="2983">
        <f t="shared" si="14"/>
        <v>-50</v>
      </c>
      <c r="AW29" s="3595">
        <f t="shared" si="19"/>
        <v>130.59</v>
      </c>
      <c r="AX29" s="3595">
        <f t="shared" si="15"/>
        <v>0</v>
      </c>
      <c r="AY29" s="3595">
        <f t="shared" si="20"/>
        <v>2611.8000000000002</v>
      </c>
      <c r="AZ29" s="3595">
        <f t="shared" si="21"/>
        <v>1305.9000000000001</v>
      </c>
      <c r="BA29" s="3595">
        <f t="shared" si="22"/>
        <v>2611.8000000000002</v>
      </c>
      <c r="BB29" s="3595">
        <f t="shared" si="23"/>
        <v>0</v>
      </c>
      <c r="BC29" s="2983">
        <f t="shared" si="24"/>
        <v>6529.5</v>
      </c>
      <c r="BD29" s="2983">
        <f t="shared" si="25"/>
        <v>-6529.5</v>
      </c>
    </row>
    <row r="30" spans="1:56" ht="12.75">
      <c r="A30" s="3371">
        <v>16</v>
      </c>
      <c r="B30" s="3547" t="s">
        <v>2949</v>
      </c>
      <c r="C30" s="3547" t="s">
        <v>2950</v>
      </c>
      <c r="D30" s="3547" t="s">
        <v>1022</v>
      </c>
      <c r="E30" s="3572">
        <v>16815.8</v>
      </c>
      <c r="F30" s="3549"/>
      <c r="G30" s="3572">
        <f t="shared" si="0"/>
        <v>16815.8</v>
      </c>
      <c r="H30" s="3549"/>
      <c r="I30" s="3573"/>
      <c r="J30" s="3573"/>
      <c r="K30" s="3549"/>
      <c r="L30" s="3647">
        <f t="shared" si="16"/>
        <v>6</v>
      </c>
      <c r="M30" s="3574"/>
      <c r="N30" s="3549"/>
      <c r="O30" s="3549"/>
      <c r="P30" s="3549">
        <f t="shared" si="1"/>
        <v>6</v>
      </c>
      <c r="Q30" s="3371">
        <f>150</f>
        <v>150</v>
      </c>
      <c r="R30" s="3568">
        <v>1.06</v>
      </c>
      <c r="S30" s="3568">
        <f t="shared" si="2"/>
        <v>159</v>
      </c>
      <c r="T30" s="3569">
        <f t="shared" si="17"/>
        <v>178.08</v>
      </c>
      <c r="U30" s="3567">
        <f t="shared" si="3"/>
        <v>1068.48</v>
      </c>
      <c r="V30" s="3567"/>
      <c r="W30" s="3567">
        <f t="shared" si="4"/>
        <v>1068.48</v>
      </c>
      <c r="X30" s="3570"/>
      <c r="Y30" s="3570"/>
      <c r="Z30" s="3567">
        <f>Q30*$Z$4</f>
        <v>159</v>
      </c>
      <c r="AA30" s="3567">
        <f>ROUND(P30*Z30,0)</f>
        <v>954</v>
      </c>
      <c r="AB30" s="3567"/>
      <c r="AC30" s="3567">
        <f>AA30-AB30</f>
        <v>954</v>
      </c>
      <c r="AD30" s="3567">
        <f>Z30*$AD$4</f>
        <v>166.95000000000002</v>
      </c>
      <c r="AE30" s="3567">
        <f>ROUND(P30*AD30,0)</f>
        <v>1002</v>
      </c>
      <c r="AF30" s="3567"/>
      <c r="AG30" s="3571">
        <f>AE30-AF30</f>
        <v>1002</v>
      </c>
      <c r="AH30" s="3571">
        <v>1.1200000000000001</v>
      </c>
      <c r="AI30" s="3004"/>
      <c r="AJ30" s="2995">
        <v>1.1200000000000001</v>
      </c>
      <c r="AK30" s="3004">
        <v>5</v>
      </c>
      <c r="AL30" s="3004">
        <f t="shared" si="11"/>
        <v>890.40000000000009</v>
      </c>
      <c r="AM30" s="3004">
        <v>5</v>
      </c>
      <c r="AN30" s="3004">
        <f t="shared" si="12"/>
        <v>890.40000000000009</v>
      </c>
      <c r="AO30" s="3004">
        <v>5</v>
      </c>
      <c r="AP30" s="3004">
        <f t="shared" si="13"/>
        <v>890.40000000000009</v>
      </c>
      <c r="AQ30" s="3004">
        <v>6</v>
      </c>
      <c r="AR30" s="3004">
        <f t="shared" si="18"/>
        <v>1068.48</v>
      </c>
      <c r="AS30" s="2995"/>
      <c r="AT30" s="2995"/>
      <c r="AU30" s="2995"/>
      <c r="AV30" s="2983">
        <f t="shared" si="14"/>
        <v>-15</v>
      </c>
      <c r="AW30" s="3595">
        <f t="shared" si="19"/>
        <v>178.08</v>
      </c>
      <c r="AX30" s="3595">
        <f t="shared" si="15"/>
        <v>1068.48</v>
      </c>
      <c r="AY30" s="3595">
        <f t="shared" si="20"/>
        <v>890.4</v>
      </c>
      <c r="AZ30" s="3595">
        <f t="shared" si="21"/>
        <v>890.4</v>
      </c>
      <c r="BA30" s="3595">
        <f t="shared" si="22"/>
        <v>890.4</v>
      </c>
      <c r="BB30" s="3595">
        <f t="shared" si="23"/>
        <v>1068.48</v>
      </c>
      <c r="BC30" s="2983">
        <f t="shared" si="24"/>
        <v>3739.68</v>
      </c>
      <c r="BD30" s="2983">
        <f t="shared" si="25"/>
        <v>-2671.2</v>
      </c>
    </row>
    <row r="31" spans="1:56" ht="12.75">
      <c r="A31" s="3371">
        <v>17</v>
      </c>
      <c r="B31" s="3548" t="s">
        <v>2756</v>
      </c>
      <c r="C31" s="3548" t="s">
        <v>2951</v>
      </c>
      <c r="D31" s="3548" t="s">
        <v>1411</v>
      </c>
      <c r="E31" s="3564">
        <v>16815.8</v>
      </c>
      <c r="F31" s="3565"/>
      <c r="G31" s="3564">
        <f t="shared" si="0"/>
        <v>16815.8</v>
      </c>
      <c r="H31" s="3565"/>
      <c r="I31" s="3565"/>
      <c r="J31" s="3565"/>
      <c r="K31" s="3565"/>
      <c r="L31" s="3647">
        <f t="shared" si="16"/>
        <v>50</v>
      </c>
      <c r="M31" s="3566"/>
      <c r="N31" s="3565"/>
      <c r="O31" s="3565"/>
      <c r="P31" s="3549">
        <f t="shared" si="1"/>
        <v>50</v>
      </c>
      <c r="Q31" s="3265">
        <f>190</f>
        <v>190</v>
      </c>
      <c r="R31" s="3568">
        <v>1.06</v>
      </c>
      <c r="S31" s="3568">
        <f t="shared" si="2"/>
        <v>201.4</v>
      </c>
      <c r="T31" s="3569">
        <f t="shared" si="17"/>
        <v>225.56800000000004</v>
      </c>
      <c r="U31" s="3567">
        <f t="shared" si="3"/>
        <v>11278.400000000001</v>
      </c>
      <c r="V31" s="3567"/>
      <c r="W31" s="3567">
        <f t="shared" si="4"/>
        <v>11278.400000000001</v>
      </c>
      <c r="X31" s="3570"/>
      <c r="Y31" s="3570"/>
      <c r="Z31" s="3567">
        <f>Q31*$Z$4</f>
        <v>201.4</v>
      </c>
      <c r="AA31" s="3567">
        <f>ROUND(P31*Z31,0)</f>
        <v>10070</v>
      </c>
      <c r="AB31" s="3567"/>
      <c r="AC31" s="3567">
        <f>AA31-AB31</f>
        <v>10070</v>
      </c>
      <c r="AD31" s="3567">
        <f>Z31*$AD$4</f>
        <v>211.47000000000003</v>
      </c>
      <c r="AE31" s="3567">
        <f>ROUND(P31*AD31,0)</f>
        <v>10574</v>
      </c>
      <c r="AF31" s="3567"/>
      <c r="AG31" s="3571">
        <f>AE31-AF31</f>
        <v>10574</v>
      </c>
      <c r="AH31" s="3571">
        <v>1.1200000000000001</v>
      </c>
      <c r="AI31" s="3004"/>
      <c r="AJ31" s="2995">
        <v>1.1200000000000001</v>
      </c>
      <c r="AK31" s="3004">
        <v>100</v>
      </c>
      <c r="AL31" s="3004">
        <f t="shared" si="11"/>
        <v>22556.800000000003</v>
      </c>
      <c r="AM31" s="3004">
        <v>50</v>
      </c>
      <c r="AN31" s="3004">
        <f t="shared" si="12"/>
        <v>11278.400000000001</v>
      </c>
      <c r="AO31" s="3004">
        <v>100</v>
      </c>
      <c r="AP31" s="3004">
        <f t="shared" si="13"/>
        <v>22556.800000000003</v>
      </c>
      <c r="AQ31" s="3004">
        <v>50</v>
      </c>
      <c r="AR31" s="3004">
        <f t="shared" si="18"/>
        <v>11278.400000000001</v>
      </c>
      <c r="AS31" s="2995"/>
      <c r="AT31" s="2995"/>
      <c r="AU31" s="2995"/>
      <c r="AV31" s="2983">
        <f t="shared" si="14"/>
        <v>-250</v>
      </c>
      <c r="AW31" s="3595">
        <f t="shared" si="19"/>
        <v>225.57</v>
      </c>
      <c r="AX31" s="3595">
        <f t="shared" si="15"/>
        <v>11278.5</v>
      </c>
      <c r="AY31" s="3595">
        <f t="shared" si="20"/>
        <v>22557</v>
      </c>
      <c r="AZ31" s="3595">
        <f t="shared" si="21"/>
        <v>11278.5</v>
      </c>
      <c r="BA31" s="3595">
        <f t="shared" si="22"/>
        <v>22557</v>
      </c>
      <c r="BB31" s="3595">
        <f t="shared" si="23"/>
        <v>11278.5</v>
      </c>
      <c r="BC31" s="2983">
        <f t="shared" si="24"/>
        <v>67671</v>
      </c>
      <c r="BD31" s="2983">
        <f t="shared" si="25"/>
        <v>-56392.5</v>
      </c>
    </row>
    <row r="32" spans="1:56" ht="25.5">
      <c r="A32" s="3371">
        <v>18</v>
      </c>
      <c r="B32" s="3548" t="s">
        <v>2754</v>
      </c>
      <c r="C32" s="3548" t="s">
        <v>2754</v>
      </c>
      <c r="D32" s="3548" t="s">
        <v>1411</v>
      </c>
      <c r="E32" s="3572">
        <v>16815.8</v>
      </c>
      <c r="F32" s="3371"/>
      <c r="G32" s="3572">
        <f t="shared" si="0"/>
        <v>16815.8</v>
      </c>
      <c r="H32" s="3549"/>
      <c r="I32" s="3549"/>
      <c r="J32" s="3549"/>
      <c r="K32" s="3549"/>
      <c r="L32" s="3647">
        <f t="shared" si="16"/>
        <v>100</v>
      </c>
      <c r="M32" s="3549"/>
      <c r="N32" s="3549"/>
      <c r="O32" s="3549"/>
      <c r="P32" s="3549">
        <f t="shared" si="1"/>
        <v>100</v>
      </c>
      <c r="Q32" s="3390">
        <f>250</f>
        <v>250</v>
      </c>
      <c r="R32" s="3568">
        <v>1.06</v>
      </c>
      <c r="S32" s="3568">
        <f t="shared" si="2"/>
        <v>265</v>
      </c>
      <c r="T32" s="3569">
        <f t="shared" si="17"/>
        <v>296.8</v>
      </c>
      <c r="U32" s="3567">
        <f t="shared" si="3"/>
        <v>29680</v>
      </c>
      <c r="V32" s="3549"/>
      <c r="W32" s="3549">
        <f t="shared" si="4"/>
        <v>29680</v>
      </c>
      <c r="X32" s="3578"/>
      <c r="Y32" s="3578"/>
      <c r="Z32" s="3549"/>
      <c r="AA32" s="3549"/>
      <c r="AB32" s="3549"/>
      <c r="AC32" s="3549"/>
      <c r="AD32" s="3549"/>
      <c r="AE32" s="3549"/>
      <c r="AF32" s="3549"/>
      <c r="AG32" s="3576"/>
      <c r="AH32" s="3571">
        <v>1.1200000000000001</v>
      </c>
      <c r="AI32" s="3004"/>
      <c r="AJ32" s="2995">
        <v>1.1200000000000001</v>
      </c>
      <c r="AK32" s="3004">
        <v>200</v>
      </c>
      <c r="AL32" s="3004">
        <f t="shared" si="11"/>
        <v>59360</v>
      </c>
      <c r="AM32" s="3004">
        <v>100</v>
      </c>
      <c r="AN32" s="3004">
        <f t="shared" si="12"/>
        <v>29680</v>
      </c>
      <c r="AO32" s="3004">
        <v>200</v>
      </c>
      <c r="AP32" s="3004">
        <f t="shared" si="13"/>
        <v>59360</v>
      </c>
      <c r="AQ32" s="3004">
        <v>100</v>
      </c>
      <c r="AR32" s="3004">
        <f t="shared" si="18"/>
        <v>29680</v>
      </c>
      <c r="AS32" s="2995"/>
      <c r="AT32" s="2995"/>
      <c r="AU32" s="2995"/>
      <c r="AV32" s="2983">
        <f t="shared" si="14"/>
        <v>-500</v>
      </c>
      <c r="AW32" s="3595">
        <f t="shared" si="19"/>
        <v>296.8</v>
      </c>
      <c r="AX32" s="3595">
        <f t="shared" si="15"/>
        <v>29680</v>
      </c>
      <c r="AY32" s="3595">
        <f t="shared" si="20"/>
        <v>59360</v>
      </c>
      <c r="AZ32" s="3595">
        <f t="shared" si="21"/>
        <v>29680</v>
      </c>
      <c r="BA32" s="3595">
        <f t="shared" si="22"/>
        <v>59360</v>
      </c>
      <c r="BB32" s="3595">
        <f t="shared" si="23"/>
        <v>29680</v>
      </c>
      <c r="BC32" s="2983">
        <f t="shared" si="24"/>
        <v>178080</v>
      </c>
      <c r="BD32" s="2983">
        <f t="shared" si="25"/>
        <v>-148400</v>
      </c>
    </row>
    <row r="33" spans="1:56" ht="12.75">
      <c r="A33" s="3371">
        <v>19</v>
      </c>
      <c r="B33" s="3548" t="s">
        <v>2757</v>
      </c>
      <c r="C33" s="3548" t="s">
        <v>2757</v>
      </c>
      <c r="D33" s="3548" t="s">
        <v>1411</v>
      </c>
      <c r="E33" s="3564">
        <v>16815.8</v>
      </c>
      <c r="F33" s="3565"/>
      <c r="G33" s="3564">
        <f t="shared" si="0"/>
        <v>16815.8</v>
      </c>
      <c r="H33" s="3565"/>
      <c r="I33" s="3565"/>
      <c r="J33" s="3565"/>
      <c r="K33" s="3565"/>
      <c r="L33" s="3647">
        <f t="shared" si="16"/>
        <v>11</v>
      </c>
      <c r="M33" s="3566"/>
      <c r="N33" s="3565"/>
      <c r="O33" s="3565"/>
      <c r="P33" s="3549">
        <f t="shared" si="1"/>
        <v>11</v>
      </c>
      <c r="Q33" s="3577">
        <f>80</f>
        <v>80</v>
      </c>
      <c r="R33" s="3568">
        <v>1.06</v>
      </c>
      <c r="S33" s="3568">
        <f t="shared" si="2"/>
        <v>84.800000000000011</v>
      </c>
      <c r="T33" s="3569">
        <f t="shared" si="17"/>
        <v>94.976000000000028</v>
      </c>
      <c r="U33" s="3567">
        <f t="shared" si="3"/>
        <v>1044.7360000000003</v>
      </c>
      <c r="V33" s="3567"/>
      <c r="W33" s="3567">
        <f t="shared" si="4"/>
        <v>1044.7360000000003</v>
      </c>
      <c r="X33" s="3570"/>
      <c r="Y33" s="3570"/>
      <c r="Z33" s="3567">
        <f t="shared" ref="Z33:Z75" si="26">Q33*$Z$4</f>
        <v>84.800000000000011</v>
      </c>
      <c r="AA33" s="3567">
        <f t="shared" ref="AA33:AA75" si="27">ROUND(P33*Z33,0)</f>
        <v>933</v>
      </c>
      <c r="AB33" s="3567"/>
      <c r="AC33" s="3567">
        <f t="shared" ref="AC33:AC55" si="28">AA33-AB33</f>
        <v>933</v>
      </c>
      <c r="AD33" s="3567">
        <f t="shared" ref="AD33:AD75" si="29">Z33*$AD$4</f>
        <v>89.04000000000002</v>
      </c>
      <c r="AE33" s="3567">
        <f t="shared" ref="AE33:AE75" si="30">ROUND(P33*AD33,0)</f>
        <v>979</v>
      </c>
      <c r="AF33" s="3567"/>
      <c r="AG33" s="3571">
        <f t="shared" ref="AG33:AG55" si="31">AE33-AF33</f>
        <v>979</v>
      </c>
      <c r="AH33" s="3571">
        <v>1.1200000000000001</v>
      </c>
      <c r="AI33" s="3004"/>
      <c r="AJ33" s="2995">
        <v>1.1200000000000001</v>
      </c>
      <c r="AK33" s="3004">
        <v>22</v>
      </c>
      <c r="AL33" s="3004">
        <f t="shared" si="11"/>
        <v>2089.4720000000007</v>
      </c>
      <c r="AM33" s="3004">
        <v>11</v>
      </c>
      <c r="AN33" s="3004">
        <f t="shared" si="12"/>
        <v>1044.7360000000003</v>
      </c>
      <c r="AO33" s="3004">
        <v>22</v>
      </c>
      <c r="AP33" s="3004">
        <f t="shared" si="13"/>
        <v>2089.4720000000007</v>
      </c>
      <c r="AQ33" s="3004">
        <v>11</v>
      </c>
      <c r="AR33" s="3004">
        <f t="shared" si="18"/>
        <v>1044.7360000000003</v>
      </c>
      <c r="AS33" s="2995"/>
      <c r="AT33" s="2995"/>
      <c r="AU33" s="2995"/>
      <c r="AV33" s="2983">
        <f t="shared" si="14"/>
        <v>-55</v>
      </c>
      <c r="AW33" s="3595">
        <f t="shared" si="19"/>
        <v>94.98</v>
      </c>
      <c r="AX33" s="3595">
        <f t="shared" si="15"/>
        <v>1044.78</v>
      </c>
      <c r="AY33" s="3595">
        <f t="shared" si="20"/>
        <v>2089.56</v>
      </c>
      <c r="AZ33" s="3595">
        <f t="shared" si="21"/>
        <v>1044.78</v>
      </c>
      <c r="BA33" s="3595">
        <f t="shared" si="22"/>
        <v>2089.56</v>
      </c>
      <c r="BB33" s="3595">
        <f t="shared" si="23"/>
        <v>1044.78</v>
      </c>
      <c r="BC33" s="2983">
        <f t="shared" si="24"/>
        <v>6268.68</v>
      </c>
      <c r="BD33" s="2983">
        <f t="shared" si="25"/>
        <v>-5223.9000000000005</v>
      </c>
    </row>
    <row r="34" spans="1:56" ht="12.75" hidden="1">
      <c r="A34" s="3371">
        <v>26</v>
      </c>
      <c r="B34" s="3548" t="s">
        <v>2414</v>
      </c>
      <c r="C34" s="3548" t="s">
        <v>2952</v>
      </c>
      <c r="D34" s="3548" t="s">
        <v>1022</v>
      </c>
      <c r="E34" s="3572">
        <v>16815.8</v>
      </c>
      <c r="F34" s="3549"/>
      <c r="G34" s="3572">
        <f t="shared" si="0"/>
        <v>16815.8</v>
      </c>
      <c r="H34" s="3549"/>
      <c r="I34" s="3573"/>
      <c r="J34" s="3573"/>
      <c r="K34" s="3549"/>
      <c r="L34" s="3647">
        <f t="shared" si="16"/>
        <v>0</v>
      </c>
      <c r="M34" s="3549"/>
      <c r="N34" s="3549"/>
      <c r="O34" s="3549"/>
      <c r="P34" s="3549">
        <f t="shared" si="1"/>
        <v>0</v>
      </c>
      <c r="Q34" s="3577">
        <f>800</f>
        <v>800</v>
      </c>
      <c r="R34" s="3568">
        <v>1.06</v>
      </c>
      <c r="S34" s="3568">
        <f t="shared" si="2"/>
        <v>848</v>
      </c>
      <c r="T34" s="3569">
        <f t="shared" si="17"/>
        <v>949.7600000000001</v>
      </c>
      <c r="U34" s="3567">
        <f t="shared" si="3"/>
        <v>0</v>
      </c>
      <c r="V34" s="3567"/>
      <c r="W34" s="3567">
        <f t="shared" si="4"/>
        <v>0</v>
      </c>
      <c r="X34" s="3570"/>
      <c r="Y34" s="3570"/>
      <c r="Z34" s="3567">
        <f t="shared" si="26"/>
        <v>848</v>
      </c>
      <c r="AA34" s="3567">
        <f t="shared" si="27"/>
        <v>0</v>
      </c>
      <c r="AB34" s="3567"/>
      <c r="AC34" s="3567">
        <f t="shared" si="28"/>
        <v>0</v>
      </c>
      <c r="AD34" s="3567">
        <f t="shared" si="29"/>
        <v>890.40000000000009</v>
      </c>
      <c r="AE34" s="3567">
        <f t="shared" si="30"/>
        <v>0</v>
      </c>
      <c r="AF34" s="3567"/>
      <c r="AG34" s="3571">
        <f t="shared" si="31"/>
        <v>0</v>
      </c>
      <c r="AH34" s="3571">
        <v>1.1200000000000001</v>
      </c>
      <c r="AI34" s="3004"/>
      <c r="AJ34" s="2995">
        <v>1.1200000000000001</v>
      </c>
      <c r="AK34" s="3004">
        <v>20</v>
      </c>
      <c r="AL34" s="3004">
        <f t="shared" si="11"/>
        <v>18995.2</v>
      </c>
      <c r="AM34" s="3004">
        <v>20</v>
      </c>
      <c r="AN34" s="3004">
        <f t="shared" si="12"/>
        <v>18995.2</v>
      </c>
      <c r="AO34" s="3004">
        <v>20</v>
      </c>
      <c r="AP34" s="3004">
        <f t="shared" si="13"/>
        <v>18995.2</v>
      </c>
      <c r="AQ34" s="3004"/>
      <c r="AR34" s="3004">
        <f t="shared" si="18"/>
        <v>0</v>
      </c>
      <c r="AS34" s="2995"/>
      <c r="AT34" s="2995"/>
      <c r="AU34" s="2995"/>
      <c r="AV34" s="2983">
        <f t="shared" si="14"/>
        <v>-60</v>
      </c>
      <c r="AW34" s="3595">
        <f t="shared" si="19"/>
        <v>949.76</v>
      </c>
      <c r="AX34" s="3595">
        <f t="shared" si="15"/>
        <v>0</v>
      </c>
      <c r="AY34" s="3595">
        <f t="shared" si="20"/>
        <v>18995.2</v>
      </c>
      <c r="AZ34" s="3595">
        <f t="shared" si="21"/>
        <v>18995.2</v>
      </c>
      <c r="BA34" s="3595">
        <f t="shared" si="22"/>
        <v>18995.2</v>
      </c>
      <c r="BB34" s="3595">
        <f t="shared" si="23"/>
        <v>0</v>
      </c>
      <c r="BC34" s="2983">
        <f t="shared" si="24"/>
        <v>56985.600000000006</v>
      </c>
      <c r="BD34" s="2983">
        <f t="shared" si="25"/>
        <v>-56985.600000000006</v>
      </c>
    </row>
    <row r="35" spans="1:56" ht="33" hidden="1" customHeight="1">
      <c r="A35" s="3371">
        <v>27</v>
      </c>
      <c r="B35" s="3548" t="s">
        <v>2414</v>
      </c>
      <c r="C35" s="3548" t="s">
        <v>2953</v>
      </c>
      <c r="D35" s="3548" t="s">
        <v>1022</v>
      </c>
      <c r="E35" s="3564">
        <v>16815.8</v>
      </c>
      <c r="F35" s="3567"/>
      <c r="G35" s="3564">
        <f t="shared" si="0"/>
        <v>16815.8</v>
      </c>
      <c r="H35" s="3567"/>
      <c r="I35" s="3565"/>
      <c r="J35" s="3565"/>
      <c r="K35" s="3567"/>
      <c r="L35" s="3647">
        <f t="shared" si="16"/>
        <v>0</v>
      </c>
      <c r="M35" s="3566"/>
      <c r="N35" s="3567"/>
      <c r="O35" s="3567"/>
      <c r="P35" s="3549">
        <f t="shared" si="1"/>
        <v>0</v>
      </c>
      <c r="Q35" s="3577">
        <f>900</f>
        <v>900</v>
      </c>
      <c r="R35" s="3568">
        <v>1.06</v>
      </c>
      <c r="S35" s="3568">
        <f t="shared" si="2"/>
        <v>954</v>
      </c>
      <c r="T35" s="3569">
        <f t="shared" si="17"/>
        <v>1068.48</v>
      </c>
      <c r="U35" s="3567">
        <f t="shared" si="3"/>
        <v>0</v>
      </c>
      <c r="V35" s="3567"/>
      <c r="W35" s="3567">
        <f t="shared" si="4"/>
        <v>0</v>
      </c>
      <c r="X35" s="3570"/>
      <c r="Y35" s="3570"/>
      <c r="Z35" s="3567">
        <f t="shared" si="26"/>
        <v>954</v>
      </c>
      <c r="AA35" s="3567">
        <f t="shared" si="27"/>
        <v>0</v>
      </c>
      <c r="AB35" s="3567"/>
      <c r="AC35" s="3567">
        <f t="shared" si="28"/>
        <v>0</v>
      </c>
      <c r="AD35" s="3567">
        <f t="shared" si="29"/>
        <v>1001.7</v>
      </c>
      <c r="AE35" s="3567">
        <f t="shared" si="30"/>
        <v>0</v>
      </c>
      <c r="AF35" s="3567"/>
      <c r="AG35" s="3571">
        <f t="shared" si="31"/>
        <v>0</v>
      </c>
      <c r="AH35" s="3571">
        <v>1.1200000000000001</v>
      </c>
      <c r="AI35" s="3004"/>
      <c r="AJ35" s="2995">
        <v>1.1200000000000001</v>
      </c>
      <c r="AK35" s="3004">
        <v>10</v>
      </c>
      <c r="AL35" s="3004">
        <f t="shared" si="11"/>
        <v>10684.8</v>
      </c>
      <c r="AM35" s="3004">
        <v>10</v>
      </c>
      <c r="AN35" s="3004">
        <f t="shared" si="12"/>
        <v>10684.8</v>
      </c>
      <c r="AO35" s="3004">
        <v>10</v>
      </c>
      <c r="AP35" s="3004">
        <f t="shared" si="13"/>
        <v>10684.8</v>
      </c>
      <c r="AQ35" s="3004"/>
      <c r="AR35" s="3004">
        <f t="shared" si="18"/>
        <v>0</v>
      </c>
      <c r="AS35" s="2995"/>
      <c r="AT35" s="2995"/>
      <c r="AU35" s="2995"/>
      <c r="AV35" s="2983">
        <f t="shared" si="14"/>
        <v>-30</v>
      </c>
      <c r="AW35" s="3595">
        <f t="shared" si="19"/>
        <v>1068.48</v>
      </c>
      <c r="AX35" s="3595">
        <f t="shared" si="15"/>
        <v>0</v>
      </c>
      <c r="AY35" s="3595">
        <f t="shared" si="20"/>
        <v>10684.8</v>
      </c>
      <c r="AZ35" s="3595">
        <f t="shared" si="21"/>
        <v>10684.8</v>
      </c>
      <c r="BA35" s="3595">
        <f t="shared" si="22"/>
        <v>10684.8</v>
      </c>
      <c r="BB35" s="3595">
        <f t="shared" si="23"/>
        <v>0</v>
      </c>
      <c r="BC35" s="2983">
        <f t="shared" si="24"/>
        <v>32054.399999999998</v>
      </c>
      <c r="BD35" s="2983">
        <f t="shared" si="25"/>
        <v>-32054.399999999998</v>
      </c>
    </row>
    <row r="36" spans="1:56" s="3421" customFormat="1" ht="12.75">
      <c r="A36" s="3371">
        <v>20</v>
      </c>
      <c r="B36" s="3547" t="s">
        <v>2954</v>
      </c>
      <c r="C36" s="3547" t="s">
        <v>2955</v>
      </c>
      <c r="D36" s="3547" t="s">
        <v>1022</v>
      </c>
      <c r="E36" s="3564">
        <v>16815.8</v>
      </c>
      <c r="F36" s="3567"/>
      <c r="G36" s="3564">
        <f t="shared" si="0"/>
        <v>16815.8</v>
      </c>
      <c r="H36" s="3567"/>
      <c r="I36" s="3565"/>
      <c r="J36" s="3565"/>
      <c r="K36" s="3567"/>
      <c r="L36" s="3647">
        <f t="shared" si="16"/>
        <v>5</v>
      </c>
      <c r="M36" s="3566"/>
      <c r="N36" s="3567"/>
      <c r="O36" s="3567"/>
      <c r="P36" s="3549">
        <f t="shared" si="1"/>
        <v>5</v>
      </c>
      <c r="Q36" s="3265">
        <f>4300</f>
        <v>4300</v>
      </c>
      <c r="R36" s="3568">
        <v>1.06</v>
      </c>
      <c r="S36" s="3568">
        <f t="shared" si="2"/>
        <v>4558</v>
      </c>
      <c r="T36" s="3569">
        <f t="shared" si="17"/>
        <v>5104.96</v>
      </c>
      <c r="U36" s="3567">
        <f t="shared" si="3"/>
        <v>25524.799999999999</v>
      </c>
      <c r="V36" s="3567"/>
      <c r="W36" s="3567">
        <f t="shared" si="4"/>
        <v>25524.799999999999</v>
      </c>
      <c r="X36" s="3570"/>
      <c r="Y36" s="3570"/>
      <c r="Z36" s="3567">
        <f t="shared" si="26"/>
        <v>4558</v>
      </c>
      <c r="AA36" s="3567">
        <f t="shared" si="27"/>
        <v>22790</v>
      </c>
      <c r="AB36" s="3567"/>
      <c r="AC36" s="3567">
        <f t="shared" si="28"/>
        <v>22790</v>
      </c>
      <c r="AD36" s="3567">
        <f t="shared" si="29"/>
        <v>4785.9000000000005</v>
      </c>
      <c r="AE36" s="3567">
        <f t="shared" si="30"/>
        <v>23930</v>
      </c>
      <c r="AF36" s="3567"/>
      <c r="AG36" s="3571">
        <f t="shared" si="31"/>
        <v>23930</v>
      </c>
      <c r="AH36" s="3571">
        <v>1.1200000000000001</v>
      </c>
      <c r="AI36" s="3004"/>
      <c r="AJ36" s="2995">
        <v>1.1200000000000001</v>
      </c>
      <c r="AK36" s="3004">
        <v>5</v>
      </c>
      <c r="AL36" s="3004">
        <f t="shared" si="11"/>
        <v>25524.799999999999</v>
      </c>
      <c r="AM36" s="3004">
        <v>5</v>
      </c>
      <c r="AN36" s="3004">
        <f t="shared" si="12"/>
        <v>25524.799999999999</v>
      </c>
      <c r="AO36" s="3004">
        <v>5</v>
      </c>
      <c r="AP36" s="3004">
        <f t="shared" si="13"/>
        <v>25524.799999999999</v>
      </c>
      <c r="AQ36" s="3004">
        <v>5</v>
      </c>
      <c r="AR36" s="3004">
        <f t="shared" si="18"/>
        <v>25524.799999999999</v>
      </c>
      <c r="AS36" s="2995"/>
      <c r="AV36" s="2983">
        <f t="shared" si="14"/>
        <v>-15</v>
      </c>
      <c r="AW36" s="3595">
        <f t="shared" si="19"/>
        <v>5104.96</v>
      </c>
      <c r="AX36" s="3595">
        <f t="shared" si="15"/>
        <v>25524.799999999999</v>
      </c>
      <c r="AY36" s="3595">
        <f t="shared" si="20"/>
        <v>25524.799999999999</v>
      </c>
      <c r="AZ36" s="3595">
        <f t="shared" si="21"/>
        <v>25524.799999999999</v>
      </c>
      <c r="BA36" s="3595">
        <f t="shared" si="22"/>
        <v>25524.799999999999</v>
      </c>
      <c r="BB36" s="3595">
        <f t="shared" si="23"/>
        <v>25524.799999999999</v>
      </c>
      <c r="BC36" s="2983">
        <f t="shared" si="24"/>
        <v>102099.2</v>
      </c>
      <c r="BD36" s="2983">
        <f t="shared" si="25"/>
        <v>-76574.399999999994</v>
      </c>
    </row>
    <row r="37" spans="1:56" ht="25.5">
      <c r="A37" s="3371">
        <v>21</v>
      </c>
      <c r="B37" s="3547" t="s">
        <v>2956</v>
      </c>
      <c r="C37" s="3547" t="s">
        <v>2957</v>
      </c>
      <c r="D37" s="3547" t="s">
        <v>1022</v>
      </c>
      <c r="E37" s="3564">
        <v>16815.8</v>
      </c>
      <c r="F37" s="3567"/>
      <c r="G37" s="3564">
        <f t="shared" si="0"/>
        <v>16815.8</v>
      </c>
      <c r="H37" s="3567"/>
      <c r="I37" s="3565"/>
      <c r="J37" s="3565"/>
      <c r="K37" s="3567"/>
      <c r="L37" s="3647">
        <f t="shared" si="16"/>
        <v>5</v>
      </c>
      <c r="M37" s="3566"/>
      <c r="N37" s="3567"/>
      <c r="O37" s="3567"/>
      <c r="P37" s="3549">
        <f t="shared" si="1"/>
        <v>5</v>
      </c>
      <c r="Q37" s="3577">
        <f>5800</f>
        <v>5800</v>
      </c>
      <c r="R37" s="3568">
        <v>1.06</v>
      </c>
      <c r="S37" s="3568">
        <f t="shared" si="2"/>
        <v>6148</v>
      </c>
      <c r="T37" s="3569">
        <f t="shared" si="17"/>
        <v>6885.76</v>
      </c>
      <c r="U37" s="3567">
        <f t="shared" si="3"/>
        <v>34428.800000000003</v>
      </c>
      <c r="V37" s="3567"/>
      <c r="W37" s="3567">
        <f t="shared" si="4"/>
        <v>34428.800000000003</v>
      </c>
      <c r="X37" s="3570"/>
      <c r="Y37" s="3570"/>
      <c r="Z37" s="3567">
        <f t="shared" si="26"/>
        <v>6148</v>
      </c>
      <c r="AA37" s="3567">
        <f t="shared" si="27"/>
        <v>30740</v>
      </c>
      <c r="AB37" s="3567"/>
      <c r="AC37" s="3567">
        <f t="shared" si="28"/>
        <v>30740</v>
      </c>
      <c r="AD37" s="3567">
        <f t="shared" si="29"/>
        <v>6455.4000000000005</v>
      </c>
      <c r="AE37" s="3567">
        <f t="shared" si="30"/>
        <v>32277</v>
      </c>
      <c r="AF37" s="3567"/>
      <c r="AG37" s="3571">
        <f t="shared" si="31"/>
        <v>32277</v>
      </c>
      <c r="AH37" s="3571">
        <v>1.1200000000000001</v>
      </c>
      <c r="AI37" s="3004"/>
      <c r="AJ37" s="2995">
        <v>1.1200000000000001</v>
      </c>
      <c r="AK37" s="3004">
        <v>5</v>
      </c>
      <c r="AL37" s="3004">
        <f t="shared" si="11"/>
        <v>34428.800000000003</v>
      </c>
      <c r="AM37" s="3004">
        <v>5</v>
      </c>
      <c r="AN37" s="3004">
        <f t="shared" si="12"/>
        <v>34428.800000000003</v>
      </c>
      <c r="AO37" s="3004">
        <v>5</v>
      </c>
      <c r="AP37" s="3004">
        <f t="shared" si="13"/>
        <v>34428.800000000003</v>
      </c>
      <c r="AQ37" s="3004">
        <v>5</v>
      </c>
      <c r="AR37" s="3004">
        <f t="shared" si="18"/>
        <v>34428.800000000003</v>
      </c>
      <c r="AS37" s="2995"/>
      <c r="AT37" s="2995"/>
      <c r="AU37" s="2995"/>
      <c r="AV37" s="2983">
        <f t="shared" si="14"/>
        <v>-15</v>
      </c>
      <c r="AW37" s="3595">
        <f t="shared" si="19"/>
        <v>6885.76</v>
      </c>
      <c r="AX37" s="3595">
        <f t="shared" si="15"/>
        <v>34428.800000000003</v>
      </c>
      <c r="AY37" s="3595">
        <f t="shared" si="20"/>
        <v>34428.800000000003</v>
      </c>
      <c r="AZ37" s="3595">
        <f t="shared" si="21"/>
        <v>34428.800000000003</v>
      </c>
      <c r="BA37" s="3595">
        <f t="shared" si="22"/>
        <v>34428.800000000003</v>
      </c>
      <c r="BB37" s="3595">
        <f t="shared" si="23"/>
        <v>34428.800000000003</v>
      </c>
      <c r="BC37" s="2983">
        <f t="shared" si="24"/>
        <v>137715.20000000001</v>
      </c>
      <c r="BD37" s="2983">
        <f t="shared" si="25"/>
        <v>-103286.40000000001</v>
      </c>
    </row>
    <row r="38" spans="1:56" ht="38.25">
      <c r="A38" s="3371">
        <v>22</v>
      </c>
      <c r="B38" s="3548" t="s">
        <v>2760</v>
      </c>
      <c r="C38" s="3548" t="s">
        <v>2395</v>
      </c>
      <c r="D38" s="3548" t="s">
        <v>1268</v>
      </c>
      <c r="E38" s="3564">
        <v>16815.8</v>
      </c>
      <c r="F38" s="3567"/>
      <c r="G38" s="3564">
        <f t="shared" si="0"/>
        <v>16815.8</v>
      </c>
      <c r="H38" s="3567"/>
      <c r="I38" s="3565"/>
      <c r="J38" s="3565"/>
      <c r="K38" s="3567"/>
      <c r="L38" s="3647">
        <f t="shared" si="16"/>
        <v>4</v>
      </c>
      <c r="M38" s="3566"/>
      <c r="N38" s="3567"/>
      <c r="O38" s="3567"/>
      <c r="P38" s="3549">
        <f t="shared" si="1"/>
        <v>4</v>
      </c>
      <c r="Q38" s="3577">
        <f>2300</f>
        <v>2300</v>
      </c>
      <c r="R38" s="3568">
        <v>1.06</v>
      </c>
      <c r="S38" s="3568">
        <f t="shared" si="2"/>
        <v>2438</v>
      </c>
      <c r="T38" s="3569">
        <f t="shared" si="17"/>
        <v>2730.5600000000004</v>
      </c>
      <c r="U38" s="3567">
        <f t="shared" si="3"/>
        <v>10922.240000000002</v>
      </c>
      <c r="V38" s="3567"/>
      <c r="W38" s="3567">
        <f t="shared" si="4"/>
        <v>10922.240000000002</v>
      </c>
      <c r="X38" s="3570"/>
      <c r="Y38" s="3570"/>
      <c r="Z38" s="3567">
        <f t="shared" si="26"/>
        <v>2438</v>
      </c>
      <c r="AA38" s="3567">
        <f t="shared" si="27"/>
        <v>9752</v>
      </c>
      <c r="AB38" s="3567"/>
      <c r="AC38" s="3567">
        <f t="shared" si="28"/>
        <v>9752</v>
      </c>
      <c r="AD38" s="3567">
        <f t="shared" si="29"/>
        <v>2559.9</v>
      </c>
      <c r="AE38" s="3567">
        <f t="shared" si="30"/>
        <v>10240</v>
      </c>
      <c r="AF38" s="3567"/>
      <c r="AG38" s="3571">
        <f t="shared" si="31"/>
        <v>10240</v>
      </c>
      <c r="AH38" s="3571">
        <v>1.1200000000000001</v>
      </c>
      <c r="AI38" s="3004"/>
      <c r="AJ38" s="2995">
        <v>1.1200000000000001</v>
      </c>
      <c r="AK38" s="3004">
        <v>10</v>
      </c>
      <c r="AL38" s="3004">
        <f t="shared" si="11"/>
        <v>27305.600000000006</v>
      </c>
      <c r="AM38" s="3004">
        <v>4</v>
      </c>
      <c r="AN38" s="3004">
        <f t="shared" si="12"/>
        <v>10922.240000000002</v>
      </c>
      <c r="AO38" s="3004">
        <v>10</v>
      </c>
      <c r="AP38" s="3004">
        <f t="shared" si="13"/>
        <v>27305.600000000006</v>
      </c>
      <c r="AQ38" s="3004">
        <v>4</v>
      </c>
      <c r="AR38" s="3004">
        <f t="shared" si="18"/>
        <v>10922.240000000002</v>
      </c>
      <c r="AS38" s="2995"/>
      <c r="AT38" s="2995"/>
      <c r="AU38" s="2995"/>
      <c r="AV38" s="2983">
        <f t="shared" si="14"/>
        <v>-24</v>
      </c>
      <c r="AW38" s="3595">
        <f t="shared" si="19"/>
        <v>2730.56</v>
      </c>
      <c r="AX38" s="3595">
        <f t="shared" si="15"/>
        <v>10922.24</v>
      </c>
      <c r="AY38" s="3595">
        <f t="shared" si="20"/>
        <v>27305.599999999999</v>
      </c>
      <c r="AZ38" s="3595">
        <f t="shared" si="21"/>
        <v>10922.24</v>
      </c>
      <c r="BA38" s="3595">
        <f t="shared" si="22"/>
        <v>27305.599999999999</v>
      </c>
      <c r="BB38" s="3595">
        <f t="shared" si="23"/>
        <v>10922.24</v>
      </c>
      <c r="BC38" s="2983">
        <f t="shared" si="24"/>
        <v>76455.679999999993</v>
      </c>
      <c r="BD38" s="2983">
        <f t="shared" si="25"/>
        <v>-65533.439999999995</v>
      </c>
    </row>
    <row r="39" spans="1:56" ht="25.5" hidden="1">
      <c r="A39" s="3371">
        <v>31</v>
      </c>
      <c r="B39" s="3548" t="s">
        <v>2958</v>
      </c>
      <c r="C39" s="3548" t="s">
        <v>2959</v>
      </c>
      <c r="D39" s="3548" t="s">
        <v>1022</v>
      </c>
      <c r="E39" s="3564">
        <v>16815.8</v>
      </c>
      <c r="F39" s="3565"/>
      <c r="G39" s="3564">
        <f t="shared" si="0"/>
        <v>16815.8</v>
      </c>
      <c r="H39" s="3565"/>
      <c r="I39" s="3565"/>
      <c r="J39" s="3565"/>
      <c r="K39" s="3565"/>
      <c r="L39" s="3647">
        <f t="shared" si="16"/>
        <v>0</v>
      </c>
      <c r="M39" s="3566"/>
      <c r="N39" s="3565"/>
      <c r="O39" s="3565"/>
      <c r="P39" s="3549">
        <f t="shared" si="1"/>
        <v>0</v>
      </c>
      <c r="Q39" s="3577">
        <f>1000</f>
        <v>1000</v>
      </c>
      <c r="R39" s="3568">
        <v>1.06</v>
      </c>
      <c r="S39" s="3568">
        <f t="shared" si="2"/>
        <v>1060</v>
      </c>
      <c r="T39" s="3569">
        <f t="shared" si="17"/>
        <v>1187.2</v>
      </c>
      <c r="U39" s="3567">
        <f t="shared" si="3"/>
        <v>0</v>
      </c>
      <c r="V39" s="3567"/>
      <c r="W39" s="3567">
        <f t="shared" si="4"/>
        <v>0</v>
      </c>
      <c r="X39" s="3570"/>
      <c r="Y39" s="3570"/>
      <c r="Z39" s="3567">
        <f t="shared" si="26"/>
        <v>1060</v>
      </c>
      <c r="AA39" s="3567">
        <f t="shared" si="27"/>
        <v>0</v>
      </c>
      <c r="AB39" s="3567"/>
      <c r="AC39" s="3567">
        <f t="shared" si="28"/>
        <v>0</v>
      </c>
      <c r="AD39" s="3567">
        <f t="shared" si="29"/>
        <v>1113</v>
      </c>
      <c r="AE39" s="3567">
        <f t="shared" si="30"/>
        <v>0</v>
      </c>
      <c r="AF39" s="3567"/>
      <c r="AG39" s="3571">
        <f t="shared" si="31"/>
        <v>0</v>
      </c>
      <c r="AH39" s="3571">
        <v>1.1200000000000001</v>
      </c>
      <c r="AI39" s="3004"/>
      <c r="AJ39" s="2995">
        <v>1.1200000000000001</v>
      </c>
      <c r="AK39" s="3004">
        <v>40</v>
      </c>
      <c r="AL39" s="3004">
        <f t="shared" si="11"/>
        <v>47488</v>
      </c>
      <c r="AM39" s="3004">
        <v>20</v>
      </c>
      <c r="AN39" s="3004">
        <f t="shared" si="12"/>
        <v>23744</v>
      </c>
      <c r="AO39" s="3004">
        <v>40</v>
      </c>
      <c r="AP39" s="3004">
        <f t="shared" si="13"/>
        <v>47488</v>
      </c>
      <c r="AQ39" s="3004"/>
      <c r="AR39" s="3004">
        <f t="shared" si="18"/>
        <v>0</v>
      </c>
      <c r="AS39" s="2995"/>
      <c r="AT39" s="2995"/>
      <c r="AU39" s="2995"/>
      <c r="AV39" s="2983">
        <f t="shared" si="14"/>
        <v>-100</v>
      </c>
      <c r="AW39" s="3595">
        <f t="shared" si="19"/>
        <v>1187.2</v>
      </c>
      <c r="AX39" s="3595">
        <f t="shared" si="15"/>
        <v>0</v>
      </c>
      <c r="AY39" s="3595">
        <f t="shared" si="20"/>
        <v>47488</v>
      </c>
      <c r="AZ39" s="3595">
        <f t="shared" si="21"/>
        <v>23744</v>
      </c>
      <c r="BA39" s="3595">
        <f t="shared" si="22"/>
        <v>47488</v>
      </c>
      <c r="BB39" s="3595">
        <f t="shared" si="23"/>
        <v>0</v>
      </c>
      <c r="BC39" s="2983">
        <f t="shared" si="24"/>
        <v>118720</v>
      </c>
      <c r="BD39" s="2983">
        <f t="shared" si="25"/>
        <v>-118720</v>
      </c>
    </row>
    <row r="40" spans="1:56" s="3421" customFormat="1" ht="25.5" hidden="1">
      <c r="A40" s="3371">
        <v>32</v>
      </c>
      <c r="B40" s="3548" t="s">
        <v>2769</v>
      </c>
      <c r="C40" s="3548" t="s">
        <v>2769</v>
      </c>
      <c r="D40" s="3548" t="s">
        <v>1022</v>
      </c>
      <c r="E40" s="3572">
        <v>16815.8</v>
      </c>
      <c r="F40" s="3549"/>
      <c r="G40" s="3572">
        <f t="shared" si="0"/>
        <v>16815.8</v>
      </c>
      <c r="H40" s="3549"/>
      <c r="I40" s="3573"/>
      <c r="J40" s="3573"/>
      <c r="K40" s="3549"/>
      <c r="L40" s="3647">
        <f t="shared" si="16"/>
        <v>0</v>
      </c>
      <c r="M40" s="3574"/>
      <c r="N40" s="3549"/>
      <c r="O40" s="3549"/>
      <c r="P40" s="3549">
        <f t="shared" si="1"/>
        <v>0</v>
      </c>
      <c r="Q40" s="3577">
        <f>19000</f>
        <v>19000</v>
      </c>
      <c r="R40" s="3568">
        <v>1.06</v>
      </c>
      <c r="S40" s="3568">
        <f t="shared" si="2"/>
        <v>20140</v>
      </c>
      <c r="T40" s="3569">
        <f t="shared" si="17"/>
        <v>22556.800000000003</v>
      </c>
      <c r="U40" s="3567">
        <f t="shared" si="3"/>
        <v>0</v>
      </c>
      <c r="V40" s="3549"/>
      <c r="W40" s="3549">
        <f t="shared" si="4"/>
        <v>0</v>
      </c>
      <c r="X40" s="3575">
        <v>1782</v>
      </c>
      <c r="Y40" s="3575">
        <v>1.07</v>
      </c>
      <c r="Z40" s="3549">
        <f t="shared" si="26"/>
        <v>20140</v>
      </c>
      <c r="AA40" s="3549">
        <f t="shared" si="27"/>
        <v>0</v>
      </c>
      <c r="AB40" s="3549"/>
      <c r="AC40" s="3549">
        <f t="shared" si="28"/>
        <v>0</v>
      </c>
      <c r="AD40" s="3549">
        <f t="shared" si="29"/>
        <v>21147</v>
      </c>
      <c r="AE40" s="3549">
        <f t="shared" si="30"/>
        <v>0</v>
      </c>
      <c r="AF40" s="3549"/>
      <c r="AG40" s="3576">
        <f t="shared" si="31"/>
        <v>0</v>
      </c>
      <c r="AH40" s="3571">
        <v>1.1200000000000001</v>
      </c>
      <c r="AI40" s="3004"/>
      <c r="AJ40" s="2995">
        <v>1.1200000000000001</v>
      </c>
      <c r="AK40" s="3004">
        <v>2</v>
      </c>
      <c r="AL40" s="3004">
        <f t="shared" si="11"/>
        <v>45113.600000000006</v>
      </c>
      <c r="AM40" s="3004">
        <v>1</v>
      </c>
      <c r="AN40" s="3004">
        <f t="shared" si="12"/>
        <v>22556.800000000003</v>
      </c>
      <c r="AO40" s="3004">
        <v>2</v>
      </c>
      <c r="AP40" s="3004">
        <f t="shared" si="13"/>
        <v>45113.600000000006</v>
      </c>
      <c r="AQ40" s="3004"/>
      <c r="AR40" s="3004">
        <f t="shared" si="18"/>
        <v>0</v>
      </c>
      <c r="AS40" s="2995"/>
      <c r="AV40" s="2983">
        <f t="shared" si="14"/>
        <v>-5</v>
      </c>
      <c r="AW40" s="3595">
        <f t="shared" si="19"/>
        <v>22556.799999999999</v>
      </c>
      <c r="AX40" s="3595">
        <f t="shared" si="15"/>
        <v>0</v>
      </c>
      <c r="AY40" s="3595">
        <f t="shared" si="20"/>
        <v>45113.599999999999</v>
      </c>
      <c r="AZ40" s="3595">
        <f t="shared" si="21"/>
        <v>22556.799999999999</v>
      </c>
      <c r="BA40" s="3595">
        <f t="shared" si="22"/>
        <v>45113.599999999999</v>
      </c>
      <c r="BB40" s="3595">
        <f t="shared" si="23"/>
        <v>0</v>
      </c>
      <c r="BC40" s="2983">
        <f t="shared" si="24"/>
        <v>112784</v>
      </c>
      <c r="BD40" s="2983">
        <f t="shared" si="25"/>
        <v>-112784</v>
      </c>
    </row>
    <row r="41" spans="1:56" s="3421" customFormat="1" ht="25.5">
      <c r="A41" s="3371">
        <v>23</v>
      </c>
      <c r="B41" s="3548" t="s">
        <v>2960</v>
      </c>
      <c r="C41" s="3548" t="s">
        <v>2961</v>
      </c>
      <c r="D41" s="3548" t="s">
        <v>1022</v>
      </c>
      <c r="E41" s="3564">
        <v>16815.8</v>
      </c>
      <c r="F41" s="3567"/>
      <c r="G41" s="3564">
        <f t="shared" si="0"/>
        <v>16815.8</v>
      </c>
      <c r="H41" s="3567"/>
      <c r="I41" s="3565"/>
      <c r="J41" s="3565"/>
      <c r="K41" s="3567"/>
      <c r="L41" s="3647">
        <f t="shared" si="16"/>
        <v>3</v>
      </c>
      <c r="M41" s="3566"/>
      <c r="N41" s="3567"/>
      <c r="O41" s="3567"/>
      <c r="P41" s="3549">
        <f t="shared" ref="P41:P63" si="32">L41-N41-O41</f>
        <v>3</v>
      </c>
      <c r="Q41" s="3577">
        <f>1500</f>
        <v>1500</v>
      </c>
      <c r="R41" s="3568">
        <v>1.06</v>
      </c>
      <c r="S41" s="3568">
        <f t="shared" ref="S41:S70" si="33">Q41*R41</f>
        <v>1590</v>
      </c>
      <c r="T41" s="3569">
        <f t="shared" ref="T41:T70" si="34">S41*AH41</f>
        <v>1780.8000000000002</v>
      </c>
      <c r="U41" s="3567">
        <f t="shared" ref="U41:U70" si="35">T41*P41</f>
        <v>5342.4000000000005</v>
      </c>
      <c r="V41" s="3567"/>
      <c r="W41" s="3567">
        <f t="shared" si="4"/>
        <v>5342.4000000000005</v>
      </c>
      <c r="X41" s="3570"/>
      <c r="Y41" s="3570"/>
      <c r="Z41" s="3567">
        <f t="shared" si="26"/>
        <v>1590</v>
      </c>
      <c r="AA41" s="3567">
        <f t="shared" si="27"/>
        <v>4770</v>
      </c>
      <c r="AB41" s="3567"/>
      <c r="AC41" s="3567">
        <f t="shared" si="28"/>
        <v>4770</v>
      </c>
      <c r="AD41" s="3567">
        <f t="shared" si="29"/>
        <v>1669.5</v>
      </c>
      <c r="AE41" s="3567">
        <f t="shared" si="30"/>
        <v>5009</v>
      </c>
      <c r="AF41" s="3567"/>
      <c r="AG41" s="3571">
        <f t="shared" si="31"/>
        <v>5009</v>
      </c>
      <c r="AH41" s="3571">
        <v>1.1200000000000001</v>
      </c>
      <c r="AI41" s="3004"/>
      <c r="AJ41" s="2995">
        <v>1.1200000000000001</v>
      </c>
      <c r="AK41" s="3004">
        <v>3</v>
      </c>
      <c r="AL41" s="3004">
        <f t="shared" ref="AL41:AL70" si="36">T41*AK41</f>
        <v>5342.4000000000005</v>
      </c>
      <c r="AM41" s="3004">
        <v>2</v>
      </c>
      <c r="AN41" s="3004">
        <f t="shared" ref="AN41:AN70" si="37">T41*AM41</f>
        <v>3561.6000000000004</v>
      </c>
      <c r="AO41" s="3004">
        <v>3</v>
      </c>
      <c r="AP41" s="3004">
        <f t="shared" ref="AP41:AP70" si="38">T41*AO41</f>
        <v>5342.4000000000005</v>
      </c>
      <c r="AQ41" s="3004">
        <v>3</v>
      </c>
      <c r="AR41" s="3004">
        <f t="shared" ref="AR41:AR69" si="39">T41*AQ41</f>
        <v>5342.4000000000005</v>
      </c>
      <c r="AS41" s="2995"/>
      <c r="AV41" s="2983">
        <f t="shared" ref="AV41:AV69" si="40">P41-AK41-AM41-AO41-AQ41</f>
        <v>-8</v>
      </c>
      <c r="AW41" s="3595">
        <f t="shared" si="19"/>
        <v>1780.8</v>
      </c>
      <c r="AX41" s="3595">
        <f t="shared" si="15"/>
        <v>5342.4</v>
      </c>
      <c r="AY41" s="3595">
        <f t="shared" si="20"/>
        <v>5342.4</v>
      </c>
      <c r="AZ41" s="3595">
        <f t="shared" si="21"/>
        <v>3561.6</v>
      </c>
      <c r="BA41" s="3595">
        <f t="shared" si="22"/>
        <v>5342.4</v>
      </c>
      <c r="BB41" s="3595">
        <f t="shared" si="23"/>
        <v>5342.4</v>
      </c>
      <c r="BC41" s="2983">
        <f t="shared" si="24"/>
        <v>19588.8</v>
      </c>
      <c r="BD41" s="2983">
        <f t="shared" si="25"/>
        <v>-14246.4</v>
      </c>
    </row>
    <row r="42" spans="1:56" s="3421" customFormat="1" ht="25.5" hidden="1">
      <c r="A42" s="3371">
        <v>34</v>
      </c>
      <c r="B42" s="3548" t="s">
        <v>2848</v>
      </c>
      <c r="C42" s="3548" t="s">
        <v>2962</v>
      </c>
      <c r="D42" s="3548" t="s">
        <v>1338</v>
      </c>
      <c r="E42" s="3564">
        <v>16815.8</v>
      </c>
      <c r="F42" s="3567"/>
      <c r="G42" s="3564">
        <f t="shared" si="0"/>
        <v>16815.8</v>
      </c>
      <c r="H42" s="3567"/>
      <c r="I42" s="3565"/>
      <c r="J42" s="3565"/>
      <c r="K42" s="3567"/>
      <c r="L42" s="3647">
        <f t="shared" si="16"/>
        <v>0</v>
      </c>
      <c r="M42" s="3566"/>
      <c r="N42" s="3567"/>
      <c r="O42" s="3567"/>
      <c r="P42" s="3549">
        <f t="shared" si="32"/>
        <v>0</v>
      </c>
      <c r="Q42" s="3577">
        <f>3500</f>
        <v>3500</v>
      </c>
      <c r="R42" s="3568">
        <v>1.06</v>
      </c>
      <c r="S42" s="3568">
        <f t="shared" si="33"/>
        <v>3710</v>
      </c>
      <c r="T42" s="3569">
        <f t="shared" si="34"/>
        <v>4155.2000000000007</v>
      </c>
      <c r="U42" s="3567">
        <f t="shared" si="35"/>
        <v>0</v>
      </c>
      <c r="V42" s="3567"/>
      <c r="W42" s="3567">
        <f t="shared" si="4"/>
        <v>0</v>
      </c>
      <c r="X42" s="3570"/>
      <c r="Y42" s="3570"/>
      <c r="Z42" s="3567">
        <f t="shared" si="26"/>
        <v>3710</v>
      </c>
      <c r="AA42" s="3567">
        <f t="shared" si="27"/>
        <v>0</v>
      </c>
      <c r="AB42" s="3567"/>
      <c r="AC42" s="3567">
        <f t="shared" si="28"/>
        <v>0</v>
      </c>
      <c r="AD42" s="3567">
        <f t="shared" si="29"/>
        <v>3895.5</v>
      </c>
      <c r="AE42" s="3567">
        <f t="shared" si="30"/>
        <v>0</v>
      </c>
      <c r="AF42" s="3567"/>
      <c r="AG42" s="3571">
        <f t="shared" si="31"/>
        <v>0</v>
      </c>
      <c r="AH42" s="3571">
        <v>1.1200000000000001</v>
      </c>
      <c r="AI42" s="3004"/>
      <c r="AJ42" s="2995">
        <v>1.1200000000000001</v>
      </c>
      <c r="AK42" s="3004">
        <v>13</v>
      </c>
      <c r="AL42" s="3004">
        <f t="shared" si="36"/>
        <v>54017.600000000006</v>
      </c>
      <c r="AM42" s="3004">
        <v>10</v>
      </c>
      <c r="AN42" s="3004">
        <f t="shared" si="37"/>
        <v>41552.000000000007</v>
      </c>
      <c r="AO42" s="3004">
        <v>13</v>
      </c>
      <c r="AP42" s="3004">
        <f t="shared" si="38"/>
        <v>54017.600000000006</v>
      </c>
      <c r="AQ42" s="3004"/>
      <c r="AR42" s="3004">
        <f t="shared" si="39"/>
        <v>0</v>
      </c>
      <c r="AS42" s="2995"/>
      <c r="AV42" s="2983">
        <f t="shared" si="40"/>
        <v>-36</v>
      </c>
      <c r="AW42" s="3595">
        <f t="shared" si="19"/>
        <v>4155.2</v>
      </c>
      <c r="AX42" s="3595">
        <f t="shared" ref="AX42:AX73" si="41">ROUND(P42*AW42,2)</f>
        <v>0</v>
      </c>
      <c r="AY42" s="3595">
        <f t="shared" si="20"/>
        <v>54017.599999999999</v>
      </c>
      <c r="AZ42" s="3595">
        <f t="shared" si="21"/>
        <v>41552</v>
      </c>
      <c r="BA42" s="3595">
        <f t="shared" si="22"/>
        <v>54017.599999999999</v>
      </c>
      <c r="BB42" s="3595">
        <f t="shared" si="23"/>
        <v>0</v>
      </c>
      <c r="BC42" s="2983">
        <f t="shared" si="24"/>
        <v>149587.20000000001</v>
      </c>
      <c r="BD42" s="2983">
        <f t="shared" si="25"/>
        <v>-149587.20000000001</v>
      </c>
    </row>
    <row r="43" spans="1:56" s="3421" customFormat="1" ht="12.75" hidden="1">
      <c r="A43" s="3371">
        <v>35</v>
      </c>
      <c r="B43" s="3547" t="s">
        <v>2963</v>
      </c>
      <c r="C43" s="3547" t="s">
        <v>2964</v>
      </c>
      <c r="D43" s="3547" t="s">
        <v>1022</v>
      </c>
      <c r="E43" s="3564">
        <v>16815.8</v>
      </c>
      <c r="F43" s="3567"/>
      <c r="G43" s="3564">
        <f t="shared" si="0"/>
        <v>16815.8</v>
      </c>
      <c r="H43" s="3567"/>
      <c r="I43" s="3565"/>
      <c r="J43" s="3565"/>
      <c r="K43" s="3567"/>
      <c r="L43" s="3647">
        <f t="shared" si="16"/>
        <v>0</v>
      </c>
      <c r="M43" s="3567"/>
      <c r="N43" s="3567"/>
      <c r="O43" s="3567"/>
      <c r="P43" s="3549">
        <f t="shared" si="32"/>
        <v>0</v>
      </c>
      <c r="Q43" s="3577">
        <f>8500</f>
        <v>8500</v>
      </c>
      <c r="R43" s="3568">
        <v>1.06</v>
      </c>
      <c r="S43" s="3568">
        <f t="shared" si="33"/>
        <v>9010</v>
      </c>
      <c r="T43" s="3569">
        <f t="shared" si="34"/>
        <v>10091.200000000001</v>
      </c>
      <c r="U43" s="3567">
        <f t="shared" si="35"/>
        <v>0</v>
      </c>
      <c r="V43" s="3567"/>
      <c r="W43" s="3567">
        <f t="shared" si="4"/>
        <v>0</v>
      </c>
      <c r="X43" s="3570"/>
      <c r="Y43" s="3570"/>
      <c r="Z43" s="3567">
        <f t="shared" si="26"/>
        <v>9010</v>
      </c>
      <c r="AA43" s="3567">
        <f t="shared" si="27"/>
        <v>0</v>
      </c>
      <c r="AB43" s="3567"/>
      <c r="AC43" s="3567">
        <f t="shared" si="28"/>
        <v>0</v>
      </c>
      <c r="AD43" s="3567">
        <f t="shared" si="29"/>
        <v>9460.5</v>
      </c>
      <c r="AE43" s="3567">
        <f t="shared" si="30"/>
        <v>0</v>
      </c>
      <c r="AF43" s="3567"/>
      <c r="AG43" s="3571">
        <f t="shared" si="31"/>
        <v>0</v>
      </c>
      <c r="AH43" s="3571">
        <v>1.1200000000000001</v>
      </c>
      <c r="AI43" s="3004"/>
      <c r="AJ43" s="2995">
        <v>1.1200000000000001</v>
      </c>
      <c r="AK43" s="3004">
        <v>1</v>
      </c>
      <c r="AL43" s="3004">
        <f t="shared" si="36"/>
        <v>10091.200000000001</v>
      </c>
      <c r="AM43" s="3004">
        <v>1</v>
      </c>
      <c r="AN43" s="3004">
        <f t="shared" si="37"/>
        <v>10091.200000000001</v>
      </c>
      <c r="AO43" s="3004">
        <v>1</v>
      </c>
      <c r="AP43" s="3004">
        <f t="shared" si="38"/>
        <v>10091.200000000001</v>
      </c>
      <c r="AQ43" s="3004"/>
      <c r="AR43" s="3004">
        <f t="shared" si="39"/>
        <v>0</v>
      </c>
      <c r="AS43" s="2995"/>
      <c r="AV43" s="2983">
        <f t="shared" si="40"/>
        <v>-3</v>
      </c>
      <c r="AW43" s="3595">
        <f t="shared" si="19"/>
        <v>10091.200000000001</v>
      </c>
      <c r="AX43" s="3595">
        <f t="shared" si="41"/>
        <v>0</v>
      </c>
      <c r="AY43" s="3595">
        <f t="shared" si="20"/>
        <v>10091.200000000001</v>
      </c>
      <c r="AZ43" s="3595">
        <f t="shared" si="21"/>
        <v>10091.200000000001</v>
      </c>
      <c r="BA43" s="3595">
        <f t="shared" si="22"/>
        <v>10091.200000000001</v>
      </c>
      <c r="BB43" s="3595">
        <f t="shared" si="23"/>
        <v>0</v>
      </c>
      <c r="BC43" s="2983">
        <f t="shared" si="24"/>
        <v>30273.600000000002</v>
      </c>
      <c r="BD43" s="2983">
        <f t="shared" si="25"/>
        <v>-30273.600000000002</v>
      </c>
    </row>
    <row r="44" spans="1:56" s="3421" customFormat="1" ht="24.75" customHeight="1">
      <c r="A44" s="3371">
        <v>24</v>
      </c>
      <c r="B44" s="3548" t="s">
        <v>2788</v>
      </c>
      <c r="C44" s="3548" t="s">
        <v>2788</v>
      </c>
      <c r="D44" s="3548" t="s">
        <v>1022</v>
      </c>
      <c r="E44" s="3572">
        <v>16815.8</v>
      </c>
      <c r="F44" s="3549"/>
      <c r="G44" s="3572">
        <f t="shared" si="0"/>
        <v>16815.8</v>
      </c>
      <c r="H44" s="3549"/>
      <c r="I44" s="3573"/>
      <c r="J44" s="3573"/>
      <c r="K44" s="3549"/>
      <c r="L44" s="3647">
        <f t="shared" si="16"/>
        <v>100</v>
      </c>
      <c r="M44" s="3574"/>
      <c r="N44" s="3549"/>
      <c r="O44" s="3549"/>
      <c r="P44" s="3549">
        <f t="shared" si="32"/>
        <v>100</v>
      </c>
      <c r="Q44" s="3580">
        <f>50</f>
        <v>50</v>
      </c>
      <c r="R44" s="3568">
        <v>1.06</v>
      </c>
      <c r="S44" s="3568">
        <f t="shared" si="33"/>
        <v>53</v>
      </c>
      <c r="T44" s="3569">
        <f t="shared" si="34"/>
        <v>59.360000000000007</v>
      </c>
      <c r="U44" s="3567">
        <f t="shared" si="35"/>
        <v>5936.0000000000009</v>
      </c>
      <c r="V44" s="3549"/>
      <c r="W44" s="3549">
        <f t="shared" si="4"/>
        <v>5936.0000000000009</v>
      </c>
      <c r="X44" s="3575">
        <v>4725</v>
      </c>
      <c r="Y44" s="3575">
        <v>1.07</v>
      </c>
      <c r="Z44" s="3549">
        <f t="shared" si="26"/>
        <v>53</v>
      </c>
      <c r="AA44" s="3549">
        <f t="shared" si="27"/>
        <v>5300</v>
      </c>
      <c r="AB44" s="3549"/>
      <c r="AC44" s="3549">
        <f t="shared" si="28"/>
        <v>5300</v>
      </c>
      <c r="AD44" s="3549">
        <f t="shared" si="29"/>
        <v>55.650000000000006</v>
      </c>
      <c r="AE44" s="3549">
        <f t="shared" si="30"/>
        <v>5565</v>
      </c>
      <c r="AF44" s="3549"/>
      <c r="AG44" s="3576">
        <f t="shared" si="31"/>
        <v>5565</v>
      </c>
      <c r="AH44" s="3571">
        <v>1.1200000000000001</v>
      </c>
      <c r="AI44" s="3004"/>
      <c r="AJ44" s="2995">
        <v>1.1200000000000001</v>
      </c>
      <c r="AK44" s="3004">
        <v>100</v>
      </c>
      <c r="AL44" s="3004">
        <f t="shared" si="36"/>
        <v>5936.0000000000009</v>
      </c>
      <c r="AM44" s="3004"/>
      <c r="AN44" s="3004">
        <f t="shared" si="37"/>
        <v>0</v>
      </c>
      <c r="AO44" s="3004">
        <v>100</v>
      </c>
      <c r="AP44" s="3004">
        <f t="shared" si="38"/>
        <v>5936.0000000000009</v>
      </c>
      <c r="AQ44" s="3004">
        <v>100</v>
      </c>
      <c r="AR44" s="3004">
        <f t="shared" si="39"/>
        <v>5936.0000000000009</v>
      </c>
      <c r="AS44" s="2995"/>
      <c r="AV44" s="2983">
        <f t="shared" si="40"/>
        <v>-200</v>
      </c>
      <c r="AW44" s="3595">
        <f t="shared" si="19"/>
        <v>59.36</v>
      </c>
      <c r="AX44" s="3595">
        <f t="shared" si="41"/>
        <v>5936</v>
      </c>
      <c r="AY44" s="3595">
        <f t="shared" si="20"/>
        <v>5936</v>
      </c>
      <c r="AZ44" s="3595">
        <f t="shared" si="21"/>
        <v>0</v>
      </c>
      <c r="BA44" s="3595">
        <f t="shared" si="22"/>
        <v>5936</v>
      </c>
      <c r="BB44" s="3595">
        <f t="shared" si="23"/>
        <v>5936</v>
      </c>
      <c r="BC44" s="2983">
        <f t="shared" si="24"/>
        <v>17808</v>
      </c>
      <c r="BD44" s="2983">
        <f t="shared" si="25"/>
        <v>-11872</v>
      </c>
    </row>
    <row r="45" spans="1:56" ht="35.25" customHeight="1">
      <c r="A45" s="3265">
        <v>25</v>
      </c>
      <c r="B45" s="3547" t="s">
        <v>2965</v>
      </c>
      <c r="C45" s="3547" t="s">
        <v>2966</v>
      </c>
      <c r="D45" s="3547" t="s">
        <v>1022</v>
      </c>
      <c r="E45" s="3564">
        <v>16815.8</v>
      </c>
      <c r="F45" s="3561">
        <f>SUM(F46:F143)</f>
        <v>0</v>
      </c>
      <c r="G45" s="3561"/>
      <c r="H45" s="3567"/>
      <c r="I45" s="3565"/>
      <c r="J45" s="3565"/>
      <c r="K45" s="3567"/>
      <c r="L45" s="3647">
        <f t="shared" si="16"/>
        <v>30</v>
      </c>
      <c r="M45" s="3567"/>
      <c r="N45" s="3567"/>
      <c r="O45" s="3567"/>
      <c r="P45" s="3567">
        <f t="shared" si="32"/>
        <v>30</v>
      </c>
      <c r="Q45" s="3265">
        <f>110</f>
        <v>110</v>
      </c>
      <c r="R45" s="3568">
        <v>1.06</v>
      </c>
      <c r="S45" s="3568">
        <f t="shared" si="33"/>
        <v>116.60000000000001</v>
      </c>
      <c r="T45" s="3569">
        <f t="shared" si="34"/>
        <v>130.59200000000001</v>
      </c>
      <c r="U45" s="3567">
        <f t="shared" si="35"/>
        <v>3917.76</v>
      </c>
      <c r="V45" s="3567"/>
      <c r="W45" s="3567">
        <f t="shared" si="4"/>
        <v>3917.76</v>
      </c>
      <c r="X45" s="3570"/>
      <c r="Y45" s="3570"/>
      <c r="Z45" s="3567">
        <f t="shared" si="26"/>
        <v>116.60000000000001</v>
      </c>
      <c r="AA45" s="3567">
        <f t="shared" si="27"/>
        <v>3498</v>
      </c>
      <c r="AB45" s="3567"/>
      <c r="AC45" s="3567">
        <f t="shared" si="28"/>
        <v>3498</v>
      </c>
      <c r="AD45" s="3567">
        <f t="shared" si="29"/>
        <v>122.43000000000002</v>
      </c>
      <c r="AE45" s="3567">
        <f t="shared" si="30"/>
        <v>3673</v>
      </c>
      <c r="AF45" s="3567"/>
      <c r="AG45" s="3571">
        <f t="shared" si="31"/>
        <v>3673</v>
      </c>
      <c r="AH45" s="3571">
        <v>1.1200000000000001</v>
      </c>
      <c r="AI45" s="3004"/>
      <c r="AJ45" s="2995">
        <v>1.1200000000000001</v>
      </c>
      <c r="AK45" s="3004">
        <v>20</v>
      </c>
      <c r="AL45" s="3004">
        <f t="shared" si="36"/>
        <v>2611.84</v>
      </c>
      <c r="AM45" s="3004">
        <v>10</v>
      </c>
      <c r="AN45" s="3004">
        <f t="shared" si="37"/>
        <v>1305.92</v>
      </c>
      <c r="AO45" s="3004">
        <v>20</v>
      </c>
      <c r="AP45" s="3004">
        <f t="shared" si="38"/>
        <v>2611.84</v>
      </c>
      <c r="AQ45" s="3004">
        <v>30</v>
      </c>
      <c r="AR45" s="3004">
        <f t="shared" si="39"/>
        <v>3917.76</v>
      </c>
      <c r="AS45" s="2995"/>
      <c r="AT45" s="2995"/>
      <c r="AU45" s="2995"/>
      <c r="AV45" s="2983">
        <f t="shared" si="40"/>
        <v>-50</v>
      </c>
      <c r="AW45" s="3595">
        <f t="shared" si="19"/>
        <v>130.59</v>
      </c>
      <c r="AX45" s="3595">
        <f t="shared" si="41"/>
        <v>3917.7</v>
      </c>
      <c r="AY45" s="3595">
        <f t="shared" si="20"/>
        <v>2611.8000000000002</v>
      </c>
      <c r="AZ45" s="3595">
        <f t="shared" si="21"/>
        <v>1305.9000000000001</v>
      </c>
      <c r="BA45" s="3595">
        <f t="shared" si="22"/>
        <v>2611.8000000000002</v>
      </c>
      <c r="BB45" s="3595">
        <f t="shared" si="23"/>
        <v>3917.7</v>
      </c>
      <c r="BC45" s="2983">
        <f t="shared" si="24"/>
        <v>10447.200000000001</v>
      </c>
      <c r="BD45" s="2983">
        <f t="shared" si="25"/>
        <v>-6529.5000000000009</v>
      </c>
    </row>
    <row r="46" spans="1:56" ht="32.25" customHeight="1">
      <c r="A46" s="3371">
        <v>26</v>
      </c>
      <c r="B46" s="3547" t="s">
        <v>2967</v>
      </c>
      <c r="C46" s="3547" t="s">
        <v>2968</v>
      </c>
      <c r="D46" s="3547" t="s">
        <v>1022</v>
      </c>
      <c r="E46" s="3572">
        <v>16815.8</v>
      </c>
      <c r="F46" s="3549"/>
      <c r="G46" s="3572">
        <f>E46</f>
        <v>16815.8</v>
      </c>
      <c r="H46" s="3549"/>
      <c r="I46" s="3573"/>
      <c r="J46" s="3573"/>
      <c r="K46" s="3549"/>
      <c r="L46" s="3647">
        <f t="shared" si="16"/>
        <v>4</v>
      </c>
      <c r="M46" s="3574"/>
      <c r="N46" s="3549"/>
      <c r="O46" s="3549"/>
      <c r="P46" s="3549">
        <f t="shared" si="32"/>
        <v>4</v>
      </c>
      <c r="Q46" s="3577">
        <f>250</f>
        <v>250</v>
      </c>
      <c r="R46" s="3568">
        <v>1.06</v>
      </c>
      <c r="S46" s="3568">
        <f t="shared" si="33"/>
        <v>265</v>
      </c>
      <c r="T46" s="3569">
        <f t="shared" si="34"/>
        <v>296.8</v>
      </c>
      <c r="U46" s="3567">
        <f t="shared" si="35"/>
        <v>1187.2</v>
      </c>
      <c r="V46" s="3549"/>
      <c r="W46" s="3549">
        <f t="shared" si="4"/>
        <v>1187.2</v>
      </c>
      <c r="X46" s="3575"/>
      <c r="Y46" s="3575"/>
      <c r="Z46" s="3549">
        <f t="shared" si="26"/>
        <v>265</v>
      </c>
      <c r="AA46" s="3549">
        <f t="shared" si="27"/>
        <v>1060</v>
      </c>
      <c r="AB46" s="3549"/>
      <c r="AC46" s="3549">
        <f t="shared" si="28"/>
        <v>1060</v>
      </c>
      <c r="AD46" s="3549">
        <f t="shared" si="29"/>
        <v>278.25</v>
      </c>
      <c r="AE46" s="3549">
        <f t="shared" si="30"/>
        <v>1113</v>
      </c>
      <c r="AF46" s="3549"/>
      <c r="AG46" s="3576">
        <f t="shared" si="31"/>
        <v>1113</v>
      </c>
      <c r="AH46" s="3571">
        <v>1.1200000000000001</v>
      </c>
      <c r="AI46" s="3004"/>
      <c r="AJ46" s="2995">
        <v>1.1200000000000001</v>
      </c>
      <c r="AK46" s="3004">
        <v>10</v>
      </c>
      <c r="AL46" s="3004">
        <f t="shared" si="36"/>
        <v>2968</v>
      </c>
      <c r="AM46" s="3004">
        <v>4</v>
      </c>
      <c r="AN46" s="3004">
        <f t="shared" si="37"/>
        <v>1187.2</v>
      </c>
      <c r="AO46" s="3004">
        <v>10</v>
      </c>
      <c r="AP46" s="3004">
        <f t="shared" si="38"/>
        <v>2968</v>
      </c>
      <c r="AQ46" s="3004">
        <v>4</v>
      </c>
      <c r="AR46" s="3004">
        <f t="shared" si="39"/>
        <v>1187.2</v>
      </c>
      <c r="AS46" s="2995"/>
      <c r="AT46" s="2995"/>
      <c r="AU46" s="2995"/>
      <c r="AV46" s="2983">
        <f t="shared" si="40"/>
        <v>-24</v>
      </c>
      <c r="AW46" s="3595">
        <f t="shared" si="19"/>
        <v>296.8</v>
      </c>
      <c r="AX46" s="3595">
        <f t="shared" si="41"/>
        <v>1187.2</v>
      </c>
      <c r="AY46" s="3595">
        <f t="shared" si="20"/>
        <v>2968</v>
      </c>
      <c r="AZ46" s="3595">
        <f t="shared" si="21"/>
        <v>1187.2</v>
      </c>
      <c r="BA46" s="3595">
        <f t="shared" si="22"/>
        <v>2968</v>
      </c>
      <c r="BB46" s="3595">
        <f t="shared" si="23"/>
        <v>1187.2</v>
      </c>
      <c r="BC46" s="2983">
        <f t="shared" si="24"/>
        <v>8310.4</v>
      </c>
      <c r="BD46" s="2983">
        <f t="shared" si="25"/>
        <v>-7123.2</v>
      </c>
    </row>
    <row r="47" spans="1:56" ht="25.5" hidden="1">
      <c r="A47" s="3371">
        <v>39</v>
      </c>
      <c r="B47" s="3547" t="s">
        <v>2969</v>
      </c>
      <c r="C47" s="3547" t="s">
        <v>2970</v>
      </c>
      <c r="D47" s="3547" t="s">
        <v>1587</v>
      </c>
      <c r="E47" s="3572">
        <v>16815.8</v>
      </c>
      <c r="F47" s="3549"/>
      <c r="G47" s="3572">
        <f>E47</f>
        <v>16815.8</v>
      </c>
      <c r="H47" s="3549"/>
      <c r="I47" s="3573"/>
      <c r="J47" s="3573"/>
      <c r="K47" s="3549"/>
      <c r="L47" s="3647">
        <f t="shared" si="16"/>
        <v>0</v>
      </c>
      <c r="M47" s="3574"/>
      <c r="N47" s="3549"/>
      <c r="O47" s="3549"/>
      <c r="P47" s="3549">
        <f t="shared" si="32"/>
        <v>0</v>
      </c>
      <c r="Q47" s="3577">
        <f>1050</f>
        <v>1050</v>
      </c>
      <c r="R47" s="3568">
        <v>1.06</v>
      </c>
      <c r="S47" s="3568">
        <f t="shared" si="33"/>
        <v>1113</v>
      </c>
      <c r="T47" s="3569">
        <f t="shared" si="34"/>
        <v>1246.5600000000002</v>
      </c>
      <c r="U47" s="3567">
        <f t="shared" si="35"/>
        <v>0</v>
      </c>
      <c r="V47" s="3549"/>
      <c r="W47" s="3549">
        <f t="shared" si="4"/>
        <v>0</v>
      </c>
      <c r="X47" s="3575"/>
      <c r="Y47" s="3575"/>
      <c r="Z47" s="3549">
        <f t="shared" si="26"/>
        <v>1113</v>
      </c>
      <c r="AA47" s="3549">
        <f t="shared" si="27"/>
        <v>0</v>
      </c>
      <c r="AB47" s="3549"/>
      <c r="AC47" s="3549">
        <f t="shared" si="28"/>
        <v>0</v>
      </c>
      <c r="AD47" s="3549">
        <f t="shared" si="29"/>
        <v>1168.6500000000001</v>
      </c>
      <c r="AE47" s="3549">
        <f t="shared" si="30"/>
        <v>0</v>
      </c>
      <c r="AF47" s="3549"/>
      <c r="AG47" s="3576">
        <f t="shared" si="31"/>
        <v>0</v>
      </c>
      <c r="AH47" s="3571">
        <v>1.1200000000000001</v>
      </c>
      <c r="AI47" s="3004"/>
      <c r="AJ47" s="2995">
        <v>1.1200000000000001</v>
      </c>
      <c r="AK47" s="3004">
        <v>2</v>
      </c>
      <c r="AL47" s="3004">
        <f t="shared" si="36"/>
        <v>2493.1200000000003</v>
      </c>
      <c r="AM47" s="3004">
        <v>1</v>
      </c>
      <c r="AN47" s="3004">
        <f t="shared" si="37"/>
        <v>1246.5600000000002</v>
      </c>
      <c r="AO47" s="3004">
        <v>2</v>
      </c>
      <c r="AP47" s="3004">
        <f t="shared" si="38"/>
        <v>2493.1200000000003</v>
      </c>
      <c r="AQ47" s="3004"/>
      <c r="AR47" s="3004">
        <f t="shared" si="39"/>
        <v>0</v>
      </c>
      <c r="AS47" s="2995"/>
      <c r="AT47" s="2995"/>
      <c r="AU47" s="2995"/>
      <c r="AV47" s="2983">
        <f t="shared" si="40"/>
        <v>-5</v>
      </c>
      <c r="AW47" s="3595">
        <f t="shared" si="19"/>
        <v>1246.56</v>
      </c>
      <c r="AX47" s="3595">
        <f t="shared" si="41"/>
        <v>0</v>
      </c>
      <c r="AY47" s="3595">
        <f t="shared" si="20"/>
        <v>2493.12</v>
      </c>
      <c r="AZ47" s="3595">
        <f t="shared" si="21"/>
        <v>1246.56</v>
      </c>
      <c r="BA47" s="3595">
        <f t="shared" si="22"/>
        <v>2493.12</v>
      </c>
      <c r="BB47" s="3595">
        <f t="shared" si="23"/>
        <v>0</v>
      </c>
      <c r="BC47" s="2983">
        <f t="shared" si="24"/>
        <v>6232.7999999999993</v>
      </c>
      <c r="BD47" s="2983">
        <f t="shared" si="25"/>
        <v>-6232.7999999999993</v>
      </c>
    </row>
    <row r="48" spans="1:56" s="3411" customFormat="1" ht="12.75">
      <c r="A48" s="3616">
        <v>27</v>
      </c>
      <c r="B48" s="3617" t="s">
        <v>2971</v>
      </c>
      <c r="C48" s="3617" t="s">
        <v>2972</v>
      </c>
      <c r="D48" s="3617" t="s">
        <v>1022</v>
      </c>
      <c r="E48" s="3618">
        <v>16815.8</v>
      </c>
      <c r="F48" s="3619"/>
      <c r="G48" s="3618">
        <f>E48</f>
        <v>16815.8</v>
      </c>
      <c r="H48" s="3619"/>
      <c r="I48" s="3619"/>
      <c r="J48" s="3619"/>
      <c r="K48" s="3619"/>
      <c r="L48" s="3647">
        <f t="shared" si="16"/>
        <v>10</v>
      </c>
      <c r="M48" s="3620"/>
      <c r="N48" s="3619"/>
      <c r="O48" s="3619"/>
      <c r="P48" s="3621">
        <f t="shared" si="32"/>
        <v>10</v>
      </c>
      <c r="Q48" s="3616">
        <f>1350</f>
        <v>1350</v>
      </c>
      <c r="R48" s="3622">
        <v>1.06</v>
      </c>
      <c r="S48" s="3622">
        <f t="shared" si="33"/>
        <v>1431</v>
      </c>
      <c r="T48" s="3623">
        <f t="shared" si="34"/>
        <v>1602.7200000000003</v>
      </c>
      <c r="U48" s="3621">
        <f t="shared" si="35"/>
        <v>16027.200000000003</v>
      </c>
      <c r="V48" s="3621"/>
      <c r="W48" s="3621">
        <f t="shared" si="4"/>
        <v>16027.200000000003</v>
      </c>
      <c r="X48" s="3624"/>
      <c r="Y48" s="3624"/>
      <c r="Z48" s="3621">
        <f t="shared" si="26"/>
        <v>1431</v>
      </c>
      <c r="AA48" s="3621">
        <f t="shared" si="27"/>
        <v>14310</v>
      </c>
      <c r="AB48" s="3621"/>
      <c r="AC48" s="3621">
        <f t="shared" si="28"/>
        <v>14310</v>
      </c>
      <c r="AD48" s="3621">
        <f t="shared" si="29"/>
        <v>1502.55</v>
      </c>
      <c r="AE48" s="3621">
        <f t="shared" si="30"/>
        <v>15026</v>
      </c>
      <c r="AF48" s="3621"/>
      <c r="AG48" s="3625">
        <f t="shared" si="31"/>
        <v>15026</v>
      </c>
      <c r="AH48" s="3625">
        <v>1.1200000000000001</v>
      </c>
      <c r="AI48" s="3626"/>
      <c r="AJ48" s="3409">
        <v>1.1200000000000001</v>
      </c>
      <c r="AK48" s="3626">
        <v>10</v>
      </c>
      <c r="AL48" s="3626">
        <f t="shared" si="36"/>
        <v>16027.200000000003</v>
      </c>
      <c r="AM48" s="3626"/>
      <c r="AN48" s="3626">
        <f t="shared" si="37"/>
        <v>0</v>
      </c>
      <c r="AO48" s="3626">
        <v>10</v>
      </c>
      <c r="AP48" s="3626">
        <f t="shared" si="38"/>
        <v>16027.200000000003</v>
      </c>
      <c r="AQ48" s="3626">
        <v>10</v>
      </c>
      <c r="AR48" s="3626">
        <f t="shared" si="39"/>
        <v>16027.200000000003</v>
      </c>
      <c r="AS48" s="3409"/>
      <c r="AT48" s="3409"/>
      <c r="AU48" s="3409"/>
      <c r="AV48" s="3411">
        <f t="shared" si="40"/>
        <v>-20</v>
      </c>
      <c r="AW48" s="3627">
        <f t="shared" si="19"/>
        <v>1602.72</v>
      </c>
      <c r="AX48" s="3627">
        <f t="shared" si="41"/>
        <v>16027.2</v>
      </c>
      <c r="AY48" s="3627">
        <f t="shared" si="20"/>
        <v>16027.2</v>
      </c>
      <c r="AZ48" s="3627">
        <f t="shared" si="21"/>
        <v>0</v>
      </c>
      <c r="BA48" s="3627">
        <f t="shared" si="22"/>
        <v>16027.2</v>
      </c>
      <c r="BB48" s="3627">
        <f t="shared" si="23"/>
        <v>16027.2</v>
      </c>
      <c r="BC48" s="3411">
        <f t="shared" si="24"/>
        <v>48081.600000000006</v>
      </c>
      <c r="BD48" s="3411">
        <f t="shared" si="25"/>
        <v>-32054.400000000005</v>
      </c>
    </row>
    <row r="49" spans="1:56" ht="12.75">
      <c r="A49" s="3371">
        <v>28</v>
      </c>
      <c r="B49" s="3548" t="s">
        <v>2973</v>
      </c>
      <c r="C49" s="3548" t="s">
        <v>2974</v>
      </c>
      <c r="D49" s="3548" t="s">
        <v>1022</v>
      </c>
      <c r="E49" s="3572">
        <v>16815.8</v>
      </c>
      <c r="F49" s="3573"/>
      <c r="G49" s="3572">
        <f>E49</f>
        <v>16815.8</v>
      </c>
      <c r="H49" s="3573"/>
      <c r="I49" s="3573"/>
      <c r="J49" s="3573"/>
      <c r="K49" s="3573"/>
      <c r="L49" s="3647">
        <f t="shared" si="16"/>
        <v>1</v>
      </c>
      <c r="M49" s="3574"/>
      <c r="N49" s="3573"/>
      <c r="O49" s="3573"/>
      <c r="P49" s="3549">
        <f t="shared" si="32"/>
        <v>1</v>
      </c>
      <c r="Q49" s="3371">
        <f>1800</f>
        <v>1800</v>
      </c>
      <c r="R49" s="3568">
        <v>1.06</v>
      </c>
      <c r="S49" s="3568">
        <f t="shared" si="33"/>
        <v>1908</v>
      </c>
      <c r="T49" s="3569">
        <f t="shared" si="34"/>
        <v>2136.96</v>
      </c>
      <c r="U49" s="3567">
        <f t="shared" si="35"/>
        <v>2136.96</v>
      </c>
      <c r="V49" s="3549"/>
      <c r="W49" s="3549">
        <f t="shared" si="4"/>
        <v>2136.96</v>
      </c>
      <c r="X49" s="3575"/>
      <c r="Y49" s="3575"/>
      <c r="Z49" s="3549">
        <f t="shared" si="26"/>
        <v>1908</v>
      </c>
      <c r="AA49" s="3549">
        <f t="shared" si="27"/>
        <v>1908</v>
      </c>
      <c r="AB49" s="3549"/>
      <c r="AC49" s="3549">
        <f t="shared" si="28"/>
        <v>1908</v>
      </c>
      <c r="AD49" s="3549">
        <f t="shared" si="29"/>
        <v>2003.4</v>
      </c>
      <c r="AE49" s="3549">
        <f t="shared" si="30"/>
        <v>2003</v>
      </c>
      <c r="AF49" s="3549"/>
      <c r="AG49" s="3576">
        <f t="shared" si="31"/>
        <v>2003</v>
      </c>
      <c r="AH49" s="3571">
        <v>1.1200000000000001</v>
      </c>
      <c r="AI49" s="3004"/>
      <c r="AJ49" s="2995">
        <v>1.1200000000000001</v>
      </c>
      <c r="AK49" s="3004">
        <v>1</v>
      </c>
      <c r="AL49" s="3004">
        <f t="shared" si="36"/>
        <v>2136.96</v>
      </c>
      <c r="AM49" s="3004"/>
      <c r="AN49" s="3004">
        <f t="shared" si="37"/>
        <v>0</v>
      </c>
      <c r="AO49" s="3004">
        <v>1</v>
      </c>
      <c r="AP49" s="3004">
        <f t="shared" si="38"/>
        <v>2136.96</v>
      </c>
      <c r="AQ49" s="3004">
        <v>1</v>
      </c>
      <c r="AR49" s="3004">
        <f t="shared" si="39"/>
        <v>2136.96</v>
      </c>
      <c r="AS49" s="2995"/>
      <c r="AT49" s="2995"/>
      <c r="AU49" s="2995"/>
      <c r="AV49" s="2983">
        <f t="shared" si="40"/>
        <v>-2</v>
      </c>
      <c r="AW49" s="3595">
        <f t="shared" si="19"/>
        <v>2136.96</v>
      </c>
      <c r="AX49" s="3595">
        <f t="shared" si="41"/>
        <v>2136.96</v>
      </c>
      <c r="AY49" s="3595">
        <f t="shared" si="20"/>
        <v>2136.96</v>
      </c>
      <c r="AZ49" s="3595">
        <f t="shared" si="21"/>
        <v>0</v>
      </c>
      <c r="BA49" s="3595">
        <f t="shared" si="22"/>
        <v>2136.96</v>
      </c>
      <c r="BB49" s="3595">
        <f t="shared" si="23"/>
        <v>2136.96</v>
      </c>
      <c r="BC49" s="2983">
        <f t="shared" si="24"/>
        <v>6410.88</v>
      </c>
      <c r="BD49" s="2983">
        <f t="shared" si="25"/>
        <v>-4273.92</v>
      </c>
    </row>
    <row r="50" spans="1:56" ht="12.75">
      <c r="A50" s="3371">
        <v>29</v>
      </c>
      <c r="B50" s="3548" t="s">
        <v>2975</v>
      </c>
      <c r="C50" s="3548" t="s">
        <v>2976</v>
      </c>
      <c r="D50" s="3548" t="s">
        <v>1022</v>
      </c>
      <c r="E50" s="3572">
        <v>16815.8</v>
      </c>
      <c r="F50" s="3573"/>
      <c r="G50" s="3572">
        <f>24182.96*2</f>
        <v>48365.919999999998</v>
      </c>
      <c r="H50" s="3573"/>
      <c r="I50" s="3573"/>
      <c r="J50" s="3573"/>
      <c r="K50" s="3573"/>
      <c r="L50" s="3647">
        <f t="shared" si="16"/>
        <v>1</v>
      </c>
      <c r="M50" s="3574"/>
      <c r="N50" s="3573"/>
      <c r="O50" s="3573"/>
      <c r="P50" s="3549">
        <f t="shared" si="32"/>
        <v>1</v>
      </c>
      <c r="Q50" s="3371">
        <f>48000</f>
        <v>48000</v>
      </c>
      <c r="R50" s="3568">
        <v>1.06</v>
      </c>
      <c r="S50" s="3568">
        <f t="shared" si="33"/>
        <v>50880</v>
      </c>
      <c r="T50" s="3569">
        <f t="shared" si="34"/>
        <v>56985.600000000006</v>
      </c>
      <c r="U50" s="3567">
        <f t="shared" si="35"/>
        <v>56985.600000000006</v>
      </c>
      <c r="V50" s="3549"/>
      <c r="W50" s="3549">
        <f t="shared" si="4"/>
        <v>56985.600000000006</v>
      </c>
      <c r="X50" s="3575"/>
      <c r="Y50" s="3575"/>
      <c r="Z50" s="3549">
        <f t="shared" si="26"/>
        <v>50880</v>
      </c>
      <c r="AA50" s="3549">
        <f t="shared" si="27"/>
        <v>50880</v>
      </c>
      <c r="AB50" s="3549"/>
      <c r="AC50" s="3549">
        <f t="shared" si="28"/>
        <v>50880</v>
      </c>
      <c r="AD50" s="3549">
        <f t="shared" si="29"/>
        <v>53424</v>
      </c>
      <c r="AE50" s="3549">
        <f t="shared" si="30"/>
        <v>53424</v>
      </c>
      <c r="AF50" s="3549"/>
      <c r="AG50" s="3576">
        <f t="shared" si="31"/>
        <v>53424</v>
      </c>
      <c r="AH50" s="3571">
        <v>1.1200000000000001</v>
      </c>
      <c r="AI50" s="3004"/>
      <c r="AJ50" s="2995">
        <v>1.1200000000000001</v>
      </c>
      <c r="AK50" s="3004">
        <v>1</v>
      </c>
      <c r="AL50" s="3004">
        <f t="shared" si="36"/>
        <v>56985.600000000006</v>
      </c>
      <c r="AM50" s="3004">
        <v>1</v>
      </c>
      <c r="AN50" s="3004">
        <f t="shared" si="37"/>
        <v>56985.600000000006</v>
      </c>
      <c r="AO50" s="3004">
        <v>1</v>
      </c>
      <c r="AP50" s="3004">
        <f t="shared" si="38"/>
        <v>56985.600000000006</v>
      </c>
      <c r="AQ50" s="3004">
        <v>1</v>
      </c>
      <c r="AR50" s="3004">
        <f t="shared" si="39"/>
        <v>56985.600000000006</v>
      </c>
      <c r="AS50" s="2995"/>
      <c r="AT50" s="2995"/>
      <c r="AU50" s="2995"/>
      <c r="AV50" s="2983">
        <f t="shared" si="40"/>
        <v>-3</v>
      </c>
      <c r="AW50" s="3595">
        <f t="shared" si="19"/>
        <v>56985.599999999999</v>
      </c>
      <c r="AX50" s="3595">
        <f t="shared" si="41"/>
        <v>56985.599999999999</v>
      </c>
      <c r="AY50" s="3595">
        <f t="shared" si="20"/>
        <v>56985.599999999999</v>
      </c>
      <c r="AZ50" s="3595">
        <f t="shared" si="21"/>
        <v>56985.599999999999</v>
      </c>
      <c r="BA50" s="3595">
        <f t="shared" si="22"/>
        <v>56985.599999999999</v>
      </c>
      <c r="BB50" s="3595">
        <f t="shared" si="23"/>
        <v>56985.599999999999</v>
      </c>
      <c r="BC50" s="2983">
        <f t="shared" si="24"/>
        <v>227942.39999999999</v>
      </c>
      <c r="BD50" s="2983">
        <f t="shared" si="25"/>
        <v>-170956.79999999999</v>
      </c>
    </row>
    <row r="51" spans="1:56" ht="12.75">
      <c r="A51" s="3265">
        <v>30</v>
      </c>
      <c r="B51" s="3547" t="s">
        <v>2977</v>
      </c>
      <c r="C51" s="3547" t="s">
        <v>2978</v>
      </c>
      <c r="D51" s="3547" t="s">
        <v>1022</v>
      </c>
      <c r="E51" s="3564">
        <v>16815.8</v>
      </c>
      <c r="F51" s="3565"/>
      <c r="G51" s="3564">
        <f t="shared" ref="G51:G69" si="42">E51</f>
        <v>16815.8</v>
      </c>
      <c r="H51" s="3565"/>
      <c r="I51" s="3565"/>
      <c r="J51" s="3565"/>
      <c r="K51" s="3565"/>
      <c r="L51" s="3647">
        <f t="shared" si="16"/>
        <v>15</v>
      </c>
      <c r="M51" s="3566"/>
      <c r="N51" s="3565"/>
      <c r="O51" s="3565"/>
      <c r="P51" s="3567">
        <f t="shared" si="32"/>
        <v>15</v>
      </c>
      <c r="Q51" s="3265">
        <f>1500</f>
        <v>1500</v>
      </c>
      <c r="R51" s="3568">
        <v>1.06</v>
      </c>
      <c r="S51" s="3568">
        <f t="shared" si="33"/>
        <v>1590</v>
      </c>
      <c r="T51" s="3569">
        <f t="shared" si="34"/>
        <v>1780.8000000000002</v>
      </c>
      <c r="U51" s="3567">
        <f t="shared" si="35"/>
        <v>26712.000000000004</v>
      </c>
      <c r="V51" s="3567"/>
      <c r="W51" s="3567">
        <f t="shared" si="4"/>
        <v>26712.000000000004</v>
      </c>
      <c r="X51" s="3570"/>
      <c r="Y51" s="3570"/>
      <c r="Z51" s="3567">
        <f t="shared" si="26"/>
        <v>1590</v>
      </c>
      <c r="AA51" s="3567">
        <f t="shared" si="27"/>
        <v>23850</v>
      </c>
      <c r="AB51" s="3567"/>
      <c r="AC51" s="3567">
        <f t="shared" si="28"/>
        <v>23850</v>
      </c>
      <c r="AD51" s="3567">
        <f t="shared" si="29"/>
        <v>1669.5</v>
      </c>
      <c r="AE51" s="3567">
        <f t="shared" si="30"/>
        <v>25043</v>
      </c>
      <c r="AF51" s="3567"/>
      <c r="AG51" s="3571">
        <f t="shared" si="31"/>
        <v>25043</v>
      </c>
      <c r="AH51" s="3571">
        <v>1.1200000000000001</v>
      </c>
      <c r="AI51" s="3004"/>
      <c r="AJ51" s="2995">
        <v>1.1200000000000001</v>
      </c>
      <c r="AK51" s="3004">
        <v>20</v>
      </c>
      <c r="AL51" s="3004">
        <f t="shared" si="36"/>
        <v>35616</v>
      </c>
      <c r="AM51" s="3004">
        <v>5</v>
      </c>
      <c r="AN51" s="3004">
        <f t="shared" si="37"/>
        <v>8904</v>
      </c>
      <c r="AO51" s="3004">
        <v>20</v>
      </c>
      <c r="AP51" s="3004">
        <f t="shared" si="38"/>
        <v>35616</v>
      </c>
      <c r="AQ51" s="3004">
        <v>15</v>
      </c>
      <c r="AR51" s="3004">
        <f t="shared" si="39"/>
        <v>26712.000000000004</v>
      </c>
      <c r="AS51" s="2995" t="s">
        <v>2935</v>
      </c>
      <c r="AT51" s="2995"/>
      <c r="AU51" s="2995"/>
      <c r="AV51" s="2983">
        <f t="shared" si="40"/>
        <v>-45</v>
      </c>
      <c r="AW51" s="3595">
        <f t="shared" si="19"/>
        <v>1780.8</v>
      </c>
      <c r="AX51" s="3595">
        <f t="shared" si="41"/>
        <v>26712</v>
      </c>
      <c r="AY51" s="3595">
        <f t="shared" si="20"/>
        <v>35616</v>
      </c>
      <c r="AZ51" s="3595">
        <f t="shared" si="21"/>
        <v>8904</v>
      </c>
      <c r="BA51" s="3595">
        <f t="shared" si="22"/>
        <v>35616</v>
      </c>
      <c r="BB51" s="3595">
        <f t="shared" si="23"/>
        <v>26712</v>
      </c>
      <c r="BC51" s="2983">
        <f t="shared" si="24"/>
        <v>106848</v>
      </c>
      <c r="BD51" s="2983">
        <f t="shared" si="25"/>
        <v>-80136</v>
      </c>
    </row>
    <row r="52" spans="1:56" s="3421" customFormat="1" ht="38.25">
      <c r="A52" s="3371">
        <v>31</v>
      </c>
      <c r="B52" s="3548" t="s">
        <v>2979</v>
      </c>
      <c r="C52" s="3548" t="s">
        <v>2980</v>
      </c>
      <c r="D52" s="3548" t="s">
        <v>1022</v>
      </c>
      <c r="E52" s="3572">
        <v>16815.8</v>
      </c>
      <c r="F52" s="3549"/>
      <c r="G52" s="3572">
        <f t="shared" si="42"/>
        <v>16815.8</v>
      </c>
      <c r="H52" s="3549"/>
      <c r="I52" s="3573"/>
      <c r="J52" s="3573"/>
      <c r="K52" s="3549"/>
      <c r="L52" s="3647">
        <f t="shared" si="16"/>
        <v>6</v>
      </c>
      <c r="M52" s="3574"/>
      <c r="N52" s="3549"/>
      <c r="O52" s="3549">
        <v>1</v>
      </c>
      <c r="P52" s="3549">
        <f t="shared" si="32"/>
        <v>5</v>
      </c>
      <c r="Q52" s="3577">
        <f>1500</f>
        <v>1500</v>
      </c>
      <c r="R52" s="3568">
        <v>1.06</v>
      </c>
      <c r="S52" s="3568">
        <f t="shared" si="33"/>
        <v>1590</v>
      </c>
      <c r="T52" s="3569">
        <f t="shared" si="34"/>
        <v>1780.8000000000002</v>
      </c>
      <c r="U52" s="3567">
        <f t="shared" si="35"/>
        <v>8904</v>
      </c>
      <c r="V52" s="3549"/>
      <c r="W52" s="3549">
        <f t="shared" si="4"/>
        <v>8904</v>
      </c>
      <c r="X52" s="3575"/>
      <c r="Y52" s="3575"/>
      <c r="Z52" s="3549">
        <f t="shared" si="26"/>
        <v>1590</v>
      </c>
      <c r="AA52" s="3549">
        <f t="shared" si="27"/>
        <v>7950</v>
      </c>
      <c r="AB52" s="3549"/>
      <c r="AC52" s="3549">
        <f t="shared" si="28"/>
        <v>7950</v>
      </c>
      <c r="AD52" s="3549">
        <f t="shared" si="29"/>
        <v>1669.5</v>
      </c>
      <c r="AE52" s="3549">
        <f t="shared" si="30"/>
        <v>8348</v>
      </c>
      <c r="AF52" s="3549"/>
      <c r="AG52" s="3576">
        <f t="shared" si="31"/>
        <v>8348</v>
      </c>
      <c r="AH52" s="3571">
        <v>1.1200000000000001</v>
      </c>
      <c r="AI52" s="3004"/>
      <c r="AJ52" s="2995">
        <v>1.1200000000000001</v>
      </c>
      <c r="AK52" s="3004">
        <v>7</v>
      </c>
      <c r="AL52" s="3004">
        <f t="shared" si="36"/>
        <v>12465.600000000002</v>
      </c>
      <c r="AM52" s="3004">
        <v>2</v>
      </c>
      <c r="AN52" s="3004">
        <f t="shared" si="37"/>
        <v>3561.6000000000004</v>
      </c>
      <c r="AO52" s="3004">
        <v>7</v>
      </c>
      <c r="AP52" s="3004">
        <f t="shared" si="38"/>
        <v>12465.600000000002</v>
      </c>
      <c r="AQ52" s="3004">
        <v>6</v>
      </c>
      <c r="AR52" s="3004">
        <f t="shared" si="39"/>
        <v>10684.800000000001</v>
      </c>
      <c r="AS52" s="2995"/>
      <c r="AV52" s="2983">
        <f t="shared" si="40"/>
        <v>-17</v>
      </c>
      <c r="AW52" s="3595">
        <f t="shared" si="19"/>
        <v>1780.8</v>
      </c>
      <c r="AX52" s="3595">
        <f t="shared" si="41"/>
        <v>8904</v>
      </c>
      <c r="AY52" s="3595">
        <f t="shared" si="20"/>
        <v>12465.6</v>
      </c>
      <c r="AZ52" s="3595">
        <f t="shared" si="21"/>
        <v>3561.6</v>
      </c>
      <c r="BA52" s="3595">
        <f t="shared" si="22"/>
        <v>12465.6</v>
      </c>
      <c r="BB52" s="3595">
        <f t="shared" si="23"/>
        <v>10684.8</v>
      </c>
      <c r="BC52" s="2983">
        <f t="shared" si="24"/>
        <v>39177.599999999999</v>
      </c>
      <c r="BD52" s="2983">
        <f t="shared" si="25"/>
        <v>-30273.599999999999</v>
      </c>
    </row>
    <row r="53" spans="1:56" s="3631" customFormat="1" ht="38.25">
      <c r="A53" s="3616">
        <v>32</v>
      </c>
      <c r="B53" s="3628" t="s">
        <v>2981</v>
      </c>
      <c r="C53" s="3617" t="s">
        <v>2982</v>
      </c>
      <c r="D53" s="3617" t="s">
        <v>1022</v>
      </c>
      <c r="E53" s="3618">
        <v>16815.8</v>
      </c>
      <c r="F53" s="3621"/>
      <c r="G53" s="3618">
        <f t="shared" si="42"/>
        <v>16815.8</v>
      </c>
      <c r="H53" s="3621"/>
      <c r="I53" s="3619"/>
      <c r="J53" s="3619"/>
      <c r="K53" s="3621"/>
      <c r="L53" s="3647">
        <f t="shared" si="16"/>
        <v>1</v>
      </c>
      <c r="M53" s="3620"/>
      <c r="N53" s="3621"/>
      <c r="O53" s="3621"/>
      <c r="P53" s="3621">
        <f t="shared" si="32"/>
        <v>1</v>
      </c>
      <c r="Q53" s="3629">
        <f>38500</f>
        <v>38500</v>
      </c>
      <c r="R53" s="3622">
        <v>1.06</v>
      </c>
      <c r="S53" s="3622">
        <f t="shared" si="33"/>
        <v>40810</v>
      </c>
      <c r="T53" s="3623">
        <f t="shared" si="34"/>
        <v>45707.200000000004</v>
      </c>
      <c r="U53" s="3621">
        <f t="shared" si="35"/>
        <v>45707.200000000004</v>
      </c>
      <c r="V53" s="3621"/>
      <c r="W53" s="3621">
        <f t="shared" si="4"/>
        <v>45707.200000000004</v>
      </c>
      <c r="X53" s="3630">
        <v>9</v>
      </c>
      <c r="Y53" s="3624">
        <v>1.07</v>
      </c>
      <c r="Z53" s="3621">
        <f t="shared" si="26"/>
        <v>40810</v>
      </c>
      <c r="AA53" s="3621">
        <f t="shared" si="27"/>
        <v>40810</v>
      </c>
      <c r="AB53" s="3621"/>
      <c r="AC53" s="3621">
        <f t="shared" si="28"/>
        <v>40810</v>
      </c>
      <c r="AD53" s="3621">
        <f t="shared" si="29"/>
        <v>42850.5</v>
      </c>
      <c r="AE53" s="3621">
        <f t="shared" si="30"/>
        <v>42851</v>
      </c>
      <c r="AF53" s="3621"/>
      <c r="AG53" s="3625">
        <f t="shared" si="31"/>
        <v>42851</v>
      </c>
      <c r="AH53" s="3625">
        <v>1.1200000000000001</v>
      </c>
      <c r="AI53" s="3626"/>
      <c r="AJ53" s="3409">
        <v>1.1200000000000001</v>
      </c>
      <c r="AK53" s="3626">
        <v>2</v>
      </c>
      <c r="AL53" s="3626">
        <f t="shared" si="36"/>
        <v>91414.400000000009</v>
      </c>
      <c r="AM53" s="3626"/>
      <c r="AN53" s="3626">
        <f t="shared" si="37"/>
        <v>0</v>
      </c>
      <c r="AO53" s="3626">
        <v>2</v>
      </c>
      <c r="AP53" s="3626">
        <f t="shared" si="38"/>
        <v>91414.400000000009</v>
      </c>
      <c r="AQ53" s="3626">
        <v>1</v>
      </c>
      <c r="AR53" s="3626">
        <f t="shared" si="39"/>
        <v>45707.200000000004</v>
      </c>
      <c r="AS53" s="3409"/>
      <c r="AV53" s="3411">
        <f t="shared" si="40"/>
        <v>-4</v>
      </c>
      <c r="AW53" s="3627">
        <f t="shared" si="19"/>
        <v>45707.199999999997</v>
      </c>
      <c r="AX53" s="3627">
        <f t="shared" si="41"/>
        <v>45707.199999999997</v>
      </c>
      <c r="AY53" s="3627">
        <f t="shared" si="20"/>
        <v>91414.399999999994</v>
      </c>
      <c r="AZ53" s="3627">
        <f t="shared" si="21"/>
        <v>0</v>
      </c>
      <c r="BA53" s="3627">
        <f t="shared" si="22"/>
        <v>91414.399999999994</v>
      </c>
      <c r="BB53" s="3627">
        <f t="shared" si="23"/>
        <v>45707.199999999997</v>
      </c>
      <c r="BC53" s="3411">
        <f t="shared" si="24"/>
        <v>228535.99999999997</v>
      </c>
      <c r="BD53" s="3411">
        <f t="shared" si="25"/>
        <v>-182828.79999999999</v>
      </c>
    </row>
    <row r="54" spans="1:56" ht="25.5">
      <c r="A54" s="3371">
        <v>33</v>
      </c>
      <c r="B54" s="3547" t="s">
        <v>2983</v>
      </c>
      <c r="C54" s="3547" t="s">
        <v>2984</v>
      </c>
      <c r="D54" s="3547" t="s">
        <v>1268</v>
      </c>
      <c r="E54" s="3572">
        <v>16815.8</v>
      </c>
      <c r="F54" s="3573"/>
      <c r="G54" s="3572">
        <f t="shared" si="42"/>
        <v>16815.8</v>
      </c>
      <c r="H54" s="3573"/>
      <c r="I54" s="3573"/>
      <c r="J54" s="3573"/>
      <c r="K54" s="3573"/>
      <c r="L54" s="3647">
        <f t="shared" si="16"/>
        <v>5</v>
      </c>
      <c r="M54" s="3574"/>
      <c r="N54" s="3573"/>
      <c r="O54" s="3573"/>
      <c r="P54" s="3549">
        <f t="shared" si="32"/>
        <v>5</v>
      </c>
      <c r="Q54" s="3371">
        <f>342</f>
        <v>342</v>
      </c>
      <c r="R54" s="3568">
        <v>1.06</v>
      </c>
      <c r="S54" s="3568">
        <f t="shared" si="33"/>
        <v>362.52000000000004</v>
      </c>
      <c r="T54" s="3569">
        <f t="shared" si="34"/>
        <v>406.02240000000006</v>
      </c>
      <c r="U54" s="3567">
        <f t="shared" si="35"/>
        <v>2030.1120000000003</v>
      </c>
      <c r="V54" s="3549"/>
      <c r="W54" s="3549">
        <f t="shared" si="4"/>
        <v>2030.1120000000003</v>
      </c>
      <c r="X54" s="3575">
        <v>19</v>
      </c>
      <c r="Y54" s="3575">
        <v>1.07</v>
      </c>
      <c r="Z54" s="3549">
        <f t="shared" si="26"/>
        <v>362.52000000000004</v>
      </c>
      <c r="AA54" s="3549">
        <f t="shared" si="27"/>
        <v>1813</v>
      </c>
      <c r="AB54" s="3549"/>
      <c r="AC54" s="3549">
        <f t="shared" si="28"/>
        <v>1813</v>
      </c>
      <c r="AD54" s="3549">
        <f t="shared" si="29"/>
        <v>380.64600000000007</v>
      </c>
      <c r="AE54" s="3549">
        <f t="shared" si="30"/>
        <v>1903</v>
      </c>
      <c r="AF54" s="3549"/>
      <c r="AG54" s="3576">
        <f t="shared" si="31"/>
        <v>1903</v>
      </c>
      <c r="AH54" s="3571">
        <v>1.1200000000000001</v>
      </c>
      <c r="AI54" s="3004"/>
      <c r="AJ54" s="2995">
        <v>1.1200000000000001</v>
      </c>
      <c r="AK54" s="3004">
        <v>4</v>
      </c>
      <c r="AL54" s="3004">
        <f t="shared" si="36"/>
        <v>1624.0896000000002</v>
      </c>
      <c r="AM54" s="3004">
        <v>1</v>
      </c>
      <c r="AN54" s="3004">
        <f t="shared" si="37"/>
        <v>406.02240000000006</v>
      </c>
      <c r="AO54" s="3004">
        <v>5</v>
      </c>
      <c r="AP54" s="3004">
        <f t="shared" si="38"/>
        <v>2030.1120000000003</v>
      </c>
      <c r="AQ54" s="3004">
        <v>5</v>
      </c>
      <c r="AR54" s="3004">
        <f t="shared" si="39"/>
        <v>2030.1120000000003</v>
      </c>
      <c r="AS54" s="2995"/>
      <c r="AT54" s="2995"/>
      <c r="AU54" s="2995"/>
      <c r="AV54" s="2983">
        <f t="shared" si="40"/>
        <v>-10</v>
      </c>
      <c r="AW54" s="3595">
        <f t="shared" si="19"/>
        <v>406.02</v>
      </c>
      <c r="AX54" s="3595">
        <f t="shared" si="41"/>
        <v>2030.1</v>
      </c>
      <c r="AY54" s="3595">
        <f t="shared" si="20"/>
        <v>1624.08</v>
      </c>
      <c r="AZ54" s="3595">
        <f t="shared" si="21"/>
        <v>406.02</v>
      </c>
      <c r="BA54" s="3595">
        <f t="shared" si="22"/>
        <v>2030.1</v>
      </c>
      <c r="BB54" s="3595">
        <f t="shared" si="23"/>
        <v>2030.1</v>
      </c>
      <c r="BC54" s="2983">
        <f t="shared" si="24"/>
        <v>6090.2999999999993</v>
      </c>
      <c r="BD54" s="2983">
        <f t="shared" si="25"/>
        <v>-4060.1999999999994</v>
      </c>
    </row>
    <row r="55" spans="1:56" ht="25.5">
      <c r="A55" s="3265">
        <v>34</v>
      </c>
      <c r="B55" s="3548" t="s">
        <v>2871</v>
      </c>
      <c r="C55" s="3548" t="s">
        <v>2985</v>
      </c>
      <c r="D55" s="3550" t="s">
        <v>1268</v>
      </c>
      <c r="E55" s="3572">
        <v>16815.8</v>
      </c>
      <c r="F55" s="3573"/>
      <c r="G55" s="3572">
        <f t="shared" si="42"/>
        <v>16815.8</v>
      </c>
      <c r="H55" s="3573"/>
      <c r="I55" s="3573"/>
      <c r="J55" s="3573"/>
      <c r="K55" s="3573"/>
      <c r="L55" s="3647">
        <f t="shared" si="16"/>
        <v>2</v>
      </c>
      <c r="M55" s="3574"/>
      <c r="N55" s="3573"/>
      <c r="O55" s="3573"/>
      <c r="P55" s="3549">
        <f t="shared" si="32"/>
        <v>2</v>
      </c>
      <c r="Q55" s="3577">
        <f>310</f>
        <v>310</v>
      </c>
      <c r="R55" s="3568">
        <v>1.06</v>
      </c>
      <c r="S55" s="3568">
        <f t="shared" si="33"/>
        <v>328.6</v>
      </c>
      <c r="T55" s="3569">
        <f t="shared" si="34"/>
        <v>368.03200000000004</v>
      </c>
      <c r="U55" s="3567">
        <f t="shared" si="35"/>
        <v>736.06400000000008</v>
      </c>
      <c r="V55" s="3549"/>
      <c r="W55" s="3549">
        <f t="shared" si="4"/>
        <v>736.06400000000008</v>
      </c>
      <c r="X55" s="3575"/>
      <c r="Y55" s="3575"/>
      <c r="Z55" s="3549">
        <f t="shared" si="26"/>
        <v>328.6</v>
      </c>
      <c r="AA55" s="3549">
        <f t="shared" si="27"/>
        <v>657</v>
      </c>
      <c r="AB55" s="3549"/>
      <c r="AC55" s="3549">
        <f t="shared" si="28"/>
        <v>657</v>
      </c>
      <c r="AD55" s="3549">
        <f t="shared" si="29"/>
        <v>345.03000000000003</v>
      </c>
      <c r="AE55" s="3549">
        <f t="shared" si="30"/>
        <v>690</v>
      </c>
      <c r="AF55" s="3549"/>
      <c r="AG55" s="3576">
        <f t="shared" si="31"/>
        <v>690</v>
      </c>
      <c r="AH55" s="3571">
        <v>1.1200000000000001</v>
      </c>
      <c r="AI55" s="3004"/>
      <c r="AJ55" s="2995">
        <v>1.1200000000000001</v>
      </c>
      <c r="AK55" s="3004">
        <v>1</v>
      </c>
      <c r="AL55" s="3004">
        <f t="shared" si="36"/>
        <v>368.03200000000004</v>
      </c>
      <c r="AM55" s="3004">
        <v>1</v>
      </c>
      <c r="AN55" s="3004">
        <f t="shared" si="37"/>
        <v>368.03200000000004</v>
      </c>
      <c r="AO55" s="3004">
        <v>1</v>
      </c>
      <c r="AP55" s="3004">
        <f t="shared" si="38"/>
        <v>368.03200000000004</v>
      </c>
      <c r="AQ55" s="3004">
        <v>2</v>
      </c>
      <c r="AR55" s="3004">
        <f t="shared" si="39"/>
        <v>736.06400000000008</v>
      </c>
      <c r="AS55" s="2995"/>
      <c r="AT55" s="2995"/>
      <c r="AU55" s="2995"/>
      <c r="AV55" s="2983">
        <f t="shared" si="40"/>
        <v>-3</v>
      </c>
      <c r="AW55" s="3595">
        <f t="shared" si="19"/>
        <v>368.03</v>
      </c>
      <c r="AX55" s="3595">
        <f t="shared" si="41"/>
        <v>736.06</v>
      </c>
      <c r="AY55" s="3595">
        <f t="shared" si="20"/>
        <v>368.03</v>
      </c>
      <c r="AZ55" s="3595">
        <f t="shared" si="21"/>
        <v>368.03</v>
      </c>
      <c r="BA55" s="3595">
        <f t="shared" si="22"/>
        <v>368.03</v>
      </c>
      <c r="BB55" s="3595">
        <f t="shared" si="23"/>
        <v>736.06</v>
      </c>
      <c r="BC55" s="2983">
        <f t="shared" si="24"/>
        <v>1840.1499999999999</v>
      </c>
      <c r="BD55" s="2983">
        <f t="shared" si="25"/>
        <v>-1104.0899999999999</v>
      </c>
    </row>
    <row r="56" spans="1:56" ht="12.75">
      <c r="A56" s="3371">
        <v>35</v>
      </c>
      <c r="B56" s="3548" t="s">
        <v>2986</v>
      </c>
      <c r="C56" s="3548" t="s">
        <v>2986</v>
      </c>
      <c r="D56" s="3548" t="s">
        <v>2899</v>
      </c>
      <c r="E56" s="3572">
        <v>16815.8</v>
      </c>
      <c r="F56" s="3549"/>
      <c r="G56" s="3572">
        <f t="shared" si="42"/>
        <v>16815.8</v>
      </c>
      <c r="H56" s="3549"/>
      <c r="I56" s="3573"/>
      <c r="J56" s="3573"/>
      <c r="K56" s="3549"/>
      <c r="L56" s="3647">
        <f t="shared" si="16"/>
        <v>2</v>
      </c>
      <c r="M56" s="3574"/>
      <c r="N56" s="3549"/>
      <c r="O56" s="3549"/>
      <c r="P56" s="3549">
        <f t="shared" si="32"/>
        <v>2</v>
      </c>
      <c r="Q56" s="3581">
        <f>1300</f>
        <v>1300</v>
      </c>
      <c r="R56" s="3568">
        <v>1.06</v>
      </c>
      <c r="S56" s="3568">
        <f t="shared" si="33"/>
        <v>1378</v>
      </c>
      <c r="T56" s="3569">
        <f t="shared" si="34"/>
        <v>1543.3600000000001</v>
      </c>
      <c r="U56" s="3567">
        <f t="shared" si="35"/>
        <v>3086.7200000000003</v>
      </c>
      <c r="V56" s="3549"/>
      <c r="W56" s="3549">
        <f t="shared" ref="W56:W81" si="43">U56-V56</f>
        <v>3086.7200000000003</v>
      </c>
      <c r="X56" s="3575"/>
      <c r="Y56" s="3575"/>
      <c r="Z56" s="3549">
        <f t="shared" si="26"/>
        <v>1378</v>
      </c>
      <c r="AA56" s="3549">
        <f t="shared" si="27"/>
        <v>2756</v>
      </c>
      <c r="AB56" s="3549"/>
      <c r="AC56" s="3549">
        <f t="shared" ref="AC56:AC74" si="44">AA56-AB56</f>
        <v>2756</v>
      </c>
      <c r="AD56" s="3549">
        <f t="shared" si="29"/>
        <v>1446.9</v>
      </c>
      <c r="AE56" s="3549">
        <f t="shared" si="30"/>
        <v>2894</v>
      </c>
      <c r="AF56" s="3549"/>
      <c r="AG56" s="3576">
        <f t="shared" ref="AG56:AG74" si="45">AE56-AF56</f>
        <v>2894</v>
      </c>
      <c r="AH56" s="3571">
        <v>1.1200000000000001</v>
      </c>
      <c r="AI56" s="3004"/>
      <c r="AJ56" s="2995">
        <v>1.1200000000000001</v>
      </c>
      <c r="AK56" s="3004">
        <v>2</v>
      </c>
      <c r="AL56" s="3004">
        <f t="shared" si="36"/>
        <v>3086.7200000000003</v>
      </c>
      <c r="AM56" s="3004"/>
      <c r="AN56" s="3004">
        <f t="shared" si="37"/>
        <v>0</v>
      </c>
      <c r="AO56" s="3004">
        <v>2</v>
      </c>
      <c r="AP56" s="3004">
        <f t="shared" si="38"/>
        <v>3086.7200000000003</v>
      </c>
      <c r="AQ56" s="3004">
        <v>2</v>
      </c>
      <c r="AR56" s="3004">
        <f t="shared" si="39"/>
        <v>3086.7200000000003</v>
      </c>
      <c r="AS56" s="2995"/>
      <c r="AT56" s="2995"/>
      <c r="AU56" s="2995"/>
      <c r="AV56" s="2983">
        <f t="shared" si="40"/>
        <v>-4</v>
      </c>
      <c r="AW56" s="3595">
        <f t="shared" si="19"/>
        <v>1543.36</v>
      </c>
      <c r="AX56" s="3595">
        <f t="shared" si="41"/>
        <v>3086.72</v>
      </c>
      <c r="AY56" s="3595">
        <f t="shared" si="20"/>
        <v>3086.72</v>
      </c>
      <c r="AZ56" s="3595">
        <f t="shared" si="21"/>
        <v>0</v>
      </c>
      <c r="BA56" s="3595">
        <f t="shared" si="22"/>
        <v>3086.72</v>
      </c>
      <c r="BB56" s="3595">
        <f t="shared" si="23"/>
        <v>3086.72</v>
      </c>
      <c r="BC56" s="2983">
        <f t="shared" si="24"/>
        <v>9260.16</v>
      </c>
      <c r="BD56" s="2983">
        <f t="shared" si="25"/>
        <v>-6173.4400000000005</v>
      </c>
    </row>
    <row r="57" spans="1:56" ht="12.75">
      <c r="A57" s="3265">
        <v>36</v>
      </c>
      <c r="B57" s="3548" t="s">
        <v>2898</v>
      </c>
      <c r="C57" s="3548" t="s">
        <v>2987</v>
      </c>
      <c r="D57" s="3548" t="s">
        <v>2899</v>
      </c>
      <c r="E57" s="3572">
        <v>16815.8</v>
      </c>
      <c r="F57" s="3549"/>
      <c r="G57" s="3572">
        <f t="shared" si="42"/>
        <v>16815.8</v>
      </c>
      <c r="H57" s="3549"/>
      <c r="I57" s="3573"/>
      <c r="J57" s="3573"/>
      <c r="K57" s="3549"/>
      <c r="L57" s="3647">
        <f t="shared" si="16"/>
        <v>2</v>
      </c>
      <c r="M57" s="3574"/>
      <c r="N57" s="3549"/>
      <c r="O57" s="3549"/>
      <c r="P57" s="3549">
        <f t="shared" si="32"/>
        <v>2</v>
      </c>
      <c r="Q57" s="3577">
        <f>1500</f>
        <v>1500</v>
      </c>
      <c r="R57" s="3568">
        <v>1.06</v>
      </c>
      <c r="S57" s="3568">
        <f t="shared" si="33"/>
        <v>1590</v>
      </c>
      <c r="T57" s="3569">
        <f t="shared" si="34"/>
        <v>1780.8000000000002</v>
      </c>
      <c r="U57" s="3567">
        <f t="shared" si="35"/>
        <v>3561.6000000000004</v>
      </c>
      <c r="V57" s="3549"/>
      <c r="W57" s="3549">
        <f t="shared" si="43"/>
        <v>3561.6000000000004</v>
      </c>
      <c r="X57" s="3575"/>
      <c r="Y57" s="3575"/>
      <c r="Z57" s="3549">
        <f t="shared" si="26"/>
        <v>1590</v>
      </c>
      <c r="AA57" s="3549">
        <f t="shared" si="27"/>
        <v>3180</v>
      </c>
      <c r="AB57" s="3549"/>
      <c r="AC57" s="3549">
        <f t="shared" si="44"/>
        <v>3180</v>
      </c>
      <c r="AD57" s="3549">
        <f t="shared" si="29"/>
        <v>1669.5</v>
      </c>
      <c r="AE57" s="3549">
        <f t="shared" si="30"/>
        <v>3339</v>
      </c>
      <c r="AF57" s="3549"/>
      <c r="AG57" s="3576">
        <f t="shared" si="45"/>
        <v>3339</v>
      </c>
      <c r="AH57" s="3571">
        <v>1.1200000000000001</v>
      </c>
      <c r="AI57" s="3004"/>
      <c r="AJ57" s="2995">
        <v>1.1200000000000001</v>
      </c>
      <c r="AK57" s="3004">
        <v>2</v>
      </c>
      <c r="AL57" s="3004">
        <f t="shared" si="36"/>
        <v>3561.6000000000004</v>
      </c>
      <c r="AM57" s="3004"/>
      <c r="AN57" s="3004">
        <f t="shared" si="37"/>
        <v>0</v>
      </c>
      <c r="AO57" s="3004">
        <v>2</v>
      </c>
      <c r="AP57" s="3004">
        <f t="shared" si="38"/>
        <v>3561.6000000000004</v>
      </c>
      <c r="AQ57" s="3004">
        <v>2</v>
      </c>
      <c r="AR57" s="3004">
        <f t="shared" si="39"/>
        <v>3561.6000000000004</v>
      </c>
      <c r="AS57" s="2995"/>
      <c r="AT57" s="2995"/>
      <c r="AU57" s="2995"/>
      <c r="AV57" s="2983">
        <f t="shared" si="40"/>
        <v>-4</v>
      </c>
      <c r="AW57" s="3595">
        <f t="shared" si="19"/>
        <v>1780.8</v>
      </c>
      <c r="AX57" s="3595">
        <f t="shared" si="41"/>
        <v>3561.6</v>
      </c>
      <c r="AY57" s="3595">
        <f t="shared" si="20"/>
        <v>3561.6</v>
      </c>
      <c r="AZ57" s="3595">
        <f t="shared" si="21"/>
        <v>0</v>
      </c>
      <c r="BA57" s="3595">
        <f t="shared" si="22"/>
        <v>3561.6</v>
      </c>
      <c r="BB57" s="3595">
        <f t="shared" si="23"/>
        <v>3561.6</v>
      </c>
      <c r="BC57" s="2983">
        <f t="shared" si="24"/>
        <v>10684.8</v>
      </c>
      <c r="BD57" s="2983">
        <f t="shared" si="25"/>
        <v>-7123.1999999999989</v>
      </c>
    </row>
    <row r="58" spans="1:56" ht="25.5">
      <c r="A58" s="3371">
        <v>37</v>
      </c>
      <c r="B58" s="3548" t="s">
        <v>2988</v>
      </c>
      <c r="C58" s="3548" t="s">
        <v>2988</v>
      </c>
      <c r="D58" s="3548" t="s">
        <v>1022</v>
      </c>
      <c r="E58" s="3572">
        <v>16815.8</v>
      </c>
      <c r="F58" s="3549"/>
      <c r="G58" s="3572">
        <f t="shared" si="42"/>
        <v>16815.8</v>
      </c>
      <c r="H58" s="3549"/>
      <c r="I58" s="3573"/>
      <c r="J58" s="3573"/>
      <c r="K58" s="3549"/>
      <c r="L58" s="3647">
        <f t="shared" si="16"/>
        <v>1</v>
      </c>
      <c r="M58" s="3574"/>
      <c r="N58" s="3549"/>
      <c r="O58" s="3549"/>
      <c r="P58" s="3549">
        <f t="shared" si="32"/>
        <v>1</v>
      </c>
      <c r="Q58" s="3371">
        <f>4500</f>
        <v>4500</v>
      </c>
      <c r="R58" s="3568">
        <v>1.06</v>
      </c>
      <c r="S58" s="3568">
        <f t="shared" si="33"/>
        <v>4770</v>
      </c>
      <c r="T58" s="3569">
        <f t="shared" si="34"/>
        <v>5342.4000000000005</v>
      </c>
      <c r="U58" s="3567">
        <f t="shared" si="35"/>
        <v>5342.4000000000005</v>
      </c>
      <c r="V58" s="3549"/>
      <c r="W58" s="3549">
        <f t="shared" si="43"/>
        <v>5342.4000000000005</v>
      </c>
      <c r="X58" s="3575">
        <v>990</v>
      </c>
      <c r="Y58" s="3575">
        <v>1.07</v>
      </c>
      <c r="Z58" s="3549">
        <f t="shared" si="26"/>
        <v>4770</v>
      </c>
      <c r="AA58" s="3549">
        <f t="shared" si="27"/>
        <v>4770</v>
      </c>
      <c r="AB58" s="3549"/>
      <c r="AC58" s="3549">
        <f t="shared" si="44"/>
        <v>4770</v>
      </c>
      <c r="AD58" s="3549">
        <f t="shared" si="29"/>
        <v>5008.5</v>
      </c>
      <c r="AE58" s="3549">
        <f t="shared" si="30"/>
        <v>5009</v>
      </c>
      <c r="AF58" s="3549"/>
      <c r="AG58" s="3576">
        <f t="shared" si="45"/>
        <v>5009</v>
      </c>
      <c r="AH58" s="3571">
        <v>1.1200000000000001</v>
      </c>
      <c r="AI58" s="3004"/>
      <c r="AJ58" s="2995">
        <v>1.1200000000000001</v>
      </c>
      <c r="AK58" s="3004">
        <v>1</v>
      </c>
      <c r="AL58" s="3004">
        <f t="shared" si="36"/>
        <v>5342.4000000000005</v>
      </c>
      <c r="AM58" s="3004"/>
      <c r="AN58" s="3004">
        <f t="shared" si="37"/>
        <v>0</v>
      </c>
      <c r="AO58" s="3004">
        <v>1</v>
      </c>
      <c r="AP58" s="3004">
        <f t="shared" si="38"/>
        <v>5342.4000000000005</v>
      </c>
      <c r="AQ58" s="3004">
        <v>1</v>
      </c>
      <c r="AR58" s="3004">
        <f t="shared" si="39"/>
        <v>5342.4000000000005</v>
      </c>
      <c r="AS58" s="2995"/>
      <c r="AT58" s="2995"/>
      <c r="AU58" s="2995"/>
      <c r="AV58" s="2983">
        <f t="shared" si="40"/>
        <v>-2</v>
      </c>
      <c r="AW58" s="3595">
        <f t="shared" si="19"/>
        <v>5342.4</v>
      </c>
      <c r="AX58" s="3595">
        <f t="shared" si="41"/>
        <v>5342.4</v>
      </c>
      <c r="AY58" s="3595">
        <f t="shared" si="20"/>
        <v>5342.4</v>
      </c>
      <c r="AZ58" s="3595">
        <f t="shared" si="21"/>
        <v>0</v>
      </c>
      <c r="BA58" s="3595">
        <f t="shared" si="22"/>
        <v>5342.4</v>
      </c>
      <c r="BB58" s="3595">
        <f t="shared" si="23"/>
        <v>5342.4</v>
      </c>
      <c r="BC58" s="2983">
        <f t="shared" si="24"/>
        <v>16027.199999999999</v>
      </c>
      <c r="BD58" s="2983">
        <f t="shared" si="25"/>
        <v>-10684.8</v>
      </c>
    </row>
    <row r="59" spans="1:56" ht="25.5">
      <c r="A59" s="3265">
        <v>38</v>
      </c>
      <c r="B59" s="3548" t="s">
        <v>2989</v>
      </c>
      <c r="C59" s="3548" t="s">
        <v>2990</v>
      </c>
      <c r="D59" s="3548" t="s">
        <v>1268</v>
      </c>
      <c r="E59" s="3572">
        <v>16815.8</v>
      </c>
      <c r="F59" s="3549"/>
      <c r="G59" s="3572">
        <f t="shared" si="42"/>
        <v>16815.8</v>
      </c>
      <c r="H59" s="3549"/>
      <c r="I59" s="3573"/>
      <c r="J59" s="3573"/>
      <c r="K59" s="3549"/>
      <c r="L59" s="3647">
        <f t="shared" si="16"/>
        <v>1</v>
      </c>
      <c r="M59" s="3549"/>
      <c r="N59" s="3549"/>
      <c r="O59" s="3549"/>
      <c r="P59" s="3549">
        <f t="shared" si="32"/>
        <v>1</v>
      </c>
      <c r="Q59" s="3371">
        <f>7500</f>
        <v>7500</v>
      </c>
      <c r="R59" s="3568">
        <v>1.06</v>
      </c>
      <c r="S59" s="3568">
        <f t="shared" si="33"/>
        <v>7950</v>
      </c>
      <c r="T59" s="3569">
        <f t="shared" si="34"/>
        <v>8904</v>
      </c>
      <c r="U59" s="3567">
        <f t="shared" si="35"/>
        <v>8904</v>
      </c>
      <c r="V59" s="3549"/>
      <c r="W59" s="3549">
        <f t="shared" si="43"/>
        <v>8904</v>
      </c>
      <c r="X59" s="3575">
        <v>555</v>
      </c>
      <c r="Y59" s="3575">
        <v>1.07</v>
      </c>
      <c r="Z59" s="3549">
        <f t="shared" si="26"/>
        <v>7950</v>
      </c>
      <c r="AA59" s="3549">
        <f t="shared" si="27"/>
        <v>7950</v>
      </c>
      <c r="AB59" s="3549"/>
      <c r="AC59" s="3549">
        <f t="shared" si="44"/>
        <v>7950</v>
      </c>
      <c r="AD59" s="3549">
        <f t="shared" si="29"/>
        <v>8347.5</v>
      </c>
      <c r="AE59" s="3549">
        <f t="shared" si="30"/>
        <v>8348</v>
      </c>
      <c r="AF59" s="3549"/>
      <c r="AG59" s="3576">
        <f t="shared" si="45"/>
        <v>8348</v>
      </c>
      <c r="AH59" s="3571">
        <v>1.1200000000000001</v>
      </c>
      <c r="AI59" s="3004"/>
      <c r="AJ59" s="2995">
        <v>1.1200000000000001</v>
      </c>
      <c r="AK59" s="3004">
        <v>1</v>
      </c>
      <c r="AL59" s="3004">
        <f t="shared" si="36"/>
        <v>8904</v>
      </c>
      <c r="AM59" s="3004"/>
      <c r="AN59" s="3004">
        <f t="shared" si="37"/>
        <v>0</v>
      </c>
      <c r="AO59" s="3004">
        <v>1</v>
      </c>
      <c r="AP59" s="3004">
        <f t="shared" si="38"/>
        <v>8904</v>
      </c>
      <c r="AQ59" s="3004">
        <v>1</v>
      </c>
      <c r="AR59" s="3004">
        <f t="shared" si="39"/>
        <v>8904</v>
      </c>
      <c r="AS59" s="2995"/>
      <c r="AT59" s="2995"/>
      <c r="AU59" s="2995"/>
      <c r="AV59" s="2983">
        <f t="shared" si="40"/>
        <v>-2</v>
      </c>
      <c r="AW59" s="3595">
        <f t="shared" si="19"/>
        <v>8904</v>
      </c>
      <c r="AX59" s="3595">
        <f t="shared" si="41"/>
        <v>8904</v>
      </c>
      <c r="AY59" s="3595">
        <f t="shared" si="20"/>
        <v>8904</v>
      </c>
      <c r="AZ59" s="3595">
        <f t="shared" si="21"/>
        <v>0</v>
      </c>
      <c r="BA59" s="3595">
        <f t="shared" si="22"/>
        <v>8904</v>
      </c>
      <c r="BB59" s="3595">
        <f t="shared" si="23"/>
        <v>8904</v>
      </c>
      <c r="BC59" s="2983">
        <f t="shared" si="24"/>
        <v>26712</v>
      </c>
      <c r="BD59" s="2983">
        <f t="shared" si="25"/>
        <v>-17808</v>
      </c>
    </row>
    <row r="60" spans="1:56" s="3411" customFormat="1" ht="12.75">
      <c r="A60" s="3616">
        <v>39</v>
      </c>
      <c r="B60" s="3617" t="s">
        <v>2991</v>
      </c>
      <c r="C60" s="3617" t="s">
        <v>2991</v>
      </c>
      <c r="D60" s="3617" t="s">
        <v>1022</v>
      </c>
      <c r="E60" s="3618">
        <v>16815.8</v>
      </c>
      <c r="F60" s="3621"/>
      <c r="G60" s="3618">
        <f t="shared" si="42"/>
        <v>16815.8</v>
      </c>
      <c r="H60" s="3621"/>
      <c r="I60" s="3619"/>
      <c r="J60" s="3619"/>
      <c r="K60" s="3621"/>
      <c r="L60" s="3647">
        <f t="shared" si="16"/>
        <v>2</v>
      </c>
      <c r="M60" s="3620"/>
      <c r="N60" s="3621"/>
      <c r="O60" s="3621"/>
      <c r="P60" s="3621">
        <f t="shared" si="32"/>
        <v>2</v>
      </c>
      <c r="Q60" s="3616">
        <f>1200</f>
        <v>1200</v>
      </c>
      <c r="R60" s="3622">
        <v>1.06</v>
      </c>
      <c r="S60" s="3622">
        <f t="shared" si="33"/>
        <v>1272</v>
      </c>
      <c r="T60" s="3623">
        <f t="shared" si="34"/>
        <v>1424.64</v>
      </c>
      <c r="U60" s="3621">
        <f t="shared" si="35"/>
        <v>2849.28</v>
      </c>
      <c r="V60" s="3621"/>
      <c r="W60" s="3621">
        <f t="shared" si="43"/>
        <v>2849.28</v>
      </c>
      <c r="X60" s="3624">
        <v>1377</v>
      </c>
      <c r="Y60" s="3624">
        <v>1.07</v>
      </c>
      <c r="Z60" s="3621">
        <f t="shared" si="26"/>
        <v>1272</v>
      </c>
      <c r="AA60" s="3621">
        <f t="shared" si="27"/>
        <v>2544</v>
      </c>
      <c r="AB60" s="3621"/>
      <c r="AC60" s="3621">
        <f t="shared" si="44"/>
        <v>2544</v>
      </c>
      <c r="AD60" s="3621">
        <f t="shared" si="29"/>
        <v>1335.6000000000001</v>
      </c>
      <c r="AE60" s="3621">
        <f t="shared" si="30"/>
        <v>2671</v>
      </c>
      <c r="AF60" s="3621"/>
      <c r="AG60" s="3625">
        <f t="shared" si="45"/>
        <v>2671</v>
      </c>
      <c r="AH60" s="3625">
        <v>1.1200000000000001</v>
      </c>
      <c r="AI60" s="3626"/>
      <c r="AJ60" s="3409">
        <v>1.1200000000000001</v>
      </c>
      <c r="AK60" s="3626">
        <v>2</v>
      </c>
      <c r="AL60" s="3626">
        <f t="shared" si="36"/>
        <v>2849.28</v>
      </c>
      <c r="AM60" s="3626"/>
      <c r="AN60" s="3626">
        <f t="shared" si="37"/>
        <v>0</v>
      </c>
      <c r="AO60" s="3626">
        <v>2</v>
      </c>
      <c r="AP60" s="3626">
        <f t="shared" si="38"/>
        <v>2849.28</v>
      </c>
      <c r="AQ60" s="3626">
        <v>2</v>
      </c>
      <c r="AR60" s="3626">
        <f t="shared" si="39"/>
        <v>2849.28</v>
      </c>
      <c r="AS60" s="3409"/>
      <c r="AT60" s="3409"/>
      <c r="AU60" s="3409"/>
      <c r="AV60" s="3411">
        <f t="shared" si="40"/>
        <v>-4</v>
      </c>
      <c r="AW60" s="3627">
        <f t="shared" si="19"/>
        <v>1424.64</v>
      </c>
      <c r="AX60" s="3627">
        <f t="shared" si="41"/>
        <v>2849.28</v>
      </c>
      <c r="AY60" s="3627">
        <f t="shared" si="20"/>
        <v>2849.28</v>
      </c>
      <c r="AZ60" s="3627">
        <f t="shared" si="21"/>
        <v>0</v>
      </c>
      <c r="BA60" s="3627">
        <f t="shared" si="22"/>
        <v>2849.28</v>
      </c>
      <c r="BB60" s="3627">
        <f t="shared" si="23"/>
        <v>2849.28</v>
      </c>
      <c r="BC60" s="3411">
        <f t="shared" si="24"/>
        <v>8547.84</v>
      </c>
      <c r="BD60" s="3411">
        <f t="shared" si="25"/>
        <v>-5698.5599999999995</v>
      </c>
    </row>
    <row r="61" spans="1:56" ht="12.75" hidden="1">
      <c r="A61" s="3265">
        <v>53</v>
      </c>
      <c r="B61" s="3548" t="s">
        <v>2812</v>
      </c>
      <c r="C61" s="3548" t="s">
        <v>2813</v>
      </c>
      <c r="D61" s="3548" t="s">
        <v>1022</v>
      </c>
      <c r="E61" s="3572">
        <v>16815.8</v>
      </c>
      <c r="F61" s="3573"/>
      <c r="G61" s="3572">
        <f t="shared" si="42"/>
        <v>16815.8</v>
      </c>
      <c r="H61" s="3573"/>
      <c r="I61" s="3573"/>
      <c r="J61" s="3573"/>
      <c r="K61" s="3573"/>
      <c r="L61" s="3647">
        <f t="shared" si="16"/>
        <v>0</v>
      </c>
      <c r="M61" s="3574"/>
      <c r="N61" s="3573"/>
      <c r="O61" s="3573"/>
      <c r="P61" s="3549">
        <f t="shared" si="32"/>
        <v>0</v>
      </c>
      <c r="Q61" s="3577">
        <f>3000</f>
        <v>3000</v>
      </c>
      <c r="R61" s="3568">
        <v>1.06</v>
      </c>
      <c r="S61" s="3568">
        <f t="shared" si="33"/>
        <v>3180</v>
      </c>
      <c r="T61" s="3569">
        <f t="shared" si="34"/>
        <v>3561.6000000000004</v>
      </c>
      <c r="U61" s="3567">
        <f t="shared" si="35"/>
        <v>0</v>
      </c>
      <c r="V61" s="3567"/>
      <c r="W61" s="3567">
        <f t="shared" si="43"/>
        <v>0</v>
      </c>
      <c r="X61" s="3570"/>
      <c r="Y61" s="3570"/>
      <c r="Z61" s="3567">
        <f t="shared" si="26"/>
        <v>3180</v>
      </c>
      <c r="AA61" s="3567">
        <f t="shared" si="27"/>
        <v>0</v>
      </c>
      <c r="AB61" s="3567"/>
      <c r="AC61" s="3567">
        <f t="shared" si="44"/>
        <v>0</v>
      </c>
      <c r="AD61" s="3567">
        <f t="shared" si="29"/>
        <v>3339</v>
      </c>
      <c r="AE61" s="3567">
        <f t="shared" si="30"/>
        <v>0</v>
      </c>
      <c r="AF61" s="3567"/>
      <c r="AG61" s="3571">
        <f t="shared" si="45"/>
        <v>0</v>
      </c>
      <c r="AH61" s="3571">
        <v>1.1200000000000001</v>
      </c>
      <c r="AI61" s="3004"/>
      <c r="AJ61" s="2995">
        <v>1.1200000000000001</v>
      </c>
      <c r="AK61" s="3004">
        <v>1</v>
      </c>
      <c r="AL61" s="3004">
        <f t="shared" si="36"/>
        <v>3561.6000000000004</v>
      </c>
      <c r="AM61" s="3004"/>
      <c r="AN61" s="3004">
        <f t="shared" si="37"/>
        <v>0</v>
      </c>
      <c r="AO61" s="3004">
        <v>1</v>
      </c>
      <c r="AP61" s="3004">
        <f t="shared" si="38"/>
        <v>3561.6000000000004</v>
      </c>
      <c r="AQ61" s="3004">
        <v>0</v>
      </c>
      <c r="AR61" s="3004">
        <f t="shared" si="39"/>
        <v>0</v>
      </c>
      <c r="AS61" s="2995"/>
      <c r="AT61" s="2995"/>
      <c r="AU61" s="2995"/>
      <c r="AV61" s="2983">
        <f t="shared" si="40"/>
        <v>-2</v>
      </c>
      <c r="AW61" s="3595">
        <f t="shared" si="19"/>
        <v>3561.6</v>
      </c>
      <c r="AX61" s="3595">
        <f t="shared" si="41"/>
        <v>0</v>
      </c>
      <c r="AY61" s="3595">
        <f t="shared" si="20"/>
        <v>3561.6</v>
      </c>
      <c r="AZ61" s="3595">
        <f t="shared" si="21"/>
        <v>0</v>
      </c>
      <c r="BA61" s="3595">
        <f t="shared" si="22"/>
        <v>3561.6</v>
      </c>
      <c r="BB61" s="3595">
        <f t="shared" si="23"/>
        <v>0</v>
      </c>
      <c r="BC61" s="2983">
        <f t="shared" si="24"/>
        <v>7123.2</v>
      </c>
      <c r="BD61" s="2983">
        <f t="shared" si="25"/>
        <v>-7123.2</v>
      </c>
    </row>
    <row r="62" spans="1:56" ht="25.5" hidden="1">
      <c r="A62" s="3371">
        <v>54</v>
      </c>
      <c r="B62" s="3547" t="s">
        <v>2992</v>
      </c>
      <c r="C62" s="3547" t="s">
        <v>2993</v>
      </c>
      <c r="D62" s="3547" t="s">
        <v>2899</v>
      </c>
      <c r="E62" s="3564">
        <v>16815.8</v>
      </c>
      <c r="F62" s="3565"/>
      <c r="G62" s="3564">
        <f t="shared" si="42"/>
        <v>16815.8</v>
      </c>
      <c r="H62" s="3565"/>
      <c r="I62" s="3565"/>
      <c r="J62" s="3565"/>
      <c r="K62" s="3565"/>
      <c r="L62" s="3647">
        <f t="shared" si="16"/>
        <v>0</v>
      </c>
      <c r="M62" s="3566"/>
      <c r="N62" s="3565"/>
      <c r="O62" s="3565"/>
      <c r="P62" s="3567">
        <f t="shared" si="32"/>
        <v>0</v>
      </c>
      <c r="Q62" s="3568">
        <f>350</f>
        <v>350</v>
      </c>
      <c r="R62" s="3568">
        <v>1.06</v>
      </c>
      <c r="S62" s="3568">
        <f t="shared" si="33"/>
        <v>371</v>
      </c>
      <c r="T62" s="3569">
        <f t="shared" si="34"/>
        <v>415.52000000000004</v>
      </c>
      <c r="U62" s="3567">
        <f t="shared" si="35"/>
        <v>0</v>
      </c>
      <c r="V62" s="3567"/>
      <c r="W62" s="3567">
        <f t="shared" si="43"/>
        <v>0</v>
      </c>
      <c r="X62" s="3570"/>
      <c r="Y62" s="3570"/>
      <c r="Z62" s="3567">
        <f t="shared" si="26"/>
        <v>371</v>
      </c>
      <c r="AA62" s="3567">
        <f t="shared" si="27"/>
        <v>0</v>
      </c>
      <c r="AB62" s="3567"/>
      <c r="AC62" s="3567">
        <f t="shared" si="44"/>
        <v>0</v>
      </c>
      <c r="AD62" s="3567">
        <f t="shared" si="29"/>
        <v>389.55</v>
      </c>
      <c r="AE62" s="3567">
        <f t="shared" si="30"/>
        <v>0</v>
      </c>
      <c r="AF62" s="3567"/>
      <c r="AG62" s="3571">
        <f t="shared" si="45"/>
        <v>0</v>
      </c>
      <c r="AH62" s="3571">
        <v>1.1200000000000001</v>
      </c>
      <c r="AI62" s="3004"/>
      <c r="AJ62" s="2995">
        <v>1.1200000000000001</v>
      </c>
      <c r="AK62" s="3004">
        <v>21</v>
      </c>
      <c r="AL62" s="3004">
        <f t="shared" si="36"/>
        <v>8725.92</v>
      </c>
      <c r="AM62" s="3004">
        <v>21</v>
      </c>
      <c r="AN62" s="3004">
        <f t="shared" si="37"/>
        <v>8725.92</v>
      </c>
      <c r="AO62" s="3004">
        <v>21</v>
      </c>
      <c r="AP62" s="3004">
        <f t="shared" si="38"/>
        <v>8725.92</v>
      </c>
      <c r="AQ62" s="3004"/>
      <c r="AR62" s="3004">
        <f t="shared" si="39"/>
        <v>0</v>
      </c>
      <c r="AS62" s="2995"/>
      <c r="AT62" s="2995"/>
      <c r="AU62" s="2995"/>
      <c r="AV62" s="2983">
        <f t="shared" si="40"/>
        <v>-63</v>
      </c>
      <c r="AW62" s="3595">
        <f t="shared" si="19"/>
        <v>415.52</v>
      </c>
      <c r="AX62" s="3595">
        <f t="shared" si="41"/>
        <v>0</v>
      </c>
      <c r="AY62" s="3595">
        <f t="shared" si="20"/>
        <v>8725.92</v>
      </c>
      <c r="AZ62" s="3595">
        <f t="shared" si="21"/>
        <v>8725.92</v>
      </c>
      <c r="BA62" s="3595">
        <f t="shared" si="22"/>
        <v>8725.92</v>
      </c>
      <c r="BB62" s="3595">
        <f t="shared" si="23"/>
        <v>0</v>
      </c>
      <c r="BC62" s="2983">
        <f t="shared" si="24"/>
        <v>26177.760000000002</v>
      </c>
      <c r="BD62" s="2983">
        <f t="shared" si="25"/>
        <v>-26177.760000000002</v>
      </c>
    </row>
    <row r="63" spans="1:56" ht="38.25" hidden="1">
      <c r="A63" s="3265">
        <v>55</v>
      </c>
      <c r="B63" s="3548" t="s">
        <v>2994</v>
      </c>
      <c r="C63" s="3548" t="s">
        <v>2995</v>
      </c>
      <c r="D63" s="3548" t="s">
        <v>2815</v>
      </c>
      <c r="E63" s="3572">
        <v>16815.8</v>
      </c>
      <c r="F63" s="3573"/>
      <c r="G63" s="3572">
        <f t="shared" si="42"/>
        <v>16815.8</v>
      </c>
      <c r="H63" s="3573"/>
      <c r="I63" s="3573"/>
      <c r="J63" s="3573"/>
      <c r="K63" s="3573"/>
      <c r="L63" s="3647">
        <f t="shared" si="16"/>
        <v>0</v>
      </c>
      <c r="M63" s="3574"/>
      <c r="N63" s="3573"/>
      <c r="O63" s="3573"/>
      <c r="P63" s="3549">
        <f t="shared" si="32"/>
        <v>0</v>
      </c>
      <c r="Q63" s="3577">
        <f>700</f>
        <v>700</v>
      </c>
      <c r="R63" s="3568">
        <v>1.06</v>
      </c>
      <c r="S63" s="3568">
        <f t="shared" si="33"/>
        <v>742</v>
      </c>
      <c r="T63" s="3569">
        <f t="shared" si="34"/>
        <v>831.04000000000008</v>
      </c>
      <c r="U63" s="3567">
        <f t="shared" si="35"/>
        <v>0</v>
      </c>
      <c r="V63" s="3567"/>
      <c r="W63" s="3567">
        <f t="shared" si="43"/>
        <v>0</v>
      </c>
      <c r="X63" s="3570"/>
      <c r="Y63" s="3570"/>
      <c r="Z63" s="3567">
        <f t="shared" si="26"/>
        <v>742</v>
      </c>
      <c r="AA63" s="3567">
        <f t="shared" si="27"/>
        <v>0</v>
      </c>
      <c r="AB63" s="3567"/>
      <c r="AC63" s="3567">
        <f t="shared" si="44"/>
        <v>0</v>
      </c>
      <c r="AD63" s="3567">
        <f t="shared" si="29"/>
        <v>779.1</v>
      </c>
      <c r="AE63" s="3567">
        <f t="shared" si="30"/>
        <v>0</v>
      </c>
      <c r="AF63" s="3567"/>
      <c r="AG63" s="3571">
        <f t="shared" si="45"/>
        <v>0</v>
      </c>
      <c r="AH63" s="3571">
        <v>1.1200000000000001</v>
      </c>
      <c r="AI63" s="3004"/>
      <c r="AJ63" s="2995">
        <v>1.1200000000000001</v>
      </c>
      <c r="AK63" s="3004">
        <v>40</v>
      </c>
      <c r="AL63" s="3004">
        <f t="shared" si="36"/>
        <v>33241.600000000006</v>
      </c>
      <c r="AM63" s="3004">
        <v>20</v>
      </c>
      <c r="AN63" s="3004">
        <f t="shared" si="37"/>
        <v>16620.800000000003</v>
      </c>
      <c r="AO63" s="3004">
        <v>40</v>
      </c>
      <c r="AP63" s="3004">
        <f t="shared" si="38"/>
        <v>33241.600000000006</v>
      </c>
      <c r="AQ63" s="3004">
        <v>0</v>
      </c>
      <c r="AR63" s="3004">
        <f t="shared" si="39"/>
        <v>0</v>
      </c>
      <c r="AS63" s="2995"/>
      <c r="AT63" s="2995"/>
      <c r="AU63" s="2995"/>
      <c r="AV63" s="2983">
        <f t="shared" si="40"/>
        <v>-100</v>
      </c>
      <c r="AW63" s="3595">
        <f t="shared" si="19"/>
        <v>831.04</v>
      </c>
      <c r="AX63" s="3595">
        <f t="shared" si="41"/>
        <v>0</v>
      </c>
      <c r="AY63" s="3595">
        <f t="shared" si="20"/>
        <v>33241.599999999999</v>
      </c>
      <c r="AZ63" s="3595">
        <f t="shared" si="21"/>
        <v>16620.8</v>
      </c>
      <c r="BA63" s="3595">
        <f t="shared" si="22"/>
        <v>33241.599999999999</v>
      </c>
      <c r="BB63" s="3595">
        <f t="shared" si="23"/>
        <v>0</v>
      </c>
      <c r="BC63" s="2983">
        <f t="shared" si="24"/>
        <v>83104</v>
      </c>
      <c r="BD63" s="2983">
        <f t="shared" si="25"/>
        <v>-83104</v>
      </c>
    </row>
    <row r="64" spans="1:56" ht="45.75" hidden="1" customHeight="1">
      <c r="A64" s="3371">
        <v>56</v>
      </c>
      <c r="B64" s="3548" t="s">
        <v>2996</v>
      </c>
      <c r="C64" s="3548" t="s">
        <v>2996</v>
      </c>
      <c r="D64" s="3548" t="s">
        <v>1268</v>
      </c>
      <c r="E64" s="3572">
        <v>16815.8</v>
      </c>
      <c r="F64" s="3573"/>
      <c r="G64" s="3572">
        <f t="shared" si="42"/>
        <v>16815.8</v>
      </c>
      <c r="H64" s="3573"/>
      <c r="I64" s="3573"/>
      <c r="J64" s="3573"/>
      <c r="K64" s="3573"/>
      <c r="L64" s="3647">
        <f t="shared" si="16"/>
        <v>0</v>
      </c>
      <c r="M64" s="3574"/>
      <c r="N64" s="3573"/>
      <c r="O64" s="3573"/>
      <c r="P64" s="3549">
        <f t="shared" ref="P64:P79" si="46">L64-N64-O64</f>
        <v>0</v>
      </c>
      <c r="Q64" s="3577">
        <f>1000</f>
        <v>1000</v>
      </c>
      <c r="R64" s="3568">
        <v>1.06</v>
      </c>
      <c r="S64" s="3568">
        <f t="shared" si="33"/>
        <v>1060</v>
      </c>
      <c r="T64" s="3569">
        <f t="shared" si="34"/>
        <v>1187.2</v>
      </c>
      <c r="U64" s="3567">
        <f t="shared" si="35"/>
        <v>0</v>
      </c>
      <c r="V64" s="3567"/>
      <c r="W64" s="3567">
        <f t="shared" si="43"/>
        <v>0</v>
      </c>
      <c r="X64" s="3570"/>
      <c r="Y64" s="3570"/>
      <c r="Z64" s="3567">
        <f t="shared" si="26"/>
        <v>1060</v>
      </c>
      <c r="AA64" s="3567">
        <f t="shared" si="27"/>
        <v>0</v>
      </c>
      <c r="AB64" s="3567"/>
      <c r="AC64" s="3567">
        <f t="shared" si="44"/>
        <v>0</v>
      </c>
      <c r="AD64" s="3567">
        <f t="shared" si="29"/>
        <v>1113</v>
      </c>
      <c r="AE64" s="3567">
        <f t="shared" si="30"/>
        <v>0</v>
      </c>
      <c r="AF64" s="3567"/>
      <c r="AG64" s="3571">
        <f t="shared" si="45"/>
        <v>0</v>
      </c>
      <c r="AH64" s="3571">
        <v>1.1200000000000001</v>
      </c>
      <c r="AI64" s="3004"/>
      <c r="AJ64" s="2995">
        <v>1.1200000000000001</v>
      </c>
      <c r="AK64" s="3004">
        <v>10</v>
      </c>
      <c r="AL64" s="3004">
        <f t="shared" si="36"/>
        <v>11872</v>
      </c>
      <c r="AM64" s="3004">
        <v>7</v>
      </c>
      <c r="AN64" s="3004">
        <f t="shared" si="37"/>
        <v>8310.4</v>
      </c>
      <c r="AO64" s="3004">
        <v>10</v>
      </c>
      <c r="AP64" s="3004">
        <f t="shared" si="38"/>
        <v>11872</v>
      </c>
      <c r="AQ64" s="3004"/>
      <c r="AR64" s="3004">
        <f t="shared" si="39"/>
        <v>0</v>
      </c>
      <c r="AS64" s="2995"/>
      <c r="AT64" s="2995"/>
      <c r="AU64" s="2995"/>
      <c r="AV64" s="2983">
        <f t="shared" si="40"/>
        <v>-27</v>
      </c>
      <c r="AW64" s="3595">
        <f t="shared" si="19"/>
        <v>1187.2</v>
      </c>
      <c r="AX64" s="3595">
        <f t="shared" si="41"/>
        <v>0</v>
      </c>
      <c r="AY64" s="3595">
        <f t="shared" si="20"/>
        <v>11872</v>
      </c>
      <c r="AZ64" s="3595">
        <f t="shared" si="21"/>
        <v>8310.4</v>
      </c>
      <c r="BA64" s="3595">
        <f t="shared" si="22"/>
        <v>11872</v>
      </c>
      <c r="BB64" s="3595">
        <f t="shared" si="23"/>
        <v>0</v>
      </c>
      <c r="BC64" s="2983">
        <f t="shared" si="24"/>
        <v>32054.400000000001</v>
      </c>
      <c r="BD64" s="2983">
        <f t="shared" si="25"/>
        <v>-32054.400000000001</v>
      </c>
    </row>
    <row r="65" spans="1:56" ht="12.75">
      <c r="A65" s="3265">
        <v>40</v>
      </c>
      <c r="B65" s="3548" t="s">
        <v>2997</v>
      </c>
      <c r="C65" s="3548" t="s">
        <v>2998</v>
      </c>
      <c r="D65" s="3548" t="s">
        <v>1022</v>
      </c>
      <c r="E65" s="3572">
        <v>16815.8</v>
      </c>
      <c r="F65" s="3573"/>
      <c r="G65" s="3572">
        <f t="shared" si="42"/>
        <v>16815.8</v>
      </c>
      <c r="H65" s="3573"/>
      <c r="I65" s="3573"/>
      <c r="J65" s="3573"/>
      <c r="K65" s="3573"/>
      <c r="L65" s="3647">
        <f t="shared" si="16"/>
        <v>1</v>
      </c>
      <c r="M65" s="3574"/>
      <c r="N65" s="3573"/>
      <c r="O65" s="3573"/>
      <c r="P65" s="3549">
        <f t="shared" si="46"/>
        <v>1</v>
      </c>
      <c r="Q65" s="3577">
        <f>2500</f>
        <v>2500</v>
      </c>
      <c r="R65" s="3568">
        <v>1.06</v>
      </c>
      <c r="S65" s="3568">
        <f t="shared" si="33"/>
        <v>2650</v>
      </c>
      <c r="T65" s="3569">
        <f t="shared" si="34"/>
        <v>2968.0000000000005</v>
      </c>
      <c r="U65" s="3567">
        <f t="shared" si="35"/>
        <v>2968.0000000000005</v>
      </c>
      <c r="V65" s="3567"/>
      <c r="W65" s="3567">
        <f t="shared" si="43"/>
        <v>2968.0000000000005</v>
      </c>
      <c r="X65" s="3570"/>
      <c r="Y65" s="3570"/>
      <c r="Z65" s="3567">
        <f t="shared" si="26"/>
        <v>2650</v>
      </c>
      <c r="AA65" s="3567">
        <f t="shared" si="27"/>
        <v>2650</v>
      </c>
      <c r="AB65" s="3567"/>
      <c r="AC65" s="3567">
        <f t="shared" si="44"/>
        <v>2650</v>
      </c>
      <c r="AD65" s="3567">
        <f t="shared" si="29"/>
        <v>2782.5</v>
      </c>
      <c r="AE65" s="3567">
        <f t="shared" si="30"/>
        <v>2783</v>
      </c>
      <c r="AF65" s="3567"/>
      <c r="AG65" s="3571">
        <f t="shared" si="45"/>
        <v>2783</v>
      </c>
      <c r="AH65" s="3571">
        <v>1.1200000000000001</v>
      </c>
      <c r="AI65" s="3004"/>
      <c r="AJ65" s="2995">
        <v>1.1200000000000001</v>
      </c>
      <c r="AK65" s="3004">
        <v>2</v>
      </c>
      <c r="AL65" s="3004">
        <f t="shared" si="36"/>
        <v>5936.0000000000009</v>
      </c>
      <c r="AM65" s="3004"/>
      <c r="AN65" s="3004">
        <f t="shared" si="37"/>
        <v>0</v>
      </c>
      <c r="AO65" s="3004">
        <v>2</v>
      </c>
      <c r="AP65" s="3004">
        <f t="shared" si="38"/>
        <v>5936.0000000000009</v>
      </c>
      <c r="AQ65" s="3004">
        <v>1</v>
      </c>
      <c r="AR65" s="3004">
        <f t="shared" si="39"/>
        <v>2968.0000000000005</v>
      </c>
      <c r="AS65" s="2995"/>
      <c r="AT65" s="2995"/>
      <c r="AU65" s="2995"/>
      <c r="AV65" s="2983">
        <f t="shared" si="40"/>
        <v>-4</v>
      </c>
      <c r="AW65" s="3595">
        <f t="shared" si="19"/>
        <v>2968</v>
      </c>
      <c r="AX65" s="3595">
        <f t="shared" si="41"/>
        <v>2968</v>
      </c>
      <c r="AY65" s="3595">
        <f t="shared" si="20"/>
        <v>5936</v>
      </c>
      <c r="AZ65" s="3595">
        <f t="shared" si="21"/>
        <v>0</v>
      </c>
      <c r="BA65" s="3595">
        <f t="shared" si="22"/>
        <v>5936</v>
      </c>
      <c r="BB65" s="3595">
        <f t="shared" si="23"/>
        <v>2968</v>
      </c>
      <c r="BC65" s="2983">
        <f t="shared" si="24"/>
        <v>14840</v>
      </c>
      <c r="BD65" s="2983">
        <f t="shared" si="25"/>
        <v>-11872</v>
      </c>
    </row>
    <row r="66" spans="1:56" ht="25.5">
      <c r="A66" s="3371">
        <v>41</v>
      </c>
      <c r="B66" s="3548" t="s">
        <v>2999</v>
      </c>
      <c r="C66" s="3548" t="s">
        <v>3000</v>
      </c>
      <c r="D66" s="3548" t="s">
        <v>2295</v>
      </c>
      <c r="E66" s="3572">
        <v>16815.8</v>
      </c>
      <c r="F66" s="3573"/>
      <c r="G66" s="3572">
        <f t="shared" si="42"/>
        <v>16815.8</v>
      </c>
      <c r="H66" s="3573"/>
      <c r="I66" s="3573"/>
      <c r="J66" s="3573"/>
      <c r="K66" s="3573"/>
      <c r="L66" s="3647">
        <f t="shared" si="16"/>
        <v>7</v>
      </c>
      <c r="M66" s="3574"/>
      <c r="N66" s="3573"/>
      <c r="O66" s="3573"/>
      <c r="P66" s="3549">
        <f t="shared" si="46"/>
        <v>7</v>
      </c>
      <c r="Q66" s="3577">
        <f>2300</f>
        <v>2300</v>
      </c>
      <c r="R66" s="3568">
        <v>1.06</v>
      </c>
      <c r="S66" s="3568">
        <f t="shared" si="33"/>
        <v>2438</v>
      </c>
      <c r="T66" s="3569">
        <f t="shared" si="34"/>
        <v>2730.5600000000004</v>
      </c>
      <c r="U66" s="3567">
        <f t="shared" si="35"/>
        <v>19113.920000000002</v>
      </c>
      <c r="V66" s="3567"/>
      <c r="W66" s="3567">
        <f t="shared" si="43"/>
        <v>19113.920000000002</v>
      </c>
      <c r="X66" s="3570"/>
      <c r="Y66" s="3570"/>
      <c r="Z66" s="3567">
        <f t="shared" si="26"/>
        <v>2438</v>
      </c>
      <c r="AA66" s="3567">
        <f t="shared" si="27"/>
        <v>17066</v>
      </c>
      <c r="AB66" s="3567"/>
      <c r="AC66" s="3567">
        <f t="shared" si="44"/>
        <v>17066</v>
      </c>
      <c r="AD66" s="3567">
        <f t="shared" si="29"/>
        <v>2559.9</v>
      </c>
      <c r="AE66" s="3567">
        <f t="shared" si="30"/>
        <v>17919</v>
      </c>
      <c r="AF66" s="3567"/>
      <c r="AG66" s="3571">
        <f t="shared" si="45"/>
        <v>17919</v>
      </c>
      <c r="AH66" s="3571">
        <v>1.1200000000000001</v>
      </c>
      <c r="AI66" s="3004"/>
      <c r="AJ66" s="2995">
        <v>1.1200000000000001</v>
      </c>
      <c r="AK66" s="3004">
        <v>1</v>
      </c>
      <c r="AL66" s="3004">
        <f t="shared" si="36"/>
        <v>2730.5600000000004</v>
      </c>
      <c r="AM66" s="3004">
        <v>1</v>
      </c>
      <c r="AN66" s="3004">
        <f t="shared" si="37"/>
        <v>2730.5600000000004</v>
      </c>
      <c r="AO66" s="3004">
        <v>1</v>
      </c>
      <c r="AP66" s="3004">
        <f t="shared" si="38"/>
        <v>2730.5600000000004</v>
      </c>
      <c r="AQ66" s="3004">
        <v>7</v>
      </c>
      <c r="AR66" s="3004">
        <f t="shared" si="39"/>
        <v>19113.920000000002</v>
      </c>
      <c r="AS66" s="2995"/>
      <c r="AT66" s="2995"/>
      <c r="AU66" s="2995"/>
      <c r="AV66" s="2983">
        <f t="shared" si="40"/>
        <v>-3</v>
      </c>
      <c r="AW66" s="3595">
        <f t="shared" si="19"/>
        <v>2730.56</v>
      </c>
      <c r="AX66" s="3595">
        <f t="shared" si="41"/>
        <v>19113.919999999998</v>
      </c>
      <c r="AY66" s="3595">
        <f t="shared" si="20"/>
        <v>2730.56</v>
      </c>
      <c r="AZ66" s="3595">
        <f t="shared" si="21"/>
        <v>2730.56</v>
      </c>
      <c r="BA66" s="3595">
        <f t="shared" si="22"/>
        <v>2730.56</v>
      </c>
      <c r="BB66" s="3595">
        <f t="shared" si="23"/>
        <v>19113.919999999998</v>
      </c>
      <c r="BC66" s="2983">
        <f t="shared" si="24"/>
        <v>27305.599999999999</v>
      </c>
      <c r="BD66" s="2983">
        <f t="shared" si="25"/>
        <v>-8191.68</v>
      </c>
    </row>
    <row r="67" spans="1:56" ht="51.75" customHeight="1">
      <c r="A67" s="3265">
        <v>42</v>
      </c>
      <c r="B67" s="3547" t="s">
        <v>3001</v>
      </c>
      <c r="C67" s="3547" t="s">
        <v>3002</v>
      </c>
      <c r="D67" s="3547" t="s">
        <v>1022</v>
      </c>
      <c r="E67" s="3564">
        <v>16815.8</v>
      </c>
      <c r="F67" s="3567"/>
      <c r="G67" s="3564">
        <f t="shared" si="42"/>
        <v>16815.8</v>
      </c>
      <c r="H67" s="3565"/>
      <c r="I67" s="3565"/>
      <c r="J67" s="3565"/>
      <c r="K67" s="3565"/>
      <c r="L67" s="3647">
        <f t="shared" si="16"/>
        <v>2</v>
      </c>
      <c r="M67" s="3566"/>
      <c r="N67" s="3565"/>
      <c r="O67" s="3565"/>
      <c r="P67" s="3567">
        <f t="shared" si="46"/>
        <v>2</v>
      </c>
      <c r="Q67" s="3568">
        <f>25000</f>
        <v>25000</v>
      </c>
      <c r="R67" s="3568">
        <v>1.06</v>
      </c>
      <c r="S67" s="3568">
        <f t="shared" si="33"/>
        <v>26500</v>
      </c>
      <c r="T67" s="3569">
        <f t="shared" si="34"/>
        <v>29680.000000000004</v>
      </c>
      <c r="U67" s="3567">
        <f t="shared" si="35"/>
        <v>59360.000000000007</v>
      </c>
      <c r="V67" s="3567"/>
      <c r="W67" s="3567">
        <f t="shared" si="43"/>
        <v>59360.000000000007</v>
      </c>
      <c r="X67" s="3570"/>
      <c r="Y67" s="3570"/>
      <c r="Z67" s="3567">
        <f t="shared" si="26"/>
        <v>26500</v>
      </c>
      <c r="AA67" s="3567">
        <f t="shared" si="27"/>
        <v>53000</v>
      </c>
      <c r="AB67" s="3567"/>
      <c r="AC67" s="3567">
        <f t="shared" si="44"/>
        <v>53000</v>
      </c>
      <c r="AD67" s="3567">
        <f t="shared" si="29"/>
        <v>27825</v>
      </c>
      <c r="AE67" s="3567">
        <f t="shared" si="30"/>
        <v>55650</v>
      </c>
      <c r="AF67" s="3567"/>
      <c r="AG67" s="3571">
        <f t="shared" si="45"/>
        <v>55650</v>
      </c>
      <c r="AH67" s="3571">
        <v>1.1200000000000001</v>
      </c>
      <c r="AI67" s="3004"/>
      <c r="AJ67" s="2995">
        <v>1.1200000000000001</v>
      </c>
      <c r="AK67" s="3004">
        <v>2</v>
      </c>
      <c r="AL67" s="3004">
        <f t="shared" si="36"/>
        <v>59360.000000000007</v>
      </c>
      <c r="AM67" s="3004"/>
      <c r="AN67" s="3004">
        <f t="shared" si="37"/>
        <v>0</v>
      </c>
      <c r="AO67" s="3004">
        <v>2</v>
      </c>
      <c r="AP67" s="3004">
        <f t="shared" si="38"/>
        <v>59360.000000000007</v>
      </c>
      <c r="AQ67" s="3004">
        <v>2</v>
      </c>
      <c r="AR67" s="3004">
        <f t="shared" si="39"/>
        <v>59360.000000000007</v>
      </c>
      <c r="AS67" s="2995"/>
      <c r="AT67" s="2995"/>
      <c r="AU67" s="2995"/>
      <c r="AV67" s="2983">
        <f t="shared" si="40"/>
        <v>-4</v>
      </c>
      <c r="AW67" s="3595">
        <f t="shared" si="19"/>
        <v>29680</v>
      </c>
      <c r="AX67" s="3595">
        <f t="shared" si="41"/>
        <v>59360</v>
      </c>
      <c r="AY67" s="3595">
        <f t="shared" si="20"/>
        <v>59360</v>
      </c>
      <c r="AZ67" s="3595">
        <f t="shared" si="21"/>
        <v>0</v>
      </c>
      <c r="BA67" s="3595">
        <f t="shared" si="22"/>
        <v>59360</v>
      </c>
      <c r="BB67" s="3595">
        <f t="shared" si="23"/>
        <v>59360</v>
      </c>
      <c r="BC67" s="2983">
        <f t="shared" si="24"/>
        <v>178080</v>
      </c>
      <c r="BD67" s="2983">
        <f t="shared" si="25"/>
        <v>-118720</v>
      </c>
    </row>
    <row r="68" spans="1:56" ht="21.75" hidden="1" customHeight="1">
      <c r="A68" s="3371">
        <v>60</v>
      </c>
      <c r="B68" s="3548" t="s">
        <v>3003</v>
      </c>
      <c r="C68" s="3548" t="s">
        <v>3003</v>
      </c>
      <c r="D68" s="3548" t="s">
        <v>1022</v>
      </c>
      <c r="E68" s="3572">
        <v>16815.8</v>
      </c>
      <c r="F68" s="3573"/>
      <c r="G68" s="3572">
        <f t="shared" si="42"/>
        <v>16815.8</v>
      </c>
      <c r="H68" s="3573"/>
      <c r="I68" s="3573"/>
      <c r="J68" s="3573"/>
      <c r="K68" s="3573"/>
      <c r="L68" s="3647">
        <f t="shared" si="16"/>
        <v>0</v>
      </c>
      <c r="M68" s="3574"/>
      <c r="N68" s="3573"/>
      <c r="O68" s="3573"/>
      <c r="P68" s="3549">
        <f t="shared" si="46"/>
        <v>0</v>
      </c>
      <c r="Q68" s="3371">
        <f>700</f>
        <v>700</v>
      </c>
      <c r="R68" s="3568">
        <v>1.06</v>
      </c>
      <c r="S68" s="3568">
        <f t="shared" si="33"/>
        <v>742</v>
      </c>
      <c r="T68" s="3569">
        <f t="shared" si="34"/>
        <v>831.04000000000008</v>
      </c>
      <c r="U68" s="3567">
        <f t="shared" si="35"/>
        <v>0</v>
      </c>
      <c r="V68" s="3549"/>
      <c r="W68" s="3549">
        <f t="shared" si="43"/>
        <v>0</v>
      </c>
      <c r="X68" s="3575">
        <v>28</v>
      </c>
      <c r="Y68" s="3575">
        <v>1.07</v>
      </c>
      <c r="Z68" s="3549">
        <f t="shared" si="26"/>
        <v>742</v>
      </c>
      <c r="AA68" s="3549">
        <f t="shared" si="27"/>
        <v>0</v>
      </c>
      <c r="AB68" s="3549"/>
      <c r="AC68" s="3549">
        <f t="shared" si="44"/>
        <v>0</v>
      </c>
      <c r="AD68" s="3549">
        <f t="shared" si="29"/>
        <v>779.1</v>
      </c>
      <c r="AE68" s="3549">
        <f t="shared" si="30"/>
        <v>0</v>
      </c>
      <c r="AF68" s="3549"/>
      <c r="AG68" s="3576">
        <f t="shared" si="45"/>
        <v>0</v>
      </c>
      <c r="AH68" s="3571">
        <v>1.1200000000000001</v>
      </c>
      <c r="AI68" s="3004"/>
      <c r="AJ68" s="2995">
        <v>1.1200000000000001</v>
      </c>
      <c r="AK68" s="3004">
        <v>10</v>
      </c>
      <c r="AL68" s="3004">
        <f t="shared" si="36"/>
        <v>8310.4000000000015</v>
      </c>
      <c r="AM68" s="3004">
        <v>10</v>
      </c>
      <c r="AN68" s="3004">
        <f t="shared" si="37"/>
        <v>8310.4000000000015</v>
      </c>
      <c r="AO68" s="3004">
        <v>10</v>
      </c>
      <c r="AP68" s="3004">
        <f t="shared" si="38"/>
        <v>8310.4000000000015</v>
      </c>
      <c r="AQ68" s="3004"/>
      <c r="AR68" s="3004">
        <f t="shared" si="39"/>
        <v>0</v>
      </c>
      <c r="AS68" s="2995"/>
      <c r="AT68" s="2995"/>
      <c r="AU68" s="2995"/>
      <c r="AV68" s="2983">
        <f t="shared" si="40"/>
        <v>-30</v>
      </c>
      <c r="AW68" s="3595">
        <f t="shared" si="19"/>
        <v>831.04</v>
      </c>
      <c r="AX68" s="3595">
        <f t="shared" si="41"/>
        <v>0</v>
      </c>
      <c r="AY68" s="3595">
        <f t="shared" si="20"/>
        <v>8310.4</v>
      </c>
      <c r="AZ68" s="3595">
        <f t="shared" si="21"/>
        <v>8310.4</v>
      </c>
      <c r="BA68" s="3595">
        <f t="shared" si="22"/>
        <v>8310.4</v>
      </c>
      <c r="BB68" s="3595">
        <f t="shared" si="23"/>
        <v>0</v>
      </c>
      <c r="BC68" s="2983">
        <f t="shared" si="24"/>
        <v>24931.199999999997</v>
      </c>
      <c r="BD68" s="2983">
        <f t="shared" si="25"/>
        <v>-24931.199999999997</v>
      </c>
    </row>
    <row r="69" spans="1:56" s="3411" customFormat="1" ht="25.5">
      <c r="A69" s="3616">
        <v>43</v>
      </c>
      <c r="B69" s="3617" t="s">
        <v>3004</v>
      </c>
      <c r="C69" s="3617" t="s">
        <v>3005</v>
      </c>
      <c r="D69" s="3617" t="s">
        <v>1022</v>
      </c>
      <c r="E69" s="3618">
        <v>16815.8</v>
      </c>
      <c r="F69" s="3621"/>
      <c r="G69" s="3618">
        <f t="shared" si="42"/>
        <v>16815.8</v>
      </c>
      <c r="H69" s="3621"/>
      <c r="I69" s="3619"/>
      <c r="J69" s="3619"/>
      <c r="K69" s="3621"/>
      <c r="L69" s="3647">
        <f t="shared" si="16"/>
        <v>6</v>
      </c>
      <c r="M69" s="3620"/>
      <c r="N69" s="3621"/>
      <c r="O69" s="3621"/>
      <c r="P69" s="3621">
        <f t="shared" si="46"/>
        <v>6</v>
      </c>
      <c r="Q69" s="3632">
        <f>3800</f>
        <v>3800</v>
      </c>
      <c r="R69" s="3622">
        <v>1.06</v>
      </c>
      <c r="S69" s="3622">
        <f t="shared" si="33"/>
        <v>4028</v>
      </c>
      <c r="T69" s="3623">
        <f t="shared" si="34"/>
        <v>4511.3600000000006</v>
      </c>
      <c r="U69" s="3621">
        <f t="shared" si="35"/>
        <v>27068.160000000003</v>
      </c>
      <c r="V69" s="3621"/>
      <c r="W69" s="3621">
        <f t="shared" si="43"/>
        <v>27068.160000000003</v>
      </c>
      <c r="X69" s="3624"/>
      <c r="Y69" s="3624"/>
      <c r="Z69" s="3621">
        <f t="shared" si="26"/>
        <v>4028</v>
      </c>
      <c r="AA69" s="3621">
        <f t="shared" si="27"/>
        <v>24168</v>
      </c>
      <c r="AB69" s="3621"/>
      <c r="AC69" s="3621">
        <f t="shared" si="44"/>
        <v>24168</v>
      </c>
      <c r="AD69" s="3621">
        <f t="shared" si="29"/>
        <v>4229.4000000000005</v>
      </c>
      <c r="AE69" s="3621">
        <f t="shared" si="30"/>
        <v>25376</v>
      </c>
      <c r="AF69" s="3621"/>
      <c r="AG69" s="3625">
        <f t="shared" si="45"/>
        <v>25376</v>
      </c>
      <c r="AH69" s="3625">
        <v>1.1200000000000001</v>
      </c>
      <c r="AI69" s="3626"/>
      <c r="AJ69" s="3409">
        <v>1.1200000000000001</v>
      </c>
      <c r="AK69" s="3626">
        <v>2</v>
      </c>
      <c r="AL69" s="3626">
        <f t="shared" si="36"/>
        <v>9022.7200000000012</v>
      </c>
      <c r="AM69" s="3626">
        <v>2</v>
      </c>
      <c r="AN69" s="3626">
        <f t="shared" si="37"/>
        <v>9022.7200000000012</v>
      </c>
      <c r="AO69" s="3626">
        <v>2</v>
      </c>
      <c r="AP69" s="3626">
        <f t="shared" si="38"/>
        <v>9022.7200000000012</v>
      </c>
      <c r="AQ69" s="3626">
        <v>6</v>
      </c>
      <c r="AR69" s="3626">
        <f t="shared" si="39"/>
        <v>27068.160000000003</v>
      </c>
      <c r="AS69" s="3409"/>
      <c r="AT69" s="3409"/>
      <c r="AU69" s="3409"/>
      <c r="AV69" s="3411">
        <f t="shared" si="40"/>
        <v>-6</v>
      </c>
      <c r="AW69" s="3627">
        <f t="shared" si="19"/>
        <v>4511.3599999999997</v>
      </c>
      <c r="AX69" s="3627">
        <f t="shared" si="41"/>
        <v>27068.16</v>
      </c>
      <c r="AY69" s="3627">
        <f t="shared" si="20"/>
        <v>9022.7199999999993</v>
      </c>
      <c r="AZ69" s="3627">
        <f t="shared" si="21"/>
        <v>9022.7199999999993</v>
      </c>
      <c r="BA69" s="3627">
        <f t="shared" si="22"/>
        <v>9022.7199999999993</v>
      </c>
      <c r="BB69" s="3627">
        <f t="shared" si="23"/>
        <v>27068.16</v>
      </c>
      <c r="BC69" s="3411">
        <f t="shared" si="24"/>
        <v>54136.32</v>
      </c>
      <c r="BD69" s="3411">
        <f t="shared" si="25"/>
        <v>-27068.16</v>
      </c>
    </row>
    <row r="70" spans="1:56" ht="38.25">
      <c r="A70" s="3371">
        <v>44</v>
      </c>
      <c r="B70" s="3548" t="s">
        <v>3006</v>
      </c>
      <c r="C70" s="3588" t="s">
        <v>3007</v>
      </c>
      <c r="D70" s="3548" t="s">
        <v>1022</v>
      </c>
      <c r="E70" s="3572">
        <v>16815.8</v>
      </c>
      <c r="F70" s="3573"/>
      <c r="G70" s="3572">
        <f t="shared" ref="G70:G92" si="47">E70</f>
        <v>16815.8</v>
      </c>
      <c r="H70" s="3573"/>
      <c r="I70" s="3573"/>
      <c r="J70" s="3573"/>
      <c r="K70" s="3573"/>
      <c r="L70" s="3647">
        <f t="shared" si="16"/>
        <v>6</v>
      </c>
      <c r="M70" s="3574"/>
      <c r="N70" s="3573"/>
      <c r="O70" s="3573"/>
      <c r="P70" s="3549">
        <f t="shared" si="46"/>
        <v>6</v>
      </c>
      <c r="Q70" s="3580">
        <f>500</f>
        <v>500</v>
      </c>
      <c r="R70" s="3568">
        <v>1.06</v>
      </c>
      <c r="S70" s="3568">
        <f t="shared" si="33"/>
        <v>530</v>
      </c>
      <c r="T70" s="3569">
        <f t="shared" si="34"/>
        <v>593.6</v>
      </c>
      <c r="U70" s="3567">
        <f t="shared" si="35"/>
        <v>3561.6000000000004</v>
      </c>
      <c r="V70" s="3549"/>
      <c r="W70" s="3549">
        <f t="shared" si="43"/>
        <v>3561.6000000000004</v>
      </c>
      <c r="X70" s="3575">
        <v>3555</v>
      </c>
      <c r="Y70" s="3575">
        <v>1.07</v>
      </c>
      <c r="Z70" s="3549">
        <f t="shared" si="26"/>
        <v>530</v>
      </c>
      <c r="AA70" s="3549">
        <f t="shared" si="27"/>
        <v>3180</v>
      </c>
      <c r="AB70" s="3549"/>
      <c r="AC70" s="3549">
        <f t="shared" si="44"/>
        <v>3180</v>
      </c>
      <c r="AD70" s="3549">
        <f t="shared" si="29"/>
        <v>556.5</v>
      </c>
      <c r="AE70" s="3549">
        <f t="shared" si="30"/>
        <v>3339</v>
      </c>
      <c r="AF70" s="3549"/>
      <c r="AG70" s="3576">
        <f t="shared" si="45"/>
        <v>3339</v>
      </c>
      <c r="AH70" s="3571">
        <v>1.1200000000000001</v>
      </c>
      <c r="AI70" s="3004"/>
      <c r="AJ70" s="2995">
        <v>1.1200000000000001</v>
      </c>
      <c r="AK70" s="3004">
        <v>4</v>
      </c>
      <c r="AL70" s="3004">
        <f t="shared" si="36"/>
        <v>2374.4</v>
      </c>
      <c r="AM70" s="3004">
        <v>2</v>
      </c>
      <c r="AN70" s="3004">
        <f t="shared" si="37"/>
        <v>1187.2</v>
      </c>
      <c r="AO70" s="3004">
        <v>4</v>
      </c>
      <c r="AP70" s="3004">
        <f t="shared" si="38"/>
        <v>2374.4</v>
      </c>
      <c r="AQ70" s="3004">
        <v>6</v>
      </c>
      <c r="AR70" s="3004">
        <f>T70*AQ70</f>
        <v>3561.6000000000004</v>
      </c>
      <c r="AS70" s="2995"/>
      <c r="AT70" s="2995"/>
      <c r="AU70" s="2995"/>
      <c r="AV70" s="2983">
        <f t="shared" ref="AV70:AV100" si="48">P70-AK70-AM70-AO70-AQ70</f>
        <v>-10</v>
      </c>
      <c r="AW70" s="3595">
        <f t="shared" si="19"/>
        <v>593.6</v>
      </c>
      <c r="AX70" s="3595">
        <f t="shared" si="41"/>
        <v>3561.6</v>
      </c>
      <c r="AY70" s="3595">
        <f t="shared" si="20"/>
        <v>2374.4</v>
      </c>
      <c r="AZ70" s="3595">
        <f t="shared" si="21"/>
        <v>1187.2</v>
      </c>
      <c r="BA70" s="3595">
        <f t="shared" si="22"/>
        <v>2374.4</v>
      </c>
      <c r="BB70" s="3595">
        <f t="shared" si="23"/>
        <v>3561.6</v>
      </c>
      <c r="BC70" s="2983">
        <f t="shared" si="24"/>
        <v>9497.6</v>
      </c>
      <c r="BD70" s="2983">
        <f t="shared" si="25"/>
        <v>-5936</v>
      </c>
    </row>
    <row r="71" spans="1:56" ht="38.25">
      <c r="A71" s="3265">
        <v>45</v>
      </c>
      <c r="B71" s="3547" t="s">
        <v>3008</v>
      </c>
      <c r="C71" s="3589" t="s">
        <v>1606</v>
      </c>
      <c r="D71" s="3547" t="s">
        <v>1268</v>
      </c>
      <c r="E71" s="3564">
        <v>16815.8</v>
      </c>
      <c r="F71" s="3565"/>
      <c r="G71" s="3564">
        <f t="shared" si="47"/>
        <v>16815.8</v>
      </c>
      <c r="H71" s="3565"/>
      <c r="I71" s="3565"/>
      <c r="J71" s="3565"/>
      <c r="K71" s="3565"/>
      <c r="L71" s="3647">
        <f t="shared" si="16"/>
        <v>5</v>
      </c>
      <c r="M71" s="3566"/>
      <c r="N71" s="3565"/>
      <c r="O71" s="3565"/>
      <c r="P71" s="3567">
        <f t="shared" si="46"/>
        <v>5</v>
      </c>
      <c r="Q71" s="3582">
        <f>600</f>
        <v>600</v>
      </c>
      <c r="R71" s="3568">
        <v>1.06</v>
      </c>
      <c r="S71" s="3568">
        <f t="shared" ref="S71:S110" si="49">Q71*R71</f>
        <v>636</v>
      </c>
      <c r="T71" s="3569">
        <f t="shared" ref="T71:T110" si="50">S71*AH71</f>
        <v>712.32</v>
      </c>
      <c r="U71" s="3567">
        <f t="shared" ref="U71:U110" si="51">T71*P71</f>
        <v>3561.6000000000004</v>
      </c>
      <c r="V71" s="3567"/>
      <c r="W71" s="3567">
        <f t="shared" si="43"/>
        <v>3561.6000000000004</v>
      </c>
      <c r="X71" s="3570">
        <v>4212</v>
      </c>
      <c r="Y71" s="3570">
        <v>1.07</v>
      </c>
      <c r="Z71" s="3567">
        <f t="shared" si="26"/>
        <v>636</v>
      </c>
      <c r="AA71" s="3567">
        <f t="shared" si="27"/>
        <v>3180</v>
      </c>
      <c r="AB71" s="3567"/>
      <c r="AC71" s="3567">
        <f t="shared" si="44"/>
        <v>3180</v>
      </c>
      <c r="AD71" s="3567">
        <f t="shared" si="29"/>
        <v>667.80000000000007</v>
      </c>
      <c r="AE71" s="3567">
        <f t="shared" si="30"/>
        <v>3339</v>
      </c>
      <c r="AF71" s="3567"/>
      <c r="AG71" s="3571">
        <f t="shared" si="45"/>
        <v>3339</v>
      </c>
      <c r="AH71" s="3571">
        <v>1.1200000000000001</v>
      </c>
      <c r="AI71" s="3004"/>
      <c r="AJ71" s="2995">
        <v>1.1200000000000001</v>
      </c>
      <c r="AK71" s="3004">
        <v>3</v>
      </c>
      <c r="AL71" s="3004">
        <f t="shared" ref="AL71:AL110" si="52">T71*AK71</f>
        <v>2136.96</v>
      </c>
      <c r="AM71" s="3004">
        <v>2</v>
      </c>
      <c r="AN71" s="3004">
        <f t="shared" ref="AN71:AN110" si="53">T71*AM71</f>
        <v>1424.64</v>
      </c>
      <c r="AO71" s="3004">
        <v>3</v>
      </c>
      <c r="AP71" s="3004">
        <f t="shared" ref="AP71:AP110" si="54">T71*AO71</f>
        <v>2136.96</v>
      </c>
      <c r="AQ71" s="3004">
        <v>5</v>
      </c>
      <c r="AR71" s="3004">
        <f t="shared" ref="AR71:AR110" si="55">T71*AQ71</f>
        <v>3561.6000000000004</v>
      </c>
      <c r="AS71" s="2995"/>
      <c r="AT71" s="2995"/>
      <c r="AU71" s="2995"/>
      <c r="AV71" s="2983">
        <f t="shared" si="48"/>
        <v>-8</v>
      </c>
      <c r="AW71" s="3595">
        <f t="shared" si="19"/>
        <v>712.32</v>
      </c>
      <c r="AX71" s="3595">
        <f t="shared" si="41"/>
        <v>3561.6</v>
      </c>
      <c r="AY71" s="3595">
        <f t="shared" si="20"/>
        <v>2136.96</v>
      </c>
      <c r="AZ71" s="3595">
        <f t="shared" si="21"/>
        <v>1424.64</v>
      </c>
      <c r="BA71" s="3595">
        <f t="shared" si="22"/>
        <v>2136.96</v>
      </c>
      <c r="BB71" s="3595">
        <f t="shared" si="23"/>
        <v>3561.6</v>
      </c>
      <c r="BC71" s="2983">
        <f t="shared" si="24"/>
        <v>9260.16</v>
      </c>
      <c r="BD71" s="2983">
        <f t="shared" si="25"/>
        <v>-5698.5599999999995</v>
      </c>
    </row>
    <row r="72" spans="1:56" ht="25.5">
      <c r="A72" s="3371">
        <v>46</v>
      </c>
      <c r="B72" s="3548" t="s">
        <v>3009</v>
      </c>
      <c r="C72" s="3548" t="s">
        <v>3010</v>
      </c>
      <c r="D72" s="3548" t="s">
        <v>1022</v>
      </c>
      <c r="E72" s="3572">
        <v>16815.8</v>
      </c>
      <c r="F72" s="3549"/>
      <c r="G72" s="3572">
        <f t="shared" si="47"/>
        <v>16815.8</v>
      </c>
      <c r="H72" s="3549"/>
      <c r="I72" s="3573"/>
      <c r="J72" s="3573"/>
      <c r="K72" s="3549"/>
      <c r="L72" s="3647">
        <f t="shared" si="16"/>
        <v>2</v>
      </c>
      <c r="M72" s="3574"/>
      <c r="N72" s="3549"/>
      <c r="O72" s="3549"/>
      <c r="P72" s="3549">
        <f t="shared" si="46"/>
        <v>2</v>
      </c>
      <c r="Q72" s="3580">
        <f>2000</f>
        <v>2000</v>
      </c>
      <c r="R72" s="3568">
        <v>1.06</v>
      </c>
      <c r="S72" s="3568">
        <f t="shared" si="49"/>
        <v>2120</v>
      </c>
      <c r="T72" s="3569">
        <f t="shared" si="50"/>
        <v>2374.4</v>
      </c>
      <c r="U72" s="3567">
        <f t="shared" si="51"/>
        <v>4748.8</v>
      </c>
      <c r="V72" s="3549"/>
      <c r="W72" s="3549">
        <f t="shared" si="43"/>
        <v>4748.8</v>
      </c>
      <c r="X72" s="3575">
        <v>4671</v>
      </c>
      <c r="Y72" s="3575">
        <v>1.07</v>
      </c>
      <c r="Z72" s="3549">
        <f t="shared" si="26"/>
        <v>2120</v>
      </c>
      <c r="AA72" s="3549">
        <f t="shared" si="27"/>
        <v>4240</v>
      </c>
      <c r="AB72" s="3549"/>
      <c r="AC72" s="3549">
        <f t="shared" si="44"/>
        <v>4240</v>
      </c>
      <c r="AD72" s="3549">
        <f t="shared" si="29"/>
        <v>2226</v>
      </c>
      <c r="AE72" s="3549">
        <f t="shared" si="30"/>
        <v>4452</v>
      </c>
      <c r="AF72" s="3549"/>
      <c r="AG72" s="3576">
        <f t="shared" si="45"/>
        <v>4452</v>
      </c>
      <c r="AH72" s="3571">
        <v>1.1200000000000001</v>
      </c>
      <c r="AI72" s="3004"/>
      <c r="AJ72" s="2995">
        <v>1.1200000000000001</v>
      </c>
      <c r="AK72" s="3004">
        <v>2</v>
      </c>
      <c r="AL72" s="3004">
        <f t="shared" si="52"/>
        <v>4748.8</v>
      </c>
      <c r="AM72" s="3004"/>
      <c r="AN72" s="3004">
        <f t="shared" si="53"/>
        <v>0</v>
      </c>
      <c r="AO72" s="3004">
        <v>2</v>
      </c>
      <c r="AP72" s="3004">
        <f t="shared" si="54"/>
        <v>4748.8</v>
      </c>
      <c r="AQ72" s="3004">
        <v>2</v>
      </c>
      <c r="AR72" s="3004">
        <f t="shared" si="55"/>
        <v>4748.8</v>
      </c>
      <c r="AS72" s="2995"/>
      <c r="AT72" s="2995"/>
      <c r="AU72" s="2995"/>
      <c r="AV72" s="2983">
        <f t="shared" si="48"/>
        <v>-4</v>
      </c>
      <c r="AW72" s="3595">
        <f t="shared" si="19"/>
        <v>2374.4</v>
      </c>
      <c r="AX72" s="3595">
        <f t="shared" si="41"/>
        <v>4748.8</v>
      </c>
      <c r="AY72" s="3595">
        <f t="shared" si="20"/>
        <v>4748.8</v>
      </c>
      <c r="AZ72" s="3595">
        <f t="shared" si="21"/>
        <v>0</v>
      </c>
      <c r="BA72" s="3595">
        <f t="shared" si="22"/>
        <v>4748.8</v>
      </c>
      <c r="BB72" s="3595">
        <f t="shared" si="23"/>
        <v>4748.8</v>
      </c>
      <c r="BC72" s="2983">
        <f t="shared" si="24"/>
        <v>14246.400000000001</v>
      </c>
      <c r="BD72" s="2983">
        <f t="shared" si="25"/>
        <v>-9497.6000000000022</v>
      </c>
    </row>
    <row r="73" spans="1:56" ht="33" customHeight="1">
      <c r="A73" s="3265">
        <v>47</v>
      </c>
      <c r="B73" s="3548" t="s">
        <v>2822</v>
      </c>
      <c r="C73" s="3548" t="s">
        <v>2823</v>
      </c>
      <c r="D73" s="3548" t="s">
        <v>1022</v>
      </c>
      <c r="E73" s="3572">
        <v>16815.8</v>
      </c>
      <c r="F73" s="3549"/>
      <c r="G73" s="3572">
        <f t="shared" si="47"/>
        <v>16815.8</v>
      </c>
      <c r="H73" s="3549"/>
      <c r="I73" s="3549"/>
      <c r="J73" s="3549"/>
      <c r="K73" s="3549"/>
      <c r="L73" s="3647">
        <f t="shared" si="16"/>
        <v>1</v>
      </c>
      <c r="M73" s="3549"/>
      <c r="N73" s="3549"/>
      <c r="O73" s="3549"/>
      <c r="P73" s="3549">
        <f t="shared" si="46"/>
        <v>1</v>
      </c>
      <c r="Q73" s="3390">
        <f>800</f>
        <v>800</v>
      </c>
      <c r="R73" s="3568">
        <v>1.06</v>
      </c>
      <c r="S73" s="3568">
        <f t="shared" si="49"/>
        <v>848</v>
      </c>
      <c r="T73" s="3569">
        <f t="shared" si="50"/>
        <v>949.7600000000001</v>
      </c>
      <c r="U73" s="3567">
        <f t="shared" si="51"/>
        <v>949.7600000000001</v>
      </c>
      <c r="V73" s="3549"/>
      <c r="W73" s="3549">
        <f t="shared" si="43"/>
        <v>949.7600000000001</v>
      </c>
      <c r="X73" s="3578"/>
      <c r="Y73" s="3578"/>
      <c r="Z73" s="3549">
        <f t="shared" si="26"/>
        <v>848</v>
      </c>
      <c r="AA73" s="3549">
        <f t="shared" si="27"/>
        <v>848</v>
      </c>
      <c r="AB73" s="3549"/>
      <c r="AC73" s="3549">
        <f t="shared" si="44"/>
        <v>848</v>
      </c>
      <c r="AD73" s="3549">
        <f t="shared" si="29"/>
        <v>890.40000000000009</v>
      </c>
      <c r="AE73" s="3549">
        <f t="shared" si="30"/>
        <v>890</v>
      </c>
      <c r="AF73" s="3549"/>
      <c r="AG73" s="3576">
        <f t="shared" si="45"/>
        <v>890</v>
      </c>
      <c r="AH73" s="3571">
        <v>1.1200000000000001</v>
      </c>
      <c r="AI73" s="3004"/>
      <c r="AJ73" s="2995">
        <v>1.1200000000000001</v>
      </c>
      <c r="AK73" s="3004">
        <v>1</v>
      </c>
      <c r="AL73" s="3004">
        <f t="shared" si="52"/>
        <v>949.7600000000001</v>
      </c>
      <c r="AM73" s="3004"/>
      <c r="AN73" s="3004">
        <f t="shared" si="53"/>
        <v>0</v>
      </c>
      <c r="AO73" s="3004">
        <v>1</v>
      </c>
      <c r="AP73" s="3004">
        <f t="shared" si="54"/>
        <v>949.7600000000001</v>
      </c>
      <c r="AQ73" s="3004">
        <v>1</v>
      </c>
      <c r="AR73" s="3004">
        <f t="shared" si="55"/>
        <v>949.7600000000001</v>
      </c>
      <c r="AS73" s="2995"/>
      <c r="AT73" s="2995"/>
      <c r="AU73" s="2995"/>
      <c r="AV73" s="2983">
        <f t="shared" si="48"/>
        <v>-2</v>
      </c>
      <c r="AW73" s="3595">
        <f t="shared" si="19"/>
        <v>949.76</v>
      </c>
      <c r="AX73" s="3595">
        <f t="shared" si="41"/>
        <v>949.76</v>
      </c>
      <c r="AY73" s="3595">
        <f t="shared" si="20"/>
        <v>949.76</v>
      </c>
      <c r="AZ73" s="3595">
        <f t="shared" si="21"/>
        <v>0</v>
      </c>
      <c r="BA73" s="3595">
        <f t="shared" si="22"/>
        <v>949.76</v>
      </c>
      <c r="BB73" s="3595">
        <f t="shared" si="23"/>
        <v>949.76</v>
      </c>
      <c r="BC73" s="2983">
        <f t="shared" si="24"/>
        <v>2849.2799999999997</v>
      </c>
      <c r="BD73" s="2983">
        <f t="shared" si="25"/>
        <v>-1899.5199999999998</v>
      </c>
    </row>
    <row r="74" spans="1:56" ht="24" customHeight="1">
      <c r="A74" s="3371">
        <v>48</v>
      </c>
      <c r="B74" s="3548" t="s">
        <v>2824</v>
      </c>
      <c r="C74" s="3548" t="s">
        <v>2825</v>
      </c>
      <c r="D74" s="3548" t="s">
        <v>1022</v>
      </c>
      <c r="E74" s="3572">
        <v>16815.8</v>
      </c>
      <c r="F74" s="3549"/>
      <c r="G74" s="3572">
        <f t="shared" si="47"/>
        <v>16815.8</v>
      </c>
      <c r="H74" s="3549"/>
      <c r="I74" s="3549"/>
      <c r="J74" s="3549"/>
      <c r="K74" s="3549"/>
      <c r="L74" s="3647">
        <f t="shared" si="16"/>
        <v>1</v>
      </c>
      <c r="M74" s="3549"/>
      <c r="N74" s="3549"/>
      <c r="O74" s="3549"/>
      <c r="P74" s="3549">
        <f t="shared" si="46"/>
        <v>1</v>
      </c>
      <c r="Q74" s="3390">
        <f>1000</f>
        <v>1000</v>
      </c>
      <c r="R74" s="3568">
        <v>1.06</v>
      </c>
      <c r="S74" s="3568">
        <f t="shared" si="49"/>
        <v>1060</v>
      </c>
      <c r="T74" s="3569">
        <f t="shared" si="50"/>
        <v>1187.2</v>
      </c>
      <c r="U74" s="3567">
        <f t="shared" si="51"/>
        <v>1187.2</v>
      </c>
      <c r="V74" s="3549"/>
      <c r="W74" s="3549">
        <f t="shared" si="43"/>
        <v>1187.2</v>
      </c>
      <c r="X74" s="3578"/>
      <c r="Y74" s="3578"/>
      <c r="Z74" s="3549">
        <f t="shared" si="26"/>
        <v>1060</v>
      </c>
      <c r="AA74" s="3549">
        <f t="shared" si="27"/>
        <v>1060</v>
      </c>
      <c r="AB74" s="3549"/>
      <c r="AC74" s="3549">
        <f t="shared" si="44"/>
        <v>1060</v>
      </c>
      <c r="AD74" s="3549">
        <f t="shared" si="29"/>
        <v>1113</v>
      </c>
      <c r="AE74" s="3549">
        <f t="shared" si="30"/>
        <v>1113</v>
      </c>
      <c r="AF74" s="3549"/>
      <c r="AG74" s="3576">
        <f t="shared" si="45"/>
        <v>1113</v>
      </c>
      <c r="AH74" s="3571">
        <v>1.1200000000000001</v>
      </c>
      <c r="AI74" s="3004"/>
      <c r="AJ74" s="2995">
        <v>1.1200000000000001</v>
      </c>
      <c r="AK74" s="3004">
        <v>1</v>
      </c>
      <c r="AL74" s="3004">
        <f t="shared" si="52"/>
        <v>1187.2</v>
      </c>
      <c r="AM74" s="3004">
        <v>1</v>
      </c>
      <c r="AN74" s="3004">
        <f t="shared" si="53"/>
        <v>1187.2</v>
      </c>
      <c r="AO74" s="3004">
        <v>1</v>
      </c>
      <c r="AP74" s="3004">
        <f t="shared" si="54"/>
        <v>1187.2</v>
      </c>
      <c r="AQ74" s="3004">
        <v>1</v>
      </c>
      <c r="AR74" s="3004">
        <f t="shared" si="55"/>
        <v>1187.2</v>
      </c>
      <c r="AS74" s="2995"/>
      <c r="AT74" s="2995"/>
      <c r="AU74" s="2995"/>
      <c r="AV74" s="2983">
        <f t="shared" si="48"/>
        <v>-3</v>
      </c>
      <c r="AW74" s="3595">
        <f t="shared" ref="AW74:AW110" si="56">ROUND(T74,2)</f>
        <v>1187.2</v>
      </c>
      <c r="AX74" s="3595">
        <f t="shared" ref="AX74:AX110" si="57">ROUND(P74*AW74,2)</f>
        <v>1187.2</v>
      </c>
      <c r="AY74" s="3595">
        <f t="shared" ref="AY74:AY110" si="58">ROUND(AK74*AW74,2)</f>
        <v>1187.2</v>
      </c>
      <c r="AZ74" s="3595">
        <f t="shared" ref="AZ74:AZ110" si="59">ROUND(AM74*AW74,2)</f>
        <v>1187.2</v>
      </c>
      <c r="BA74" s="3595">
        <f t="shared" ref="BA74:BA110" si="60">ROUND(AO74*AW74,2)</f>
        <v>1187.2</v>
      </c>
      <c r="BB74" s="3595">
        <f t="shared" ref="BB74:BB110" si="61">ROUND(AQ74*AW74,2)</f>
        <v>1187.2</v>
      </c>
      <c r="BC74" s="2983">
        <f t="shared" ref="BC74:BC110" si="62">AY74+AZ74+BB74+BA74</f>
        <v>4748.8</v>
      </c>
      <c r="BD74" s="2983">
        <f t="shared" ref="BD74:BD110" si="63">AX74-BC74</f>
        <v>-3561.6000000000004</v>
      </c>
    </row>
    <row r="75" spans="1:56" ht="24" customHeight="1">
      <c r="A75" s="3265">
        <v>49</v>
      </c>
      <c r="B75" s="3548" t="s">
        <v>2826</v>
      </c>
      <c r="C75" s="3548" t="s">
        <v>2827</v>
      </c>
      <c r="D75" s="3548" t="s">
        <v>1022</v>
      </c>
      <c r="E75" s="3564">
        <v>16815.8</v>
      </c>
      <c r="F75" s="3565"/>
      <c r="G75" s="3564">
        <f t="shared" si="47"/>
        <v>16815.8</v>
      </c>
      <c r="H75" s="3565"/>
      <c r="I75" s="3565"/>
      <c r="J75" s="3565"/>
      <c r="K75" s="3565"/>
      <c r="L75" s="3647">
        <f t="shared" ref="L75:L110" si="64">AQ75</f>
        <v>2</v>
      </c>
      <c r="M75" s="3566"/>
      <c r="N75" s="3565"/>
      <c r="O75" s="3565"/>
      <c r="P75" s="3549">
        <f t="shared" si="46"/>
        <v>2</v>
      </c>
      <c r="Q75" s="3265">
        <f>1200</f>
        <v>1200</v>
      </c>
      <c r="R75" s="3568">
        <v>1.06</v>
      </c>
      <c r="S75" s="3568">
        <f t="shared" si="49"/>
        <v>1272</v>
      </c>
      <c r="T75" s="3569">
        <f t="shared" si="50"/>
        <v>1424.64</v>
      </c>
      <c r="U75" s="3567">
        <f t="shared" si="51"/>
        <v>2849.28</v>
      </c>
      <c r="V75" s="3567"/>
      <c r="W75" s="3567">
        <f t="shared" si="43"/>
        <v>2849.28</v>
      </c>
      <c r="X75" s="3570"/>
      <c r="Y75" s="3570"/>
      <c r="Z75" s="3567">
        <f t="shared" si="26"/>
        <v>1272</v>
      </c>
      <c r="AA75" s="3567">
        <f t="shared" si="27"/>
        <v>2544</v>
      </c>
      <c r="AB75" s="3567"/>
      <c r="AC75" s="3567">
        <f>AA75-AB75</f>
        <v>2544</v>
      </c>
      <c r="AD75" s="3567">
        <f t="shared" si="29"/>
        <v>1335.6000000000001</v>
      </c>
      <c r="AE75" s="3567">
        <f t="shared" si="30"/>
        <v>2671</v>
      </c>
      <c r="AF75" s="3567"/>
      <c r="AG75" s="3571">
        <f>AE75-AF75</f>
        <v>2671</v>
      </c>
      <c r="AH75" s="3571">
        <v>1.1200000000000001</v>
      </c>
      <c r="AI75" s="3004"/>
      <c r="AJ75" s="2995">
        <v>1.1200000000000001</v>
      </c>
      <c r="AK75" s="3004"/>
      <c r="AL75" s="3004">
        <f t="shared" si="52"/>
        <v>0</v>
      </c>
      <c r="AM75" s="3004"/>
      <c r="AN75" s="3004">
        <f t="shared" si="53"/>
        <v>0</v>
      </c>
      <c r="AO75" s="3004"/>
      <c r="AP75" s="3004">
        <f t="shared" si="54"/>
        <v>0</v>
      </c>
      <c r="AQ75" s="3004">
        <v>2</v>
      </c>
      <c r="AR75" s="3004">
        <f t="shared" si="55"/>
        <v>2849.28</v>
      </c>
      <c r="AS75" s="2995"/>
      <c r="AT75" s="2995"/>
      <c r="AU75" s="2995"/>
      <c r="AV75" s="2983">
        <f t="shared" si="48"/>
        <v>0</v>
      </c>
      <c r="AW75" s="3595">
        <f t="shared" si="56"/>
        <v>1424.64</v>
      </c>
      <c r="AX75" s="3595">
        <f t="shared" si="57"/>
        <v>2849.28</v>
      </c>
      <c r="AY75" s="3595">
        <f t="shared" si="58"/>
        <v>0</v>
      </c>
      <c r="AZ75" s="3595">
        <f t="shared" si="59"/>
        <v>0</v>
      </c>
      <c r="BA75" s="3595">
        <f t="shared" si="60"/>
        <v>0</v>
      </c>
      <c r="BB75" s="3595">
        <f t="shared" si="61"/>
        <v>2849.28</v>
      </c>
      <c r="BC75" s="2983">
        <f t="shared" si="62"/>
        <v>2849.28</v>
      </c>
      <c r="BD75" s="2983">
        <f t="shared" si="63"/>
        <v>0</v>
      </c>
    </row>
    <row r="76" spans="1:56" ht="38.25">
      <c r="A76" s="3371">
        <v>50</v>
      </c>
      <c r="B76" s="3548" t="s">
        <v>3011</v>
      </c>
      <c r="C76" s="3548" t="s">
        <v>2828</v>
      </c>
      <c r="D76" s="3548" t="s">
        <v>2295</v>
      </c>
      <c r="E76" s="3572">
        <v>16815.8</v>
      </c>
      <c r="F76" s="3549"/>
      <c r="G76" s="3572">
        <f t="shared" si="47"/>
        <v>16815.8</v>
      </c>
      <c r="H76" s="3549"/>
      <c r="I76" s="3549"/>
      <c r="J76" s="3549"/>
      <c r="K76" s="3549"/>
      <c r="L76" s="3647">
        <f t="shared" si="64"/>
        <v>20</v>
      </c>
      <c r="M76" s="3549"/>
      <c r="N76" s="3549"/>
      <c r="O76" s="3549"/>
      <c r="P76" s="3549">
        <f t="shared" si="46"/>
        <v>20</v>
      </c>
      <c r="Q76" s="3390">
        <f>2500</f>
        <v>2500</v>
      </c>
      <c r="R76" s="3568">
        <v>1.06</v>
      </c>
      <c r="S76" s="3568">
        <f t="shared" si="49"/>
        <v>2650</v>
      </c>
      <c r="T76" s="3569">
        <f t="shared" si="50"/>
        <v>2968.0000000000005</v>
      </c>
      <c r="U76" s="3567">
        <f t="shared" si="51"/>
        <v>59360.000000000007</v>
      </c>
      <c r="V76" s="3549"/>
      <c r="W76" s="3549">
        <f t="shared" si="43"/>
        <v>59360.000000000007</v>
      </c>
      <c r="X76" s="3578"/>
      <c r="Y76" s="3578"/>
      <c r="Z76" s="3549"/>
      <c r="AA76" s="3549"/>
      <c r="AB76" s="3549"/>
      <c r="AC76" s="3549"/>
      <c r="AD76" s="3549"/>
      <c r="AE76" s="3549"/>
      <c r="AF76" s="3549"/>
      <c r="AG76" s="3576"/>
      <c r="AH76" s="3571">
        <v>1.1200000000000001</v>
      </c>
      <c r="AI76" s="3004"/>
      <c r="AJ76" s="2995">
        <v>1.1200000000000001</v>
      </c>
      <c r="AK76" s="3004">
        <v>6</v>
      </c>
      <c r="AL76" s="3004">
        <f t="shared" si="52"/>
        <v>17808.000000000004</v>
      </c>
      <c r="AM76" s="3004">
        <v>6</v>
      </c>
      <c r="AN76" s="3004">
        <f t="shared" si="53"/>
        <v>17808.000000000004</v>
      </c>
      <c r="AO76" s="3004">
        <v>6</v>
      </c>
      <c r="AP76" s="3004">
        <f t="shared" si="54"/>
        <v>17808.000000000004</v>
      </c>
      <c r="AQ76" s="3004">
        <v>20</v>
      </c>
      <c r="AR76" s="3004">
        <f t="shared" si="55"/>
        <v>59360.000000000007</v>
      </c>
      <c r="AS76" s="2995"/>
      <c r="AT76" s="2995"/>
      <c r="AU76" s="2995"/>
      <c r="AV76" s="2983">
        <f t="shared" si="48"/>
        <v>-18</v>
      </c>
      <c r="AW76" s="3595">
        <f t="shared" si="56"/>
        <v>2968</v>
      </c>
      <c r="AX76" s="3595">
        <f t="shared" si="57"/>
        <v>59360</v>
      </c>
      <c r="AY76" s="3595">
        <f t="shared" si="58"/>
        <v>17808</v>
      </c>
      <c r="AZ76" s="3595">
        <f t="shared" si="59"/>
        <v>17808</v>
      </c>
      <c r="BA76" s="3595">
        <f t="shared" si="60"/>
        <v>17808</v>
      </c>
      <c r="BB76" s="3595">
        <f t="shared" si="61"/>
        <v>59360</v>
      </c>
      <c r="BC76" s="2983">
        <f t="shared" si="62"/>
        <v>112784</v>
      </c>
      <c r="BD76" s="2983">
        <f t="shared" si="63"/>
        <v>-53424</v>
      </c>
    </row>
    <row r="77" spans="1:56" ht="27.75" hidden="1" customHeight="1">
      <c r="A77" s="3265">
        <v>69</v>
      </c>
      <c r="B77" s="3548" t="s">
        <v>2829</v>
      </c>
      <c r="C77" s="3548" t="s">
        <v>2829</v>
      </c>
      <c r="D77" s="3548" t="s">
        <v>1290</v>
      </c>
      <c r="E77" s="3572">
        <v>16815.8</v>
      </c>
      <c r="F77" s="3549"/>
      <c r="G77" s="3572">
        <f t="shared" si="47"/>
        <v>16815.8</v>
      </c>
      <c r="H77" s="3549"/>
      <c r="I77" s="3573"/>
      <c r="J77" s="3573"/>
      <c r="K77" s="3549"/>
      <c r="L77" s="3647">
        <f t="shared" si="64"/>
        <v>0</v>
      </c>
      <c r="M77" s="3574"/>
      <c r="N77" s="3549"/>
      <c r="O77" s="3573"/>
      <c r="P77" s="3549">
        <f t="shared" si="46"/>
        <v>0</v>
      </c>
      <c r="Q77" s="3371">
        <f>1200</f>
        <v>1200</v>
      </c>
      <c r="R77" s="3568">
        <v>1.06</v>
      </c>
      <c r="S77" s="3568">
        <f t="shared" si="49"/>
        <v>1272</v>
      </c>
      <c r="T77" s="3569">
        <f t="shared" si="50"/>
        <v>1424.64</v>
      </c>
      <c r="U77" s="3567">
        <f t="shared" si="51"/>
        <v>0</v>
      </c>
      <c r="V77" s="3549"/>
      <c r="W77" s="3549">
        <f t="shared" si="43"/>
        <v>0</v>
      </c>
      <c r="X77" s="3575">
        <v>56</v>
      </c>
      <c r="Y77" s="3575">
        <v>1.07</v>
      </c>
      <c r="Z77" s="3549">
        <f t="shared" ref="Z77:Z84" si="65">Q77*$Z$4</f>
        <v>1272</v>
      </c>
      <c r="AA77" s="3549">
        <f>ROUND(P77*Z77,0)</f>
        <v>0</v>
      </c>
      <c r="AB77" s="3549"/>
      <c r="AC77" s="3549">
        <f>AA77-AB77</f>
        <v>0</v>
      </c>
      <c r="AD77" s="3549">
        <f t="shared" ref="AD77:AD84" si="66">Z77*$AD$4</f>
        <v>1335.6000000000001</v>
      </c>
      <c r="AE77" s="3549">
        <f>ROUND(P77*AD77,0)</f>
        <v>0</v>
      </c>
      <c r="AF77" s="3549"/>
      <c r="AG77" s="3576">
        <f>AE77-AF77</f>
        <v>0</v>
      </c>
      <c r="AH77" s="3571">
        <v>1.1200000000000001</v>
      </c>
      <c r="AI77" s="3004"/>
      <c r="AJ77" s="2995">
        <v>1.1200000000000001</v>
      </c>
      <c r="AK77" s="3004">
        <v>1</v>
      </c>
      <c r="AL77" s="3004">
        <f t="shared" si="52"/>
        <v>1424.64</v>
      </c>
      <c r="AM77" s="3004"/>
      <c r="AN77" s="3004">
        <f t="shared" si="53"/>
        <v>0</v>
      </c>
      <c r="AO77" s="3004">
        <v>1</v>
      </c>
      <c r="AP77" s="3004">
        <f t="shared" si="54"/>
        <v>1424.64</v>
      </c>
      <c r="AQ77" s="3004">
        <v>0</v>
      </c>
      <c r="AR77" s="3004">
        <f t="shared" si="55"/>
        <v>0</v>
      </c>
      <c r="AS77" s="2995"/>
      <c r="AT77" s="2995"/>
      <c r="AU77" s="2995"/>
      <c r="AV77" s="2983">
        <f t="shared" si="48"/>
        <v>-2</v>
      </c>
      <c r="AW77" s="3595">
        <f t="shared" si="56"/>
        <v>1424.64</v>
      </c>
      <c r="AX77" s="3595">
        <f t="shared" si="57"/>
        <v>0</v>
      </c>
      <c r="AY77" s="3595">
        <f t="shared" si="58"/>
        <v>1424.64</v>
      </c>
      <c r="AZ77" s="3595">
        <f t="shared" si="59"/>
        <v>0</v>
      </c>
      <c r="BA77" s="3595">
        <f t="shared" si="60"/>
        <v>1424.64</v>
      </c>
      <c r="BB77" s="3595">
        <f t="shared" si="61"/>
        <v>0</v>
      </c>
      <c r="BC77" s="2983">
        <f t="shared" si="62"/>
        <v>2849.28</v>
      </c>
      <c r="BD77" s="2983">
        <f t="shared" si="63"/>
        <v>-2849.28</v>
      </c>
    </row>
    <row r="78" spans="1:56" ht="25.5">
      <c r="A78" s="3371">
        <v>51</v>
      </c>
      <c r="B78" s="3548" t="s">
        <v>2862</v>
      </c>
      <c r="C78" s="3548" t="s">
        <v>2863</v>
      </c>
      <c r="D78" s="3548" t="s">
        <v>1268</v>
      </c>
      <c r="E78" s="3572">
        <v>16815.8</v>
      </c>
      <c r="F78" s="3549"/>
      <c r="G78" s="3572">
        <f t="shared" si="47"/>
        <v>16815.8</v>
      </c>
      <c r="H78" s="3549"/>
      <c r="I78" s="3573"/>
      <c r="J78" s="3573"/>
      <c r="K78" s="3549"/>
      <c r="L78" s="3647">
        <f t="shared" si="64"/>
        <v>5</v>
      </c>
      <c r="M78" s="3574"/>
      <c r="N78" s="3549"/>
      <c r="O78" s="3549"/>
      <c r="P78" s="3549">
        <f>L78-N78-O78</f>
        <v>5</v>
      </c>
      <c r="Q78" s="3371">
        <f>5500</f>
        <v>5500</v>
      </c>
      <c r="R78" s="3568">
        <v>1.06</v>
      </c>
      <c r="S78" s="3568">
        <f t="shared" si="49"/>
        <v>5830</v>
      </c>
      <c r="T78" s="3569">
        <f t="shared" si="50"/>
        <v>6529.6</v>
      </c>
      <c r="U78" s="3567">
        <f t="shared" si="51"/>
        <v>32648</v>
      </c>
      <c r="V78" s="3549"/>
      <c r="W78" s="3549">
        <f t="shared" si="43"/>
        <v>32648</v>
      </c>
      <c r="X78" s="3575"/>
      <c r="Y78" s="3575"/>
      <c r="Z78" s="3549">
        <f t="shared" si="65"/>
        <v>5830</v>
      </c>
      <c r="AA78" s="3549">
        <f>ROUND(P78*Z78,0)</f>
        <v>29150</v>
      </c>
      <c r="AB78" s="3549"/>
      <c r="AC78" s="3549">
        <f>AA78-AB78</f>
        <v>29150</v>
      </c>
      <c r="AD78" s="3549">
        <f t="shared" si="66"/>
        <v>6121.5</v>
      </c>
      <c r="AE78" s="3549">
        <f>ROUND(P78*AD78,0)</f>
        <v>30608</v>
      </c>
      <c r="AF78" s="3549"/>
      <c r="AG78" s="3576">
        <f>AE78-AF78</f>
        <v>30608</v>
      </c>
      <c r="AH78" s="3571">
        <v>1.1200000000000001</v>
      </c>
      <c r="AI78" s="3004"/>
      <c r="AJ78" s="2995">
        <v>1.1200000000000001</v>
      </c>
      <c r="AK78" s="3004">
        <v>4</v>
      </c>
      <c r="AL78" s="3004">
        <f t="shared" si="52"/>
        <v>26118.400000000001</v>
      </c>
      <c r="AM78" s="3004">
        <v>5</v>
      </c>
      <c r="AN78" s="3004">
        <f t="shared" si="53"/>
        <v>32648</v>
      </c>
      <c r="AO78" s="3004">
        <v>4</v>
      </c>
      <c r="AP78" s="3004">
        <f t="shared" si="54"/>
        <v>26118.400000000001</v>
      </c>
      <c r="AQ78" s="3004">
        <v>5</v>
      </c>
      <c r="AR78" s="3004">
        <f t="shared" si="55"/>
        <v>32648</v>
      </c>
      <c r="AS78" s="2995"/>
      <c r="AT78" s="2995"/>
      <c r="AU78" s="2995"/>
      <c r="AV78" s="2983">
        <f t="shared" si="48"/>
        <v>-13</v>
      </c>
      <c r="AW78" s="3595">
        <f t="shared" si="56"/>
        <v>6529.6</v>
      </c>
      <c r="AX78" s="3595">
        <f t="shared" si="57"/>
        <v>32648</v>
      </c>
      <c r="AY78" s="3595">
        <f t="shared" si="58"/>
        <v>26118.400000000001</v>
      </c>
      <c r="AZ78" s="3595">
        <f t="shared" si="59"/>
        <v>32648</v>
      </c>
      <c r="BA78" s="3595">
        <f t="shared" si="60"/>
        <v>26118.400000000001</v>
      </c>
      <c r="BB78" s="3595">
        <f t="shared" si="61"/>
        <v>32648</v>
      </c>
      <c r="BC78" s="2983">
        <f t="shared" si="62"/>
        <v>117532.79999999999</v>
      </c>
      <c r="BD78" s="2983">
        <f t="shared" si="63"/>
        <v>-84884.799999999988</v>
      </c>
    </row>
    <row r="79" spans="1:56" ht="12.75">
      <c r="A79" s="3265">
        <v>52</v>
      </c>
      <c r="B79" s="3548" t="s">
        <v>1680</v>
      </c>
      <c r="C79" s="3548" t="s">
        <v>3012</v>
      </c>
      <c r="D79" s="3548" t="s">
        <v>1022</v>
      </c>
      <c r="E79" s="3572">
        <v>16815.8</v>
      </c>
      <c r="F79" s="3573"/>
      <c r="G79" s="3572">
        <f t="shared" si="47"/>
        <v>16815.8</v>
      </c>
      <c r="H79" s="3573"/>
      <c r="I79" s="3573"/>
      <c r="J79" s="3573"/>
      <c r="K79" s="3573"/>
      <c r="L79" s="3647">
        <f t="shared" si="64"/>
        <v>9</v>
      </c>
      <c r="M79" s="3574"/>
      <c r="N79" s="3573"/>
      <c r="O79" s="3573"/>
      <c r="P79" s="3549">
        <f t="shared" si="46"/>
        <v>9</v>
      </c>
      <c r="Q79" s="3371">
        <f>4500</f>
        <v>4500</v>
      </c>
      <c r="R79" s="3568">
        <v>1.06</v>
      </c>
      <c r="S79" s="3568">
        <f t="shared" si="49"/>
        <v>4770</v>
      </c>
      <c r="T79" s="3569">
        <f t="shared" si="50"/>
        <v>5342.4000000000005</v>
      </c>
      <c r="U79" s="3567">
        <f t="shared" si="51"/>
        <v>48081.600000000006</v>
      </c>
      <c r="V79" s="3549"/>
      <c r="W79" s="3549">
        <f t="shared" si="43"/>
        <v>48081.600000000006</v>
      </c>
      <c r="X79" s="3575"/>
      <c r="Y79" s="3575"/>
      <c r="Z79" s="3549">
        <f t="shared" si="65"/>
        <v>4770</v>
      </c>
      <c r="AA79" s="3549">
        <f>ROUND(P79*Z79,0)</f>
        <v>42930</v>
      </c>
      <c r="AB79" s="3549"/>
      <c r="AC79" s="3549">
        <f>AA79-AB79</f>
        <v>42930</v>
      </c>
      <c r="AD79" s="3549">
        <f t="shared" si="66"/>
        <v>5008.5</v>
      </c>
      <c r="AE79" s="3549">
        <f>ROUND(P79*AD79,0)</f>
        <v>45077</v>
      </c>
      <c r="AF79" s="3549"/>
      <c r="AG79" s="3576">
        <f>AE79-AF79</f>
        <v>45077</v>
      </c>
      <c r="AH79" s="3571">
        <v>1.1200000000000001</v>
      </c>
      <c r="AI79" s="3004"/>
      <c r="AJ79" s="2995">
        <v>1.1200000000000001</v>
      </c>
      <c r="AK79" s="3004">
        <v>7</v>
      </c>
      <c r="AL79" s="3004">
        <f t="shared" si="52"/>
        <v>37396.800000000003</v>
      </c>
      <c r="AM79" s="3004">
        <v>7</v>
      </c>
      <c r="AN79" s="3004">
        <f t="shared" si="53"/>
        <v>37396.800000000003</v>
      </c>
      <c r="AO79" s="3004">
        <v>7</v>
      </c>
      <c r="AP79" s="3004">
        <f t="shared" si="54"/>
        <v>37396.800000000003</v>
      </c>
      <c r="AQ79" s="3004">
        <v>9</v>
      </c>
      <c r="AR79" s="3004">
        <f t="shared" si="55"/>
        <v>48081.600000000006</v>
      </c>
      <c r="AS79" s="2995"/>
      <c r="AT79" s="2995"/>
      <c r="AU79" s="2995"/>
      <c r="AV79" s="2983">
        <f t="shared" si="48"/>
        <v>-21</v>
      </c>
      <c r="AW79" s="3595">
        <f t="shared" si="56"/>
        <v>5342.4</v>
      </c>
      <c r="AX79" s="3595">
        <f t="shared" si="57"/>
        <v>48081.599999999999</v>
      </c>
      <c r="AY79" s="3595">
        <f t="shared" si="58"/>
        <v>37396.800000000003</v>
      </c>
      <c r="AZ79" s="3595">
        <f t="shared" si="59"/>
        <v>37396.800000000003</v>
      </c>
      <c r="BA79" s="3595">
        <f t="shared" si="60"/>
        <v>37396.800000000003</v>
      </c>
      <c r="BB79" s="3595">
        <f t="shared" si="61"/>
        <v>48081.599999999999</v>
      </c>
      <c r="BC79" s="2983">
        <f t="shared" si="62"/>
        <v>160272</v>
      </c>
      <c r="BD79" s="2983">
        <f t="shared" si="63"/>
        <v>-112190.39999999999</v>
      </c>
    </row>
    <row r="80" spans="1:56" ht="38.25">
      <c r="A80" s="3371">
        <v>53</v>
      </c>
      <c r="B80" s="3548" t="s">
        <v>3013</v>
      </c>
      <c r="C80" s="3548" t="s">
        <v>3013</v>
      </c>
      <c r="D80" s="3548" t="s">
        <v>1395</v>
      </c>
      <c r="E80" s="3572">
        <v>16815.8</v>
      </c>
      <c r="F80" s="3573"/>
      <c r="G80" s="3572">
        <f t="shared" si="47"/>
        <v>16815.8</v>
      </c>
      <c r="H80" s="3573"/>
      <c r="I80" s="3573"/>
      <c r="J80" s="3573"/>
      <c r="K80" s="3573"/>
      <c r="L80" s="3647">
        <f t="shared" si="64"/>
        <v>200</v>
      </c>
      <c r="M80" s="3574"/>
      <c r="N80" s="3573"/>
      <c r="O80" s="3573">
        <v>0</v>
      </c>
      <c r="P80" s="3549">
        <f>L80</f>
        <v>200</v>
      </c>
      <c r="Q80" s="3371">
        <f>50</f>
        <v>50</v>
      </c>
      <c r="R80" s="3568">
        <v>1.06</v>
      </c>
      <c r="S80" s="3568">
        <f t="shared" si="49"/>
        <v>53</v>
      </c>
      <c r="T80" s="3569">
        <f t="shared" si="50"/>
        <v>59.360000000000007</v>
      </c>
      <c r="U80" s="3567">
        <f t="shared" si="51"/>
        <v>11872.000000000002</v>
      </c>
      <c r="V80" s="3549"/>
      <c r="W80" s="3549">
        <f t="shared" si="43"/>
        <v>11872.000000000002</v>
      </c>
      <c r="X80" s="3575"/>
      <c r="Y80" s="3575"/>
      <c r="Z80" s="3549">
        <f t="shared" si="65"/>
        <v>53</v>
      </c>
      <c r="AA80" s="3549">
        <f>ROUND(P80*Z80,0)</f>
        <v>10600</v>
      </c>
      <c r="AB80" s="3549"/>
      <c r="AC80" s="3549">
        <f>AA80-AB80</f>
        <v>10600</v>
      </c>
      <c r="AD80" s="3549">
        <f t="shared" si="66"/>
        <v>55.650000000000006</v>
      </c>
      <c r="AE80" s="3549">
        <f>ROUND(P80*AD80,0)</f>
        <v>11130</v>
      </c>
      <c r="AF80" s="3549"/>
      <c r="AG80" s="3576">
        <f>AE80-AF80</f>
        <v>11130</v>
      </c>
      <c r="AH80" s="3571">
        <v>1.1200000000000001</v>
      </c>
      <c r="AI80" s="3004"/>
      <c r="AJ80" s="2995">
        <v>1.1200000000000001</v>
      </c>
      <c r="AK80" s="3004">
        <v>200</v>
      </c>
      <c r="AL80" s="3004">
        <f t="shared" si="52"/>
        <v>11872.000000000002</v>
      </c>
      <c r="AM80" s="3004"/>
      <c r="AN80" s="3004">
        <f t="shared" si="53"/>
        <v>0</v>
      </c>
      <c r="AO80" s="3004">
        <v>200</v>
      </c>
      <c r="AP80" s="3004">
        <f t="shared" si="54"/>
        <v>11872.000000000002</v>
      </c>
      <c r="AQ80" s="3004">
        <v>200</v>
      </c>
      <c r="AR80" s="3004">
        <f t="shared" si="55"/>
        <v>11872.000000000002</v>
      </c>
      <c r="AS80" s="2995"/>
      <c r="AT80" s="2995"/>
      <c r="AU80" s="2995"/>
      <c r="AV80" s="2983">
        <f t="shared" si="48"/>
        <v>-400</v>
      </c>
      <c r="AW80" s="3595">
        <f t="shared" si="56"/>
        <v>59.36</v>
      </c>
      <c r="AX80" s="3595">
        <f t="shared" si="57"/>
        <v>11872</v>
      </c>
      <c r="AY80" s="3595">
        <f t="shared" si="58"/>
        <v>11872</v>
      </c>
      <c r="AZ80" s="3595">
        <f t="shared" si="59"/>
        <v>0</v>
      </c>
      <c r="BA80" s="3595">
        <f t="shared" si="60"/>
        <v>11872</v>
      </c>
      <c r="BB80" s="3595">
        <f t="shared" si="61"/>
        <v>11872</v>
      </c>
      <c r="BC80" s="2983">
        <f t="shared" si="62"/>
        <v>35616</v>
      </c>
      <c r="BD80" s="2983">
        <f t="shared" si="63"/>
        <v>-23744</v>
      </c>
    </row>
    <row r="81" spans="1:56" ht="27.75" customHeight="1">
      <c r="A81" s="3265">
        <v>54</v>
      </c>
      <c r="B81" s="3547" t="s">
        <v>3014</v>
      </c>
      <c r="C81" s="3547" t="s">
        <v>3015</v>
      </c>
      <c r="D81" s="3547" t="s">
        <v>1022</v>
      </c>
      <c r="E81" s="3572">
        <v>16815.8</v>
      </c>
      <c r="F81" s="3549"/>
      <c r="G81" s="3572">
        <f t="shared" si="47"/>
        <v>16815.8</v>
      </c>
      <c r="H81" s="3549"/>
      <c r="I81" s="3549"/>
      <c r="J81" s="3549"/>
      <c r="K81" s="3549"/>
      <c r="L81" s="3647">
        <f t="shared" si="64"/>
        <v>1</v>
      </c>
      <c r="M81" s="3549"/>
      <c r="N81" s="3549"/>
      <c r="O81" s="3549"/>
      <c r="P81" s="3549">
        <v>1</v>
      </c>
      <c r="Q81" s="3390">
        <f>6500</f>
        <v>6500</v>
      </c>
      <c r="R81" s="3568">
        <v>1.06</v>
      </c>
      <c r="S81" s="3568">
        <f t="shared" si="49"/>
        <v>6890</v>
      </c>
      <c r="T81" s="3569">
        <f t="shared" si="50"/>
        <v>7716.8000000000011</v>
      </c>
      <c r="U81" s="3567">
        <f t="shared" si="51"/>
        <v>7716.8000000000011</v>
      </c>
      <c r="V81" s="3549"/>
      <c r="W81" s="3549">
        <f t="shared" si="43"/>
        <v>7716.8000000000011</v>
      </c>
      <c r="X81" s="3578"/>
      <c r="Y81" s="3578"/>
      <c r="Z81" s="3549">
        <f t="shared" si="65"/>
        <v>6890</v>
      </c>
      <c r="AA81" s="3549"/>
      <c r="AB81" s="3549"/>
      <c r="AC81" s="3549"/>
      <c r="AD81" s="3549">
        <f t="shared" si="66"/>
        <v>7234.5</v>
      </c>
      <c r="AE81" s="3549"/>
      <c r="AF81" s="3549"/>
      <c r="AG81" s="3576"/>
      <c r="AH81" s="3571">
        <v>1.1200000000000001</v>
      </c>
      <c r="AI81" s="3004"/>
      <c r="AJ81" s="2995">
        <v>1.1200000000000001</v>
      </c>
      <c r="AK81" s="3004"/>
      <c r="AL81" s="3004">
        <f t="shared" si="52"/>
        <v>0</v>
      </c>
      <c r="AM81" s="3004"/>
      <c r="AN81" s="3004">
        <f t="shared" si="53"/>
        <v>0</v>
      </c>
      <c r="AO81" s="3004"/>
      <c r="AP81" s="3004">
        <f t="shared" si="54"/>
        <v>0</v>
      </c>
      <c r="AQ81" s="3004">
        <v>1</v>
      </c>
      <c r="AR81" s="3004">
        <f t="shared" si="55"/>
        <v>7716.8000000000011</v>
      </c>
      <c r="AS81" s="2995"/>
      <c r="AT81" s="2995"/>
      <c r="AU81" s="2995"/>
      <c r="AV81" s="2983">
        <f t="shared" si="48"/>
        <v>0</v>
      </c>
      <c r="AW81" s="3595">
        <f t="shared" si="56"/>
        <v>7716.8</v>
      </c>
      <c r="AX81" s="3595">
        <f t="shared" si="57"/>
        <v>7716.8</v>
      </c>
      <c r="AY81" s="3595">
        <f t="shared" si="58"/>
        <v>0</v>
      </c>
      <c r="AZ81" s="3595">
        <f t="shared" si="59"/>
        <v>0</v>
      </c>
      <c r="BA81" s="3595">
        <f t="shared" si="60"/>
        <v>0</v>
      </c>
      <c r="BB81" s="3595">
        <f t="shared" si="61"/>
        <v>7716.8</v>
      </c>
      <c r="BC81" s="2983">
        <f t="shared" si="62"/>
        <v>7716.8</v>
      </c>
      <c r="BD81" s="2983">
        <f t="shared" si="63"/>
        <v>0</v>
      </c>
    </row>
    <row r="82" spans="1:56" s="2984" customFormat="1" ht="25.5">
      <c r="A82" s="3371">
        <v>55</v>
      </c>
      <c r="B82" s="3547" t="s">
        <v>3016</v>
      </c>
      <c r="C82" s="3547" t="s">
        <v>3016</v>
      </c>
      <c r="D82" s="3547" t="s">
        <v>1022</v>
      </c>
      <c r="E82" s="3583">
        <v>16815.8</v>
      </c>
      <c r="F82" s="3566"/>
      <c r="G82" s="3583">
        <f t="shared" si="47"/>
        <v>16815.8</v>
      </c>
      <c r="H82" s="3566"/>
      <c r="I82" s="3566"/>
      <c r="J82" s="3566"/>
      <c r="K82" s="3566"/>
      <c r="L82" s="3647">
        <f t="shared" si="64"/>
        <v>4</v>
      </c>
      <c r="M82" s="3566"/>
      <c r="N82" s="3566"/>
      <c r="O82" s="3566"/>
      <c r="P82" s="3566">
        <f t="shared" ref="P82:P92" si="67">L82-N82-O82</f>
        <v>4</v>
      </c>
      <c r="Q82" s="3584">
        <f>1500</f>
        <v>1500</v>
      </c>
      <c r="R82" s="3568">
        <v>1.06</v>
      </c>
      <c r="S82" s="3568">
        <f t="shared" si="49"/>
        <v>1590</v>
      </c>
      <c r="T82" s="3569">
        <f t="shared" si="50"/>
        <v>1780.8000000000002</v>
      </c>
      <c r="U82" s="3567">
        <f t="shared" si="51"/>
        <v>7123.2000000000007</v>
      </c>
      <c r="V82" s="3566"/>
      <c r="W82" s="3566">
        <f t="shared" ref="W82:W91" si="68">U82-V82</f>
        <v>7123.2000000000007</v>
      </c>
      <c r="X82" s="3585"/>
      <c r="Y82" s="3585"/>
      <c r="Z82" s="3566">
        <f t="shared" si="65"/>
        <v>1590</v>
      </c>
      <c r="AA82" s="3566"/>
      <c r="AB82" s="3566"/>
      <c r="AC82" s="3566"/>
      <c r="AD82" s="3566">
        <f t="shared" si="66"/>
        <v>1669.5</v>
      </c>
      <c r="AE82" s="3566"/>
      <c r="AF82" s="3566"/>
      <c r="AG82" s="3586"/>
      <c r="AH82" s="3571">
        <v>1.1200000000000001</v>
      </c>
      <c r="AI82" s="3004"/>
      <c r="AJ82" s="2998">
        <v>1.1200000000000001</v>
      </c>
      <c r="AK82" s="3004">
        <v>3</v>
      </c>
      <c r="AL82" s="3004">
        <f t="shared" si="52"/>
        <v>5342.4000000000005</v>
      </c>
      <c r="AM82" s="3004"/>
      <c r="AN82" s="3004">
        <f t="shared" si="53"/>
        <v>0</v>
      </c>
      <c r="AO82" s="3004">
        <v>3</v>
      </c>
      <c r="AP82" s="3004">
        <f t="shared" si="54"/>
        <v>5342.4000000000005</v>
      </c>
      <c r="AQ82" s="3004">
        <v>4</v>
      </c>
      <c r="AR82" s="3004">
        <f t="shared" si="55"/>
        <v>7123.2000000000007</v>
      </c>
      <c r="AS82" s="2998"/>
      <c r="AT82" s="2998"/>
      <c r="AU82" s="2998"/>
      <c r="AV82" s="2983">
        <f t="shared" si="48"/>
        <v>-6</v>
      </c>
      <c r="AW82" s="3595">
        <f t="shared" si="56"/>
        <v>1780.8</v>
      </c>
      <c r="AX82" s="3595">
        <f t="shared" si="57"/>
        <v>7123.2</v>
      </c>
      <c r="AY82" s="3595">
        <f t="shared" si="58"/>
        <v>5342.4</v>
      </c>
      <c r="AZ82" s="3595">
        <f t="shared" si="59"/>
        <v>0</v>
      </c>
      <c r="BA82" s="3595">
        <f t="shared" si="60"/>
        <v>5342.4</v>
      </c>
      <c r="BB82" s="3595">
        <f t="shared" si="61"/>
        <v>7123.2</v>
      </c>
      <c r="BC82" s="2983">
        <f t="shared" si="62"/>
        <v>17808</v>
      </c>
      <c r="BD82" s="2983">
        <f t="shared" si="63"/>
        <v>-10684.8</v>
      </c>
    </row>
    <row r="83" spans="1:56" ht="12.75" hidden="1">
      <c r="A83" s="3265">
        <v>75</v>
      </c>
      <c r="B83" s="3548" t="s">
        <v>3017</v>
      </c>
      <c r="C83" s="3548" t="s">
        <v>3018</v>
      </c>
      <c r="D83" s="3548" t="s">
        <v>1022</v>
      </c>
      <c r="E83" s="3572">
        <v>16815.8</v>
      </c>
      <c r="F83" s="3573"/>
      <c r="G83" s="3572">
        <f t="shared" si="47"/>
        <v>16815.8</v>
      </c>
      <c r="H83" s="3573"/>
      <c r="I83" s="3573"/>
      <c r="J83" s="3573"/>
      <c r="K83" s="3573"/>
      <c r="L83" s="3647">
        <f t="shared" si="64"/>
        <v>0</v>
      </c>
      <c r="M83" s="3574"/>
      <c r="N83" s="3573"/>
      <c r="O83" s="3573"/>
      <c r="P83" s="3549">
        <f t="shared" si="67"/>
        <v>0</v>
      </c>
      <c r="Q83" s="3577">
        <f>1200</f>
        <v>1200</v>
      </c>
      <c r="R83" s="3568">
        <v>1.06</v>
      </c>
      <c r="S83" s="3568">
        <f t="shared" si="49"/>
        <v>1272</v>
      </c>
      <c r="T83" s="3569">
        <f t="shared" si="50"/>
        <v>1424.64</v>
      </c>
      <c r="U83" s="3567">
        <f t="shared" si="51"/>
        <v>0</v>
      </c>
      <c r="V83" s="3549"/>
      <c r="W83" s="3549">
        <f t="shared" si="68"/>
        <v>0</v>
      </c>
      <c r="X83" s="3575"/>
      <c r="Y83" s="3575"/>
      <c r="Z83" s="3549">
        <f t="shared" si="65"/>
        <v>1272</v>
      </c>
      <c r="AA83" s="3549">
        <f>ROUND(P83*Z83,0)</f>
        <v>0</v>
      </c>
      <c r="AB83" s="3549"/>
      <c r="AC83" s="3549">
        <f t="shared" ref="AC83:AC84" si="69">AA83-AB83</f>
        <v>0</v>
      </c>
      <c r="AD83" s="3549">
        <f t="shared" si="66"/>
        <v>1335.6000000000001</v>
      </c>
      <c r="AE83" s="3549">
        <f>ROUND(P83*AD83,0)</f>
        <v>0</v>
      </c>
      <c r="AF83" s="3549"/>
      <c r="AG83" s="3576">
        <f t="shared" ref="AG83:AG84" si="70">AE83-AF83</f>
        <v>0</v>
      </c>
      <c r="AH83" s="3571">
        <v>1.1200000000000001</v>
      </c>
      <c r="AI83" s="3004"/>
      <c r="AJ83" s="2995">
        <v>1.1200000000000001</v>
      </c>
      <c r="AK83" s="3004">
        <v>5</v>
      </c>
      <c r="AL83" s="3004">
        <f t="shared" si="52"/>
        <v>7123.2000000000007</v>
      </c>
      <c r="AM83" s="3004">
        <v>5</v>
      </c>
      <c r="AN83" s="3004">
        <f t="shared" si="53"/>
        <v>7123.2000000000007</v>
      </c>
      <c r="AO83" s="3004">
        <v>5</v>
      </c>
      <c r="AP83" s="3004">
        <f t="shared" si="54"/>
        <v>7123.2000000000007</v>
      </c>
      <c r="AQ83" s="3004"/>
      <c r="AR83" s="3004">
        <f t="shared" si="55"/>
        <v>0</v>
      </c>
      <c r="AS83" s="2995"/>
      <c r="AT83" s="2995"/>
      <c r="AU83" s="2995"/>
      <c r="AV83" s="2983">
        <f t="shared" si="48"/>
        <v>-15</v>
      </c>
      <c r="AW83" s="3595">
        <f t="shared" si="56"/>
        <v>1424.64</v>
      </c>
      <c r="AX83" s="3595">
        <f t="shared" si="57"/>
        <v>0</v>
      </c>
      <c r="AY83" s="3595">
        <f t="shared" si="58"/>
        <v>7123.2</v>
      </c>
      <c r="AZ83" s="3595">
        <f t="shared" si="59"/>
        <v>7123.2</v>
      </c>
      <c r="BA83" s="3595">
        <f t="shared" si="60"/>
        <v>7123.2</v>
      </c>
      <c r="BB83" s="3595">
        <f t="shared" si="61"/>
        <v>0</v>
      </c>
      <c r="BC83" s="2983">
        <f t="shared" si="62"/>
        <v>21369.599999999999</v>
      </c>
      <c r="BD83" s="2983">
        <f t="shared" si="63"/>
        <v>-21369.599999999999</v>
      </c>
    </row>
    <row r="84" spans="1:56" ht="25.5" hidden="1">
      <c r="A84" s="3371">
        <v>76</v>
      </c>
      <c r="B84" s="3548" t="s">
        <v>2880</v>
      </c>
      <c r="C84" s="3548" t="s">
        <v>2880</v>
      </c>
      <c r="D84" s="3548" t="s">
        <v>1022</v>
      </c>
      <c r="E84" s="3572">
        <v>16815.8</v>
      </c>
      <c r="F84" s="3549"/>
      <c r="G84" s="3572">
        <f t="shared" si="47"/>
        <v>16815.8</v>
      </c>
      <c r="H84" s="3549"/>
      <c r="I84" s="3573"/>
      <c r="J84" s="3573"/>
      <c r="K84" s="3549"/>
      <c r="L84" s="3647">
        <f t="shared" si="64"/>
        <v>0</v>
      </c>
      <c r="M84" s="3574"/>
      <c r="N84" s="3549"/>
      <c r="O84" s="3549"/>
      <c r="P84" s="3549">
        <f t="shared" si="67"/>
        <v>0</v>
      </c>
      <c r="Q84" s="3577">
        <f>9500</f>
        <v>9500</v>
      </c>
      <c r="R84" s="3568">
        <v>1.06</v>
      </c>
      <c r="S84" s="3568">
        <f t="shared" si="49"/>
        <v>10070</v>
      </c>
      <c r="T84" s="3569">
        <f t="shared" si="50"/>
        <v>11278.400000000001</v>
      </c>
      <c r="U84" s="3567">
        <f t="shared" si="51"/>
        <v>0</v>
      </c>
      <c r="V84" s="3549"/>
      <c r="W84" s="3549">
        <f t="shared" si="68"/>
        <v>0</v>
      </c>
      <c r="X84" s="3575">
        <v>2430</v>
      </c>
      <c r="Y84" s="3575">
        <v>1.07</v>
      </c>
      <c r="Z84" s="3549">
        <f t="shared" si="65"/>
        <v>10070</v>
      </c>
      <c r="AA84" s="3549">
        <f>ROUND(P84*Z84,0)</f>
        <v>0</v>
      </c>
      <c r="AB84" s="3549"/>
      <c r="AC84" s="3549">
        <f t="shared" si="69"/>
        <v>0</v>
      </c>
      <c r="AD84" s="3549">
        <f t="shared" si="66"/>
        <v>10573.5</v>
      </c>
      <c r="AE84" s="3549">
        <f>ROUND(P84*AD84,0)</f>
        <v>0</v>
      </c>
      <c r="AF84" s="3549"/>
      <c r="AG84" s="3576">
        <f t="shared" si="70"/>
        <v>0</v>
      </c>
      <c r="AH84" s="3571">
        <v>1.1200000000000001</v>
      </c>
      <c r="AI84" s="3004"/>
      <c r="AJ84" s="2995">
        <v>1.1200000000000001</v>
      </c>
      <c r="AK84" s="3004">
        <v>1</v>
      </c>
      <c r="AL84" s="3004">
        <f t="shared" si="52"/>
        <v>11278.400000000001</v>
      </c>
      <c r="AM84" s="3004"/>
      <c r="AN84" s="3004">
        <f t="shared" si="53"/>
        <v>0</v>
      </c>
      <c r="AO84" s="3004">
        <v>1</v>
      </c>
      <c r="AP84" s="3004">
        <f t="shared" si="54"/>
        <v>11278.400000000001</v>
      </c>
      <c r="AQ84" s="3004"/>
      <c r="AR84" s="3004">
        <f t="shared" si="55"/>
        <v>0</v>
      </c>
      <c r="AS84" s="2995"/>
      <c r="AT84" s="2995"/>
      <c r="AU84" s="2995"/>
      <c r="AV84" s="2983">
        <f t="shared" si="48"/>
        <v>-2</v>
      </c>
      <c r="AW84" s="3595">
        <f t="shared" si="56"/>
        <v>11278.4</v>
      </c>
      <c r="AX84" s="3595">
        <f t="shared" si="57"/>
        <v>0</v>
      </c>
      <c r="AY84" s="3595">
        <f t="shared" si="58"/>
        <v>11278.4</v>
      </c>
      <c r="AZ84" s="3595">
        <f t="shared" si="59"/>
        <v>0</v>
      </c>
      <c r="BA84" s="3595">
        <f t="shared" si="60"/>
        <v>11278.4</v>
      </c>
      <c r="BB84" s="3595">
        <f t="shared" si="61"/>
        <v>0</v>
      </c>
      <c r="BC84" s="2983">
        <f t="shared" si="62"/>
        <v>22556.799999999999</v>
      </c>
      <c r="BD84" s="2983">
        <f t="shared" si="63"/>
        <v>-22556.799999999999</v>
      </c>
    </row>
    <row r="85" spans="1:56" ht="26.25" thickBot="1">
      <c r="A85" s="3265">
        <v>56</v>
      </c>
      <c r="B85" s="3548" t="s">
        <v>3019</v>
      </c>
      <c r="C85" s="3548" t="s">
        <v>3020</v>
      </c>
      <c r="D85" s="3548" t="s">
        <v>1022</v>
      </c>
      <c r="E85" s="3572">
        <v>16815.8</v>
      </c>
      <c r="F85" s="3549"/>
      <c r="G85" s="3572">
        <f t="shared" si="47"/>
        <v>16815.8</v>
      </c>
      <c r="H85" s="3549"/>
      <c r="I85" s="3549"/>
      <c r="J85" s="3549"/>
      <c r="K85" s="3549"/>
      <c r="L85" s="3647">
        <f t="shared" si="64"/>
        <v>1</v>
      </c>
      <c r="M85" s="3549"/>
      <c r="N85" s="3549"/>
      <c r="O85" s="3549"/>
      <c r="P85" s="3549">
        <f t="shared" si="67"/>
        <v>1</v>
      </c>
      <c r="Q85" s="3390">
        <f>13600</f>
        <v>13600</v>
      </c>
      <c r="R85" s="3568">
        <v>1.06</v>
      </c>
      <c r="S85" s="3568">
        <f t="shared" si="49"/>
        <v>14416</v>
      </c>
      <c r="T85" s="3569">
        <f t="shared" si="50"/>
        <v>16145.920000000002</v>
      </c>
      <c r="U85" s="3567">
        <f t="shared" si="51"/>
        <v>16145.920000000002</v>
      </c>
      <c r="V85" s="3549"/>
      <c r="W85" s="3549">
        <f t="shared" si="68"/>
        <v>16145.920000000002</v>
      </c>
      <c r="X85" s="3578"/>
      <c r="Y85" s="3578"/>
      <c r="Z85" s="3549"/>
      <c r="AA85" s="3549"/>
      <c r="AB85" s="3549"/>
      <c r="AC85" s="3549"/>
      <c r="AD85" s="3549"/>
      <c r="AE85" s="3549"/>
      <c r="AF85" s="3549"/>
      <c r="AG85" s="3576"/>
      <c r="AH85" s="3571">
        <v>1.1200000000000001</v>
      </c>
      <c r="AI85" s="3004"/>
      <c r="AJ85" s="2995">
        <v>1.1200000000000001</v>
      </c>
      <c r="AK85" s="3004">
        <v>1</v>
      </c>
      <c r="AL85" s="3004">
        <f t="shared" si="52"/>
        <v>16145.920000000002</v>
      </c>
      <c r="AM85" s="3004"/>
      <c r="AN85" s="3004">
        <f t="shared" si="53"/>
        <v>0</v>
      </c>
      <c r="AO85" s="3004">
        <v>1</v>
      </c>
      <c r="AP85" s="3004">
        <f t="shared" si="54"/>
        <v>16145.920000000002</v>
      </c>
      <c r="AQ85" s="3004">
        <v>1</v>
      </c>
      <c r="AR85" s="3004">
        <f t="shared" si="55"/>
        <v>16145.920000000002</v>
      </c>
      <c r="AS85" s="2995"/>
      <c r="AT85" s="2995"/>
      <c r="AU85" s="2995"/>
      <c r="AV85" s="2983">
        <f t="shared" si="48"/>
        <v>-2</v>
      </c>
      <c r="AW85" s="3595">
        <f t="shared" si="56"/>
        <v>16145.92</v>
      </c>
      <c r="AX85" s="3595">
        <f t="shared" si="57"/>
        <v>16145.92</v>
      </c>
      <c r="AY85" s="3595">
        <f t="shared" si="58"/>
        <v>16145.92</v>
      </c>
      <c r="AZ85" s="3595">
        <f t="shared" si="59"/>
        <v>0</v>
      </c>
      <c r="BA85" s="3595">
        <f t="shared" si="60"/>
        <v>16145.92</v>
      </c>
      <c r="BB85" s="3595">
        <f t="shared" si="61"/>
        <v>16145.92</v>
      </c>
      <c r="BC85" s="2983">
        <f t="shared" si="62"/>
        <v>48437.760000000002</v>
      </c>
      <c r="BD85" s="2983">
        <f t="shared" si="63"/>
        <v>-32291.840000000004</v>
      </c>
    </row>
    <row r="86" spans="1:56" ht="12.75">
      <c r="A86" s="3371">
        <v>57</v>
      </c>
      <c r="B86" s="3548" t="s">
        <v>2875</v>
      </c>
      <c r="C86" s="3548" t="s">
        <v>2875</v>
      </c>
      <c r="D86" s="3548" t="s">
        <v>1022</v>
      </c>
      <c r="E86" s="3572">
        <v>16815.8</v>
      </c>
      <c r="F86" s="3549"/>
      <c r="G86" s="3572">
        <f t="shared" si="47"/>
        <v>16815.8</v>
      </c>
      <c r="H86" s="3549"/>
      <c r="I86" s="3573"/>
      <c r="J86" s="3573"/>
      <c r="K86" s="3549"/>
      <c r="L86" s="3647">
        <f t="shared" si="64"/>
        <v>1</v>
      </c>
      <c r="M86" s="3574"/>
      <c r="N86" s="3549"/>
      <c r="O86" s="3549"/>
      <c r="P86" s="3549">
        <f t="shared" si="67"/>
        <v>1</v>
      </c>
      <c r="Q86" s="3587">
        <f>11000</f>
        <v>11000</v>
      </c>
      <c r="R86" s="3568">
        <v>1.06</v>
      </c>
      <c r="S86" s="3568">
        <f t="shared" si="49"/>
        <v>11660</v>
      </c>
      <c r="T86" s="3569">
        <f t="shared" si="50"/>
        <v>13059.2</v>
      </c>
      <c r="U86" s="3567">
        <f t="shared" si="51"/>
        <v>13059.2</v>
      </c>
      <c r="V86" s="3549"/>
      <c r="W86" s="3549">
        <f t="shared" si="68"/>
        <v>13059.2</v>
      </c>
      <c r="X86" s="3575"/>
      <c r="Y86" s="3575"/>
      <c r="Z86" s="3549">
        <f t="shared" ref="Z86:Z91" si="71">Q86*$Z$4</f>
        <v>11660</v>
      </c>
      <c r="AA86" s="3549">
        <f t="shared" ref="AA86:AA91" si="72">ROUND(P86*Z86,0)</f>
        <v>11660</v>
      </c>
      <c r="AB86" s="3549"/>
      <c r="AC86" s="3549">
        <f t="shared" ref="AC86:AC91" si="73">AA86-AB86</f>
        <v>11660</v>
      </c>
      <c r="AD86" s="3549">
        <f t="shared" ref="AD86:AD91" si="74">Z86*$AD$4</f>
        <v>12243</v>
      </c>
      <c r="AE86" s="3549">
        <f t="shared" ref="AE86:AE91" si="75">ROUND(P86*AD86,0)</f>
        <v>12243</v>
      </c>
      <c r="AF86" s="3549"/>
      <c r="AG86" s="3576">
        <f t="shared" ref="AG86:AG91" si="76">AE86-AF86</f>
        <v>12243</v>
      </c>
      <c r="AH86" s="3571">
        <v>1.1200000000000001</v>
      </c>
      <c r="AI86" s="3004"/>
      <c r="AJ86" s="2995">
        <v>1.1200000000000001</v>
      </c>
      <c r="AK86" s="3004">
        <v>0</v>
      </c>
      <c r="AL86" s="3004">
        <f t="shared" si="52"/>
        <v>0</v>
      </c>
      <c r="AM86" s="3004"/>
      <c r="AN86" s="3004">
        <f t="shared" si="53"/>
        <v>0</v>
      </c>
      <c r="AO86" s="3004">
        <v>0</v>
      </c>
      <c r="AP86" s="3004">
        <f t="shared" si="54"/>
        <v>0</v>
      </c>
      <c r="AQ86" s="3004">
        <v>1</v>
      </c>
      <c r="AR86" s="3004">
        <f t="shared" si="55"/>
        <v>13059.2</v>
      </c>
      <c r="AS86" s="2995"/>
      <c r="AT86" s="2995"/>
      <c r="AU86" s="2995"/>
      <c r="AV86" s="2983">
        <f t="shared" si="48"/>
        <v>0</v>
      </c>
      <c r="AW86" s="3595">
        <f t="shared" si="56"/>
        <v>13059.2</v>
      </c>
      <c r="AX86" s="3595">
        <f t="shared" si="57"/>
        <v>13059.2</v>
      </c>
      <c r="AY86" s="3595">
        <f t="shared" si="58"/>
        <v>0</v>
      </c>
      <c r="AZ86" s="3595">
        <f t="shared" si="59"/>
        <v>0</v>
      </c>
      <c r="BA86" s="3595">
        <f t="shared" si="60"/>
        <v>0</v>
      </c>
      <c r="BB86" s="3595">
        <f t="shared" si="61"/>
        <v>13059.2</v>
      </c>
      <c r="BC86" s="2983">
        <f t="shared" si="62"/>
        <v>13059.2</v>
      </c>
      <c r="BD86" s="2983">
        <f t="shared" si="63"/>
        <v>0</v>
      </c>
    </row>
    <row r="87" spans="1:56" ht="12.75" hidden="1">
      <c r="A87" s="3265">
        <v>79</v>
      </c>
      <c r="B87" s="3548" t="s">
        <v>3021</v>
      </c>
      <c r="C87" s="3548" t="s">
        <v>3021</v>
      </c>
      <c r="D87" s="3548" t="s">
        <v>1268</v>
      </c>
      <c r="E87" s="3572">
        <v>16815.8</v>
      </c>
      <c r="F87" s="3549"/>
      <c r="G87" s="3572">
        <f t="shared" si="47"/>
        <v>16815.8</v>
      </c>
      <c r="H87" s="3549"/>
      <c r="I87" s="3573"/>
      <c r="J87" s="3573"/>
      <c r="K87" s="3549"/>
      <c r="L87" s="3647">
        <f t="shared" si="64"/>
        <v>0</v>
      </c>
      <c r="M87" s="3574"/>
      <c r="N87" s="3549"/>
      <c r="O87" s="3549"/>
      <c r="P87" s="3549">
        <f t="shared" si="67"/>
        <v>0</v>
      </c>
      <c r="Q87" s="3371">
        <f>2200</f>
        <v>2200</v>
      </c>
      <c r="R87" s="3568">
        <v>1.06</v>
      </c>
      <c r="S87" s="3568">
        <f t="shared" si="49"/>
        <v>2332</v>
      </c>
      <c r="T87" s="3569">
        <f t="shared" si="50"/>
        <v>2611.84</v>
      </c>
      <c r="U87" s="3567">
        <f t="shared" si="51"/>
        <v>0</v>
      </c>
      <c r="V87" s="3549"/>
      <c r="W87" s="3549">
        <f t="shared" si="68"/>
        <v>0</v>
      </c>
      <c r="X87" s="3575"/>
      <c r="Y87" s="3575"/>
      <c r="Z87" s="3549">
        <f t="shared" si="71"/>
        <v>2332</v>
      </c>
      <c r="AA87" s="3549">
        <f t="shared" si="72"/>
        <v>0</v>
      </c>
      <c r="AB87" s="3549"/>
      <c r="AC87" s="3549">
        <f t="shared" si="73"/>
        <v>0</v>
      </c>
      <c r="AD87" s="3549">
        <f t="shared" si="74"/>
        <v>2448.6</v>
      </c>
      <c r="AE87" s="3549">
        <f t="shared" si="75"/>
        <v>0</v>
      </c>
      <c r="AF87" s="3549"/>
      <c r="AG87" s="3576">
        <f t="shared" si="76"/>
        <v>0</v>
      </c>
      <c r="AH87" s="3571">
        <v>1.1200000000000001</v>
      </c>
      <c r="AI87" s="3004"/>
      <c r="AJ87" s="2995">
        <v>1.1200000000000001</v>
      </c>
      <c r="AK87" s="3004">
        <v>2</v>
      </c>
      <c r="AL87" s="3004">
        <f t="shared" si="52"/>
        <v>5223.68</v>
      </c>
      <c r="AM87" s="3004">
        <v>1</v>
      </c>
      <c r="AN87" s="3004">
        <f t="shared" si="53"/>
        <v>2611.84</v>
      </c>
      <c r="AO87" s="3004">
        <v>1</v>
      </c>
      <c r="AP87" s="3004">
        <f t="shared" si="54"/>
        <v>2611.84</v>
      </c>
      <c r="AQ87" s="3004"/>
      <c r="AR87" s="3004">
        <f t="shared" si="55"/>
        <v>0</v>
      </c>
      <c r="AS87" s="2995"/>
      <c r="AT87" s="2995"/>
      <c r="AU87" s="2995"/>
      <c r="AV87" s="2983">
        <f t="shared" si="48"/>
        <v>-4</v>
      </c>
      <c r="AW87" s="3595">
        <f t="shared" si="56"/>
        <v>2611.84</v>
      </c>
      <c r="AX87" s="3595">
        <f t="shared" si="57"/>
        <v>0</v>
      </c>
      <c r="AY87" s="3595">
        <f t="shared" si="58"/>
        <v>5223.68</v>
      </c>
      <c r="AZ87" s="3595">
        <f t="shared" si="59"/>
        <v>2611.84</v>
      </c>
      <c r="BA87" s="3595">
        <f t="shared" si="60"/>
        <v>2611.84</v>
      </c>
      <c r="BB87" s="3595">
        <f t="shared" si="61"/>
        <v>0</v>
      </c>
      <c r="BC87" s="2983">
        <f t="shared" si="62"/>
        <v>10447.36</v>
      </c>
      <c r="BD87" s="2983">
        <f t="shared" si="63"/>
        <v>-10447.36</v>
      </c>
    </row>
    <row r="88" spans="1:56" ht="38.25">
      <c r="A88" s="3371">
        <v>58</v>
      </c>
      <c r="B88" s="3548" t="s">
        <v>3022</v>
      </c>
      <c r="C88" s="3548" t="s">
        <v>3022</v>
      </c>
      <c r="D88" s="3548" t="s">
        <v>1022</v>
      </c>
      <c r="E88" s="3572">
        <v>16815.8</v>
      </c>
      <c r="F88" s="3549"/>
      <c r="G88" s="3572">
        <f t="shared" si="47"/>
        <v>16815.8</v>
      </c>
      <c r="H88" s="3549"/>
      <c r="I88" s="3573"/>
      <c r="J88" s="3573"/>
      <c r="K88" s="3549"/>
      <c r="L88" s="3647">
        <f t="shared" si="64"/>
        <v>20</v>
      </c>
      <c r="M88" s="3574"/>
      <c r="N88" s="3549"/>
      <c r="O88" s="3549"/>
      <c r="P88" s="3549">
        <f t="shared" si="67"/>
        <v>20</v>
      </c>
      <c r="Q88" s="3371">
        <f>1050</f>
        <v>1050</v>
      </c>
      <c r="R88" s="3568">
        <v>1.06</v>
      </c>
      <c r="S88" s="3568">
        <f t="shared" si="49"/>
        <v>1113</v>
      </c>
      <c r="T88" s="3569">
        <f t="shared" si="50"/>
        <v>1246.5600000000002</v>
      </c>
      <c r="U88" s="3567">
        <f t="shared" si="51"/>
        <v>24931.200000000004</v>
      </c>
      <c r="V88" s="3549"/>
      <c r="W88" s="3549">
        <f t="shared" si="68"/>
        <v>24931.200000000004</v>
      </c>
      <c r="X88" s="3575"/>
      <c r="Y88" s="3575"/>
      <c r="Z88" s="3549">
        <f t="shared" si="71"/>
        <v>1113</v>
      </c>
      <c r="AA88" s="3549">
        <f t="shared" si="72"/>
        <v>22260</v>
      </c>
      <c r="AB88" s="3549"/>
      <c r="AC88" s="3549">
        <f t="shared" si="73"/>
        <v>22260</v>
      </c>
      <c r="AD88" s="3549">
        <f t="shared" si="74"/>
        <v>1168.6500000000001</v>
      </c>
      <c r="AE88" s="3549">
        <f t="shared" si="75"/>
        <v>23373</v>
      </c>
      <c r="AF88" s="3549"/>
      <c r="AG88" s="3576">
        <f t="shared" si="76"/>
        <v>23373</v>
      </c>
      <c r="AH88" s="3571">
        <v>1.1200000000000001</v>
      </c>
      <c r="AI88" s="3004"/>
      <c r="AJ88" s="2995">
        <v>1.1200000000000001</v>
      </c>
      <c r="AK88" s="3004">
        <v>10</v>
      </c>
      <c r="AL88" s="3004">
        <f t="shared" si="52"/>
        <v>12465.600000000002</v>
      </c>
      <c r="AM88" s="3004">
        <v>5</v>
      </c>
      <c r="AN88" s="3004">
        <f t="shared" si="53"/>
        <v>6232.8000000000011</v>
      </c>
      <c r="AO88" s="3004">
        <v>10</v>
      </c>
      <c r="AP88" s="3004">
        <f t="shared" si="54"/>
        <v>12465.600000000002</v>
      </c>
      <c r="AQ88" s="3004">
        <v>20</v>
      </c>
      <c r="AR88" s="3004">
        <f t="shared" si="55"/>
        <v>24931.200000000004</v>
      </c>
      <c r="AS88" s="2995"/>
      <c r="AT88" s="2995"/>
      <c r="AU88" s="2995"/>
      <c r="AV88" s="2983">
        <f t="shared" si="48"/>
        <v>-25</v>
      </c>
      <c r="AW88" s="3595">
        <f t="shared" si="56"/>
        <v>1246.56</v>
      </c>
      <c r="AX88" s="3595">
        <f t="shared" si="57"/>
        <v>24931.200000000001</v>
      </c>
      <c r="AY88" s="3595">
        <f t="shared" si="58"/>
        <v>12465.6</v>
      </c>
      <c r="AZ88" s="3595">
        <f t="shared" si="59"/>
        <v>6232.8</v>
      </c>
      <c r="BA88" s="3595">
        <f t="shared" si="60"/>
        <v>12465.6</v>
      </c>
      <c r="BB88" s="3595">
        <f t="shared" si="61"/>
        <v>24931.200000000001</v>
      </c>
      <c r="BC88" s="2983">
        <f t="shared" si="62"/>
        <v>56095.200000000004</v>
      </c>
      <c r="BD88" s="2983">
        <f t="shared" si="63"/>
        <v>-31164.000000000004</v>
      </c>
    </row>
    <row r="89" spans="1:56" ht="12.75" hidden="1">
      <c r="A89" s="3265">
        <v>81</v>
      </c>
      <c r="B89" s="3548" t="s">
        <v>3023</v>
      </c>
      <c r="C89" s="3548" t="s">
        <v>3024</v>
      </c>
      <c r="D89" s="3548" t="s">
        <v>1022</v>
      </c>
      <c r="E89" s="3572">
        <v>16815.8</v>
      </c>
      <c r="F89" s="3549"/>
      <c r="G89" s="3572">
        <f t="shared" si="47"/>
        <v>16815.8</v>
      </c>
      <c r="H89" s="3549"/>
      <c r="I89" s="3573"/>
      <c r="J89" s="3573"/>
      <c r="K89" s="3549"/>
      <c r="L89" s="3647">
        <f t="shared" si="64"/>
        <v>0</v>
      </c>
      <c r="M89" s="3574"/>
      <c r="N89" s="3549"/>
      <c r="O89" s="3549"/>
      <c r="P89" s="3549">
        <f t="shared" si="67"/>
        <v>0</v>
      </c>
      <c r="Q89" s="3577">
        <f>2300</f>
        <v>2300</v>
      </c>
      <c r="R89" s="3568">
        <v>1.06</v>
      </c>
      <c r="S89" s="3568">
        <f t="shared" si="49"/>
        <v>2438</v>
      </c>
      <c r="T89" s="3569">
        <f t="shared" si="50"/>
        <v>2730.5600000000004</v>
      </c>
      <c r="U89" s="3567">
        <f t="shared" si="51"/>
        <v>0</v>
      </c>
      <c r="V89" s="3549"/>
      <c r="W89" s="3549">
        <f t="shared" si="68"/>
        <v>0</v>
      </c>
      <c r="X89" s="3575"/>
      <c r="Y89" s="3575"/>
      <c r="Z89" s="3549">
        <f t="shared" si="71"/>
        <v>2438</v>
      </c>
      <c r="AA89" s="3549">
        <f t="shared" si="72"/>
        <v>0</v>
      </c>
      <c r="AB89" s="3549"/>
      <c r="AC89" s="3549">
        <f t="shared" si="73"/>
        <v>0</v>
      </c>
      <c r="AD89" s="3549">
        <f t="shared" si="74"/>
        <v>2559.9</v>
      </c>
      <c r="AE89" s="3549">
        <f t="shared" si="75"/>
        <v>0</v>
      </c>
      <c r="AF89" s="3549"/>
      <c r="AG89" s="3576">
        <f t="shared" si="76"/>
        <v>0</v>
      </c>
      <c r="AH89" s="3571">
        <v>1.1200000000000001</v>
      </c>
      <c r="AI89" s="3004"/>
      <c r="AJ89" s="2995">
        <v>1.1200000000000001</v>
      </c>
      <c r="AK89" s="3004">
        <v>5</v>
      </c>
      <c r="AL89" s="3004">
        <f t="shared" si="52"/>
        <v>13652.800000000003</v>
      </c>
      <c r="AM89" s="3004">
        <v>2</v>
      </c>
      <c r="AN89" s="3004">
        <f t="shared" si="53"/>
        <v>5461.1200000000008</v>
      </c>
      <c r="AO89" s="3004">
        <v>3</v>
      </c>
      <c r="AP89" s="3004">
        <f t="shared" si="54"/>
        <v>8191.6800000000012</v>
      </c>
      <c r="AQ89" s="3004"/>
      <c r="AR89" s="3004">
        <f t="shared" si="55"/>
        <v>0</v>
      </c>
      <c r="AS89" s="2995"/>
      <c r="AT89" s="2995"/>
      <c r="AU89" s="2995"/>
      <c r="AV89" s="2983">
        <f t="shared" si="48"/>
        <v>-10</v>
      </c>
      <c r="AW89" s="3595">
        <f t="shared" si="56"/>
        <v>2730.56</v>
      </c>
      <c r="AX89" s="3595">
        <f t="shared" si="57"/>
        <v>0</v>
      </c>
      <c r="AY89" s="3595">
        <f t="shared" si="58"/>
        <v>13652.8</v>
      </c>
      <c r="AZ89" s="3595">
        <f t="shared" si="59"/>
        <v>5461.12</v>
      </c>
      <c r="BA89" s="3595">
        <f t="shared" si="60"/>
        <v>8191.68</v>
      </c>
      <c r="BB89" s="3595">
        <f t="shared" si="61"/>
        <v>0</v>
      </c>
      <c r="BC89" s="2983">
        <f t="shared" si="62"/>
        <v>27305.599999999999</v>
      </c>
      <c r="BD89" s="2983">
        <f t="shared" si="63"/>
        <v>-27305.599999999999</v>
      </c>
    </row>
    <row r="90" spans="1:56" ht="25.5">
      <c r="A90" s="3371">
        <v>59</v>
      </c>
      <c r="B90" s="3547" t="s">
        <v>3025</v>
      </c>
      <c r="C90" s="3547" t="s">
        <v>2844</v>
      </c>
      <c r="D90" s="3547" t="s">
        <v>1022</v>
      </c>
      <c r="E90" s="3564">
        <v>16815.8</v>
      </c>
      <c r="F90" s="3567"/>
      <c r="G90" s="3564">
        <f t="shared" si="47"/>
        <v>16815.8</v>
      </c>
      <c r="H90" s="3567"/>
      <c r="I90" s="3565"/>
      <c r="J90" s="3565"/>
      <c r="K90" s="3567"/>
      <c r="L90" s="3647">
        <f t="shared" si="64"/>
        <v>600</v>
      </c>
      <c r="M90" s="3567"/>
      <c r="N90" s="3567"/>
      <c r="O90" s="3567"/>
      <c r="P90" s="3567">
        <f>L90-N90-O90-200</f>
        <v>400</v>
      </c>
      <c r="Q90" s="3568">
        <f>15</f>
        <v>15</v>
      </c>
      <c r="R90" s="3568">
        <v>1.06</v>
      </c>
      <c r="S90" s="3568">
        <f t="shared" si="49"/>
        <v>15.9</v>
      </c>
      <c r="T90" s="3569">
        <f t="shared" si="50"/>
        <v>17.808000000000003</v>
      </c>
      <c r="U90" s="3567">
        <f t="shared" si="51"/>
        <v>7123.2000000000016</v>
      </c>
      <c r="V90" s="3567"/>
      <c r="W90" s="3567">
        <f t="shared" si="68"/>
        <v>7123.2000000000016</v>
      </c>
      <c r="X90" s="3570"/>
      <c r="Y90" s="3570"/>
      <c r="Z90" s="3567">
        <f t="shared" si="71"/>
        <v>15.9</v>
      </c>
      <c r="AA90" s="3567">
        <f t="shared" si="72"/>
        <v>6360</v>
      </c>
      <c r="AB90" s="3567"/>
      <c r="AC90" s="3567">
        <f t="shared" si="73"/>
        <v>6360</v>
      </c>
      <c r="AD90" s="3567">
        <f t="shared" si="74"/>
        <v>16.695</v>
      </c>
      <c r="AE90" s="3567">
        <f t="shared" si="75"/>
        <v>6678</v>
      </c>
      <c r="AF90" s="3567"/>
      <c r="AG90" s="3571">
        <f t="shared" si="76"/>
        <v>6678</v>
      </c>
      <c r="AH90" s="3571">
        <v>1.1200000000000001</v>
      </c>
      <c r="AI90" s="3004"/>
      <c r="AJ90" s="2995">
        <v>1.1200000000000001</v>
      </c>
      <c r="AK90" s="3004">
        <v>500</v>
      </c>
      <c r="AL90" s="3004">
        <f t="shared" si="52"/>
        <v>8904.0000000000018</v>
      </c>
      <c r="AM90" s="3004">
        <v>200</v>
      </c>
      <c r="AN90" s="3004">
        <f t="shared" si="53"/>
        <v>3561.6000000000008</v>
      </c>
      <c r="AO90" s="3004">
        <v>500</v>
      </c>
      <c r="AP90" s="3004">
        <f t="shared" si="54"/>
        <v>8904.0000000000018</v>
      </c>
      <c r="AQ90" s="3004">
        <f>800-200</f>
        <v>600</v>
      </c>
      <c r="AR90" s="3004">
        <f>T90*AQ90</f>
        <v>10684.800000000003</v>
      </c>
      <c r="AS90" s="2995"/>
      <c r="AT90" s="2995"/>
      <c r="AU90" s="2995"/>
      <c r="AV90" s="2983">
        <f t="shared" si="48"/>
        <v>-1400</v>
      </c>
      <c r="AW90" s="3595">
        <f t="shared" si="56"/>
        <v>17.809999999999999</v>
      </c>
      <c r="AX90" s="3595">
        <f t="shared" si="57"/>
        <v>7124</v>
      </c>
      <c r="AY90" s="3595">
        <f t="shared" si="58"/>
        <v>8905</v>
      </c>
      <c r="AZ90" s="3595">
        <f t="shared" si="59"/>
        <v>3562</v>
      </c>
      <c r="BA90" s="3595">
        <f t="shared" si="60"/>
        <v>8905</v>
      </c>
      <c r="BB90" s="3595">
        <f t="shared" si="61"/>
        <v>10686</v>
      </c>
      <c r="BC90" s="2983">
        <f t="shared" si="62"/>
        <v>32058</v>
      </c>
      <c r="BD90" s="2983">
        <f t="shared" si="63"/>
        <v>-24934</v>
      </c>
    </row>
    <row r="91" spans="1:56" ht="25.5">
      <c r="A91" s="3265">
        <v>60</v>
      </c>
      <c r="B91" s="3590" t="s">
        <v>3026</v>
      </c>
      <c r="C91" s="3590" t="s">
        <v>2845</v>
      </c>
      <c r="D91" s="3547" t="s">
        <v>1022</v>
      </c>
      <c r="E91" s="3564">
        <v>16815.8</v>
      </c>
      <c r="F91" s="3567"/>
      <c r="G91" s="3564">
        <f t="shared" si="47"/>
        <v>16815.8</v>
      </c>
      <c r="H91" s="3567"/>
      <c r="I91" s="3565"/>
      <c r="J91" s="3565"/>
      <c r="K91" s="3567"/>
      <c r="L91" s="3647">
        <f t="shared" si="64"/>
        <v>600</v>
      </c>
      <c r="M91" s="3566"/>
      <c r="N91" s="3567"/>
      <c r="O91" s="3567"/>
      <c r="P91" s="3567">
        <f>L91-N91-O91-150</f>
        <v>450</v>
      </c>
      <c r="Q91" s="3568">
        <f>20</f>
        <v>20</v>
      </c>
      <c r="R91" s="3568">
        <v>1.06</v>
      </c>
      <c r="S91" s="3568">
        <f t="shared" si="49"/>
        <v>21.200000000000003</v>
      </c>
      <c r="T91" s="3569">
        <f t="shared" si="50"/>
        <v>23.744000000000007</v>
      </c>
      <c r="U91" s="3567">
        <f t="shared" si="51"/>
        <v>10684.800000000003</v>
      </c>
      <c r="V91" s="3567"/>
      <c r="W91" s="3567">
        <f t="shared" si="68"/>
        <v>10684.800000000003</v>
      </c>
      <c r="X91" s="3570"/>
      <c r="Y91" s="3570"/>
      <c r="Z91" s="3567">
        <f t="shared" si="71"/>
        <v>21.200000000000003</v>
      </c>
      <c r="AA91" s="3567">
        <f t="shared" si="72"/>
        <v>9540</v>
      </c>
      <c r="AB91" s="3567"/>
      <c r="AC91" s="3567">
        <f t="shared" si="73"/>
        <v>9540</v>
      </c>
      <c r="AD91" s="3567">
        <f t="shared" si="74"/>
        <v>22.260000000000005</v>
      </c>
      <c r="AE91" s="3567">
        <f t="shared" si="75"/>
        <v>10017</v>
      </c>
      <c r="AF91" s="3567"/>
      <c r="AG91" s="3571">
        <f t="shared" si="76"/>
        <v>10017</v>
      </c>
      <c r="AH91" s="3571">
        <v>1.1200000000000001</v>
      </c>
      <c r="AI91" s="3004"/>
      <c r="AJ91" s="2995">
        <v>1.1200000000000001</v>
      </c>
      <c r="AK91" s="3004">
        <v>250</v>
      </c>
      <c r="AL91" s="3004">
        <f t="shared" si="52"/>
        <v>5936.0000000000018</v>
      </c>
      <c r="AM91" s="3004">
        <v>250</v>
      </c>
      <c r="AN91" s="3004">
        <f t="shared" si="53"/>
        <v>5936.0000000000018</v>
      </c>
      <c r="AO91" s="3004">
        <v>250</v>
      </c>
      <c r="AP91" s="3004">
        <f t="shared" si="54"/>
        <v>5936.0000000000018</v>
      </c>
      <c r="AQ91" s="3004">
        <f>750-150</f>
        <v>600</v>
      </c>
      <c r="AR91" s="3004">
        <f t="shared" si="55"/>
        <v>14246.400000000003</v>
      </c>
      <c r="AS91" s="2995"/>
      <c r="AT91" s="2995"/>
      <c r="AU91" s="2995"/>
      <c r="AV91" s="2983">
        <f t="shared" si="48"/>
        <v>-900</v>
      </c>
      <c r="AW91" s="3595">
        <f t="shared" si="56"/>
        <v>23.74</v>
      </c>
      <c r="AX91" s="3595">
        <f t="shared" si="57"/>
        <v>10683</v>
      </c>
      <c r="AY91" s="3595">
        <f t="shared" si="58"/>
        <v>5935</v>
      </c>
      <c r="AZ91" s="3595">
        <f t="shared" si="59"/>
        <v>5935</v>
      </c>
      <c r="BA91" s="3595">
        <f t="shared" si="60"/>
        <v>5935</v>
      </c>
      <c r="BB91" s="3595">
        <f t="shared" si="61"/>
        <v>14244</v>
      </c>
      <c r="BC91" s="2983">
        <f t="shared" si="62"/>
        <v>32049</v>
      </c>
      <c r="BD91" s="2983">
        <f t="shared" si="63"/>
        <v>-21366</v>
      </c>
    </row>
    <row r="92" spans="1:56" ht="12.75">
      <c r="A92" s="3265">
        <v>61</v>
      </c>
      <c r="B92" s="3547" t="s">
        <v>3027</v>
      </c>
      <c r="C92" s="3547" t="s">
        <v>3028</v>
      </c>
      <c r="D92" s="3567" t="s">
        <v>1119</v>
      </c>
      <c r="E92" s="3549">
        <v>16815.8</v>
      </c>
      <c r="F92" s="3567"/>
      <c r="G92" s="3549">
        <f t="shared" si="47"/>
        <v>16815.8</v>
      </c>
      <c r="H92" s="3567"/>
      <c r="I92" s="3567"/>
      <c r="J92" s="3567"/>
      <c r="K92" s="3567"/>
      <c r="L92" s="3647">
        <f t="shared" si="64"/>
        <v>3</v>
      </c>
      <c r="M92" s="3567"/>
      <c r="N92" s="3567"/>
      <c r="O92" s="3567"/>
      <c r="P92" s="3549">
        <f t="shared" si="67"/>
        <v>3</v>
      </c>
      <c r="Q92" s="3567">
        <f>2680</f>
        <v>2680</v>
      </c>
      <c r="R92" s="3568">
        <v>1.06</v>
      </c>
      <c r="S92" s="3568">
        <f t="shared" si="49"/>
        <v>2840.8</v>
      </c>
      <c r="T92" s="3569">
        <f t="shared" si="50"/>
        <v>3181.6960000000004</v>
      </c>
      <c r="U92" s="3567">
        <f t="shared" si="51"/>
        <v>9545.0880000000016</v>
      </c>
      <c r="V92" s="3567"/>
      <c r="W92" s="3567"/>
      <c r="X92" s="3567"/>
      <c r="Y92" s="3567"/>
      <c r="Z92" s="3567"/>
      <c r="AA92" s="3567"/>
      <c r="AB92" s="3567"/>
      <c r="AC92" s="3567"/>
      <c r="AD92" s="3567"/>
      <c r="AE92" s="3567"/>
      <c r="AF92" s="3567"/>
      <c r="AG92" s="3567"/>
      <c r="AH92" s="3571">
        <v>1.1200000000000001</v>
      </c>
      <c r="AI92" s="3004"/>
      <c r="AJ92" s="2995">
        <v>1.1200000000000001</v>
      </c>
      <c r="AK92" s="3004">
        <v>2</v>
      </c>
      <c r="AL92" s="3004">
        <f t="shared" si="52"/>
        <v>6363.3920000000007</v>
      </c>
      <c r="AM92" s="3004"/>
      <c r="AN92" s="3004">
        <f t="shared" si="53"/>
        <v>0</v>
      </c>
      <c r="AO92" s="3004">
        <v>1</v>
      </c>
      <c r="AP92" s="3004">
        <f t="shared" si="54"/>
        <v>3181.6960000000004</v>
      </c>
      <c r="AQ92" s="3004">
        <v>3</v>
      </c>
      <c r="AR92" s="3004">
        <f t="shared" si="55"/>
        <v>9545.0880000000016</v>
      </c>
      <c r="AS92" s="2995"/>
      <c r="AV92" s="2983">
        <f t="shared" si="48"/>
        <v>-3</v>
      </c>
      <c r="AW92" s="3595">
        <f t="shared" si="56"/>
        <v>3181.7</v>
      </c>
      <c r="AX92" s="3595">
        <f t="shared" si="57"/>
        <v>9545.1</v>
      </c>
      <c r="AY92" s="3595">
        <f t="shared" si="58"/>
        <v>6363.4</v>
      </c>
      <c r="AZ92" s="3595">
        <f t="shared" si="59"/>
        <v>0</v>
      </c>
      <c r="BA92" s="3595">
        <f t="shared" si="60"/>
        <v>3181.7</v>
      </c>
      <c r="BB92" s="3595">
        <f t="shared" si="61"/>
        <v>9545.1</v>
      </c>
      <c r="BC92" s="2983">
        <f t="shared" si="62"/>
        <v>19090.2</v>
      </c>
      <c r="BD92" s="2983">
        <f t="shared" si="63"/>
        <v>-9545.1</v>
      </c>
    </row>
    <row r="93" spans="1:56" ht="51" hidden="1">
      <c r="A93" s="3371">
        <v>86</v>
      </c>
      <c r="B93" s="3547" t="s">
        <v>2518</v>
      </c>
      <c r="C93" s="3547" t="s">
        <v>3029</v>
      </c>
      <c r="D93" s="3567" t="s">
        <v>1587</v>
      </c>
      <c r="E93" s="3567">
        <v>16815.8</v>
      </c>
      <c r="F93" s="3567"/>
      <c r="G93" s="3567">
        <f t="shared" ref="G93:G102" si="77">E93</f>
        <v>16815.8</v>
      </c>
      <c r="H93" s="3567"/>
      <c r="I93" s="3567"/>
      <c r="J93" s="3567"/>
      <c r="K93" s="3567"/>
      <c r="L93" s="3647">
        <f t="shared" si="64"/>
        <v>0</v>
      </c>
      <c r="M93" s="3567"/>
      <c r="N93" s="3567"/>
      <c r="O93" s="3567"/>
      <c r="P93" s="3567">
        <f t="shared" ref="P93" si="78">L93-N93-O93</f>
        <v>0</v>
      </c>
      <c r="Q93" s="3567">
        <f>80</f>
        <v>80</v>
      </c>
      <c r="R93" s="3568">
        <v>1.06</v>
      </c>
      <c r="S93" s="3568">
        <f t="shared" si="49"/>
        <v>84.800000000000011</v>
      </c>
      <c r="T93" s="3569">
        <f t="shared" si="50"/>
        <v>94.976000000000028</v>
      </c>
      <c r="U93" s="3567">
        <f t="shared" si="51"/>
        <v>0</v>
      </c>
      <c r="V93" s="3567"/>
      <c r="W93" s="3567"/>
      <c r="X93" s="3567"/>
      <c r="Y93" s="3567"/>
      <c r="Z93" s="3567"/>
      <c r="AA93" s="3567"/>
      <c r="AB93" s="3567"/>
      <c r="AC93" s="3567"/>
      <c r="AD93" s="3567"/>
      <c r="AE93" s="3567"/>
      <c r="AF93" s="3567"/>
      <c r="AG93" s="3567"/>
      <c r="AH93" s="3571">
        <v>1.1200000000000001</v>
      </c>
      <c r="AI93" s="3004"/>
      <c r="AJ93" s="2995">
        <v>1.1200000000000001</v>
      </c>
      <c r="AK93" s="3591">
        <f>2*911*10-6858</f>
        <v>11362</v>
      </c>
      <c r="AL93" s="3004">
        <f t="shared" si="52"/>
        <v>1079117.3120000004</v>
      </c>
      <c r="AM93" s="3591"/>
      <c r="AN93" s="3004">
        <f t="shared" si="53"/>
        <v>0</v>
      </c>
      <c r="AO93" s="3591">
        <f>2*850*10-7367</f>
        <v>9633</v>
      </c>
      <c r="AP93" s="3004">
        <f t="shared" si="54"/>
        <v>914903.80800000031</v>
      </c>
      <c r="AQ93" s="3004"/>
      <c r="AR93" s="3004">
        <f t="shared" si="55"/>
        <v>0</v>
      </c>
      <c r="AS93" s="2995"/>
      <c r="AV93" s="2983">
        <f t="shared" si="48"/>
        <v>-20995</v>
      </c>
      <c r="AW93" s="3595">
        <f t="shared" si="56"/>
        <v>94.98</v>
      </c>
      <c r="AX93" s="3595">
        <f t="shared" si="57"/>
        <v>0</v>
      </c>
      <c r="AY93" s="3595">
        <f t="shared" si="58"/>
        <v>1079162.76</v>
      </c>
      <c r="AZ93" s="3595">
        <f t="shared" si="59"/>
        <v>0</v>
      </c>
      <c r="BA93" s="3595">
        <f t="shared" si="60"/>
        <v>914942.34</v>
      </c>
      <c r="BB93" s="3595">
        <f t="shared" si="61"/>
        <v>0</v>
      </c>
      <c r="BC93" s="2983">
        <f t="shared" si="62"/>
        <v>1994105.1</v>
      </c>
      <c r="BD93" s="2983">
        <f t="shared" si="63"/>
        <v>-1994105.1</v>
      </c>
    </row>
    <row r="94" spans="1:56" ht="63.75" hidden="1">
      <c r="A94" s="3265">
        <v>87</v>
      </c>
      <c r="B94" s="3547" t="s">
        <v>2518</v>
      </c>
      <c r="C94" s="3547" t="s">
        <v>3030</v>
      </c>
      <c r="D94" s="3567" t="s">
        <v>1587</v>
      </c>
      <c r="E94" s="3567">
        <v>16815.8</v>
      </c>
      <c r="F94" s="3567"/>
      <c r="G94" s="3567">
        <f t="shared" si="77"/>
        <v>16815.8</v>
      </c>
      <c r="H94" s="3564"/>
      <c r="I94" s="3564"/>
      <c r="J94" s="3564"/>
      <c r="K94" s="3564"/>
      <c r="L94" s="3647">
        <f t="shared" si="64"/>
        <v>0</v>
      </c>
      <c r="M94" s="3564"/>
      <c r="N94" s="3564"/>
      <c r="O94" s="3564"/>
      <c r="P94" s="3564">
        <f>L94-N94-O94</f>
        <v>0</v>
      </c>
      <c r="Q94" s="3564">
        <f>438</f>
        <v>438</v>
      </c>
      <c r="R94" s="3568">
        <v>1.06</v>
      </c>
      <c r="S94" s="3568">
        <f t="shared" si="49"/>
        <v>464.28000000000003</v>
      </c>
      <c r="T94" s="3569">
        <f t="shared" si="50"/>
        <v>519.99360000000013</v>
      </c>
      <c r="U94" s="3567">
        <f t="shared" si="51"/>
        <v>0</v>
      </c>
      <c r="V94" s="3564"/>
      <c r="W94" s="3564"/>
      <c r="X94" s="3564"/>
      <c r="Y94" s="3564"/>
      <c r="Z94" s="3564"/>
      <c r="AA94" s="3564"/>
      <c r="AB94" s="3564"/>
      <c r="AC94" s="3564"/>
      <c r="AD94" s="3564"/>
      <c r="AE94" s="3564"/>
      <c r="AF94" s="3564"/>
      <c r="AG94" s="3564"/>
      <c r="AH94" s="3571">
        <v>1.1200000000000001</v>
      </c>
      <c r="AI94" s="3004"/>
      <c r="AJ94" s="2995">
        <v>1.1200000000000001</v>
      </c>
      <c r="AK94" s="3592"/>
      <c r="AL94" s="3004">
        <f t="shared" si="52"/>
        <v>0</v>
      </c>
      <c r="AM94" s="3005">
        <f>P94</f>
        <v>0</v>
      </c>
      <c r="AN94" s="3004">
        <f t="shared" si="53"/>
        <v>0</v>
      </c>
      <c r="AO94" s="3592"/>
      <c r="AP94" s="3004">
        <f t="shared" si="54"/>
        <v>0</v>
      </c>
      <c r="AQ94" s="3005"/>
      <c r="AR94" s="3004">
        <f t="shared" si="55"/>
        <v>0</v>
      </c>
      <c r="AS94" s="2995"/>
      <c r="AV94" s="2983">
        <f t="shared" si="48"/>
        <v>0</v>
      </c>
      <c r="AW94" s="3595">
        <f t="shared" si="56"/>
        <v>519.99</v>
      </c>
      <c r="AX94" s="3595">
        <f t="shared" si="57"/>
        <v>0</v>
      </c>
      <c r="AY94" s="3595">
        <f t="shared" si="58"/>
        <v>0</v>
      </c>
      <c r="AZ94" s="3595">
        <f t="shared" si="59"/>
        <v>0</v>
      </c>
      <c r="BA94" s="3595">
        <f t="shared" si="60"/>
        <v>0</v>
      </c>
      <c r="BB94" s="3595">
        <f t="shared" si="61"/>
        <v>0</v>
      </c>
      <c r="BC94" s="2983">
        <f t="shared" si="62"/>
        <v>0</v>
      </c>
      <c r="BD94" s="2983">
        <f t="shared" si="63"/>
        <v>0</v>
      </c>
    </row>
    <row r="95" spans="1:56" ht="12.75" hidden="1">
      <c r="A95" s="3371">
        <v>88</v>
      </c>
      <c r="B95" s="3547" t="s">
        <v>1551</v>
      </c>
      <c r="C95" s="3547" t="s">
        <v>3031</v>
      </c>
      <c r="D95" s="3567" t="s">
        <v>1022</v>
      </c>
      <c r="E95" s="3567">
        <v>16815.8</v>
      </c>
      <c r="F95" s="3567"/>
      <c r="G95" s="3567">
        <f t="shared" si="77"/>
        <v>16815.8</v>
      </c>
      <c r="H95" s="3567"/>
      <c r="I95" s="3567"/>
      <c r="J95" s="3567"/>
      <c r="K95" s="3567"/>
      <c r="L95" s="3647">
        <f t="shared" si="64"/>
        <v>0</v>
      </c>
      <c r="M95" s="3567"/>
      <c r="N95" s="3567"/>
      <c r="O95" s="3567"/>
      <c r="P95" s="3567">
        <f t="shared" ref="P95:P102" si="79">L95-N95</f>
        <v>0</v>
      </c>
      <c r="Q95" s="3567">
        <f>350</f>
        <v>350</v>
      </c>
      <c r="R95" s="3568">
        <v>1.06</v>
      </c>
      <c r="S95" s="3568">
        <f t="shared" si="49"/>
        <v>371</v>
      </c>
      <c r="T95" s="3569">
        <f t="shared" si="50"/>
        <v>415.52000000000004</v>
      </c>
      <c r="U95" s="3567">
        <f t="shared" si="51"/>
        <v>0</v>
      </c>
      <c r="V95" s="3567"/>
      <c r="W95" s="3567"/>
      <c r="X95" s="3567"/>
      <c r="Y95" s="3567"/>
      <c r="Z95" s="3567"/>
      <c r="AA95" s="3567"/>
      <c r="AB95" s="3567"/>
      <c r="AC95" s="3567"/>
      <c r="AD95" s="3567"/>
      <c r="AE95" s="3567"/>
      <c r="AF95" s="3567"/>
      <c r="AG95" s="3567"/>
      <c r="AH95" s="3571">
        <v>1.1200000000000001</v>
      </c>
      <c r="AI95" s="3004"/>
      <c r="AJ95" s="3004">
        <v>1.1200000000000001</v>
      </c>
      <c r="AK95" s="3004">
        <f>120-95</f>
        <v>25</v>
      </c>
      <c r="AL95" s="3004">
        <f t="shared" si="52"/>
        <v>10388.000000000002</v>
      </c>
      <c r="AM95" s="3004">
        <f>120-96</f>
        <v>24</v>
      </c>
      <c r="AN95" s="3004">
        <f t="shared" si="53"/>
        <v>9972.4800000000014</v>
      </c>
      <c r="AO95" s="3004">
        <f>120-95</f>
        <v>25</v>
      </c>
      <c r="AP95" s="3004">
        <f t="shared" si="54"/>
        <v>10388.000000000002</v>
      </c>
      <c r="AQ95" s="3004"/>
      <c r="AR95" s="3004">
        <f t="shared" si="55"/>
        <v>0</v>
      </c>
      <c r="AS95" s="2995"/>
      <c r="AV95" s="2983">
        <f t="shared" si="48"/>
        <v>-74</v>
      </c>
      <c r="AW95" s="3595">
        <f t="shared" si="56"/>
        <v>415.52</v>
      </c>
      <c r="AX95" s="3595">
        <f t="shared" si="57"/>
        <v>0</v>
      </c>
      <c r="AY95" s="3595">
        <f t="shared" si="58"/>
        <v>10388</v>
      </c>
      <c r="AZ95" s="3595">
        <f t="shared" si="59"/>
        <v>9972.48</v>
      </c>
      <c r="BA95" s="3595">
        <f t="shared" si="60"/>
        <v>10388</v>
      </c>
      <c r="BB95" s="3595">
        <f t="shared" si="61"/>
        <v>0</v>
      </c>
      <c r="BC95" s="2983">
        <f t="shared" si="62"/>
        <v>30748.48</v>
      </c>
      <c r="BD95" s="2983">
        <f t="shared" si="63"/>
        <v>-30748.48</v>
      </c>
    </row>
    <row r="96" spans="1:56" ht="15" hidden="1" customHeight="1">
      <c r="A96" s="3265">
        <v>89</v>
      </c>
      <c r="B96" s="3547" t="s">
        <v>3032</v>
      </c>
      <c r="C96" s="3547" t="s">
        <v>3033</v>
      </c>
      <c r="D96" s="3567" t="s">
        <v>1290</v>
      </c>
      <c r="E96" s="3567">
        <v>16815.8</v>
      </c>
      <c r="F96" s="3567"/>
      <c r="G96" s="3567">
        <f t="shared" si="77"/>
        <v>16815.8</v>
      </c>
      <c r="H96" s="3567"/>
      <c r="I96" s="3567"/>
      <c r="J96" s="3567"/>
      <c r="K96" s="3567"/>
      <c r="L96" s="3647">
        <f t="shared" si="64"/>
        <v>0</v>
      </c>
      <c r="M96" s="3567"/>
      <c r="N96" s="3567"/>
      <c r="O96" s="3567"/>
      <c r="P96" s="3567">
        <f t="shared" si="79"/>
        <v>0</v>
      </c>
      <c r="Q96" s="3567">
        <f>240</f>
        <v>240</v>
      </c>
      <c r="R96" s="3568">
        <v>1.06</v>
      </c>
      <c r="S96" s="3568">
        <f t="shared" si="49"/>
        <v>254.4</v>
      </c>
      <c r="T96" s="3569">
        <f t="shared" si="50"/>
        <v>284.92800000000005</v>
      </c>
      <c r="U96" s="3567">
        <f t="shared" si="51"/>
        <v>0</v>
      </c>
      <c r="V96" s="3567"/>
      <c r="W96" s="3567"/>
      <c r="X96" s="3567"/>
      <c r="Y96" s="3567"/>
      <c r="Z96" s="3567"/>
      <c r="AA96" s="3567"/>
      <c r="AB96" s="3567"/>
      <c r="AC96" s="3567"/>
      <c r="AD96" s="3567"/>
      <c r="AE96" s="3567"/>
      <c r="AF96" s="3567"/>
      <c r="AG96" s="3567"/>
      <c r="AH96" s="3571">
        <v>1.1200000000000001</v>
      </c>
      <c r="AI96" s="3004"/>
      <c r="AJ96" s="3004">
        <v>1.1200000000000001</v>
      </c>
      <c r="AK96" s="3004">
        <v>104</v>
      </c>
      <c r="AL96" s="3004">
        <f t="shared" si="52"/>
        <v>29632.512000000006</v>
      </c>
      <c r="AM96" s="3004">
        <v>100</v>
      </c>
      <c r="AN96" s="3004">
        <f t="shared" si="53"/>
        <v>28492.800000000007</v>
      </c>
      <c r="AO96" s="3004">
        <v>104</v>
      </c>
      <c r="AP96" s="3004">
        <f t="shared" si="54"/>
        <v>29632.512000000006</v>
      </c>
      <c r="AQ96" s="3004"/>
      <c r="AR96" s="3004">
        <f t="shared" si="55"/>
        <v>0</v>
      </c>
      <c r="AS96" s="2995"/>
      <c r="AV96" s="2983">
        <f t="shared" si="48"/>
        <v>-308</v>
      </c>
      <c r="AW96" s="3595">
        <f t="shared" si="56"/>
        <v>284.93</v>
      </c>
      <c r="AX96" s="3595">
        <f t="shared" si="57"/>
        <v>0</v>
      </c>
      <c r="AY96" s="3595">
        <f t="shared" si="58"/>
        <v>29632.720000000001</v>
      </c>
      <c r="AZ96" s="3595">
        <f t="shared" si="59"/>
        <v>28493</v>
      </c>
      <c r="BA96" s="3595">
        <f t="shared" si="60"/>
        <v>29632.720000000001</v>
      </c>
      <c r="BB96" s="3595">
        <f t="shared" si="61"/>
        <v>0</v>
      </c>
      <c r="BC96" s="2983">
        <f t="shared" si="62"/>
        <v>87758.44</v>
      </c>
      <c r="BD96" s="2983">
        <f t="shared" si="63"/>
        <v>-87758.44</v>
      </c>
    </row>
    <row r="97" spans="1:56" ht="25.5" hidden="1">
      <c r="A97" s="3371">
        <v>90</v>
      </c>
      <c r="B97" s="3547" t="s">
        <v>2745</v>
      </c>
      <c r="C97" s="3547" t="s">
        <v>3034</v>
      </c>
      <c r="D97" s="3567" t="s">
        <v>1022</v>
      </c>
      <c r="E97" s="3567">
        <v>16815.8</v>
      </c>
      <c r="F97" s="3567"/>
      <c r="G97" s="3567">
        <f t="shared" si="77"/>
        <v>16815.8</v>
      </c>
      <c r="H97" s="3567"/>
      <c r="I97" s="3567"/>
      <c r="J97" s="3567"/>
      <c r="K97" s="3567"/>
      <c r="L97" s="3647">
        <f t="shared" si="64"/>
        <v>0</v>
      </c>
      <c r="M97" s="3567"/>
      <c r="N97" s="3567"/>
      <c r="O97" s="3567"/>
      <c r="P97" s="3567">
        <f t="shared" si="79"/>
        <v>0</v>
      </c>
      <c r="Q97" s="3567">
        <f>1250</f>
        <v>1250</v>
      </c>
      <c r="R97" s="3568">
        <v>1.06</v>
      </c>
      <c r="S97" s="3568">
        <f t="shared" si="49"/>
        <v>1325</v>
      </c>
      <c r="T97" s="3569">
        <f t="shared" si="50"/>
        <v>1484.0000000000002</v>
      </c>
      <c r="U97" s="3567">
        <f t="shared" si="51"/>
        <v>0</v>
      </c>
      <c r="V97" s="3567"/>
      <c r="W97" s="3567"/>
      <c r="X97" s="3567"/>
      <c r="Y97" s="3567"/>
      <c r="Z97" s="3567"/>
      <c r="AA97" s="3567"/>
      <c r="AB97" s="3567"/>
      <c r="AC97" s="3567"/>
      <c r="AD97" s="3567"/>
      <c r="AE97" s="3567"/>
      <c r="AF97" s="3567"/>
      <c r="AG97" s="3567"/>
      <c r="AH97" s="3571">
        <v>1.1200000000000001</v>
      </c>
      <c r="AI97" s="3004"/>
      <c r="AJ97" s="3004">
        <v>1.1200000000000001</v>
      </c>
      <c r="AK97" s="3004">
        <v>1</v>
      </c>
      <c r="AL97" s="3004">
        <f t="shared" si="52"/>
        <v>1484.0000000000002</v>
      </c>
      <c r="AM97" s="3004"/>
      <c r="AN97" s="3004">
        <f t="shared" si="53"/>
        <v>0</v>
      </c>
      <c r="AO97" s="3004">
        <v>1</v>
      </c>
      <c r="AP97" s="3004">
        <f t="shared" si="54"/>
        <v>1484.0000000000002</v>
      </c>
      <c r="AQ97" s="3004"/>
      <c r="AR97" s="3004">
        <f t="shared" si="55"/>
        <v>0</v>
      </c>
      <c r="AS97" s="2995"/>
      <c r="AV97" s="2983">
        <f t="shared" si="48"/>
        <v>-2</v>
      </c>
      <c r="AW97" s="3595">
        <f t="shared" si="56"/>
        <v>1484</v>
      </c>
      <c r="AX97" s="3595">
        <f t="shared" si="57"/>
        <v>0</v>
      </c>
      <c r="AY97" s="3595">
        <f t="shared" si="58"/>
        <v>1484</v>
      </c>
      <c r="AZ97" s="3595">
        <f t="shared" si="59"/>
        <v>0</v>
      </c>
      <c r="BA97" s="3595">
        <f t="shared" si="60"/>
        <v>1484</v>
      </c>
      <c r="BB97" s="3595">
        <f t="shared" si="61"/>
        <v>0</v>
      </c>
      <c r="BC97" s="2983">
        <f t="shared" si="62"/>
        <v>2968</v>
      </c>
      <c r="BD97" s="2983">
        <f t="shared" si="63"/>
        <v>-2968</v>
      </c>
    </row>
    <row r="98" spans="1:56" ht="25.5" hidden="1">
      <c r="A98" s="3265">
        <v>91</v>
      </c>
      <c r="B98" s="3547" t="s">
        <v>3035</v>
      </c>
      <c r="C98" s="3547" t="s">
        <v>3035</v>
      </c>
      <c r="D98" s="3567" t="s">
        <v>2520</v>
      </c>
      <c r="E98" s="3567">
        <v>16815.8</v>
      </c>
      <c r="F98" s="3567"/>
      <c r="G98" s="3567">
        <f t="shared" si="77"/>
        <v>16815.8</v>
      </c>
      <c r="H98" s="3567"/>
      <c r="I98" s="3567"/>
      <c r="J98" s="3567"/>
      <c r="K98" s="3567"/>
      <c r="L98" s="3647">
        <f t="shared" si="64"/>
        <v>0</v>
      </c>
      <c r="M98" s="3567">
        <f>35*48+29*48+6*48</f>
        <v>3360</v>
      </c>
      <c r="N98" s="3567"/>
      <c r="O98" s="3567"/>
      <c r="P98" s="3567">
        <f>MIN(L98,M98)-O98</f>
        <v>0</v>
      </c>
      <c r="Q98" s="3567">
        <f>380</f>
        <v>380</v>
      </c>
      <c r="R98" s="3568">
        <v>1.06</v>
      </c>
      <c r="S98" s="3568">
        <f t="shared" si="49"/>
        <v>402.8</v>
      </c>
      <c r="T98" s="3569">
        <f t="shared" si="50"/>
        <v>451.13600000000008</v>
      </c>
      <c r="U98" s="3567">
        <f t="shared" si="51"/>
        <v>0</v>
      </c>
      <c r="V98" s="3567"/>
      <c r="W98" s="3567"/>
      <c r="X98" s="3567"/>
      <c r="Y98" s="3567"/>
      <c r="Z98" s="3567"/>
      <c r="AA98" s="3567"/>
      <c r="AB98" s="3567"/>
      <c r="AC98" s="3567"/>
      <c r="AD98" s="3567"/>
      <c r="AE98" s="3567"/>
      <c r="AF98" s="3567"/>
      <c r="AG98" s="3567"/>
      <c r="AH98" s="3571">
        <v>1.1200000000000001</v>
      </c>
      <c r="AI98" s="3004"/>
      <c r="AJ98" s="3004">
        <v>1.1200000000000001</v>
      </c>
      <c r="AK98" s="3004">
        <f>35*48-28-1300</f>
        <v>352</v>
      </c>
      <c r="AL98" s="3004">
        <f t="shared" si="52"/>
        <v>158799.87200000003</v>
      </c>
      <c r="AM98" s="3004">
        <f>6*48-19-84</f>
        <v>185</v>
      </c>
      <c r="AN98" s="3004">
        <f t="shared" si="53"/>
        <v>83460.160000000018</v>
      </c>
      <c r="AO98" s="3004">
        <v>0</v>
      </c>
      <c r="AP98" s="3004">
        <f t="shared" si="54"/>
        <v>0</v>
      </c>
      <c r="AQ98" s="3004"/>
      <c r="AR98" s="3004">
        <f t="shared" si="55"/>
        <v>0</v>
      </c>
      <c r="AS98" s="2995"/>
      <c r="AV98" s="2983">
        <f t="shared" si="48"/>
        <v>-537</v>
      </c>
      <c r="AW98" s="3595">
        <f t="shared" si="56"/>
        <v>451.14</v>
      </c>
      <c r="AX98" s="3595">
        <f t="shared" si="57"/>
        <v>0</v>
      </c>
      <c r="AY98" s="3595">
        <f t="shared" si="58"/>
        <v>158801.28</v>
      </c>
      <c r="AZ98" s="3595">
        <f t="shared" si="59"/>
        <v>83460.899999999994</v>
      </c>
      <c r="BA98" s="3595">
        <f t="shared" si="60"/>
        <v>0</v>
      </c>
      <c r="BB98" s="3595">
        <f t="shared" si="61"/>
        <v>0</v>
      </c>
      <c r="BC98" s="2983">
        <f t="shared" si="62"/>
        <v>242262.18</v>
      </c>
      <c r="BD98" s="2983">
        <f t="shared" si="63"/>
        <v>-242262.18</v>
      </c>
    </row>
    <row r="99" spans="1:56" ht="38.25">
      <c r="A99" s="3371">
        <v>62</v>
      </c>
      <c r="B99" s="3547" t="s">
        <v>2868</v>
      </c>
      <c r="C99" s="3547" t="s">
        <v>2868</v>
      </c>
      <c r="D99" s="3567" t="s">
        <v>2520</v>
      </c>
      <c r="E99" s="3567">
        <v>16815.8</v>
      </c>
      <c r="F99" s="3567"/>
      <c r="G99" s="3567">
        <f t="shared" si="77"/>
        <v>16815.8</v>
      </c>
      <c r="H99" s="3567"/>
      <c r="I99" s="3567"/>
      <c r="J99" s="3567"/>
      <c r="K99" s="3567"/>
      <c r="L99" s="3647">
        <f t="shared" si="64"/>
        <v>50</v>
      </c>
      <c r="M99" s="3567"/>
      <c r="N99" s="3567"/>
      <c r="O99" s="3567"/>
      <c r="P99" s="3567">
        <f>L99-N99</f>
        <v>50</v>
      </c>
      <c r="Q99" s="3567">
        <f>125</f>
        <v>125</v>
      </c>
      <c r="R99" s="3568">
        <v>1.06</v>
      </c>
      <c r="S99" s="3568">
        <f t="shared" si="49"/>
        <v>132.5</v>
      </c>
      <c r="T99" s="3569">
        <f t="shared" si="50"/>
        <v>148.4</v>
      </c>
      <c r="U99" s="3567">
        <f t="shared" si="51"/>
        <v>7420</v>
      </c>
      <c r="V99" s="3567"/>
      <c r="W99" s="3567"/>
      <c r="X99" s="3567"/>
      <c r="Y99" s="3567"/>
      <c r="Z99" s="3567"/>
      <c r="AA99" s="3567"/>
      <c r="AB99" s="3567"/>
      <c r="AC99" s="3567"/>
      <c r="AD99" s="3567"/>
      <c r="AE99" s="3567"/>
      <c r="AF99" s="3567"/>
      <c r="AG99" s="3567"/>
      <c r="AH99" s="3571">
        <v>1.1200000000000001</v>
      </c>
      <c r="AI99" s="3004"/>
      <c r="AJ99" s="3004">
        <v>1.1200000000000001</v>
      </c>
      <c r="AK99" s="3004">
        <f>36*8-100</f>
        <v>188</v>
      </c>
      <c r="AL99" s="3004">
        <f t="shared" si="52"/>
        <v>27899.200000000001</v>
      </c>
      <c r="AM99" s="3004">
        <f>2*36-30</f>
        <v>42</v>
      </c>
      <c r="AN99" s="3004">
        <f t="shared" si="53"/>
        <v>6232.8</v>
      </c>
      <c r="AO99" s="3004">
        <f>10*36-100</f>
        <v>260</v>
      </c>
      <c r="AP99" s="3004">
        <f t="shared" si="54"/>
        <v>38584</v>
      </c>
      <c r="AQ99" s="3004">
        <f>7*36-200-2</f>
        <v>50</v>
      </c>
      <c r="AR99" s="3004">
        <f t="shared" si="55"/>
        <v>7420</v>
      </c>
      <c r="AS99" s="2995"/>
      <c r="AV99" s="2983">
        <f t="shared" si="48"/>
        <v>-490</v>
      </c>
      <c r="AW99" s="3595">
        <f t="shared" si="56"/>
        <v>148.4</v>
      </c>
      <c r="AX99" s="3595">
        <f t="shared" si="57"/>
        <v>7420</v>
      </c>
      <c r="AY99" s="3595">
        <f t="shared" si="58"/>
        <v>27899.200000000001</v>
      </c>
      <c r="AZ99" s="3595">
        <f t="shared" si="59"/>
        <v>6232.8</v>
      </c>
      <c r="BA99" s="3595">
        <f t="shared" si="60"/>
        <v>38584</v>
      </c>
      <c r="BB99" s="3595">
        <f t="shared" si="61"/>
        <v>7420</v>
      </c>
      <c r="BC99" s="2983">
        <f t="shared" si="62"/>
        <v>80136</v>
      </c>
      <c r="BD99" s="2983">
        <f t="shared" si="63"/>
        <v>-72716</v>
      </c>
    </row>
    <row r="100" spans="1:56" ht="25.5" hidden="1">
      <c r="A100" s="3265">
        <v>93</v>
      </c>
      <c r="B100" s="3547" t="s">
        <v>3036</v>
      </c>
      <c r="C100" s="3547" t="s">
        <v>3037</v>
      </c>
      <c r="D100" s="3567" t="s">
        <v>1411</v>
      </c>
      <c r="E100" s="3567">
        <v>16815.8</v>
      </c>
      <c r="F100" s="3567"/>
      <c r="G100" s="3567">
        <f t="shared" si="77"/>
        <v>16815.8</v>
      </c>
      <c r="H100" s="3567"/>
      <c r="I100" s="3567"/>
      <c r="J100" s="3567"/>
      <c r="K100" s="3567"/>
      <c r="L100" s="3647">
        <f t="shared" si="64"/>
        <v>0</v>
      </c>
      <c r="M100" s="3567">
        <f>ROUND(16821.8/500*0.6*10+16815.8/500*0.6*10+4080/500*0.6*10,0)</f>
        <v>453</v>
      </c>
      <c r="N100" s="3567"/>
      <c r="O100" s="3567"/>
      <c r="P100" s="3567">
        <f t="shared" si="79"/>
        <v>0</v>
      </c>
      <c r="Q100" s="3567">
        <f>230</f>
        <v>230</v>
      </c>
      <c r="R100" s="3568">
        <v>1.06</v>
      </c>
      <c r="S100" s="3568">
        <f t="shared" si="49"/>
        <v>243.8</v>
      </c>
      <c r="T100" s="3569">
        <f t="shared" si="50"/>
        <v>273.05600000000004</v>
      </c>
      <c r="U100" s="3567">
        <f t="shared" si="51"/>
        <v>0</v>
      </c>
      <c r="V100" s="3567"/>
      <c r="W100" s="3567"/>
      <c r="X100" s="3567"/>
      <c r="Y100" s="3567"/>
      <c r="Z100" s="3567"/>
      <c r="AA100" s="3567"/>
      <c r="AB100" s="3567"/>
      <c r="AC100" s="3567"/>
      <c r="AD100" s="3567"/>
      <c r="AE100" s="3567"/>
      <c r="AF100" s="3567"/>
      <c r="AG100" s="3567"/>
      <c r="AH100" s="3571">
        <v>1.1200000000000001</v>
      </c>
      <c r="AI100" s="3004"/>
      <c r="AJ100" s="3004">
        <v>1.1200000000000001</v>
      </c>
      <c r="AK100" s="3004">
        <v>200</v>
      </c>
      <c r="AL100" s="3004">
        <f t="shared" si="52"/>
        <v>54611.200000000012</v>
      </c>
      <c r="AM100" s="3004">
        <v>50</v>
      </c>
      <c r="AN100" s="3004">
        <f t="shared" si="53"/>
        <v>13652.800000000003</v>
      </c>
      <c r="AO100" s="3004">
        <v>200</v>
      </c>
      <c r="AP100" s="3004">
        <f t="shared" si="54"/>
        <v>54611.200000000012</v>
      </c>
      <c r="AQ100" s="3004"/>
      <c r="AR100" s="3004">
        <f t="shared" si="55"/>
        <v>0</v>
      </c>
      <c r="AS100" s="2995"/>
      <c r="AV100" s="2983">
        <f t="shared" si="48"/>
        <v>-450</v>
      </c>
      <c r="AW100" s="3595">
        <f t="shared" si="56"/>
        <v>273.06</v>
      </c>
      <c r="AX100" s="3595">
        <f t="shared" si="57"/>
        <v>0</v>
      </c>
      <c r="AY100" s="3595">
        <f t="shared" si="58"/>
        <v>54612</v>
      </c>
      <c r="AZ100" s="3595">
        <f t="shared" si="59"/>
        <v>13653</v>
      </c>
      <c r="BA100" s="3595">
        <f t="shared" si="60"/>
        <v>54612</v>
      </c>
      <c r="BB100" s="3595">
        <f t="shared" si="61"/>
        <v>0</v>
      </c>
      <c r="BC100" s="2983">
        <f t="shared" si="62"/>
        <v>122877</v>
      </c>
      <c r="BD100" s="2983">
        <f t="shared" si="63"/>
        <v>-122877</v>
      </c>
    </row>
    <row r="101" spans="1:56" ht="25.5" hidden="1">
      <c r="A101" s="3371">
        <v>94</v>
      </c>
      <c r="B101" s="3547" t="s">
        <v>3038</v>
      </c>
      <c r="C101" s="3547" t="s">
        <v>3039</v>
      </c>
      <c r="D101" s="3567" t="s">
        <v>1022</v>
      </c>
      <c r="E101" s="3567">
        <v>16815.8</v>
      </c>
      <c r="F101" s="3567"/>
      <c r="G101" s="3567">
        <f t="shared" si="77"/>
        <v>16815.8</v>
      </c>
      <c r="H101" s="3567"/>
      <c r="I101" s="3567"/>
      <c r="J101" s="3567"/>
      <c r="K101" s="3567"/>
      <c r="L101" s="3647">
        <f t="shared" si="64"/>
        <v>0</v>
      </c>
      <c r="M101" s="3567"/>
      <c r="N101" s="3567">
        <f>108+13+228</f>
        <v>349</v>
      </c>
      <c r="O101" s="3567"/>
      <c r="P101" s="3567">
        <f t="shared" si="79"/>
        <v>-349</v>
      </c>
      <c r="Q101" s="3567">
        <f>220</f>
        <v>220</v>
      </c>
      <c r="R101" s="3568">
        <v>1.06</v>
      </c>
      <c r="S101" s="3568">
        <f t="shared" si="49"/>
        <v>233.20000000000002</v>
      </c>
      <c r="T101" s="3569">
        <f t="shared" si="50"/>
        <v>261.18400000000003</v>
      </c>
      <c r="U101" s="3567">
        <f t="shared" si="51"/>
        <v>-91153.216000000015</v>
      </c>
      <c r="V101" s="3567"/>
      <c r="W101" s="3567"/>
      <c r="X101" s="3567"/>
      <c r="Y101" s="3567"/>
      <c r="Z101" s="3567"/>
      <c r="AA101" s="3567"/>
      <c r="AB101" s="3567"/>
      <c r="AC101" s="3567"/>
      <c r="AD101" s="3567"/>
      <c r="AE101" s="3567"/>
      <c r="AF101" s="3567"/>
      <c r="AG101" s="3567"/>
      <c r="AH101" s="3571">
        <v>1.1200000000000001</v>
      </c>
      <c r="AI101" s="3004"/>
      <c r="AJ101" s="3004">
        <v>1.1200000000000001</v>
      </c>
      <c r="AK101" s="3004">
        <v>137</v>
      </c>
      <c r="AL101" s="3004">
        <f t="shared" si="52"/>
        <v>35782.208000000006</v>
      </c>
      <c r="AM101" s="3004">
        <v>137</v>
      </c>
      <c r="AN101" s="3004">
        <f t="shared" si="53"/>
        <v>35782.208000000006</v>
      </c>
      <c r="AO101" s="3004">
        <v>137</v>
      </c>
      <c r="AP101" s="3004">
        <f t="shared" si="54"/>
        <v>35782.208000000006</v>
      </c>
      <c r="AQ101" s="3004"/>
      <c r="AR101" s="3004">
        <f t="shared" si="55"/>
        <v>0</v>
      </c>
      <c r="AS101" s="2995"/>
      <c r="AV101" s="2983">
        <f t="shared" ref="AV101:AV109" si="80">P101-AK101-AM101-AO101-AQ101</f>
        <v>-760</v>
      </c>
      <c r="AW101" s="3595">
        <f t="shared" si="56"/>
        <v>261.18</v>
      </c>
      <c r="AX101" s="3595">
        <f t="shared" si="57"/>
        <v>-91151.82</v>
      </c>
      <c r="AY101" s="3595">
        <f t="shared" si="58"/>
        <v>35781.660000000003</v>
      </c>
      <c r="AZ101" s="3595">
        <f t="shared" si="59"/>
        <v>35781.660000000003</v>
      </c>
      <c r="BA101" s="3595">
        <f t="shared" si="60"/>
        <v>35781.660000000003</v>
      </c>
      <c r="BB101" s="3595">
        <f t="shared" si="61"/>
        <v>0</v>
      </c>
      <c r="BC101" s="2983">
        <f t="shared" si="62"/>
        <v>107344.98000000001</v>
      </c>
      <c r="BD101" s="2983">
        <f t="shared" si="63"/>
        <v>-198496.80000000002</v>
      </c>
    </row>
    <row r="102" spans="1:56" ht="76.5" hidden="1">
      <c r="A102" s="3265">
        <v>95</v>
      </c>
      <c r="B102" s="3547" t="s">
        <v>3040</v>
      </c>
      <c r="C102" s="3547" t="s">
        <v>3041</v>
      </c>
      <c r="D102" s="3564" t="s">
        <v>1022</v>
      </c>
      <c r="E102" s="3564">
        <v>16815.8</v>
      </c>
      <c r="F102" s="3564"/>
      <c r="G102" s="3564">
        <f t="shared" si="77"/>
        <v>16815.8</v>
      </c>
      <c r="H102" s="3564"/>
      <c r="I102" s="3564"/>
      <c r="J102" s="3564"/>
      <c r="K102" s="3564"/>
      <c r="L102" s="3647">
        <f t="shared" si="64"/>
        <v>0</v>
      </c>
      <c r="M102" s="3564"/>
      <c r="N102" s="3564">
        <f>320+8+8</f>
        <v>336</v>
      </c>
      <c r="O102" s="3564"/>
      <c r="P102" s="3564">
        <f t="shared" si="79"/>
        <v>-336</v>
      </c>
      <c r="Q102" s="3564">
        <f>1200</f>
        <v>1200</v>
      </c>
      <c r="R102" s="3568">
        <v>1.06</v>
      </c>
      <c r="S102" s="3568">
        <f t="shared" si="49"/>
        <v>1272</v>
      </c>
      <c r="T102" s="3569">
        <f t="shared" si="50"/>
        <v>1424.64</v>
      </c>
      <c r="U102" s="3567">
        <f t="shared" si="51"/>
        <v>-478679.04000000004</v>
      </c>
      <c r="V102" s="3564"/>
      <c r="W102" s="3564"/>
      <c r="X102" s="3564"/>
      <c r="Y102" s="3564"/>
      <c r="Z102" s="3564"/>
      <c r="AA102" s="3564"/>
      <c r="AB102" s="3564"/>
      <c r="AC102" s="3564"/>
      <c r="AD102" s="3564"/>
      <c r="AE102" s="3564"/>
      <c r="AF102" s="3564"/>
      <c r="AG102" s="3564"/>
      <c r="AH102" s="3571">
        <v>1.1200000000000001</v>
      </c>
      <c r="AI102" s="3004"/>
      <c r="AJ102" s="3005">
        <v>1.1200000000000001</v>
      </c>
      <c r="AK102" s="3005">
        <v>121</v>
      </c>
      <c r="AL102" s="3004">
        <f t="shared" si="52"/>
        <v>172381.44</v>
      </c>
      <c r="AM102" s="3005">
        <v>122</v>
      </c>
      <c r="AN102" s="3004">
        <f t="shared" si="53"/>
        <v>173806.08000000002</v>
      </c>
      <c r="AO102" s="3005">
        <v>121</v>
      </c>
      <c r="AP102" s="3004">
        <f t="shared" si="54"/>
        <v>172381.44</v>
      </c>
      <c r="AQ102" s="3004"/>
      <c r="AR102" s="3004">
        <f t="shared" si="55"/>
        <v>0</v>
      </c>
      <c r="AS102" s="2995"/>
      <c r="AV102" s="2983">
        <f t="shared" si="80"/>
        <v>-700</v>
      </c>
      <c r="AW102" s="3595">
        <f t="shared" si="56"/>
        <v>1424.64</v>
      </c>
      <c r="AX102" s="3595">
        <f t="shared" si="57"/>
        <v>-478679.03999999998</v>
      </c>
      <c r="AY102" s="3595">
        <f t="shared" si="58"/>
        <v>172381.44</v>
      </c>
      <c r="AZ102" s="3595">
        <f t="shared" si="59"/>
        <v>173806.07999999999</v>
      </c>
      <c r="BA102" s="3595">
        <f t="shared" si="60"/>
        <v>172381.44</v>
      </c>
      <c r="BB102" s="3595">
        <f t="shared" si="61"/>
        <v>0</v>
      </c>
      <c r="BC102" s="2983">
        <f t="shared" si="62"/>
        <v>518568.96000000002</v>
      </c>
      <c r="BD102" s="2983">
        <f t="shared" si="63"/>
        <v>-997248</v>
      </c>
    </row>
    <row r="103" spans="1:56" ht="25.5" hidden="1">
      <c r="A103" s="3371">
        <v>96</v>
      </c>
      <c r="B103" s="3547" t="s">
        <v>3042</v>
      </c>
      <c r="C103" s="3547" t="s">
        <v>3042</v>
      </c>
      <c r="D103" s="3567" t="s">
        <v>1587</v>
      </c>
      <c r="E103" s="3567">
        <v>16815.8</v>
      </c>
      <c r="F103" s="3567"/>
      <c r="G103" s="3567">
        <v>16815.8</v>
      </c>
      <c r="H103" s="3567"/>
      <c r="I103" s="3567"/>
      <c r="J103" s="3567"/>
      <c r="K103" s="3567"/>
      <c r="L103" s="3647">
        <f t="shared" si="64"/>
        <v>0</v>
      </c>
      <c r="M103" s="3567">
        <f>(692*245)/20</f>
        <v>8477</v>
      </c>
      <c r="N103" s="3567">
        <v>807</v>
      </c>
      <c r="O103" s="3567"/>
      <c r="P103" s="3564">
        <f>L103-N103</f>
        <v>-807</v>
      </c>
      <c r="Q103" s="3567">
        <f>230</f>
        <v>230</v>
      </c>
      <c r="R103" s="3568">
        <v>1.06</v>
      </c>
      <c r="S103" s="3568">
        <f t="shared" si="49"/>
        <v>243.8</v>
      </c>
      <c r="T103" s="3569">
        <f t="shared" si="50"/>
        <v>273.05600000000004</v>
      </c>
      <c r="U103" s="3567">
        <f t="shared" si="51"/>
        <v>-220356.19200000004</v>
      </c>
      <c r="V103" s="3567"/>
      <c r="W103" s="3567"/>
      <c r="X103" s="3567"/>
      <c r="Y103" s="3567"/>
      <c r="Z103" s="3567"/>
      <c r="AA103" s="3567"/>
      <c r="AB103" s="3567"/>
      <c r="AC103" s="3567"/>
      <c r="AD103" s="3567"/>
      <c r="AE103" s="3567"/>
      <c r="AF103" s="3567"/>
      <c r="AG103" s="3567"/>
      <c r="AH103" s="3571">
        <v>1.1200000000000001</v>
      </c>
      <c r="AI103" s="3004"/>
      <c r="AJ103" s="3005">
        <v>1.1200000000000001</v>
      </c>
      <c r="AK103" s="3004">
        <f>300+25</f>
        <v>325</v>
      </c>
      <c r="AL103" s="3004">
        <f t="shared" si="52"/>
        <v>88743.200000000012</v>
      </c>
      <c r="AM103" s="3004">
        <f>107+26</f>
        <v>133</v>
      </c>
      <c r="AN103" s="3004">
        <f t="shared" si="53"/>
        <v>36316.448000000004</v>
      </c>
      <c r="AO103" s="3004">
        <f>285+50</f>
        <v>335</v>
      </c>
      <c r="AP103" s="3004">
        <f t="shared" si="54"/>
        <v>91473.760000000009</v>
      </c>
      <c r="AQ103" s="3004"/>
      <c r="AR103" s="3004">
        <f t="shared" si="55"/>
        <v>0</v>
      </c>
      <c r="AS103" s="2995"/>
      <c r="AV103" s="2983">
        <f t="shared" si="80"/>
        <v>-1600</v>
      </c>
      <c r="AW103" s="3595">
        <f t="shared" si="56"/>
        <v>273.06</v>
      </c>
      <c r="AX103" s="3595">
        <f t="shared" si="57"/>
        <v>-220359.42</v>
      </c>
      <c r="AY103" s="3595">
        <f t="shared" si="58"/>
        <v>88744.5</v>
      </c>
      <c r="AZ103" s="3595">
        <f t="shared" si="59"/>
        <v>36316.980000000003</v>
      </c>
      <c r="BA103" s="3595">
        <f t="shared" si="60"/>
        <v>91475.1</v>
      </c>
      <c r="BB103" s="3595">
        <f t="shared" si="61"/>
        <v>0</v>
      </c>
      <c r="BC103" s="2983">
        <f t="shared" si="62"/>
        <v>216536.58000000002</v>
      </c>
      <c r="BD103" s="2983">
        <f t="shared" si="63"/>
        <v>-436896</v>
      </c>
    </row>
    <row r="104" spans="1:56" ht="25.5" hidden="1">
      <c r="A104" s="3265">
        <v>97</v>
      </c>
      <c r="B104" s="3547" t="s">
        <v>3043</v>
      </c>
      <c r="C104" s="3547" t="s">
        <v>3043</v>
      </c>
      <c r="D104" s="3567" t="s">
        <v>1587</v>
      </c>
      <c r="E104" s="3567">
        <v>16815.8</v>
      </c>
      <c r="F104" s="3567"/>
      <c r="G104" s="3567">
        <v>16815.8</v>
      </c>
      <c r="H104" s="3567"/>
      <c r="I104" s="3567"/>
      <c r="J104" s="3567"/>
      <c r="K104" s="3567"/>
      <c r="L104" s="3647">
        <f t="shared" si="64"/>
        <v>0</v>
      </c>
      <c r="M104" s="3567">
        <f>(8*4*245)/20</f>
        <v>392</v>
      </c>
      <c r="N104" s="3567">
        <v>225</v>
      </c>
      <c r="O104" s="3567">
        <v>0</v>
      </c>
      <c r="P104" s="3567">
        <f>M104</f>
        <v>392</v>
      </c>
      <c r="Q104" s="3567">
        <f>450</f>
        <v>450</v>
      </c>
      <c r="R104" s="3568">
        <v>1.06</v>
      </c>
      <c r="S104" s="3568">
        <f t="shared" si="49"/>
        <v>477</v>
      </c>
      <c r="T104" s="3569">
        <f t="shared" si="50"/>
        <v>534.24</v>
      </c>
      <c r="U104" s="3567">
        <f t="shared" si="51"/>
        <v>209422.08000000002</v>
      </c>
      <c r="V104" s="3567"/>
      <c r="W104" s="3567"/>
      <c r="X104" s="3567"/>
      <c r="Y104" s="3567"/>
      <c r="Z104" s="3567"/>
      <c r="AA104" s="3567"/>
      <c r="AB104" s="3567"/>
      <c r="AC104" s="3567"/>
      <c r="AD104" s="3567"/>
      <c r="AE104" s="3567"/>
      <c r="AF104" s="3567"/>
      <c r="AG104" s="3567"/>
      <c r="AH104" s="3571">
        <v>1.1200000000000001</v>
      </c>
      <c r="AI104" s="3004"/>
      <c r="AJ104" s="3004">
        <v>1.1200000000000001</v>
      </c>
      <c r="AK104" s="3004">
        <v>131</v>
      </c>
      <c r="AL104" s="3004">
        <f t="shared" si="52"/>
        <v>69985.440000000002</v>
      </c>
      <c r="AM104" s="3004">
        <v>130</v>
      </c>
      <c r="AN104" s="3004">
        <f t="shared" si="53"/>
        <v>69451.199999999997</v>
      </c>
      <c r="AO104" s="3004">
        <v>131</v>
      </c>
      <c r="AP104" s="3004">
        <f t="shared" si="54"/>
        <v>69985.440000000002</v>
      </c>
      <c r="AQ104" s="3004"/>
      <c r="AR104" s="3004">
        <f t="shared" si="55"/>
        <v>0</v>
      </c>
      <c r="AS104" s="2995"/>
      <c r="AV104" s="2983">
        <f t="shared" si="80"/>
        <v>0</v>
      </c>
      <c r="AW104" s="3595">
        <f t="shared" si="56"/>
        <v>534.24</v>
      </c>
      <c r="AX104" s="3595">
        <f t="shared" si="57"/>
        <v>209422.07999999999</v>
      </c>
      <c r="AY104" s="3595">
        <f t="shared" si="58"/>
        <v>69985.440000000002</v>
      </c>
      <c r="AZ104" s="3595">
        <f t="shared" si="59"/>
        <v>69451.199999999997</v>
      </c>
      <c r="BA104" s="3595">
        <f t="shared" si="60"/>
        <v>69985.440000000002</v>
      </c>
      <c r="BB104" s="3595">
        <f t="shared" si="61"/>
        <v>0</v>
      </c>
      <c r="BC104" s="2983">
        <f t="shared" si="62"/>
        <v>209422.08000000002</v>
      </c>
      <c r="BD104" s="2983">
        <f t="shared" si="63"/>
        <v>0</v>
      </c>
    </row>
    <row r="105" spans="1:56" ht="25.5" hidden="1">
      <c r="A105" s="3371">
        <v>98</v>
      </c>
      <c r="B105" s="3547" t="s">
        <v>3044</v>
      </c>
      <c r="C105" s="3547" t="s">
        <v>3044</v>
      </c>
      <c r="D105" s="3567" t="s">
        <v>1587</v>
      </c>
      <c r="E105" s="3567">
        <v>16815.8</v>
      </c>
      <c r="F105" s="3567"/>
      <c r="G105" s="3567">
        <v>16815.8</v>
      </c>
      <c r="H105" s="3567"/>
      <c r="I105" s="3567"/>
      <c r="J105" s="3567"/>
      <c r="K105" s="3567"/>
      <c r="L105" s="3647">
        <f t="shared" si="64"/>
        <v>0</v>
      </c>
      <c r="M105" s="3567">
        <f>(8*4*245)/10</f>
        <v>784</v>
      </c>
      <c r="N105" s="3567">
        <v>749</v>
      </c>
      <c r="O105" s="3567">
        <v>0</v>
      </c>
      <c r="P105" s="3567">
        <f>M105</f>
        <v>784</v>
      </c>
      <c r="Q105" s="3567">
        <f>550</f>
        <v>550</v>
      </c>
      <c r="R105" s="3568">
        <v>1.06</v>
      </c>
      <c r="S105" s="3568">
        <f t="shared" si="49"/>
        <v>583</v>
      </c>
      <c r="T105" s="3569">
        <f t="shared" si="50"/>
        <v>652.96</v>
      </c>
      <c r="U105" s="3567">
        <f t="shared" si="51"/>
        <v>511920.64000000001</v>
      </c>
      <c r="V105" s="3567"/>
      <c r="W105" s="3567"/>
      <c r="X105" s="3567"/>
      <c r="Y105" s="3567"/>
      <c r="Z105" s="3567"/>
      <c r="AA105" s="3567"/>
      <c r="AB105" s="3567"/>
      <c r="AC105" s="3567"/>
      <c r="AD105" s="3567"/>
      <c r="AE105" s="3567"/>
      <c r="AF105" s="3567"/>
      <c r="AG105" s="3567"/>
      <c r="AH105" s="3571">
        <v>1.1200000000000001</v>
      </c>
      <c r="AI105" s="3004"/>
      <c r="AJ105" s="3004">
        <v>1.1200000000000001</v>
      </c>
      <c r="AK105" s="3004">
        <v>262</v>
      </c>
      <c r="AL105" s="3004">
        <f t="shared" si="52"/>
        <v>171075.52000000002</v>
      </c>
      <c r="AM105" s="3004">
        <v>261</v>
      </c>
      <c r="AN105" s="3004">
        <f t="shared" si="53"/>
        <v>170422.56</v>
      </c>
      <c r="AO105" s="3004">
        <v>261</v>
      </c>
      <c r="AP105" s="3004">
        <f t="shared" si="54"/>
        <v>170422.56</v>
      </c>
      <c r="AQ105" s="3004"/>
      <c r="AR105" s="3004">
        <f t="shared" si="55"/>
        <v>0</v>
      </c>
      <c r="AS105" s="2995"/>
      <c r="AV105" s="2983">
        <f t="shared" si="80"/>
        <v>0</v>
      </c>
      <c r="AW105" s="3595">
        <f t="shared" si="56"/>
        <v>652.96</v>
      </c>
      <c r="AX105" s="3595">
        <f t="shared" si="57"/>
        <v>511920.64000000001</v>
      </c>
      <c r="AY105" s="3595">
        <f t="shared" si="58"/>
        <v>171075.52</v>
      </c>
      <c r="AZ105" s="3595">
        <f t="shared" si="59"/>
        <v>170422.56</v>
      </c>
      <c r="BA105" s="3595">
        <f t="shared" si="60"/>
        <v>170422.56</v>
      </c>
      <c r="BB105" s="3595">
        <f t="shared" si="61"/>
        <v>0</v>
      </c>
      <c r="BC105" s="2983">
        <f t="shared" si="62"/>
        <v>511920.63999999996</v>
      </c>
      <c r="BD105" s="2983">
        <f t="shared" si="63"/>
        <v>0</v>
      </c>
    </row>
    <row r="106" spans="1:56" ht="76.5" hidden="1">
      <c r="A106" s="3265">
        <v>99</v>
      </c>
      <c r="B106" s="3547" t="s">
        <v>3045</v>
      </c>
      <c r="C106" s="3547" t="s">
        <v>3046</v>
      </c>
      <c r="D106" s="3567" t="s">
        <v>1022</v>
      </c>
      <c r="E106" s="3567">
        <v>16815.8</v>
      </c>
      <c r="F106" s="3567"/>
      <c r="G106" s="3567">
        <v>16815.8</v>
      </c>
      <c r="H106" s="3567"/>
      <c r="I106" s="3567"/>
      <c r="J106" s="3567"/>
      <c r="K106" s="3567"/>
      <c r="L106" s="3647">
        <f t="shared" si="64"/>
        <v>0</v>
      </c>
      <c r="M106" s="3567"/>
      <c r="N106" s="3567"/>
      <c r="O106" s="3567"/>
      <c r="P106" s="3567">
        <f>L106</f>
        <v>0</v>
      </c>
      <c r="Q106" s="3567">
        <f>2500</f>
        <v>2500</v>
      </c>
      <c r="R106" s="3568">
        <v>1.06</v>
      </c>
      <c r="S106" s="3568">
        <f t="shared" si="49"/>
        <v>2650</v>
      </c>
      <c r="T106" s="3569">
        <f t="shared" si="50"/>
        <v>2968.0000000000005</v>
      </c>
      <c r="U106" s="3567">
        <f t="shared" si="51"/>
        <v>0</v>
      </c>
      <c r="V106" s="3567"/>
      <c r="W106" s="3567"/>
      <c r="X106" s="3567"/>
      <c r="Y106" s="3567"/>
      <c r="Z106" s="3567"/>
      <c r="AA106" s="3567"/>
      <c r="AB106" s="3567"/>
      <c r="AC106" s="3567"/>
      <c r="AD106" s="3567"/>
      <c r="AE106" s="3567"/>
      <c r="AF106" s="3567"/>
      <c r="AG106" s="3567"/>
      <c r="AH106" s="3571">
        <v>1.1200000000000001</v>
      </c>
      <c r="AI106" s="3004"/>
      <c r="AJ106" s="3004">
        <v>1.1200000000000001</v>
      </c>
      <c r="AK106" s="3004">
        <v>15</v>
      </c>
      <c r="AL106" s="3004">
        <f t="shared" si="52"/>
        <v>44520.000000000007</v>
      </c>
      <c r="AM106" s="3004"/>
      <c r="AN106" s="3004">
        <f t="shared" si="53"/>
        <v>0</v>
      </c>
      <c r="AO106" s="3004">
        <v>15</v>
      </c>
      <c r="AP106" s="3004">
        <f t="shared" si="54"/>
        <v>44520.000000000007</v>
      </c>
      <c r="AQ106" s="3004"/>
      <c r="AR106" s="3004">
        <f t="shared" si="55"/>
        <v>0</v>
      </c>
      <c r="AS106" s="2995"/>
      <c r="AV106" s="2983">
        <f t="shared" si="80"/>
        <v>-30</v>
      </c>
      <c r="AW106" s="3595">
        <f t="shared" si="56"/>
        <v>2968</v>
      </c>
      <c r="AX106" s="3595">
        <f t="shared" si="57"/>
        <v>0</v>
      </c>
      <c r="AY106" s="3595">
        <f t="shared" si="58"/>
        <v>44520</v>
      </c>
      <c r="AZ106" s="3595">
        <f t="shared" si="59"/>
        <v>0</v>
      </c>
      <c r="BA106" s="3595">
        <f t="shared" si="60"/>
        <v>44520</v>
      </c>
      <c r="BB106" s="3595">
        <f t="shared" si="61"/>
        <v>0</v>
      </c>
      <c r="BC106" s="2983">
        <f t="shared" si="62"/>
        <v>89040</v>
      </c>
      <c r="BD106" s="2983">
        <f t="shared" si="63"/>
        <v>-89040</v>
      </c>
    </row>
    <row r="107" spans="1:56" ht="51" hidden="1">
      <c r="A107" s="3371">
        <v>100</v>
      </c>
      <c r="B107" s="3547" t="s">
        <v>3047</v>
      </c>
      <c r="C107" s="3547" t="s">
        <v>3048</v>
      </c>
      <c r="D107" s="3567" t="s">
        <v>1022</v>
      </c>
      <c r="E107" s="3567">
        <v>16815.8</v>
      </c>
      <c r="F107" s="3567"/>
      <c r="G107" s="3567">
        <v>16815.8</v>
      </c>
      <c r="H107" s="3567"/>
      <c r="I107" s="3567"/>
      <c r="J107" s="3567"/>
      <c r="K107" s="3567"/>
      <c r="L107" s="3647">
        <f t="shared" si="64"/>
        <v>0</v>
      </c>
      <c r="M107" s="3567"/>
      <c r="N107" s="3567"/>
      <c r="O107" s="3567"/>
      <c r="P107" s="3567">
        <f>L107</f>
        <v>0</v>
      </c>
      <c r="Q107" s="3567">
        <f>1700</f>
        <v>1700</v>
      </c>
      <c r="R107" s="3568">
        <v>1.06</v>
      </c>
      <c r="S107" s="3568">
        <f t="shared" si="49"/>
        <v>1802</v>
      </c>
      <c r="T107" s="3569">
        <f t="shared" si="50"/>
        <v>2018.2400000000002</v>
      </c>
      <c r="U107" s="3567">
        <f t="shared" si="51"/>
        <v>0</v>
      </c>
      <c r="V107" s="3567"/>
      <c r="W107" s="3567"/>
      <c r="X107" s="3567"/>
      <c r="Y107" s="3567"/>
      <c r="Z107" s="3567"/>
      <c r="AA107" s="3567"/>
      <c r="AB107" s="3567"/>
      <c r="AC107" s="3567"/>
      <c r="AD107" s="3567"/>
      <c r="AE107" s="3567"/>
      <c r="AF107" s="3567"/>
      <c r="AG107" s="3567"/>
      <c r="AH107" s="3571">
        <v>1.1200000000000001</v>
      </c>
      <c r="AI107" s="3004"/>
      <c r="AJ107" s="3004">
        <v>1.1200000000000001</v>
      </c>
      <c r="AK107" s="3004">
        <v>15</v>
      </c>
      <c r="AL107" s="3004">
        <f t="shared" si="52"/>
        <v>30273.600000000002</v>
      </c>
      <c r="AM107" s="3004"/>
      <c r="AN107" s="3004">
        <f t="shared" si="53"/>
        <v>0</v>
      </c>
      <c r="AO107" s="3004">
        <v>15</v>
      </c>
      <c r="AP107" s="3004">
        <f t="shared" si="54"/>
        <v>30273.600000000002</v>
      </c>
      <c r="AQ107" s="3004"/>
      <c r="AR107" s="3004">
        <f t="shared" si="55"/>
        <v>0</v>
      </c>
      <c r="AS107" s="2995"/>
      <c r="AV107" s="2983">
        <f t="shared" si="80"/>
        <v>-30</v>
      </c>
      <c r="AW107" s="3595">
        <f t="shared" si="56"/>
        <v>2018.24</v>
      </c>
      <c r="AX107" s="3595">
        <f t="shared" si="57"/>
        <v>0</v>
      </c>
      <c r="AY107" s="3595">
        <f t="shared" si="58"/>
        <v>30273.599999999999</v>
      </c>
      <c r="AZ107" s="3595">
        <f t="shared" si="59"/>
        <v>0</v>
      </c>
      <c r="BA107" s="3595">
        <f t="shared" si="60"/>
        <v>30273.599999999999</v>
      </c>
      <c r="BB107" s="3595">
        <f t="shared" si="61"/>
        <v>0</v>
      </c>
      <c r="BC107" s="2983">
        <f t="shared" si="62"/>
        <v>60547.199999999997</v>
      </c>
      <c r="BD107" s="2983">
        <f t="shared" si="63"/>
        <v>-60547.199999999997</v>
      </c>
    </row>
    <row r="108" spans="1:56" ht="12.75" hidden="1">
      <c r="A108" s="3265">
        <v>101</v>
      </c>
      <c r="B108" s="3547" t="s">
        <v>3049</v>
      </c>
      <c r="C108" s="3547" t="s">
        <v>3049</v>
      </c>
      <c r="D108" s="3567" t="s">
        <v>1022</v>
      </c>
      <c r="E108" s="3567">
        <v>16815.8</v>
      </c>
      <c r="F108" s="3567"/>
      <c r="G108" s="3567">
        <v>16815.8</v>
      </c>
      <c r="H108" s="3567"/>
      <c r="I108" s="3567"/>
      <c r="J108" s="3567"/>
      <c r="K108" s="3567"/>
      <c r="L108" s="3647">
        <f t="shared" si="64"/>
        <v>0</v>
      </c>
      <c r="M108" s="3567"/>
      <c r="N108" s="3567"/>
      <c r="O108" s="3567"/>
      <c r="P108" s="3567">
        <f>L108</f>
        <v>0</v>
      </c>
      <c r="Q108" s="3567">
        <f>20000</f>
        <v>20000</v>
      </c>
      <c r="R108" s="3568">
        <v>1.06</v>
      </c>
      <c r="S108" s="3568">
        <f t="shared" si="49"/>
        <v>21200</v>
      </c>
      <c r="T108" s="3569">
        <f t="shared" si="50"/>
        <v>23744.000000000004</v>
      </c>
      <c r="U108" s="3567">
        <f t="shared" si="51"/>
        <v>0</v>
      </c>
      <c r="V108" s="3567"/>
      <c r="W108" s="3567"/>
      <c r="X108" s="3567"/>
      <c r="Y108" s="3567"/>
      <c r="Z108" s="3567"/>
      <c r="AA108" s="3567"/>
      <c r="AB108" s="3567"/>
      <c r="AC108" s="3567"/>
      <c r="AD108" s="3567"/>
      <c r="AE108" s="3567"/>
      <c r="AF108" s="3567"/>
      <c r="AG108" s="3567"/>
      <c r="AH108" s="3571">
        <v>1.1200000000000001</v>
      </c>
      <c r="AI108" s="3004"/>
      <c r="AJ108" s="3004">
        <v>1.1200000000000001</v>
      </c>
      <c r="AK108" s="3004">
        <v>1</v>
      </c>
      <c r="AL108" s="3004">
        <f t="shared" si="52"/>
        <v>23744.000000000004</v>
      </c>
      <c r="AM108" s="3004"/>
      <c r="AN108" s="3004">
        <f t="shared" si="53"/>
        <v>0</v>
      </c>
      <c r="AO108" s="3004">
        <v>1</v>
      </c>
      <c r="AP108" s="3004">
        <f t="shared" si="54"/>
        <v>23744.000000000004</v>
      </c>
      <c r="AQ108" s="3004"/>
      <c r="AR108" s="3004">
        <f t="shared" si="55"/>
        <v>0</v>
      </c>
      <c r="AS108" s="2995"/>
      <c r="AV108" s="2983">
        <f t="shared" si="80"/>
        <v>-2</v>
      </c>
      <c r="AW108" s="3595">
        <f t="shared" si="56"/>
        <v>23744</v>
      </c>
      <c r="AX108" s="3595">
        <f t="shared" si="57"/>
        <v>0</v>
      </c>
      <c r="AY108" s="3595">
        <f t="shared" si="58"/>
        <v>23744</v>
      </c>
      <c r="AZ108" s="3595">
        <f t="shared" si="59"/>
        <v>0</v>
      </c>
      <c r="BA108" s="3595">
        <f t="shared" si="60"/>
        <v>23744</v>
      </c>
      <c r="BB108" s="3595">
        <f t="shared" si="61"/>
        <v>0</v>
      </c>
      <c r="BC108" s="2983">
        <f t="shared" si="62"/>
        <v>47488</v>
      </c>
      <c r="BD108" s="2983">
        <f t="shared" si="63"/>
        <v>-47488</v>
      </c>
    </row>
    <row r="109" spans="1:56" ht="25.5" hidden="1">
      <c r="A109" s="3371">
        <v>102</v>
      </c>
      <c r="B109" s="3547" t="s">
        <v>3050</v>
      </c>
      <c r="C109" s="3547" t="s">
        <v>3051</v>
      </c>
      <c r="D109" s="3567" t="s">
        <v>1022</v>
      </c>
      <c r="E109" s="3567">
        <v>16815.8</v>
      </c>
      <c r="F109" s="3567"/>
      <c r="G109" s="3567">
        <v>16815.8</v>
      </c>
      <c r="H109" s="3567"/>
      <c r="I109" s="3567"/>
      <c r="J109" s="3567"/>
      <c r="K109" s="3567"/>
      <c r="L109" s="3647">
        <f t="shared" si="64"/>
        <v>0</v>
      </c>
      <c r="M109" s="3567"/>
      <c r="N109" s="3567"/>
      <c r="O109" s="3567"/>
      <c r="P109" s="3567">
        <f>L109</f>
        <v>0</v>
      </c>
      <c r="Q109" s="3567">
        <f>1700</f>
        <v>1700</v>
      </c>
      <c r="R109" s="3568">
        <v>1.06</v>
      </c>
      <c r="S109" s="3568">
        <f t="shared" si="49"/>
        <v>1802</v>
      </c>
      <c r="T109" s="3569">
        <f t="shared" si="50"/>
        <v>2018.2400000000002</v>
      </c>
      <c r="U109" s="3567">
        <f t="shared" si="51"/>
        <v>0</v>
      </c>
      <c r="V109" s="3567"/>
      <c r="W109" s="3567"/>
      <c r="X109" s="3567"/>
      <c r="Y109" s="3567"/>
      <c r="Z109" s="3567"/>
      <c r="AA109" s="3567"/>
      <c r="AB109" s="3567"/>
      <c r="AC109" s="3567"/>
      <c r="AD109" s="3567"/>
      <c r="AE109" s="3567"/>
      <c r="AF109" s="3567"/>
      <c r="AG109" s="3567"/>
      <c r="AH109" s="3571">
        <v>1.1200000000000001</v>
      </c>
      <c r="AI109" s="3004"/>
      <c r="AJ109" s="3004">
        <v>1.1200000000000001</v>
      </c>
      <c r="AK109" s="3004">
        <v>10</v>
      </c>
      <c r="AL109" s="3004">
        <f t="shared" si="52"/>
        <v>20182.400000000001</v>
      </c>
      <c r="AM109" s="3004">
        <v>10</v>
      </c>
      <c r="AN109" s="3004">
        <f t="shared" si="53"/>
        <v>20182.400000000001</v>
      </c>
      <c r="AO109" s="3004">
        <v>10</v>
      </c>
      <c r="AP109" s="3004">
        <f t="shared" si="54"/>
        <v>20182.400000000001</v>
      </c>
      <c r="AQ109" s="3004"/>
      <c r="AR109" s="3004">
        <f t="shared" si="55"/>
        <v>0</v>
      </c>
      <c r="AS109" s="2995"/>
      <c r="AV109" s="2983">
        <f t="shared" si="80"/>
        <v>-30</v>
      </c>
      <c r="AW109" s="3595">
        <f t="shared" si="56"/>
        <v>2018.24</v>
      </c>
      <c r="AX109" s="3595">
        <f t="shared" si="57"/>
        <v>0</v>
      </c>
      <c r="AY109" s="3595">
        <f t="shared" si="58"/>
        <v>20182.400000000001</v>
      </c>
      <c r="AZ109" s="3595">
        <f t="shared" si="59"/>
        <v>20182.400000000001</v>
      </c>
      <c r="BA109" s="3595">
        <f t="shared" si="60"/>
        <v>20182.400000000001</v>
      </c>
      <c r="BB109" s="3595">
        <f t="shared" si="61"/>
        <v>0</v>
      </c>
      <c r="BC109" s="2983">
        <f t="shared" si="62"/>
        <v>60547.200000000004</v>
      </c>
      <c r="BD109" s="2983">
        <f t="shared" si="63"/>
        <v>-60547.200000000004</v>
      </c>
    </row>
    <row r="110" spans="1:56" ht="12.75" hidden="1">
      <c r="A110" s="3371">
        <v>108</v>
      </c>
      <c r="B110" s="3547" t="s">
        <v>3052</v>
      </c>
      <c r="C110" s="3547" t="s">
        <v>3053</v>
      </c>
      <c r="D110" s="3567" t="s">
        <v>1411</v>
      </c>
      <c r="E110" s="3567">
        <v>16815.8</v>
      </c>
      <c r="F110" s="3567"/>
      <c r="G110" s="3567">
        <v>16815.8</v>
      </c>
      <c r="H110" s="3567"/>
      <c r="I110" s="3567"/>
      <c r="J110" s="3567"/>
      <c r="K110" s="3567"/>
      <c r="L110" s="3647">
        <f t="shared" si="64"/>
        <v>0</v>
      </c>
      <c r="M110" s="3567">
        <f>ROUND(16815.8/500*6*10+16815.8/500*6*10+4080/500*6*10,0)</f>
        <v>4525</v>
      </c>
      <c r="N110" s="3567">
        <f>60+14+200+417</f>
        <v>691</v>
      </c>
      <c r="O110" s="3567"/>
      <c r="P110" s="3567">
        <f>L110-N110</f>
        <v>-691</v>
      </c>
      <c r="Q110" s="3567">
        <f>150</f>
        <v>150</v>
      </c>
      <c r="R110" s="3568">
        <v>1.06</v>
      </c>
      <c r="S110" s="3568">
        <f t="shared" si="49"/>
        <v>159</v>
      </c>
      <c r="T110" s="3569">
        <f t="shared" si="50"/>
        <v>178.08</v>
      </c>
      <c r="U110" s="3567">
        <f t="shared" si="51"/>
        <v>-123053.28000000001</v>
      </c>
      <c r="V110" s="3567">
        <f t="shared" ref="V110:AG110" si="81">150*1.07</f>
        <v>160.5</v>
      </c>
      <c r="W110" s="3567">
        <f t="shared" si="81"/>
        <v>160.5</v>
      </c>
      <c r="X110" s="3567">
        <f t="shared" si="81"/>
        <v>160.5</v>
      </c>
      <c r="Y110" s="3567">
        <f t="shared" si="81"/>
        <v>160.5</v>
      </c>
      <c r="Z110" s="3567">
        <f t="shared" si="81"/>
        <v>160.5</v>
      </c>
      <c r="AA110" s="3567">
        <f t="shared" si="81"/>
        <v>160.5</v>
      </c>
      <c r="AB110" s="3567">
        <f t="shared" si="81"/>
        <v>160.5</v>
      </c>
      <c r="AC110" s="3567">
        <f t="shared" si="81"/>
        <v>160.5</v>
      </c>
      <c r="AD110" s="3567">
        <f t="shared" si="81"/>
        <v>160.5</v>
      </c>
      <c r="AE110" s="3567">
        <f t="shared" si="81"/>
        <v>160.5</v>
      </c>
      <c r="AF110" s="3567">
        <f t="shared" si="81"/>
        <v>160.5</v>
      </c>
      <c r="AG110" s="3567">
        <f t="shared" si="81"/>
        <v>160.5</v>
      </c>
      <c r="AH110" s="3571">
        <v>1.1200000000000001</v>
      </c>
      <c r="AI110" s="3004"/>
      <c r="AJ110" s="3004">
        <v>1.1200000000000001</v>
      </c>
      <c r="AK110" s="3004">
        <f>2017.9-208-14-220.2</f>
        <v>1575.7</v>
      </c>
      <c r="AL110" s="3004">
        <f t="shared" si="52"/>
        <v>280600.65600000002</v>
      </c>
      <c r="AM110" s="3004">
        <f>489.6-60</f>
        <v>429.6</v>
      </c>
      <c r="AN110" s="3004">
        <f t="shared" si="53"/>
        <v>76503.168000000005</v>
      </c>
      <c r="AO110" s="3004">
        <f>2017.9-209-200-220.2</f>
        <v>1388.7</v>
      </c>
      <c r="AP110" s="3004">
        <f t="shared" si="54"/>
        <v>247299.69600000003</v>
      </c>
      <c r="AQ110" s="3004"/>
      <c r="AR110" s="3004">
        <f t="shared" si="55"/>
        <v>0</v>
      </c>
      <c r="AS110" s="2995"/>
      <c r="AW110" s="2983">
        <f t="shared" si="56"/>
        <v>178.08</v>
      </c>
      <c r="AX110" s="3595">
        <f t="shared" si="57"/>
        <v>-123053.28</v>
      </c>
      <c r="AY110" s="2983">
        <f t="shared" si="58"/>
        <v>280600.65999999997</v>
      </c>
      <c r="AZ110" s="2983">
        <f t="shared" si="59"/>
        <v>76503.17</v>
      </c>
      <c r="BA110" s="2983">
        <f t="shared" si="60"/>
        <v>247299.7</v>
      </c>
      <c r="BB110" s="2983">
        <f t="shared" si="61"/>
        <v>0</v>
      </c>
      <c r="BC110" s="2983">
        <f t="shared" si="62"/>
        <v>604403.53</v>
      </c>
      <c r="BD110" s="2983">
        <f t="shared" si="63"/>
        <v>-727456.81</v>
      </c>
    </row>
    <row r="111" spans="1:56" ht="12.75">
      <c r="A111" s="3436"/>
      <c r="B111" s="3593"/>
      <c r="C111" s="3593"/>
      <c r="D111" s="3434"/>
      <c r="E111" s="3435"/>
      <c r="F111" s="3434"/>
      <c r="G111" s="3435"/>
      <c r="H111" s="3434"/>
      <c r="I111" s="3434"/>
      <c r="J111" s="3434"/>
      <c r="K111" s="3434"/>
      <c r="L111" s="3434"/>
      <c r="M111" s="3434"/>
      <c r="N111" s="3434"/>
      <c r="O111" s="3434"/>
      <c r="P111" s="3434"/>
      <c r="Q111" s="3434"/>
      <c r="R111" s="3434"/>
      <c r="S111" s="3434"/>
      <c r="T111" s="3434"/>
      <c r="U111" s="3434"/>
      <c r="V111" s="3434"/>
      <c r="W111" s="3434"/>
      <c r="X111" s="3434"/>
      <c r="Y111" s="3434"/>
      <c r="Z111" s="3434"/>
      <c r="AA111" s="3434"/>
      <c r="AB111" s="3434"/>
      <c r="AC111" s="3434"/>
      <c r="AD111" s="3434"/>
      <c r="AE111" s="3434"/>
      <c r="AF111" s="3434"/>
      <c r="AG111" s="3434"/>
      <c r="AH111" s="3434"/>
      <c r="AI111" s="3434"/>
      <c r="AJ111" s="3434"/>
      <c r="AK111" s="3434"/>
      <c r="AL111" s="3434"/>
      <c r="AM111" s="3434"/>
      <c r="AN111" s="3434"/>
      <c r="AO111" s="3434"/>
      <c r="AP111" s="3434"/>
      <c r="AQ111" s="3434"/>
      <c r="AR111" s="3434"/>
    </row>
    <row r="112" spans="1:56" ht="12.75">
      <c r="A112" s="3436"/>
      <c r="B112" s="3593"/>
      <c r="C112" s="3594"/>
      <c r="D112" s="3434"/>
      <c r="E112" s="3434"/>
      <c r="F112" s="3434"/>
      <c r="G112" s="3434"/>
      <c r="H112" s="3434"/>
      <c r="I112" s="3434"/>
      <c r="J112" s="3434"/>
      <c r="K112" s="3434"/>
      <c r="L112" s="3434"/>
      <c r="M112" s="3434"/>
      <c r="N112" s="3434"/>
      <c r="O112" s="3434"/>
      <c r="P112" s="3434"/>
      <c r="Q112" s="3434"/>
      <c r="R112" s="3434"/>
      <c r="S112" s="3434"/>
      <c r="T112" s="3434"/>
      <c r="U112" s="3434"/>
      <c r="V112" s="3434"/>
      <c r="W112" s="3434"/>
      <c r="X112" s="3434"/>
      <c r="Y112" s="3434"/>
      <c r="Z112" s="3434"/>
      <c r="AA112" s="3434"/>
      <c r="AB112" s="3434"/>
      <c r="AC112" s="3434"/>
      <c r="AD112" s="3434"/>
      <c r="AE112" s="3434"/>
      <c r="AF112" s="3434"/>
      <c r="AG112" s="3434"/>
      <c r="AH112" s="3434"/>
      <c r="AI112" s="3434"/>
      <c r="AJ112" s="3434"/>
      <c r="AK112" s="3434"/>
      <c r="AL112" s="3434"/>
      <c r="AM112" s="3434"/>
      <c r="AN112" s="3434"/>
      <c r="AO112" s="3434"/>
      <c r="AP112" s="3434"/>
      <c r="AQ112" s="3434"/>
      <c r="AR112" s="3434"/>
    </row>
    <row r="113" spans="1:50" ht="15" customHeight="1">
      <c r="A113" s="3433"/>
      <c r="B113" s="3593"/>
      <c r="C113" s="3594"/>
      <c r="D113" s="3434"/>
      <c r="E113" s="3434"/>
      <c r="F113" s="3434"/>
      <c r="G113" s="3434"/>
      <c r="H113" s="3434"/>
      <c r="I113" s="3434"/>
      <c r="J113" s="3434"/>
      <c r="K113" s="3434"/>
      <c r="L113" s="3434"/>
      <c r="M113" s="3434"/>
      <c r="N113" s="3434"/>
      <c r="O113" s="3434"/>
      <c r="P113" s="3434"/>
      <c r="Q113" s="3434"/>
      <c r="R113" s="3434"/>
      <c r="S113" s="3434"/>
      <c r="T113" s="3434"/>
      <c r="U113" s="3434"/>
      <c r="V113" s="3434"/>
      <c r="W113" s="3434"/>
      <c r="X113" s="3434"/>
      <c r="Y113" s="3434"/>
      <c r="Z113" s="3434"/>
      <c r="AA113" s="3434"/>
      <c r="AB113" s="3434"/>
      <c r="AC113" s="3434"/>
      <c r="AD113" s="3434"/>
      <c r="AE113" s="3434"/>
      <c r="AF113" s="3434"/>
      <c r="AG113" s="3434"/>
      <c r="AH113" s="3434"/>
      <c r="AI113" s="3434"/>
      <c r="AJ113" s="3434"/>
      <c r="AK113" s="3434"/>
      <c r="AL113" s="3434"/>
      <c r="AM113" s="3434"/>
      <c r="AN113" s="3434"/>
      <c r="AO113" s="3434"/>
      <c r="AP113" s="3434"/>
      <c r="AQ113" s="3434"/>
      <c r="AR113" s="3434"/>
    </row>
    <row r="114" spans="1:50" ht="15" customHeight="1">
      <c r="B114" s="4060" t="s">
        <v>3054</v>
      </c>
      <c r="C114" s="4060"/>
      <c r="D114" s="1935"/>
      <c r="E114" s="3648"/>
      <c r="F114" s="3649"/>
      <c r="G114" s="3650"/>
      <c r="H114" s="4060" t="s">
        <v>3055</v>
      </c>
      <c r="I114" s="4060"/>
      <c r="J114" s="4060"/>
      <c r="M114" s="3434"/>
    </row>
    <row r="115" spans="1:50" ht="15" customHeight="1">
      <c r="B115" s="4060"/>
      <c r="C115" s="4060"/>
      <c r="D115" s="1935"/>
      <c r="E115" s="3648"/>
      <c r="F115" s="3649"/>
      <c r="G115" s="3650"/>
      <c r="H115" s="4060"/>
      <c r="I115" s="4060"/>
      <c r="J115" s="4060"/>
    </row>
    <row r="116" spans="1:50" ht="15" customHeight="1">
      <c r="B116" s="4060" t="s">
        <v>3056</v>
      </c>
      <c r="C116" s="3651"/>
      <c r="D116" s="185"/>
      <c r="E116" s="3652"/>
      <c r="F116" s="406"/>
      <c r="G116" s="3653"/>
      <c r="H116" s="4060" t="s">
        <v>452</v>
      </c>
      <c r="I116" s="4060"/>
      <c r="J116" s="4060"/>
    </row>
    <row r="117" spans="1:50" ht="16.5" customHeight="1">
      <c r="B117" s="4060"/>
      <c r="C117" s="3651"/>
      <c r="D117" s="185"/>
      <c r="E117" s="3652"/>
      <c r="F117" s="406"/>
      <c r="G117" s="3653"/>
      <c r="H117" s="4060"/>
      <c r="I117" s="4060"/>
      <c r="J117" s="4060"/>
    </row>
    <row r="118" spans="1:50" ht="21.75" customHeight="1">
      <c r="B118" s="1935" t="s">
        <v>375</v>
      </c>
      <c r="C118" s="2574"/>
      <c r="D118" s="2574"/>
      <c r="E118" s="2574"/>
      <c r="F118" s="406"/>
      <c r="G118" s="3653"/>
      <c r="H118" s="4060" t="s">
        <v>453</v>
      </c>
      <c r="I118" s="4060"/>
      <c r="J118" s="4060"/>
    </row>
    <row r="119" spans="1:50" ht="12.75">
      <c r="B119" s="2165"/>
      <c r="C119" s="3332"/>
      <c r="D119" s="3332"/>
      <c r="E119" s="3332"/>
      <c r="F119" s="3330" t="s">
        <v>377</v>
      </c>
      <c r="G119" s="3330"/>
      <c r="J119" s="2098"/>
    </row>
    <row r="120" spans="1:50">
      <c r="B120" s="2357"/>
      <c r="C120" s="2366"/>
      <c r="D120" s="2357"/>
      <c r="E120" s="2357"/>
      <c r="F120" s="2357"/>
      <c r="G120" s="2357"/>
      <c r="AX120" s="2983" t="e">
        <f>AX9+'пр запасы фмн 2.03.09.'!V9+'пр запасы мб 2.03.09.'!T9+#REF!</f>
        <v>#REF!</v>
      </c>
    </row>
  </sheetData>
  <sheetProtection formatColumns="0" insertRows="0" deleteRows="0"/>
  <sortState xmlns:xlrd2="http://schemas.microsoft.com/office/spreadsheetml/2017/richdata2" ref="B10:AE154">
    <sortCondition ref="B10"/>
  </sortState>
  <mergeCells count="35">
    <mergeCell ref="B116:B117"/>
    <mergeCell ref="H114:J115"/>
    <mergeCell ref="H116:J117"/>
    <mergeCell ref="H118:J118"/>
    <mergeCell ref="B114:C115"/>
    <mergeCell ref="S7:S8"/>
    <mergeCell ref="F7:G7"/>
    <mergeCell ref="H7:H8"/>
    <mergeCell ref="I7:K7"/>
    <mergeCell ref="L7:P7"/>
    <mergeCell ref="Q7:Q8"/>
    <mergeCell ref="A7:A8"/>
    <mergeCell ref="B7:B8"/>
    <mergeCell ref="C7:C8"/>
    <mergeCell ref="D7:D8"/>
    <mergeCell ref="E7:E8"/>
    <mergeCell ref="AP7:AP8"/>
    <mergeCell ref="AQ7:AQ8"/>
    <mergeCell ref="AR7:AR8"/>
    <mergeCell ref="AE7:AE8"/>
    <mergeCell ref="AF7:AG7"/>
    <mergeCell ref="AO7:AO8"/>
    <mergeCell ref="T7:T8"/>
    <mergeCell ref="AK7:AK8"/>
    <mergeCell ref="AL7:AL8"/>
    <mergeCell ref="AM7:AM8"/>
    <mergeCell ref="AN7:AN8"/>
    <mergeCell ref="AD7:AD8"/>
    <mergeCell ref="AA7:AA8"/>
    <mergeCell ref="AB7:AC7"/>
    <mergeCell ref="X7:X9"/>
    <mergeCell ref="Y7:Y9"/>
    <mergeCell ref="Z7:Z8"/>
    <mergeCell ref="V7:W7"/>
    <mergeCell ref="U7:U8"/>
  </mergeCells>
  <pageMargins left="0" right="0" top="0" bottom="0" header="0" footer="0"/>
  <pageSetup paperSize="9" scale="42" fitToHeight="5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rgb="FFFFFF00"/>
    <pageSetUpPr fitToPage="1"/>
  </sheetPr>
  <dimension ref="A1:AR163"/>
  <sheetViews>
    <sheetView zoomScaleNormal="100" zoomScaleSheetLayoutView="80" workbookViewId="0">
      <pane xSplit="2" ySplit="9" topLeftCell="C108" activePane="bottomRight" state="frozen"/>
      <selection pane="topRight" activeCell="C1" sqref="C1"/>
      <selection pane="bottomLeft" activeCell="A12" sqref="A12"/>
      <selection pane="bottomRight" sqref="A1:AE159"/>
    </sheetView>
  </sheetViews>
  <sheetFormatPr defaultColWidth="9.140625" defaultRowHeight="12"/>
  <cols>
    <col min="1" max="1" width="4.5703125" style="3006" customWidth="1"/>
    <col min="2" max="2" width="36.7109375" style="2983" customWidth="1"/>
    <col min="3" max="3" width="28.7109375" style="2984" customWidth="1"/>
    <col min="4" max="4" width="7.42578125" style="2983" customWidth="1"/>
    <col min="5" max="5" width="10.42578125" style="2983" customWidth="1"/>
    <col min="6" max="6" width="6.140625" style="2983" customWidth="1"/>
    <col min="7" max="7" width="10.85546875" style="2983" customWidth="1"/>
    <col min="8" max="8" width="6.85546875" style="2983" customWidth="1"/>
    <col min="9" max="9" width="6.42578125" style="2983" customWidth="1"/>
    <col min="10" max="10" width="10" style="2983" customWidth="1"/>
    <col min="11" max="11" width="8.85546875" style="2983" customWidth="1"/>
    <col min="12" max="12" width="10.7109375" style="2983" customWidth="1"/>
    <col min="13" max="13" width="11.28515625" style="2983" customWidth="1"/>
    <col min="14" max="14" width="10.85546875" style="2983" customWidth="1"/>
    <col min="15" max="15" width="11" style="2983" customWidth="1"/>
    <col min="16" max="16" width="10.140625" style="3328" customWidth="1"/>
    <col min="17" max="17" width="12.28515625" style="2983" customWidth="1"/>
    <col min="18" max="18" width="13.28515625" style="2983" customWidth="1"/>
    <col min="19" max="19" width="12.42578125" style="2983" customWidth="1"/>
    <col min="20" max="20" width="13.42578125" style="2983" customWidth="1"/>
    <col min="21" max="21" width="11.7109375" style="2983" hidden="1" customWidth="1"/>
    <col min="22" max="23" width="11.28515625" style="2983" hidden="1" customWidth="1"/>
    <col min="24" max="24" width="12.7109375" style="2983" hidden="1" customWidth="1"/>
    <col min="25" max="25" width="13" style="2983" hidden="1" customWidth="1"/>
    <col min="26" max="26" width="12.5703125" style="2983" hidden="1" customWidth="1"/>
    <col min="27" max="27" width="10.140625" style="2983" hidden="1" customWidth="1"/>
    <col min="28" max="28" width="12.140625" style="2983" hidden="1" customWidth="1"/>
    <col min="29" max="29" width="0" style="2983" hidden="1" customWidth="1"/>
    <col min="30" max="30" width="13.7109375" style="2983" hidden="1" customWidth="1"/>
    <col min="31" max="31" width="11.5703125" style="2983" customWidth="1"/>
    <col min="32" max="32" width="9.140625" style="2983" hidden="1" customWidth="1"/>
    <col min="33" max="34" width="9.140625" style="2983"/>
    <col min="35" max="35" width="37.7109375" style="3406" customWidth="1"/>
    <col min="36" max="36" width="9.140625" style="2983"/>
    <col min="37" max="37" width="17.140625" style="2983" customWidth="1"/>
    <col min="38" max="38" width="20.5703125" style="2983" customWidth="1"/>
    <col min="39" max="40" width="9.140625" style="2983"/>
    <col min="41" max="41" width="51.85546875" style="2983" bestFit="1" customWidth="1"/>
    <col min="42" max="42" width="9.140625" style="2983"/>
    <col min="43" max="43" width="18.140625" style="2983" customWidth="1"/>
    <col min="44" max="16384" width="9.140625" style="2983"/>
  </cols>
  <sheetData>
    <row r="1" spans="1:42">
      <c r="A1" s="2982"/>
      <c r="L1" s="2985">
        <v>2</v>
      </c>
      <c r="M1" s="2985"/>
      <c r="N1" s="2985"/>
      <c r="O1" s="2985"/>
      <c r="P1" s="3379"/>
      <c r="Q1" s="2985"/>
      <c r="R1" s="2985"/>
      <c r="S1" s="2983" t="s">
        <v>267</v>
      </c>
      <c r="T1" s="2986" t="s">
        <v>2270</v>
      </c>
    </row>
    <row r="2" spans="1:42" s="2988" customFormat="1">
      <c r="A2" s="2987" t="s">
        <v>2926</v>
      </c>
      <c r="C2" s="2989"/>
      <c r="L2" s="2990"/>
      <c r="M2" s="2990"/>
      <c r="N2" s="2990"/>
      <c r="O2" s="2990"/>
      <c r="P2" s="3380"/>
      <c r="Q2" s="2990">
        <f>S3/Q84</f>
        <v>20.933333333333334</v>
      </c>
      <c r="R2" s="2990"/>
      <c r="AI2" s="3407"/>
    </row>
    <row r="3" spans="1:42">
      <c r="A3" s="2991"/>
      <c r="L3" s="2985"/>
      <c r="M3" s="2992">
        <f>0.01/2</f>
        <v>5.0000000000000001E-3</v>
      </c>
      <c r="N3" s="2985"/>
      <c r="O3" s="2985"/>
      <c r="P3" s="3379"/>
      <c r="Q3" s="2985"/>
      <c r="R3" s="2985">
        <f>R9*0.0099</f>
        <v>0</v>
      </c>
      <c r="S3" s="2985">
        <v>15700</v>
      </c>
      <c r="T3" s="2985">
        <f>R84-S3</f>
        <v>-11500</v>
      </c>
      <c r="U3" s="2985"/>
      <c r="V3" s="2985"/>
      <c r="W3" s="2985">
        <f>T3/Q84</f>
        <v>-15.333333333333334</v>
      </c>
      <c r="X3" s="2985"/>
    </row>
    <row r="4" spans="1:42" s="2988" customFormat="1">
      <c r="A4" s="2993" t="s">
        <v>2272</v>
      </c>
      <c r="C4" s="2989"/>
      <c r="L4" s="2990"/>
      <c r="M4" s="2990"/>
      <c r="N4" s="2990"/>
      <c r="O4" s="2990"/>
      <c r="P4" s="3380"/>
      <c r="Q4" s="2990">
        <v>1.07</v>
      </c>
      <c r="R4" s="2990">
        <f>R9-R3</f>
        <v>0</v>
      </c>
      <c r="S4" s="2990">
        <f>R9-S3</f>
        <v>-15700</v>
      </c>
      <c r="T4" s="2990"/>
      <c r="U4" s="2990"/>
      <c r="V4" s="2990"/>
      <c r="W4" s="3010">
        <v>1.06</v>
      </c>
      <c r="X4" s="2990"/>
      <c r="AA4" s="2988">
        <v>1.05</v>
      </c>
      <c r="AB4" s="2990">
        <f>R9+'[67]хоз мб'!T9+'[67]хоз кот и ул освещ'!V4+'[67]хоз кот и ул освещ'!V4</f>
        <v>4686350.666666667</v>
      </c>
      <c r="AI4" s="3407"/>
    </row>
    <row r="5" spans="1:42">
      <c r="A5" s="2994" t="s">
        <v>990</v>
      </c>
      <c r="L5" s="2985"/>
      <c r="M5" s="2985"/>
      <c r="N5" s="2985"/>
      <c r="O5" s="2985"/>
      <c r="P5" s="3379"/>
      <c r="Q5" s="2985"/>
      <c r="R5" s="2985">
        <f>R9+'[67]хоз мб'!T9+'[67]тмц фмн'!R9+'[67]тмц мб'!T9+'[67]хоз кот и ул освещ'!V4+'[67]хоз кот и ул освещ'!V4</f>
        <v>4942722.666666666</v>
      </c>
      <c r="S5" s="2985">
        <v>3732855</v>
      </c>
      <c r="T5" s="2985">
        <f>R9-S5</f>
        <v>-3732855</v>
      </c>
      <c r="U5" s="2985"/>
      <c r="V5" s="2985"/>
      <c r="W5" s="2985">
        <f>26750-T5</f>
        <v>3759605</v>
      </c>
      <c r="X5" s="2985">
        <f>W5/Q84</f>
        <v>5012.8066666666664</v>
      </c>
    </row>
    <row r="7" spans="1:42" ht="30" customHeight="1">
      <c r="A7" s="4068" t="s">
        <v>2</v>
      </c>
      <c r="B7" s="4062" t="s">
        <v>478</v>
      </c>
      <c r="C7" s="4062" t="s">
        <v>995</v>
      </c>
      <c r="D7" s="4062" t="s">
        <v>996</v>
      </c>
      <c r="E7" s="4062" t="s">
        <v>1191</v>
      </c>
      <c r="F7" s="4062" t="s">
        <v>255</v>
      </c>
      <c r="G7" s="4062"/>
      <c r="H7" s="4069" t="s">
        <v>1192</v>
      </c>
      <c r="I7" s="4063" t="s">
        <v>1193</v>
      </c>
      <c r="J7" s="4064"/>
      <c r="K7" s="4067"/>
      <c r="L7" s="4063" t="s">
        <v>922</v>
      </c>
      <c r="M7" s="4064"/>
      <c r="N7" s="4064"/>
      <c r="O7" s="4064"/>
      <c r="P7" s="4067"/>
      <c r="Q7" s="4062" t="s">
        <v>999</v>
      </c>
      <c r="R7" s="4062" t="s">
        <v>3057</v>
      </c>
      <c r="S7" s="4063" t="s">
        <v>1001</v>
      </c>
      <c r="T7" s="4067"/>
      <c r="U7" s="4065"/>
      <c r="V7" s="4066"/>
      <c r="W7" s="4062" t="s">
        <v>999</v>
      </c>
      <c r="X7" s="4062" t="s">
        <v>2267</v>
      </c>
      <c r="Y7" s="4063" t="s">
        <v>1001</v>
      </c>
      <c r="Z7" s="4067"/>
      <c r="AA7" s="4062" t="s">
        <v>999</v>
      </c>
      <c r="AB7" s="4062" t="s">
        <v>2268</v>
      </c>
      <c r="AC7" s="4063" t="s">
        <v>1001</v>
      </c>
      <c r="AD7" s="4064"/>
      <c r="AE7" s="4061" t="s">
        <v>2265</v>
      </c>
      <c r="AF7" s="2995"/>
      <c r="AG7" s="2995"/>
      <c r="AH7" s="2995"/>
      <c r="AI7" s="3405"/>
      <c r="AJ7" s="2995"/>
      <c r="AK7" s="2995"/>
      <c r="AL7" s="2995"/>
      <c r="AM7" s="2995"/>
    </row>
    <row r="8" spans="1:42" ht="60">
      <c r="A8" s="4068"/>
      <c r="B8" s="4062"/>
      <c r="C8" s="4062"/>
      <c r="D8" s="4062"/>
      <c r="E8" s="4062"/>
      <c r="F8" s="2996" t="s">
        <v>7</v>
      </c>
      <c r="G8" s="2996" t="s">
        <v>8</v>
      </c>
      <c r="H8" s="4070"/>
      <c r="I8" s="2996" t="s">
        <v>7</v>
      </c>
      <c r="J8" s="2996" t="s">
        <v>8</v>
      </c>
      <c r="K8" s="2996" t="s">
        <v>1096</v>
      </c>
      <c r="L8" s="2996" t="s">
        <v>1099</v>
      </c>
      <c r="M8" s="2996" t="s">
        <v>1194</v>
      </c>
      <c r="N8" s="2996" t="s">
        <v>1011</v>
      </c>
      <c r="O8" s="2996" t="s">
        <v>1012</v>
      </c>
      <c r="P8" s="3381" t="s">
        <v>1013</v>
      </c>
      <c r="Q8" s="4062"/>
      <c r="R8" s="4062"/>
      <c r="S8" s="2997" t="s">
        <v>7</v>
      </c>
      <c r="T8" s="2997" t="s">
        <v>8</v>
      </c>
      <c r="U8" s="4065"/>
      <c r="V8" s="4066"/>
      <c r="W8" s="4062"/>
      <c r="X8" s="4062"/>
      <c r="Y8" s="2997" t="s">
        <v>7</v>
      </c>
      <c r="Z8" s="2997" t="s">
        <v>8</v>
      </c>
      <c r="AA8" s="4062"/>
      <c r="AB8" s="4062"/>
      <c r="AC8" s="2997" t="s">
        <v>7</v>
      </c>
      <c r="AD8" s="3277" t="s">
        <v>8</v>
      </c>
      <c r="AE8" s="4061"/>
      <c r="AF8" s="2995"/>
      <c r="AG8" s="2998"/>
      <c r="AH8" s="2998"/>
      <c r="AI8" s="3405" t="s">
        <v>469</v>
      </c>
      <c r="AJ8" s="2998"/>
      <c r="AK8" s="2998"/>
      <c r="AL8" s="2998" t="s">
        <v>469</v>
      </c>
      <c r="AM8" s="2998"/>
      <c r="AO8" s="2983" t="s">
        <v>1196</v>
      </c>
    </row>
    <row r="9" spans="1:42">
      <c r="A9" s="2999"/>
      <c r="B9" s="3000" t="s">
        <v>306</v>
      </c>
      <c r="C9" s="3001"/>
      <c r="D9" s="3002"/>
      <c r="E9" s="3003"/>
      <c r="F9" s="3003">
        <f>SUM(F10:F139)</f>
        <v>0</v>
      </c>
      <c r="G9" s="3003"/>
      <c r="H9" s="3003"/>
      <c r="I9" s="3003"/>
      <c r="J9" s="3003"/>
      <c r="K9" s="3003"/>
      <c r="L9" s="3003"/>
      <c r="M9" s="3003"/>
      <c r="N9" s="3003"/>
      <c r="O9" s="3003"/>
      <c r="P9" s="3300"/>
      <c r="Q9" s="3003"/>
      <c r="R9" s="3000"/>
      <c r="S9" s="3000">
        <f>SUM(S10:S139)</f>
        <v>0</v>
      </c>
      <c r="T9" s="3000"/>
      <c r="U9" s="4065"/>
      <c r="V9" s="4066"/>
      <c r="W9" s="3003"/>
      <c r="X9" s="3000">
        <f>SUM(X10:X139)</f>
        <v>3138141</v>
      </c>
      <c r="Y9" s="3000">
        <f>SUM(Y10:Y139)</f>
        <v>0</v>
      </c>
      <c r="Z9" s="3000">
        <f>SUM(Z10:Z139)</f>
        <v>3138141</v>
      </c>
      <c r="AA9" s="3003"/>
      <c r="AB9" s="3000">
        <f>SUM(AB10:AB139)</f>
        <v>3295061</v>
      </c>
      <c r="AC9" s="3000">
        <f>SUM(AC10:AC139)</f>
        <v>0</v>
      </c>
      <c r="AD9" s="3278">
        <f>SUM(AD10:AD139)</f>
        <v>3295061</v>
      </c>
      <c r="AE9" s="3004"/>
      <c r="AF9" s="2995"/>
      <c r="AG9" s="2995"/>
      <c r="AH9" s="2995"/>
      <c r="AI9" s="3405"/>
      <c r="AJ9" s="2995"/>
      <c r="AK9" s="2995"/>
      <c r="AL9" s="2995"/>
      <c r="AM9" s="2995"/>
    </row>
    <row r="10" spans="1:42" ht="25.5" hidden="1" customHeight="1">
      <c r="A10" s="3222">
        <v>1</v>
      </c>
      <c r="B10" s="3299" t="s">
        <v>2705</v>
      </c>
      <c r="C10" s="3299" t="s">
        <v>2706</v>
      </c>
      <c r="D10" s="3291" t="s">
        <v>1268</v>
      </c>
      <c r="E10" s="3296">
        <v>16815.8</v>
      </c>
      <c r="F10" s="3300">
        <f>SUM(F11:F140)</f>
        <v>0</v>
      </c>
      <c r="G10" s="3300"/>
      <c r="H10" s="3301"/>
      <c r="I10" s="3301"/>
      <c r="J10" s="3301"/>
      <c r="K10" s="3301"/>
      <c r="L10" s="3214">
        <v>15</v>
      </c>
      <c r="M10" s="3302"/>
      <c r="N10" s="3301"/>
      <c r="O10" s="3301"/>
      <c r="P10" s="3291">
        <f t="shared" ref="P10:P39" si="0">L10-N10-O10</f>
        <v>15</v>
      </c>
      <c r="Q10" s="3216">
        <v>610</v>
      </c>
      <c r="R10" s="3291">
        <f>ROUND(P10*AE10,2)</f>
        <v>10248</v>
      </c>
      <c r="S10" s="3291"/>
      <c r="T10" s="3291">
        <f t="shared" ref="T10:T39" si="1">R10-S10</f>
        <v>10248</v>
      </c>
      <c r="U10" s="3303"/>
      <c r="V10" s="3303"/>
      <c r="W10" s="3291">
        <f t="shared" ref="W10:W20" si="2">Q10*$W$4</f>
        <v>646.6</v>
      </c>
      <c r="X10" s="3291">
        <f t="shared" ref="X10:X20" si="3">ROUND(P10*W10,0)</f>
        <v>9699</v>
      </c>
      <c r="Y10" s="3291"/>
      <c r="Z10" s="3291">
        <f t="shared" ref="Z10:Z20" si="4">X10-Y10</f>
        <v>9699</v>
      </c>
      <c r="AA10" s="3291">
        <f t="shared" ref="AA10:AA20" si="5">W10*$AA$4</f>
        <v>678.93000000000006</v>
      </c>
      <c r="AB10" s="3291">
        <f t="shared" ref="AB10:AB20" si="6">ROUND(P10*AA10,0)</f>
        <v>10184</v>
      </c>
      <c r="AC10" s="3291"/>
      <c r="AD10" s="3304">
        <f t="shared" ref="AD10:AD20" si="7">AB10-AC10</f>
        <v>10184</v>
      </c>
      <c r="AE10" s="3305">
        <f>ROUND(Q10*AF10,2)</f>
        <v>683.2</v>
      </c>
      <c r="AF10" s="2995">
        <v>1.1200000000000001</v>
      </c>
      <c r="AG10" s="2995"/>
      <c r="AH10" s="2995"/>
      <c r="AI10" s="3405" t="s">
        <v>2705</v>
      </c>
      <c r="AJ10" s="2995">
        <f>IF(B10=AI10,0,1)</f>
        <v>0</v>
      </c>
      <c r="AK10" s="2995">
        <f>P10+'хоз 2.03.06.'!P10</f>
        <v>20</v>
      </c>
      <c r="AL10" s="2995"/>
      <c r="AM10" s="2995"/>
      <c r="AO10" s="3299" t="s">
        <v>2705</v>
      </c>
      <c r="AP10" s="2983">
        <f>IF(B10=AO10,0,1)</f>
        <v>0</v>
      </c>
    </row>
    <row r="11" spans="1:42" ht="24" hidden="1">
      <c r="A11" s="3222">
        <v>2</v>
      </c>
      <c r="B11" s="3299" t="s">
        <v>2699</v>
      </c>
      <c r="C11" s="3299" t="s">
        <v>2700</v>
      </c>
      <c r="D11" s="3291" t="s">
        <v>1268</v>
      </c>
      <c r="E11" s="3296">
        <f>[67]Лист2!F10</f>
        <v>16815.8</v>
      </c>
      <c r="F11" s="3300">
        <f>SUM(F12:F141)</f>
        <v>0</v>
      </c>
      <c r="G11" s="3300"/>
      <c r="H11" s="3301"/>
      <c r="I11" s="3301"/>
      <c r="J11" s="3301"/>
      <c r="K11" s="3301"/>
      <c r="L11" s="3214">
        <v>15</v>
      </c>
      <c r="M11" s="3302"/>
      <c r="N11" s="3301"/>
      <c r="O11" s="3301"/>
      <c r="P11" s="3291">
        <f t="shared" si="0"/>
        <v>15</v>
      </c>
      <c r="Q11" s="3216">
        <v>820</v>
      </c>
      <c r="R11" s="3291">
        <f t="shared" ref="R11:R74" si="8">ROUND(P11*AE11,2)</f>
        <v>13776</v>
      </c>
      <c r="S11" s="3291"/>
      <c r="T11" s="3291">
        <f t="shared" si="1"/>
        <v>13776</v>
      </c>
      <c r="U11" s="3303"/>
      <c r="V11" s="3303"/>
      <c r="W11" s="3291">
        <f t="shared" si="2"/>
        <v>869.2</v>
      </c>
      <c r="X11" s="3291">
        <f t="shared" si="3"/>
        <v>13038</v>
      </c>
      <c r="Y11" s="3291"/>
      <c r="Z11" s="3291">
        <f t="shared" si="4"/>
        <v>13038</v>
      </c>
      <c r="AA11" s="3291">
        <f t="shared" si="5"/>
        <v>912.66000000000008</v>
      </c>
      <c r="AB11" s="3291">
        <f t="shared" si="6"/>
        <v>13690</v>
      </c>
      <c r="AC11" s="3291"/>
      <c r="AD11" s="3304">
        <f t="shared" si="7"/>
        <v>13690</v>
      </c>
      <c r="AE11" s="3305">
        <f t="shared" ref="AE11:AE74" si="9">ROUND(Q11*AF11,2)</f>
        <v>918.4</v>
      </c>
      <c r="AF11" s="2995">
        <v>1.1200000000000001</v>
      </c>
      <c r="AG11" s="2995"/>
      <c r="AH11" s="2995"/>
      <c r="AI11" s="3405" t="s">
        <v>2699</v>
      </c>
      <c r="AJ11" s="2995">
        <f t="shared" ref="AJ11:AJ30" si="10">IF(B11=AI11,0,1)</f>
        <v>0</v>
      </c>
      <c r="AK11" s="2995" t="e">
        <f>P11+'хоз 2.03.06.'!#REF!</f>
        <v>#REF!</v>
      </c>
      <c r="AL11" s="2995"/>
      <c r="AM11" s="2995"/>
      <c r="AO11" s="3299" t="s">
        <v>2699</v>
      </c>
      <c r="AP11" s="2983">
        <f t="shared" ref="AP11:AP20" si="11">IF(B11=AO11,0,1)</f>
        <v>0</v>
      </c>
    </row>
    <row r="12" spans="1:42" ht="24" hidden="1">
      <c r="A12" s="3222">
        <v>3</v>
      </c>
      <c r="B12" s="3299" t="s">
        <v>2703</v>
      </c>
      <c r="C12" s="3299" t="s">
        <v>2704</v>
      </c>
      <c r="D12" s="3291" t="s">
        <v>1268</v>
      </c>
      <c r="E12" s="3296">
        <v>16815.8</v>
      </c>
      <c r="F12" s="3300">
        <f>SUM(F13:F143)</f>
        <v>0</v>
      </c>
      <c r="G12" s="3300"/>
      <c r="H12" s="3301"/>
      <c r="I12" s="3301"/>
      <c r="J12" s="3301"/>
      <c r="K12" s="3301"/>
      <c r="L12" s="3214">
        <v>10</v>
      </c>
      <c r="M12" s="3302"/>
      <c r="N12" s="3301"/>
      <c r="O12" s="3301"/>
      <c r="P12" s="3291">
        <f t="shared" si="0"/>
        <v>10</v>
      </c>
      <c r="Q12" s="3216">
        <v>780</v>
      </c>
      <c r="R12" s="3291">
        <f t="shared" si="8"/>
        <v>8736</v>
      </c>
      <c r="S12" s="3291"/>
      <c r="T12" s="3291">
        <f t="shared" si="1"/>
        <v>8736</v>
      </c>
      <c r="U12" s="3303"/>
      <c r="V12" s="3303"/>
      <c r="W12" s="3291">
        <f t="shared" si="2"/>
        <v>826.80000000000007</v>
      </c>
      <c r="X12" s="3291">
        <f t="shared" si="3"/>
        <v>8268</v>
      </c>
      <c r="Y12" s="3291"/>
      <c r="Z12" s="3291">
        <f t="shared" si="4"/>
        <v>8268</v>
      </c>
      <c r="AA12" s="3291">
        <f t="shared" si="5"/>
        <v>868.1400000000001</v>
      </c>
      <c r="AB12" s="3291">
        <f t="shared" si="6"/>
        <v>8681</v>
      </c>
      <c r="AC12" s="3291"/>
      <c r="AD12" s="3304">
        <f t="shared" si="7"/>
        <v>8681</v>
      </c>
      <c r="AE12" s="3305">
        <f t="shared" si="9"/>
        <v>873.6</v>
      </c>
      <c r="AF12" s="2995">
        <v>1.1200000000000001</v>
      </c>
      <c r="AG12" s="2995"/>
      <c r="AH12" s="2995"/>
      <c r="AI12" s="3405" t="s">
        <v>2703</v>
      </c>
      <c r="AJ12" s="2995">
        <f t="shared" si="10"/>
        <v>0</v>
      </c>
      <c r="AK12" s="2995">
        <f>P12+'хоз 2.03.06.'!P11</f>
        <v>14</v>
      </c>
      <c r="AL12" s="2995"/>
      <c r="AM12" s="2995"/>
      <c r="AO12" s="3299" t="s">
        <v>2703</v>
      </c>
      <c r="AP12" s="2983">
        <f t="shared" si="11"/>
        <v>0</v>
      </c>
    </row>
    <row r="13" spans="1:42" ht="24" hidden="1">
      <c r="A13" s="3222">
        <v>4</v>
      </c>
      <c r="B13" s="3299" t="s">
        <v>2701</v>
      </c>
      <c r="C13" s="3299" t="s">
        <v>2702</v>
      </c>
      <c r="D13" s="3291" t="s">
        <v>1268</v>
      </c>
      <c r="E13" s="3296">
        <v>16815.8</v>
      </c>
      <c r="F13" s="3300">
        <f>SUM(F14:F144)</f>
        <v>0</v>
      </c>
      <c r="G13" s="3300"/>
      <c r="H13" s="3301"/>
      <c r="I13" s="3301"/>
      <c r="J13" s="3301"/>
      <c r="K13" s="3301"/>
      <c r="L13" s="3214">
        <v>10</v>
      </c>
      <c r="M13" s="3302"/>
      <c r="N13" s="3301"/>
      <c r="O13" s="3301"/>
      <c r="P13" s="3291">
        <f t="shared" si="0"/>
        <v>10</v>
      </c>
      <c r="Q13" s="3216">
        <v>730</v>
      </c>
      <c r="R13" s="3291">
        <f t="shared" si="8"/>
        <v>8176</v>
      </c>
      <c r="S13" s="3291"/>
      <c r="T13" s="3291">
        <f t="shared" si="1"/>
        <v>8176</v>
      </c>
      <c r="U13" s="3303"/>
      <c r="V13" s="3303"/>
      <c r="W13" s="3291">
        <f t="shared" si="2"/>
        <v>773.80000000000007</v>
      </c>
      <c r="X13" s="3291">
        <f t="shared" si="3"/>
        <v>7738</v>
      </c>
      <c r="Y13" s="3291"/>
      <c r="Z13" s="3291">
        <f t="shared" si="4"/>
        <v>7738</v>
      </c>
      <c r="AA13" s="3291">
        <f t="shared" si="5"/>
        <v>812.49000000000012</v>
      </c>
      <c r="AB13" s="3291">
        <f t="shared" si="6"/>
        <v>8125</v>
      </c>
      <c r="AC13" s="3291"/>
      <c r="AD13" s="3304">
        <f t="shared" si="7"/>
        <v>8125</v>
      </c>
      <c r="AE13" s="3305">
        <f t="shared" si="9"/>
        <v>817.6</v>
      </c>
      <c r="AF13" s="2995">
        <v>1.1200000000000001</v>
      </c>
      <c r="AG13" s="2995"/>
      <c r="AH13" s="2995"/>
      <c r="AI13" s="3405" t="s">
        <v>2701</v>
      </c>
      <c r="AJ13" s="2995">
        <f t="shared" si="10"/>
        <v>0</v>
      </c>
      <c r="AK13" s="2995" t="e">
        <f>P13+'хоз 2.03.06.'!#REF!</f>
        <v>#REF!</v>
      </c>
      <c r="AL13" s="2995"/>
      <c r="AM13" s="2995"/>
      <c r="AO13" s="3299" t="s">
        <v>2701</v>
      </c>
      <c r="AP13" s="2983">
        <f t="shared" si="11"/>
        <v>0</v>
      </c>
    </row>
    <row r="14" spans="1:42" ht="24" hidden="1">
      <c r="A14" s="3222">
        <v>5</v>
      </c>
      <c r="B14" s="3220" t="s">
        <v>2867</v>
      </c>
      <c r="C14" s="3220" t="s">
        <v>2867</v>
      </c>
      <c r="D14" s="3291" t="s">
        <v>1268</v>
      </c>
      <c r="E14" s="3296">
        <v>16815.8</v>
      </c>
      <c r="F14" s="3300">
        <f t="shared" ref="F14:F25" si="12">SUM(F15:F144)</f>
        <v>0</v>
      </c>
      <c r="G14" s="3300"/>
      <c r="H14" s="3291"/>
      <c r="I14" s="3301"/>
      <c r="J14" s="3301"/>
      <c r="K14" s="3291"/>
      <c r="L14" s="3214">
        <v>5</v>
      </c>
      <c r="M14" s="3302"/>
      <c r="N14" s="3291"/>
      <c r="O14" s="3301"/>
      <c r="P14" s="3291">
        <f t="shared" si="0"/>
        <v>5</v>
      </c>
      <c r="Q14" s="3214">
        <v>4000</v>
      </c>
      <c r="R14" s="3291">
        <f t="shared" si="8"/>
        <v>22400</v>
      </c>
      <c r="S14" s="3291"/>
      <c r="T14" s="3291">
        <f t="shared" si="1"/>
        <v>22400</v>
      </c>
      <c r="U14" s="3303">
        <v>44</v>
      </c>
      <c r="V14" s="3303">
        <v>1.07</v>
      </c>
      <c r="W14" s="3291">
        <f t="shared" si="2"/>
        <v>4240</v>
      </c>
      <c r="X14" s="3291">
        <f t="shared" si="3"/>
        <v>21200</v>
      </c>
      <c r="Y14" s="3291"/>
      <c r="Z14" s="3291">
        <f t="shared" si="4"/>
        <v>21200</v>
      </c>
      <c r="AA14" s="3291">
        <f t="shared" si="5"/>
        <v>4452</v>
      </c>
      <c r="AB14" s="3291">
        <f t="shared" si="6"/>
        <v>22260</v>
      </c>
      <c r="AC14" s="3291"/>
      <c r="AD14" s="3304">
        <f t="shared" si="7"/>
        <v>22260</v>
      </c>
      <c r="AE14" s="3305">
        <f t="shared" si="9"/>
        <v>4480</v>
      </c>
      <c r="AF14" s="2995">
        <v>1.1200000000000001</v>
      </c>
      <c r="AG14" s="2995"/>
      <c r="AH14" s="2995"/>
      <c r="AI14" s="3410"/>
      <c r="AJ14" s="3411"/>
      <c r="AK14" s="2995"/>
      <c r="AL14" s="3405" t="s">
        <v>2852</v>
      </c>
      <c r="AM14" s="2995">
        <f>IF(B14=AL14,0,1)</f>
        <v>1</v>
      </c>
      <c r="AO14" s="3220" t="s">
        <v>2867</v>
      </c>
      <c r="AP14" s="2983">
        <f t="shared" si="11"/>
        <v>0</v>
      </c>
    </row>
    <row r="15" spans="1:42" hidden="1">
      <c r="A15" s="3222">
        <v>6</v>
      </c>
      <c r="B15" s="3220" t="s">
        <v>2717</v>
      </c>
      <c r="C15" s="3220" t="s">
        <v>2717</v>
      </c>
      <c r="D15" s="3302" t="s">
        <v>1268</v>
      </c>
      <c r="E15" s="3296">
        <v>16815.8</v>
      </c>
      <c r="F15" s="3300">
        <f t="shared" si="12"/>
        <v>0</v>
      </c>
      <c r="G15" s="3300"/>
      <c r="H15" s="3291"/>
      <c r="I15" s="3301"/>
      <c r="J15" s="3301"/>
      <c r="K15" s="3291"/>
      <c r="L15" s="3214">
        <v>10</v>
      </c>
      <c r="M15" s="3291"/>
      <c r="N15" s="3291"/>
      <c r="O15" s="3291"/>
      <c r="P15" s="3291">
        <f t="shared" si="0"/>
        <v>10</v>
      </c>
      <c r="Q15" s="3216">
        <v>620</v>
      </c>
      <c r="R15" s="3291">
        <f t="shared" si="8"/>
        <v>6944</v>
      </c>
      <c r="S15" s="3291"/>
      <c r="T15" s="3291">
        <f t="shared" si="1"/>
        <v>6944</v>
      </c>
      <c r="U15" s="3303"/>
      <c r="V15" s="3303"/>
      <c r="W15" s="3291">
        <f t="shared" si="2"/>
        <v>657.2</v>
      </c>
      <c r="X15" s="3291">
        <f t="shared" si="3"/>
        <v>6572</v>
      </c>
      <c r="Y15" s="3291"/>
      <c r="Z15" s="3291">
        <f t="shared" si="4"/>
        <v>6572</v>
      </c>
      <c r="AA15" s="3291">
        <f t="shared" si="5"/>
        <v>690.06000000000006</v>
      </c>
      <c r="AB15" s="3291">
        <f t="shared" si="6"/>
        <v>6901</v>
      </c>
      <c r="AC15" s="3291"/>
      <c r="AD15" s="3304">
        <f t="shared" si="7"/>
        <v>6901</v>
      </c>
      <c r="AE15" s="3305">
        <f t="shared" si="9"/>
        <v>694.4</v>
      </c>
      <c r="AF15" s="2995">
        <v>1.1200000000000001</v>
      </c>
      <c r="AG15" s="2995"/>
      <c r="AH15" s="2995"/>
      <c r="AI15" s="3405" t="s">
        <v>2717</v>
      </c>
      <c r="AJ15" s="2995">
        <f t="shared" si="10"/>
        <v>0</v>
      </c>
      <c r="AK15" s="2995"/>
      <c r="AL15" s="2995"/>
      <c r="AM15" s="2995"/>
      <c r="AO15" s="3220" t="s">
        <v>2717</v>
      </c>
      <c r="AP15" s="2983">
        <f t="shared" si="11"/>
        <v>0</v>
      </c>
    </row>
    <row r="16" spans="1:42" ht="24" hidden="1">
      <c r="A16" s="3222">
        <v>7</v>
      </c>
      <c r="B16" s="3220" t="s">
        <v>2719</v>
      </c>
      <c r="C16" s="3220" t="s">
        <v>2719</v>
      </c>
      <c r="D16" s="3302" t="s">
        <v>1268</v>
      </c>
      <c r="E16" s="3296">
        <v>16815.8</v>
      </c>
      <c r="F16" s="3300">
        <f t="shared" si="12"/>
        <v>0</v>
      </c>
      <c r="G16" s="3300"/>
      <c r="H16" s="3291"/>
      <c r="I16" s="3301"/>
      <c r="J16" s="3301"/>
      <c r="K16" s="3291"/>
      <c r="L16" s="3214">
        <v>20</v>
      </c>
      <c r="M16" s="3302"/>
      <c r="N16" s="3291"/>
      <c r="O16" s="3291"/>
      <c r="P16" s="3291">
        <f t="shared" si="0"/>
        <v>20</v>
      </c>
      <c r="Q16" s="3214" t="s">
        <v>2720</v>
      </c>
      <c r="R16" s="3291">
        <f t="shared" si="8"/>
        <v>2016</v>
      </c>
      <c r="S16" s="3291"/>
      <c r="T16" s="3291">
        <f t="shared" si="1"/>
        <v>2016</v>
      </c>
      <c r="U16" s="3303"/>
      <c r="V16" s="3303"/>
      <c r="W16" s="3291">
        <f t="shared" si="2"/>
        <v>95.4</v>
      </c>
      <c r="X16" s="3291">
        <f t="shared" si="3"/>
        <v>1908</v>
      </c>
      <c r="Y16" s="3291"/>
      <c r="Z16" s="3291">
        <f t="shared" si="4"/>
        <v>1908</v>
      </c>
      <c r="AA16" s="3291">
        <f t="shared" si="5"/>
        <v>100.17000000000002</v>
      </c>
      <c r="AB16" s="3291">
        <f t="shared" si="6"/>
        <v>2003</v>
      </c>
      <c r="AC16" s="3291"/>
      <c r="AD16" s="3304">
        <f t="shared" si="7"/>
        <v>2003</v>
      </c>
      <c r="AE16" s="3305">
        <f t="shared" si="9"/>
        <v>100.8</v>
      </c>
      <c r="AF16" s="2995">
        <v>1.1200000000000001</v>
      </c>
      <c r="AG16" s="2995"/>
      <c r="AH16" s="2995"/>
      <c r="AI16" s="3405" t="s">
        <v>2719</v>
      </c>
      <c r="AJ16" s="2995">
        <f t="shared" si="10"/>
        <v>0</v>
      </c>
      <c r="AK16" s="2995"/>
      <c r="AL16" s="2995"/>
      <c r="AM16" s="2995"/>
      <c r="AO16" s="3220" t="s">
        <v>2719</v>
      </c>
      <c r="AP16" s="2983">
        <f t="shared" si="11"/>
        <v>0</v>
      </c>
    </row>
    <row r="17" spans="1:44" hidden="1">
      <c r="A17" s="3222">
        <v>8</v>
      </c>
      <c r="B17" s="3220" t="s">
        <v>2721</v>
      </c>
      <c r="C17" s="3220" t="s">
        <v>2721</v>
      </c>
      <c r="D17" s="3302" t="s">
        <v>1268</v>
      </c>
      <c r="E17" s="3296">
        <v>16815.8</v>
      </c>
      <c r="F17" s="3300">
        <f t="shared" si="12"/>
        <v>0</v>
      </c>
      <c r="G17" s="3300"/>
      <c r="H17" s="3301"/>
      <c r="I17" s="3301"/>
      <c r="J17" s="3301"/>
      <c r="K17" s="3301"/>
      <c r="L17" s="3214">
        <v>20</v>
      </c>
      <c r="M17" s="3302"/>
      <c r="N17" s="3301"/>
      <c r="O17" s="3301"/>
      <c r="P17" s="3291">
        <f t="shared" si="0"/>
        <v>20</v>
      </c>
      <c r="Q17" s="3214" t="s">
        <v>2722</v>
      </c>
      <c r="R17" s="3291">
        <f t="shared" si="8"/>
        <v>2240</v>
      </c>
      <c r="S17" s="3291"/>
      <c r="T17" s="3291">
        <f t="shared" si="1"/>
        <v>2240</v>
      </c>
      <c r="U17" s="3303"/>
      <c r="V17" s="3303"/>
      <c r="W17" s="3291">
        <f t="shared" si="2"/>
        <v>106</v>
      </c>
      <c r="X17" s="3291">
        <f t="shared" si="3"/>
        <v>2120</v>
      </c>
      <c r="Y17" s="3291"/>
      <c r="Z17" s="3291">
        <f t="shared" si="4"/>
        <v>2120</v>
      </c>
      <c r="AA17" s="3291">
        <f t="shared" si="5"/>
        <v>111.30000000000001</v>
      </c>
      <c r="AB17" s="3291">
        <f t="shared" si="6"/>
        <v>2226</v>
      </c>
      <c r="AC17" s="3291"/>
      <c r="AD17" s="3304">
        <f t="shared" si="7"/>
        <v>2226</v>
      </c>
      <c r="AE17" s="3305">
        <f t="shared" si="9"/>
        <v>112</v>
      </c>
      <c r="AF17" s="2995">
        <v>1.1200000000000001</v>
      </c>
      <c r="AG17" s="2995"/>
      <c r="AH17" s="2995"/>
      <c r="AI17" s="3405" t="s">
        <v>2721</v>
      </c>
      <c r="AJ17" s="2995">
        <f t="shared" si="10"/>
        <v>0</v>
      </c>
      <c r="AK17" s="2995"/>
      <c r="AL17" s="2995"/>
      <c r="AM17" s="2995"/>
      <c r="AO17" s="3220" t="s">
        <v>2721</v>
      </c>
      <c r="AP17" s="2983">
        <f t="shared" si="11"/>
        <v>0</v>
      </c>
    </row>
    <row r="18" spans="1:44" hidden="1">
      <c r="A18" s="3222">
        <v>9</v>
      </c>
      <c r="B18" s="3220" t="s">
        <v>2723</v>
      </c>
      <c r="C18" s="3220" t="s">
        <v>2723</v>
      </c>
      <c r="D18" s="3302" t="s">
        <v>1268</v>
      </c>
      <c r="E18" s="3296">
        <v>16815.8</v>
      </c>
      <c r="F18" s="3300">
        <f t="shared" si="12"/>
        <v>0</v>
      </c>
      <c r="G18" s="3300"/>
      <c r="H18" s="3301"/>
      <c r="I18" s="3301"/>
      <c r="J18" s="3301"/>
      <c r="K18" s="3301"/>
      <c r="L18" s="3214">
        <v>20</v>
      </c>
      <c r="M18" s="3302"/>
      <c r="N18" s="3301"/>
      <c r="O18" s="3301"/>
      <c r="P18" s="3291">
        <f t="shared" si="0"/>
        <v>20</v>
      </c>
      <c r="Q18" s="3214" t="s">
        <v>2724</v>
      </c>
      <c r="R18" s="3291">
        <f t="shared" si="8"/>
        <v>1792</v>
      </c>
      <c r="S18" s="3291"/>
      <c r="T18" s="3291">
        <f t="shared" si="1"/>
        <v>1792</v>
      </c>
      <c r="U18" s="3303"/>
      <c r="V18" s="3303"/>
      <c r="W18" s="3291">
        <f t="shared" si="2"/>
        <v>84.800000000000011</v>
      </c>
      <c r="X18" s="3291">
        <f t="shared" si="3"/>
        <v>1696</v>
      </c>
      <c r="Y18" s="3291"/>
      <c r="Z18" s="3291">
        <f t="shared" si="4"/>
        <v>1696</v>
      </c>
      <c r="AA18" s="3291">
        <f t="shared" si="5"/>
        <v>89.04000000000002</v>
      </c>
      <c r="AB18" s="3291">
        <f t="shared" si="6"/>
        <v>1781</v>
      </c>
      <c r="AC18" s="3291"/>
      <c r="AD18" s="3304">
        <f t="shared" si="7"/>
        <v>1781</v>
      </c>
      <c r="AE18" s="3305">
        <f t="shared" si="9"/>
        <v>89.6</v>
      </c>
      <c r="AF18" s="2995">
        <v>1.1200000000000001</v>
      </c>
      <c r="AG18" s="2995"/>
      <c r="AH18" s="2995"/>
      <c r="AI18" s="3405" t="s">
        <v>2723</v>
      </c>
      <c r="AJ18" s="2995">
        <f t="shared" si="10"/>
        <v>0</v>
      </c>
      <c r="AK18" s="2995"/>
      <c r="AL18" s="2995"/>
      <c r="AM18" s="2995"/>
      <c r="AO18" s="3220" t="s">
        <v>2723</v>
      </c>
      <c r="AP18" s="2983">
        <f t="shared" si="11"/>
        <v>0</v>
      </c>
    </row>
    <row r="19" spans="1:44" ht="24" hidden="1">
      <c r="A19" s="3222">
        <v>10</v>
      </c>
      <c r="B19" s="3220" t="s">
        <v>2718</v>
      </c>
      <c r="C19" s="3220" t="s">
        <v>2718</v>
      </c>
      <c r="D19" s="3302" t="s">
        <v>1268</v>
      </c>
      <c r="E19" s="3296">
        <v>16815.8</v>
      </c>
      <c r="F19" s="3300">
        <f t="shared" si="12"/>
        <v>0</v>
      </c>
      <c r="G19" s="3300"/>
      <c r="H19" s="3291"/>
      <c r="I19" s="3301"/>
      <c r="J19" s="3301"/>
      <c r="K19" s="3291"/>
      <c r="L19" s="3214">
        <v>300</v>
      </c>
      <c r="M19" s="3291"/>
      <c r="N19" s="3291"/>
      <c r="O19" s="3291"/>
      <c r="P19" s="3291">
        <f t="shared" si="0"/>
        <v>300</v>
      </c>
      <c r="Q19" s="3216">
        <v>20</v>
      </c>
      <c r="R19" s="3291">
        <f t="shared" si="8"/>
        <v>6720</v>
      </c>
      <c r="S19" s="3291"/>
      <c r="T19" s="3291">
        <f t="shared" si="1"/>
        <v>6720</v>
      </c>
      <c r="U19" s="3303"/>
      <c r="V19" s="3303"/>
      <c r="W19" s="3291">
        <f t="shared" si="2"/>
        <v>21.200000000000003</v>
      </c>
      <c r="X19" s="3291">
        <f t="shared" si="3"/>
        <v>6360</v>
      </c>
      <c r="Y19" s="3291"/>
      <c r="Z19" s="3291">
        <f t="shared" si="4"/>
        <v>6360</v>
      </c>
      <c r="AA19" s="3291">
        <f t="shared" si="5"/>
        <v>22.260000000000005</v>
      </c>
      <c r="AB19" s="3291">
        <f t="shared" si="6"/>
        <v>6678</v>
      </c>
      <c r="AC19" s="3291"/>
      <c r="AD19" s="3304">
        <f t="shared" si="7"/>
        <v>6678</v>
      </c>
      <c r="AE19" s="3305">
        <f t="shared" si="9"/>
        <v>22.4</v>
      </c>
      <c r="AF19" s="2995">
        <v>1.1200000000000001</v>
      </c>
      <c r="AG19" s="2995"/>
      <c r="AH19" s="2995"/>
      <c r="AI19" s="3405" t="s">
        <v>2718</v>
      </c>
      <c r="AJ19" s="2995">
        <f t="shared" si="10"/>
        <v>0</v>
      </c>
      <c r="AK19" s="2995"/>
      <c r="AL19" s="2995"/>
      <c r="AM19" s="2995"/>
      <c r="AO19" s="3220" t="s">
        <v>2718</v>
      </c>
      <c r="AP19" s="2983">
        <f t="shared" si="11"/>
        <v>0</v>
      </c>
    </row>
    <row r="20" spans="1:44" hidden="1">
      <c r="A20" s="3222">
        <v>11</v>
      </c>
      <c r="B20" s="3220" t="s">
        <v>2725</v>
      </c>
      <c r="C20" s="3220" t="s">
        <v>2725</v>
      </c>
      <c r="D20" s="3302" t="s">
        <v>1268</v>
      </c>
      <c r="E20" s="3296">
        <v>16815.8</v>
      </c>
      <c r="F20" s="3300">
        <f t="shared" si="12"/>
        <v>0</v>
      </c>
      <c r="G20" s="3300"/>
      <c r="H20" s="3301"/>
      <c r="I20" s="3301"/>
      <c r="J20" s="3301"/>
      <c r="K20" s="3301"/>
      <c r="L20" s="3214">
        <v>200</v>
      </c>
      <c r="M20" s="3302"/>
      <c r="N20" s="3301"/>
      <c r="O20" s="3301"/>
      <c r="P20" s="3291">
        <f t="shared" si="0"/>
        <v>200</v>
      </c>
      <c r="Q20" s="3216">
        <v>17</v>
      </c>
      <c r="R20" s="3291">
        <f t="shared" si="8"/>
        <v>3808</v>
      </c>
      <c r="S20" s="3291"/>
      <c r="T20" s="3291">
        <f t="shared" si="1"/>
        <v>3808</v>
      </c>
      <c r="U20" s="3303"/>
      <c r="V20" s="3303"/>
      <c r="W20" s="3291">
        <f t="shared" si="2"/>
        <v>18.02</v>
      </c>
      <c r="X20" s="3291">
        <f t="shared" si="3"/>
        <v>3604</v>
      </c>
      <c r="Y20" s="3291"/>
      <c r="Z20" s="3291">
        <f t="shared" si="4"/>
        <v>3604</v>
      </c>
      <c r="AA20" s="3291">
        <f t="shared" si="5"/>
        <v>18.920999999999999</v>
      </c>
      <c r="AB20" s="3291">
        <f t="shared" si="6"/>
        <v>3784</v>
      </c>
      <c r="AC20" s="3291"/>
      <c r="AD20" s="3304">
        <f t="shared" si="7"/>
        <v>3784</v>
      </c>
      <c r="AE20" s="3305">
        <f t="shared" si="9"/>
        <v>19.04</v>
      </c>
      <c r="AF20" s="2995">
        <v>1.1200000000000001</v>
      </c>
      <c r="AG20" s="2995"/>
      <c r="AH20" s="2995"/>
      <c r="AI20" s="3405" t="s">
        <v>2725</v>
      </c>
      <c r="AJ20" s="2995">
        <f t="shared" si="10"/>
        <v>0</v>
      </c>
      <c r="AK20" s="2995"/>
      <c r="AL20" s="2995"/>
      <c r="AM20" s="2995"/>
      <c r="AO20" s="3220" t="s">
        <v>2725</v>
      </c>
      <c r="AP20" s="2983">
        <f t="shared" si="11"/>
        <v>0</v>
      </c>
    </row>
    <row r="21" spans="1:44" ht="60">
      <c r="A21" s="3222">
        <v>12</v>
      </c>
      <c r="B21" s="3322" t="s">
        <v>3029</v>
      </c>
      <c r="C21" s="3322" t="s">
        <v>3029</v>
      </c>
      <c r="D21" s="3323" t="s">
        <v>1587</v>
      </c>
      <c r="E21" s="3296">
        <v>16815.8</v>
      </c>
      <c r="F21" s="3300">
        <f t="shared" si="12"/>
        <v>0</v>
      </c>
      <c r="G21" s="3300"/>
      <c r="H21" s="3301"/>
      <c r="I21" s="3297"/>
      <c r="J21" s="3297"/>
      <c r="K21" s="3297"/>
      <c r="L21" s="3257">
        <f>2*850*10</f>
        <v>17000</v>
      </c>
      <c r="M21" s="3297"/>
      <c r="N21" s="3297"/>
      <c r="O21" s="3297"/>
      <c r="P21" s="3291">
        <v>8500</v>
      </c>
      <c r="Q21" s="3257">
        <v>85</v>
      </c>
      <c r="R21" s="3291">
        <f t="shared" si="8"/>
        <v>809200</v>
      </c>
      <c r="S21" s="3297"/>
      <c r="T21" s="3291">
        <f t="shared" si="1"/>
        <v>809200</v>
      </c>
      <c r="U21" s="3362"/>
      <c r="V21" s="3362"/>
      <c r="W21" s="3297"/>
      <c r="X21" s="3297"/>
      <c r="Y21" s="3297"/>
      <c r="Z21" s="3297"/>
      <c r="AA21" s="3297"/>
      <c r="AB21" s="3297"/>
      <c r="AC21" s="3297"/>
      <c r="AD21" s="3363"/>
      <c r="AE21" s="3305">
        <f t="shared" si="9"/>
        <v>95.2</v>
      </c>
      <c r="AF21" s="2995">
        <v>1.1200000000000001</v>
      </c>
      <c r="AG21" s="2995"/>
      <c r="AH21" s="2995"/>
      <c r="AI21" s="3405" t="s">
        <v>3029</v>
      </c>
      <c r="AJ21" s="2995">
        <f t="shared" si="10"/>
        <v>0</v>
      </c>
      <c r="AK21" s="2995"/>
      <c r="AL21" s="2995"/>
      <c r="AM21" s="2995"/>
      <c r="AO21" s="3412"/>
      <c r="AP21" s="3411"/>
    </row>
    <row r="22" spans="1:44" hidden="1">
      <c r="A22" s="3222">
        <v>13</v>
      </c>
      <c r="B22" s="3299" t="s">
        <v>2726</v>
      </c>
      <c r="C22" s="3299" t="s">
        <v>2726</v>
      </c>
      <c r="D22" s="3302" t="s">
        <v>1268</v>
      </c>
      <c r="E22" s="3296">
        <v>16815.8</v>
      </c>
      <c r="F22" s="3300">
        <f t="shared" si="12"/>
        <v>0</v>
      </c>
      <c r="G22" s="3300"/>
      <c r="H22" s="3291"/>
      <c r="I22" s="3301"/>
      <c r="J22" s="3301"/>
      <c r="K22" s="3291"/>
      <c r="L22" s="3215">
        <v>1</v>
      </c>
      <c r="M22" s="3302"/>
      <c r="N22" s="3291"/>
      <c r="O22" s="3291"/>
      <c r="P22" s="3291">
        <f t="shared" si="0"/>
        <v>1</v>
      </c>
      <c r="Q22" s="3216">
        <v>1000</v>
      </c>
      <c r="R22" s="3291">
        <f t="shared" si="8"/>
        <v>1120</v>
      </c>
      <c r="S22" s="3291"/>
      <c r="T22" s="3291">
        <f t="shared" si="1"/>
        <v>1120</v>
      </c>
      <c r="U22" s="3303"/>
      <c r="V22" s="3303"/>
      <c r="W22" s="3291">
        <f t="shared" ref="W22:W29" si="13">Q22*$W$4</f>
        <v>1060</v>
      </c>
      <c r="X22" s="3291">
        <f t="shared" ref="X22:X29" si="14">ROUND(P22*W22,0)</f>
        <v>1060</v>
      </c>
      <c r="Y22" s="3291"/>
      <c r="Z22" s="3291">
        <f t="shared" ref="Z22:Z29" si="15">X22-Y22</f>
        <v>1060</v>
      </c>
      <c r="AA22" s="3291">
        <f t="shared" ref="AA22:AA29" si="16">W22*$AA$4</f>
        <v>1113</v>
      </c>
      <c r="AB22" s="3291">
        <f t="shared" ref="AB22:AB29" si="17">ROUND(P22*AA22,0)</f>
        <v>1113</v>
      </c>
      <c r="AC22" s="3291"/>
      <c r="AD22" s="3304">
        <f t="shared" ref="AD22:AD29" si="18">AB22-AC22</f>
        <v>1113</v>
      </c>
      <c r="AE22" s="3305">
        <f t="shared" si="9"/>
        <v>1120</v>
      </c>
      <c r="AF22" s="2995">
        <v>1.1200000000000001</v>
      </c>
      <c r="AG22" s="2995"/>
      <c r="AH22" s="2995"/>
      <c r="AI22" s="3405" t="s">
        <v>2726</v>
      </c>
      <c r="AJ22" s="2995">
        <f t="shared" si="10"/>
        <v>0</v>
      </c>
      <c r="AK22" s="2995"/>
      <c r="AL22" s="2995"/>
      <c r="AM22" s="2995"/>
      <c r="AO22" s="3335" t="s">
        <v>2726</v>
      </c>
      <c r="AP22" s="2983">
        <f>IF(B22=AO22,0,1)</f>
        <v>0</v>
      </c>
    </row>
    <row r="23" spans="1:44" hidden="1">
      <c r="A23" s="3222">
        <v>14</v>
      </c>
      <c r="B23" s="3220" t="s">
        <v>2727</v>
      </c>
      <c r="C23" s="3220" t="s">
        <v>2727</v>
      </c>
      <c r="D23" s="3302" t="s">
        <v>1268</v>
      </c>
      <c r="E23" s="3296">
        <v>16815.8</v>
      </c>
      <c r="F23" s="3300">
        <f t="shared" si="12"/>
        <v>0</v>
      </c>
      <c r="G23" s="3300"/>
      <c r="H23" s="3291"/>
      <c r="I23" s="3301"/>
      <c r="J23" s="3301"/>
      <c r="K23" s="3291"/>
      <c r="L23" s="3215">
        <v>4</v>
      </c>
      <c r="M23" s="3291"/>
      <c r="N23" s="3291"/>
      <c r="O23" s="3291"/>
      <c r="P23" s="3291">
        <f t="shared" si="0"/>
        <v>4</v>
      </c>
      <c r="Q23" s="3216">
        <v>1000</v>
      </c>
      <c r="R23" s="3291">
        <f t="shared" si="8"/>
        <v>4480</v>
      </c>
      <c r="S23" s="3291"/>
      <c r="T23" s="3291">
        <f t="shared" si="1"/>
        <v>4480</v>
      </c>
      <c r="U23" s="3308"/>
      <c r="V23" s="3303"/>
      <c r="W23" s="3291">
        <f t="shared" si="13"/>
        <v>1060</v>
      </c>
      <c r="X23" s="3291">
        <f t="shared" si="14"/>
        <v>4240</v>
      </c>
      <c r="Y23" s="3291"/>
      <c r="Z23" s="3291">
        <f t="shared" si="15"/>
        <v>4240</v>
      </c>
      <c r="AA23" s="3291">
        <f t="shared" si="16"/>
        <v>1113</v>
      </c>
      <c r="AB23" s="3291">
        <f t="shared" si="17"/>
        <v>4452</v>
      </c>
      <c r="AC23" s="3291"/>
      <c r="AD23" s="3304">
        <f t="shared" si="18"/>
        <v>4452</v>
      </c>
      <c r="AE23" s="3305">
        <f t="shared" si="9"/>
        <v>1120</v>
      </c>
      <c r="AF23" s="2995">
        <v>1.1200000000000001</v>
      </c>
      <c r="AG23" s="2995"/>
      <c r="AH23" s="2995"/>
      <c r="AI23" s="3405" t="s">
        <v>2727</v>
      </c>
      <c r="AJ23" s="2995">
        <f t="shared" si="10"/>
        <v>0</v>
      </c>
      <c r="AK23" s="2995"/>
      <c r="AL23" s="2995"/>
      <c r="AM23" s="2995"/>
      <c r="AO23" s="3220" t="s">
        <v>2727</v>
      </c>
      <c r="AP23" s="2983">
        <f t="shared" ref="AP23:AP29" si="19">IF(B23=AO23,0,1)</f>
        <v>0</v>
      </c>
    </row>
    <row r="24" spans="1:44" hidden="1">
      <c r="A24" s="3222">
        <v>15</v>
      </c>
      <c r="B24" s="3220" t="s">
        <v>2728</v>
      </c>
      <c r="C24" s="3220" t="s">
        <v>2728</v>
      </c>
      <c r="D24" s="3302" t="s">
        <v>1268</v>
      </c>
      <c r="E24" s="3296">
        <v>16815.8</v>
      </c>
      <c r="F24" s="3300">
        <f t="shared" si="12"/>
        <v>0</v>
      </c>
      <c r="G24" s="3300"/>
      <c r="H24" s="3291"/>
      <c r="I24" s="3301"/>
      <c r="J24" s="3301"/>
      <c r="K24" s="3291"/>
      <c r="L24" s="3215">
        <v>4</v>
      </c>
      <c r="M24" s="3302"/>
      <c r="N24" s="3291"/>
      <c r="O24" s="3291"/>
      <c r="P24" s="3291">
        <f t="shared" si="0"/>
        <v>4</v>
      </c>
      <c r="Q24" s="3216">
        <v>1100</v>
      </c>
      <c r="R24" s="3291">
        <f t="shared" si="8"/>
        <v>4928</v>
      </c>
      <c r="S24" s="3291"/>
      <c r="T24" s="3291">
        <f t="shared" si="1"/>
        <v>4928</v>
      </c>
      <c r="U24" s="3303"/>
      <c r="V24" s="3303"/>
      <c r="W24" s="3291">
        <f t="shared" si="13"/>
        <v>1166</v>
      </c>
      <c r="X24" s="3291">
        <f t="shared" si="14"/>
        <v>4664</v>
      </c>
      <c r="Y24" s="3291"/>
      <c r="Z24" s="3291">
        <f t="shared" si="15"/>
        <v>4664</v>
      </c>
      <c r="AA24" s="3291">
        <f t="shared" si="16"/>
        <v>1224.3</v>
      </c>
      <c r="AB24" s="3291">
        <f t="shared" si="17"/>
        <v>4897</v>
      </c>
      <c r="AC24" s="3291"/>
      <c r="AD24" s="3304">
        <f t="shared" si="18"/>
        <v>4897</v>
      </c>
      <c r="AE24" s="3305">
        <f t="shared" si="9"/>
        <v>1232</v>
      </c>
      <c r="AF24" s="2995">
        <v>1.1200000000000001</v>
      </c>
      <c r="AG24" s="2995"/>
      <c r="AH24" s="2995"/>
      <c r="AI24" s="3405" t="s">
        <v>2728</v>
      </c>
      <c r="AJ24" s="2995">
        <f t="shared" si="10"/>
        <v>0</v>
      </c>
      <c r="AK24" s="2995"/>
      <c r="AL24" s="2995"/>
      <c r="AM24" s="2995"/>
      <c r="AO24" s="3220" t="s">
        <v>2728</v>
      </c>
      <c r="AP24" s="2983">
        <f t="shared" si="19"/>
        <v>0</v>
      </c>
    </row>
    <row r="25" spans="1:44" ht="24" hidden="1">
      <c r="A25" s="3222">
        <v>16</v>
      </c>
      <c r="B25" s="3220" t="s">
        <v>2884</v>
      </c>
      <c r="C25" s="3221" t="s">
        <v>2885</v>
      </c>
      <c r="D25" s="3291" t="s">
        <v>1268</v>
      </c>
      <c r="E25" s="3296">
        <v>16815.8</v>
      </c>
      <c r="F25" s="3300">
        <f t="shared" si="12"/>
        <v>0</v>
      </c>
      <c r="G25" s="3300"/>
      <c r="H25" s="3301"/>
      <c r="I25" s="3301"/>
      <c r="J25" s="3301"/>
      <c r="K25" s="3301"/>
      <c r="L25" s="3215">
        <v>5</v>
      </c>
      <c r="M25" s="3302"/>
      <c r="N25" s="3301"/>
      <c r="O25" s="3301"/>
      <c r="P25" s="3291">
        <f t="shared" si="0"/>
        <v>5</v>
      </c>
      <c r="Q25" s="3218">
        <v>1500</v>
      </c>
      <c r="R25" s="3291">
        <f t="shared" si="8"/>
        <v>8400</v>
      </c>
      <c r="S25" s="3291"/>
      <c r="T25" s="3291">
        <f t="shared" si="1"/>
        <v>8400</v>
      </c>
      <c r="U25" s="3303">
        <v>64260</v>
      </c>
      <c r="V25" s="3303">
        <v>1.07</v>
      </c>
      <c r="W25" s="3291">
        <f t="shared" si="13"/>
        <v>1590</v>
      </c>
      <c r="X25" s="3291">
        <f t="shared" si="14"/>
        <v>7950</v>
      </c>
      <c r="Y25" s="3291"/>
      <c r="Z25" s="3291">
        <f t="shared" si="15"/>
        <v>7950</v>
      </c>
      <c r="AA25" s="3291">
        <f t="shared" si="16"/>
        <v>1669.5</v>
      </c>
      <c r="AB25" s="3291">
        <f t="shared" si="17"/>
        <v>8348</v>
      </c>
      <c r="AC25" s="3291"/>
      <c r="AD25" s="3304">
        <f t="shared" si="18"/>
        <v>8348</v>
      </c>
      <c r="AE25" s="3305">
        <f t="shared" si="9"/>
        <v>1680</v>
      </c>
      <c r="AF25" s="2995">
        <v>1.1200000000000001</v>
      </c>
      <c r="AG25" s="2995"/>
      <c r="AH25" s="2995"/>
      <c r="AI25" s="3405" t="s">
        <v>2884</v>
      </c>
      <c r="AJ25" s="2995">
        <f t="shared" si="10"/>
        <v>0</v>
      </c>
      <c r="AK25" s="2995"/>
      <c r="AL25" s="2995"/>
      <c r="AM25" s="2995"/>
      <c r="AO25" s="3411"/>
      <c r="AP25" s="3411"/>
      <c r="AQ25" s="3221" t="s">
        <v>2885</v>
      </c>
      <c r="AR25" s="2983">
        <f>IF(B25=AQ25,0,1)</f>
        <v>1</v>
      </c>
    </row>
    <row r="26" spans="1:44" hidden="1">
      <c r="A26" s="3222">
        <v>17</v>
      </c>
      <c r="B26" s="3220" t="s">
        <v>2729</v>
      </c>
      <c r="C26" s="3220" t="s">
        <v>2729</v>
      </c>
      <c r="D26" s="3302" t="s">
        <v>1268</v>
      </c>
      <c r="E26" s="3296">
        <v>16815.8</v>
      </c>
      <c r="F26" s="3300">
        <f>SUM(F27:F158)</f>
        <v>0</v>
      </c>
      <c r="G26" s="3300"/>
      <c r="H26" s="3291"/>
      <c r="I26" s="3301"/>
      <c r="J26" s="3301"/>
      <c r="K26" s="3291"/>
      <c r="L26" s="3215">
        <v>200</v>
      </c>
      <c r="M26" s="3302"/>
      <c r="N26" s="3291"/>
      <c r="O26" s="3291"/>
      <c r="P26" s="3291">
        <f t="shared" si="0"/>
        <v>200</v>
      </c>
      <c r="Q26" s="3216">
        <v>5</v>
      </c>
      <c r="R26" s="3291">
        <f t="shared" si="8"/>
        <v>1120</v>
      </c>
      <c r="S26" s="3291"/>
      <c r="T26" s="3291">
        <f t="shared" si="1"/>
        <v>1120</v>
      </c>
      <c r="U26" s="3303"/>
      <c r="V26" s="3303"/>
      <c r="W26" s="3291">
        <f t="shared" si="13"/>
        <v>5.3000000000000007</v>
      </c>
      <c r="X26" s="3291">
        <f t="shared" si="14"/>
        <v>1060</v>
      </c>
      <c r="Y26" s="3291"/>
      <c r="Z26" s="3291">
        <f t="shared" si="15"/>
        <v>1060</v>
      </c>
      <c r="AA26" s="3291">
        <f t="shared" si="16"/>
        <v>5.5650000000000013</v>
      </c>
      <c r="AB26" s="3291">
        <f t="shared" si="17"/>
        <v>1113</v>
      </c>
      <c r="AC26" s="3291"/>
      <c r="AD26" s="3304">
        <f t="shared" si="18"/>
        <v>1113</v>
      </c>
      <c r="AE26" s="3305">
        <f t="shared" si="9"/>
        <v>5.6</v>
      </c>
      <c r="AF26" s="2995">
        <v>1.1200000000000001</v>
      </c>
      <c r="AG26" s="2995"/>
      <c r="AH26" s="2995"/>
      <c r="AI26" s="3405" t="s">
        <v>2729</v>
      </c>
      <c r="AJ26" s="2995">
        <f t="shared" si="10"/>
        <v>0</v>
      </c>
      <c r="AK26" s="2995"/>
      <c r="AL26" s="2995"/>
      <c r="AM26" s="2995"/>
      <c r="AO26" s="3220" t="s">
        <v>2729</v>
      </c>
      <c r="AP26" s="2983">
        <f t="shared" si="19"/>
        <v>0</v>
      </c>
    </row>
    <row r="27" spans="1:44" ht="15" hidden="1" customHeight="1">
      <c r="A27" s="3222">
        <v>18</v>
      </c>
      <c r="B27" s="3220" t="s">
        <v>2730</v>
      </c>
      <c r="C27" s="3220" t="s">
        <v>2730</v>
      </c>
      <c r="D27" s="3302" t="s">
        <v>1268</v>
      </c>
      <c r="E27" s="3296">
        <v>16815.8</v>
      </c>
      <c r="F27" s="3300">
        <f>SUM(F28:F158)</f>
        <v>0</v>
      </c>
      <c r="G27" s="3300"/>
      <c r="H27" s="3291"/>
      <c r="I27" s="3301"/>
      <c r="J27" s="3301"/>
      <c r="K27" s="3291"/>
      <c r="L27" s="3215">
        <v>10</v>
      </c>
      <c r="M27" s="3302"/>
      <c r="N27" s="3291"/>
      <c r="O27" s="3291"/>
      <c r="P27" s="3291">
        <f t="shared" si="0"/>
        <v>10</v>
      </c>
      <c r="Q27" s="3216">
        <v>1000</v>
      </c>
      <c r="R27" s="3291">
        <f t="shared" si="8"/>
        <v>11200</v>
      </c>
      <c r="S27" s="3291"/>
      <c r="T27" s="3291">
        <f t="shared" si="1"/>
        <v>11200</v>
      </c>
      <c r="U27" s="3303"/>
      <c r="V27" s="3303"/>
      <c r="W27" s="3291">
        <f t="shared" si="13"/>
        <v>1060</v>
      </c>
      <c r="X27" s="3291">
        <f t="shared" si="14"/>
        <v>10600</v>
      </c>
      <c r="Y27" s="3291"/>
      <c r="Z27" s="3291">
        <f t="shared" si="15"/>
        <v>10600</v>
      </c>
      <c r="AA27" s="3291">
        <f t="shared" si="16"/>
        <v>1113</v>
      </c>
      <c r="AB27" s="3291">
        <f t="shared" si="17"/>
        <v>11130</v>
      </c>
      <c r="AC27" s="3291"/>
      <c r="AD27" s="3304">
        <f t="shared" si="18"/>
        <v>11130</v>
      </c>
      <c r="AE27" s="3305">
        <f t="shared" si="9"/>
        <v>1120</v>
      </c>
      <c r="AF27" s="2995">
        <v>1.1200000000000001</v>
      </c>
      <c r="AG27" s="2995"/>
      <c r="AH27" s="2995"/>
      <c r="AI27" s="3405" t="s">
        <v>2730</v>
      </c>
      <c r="AJ27" s="2995">
        <f t="shared" si="10"/>
        <v>0</v>
      </c>
      <c r="AK27" s="2995"/>
      <c r="AL27" s="2995"/>
      <c r="AM27" s="2995"/>
      <c r="AO27" s="3311" t="s">
        <v>2730</v>
      </c>
      <c r="AP27" s="2983">
        <f t="shared" si="19"/>
        <v>0</v>
      </c>
    </row>
    <row r="28" spans="1:44" ht="24" hidden="1">
      <c r="A28" s="3222">
        <v>19</v>
      </c>
      <c r="B28" s="3220" t="s">
        <v>2886</v>
      </c>
      <c r="C28" s="3220" t="s">
        <v>2379</v>
      </c>
      <c r="D28" s="3291" t="s">
        <v>1268</v>
      </c>
      <c r="E28" s="3296">
        <v>16815.8</v>
      </c>
      <c r="F28" s="3300">
        <f>SUM(F29:F159)</f>
        <v>0</v>
      </c>
      <c r="G28" s="3300"/>
      <c r="H28" s="3301"/>
      <c r="I28" s="3301"/>
      <c r="J28" s="3301"/>
      <c r="K28" s="3301"/>
      <c r="L28" s="3215">
        <v>10</v>
      </c>
      <c r="M28" s="3302"/>
      <c r="N28" s="3301"/>
      <c r="O28" s="3301"/>
      <c r="P28" s="3291">
        <f t="shared" si="0"/>
        <v>10</v>
      </c>
      <c r="Q28" s="3218">
        <v>1100</v>
      </c>
      <c r="R28" s="3291">
        <f t="shared" si="8"/>
        <v>12320</v>
      </c>
      <c r="S28" s="3291"/>
      <c r="T28" s="3291">
        <f t="shared" si="1"/>
        <v>12320</v>
      </c>
      <c r="U28" s="3303">
        <v>19170</v>
      </c>
      <c r="V28" s="3303">
        <v>1.07</v>
      </c>
      <c r="W28" s="3291">
        <f t="shared" si="13"/>
        <v>1166</v>
      </c>
      <c r="X28" s="3291">
        <f t="shared" si="14"/>
        <v>11660</v>
      </c>
      <c r="Y28" s="3291"/>
      <c r="Z28" s="3291">
        <f t="shared" si="15"/>
        <v>11660</v>
      </c>
      <c r="AA28" s="3291">
        <f t="shared" si="16"/>
        <v>1224.3</v>
      </c>
      <c r="AB28" s="3291">
        <f t="shared" si="17"/>
        <v>12243</v>
      </c>
      <c r="AC28" s="3291"/>
      <c r="AD28" s="3304">
        <f t="shared" si="18"/>
        <v>12243</v>
      </c>
      <c r="AE28" s="3305">
        <f t="shared" si="9"/>
        <v>1232</v>
      </c>
      <c r="AF28" s="2995">
        <v>1.1200000000000001</v>
      </c>
      <c r="AG28" s="2995"/>
      <c r="AH28" s="2995"/>
      <c r="AI28" s="3405" t="s">
        <v>2886</v>
      </c>
      <c r="AJ28" s="2995">
        <f t="shared" si="10"/>
        <v>0</v>
      </c>
      <c r="AK28" s="2995"/>
      <c r="AL28" s="2995"/>
      <c r="AM28" s="2995"/>
      <c r="AO28" s="3411"/>
      <c r="AP28" s="3411"/>
      <c r="AQ28" s="3220" t="s">
        <v>2379</v>
      </c>
      <c r="AR28" s="2983">
        <f>IF(B28=AQ28,0,1)</f>
        <v>1</v>
      </c>
    </row>
    <row r="29" spans="1:44" ht="24" hidden="1">
      <c r="A29" s="3222">
        <v>20</v>
      </c>
      <c r="B29" s="3299" t="s">
        <v>2731</v>
      </c>
      <c r="C29" s="3299" t="s">
        <v>2731</v>
      </c>
      <c r="D29" s="3302" t="s">
        <v>1268</v>
      </c>
      <c r="E29" s="3296">
        <v>16815.8</v>
      </c>
      <c r="F29" s="3300">
        <f>SUM(F30:F159)</f>
        <v>0</v>
      </c>
      <c r="G29" s="3300"/>
      <c r="H29" s="3291"/>
      <c r="I29" s="3301"/>
      <c r="J29" s="3301"/>
      <c r="K29" s="3291"/>
      <c r="L29" s="3214">
        <v>15</v>
      </c>
      <c r="M29" s="3302"/>
      <c r="N29" s="3291"/>
      <c r="O29" s="3291"/>
      <c r="P29" s="3291">
        <f t="shared" si="0"/>
        <v>15</v>
      </c>
      <c r="Q29" s="3216">
        <v>550</v>
      </c>
      <c r="R29" s="3291">
        <f t="shared" si="8"/>
        <v>9240</v>
      </c>
      <c r="S29" s="3291"/>
      <c r="T29" s="3291">
        <f t="shared" si="1"/>
        <v>9240</v>
      </c>
      <c r="U29" s="3303"/>
      <c r="V29" s="3303"/>
      <c r="W29" s="3291">
        <f t="shared" si="13"/>
        <v>583</v>
      </c>
      <c r="X29" s="3291">
        <f t="shared" si="14"/>
        <v>8745</v>
      </c>
      <c r="Y29" s="3291"/>
      <c r="Z29" s="3291">
        <f t="shared" si="15"/>
        <v>8745</v>
      </c>
      <c r="AA29" s="3291">
        <f t="shared" si="16"/>
        <v>612.15</v>
      </c>
      <c r="AB29" s="3291">
        <f t="shared" si="17"/>
        <v>9182</v>
      </c>
      <c r="AC29" s="3291"/>
      <c r="AD29" s="3304">
        <f t="shared" si="18"/>
        <v>9182</v>
      </c>
      <c r="AE29" s="3305">
        <f t="shared" si="9"/>
        <v>616</v>
      </c>
      <c r="AF29" s="2995">
        <v>1.1200000000000001</v>
      </c>
      <c r="AG29" s="2995"/>
      <c r="AH29" s="2995"/>
      <c r="AI29" s="3405" t="s">
        <v>2731</v>
      </c>
      <c r="AJ29" s="2995">
        <f t="shared" si="10"/>
        <v>0</v>
      </c>
      <c r="AK29" s="2995"/>
      <c r="AL29" s="2995"/>
      <c r="AM29" s="2995"/>
      <c r="AO29" s="3335" t="s">
        <v>2731</v>
      </c>
      <c r="AP29" s="2983">
        <f t="shared" si="19"/>
        <v>0</v>
      </c>
    </row>
    <row r="30" spans="1:44">
      <c r="A30" s="3222">
        <v>21</v>
      </c>
      <c r="B30" s="3365" t="s">
        <v>3058</v>
      </c>
      <c r="C30" s="3365" t="s">
        <v>3058</v>
      </c>
      <c r="D30" s="3323" t="s">
        <v>1022</v>
      </c>
      <c r="E30" s="3296">
        <v>16815.8</v>
      </c>
      <c r="F30" s="3300">
        <f>SUM(F31:F160)</f>
        <v>0</v>
      </c>
      <c r="G30" s="3300"/>
      <c r="H30" s="3301"/>
      <c r="I30" s="3297"/>
      <c r="J30" s="3297"/>
      <c r="K30" s="3297"/>
      <c r="L30" s="3257">
        <v>35</v>
      </c>
      <c r="M30" s="3297"/>
      <c r="N30" s="3297"/>
      <c r="O30" s="3297"/>
      <c r="P30" s="3291">
        <f t="shared" si="0"/>
        <v>35</v>
      </c>
      <c r="Q30" s="3257">
        <v>200</v>
      </c>
      <c r="R30" s="3291">
        <f t="shared" si="8"/>
        <v>7840</v>
      </c>
      <c r="S30" s="3297"/>
      <c r="T30" s="3291">
        <f t="shared" si="1"/>
        <v>7840</v>
      </c>
      <c r="U30" s="3362"/>
      <c r="V30" s="3362"/>
      <c r="W30" s="3297"/>
      <c r="X30" s="3297"/>
      <c r="Y30" s="3297"/>
      <c r="Z30" s="3297"/>
      <c r="AA30" s="3297"/>
      <c r="AB30" s="3297"/>
      <c r="AC30" s="3297"/>
      <c r="AD30" s="3363"/>
      <c r="AE30" s="3305">
        <f t="shared" si="9"/>
        <v>224</v>
      </c>
      <c r="AF30" s="2995">
        <v>1.1200000000000001</v>
      </c>
      <c r="AG30" s="2995"/>
      <c r="AH30" s="2995"/>
      <c r="AI30" s="3405" t="s">
        <v>3058</v>
      </c>
      <c r="AJ30" s="2995">
        <f t="shared" si="10"/>
        <v>0</v>
      </c>
      <c r="AK30" s="2995"/>
      <c r="AL30" s="2995"/>
      <c r="AM30" s="2995"/>
      <c r="AO30" s="3335"/>
    </row>
    <row r="31" spans="1:44" ht="36" hidden="1">
      <c r="A31" s="3222">
        <v>22</v>
      </c>
      <c r="B31" s="3220" t="s">
        <v>2739</v>
      </c>
      <c r="C31" s="3220" t="s">
        <v>2739</v>
      </c>
      <c r="D31" s="3302" t="s">
        <v>2317</v>
      </c>
      <c r="E31" s="3296">
        <v>16815.8</v>
      </c>
      <c r="F31" s="3300">
        <f>SUM(F32:F161)</f>
        <v>0</v>
      </c>
      <c r="G31" s="3300"/>
      <c r="H31" s="3291"/>
      <c r="I31" s="3301"/>
      <c r="J31" s="3301"/>
      <c r="K31" s="3291"/>
      <c r="L31" s="3215">
        <v>2</v>
      </c>
      <c r="M31" s="3302"/>
      <c r="N31" s="3291"/>
      <c r="O31" s="3291"/>
      <c r="P31" s="3291">
        <f t="shared" si="0"/>
        <v>2</v>
      </c>
      <c r="Q31" s="3216">
        <v>1300</v>
      </c>
      <c r="R31" s="3291">
        <f t="shared" si="8"/>
        <v>2912</v>
      </c>
      <c r="S31" s="3291"/>
      <c r="T31" s="3291">
        <f t="shared" si="1"/>
        <v>2912</v>
      </c>
      <c r="U31" s="3303"/>
      <c r="V31" s="3303"/>
      <c r="W31" s="3291">
        <f>Q31*$W$4</f>
        <v>1378</v>
      </c>
      <c r="X31" s="3291">
        <f>ROUND(P31*W31,0)</f>
        <v>2756</v>
      </c>
      <c r="Y31" s="3291"/>
      <c r="Z31" s="3291">
        <f>X31-Y31</f>
        <v>2756</v>
      </c>
      <c r="AA31" s="3291">
        <f>W31*$AA$4</f>
        <v>1446.9</v>
      </c>
      <c r="AB31" s="3291">
        <f>ROUND(P31*AA31,0)</f>
        <v>2894</v>
      </c>
      <c r="AC31" s="3291"/>
      <c r="AD31" s="3304">
        <f>AB31-AC31</f>
        <v>2894</v>
      </c>
      <c r="AE31" s="3305">
        <f t="shared" si="9"/>
        <v>1456</v>
      </c>
      <c r="AF31" s="2995">
        <v>1.1200000000000001</v>
      </c>
      <c r="AG31" s="2995"/>
      <c r="AH31" s="2995"/>
      <c r="AI31" s="3220" t="s">
        <v>2739</v>
      </c>
      <c r="AJ31" s="2995">
        <f>IF(B31=AI31,0,1)</f>
        <v>0</v>
      </c>
      <c r="AK31" s="2995"/>
      <c r="AL31" s="2995"/>
      <c r="AM31" s="3405" t="s">
        <v>3059</v>
      </c>
      <c r="AN31" s="2995">
        <f>IF(B31=AM31,0,1)</f>
        <v>1</v>
      </c>
      <c r="AO31" s="3220" t="s">
        <v>2739</v>
      </c>
      <c r="AP31" s="2983">
        <f>IF(B31=AO31,0,1)</f>
        <v>0</v>
      </c>
    </row>
    <row r="32" spans="1:44" ht="24" hidden="1">
      <c r="A32" s="3222">
        <v>23</v>
      </c>
      <c r="B32" s="3220" t="s">
        <v>2740</v>
      </c>
      <c r="C32" s="3220" t="s">
        <v>2740</v>
      </c>
      <c r="D32" s="3302" t="s">
        <v>2317</v>
      </c>
      <c r="E32" s="3296">
        <v>16815.8</v>
      </c>
      <c r="F32" s="3300">
        <f>SUM(F33:F162)</f>
        <v>0</v>
      </c>
      <c r="G32" s="3300"/>
      <c r="H32" s="3301"/>
      <c r="I32" s="3301"/>
      <c r="J32" s="3301"/>
      <c r="K32" s="3301"/>
      <c r="L32" s="3215">
        <v>3</v>
      </c>
      <c r="M32" s="3302"/>
      <c r="N32" s="3301"/>
      <c r="O32" s="3301"/>
      <c r="P32" s="3291">
        <f t="shared" si="0"/>
        <v>3</v>
      </c>
      <c r="Q32" s="3214" t="s">
        <v>2741</v>
      </c>
      <c r="R32" s="3291">
        <f t="shared" si="8"/>
        <v>3024</v>
      </c>
      <c r="S32" s="3291"/>
      <c r="T32" s="3291">
        <f t="shared" si="1"/>
        <v>3024</v>
      </c>
      <c r="U32" s="3303"/>
      <c r="V32" s="3303"/>
      <c r="W32" s="3291">
        <f>Q32*$W$4</f>
        <v>954</v>
      </c>
      <c r="X32" s="3291">
        <f>ROUND(P32*W32,0)</f>
        <v>2862</v>
      </c>
      <c r="Y32" s="3291"/>
      <c r="Z32" s="3291">
        <f>X32-Y32</f>
        <v>2862</v>
      </c>
      <c r="AA32" s="3291">
        <f>W32*$AA$4</f>
        <v>1001.7</v>
      </c>
      <c r="AB32" s="3291">
        <f>ROUND(P32*AA32,0)</f>
        <v>3005</v>
      </c>
      <c r="AC32" s="3291"/>
      <c r="AD32" s="3304">
        <f>AB32-AC32</f>
        <v>3005</v>
      </c>
      <c r="AE32" s="3305">
        <f t="shared" si="9"/>
        <v>1008</v>
      </c>
      <c r="AF32" s="2995">
        <v>1.1200000000000001</v>
      </c>
      <c r="AG32" s="2995"/>
      <c r="AH32" s="2995"/>
      <c r="AI32" s="3220" t="s">
        <v>2740</v>
      </c>
      <c r="AJ32" s="2995">
        <f t="shared" ref="AJ32:AJ36" si="20">IF(B32=AI32,0,1)</f>
        <v>0</v>
      </c>
      <c r="AK32" s="2995"/>
      <c r="AL32" s="2995"/>
      <c r="AM32" s="3405" t="s">
        <v>2856</v>
      </c>
      <c r="AN32" s="2995">
        <f>IF(B31=AM32,0,1)</f>
        <v>1</v>
      </c>
      <c r="AO32" s="3220" t="s">
        <v>2740</v>
      </c>
      <c r="AP32" s="2983">
        <f t="shared" ref="AP32:AP33" si="21">IF(B32=AO32,0,1)</f>
        <v>0</v>
      </c>
    </row>
    <row r="33" spans="1:44" hidden="1">
      <c r="A33" s="3222">
        <v>24</v>
      </c>
      <c r="B33" s="3220" t="s">
        <v>2734</v>
      </c>
      <c r="C33" s="3220" t="s">
        <v>2734</v>
      </c>
      <c r="D33" s="3302" t="s">
        <v>1268</v>
      </c>
      <c r="E33" s="3296">
        <v>16815.8</v>
      </c>
      <c r="F33" s="3300">
        <f>SUM(F34:F163)</f>
        <v>0</v>
      </c>
      <c r="G33" s="3300"/>
      <c r="H33" s="3291"/>
      <c r="I33" s="3301"/>
      <c r="J33" s="3301"/>
      <c r="K33" s="3291"/>
      <c r="L33" s="3215">
        <v>2</v>
      </c>
      <c r="M33" s="3302"/>
      <c r="N33" s="3291"/>
      <c r="O33" s="3291"/>
      <c r="P33" s="3291">
        <f t="shared" si="0"/>
        <v>2</v>
      </c>
      <c r="Q33" s="3214" t="s">
        <v>2735</v>
      </c>
      <c r="R33" s="3291">
        <f t="shared" si="8"/>
        <v>2240</v>
      </c>
      <c r="S33" s="3291"/>
      <c r="T33" s="3291">
        <f t="shared" si="1"/>
        <v>2240</v>
      </c>
      <c r="U33" s="3303"/>
      <c r="V33" s="3303"/>
      <c r="W33" s="3291">
        <f>Q33*$W$4</f>
        <v>1060</v>
      </c>
      <c r="X33" s="3291">
        <f>ROUND(P33*W33,0)</f>
        <v>2120</v>
      </c>
      <c r="Y33" s="3291"/>
      <c r="Z33" s="3291">
        <f>X33-Y33</f>
        <v>2120</v>
      </c>
      <c r="AA33" s="3291">
        <f>W33*$AA$4</f>
        <v>1113</v>
      </c>
      <c r="AB33" s="3291">
        <f>ROUND(P33*AA33,0)</f>
        <v>2226</v>
      </c>
      <c r="AC33" s="3291"/>
      <c r="AD33" s="3304">
        <f>AB33-AC33</f>
        <v>2226</v>
      </c>
      <c r="AE33" s="3305">
        <f t="shared" si="9"/>
        <v>1120</v>
      </c>
      <c r="AF33" s="2995">
        <v>1.1200000000000001</v>
      </c>
      <c r="AG33" s="2995"/>
      <c r="AH33" s="2995"/>
      <c r="AI33" s="3220" t="s">
        <v>2734</v>
      </c>
      <c r="AJ33" s="2995">
        <f t="shared" si="20"/>
        <v>0</v>
      </c>
      <c r="AK33" s="2995"/>
      <c r="AL33" s="2995"/>
      <c r="AM33" s="2995"/>
      <c r="AO33" s="3220" t="s">
        <v>2734</v>
      </c>
      <c r="AP33" s="2983">
        <f t="shared" si="21"/>
        <v>0</v>
      </c>
    </row>
    <row r="34" spans="1:44" hidden="1">
      <c r="A34" s="3222">
        <v>26</v>
      </c>
      <c r="B34" s="3220" t="s">
        <v>2742</v>
      </c>
      <c r="C34" s="3220" t="s">
        <v>2743</v>
      </c>
      <c r="D34" s="3302" t="s">
        <v>2317</v>
      </c>
      <c r="E34" s="3296">
        <v>16815.8</v>
      </c>
      <c r="F34" s="3300">
        <f>SUM(F35:F165)</f>
        <v>0</v>
      </c>
      <c r="G34" s="3300"/>
      <c r="H34" s="3301"/>
      <c r="I34" s="3301"/>
      <c r="J34" s="3301"/>
      <c r="K34" s="3301"/>
      <c r="L34" s="3215">
        <v>5</v>
      </c>
      <c r="M34" s="3302"/>
      <c r="N34" s="3301"/>
      <c r="O34" s="3301"/>
      <c r="P34" s="3291">
        <f t="shared" si="0"/>
        <v>5</v>
      </c>
      <c r="Q34" s="3214" t="s">
        <v>2744</v>
      </c>
      <c r="R34" s="3291">
        <f t="shared" si="8"/>
        <v>336</v>
      </c>
      <c r="S34" s="3291"/>
      <c r="T34" s="3291">
        <f t="shared" si="1"/>
        <v>336</v>
      </c>
      <c r="U34" s="3303"/>
      <c r="V34" s="3303"/>
      <c r="W34" s="3291">
        <f>Q34*$W$4</f>
        <v>63.6</v>
      </c>
      <c r="X34" s="3291">
        <f>ROUND(P34*W34,0)</f>
        <v>318</v>
      </c>
      <c r="Y34" s="3291"/>
      <c r="Z34" s="3291">
        <f>X34-Y34</f>
        <v>318</v>
      </c>
      <c r="AA34" s="3291">
        <f>W34*$AA$4</f>
        <v>66.78</v>
      </c>
      <c r="AB34" s="3291">
        <f>ROUND(P34*AA34,0)</f>
        <v>334</v>
      </c>
      <c r="AC34" s="3291"/>
      <c r="AD34" s="3304">
        <f>AB34-AC34</f>
        <v>334</v>
      </c>
      <c r="AE34" s="3305">
        <f t="shared" si="9"/>
        <v>67.2</v>
      </c>
      <c r="AF34" s="2995">
        <v>1.1200000000000001</v>
      </c>
      <c r="AG34" s="2995"/>
      <c r="AH34" s="2995"/>
      <c r="AI34" s="3405" t="s">
        <v>2742</v>
      </c>
      <c r="AJ34" s="2995">
        <f t="shared" si="20"/>
        <v>0</v>
      </c>
      <c r="AK34" s="2995"/>
      <c r="AL34" s="2995"/>
      <c r="AM34" s="2995"/>
      <c r="AO34" s="3411"/>
      <c r="AP34" s="3411"/>
      <c r="AQ34" s="3220" t="s">
        <v>2743</v>
      </c>
      <c r="AR34" s="2983">
        <f>IF(B34=AQ34,0,1)</f>
        <v>1</v>
      </c>
    </row>
    <row r="35" spans="1:44" ht="36" hidden="1">
      <c r="A35" s="3222">
        <v>27</v>
      </c>
      <c r="B35" s="3324" t="s">
        <v>3060</v>
      </c>
      <c r="C35" s="3324" t="s">
        <v>3060</v>
      </c>
      <c r="D35" s="3323" t="s">
        <v>1119</v>
      </c>
      <c r="E35" s="3296">
        <v>16815.8</v>
      </c>
      <c r="F35" s="3300">
        <f>SUM(F36:F166)</f>
        <v>0</v>
      </c>
      <c r="G35" s="3300"/>
      <c r="H35" s="3301"/>
      <c r="I35" s="3297"/>
      <c r="J35" s="3297"/>
      <c r="K35" s="3297"/>
      <c r="L35" s="3257">
        <v>20</v>
      </c>
      <c r="M35" s="3297"/>
      <c r="N35" s="3297"/>
      <c r="O35" s="3297"/>
      <c r="P35" s="3291">
        <f t="shared" si="0"/>
        <v>20</v>
      </c>
      <c r="Q35" s="3257">
        <v>475</v>
      </c>
      <c r="R35" s="3291">
        <f t="shared" si="8"/>
        <v>10640</v>
      </c>
      <c r="S35" s="3297"/>
      <c r="T35" s="3291">
        <f t="shared" si="1"/>
        <v>10640</v>
      </c>
      <c r="U35" s="3362"/>
      <c r="V35" s="3362"/>
      <c r="W35" s="3297"/>
      <c r="X35" s="3297"/>
      <c r="Y35" s="3297"/>
      <c r="Z35" s="3297"/>
      <c r="AA35" s="3297"/>
      <c r="AB35" s="3297"/>
      <c r="AC35" s="3297"/>
      <c r="AD35" s="3363"/>
      <c r="AE35" s="3305">
        <f t="shared" si="9"/>
        <v>532</v>
      </c>
      <c r="AF35" s="2995">
        <v>1.1200000000000001</v>
      </c>
      <c r="AG35" s="2995"/>
      <c r="AH35" s="2995"/>
      <c r="AI35" s="3405" t="s">
        <v>3060</v>
      </c>
      <c r="AJ35" s="2995">
        <f t="shared" si="20"/>
        <v>0</v>
      </c>
      <c r="AK35" s="2995"/>
      <c r="AL35" s="2995"/>
      <c r="AM35" s="2995"/>
      <c r="AO35" s="3411"/>
      <c r="AP35" s="3411"/>
      <c r="AQ35" s="3335" t="s">
        <v>3061</v>
      </c>
      <c r="AR35" s="2983">
        <f>IF(B35=AQ35,0,1)</f>
        <v>1</v>
      </c>
    </row>
    <row r="36" spans="1:44" hidden="1">
      <c r="A36" s="3222">
        <v>28</v>
      </c>
      <c r="B36" s="3220" t="s">
        <v>2748</v>
      </c>
      <c r="C36" s="3220" t="s">
        <v>2748</v>
      </c>
      <c r="D36" s="3291" t="s">
        <v>1268</v>
      </c>
      <c r="E36" s="3296">
        <v>16815.8</v>
      </c>
      <c r="F36" s="3300">
        <f>SUM(F37:F167)</f>
        <v>0</v>
      </c>
      <c r="G36" s="3300"/>
      <c r="H36" s="3301"/>
      <c r="I36" s="3301"/>
      <c r="J36" s="3301"/>
      <c r="K36" s="3301"/>
      <c r="L36" s="3215">
        <v>1</v>
      </c>
      <c r="M36" s="3302"/>
      <c r="N36" s="3301"/>
      <c r="O36" s="3301"/>
      <c r="P36" s="3291">
        <f t="shared" si="0"/>
        <v>1</v>
      </c>
      <c r="Q36" s="3216">
        <v>1000</v>
      </c>
      <c r="R36" s="3291">
        <f t="shared" si="8"/>
        <v>1120</v>
      </c>
      <c r="S36" s="3291"/>
      <c r="T36" s="3291">
        <f t="shared" si="1"/>
        <v>1120</v>
      </c>
      <c r="U36" s="3303"/>
      <c r="V36" s="3303"/>
      <c r="W36" s="3291">
        <f t="shared" ref="W36:W71" si="22">Q36*$W$4</f>
        <v>1060</v>
      </c>
      <c r="X36" s="3291">
        <f t="shared" ref="X36:X71" si="23">ROUND(P36*W36,0)</f>
        <v>1060</v>
      </c>
      <c r="Y36" s="3291"/>
      <c r="Z36" s="3291">
        <f t="shared" ref="Z36:Z71" si="24">X36-Y36</f>
        <v>1060</v>
      </c>
      <c r="AA36" s="3291">
        <f t="shared" ref="AA36:AA71" si="25">W36*$AA$4</f>
        <v>1113</v>
      </c>
      <c r="AB36" s="3291">
        <f t="shared" ref="AB36:AB71" si="26">ROUND(P36*AA36,0)</f>
        <v>1113</v>
      </c>
      <c r="AC36" s="3291"/>
      <c r="AD36" s="3304">
        <f t="shared" ref="AD36:AD71" si="27">AB36-AC36</f>
        <v>1113</v>
      </c>
      <c r="AE36" s="3305">
        <f t="shared" si="9"/>
        <v>1120</v>
      </c>
      <c r="AF36" s="2995">
        <v>1.1200000000000001</v>
      </c>
      <c r="AG36" s="2995"/>
      <c r="AH36" s="2995"/>
      <c r="AI36" s="3405" t="s">
        <v>2748</v>
      </c>
      <c r="AJ36" s="2995">
        <f t="shared" si="20"/>
        <v>0</v>
      </c>
      <c r="AK36" s="2995"/>
      <c r="AL36" s="2995"/>
      <c r="AM36" s="2995"/>
      <c r="AO36" s="3413"/>
      <c r="AP36" s="3411"/>
    </row>
    <row r="37" spans="1:44" ht="24" hidden="1">
      <c r="A37" s="3222">
        <v>29</v>
      </c>
      <c r="B37" s="3221" t="s">
        <v>2733</v>
      </c>
      <c r="C37" s="3221" t="s">
        <v>2733</v>
      </c>
      <c r="D37" s="3302" t="s">
        <v>1268</v>
      </c>
      <c r="E37" s="3296">
        <v>16815.8</v>
      </c>
      <c r="F37" s="3300">
        <f>SUM(F38:F168)</f>
        <v>0</v>
      </c>
      <c r="G37" s="3300"/>
      <c r="H37" s="3291"/>
      <c r="I37" s="3301"/>
      <c r="J37" s="3301"/>
      <c r="K37" s="3291"/>
      <c r="L37" s="3215">
        <v>15</v>
      </c>
      <c r="M37" s="3291"/>
      <c r="N37" s="3291"/>
      <c r="O37" s="3291"/>
      <c r="P37" s="3291">
        <f t="shared" si="0"/>
        <v>15</v>
      </c>
      <c r="Q37" s="3216">
        <v>4500</v>
      </c>
      <c r="R37" s="3291">
        <f t="shared" si="8"/>
        <v>75600</v>
      </c>
      <c r="S37" s="3291"/>
      <c r="T37" s="3291">
        <f t="shared" si="1"/>
        <v>75600</v>
      </c>
      <c r="U37" s="3303"/>
      <c r="V37" s="3303"/>
      <c r="W37" s="3291">
        <f t="shared" si="22"/>
        <v>4770</v>
      </c>
      <c r="X37" s="3291">
        <f t="shared" si="23"/>
        <v>71550</v>
      </c>
      <c r="Y37" s="3291"/>
      <c r="Z37" s="3291">
        <f t="shared" si="24"/>
        <v>71550</v>
      </c>
      <c r="AA37" s="3291">
        <f t="shared" si="25"/>
        <v>5008.5</v>
      </c>
      <c r="AB37" s="3291">
        <f t="shared" si="26"/>
        <v>75128</v>
      </c>
      <c r="AC37" s="3291"/>
      <c r="AD37" s="3304">
        <f t="shared" si="27"/>
        <v>75128</v>
      </c>
      <c r="AE37" s="3305">
        <f t="shared" si="9"/>
        <v>5040</v>
      </c>
      <c r="AF37" s="2995">
        <v>1.1200000000000001</v>
      </c>
      <c r="AG37" s="2995"/>
      <c r="AH37" s="2995"/>
      <c r="AI37" s="3405" t="s">
        <v>2733</v>
      </c>
      <c r="AJ37" s="2995">
        <f>IF(B37=AI37,0,1)</f>
        <v>0</v>
      </c>
      <c r="AK37" s="2995"/>
      <c r="AL37" s="2995"/>
      <c r="AM37" s="2995"/>
      <c r="AO37" s="3413"/>
      <c r="AP37" s="3411"/>
    </row>
    <row r="38" spans="1:44" hidden="1">
      <c r="A38" s="3222">
        <v>30</v>
      </c>
      <c r="B38" s="3220" t="s">
        <v>2750</v>
      </c>
      <c r="C38" s="3220" t="s">
        <v>1394</v>
      </c>
      <c r="D38" s="3291" t="s">
        <v>1411</v>
      </c>
      <c r="E38" s="3296">
        <v>16815.8</v>
      </c>
      <c r="F38" s="3300">
        <f>SUM(F39:F169)</f>
        <v>0</v>
      </c>
      <c r="G38" s="3300"/>
      <c r="H38" s="3291"/>
      <c r="I38" s="3301"/>
      <c r="J38" s="3301"/>
      <c r="K38" s="3291"/>
      <c r="L38" s="3215">
        <v>25</v>
      </c>
      <c r="M38" s="3302"/>
      <c r="N38" s="3291"/>
      <c r="O38" s="3291"/>
      <c r="P38" s="3291">
        <f t="shared" si="0"/>
        <v>25</v>
      </c>
      <c r="Q38" s="3214">
        <v>80</v>
      </c>
      <c r="R38" s="3291">
        <f t="shared" si="8"/>
        <v>2240</v>
      </c>
      <c r="S38" s="3291"/>
      <c r="T38" s="3291">
        <f t="shared" si="1"/>
        <v>2240</v>
      </c>
      <c r="U38" s="3303"/>
      <c r="V38" s="3303"/>
      <c r="W38" s="3291">
        <f t="shared" si="22"/>
        <v>84.800000000000011</v>
      </c>
      <c r="X38" s="3291">
        <f t="shared" si="23"/>
        <v>2120</v>
      </c>
      <c r="Y38" s="3291"/>
      <c r="Z38" s="3291">
        <f t="shared" si="24"/>
        <v>2120</v>
      </c>
      <c r="AA38" s="3291">
        <f t="shared" si="25"/>
        <v>89.04000000000002</v>
      </c>
      <c r="AB38" s="3291">
        <f t="shared" si="26"/>
        <v>2226</v>
      </c>
      <c r="AC38" s="3291"/>
      <c r="AD38" s="3304">
        <f t="shared" si="27"/>
        <v>2226</v>
      </c>
      <c r="AE38" s="3305">
        <f t="shared" si="9"/>
        <v>89.6</v>
      </c>
      <c r="AF38" s="2995">
        <v>1.1200000000000001</v>
      </c>
      <c r="AG38" s="2995"/>
      <c r="AH38" s="2995"/>
      <c r="AI38" s="3405" t="s">
        <v>2750</v>
      </c>
      <c r="AJ38" s="2995">
        <f t="shared" ref="AJ38:AJ55" si="28">IF(B38=AI38,0,1)</f>
        <v>0</v>
      </c>
      <c r="AK38" s="2995"/>
      <c r="AL38" s="3405" t="s">
        <v>2749</v>
      </c>
      <c r="AM38" s="2995">
        <f>IF(B38=AL38,0,1)</f>
        <v>1</v>
      </c>
      <c r="AO38" s="3221" t="s">
        <v>2733</v>
      </c>
      <c r="AP38" s="2983">
        <f>IF(B37=AO38,0,1)</f>
        <v>0</v>
      </c>
    </row>
    <row r="39" spans="1:44" ht="24" hidden="1">
      <c r="A39" s="3222">
        <v>32</v>
      </c>
      <c r="B39" s="3299" t="s">
        <v>2754</v>
      </c>
      <c r="C39" s="3299" t="s">
        <v>2754</v>
      </c>
      <c r="D39" s="3291" t="s">
        <v>1268</v>
      </c>
      <c r="E39" s="3296">
        <v>16815.8</v>
      </c>
      <c r="F39" s="3300">
        <f t="shared" ref="F39:F67" si="29">SUM(F40:F171)</f>
        <v>0</v>
      </c>
      <c r="G39" s="3300"/>
      <c r="H39" s="3291"/>
      <c r="I39" s="3301"/>
      <c r="J39" s="3301"/>
      <c r="K39" s="3291"/>
      <c r="L39" s="3215">
        <v>100</v>
      </c>
      <c r="M39" s="3302"/>
      <c r="N39" s="3291"/>
      <c r="O39" s="3291"/>
      <c r="P39" s="3291">
        <f t="shared" si="0"/>
        <v>100</v>
      </c>
      <c r="Q39" s="3216">
        <v>160</v>
      </c>
      <c r="R39" s="3291">
        <f t="shared" si="8"/>
        <v>17920</v>
      </c>
      <c r="S39" s="3291"/>
      <c r="T39" s="3291">
        <f t="shared" si="1"/>
        <v>17920</v>
      </c>
      <c r="U39" s="3303"/>
      <c r="V39" s="3303"/>
      <c r="W39" s="3291">
        <f t="shared" si="22"/>
        <v>169.60000000000002</v>
      </c>
      <c r="X39" s="3291">
        <f t="shared" si="23"/>
        <v>16960</v>
      </c>
      <c r="Y39" s="3291"/>
      <c r="Z39" s="3291">
        <f t="shared" si="24"/>
        <v>16960</v>
      </c>
      <c r="AA39" s="3291">
        <f t="shared" si="25"/>
        <v>178.08000000000004</v>
      </c>
      <c r="AB39" s="3291">
        <f t="shared" si="26"/>
        <v>17808</v>
      </c>
      <c r="AC39" s="3291"/>
      <c r="AD39" s="3304">
        <f t="shared" si="27"/>
        <v>17808</v>
      </c>
      <c r="AE39" s="3305">
        <f t="shared" si="9"/>
        <v>179.2</v>
      </c>
      <c r="AF39" s="2995">
        <v>1.1200000000000001</v>
      </c>
      <c r="AG39" s="2995"/>
      <c r="AH39" s="2995"/>
      <c r="AI39" s="3405" t="s">
        <v>2754</v>
      </c>
      <c r="AJ39" s="2995">
        <f t="shared" si="28"/>
        <v>0</v>
      </c>
      <c r="AK39" s="2995"/>
      <c r="AL39" s="2995"/>
      <c r="AM39" s="2995"/>
      <c r="AO39" s="3335" t="s">
        <v>2754</v>
      </c>
      <c r="AP39" s="2983">
        <f>IF(B39=AO39,0,1)</f>
        <v>0</v>
      </c>
      <c r="AQ39" s="3220" t="s">
        <v>2749</v>
      </c>
      <c r="AR39" s="2983">
        <f>IF(B36=AQ39,0,1)</f>
        <v>1</v>
      </c>
    </row>
    <row r="40" spans="1:44" ht="48" hidden="1">
      <c r="A40" s="3222">
        <v>33</v>
      </c>
      <c r="B40" s="3299" t="s">
        <v>2755</v>
      </c>
      <c r="C40" s="3299" t="s">
        <v>2755</v>
      </c>
      <c r="D40" s="3291" t="s">
        <v>1268</v>
      </c>
      <c r="E40" s="3296">
        <v>16815.8</v>
      </c>
      <c r="F40" s="3300">
        <f t="shared" si="29"/>
        <v>0</v>
      </c>
      <c r="G40" s="3300"/>
      <c r="H40" s="3291"/>
      <c r="I40" s="3301"/>
      <c r="J40" s="3301"/>
      <c r="K40" s="3291"/>
      <c r="L40" s="3215">
        <v>50</v>
      </c>
      <c r="M40" s="3302"/>
      <c r="N40" s="3291"/>
      <c r="O40" s="3291"/>
      <c r="P40" s="3291">
        <f t="shared" ref="P40:P69" si="30">L40-N40-O40</f>
        <v>50</v>
      </c>
      <c r="Q40" s="3216">
        <v>400</v>
      </c>
      <c r="R40" s="3291">
        <f t="shared" si="8"/>
        <v>22400</v>
      </c>
      <c r="S40" s="3291"/>
      <c r="T40" s="3291">
        <f t="shared" ref="T40:T69" si="31">R40-S40</f>
        <v>22400</v>
      </c>
      <c r="U40" s="3303"/>
      <c r="V40" s="3303"/>
      <c r="W40" s="3291">
        <f t="shared" si="22"/>
        <v>424</v>
      </c>
      <c r="X40" s="3291">
        <f t="shared" si="23"/>
        <v>21200</v>
      </c>
      <c r="Y40" s="3291"/>
      <c r="Z40" s="3291">
        <f t="shared" si="24"/>
        <v>21200</v>
      </c>
      <c r="AA40" s="3291">
        <f t="shared" si="25"/>
        <v>445.20000000000005</v>
      </c>
      <c r="AB40" s="3291">
        <f t="shared" si="26"/>
        <v>22260</v>
      </c>
      <c r="AC40" s="3291"/>
      <c r="AD40" s="3304">
        <f t="shared" si="27"/>
        <v>22260</v>
      </c>
      <c r="AE40" s="3305">
        <f t="shared" si="9"/>
        <v>448</v>
      </c>
      <c r="AF40" s="2995">
        <v>1.1200000000000001</v>
      </c>
      <c r="AG40" s="2995"/>
      <c r="AH40" s="2995"/>
      <c r="AI40" s="3405" t="s">
        <v>2755</v>
      </c>
      <c r="AJ40" s="2995">
        <f t="shared" si="28"/>
        <v>0</v>
      </c>
      <c r="AK40" s="2995"/>
      <c r="AL40" s="2995"/>
      <c r="AM40" s="2995"/>
      <c r="AO40" s="3335" t="s">
        <v>2755</v>
      </c>
      <c r="AP40" s="2983">
        <f t="shared" ref="AP40" si="32">IF(B40=AO40,0,1)</f>
        <v>0</v>
      </c>
      <c r="AQ40" s="3299" t="s">
        <v>2881</v>
      </c>
      <c r="AR40" s="2983">
        <f>IF(B37=AQ40,0,1)</f>
        <v>1</v>
      </c>
    </row>
    <row r="41" spans="1:44" hidden="1">
      <c r="A41" s="3222">
        <v>34</v>
      </c>
      <c r="B41" s="3299" t="s">
        <v>2757</v>
      </c>
      <c r="C41" s="3299" t="s">
        <v>2757</v>
      </c>
      <c r="D41" s="3291" t="s">
        <v>1268</v>
      </c>
      <c r="E41" s="3296">
        <v>16815.8</v>
      </c>
      <c r="F41" s="3300">
        <f t="shared" si="29"/>
        <v>0</v>
      </c>
      <c r="G41" s="3300"/>
      <c r="H41" s="3301"/>
      <c r="I41" s="3301"/>
      <c r="J41" s="3301"/>
      <c r="K41" s="3301"/>
      <c r="L41" s="3215">
        <v>50</v>
      </c>
      <c r="M41" s="3302"/>
      <c r="N41" s="3301"/>
      <c r="O41" s="3301"/>
      <c r="P41" s="3291">
        <f t="shared" si="30"/>
        <v>50</v>
      </c>
      <c r="Q41" s="3216">
        <v>100</v>
      </c>
      <c r="R41" s="3291">
        <f t="shared" si="8"/>
        <v>5600</v>
      </c>
      <c r="S41" s="3291"/>
      <c r="T41" s="3291">
        <f t="shared" si="31"/>
        <v>5600</v>
      </c>
      <c r="U41" s="3303"/>
      <c r="V41" s="3303"/>
      <c r="W41" s="3291">
        <f t="shared" si="22"/>
        <v>106</v>
      </c>
      <c r="X41" s="3291">
        <f t="shared" si="23"/>
        <v>5300</v>
      </c>
      <c r="Y41" s="3291"/>
      <c r="Z41" s="3291">
        <f t="shared" si="24"/>
        <v>5300</v>
      </c>
      <c r="AA41" s="3291">
        <f t="shared" si="25"/>
        <v>111.30000000000001</v>
      </c>
      <c r="AB41" s="3291">
        <f t="shared" si="26"/>
        <v>5565</v>
      </c>
      <c r="AC41" s="3291"/>
      <c r="AD41" s="3304">
        <f t="shared" si="27"/>
        <v>5565</v>
      </c>
      <c r="AE41" s="3305">
        <f t="shared" si="9"/>
        <v>112</v>
      </c>
      <c r="AF41" s="2995">
        <v>1.1200000000000001</v>
      </c>
      <c r="AG41" s="2995"/>
      <c r="AH41" s="2995"/>
      <c r="AI41" s="3405" t="s">
        <v>2757</v>
      </c>
      <c r="AJ41" s="2995">
        <f t="shared" si="28"/>
        <v>0</v>
      </c>
      <c r="AK41" s="2995"/>
      <c r="AL41" s="2995"/>
      <c r="AM41" s="2995"/>
      <c r="AO41" s="3413"/>
      <c r="AP41" s="3411"/>
    </row>
    <row r="42" spans="1:44" hidden="1">
      <c r="A42" s="3222">
        <v>35</v>
      </c>
      <c r="B42" s="3220" t="s">
        <v>2758</v>
      </c>
      <c r="C42" s="3220" t="s">
        <v>2758</v>
      </c>
      <c r="D42" s="3291" t="s">
        <v>1268</v>
      </c>
      <c r="E42" s="3296">
        <v>16815.8</v>
      </c>
      <c r="F42" s="3300">
        <f t="shared" si="29"/>
        <v>0</v>
      </c>
      <c r="G42" s="3300"/>
      <c r="H42" s="3301"/>
      <c r="I42" s="3301"/>
      <c r="J42" s="3301"/>
      <c r="K42" s="3301"/>
      <c r="L42" s="3215">
        <v>10</v>
      </c>
      <c r="M42" s="3302"/>
      <c r="N42" s="3301"/>
      <c r="O42" s="3301"/>
      <c r="P42" s="3291">
        <f t="shared" si="30"/>
        <v>10</v>
      </c>
      <c r="Q42" s="3216">
        <v>2100</v>
      </c>
      <c r="R42" s="3291">
        <f t="shared" si="8"/>
        <v>23520</v>
      </c>
      <c r="S42" s="3291"/>
      <c r="T42" s="3291">
        <f t="shared" si="31"/>
        <v>23520</v>
      </c>
      <c r="U42" s="3303"/>
      <c r="V42" s="3303"/>
      <c r="W42" s="3291">
        <f t="shared" si="22"/>
        <v>2226</v>
      </c>
      <c r="X42" s="3291">
        <f t="shared" si="23"/>
        <v>22260</v>
      </c>
      <c r="Y42" s="3291"/>
      <c r="Z42" s="3291">
        <f t="shared" si="24"/>
        <v>22260</v>
      </c>
      <c r="AA42" s="3291">
        <f t="shared" si="25"/>
        <v>2337.3000000000002</v>
      </c>
      <c r="AB42" s="3291">
        <f t="shared" si="26"/>
        <v>23373</v>
      </c>
      <c r="AC42" s="3291"/>
      <c r="AD42" s="3304">
        <f t="shared" si="27"/>
        <v>23373</v>
      </c>
      <c r="AE42" s="3305">
        <f t="shared" si="9"/>
        <v>2352</v>
      </c>
      <c r="AF42" s="2995">
        <v>1.1200000000000001</v>
      </c>
      <c r="AG42" s="2995"/>
      <c r="AH42" s="2995"/>
      <c r="AI42" s="3405" t="s">
        <v>2758</v>
      </c>
      <c r="AJ42" s="2995">
        <f t="shared" si="28"/>
        <v>0</v>
      </c>
      <c r="AK42" s="2995"/>
      <c r="AL42" s="2995"/>
      <c r="AM42" s="2995"/>
      <c r="AO42" s="3220" t="s">
        <v>2758</v>
      </c>
      <c r="AP42" s="2983">
        <f>IF(B42=AO42,0,1)</f>
        <v>0</v>
      </c>
    </row>
    <row r="43" spans="1:44" hidden="1">
      <c r="A43" s="3222">
        <v>36</v>
      </c>
      <c r="B43" s="3220" t="s">
        <v>2759</v>
      </c>
      <c r="C43" s="3220" t="s">
        <v>2759</v>
      </c>
      <c r="D43" s="3291" t="s">
        <v>1268</v>
      </c>
      <c r="E43" s="3296">
        <v>16815.8</v>
      </c>
      <c r="F43" s="3300">
        <f t="shared" si="29"/>
        <v>0</v>
      </c>
      <c r="G43" s="3300"/>
      <c r="H43" s="3301"/>
      <c r="I43" s="3301"/>
      <c r="J43" s="3301"/>
      <c r="K43" s="3301"/>
      <c r="L43" s="3215">
        <v>10</v>
      </c>
      <c r="M43" s="3302"/>
      <c r="N43" s="3301"/>
      <c r="O43" s="3301"/>
      <c r="P43" s="3291">
        <f t="shared" si="30"/>
        <v>10</v>
      </c>
      <c r="Q43" s="3216">
        <v>2500</v>
      </c>
      <c r="R43" s="3291">
        <f t="shared" si="8"/>
        <v>28000</v>
      </c>
      <c r="S43" s="3291"/>
      <c r="T43" s="3291">
        <f t="shared" si="31"/>
        <v>28000</v>
      </c>
      <c r="U43" s="3303"/>
      <c r="V43" s="3303"/>
      <c r="W43" s="3291">
        <f t="shared" si="22"/>
        <v>2650</v>
      </c>
      <c r="X43" s="3291">
        <f t="shared" si="23"/>
        <v>26500</v>
      </c>
      <c r="Y43" s="3291"/>
      <c r="Z43" s="3291">
        <f t="shared" si="24"/>
        <v>26500</v>
      </c>
      <c r="AA43" s="3291">
        <f t="shared" si="25"/>
        <v>2782.5</v>
      </c>
      <c r="AB43" s="3291">
        <f t="shared" si="26"/>
        <v>27825</v>
      </c>
      <c r="AC43" s="3291"/>
      <c r="AD43" s="3304">
        <f t="shared" si="27"/>
        <v>27825</v>
      </c>
      <c r="AE43" s="3305">
        <f t="shared" si="9"/>
        <v>2800</v>
      </c>
      <c r="AF43" s="2995">
        <v>1.1200000000000001</v>
      </c>
      <c r="AG43" s="2995"/>
      <c r="AH43" s="2995"/>
      <c r="AI43" s="3405" t="s">
        <v>2759</v>
      </c>
      <c r="AJ43" s="2995">
        <f t="shared" si="28"/>
        <v>0</v>
      </c>
      <c r="AK43" s="2995"/>
      <c r="AL43" s="2995"/>
      <c r="AM43" s="2995"/>
      <c r="AO43" s="3220" t="s">
        <v>2759</v>
      </c>
      <c r="AP43" s="2983">
        <f t="shared" ref="AP43:AP47" si="33">IF(B43=AO43,0,1)</f>
        <v>0</v>
      </c>
    </row>
    <row r="44" spans="1:44" hidden="1">
      <c r="A44" s="3222">
        <v>37</v>
      </c>
      <c r="B44" s="3220" t="s">
        <v>2906</v>
      </c>
      <c r="C44" s="3220" t="s">
        <v>2906</v>
      </c>
      <c r="D44" s="3291" t="s">
        <v>1022</v>
      </c>
      <c r="E44" s="3296">
        <v>16815.8</v>
      </c>
      <c r="F44" s="3300">
        <f t="shared" si="29"/>
        <v>0</v>
      </c>
      <c r="G44" s="3300"/>
      <c r="H44" s="3301"/>
      <c r="I44" s="3301"/>
      <c r="J44" s="3301"/>
      <c r="K44" s="3301"/>
      <c r="L44" s="3215">
        <v>8</v>
      </c>
      <c r="M44" s="3302"/>
      <c r="N44" s="3301"/>
      <c r="O44" s="3301"/>
      <c r="P44" s="3291">
        <f t="shared" si="30"/>
        <v>8</v>
      </c>
      <c r="Q44" s="3219" t="s">
        <v>2907</v>
      </c>
      <c r="R44" s="3291">
        <f t="shared" si="8"/>
        <v>4928</v>
      </c>
      <c r="S44" s="3291"/>
      <c r="T44" s="3291">
        <f t="shared" si="31"/>
        <v>4928</v>
      </c>
      <c r="U44" s="3303">
        <v>2341</v>
      </c>
      <c r="V44" s="3303">
        <v>1.07</v>
      </c>
      <c r="W44" s="3291">
        <f t="shared" si="22"/>
        <v>583</v>
      </c>
      <c r="X44" s="3291">
        <f t="shared" si="23"/>
        <v>4664</v>
      </c>
      <c r="Y44" s="3291"/>
      <c r="Z44" s="3291">
        <f t="shared" si="24"/>
        <v>4664</v>
      </c>
      <c r="AA44" s="3291">
        <f t="shared" si="25"/>
        <v>612.15</v>
      </c>
      <c r="AB44" s="3291">
        <f t="shared" si="26"/>
        <v>4897</v>
      </c>
      <c r="AC44" s="3291"/>
      <c r="AD44" s="3304">
        <f t="shared" si="27"/>
        <v>4897</v>
      </c>
      <c r="AE44" s="3305">
        <f t="shared" si="9"/>
        <v>616</v>
      </c>
      <c r="AF44" s="2995">
        <v>1.1200000000000001</v>
      </c>
      <c r="AG44" s="2995"/>
      <c r="AH44" s="2995"/>
      <c r="AI44" s="3220" t="s">
        <v>2906</v>
      </c>
      <c r="AJ44" s="2995">
        <f t="shared" si="28"/>
        <v>0</v>
      </c>
      <c r="AK44" s="2995"/>
      <c r="AL44" s="2995"/>
      <c r="AM44" s="2995"/>
      <c r="AO44" s="3220" t="s">
        <v>2906</v>
      </c>
      <c r="AP44" s="2983">
        <f t="shared" si="33"/>
        <v>0</v>
      </c>
    </row>
    <row r="45" spans="1:44" hidden="1">
      <c r="A45" s="3222">
        <v>38</v>
      </c>
      <c r="B45" s="3220" t="s">
        <v>2908</v>
      </c>
      <c r="C45" s="3220" t="s">
        <v>2908</v>
      </c>
      <c r="D45" s="3291" t="s">
        <v>1268</v>
      </c>
      <c r="E45" s="3296">
        <v>16815.8</v>
      </c>
      <c r="F45" s="3300">
        <f t="shared" si="29"/>
        <v>0</v>
      </c>
      <c r="G45" s="3300"/>
      <c r="H45" s="3291"/>
      <c r="I45" s="3301"/>
      <c r="J45" s="3301"/>
      <c r="K45" s="3291"/>
      <c r="L45" s="3215">
        <v>8</v>
      </c>
      <c r="M45" s="3302"/>
      <c r="N45" s="3291"/>
      <c r="O45" s="3291"/>
      <c r="P45" s="3291">
        <f t="shared" si="30"/>
        <v>8</v>
      </c>
      <c r="Q45" s="3219" t="s">
        <v>2907</v>
      </c>
      <c r="R45" s="3291">
        <f t="shared" si="8"/>
        <v>4928</v>
      </c>
      <c r="S45" s="3291"/>
      <c r="T45" s="3291">
        <f t="shared" si="31"/>
        <v>4928</v>
      </c>
      <c r="U45" s="3303">
        <v>1782</v>
      </c>
      <c r="V45" s="3303">
        <v>1.07</v>
      </c>
      <c r="W45" s="3291">
        <f t="shared" si="22"/>
        <v>583</v>
      </c>
      <c r="X45" s="3291">
        <f t="shared" si="23"/>
        <v>4664</v>
      </c>
      <c r="Y45" s="3291"/>
      <c r="Z45" s="3291">
        <f t="shared" si="24"/>
        <v>4664</v>
      </c>
      <c r="AA45" s="3291">
        <f t="shared" si="25"/>
        <v>612.15</v>
      </c>
      <c r="AB45" s="3291">
        <f t="shared" si="26"/>
        <v>4897</v>
      </c>
      <c r="AC45" s="3291"/>
      <c r="AD45" s="3304">
        <f t="shared" si="27"/>
        <v>4897</v>
      </c>
      <c r="AE45" s="3305">
        <f t="shared" si="9"/>
        <v>616</v>
      </c>
      <c r="AF45" s="2995">
        <v>1.1200000000000001</v>
      </c>
      <c r="AG45" s="2995"/>
      <c r="AH45" s="2995"/>
      <c r="AI45" s="3220" t="s">
        <v>2908</v>
      </c>
      <c r="AJ45" s="2995">
        <f t="shared" si="28"/>
        <v>0</v>
      </c>
      <c r="AK45" s="2995"/>
      <c r="AL45" s="2995"/>
      <c r="AM45" s="2995"/>
      <c r="AO45" s="3220" t="s">
        <v>2908</v>
      </c>
      <c r="AP45" s="2983">
        <f t="shared" si="33"/>
        <v>0</v>
      </c>
    </row>
    <row r="46" spans="1:44" ht="48" hidden="1">
      <c r="A46" s="3222">
        <v>39</v>
      </c>
      <c r="B46" s="3220" t="s">
        <v>2760</v>
      </c>
      <c r="C46" s="3220" t="s">
        <v>2395</v>
      </c>
      <c r="D46" s="3291" t="s">
        <v>1268</v>
      </c>
      <c r="E46" s="3296">
        <v>16815.8</v>
      </c>
      <c r="F46" s="3300">
        <f t="shared" si="29"/>
        <v>0</v>
      </c>
      <c r="G46" s="3300"/>
      <c r="H46" s="3291"/>
      <c r="I46" s="3301"/>
      <c r="J46" s="3301"/>
      <c r="K46" s="3291"/>
      <c r="L46" s="3214">
        <v>10</v>
      </c>
      <c r="M46" s="3302"/>
      <c r="N46" s="3291"/>
      <c r="O46" s="3291"/>
      <c r="P46" s="3291">
        <f t="shared" si="30"/>
        <v>10</v>
      </c>
      <c r="Q46" s="3216">
        <v>1300</v>
      </c>
      <c r="R46" s="3291">
        <f t="shared" si="8"/>
        <v>14560</v>
      </c>
      <c r="S46" s="3291"/>
      <c r="T46" s="3291">
        <f t="shared" si="31"/>
        <v>14560</v>
      </c>
      <c r="U46" s="3303"/>
      <c r="V46" s="3303"/>
      <c r="W46" s="3291">
        <f t="shared" si="22"/>
        <v>1378</v>
      </c>
      <c r="X46" s="3291">
        <f t="shared" si="23"/>
        <v>13780</v>
      </c>
      <c r="Y46" s="3291"/>
      <c r="Z46" s="3291">
        <f t="shared" si="24"/>
        <v>13780</v>
      </c>
      <c r="AA46" s="3291">
        <f t="shared" si="25"/>
        <v>1446.9</v>
      </c>
      <c r="AB46" s="3291">
        <f t="shared" si="26"/>
        <v>14469</v>
      </c>
      <c r="AC46" s="3291"/>
      <c r="AD46" s="3304">
        <f t="shared" si="27"/>
        <v>14469</v>
      </c>
      <c r="AE46" s="3305">
        <f t="shared" si="9"/>
        <v>1456</v>
      </c>
      <c r="AF46" s="2995">
        <v>1.1200000000000001</v>
      </c>
      <c r="AG46" s="2995"/>
      <c r="AH46" s="2995"/>
      <c r="AI46" s="3405" t="s">
        <v>2760</v>
      </c>
      <c r="AJ46" s="2995">
        <f t="shared" si="28"/>
        <v>0</v>
      </c>
      <c r="AK46" s="2995"/>
      <c r="AL46" s="2995"/>
      <c r="AM46" s="2995"/>
      <c r="AQ46" s="3339" t="s">
        <v>3062</v>
      </c>
      <c r="AR46" s="2983">
        <f>IF(B46=AQ46,0,1)</f>
        <v>1</v>
      </c>
    </row>
    <row r="47" spans="1:44" ht="24" hidden="1">
      <c r="A47" s="3222">
        <v>40</v>
      </c>
      <c r="B47" s="3220" t="s">
        <v>2891</v>
      </c>
      <c r="C47" s="3220" t="s">
        <v>2891</v>
      </c>
      <c r="D47" s="3291" t="s">
        <v>1268</v>
      </c>
      <c r="E47" s="3296">
        <v>16815.8</v>
      </c>
      <c r="F47" s="3300">
        <f t="shared" si="29"/>
        <v>0</v>
      </c>
      <c r="G47" s="3300"/>
      <c r="H47" s="3291"/>
      <c r="I47" s="3301"/>
      <c r="J47" s="3301"/>
      <c r="K47" s="3291"/>
      <c r="L47" s="3215">
        <v>5</v>
      </c>
      <c r="M47" s="3302"/>
      <c r="N47" s="3291"/>
      <c r="O47" s="3291"/>
      <c r="P47" s="3291">
        <f t="shared" si="30"/>
        <v>5</v>
      </c>
      <c r="Q47" s="3218">
        <v>900</v>
      </c>
      <c r="R47" s="3291">
        <f t="shared" si="8"/>
        <v>5040</v>
      </c>
      <c r="S47" s="3291"/>
      <c r="T47" s="3291">
        <f t="shared" si="31"/>
        <v>5040</v>
      </c>
      <c r="U47" s="3303">
        <v>27</v>
      </c>
      <c r="V47" s="3303">
        <v>1.07</v>
      </c>
      <c r="W47" s="3291">
        <f t="shared" si="22"/>
        <v>954</v>
      </c>
      <c r="X47" s="3291">
        <f t="shared" si="23"/>
        <v>4770</v>
      </c>
      <c r="Y47" s="3291"/>
      <c r="Z47" s="3291">
        <f t="shared" si="24"/>
        <v>4770</v>
      </c>
      <c r="AA47" s="3291">
        <f t="shared" si="25"/>
        <v>1001.7</v>
      </c>
      <c r="AB47" s="3291">
        <f t="shared" si="26"/>
        <v>5009</v>
      </c>
      <c r="AC47" s="3291"/>
      <c r="AD47" s="3304">
        <f t="shared" si="27"/>
        <v>5009</v>
      </c>
      <c r="AE47" s="3305">
        <f t="shared" si="9"/>
        <v>1008</v>
      </c>
      <c r="AF47" s="2995">
        <v>1.1200000000000001</v>
      </c>
      <c r="AG47" s="2995"/>
      <c r="AH47" s="2995"/>
      <c r="AI47" s="3220" t="s">
        <v>2891</v>
      </c>
      <c r="AJ47" s="2995">
        <f t="shared" si="28"/>
        <v>0</v>
      </c>
      <c r="AK47" s="2995"/>
      <c r="AL47" s="2995"/>
      <c r="AM47" s="2995"/>
      <c r="AO47" s="3220" t="s">
        <v>2891</v>
      </c>
      <c r="AP47" s="2983">
        <f t="shared" si="33"/>
        <v>0</v>
      </c>
    </row>
    <row r="48" spans="1:44" ht="48" hidden="1">
      <c r="A48" s="3222">
        <v>41</v>
      </c>
      <c r="B48" s="3220" t="s">
        <v>2761</v>
      </c>
      <c r="C48" s="3220" t="s">
        <v>2761</v>
      </c>
      <c r="D48" s="3291" t="s">
        <v>1268</v>
      </c>
      <c r="E48" s="3296">
        <v>16815.8</v>
      </c>
      <c r="F48" s="3300">
        <f t="shared" si="29"/>
        <v>0</v>
      </c>
      <c r="G48" s="3300"/>
      <c r="H48" s="3291"/>
      <c r="I48" s="3301"/>
      <c r="J48" s="3301"/>
      <c r="K48" s="3291"/>
      <c r="L48" s="3215">
        <v>5</v>
      </c>
      <c r="M48" s="3302"/>
      <c r="N48" s="3291"/>
      <c r="O48" s="3291"/>
      <c r="P48" s="3291">
        <f t="shared" si="30"/>
        <v>5</v>
      </c>
      <c r="Q48" s="3216">
        <v>550</v>
      </c>
      <c r="R48" s="3291">
        <f t="shared" si="8"/>
        <v>3080</v>
      </c>
      <c r="S48" s="3291"/>
      <c r="T48" s="3291">
        <f t="shared" si="31"/>
        <v>3080</v>
      </c>
      <c r="U48" s="3303"/>
      <c r="V48" s="3303"/>
      <c r="W48" s="3291">
        <f t="shared" si="22"/>
        <v>583</v>
      </c>
      <c r="X48" s="3291">
        <f t="shared" si="23"/>
        <v>2915</v>
      </c>
      <c r="Y48" s="3291"/>
      <c r="Z48" s="3291">
        <f t="shared" si="24"/>
        <v>2915</v>
      </c>
      <c r="AA48" s="3291">
        <f t="shared" si="25"/>
        <v>612.15</v>
      </c>
      <c r="AB48" s="3291">
        <f t="shared" si="26"/>
        <v>3061</v>
      </c>
      <c r="AC48" s="3291"/>
      <c r="AD48" s="3304">
        <f t="shared" si="27"/>
        <v>3061</v>
      </c>
      <c r="AE48" s="3305">
        <f t="shared" si="9"/>
        <v>616</v>
      </c>
      <c r="AF48" s="2995">
        <v>1.1200000000000001</v>
      </c>
      <c r="AG48" s="2995"/>
      <c r="AH48" s="2995"/>
      <c r="AI48" s="3405" t="s">
        <v>2761</v>
      </c>
      <c r="AJ48" s="2995">
        <f t="shared" si="28"/>
        <v>0</v>
      </c>
      <c r="AK48" s="2995"/>
      <c r="AL48" s="2995"/>
      <c r="AM48" s="2995"/>
      <c r="AO48" s="3411"/>
      <c r="AP48" s="3411"/>
      <c r="AQ48" s="3221" t="s">
        <v>1463</v>
      </c>
      <c r="AR48" s="2983">
        <f>IF(B48=AQ48,0,1)</f>
        <v>1</v>
      </c>
    </row>
    <row r="49" spans="1:44" hidden="1">
      <c r="A49" s="3222">
        <v>42</v>
      </c>
      <c r="B49" s="3220" t="s">
        <v>2762</v>
      </c>
      <c r="C49" s="3220" t="s">
        <v>2762</v>
      </c>
      <c r="D49" s="3291" t="s">
        <v>1268</v>
      </c>
      <c r="E49" s="3296">
        <v>16815.8</v>
      </c>
      <c r="F49" s="3300">
        <f t="shared" si="29"/>
        <v>0</v>
      </c>
      <c r="G49" s="3300"/>
      <c r="H49" s="3291"/>
      <c r="I49" s="3301"/>
      <c r="J49" s="3301"/>
      <c r="K49" s="3291"/>
      <c r="L49" s="3215">
        <v>25</v>
      </c>
      <c r="M49" s="3291"/>
      <c r="N49" s="3291"/>
      <c r="O49" s="3291"/>
      <c r="P49" s="3291">
        <f t="shared" si="30"/>
        <v>25</v>
      </c>
      <c r="Q49" s="3216">
        <v>500</v>
      </c>
      <c r="R49" s="3291">
        <f t="shared" si="8"/>
        <v>14000</v>
      </c>
      <c r="S49" s="3291"/>
      <c r="T49" s="3291">
        <f t="shared" si="31"/>
        <v>14000</v>
      </c>
      <c r="U49" s="3303"/>
      <c r="V49" s="3303"/>
      <c r="W49" s="3291">
        <f t="shared" si="22"/>
        <v>530</v>
      </c>
      <c r="X49" s="3291">
        <f t="shared" si="23"/>
        <v>13250</v>
      </c>
      <c r="Y49" s="3291"/>
      <c r="Z49" s="3291">
        <f t="shared" si="24"/>
        <v>13250</v>
      </c>
      <c r="AA49" s="3291">
        <f t="shared" si="25"/>
        <v>556.5</v>
      </c>
      <c r="AB49" s="3291">
        <f t="shared" si="26"/>
        <v>13913</v>
      </c>
      <c r="AC49" s="3291"/>
      <c r="AD49" s="3304">
        <f t="shared" si="27"/>
        <v>13913</v>
      </c>
      <c r="AE49" s="3305">
        <f t="shared" si="9"/>
        <v>560</v>
      </c>
      <c r="AF49" s="2995">
        <v>1.1200000000000001</v>
      </c>
      <c r="AG49" s="2995"/>
      <c r="AH49" s="2995"/>
      <c r="AI49" s="3405" t="s">
        <v>2762</v>
      </c>
      <c r="AJ49" s="2995">
        <f t="shared" si="28"/>
        <v>0</v>
      </c>
      <c r="AK49" s="2995"/>
      <c r="AL49" s="2995"/>
      <c r="AM49" s="2995"/>
      <c r="AO49" s="3414"/>
      <c r="AP49" s="3411"/>
    </row>
    <row r="50" spans="1:44" ht="24" hidden="1">
      <c r="A50" s="3222">
        <v>43</v>
      </c>
      <c r="B50" s="3220" t="s">
        <v>2892</v>
      </c>
      <c r="C50" s="3221" t="s">
        <v>1463</v>
      </c>
      <c r="D50" s="3291" t="s">
        <v>1268</v>
      </c>
      <c r="E50" s="3296">
        <v>16815.8</v>
      </c>
      <c r="F50" s="3300">
        <f t="shared" si="29"/>
        <v>0</v>
      </c>
      <c r="G50" s="3300"/>
      <c r="H50" s="3291"/>
      <c r="I50" s="3301"/>
      <c r="J50" s="3301"/>
      <c r="K50" s="3291"/>
      <c r="L50" s="3215">
        <v>150</v>
      </c>
      <c r="M50" s="3302"/>
      <c r="N50" s="3291"/>
      <c r="O50" s="3291"/>
      <c r="P50" s="3291">
        <f t="shared" si="30"/>
        <v>150</v>
      </c>
      <c r="Q50" s="3218">
        <v>700</v>
      </c>
      <c r="R50" s="3291">
        <f t="shared" si="8"/>
        <v>117600</v>
      </c>
      <c r="S50" s="3291"/>
      <c r="T50" s="3291">
        <f t="shared" si="31"/>
        <v>117600</v>
      </c>
      <c r="U50" s="3303">
        <v>4725</v>
      </c>
      <c r="V50" s="3303">
        <v>1.07</v>
      </c>
      <c r="W50" s="3291">
        <f t="shared" si="22"/>
        <v>742</v>
      </c>
      <c r="X50" s="3291">
        <f t="shared" si="23"/>
        <v>111300</v>
      </c>
      <c r="Y50" s="3291"/>
      <c r="Z50" s="3291">
        <f t="shared" si="24"/>
        <v>111300</v>
      </c>
      <c r="AA50" s="3291">
        <f t="shared" si="25"/>
        <v>779.1</v>
      </c>
      <c r="AB50" s="3291">
        <f t="shared" si="26"/>
        <v>116865</v>
      </c>
      <c r="AC50" s="3291"/>
      <c r="AD50" s="3304">
        <f t="shared" si="27"/>
        <v>116865</v>
      </c>
      <c r="AE50" s="3305">
        <f t="shared" si="9"/>
        <v>784</v>
      </c>
      <c r="AF50" s="2995">
        <v>1.1200000000000001</v>
      </c>
      <c r="AG50" s="2995"/>
      <c r="AH50" s="2995"/>
      <c r="AI50" s="3405" t="s">
        <v>2892</v>
      </c>
      <c r="AJ50" s="2995">
        <f t="shared" si="28"/>
        <v>0</v>
      </c>
      <c r="AK50" s="2995"/>
      <c r="AL50" s="2995"/>
      <c r="AM50" s="2995"/>
      <c r="AO50" s="3414"/>
      <c r="AP50" s="3411"/>
    </row>
    <row r="51" spans="1:44" ht="36" hidden="1">
      <c r="A51" s="3222">
        <v>44</v>
      </c>
      <c r="B51" s="3220" t="s">
        <v>2763</v>
      </c>
      <c r="C51" s="3220" t="s">
        <v>2764</v>
      </c>
      <c r="D51" s="3291" t="s">
        <v>1268</v>
      </c>
      <c r="E51" s="3296">
        <v>16815.8</v>
      </c>
      <c r="F51" s="3300">
        <f t="shared" si="29"/>
        <v>0</v>
      </c>
      <c r="G51" s="3300"/>
      <c r="H51" s="3291"/>
      <c r="I51" s="3301"/>
      <c r="J51" s="3301"/>
      <c r="K51" s="3291"/>
      <c r="L51" s="3214">
        <v>25</v>
      </c>
      <c r="M51" s="3291"/>
      <c r="N51" s="3291"/>
      <c r="O51" s="3291"/>
      <c r="P51" s="3291">
        <f t="shared" si="30"/>
        <v>25</v>
      </c>
      <c r="Q51" s="3214">
        <v>60</v>
      </c>
      <c r="R51" s="3291">
        <f t="shared" si="8"/>
        <v>1680</v>
      </c>
      <c r="S51" s="3291"/>
      <c r="T51" s="3291">
        <f t="shared" si="31"/>
        <v>1680</v>
      </c>
      <c r="U51" s="3303"/>
      <c r="V51" s="3303"/>
      <c r="W51" s="3291">
        <f t="shared" si="22"/>
        <v>63.6</v>
      </c>
      <c r="X51" s="3291">
        <f t="shared" si="23"/>
        <v>1590</v>
      </c>
      <c r="Y51" s="3291"/>
      <c r="Z51" s="3291">
        <f t="shared" si="24"/>
        <v>1590</v>
      </c>
      <c r="AA51" s="3291">
        <f t="shared" si="25"/>
        <v>66.78</v>
      </c>
      <c r="AB51" s="3291">
        <f t="shared" si="26"/>
        <v>1670</v>
      </c>
      <c r="AC51" s="3291"/>
      <c r="AD51" s="3304">
        <f t="shared" si="27"/>
        <v>1670</v>
      </c>
      <c r="AE51" s="3305">
        <f t="shared" si="9"/>
        <v>67.2</v>
      </c>
      <c r="AF51" s="2995">
        <v>1.1200000000000001</v>
      </c>
      <c r="AG51" s="2995"/>
      <c r="AH51" s="2995"/>
      <c r="AI51" s="3405" t="s">
        <v>2763</v>
      </c>
      <c r="AJ51" s="2995">
        <f t="shared" si="28"/>
        <v>0</v>
      </c>
      <c r="AK51" s="2995"/>
      <c r="AL51" s="2995"/>
      <c r="AM51" s="2995"/>
      <c r="AO51" s="3414"/>
      <c r="AP51" s="3411"/>
    </row>
    <row r="52" spans="1:44" hidden="1">
      <c r="A52" s="3222">
        <v>45</v>
      </c>
      <c r="B52" s="3220" t="s">
        <v>2765</v>
      </c>
      <c r="C52" s="3220" t="s">
        <v>2765</v>
      </c>
      <c r="D52" s="3291" t="s">
        <v>1268</v>
      </c>
      <c r="E52" s="3296">
        <v>16815.8</v>
      </c>
      <c r="F52" s="3300">
        <f t="shared" si="29"/>
        <v>0</v>
      </c>
      <c r="G52" s="3300"/>
      <c r="H52" s="3291"/>
      <c r="I52" s="3301"/>
      <c r="J52" s="3301"/>
      <c r="K52" s="3291"/>
      <c r="L52" s="3215">
        <v>1</v>
      </c>
      <c r="M52" s="3302"/>
      <c r="N52" s="3291"/>
      <c r="O52" s="3291"/>
      <c r="P52" s="3291">
        <f t="shared" si="30"/>
        <v>1</v>
      </c>
      <c r="Q52" s="3216">
        <v>2500</v>
      </c>
      <c r="R52" s="3291">
        <f t="shared" si="8"/>
        <v>2800</v>
      </c>
      <c r="S52" s="3291"/>
      <c r="T52" s="3291">
        <f t="shared" si="31"/>
        <v>2800</v>
      </c>
      <c r="U52" s="3303"/>
      <c r="V52" s="3303"/>
      <c r="W52" s="3291">
        <f t="shared" si="22"/>
        <v>2650</v>
      </c>
      <c r="X52" s="3291">
        <f t="shared" si="23"/>
        <v>2650</v>
      </c>
      <c r="Y52" s="3291"/>
      <c r="Z52" s="3291">
        <f t="shared" si="24"/>
        <v>2650</v>
      </c>
      <c r="AA52" s="3291">
        <f t="shared" si="25"/>
        <v>2782.5</v>
      </c>
      <c r="AB52" s="3291">
        <f t="shared" si="26"/>
        <v>2783</v>
      </c>
      <c r="AC52" s="3291"/>
      <c r="AD52" s="3304">
        <f t="shared" si="27"/>
        <v>2783</v>
      </c>
      <c r="AE52" s="3305">
        <f t="shared" si="9"/>
        <v>2800</v>
      </c>
      <c r="AF52" s="2995">
        <v>1.1200000000000001</v>
      </c>
      <c r="AG52" s="2995"/>
      <c r="AH52" s="2995"/>
      <c r="AI52" s="3405" t="s">
        <v>2765</v>
      </c>
      <c r="AJ52" s="2995">
        <f t="shared" si="28"/>
        <v>0</v>
      </c>
      <c r="AK52" s="2995"/>
      <c r="AL52" s="2995"/>
      <c r="AM52" s="2995"/>
      <c r="AO52" s="3220" t="s">
        <v>2765</v>
      </c>
      <c r="AP52" s="2983">
        <f>IF(B52=AO52,0,1)</f>
        <v>0</v>
      </c>
    </row>
    <row r="53" spans="1:44" hidden="1">
      <c r="A53" s="3222">
        <v>46</v>
      </c>
      <c r="B53" s="3220" t="s">
        <v>2766</v>
      </c>
      <c r="C53" s="3220" t="s">
        <v>2766</v>
      </c>
      <c r="D53" s="3291" t="s">
        <v>1268</v>
      </c>
      <c r="E53" s="3296">
        <v>16815.8</v>
      </c>
      <c r="F53" s="3300">
        <f t="shared" si="29"/>
        <v>0</v>
      </c>
      <c r="G53" s="3300"/>
      <c r="H53" s="3291"/>
      <c r="I53" s="3301"/>
      <c r="J53" s="3301"/>
      <c r="K53" s="3291"/>
      <c r="L53" s="3215">
        <v>1</v>
      </c>
      <c r="M53" s="3302"/>
      <c r="N53" s="3291"/>
      <c r="O53" s="3291"/>
      <c r="P53" s="3291">
        <f t="shared" si="30"/>
        <v>1</v>
      </c>
      <c r="Q53" s="3216">
        <v>2500</v>
      </c>
      <c r="R53" s="3291">
        <f t="shared" si="8"/>
        <v>2800</v>
      </c>
      <c r="S53" s="3291"/>
      <c r="T53" s="3291">
        <f t="shared" si="31"/>
        <v>2800</v>
      </c>
      <c r="U53" s="3303"/>
      <c r="V53" s="3303"/>
      <c r="W53" s="3291">
        <f t="shared" si="22"/>
        <v>2650</v>
      </c>
      <c r="X53" s="3291">
        <f t="shared" si="23"/>
        <v>2650</v>
      </c>
      <c r="Y53" s="3291"/>
      <c r="Z53" s="3291">
        <f t="shared" si="24"/>
        <v>2650</v>
      </c>
      <c r="AA53" s="3291">
        <f t="shared" si="25"/>
        <v>2782.5</v>
      </c>
      <c r="AB53" s="3291">
        <f t="shared" si="26"/>
        <v>2783</v>
      </c>
      <c r="AC53" s="3291"/>
      <c r="AD53" s="3304">
        <f t="shared" si="27"/>
        <v>2783</v>
      </c>
      <c r="AE53" s="3305">
        <f t="shared" si="9"/>
        <v>2800</v>
      </c>
      <c r="AF53" s="2995">
        <v>1.1200000000000001</v>
      </c>
      <c r="AG53" s="2995"/>
      <c r="AH53" s="2995"/>
      <c r="AI53" s="3405" t="s">
        <v>2766</v>
      </c>
      <c r="AJ53" s="2995">
        <f t="shared" si="28"/>
        <v>0</v>
      </c>
      <c r="AK53" s="2995"/>
      <c r="AL53" s="2995"/>
      <c r="AM53" s="2995"/>
      <c r="AO53" s="3220" t="s">
        <v>2766</v>
      </c>
      <c r="AP53" s="2983">
        <f t="shared" ref="AP53" si="34">IF(B53=AO53,0,1)</f>
        <v>0</v>
      </c>
    </row>
    <row r="54" spans="1:44" hidden="1">
      <c r="A54" s="3222">
        <v>47</v>
      </c>
      <c r="B54" s="3220" t="s">
        <v>2772</v>
      </c>
      <c r="C54" s="3220" t="s">
        <v>2771</v>
      </c>
      <c r="D54" s="3291" t="s">
        <v>2295</v>
      </c>
      <c r="E54" s="3296">
        <v>16815.8</v>
      </c>
      <c r="F54" s="3300">
        <f t="shared" si="29"/>
        <v>0</v>
      </c>
      <c r="G54" s="3300"/>
      <c r="H54" s="3301"/>
      <c r="I54" s="3301"/>
      <c r="J54" s="3301"/>
      <c r="K54" s="3301"/>
      <c r="L54" s="3215">
        <v>2</v>
      </c>
      <c r="M54" s="3302"/>
      <c r="N54" s="3301"/>
      <c r="O54" s="3301"/>
      <c r="P54" s="3291">
        <f t="shared" si="30"/>
        <v>2</v>
      </c>
      <c r="Q54" s="3214" t="s">
        <v>2774</v>
      </c>
      <c r="R54" s="3291">
        <f t="shared" si="8"/>
        <v>33600</v>
      </c>
      <c r="S54" s="3291"/>
      <c r="T54" s="3291">
        <f t="shared" si="31"/>
        <v>33600</v>
      </c>
      <c r="U54" s="3303"/>
      <c r="V54" s="3303"/>
      <c r="W54" s="3291">
        <f t="shared" si="22"/>
        <v>15900</v>
      </c>
      <c r="X54" s="3291">
        <f t="shared" si="23"/>
        <v>31800</v>
      </c>
      <c r="Y54" s="3291"/>
      <c r="Z54" s="3291">
        <f t="shared" si="24"/>
        <v>31800</v>
      </c>
      <c r="AA54" s="3291">
        <f t="shared" si="25"/>
        <v>16695</v>
      </c>
      <c r="AB54" s="3291">
        <f t="shared" si="26"/>
        <v>33390</v>
      </c>
      <c r="AC54" s="3291"/>
      <c r="AD54" s="3304">
        <f t="shared" si="27"/>
        <v>33390</v>
      </c>
      <c r="AE54" s="3305">
        <f t="shared" si="9"/>
        <v>16800</v>
      </c>
      <c r="AF54" s="2995">
        <v>1.1200000000000001</v>
      </c>
      <c r="AG54" s="2995"/>
      <c r="AH54" s="2995"/>
      <c r="AI54" s="3405" t="s">
        <v>2772</v>
      </c>
      <c r="AJ54" s="2995">
        <f t="shared" si="28"/>
        <v>0</v>
      </c>
      <c r="AK54" s="2995"/>
      <c r="AL54" s="2995"/>
      <c r="AM54" s="2995"/>
      <c r="AO54" s="3220" t="s">
        <v>2772</v>
      </c>
      <c r="AP54" s="2983">
        <f t="shared" ref="AP54:AP59" si="35">IF(B54=AO54,0,1)</f>
        <v>0</v>
      </c>
    </row>
    <row r="55" spans="1:44" hidden="1">
      <c r="A55" s="3222">
        <v>48</v>
      </c>
      <c r="B55" s="3299" t="s">
        <v>2767</v>
      </c>
      <c r="C55" s="3299" t="s">
        <v>2767</v>
      </c>
      <c r="D55" s="3291" t="s">
        <v>1268</v>
      </c>
      <c r="E55" s="3296">
        <v>16815.8</v>
      </c>
      <c r="F55" s="3300">
        <f t="shared" si="29"/>
        <v>0</v>
      </c>
      <c r="G55" s="3300"/>
      <c r="H55" s="3301"/>
      <c r="I55" s="3301"/>
      <c r="J55" s="3301"/>
      <c r="K55" s="3301"/>
      <c r="L55" s="3215">
        <v>1</v>
      </c>
      <c r="M55" s="3302"/>
      <c r="N55" s="3301"/>
      <c r="O55" s="3301"/>
      <c r="P55" s="3291">
        <f t="shared" si="30"/>
        <v>1</v>
      </c>
      <c r="Q55" s="3214" t="s">
        <v>2768</v>
      </c>
      <c r="R55" s="3291">
        <f t="shared" si="8"/>
        <v>1680</v>
      </c>
      <c r="S55" s="3291"/>
      <c r="T55" s="3291">
        <f t="shared" si="31"/>
        <v>1680</v>
      </c>
      <c r="U55" s="3303"/>
      <c r="V55" s="3303"/>
      <c r="W55" s="3291">
        <f t="shared" si="22"/>
        <v>1590</v>
      </c>
      <c r="X55" s="3291">
        <f t="shared" si="23"/>
        <v>1590</v>
      </c>
      <c r="Y55" s="3291"/>
      <c r="Z55" s="3291">
        <f t="shared" si="24"/>
        <v>1590</v>
      </c>
      <c r="AA55" s="3291">
        <f t="shared" si="25"/>
        <v>1669.5</v>
      </c>
      <c r="AB55" s="3291">
        <f t="shared" si="26"/>
        <v>1670</v>
      </c>
      <c r="AC55" s="3291"/>
      <c r="AD55" s="3304">
        <f t="shared" si="27"/>
        <v>1670</v>
      </c>
      <c r="AE55" s="3305">
        <f t="shared" si="9"/>
        <v>1680</v>
      </c>
      <c r="AF55" s="2995">
        <v>1.1200000000000001</v>
      </c>
      <c r="AG55" s="2995"/>
      <c r="AH55" s="2995"/>
      <c r="AI55" s="3405" t="s">
        <v>2767</v>
      </c>
      <c r="AJ55" s="2995">
        <f t="shared" si="28"/>
        <v>0</v>
      </c>
      <c r="AK55" s="2995"/>
      <c r="AL55" s="2995"/>
      <c r="AM55" s="2995"/>
      <c r="AO55" s="3335" t="s">
        <v>2767</v>
      </c>
      <c r="AP55" s="2983">
        <f t="shared" si="35"/>
        <v>0</v>
      </c>
    </row>
    <row r="56" spans="1:44" hidden="1">
      <c r="A56" s="3222">
        <v>49</v>
      </c>
      <c r="B56" s="3299" t="s">
        <v>2769</v>
      </c>
      <c r="C56" s="3299" t="s">
        <v>2769</v>
      </c>
      <c r="D56" s="3291" t="s">
        <v>1268</v>
      </c>
      <c r="E56" s="3296">
        <v>16815.8</v>
      </c>
      <c r="F56" s="3300">
        <f t="shared" si="29"/>
        <v>0</v>
      </c>
      <c r="G56" s="3300"/>
      <c r="H56" s="3301"/>
      <c r="I56" s="3301"/>
      <c r="J56" s="3301"/>
      <c r="K56" s="3301"/>
      <c r="L56" s="3215">
        <v>5</v>
      </c>
      <c r="M56" s="3302"/>
      <c r="N56" s="3301"/>
      <c r="O56" s="3301"/>
      <c r="P56" s="3291">
        <f t="shared" si="30"/>
        <v>5</v>
      </c>
      <c r="Q56" s="3214" t="s">
        <v>2770</v>
      </c>
      <c r="R56" s="3291">
        <f t="shared" si="8"/>
        <v>78400</v>
      </c>
      <c r="S56" s="3291"/>
      <c r="T56" s="3291">
        <f t="shared" si="31"/>
        <v>78400</v>
      </c>
      <c r="U56" s="3303"/>
      <c r="V56" s="3303"/>
      <c r="W56" s="3291">
        <f t="shared" si="22"/>
        <v>14840</v>
      </c>
      <c r="X56" s="3291">
        <f t="shared" si="23"/>
        <v>74200</v>
      </c>
      <c r="Y56" s="3291"/>
      <c r="Z56" s="3291">
        <f t="shared" si="24"/>
        <v>74200</v>
      </c>
      <c r="AA56" s="3291">
        <f t="shared" si="25"/>
        <v>15582</v>
      </c>
      <c r="AB56" s="3291">
        <f t="shared" si="26"/>
        <v>77910</v>
      </c>
      <c r="AC56" s="3291"/>
      <c r="AD56" s="3304">
        <f t="shared" si="27"/>
        <v>77910</v>
      </c>
      <c r="AE56" s="3305">
        <f t="shared" si="9"/>
        <v>15680</v>
      </c>
      <c r="AF56" s="2995">
        <v>1.1200000000000001</v>
      </c>
      <c r="AG56" s="2995"/>
      <c r="AH56" s="2995"/>
      <c r="AI56" s="3408"/>
      <c r="AJ56" s="3409"/>
      <c r="AK56" s="2995"/>
      <c r="AL56" s="2995"/>
      <c r="AM56" s="2995"/>
      <c r="AO56" s="3335" t="s">
        <v>2769</v>
      </c>
      <c r="AP56" s="2983">
        <f t="shared" si="35"/>
        <v>0</v>
      </c>
    </row>
    <row r="57" spans="1:44" hidden="1">
      <c r="A57" s="3222">
        <v>50</v>
      </c>
      <c r="B57" s="3220" t="s">
        <v>2771</v>
      </c>
      <c r="C57" s="3220" t="s">
        <v>2772</v>
      </c>
      <c r="D57" s="3291" t="s">
        <v>1268</v>
      </c>
      <c r="E57" s="3296">
        <v>16815.8</v>
      </c>
      <c r="F57" s="3300">
        <f t="shared" si="29"/>
        <v>0</v>
      </c>
      <c r="G57" s="3300"/>
      <c r="H57" s="3301"/>
      <c r="I57" s="3301"/>
      <c r="J57" s="3301"/>
      <c r="K57" s="3301"/>
      <c r="L57" s="3215">
        <v>2</v>
      </c>
      <c r="M57" s="3302"/>
      <c r="N57" s="3301"/>
      <c r="O57" s="3301"/>
      <c r="P57" s="3291">
        <f t="shared" si="30"/>
        <v>2</v>
      </c>
      <c r="Q57" s="3214" t="s">
        <v>2773</v>
      </c>
      <c r="R57" s="3291">
        <f t="shared" si="8"/>
        <v>35840</v>
      </c>
      <c r="S57" s="3291"/>
      <c r="T57" s="3291">
        <f t="shared" si="31"/>
        <v>35840</v>
      </c>
      <c r="U57" s="3303"/>
      <c r="V57" s="3303"/>
      <c r="W57" s="3291">
        <f t="shared" si="22"/>
        <v>16960</v>
      </c>
      <c r="X57" s="3291">
        <f t="shared" si="23"/>
        <v>33920</v>
      </c>
      <c r="Y57" s="3291"/>
      <c r="Z57" s="3291">
        <f t="shared" si="24"/>
        <v>33920</v>
      </c>
      <c r="AA57" s="3291">
        <f t="shared" si="25"/>
        <v>17808</v>
      </c>
      <c r="AB57" s="3291">
        <f t="shared" si="26"/>
        <v>35616</v>
      </c>
      <c r="AC57" s="3291"/>
      <c r="AD57" s="3304">
        <f t="shared" si="27"/>
        <v>35616</v>
      </c>
      <c r="AE57" s="3305">
        <f t="shared" si="9"/>
        <v>17920</v>
      </c>
      <c r="AF57" s="2995">
        <v>1.1200000000000001</v>
      </c>
      <c r="AG57" s="2995"/>
      <c r="AH57" s="2995"/>
      <c r="AI57" s="3405" t="s">
        <v>2771</v>
      </c>
      <c r="AJ57" s="2995">
        <f>IF(B57=AI57,0,1)</f>
        <v>0</v>
      </c>
      <c r="AK57" s="2995"/>
      <c r="AL57" s="2995"/>
      <c r="AM57" s="2995"/>
      <c r="AO57" s="3220" t="s">
        <v>2771</v>
      </c>
      <c r="AP57" s="2983">
        <f t="shared" si="35"/>
        <v>0</v>
      </c>
    </row>
    <row r="58" spans="1:44" ht="24" hidden="1">
      <c r="A58" s="3222">
        <v>51</v>
      </c>
      <c r="B58" s="3220" t="s">
        <v>2776</v>
      </c>
      <c r="C58" s="3220" t="s">
        <v>2776</v>
      </c>
      <c r="D58" s="3291" t="s">
        <v>1268</v>
      </c>
      <c r="E58" s="3296">
        <v>16815.8</v>
      </c>
      <c r="F58" s="3300">
        <f t="shared" si="29"/>
        <v>0</v>
      </c>
      <c r="G58" s="3300"/>
      <c r="H58" s="3301"/>
      <c r="I58" s="3301"/>
      <c r="J58" s="3301"/>
      <c r="K58" s="3301"/>
      <c r="L58" s="3214">
        <v>7</v>
      </c>
      <c r="M58" s="3302"/>
      <c r="N58" s="3301"/>
      <c r="O58" s="3301"/>
      <c r="P58" s="3291">
        <f t="shared" si="30"/>
        <v>7</v>
      </c>
      <c r="Q58" s="3214" t="s">
        <v>2741</v>
      </c>
      <c r="R58" s="3291">
        <f t="shared" si="8"/>
        <v>7056</v>
      </c>
      <c r="S58" s="3291"/>
      <c r="T58" s="3291">
        <f t="shared" si="31"/>
        <v>7056</v>
      </c>
      <c r="U58" s="3303"/>
      <c r="V58" s="3303"/>
      <c r="W58" s="3291">
        <f t="shared" si="22"/>
        <v>954</v>
      </c>
      <c r="X58" s="3291">
        <f t="shared" si="23"/>
        <v>6678</v>
      </c>
      <c r="Y58" s="3291"/>
      <c r="Z58" s="3291">
        <f t="shared" si="24"/>
        <v>6678</v>
      </c>
      <c r="AA58" s="3291">
        <f t="shared" si="25"/>
        <v>1001.7</v>
      </c>
      <c r="AB58" s="3291">
        <f t="shared" si="26"/>
        <v>7012</v>
      </c>
      <c r="AC58" s="3291"/>
      <c r="AD58" s="3304">
        <f t="shared" si="27"/>
        <v>7012</v>
      </c>
      <c r="AE58" s="3305">
        <f t="shared" si="9"/>
        <v>1008</v>
      </c>
      <c r="AF58" s="2995">
        <v>1.1200000000000001</v>
      </c>
      <c r="AG58" s="2995"/>
      <c r="AH58" s="2995"/>
      <c r="AI58" s="3220" t="s">
        <v>2776</v>
      </c>
      <c r="AJ58" s="2995">
        <f t="shared" ref="AJ58:AJ121" si="36">IF(B58=AI58,0,1)</f>
        <v>0</v>
      </c>
      <c r="AK58" s="2995"/>
      <c r="AL58" s="2995"/>
      <c r="AM58" s="2995"/>
      <c r="AO58" s="3220" t="s">
        <v>2776</v>
      </c>
      <c r="AP58" s="2983">
        <f t="shared" si="35"/>
        <v>0</v>
      </c>
    </row>
    <row r="59" spans="1:44" ht="24" hidden="1">
      <c r="A59" s="3222">
        <v>52</v>
      </c>
      <c r="B59" s="3220" t="s">
        <v>2778</v>
      </c>
      <c r="C59" s="3220" t="s">
        <v>2778</v>
      </c>
      <c r="D59" s="3291" t="s">
        <v>1268</v>
      </c>
      <c r="E59" s="3296">
        <v>16815.8</v>
      </c>
      <c r="F59" s="3300">
        <f t="shared" si="29"/>
        <v>0</v>
      </c>
      <c r="G59" s="3300"/>
      <c r="H59" s="3301"/>
      <c r="I59" s="3301"/>
      <c r="J59" s="3301"/>
      <c r="K59" s="3301"/>
      <c r="L59" s="3214">
        <v>7</v>
      </c>
      <c r="M59" s="3302"/>
      <c r="N59" s="3301"/>
      <c r="O59" s="3301"/>
      <c r="P59" s="3291">
        <f t="shared" si="30"/>
        <v>7</v>
      </c>
      <c r="Q59" s="3214" t="s">
        <v>2779</v>
      </c>
      <c r="R59" s="3291">
        <f t="shared" si="8"/>
        <v>8624</v>
      </c>
      <c r="S59" s="3291"/>
      <c r="T59" s="3291">
        <f t="shared" si="31"/>
        <v>8624</v>
      </c>
      <c r="U59" s="3303"/>
      <c r="V59" s="3303"/>
      <c r="W59" s="3291">
        <f t="shared" si="22"/>
        <v>1166</v>
      </c>
      <c r="X59" s="3291">
        <f t="shared" si="23"/>
        <v>8162</v>
      </c>
      <c r="Y59" s="3291"/>
      <c r="Z59" s="3291">
        <f t="shared" si="24"/>
        <v>8162</v>
      </c>
      <c r="AA59" s="3291">
        <f t="shared" si="25"/>
        <v>1224.3</v>
      </c>
      <c r="AB59" s="3291">
        <f t="shared" si="26"/>
        <v>8570</v>
      </c>
      <c r="AC59" s="3291"/>
      <c r="AD59" s="3304">
        <f t="shared" si="27"/>
        <v>8570</v>
      </c>
      <c r="AE59" s="3305">
        <f t="shared" si="9"/>
        <v>1232</v>
      </c>
      <c r="AF59" s="2995">
        <v>1.1200000000000001</v>
      </c>
      <c r="AG59" s="2995"/>
      <c r="AH59" s="2995"/>
      <c r="AI59" s="3220" t="s">
        <v>2778</v>
      </c>
      <c r="AJ59" s="2995">
        <f t="shared" si="36"/>
        <v>0</v>
      </c>
      <c r="AK59" s="2995"/>
      <c r="AL59" s="2995"/>
      <c r="AM59" s="2995"/>
      <c r="AO59" s="3220" t="s">
        <v>2778</v>
      </c>
      <c r="AP59" s="2983">
        <f t="shared" si="35"/>
        <v>0</v>
      </c>
    </row>
    <row r="60" spans="1:44" hidden="1">
      <c r="A60" s="3222">
        <v>53</v>
      </c>
      <c r="B60" s="3220" t="s">
        <v>2780</v>
      </c>
      <c r="C60" s="3220" t="s">
        <v>2780</v>
      </c>
      <c r="D60" s="3291" t="s">
        <v>1022</v>
      </c>
      <c r="E60" s="3296">
        <v>16815.8</v>
      </c>
      <c r="F60" s="3300">
        <f t="shared" si="29"/>
        <v>0</v>
      </c>
      <c r="G60" s="3300"/>
      <c r="H60" s="3301"/>
      <c r="I60" s="3301"/>
      <c r="J60" s="3301"/>
      <c r="K60" s="3301"/>
      <c r="L60" s="3214">
        <v>5</v>
      </c>
      <c r="M60" s="3302"/>
      <c r="N60" s="3301"/>
      <c r="O60" s="3301"/>
      <c r="P60" s="3291">
        <f t="shared" si="30"/>
        <v>5</v>
      </c>
      <c r="Q60" s="3214" t="s">
        <v>2768</v>
      </c>
      <c r="R60" s="3291">
        <f t="shared" si="8"/>
        <v>8400</v>
      </c>
      <c r="S60" s="3291"/>
      <c r="T60" s="3291">
        <f t="shared" si="31"/>
        <v>8400</v>
      </c>
      <c r="U60" s="3303"/>
      <c r="V60" s="3303"/>
      <c r="W60" s="3291">
        <f t="shared" si="22"/>
        <v>1590</v>
      </c>
      <c r="X60" s="3291">
        <f t="shared" si="23"/>
        <v>7950</v>
      </c>
      <c r="Y60" s="3291"/>
      <c r="Z60" s="3291">
        <f t="shared" si="24"/>
        <v>7950</v>
      </c>
      <c r="AA60" s="3291">
        <f t="shared" si="25"/>
        <v>1669.5</v>
      </c>
      <c r="AB60" s="3291">
        <f t="shared" si="26"/>
        <v>8348</v>
      </c>
      <c r="AC60" s="3291"/>
      <c r="AD60" s="3304">
        <f t="shared" si="27"/>
        <v>8348</v>
      </c>
      <c r="AE60" s="3305">
        <f t="shared" si="9"/>
        <v>1680</v>
      </c>
      <c r="AF60" s="2995">
        <v>1.1200000000000001</v>
      </c>
      <c r="AG60" s="2995"/>
      <c r="AH60" s="2995"/>
      <c r="AI60" s="3405" t="s">
        <v>2780</v>
      </c>
      <c r="AJ60" s="2995">
        <f t="shared" si="36"/>
        <v>0</v>
      </c>
      <c r="AK60" s="2995"/>
      <c r="AL60" s="2995"/>
      <c r="AM60" s="2995"/>
      <c r="AO60" s="3220"/>
    </row>
    <row r="61" spans="1:44" hidden="1">
      <c r="A61" s="3222">
        <v>54</v>
      </c>
      <c r="B61" s="3220" t="s">
        <v>2781</v>
      </c>
      <c r="C61" s="3220" t="s">
        <v>2781</v>
      </c>
      <c r="D61" s="3291" t="s">
        <v>1268</v>
      </c>
      <c r="E61" s="3296">
        <v>16815.8</v>
      </c>
      <c r="F61" s="3300">
        <f t="shared" si="29"/>
        <v>0</v>
      </c>
      <c r="G61" s="3300"/>
      <c r="H61" s="3301"/>
      <c r="I61" s="3301"/>
      <c r="J61" s="3301"/>
      <c r="K61" s="3301"/>
      <c r="L61" s="3214">
        <v>5</v>
      </c>
      <c r="M61" s="3302"/>
      <c r="N61" s="3301"/>
      <c r="O61" s="3301"/>
      <c r="P61" s="3291">
        <f t="shared" si="30"/>
        <v>5</v>
      </c>
      <c r="Q61" s="3214" t="s">
        <v>2782</v>
      </c>
      <c r="R61" s="3291">
        <f t="shared" si="8"/>
        <v>11200</v>
      </c>
      <c r="S61" s="3291"/>
      <c r="T61" s="3291">
        <f t="shared" si="31"/>
        <v>11200</v>
      </c>
      <c r="U61" s="3303"/>
      <c r="V61" s="3303"/>
      <c r="W61" s="3291">
        <f t="shared" si="22"/>
        <v>2120</v>
      </c>
      <c r="X61" s="3291">
        <f t="shared" si="23"/>
        <v>10600</v>
      </c>
      <c r="Y61" s="3291"/>
      <c r="Z61" s="3291">
        <f t="shared" si="24"/>
        <v>10600</v>
      </c>
      <c r="AA61" s="3291">
        <f t="shared" si="25"/>
        <v>2226</v>
      </c>
      <c r="AB61" s="3291">
        <f t="shared" si="26"/>
        <v>11130</v>
      </c>
      <c r="AC61" s="3291"/>
      <c r="AD61" s="3304">
        <f t="shared" si="27"/>
        <v>11130</v>
      </c>
      <c r="AE61" s="3305">
        <f t="shared" si="9"/>
        <v>2240</v>
      </c>
      <c r="AF61" s="2995">
        <v>1.1200000000000001</v>
      </c>
      <c r="AG61" s="2995"/>
      <c r="AH61" s="2995"/>
      <c r="AI61" s="3405" t="s">
        <v>2781</v>
      </c>
      <c r="AJ61" s="2995">
        <f t="shared" si="36"/>
        <v>0</v>
      </c>
      <c r="AK61" s="2995"/>
      <c r="AL61" s="2995"/>
      <c r="AM61" s="2995"/>
      <c r="AO61" s="3220"/>
    </row>
    <row r="62" spans="1:44" hidden="1">
      <c r="A62" s="3222">
        <v>55</v>
      </c>
      <c r="B62" s="3220" t="s">
        <v>2783</v>
      </c>
      <c r="C62" s="3220" t="s">
        <v>2783</v>
      </c>
      <c r="D62" s="3291" t="s">
        <v>1268</v>
      </c>
      <c r="E62" s="3296">
        <v>16815.8</v>
      </c>
      <c r="F62" s="3300">
        <f t="shared" si="29"/>
        <v>0</v>
      </c>
      <c r="G62" s="3300"/>
      <c r="H62" s="3291"/>
      <c r="I62" s="3301"/>
      <c r="J62" s="3301"/>
      <c r="K62" s="3291"/>
      <c r="L62" s="3214">
        <v>5</v>
      </c>
      <c r="M62" s="3302"/>
      <c r="N62" s="3291"/>
      <c r="O62" s="3291"/>
      <c r="P62" s="3291">
        <f t="shared" si="30"/>
        <v>5</v>
      </c>
      <c r="Q62" s="3214" t="s">
        <v>2784</v>
      </c>
      <c r="R62" s="3291">
        <f t="shared" si="8"/>
        <v>14000</v>
      </c>
      <c r="S62" s="3291"/>
      <c r="T62" s="3291">
        <f t="shared" si="31"/>
        <v>14000</v>
      </c>
      <c r="U62" s="3303"/>
      <c r="V62" s="3303"/>
      <c r="W62" s="3291">
        <f t="shared" si="22"/>
        <v>2650</v>
      </c>
      <c r="X62" s="3291">
        <f t="shared" si="23"/>
        <v>13250</v>
      </c>
      <c r="Y62" s="3291"/>
      <c r="Z62" s="3291">
        <f t="shared" si="24"/>
        <v>13250</v>
      </c>
      <c r="AA62" s="3291">
        <f t="shared" si="25"/>
        <v>2782.5</v>
      </c>
      <c r="AB62" s="3291">
        <f t="shared" si="26"/>
        <v>13913</v>
      </c>
      <c r="AC62" s="3291"/>
      <c r="AD62" s="3304">
        <f t="shared" si="27"/>
        <v>13913</v>
      </c>
      <c r="AE62" s="3305">
        <f t="shared" si="9"/>
        <v>2800</v>
      </c>
      <c r="AF62" s="2995">
        <v>1.1200000000000001</v>
      </c>
      <c r="AG62" s="2995"/>
      <c r="AH62" s="2995"/>
      <c r="AI62" s="3405" t="s">
        <v>2783</v>
      </c>
      <c r="AJ62" s="2995">
        <f t="shared" si="36"/>
        <v>0</v>
      </c>
      <c r="AK62" s="2995"/>
      <c r="AL62" s="2995"/>
      <c r="AM62" s="2995"/>
      <c r="AO62" s="3220"/>
    </row>
    <row r="63" spans="1:44" ht="60" hidden="1">
      <c r="A63" s="3222">
        <v>56</v>
      </c>
      <c r="B63" s="3299" t="s">
        <v>2848</v>
      </c>
      <c r="C63" s="3299" t="s">
        <v>2848</v>
      </c>
      <c r="D63" s="3291" t="s">
        <v>1268</v>
      </c>
      <c r="E63" s="3296">
        <v>16815.8</v>
      </c>
      <c r="F63" s="3300">
        <f t="shared" si="29"/>
        <v>0</v>
      </c>
      <c r="G63" s="3300"/>
      <c r="H63" s="3301"/>
      <c r="I63" s="3301"/>
      <c r="J63" s="3301"/>
      <c r="K63" s="3301"/>
      <c r="L63" s="3214">
        <v>10</v>
      </c>
      <c r="M63" s="3302"/>
      <c r="N63" s="3301"/>
      <c r="O63" s="3301"/>
      <c r="P63" s="3291">
        <f t="shared" si="30"/>
        <v>10</v>
      </c>
      <c r="Q63" s="3216">
        <v>2500</v>
      </c>
      <c r="R63" s="3291">
        <f t="shared" si="8"/>
        <v>28000</v>
      </c>
      <c r="S63" s="3291"/>
      <c r="T63" s="3291">
        <f t="shared" si="31"/>
        <v>28000</v>
      </c>
      <c r="U63" s="3303">
        <v>1620</v>
      </c>
      <c r="V63" s="3303">
        <v>1.07</v>
      </c>
      <c r="W63" s="3291">
        <f t="shared" si="22"/>
        <v>2650</v>
      </c>
      <c r="X63" s="3291">
        <f t="shared" si="23"/>
        <v>26500</v>
      </c>
      <c r="Y63" s="3291"/>
      <c r="Z63" s="3291">
        <f t="shared" si="24"/>
        <v>26500</v>
      </c>
      <c r="AA63" s="3291">
        <f t="shared" si="25"/>
        <v>2782.5</v>
      </c>
      <c r="AB63" s="3291">
        <f t="shared" si="26"/>
        <v>27825</v>
      </c>
      <c r="AC63" s="3291"/>
      <c r="AD63" s="3304">
        <f t="shared" si="27"/>
        <v>27825</v>
      </c>
      <c r="AE63" s="3305">
        <f t="shared" si="9"/>
        <v>2800</v>
      </c>
      <c r="AF63" s="2995">
        <v>1.1200000000000001</v>
      </c>
      <c r="AG63" s="2995"/>
      <c r="AH63" s="2995"/>
      <c r="AI63" s="3405" t="s">
        <v>2848</v>
      </c>
      <c r="AJ63" s="2995">
        <f t="shared" si="36"/>
        <v>0</v>
      </c>
      <c r="AK63" s="2995"/>
      <c r="AL63" s="2995"/>
      <c r="AM63" s="2995"/>
      <c r="AO63" s="3335" t="s">
        <v>2848</v>
      </c>
      <c r="AP63" s="2983">
        <f>IF(B63=AO63,0,1)</f>
        <v>0</v>
      </c>
      <c r="AQ63" s="3299" t="s">
        <v>2882</v>
      </c>
      <c r="AR63" s="2983">
        <f>IF(B60=AQ63,0,1)</f>
        <v>1</v>
      </c>
    </row>
    <row r="64" spans="1:44" hidden="1">
      <c r="A64" s="3222">
        <v>57</v>
      </c>
      <c r="B64" s="3220" t="s">
        <v>2787</v>
      </c>
      <c r="C64" s="3220" t="s">
        <v>2787</v>
      </c>
      <c r="D64" s="3291" t="s">
        <v>1268</v>
      </c>
      <c r="E64" s="3296">
        <v>16815.8</v>
      </c>
      <c r="F64" s="3300">
        <f t="shared" si="29"/>
        <v>0</v>
      </c>
      <c r="G64" s="3300"/>
      <c r="H64" s="3291"/>
      <c r="I64" s="3301"/>
      <c r="J64" s="3301"/>
      <c r="K64" s="3291"/>
      <c r="L64" s="3214">
        <v>8</v>
      </c>
      <c r="M64" s="3302"/>
      <c r="N64" s="3291"/>
      <c r="O64" s="3291"/>
      <c r="P64" s="3291">
        <f t="shared" si="30"/>
        <v>8</v>
      </c>
      <c r="Q64" s="3216">
        <v>3000</v>
      </c>
      <c r="R64" s="3291">
        <f t="shared" si="8"/>
        <v>26880</v>
      </c>
      <c r="S64" s="3291"/>
      <c r="T64" s="3291">
        <f t="shared" si="31"/>
        <v>26880</v>
      </c>
      <c r="U64" s="3303"/>
      <c r="V64" s="3303"/>
      <c r="W64" s="3291">
        <f t="shared" si="22"/>
        <v>3180</v>
      </c>
      <c r="X64" s="3291">
        <f t="shared" si="23"/>
        <v>25440</v>
      </c>
      <c r="Y64" s="3291"/>
      <c r="Z64" s="3291">
        <f t="shared" si="24"/>
        <v>25440</v>
      </c>
      <c r="AA64" s="3291">
        <f t="shared" si="25"/>
        <v>3339</v>
      </c>
      <c r="AB64" s="3291">
        <f t="shared" si="26"/>
        <v>26712</v>
      </c>
      <c r="AC64" s="3291"/>
      <c r="AD64" s="3304">
        <f t="shared" si="27"/>
        <v>26712</v>
      </c>
      <c r="AE64" s="3305">
        <f t="shared" si="9"/>
        <v>3360</v>
      </c>
      <c r="AF64" s="2995">
        <v>1.1200000000000001</v>
      </c>
      <c r="AG64" s="2995"/>
      <c r="AH64" s="2995"/>
      <c r="AI64" s="3220" t="s">
        <v>2787</v>
      </c>
      <c r="AJ64" s="2995">
        <f t="shared" si="36"/>
        <v>0</v>
      </c>
      <c r="AK64" s="2995"/>
      <c r="AL64" s="2995"/>
      <c r="AM64" s="2995"/>
      <c r="AO64" s="3220" t="s">
        <v>2787</v>
      </c>
      <c r="AP64" s="2983">
        <f>IF(B64=AO64,0,1)</f>
        <v>0</v>
      </c>
    </row>
    <row r="65" spans="1:44" ht="96" hidden="1">
      <c r="A65" s="3222">
        <v>58</v>
      </c>
      <c r="B65" s="3220" t="s">
        <v>2893</v>
      </c>
      <c r="C65" s="3220" t="s">
        <v>2894</v>
      </c>
      <c r="D65" s="3291" t="s">
        <v>1268</v>
      </c>
      <c r="E65" s="3296">
        <v>16815.8</v>
      </c>
      <c r="F65" s="3300">
        <f t="shared" si="29"/>
        <v>0</v>
      </c>
      <c r="G65" s="3300"/>
      <c r="H65" s="3291"/>
      <c r="I65" s="3301"/>
      <c r="J65" s="3301"/>
      <c r="K65" s="3291"/>
      <c r="L65" s="3214">
        <v>385</v>
      </c>
      <c r="M65" s="3302"/>
      <c r="N65" s="3291"/>
      <c r="O65" s="3291"/>
      <c r="P65" s="3291">
        <f t="shared" si="30"/>
        <v>385</v>
      </c>
      <c r="Q65" s="3218">
        <v>4000</v>
      </c>
      <c r="R65" s="3291">
        <f t="shared" si="8"/>
        <v>1724800</v>
      </c>
      <c r="S65" s="3291"/>
      <c r="T65" s="3291">
        <f t="shared" si="31"/>
        <v>1724800</v>
      </c>
      <c r="U65" s="3308">
        <v>9</v>
      </c>
      <c r="V65" s="3303">
        <v>1.07</v>
      </c>
      <c r="W65" s="3291">
        <f t="shared" si="22"/>
        <v>4240</v>
      </c>
      <c r="X65" s="3291">
        <f t="shared" si="23"/>
        <v>1632400</v>
      </c>
      <c r="Y65" s="3291"/>
      <c r="Z65" s="3291">
        <f t="shared" si="24"/>
        <v>1632400</v>
      </c>
      <c r="AA65" s="3291">
        <f t="shared" si="25"/>
        <v>4452</v>
      </c>
      <c r="AB65" s="3291">
        <f t="shared" si="26"/>
        <v>1714020</v>
      </c>
      <c r="AC65" s="3291"/>
      <c r="AD65" s="3304">
        <f t="shared" si="27"/>
        <v>1714020</v>
      </c>
      <c r="AE65" s="3305">
        <f t="shared" si="9"/>
        <v>4480</v>
      </c>
      <c r="AF65" s="2995">
        <v>1.1200000000000001</v>
      </c>
      <c r="AG65" s="2995"/>
      <c r="AH65" s="2995"/>
      <c r="AI65" s="3405" t="s">
        <v>2893</v>
      </c>
      <c r="AJ65" s="2995">
        <f t="shared" si="36"/>
        <v>0</v>
      </c>
      <c r="AK65" s="2995"/>
      <c r="AL65" s="2995"/>
      <c r="AM65" s="2995"/>
      <c r="AO65" s="3220"/>
    </row>
    <row r="66" spans="1:44" ht="24" hidden="1">
      <c r="A66" s="3222">
        <v>59</v>
      </c>
      <c r="B66" s="3220" t="s">
        <v>2895</v>
      </c>
      <c r="C66" s="3220" t="s">
        <v>2896</v>
      </c>
      <c r="D66" s="3291" t="s">
        <v>1268</v>
      </c>
      <c r="E66" s="3296">
        <v>16815.8</v>
      </c>
      <c r="F66" s="3300">
        <f t="shared" si="29"/>
        <v>0</v>
      </c>
      <c r="G66" s="3300"/>
      <c r="H66" s="3301"/>
      <c r="I66" s="3301"/>
      <c r="J66" s="3301"/>
      <c r="K66" s="3301"/>
      <c r="L66" s="3215">
        <v>5</v>
      </c>
      <c r="M66" s="3302"/>
      <c r="N66" s="3301"/>
      <c r="O66" s="3301"/>
      <c r="P66" s="3291">
        <f t="shared" si="30"/>
        <v>5</v>
      </c>
      <c r="Q66" s="3218">
        <v>4500</v>
      </c>
      <c r="R66" s="3291">
        <f t="shared" si="8"/>
        <v>25200</v>
      </c>
      <c r="S66" s="3291"/>
      <c r="T66" s="3291">
        <f t="shared" si="31"/>
        <v>25200</v>
      </c>
      <c r="U66" s="3303">
        <v>645</v>
      </c>
      <c r="V66" s="3303">
        <v>1.07</v>
      </c>
      <c r="W66" s="3291">
        <f t="shared" si="22"/>
        <v>4770</v>
      </c>
      <c r="X66" s="3291">
        <f t="shared" si="23"/>
        <v>23850</v>
      </c>
      <c r="Y66" s="3291"/>
      <c r="Z66" s="3291">
        <f t="shared" si="24"/>
        <v>23850</v>
      </c>
      <c r="AA66" s="3291">
        <f t="shared" si="25"/>
        <v>5008.5</v>
      </c>
      <c r="AB66" s="3291">
        <f t="shared" si="26"/>
        <v>25043</v>
      </c>
      <c r="AC66" s="3291"/>
      <c r="AD66" s="3304">
        <f t="shared" si="27"/>
        <v>25043</v>
      </c>
      <c r="AE66" s="3305">
        <f t="shared" si="9"/>
        <v>5040</v>
      </c>
      <c r="AF66" s="2995">
        <v>1.1200000000000001</v>
      </c>
      <c r="AG66" s="2995"/>
      <c r="AH66" s="2995"/>
      <c r="AI66" s="3405" t="s">
        <v>2895</v>
      </c>
      <c r="AJ66" s="2995">
        <f t="shared" si="36"/>
        <v>0</v>
      </c>
      <c r="AK66" s="2995"/>
      <c r="AL66" s="2995"/>
      <c r="AM66" s="2995"/>
      <c r="AO66" s="3220"/>
    </row>
    <row r="67" spans="1:44" ht="168">
      <c r="A67" s="3222">
        <v>60</v>
      </c>
      <c r="B67" s="3220" t="s">
        <v>3063</v>
      </c>
      <c r="C67" s="3220" t="s">
        <v>2785</v>
      </c>
      <c r="D67" s="3291" t="s">
        <v>1268</v>
      </c>
      <c r="E67" s="3296">
        <v>16815.8</v>
      </c>
      <c r="F67" s="3300">
        <f t="shared" si="29"/>
        <v>0</v>
      </c>
      <c r="G67" s="3300"/>
      <c r="H67" s="3291"/>
      <c r="I67" s="3301"/>
      <c r="J67" s="3301"/>
      <c r="K67" s="3291"/>
      <c r="L67" s="3214">
        <v>2</v>
      </c>
      <c r="M67" s="3291"/>
      <c r="N67" s="3291"/>
      <c r="O67" s="3291"/>
      <c r="P67" s="3291">
        <v>12</v>
      </c>
      <c r="Q67" s="3214">
        <v>2700</v>
      </c>
      <c r="R67" s="3291">
        <f t="shared" si="8"/>
        <v>36288</v>
      </c>
      <c r="S67" s="3291"/>
      <c r="T67" s="3291">
        <f t="shared" si="31"/>
        <v>36288</v>
      </c>
      <c r="U67" s="3303"/>
      <c r="V67" s="3303"/>
      <c r="W67" s="3291">
        <f t="shared" si="22"/>
        <v>2862</v>
      </c>
      <c r="X67" s="3291">
        <f t="shared" si="23"/>
        <v>34344</v>
      </c>
      <c r="Y67" s="3291"/>
      <c r="Z67" s="3291">
        <f t="shared" si="24"/>
        <v>34344</v>
      </c>
      <c r="AA67" s="3291">
        <f t="shared" si="25"/>
        <v>3005.1</v>
      </c>
      <c r="AB67" s="3291">
        <f t="shared" si="26"/>
        <v>36061</v>
      </c>
      <c r="AC67" s="3291"/>
      <c r="AD67" s="3304">
        <f t="shared" si="27"/>
        <v>36061</v>
      </c>
      <c r="AE67" s="3305">
        <f t="shared" si="9"/>
        <v>3024</v>
      </c>
      <c r="AF67" s="2995">
        <v>1.1200000000000001</v>
      </c>
      <c r="AG67" s="2995"/>
      <c r="AH67" s="2995"/>
      <c r="AI67" s="3408"/>
      <c r="AJ67" s="2995"/>
      <c r="AK67" s="2995"/>
      <c r="AL67" s="2995"/>
      <c r="AM67" s="2995"/>
      <c r="AQ67" s="3220" t="s">
        <v>2894</v>
      </c>
      <c r="AR67" s="2983">
        <f>IF(B65=AQ67,0,1)</f>
        <v>1</v>
      </c>
    </row>
    <row r="68" spans="1:44" hidden="1">
      <c r="A68" s="3222">
        <v>62</v>
      </c>
      <c r="B68" s="3220" t="s">
        <v>1938</v>
      </c>
      <c r="C68" s="3220" t="s">
        <v>1938</v>
      </c>
      <c r="D68" s="3291" t="s">
        <v>1268</v>
      </c>
      <c r="E68" s="3296">
        <v>16815.8</v>
      </c>
      <c r="F68" s="3300">
        <f>SUM(F69:F201)</f>
        <v>0</v>
      </c>
      <c r="G68" s="3300"/>
      <c r="H68" s="3291"/>
      <c r="I68" s="3301"/>
      <c r="J68" s="3301"/>
      <c r="K68" s="3291"/>
      <c r="L68" s="3214">
        <v>20</v>
      </c>
      <c r="M68" s="3302"/>
      <c r="N68" s="3291"/>
      <c r="O68" s="3291"/>
      <c r="P68" s="3291">
        <f t="shared" si="30"/>
        <v>20</v>
      </c>
      <c r="Q68" s="3216">
        <v>350</v>
      </c>
      <c r="R68" s="3291">
        <f t="shared" si="8"/>
        <v>7840</v>
      </c>
      <c r="S68" s="3291"/>
      <c r="T68" s="3291">
        <f t="shared" si="31"/>
        <v>7840</v>
      </c>
      <c r="U68" s="3303"/>
      <c r="V68" s="3303"/>
      <c r="W68" s="3291">
        <f t="shared" si="22"/>
        <v>371</v>
      </c>
      <c r="X68" s="3291">
        <f t="shared" si="23"/>
        <v>7420</v>
      </c>
      <c r="Y68" s="3291"/>
      <c r="Z68" s="3291">
        <f t="shared" si="24"/>
        <v>7420</v>
      </c>
      <c r="AA68" s="3291">
        <f t="shared" si="25"/>
        <v>389.55</v>
      </c>
      <c r="AB68" s="3291">
        <f t="shared" si="26"/>
        <v>7791</v>
      </c>
      <c r="AC68" s="3291"/>
      <c r="AD68" s="3304">
        <f t="shared" si="27"/>
        <v>7791</v>
      </c>
      <c r="AE68" s="3305">
        <f t="shared" si="9"/>
        <v>392</v>
      </c>
      <c r="AF68" s="2995">
        <v>1.1200000000000001</v>
      </c>
      <c r="AG68" s="2995"/>
      <c r="AH68" s="2995"/>
      <c r="AI68" s="3405" t="s">
        <v>1938</v>
      </c>
      <c r="AJ68" s="2995">
        <f t="shared" si="36"/>
        <v>0</v>
      </c>
      <c r="AK68" s="2995"/>
      <c r="AL68" s="2995"/>
      <c r="AM68" s="2995"/>
      <c r="AO68" s="3220" t="s">
        <v>1938</v>
      </c>
      <c r="AP68" s="2983">
        <f>IF(B68=AO68,0,1)</f>
        <v>0</v>
      </c>
    </row>
    <row r="69" spans="1:44" ht="12.75" hidden="1">
      <c r="A69" s="3222">
        <v>64</v>
      </c>
      <c r="B69" s="3220" t="s">
        <v>2869</v>
      </c>
      <c r="C69" s="3220" t="s">
        <v>2870</v>
      </c>
      <c r="D69" s="3291" t="s">
        <v>1268</v>
      </c>
      <c r="E69" s="3296">
        <v>16815.8</v>
      </c>
      <c r="F69" s="3300">
        <f t="shared" ref="F69:F78" si="37">SUM(F70:F203)</f>
        <v>0</v>
      </c>
      <c r="G69" s="3300"/>
      <c r="H69" s="3301"/>
      <c r="I69" s="3301"/>
      <c r="J69" s="3301"/>
      <c r="K69" s="3301"/>
      <c r="L69" s="3214">
        <v>50</v>
      </c>
      <c r="M69" s="3302"/>
      <c r="N69" s="3301"/>
      <c r="O69" s="3301"/>
      <c r="P69" s="3291">
        <f t="shared" si="30"/>
        <v>50</v>
      </c>
      <c r="Q69" s="3214">
        <v>280</v>
      </c>
      <c r="R69" s="3291">
        <f t="shared" si="8"/>
        <v>15680</v>
      </c>
      <c r="S69" s="3291"/>
      <c r="T69" s="3291">
        <f t="shared" si="31"/>
        <v>15680</v>
      </c>
      <c r="U69" s="3303">
        <v>19</v>
      </c>
      <c r="V69" s="3303">
        <v>1.07</v>
      </c>
      <c r="W69" s="3291">
        <f t="shared" si="22"/>
        <v>296.8</v>
      </c>
      <c r="X69" s="3291">
        <f t="shared" si="23"/>
        <v>14840</v>
      </c>
      <c r="Y69" s="3291"/>
      <c r="Z69" s="3291">
        <f t="shared" si="24"/>
        <v>14840</v>
      </c>
      <c r="AA69" s="3291">
        <f t="shared" si="25"/>
        <v>311.64000000000004</v>
      </c>
      <c r="AB69" s="3291">
        <f t="shared" si="26"/>
        <v>15582</v>
      </c>
      <c r="AC69" s="3291"/>
      <c r="AD69" s="3304">
        <f t="shared" si="27"/>
        <v>15582</v>
      </c>
      <c r="AE69" s="3305">
        <f t="shared" si="9"/>
        <v>313.60000000000002</v>
      </c>
      <c r="AF69" s="2995">
        <v>1.1200000000000001</v>
      </c>
      <c r="AG69" s="2995"/>
      <c r="AH69" s="2995"/>
      <c r="AI69" s="3405" t="s">
        <v>2869</v>
      </c>
      <c r="AJ69" s="2995">
        <f t="shared" si="36"/>
        <v>0</v>
      </c>
      <c r="AK69" s="2995"/>
      <c r="AL69" s="2995"/>
      <c r="AM69" s="2995"/>
      <c r="AO69" s="3339" t="s">
        <v>3064</v>
      </c>
      <c r="AP69" s="2983">
        <f t="shared" ref="AP69:AP132" si="38">IF(B69=AO69,0,1)</f>
        <v>1</v>
      </c>
    </row>
    <row r="70" spans="1:44" ht="12.75" hidden="1">
      <c r="A70" s="3222">
        <v>65</v>
      </c>
      <c r="B70" s="3220" t="s">
        <v>2790</v>
      </c>
      <c r="C70" s="3220" t="s">
        <v>2790</v>
      </c>
      <c r="D70" s="3291" t="s">
        <v>1268</v>
      </c>
      <c r="E70" s="3296">
        <v>16815.8</v>
      </c>
      <c r="F70" s="3300">
        <f t="shared" si="37"/>
        <v>0</v>
      </c>
      <c r="G70" s="3300"/>
      <c r="H70" s="3291"/>
      <c r="I70" s="3301"/>
      <c r="J70" s="3301"/>
      <c r="K70" s="3291"/>
      <c r="L70" s="3214">
        <v>10</v>
      </c>
      <c r="M70" s="3302"/>
      <c r="N70" s="3291"/>
      <c r="O70" s="3291"/>
      <c r="P70" s="3291">
        <f t="shared" ref="P70:P100" si="39">L70-N70-O70</f>
        <v>10</v>
      </c>
      <c r="Q70" s="3216">
        <v>3500</v>
      </c>
      <c r="R70" s="3291">
        <f t="shared" si="8"/>
        <v>39200</v>
      </c>
      <c r="S70" s="3291"/>
      <c r="T70" s="3291">
        <f t="shared" ref="T70:T100" si="40">R70-S70</f>
        <v>39200</v>
      </c>
      <c r="U70" s="3303"/>
      <c r="V70" s="3303"/>
      <c r="W70" s="3291">
        <f t="shared" si="22"/>
        <v>3710</v>
      </c>
      <c r="X70" s="3291">
        <f t="shared" si="23"/>
        <v>37100</v>
      </c>
      <c r="Y70" s="3291"/>
      <c r="Z70" s="3291">
        <f t="shared" si="24"/>
        <v>37100</v>
      </c>
      <c r="AA70" s="3291">
        <f t="shared" si="25"/>
        <v>3895.5</v>
      </c>
      <c r="AB70" s="3291">
        <f t="shared" si="26"/>
        <v>38955</v>
      </c>
      <c r="AC70" s="3291"/>
      <c r="AD70" s="3304">
        <f t="shared" si="27"/>
        <v>38955</v>
      </c>
      <c r="AE70" s="3305">
        <f t="shared" si="9"/>
        <v>3920</v>
      </c>
      <c r="AF70" s="2995">
        <v>1.1200000000000001</v>
      </c>
      <c r="AG70" s="2995"/>
      <c r="AH70" s="2995"/>
      <c r="AI70" s="3408"/>
      <c r="AJ70" s="2995"/>
      <c r="AK70" s="2995"/>
      <c r="AL70" s="2995"/>
      <c r="AM70" s="2995"/>
      <c r="AO70" s="3339" t="s">
        <v>3065</v>
      </c>
      <c r="AP70" s="2983">
        <f t="shared" si="38"/>
        <v>1</v>
      </c>
    </row>
    <row r="71" spans="1:44" ht="24" hidden="1">
      <c r="A71" s="3222">
        <v>66</v>
      </c>
      <c r="B71" s="3299" t="s">
        <v>2791</v>
      </c>
      <c r="C71" s="3299" t="s">
        <v>2791</v>
      </c>
      <c r="D71" s="3291" t="s">
        <v>1268</v>
      </c>
      <c r="E71" s="3296">
        <v>16815.8</v>
      </c>
      <c r="F71" s="3300">
        <f t="shared" si="37"/>
        <v>0</v>
      </c>
      <c r="G71" s="3300"/>
      <c r="H71" s="3301"/>
      <c r="I71" s="3301"/>
      <c r="J71" s="3301"/>
      <c r="K71" s="3301"/>
      <c r="L71" s="3214">
        <v>5</v>
      </c>
      <c r="M71" s="3302"/>
      <c r="N71" s="3301"/>
      <c r="O71" s="3301"/>
      <c r="P71" s="3291">
        <f t="shared" si="39"/>
        <v>5</v>
      </c>
      <c r="Q71" s="3216">
        <v>3740</v>
      </c>
      <c r="R71" s="3291">
        <f t="shared" si="8"/>
        <v>20944</v>
      </c>
      <c r="S71" s="3291"/>
      <c r="T71" s="3291">
        <f t="shared" si="40"/>
        <v>20944</v>
      </c>
      <c r="U71" s="3303"/>
      <c r="V71" s="3303"/>
      <c r="W71" s="3291">
        <f t="shared" si="22"/>
        <v>3964.4</v>
      </c>
      <c r="X71" s="3291">
        <f t="shared" si="23"/>
        <v>19822</v>
      </c>
      <c r="Y71" s="3291"/>
      <c r="Z71" s="3291">
        <f t="shared" si="24"/>
        <v>19822</v>
      </c>
      <c r="AA71" s="3291">
        <f t="shared" si="25"/>
        <v>4162.62</v>
      </c>
      <c r="AB71" s="3291">
        <f t="shared" si="26"/>
        <v>20813</v>
      </c>
      <c r="AC71" s="3291"/>
      <c r="AD71" s="3304">
        <f t="shared" si="27"/>
        <v>20813</v>
      </c>
      <c r="AE71" s="3305">
        <f t="shared" si="9"/>
        <v>4188.8</v>
      </c>
      <c r="AF71" s="2995">
        <v>1.1200000000000001</v>
      </c>
      <c r="AG71" s="2995"/>
      <c r="AH71" s="2995"/>
      <c r="AI71" s="3405" t="s">
        <v>2791</v>
      </c>
      <c r="AJ71" s="2995">
        <f t="shared" si="36"/>
        <v>0</v>
      </c>
      <c r="AK71" s="2995"/>
      <c r="AL71" s="2995"/>
      <c r="AM71" s="2995"/>
      <c r="AO71" s="3339" t="s">
        <v>3066</v>
      </c>
      <c r="AP71" s="2983">
        <f t="shared" si="38"/>
        <v>1</v>
      </c>
    </row>
    <row r="72" spans="1:44" ht="24" hidden="1">
      <c r="A72" s="3222">
        <v>67</v>
      </c>
      <c r="B72" s="3220" t="s">
        <v>3067</v>
      </c>
      <c r="C72" s="3220" t="s">
        <v>3065</v>
      </c>
      <c r="D72" s="3291" t="s">
        <v>1268</v>
      </c>
      <c r="E72" s="3296">
        <v>16815.8</v>
      </c>
      <c r="F72" s="3300">
        <f t="shared" si="37"/>
        <v>0</v>
      </c>
      <c r="G72" s="3300"/>
      <c r="H72" s="3301"/>
      <c r="I72" s="3301"/>
      <c r="J72" s="3301"/>
      <c r="K72" s="3301"/>
      <c r="L72" s="3215">
        <v>100</v>
      </c>
      <c r="M72" s="3302"/>
      <c r="N72" s="3301"/>
      <c r="O72" s="3301"/>
      <c r="P72" s="3291">
        <f t="shared" si="39"/>
        <v>100</v>
      </c>
      <c r="Q72" s="3219" t="s">
        <v>3068</v>
      </c>
      <c r="R72" s="3291">
        <f t="shared" si="8"/>
        <v>515200</v>
      </c>
      <c r="S72" s="3291"/>
      <c r="T72" s="3291">
        <f t="shared" si="40"/>
        <v>515200</v>
      </c>
      <c r="U72" s="3303"/>
      <c r="V72" s="3303"/>
      <c r="W72" s="3291"/>
      <c r="X72" s="3291"/>
      <c r="Y72" s="3291"/>
      <c r="Z72" s="3291"/>
      <c r="AA72" s="3291"/>
      <c r="AB72" s="3291"/>
      <c r="AC72" s="3291"/>
      <c r="AD72" s="3304"/>
      <c r="AE72" s="3305">
        <f t="shared" si="9"/>
        <v>5152</v>
      </c>
      <c r="AF72" s="2995">
        <v>1.1200000000000001</v>
      </c>
      <c r="AG72" s="2995"/>
      <c r="AH72" s="2995"/>
      <c r="AI72" s="3405" t="s">
        <v>3067</v>
      </c>
      <c r="AJ72" s="2995">
        <f t="shared" si="36"/>
        <v>0</v>
      </c>
      <c r="AK72" s="2995"/>
      <c r="AL72" s="2995"/>
      <c r="AM72" s="2995"/>
      <c r="AO72" s="3335" t="s">
        <v>2792</v>
      </c>
      <c r="AP72" s="2983">
        <f t="shared" si="38"/>
        <v>1</v>
      </c>
    </row>
    <row r="73" spans="1:44" hidden="1">
      <c r="A73" s="3222">
        <v>68</v>
      </c>
      <c r="B73" s="3299" t="s">
        <v>2792</v>
      </c>
      <c r="C73" s="3299" t="s">
        <v>2792</v>
      </c>
      <c r="D73" s="3291" t="s">
        <v>1268</v>
      </c>
      <c r="E73" s="3296">
        <v>16815.8</v>
      </c>
      <c r="F73" s="3300">
        <f t="shared" si="37"/>
        <v>0</v>
      </c>
      <c r="G73" s="3300"/>
      <c r="H73" s="3301"/>
      <c r="I73" s="3301"/>
      <c r="J73" s="3301"/>
      <c r="K73" s="3301"/>
      <c r="L73" s="3214">
        <v>80</v>
      </c>
      <c r="M73" s="3302"/>
      <c r="N73" s="3301"/>
      <c r="O73" s="3301"/>
      <c r="P73" s="3291">
        <f t="shared" si="39"/>
        <v>80</v>
      </c>
      <c r="Q73" s="3216">
        <v>800</v>
      </c>
      <c r="R73" s="3291">
        <f t="shared" si="8"/>
        <v>71680</v>
      </c>
      <c r="S73" s="3291"/>
      <c r="T73" s="3291">
        <f t="shared" si="40"/>
        <v>71680</v>
      </c>
      <c r="U73" s="3303"/>
      <c r="V73" s="3303"/>
      <c r="W73" s="3291">
        <f t="shared" ref="W73:W99" si="41">Q73*$W$4</f>
        <v>848</v>
      </c>
      <c r="X73" s="3291">
        <f t="shared" ref="X73:X99" si="42">ROUND(P73*W73,0)</f>
        <v>67840</v>
      </c>
      <c r="Y73" s="3291"/>
      <c r="Z73" s="3291">
        <f t="shared" ref="Z73:Z99" si="43">X73-Y73</f>
        <v>67840</v>
      </c>
      <c r="AA73" s="3291">
        <f t="shared" ref="AA73:AA99" si="44">W73*$AA$4</f>
        <v>890.40000000000009</v>
      </c>
      <c r="AB73" s="3291">
        <f t="shared" ref="AB73:AB99" si="45">ROUND(P73*AA73,0)</f>
        <v>71232</v>
      </c>
      <c r="AC73" s="3291"/>
      <c r="AD73" s="3304">
        <f t="shared" ref="AD73:AD99" si="46">AB73-AC73</f>
        <v>71232</v>
      </c>
      <c r="AE73" s="3305">
        <f t="shared" si="9"/>
        <v>896</v>
      </c>
      <c r="AF73" s="2995">
        <v>1.1200000000000001</v>
      </c>
      <c r="AG73" s="2995"/>
      <c r="AH73" s="2995"/>
      <c r="AI73" s="3405" t="s">
        <v>2792</v>
      </c>
      <c r="AJ73" s="2995">
        <f t="shared" si="36"/>
        <v>0</v>
      </c>
      <c r="AK73" s="2995"/>
      <c r="AL73" s="2995"/>
      <c r="AM73" s="2995"/>
      <c r="AO73" s="3220" t="s">
        <v>1511</v>
      </c>
      <c r="AP73" s="2983">
        <f t="shared" si="38"/>
        <v>1</v>
      </c>
    </row>
    <row r="74" spans="1:44" hidden="1">
      <c r="A74" s="3222">
        <v>69</v>
      </c>
      <c r="B74" s="3220" t="s">
        <v>1511</v>
      </c>
      <c r="C74" s="3220" t="s">
        <v>1511</v>
      </c>
      <c r="D74" s="3291" t="s">
        <v>1268</v>
      </c>
      <c r="E74" s="3296">
        <v>16815.8</v>
      </c>
      <c r="F74" s="3300">
        <f t="shared" si="37"/>
        <v>0</v>
      </c>
      <c r="G74" s="3300"/>
      <c r="H74" s="3301"/>
      <c r="I74" s="3301"/>
      <c r="J74" s="3301"/>
      <c r="K74" s="3301"/>
      <c r="L74" s="3214">
        <v>2</v>
      </c>
      <c r="M74" s="3302"/>
      <c r="N74" s="3301"/>
      <c r="O74" s="3301"/>
      <c r="P74" s="3291">
        <f t="shared" si="39"/>
        <v>2</v>
      </c>
      <c r="Q74" s="3216">
        <v>2200</v>
      </c>
      <c r="R74" s="3291">
        <f t="shared" si="8"/>
        <v>4928</v>
      </c>
      <c r="S74" s="3291"/>
      <c r="T74" s="3291">
        <f t="shared" si="40"/>
        <v>4928</v>
      </c>
      <c r="U74" s="3303"/>
      <c r="V74" s="3303"/>
      <c r="W74" s="3291">
        <f t="shared" si="41"/>
        <v>2332</v>
      </c>
      <c r="X74" s="3291">
        <f t="shared" si="42"/>
        <v>4664</v>
      </c>
      <c r="Y74" s="3291"/>
      <c r="Z74" s="3291">
        <f t="shared" si="43"/>
        <v>4664</v>
      </c>
      <c r="AA74" s="3291">
        <f t="shared" si="44"/>
        <v>2448.6</v>
      </c>
      <c r="AB74" s="3291">
        <f t="shared" si="45"/>
        <v>4897</v>
      </c>
      <c r="AC74" s="3291"/>
      <c r="AD74" s="3304">
        <f t="shared" si="46"/>
        <v>4897</v>
      </c>
      <c r="AE74" s="3305">
        <f t="shared" si="9"/>
        <v>2464</v>
      </c>
      <c r="AF74" s="2995">
        <v>1.1200000000000001</v>
      </c>
      <c r="AG74" s="2995"/>
      <c r="AH74" s="2995"/>
      <c r="AI74" s="3405" t="s">
        <v>1511</v>
      </c>
      <c r="AJ74" s="2995">
        <f t="shared" si="36"/>
        <v>0</v>
      </c>
      <c r="AK74" s="2995"/>
      <c r="AL74" s="2995"/>
      <c r="AM74" s="2995"/>
      <c r="AO74" s="3221" t="s">
        <v>2793</v>
      </c>
      <c r="AP74" s="2983">
        <f t="shared" si="38"/>
        <v>1</v>
      </c>
    </row>
    <row r="75" spans="1:44" hidden="1">
      <c r="A75" s="3222">
        <v>70</v>
      </c>
      <c r="B75" s="3220" t="s">
        <v>2793</v>
      </c>
      <c r="C75" s="3221" t="s">
        <v>2793</v>
      </c>
      <c r="D75" s="3291" t="s">
        <v>1268</v>
      </c>
      <c r="E75" s="3296">
        <v>16815.8</v>
      </c>
      <c r="F75" s="3300">
        <f t="shared" si="37"/>
        <v>0</v>
      </c>
      <c r="G75" s="3300"/>
      <c r="H75" s="3301"/>
      <c r="I75" s="3301"/>
      <c r="J75" s="3301"/>
      <c r="K75" s="3301"/>
      <c r="L75" s="3214">
        <v>1</v>
      </c>
      <c r="M75" s="3302"/>
      <c r="N75" s="3301"/>
      <c r="O75" s="3301"/>
      <c r="P75" s="3291">
        <f t="shared" si="39"/>
        <v>1</v>
      </c>
      <c r="Q75" s="3216">
        <v>2560</v>
      </c>
      <c r="R75" s="3291">
        <f t="shared" ref="R75:R138" si="47">ROUND(P75*AE75,2)</f>
        <v>2867.2</v>
      </c>
      <c r="S75" s="3291"/>
      <c r="T75" s="3291">
        <f t="shared" si="40"/>
        <v>2867.2</v>
      </c>
      <c r="U75" s="3303"/>
      <c r="V75" s="3303"/>
      <c r="W75" s="3291">
        <f t="shared" si="41"/>
        <v>2713.6000000000004</v>
      </c>
      <c r="X75" s="3291">
        <f t="shared" si="42"/>
        <v>2714</v>
      </c>
      <c r="Y75" s="3291"/>
      <c r="Z75" s="3291">
        <f t="shared" si="43"/>
        <v>2714</v>
      </c>
      <c r="AA75" s="3291">
        <f t="shared" si="44"/>
        <v>2849.2800000000007</v>
      </c>
      <c r="AB75" s="3291">
        <f t="shared" si="45"/>
        <v>2849</v>
      </c>
      <c r="AC75" s="3291"/>
      <c r="AD75" s="3304">
        <f t="shared" si="46"/>
        <v>2849</v>
      </c>
      <c r="AE75" s="3305">
        <f t="shared" ref="AE75:AE138" si="48">ROUND(Q75*AF75,2)</f>
        <v>2867.2</v>
      </c>
      <c r="AF75" s="2995">
        <v>1.1200000000000001</v>
      </c>
      <c r="AG75" s="2995"/>
      <c r="AH75" s="2995"/>
      <c r="AI75" s="3405" t="s">
        <v>2793</v>
      </c>
      <c r="AJ75" s="2995">
        <f t="shared" si="36"/>
        <v>0</v>
      </c>
      <c r="AK75" s="2995"/>
      <c r="AL75" s="2995"/>
      <c r="AM75" s="2995"/>
      <c r="AO75" s="3220" t="s">
        <v>2796</v>
      </c>
      <c r="AP75" s="2983">
        <f t="shared" si="38"/>
        <v>1</v>
      </c>
    </row>
    <row r="76" spans="1:44" ht="24" hidden="1">
      <c r="A76" s="3222">
        <v>71</v>
      </c>
      <c r="B76" s="3220" t="s">
        <v>2795</v>
      </c>
      <c r="C76" s="3220" t="s">
        <v>2796</v>
      </c>
      <c r="D76" s="3291" t="s">
        <v>1268</v>
      </c>
      <c r="E76" s="3296">
        <v>16815.8</v>
      </c>
      <c r="F76" s="3300">
        <f t="shared" si="37"/>
        <v>0</v>
      </c>
      <c r="G76" s="3300"/>
      <c r="H76" s="3291"/>
      <c r="I76" s="3301"/>
      <c r="J76" s="3301"/>
      <c r="K76" s="3291"/>
      <c r="L76" s="3214">
        <v>3</v>
      </c>
      <c r="M76" s="3302"/>
      <c r="N76" s="3291"/>
      <c r="O76" s="3291"/>
      <c r="P76" s="3291">
        <f t="shared" si="39"/>
        <v>3</v>
      </c>
      <c r="Q76" s="3216">
        <v>3000</v>
      </c>
      <c r="R76" s="3291">
        <f t="shared" si="47"/>
        <v>10080</v>
      </c>
      <c r="S76" s="3291"/>
      <c r="T76" s="3291">
        <f t="shared" si="40"/>
        <v>10080</v>
      </c>
      <c r="U76" s="3303"/>
      <c r="V76" s="3303"/>
      <c r="W76" s="3291">
        <f t="shared" si="41"/>
        <v>3180</v>
      </c>
      <c r="X76" s="3291">
        <f t="shared" si="42"/>
        <v>9540</v>
      </c>
      <c r="Y76" s="3291"/>
      <c r="Z76" s="3291">
        <f t="shared" si="43"/>
        <v>9540</v>
      </c>
      <c r="AA76" s="3291">
        <f t="shared" si="44"/>
        <v>3339</v>
      </c>
      <c r="AB76" s="3291">
        <f t="shared" si="45"/>
        <v>10017</v>
      </c>
      <c r="AC76" s="3291"/>
      <c r="AD76" s="3304">
        <f t="shared" si="46"/>
        <v>10017</v>
      </c>
      <c r="AE76" s="3305">
        <f t="shared" si="48"/>
        <v>3360</v>
      </c>
      <c r="AF76" s="2995">
        <v>1.1200000000000001</v>
      </c>
      <c r="AG76" s="2995"/>
      <c r="AH76" s="2995"/>
      <c r="AI76" s="3405" t="s">
        <v>2795</v>
      </c>
      <c r="AJ76" s="2995">
        <f t="shared" si="36"/>
        <v>0</v>
      </c>
      <c r="AK76" s="2995"/>
      <c r="AL76" s="2995"/>
      <c r="AM76" s="2995"/>
      <c r="AO76" s="3221" t="s">
        <v>2794</v>
      </c>
      <c r="AP76" s="2983">
        <f t="shared" si="38"/>
        <v>1</v>
      </c>
    </row>
    <row r="77" spans="1:44" hidden="1">
      <c r="A77" s="3222">
        <v>72</v>
      </c>
      <c r="B77" s="3221" t="s">
        <v>2794</v>
      </c>
      <c r="C77" s="3221" t="s">
        <v>2794</v>
      </c>
      <c r="D77" s="3291" t="s">
        <v>1268</v>
      </c>
      <c r="E77" s="3296">
        <v>16815.8</v>
      </c>
      <c r="F77" s="3300">
        <f t="shared" si="37"/>
        <v>0</v>
      </c>
      <c r="G77" s="3300"/>
      <c r="H77" s="3291"/>
      <c r="I77" s="3301"/>
      <c r="J77" s="3301"/>
      <c r="K77" s="3291"/>
      <c r="L77" s="3214">
        <v>3</v>
      </c>
      <c r="M77" s="3302"/>
      <c r="N77" s="3291"/>
      <c r="O77" s="3291"/>
      <c r="P77" s="3291">
        <f t="shared" si="39"/>
        <v>3</v>
      </c>
      <c r="Q77" s="3309">
        <v>1800</v>
      </c>
      <c r="R77" s="3291">
        <f t="shared" si="47"/>
        <v>6048</v>
      </c>
      <c r="S77" s="3291"/>
      <c r="T77" s="3291">
        <f t="shared" si="40"/>
        <v>6048</v>
      </c>
      <c r="U77" s="3303"/>
      <c r="V77" s="3303"/>
      <c r="W77" s="3291">
        <f t="shared" si="41"/>
        <v>1908</v>
      </c>
      <c r="X77" s="3291">
        <f t="shared" si="42"/>
        <v>5724</v>
      </c>
      <c r="Y77" s="3291"/>
      <c r="Z77" s="3291">
        <f t="shared" si="43"/>
        <v>5724</v>
      </c>
      <c r="AA77" s="3291">
        <f t="shared" si="44"/>
        <v>2003.4</v>
      </c>
      <c r="AB77" s="3291">
        <f t="shared" si="45"/>
        <v>6010</v>
      </c>
      <c r="AC77" s="3291"/>
      <c r="AD77" s="3304">
        <f t="shared" si="46"/>
        <v>6010</v>
      </c>
      <c r="AE77" s="3305">
        <f t="shared" si="48"/>
        <v>2016</v>
      </c>
      <c r="AF77" s="2995">
        <v>1.1200000000000001</v>
      </c>
      <c r="AG77" s="2995"/>
      <c r="AH77" s="2995"/>
      <c r="AI77" s="3405" t="s">
        <v>2794</v>
      </c>
      <c r="AJ77" s="2995">
        <f t="shared" si="36"/>
        <v>0</v>
      </c>
      <c r="AK77" s="2995"/>
      <c r="AL77" s="2995"/>
      <c r="AM77" s="2995"/>
      <c r="AO77" s="3220" t="s">
        <v>2797</v>
      </c>
      <c r="AP77" s="2983">
        <f t="shared" si="38"/>
        <v>1</v>
      </c>
    </row>
    <row r="78" spans="1:44" hidden="1">
      <c r="A78" s="3222">
        <v>73</v>
      </c>
      <c r="B78" s="3220" t="s">
        <v>2797</v>
      </c>
      <c r="C78" s="3220" t="s">
        <v>2797</v>
      </c>
      <c r="D78" s="3291" t="s">
        <v>1268</v>
      </c>
      <c r="E78" s="3296">
        <v>16815.8</v>
      </c>
      <c r="F78" s="3300">
        <f t="shared" si="37"/>
        <v>0</v>
      </c>
      <c r="G78" s="3300"/>
      <c r="H78" s="3291"/>
      <c r="I78" s="3301"/>
      <c r="J78" s="3301"/>
      <c r="K78" s="3291"/>
      <c r="L78" s="3214">
        <v>3</v>
      </c>
      <c r="M78" s="3302"/>
      <c r="N78" s="3291"/>
      <c r="O78" s="3291"/>
      <c r="P78" s="3291">
        <f t="shared" si="39"/>
        <v>3</v>
      </c>
      <c r="Q78" s="3216">
        <v>2000</v>
      </c>
      <c r="R78" s="3291">
        <f t="shared" si="47"/>
        <v>6720</v>
      </c>
      <c r="S78" s="3291"/>
      <c r="T78" s="3291">
        <f t="shared" si="40"/>
        <v>6720</v>
      </c>
      <c r="U78" s="3303"/>
      <c r="V78" s="3303"/>
      <c r="W78" s="3291">
        <f t="shared" si="41"/>
        <v>2120</v>
      </c>
      <c r="X78" s="3291">
        <f t="shared" si="42"/>
        <v>6360</v>
      </c>
      <c r="Y78" s="3291"/>
      <c r="Z78" s="3291">
        <f t="shared" si="43"/>
        <v>6360</v>
      </c>
      <c r="AA78" s="3291">
        <f t="shared" si="44"/>
        <v>2226</v>
      </c>
      <c r="AB78" s="3291">
        <f t="shared" si="45"/>
        <v>6678</v>
      </c>
      <c r="AC78" s="3291"/>
      <c r="AD78" s="3304">
        <f t="shared" si="46"/>
        <v>6678</v>
      </c>
      <c r="AE78" s="3305">
        <f t="shared" si="48"/>
        <v>2240</v>
      </c>
      <c r="AF78" s="2995">
        <v>1.1200000000000001</v>
      </c>
      <c r="AG78" s="2995"/>
      <c r="AH78" s="2995"/>
      <c r="AI78" s="3405" t="s">
        <v>2797</v>
      </c>
      <c r="AJ78" s="2995">
        <f t="shared" si="36"/>
        <v>0</v>
      </c>
      <c r="AK78" s="2995"/>
      <c r="AL78" s="2995"/>
      <c r="AM78" s="2995"/>
      <c r="AO78" s="3220" t="s">
        <v>2798</v>
      </c>
      <c r="AP78" s="2983">
        <f t="shared" si="38"/>
        <v>1</v>
      </c>
    </row>
    <row r="79" spans="1:44" ht="24" hidden="1">
      <c r="A79" s="3222">
        <v>75</v>
      </c>
      <c r="B79" s="3220" t="s">
        <v>2798</v>
      </c>
      <c r="C79" s="3220" t="s">
        <v>2798</v>
      </c>
      <c r="D79" s="3291" t="s">
        <v>1268</v>
      </c>
      <c r="E79" s="3296">
        <v>16815.8</v>
      </c>
      <c r="F79" s="3300">
        <f>SUM(F80:F214)</f>
        <v>0</v>
      </c>
      <c r="G79" s="3300"/>
      <c r="H79" s="3291"/>
      <c r="I79" s="3301"/>
      <c r="J79" s="3301"/>
      <c r="K79" s="3291"/>
      <c r="L79" s="3214">
        <v>1</v>
      </c>
      <c r="M79" s="3302"/>
      <c r="N79" s="3291"/>
      <c r="O79" s="3291"/>
      <c r="P79" s="3291">
        <f t="shared" si="39"/>
        <v>1</v>
      </c>
      <c r="Q79" s="3214">
        <v>1000</v>
      </c>
      <c r="R79" s="3291">
        <f t="shared" si="47"/>
        <v>1120</v>
      </c>
      <c r="S79" s="3291"/>
      <c r="T79" s="3291">
        <f t="shared" si="40"/>
        <v>1120</v>
      </c>
      <c r="U79" s="3303"/>
      <c r="V79" s="3303"/>
      <c r="W79" s="3291">
        <f t="shared" si="41"/>
        <v>1060</v>
      </c>
      <c r="X79" s="3291">
        <f t="shared" si="42"/>
        <v>1060</v>
      </c>
      <c r="Y79" s="3291"/>
      <c r="Z79" s="3291">
        <f t="shared" si="43"/>
        <v>1060</v>
      </c>
      <c r="AA79" s="3291">
        <f t="shared" si="44"/>
        <v>1113</v>
      </c>
      <c r="AB79" s="3291">
        <f t="shared" si="45"/>
        <v>1113</v>
      </c>
      <c r="AC79" s="3291"/>
      <c r="AD79" s="3304">
        <f t="shared" si="46"/>
        <v>1113</v>
      </c>
      <c r="AE79" s="3305">
        <f t="shared" si="48"/>
        <v>1120</v>
      </c>
      <c r="AF79" s="2995">
        <v>1.1200000000000001</v>
      </c>
      <c r="AG79" s="2995"/>
      <c r="AH79" s="2995"/>
      <c r="AI79" s="3405" t="s">
        <v>2798</v>
      </c>
      <c r="AJ79" s="2995">
        <f t="shared" si="36"/>
        <v>0</v>
      </c>
      <c r="AK79" s="2995"/>
      <c r="AL79" s="2995"/>
      <c r="AM79" s="2995"/>
      <c r="AO79" s="3220" t="s">
        <v>2401</v>
      </c>
      <c r="AP79" s="2983">
        <f t="shared" si="38"/>
        <v>1</v>
      </c>
    </row>
    <row r="80" spans="1:44" ht="24" hidden="1">
      <c r="A80" s="3222">
        <v>76</v>
      </c>
      <c r="B80" s="3220" t="s">
        <v>2897</v>
      </c>
      <c r="C80" s="3220" t="s">
        <v>2401</v>
      </c>
      <c r="D80" s="3291" t="s">
        <v>1268</v>
      </c>
      <c r="E80" s="3296">
        <v>16815.8</v>
      </c>
      <c r="F80" s="3300">
        <f>SUM(F81:F215)</f>
        <v>0</v>
      </c>
      <c r="G80" s="3300"/>
      <c r="H80" s="3301"/>
      <c r="I80" s="3301"/>
      <c r="J80" s="3301"/>
      <c r="K80" s="3301"/>
      <c r="L80" s="3215">
        <v>5</v>
      </c>
      <c r="M80" s="3302"/>
      <c r="N80" s="3301"/>
      <c r="O80" s="3301"/>
      <c r="P80" s="3291">
        <f t="shared" si="39"/>
        <v>5</v>
      </c>
      <c r="Q80" s="3218">
        <v>2100</v>
      </c>
      <c r="R80" s="3291">
        <f t="shared" si="47"/>
        <v>11760</v>
      </c>
      <c r="S80" s="3291"/>
      <c r="T80" s="3291">
        <f t="shared" si="40"/>
        <v>11760</v>
      </c>
      <c r="U80" s="3303">
        <v>2950</v>
      </c>
      <c r="V80" s="3303">
        <v>1.07</v>
      </c>
      <c r="W80" s="3291">
        <f t="shared" si="41"/>
        <v>2226</v>
      </c>
      <c r="X80" s="3291">
        <f t="shared" si="42"/>
        <v>11130</v>
      </c>
      <c r="Y80" s="3291"/>
      <c r="Z80" s="3291">
        <f t="shared" si="43"/>
        <v>11130</v>
      </c>
      <c r="AA80" s="3291">
        <f t="shared" si="44"/>
        <v>2337.3000000000002</v>
      </c>
      <c r="AB80" s="3291">
        <f t="shared" si="45"/>
        <v>11687</v>
      </c>
      <c r="AC80" s="3291"/>
      <c r="AD80" s="3304">
        <f t="shared" si="46"/>
        <v>11687</v>
      </c>
      <c r="AE80" s="3305">
        <f t="shared" si="48"/>
        <v>2352</v>
      </c>
      <c r="AF80" s="2995">
        <v>1.1200000000000001</v>
      </c>
      <c r="AG80" s="2995"/>
      <c r="AH80" s="2995"/>
      <c r="AI80" s="3405" t="s">
        <v>2897</v>
      </c>
      <c r="AJ80" s="2995">
        <f t="shared" si="36"/>
        <v>0</v>
      </c>
      <c r="AK80" s="2995"/>
      <c r="AL80" s="3405" t="s">
        <v>1014</v>
      </c>
      <c r="AM80" s="2995">
        <f>IF(B79=AL80,0,1)</f>
        <v>1</v>
      </c>
      <c r="AO80" s="3306" t="s">
        <v>2707</v>
      </c>
      <c r="AP80" s="2983">
        <f t="shared" si="38"/>
        <v>1</v>
      </c>
    </row>
    <row r="81" spans="1:42" ht="36" hidden="1">
      <c r="A81" s="3222">
        <v>77</v>
      </c>
      <c r="B81" s="3306" t="s">
        <v>2707</v>
      </c>
      <c r="C81" s="3306" t="s">
        <v>2707</v>
      </c>
      <c r="D81" s="3291" t="s">
        <v>1395</v>
      </c>
      <c r="E81" s="3296">
        <v>16815.8</v>
      </c>
      <c r="F81" s="3300">
        <f t="shared" ref="F81:F86" si="49">SUM(F82:F217)</f>
        <v>0</v>
      </c>
      <c r="G81" s="3300"/>
      <c r="H81" s="3301"/>
      <c r="I81" s="3301"/>
      <c r="J81" s="3301"/>
      <c r="K81" s="3301"/>
      <c r="L81" s="3214">
        <v>10</v>
      </c>
      <c r="M81" s="3302"/>
      <c r="N81" s="3301"/>
      <c r="O81" s="3301"/>
      <c r="P81" s="3291">
        <f t="shared" si="39"/>
        <v>10</v>
      </c>
      <c r="Q81" s="3216">
        <v>650</v>
      </c>
      <c r="R81" s="3291">
        <f t="shared" si="47"/>
        <v>7280</v>
      </c>
      <c r="S81" s="3291"/>
      <c r="T81" s="3291">
        <f t="shared" si="40"/>
        <v>7280</v>
      </c>
      <c r="U81" s="3303"/>
      <c r="V81" s="3303"/>
      <c r="W81" s="3291">
        <f t="shared" si="41"/>
        <v>689</v>
      </c>
      <c r="X81" s="3291">
        <f t="shared" si="42"/>
        <v>6890</v>
      </c>
      <c r="Y81" s="3291"/>
      <c r="Z81" s="3291">
        <f t="shared" si="43"/>
        <v>6890</v>
      </c>
      <c r="AA81" s="3291">
        <f t="shared" si="44"/>
        <v>723.45</v>
      </c>
      <c r="AB81" s="3291">
        <f t="shared" si="45"/>
        <v>7235</v>
      </c>
      <c r="AC81" s="3291"/>
      <c r="AD81" s="3304">
        <f t="shared" si="46"/>
        <v>7235</v>
      </c>
      <c r="AE81" s="3305">
        <f t="shared" si="48"/>
        <v>728</v>
      </c>
      <c r="AF81" s="2995">
        <v>1.1200000000000001</v>
      </c>
      <c r="AG81" s="2995"/>
      <c r="AH81" s="2995"/>
      <c r="AI81" s="3405" t="s">
        <v>2707</v>
      </c>
      <c r="AJ81" s="2995">
        <f t="shared" si="36"/>
        <v>0</v>
      </c>
      <c r="AK81" s="2995"/>
      <c r="AL81" s="3405" t="s">
        <v>1017</v>
      </c>
      <c r="AM81" s="2995">
        <f>IF(B80=AL81,0,1)</f>
        <v>1</v>
      </c>
      <c r="AO81" s="3306" t="s">
        <v>2708</v>
      </c>
      <c r="AP81" s="2983">
        <f t="shared" si="38"/>
        <v>1</v>
      </c>
    </row>
    <row r="82" spans="1:42" ht="36" hidden="1">
      <c r="A82" s="3222">
        <v>78</v>
      </c>
      <c r="B82" s="3306" t="s">
        <v>2708</v>
      </c>
      <c r="C82" s="3306" t="s">
        <v>2708</v>
      </c>
      <c r="D82" s="3291" t="s">
        <v>1395</v>
      </c>
      <c r="E82" s="3296">
        <v>16815.8</v>
      </c>
      <c r="F82" s="3300">
        <f t="shared" si="49"/>
        <v>0</v>
      </c>
      <c r="G82" s="3300"/>
      <c r="H82" s="3301"/>
      <c r="I82" s="3301"/>
      <c r="J82" s="3301"/>
      <c r="K82" s="3301"/>
      <c r="L82" s="3214">
        <v>5</v>
      </c>
      <c r="M82" s="3302"/>
      <c r="N82" s="3301"/>
      <c r="O82" s="3301"/>
      <c r="P82" s="3291">
        <f t="shared" si="39"/>
        <v>5</v>
      </c>
      <c r="Q82" s="3216">
        <v>650</v>
      </c>
      <c r="R82" s="3291">
        <f t="shared" si="47"/>
        <v>3640</v>
      </c>
      <c r="S82" s="3291"/>
      <c r="T82" s="3291">
        <f t="shared" si="40"/>
        <v>3640</v>
      </c>
      <c r="U82" s="3303"/>
      <c r="V82" s="3303"/>
      <c r="W82" s="3291">
        <f t="shared" si="41"/>
        <v>689</v>
      </c>
      <c r="X82" s="3291">
        <f t="shared" si="42"/>
        <v>3445</v>
      </c>
      <c r="Y82" s="3291"/>
      <c r="Z82" s="3291">
        <f t="shared" si="43"/>
        <v>3445</v>
      </c>
      <c r="AA82" s="3291">
        <f t="shared" si="44"/>
        <v>723.45</v>
      </c>
      <c r="AB82" s="3291">
        <f t="shared" si="45"/>
        <v>3617</v>
      </c>
      <c r="AC82" s="3291"/>
      <c r="AD82" s="3304">
        <f t="shared" si="46"/>
        <v>3617</v>
      </c>
      <c r="AE82" s="3305">
        <f t="shared" si="48"/>
        <v>728</v>
      </c>
      <c r="AF82" s="2995">
        <v>1.1200000000000001</v>
      </c>
      <c r="AG82" s="2995"/>
      <c r="AH82" s="2995"/>
      <c r="AI82" s="3405" t="s">
        <v>2708</v>
      </c>
      <c r="AJ82" s="2995">
        <f t="shared" si="36"/>
        <v>0</v>
      </c>
      <c r="AK82" s="2995"/>
      <c r="AL82" s="3405" t="s">
        <v>1019</v>
      </c>
      <c r="AM82" s="2995">
        <f>IF(B81=AL82,0,1)</f>
        <v>1</v>
      </c>
      <c r="AO82" s="3306" t="s">
        <v>2710</v>
      </c>
      <c r="AP82" s="2983">
        <f t="shared" si="38"/>
        <v>1</v>
      </c>
    </row>
    <row r="83" spans="1:42" ht="36" hidden="1">
      <c r="A83" s="3222">
        <v>79</v>
      </c>
      <c r="B83" s="3306" t="s">
        <v>2709</v>
      </c>
      <c r="C83" s="3306" t="s">
        <v>2709</v>
      </c>
      <c r="D83" s="3302" t="s">
        <v>1268</v>
      </c>
      <c r="E83" s="3296">
        <v>16815.8</v>
      </c>
      <c r="F83" s="3300">
        <f t="shared" si="49"/>
        <v>0</v>
      </c>
      <c r="G83" s="3300"/>
      <c r="H83" s="3301"/>
      <c r="I83" s="3301"/>
      <c r="J83" s="3301"/>
      <c r="K83" s="3301"/>
      <c r="L83" s="3214">
        <v>5</v>
      </c>
      <c r="M83" s="3302"/>
      <c r="N83" s="3301"/>
      <c r="O83" s="3301"/>
      <c r="P83" s="3291">
        <f t="shared" si="39"/>
        <v>5</v>
      </c>
      <c r="Q83" s="3216">
        <v>750</v>
      </c>
      <c r="R83" s="3291">
        <f t="shared" si="47"/>
        <v>4200</v>
      </c>
      <c r="S83" s="3291"/>
      <c r="T83" s="3291">
        <f t="shared" si="40"/>
        <v>4200</v>
      </c>
      <c r="U83" s="3303"/>
      <c r="V83" s="3303"/>
      <c r="W83" s="3291">
        <f t="shared" si="41"/>
        <v>795</v>
      </c>
      <c r="X83" s="3291">
        <f t="shared" si="42"/>
        <v>3975</v>
      </c>
      <c r="Y83" s="3291"/>
      <c r="Z83" s="3291">
        <f t="shared" si="43"/>
        <v>3975</v>
      </c>
      <c r="AA83" s="3291">
        <f t="shared" si="44"/>
        <v>834.75</v>
      </c>
      <c r="AB83" s="3291">
        <f t="shared" si="45"/>
        <v>4174</v>
      </c>
      <c r="AC83" s="3291"/>
      <c r="AD83" s="3304">
        <f t="shared" si="46"/>
        <v>4174</v>
      </c>
      <c r="AE83" s="3305">
        <f t="shared" si="48"/>
        <v>840</v>
      </c>
      <c r="AF83" s="2995">
        <v>1.1200000000000001</v>
      </c>
      <c r="AG83" s="2995"/>
      <c r="AH83" s="2995"/>
      <c r="AI83" s="3405" t="s">
        <v>2709</v>
      </c>
      <c r="AJ83" s="2995">
        <f t="shared" si="36"/>
        <v>0</v>
      </c>
      <c r="AK83" s="2995"/>
      <c r="AL83" s="2995"/>
      <c r="AM83" s="2995"/>
      <c r="AO83" s="3306" t="s">
        <v>2714</v>
      </c>
      <c r="AP83" s="2983">
        <f t="shared" si="38"/>
        <v>1</v>
      </c>
    </row>
    <row r="84" spans="1:42" ht="36" hidden="1">
      <c r="A84" s="3222">
        <v>80</v>
      </c>
      <c r="B84" s="3306" t="s">
        <v>2710</v>
      </c>
      <c r="C84" s="3306" t="s">
        <v>2710</v>
      </c>
      <c r="D84" s="3302" t="s">
        <v>1268</v>
      </c>
      <c r="E84" s="3296">
        <v>16815.8</v>
      </c>
      <c r="F84" s="3300">
        <f t="shared" si="49"/>
        <v>0</v>
      </c>
      <c r="G84" s="3300"/>
      <c r="H84" s="3301"/>
      <c r="I84" s="3301"/>
      <c r="J84" s="3301"/>
      <c r="K84" s="3301"/>
      <c r="L84" s="3214">
        <v>5</v>
      </c>
      <c r="M84" s="3302"/>
      <c r="N84" s="3301"/>
      <c r="O84" s="3301"/>
      <c r="P84" s="3291">
        <f t="shared" si="39"/>
        <v>5</v>
      </c>
      <c r="Q84" s="3216">
        <v>750</v>
      </c>
      <c r="R84" s="3291">
        <f t="shared" si="47"/>
        <v>4200</v>
      </c>
      <c r="S84" s="3291"/>
      <c r="T84" s="3291">
        <f t="shared" si="40"/>
        <v>4200</v>
      </c>
      <c r="U84" s="3303"/>
      <c r="V84" s="3303"/>
      <c r="W84" s="3291">
        <f t="shared" si="41"/>
        <v>795</v>
      </c>
      <c r="X84" s="3291">
        <f t="shared" si="42"/>
        <v>3975</v>
      </c>
      <c r="Y84" s="3291"/>
      <c r="Z84" s="3291">
        <f t="shared" si="43"/>
        <v>3975</v>
      </c>
      <c r="AA84" s="3291">
        <f t="shared" si="44"/>
        <v>834.75</v>
      </c>
      <c r="AB84" s="3291">
        <f t="shared" si="45"/>
        <v>4174</v>
      </c>
      <c r="AC84" s="3291"/>
      <c r="AD84" s="3304">
        <f t="shared" si="46"/>
        <v>4174</v>
      </c>
      <c r="AE84" s="3305">
        <f t="shared" si="48"/>
        <v>840</v>
      </c>
      <c r="AF84" s="2995">
        <v>1.1200000000000001</v>
      </c>
      <c r="AG84" s="2995"/>
      <c r="AH84" s="2995"/>
      <c r="AI84" s="3408"/>
      <c r="AJ84" s="2995"/>
      <c r="AK84" s="2995"/>
      <c r="AL84" s="2995"/>
      <c r="AM84" s="2995"/>
      <c r="AO84" s="3306" t="s">
        <v>2713</v>
      </c>
      <c r="AP84" s="2983">
        <f t="shared" si="38"/>
        <v>1</v>
      </c>
    </row>
    <row r="85" spans="1:42" ht="48" hidden="1">
      <c r="A85" s="3222">
        <v>81</v>
      </c>
      <c r="B85" s="3306" t="s">
        <v>2712</v>
      </c>
      <c r="C85" s="3306" t="s">
        <v>2712</v>
      </c>
      <c r="D85" s="3302" t="s">
        <v>2291</v>
      </c>
      <c r="E85" s="3296">
        <v>16815.8</v>
      </c>
      <c r="F85" s="3300">
        <f t="shared" si="49"/>
        <v>0</v>
      </c>
      <c r="G85" s="3300"/>
      <c r="H85" s="3301"/>
      <c r="I85" s="3301"/>
      <c r="J85" s="3301"/>
      <c r="K85" s="3301"/>
      <c r="L85" s="3214">
        <v>5</v>
      </c>
      <c r="M85" s="3302"/>
      <c r="N85" s="3301"/>
      <c r="O85" s="3301"/>
      <c r="P85" s="3291">
        <f t="shared" si="39"/>
        <v>5</v>
      </c>
      <c r="Q85" s="3216">
        <v>2500</v>
      </c>
      <c r="R85" s="3291">
        <f t="shared" si="47"/>
        <v>14000</v>
      </c>
      <c r="S85" s="3291"/>
      <c r="T85" s="3291">
        <f t="shared" si="40"/>
        <v>14000</v>
      </c>
      <c r="U85" s="3303"/>
      <c r="V85" s="3303"/>
      <c r="W85" s="3291">
        <f t="shared" si="41"/>
        <v>2650</v>
      </c>
      <c r="X85" s="3291">
        <f t="shared" si="42"/>
        <v>13250</v>
      </c>
      <c r="Y85" s="3291"/>
      <c r="Z85" s="3291">
        <f t="shared" si="43"/>
        <v>13250</v>
      </c>
      <c r="AA85" s="3291">
        <f t="shared" si="44"/>
        <v>2782.5</v>
      </c>
      <c r="AB85" s="3291">
        <f t="shared" si="45"/>
        <v>13913</v>
      </c>
      <c r="AC85" s="3291"/>
      <c r="AD85" s="3304">
        <f t="shared" si="46"/>
        <v>13913</v>
      </c>
      <c r="AE85" s="3305">
        <f t="shared" si="48"/>
        <v>2800</v>
      </c>
      <c r="AF85" s="2995">
        <v>1.1200000000000001</v>
      </c>
      <c r="AG85" s="2995"/>
      <c r="AH85" s="2995"/>
      <c r="AI85" s="3405" t="s">
        <v>2712</v>
      </c>
      <c r="AJ85" s="2995">
        <f t="shared" si="36"/>
        <v>0</v>
      </c>
      <c r="AK85" s="2995"/>
      <c r="AL85" s="2995"/>
      <c r="AM85" s="2995"/>
      <c r="AO85" s="3306" t="s">
        <v>2716</v>
      </c>
      <c r="AP85" s="2983">
        <f t="shared" si="38"/>
        <v>1</v>
      </c>
    </row>
    <row r="86" spans="1:42" ht="36" hidden="1">
      <c r="A86" s="3222">
        <v>82</v>
      </c>
      <c r="B86" s="3306" t="s">
        <v>2711</v>
      </c>
      <c r="C86" s="3306" t="s">
        <v>2711</v>
      </c>
      <c r="D86" s="3302" t="s">
        <v>1268</v>
      </c>
      <c r="E86" s="3296">
        <v>16815.8</v>
      </c>
      <c r="F86" s="3300">
        <f t="shared" si="49"/>
        <v>0</v>
      </c>
      <c r="G86" s="3300"/>
      <c r="H86" s="3301"/>
      <c r="I86" s="3301"/>
      <c r="J86" s="3301"/>
      <c r="K86" s="3301"/>
      <c r="L86" s="3214">
        <v>5</v>
      </c>
      <c r="M86" s="3302"/>
      <c r="N86" s="3301"/>
      <c r="O86" s="3301"/>
      <c r="P86" s="3291">
        <f t="shared" si="39"/>
        <v>5</v>
      </c>
      <c r="Q86" s="3216">
        <v>2500</v>
      </c>
      <c r="R86" s="3291">
        <f t="shared" si="47"/>
        <v>14000</v>
      </c>
      <c r="S86" s="3291"/>
      <c r="T86" s="3291">
        <f t="shared" si="40"/>
        <v>14000</v>
      </c>
      <c r="U86" s="3303"/>
      <c r="V86" s="3303"/>
      <c r="W86" s="3291">
        <f t="shared" si="41"/>
        <v>2650</v>
      </c>
      <c r="X86" s="3291">
        <f t="shared" si="42"/>
        <v>13250</v>
      </c>
      <c r="Y86" s="3291"/>
      <c r="Z86" s="3291">
        <f t="shared" si="43"/>
        <v>13250</v>
      </c>
      <c r="AA86" s="3291">
        <f t="shared" si="44"/>
        <v>2782.5</v>
      </c>
      <c r="AB86" s="3291">
        <f t="shared" si="45"/>
        <v>13913</v>
      </c>
      <c r="AC86" s="3291"/>
      <c r="AD86" s="3304">
        <f t="shared" si="46"/>
        <v>13913</v>
      </c>
      <c r="AE86" s="3305">
        <f t="shared" si="48"/>
        <v>2800</v>
      </c>
      <c r="AF86" s="2995">
        <v>1.1200000000000001</v>
      </c>
      <c r="AG86" s="2995"/>
      <c r="AH86" s="2995"/>
      <c r="AI86" s="3405" t="s">
        <v>2711</v>
      </c>
      <c r="AJ86" s="2995">
        <f t="shared" si="36"/>
        <v>0</v>
      </c>
      <c r="AK86" s="2995"/>
      <c r="AL86" s="2995"/>
      <c r="AM86" s="2995"/>
      <c r="AO86" s="3335" t="s">
        <v>2799</v>
      </c>
      <c r="AP86" s="2983">
        <f t="shared" si="38"/>
        <v>1</v>
      </c>
    </row>
    <row r="87" spans="1:42" ht="48" hidden="1">
      <c r="A87" s="3222">
        <v>83</v>
      </c>
      <c r="B87" s="3306" t="s">
        <v>2714</v>
      </c>
      <c r="C87" s="3306" t="s">
        <v>2714</v>
      </c>
      <c r="D87" s="3302" t="s">
        <v>2295</v>
      </c>
      <c r="E87" s="3296">
        <v>16815.8</v>
      </c>
      <c r="F87" s="3300">
        <f>SUM(F88:F222)</f>
        <v>0</v>
      </c>
      <c r="G87" s="3300"/>
      <c r="H87" s="3301"/>
      <c r="I87" s="3301"/>
      <c r="J87" s="3301"/>
      <c r="K87" s="3301"/>
      <c r="L87" s="3214">
        <v>5</v>
      </c>
      <c r="M87" s="3302"/>
      <c r="N87" s="3301"/>
      <c r="O87" s="3301"/>
      <c r="P87" s="3291">
        <f t="shared" si="39"/>
        <v>5</v>
      </c>
      <c r="Q87" s="3216">
        <v>3500</v>
      </c>
      <c r="R87" s="3291">
        <f t="shared" si="47"/>
        <v>19600</v>
      </c>
      <c r="S87" s="3291"/>
      <c r="T87" s="3291">
        <f t="shared" si="40"/>
        <v>19600</v>
      </c>
      <c r="U87" s="3303"/>
      <c r="V87" s="3303"/>
      <c r="W87" s="3291">
        <f t="shared" si="41"/>
        <v>3710</v>
      </c>
      <c r="X87" s="3291">
        <f t="shared" si="42"/>
        <v>18550</v>
      </c>
      <c r="Y87" s="3291"/>
      <c r="Z87" s="3291">
        <f t="shared" si="43"/>
        <v>18550</v>
      </c>
      <c r="AA87" s="3291">
        <f t="shared" si="44"/>
        <v>3895.5</v>
      </c>
      <c r="AB87" s="3291">
        <f t="shared" si="45"/>
        <v>19478</v>
      </c>
      <c r="AC87" s="3291"/>
      <c r="AD87" s="3304">
        <f t="shared" si="46"/>
        <v>19478</v>
      </c>
      <c r="AE87" s="3305">
        <f t="shared" si="48"/>
        <v>3920</v>
      </c>
      <c r="AF87" s="2995">
        <v>1.1200000000000001</v>
      </c>
      <c r="AG87" s="2995"/>
      <c r="AH87" s="2995"/>
      <c r="AI87" s="3408"/>
      <c r="AJ87" s="2995"/>
      <c r="AK87" s="2995"/>
      <c r="AL87" s="2995"/>
      <c r="AM87" s="2995"/>
      <c r="AO87" s="3335" t="s">
        <v>2799</v>
      </c>
      <c r="AP87" s="2983">
        <f t="shared" si="38"/>
        <v>1</v>
      </c>
    </row>
    <row r="88" spans="1:42" ht="36" hidden="1">
      <c r="A88" s="3222">
        <v>84</v>
      </c>
      <c r="B88" s="3306" t="s">
        <v>2713</v>
      </c>
      <c r="C88" s="3306" t="s">
        <v>2713</v>
      </c>
      <c r="D88" s="3302" t="s">
        <v>2291</v>
      </c>
      <c r="E88" s="3296">
        <v>16815.8</v>
      </c>
      <c r="F88" s="3300">
        <f>SUM(F89:F224)</f>
        <v>0</v>
      </c>
      <c r="G88" s="3300"/>
      <c r="H88" s="3301"/>
      <c r="I88" s="3301"/>
      <c r="J88" s="3301"/>
      <c r="K88" s="3301"/>
      <c r="L88" s="3214">
        <v>5</v>
      </c>
      <c r="M88" s="3302"/>
      <c r="N88" s="3301"/>
      <c r="O88" s="3301"/>
      <c r="P88" s="3291">
        <f t="shared" si="39"/>
        <v>5</v>
      </c>
      <c r="Q88" s="3216">
        <v>3500</v>
      </c>
      <c r="R88" s="3291">
        <f t="shared" si="47"/>
        <v>19600</v>
      </c>
      <c r="S88" s="3291"/>
      <c r="T88" s="3291">
        <f t="shared" si="40"/>
        <v>19600</v>
      </c>
      <c r="U88" s="3303"/>
      <c r="V88" s="3303"/>
      <c r="W88" s="3291">
        <f t="shared" si="41"/>
        <v>3710</v>
      </c>
      <c r="X88" s="3291">
        <f t="shared" si="42"/>
        <v>18550</v>
      </c>
      <c r="Y88" s="3291"/>
      <c r="Z88" s="3291">
        <f t="shared" si="43"/>
        <v>18550</v>
      </c>
      <c r="AA88" s="3291">
        <f t="shared" si="44"/>
        <v>3895.5</v>
      </c>
      <c r="AB88" s="3291">
        <f t="shared" si="45"/>
        <v>19478</v>
      </c>
      <c r="AC88" s="3291"/>
      <c r="AD88" s="3304">
        <f t="shared" si="46"/>
        <v>19478</v>
      </c>
      <c r="AE88" s="3305">
        <f t="shared" si="48"/>
        <v>3920</v>
      </c>
      <c r="AF88" s="2995">
        <v>1.1200000000000001</v>
      </c>
      <c r="AG88" s="2995"/>
      <c r="AH88" s="2995"/>
      <c r="AI88" s="3408"/>
      <c r="AJ88" s="2995"/>
      <c r="AK88" s="2995"/>
      <c r="AL88" s="2995"/>
      <c r="AM88" s="2995"/>
      <c r="AO88" s="3220" t="s">
        <v>2900</v>
      </c>
      <c r="AP88" s="2983">
        <f t="shared" si="38"/>
        <v>1</v>
      </c>
    </row>
    <row r="89" spans="1:42" ht="48" hidden="1">
      <c r="A89" s="3222">
        <v>85</v>
      </c>
      <c r="B89" s="3306" t="s">
        <v>2715</v>
      </c>
      <c r="C89" s="3306" t="s">
        <v>2715</v>
      </c>
      <c r="D89" s="3302" t="s">
        <v>1268</v>
      </c>
      <c r="E89" s="3296">
        <v>16815.8</v>
      </c>
      <c r="F89" s="3300">
        <f t="shared" ref="F89:F99" si="50">SUM(F90:F224)</f>
        <v>0</v>
      </c>
      <c r="G89" s="3300"/>
      <c r="H89" s="3301"/>
      <c r="I89" s="3301"/>
      <c r="J89" s="3301"/>
      <c r="K89" s="3301"/>
      <c r="L89" s="3214">
        <v>5</v>
      </c>
      <c r="M89" s="3302"/>
      <c r="N89" s="3301"/>
      <c r="O89" s="3301"/>
      <c r="P89" s="3291">
        <f t="shared" si="39"/>
        <v>5</v>
      </c>
      <c r="Q89" s="3216">
        <v>3500</v>
      </c>
      <c r="R89" s="3291">
        <f t="shared" si="47"/>
        <v>19600</v>
      </c>
      <c r="S89" s="3291"/>
      <c r="T89" s="3291">
        <f t="shared" si="40"/>
        <v>19600</v>
      </c>
      <c r="U89" s="3303"/>
      <c r="V89" s="3303"/>
      <c r="W89" s="3291">
        <f t="shared" si="41"/>
        <v>3710</v>
      </c>
      <c r="X89" s="3291">
        <f t="shared" si="42"/>
        <v>18550</v>
      </c>
      <c r="Y89" s="3291"/>
      <c r="Z89" s="3291">
        <f t="shared" si="43"/>
        <v>18550</v>
      </c>
      <c r="AA89" s="3291">
        <f t="shared" si="44"/>
        <v>3895.5</v>
      </c>
      <c r="AB89" s="3291">
        <f t="shared" si="45"/>
        <v>19478</v>
      </c>
      <c r="AC89" s="3291"/>
      <c r="AD89" s="3304">
        <f t="shared" si="46"/>
        <v>19478</v>
      </c>
      <c r="AE89" s="3305">
        <f t="shared" si="48"/>
        <v>3920</v>
      </c>
      <c r="AF89" s="2995">
        <v>1.1200000000000001</v>
      </c>
      <c r="AG89" s="2995"/>
      <c r="AH89" s="2995"/>
      <c r="AI89" s="3405" t="s">
        <v>2715</v>
      </c>
      <c r="AJ89" s="2995">
        <f t="shared" si="36"/>
        <v>0</v>
      </c>
      <c r="AK89" s="2995"/>
      <c r="AL89" s="2995"/>
      <c r="AM89" s="2995"/>
      <c r="AO89" s="3220" t="s">
        <v>2746</v>
      </c>
      <c r="AP89" s="2983">
        <f t="shared" si="38"/>
        <v>1</v>
      </c>
    </row>
    <row r="90" spans="1:42" ht="36" hidden="1">
      <c r="A90" s="3222">
        <v>86</v>
      </c>
      <c r="B90" s="3306" t="s">
        <v>2716</v>
      </c>
      <c r="C90" s="3306" t="s">
        <v>2716</v>
      </c>
      <c r="D90" s="3302" t="s">
        <v>2291</v>
      </c>
      <c r="E90" s="3296">
        <v>16815.8</v>
      </c>
      <c r="F90" s="3300">
        <f t="shared" si="50"/>
        <v>0</v>
      </c>
      <c r="G90" s="3300"/>
      <c r="H90" s="3301"/>
      <c r="I90" s="3301"/>
      <c r="J90" s="3301"/>
      <c r="K90" s="3301"/>
      <c r="L90" s="3214">
        <v>5</v>
      </c>
      <c r="M90" s="3302"/>
      <c r="N90" s="3301"/>
      <c r="O90" s="3301"/>
      <c r="P90" s="3291">
        <f t="shared" si="39"/>
        <v>5</v>
      </c>
      <c r="Q90" s="3216">
        <v>3500</v>
      </c>
      <c r="R90" s="3291">
        <f t="shared" si="47"/>
        <v>19600</v>
      </c>
      <c r="S90" s="3291"/>
      <c r="T90" s="3291">
        <f t="shared" si="40"/>
        <v>19600</v>
      </c>
      <c r="U90" s="3303"/>
      <c r="V90" s="3303"/>
      <c r="W90" s="3291">
        <f t="shared" si="41"/>
        <v>3710</v>
      </c>
      <c r="X90" s="3291">
        <f t="shared" si="42"/>
        <v>18550</v>
      </c>
      <c r="Y90" s="3291"/>
      <c r="Z90" s="3291">
        <f t="shared" si="43"/>
        <v>18550</v>
      </c>
      <c r="AA90" s="3291">
        <f t="shared" si="44"/>
        <v>3895.5</v>
      </c>
      <c r="AB90" s="3291">
        <f t="shared" si="45"/>
        <v>19478</v>
      </c>
      <c r="AC90" s="3291"/>
      <c r="AD90" s="3304">
        <f t="shared" si="46"/>
        <v>19478</v>
      </c>
      <c r="AE90" s="3305">
        <f t="shared" si="48"/>
        <v>3920</v>
      </c>
      <c r="AF90" s="2995">
        <v>1.1200000000000001</v>
      </c>
      <c r="AG90" s="2995"/>
      <c r="AH90" s="2995"/>
      <c r="AI90" s="3408"/>
      <c r="AJ90" s="2995">
        <f t="shared" si="36"/>
        <v>1</v>
      </c>
      <c r="AK90" s="2995"/>
      <c r="AL90" s="2995"/>
      <c r="AM90" s="2995"/>
      <c r="AO90" s="3299" t="s">
        <v>2876</v>
      </c>
      <c r="AP90" s="2983">
        <f t="shared" si="38"/>
        <v>1</v>
      </c>
    </row>
    <row r="91" spans="1:42" ht="24" hidden="1">
      <c r="A91" s="3222">
        <v>87</v>
      </c>
      <c r="B91" s="3299" t="s">
        <v>2799</v>
      </c>
      <c r="C91" s="3299" t="s">
        <v>2799</v>
      </c>
      <c r="D91" s="3291" t="s">
        <v>1268</v>
      </c>
      <c r="E91" s="3296">
        <v>16815.8</v>
      </c>
      <c r="F91" s="3300">
        <f t="shared" si="50"/>
        <v>0</v>
      </c>
      <c r="G91" s="3300"/>
      <c r="H91" s="3301"/>
      <c r="I91" s="3301"/>
      <c r="J91" s="3301"/>
      <c r="K91" s="3301"/>
      <c r="L91" s="3214">
        <v>10</v>
      </c>
      <c r="M91" s="3302"/>
      <c r="N91" s="3301"/>
      <c r="O91" s="3301"/>
      <c r="P91" s="3291">
        <f t="shared" si="39"/>
        <v>10</v>
      </c>
      <c r="Q91" s="3216">
        <v>100</v>
      </c>
      <c r="R91" s="3291">
        <f t="shared" si="47"/>
        <v>1120</v>
      </c>
      <c r="S91" s="3291"/>
      <c r="T91" s="3291">
        <f t="shared" si="40"/>
        <v>1120</v>
      </c>
      <c r="U91" s="3303"/>
      <c r="V91" s="3303"/>
      <c r="W91" s="3291">
        <f t="shared" si="41"/>
        <v>106</v>
      </c>
      <c r="X91" s="3291">
        <f t="shared" si="42"/>
        <v>1060</v>
      </c>
      <c r="Y91" s="3291"/>
      <c r="Z91" s="3291">
        <f t="shared" si="43"/>
        <v>1060</v>
      </c>
      <c r="AA91" s="3291">
        <f t="shared" si="44"/>
        <v>111.30000000000001</v>
      </c>
      <c r="AB91" s="3291">
        <f t="shared" si="45"/>
        <v>1113</v>
      </c>
      <c r="AC91" s="3291"/>
      <c r="AD91" s="3304">
        <f t="shared" si="46"/>
        <v>1113</v>
      </c>
      <c r="AE91" s="3305">
        <f t="shared" si="48"/>
        <v>112</v>
      </c>
      <c r="AF91" s="2995">
        <v>1.1200000000000001</v>
      </c>
      <c r="AG91" s="2995"/>
      <c r="AH91" s="2995"/>
      <c r="AI91" s="3405" t="s">
        <v>2799</v>
      </c>
      <c r="AJ91" s="2995">
        <f t="shared" si="36"/>
        <v>0</v>
      </c>
      <c r="AK91" s="2995"/>
      <c r="AL91" s="2995"/>
      <c r="AM91" s="2995"/>
      <c r="AO91" s="3299" t="s">
        <v>2868</v>
      </c>
      <c r="AP91" s="2983">
        <f t="shared" si="38"/>
        <v>1</v>
      </c>
    </row>
    <row r="92" spans="1:42" hidden="1">
      <c r="A92" s="3222">
        <v>88</v>
      </c>
      <c r="B92" s="3307" t="s">
        <v>2799</v>
      </c>
      <c r="C92" s="3299" t="s">
        <v>2799</v>
      </c>
      <c r="D92" s="3291" t="s">
        <v>1268</v>
      </c>
      <c r="E92" s="3296">
        <v>16815.8</v>
      </c>
      <c r="F92" s="3300">
        <f t="shared" si="50"/>
        <v>0</v>
      </c>
      <c r="G92" s="3300"/>
      <c r="H92" s="3301"/>
      <c r="I92" s="3301"/>
      <c r="J92" s="3301"/>
      <c r="K92" s="3301"/>
      <c r="L92" s="3215">
        <v>6</v>
      </c>
      <c r="M92" s="3302"/>
      <c r="N92" s="3301"/>
      <c r="O92" s="3301"/>
      <c r="P92" s="3291">
        <f t="shared" si="39"/>
        <v>6</v>
      </c>
      <c r="Q92" s="3214">
        <v>50</v>
      </c>
      <c r="R92" s="3291">
        <f t="shared" si="47"/>
        <v>336</v>
      </c>
      <c r="S92" s="3291"/>
      <c r="T92" s="3291">
        <f t="shared" si="40"/>
        <v>336</v>
      </c>
      <c r="U92" s="3303">
        <v>28</v>
      </c>
      <c r="V92" s="3303">
        <v>1.07</v>
      </c>
      <c r="W92" s="3291">
        <f t="shared" si="41"/>
        <v>53</v>
      </c>
      <c r="X92" s="3291">
        <f t="shared" si="42"/>
        <v>318</v>
      </c>
      <c r="Y92" s="3291"/>
      <c r="Z92" s="3291">
        <f t="shared" si="43"/>
        <v>318</v>
      </c>
      <c r="AA92" s="3291">
        <f t="shared" si="44"/>
        <v>55.650000000000006</v>
      </c>
      <c r="AB92" s="3291">
        <f t="shared" si="45"/>
        <v>334</v>
      </c>
      <c r="AC92" s="3291"/>
      <c r="AD92" s="3304">
        <f t="shared" si="46"/>
        <v>334</v>
      </c>
      <c r="AE92" s="3305">
        <f t="shared" si="48"/>
        <v>56</v>
      </c>
      <c r="AF92" s="2995">
        <v>1.1200000000000001</v>
      </c>
      <c r="AG92" s="2995"/>
      <c r="AH92" s="2995"/>
      <c r="AI92" s="3405" t="s">
        <v>2799</v>
      </c>
      <c r="AJ92" s="2995">
        <f t="shared" si="36"/>
        <v>0</v>
      </c>
      <c r="AK92" s="2995"/>
      <c r="AL92" s="2995"/>
      <c r="AM92" s="2995"/>
      <c r="AO92" s="3220" t="s">
        <v>2814</v>
      </c>
      <c r="AP92" s="2983">
        <f t="shared" si="38"/>
        <v>1</v>
      </c>
    </row>
    <row r="93" spans="1:42" hidden="1">
      <c r="A93" s="3222">
        <v>89</v>
      </c>
      <c r="B93" s="3299" t="s">
        <v>2871</v>
      </c>
      <c r="C93" s="3299" t="s">
        <v>2871</v>
      </c>
      <c r="D93" s="3291" t="s">
        <v>1268</v>
      </c>
      <c r="E93" s="3296">
        <v>16815.8</v>
      </c>
      <c r="F93" s="3300">
        <f t="shared" si="50"/>
        <v>0</v>
      </c>
      <c r="G93" s="3300"/>
      <c r="H93" s="3301"/>
      <c r="I93" s="3301"/>
      <c r="J93" s="3301"/>
      <c r="K93" s="3301"/>
      <c r="L93" s="3214">
        <v>10</v>
      </c>
      <c r="M93" s="3302"/>
      <c r="N93" s="3301"/>
      <c r="O93" s="3301"/>
      <c r="P93" s="3291">
        <f t="shared" si="39"/>
        <v>10</v>
      </c>
      <c r="Q93" s="3216">
        <v>80</v>
      </c>
      <c r="R93" s="3291">
        <f t="shared" si="47"/>
        <v>896</v>
      </c>
      <c r="S93" s="3291"/>
      <c r="T93" s="3291">
        <f t="shared" si="40"/>
        <v>896</v>
      </c>
      <c r="U93" s="3303">
        <v>66</v>
      </c>
      <c r="V93" s="3303">
        <v>1.07</v>
      </c>
      <c r="W93" s="3291">
        <f t="shared" si="41"/>
        <v>84.800000000000011</v>
      </c>
      <c r="X93" s="3291">
        <f t="shared" si="42"/>
        <v>848</v>
      </c>
      <c r="Y93" s="3291"/>
      <c r="Z93" s="3291">
        <f t="shared" si="43"/>
        <v>848</v>
      </c>
      <c r="AA93" s="3291">
        <f t="shared" si="44"/>
        <v>89.04000000000002</v>
      </c>
      <c r="AB93" s="3291">
        <f t="shared" si="45"/>
        <v>890</v>
      </c>
      <c r="AC93" s="3291"/>
      <c r="AD93" s="3304">
        <f t="shared" si="46"/>
        <v>890</v>
      </c>
      <c r="AE93" s="3305">
        <f t="shared" si="48"/>
        <v>89.6</v>
      </c>
      <c r="AF93" s="2995">
        <v>1.1200000000000001</v>
      </c>
      <c r="AG93" s="2995"/>
      <c r="AH93" s="2995"/>
      <c r="AI93" s="3408"/>
      <c r="AJ93" s="2995">
        <f t="shared" si="36"/>
        <v>1</v>
      </c>
      <c r="AK93" s="2995"/>
      <c r="AL93" s="2995"/>
      <c r="AM93" s="2995"/>
      <c r="AO93" s="3220" t="s">
        <v>2816</v>
      </c>
      <c r="AP93" s="2983">
        <f t="shared" si="38"/>
        <v>1</v>
      </c>
    </row>
    <row r="94" spans="1:42" ht="45.75" hidden="1" customHeight="1">
      <c r="A94" s="3222">
        <v>90</v>
      </c>
      <c r="B94" s="3221" t="s">
        <v>2752</v>
      </c>
      <c r="C94" s="3221" t="s">
        <v>2753</v>
      </c>
      <c r="D94" s="3291" t="s">
        <v>1411</v>
      </c>
      <c r="E94" s="3296">
        <v>16815.8</v>
      </c>
      <c r="F94" s="3300">
        <f t="shared" si="50"/>
        <v>0</v>
      </c>
      <c r="G94" s="3300"/>
      <c r="H94" s="3291"/>
      <c r="I94" s="3301"/>
      <c r="J94" s="3301"/>
      <c r="K94" s="3291"/>
      <c r="L94" s="3214">
        <v>1</v>
      </c>
      <c r="M94" s="3291"/>
      <c r="N94" s="3291"/>
      <c r="O94" s="3291"/>
      <c r="P94" s="3291">
        <f t="shared" si="39"/>
        <v>1</v>
      </c>
      <c r="Q94" s="3309">
        <v>7000</v>
      </c>
      <c r="R94" s="3291">
        <f t="shared" si="47"/>
        <v>7840</v>
      </c>
      <c r="S94" s="3291"/>
      <c r="T94" s="3291">
        <f t="shared" si="40"/>
        <v>7840</v>
      </c>
      <c r="U94" s="3303"/>
      <c r="V94" s="3303"/>
      <c r="W94" s="3291">
        <f t="shared" si="41"/>
        <v>7420</v>
      </c>
      <c r="X94" s="3291">
        <f t="shared" si="42"/>
        <v>7420</v>
      </c>
      <c r="Y94" s="3291"/>
      <c r="Z94" s="3291">
        <f t="shared" si="43"/>
        <v>7420</v>
      </c>
      <c r="AA94" s="3291">
        <f t="shared" si="44"/>
        <v>7791</v>
      </c>
      <c r="AB94" s="3291">
        <f t="shared" si="45"/>
        <v>7791</v>
      </c>
      <c r="AC94" s="3291"/>
      <c r="AD94" s="3304">
        <f t="shared" si="46"/>
        <v>7791</v>
      </c>
      <c r="AE94" s="3305">
        <f t="shared" si="48"/>
        <v>7840</v>
      </c>
      <c r="AF94" s="2995">
        <v>1.1200000000000001</v>
      </c>
      <c r="AG94" s="2995"/>
      <c r="AH94" s="2995"/>
      <c r="AI94" s="3408"/>
      <c r="AJ94" s="2995">
        <f t="shared" si="36"/>
        <v>1</v>
      </c>
      <c r="AK94" s="2995"/>
      <c r="AL94" s="2995"/>
      <c r="AM94" s="2995"/>
      <c r="AO94" s="3340" t="s">
        <v>2836</v>
      </c>
      <c r="AP94" s="2983">
        <f t="shared" si="38"/>
        <v>1</v>
      </c>
    </row>
    <row r="95" spans="1:42" ht="24" hidden="1">
      <c r="A95" s="3222">
        <v>91</v>
      </c>
      <c r="B95" s="3299" t="s">
        <v>2800</v>
      </c>
      <c r="C95" s="3299" t="s">
        <v>2800</v>
      </c>
      <c r="D95" s="3291" t="s">
        <v>1268</v>
      </c>
      <c r="E95" s="3296">
        <v>16815.8</v>
      </c>
      <c r="F95" s="3300">
        <f t="shared" si="50"/>
        <v>0</v>
      </c>
      <c r="G95" s="3300"/>
      <c r="H95" s="3291"/>
      <c r="I95" s="3301"/>
      <c r="J95" s="3301"/>
      <c r="K95" s="3291"/>
      <c r="L95" s="3214">
        <v>1</v>
      </c>
      <c r="M95" s="3302"/>
      <c r="N95" s="3291"/>
      <c r="O95" s="3291"/>
      <c r="P95" s="3291">
        <f t="shared" si="39"/>
        <v>1</v>
      </c>
      <c r="Q95" s="3309">
        <v>6500</v>
      </c>
      <c r="R95" s="3291">
        <f t="shared" si="47"/>
        <v>7280</v>
      </c>
      <c r="S95" s="3291"/>
      <c r="T95" s="3291">
        <f t="shared" si="40"/>
        <v>7280</v>
      </c>
      <c r="U95" s="3303"/>
      <c r="V95" s="3303"/>
      <c r="W95" s="3291">
        <f t="shared" si="41"/>
        <v>6890</v>
      </c>
      <c r="X95" s="3291">
        <f t="shared" si="42"/>
        <v>6890</v>
      </c>
      <c r="Y95" s="3291"/>
      <c r="Z95" s="3291">
        <f t="shared" si="43"/>
        <v>6890</v>
      </c>
      <c r="AA95" s="3291">
        <f t="shared" si="44"/>
        <v>7234.5</v>
      </c>
      <c r="AB95" s="3291">
        <f t="shared" si="45"/>
        <v>7235</v>
      </c>
      <c r="AC95" s="3291"/>
      <c r="AD95" s="3304">
        <f t="shared" si="46"/>
        <v>7235</v>
      </c>
      <c r="AE95" s="3305">
        <f t="shared" si="48"/>
        <v>7280</v>
      </c>
      <c r="AF95" s="2995">
        <v>1.1200000000000001</v>
      </c>
      <c r="AG95" s="2995"/>
      <c r="AH95" s="2995"/>
      <c r="AI95" s="3405" t="s">
        <v>2800</v>
      </c>
      <c r="AJ95" s="2995">
        <f t="shared" si="36"/>
        <v>0</v>
      </c>
      <c r="AK95" s="2995"/>
      <c r="AL95" s="2995"/>
      <c r="AM95" s="2995"/>
      <c r="AO95" s="3335" t="s">
        <v>2872</v>
      </c>
      <c r="AP95" s="2983">
        <f t="shared" si="38"/>
        <v>1</v>
      </c>
    </row>
    <row r="96" spans="1:42" ht="36" hidden="1">
      <c r="A96" s="3222">
        <v>92</v>
      </c>
      <c r="B96" s="3220" t="s">
        <v>2802</v>
      </c>
      <c r="C96" s="3220" t="s">
        <v>2803</v>
      </c>
      <c r="D96" s="3291" t="s">
        <v>1268</v>
      </c>
      <c r="E96" s="3296">
        <v>16815.8</v>
      </c>
      <c r="F96" s="3300">
        <f t="shared" si="50"/>
        <v>0</v>
      </c>
      <c r="G96" s="3300"/>
      <c r="H96" s="3291"/>
      <c r="I96" s="3301"/>
      <c r="J96" s="3301"/>
      <c r="K96" s="3291"/>
      <c r="L96" s="3214">
        <v>1</v>
      </c>
      <c r="M96" s="3302"/>
      <c r="N96" s="3291"/>
      <c r="O96" s="3291"/>
      <c r="P96" s="3291">
        <f t="shared" si="39"/>
        <v>1</v>
      </c>
      <c r="Q96" s="3214">
        <v>15000</v>
      </c>
      <c r="R96" s="3291">
        <f t="shared" si="47"/>
        <v>16800</v>
      </c>
      <c r="S96" s="3291"/>
      <c r="T96" s="3291">
        <f t="shared" si="40"/>
        <v>16800</v>
      </c>
      <c r="U96" s="3303"/>
      <c r="V96" s="3303"/>
      <c r="W96" s="3291">
        <f t="shared" si="41"/>
        <v>15900</v>
      </c>
      <c r="X96" s="3291">
        <f t="shared" si="42"/>
        <v>15900</v>
      </c>
      <c r="Y96" s="3291"/>
      <c r="Z96" s="3291">
        <f t="shared" si="43"/>
        <v>15900</v>
      </c>
      <c r="AA96" s="3291">
        <f t="shared" si="44"/>
        <v>16695</v>
      </c>
      <c r="AB96" s="3291">
        <f t="shared" si="45"/>
        <v>16695</v>
      </c>
      <c r="AC96" s="3291"/>
      <c r="AD96" s="3304">
        <f t="shared" si="46"/>
        <v>16695</v>
      </c>
      <c r="AE96" s="3305">
        <f t="shared" si="48"/>
        <v>16800</v>
      </c>
      <c r="AF96" s="2995">
        <v>1.1200000000000001</v>
      </c>
      <c r="AG96" s="2995"/>
      <c r="AH96" s="2995"/>
      <c r="AI96" s="3405"/>
      <c r="AJ96" s="2995">
        <f t="shared" si="36"/>
        <v>1</v>
      </c>
      <c r="AK96" s="2995"/>
      <c r="AL96" s="2995"/>
      <c r="AM96" s="2995"/>
      <c r="AO96" s="3339" t="s">
        <v>3069</v>
      </c>
      <c r="AP96" s="2983">
        <f t="shared" si="38"/>
        <v>1</v>
      </c>
    </row>
    <row r="97" spans="1:42" hidden="1">
      <c r="A97" s="3222">
        <v>93</v>
      </c>
      <c r="B97" s="3220" t="s">
        <v>2898</v>
      </c>
      <c r="C97" s="3220" t="s">
        <v>2898</v>
      </c>
      <c r="D97" s="3291" t="s">
        <v>1268</v>
      </c>
      <c r="E97" s="3296">
        <v>16815.8</v>
      </c>
      <c r="F97" s="3300">
        <f t="shared" si="50"/>
        <v>0</v>
      </c>
      <c r="G97" s="3300"/>
      <c r="H97" s="3301"/>
      <c r="I97" s="3301"/>
      <c r="J97" s="3301"/>
      <c r="K97" s="3301"/>
      <c r="L97" s="3215">
        <v>1</v>
      </c>
      <c r="M97" s="3302"/>
      <c r="N97" s="3301"/>
      <c r="O97" s="3301"/>
      <c r="P97" s="3291">
        <f t="shared" si="39"/>
        <v>1</v>
      </c>
      <c r="Q97" s="3218">
        <v>1750</v>
      </c>
      <c r="R97" s="3291">
        <f t="shared" si="47"/>
        <v>1960</v>
      </c>
      <c r="S97" s="3291"/>
      <c r="T97" s="3291">
        <f t="shared" si="40"/>
        <v>1960</v>
      </c>
      <c r="U97" s="3303">
        <v>3555</v>
      </c>
      <c r="V97" s="3303">
        <v>1.07</v>
      </c>
      <c r="W97" s="3291">
        <f t="shared" si="41"/>
        <v>1855</v>
      </c>
      <c r="X97" s="3291">
        <f t="shared" si="42"/>
        <v>1855</v>
      </c>
      <c r="Y97" s="3291"/>
      <c r="Z97" s="3291">
        <f t="shared" si="43"/>
        <v>1855</v>
      </c>
      <c r="AA97" s="3291">
        <f t="shared" si="44"/>
        <v>1947.75</v>
      </c>
      <c r="AB97" s="3291">
        <f t="shared" si="45"/>
        <v>1948</v>
      </c>
      <c r="AC97" s="3291"/>
      <c r="AD97" s="3304">
        <f t="shared" si="46"/>
        <v>1948</v>
      </c>
      <c r="AE97" s="3305">
        <f t="shared" si="48"/>
        <v>1960</v>
      </c>
      <c r="AF97" s="2995">
        <v>1.1200000000000001</v>
      </c>
      <c r="AG97" s="2995"/>
      <c r="AH97" s="2995"/>
      <c r="AI97" s="3405" t="s">
        <v>2898</v>
      </c>
      <c r="AJ97" s="2995">
        <f t="shared" si="36"/>
        <v>0</v>
      </c>
      <c r="AK97" s="2995"/>
      <c r="AL97" s="2995"/>
      <c r="AM97" s="2995"/>
      <c r="AO97" s="3335" t="s">
        <v>2874</v>
      </c>
      <c r="AP97" s="2983">
        <f t="shared" si="38"/>
        <v>1</v>
      </c>
    </row>
    <row r="98" spans="1:42" ht="51.75" hidden="1" customHeight="1">
      <c r="A98" s="3222">
        <v>94</v>
      </c>
      <c r="B98" s="3220" t="s">
        <v>2900</v>
      </c>
      <c r="C98" s="3220" t="s">
        <v>2900</v>
      </c>
      <c r="D98" s="3291" t="s">
        <v>1268</v>
      </c>
      <c r="E98" s="3296">
        <v>16815.8</v>
      </c>
      <c r="F98" s="3300">
        <f t="shared" si="50"/>
        <v>0</v>
      </c>
      <c r="G98" s="3300"/>
      <c r="H98" s="3301"/>
      <c r="I98" s="3301"/>
      <c r="J98" s="3301"/>
      <c r="K98" s="3301"/>
      <c r="L98" s="3215">
        <v>2</v>
      </c>
      <c r="M98" s="3302"/>
      <c r="N98" s="3301"/>
      <c r="O98" s="3301"/>
      <c r="P98" s="3291">
        <f t="shared" si="39"/>
        <v>2</v>
      </c>
      <c r="Q98" s="3218">
        <v>1200</v>
      </c>
      <c r="R98" s="3291">
        <f t="shared" si="47"/>
        <v>2688</v>
      </c>
      <c r="S98" s="3291"/>
      <c r="T98" s="3291">
        <f t="shared" si="40"/>
        <v>2688</v>
      </c>
      <c r="U98" s="3303">
        <v>4212</v>
      </c>
      <c r="V98" s="3303">
        <v>1.07</v>
      </c>
      <c r="W98" s="3291">
        <f t="shared" si="41"/>
        <v>1272</v>
      </c>
      <c r="X98" s="3291">
        <f t="shared" si="42"/>
        <v>2544</v>
      </c>
      <c r="Y98" s="3291"/>
      <c r="Z98" s="3291">
        <f t="shared" si="43"/>
        <v>2544</v>
      </c>
      <c r="AA98" s="3291">
        <f t="shared" si="44"/>
        <v>1335.6000000000001</v>
      </c>
      <c r="AB98" s="3291">
        <f t="shared" si="45"/>
        <v>2671</v>
      </c>
      <c r="AC98" s="3291"/>
      <c r="AD98" s="3304">
        <f t="shared" si="46"/>
        <v>2671</v>
      </c>
      <c r="AE98" s="3305">
        <f t="shared" si="48"/>
        <v>1344</v>
      </c>
      <c r="AF98" s="2995">
        <v>1.1200000000000001</v>
      </c>
      <c r="AG98" s="2995"/>
      <c r="AH98" s="2995"/>
      <c r="AI98" s="3405" t="s">
        <v>2900</v>
      </c>
      <c r="AJ98" s="2995">
        <f t="shared" si="36"/>
        <v>0</v>
      </c>
      <c r="AK98" s="2995"/>
      <c r="AL98" s="2995"/>
      <c r="AM98" s="2995"/>
      <c r="AO98" s="3335" t="s">
        <v>2879</v>
      </c>
      <c r="AP98" s="2983">
        <f t="shared" si="38"/>
        <v>1</v>
      </c>
    </row>
    <row r="99" spans="1:42" ht="21.75" hidden="1" customHeight="1">
      <c r="A99" s="3222">
        <v>95</v>
      </c>
      <c r="B99" s="3310" t="s">
        <v>2901</v>
      </c>
      <c r="C99" s="3310" t="s">
        <v>2292</v>
      </c>
      <c r="D99" s="3291" t="s">
        <v>1022</v>
      </c>
      <c r="E99" s="3296">
        <v>16815.8</v>
      </c>
      <c r="F99" s="3300">
        <f t="shared" si="50"/>
        <v>0</v>
      </c>
      <c r="G99" s="3300"/>
      <c r="H99" s="3291"/>
      <c r="I99" s="3301"/>
      <c r="J99" s="3301"/>
      <c r="K99" s="3291"/>
      <c r="L99" s="3215">
        <v>1</v>
      </c>
      <c r="M99" s="3302"/>
      <c r="N99" s="3291"/>
      <c r="O99" s="3291"/>
      <c r="P99" s="3291">
        <f t="shared" si="39"/>
        <v>1</v>
      </c>
      <c r="Q99" s="3218">
        <v>1450</v>
      </c>
      <c r="R99" s="3291">
        <f t="shared" si="47"/>
        <v>1624</v>
      </c>
      <c r="S99" s="3291"/>
      <c r="T99" s="3291">
        <f t="shared" si="40"/>
        <v>1624</v>
      </c>
      <c r="U99" s="3303">
        <v>4671</v>
      </c>
      <c r="V99" s="3303">
        <v>1.07</v>
      </c>
      <c r="W99" s="3291">
        <f t="shared" si="41"/>
        <v>1537</v>
      </c>
      <c r="X99" s="3291">
        <f t="shared" si="42"/>
        <v>1537</v>
      </c>
      <c r="Y99" s="3291"/>
      <c r="Z99" s="3291">
        <f t="shared" si="43"/>
        <v>1537</v>
      </c>
      <c r="AA99" s="3291">
        <f t="shared" si="44"/>
        <v>1613.8500000000001</v>
      </c>
      <c r="AB99" s="3291">
        <f t="shared" si="45"/>
        <v>1614</v>
      </c>
      <c r="AC99" s="3291"/>
      <c r="AD99" s="3304">
        <f t="shared" si="46"/>
        <v>1614</v>
      </c>
      <c r="AE99" s="3305">
        <f t="shared" si="48"/>
        <v>1624</v>
      </c>
      <c r="AF99" s="2995">
        <v>1.1200000000000001</v>
      </c>
      <c r="AG99" s="2995"/>
      <c r="AH99" s="2995"/>
      <c r="AI99" s="3405" t="s">
        <v>2901</v>
      </c>
      <c r="AJ99" s="2995">
        <f t="shared" si="36"/>
        <v>0</v>
      </c>
      <c r="AK99" s="2995"/>
      <c r="AL99" s="2995"/>
      <c r="AM99" s="2995"/>
      <c r="AO99" s="3220" t="s">
        <v>2821</v>
      </c>
      <c r="AP99" s="2983">
        <f t="shared" si="38"/>
        <v>1</v>
      </c>
    </row>
    <row r="100" spans="1:42" ht="24" hidden="1">
      <c r="A100" s="3222">
        <v>96</v>
      </c>
      <c r="B100" s="3325" t="s">
        <v>3070</v>
      </c>
      <c r="C100" s="3325" t="s">
        <v>3070</v>
      </c>
      <c r="D100" s="3327" t="s">
        <v>1022</v>
      </c>
      <c r="E100" s="3296">
        <v>16815.8</v>
      </c>
      <c r="F100" s="3300">
        <f>SUM(F101:F236)</f>
        <v>0</v>
      </c>
      <c r="G100" s="3300"/>
      <c r="H100" s="3301"/>
      <c r="I100" s="3297"/>
      <c r="J100" s="3297"/>
      <c r="K100" s="3297"/>
      <c r="L100" s="3257">
        <v>15</v>
      </c>
      <c r="M100" s="3297"/>
      <c r="N100" s="3297"/>
      <c r="O100" s="3297"/>
      <c r="P100" s="3291">
        <f t="shared" si="39"/>
        <v>15</v>
      </c>
      <c r="Q100" s="3257">
        <v>2500</v>
      </c>
      <c r="R100" s="3291">
        <f t="shared" si="47"/>
        <v>42000</v>
      </c>
      <c r="S100" s="3297"/>
      <c r="T100" s="3291">
        <f t="shared" si="40"/>
        <v>42000</v>
      </c>
      <c r="U100" s="3362"/>
      <c r="V100" s="3362"/>
      <c r="W100" s="3297"/>
      <c r="X100" s="3297"/>
      <c r="Y100" s="3297"/>
      <c r="Z100" s="3297"/>
      <c r="AA100" s="3297"/>
      <c r="AB100" s="3297"/>
      <c r="AC100" s="3297"/>
      <c r="AD100" s="3363"/>
      <c r="AE100" s="3305">
        <f t="shared" si="48"/>
        <v>2800</v>
      </c>
      <c r="AF100" s="2995">
        <v>1.1200000000000001</v>
      </c>
      <c r="AG100" s="2995"/>
      <c r="AH100" s="2995"/>
      <c r="AI100" s="3405" t="s">
        <v>3070</v>
      </c>
      <c r="AJ100" s="2995">
        <f t="shared" si="36"/>
        <v>0</v>
      </c>
      <c r="AK100" s="2995"/>
      <c r="AL100" s="2995"/>
      <c r="AM100" s="2995"/>
      <c r="AO100" s="3310" t="s">
        <v>1606</v>
      </c>
      <c r="AP100" s="2983">
        <f t="shared" si="38"/>
        <v>1</v>
      </c>
    </row>
    <row r="101" spans="1:42" ht="24">
      <c r="A101" s="3222">
        <v>97</v>
      </c>
      <c r="B101" s="3322" t="s">
        <v>3031</v>
      </c>
      <c r="C101" s="3322" t="s">
        <v>3031</v>
      </c>
      <c r="D101" s="3323" t="s">
        <v>1022</v>
      </c>
      <c r="E101" s="3296">
        <v>16815.8</v>
      </c>
      <c r="F101" s="3300">
        <f t="shared" ref="F101:F112" si="51">SUM(F102:F236)</f>
        <v>0</v>
      </c>
      <c r="G101" s="3300"/>
      <c r="H101" s="3301"/>
      <c r="I101" s="3297"/>
      <c r="J101" s="3297"/>
      <c r="K101" s="3297"/>
      <c r="L101" s="3257">
        <v>120</v>
      </c>
      <c r="M101" s="3297"/>
      <c r="N101" s="3297"/>
      <c r="O101" s="3297"/>
      <c r="P101" s="3291">
        <f t="shared" ref="P101:P135" si="52">L101-N101-O101</f>
        <v>120</v>
      </c>
      <c r="Q101" s="3257">
        <v>590</v>
      </c>
      <c r="R101" s="3291">
        <f t="shared" si="47"/>
        <v>79296</v>
      </c>
      <c r="S101" s="3297"/>
      <c r="T101" s="3291">
        <f t="shared" ref="T101:T135" si="53">R101-S101</f>
        <v>79296</v>
      </c>
      <c r="U101" s="3362"/>
      <c r="V101" s="3362"/>
      <c r="W101" s="3297"/>
      <c r="X101" s="3297"/>
      <c r="Y101" s="3297"/>
      <c r="Z101" s="3297"/>
      <c r="AA101" s="3297"/>
      <c r="AB101" s="3297"/>
      <c r="AC101" s="3297"/>
      <c r="AD101" s="3363"/>
      <c r="AE101" s="3305">
        <f t="shared" si="48"/>
        <v>660.8</v>
      </c>
      <c r="AF101" s="2995">
        <v>1.1200000000000001</v>
      </c>
      <c r="AG101" s="2995"/>
      <c r="AH101" s="2995"/>
      <c r="AI101" s="3405" t="s">
        <v>3031</v>
      </c>
      <c r="AJ101" s="2995">
        <f t="shared" si="36"/>
        <v>0</v>
      </c>
      <c r="AK101" s="2995"/>
      <c r="AL101" s="2995"/>
      <c r="AM101" s="2995"/>
      <c r="AO101" s="3220" t="s">
        <v>2823</v>
      </c>
      <c r="AP101" s="2983">
        <f t="shared" si="38"/>
        <v>1</v>
      </c>
    </row>
    <row r="102" spans="1:42" ht="24">
      <c r="A102" s="3222">
        <v>98</v>
      </c>
      <c r="B102" s="3220" t="s">
        <v>2745</v>
      </c>
      <c r="C102" s="3220" t="s">
        <v>2746</v>
      </c>
      <c r="D102" s="3302" t="s">
        <v>2317</v>
      </c>
      <c r="E102" s="3296">
        <v>16815.8</v>
      </c>
      <c r="F102" s="3300">
        <f t="shared" si="51"/>
        <v>0</v>
      </c>
      <c r="G102" s="3300"/>
      <c r="H102" s="3301"/>
      <c r="I102" s="3301"/>
      <c r="J102" s="3301"/>
      <c r="K102" s="3301"/>
      <c r="L102" s="3215">
        <v>2</v>
      </c>
      <c r="M102" s="3302"/>
      <c r="N102" s="3301"/>
      <c r="O102" s="3301"/>
      <c r="P102" s="3291">
        <f t="shared" si="52"/>
        <v>2</v>
      </c>
      <c r="Q102" s="3214" t="s">
        <v>2747</v>
      </c>
      <c r="R102" s="3291">
        <f t="shared" si="47"/>
        <v>1120</v>
      </c>
      <c r="S102" s="3291"/>
      <c r="T102" s="3291">
        <f t="shared" si="53"/>
        <v>1120</v>
      </c>
      <c r="U102" s="3303"/>
      <c r="V102" s="3303"/>
      <c r="W102" s="3291">
        <f>Q102*$W$4</f>
        <v>530</v>
      </c>
      <c r="X102" s="3291">
        <f>ROUND(P102*W102,0)</f>
        <v>1060</v>
      </c>
      <c r="Y102" s="3291"/>
      <c r="Z102" s="3291">
        <f>X102-Y102</f>
        <v>1060</v>
      </c>
      <c r="AA102" s="3291">
        <f>W102*$AA$4</f>
        <v>556.5</v>
      </c>
      <c r="AB102" s="3291">
        <f>ROUND(P102*AA102,0)</f>
        <v>1113</v>
      </c>
      <c r="AC102" s="3291"/>
      <c r="AD102" s="3304">
        <f>AB102-AC102</f>
        <v>1113</v>
      </c>
      <c r="AE102" s="3305">
        <f t="shared" si="48"/>
        <v>560</v>
      </c>
      <c r="AF102" s="2995">
        <v>1.1200000000000001</v>
      </c>
      <c r="AG102" s="2995"/>
      <c r="AH102" s="2995"/>
      <c r="AI102" s="3405" t="s">
        <v>2745</v>
      </c>
      <c r="AJ102" s="2995">
        <f t="shared" si="36"/>
        <v>0</v>
      </c>
      <c r="AK102" s="2995"/>
      <c r="AL102" s="2995"/>
      <c r="AM102" s="2995"/>
      <c r="AO102" s="3220" t="s">
        <v>2825</v>
      </c>
      <c r="AP102" s="2983">
        <f t="shared" si="38"/>
        <v>1</v>
      </c>
    </row>
    <row r="103" spans="1:42" ht="48">
      <c r="A103" s="3222">
        <v>99</v>
      </c>
      <c r="B103" s="3322" t="s">
        <v>3071</v>
      </c>
      <c r="C103" s="3322" t="s">
        <v>3071</v>
      </c>
      <c r="D103" s="3323" t="s">
        <v>2520</v>
      </c>
      <c r="E103" s="3296">
        <v>16815.8</v>
      </c>
      <c r="F103" s="3300">
        <f t="shared" si="51"/>
        <v>0</v>
      </c>
      <c r="G103" s="3300"/>
      <c r="H103" s="3301"/>
      <c r="I103" s="3297"/>
      <c r="J103" s="3297"/>
      <c r="K103" s="3297"/>
      <c r="L103" s="3257">
        <f>4*35*10</f>
        <v>1400</v>
      </c>
      <c r="M103" s="3297"/>
      <c r="N103" s="3297"/>
      <c r="O103" s="3297"/>
      <c r="P103" s="3291">
        <f t="shared" si="52"/>
        <v>1400</v>
      </c>
      <c r="Q103" s="3257">
        <v>350</v>
      </c>
      <c r="R103" s="3291">
        <f t="shared" si="47"/>
        <v>548800</v>
      </c>
      <c r="S103" s="3297"/>
      <c r="T103" s="3291">
        <f t="shared" si="53"/>
        <v>548800</v>
      </c>
      <c r="U103" s="3362"/>
      <c r="V103" s="3362"/>
      <c r="W103" s="3297"/>
      <c r="X103" s="3297"/>
      <c r="Y103" s="3297"/>
      <c r="Z103" s="3297"/>
      <c r="AA103" s="3297"/>
      <c r="AB103" s="3297"/>
      <c r="AC103" s="3297"/>
      <c r="AD103" s="3363"/>
      <c r="AE103" s="3305">
        <f t="shared" si="48"/>
        <v>392</v>
      </c>
      <c r="AF103" s="2995">
        <v>1.1200000000000001</v>
      </c>
      <c r="AG103" s="2995"/>
      <c r="AH103" s="2995"/>
      <c r="AI103" s="3410"/>
      <c r="AJ103" s="2995"/>
      <c r="AK103" s="2995"/>
      <c r="AL103" s="3405" t="s">
        <v>3072</v>
      </c>
      <c r="AM103" s="2995">
        <f>IF(B103=AL103,0,1)</f>
        <v>1</v>
      </c>
      <c r="AO103" s="3220" t="s">
        <v>2827</v>
      </c>
      <c r="AP103" s="2983">
        <f t="shared" si="38"/>
        <v>1</v>
      </c>
    </row>
    <row r="104" spans="1:42" ht="24">
      <c r="A104" s="3222">
        <v>100</v>
      </c>
      <c r="B104" s="3299" t="s">
        <v>2868</v>
      </c>
      <c r="C104" s="3299" t="s">
        <v>2868</v>
      </c>
      <c r="D104" s="3291" t="s">
        <v>1268</v>
      </c>
      <c r="E104" s="3296">
        <v>16815.8</v>
      </c>
      <c r="F104" s="3300">
        <f t="shared" si="51"/>
        <v>0</v>
      </c>
      <c r="G104" s="3300"/>
      <c r="H104" s="3291"/>
      <c r="I104" s="3301"/>
      <c r="J104" s="3301"/>
      <c r="K104" s="3291"/>
      <c r="L104" s="3214">
        <v>100</v>
      </c>
      <c r="M104" s="3302"/>
      <c r="N104" s="3291"/>
      <c r="O104" s="3301"/>
      <c r="P104" s="3291">
        <f t="shared" si="52"/>
        <v>100</v>
      </c>
      <c r="Q104" s="3214">
        <v>120</v>
      </c>
      <c r="R104" s="3291">
        <f t="shared" si="47"/>
        <v>13440</v>
      </c>
      <c r="S104" s="3291"/>
      <c r="T104" s="3291">
        <f t="shared" si="53"/>
        <v>13440</v>
      </c>
      <c r="U104" s="3303">
        <v>56</v>
      </c>
      <c r="V104" s="3303">
        <v>1.07</v>
      </c>
      <c r="W104" s="3291">
        <f>Q104*$W$4</f>
        <v>127.2</v>
      </c>
      <c r="X104" s="3291">
        <f>ROUND(P104*W104,0)</f>
        <v>12720</v>
      </c>
      <c r="Y104" s="3291"/>
      <c r="Z104" s="3291">
        <f>X104-Y104</f>
        <v>12720</v>
      </c>
      <c r="AA104" s="3291">
        <f>W104*$AA$4</f>
        <v>133.56</v>
      </c>
      <c r="AB104" s="3291">
        <f>ROUND(P104*AA104,0)</f>
        <v>13356</v>
      </c>
      <c r="AC104" s="3291"/>
      <c r="AD104" s="3304">
        <f>AB104-AC104</f>
        <v>13356</v>
      </c>
      <c r="AE104" s="3305">
        <f t="shared" si="48"/>
        <v>134.4</v>
      </c>
      <c r="AF104" s="2995">
        <v>1.1200000000000001</v>
      </c>
      <c r="AG104" s="2995"/>
      <c r="AH104" s="2995"/>
      <c r="AI104" s="3405" t="s">
        <v>2868</v>
      </c>
      <c r="AJ104" s="2995">
        <f t="shared" si="36"/>
        <v>0</v>
      </c>
      <c r="AK104" s="2995"/>
      <c r="AL104" s="2995"/>
      <c r="AM104" s="2995"/>
      <c r="AO104" s="3335" t="s">
        <v>2877</v>
      </c>
      <c r="AP104" s="2983">
        <f t="shared" si="38"/>
        <v>1</v>
      </c>
    </row>
    <row r="105" spans="1:42" ht="24" hidden="1">
      <c r="A105" s="3222">
        <v>101</v>
      </c>
      <c r="B105" s="3220" t="s">
        <v>2812</v>
      </c>
      <c r="C105" s="3220" t="s">
        <v>2813</v>
      </c>
      <c r="D105" s="3291" t="s">
        <v>1395</v>
      </c>
      <c r="E105" s="3296">
        <v>16815.8</v>
      </c>
      <c r="F105" s="3300">
        <f t="shared" si="51"/>
        <v>0</v>
      </c>
      <c r="G105" s="3300"/>
      <c r="H105" s="3291"/>
      <c r="I105" s="3301"/>
      <c r="J105" s="3301"/>
      <c r="K105" s="3291"/>
      <c r="L105" s="3215">
        <v>1</v>
      </c>
      <c r="M105" s="3302"/>
      <c r="N105" s="3291"/>
      <c r="O105" s="3291"/>
      <c r="P105" s="3291">
        <f t="shared" si="52"/>
        <v>1</v>
      </c>
      <c r="Q105" s="3214">
        <v>3000</v>
      </c>
      <c r="R105" s="3291">
        <f t="shared" si="47"/>
        <v>3360</v>
      </c>
      <c r="S105" s="3291"/>
      <c r="T105" s="3291">
        <f t="shared" si="53"/>
        <v>3360</v>
      </c>
      <c r="U105" s="3303"/>
      <c r="V105" s="3303"/>
      <c r="W105" s="3291">
        <f>Q105*$W$4</f>
        <v>3180</v>
      </c>
      <c r="X105" s="3291">
        <f>ROUND(P105*W105,0)</f>
        <v>3180</v>
      </c>
      <c r="Y105" s="3291"/>
      <c r="Z105" s="3291">
        <f>X105-Y105</f>
        <v>3180</v>
      </c>
      <c r="AA105" s="3291">
        <f>W105*$AA$4</f>
        <v>3339</v>
      </c>
      <c r="AB105" s="3291">
        <f>ROUND(P105*AA105,0)</f>
        <v>3339</v>
      </c>
      <c r="AC105" s="3291"/>
      <c r="AD105" s="3304">
        <f>AB105-AC105</f>
        <v>3339</v>
      </c>
      <c r="AE105" s="3305">
        <f t="shared" si="48"/>
        <v>3360</v>
      </c>
      <c r="AF105" s="2995">
        <v>1.1200000000000001</v>
      </c>
      <c r="AG105" s="2995"/>
      <c r="AH105" s="2995"/>
      <c r="AI105" s="3405" t="s">
        <v>2812</v>
      </c>
      <c r="AJ105" s="2995">
        <f t="shared" si="36"/>
        <v>0</v>
      </c>
      <c r="AK105" s="2995"/>
      <c r="AL105" s="2995"/>
      <c r="AM105" s="2995"/>
      <c r="AO105" s="3220" t="s">
        <v>2805</v>
      </c>
      <c r="AP105" s="2983">
        <f t="shared" si="38"/>
        <v>1</v>
      </c>
    </row>
    <row r="106" spans="1:42" ht="24" hidden="1">
      <c r="A106" s="3222">
        <v>102</v>
      </c>
      <c r="B106" s="3311" t="s">
        <v>2814</v>
      </c>
      <c r="C106" s="3311" t="s">
        <v>2814</v>
      </c>
      <c r="D106" s="3291" t="s">
        <v>1395</v>
      </c>
      <c r="E106" s="3296">
        <v>16815.8</v>
      </c>
      <c r="F106" s="3300">
        <f t="shared" si="51"/>
        <v>0</v>
      </c>
      <c r="G106" s="3300"/>
      <c r="H106" s="3301"/>
      <c r="I106" s="3301"/>
      <c r="J106" s="3301"/>
      <c r="K106" s="3301"/>
      <c r="L106" s="3215">
        <v>10</v>
      </c>
      <c r="M106" s="3302"/>
      <c r="N106" s="3301"/>
      <c r="O106" s="3301"/>
      <c r="P106" s="3291">
        <f t="shared" si="52"/>
        <v>10</v>
      </c>
      <c r="Q106" s="3214">
        <v>250</v>
      </c>
      <c r="R106" s="3291">
        <f t="shared" si="47"/>
        <v>2800</v>
      </c>
      <c r="S106" s="3291"/>
      <c r="T106" s="3291">
        <f t="shared" si="53"/>
        <v>2800</v>
      </c>
      <c r="U106" s="3303"/>
      <c r="V106" s="3303"/>
      <c r="W106" s="3291">
        <f>Q106*$W$4</f>
        <v>265</v>
      </c>
      <c r="X106" s="3291">
        <f>ROUND(P106*W106,0)</f>
        <v>2650</v>
      </c>
      <c r="Y106" s="3291"/>
      <c r="Z106" s="3291">
        <f>X106-Y106</f>
        <v>2650</v>
      </c>
      <c r="AA106" s="3291">
        <f>W106*$AA$4</f>
        <v>278.25</v>
      </c>
      <c r="AB106" s="3291">
        <f>ROUND(P106*AA106,0)</f>
        <v>2783</v>
      </c>
      <c r="AC106" s="3291"/>
      <c r="AD106" s="3304">
        <f>AB106-AC106</f>
        <v>2783</v>
      </c>
      <c r="AE106" s="3305">
        <f t="shared" si="48"/>
        <v>280</v>
      </c>
      <c r="AF106" s="2995">
        <v>1.1200000000000001</v>
      </c>
      <c r="AG106" s="2995"/>
      <c r="AH106" s="2995"/>
      <c r="AI106" s="3405" t="s">
        <v>2814</v>
      </c>
      <c r="AJ106" s="2995">
        <f t="shared" si="36"/>
        <v>0</v>
      </c>
      <c r="AK106" s="2995"/>
      <c r="AL106" s="2995"/>
      <c r="AM106" s="2995"/>
      <c r="AO106" s="3220" t="s">
        <v>2807</v>
      </c>
      <c r="AP106" s="2983">
        <f t="shared" si="38"/>
        <v>1</v>
      </c>
    </row>
    <row r="107" spans="1:42" hidden="1">
      <c r="A107" s="3222">
        <v>103</v>
      </c>
      <c r="B107" s="3220" t="s">
        <v>2816</v>
      </c>
      <c r="C107" s="3220" t="s">
        <v>2816</v>
      </c>
      <c r="D107" s="3291" t="s">
        <v>2291</v>
      </c>
      <c r="E107" s="3296">
        <v>16815.8</v>
      </c>
      <c r="F107" s="3300">
        <f t="shared" si="51"/>
        <v>0</v>
      </c>
      <c r="G107" s="3300"/>
      <c r="H107" s="3301"/>
      <c r="I107" s="3301"/>
      <c r="J107" s="3301"/>
      <c r="K107" s="3301"/>
      <c r="L107" s="3215">
        <v>180</v>
      </c>
      <c r="M107" s="3302"/>
      <c r="N107" s="3301"/>
      <c r="O107" s="3301"/>
      <c r="P107" s="3291">
        <f t="shared" si="52"/>
        <v>180</v>
      </c>
      <c r="Q107" s="3214">
        <v>820</v>
      </c>
      <c r="R107" s="3291">
        <f t="shared" si="47"/>
        <v>165312</v>
      </c>
      <c r="S107" s="3291"/>
      <c r="T107" s="3291">
        <f t="shared" si="53"/>
        <v>165312</v>
      </c>
      <c r="U107" s="3303"/>
      <c r="V107" s="3303"/>
      <c r="W107" s="3291">
        <f>Q107*$W$4</f>
        <v>869.2</v>
      </c>
      <c r="X107" s="3291">
        <f>ROUND(P107*W107,0)</f>
        <v>156456</v>
      </c>
      <c r="Y107" s="3291"/>
      <c r="Z107" s="3291">
        <f>X107-Y107</f>
        <v>156456</v>
      </c>
      <c r="AA107" s="3291">
        <f>W107*$AA$4</f>
        <v>912.66000000000008</v>
      </c>
      <c r="AB107" s="3291">
        <f>ROUND(P107*AA107,0)</f>
        <v>164279</v>
      </c>
      <c r="AC107" s="3291"/>
      <c r="AD107" s="3304">
        <f>AB107-AC107</f>
        <v>164279</v>
      </c>
      <c r="AE107" s="3305">
        <f t="shared" si="48"/>
        <v>918.4</v>
      </c>
      <c r="AF107" s="2995">
        <v>1.1200000000000001</v>
      </c>
      <c r="AG107" s="2995"/>
      <c r="AH107" s="2995"/>
      <c r="AI107" s="3405" t="s">
        <v>2816</v>
      </c>
      <c r="AJ107" s="2995">
        <f t="shared" si="36"/>
        <v>0</v>
      </c>
      <c r="AK107" s="2995"/>
      <c r="AL107" s="2995"/>
      <c r="AM107" s="2995"/>
      <c r="AO107" s="3220" t="s">
        <v>2809</v>
      </c>
      <c r="AP107" s="2983">
        <f t="shared" si="38"/>
        <v>1</v>
      </c>
    </row>
    <row r="108" spans="1:42" ht="36">
      <c r="A108" s="3222">
        <v>104</v>
      </c>
      <c r="B108" s="3322" t="s">
        <v>3073</v>
      </c>
      <c r="C108" s="3322" t="s">
        <v>3073</v>
      </c>
      <c r="D108" s="3323" t="s">
        <v>1411</v>
      </c>
      <c r="E108" s="3296">
        <v>16815.8</v>
      </c>
      <c r="F108" s="3300">
        <f t="shared" si="51"/>
        <v>0</v>
      </c>
      <c r="G108" s="3300"/>
      <c r="H108" s="3301"/>
      <c r="I108" s="3297"/>
      <c r="J108" s="3297"/>
      <c r="K108" s="3297"/>
      <c r="L108" s="3257">
        <f>0.6*35*5</f>
        <v>105</v>
      </c>
      <c r="M108" s="3297"/>
      <c r="N108" s="3297"/>
      <c r="O108" s="3297"/>
      <c r="P108" s="3291">
        <f t="shared" si="52"/>
        <v>105</v>
      </c>
      <c r="Q108" s="3257">
        <v>285</v>
      </c>
      <c r="R108" s="3291">
        <f t="shared" si="47"/>
        <v>33516</v>
      </c>
      <c r="S108" s="3297"/>
      <c r="T108" s="3291">
        <f t="shared" si="53"/>
        <v>33516</v>
      </c>
      <c r="U108" s="3362"/>
      <c r="V108" s="3362"/>
      <c r="W108" s="3297"/>
      <c r="X108" s="3297"/>
      <c r="Y108" s="3297"/>
      <c r="Z108" s="3297"/>
      <c r="AA108" s="3297"/>
      <c r="AB108" s="3297"/>
      <c r="AC108" s="3297"/>
      <c r="AD108" s="3363"/>
      <c r="AE108" s="3305">
        <f t="shared" si="48"/>
        <v>319.2</v>
      </c>
      <c r="AF108" s="2995">
        <v>1.1200000000000001</v>
      </c>
      <c r="AG108" s="2995"/>
      <c r="AH108" s="2995"/>
      <c r="AI108" s="3405" t="s">
        <v>3073</v>
      </c>
      <c r="AJ108" s="2995">
        <f t="shared" si="36"/>
        <v>0</v>
      </c>
      <c r="AK108" s="2995"/>
      <c r="AL108" s="3405" t="s">
        <v>3074</v>
      </c>
      <c r="AM108" s="2995">
        <f>IF(B108=AL108,0,1)</f>
        <v>1</v>
      </c>
      <c r="AO108" s="3220" t="s">
        <v>2811</v>
      </c>
      <c r="AP108" s="2983">
        <f t="shared" si="38"/>
        <v>1</v>
      </c>
    </row>
    <row r="109" spans="1:42" ht="48" hidden="1">
      <c r="A109" s="3222">
        <v>105</v>
      </c>
      <c r="B109" s="3220" t="s">
        <v>2817</v>
      </c>
      <c r="C109" s="3220" t="s">
        <v>2818</v>
      </c>
      <c r="D109" s="3291" t="s">
        <v>1395</v>
      </c>
      <c r="E109" s="3296">
        <v>16815.8</v>
      </c>
      <c r="F109" s="3300">
        <f t="shared" si="51"/>
        <v>0</v>
      </c>
      <c r="G109" s="3300"/>
      <c r="H109" s="3301"/>
      <c r="I109" s="3301"/>
      <c r="J109" s="3301"/>
      <c r="K109" s="3301"/>
      <c r="L109" s="3214">
        <v>25</v>
      </c>
      <c r="M109" s="3302"/>
      <c r="N109" s="3301"/>
      <c r="O109" s="3301"/>
      <c r="P109" s="3291">
        <f t="shared" si="52"/>
        <v>25</v>
      </c>
      <c r="Q109" s="3214">
        <v>50</v>
      </c>
      <c r="R109" s="3291">
        <f t="shared" si="47"/>
        <v>1400</v>
      </c>
      <c r="S109" s="3291"/>
      <c r="T109" s="3291">
        <f t="shared" si="53"/>
        <v>1400</v>
      </c>
      <c r="U109" s="3303"/>
      <c r="V109" s="3303"/>
      <c r="W109" s="3291">
        <f t="shared" ref="W109:W117" si="54">Q109*$W$4</f>
        <v>53</v>
      </c>
      <c r="X109" s="3291">
        <f t="shared" ref="X109:X117" si="55">ROUND(P109*W109,0)</f>
        <v>1325</v>
      </c>
      <c r="Y109" s="3291"/>
      <c r="Z109" s="3291">
        <f t="shared" ref="Z109:Z117" si="56">X109-Y109</f>
        <v>1325</v>
      </c>
      <c r="AA109" s="3291">
        <f t="shared" ref="AA109:AA117" si="57">W109*$AA$4</f>
        <v>55.650000000000006</v>
      </c>
      <c r="AB109" s="3291">
        <f t="shared" ref="AB109:AB117" si="58">ROUND(P109*AA109,0)</f>
        <v>1391</v>
      </c>
      <c r="AC109" s="3291"/>
      <c r="AD109" s="3304">
        <f t="shared" ref="AD109:AD117" si="59">AB109-AC109</f>
        <v>1391</v>
      </c>
      <c r="AE109" s="3305">
        <f t="shared" si="48"/>
        <v>56</v>
      </c>
      <c r="AF109" s="2995">
        <v>1.1200000000000001</v>
      </c>
      <c r="AG109" s="2995"/>
      <c r="AH109" s="2995"/>
      <c r="AI109" s="3405" t="s">
        <v>2817</v>
      </c>
      <c r="AJ109" s="2995">
        <f t="shared" si="36"/>
        <v>0</v>
      </c>
      <c r="AK109" s="2995"/>
      <c r="AL109" s="3405" t="s">
        <v>3075</v>
      </c>
      <c r="AM109" s="2995">
        <f>IF(B109=AL109,0,1)</f>
        <v>1</v>
      </c>
      <c r="AO109" s="3316" t="s">
        <v>2828</v>
      </c>
      <c r="AP109" s="2983">
        <f t="shared" si="38"/>
        <v>1</v>
      </c>
    </row>
    <row r="110" spans="1:42" hidden="1">
      <c r="A110" s="3222">
        <v>106</v>
      </c>
      <c r="B110" s="3220" t="s">
        <v>2819</v>
      </c>
      <c r="C110" s="3220" t="s">
        <v>2819</v>
      </c>
      <c r="D110" s="3291" t="s">
        <v>1395</v>
      </c>
      <c r="E110" s="3296">
        <v>16815.8</v>
      </c>
      <c r="F110" s="3300">
        <f t="shared" si="51"/>
        <v>0</v>
      </c>
      <c r="G110" s="3300"/>
      <c r="H110" s="3301"/>
      <c r="I110" s="3301"/>
      <c r="J110" s="3301"/>
      <c r="K110" s="3301"/>
      <c r="L110" s="3215">
        <v>25</v>
      </c>
      <c r="M110" s="3302"/>
      <c r="N110" s="3301"/>
      <c r="O110" s="3301"/>
      <c r="P110" s="3291">
        <f t="shared" si="52"/>
        <v>25</v>
      </c>
      <c r="Q110" s="3214">
        <v>50</v>
      </c>
      <c r="R110" s="3291">
        <f t="shared" si="47"/>
        <v>1400</v>
      </c>
      <c r="S110" s="3291"/>
      <c r="T110" s="3291">
        <f t="shared" si="53"/>
        <v>1400</v>
      </c>
      <c r="U110" s="3303"/>
      <c r="V110" s="3303"/>
      <c r="W110" s="3291">
        <f t="shared" si="54"/>
        <v>53</v>
      </c>
      <c r="X110" s="3291">
        <f t="shared" si="55"/>
        <v>1325</v>
      </c>
      <c r="Y110" s="3291"/>
      <c r="Z110" s="3291">
        <f t="shared" si="56"/>
        <v>1325</v>
      </c>
      <c r="AA110" s="3291">
        <f t="shared" si="57"/>
        <v>55.650000000000006</v>
      </c>
      <c r="AB110" s="3291">
        <f t="shared" si="58"/>
        <v>1391</v>
      </c>
      <c r="AC110" s="3291"/>
      <c r="AD110" s="3304">
        <f t="shared" si="59"/>
        <v>1391</v>
      </c>
      <c r="AE110" s="3305">
        <f t="shared" si="48"/>
        <v>56</v>
      </c>
      <c r="AF110" s="2995">
        <v>1.1200000000000001</v>
      </c>
      <c r="AG110" s="2995"/>
      <c r="AH110" s="2995"/>
      <c r="AI110" s="3405" t="s">
        <v>2819</v>
      </c>
      <c r="AJ110" s="2995">
        <f t="shared" si="36"/>
        <v>0</v>
      </c>
      <c r="AK110" s="2995"/>
      <c r="AL110" s="2995"/>
      <c r="AM110" s="2995"/>
      <c r="AO110" s="3220" t="s">
        <v>2902</v>
      </c>
      <c r="AP110" s="2983">
        <f t="shared" si="38"/>
        <v>1</v>
      </c>
    </row>
    <row r="111" spans="1:42" ht="24" hidden="1">
      <c r="A111" s="3222">
        <v>107</v>
      </c>
      <c r="B111" s="3299" t="s">
        <v>2820</v>
      </c>
      <c r="C111" s="3299" t="s">
        <v>2820</v>
      </c>
      <c r="D111" s="3291" t="s">
        <v>1395</v>
      </c>
      <c r="E111" s="3296">
        <v>16815.8</v>
      </c>
      <c r="F111" s="3300">
        <f t="shared" si="51"/>
        <v>0</v>
      </c>
      <c r="G111" s="3300"/>
      <c r="H111" s="3301"/>
      <c r="I111" s="3301"/>
      <c r="J111" s="3301"/>
      <c r="K111" s="3301"/>
      <c r="L111" s="3215">
        <v>5</v>
      </c>
      <c r="M111" s="3302"/>
      <c r="N111" s="3301"/>
      <c r="O111" s="3301"/>
      <c r="P111" s="3291">
        <f t="shared" si="52"/>
        <v>5</v>
      </c>
      <c r="Q111" s="3216">
        <v>500</v>
      </c>
      <c r="R111" s="3291">
        <f t="shared" si="47"/>
        <v>2800</v>
      </c>
      <c r="S111" s="3291"/>
      <c r="T111" s="3291">
        <f t="shared" si="53"/>
        <v>2800</v>
      </c>
      <c r="U111" s="3303"/>
      <c r="V111" s="3303"/>
      <c r="W111" s="3291">
        <f t="shared" si="54"/>
        <v>530</v>
      </c>
      <c r="X111" s="3291">
        <f t="shared" si="55"/>
        <v>2650</v>
      </c>
      <c r="Y111" s="3291"/>
      <c r="Z111" s="3291">
        <f t="shared" si="56"/>
        <v>2650</v>
      </c>
      <c r="AA111" s="3291">
        <f t="shared" si="57"/>
        <v>556.5</v>
      </c>
      <c r="AB111" s="3291">
        <f t="shared" si="58"/>
        <v>2783</v>
      </c>
      <c r="AC111" s="3291"/>
      <c r="AD111" s="3304">
        <f t="shared" si="59"/>
        <v>2783</v>
      </c>
      <c r="AE111" s="3305">
        <f t="shared" si="48"/>
        <v>560</v>
      </c>
      <c r="AF111" s="2995">
        <v>1.1200000000000001</v>
      </c>
      <c r="AG111" s="2995"/>
      <c r="AH111" s="2995"/>
      <c r="AI111" s="3405" t="s">
        <v>2820</v>
      </c>
      <c r="AJ111" s="2995">
        <f t="shared" si="36"/>
        <v>0</v>
      </c>
      <c r="AK111" s="2995"/>
      <c r="AL111" s="2995"/>
      <c r="AM111" s="2995"/>
      <c r="AO111" s="3220" t="s">
        <v>2863</v>
      </c>
      <c r="AP111" s="2983">
        <f t="shared" si="38"/>
        <v>1</v>
      </c>
    </row>
    <row r="112" spans="1:42" hidden="1">
      <c r="A112" s="3222">
        <v>108</v>
      </c>
      <c r="B112" s="3299" t="s">
        <v>2836</v>
      </c>
      <c r="C112" s="3299" t="s">
        <v>2836</v>
      </c>
      <c r="D112" s="3291" t="s">
        <v>1268</v>
      </c>
      <c r="E112" s="3296">
        <v>16815.8</v>
      </c>
      <c r="F112" s="3300">
        <f t="shared" si="51"/>
        <v>0</v>
      </c>
      <c r="G112" s="3300"/>
      <c r="H112" s="3291"/>
      <c r="I112" s="3301"/>
      <c r="J112" s="3301"/>
      <c r="K112" s="3291"/>
      <c r="L112" s="3215">
        <v>20</v>
      </c>
      <c r="M112" s="3302"/>
      <c r="N112" s="3291"/>
      <c r="O112" s="3291"/>
      <c r="P112" s="3291">
        <f t="shared" si="52"/>
        <v>20</v>
      </c>
      <c r="Q112" s="3216">
        <v>350</v>
      </c>
      <c r="R112" s="3291">
        <f t="shared" si="47"/>
        <v>7840</v>
      </c>
      <c r="S112" s="3291"/>
      <c r="T112" s="3291">
        <f t="shared" si="53"/>
        <v>7840</v>
      </c>
      <c r="U112" s="3303">
        <v>2430</v>
      </c>
      <c r="V112" s="3303">
        <v>1.07</v>
      </c>
      <c r="W112" s="3291">
        <f t="shared" si="54"/>
        <v>371</v>
      </c>
      <c r="X112" s="3291">
        <f t="shared" si="55"/>
        <v>7420</v>
      </c>
      <c r="Y112" s="3291"/>
      <c r="Z112" s="3291">
        <f t="shared" si="56"/>
        <v>7420</v>
      </c>
      <c r="AA112" s="3291">
        <f t="shared" si="57"/>
        <v>389.55</v>
      </c>
      <c r="AB112" s="3291">
        <f t="shared" si="58"/>
        <v>7791</v>
      </c>
      <c r="AC112" s="3291"/>
      <c r="AD112" s="3304">
        <f t="shared" si="59"/>
        <v>7791</v>
      </c>
      <c r="AE112" s="3305">
        <f t="shared" si="48"/>
        <v>392</v>
      </c>
      <c r="AF112" s="2995">
        <v>1.1200000000000001</v>
      </c>
      <c r="AG112" s="2995"/>
      <c r="AH112" s="2995"/>
      <c r="AI112" s="3405" t="s">
        <v>2836</v>
      </c>
      <c r="AJ112" s="2995">
        <f t="shared" si="36"/>
        <v>0</v>
      </c>
      <c r="AK112" s="2995"/>
      <c r="AL112" s="2995"/>
      <c r="AM112" s="2995"/>
      <c r="AO112" s="3221" t="s">
        <v>2830</v>
      </c>
      <c r="AP112" s="2983">
        <f t="shared" si="38"/>
        <v>1</v>
      </c>
    </row>
    <row r="113" spans="1:42" ht="25.5" hidden="1">
      <c r="A113" s="3222">
        <v>109</v>
      </c>
      <c r="B113" s="3299" t="s">
        <v>2872</v>
      </c>
      <c r="C113" s="3299" t="s">
        <v>2872</v>
      </c>
      <c r="D113" s="3291" t="s">
        <v>1268</v>
      </c>
      <c r="E113" s="3296">
        <v>16815.8</v>
      </c>
      <c r="F113" s="3300">
        <f>SUM(F116:F248)</f>
        <v>0</v>
      </c>
      <c r="G113" s="3300"/>
      <c r="H113" s="3301"/>
      <c r="I113" s="3301"/>
      <c r="J113" s="3301"/>
      <c r="K113" s="3301"/>
      <c r="L113" s="3215">
        <v>10</v>
      </c>
      <c r="M113" s="3302"/>
      <c r="N113" s="3301"/>
      <c r="O113" s="3301"/>
      <c r="P113" s="3291">
        <f t="shared" si="52"/>
        <v>10</v>
      </c>
      <c r="Q113" s="3214" t="s">
        <v>2873</v>
      </c>
      <c r="R113" s="3291">
        <f t="shared" si="47"/>
        <v>5040</v>
      </c>
      <c r="S113" s="3291"/>
      <c r="T113" s="3291">
        <f t="shared" si="53"/>
        <v>5040</v>
      </c>
      <c r="U113" s="3303">
        <v>39</v>
      </c>
      <c r="V113" s="3303">
        <v>1.07</v>
      </c>
      <c r="W113" s="3291">
        <f t="shared" si="54"/>
        <v>477</v>
      </c>
      <c r="X113" s="3291">
        <f t="shared" si="55"/>
        <v>4770</v>
      </c>
      <c r="Y113" s="3291"/>
      <c r="Z113" s="3291">
        <f t="shared" si="56"/>
        <v>4770</v>
      </c>
      <c r="AA113" s="3291">
        <f t="shared" si="57"/>
        <v>500.85</v>
      </c>
      <c r="AB113" s="3291">
        <f t="shared" si="58"/>
        <v>5009</v>
      </c>
      <c r="AC113" s="3291"/>
      <c r="AD113" s="3304">
        <f t="shared" si="59"/>
        <v>5009</v>
      </c>
      <c r="AE113" s="3305">
        <f t="shared" si="48"/>
        <v>504</v>
      </c>
      <c r="AF113" s="2995">
        <v>1.1200000000000001</v>
      </c>
      <c r="AG113" s="2995"/>
      <c r="AH113" s="2995"/>
      <c r="AI113" s="3405" t="s">
        <v>2872</v>
      </c>
      <c r="AJ113" s="2995">
        <f t="shared" si="36"/>
        <v>0</v>
      </c>
      <c r="AK113" s="2995"/>
      <c r="AL113" s="2995"/>
      <c r="AM113" s="2995"/>
      <c r="AO113" s="3339" t="s">
        <v>3076</v>
      </c>
      <c r="AP113" s="2983">
        <f t="shared" si="38"/>
        <v>1</v>
      </c>
    </row>
    <row r="114" spans="1:42" ht="24" hidden="1">
      <c r="A114" s="3222"/>
      <c r="B114" s="3298" t="s">
        <v>3074</v>
      </c>
      <c r="C114" s="3299"/>
      <c r="D114" s="3291"/>
      <c r="E114" s="3296"/>
      <c r="F114" s="3300"/>
      <c r="G114" s="3300"/>
      <c r="H114" s="3301"/>
      <c r="I114" s="3301"/>
      <c r="J114" s="3301"/>
      <c r="K114" s="3301"/>
      <c r="L114" s="3215">
        <v>1</v>
      </c>
      <c r="M114" s="3302"/>
      <c r="N114" s="3301"/>
      <c r="O114" s="3301"/>
      <c r="P114" s="3291">
        <v>1</v>
      </c>
      <c r="Q114" s="3214">
        <v>8200</v>
      </c>
      <c r="R114" s="3291">
        <f t="shared" si="47"/>
        <v>9184</v>
      </c>
      <c r="S114" s="3291"/>
      <c r="T114" s="3291">
        <f t="shared" si="53"/>
        <v>9184</v>
      </c>
      <c r="U114" s="3303"/>
      <c r="V114" s="3303"/>
      <c r="W114" s="3291"/>
      <c r="X114" s="3291"/>
      <c r="Y114" s="3291"/>
      <c r="Z114" s="3291"/>
      <c r="AA114" s="3291"/>
      <c r="AB114" s="3291"/>
      <c r="AC114" s="3291"/>
      <c r="AD114" s="3304"/>
      <c r="AE114" s="3305">
        <f t="shared" si="48"/>
        <v>9184</v>
      </c>
      <c r="AF114" s="2995">
        <v>1.1200000000000001</v>
      </c>
      <c r="AG114" s="2995"/>
      <c r="AH114" s="2995"/>
      <c r="AI114" s="3408"/>
      <c r="AJ114" s="2995"/>
      <c r="AK114" s="2995"/>
      <c r="AL114" s="2995"/>
      <c r="AM114" s="2995"/>
      <c r="AO114" s="3220" t="s">
        <v>2832</v>
      </c>
      <c r="AP114" s="2983">
        <f t="shared" si="38"/>
        <v>1</v>
      </c>
    </row>
    <row r="115" spans="1:42" ht="24" hidden="1">
      <c r="A115" s="3222"/>
      <c r="B115" s="3298" t="s">
        <v>3075</v>
      </c>
      <c r="C115" s="3299"/>
      <c r="D115" s="3291"/>
      <c r="E115" s="3296"/>
      <c r="F115" s="3300"/>
      <c r="G115" s="3300"/>
      <c r="H115" s="3301"/>
      <c r="I115" s="3301"/>
      <c r="J115" s="3301"/>
      <c r="K115" s="3301"/>
      <c r="L115" s="3215">
        <v>1</v>
      </c>
      <c r="M115" s="3302"/>
      <c r="N115" s="3301"/>
      <c r="O115" s="3301"/>
      <c r="P115" s="3291">
        <v>1</v>
      </c>
      <c r="Q115" s="3214">
        <v>7400</v>
      </c>
      <c r="R115" s="3291">
        <f t="shared" si="47"/>
        <v>8288</v>
      </c>
      <c r="S115" s="3291"/>
      <c r="T115" s="3291">
        <f t="shared" si="53"/>
        <v>8288</v>
      </c>
      <c r="U115" s="3303"/>
      <c r="V115" s="3303"/>
      <c r="W115" s="3291"/>
      <c r="X115" s="3291"/>
      <c r="Y115" s="3291"/>
      <c r="Z115" s="3291"/>
      <c r="AA115" s="3291"/>
      <c r="AB115" s="3291"/>
      <c r="AC115" s="3291"/>
      <c r="AD115" s="3304"/>
      <c r="AE115" s="3305">
        <f t="shared" si="48"/>
        <v>8288</v>
      </c>
      <c r="AF115" s="2995">
        <v>1.1200000000000001</v>
      </c>
      <c r="AG115" s="2995"/>
      <c r="AH115" s="2995"/>
      <c r="AI115" s="3408"/>
      <c r="AJ115" s="2995"/>
      <c r="AK115" s="2995"/>
      <c r="AL115" s="2995"/>
      <c r="AM115" s="2995"/>
      <c r="AO115" s="3220"/>
      <c r="AP115" s="2983">
        <f t="shared" si="38"/>
        <v>1</v>
      </c>
    </row>
    <row r="116" spans="1:42" hidden="1">
      <c r="A116" s="3222">
        <v>110</v>
      </c>
      <c r="B116" s="3220" t="s">
        <v>2821</v>
      </c>
      <c r="C116" s="3220" t="s">
        <v>2821</v>
      </c>
      <c r="D116" s="3291" t="s">
        <v>2291</v>
      </c>
      <c r="E116" s="3296">
        <v>16815.8</v>
      </c>
      <c r="F116" s="3300">
        <f>SUM(F117:F249)</f>
        <v>0</v>
      </c>
      <c r="G116" s="3300"/>
      <c r="H116" s="3301"/>
      <c r="I116" s="3301"/>
      <c r="J116" s="3301"/>
      <c r="K116" s="3301"/>
      <c r="L116" s="3215">
        <v>7</v>
      </c>
      <c r="M116" s="3302"/>
      <c r="N116" s="3301"/>
      <c r="O116" s="3301"/>
      <c r="P116" s="3291">
        <f t="shared" si="52"/>
        <v>7</v>
      </c>
      <c r="Q116" s="3214">
        <v>2000</v>
      </c>
      <c r="R116" s="3291">
        <f t="shared" si="47"/>
        <v>15680</v>
      </c>
      <c r="S116" s="3291"/>
      <c r="T116" s="3291">
        <f t="shared" si="53"/>
        <v>15680</v>
      </c>
      <c r="U116" s="3303"/>
      <c r="V116" s="3303"/>
      <c r="W116" s="3291">
        <f t="shared" si="54"/>
        <v>2120</v>
      </c>
      <c r="X116" s="3291">
        <f t="shared" si="55"/>
        <v>14840</v>
      </c>
      <c r="Y116" s="3291"/>
      <c r="Z116" s="3291">
        <f t="shared" si="56"/>
        <v>14840</v>
      </c>
      <c r="AA116" s="3291">
        <f t="shared" si="57"/>
        <v>2226</v>
      </c>
      <c r="AB116" s="3291">
        <f t="shared" si="58"/>
        <v>15582</v>
      </c>
      <c r="AC116" s="3291"/>
      <c r="AD116" s="3304">
        <f t="shared" si="59"/>
        <v>15582</v>
      </c>
      <c r="AE116" s="3305">
        <f t="shared" si="48"/>
        <v>2240</v>
      </c>
      <c r="AF116" s="2995">
        <v>1.1200000000000001</v>
      </c>
      <c r="AG116" s="2995"/>
      <c r="AH116" s="2995"/>
      <c r="AI116" s="3405" t="s">
        <v>2821</v>
      </c>
      <c r="AJ116" s="2995">
        <f t="shared" si="36"/>
        <v>0</v>
      </c>
      <c r="AK116" s="2995"/>
      <c r="AL116" s="2995"/>
      <c r="AM116" s="2995"/>
      <c r="AO116" s="3220" t="s">
        <v>2910</v>
      </c>
      <c r="AP116" s="2983">
        <f t="shared" si="38"/>
        <v>1</v>
      </c>
    </row>
    <row r="117" spans="1:42" ht="48" hidden="1">
      <c r="A117" s="3222">
        <v>111</v>
      </c>
      <c r="B117" s="3220" t="s">
        <v>2504</v>
      </c>
      <c r="C117" s="3310" t="s">
        <v>1606</v>
      </c>
      <c r="D117" s="3291" t="s">
        <v>2291</v>
      </c>
      <c r="E117" s="3296">
        <v>16815.8</v>
      </c>
      <c r="F117" s="3300">
        <f>SUM(F119:F250)</f>
        <v>0</v>
      </c>
      <c r="G117" s="3300"/>
      <c r="H117" s="3301"/>
      <c r="I117" s="3301"/>
      <c r="J117" s="3301"/>
      <c r="K117" s="3301"/>
      <c r="L117" s="3214">
        <v>15</v>
      </c>
      <c r="M117" s="3302"/>
      <c r="N117" s="3301"/>
      <c r="O117" s="3301"/>
      <c r="P117" s="3291">
        <f t="shared" si="52"/>
        <v>15</v>
      </c>
      <c r="Q117" s="3216">
        <v>600</v>
      </c>
      <c r="R117" s="3291">
        <f t="shared" si="47"/>
        <v>10080</v>
      </c>
      <c r="S117" s="3291"/>
      <c r="T117" s="3291">
        <f t="shared" si="53"/>
        <v>10080</v>
      </c>
      <c r="U117" s="3303"/>
      <c r="V117" s="3303"/>
      <c r="W117" s="3291">
        <f t="shared" si="54"/>
        <v>636</v>
      </c>
      <c r="X117" s="3291">
        <f t="shared" si="55"/>
        <v>9540</v>
      </c>
      <c r="Y117" s="3291"/>
      <c r="Z117" s="3291">
        <f t="shared" si="56"/>
        <v>9540</v>
      </c>
      <c r="AA117" s="3291">
        <f t="shared" si="57"/>
        <v>667.80000000000007</v>
      </c>
      <c r="AB117" s="3291">
        <f t="shared" si="58"/>
        <v>10017</v>
      </c>
      <c r="AC117" s="3291"/>
      <c r="AD117" s="3304">
        <f t="shared" si="59"/>
        <v>10017</v>
      </c>
      <c r="AE117" s="3305">
        <f t="shared" si="48"/>
        <v>672</v>
      </c>
      <c r="AF117" s="2995">
        <v>1.1200000000000001</v>
      </c>
      <c r="AG117" s="2995"/>
      <c r="AH117" s="2995"/>
      <c r="AI117" s="3405" t="s">
        <v>2504</v>
      </c>
      <c r="AJ117" s="2995">
        <f t="shared" si="36"/>
        <v>0</v>
      </c>
      <c r="AK117" s="2995"/>
      <c r="AL117" s="2995"/>
      <c r="AM117" s="2995"/>
      <c r="AO117" s="3335" t="s">
        <v>2732</v>
      </c>
      <c r="AP117" s="2983">
        <f t="shared" si="38"/>
        <v>1</v>
      </c>
    </row>
    <row r="118" spans="1:42" hidden="1">
      <c r="A118" s="3222"/>
      <c r="B118" s="3375" t="s">
        <v>3077</v>
      </c>
      <c r="C118" s="3310"/>
      <c r="D118" s="3291"/>
      <c r="E118" s="3296"/>
      <c r="F118" s="3300"/>
      <c r="G118" s="3300"/>
      <c r="H118" s="3301"/>
      <c r="I118" s="3301"/>
      <c r="J118" s="3301"/>
      <c r="K118" s="3301"/>
      <c r="L118" s="3214"/>
      <c r="M118" s="3302"/>
      <c r="N118" s="3301"/>
      <c r="O118" s="3301"/>
      <c r="P118" s="3291">
        <v>12</v>
      </c>
      <c r="Q118" s="3216">
        <v>1600</v>
      </c>
      <c r="R118" s="3291">
        <f t="shared" si="47"/>
        <v>21504</v>
      </c>
      <c r="S118" s="3291"/>
      <c r="T118" s="3291">
        <f t="shared" si="53"/>
        <v>21504</v>
      </c>
      <c r="U118" s="3303"/>
      <c r="V118" s="3303"/>
      <c r="W118" s="3291"/>
      <c r="X118" s="3291"/>
      <c r="Y118" s="3291"/>
      <c r="Z118" s="3291"/>
      <c r="AA118" s="3291"/>
      <c r="AB118" s="3291"/>
      <c r="AC118" s="3291"/>
      <c r="AD118" s="3304"/>
      <c r="AE118" s="3305">
        <f t="shared" si="48"/>
        <v>1792</v>
      </c>
      <c r="AF118" s="2995">
        <v>1.1200000000000001</v>
      </c>
      <c r="AG118" s="2995"/>
      <c r="AH118" s="2995"/>
      <c r="AI118" s="3405" t="s">
        <v>3077</v>
      </c>
      <c r="AJ118" s="2995">
        <f t="shared" si="36"/>
        <v>0</v>
      </c>
      <c r="AK118" s="2995"/>
      <c r="AL118" s="2995"/>
      <c r="AM118" s="2995"/>
      <c r="AO118" s="3335" t="s">
        <v>2880</v>
      </c>
      <c r="AP118" s="2983">
        <f t="shared" si="38"/>
        <v>1</v>
      </c>
    </row>
    <row r="119" spans="1:42" ht="48">
      <c r="A119" s="3222">
        <v>112</v>
      </c>
      <c r="B119" s="3322" t="s">
        <v>3078</v>
      </c>
      <c r="C119" s="3322" t="s">
        <v>3078</v>
      </c>
      <c r="D119" s="3323" t="s">
        <v>1022</v>
      </c>
      <c r="E119" s="3296">
        <v>16815.8</v>
      </c>
      <c r="F119" s="3300">
        <f t="shared" ref="F119:F132" si="60">SUM(F120:F251)</f>
        <v>0</v>
      </c>
      <c r="G119" s="3300"/>
      <c r="H119" s="3301"/>
      <c r="I119" s="3297"/>
      <c r="J119" s="3297"/>
      <c r="K119" s="3297"/>
      <c r="L119" s="3257">
        <f>2*35*3</f>
        <v>210</v>
      </c>
      <c r="M119" s="3297"/>
      <c r="N119" s="3297"/>
      <c r="O119" s="3297"/>
      <c r="P119" s="3291">
        <f t="shared" si="52"/>
        <v>210</v>
      </c>
      <c r="Q119" s="3257">
        <v>415</v>
      </c>
      <c r="R119" s="3291">
        <f t="shared" si="47"/>
        <v>97608</v>
      </c>
      <c r="S119" s="3297"/>
      <c r="T119" s="3291">
        <f t="shared" si="53"/>
        <v>97608</v>
      </c>
      <c r="U119" s="3362"/>
      <c r="V119" s="3362"/>
      <c r="W119" s="3297"/>
      <c r="X119" s="3297"/>
      <c r="Y119" s="3297"/>
      <c r="Z119" s="3297"/>
      <c r="AA119" s="3297"/>
      <c r="AB119" s="3297"/>
      <c r="AC119" s="3297"/>
      <c r="AD119" s="3363"/>
      <c r="AE119" s="3305">
        <f t="shared" si="48"/>
        <v>464.8</v>
      </c>
      <c r="AF119" s="2995">
        <v>1.1200000000000001</v>
      </c>
      <c r="AG119" s="2995"/>
      <c r="AH119" s="2995"/>
      <c r="AI119" s="3405" t="s">
        <v>3078</v>
      </c>
      <c r="AJ119" s="2995">
        <f t="shared" si="36"/>
        <v>0</v>
      </c>
      <c r="AK119" s="2995"/>
      <c r="AL119" s="2995"/>
      <c r="AM119" s="2995"/>
      <c r="AO119" s="3339" t="s">
        <v>3079</v>
      </c>
      <c r="AP119" s="2983">
        <f t="shared" si="38"/>
        <v>1</v>
      </c>
    </row>
    <row r="120" spans="1:42" ht="39" hidden="1" thickBot="1">
      <c r="A120" s="3222">
        <v>113</v>
      </c>
      <c r="B120" s="3220" t="s">
        <v>2822</v>
      </c>
      <c r="C120" s="3220" t="s">
        <v>2823</v>
      </c>
      <c r="D120" s="3291" t="s">
        <v>2393</v>
      </c>
      <c r="E120" s="3296">
        <v>16815.8</v>
      </c>
      <c r="F120" s="3300">
        <f t="shared" si="60"/>
        <v>0</v>
      </c>
      <c r="G120" s="3300"/>
      <c r="H120" s="3291"/>
      <c r="I120" s="3301"/>
      <c r="J120" s="3301"/>
      <c r="K120" s="3291"/>
      <c r="L120" s="3215">
        <v>3</v>
      </c>
      <c r="M120" s="3302"/>
      <c r="N120" s="3291"/>
      <c r="O120" s="3291"/>
      <c r="P120" s="3291">
        <f t="shared" si="52"/>
        <v>3</v>
      </c>
      <c r="Q120" s="3214">
        <v>500</v>
      </c>
      <c r="R120" s="3291">
        <f t="shared" si="47"/>
        <v>1680</v>
      </c>
      <c r="S120" s="3291"/>
      <c r="T120" s="3291">
        <f t="shared" si="53"/>
        <v>1680</v>
      </c>
      <c r="U120" s="3303"/>
      <c r="V120" s="3303"/>
      <c r="W120" s="3291">
        <f t="shared" ref="W120:W131" si="61">Q120*$W$4</f>
        <v>530</v>
      </c>
      <c r="X120" s="3291">
        <f t="shared" ref="X120:X131" si="62">ROUND(P120*W120,0)</f>
        <v>1590</v>
      </c>
      <c r="Y120" s="3291"/>
      <c r="Z120" s="3291">
        <f t="shared" ref="Z120:Z131" si="63">X120-Y120</f>
        <v>1590</v>
      </c>
      <c r="AA120" s="3291">
        <f t="shared" ref="AA120:AA131" si="64">W120*$AA$4</f>
        <v>556.5</v>
      </c>
      <c r="AB120" s="3291">
        <f t="shared" ref="AB120:AB131" si="65">ROUND(P120*AA120,0)</f>
        <v>1670</v>
      </c>
      <c r="AC120" s="3291"/>
      <c r="AD120" s="3304">
        <f t="shared" ref="AD120:AD131" si="66">AB120-AC120</f>
        <v>1670</v>
      </c>
      <c r="AE120" s="3305">
        <f t="shared" si="48"/>
        <v>560</v>
      </c>
      <c r="AF120" s="2995">
        <v>1.1200000000000001</v>
      </c>
      <c r="AG120" s="2995"/>
      <c r="AH120" s="2995"/>
      <c r="AI120" s="3405" t="s">
        <v>2822</v>
      </c>
      <c r="AJ120" s="2995">
        <f t="shared" si="36"/>
        <v>0</v>
      </c>
      <c r="AK120" s="2995"/>
      <c r="AL120" s="2995"/>
      <c r="AM120" s="2995"/>
      <c r="AO120" s="3348" t="s">
        <v>3080</v>
      </c>
      <c r="AP120" s="2983">
        <f t="shared" si="38"/>
        <v>1</v>
      </c>
    </row>
    <row r="121" spans="1:42" ht="24" hidden="1">
      <c r="A121" s="3222">
        <v>114</v>
      </c>
      <c r="B121" s="3315" t="s">
        <v>2824</v>
      </c>
      <c r="C121" s="3315" t="s">
        <v>2825</v>
      </c>
      <c r="D121" s="3291" t="s">
        <v>1395</v>
      </c>
      <c r="E121" s="3296">
        <v>16815.8</v>
      </c>
      <c r="F121" s="3300">
        <f t="shared" si="60"/>
        <v>0</v>
      </c>
      <c r="G121" s="3300"/>
      <c r="H121" s="3291"/>
      <c r="I121" s="3301"/>
      <c r="J121" s="3301"/>
      <c r="K121" s="3291"/>
      <c r="L121" s="3317">
        <v>3</v>
      </c>
      <c r="M121" s="3302"/>
      <c r="N121" s="3291"/>
      <c r="O121" s="3291"/>
      <c r="P121" s="3291">
        <f t="shared" si="52"/>
        <v>3</v>
      </c>
      <c r="Q121" s="3361">
        <v>500</v>
      </c>
      <c r="R121" s="3291">
        <f t="shared" si="47"/>
        <v>1680</v>
      </c>
      <c r="S121" s="3291"/>
      <c r="T121" s="3291">
        <f t="shared" si="53"/>
        <v>1680</v>
      </c>
      <c r="U121" s="3303"/>
      <c r="V121" s="3303"/>
      <c r="W121" s="3291">
        <f t="shared" si="61"/>
        <v>530</v>
      </c>
      <c r="X121" s="3291">
        <f t="shared" si="62"/>
        <v>1590</v>
      </c>
      <c r="Y121" s="3291"/>
      <c r="Z121" s="3291">
        <f t="shared" si="63"/>
        <v>1590</v>
      </c>
      <c r="AA121" s="3291">
        <f t="shared" si="64"/>
        <v>556.5</v>
      </c>
      <c r="AB121" s="3291">
        <f t="shared" si="65"/>
        <v>1670</v>
      </c>
      <c r="AC121" s="3291"/>
      <c r="AD121" s="3304">
        <f t="shared" si="66"/>
        <v>1670</v>
      </c>
      <c r="AE121" s="3305">
        <f t="shared" si="48"/>
        <v>560</v>
      </c>
      <c r="AF121" s="2995">
        <v>1.1200000000000001</v>
      </c>
      <c r="AG121" s="2995"/>
      <c r="AH121" s="2995"/>
      <c r="AI121" s="3405" t="s">
        <v>2824</v>
      </c>
      <c r="AJ121" s="2995">
        <f t="shared" si="36"/>
        <v>0</v>
      </c>
      <c r="AK121" s="2995"/>
      <c r="AL121" s="2995"/>
      <c r="AM121" s="2995"/>
      <c r="AO121" s="3339" t="s">
        <v>3081</v>
      </c>
      <c r="AP121" s="2983">
        <f t="shared" si="38"/>
        <v>1</v>
      </c>
    </row>
    <row r="122" spans="1:42" ht="24" hidden="1">
      <c r="A122" s="3222">
        <v>115</v>
      </c>
      <c r="B122" s="3220" t="s">
        <v>2826</v>
      </c>
      <c r="C122" s="3220" t="s">
        <v>2827</v>
      </c>
      <c r="D122" s="3291" t="s">
        <v>2291</v>
      </c>
      <c r="E122" s="3296">
        <v>16815.8</v>
      </c>
      <c r="F122" s="3300">
        <f t="shared" si="60"/>
        <v>0</v>
      </c>
      <c r="G122" s="3300"/>
      <c r="H122" s="3291"/>
      <c r="I122" s="3301"/>
      <c r="J122" s="3301"/>
      <c r="K122" s="3291"/>
      <c r="L122" s="3215">
        <v>3</v>
      </c>
      <c r="M122" s="3302"/>
      <c r="N122" s="3291"/>
      <c r="O122" s="3291"/>
      <c r="P122" s="3291">
        <f t="shared" si="52"/>
        <v>3</v>
      </c>
      <c r="Q122" s="3214">
        <v>500</v>
      </c>
      <c r="R122" s="3291">
        <f t="shared" si="47"/>
        <v>1680</v>
      </c>
      <c r="S122" s="3291"/>
      <c r="T122" s="3291">
        <f t="shared" si="53"/>
        <v>1680</v>
      </c>
      <c r="U122" s="3303"/>
      <c r="V122" s="3303"/>
      <c r="W122" s="3291">
        <f t="shared" si="61"/>
        <v>530</v>
      </c>
      <c r="X122" s="3291">
        <f t="shared" si="62"/>
        <v>1590</v>
      </c>
      <c r="Y122" s="3291"/>
      <c r="Z122" s="3291">
        <f t="shared" si="63"/>
        <v>1590</v>
      </c>
      <c r="AA122" s="3291">
        <f t="shared" si="64"/>
        <v>556.5</v>
      </c>
      <c r="AB122" s="3291">
        <f t="shared" si="65"/>
        <v>1670</v>
      </c>
      <c r="AC122" s="3291"/>
      <c r="AD122" s="3304">
        <f t="shared" si="66"/>
        <v>1670</v>
      </c>
      <c r="AE122" s="3305">
        <f t="shared" si="48"/>
        <v>560</v>
      </c>
      <c r="AF122" s="2995">
        <v>1.1200000000000001</v>
      </c>
      <c r="AG122" s="2995"/>
      <c r="AH122" s="2995"/>
      <c r="AI122" s="3405" t="s">
        <v>2826</v>
      </c>
      <c r="AJ122" s="2995">
        <f t="shared" ref="AJ122:AJ158" si="67">IF(B122=AI122,0,1)</f>
        <v>0</v>
      </c>
      <c r="AK122" s="2995"/>
      <c r="AL122" s="2995"/>
      <c r="AM122" s="2995"/>
      <c r="AO122" s="3220" t="s">
        <v>2838</v>
      </c>
      <c r="AP122" s="2983">
        <f t="shared" si="38"/>
        <v>1</v>
      </c>
    </row>
    <row r="123" spans="1:42" ht="24" hidden="1">
      <c r="A123" s="3222">
        <v>116</v>
      </c>
      <c r="B123" s="3220" t="s">
        <v>2804</v>
      </c>
      <c r="C123" s="3220" t="s">
        <v>2805</v>
      </c>
      <c r="D123" s="3291" t="s">
        <v>1268</v>
      </c>
      <c r="E123" s="3296">
        <v>16815.8</v>
      </c>
      <c r="F123" s="3300">
        <f t="shared" si="60"/>
        <v>0</v>
      </c>
      <c r="G123" s="3300"/>
      <c r="H123" s="3291"/>
      <c r="I123" s="3301"/>
      <c r="J123" s="3301"/>
      <c r="K123" s="3291"/>
      <c r="L123" s="3215">
        <v>10</v>
      </c>
      <c r="M123" s="3302"/>
      <c r="N123" s="3291"/>
      <c r="O123" s="3291"/>
      <c r="P123" s="3291">
        <f t="shared" si="52"/>
        <v>10</v>
      </c>
      <c r="Q123" s="3216">
        <v>800</v>
      </c>
      <c r="R123" s="3291">
        <f t="shared" si="47"/>
        <v>8960</v>
      </c>
      <c r="S123" s="3291"/>
      <c r="T123" s="3291">
        <f t="shared" si="53"/>
        <v>8960</v>
      </c>
      <c r="U123" s="3303"/>
      <c r="V123" s="3303"/>
      <c r="W123" s="3291">
        <f t="shared" si="61"/>
        <v>848</v>
      </c>
      <c r="X123" s="3291">
        <f t="shared" si="62"/>
        <v>8480</v>
      </c>
      <c r="Y123" s="3291"/>
      <c r="Z123" s="3291">
        <f t="shared" si="63"/>
        <v>8480</v>
      </c>
      <c r="AA123" s="3291">
        <f t="shared" si="64"/>
        <v>890.40000000000009</v>
      </c>
      <c r="AB123" s="3291">
        <f t="shared" si="65"/>
        <v>8904</v>
      </c>
      <c r="AC123" s="3291"/>
      <c r="AD123" s="3304">
        <f t="shared" si="66"/>
        <v>8904</v>
      </c>
      <c r="AE123" s="3305">
        <f t="shared" si="48"/>
        <v>896</v>
      </c>
      <c r="AF123" s="2995">
        <v>1.1200000000000001</v>
      </c>
      <c r="AG123" s="2995"/>
      <c r="AH123" s="2995"/>
      <c r="AI123" s="3405" t="s">
        <v>2804</v>
      </c>
      <c r="AJ123" s="2995">
        <f t="shared" si="67"/>
        <v>0</v>
      </c>
      <c r="AK123" s="2995"/>
      <c r="AL123" s="2995"/>
      <c r="AM123" s="2995"/>
      <c r="AO123" s="3220" t="s">
        <v>2903</v>
      </c>
      <c r="AP123" s="2983">
        <f t="shared" si="38"/>
        <v>1</v>
      </c>
    </row>
    <row r="124" spans="1:42" ht="24" hidden="1">
      <c r="A124" s="3222">
        <v>117</v>
      </c>
      <c r="B124" s="3220" t="s">
        <v>2808</v>
      </c>
      <c r="C124" s="3220" t="s">
        <v>2809</v>
      </c>
      <c r="D124" s="3291" t="s">
        <v>1525</v>
      </c>
      <c r="E124" s="3296">
        <v>16815.8</v>
      </c>
      <c r="F124" s="3300">
        <f t="shared" si="60"/>
        <v>0</v>
      </c>
      <c r="G124" s="3300"/>
      <c r="H124" s="3291"/>
      <c r="I124" s="3301"/>
      <c r="J124" s="3301"/>
      <c r="K124" s="3291"/>
      <c r="L124" s="3215">
        <v>5</v>
      </c>
      <c r="M124" s="3302"/>
      <c r="N124" s="3291"/>
      <c r="O124" s="3291"/>
      <c r="P124" s="3291">
        <f t="shared" si="52"/>
        <v>5</v>
      </c>
      <c r="Q124" s="3216">
        <v>1200</v>
      </c>
      <c r="R124" s="3291">
        <f t="shared" si="47"/>
        <v>6720</v>
      </c>
      <c r="S124" s="3291"/>
      <c r="T124" s="3291">
        <f t="shared" si="53"/>
        <v>6720</v>
      </c>
      <c r="U124" s="3303"/>
      <c r="V124" s="3303"/>
      <c r="W124" s="3291">
        <f t="shared" si="61"/>
        <v>1272</v>
      </c>
      <c r="X124" s="3291">
        <f t="shared" si="62"/>
        <v>6360</v>
      </c>
      <c r="Y124" s="3291"/>
      <c r="Z124" s="3291">
        <f t="shared" si="63"/>
        <v>6360</v>
      </c>
      <c r="AA124" s="3291">
        <f t="shared" si="64"/>
        <v>1335.6000000000001</v>
      </c>
      <c r="AB124" s="3291">
        <f t="shared" si="65"/>
        <v>6678</v>
      </c>
      <c r="AC124" s="3291"/>
      <c r="AD124" s="3304">
        <f t="shared" si="66"/>
        <v>6678</v>
      </c>
      <c r="AE124" s="3305">
        <f t="shared" si="48"/>
        <v>1344</v>
      </c>
      <c r="AF124" s="2995">
        <v>1.1200000000000001</v>
      </c>
      <c r="AG124" s="2995"/>
      <c r="AH124" s="2995"/>
      <c r="AI124" s="3410"/>
      <c r="AJ124" s="2995"/>
      <c r="AK124" s="2995"/>
      <c r="AL124" s="3405" t="s">
        <v>2806</v>
      </c>
      <c r="AM124" s="2995">
        <f>IF(B124=AL124,0,1)</f>
        <v>1</v>
      </c>
      <c r="AO124" s="3220" t="s">
        <v>2904</v>
      </c>
      <c r="AP124" s="2983">
        <f t="shared" si="38"/>
        <v>1</v>
      </c>
    </row>
    <row r="125" spans="1:42" ht="24" hidden="1">
      <c r="A125" s="3222">
        <v>118</v>
      </c>
      <c r="B125" s="3220" t="s">
        <v>2810</v>
      </c>
      <c r="C125" s="3220" t="s">
        <v>2811</v>
      </c>
      <c r="D125" s="3291" t="s">
        <v>1395</v>
      </c>
      <c r="E125" s="3296">
        <v>16815.8</v>
      </c>
      <c r="F125" s="3300">
        <f t="shared" si="60"/>
        <v>0</v>
      </c>
      <c r="G125" s="3300"/>
      <c r="H125" s="3291"/>
      <c r="I125" s="3301"/>
      <c r="J125" s="3301"/>
      <c r="K125" s="3291"/>
      <c r="L125" s="3215">
        <v>7</v>
      </c>
      <c r="M125" s="3302"/>
      <c r="N125" s="3291"/>
      <c r="O125" s="3291"/>
      <c r="P125" s="3291">
        <f t="shared" si="52"/>
        <v>7</v>
      </c>
      <c r="Q125" s="3216">
        <v>1500</v>
      </c>
      <c r="R125" s="3291">
        <f t="shared" si="47"/>
        <v>11760</v>
      </c>
      <c r="S125" s="3291"/>
      <c r="T125" s="3291">
        <f t="shared" si="53"/>
        <v>11760</v>
      </c>
      <c r="U125" s="3303"/>
      <c r="V125" s="3303"/>
      <c r="W125" s="3291">
        <f t="shared" si="61"/>
        <v>1590</v>
      </c>
      <c r="X125" s="3291">
        <f t="shared" si="62"/>
        <v>11130</v>
      </c>
      <c r="Y125" s="3291"/>
      <c r="Z125" s="3291">
        <f t="shared" si="63"/>
        <v>11130</v>
      </c>
      <c r="AA125" s="3291">
        <f t="shared" si="64"/>
        <v>1669.5</v>
      </c>
      <c r="AB125" s="3291">
        <f t="shared" si="65"/>
        <v>11687</v>
      </c>
      <c r="AC125" s="3291"/>
      <c r="AD125" s="3304">
        <f t="shared" si="66"/>
        <v>11687</v>
      </c>
      <c r="AE125" s="3305">
        <f t="shared" si="48"/>
        <v>1680</v>
      </c>
      <c r="AF125" s="2995">
        <v>1.1200000000000001</v>
      </c>
      <c r="AG125" s="2995"/>
      <c r="AH125" s="2995"/>
      <c r="AI125" s="3405" t="s">
        <v>2810</v>
      </c>
      <c r="AJ125" s="2995">
        <f t="shared" si="67"/>
        <v>0</v>
      </c>
      <c r="AK125" s="2995"/>
      <c r="AL125" s="2995"/>
      <c r="AM125" s="2995"/>
      <c r="AO125" s="3220" t="s">
        <v>2889</v>
      </c>
      <c r="AP125" s="2983">
        <f t="shared" si="38"/>
        <v>1</v>
      </c>
    </row>
    <row r="126" spans="1:42" ht="24" hidden="1">
      <c r="A126" s="3222">
        <v>119</v>
      </c>
      <c r="B126" s="3221" t="s">
        <v>2828</v>
      </c>
      <c r="C126" s="3221" t="s">
        <v>2828</v>
      </c>
      <c r="D126" s="3291" t="s">
        <v>1395</v>
      </c>
      <c r="E126" s="3296">
        <v>16815.8</v>
      </c>
      <c r="F126" s="3300">
        <f t="shared" si="60"/>
        <v>0</v>
      </c>
      <c r="G126" s="3300"/>
      <c r="H126" s="3291"/>
      <c r="I126" s="3301"/>
      <c r="J126" s="3301"/>
      <c r="K126" s="3291"/>
      <c r="L126" s="3214">
        <v>15</v>
      </c>
      <c r="M126" s="3302"/>
      <c r="N126" s="3291"/>
      <c r="O126" s="3291"/>
      <c r="P126" s="3291">
        <f t="shared" si="52"/>
        <v>15</v>
      </c>
      <c r="Q126" s="3216">
        <v>3300</v>
      </c>
      <c r="R126" s="3291">
        <f t="shared" si="47"/>
        <v>55440</v>
      </c>
      <c r="S126" s="3291"/>
      <c r="T126" s="3291">
        <f t="shared" si="53"/>
        <v>55440</v>
      </c>
      <c r="U126" s="3303"/>
      <c r="V126" s="3303"/>
      <c r="W126" s="3291">
        <f t="shared" si="61"/>
        <v>3498</v>
      </c>
      <c r="X126" s="3291">
        <f t="shared" si="62"/>
        <v>52470</v>
      </c>
      <c r="Y126" s="3291"/>
      <c r="Z126" s="3291">
        <f t="shared" si="63"/>
        <v>52470</v>
      </c>
      <c r="AA126" s="3291">
        <f t="shared" si="64"/>
        <v>3672.9</v>
      </c>
      <c r="AB126" s="3291">
        <f t="shared" si="65"/>
        <v>55094</v>
      </c>
      <c r="AC126" s="3291"/>
      <c r="AD126" s="3304">
        <f t="shared" si="66"/>
        <v>55094</v>
      </c>
      <c r="AE126" s="3305">
        <f t="shared" si="48"/>
        <v>3696</v>
      </c>
      <c r="AF126" s="2995">
        <v>1.1200000000000001</v>
      </c>
      <c r="AG126" s="2995"/>
      <c r="AH126" s="2995"/>
      <c r="AI126" s="3405" t="s">
        <v>2828</v>
      </c>
      <c r="AJ126" s="2995">
        <f t="shared" si="67"/>
        <v>0</v>
      </c>
      <c r="AK126" s="2995"/>
      <c r="AL126" s="2995"/>
      <c r="AM126" s="2995"/>
      <c r="AO126" s="3220" t="s">
        <v>2839</v>
      </c>
      <c r="AP126" s="2983">
        <f t="shared" si="38"/>
        <v>1</v>
      </c>
    </row>
    <row r="127" spans="1:42" ht="24" hidden="1">
      <c r="A127" s="3222">
        <v>120</v>
      </c>
      <c r="B127" s="3220" t="s">
        <v>2864</v>
      </c>
      <c r="C127" s="3220" t="s">
        <v>2865</v>
      </c>
      <c r="D127" s="3291" t="s">
        <v>1268</v>
      </c>
      <c r="E127" s="3296">
        <v>16815.8</v>
      </c>
      <c r="F127" s="3300">
        <f t="shared" si="60"/>
        <v>0</v>
      </c>
      <c r="G127" s="3300"/>
      <c r="H127" s="3301"/>
      <c r="I127" s="3301"/>
      <c r="J127" s="3301"/>
      <c r="K127" s="3301"/>
      <c r="L127" s="3214">
        <v>4</v>
      </c>
      <c r="M127" s="3302"/>
      <c r="N127" s="3301"/>
      <c r="O127" s="3301"/>
      <c r="P127" s="3291">
        <f t="shared" si="52"/>
        <v>4</v>
      </c>
      <c r="Q127" s="3214" t="s">
        <v>2866</v>
      </c>
      <c r="R127" s="3291">
        <f t="shared" si="47"/>
        <v>17920</v>
      </c>
      <c r="S127" s="3291"/>
      <c r="T127" s="3291">
        <f t="shared" si="53"/>
        <v>17920</v>
      </c>
      <c r="U127" s="3303">
        <v>17</v>
      </c>
      <c r="V127" s="3303">
        <v>1.07</v>
      </c>
      <c r="W127" s="3291">
        <f t="shared" si="61"/>
        <v>4240</v>
      </c>
      <c r="X127" s="3291">
        <f t="shared" si="62"/>
        <v>16960</v>
      </c>
      <c r="Y127" s="3291"/>
      <c r="Z127" s="3291">
        <f t="shared" si="63"/>
        <v>16960</v>
      </c>
      <c r="AA127" s="3291">
        <f t="shared" si="64"/>
        <v>4452</v>
      </c>
      <c r="AB127" s="3291">
        <f t="shared" si="65"/>
        <v>17808</v>
      </c>
      <c r="AC127" s="3291"/>
      <c r="AD127" s="3304">
        <f t="shared" si="66"/>
        <v>17808</v>
      </c>
      <c r="AE127" s="3305">
        <f t="shared" si="48"/>
        <v>4480</v>
      </c>
      <c r="AF127" s="2995">
        <v>1.1200000000000001</v>
      </c>
      <c r="AG127" s="2995"/>
      <c r="AH127" s="2995"/>
      <c r="AI127" s="3408"/>
      <c r="AJ127" s="2995"/>
      <c r="AK127" s="2995"/>
      <c r="AL127" s="2995"/>
      <c r="AM127" s="2995"/>
      <c r="AO127" s="3220" t="s">
        <v>2441</v>
      </c>
      <c r="AP127" s="2983">
        <f t="shared" si="38"/>
        <v>1</v>
      </c>
    </row>
    <row r="128" spans="1:42" ht="24" hidden="1">
      <c r="A128" s="3222">
        <v>121</v>
      </c>
      <c r="B128" s="3220" t="s">
        <v>2829</v>
      </c>
      <c r="C128" s="3220" t="s">
        <v>2829</v>
      </c>
      <c r="D128" s="3291" t="s">
        <v>1338</v>
      </c>
      <c r="E128" s="3296">
        <v>16815.8</v>
      </c>
      <c r="F128" s="3300">
        <f t="shared" si="60"/>
        <v>0</v>
      </c>
      <c r="G128" s="3300"/>
      <c r="H128" s="3291"/>
      <c r="I128" s="3301"/>
      <c r="J128" s="3301"/>
      <c r="K128" s="3291"/>
      <c r="L128" s="3215">
        <v>1000</v>
      </c>
      <c r="M128" s="3302"/>
      <c r="N128" s="3291"/>
      <c r="O128" s="3291"/>
      <c r="P128" s="3291">
        <f t="shared" si="52"/>
        <v>1000</v>
      </c>
      <c r="Q128" s="3217">
        <v>0.5</v>
      </c>
      <c r="R128" s="3291">
        <f t="shared" si="47"/>
        <v>560</v>
      </c>
      <c r="S128" s="3291"/>
      <c r="T128" s="3291">
        <f t="shared" si="53"/>
        <v>560</v>
      </c>
      <c r="U128" s="3303"/>
      <c r="V128" s="3303"/>
      <c r="W128" s="3291">
        <f t="shared" si="61"/>
        <v>0.53</v>
      </c>
      <c r="X128" s="3291">
        <f t="shared" si="62"/>
        <v>530</v>
      </c>
      <c r="Y128" s="3291"/>
      <c r="Z128" s="3291">
        <f t="shared" si="63"/>
        <v>530</v>
      </c>
      <c r="AA128" s="3291">
        <f t="shared" si="64"/>
        <v>0.55650000000000011</v>
      </c>
      <c r="AB128" s="3291">
        <f t="shared" si="65"/>
        <v>557</v>
      </c>
      <c r="AC128" s="3291"/>
      <c r="AD128" s="3304">
        <f t="shared" si="66"/>
        <v>557</v>
      </c>
      <c r="AE128" s="3305">
        <f t="shared" si="48"/>
        <v>0.56000000000000005</v>
      </c>
      <c r="AF128" s="2995">
        <v>1.1200000000000001</v>
      </c>
      <c r="AG128" s="2995"/>
      <c r="AH128" s="2995"/>
      <c r="AI128" s="3405" t="s">
        <v>2829</v>
      </c>
      <c r="AJ128" s="2995">
        <f t="shared" si="67"/>
        <v>0</v>
      </c>
      <c r="AK128" s="2995"/>
      <c r="AL128" s="2995"/>
      <c r="AM128" s="2995"/>
      <c r="AO128" s="3220" t="s">
        <v>2842</v>
      </c>
      <c r="AP128" s="2983">
        <f t="shared" si="38"/>
        <v>1</v>
      </c>
    </row>
    <row r="129" spans="1:42" hidden="1">
      <c r="A129" s="3222">
        <v>122</v>
      </c>
      <c r="B129" s="3220" t="s">
        <v>2902</v>
      </c>
      <c r="C129" s="3220" t="s">
        <v>2902</v>
      </c>
      <c r="D129" s="3291" t="s">
        <v>1022</v>
      </c>
      <c r="E129" s="3296">
        <v>16815.8</v>
      </c>
      <c r="F129" s="3300">
        <f t="shared" si="60"/>
        <v>0</v>
      </c>
      <c r="G129" s="3300"/>
      <c r="H129" s="3291"/>
      <c r="I129" s="3301"/>
      <c r="J129" s="3301"/>
      <c r="K129" s="3291"/>
      <c r="L129" s="3215">
        <v>25</v>
      </c>
      <c r="M129" s="3302"/>
      <c r="N129" s="3291"/>
      <c r="O129" s="3291"/>
      <c r="P129" s="3291">
        <f t="shared" si="52"/>
        <v>25</v>
      </c>
      <c r="Q129" s="3218">
        <v>400</v>
      </c>
      <c r="R129" s="3291">
        <f t="shared" si="47"/>
        <v>11200</v>
      </c>
      <c r="S129" s="3291"/>
      <c r="T129" s="3291">
        <f t="shared" si="53"/>
        <v>11200</v>
      </c>
      <c r="U129" s="3303">
        <v>1242</v>
      </c>
      <c r="V129" s="3303">
        <v>1.07</v>
      </c>
      <c r="W129" s="3291">
        <f t="shared" si="61"/>
        <v>424</v>
      </c>
      <c r="X129" s="3291">
        <f t="shared" si="62"/>
        <v>10600</v>
      </c>
      <c r="Y129" s="3291"/>
      <c r="Z129" s="3291">
        <f t="shared" si="63"/>
        <v>10600</v>
      </c>
      <c r="AA129" s="3291">
        <f t="shared" si="64"/>
        <v>445.20000000000005</v>
      </c>
      <c r="AB129" s="3291">
        <f t="shared" si="65"/>
        <v>11130</v>
      </c>
      <c r="AC129" s="3291"/>
      <c r="AD129" s="3304">
        <f t="shared" si="66"/>
        <v>11130</v>
      </c>
      <c r="AE129" s="3305">
        <f t="shared" si="48"/>
        <v>448</v>
      </c>
      <c r="AF129" s="2995">
        <v>1.1200000000000001</v>
      </c>
      <c r="AG129" s="2995"/>
      <c r="AH129" s="2995"/>
      <c r="AI129" s="3405" t="s">
        <v>2902</v>
      </c>
      <c r="AJ129" s="2995">
        <f t="shared" si="67"/>
        <v>0</v>
      </c>
      <c r="AK129" s="2995"/>
      <c r="AL129" s="2995"/>
      <c r="AM129" s="2995"/>
      <c r="AO129" s="3220" t="s">
        <v>2844</v>
      </c>
      <c r="AP129" s="2983">
        <f t="shared" si="38"/>
        <v>1</v>
      </c>
    </row>
    <row r="130" spans="1:42" ht="24" hidden="1">
      <c r="A130" s="3222">
        <v>123</v>
      </c>
      <c r="B130" s="3220" t="s">
        <v>2862</v>
      </c>
      <c r="C130" s="3220" t="s">
        <v>2863</v>
      </c>
      <c r="D130" s="3291" t="s">
        <v>1268</v>
      </c>
      <c r="E130" s="3296">
        <v>16815.8</v>
      </c>
      <c r="F130" s="3300">
        <f t="shared" si="60"/>
        <v>0</v>
      </c>
      <c r="G130" s="3300"/>
      <c r="H130" s="3291"/>
      <c r="I130" s="3301"/>
      <c r="J130" s="3301"/>
      <c r="K130" s="3291"/>
      <c r="L130" s="3214">
        <v>5</v>
      </c>
      <c r="M130" s="3291"/>
      <c r="N130" s="3291"/>
      <c r="O130" s="3301"/>
      <c r="P130" s="3291">
        <f t="shared" si="52"/>
        <v>5</v>
      </c>
      <c r="Q130" s="3214">
        <v>5550</v>
      </c>
      <c r="R130" s="3291">
        <f t="shared" si="47"/>
        <v>31080</v>
      </c>
      <c r="S130" s="3291"/>
      <c r="T130" s="3291">
        <f t="shared" si="53"/>
        <v>31080</v>
      </c>
      <c r="U130" s="3303">
        <v>58</v>
      </c>
      <c r="V130" s="3303">
        <v>1.07</v>
      </c>
      <c r="W130" s="3291">
        <f t="shared" si="61"/>
        <v>5883</v>
      </c>
      <c r="X130" s="3291">
        <f t="shared" si="62"/>
        <v>29415</v>
      </c>
      <c r="Y130" s="3291"/>
      <c r="Z130" s="3291">
        <f t="shared" si="63"/>
        <v>29415</v>
      </c>
      <c r="AA130" s="3291">
        <f t="shared" si="64"/>
        <v>6177.1500000000005</v>
      </c>
      <c r="AB130" s="3291">
        <f t="shared" si="65"/>
        <v>30886</v>
      </c>
      <c r="AC130" s="3291"/>
      <c r="AD130" s="3304">
        <f t="shared" si="66"/>
        <v>30886</v>
      </c>
      <c r="AE130" s="3305">
        <f t="shared" si="48"/>
        <v>6216</v>
      </c>
      <c r="AF130" s="2995">
        <v>1.1200000000000001</v>
      </c>
      <c r="AG130" s="2995"/>
      <c r="AH130" s="2995"/>
      <c r="AI130" s="3405" t="s">
        <v>2862</v>
      </c>
      <c r="AJ130" s="2995">
        <f t="shared" si="67"/>
        <v>0</v>
      </c>
      <c r="AK130" s="2995"/>
      <c r="AL130" s="2995"/>
      <c r="AM130" s="2995"/>
      <c r="AO130" s="3220" t="s">
        <v>2845</v>
      </c>
      <c r="AP130" s="2983">
        <f t="shared" si="38"/>
        <v>1</v>
      </c>
    </row>
    <row r="131" spans="1:42" ht="24" hidden="1">
      <c r="A131" s="3222">
        <v>124</v>
      </c>
      <c r="B131" s="3221" t="s">
        <v>2830</v>
      </c>
      <c r="C131" s="3221" t="s">
        <v>2830</v>
      </c>
      <c r="D131" s="3291" t="s">
        <v>1268</v>
      </c>
      <c r="E131" s="3296">
        <v>16815.8</v>
      </c>
      <c r="F131" s="3300">
        <f t="shared" si="60"/>
        <v>0</v>
      </c>
      <c r="G131" s="3300"/>
      <c r="H131" s="3291"/>
      <c r="I131" s="3301"/>
      <c r="J131" s="3301"/>
      <c r="K131" s="3291"/>
      <c r="L131" s="3312">
        <v>100</v>
      </c>
      <c r="M131" s="3302"/>
      <c r="N131" s="3291"/>
      <c r="O131" s="3291"/>
      <c r="P131" s="3291">
        <f t="shared" si="52"/>
        <v>100</v>
      </c>
      <c r="Q131" s="3313" t="s">
        <v>95</v>
      </c>
      <c r="R131" s="3291">
        <f t="shared" si="47"/>
        <v>336</v>
      </c>
      <c r="S131" s="3291"/>
      <c r="T131" s="3291">
        <f t="shared" si="53"/>
        <v>336</v>
      </c>
      <c r="U131" s="3303">
        <v>405</v>
      </c>
      <c r="V131" s="3303">
        <v>1.07</v>
      </c>
      <c r="W131" s="3291">
        <f t="shared" si="61"/>
        <v>3.18</v>
      </c>
      <c r="X131" s="3291">
        <f t="shared" si="62"/>
        <v>318</v>
      </c>
      <c r="Y131" s="3291"/>
      <c r="Z131" s="3291">
        <f t="shared" si="63"/>
        <v>318</v>
      </c>
      <c r="AA131" s="3291">
        <f t="shared" si="64"/>
        <v>3.3390000000000004</v>
      </c>
      <c r="AB131" s="3291">
        <f t="shared" si="65"/>
        <v>334</v>
      </c>
      <c r="AC131" s="3291"/>
      <c r="AD131" s="3304">
        <f t="shared" si="66"/>
        <v>334</v>
      </c>
      <c r="AE131" s="3305">
        <f t="shared" si="48"/>
        <v>3.36</v>
      </c>
      <c r="AF131" s="2995">
        <v>1.1200000000000001</v>
      </c>
      <c r="AG131" s="2995"/>
      <c r="AH131" s="2995"/>
      <c r="AI131" s="3405" t="s">
        <v>2830</v>
      </c>
      <c r="AJ131" s="2995">
        <f t="shared" si="67"/>
        <v>0</v>
      </c>
      <c r="AK131" s="2995"/>
      <c r="AL131" s="2995"/>
      <c r="AM131" s="2995"/>
      <c r="AO131" s="3318" t="s">
        <v>2846</v>
      </c>
      <c r="AP131" s="2983">
        <f t="shared" si="38"/>
        <v>1</v>
      </c>
    </row>
    <row r="132" spans="1:42" ht="36" hidden="1">
      <c r="A132" s="3222">
        <v>125</v>
      </c>
      <c r="B132" s="3220" t="s">
        <v>3082</v>
      </c>
      <c r="C132" s="3220" t="s">
        <v>3076</v>
      </c>
      <c r="D132" s="3291" t="s">
        <v>1268</v>
      </c>
      <c r="E132" s="3296">
        <v>16815.8</v>
      </c>
      <c r="F132" s="3300">
        <f t="shared" si="60"/>
        <v>0</v>
      </c>
      <c r="G132" s="3300"/>
      <c r="H132" s="3301"/>
      <c r="I132" s="3301"/>
      <c r="J132" s="3301"/>
      <c r="K132" s="3301"/>
      <c r="L132" s="3215">
        <v>10</v>
      </c>
      <c r="M132" s="3302"/>
      <c r="N132" s="3301"/>
      <c r="O132" s="3301"/>
      <c r="P132" s="3291">
        <f t="shared" si="52"/>
        <v>10</v>
      </c>
      <c r="Q132" s="3219" t="s">
        <v>2911</v>
      </c>
      <c r="R132" s="3291">
        <f t="shared" si="47"/>
        <v>8960</v>
      </c>
      <c r="S132" s="3291"/>
      <c r="T132" s="3291">
        <f t="shared" si="53"/>
        <v>8960</v>
      </c>
      <c r="U132" s="3303"/>
      <c r="V132" s="3303"/>
      <c r="W132" s="3291"/>
      <c r="X132" s="3291"/>
      <c r="Y132" s="3291"/>
      <c r="Z132" s="3291"/>
      <c r="AA132" s="3291"/>
      <c r="AB132" s="3291"/>
      <c r="AC132" s="3291"/>
      <c r="AD132" s="3304"/>
      <c r="AE132" s="3305">
        <f t="shared" si="48"/>
        <v>896</v>
      </c>
      <c r="AF132" s="2995">
        <v>1.1200000000000001</v>
      </c>
      <c r="AG132" s="2995"/>
      <c r="AH132" s="2995"/>
      <c r="AI132" s="3405" t="s">
        <v>3082</v>
      </c>
      <c r="AJ132" s="2995">
        <f t="shared" si="67"/>
        <v>0</v>
      </c>
      <c r="AK132" s="2995"/>
      <c r="AL132" s="2995"/>
      <c r="AM132" s="2995"/>
      <c r="AO132" s="3318" t="s">
        <v>2438</v>
      </c>
      <c r="AP132" s="2983">
        <f t="shared" si="38"/>
        <v>1</v>
      </c>
    </row>
    <row r="133" spans="1:42" ht="144">
      <c r="A133" s="3222">
        <v>126</v>
      </c>
      <c r="B133" s="3326" t="s">
        <v>3083</v>
      </c>
      <c r="C133" s="3326" t="s">
        <v>3083</v>
      </c>
      <c r="D133" s="3323" t="s">
        <v>1119</v>
      </c>
      <c r="E133" s="3296">
        <v>16815.8</v>
      </c>
      <c r="F133" s="3300">
        <f>SUM(F134:F266)</f>
        <v>0</v>
      </c>
      <c r="G133" s="3300"/>
      <c r="H133" s="3301"/>
      <c r="I133" s="3297"/>
      <c r="J133" s="3297"/>
      <c r="K133" s="3297"/>
      <c r="L133" s="3257">
        <v>50</v>
      </c>
      <c r="M133" s="3297"/>
      <c r="N133" s="3297"/>
      <c r="O133" s="3297"/>
      <c r="P133" s="3291">
        <f t="shared" si="52"/>
        <v>50</v>
      </c>
      <c r="Q133" s="3257">
        <v>700</v>
      </c>
      <c r="R133" s="3291">
        <f t="shared" si="47"/>
        <v>39200</v>
      </c>
      <c r="S133" s="3297"/>
      <c r="T133" s="3291">
        <f t="shared" si="53"/>
        <v>39200</v>
      </c>
      <c r="U133" s="3362"/>
      <c r="V133" s="3362"/>
      <c r="W133" s="3297"/>
      <c r="X133" s="3297"/>
      <c r="Y133" s="3297"/>
      <c r="Z133" s="3297"/>
      <c r="AA133" s="3297"/>
      <c r="AB133" s="3297"/>
      <c r="AC133" s="3297"/>
      <c r="AD133" s="3363"/>
      <c r="AE133" s="3305">
        <f t="shared" si="48"/>
        <v>784</v>
      </c>
      <c r="AF133" s="2995">
        <v>1.1200000000000001</v>
      </c>
      <c r="AG133" s="2995"/>
      <c r="AH133" s="2995"/>
      <c r="AI133" s="3404" t="s">
        <v>3083</v>
      </c>
      <c r="AJ133" s="2995">
        <f t="shared" si="67"/>
        <v>0</v>
      </c>
      <c r="AK133" s="2995"/>
      <c r="AL133" s="2995"/>
      <c r="AM133" s="2995"/>
      <c r="AO133" s="3318" t="s">
        <v>3084</v>
      </c>
      <c r="AP133" s="2983">
        <f t="shared" ref="AP133:AP134" si="68">IF(B133=AO133,0,1)</f>
        <v>1</v>
      </c>
    </row>
    <row r="134" spans="1:42" ht="21" customHeight="1">
      <c r="A134" s="3222">
        <v>127</v>
      </c>
      <c r="B134" s="3364" t="s">
        <v>3085</v>
      </c>
      <c r="C134" s="3364" t="s">
        <v>3085</v>
      </c>
      <c r="D134" s="3323" t="s">
        <v>3086</v>
      </c>
      <c r="E134" s="3296">
        <v>16815.8</v>
      </c>
      <c r="F134" s="3300">
        <f>SUM(F135:F267)</f>
        <v>0</v>
      </c>
      <c r="G134" s="3300"/>
      <c r="H134" s="3301"/>
      <c r="I134" s="3297"/>
      <c r="J134" s="3297"/>
      <c r="K134" s="3297"/>
      <c r="L134" s="3257">
        <v>50</v>
      </c>
      <c r="M134" s="3297"/>
      <c r="N134" s="3297"/>
      <c r="O134" s="3297"/>
      <c r="P134" s="3291">
        <f t="shared" si="52"/>
        <v>50</v>
      </c>
      <c r="Q134" s="3367">
        <v>320</v>
      </c>
      <c r="R134" s="3291">
        <f t="shared" si="47"/>
        <v>17920</v>
      </c>
      <c r="S134" s="3297"/>
      <c r="T134" s="3291">
        <f t="shared" si="53"/>
        <v>17920</v>
      </c>
      <c r="U134" s="3362"/>
      <c r="V134" s="3362"/>
      <c r="W134" s="3297"/>
      <c r="X134" s="3297"/>
      <c r="Y134" s="3297"/>
      <c r="Z134" s="3297"/>
      <c r="AA134" s="3297"/>
      <c r="AB134" s="3297"/>
      <c r="AC134" s="3297"/>
      <c r="AD134" s="3363"/>
      <c r="AE134" s="3305">
        <f t="shared" si="48"/>
        <v>358.4</v>
      </c>
      <c r="AF134" s="2995">
        <v>1.1200000000000001</v>
      </c>
      <c r="AG134" s="2995"/>
      <c r="AH134" s="2995"/>
      <c r="AI134" s="3405" t="s">
        <v>3085</v>
      </c>
      <c r="AJ134" s="2995">
        <f t="shared" si="67"/>
        <v>0</v>
      </c>
      <c r="AK134" s="2995"/>
      <c r="AL134" s="2995"/>
      <c r="AM134" s="2995"/>
      <c r="AO134" s="1610" t="s">
        <v>3087</v>
      </c>
      <c r="AP134" s="2983">
        <f t="shared" si="68"/>
        <v>1</v>
      </c>
    </row>
    <row r="135" spans="1:42" hidden="1">
      <c r="A135" s="3222">
        <v>128</v>
      </c>
      <c r="B135" s="3220" t="s">
        <v>2831</v>
      </c>
      <c r="C135" s="3220" t="s">
        <v>2832</v>
      </c>
      <c r="D135" s="3291" t="s">
        <v>1268</v>
      </c>
      <c r="E135" s="3296">
        <v>16815.8</v>
      </c>
      <c r="F135" s="3300">
        <f t="shared" ref="F135:F140" si="69">SUM(F136:F267)</f>
        <v>0</v>
      </c>
      <c r="G135" s="3300"/>
      <c r="H135" s="3291"/>
      <c r="I135" s="3301"/>
      <c r="J135" s="3301"/>
      <c r="K135" s="3291"/>
      <c r="L135" s="3215">
        <v>50</v>
      </c>
      <c r="M135" s="3302"/>
      <c r="N135" s="3291"/>
      <c r="O135" s="3291"/>
      <c r="P135" s="3291">
        <f t="shared" si="52"/>
        <v>50</v>
      </c>
      <c r="Q135" s="3214" t="s">
        <v>2744</v>
      </c>
      <c r="R135" s="3291">
        <f t="shared" si="47"/>
        <v>3360</v>
      </c>
      <c r="S135" s="3291"/>
      <c r="T135" s="3291">
        <f t="shared" si="53"/>
        <v>3360</v>
      </c>
      <c r="U135" s="3303">
        <v>540</v>
      </c>
      <c r="V135" s="3303">
        <v>1.07</v>
      </c>
      <c r="W135" s="3291">
        <f>Q135*$W$4</f>
        <v>63.6</v>
      </c>
      <c r="X135" s="3291">
        <f>ROUND(P135*W135,0)</f>
        <v>3180</v>
      </c>
      <c r="Y135" s="3291"/>
      <c r="Z135" s="3291">
        <f>X135-Y135</f>
        <v>3180</v>
      </c>
      <c r="AA135" s="3291">
        <f>W135*$AA$4</f>
        <v>66.78</v>
      </c>
      <c r="AB135" s="3291">
        <f>ROUND(P135*AA135,0)</f>
        <v>3339</v>
      </c>
      <c r="AC135" s="3291"/>
      <c r="AD135" s="3304">
        <f>AB135-AC135</f>
        <v>3339</v>
      </c>
      <c r="AE135" s="3305">
        <f t="shared" si="48"/>
        <v>67.2</v>
      </c>
      <c r="AF135" s="2995">
        <v>1.1200000000000001</v>
      </c>
      <c r="AG135" s="2995"/>
      <c r="AH135" s="2995"/>
      <c r="AI135" s="3405" t="s">
        <v>2831</v>
      </c>
      <c r="AJ135" s="2995">
        <f t="shared" si="67"/>
        <v>0</v>
      </c>
      <c r="AK135" s="2995"/>
      <c r="AL135" s="2995"/>
      <c r="AM135" s="2995"/>
    </row>
    <row r="136" spans="1:42" ht="24" hidden="1">
      <c r="A136" s="3222">
        <v>129</v>
      </c>
      <c r="B136" s="3220" t="s">
        <v>2912</v>
      </c>
      <c r="C136" s="3220" t="s">
        <v>2913</v>
      </c>
      <c r="D136" s="3291" t="s">
        <v>1268</v>
      </c>
      <c r="E136" s="3296">
        <v>16815.8</v>
      </c>
      <c r="F136" s="3300">
        <f t="shared" si="69"/>
        <v>0</v>
      </c>
      <c r="G136" s="3300"/>
      <c r="H136" s="3291"/>
      <c r="I136" s="3301"/>
      <c r="J136" s="3301"/>
      <c r="K136" s="3291"/>
      <c r="L136" s="3215">
        <v>6</v>
      </c>
      <c r="M136" s="3291"/>
      <c r="N136" s="3291"/>
      <c r="O136" s="3291"/>
      <c r="P136" s="3291">
        <f t="shared" ref="P136:P155" si="70">L136-N136-O136</f>
        <v>6</v>
      </c>
      <c r="Q136" s="3218">
        <v>1000</v>
      </c>
      <c r="R136" s="3291">
        <f t="shared" si="47"/>
        <v>6720</v>
      </c>
      <c r="S136" s="3291"/>
      <c r="T136" s="3291">
        <f t="shared" ref="T136:T155" si="71">R136-S136</f>
        <v>6720</v>
      </c>
      <c r="U136" s="3303">
        <v>2430</v>
      </c>
      <c r="V136" s="3303">
        <v>1.07</v>
      </c>
      <c r="W136" s="3291">
        <f>Q136*$W$4</f>
        <v>1060</v>
      </c>
      <c r="X136" s="3291">
        <f>ROUND(P136*W136,0)</f>
        <v>6360</v>
      </c>
      <c r="Y136" s="3291"/>
      <c r="Z136" s="3291">
        <f>X136-Y136</f>
        <v>6360</v>
      </c>
      <c r="AA136" s="3291">
        <f>W136*$AA$4</f>
        <v>1113</v>
      </c>
      <c r="AB136" s="3291">
        <f>ROUND(P136*AA136,0)</f>
        <v>6678</v>
      </c>
      <c r="AC136" s="3291"/>
      <c r="AD136" s="3304">
        <f>AB136-AC136</f>
        <v>6678</v>
      </c>
      <c r="AE136" s="3305">
        <f t="shared" si="48"/>
        <v>1120</v>
      </c>
      <c r="AF136" s="2995">
        <v>1.1200000000000001</v>
      </c>
      <c r="AG136" s="2995"/>
      <c r="AH136" s="2995"/>
      <c r="AI136" s="3405" t="s">
        <v>2912</v>
      </c>
      <c r="AJ136" s="2995">
        <f t="shared" si="67"/>
        <v>0</v>
      </c>
      <c r="AK136" s="2995"/>
      <c r="AL136" s="2995"/>
      <c r="AM136" s="2995"/>
    </row>
    <row r="137" spans="1:42" ht="24" hidden="1">
      <c r="A137" s="3222">
        <v>130</v>
      </c>
      <c r="B137" s="3220" t="s">
        <v>2909</v>
      </c>
      <c r="C137" s="3220" t="s">
        <v>2910</v>
      </c>
      <c r="D137" s="3291" t="s">
        <v>1268</v>
      </c>
      <c r="E137" s="3296">
        <v>16815.8</v>
      </c>
      <c r="F137" s="3300">
        <f t="shared" si="69"/>
        <v>0</v>
      </c>
      <c r="G137" s="3300"/>
      <c r="H137" s="3301"/>
      <c r="I137" s="3301"/>
      <c r="J137" s="3301"/>
      <c r="K137" s="3301"/>
      <c r="L137" s="3215">
        <v>2</v>
      </c>
      <c r="M137" s="3302"/>
      <c r="N137" s="3301"/>
      <c r="O137" s="3301"/>
      <c r="P137" s="3291">
        <f t="shared" si="70"/>
        <v>2</v>
      </c>
      <c r="Q137" s="3219" t="s">
        <v>2911</v>
      </c>
      <c r="R137" s="3291">
        <f t="shared" si="47"/>
        <v>1792</v>
      </c>
      <c r="S137" s="3291"/>
      <c r="T137" s="3291">
        <f t="shared" si="71"/>
        <v>1792</v>
      </c>
      <c r="U137" s="3303">
        <v>4185</v>
      </c>
      <c r="V137" s="3303">
        <v>1.07</v>
      </c>
      <c r="W137" s="3291">
        <f>Q137*$W$4</f>
        <v>848</v>
      </c>
      <c r="X137" s="3291">
        <f>ROUND(P137*W137,0)</f>
        <v>1696</v>
      </c>
      <c r="Y137" s="3291"/>
      <c r="Z137" s="3291">
        <f>X137-Y137</f>
        <v>1696</v>
      </c>
      <c r="AA137" s="3291">
        <f>W137*$AA$4</f>
        <v>890.40000000000009</v>
      </c>
      <c r="AB137" s="3291">
        <f>ROUND(P137*AA137,0)</f>
        <v>1781</v>
      </c>
      <c r="AC137" s="3291"/>
      <c r="AD137" s="3304">
        <f>AB137-AC137</f>
        <v>1781</v>
      </c>
      <c r="AE137" s="3305">
        <f t="shared" si="48"/>
        <v>896</v>
      </c>
      <c r="AF137" s="2995">
        <v>1.1200000000000001</v>
      </c>
      <c r="AG137" s="2995"/>
      <c r="AH137" s="2995"/>
      <c r="AI137" s="3405" t="s">
        <v>2909</v>
      </c>
      <c r="AJ137" s="2995">
        <f t="shared" si="67"/>
        <v>0</v>
      </c>
      <c r="AK137" s="2995"/>
      <c r="AL137" s="2995"/>
      <c r="AM137" s="2995"/>
    </row>
    <row r="138" spans="1:42" ht="72" hidden="1">
      <c r="A138" s="3222">
        <v>131</v>
      </c>
      <c r="B138" s="3299" t="s">
        <v>2833</v>
      </c>
      <c r="C138" s="3314" t="s">
        <v>2834</v>
      </c>
      <c r="D138" s="3291" t="s">
        <v>1268</v>
      </c>
      <c r="E138" s="3296">
        <v>16815.8</v>
      </c>
      <c r="F138" s="3300">
        <f t="shared" si="69"/>
        <v>0</v>
      </c>
      <c r="G138" s="3300"/>
      <c r="H138" s="3301"/>
      <c r="I138" s="3301"/>
      <c r="J138" s="3301"/>
      <c r="K138" s="3301"/>
      <c r="L138" s="3215">
        <v>1</v>
      </c>
      <c r="M138" s="3302"/>
      <c r="N138" s="3301"/>
      <c r="O138" s="3301"/>
      <c r="P138" s="3291">
        <f t="shared" si="70"/>
        <v>1</v>
      </c>
      <c r="Q138" s="3214" t="s">
        <v>2835</v>
      </c>
      <c r="R138" s="3291">
        <f t="shared" si="47"/>
        <v>20160</v>
      </c>
      <c r="S138" s="3291"/>
      <c r="T138" s="3291">
        <f t="shared" si="71"/>
        <v>20160</v>
      </c>
      <c r="U138" s="3303">
        <v>825</v>
      </c>
      <c r="V138" s="3303">
        <v>1.07</v>
      </c>
      <c r="W138" s="3291">
        <f>Q138*$W$4</f>
        <v>19080</v>
      </c>
      <c r="X138" s="3291">
        <f>ROUND(P138*W138,0)</f>
        <v>19080</v>
      </c>
      <c r="Y138" s="3291"/>
      <c r="Z138" s="3291">
        <f>X138-Y138</f>
        <v>19080</v>
      </c>
      <c r="AA138" s="3291">
        <f>W138*$AA$4</f>
        <v>20034</v>
      </c>
      <c r="AB138" s="3291">
        <f>ROUND(P138*AA138,0)</f>
        <v>20034</v>
      </c>
      <c r="AC138" s="3291"/>
      <c r="AD138" s="3304">
        <f>AB138-AC138</f>
        <v>20034</v>
      </c>
      <c r="AE138" s="3305">
        <f t="shared" si="48"/>
        <v>20160</v>
      </c>
      <c r="AF138" s="2995">
        <v>1.1200000000000001</v>
      </c>
      <c r="AG138" s="2995"/>
      <c r="AH138" s="2995"/>
      <c r="AI138" s="3410"/>
      <c r="AJ138" s="2995"/>
      <c r="AK138" s="2995"/>
      <c r="AL138" s="3405" t="s">
        <v>2854</v>
      </c>
      <c r="AM138" s="2995">
        <f>IF(B138=AL138,0,1)</f>
        <v>1</v>
      </c>
    </row>
    <row r="139" spans="1:42" hidden="1">
      <c r="A139" s="3222">
        <v>132</v>
      </c>
      <c r="B139" s="3366" t="s">
        <v>2732</v>
      </c>
      <c r="C139" s="3366" t="s">
        <v>2732</v>
      </c>
      <c r="D139" s="3321" t="s">
        <v>1268</v>
      </c>
      <c r="E139" s="3296">
        <v>16815.8</v>
      </c>
      <c r="F139" s="3300">
        <f t="shared" si="69"/>
        <v>0</v>
      </c>
      <c r="G139" s="3300"/>
      <c r="H139" s="3296"/>
      <c r="I139" s="3319"/>
      <c r="J139" s="3319"/>
      <c r="K139" s="3296"/>
      <c r="L139" s="3320">
        <v>50</v>
      </c>
      <c r="M139" s="3296"/>
      <c r="N139" s="3296"/>
      <c r="O139" s="3296"/>
      <c r="P139" s="3296">
        <f t="shared" si="70"/>
        <v>50</v>
      </c>
      <c r="Q139" s="3360">
        <v>60</v>
      </c>
      <c r="R139" s="3291">
        <f t="shared" ref="R139:R155" si="72">ROUND(P139*AE139,2)</f>
        <v>3360</v>
      </c>
      <c r="S139" s="3296"/>
      <c r="T139" s="3296">
        <f t="shared" si="71"/>
        <v>3360</v>
      </c>
      <c r="U139" s="3303"/>
      <c r="V139" s="3303"/>
      <c r="W139" s="3291">
        <f>Q139*$W$4</f>
        <v>63.6</v>
      </c>
      <c r="X139" s="3291">
        <f>ROUND(P139*W139,0)</f>
        <v>3180</v>
      </c>
      <c r="Y139" s="3291"/>
      <c r="Z139" s="3291">
        <f>X139-Y139</f>
        <v>3180</v>
      </c>
      <c r="AA139" s="3291">
        <f>W139*$AA$4</f>
        <v>66.78</v>
      </c>
      <c r="AB139" s="3291">
        <f>ROUND(P139*AA139,0)</f>
        <v>3339</v>
      </c>
      <c r="AC139" s="3291"/>
      <c r="AD139" s="3304">
        <f>AB139-AC139</f>
        <v>3339</v>
      </c>
      <c r="AE139" s="3305">
        <f t="shared" ref="AE139:AE155" si="73">ROUND(Q139*AF139,2)</f>
        <v>67.2</v>
      </c>
      <c r="AF139" s="2995">
        <v>1.1200000000000001</v>
      </c>
      <c r="AG139" s="2995"/>
      <c r="AH139" s="2995"/>
      <c r="AI139" s="3405" t="s">
        <v>2732</v>
      </c>
      <c r="AJ139" s="2995">
        <f t="shared" si="67"/>
        <v>0</v>
      </c>
      <c r="AK139" s="2995"/>
      <c r="AL139" s="2995"/>
      <c r="AM139" s="2995"/>
    </row>
    <row r="140" spans="1:42" ht="60">
      <c r="A140" s="3222">
        <v>133</v>
      </c>
      <c r="B140" s="3322" t="s">
        <v>3088</v>
      </c>
      <c r="C140" s="3322" t="s">
        <v>3088</v>
      </c>
      <c r="D140" s="3323" t="s">
        <v>1022</v>
      </c>
      <c r="E140" s="3291">
        <v>16815.8</v>
      </c>
      <c r="F140" s="3300">
        <f t="shared" si="69"/>
        <v>0</v>
      </c>
      <c r="G140" s="3300"/>
      <c r="H140" s="3301"/>
      <c r="I140" s="3297"/>
      <c r="J140" s="3297"/>
      <c r="K140" s="3297"/>
      <c r="L140" s="3257">
        <v>175</v>
      </c>
      <c r="M140" s="3297"/>
      <c r="N140" s="3297"/>
      <c r="O140" s="3297"/>
      <c r="P140" s="3291">
        <f t="shared" si="70"/>
        <v>175</v>
      </c>
      <c r="Q140" s="3257">
        <v>1350</v>
      </c>
      <c r="R140" s="3291">
        <f t="shared" si="72"/>
        <v>264600</v>
      </c>
      <c r="S140" s="3297"/>
      <c r="T140" s="3291">
        <f t="shared" si="71"/>
        <v>264600</v>
      </c>
      <c r="U140" s="3362"/>
      <c r="V140" s="3362"/>
      <c r="W140" s="3362"/>
      <c r="X140" s="3362"/>
      <c r="Y140" s="3362"/>
      <c r="Z140" s="3362"/>
      <c r="AA140" s="3362"/>
      <c r="AB140" s="3362"/>
      <c r="AC140" s="3362"/>
      <c r="AD140" s="3362"/>
      <c r="AE140" s="3305">
        <f t="shared" si="73"/>
        <v>1512</v>
      </c>
      <c r="AF140" s="2995">
        <v>1.1200000000000001</v>
      </c>
      <c r="AG140" s="2995"/>
      <c r="AH140" s="2995"/>
      <c r="AI140" s="3405" t="s">
        <v>3088</v>
      </c>
      <c r="AJ140" s="2995">
        <f t="shared" si="67"/>
        <v>0</v>
      </c>
      <c r="AK140" s="2995"/>
      <c r="AL140" s="2995"/>
      <c r="AM140" s="2995"/>
    </row>
    <row r="141" spans="1:42" ht="72">
      <c r="A141" s="3222">
        <v>134</v>
      </c>
      <c r="B141" s="3325" t="s">
        <v>3089</v>
      </c>
      <c r="C141" s="3325" t="s">
        <v>3089</v>
      </c>
      <c r="D141" s="3323" t="s">
        <v>2254</v>
      </c>
      <c r="E141" s="3291">
        <v>16815.8</v>
      </c>
      <c r="F141" s="3300">
        <f>SUM(F143:F274)</f>
        <v>0</v>
      </c>
      <c r="G141" s="3300"/>
      <c r="H141" s="3301"/>
      <c r="I141" s="3297"/>
      <c r="J141" s="3297"/>
      <c r="K141" s="3297"/>
      <c r="L141" s="3257">
        <f>30*200</f>
        <v>6000</v>
      </c>
      <c r="M141" s="3297"/>
      <c r="N141" s="3297"/>
      <c r="O141" s="3297"/>
      <c r="P141" s="3291">
        <f t="shared" si="70"/>
        <v>6000</v>
      </c>
      <c r="Q141" s="3257">
        <v>5.5</v>
      </c>
      <c r="R141" s="3291">
        <f t="shared" si="72"/>
        <v>36960</v>
      </c>
      <c r="S141" s="3297"/>
      <c r="T141" s="3291">
        <f t="shared" si="71"/>
        <v>36960</v>
      </c>
      <c r="U141" s="3362"/>
      <c r="V141" s="3362"/>
      <c r="W141" s="3362"/>
      <c r="X141" s="3362"/>
      <c r="Y141" s="3362"/>
      <c r="Z141" s="3362"/>
      <c r="AA141" s="3362"/>
      <c r="AB141" s="3362"/>
      <c r="AC141" s="3362"/>
      <c r="AD141" s="3362"/>
      <c r="AE141" s="3305">
        <f t="shared" si="73"/>
        <v>6.16</v>
      </c>
      <c r="AF141" s="2995">
        <v>1.1200000000000001</v>
      </c>
      <c r="AG141" s="2995"/>
      <c r="AH141" s="2995"/>
      <c r="AI141" s="3405" t="s">
        <v>3089</v>
      </c>
      <c r="AJ141" s="2995">
        <f t="shared" si="67"/>
        <v>0</v>
      </c>
      <c r="AK141" s="2995"/>
      <c r="AL141" s="2995"/>
      <c r="AM141" s="2995"/>
    </row>
    <row r="142" spans="1:42">
      <c r="A142" s="3222"/>
      <c r="B142" s="3375" t="s">
        <v>3090</v>
      </c>
      <c r="C142" s="3325"/>
      <c r="D142" s="3323"/>
      <c r="E142" s="3291"/>
      <c r="F142" s="3300"/>
      <c r="G142" s="3300"/>
      <c r="H142" s="3301"/>
      <c r="I142" s="3297"/>
      <c r="J142" s="3297"/>
      <c r="K142" s="3297"/>
      <c r="L142" s="3257">
        <v>1</v>
      </c>
      <c r="M142" s="3297"/>
      <c r="N142" s="3297"/>
      <c r="O142" s="3297"/>
      <c r="P142" s="3291">
        <v>1</v>
      </c>
      <c r="Q142" s="3257">
        <v>8200</v>
      </c>
      <c r="R142" s="3291">
        <f t="shared" si="72"/>
        <v>9184</v>
      </c>
      <c r="S142" s="3297"/>
      <c r="T142" s="3291">
        <f t="shared" si="71"/>
        <v>9184</v>
      </c>
      <c r="U142" s="3362"/>
      <c r="V142" s="3362"/>
      <c r="W142" s="3362"/>
      <c r="X142" s="3362"/>
      <c r="Y142" s="3362"/>
      <c r="Z142" s="3362"/>
      <c r="AA142" s="3362"/>
      <c r="AB142" s="3362"/>
      <c r="AC142" s="3362"/>
      <c r="AD142" s="3362"/>
      <c r="AE142" s="3305">
        <f t="shared" si="73"/>
        <v>9184</v>
      </c>
      <c r="AF142" s="2995">
        <v>1.1200000000000001</v>
      </c>
      <c r="AG142" s="2995"/>
      <c r="AH142" s="2995"/>
      <c r="AI142" s="3408"/>
      <c r="AJ142" s="2995"/>
      <c r="AK142" s="2995"/>
      <c r="AL142" s="3405" t="s">
        <v>2849</v>
      </c>
      <c r="AM142" s="2995">
        <f>IF(B142=AL142,0,1)</f>
        <v>1</v>
      </c>
    </row>
    <row r="143" spans="1:42" hidden="1">
      <c r="A143" s="3222">
        <v>135</v>
      </c>
      <c r="B143" s="3220" t="s">
        <v>2837</v>
      </c>
      <c r="C143" s="3220" t="s">
        <v>2838</v>
      </c>
      <c r="D143" s="3291" t="s">
        <v>1525</v>
      </c>
      <c r="E143" s="3291">
        <v>16815.8</v>
      </c>
      <c r="F143" s="3300">
        <f t="shared" ref="F143:F154" si="74">SUM(F144:F274)</f>
        <v>0</v>
      </c>
      <c r="G143" s="3300"/>
      <c r="H143" s="3291"/>
      <c r="I143" s="3301"/>
      <c r="J143" s="3301"/>
      <c r="K143" s="3291"/>
      <c r="L143" s="3215">
        <v>2</v>
      </c>
      <c r="M143" s="3291"/>
      <c r="N143" s="3291"/>
      <c r="O143" s="3291"/>
      <c r="P143" s="3291">
        <f t="shared" si="70"/>
        <v>2</v>
      </c>
      <c r="Q143" s="3216">
        <v>100</v>
      </c>
      <c r="R143" s="3291">
        <f t="shared" si="72"/>
        <v>224</v>
      </c>
      <c r="S143" s="3291"/>
      <c r="T143" s="3291">
        <f t="shared" si="71"/>
        <v>224</v>
      </c>
      <c r="U143" s="3431">
        <v>5805</v>
      </c>
      <c r="V143" s="3291">
        <v>1.07</v>
      </c>
      <c r="W143" s="3291">
        <f t="shared" ref="W143:W154" si="75">Q143*$W$4</f>
        <v>106</v>
      </c>
      <c r="X143" s="3291">
        <f t="shared" ref="X143:X154" si="76">ROUND(P143*W143,0)</f>
        <v>212</v>
      </c>
      <c r="Y143" s="3291"/>
      <c r="Z143" s="3291">
        <f t="shared" ref="Z143:Z154" si="77">X143-Y143</f>
        <v>212</v>
      </c>
      <c r="AA143" s="3291">
        <f t="shared" ref="AA143:AA154" si="78">W143*$AA$4</f>
        <v>111.30000000000001</v>
      </c>
      <c r="AB143" s="3291">
        <f t="shared" ref="AB143:AB154" si="79">ROUND(P143*AA143,0)</f>
        <v>223</v>
      </c>
      <c r="AC143" s="3291"/>
      <c r="AD143" s="3291">
        <f t="shared" ref="AD143:AD154" si="80">AB143-AC143</f>
        <v>223</v>
      </c>
      <c r="AE143" s="3305">
        <f t="shared" si="73"/>
        <v>112</v>
      </c>
      <c r="AF143" s="2995">
        <v>1.1200000000000001</v>
      </c>
      <c r="AI143" s="3405" t="s">
        <v>2837</v>
      </c>
      <c r="AJ143" s="2995">
        <f t="shared" si="67"/>
        <v>0</v>
      </c>
      <c r="AL143" s="3405" t="s">
        <v>2849</v>
      </c>
      <c r="AM143" s="2995">
        <f>IF(B143=AL143,0,1)</f>
        <v>1</v>
      </c>
    </row>
    <row r="144" spans="1:42" hidden="1">
      <c r="A144" s="3222">
        <v>136</v>
      </c>
      <c r="B144" s="3220" t="s">
        <v>2903</v>
      </c>
      <c r="C144" s="3220" t="s">
        <v>2903</v>
      </c>
      <c r="D144" s="3291" t="s">
        <v>1022</v>
      </c>
      <c r="E144" s="3291">
        <v>16815.8</v>
      </c>
      <c r="F144" s="3300">
        <f t="shared" si="74"/>
        <v>0</v>
      </c>
      <c r="G144" s="3300"/>
      <c r="H144" s="3301"/>
      <c r="I144" s="3301"/>
      <c r="J144" s="3301"/>
      <c r="K144" s="3301"/>
      <c r="L144" s="3215">
        <v>10</v>
      </c>
      <c r="M144" s="3291"/>
      <c r="N144" s="3301"/>
      <c r="O144" s="3301"/>
      <c r="P144" s="3291">
        <f t="shared" si="70"/>
        <v>10</v>
      </c>
      <c r="Q144" s="3218">
        <v>400</v>
      </c>
      <c r="R144" s="3291">
        <f t="shared" si="72"/>
        <v>4480</v>
      </c>
      <c r="S144" s="3291"/>
      <c r="T144" s="3291">
        <f t="shared" si="71"/>
        <v>4480</v>
      </c>
      <c r="U144" s="3431">
        <v>977</v>
      </c>
      <c r="V144" s="3291">
        <v>1.07</v>
      </c>
      <c r="W144" s="3291">
        <f t="shared" si="75"/>
        <v>424</v>
      </c>
      <c r="X144" s="3291">
        <f t="shared" si="76"/>
        <v>4240</v>
      </c>
      <c r="Y144" s="3291"/>
      <c r="Z144" s="3291">
        <f t="shared" si="77"/>
        <v>4240</v>
      </c>
      <c r="AA144" s="3291">
        <f t="shared" si="78"/>
        <v>445.20000000000005</v>
      </c>
      <c r="AB144" s="3291">
        <f t="shared" si="79"/>
        <v>4452</v>
      </c>
      <c r="AC144" s="3291"/>
      <c r="AD144" s="3291">
        <f t="shared" si="80"/>
        <v>4452</v>
      </c>
      <c r="AE144" s="3305">
        <f t="shared" si="73"/>
        <v>448</v>
      </c>
      <c r="AF144" s="2995">
        <v>1.1200000000000001</v>
      </c>
      <c r="AI144" s="3406" t="s">
        <v>2903</v>
      </c>
      <c r="AJ144" s="2995">
        <f t="shared" si="67"/>
        <v>0</v>
      </c>
      <c r="AL144" s="3405" t="s">
        <v>2858</v>
      </c>
      <c r="AM144" s="2995">
        <f>IF(B144=AL144,0,1)</f>
        <v>1</v>
      </c>
    </row>
    <row r="145" spans="1:39" ht="24" hidden="1">
      <c r="A145" s="3222">
        <v>137</v>
      </c>
      <c r="B145" s="3220" t="s">
        <v>2904</v>
      </c>
      <c r="C145" s="3220" t="s">
        <v>2904</v>
      </c>
      <c r="D145" s="3291" t="s">
        <v>1022</v>
      </c>
      <c r="E145" s="3291">
        <v>16815.8</v>
      </c>
      <c r="F145" s="3300">
        <f t="shared" si="74"/>
        <v>0</v>
      </c>
      <c r="G145" s="3300"/>
      <c r="H145" s="3301"/>
      <c r="I145" s="3301"/>
      <c r="J145" s="3301"/>
      <c r="K145" s="3301"/>
      <c r="L145" s="3215">
        <v>10</v>
      </c>
      <c r="M145" s="3302"/>
      <c r="N145" s="3301"/>
      <c r="O145" s="3301"/>
      <c r="P145" s="3291">
        <f t="shared" si="70"/>
        <v>10</v>
      </c>
      <c r="Q145" s="3218">
        <v>700</v>
      </c>
      <c r="R145" s="3291">
        <f t="shared" si="72"/>
        <v>7840</v>
      </c>
      <c r="S145" s="3291"/>
      <c r="T145" s="3291">
        <f t="shared" si="71"/>
        <v>7840</v>
      </c>
      <c r="U145" s="3431">
        <v>594</v>
      </c>
      <c r="V145" s="3291">
        <v>1.07</v>
      </c>
      <c r="W145" s="3291">
        <f t="shared" si="75"/>
        <v>742</v>
      </c>
      <c r="X145" s="3291">
        <f t="shared" si="76"/>
        <v>7420</v>
      </c>
      <c r="Y145" s="3291"/>
      <c r="Z145" s="3291">
        <f t="shared" si="77"/>
        <v>7420</v>
      </c>
      <c r="AA145" s="3291">
        <f t="shared" si="78"/>
        <v>779.1</v>
      </c>
      <c r="AB145" s="3291">
        <f t="shared" si="79"/>
        <v>7791</v>
      </c>
      <c r="AC145" s="3291"/>
      <c r="AD145" s="3291">
        <f t="shared" si="80"/>
        <v>7791</v>
      </c>
      <c r="AE145" s="3305">
        <f t="shared" si="73"/>
        <v>784</v>
      </c>
      <c r="AF145" s="2995">
        <v>1.1200000000000001</v>
      </c>
      <c r="AI145" s="3406" t="s">
        <v>2904</v>
      </c>
      <c r="AJ145" s="2995">
        <f t="shared" si="67"/>
        <v>0</v>
      </c>
      <c r="AL145" s="3405" t="s">
        <v>3090</v>
      </c>
      <c r="AM145" s="2995">
        <f>IF(B145=AL145,0,1)</f>
        <v>1</v>
      </c>
    </row>
    <row r="146" spans="1:39" hidden="1">
      <c r="A146" s="3222">
        <v>138</v>
      </c>
      <c r="B146" s="3220" t="s">
        <v>2888</v>
      </c>
      <c r="C146" s="3220" t="s">
        <v>2889</v>
      </c>
      <c r="D146" s="3291" t="s">
        <v>1268</v>
      </c>
      <c r="E146" s="3291">
        <v>16815.8</v>
      </c>
      <c r="F146" s="3300">
        <f t="shared" si="74"/>
        <v>0</v>
      </c>
      <c r="G146" s="3300"/>
      <c r="H146" s="3301"/>
      <c r="I146" s="3301"/>
      <c r="J146" s="3301"/>
      <c r="K146" s="3301"/>
      <c r="L146" s="3215">
        <v>5</v>
      </c>
      <c r="M146" s="3302"/>
      <c r="N146" s="3301"/>
      <c r="O146" s="3301"/>
      <c r="P146" s="3291">
        <f t="shared" si="70"/>
        <v>5</v>
      </c>
      <c r="Q146" s="3218">
        <v>2200</v>
      </c>
      <c r="R146" s="3291">
        <f t="shared" si="72"/>
        <v>12320</v>
      </c>
      <c r="S146" s="3291"/>
      <c r="T146" s="3291">
        <f t="shared" si="71"/>
        <v>12320</v>
      </c>
      <c r="U146" s="3431">
        <v>8505</v>
      </c>
      <c r="V146" s="3291">
        <v>1.07</v>
      </c>
      <c r="W146" s="3291">
        <f t="shared" si="75"/>
        <v>2332</v>
      </c>
      <c r="X146" s="3291">
        <f t="shared" si="76"/>
        <v>11660</v>
      </c>
      <c r="Y146" s="3291"/>
      <c r="Z146" s="3291">
        <f t="shared" si="77"/>
        <v>11660</v>
      </c>
      <c r="AA146" s="3291">
        <f t="shared" si="78"/>
        <v>2448.6</v>
      </c>
      <c r="AB146" s="3291">
        <f t="shared" si="79"/>
        <v>12243</v>
      </c>
      <c r="AC146" s="3291"/>
      <c r="AD146" s="3291">
        <f t="shared" si="80"/>
        <v>12243</v>
      </c>
      <c r="AE146" s="3305">
        <f t="shared" si="73"/>
        <v>2464</v>
      </c>
      <c r="AF146" s="2995">
        <v>1.1200000000000001</v>
      </c>
      <c r="AI146" s="3406" t="s">
        <v>2888</v>
      </c>
      <c r="AJ146" s="2995">
        <f t="shared" si="67"/>
        <v>0</v>
      </c>
      <c r="AL146" s="3405" t="s">
        <v>2860</v>
      </c>
      <c r="AM146" s="2995">
        <f>IF(B146=AL146,0,1)</f>
        <v>1</v>
      </c>
    </row>
    <row r="147" spans="1:39" hidden="1">
      <c r="A147" s="3222">
        <v>139</v>
      </c>
      <c r="B147" s="3220" t="s">
        <v>2839</v>
      </c>
      <c r="C147" s="3220" t="s">
        <v>2839</v>
      </c>
      <c r="D147" s="3291" t="s">
        <v>1525</v>
      </c>
      <c r="E147" s="3291">
        <v>16815.8</v>
      </c>
      <c r="F147" s="3300">
        <f t="shared" si="74"/>
        <v>0</v>
      </c>
      <c r="G147" s="3300"/>
      <c r="H147" s="3291"/>
      <c r="I147" s="3301"/>
      <c r="J147" s="3301"/>
      <c r="K147" s="3291"/>
      <c r="L147" s="3215">
        <v>2000</v>
      </c>
      <c r="M147" s="3291"/>
      <c r="N147" s="3291"/>
      <c r="O147" s="3291"/>
      <c r="P147" s="3291">
        <f t="shared" si="70"/>
        <v>2000</v>
      </c>
      <c r="Q147" s="3216">
        <v>5</v>
      </c>
      <c r="R147" s="3291">
        <f t="shared" si="72"/>
        <v>11200</v>
      </c>
      <c r="S147" s="3291"/>
      <c r="T147" s="3291">
        <f t="shared" si="71"/>
        <v>11200</v>
      </c>
      <c r="U147" s="3431">
        <v>6885</v>
      </c>
      <c r="V147" s="3291">
        <v>1.07</v>
      </c>
      <c r="W147" s="3291">
        <f t="shared" si="75"/>
        <v>5.3000000000000007</v>
      </c>
      <c r="X147" s="3291">
        <f t="shared" si="76"/>
        <v>10600</v>
      </c>
      <c r="Y147" s="3291"/>
      <c r="Z147" s="3291">
        <f t="shared" si="77"/>
        <v>10600</v>
      </c>
      <c r="AA147" s="3291">
        <f t="shared" si="78"/>
        <v>5.5650000000000013</v>
      </c>
      <c r="AB147" s="3291">
        <f t="shared" si="79"/>
        <v>11130</v>
      </c>
      <c r="AC147" s="3291"/>
      <c r="AD147" s="3291">
        <f t="shared" si="80"/>
        <v>11130</v>
      </c>
      <c r="AE147" s="3305">
        <f t="shared" si="73"/>
        <v>5.6</v>
      </c>
      <c r="AF147" s="2995">
        <v>1.1200000000000001</v>
      </c>
      <c r="AI147" s="3406" t="s">
        <v>2839</v>
      </c>
      <c r="AJ147" s="2995">
        <f t="shared" si="67"/>
        <v>0</v>
      </c>
    </row>
    <row r="148" spans="1:39" hidden="1">
      <c r="A148" s="3222">
        <v>140</v>
      </c>
      <c r="B148" s="3220" t="s">
        <v>2840</v>
      </c>
      <c r="C148" s="3220" t="s">
        <v>2441</v>
      </c>
      <c r="D148" s="3291" t="s">
        <v>1587</v>
      </c>
      <c r="E148" s="3291">
        <v>16815.8</v>
      </c>
      <c r="F148" s="3300">
        <f t="shared" si="74"/>
        <v>0</v>
      </c>
      <c r="G148" s="3300"/>
      <c r="H148" s="3301"/>
      <c r="I148" s="3301"/>
      <c r="J148" s="3301"/>
      <c r="K148" s="3301"/>
      <c r="L148" s="3215">
        <v>2</v>
      </c>
      <c r="M148" s="3291"/>
      <c r="N148" s="3301"/>
      <c r="O148" s="3301"/>
      <c r="P148" s="3291">
        <f t="shared" si="70"/>
        <v>2</v>
      </c>
      <c r="Q148" s="3216">
        <v>600</v>
      </c>
      <c r="R148" s="3291">
        <f t="shared" si="72"/>
        <v>1344</v>
      </c>
      <c r="S148" s="3291"/>
      <c r="T148" s="3291">
        <f t="shared" si="71"/>
        <v>1344</v>
      </c>
      <c r="U148" s="3431">
        <v>28635</v>
      </c>
      <c r="V148" s="3291">
        <v>1.07</v>
      </c>
      <c r="W148" s="3291">
        <f t="shared" si="75"/>
        <v>636</v>
      </c>
      <c r="X148" s="3291">
        <f t="shared" si="76"/>
        <v>1272</v>
      </c>
      <c r="Y148" s="3291"/>
      <c r="Z148" s="3291">
        <f t="shared" si="77"/>
        <v>1272</v>
      </c>
      <c r="AA148" s="3291">
        <f t="shared" si="78"/>
        <v>667.80000000000007</v>
      </c>
      <c r="AB148" s="3291">
        <f t="shared" si="79"/>
        <v>1336</v>
      </c>
      <c r="AC148" s="3291"/>
      <c r="AD148" s="3291">
        <f t="shared" si="80"/>
        <v>1336</v>
      </c>
      <c r="AE148" s="3305">
        <f t="shared" si="73"/>
        <v>672</v>
      </c>
      <c r="AF148" s="2995">
        <v>1.1200000000000001</v>
      </c>
      <c r="AI148" s="3406" t="s">
        <v>2840</v>
      </c>
      <c r="AJ148" s="2995">
        <f t="shared" si="67"/>
        <v>0</v>
      </c>
    </row>
    <row r="149" spans="1:39" hidden="1">
      <c r="A149" s="3222">
        <v>141</v>
      </c>
      <c r="B149" s="3220" t="s">
        <v>2842</v>
      </c>
      <c r="C149" s="3220" t="s">
        <v>2842</v>
      </c>
      <c r="D149" s="3291" t="s">
        <v>1268</v>
      </c>
      <c r="E149" s="3291">
        <v>16815.8</v>
      </c>
      <c r="F149" s="3300">
        <f t="shared" si="74"/>
        <v>0</v>
      </c>
      <c r="G149" s="3300"/>
      <c r="H149" s="3291"/>
      <c r="I149" s="3301"/>
      <c r="J149" s="3301"/>
      <c r="K149" s="3291"/>
      <c r="L149" s="3214">
        <v>250</v>
      </c>
      <c r="M149" s="3291"/>
      <c r="N149" s="3291"/>
      <c r="O149" s="3291"/>
      <c r="P149" s="3291">
        <f t="shared" si="70"/>
        <v>250</v>
      </c>
      <c r="Q149" s="3216">
        <v>5</v>
      </c>
      <c r="R149" s="3291">
        <f t="shared" si="72"/>
        <v>1400</v>
      </c>
      <c r="S149" s="3291"/>
      <c r="T149" s="3291">
        <f t="shared" si="71"/>
        <v>1400</v>
      </c>
      <c r="U149" s="3431">
        <v>1640</v>
      </c>
      <c r="V149" s="3291">
        <v>1.07</v>
      </c>
      <c r="W149" s="3291">
        <f t="shared" si="75"/>
        <v>5.3000000000000007</v>
      </c>
      <c r="X149" s="3291">
        <f t="shared" si="76"/>
        <v>1325</v>
      </c>
      <c r="Y149" s="3291"/>
      <c r="Z149" s="3291">
        <f t="shared" si="77"/>
        <v>1325</v>
      </c>
      <c r="AA149" s="3291">
        <f t="shared" si="78"/>
        <v>5.5650000000000013</v>
      </c>
      <c r="AB149" s="3291">
        <f t="shared" si="79"/>
        <v>1391</v>
      </c>
      <c r="AC149" s="3291"/>
      <c r="AD149" s="3291">
        <f t="shared" si="80"/>
        <v>1391</v>
      </c>
      <c r="AE149" s="3305">
        <f t="shared" si="73"/>
        <v>5.6</v>
      </c>
      <c r="AF149" s="2995">
        <v>1.1200000000000001</v>
      </c>
      <c r="AI149" s="3406" t="s">
        <v>2842</v>
      </c>
      <c r="AJ149" s="2995">
        <f t="shared" si="67"/>
        <v>0</v>
      </c>
    </row>
    <row r="150" spans="1:39" hidden="1">
      <c r="A150" s="3222">
        <v>142</v>
      </c>
      <c r="B150" s="3220" t="s">
        <v>2844</v>
      </c>
      <c r="C150" s="3220" t="s">
        <v>2844</v>
      </c>
      <c r="D150" s="3291" t="s">
        <v>1268</v>
      </c>
      <c r="E150" s="3291">
        <v>16815.8</v>
      </c>
      <c r="F150" s="3300">
        <f t="shared" si="74"/>
        <v>0</v>
      </c>
      <c r="G150" s="3300"/>
      <c r="H150" s="3291"/>
      <c r="I150" s="3301"/>
      <c r="J150" s="3301"/>
      <c r="K150" s="3291"/>
      <c r="L150" s="3214">
        <v>3</v>
      </c>
      <c r="M150" s="3291"/>
      <c r="N150" s="3291"/>
      <c r="O150" s="3291"/>
      <c r="P150" s="3291">
        <f t="shared" si="70"/>
        <v>3</v>
      </c>
      <c r="Q150" s="3216">
        <v>700</v>
      </c>
      <c r="R150" s="3291">
        <f t="shared" si="72"/>
        <v>2352</v>
      </c>
      <c r="S150" s="3291"/>
      <c r="T150" s="3291">
        <f t="shared" si="71"/>
        <v>2352</v>
      </c>
      <c r="U150" s="3431">
        <v>31050</v>
      </c>
      <c r="V150" s="3291">
        <v>1.07</v>
      </c>
      <c r="W150" s="3291">
        <f t="shared" si="75"/>
        <v>742</v>
      </c>
      <c r="X150" s="3291">
        <f t="shared" si="76"/>
        <v>2226</v>
      </c>
      <c r="Y150" s="3291"/>
      <c r="Z150" s="3291">
        <f t="shared" si="77"/>
        <v>2226</v>
      </c>
      <c r="AA150" s="3291">
        <f t="shared" si="78"/>
        <v>779.1</v>
      </c>
      <c r="AB150" s="3291">
        <f t="shared" si="79"/>
        <v>2337</v>
      </c>
      <c r="AC150" s="3291"/>
      <c r="AD150" s="3291">
        <f t="shared" si="80"/>
        <v>2337</v>
      </c>
      <c r="AE150" s="3305">
        <f t="shared" si="73"/>
        <v>784</v>
      </c>
      <c r="AF150" s="2995">
        <v>1.1200000000000001</v>
      </c>
      <c r="AI150" s="3406" t="s">
        <v>2844</v>
      </c>
      <c r="AJ150" s="2995">
        <f t="shared" si="67"/>
        <v>0</v>
      </c>
    </row>
    <row r="151" spans="1:39" hidden="1">
      <c r="A151" s="3222">
        <v>143</v>
      </c>
      <c r="B151" s="3220" t="s">
        <v>2845</v>
      </c>
      <c r="C151" s="3220" t="s">
        <v>2845</v>
      </c>
      <c r="D151" s="3291" t="s">
        <v>1268</v>
      </c>
      <c r="E151" s="3291">
        <v>16815.8</v>
      </c>
      <c r="F151" s="3300">
        <f t="shared" si="74"/>
        <v>0</v>
      </c>
      <c r="G151" s="3300"/>
      <c r="H151" s="3291"/>
      <c r="I151" s="3301"/>
      <c r="J151" s="3301"/>
      <c r="K151" s="3291"/>
      <c r="L151" s="3214">
        <v>3</v>
      </c>
      <c r="M151" s="3302"/>
      <c r="N151" s="3291"/>
      <c r="O151" s="3291"/>
      <c r="P151" s="3291">
        <f t="shared" si="70"/>
        <v>3</v>
      </c>
      <c r="Q151" s="3216">
        <v>700</v>
      </c>
      <c r="R151" s="3291">
        <f t="shared" si="72"/>
        <v>2352</v>
      </c>
      <c r="S151" s="3291"/>
      <c r="T151" s="3291">
        <f t="shared" si="71"/>
        <v>2352</v>
      </c>
      <c r="U151" s="3431">
        <v>480</v>
      </c>
      <c r="V151" s="3291">
        <v>1.07</v>
      </c>
      <c r="W151" s="3291">
        <f t="shared" si="75"/>
        <v>742</v>
      </c>
      <c r="X151" s="3291">
        <f t="shared" si="76"/>
        <v>2226</v>
      </c>
      <c r="Y151" s="3291"/>
      <c r="Z151" s="3291">
        <f t="shared" si="77"/>
        <v>2226</v>
      </c>
      <c r="AA151" s="3291">
        <f t="shared" si="78"/>
        <v>779.1</v>
      </c>
      <c r="AB151" s="3291">
        <f t="shared" si="79"/>
        <v>2337</v>
      </c>
      <c r="AC151" s="3291"/>
      <c r="AD151" s="3291">
        <f t="shared" si="80"/>
        <v>2337</v>
      </c>
      <c r="AE151" s="3305">
        <f t="shared" si="73"/>
        <v>784</v>
      </c>
      <c r="AF151" s="2995">
        <v>1.1200000000000001</v>
      </c>
      <c r="AI151" s="3406" t="s">
        <v>2845</v>
      </c>
      <c r="AJ151" s="2995">
        <f t="shared" si="67"/>
        <v>0</v>
      </c>
    </row>
    <row r="152" spans="1:39" ht="24" hidden="1">
      <c r="A152" s="3222">
        <v>145</v>
      </c>
      <c r="B152" s="3220" t="s">
        <v>2846</v>
      </c>
      <c r="C152" s="3220" t="s">
        <v>2846</v>
      </c>
      <c r="D152" s="3291" t="s">
        <v>1268</v>
      </c>
      <c r="E152" s="3291">
        <v>16815.8</v>
      </c>
      <c r="F152" s="3300">
        <f t="shared" si="74"/>
        <v>0</v>
      </c>
      <c r="G152" s="3300"/>
      <c r="H152" s="3301"/>
      <c r="I152" s="3301"/>
      <c r="J152" s="3301"/>
      <c r="K152" s="3301"/>
      <c r="L152" s="3214">
        <v>2000</v>
      </c>
      <c r="M152" s="3302"/>
      <c r="N152" s="3301"/>
      <c r="O152" s="3301"/>
      <c r="P152" s="3291">
        <f t="shared" si="70"/>
        <v>2000</v>
      </c>
      <c r="Q152" s="3216">
        <v>7</v>
      </c>
      <c r="R152" s="3291">
        <f t="shared" si="72"/>
        <v>15680</v>
      </c>
      <c r="S152" s="3291"/>
      <c r="T152" s="3291">
        <f t="shared" si="71"/>
        <v>15680</v>
      </c>
      <c r="U152" s="3431">
        <v>6075</v>
      </c>
      <c r="V152" s="3291">
        <v>1.07</v>
      </c>
      <c r="W152" s="3291">
        <f t="shared" si="75"/>
        <v>7.42</v>
      </c>
      <c r="X152" s="3291">
        <f t="shared" si="76"/>
        <v>14840</v>
      </c>
      <c r="Y152" s="3291"/>
      <c r="Z152" s="3291">
        <f t="shared" si="77"/>
        <v>14840</v>
      </c>
      <c r="AA152" s="3291">
        <f t="shared" si="78"/>
        <v>7.7910000000000004</v>
      </c>
      <c r="AB152" s="3291">
        <f t="shared" si="79"/>
        <v>15582</v>
      </c>
      <c r="AC152" s="3291"/>
      <c r="AD152" s="3291">
        <f t="shared" si="80"/>
        <v>15582</v>
      </c>
      <c r="AE152" s="3305">
        <f t="shared" si="73"/>
        <v>7.84</v>
      </c>
      <c r="AF152" s="2995">
        <v>1.1200000000000001</v>
      </c>
      <c r="AI152" s="3406" t="s">
        <v>2846</v>
      </c>
      <c r="AJ152" s="2995">
        <f t="shared" si="67"/>
        <v>0</v>
      </c>
    </row>
    <row r="153" spans="1:39" ht="24" hidden="1">
      <c r="A153" s="3222">
        <v>146</v>
      </c>
      <c r="B153" s="3220" t="s">
        <v>2847</v>
      </c>
      <c r="C153" s="3220" t="s">
        <v>2847</v>
      </c>
      <c r="D153" s="3291" t="s">
        <v>1268</v>
      </c>
      <c r="E153" s="3291">
        <v>16815.8</v>
      </c>
      <c r="F153" s="3300">
        <f t="shared" si="74"/>
        <v>0</v>
      </c>
      <c r="G153" s="3300"/>
      <c r="H153" s="3301"/>
      <c r="I153" s="3301"/>
      <c r="J153" s="3301"/>
      <c r="K153" s="3301"/>
      <c r="L153" s="3214">
        <v>500</v>
      </c>
      <c r="M153" s="3302"/>
      <c r="N153" s="3301"/>
      <c r="O153" s="3301"/>
      <c r="P153" s="3291">
        <f t="shared" si="70"/>
        <v>500</v>
      </c>
      <c r="Q153" s="3216">
        <v>7</v>
      </c>
      <c r="R153" s="3291">
        <f t="shared" si="72"/>
        <v>3920</v>
      </c>
      <c r="S153" s="3291"/>
      <c r="T153" s="3291">
        <f t="shared" si="71"/>
        <v>3920</v>
      </c>
      <c r="U153" s="3431">
        <v>4185</v>
      </c>
      <c r="V153" s="3291">
        <v>1.07</v>
      </c>
      <c r="W153" s="3291">
        <f t="shared" si="75"/>
        <v>7.42</v>
      </c>
      <c r="X153" s="3291">
        <f t="shared" si="76"/>
        <v>3710</v>
      </c>
      <c r="Y153" s="3291"/>
      <c r="Z153" s="3291">
        <f t="shared" si="77"/>
        <v>3710</v>
      </c>
      <c r="AA153" s="3291">
        <f t="shared" si="78"/>
        <v>7.7910000000000004</v>
      </c>
      <c r="AB153" s="3291">
        <f t="shared" si="79"/>
        <v>3896</v>
      </c>
      <c r="AC153" s="3291"/>
      <c r="AD153" s="3291">
        <f t="shared" si="80"/>
        <v>3896</v>
      </c>
      <c r="AE153" s="3305">
        <f t="shared" si="73"/>
        <v>7.84</v>
      </c>
      <c r="AF153" s="2995">
        <v>1.1200000000000001</v>
      </c>
      <c r="AI153" s="3406" t="s">
        <v>2847</v>
      </c>
      <c r="AJ153" s="2995">
        <f t="shared" si="67"/>
        <v>0</v>
      </c>
    </row>
    <row r="154" spans="1:39" hidden="1">
      <c r="A154" s="3222">
        <v>147</v>
      </c>
      <c r="B154" s="3220" t="s">
        <v>2841</v>
      </c>
      <c r="C154" s="3220" t="s">
        <v>2438</v>
      </c>
      <c r="D154" s="3291" t="s">
        <v>1268</v>
      </c>
      <c r="E154" s="3291">
        <v>16815.8</v>
      </c>
      <c r="F154" s="3300">
        <f t="shared" si="74"/>
        <v>0</v>
      </c>
      <c r="G154" s="3300"/>
      <c r="H154" s="3291"/>
      <c r="I154" s="3301"/>
      <c r="J154" s="3301"/>
      <c r="K154" s="3291"/>
      <c r="L154" s="3215">
        <v>2000</v>
      </c>
      <c r="M154" s="3302"/>
      <c r="N154" s="3291"/>
      <c r="O154" s="3291"/>
      <c r="P154" s="3291">
        <f t="shared" si="70"/>
        <v>2000</v>
      </c>
      <c r="Q154" s="3216">
        <v>5</v>
      </c>
      <c r="R154" s="3291">
        <f t="shared" si="72"/>
        <v>11200</v>
      </c>
      <c r="S154" s="3291"/>
      <c r="T154" s="3291">
        <f t="shared" si="71"/>
        <v>11200</v>
      </c>
      <c r="U154" s="3431">
        <v>2430</v>
      </c>
      <c r="V154" s="3291">
        <v>1.07</v>
      </c>
      <c r="W154" s="3291">
        <f t="shared" si="75"/>
        <v>5.3000000000000007</v>
      </c>
      <c r="X154" s="3291">
        <f t="shared" si="76"/>
        <v>10600</v>
      </c>
      <c r="Y154" s="3291"/>
      <c r="Z154" s="3291">
        <f t="shared" si="77"/>
        <v>10600</v>
      </c>
      <c r="AA154" s="3291">
        <f t="shared" si="78"/>
        <v>5.5650000000000013</v>
      </c>
      <c r="AB154" s="3291">
        <f t="shared" si="79"/>
        <v>11130</v>
      </c>
      <c r="AC154" s="3291"/>
      <c r="AD154" s="3291">
        <f t="shared" si="80"/>
        <v>11130</v>
      </c>
      <c r="AE154" s="3305">
        <f t="shared" si="73"/>
        <v>5.6</v>
      </c>
      <c r="AF154" s="2995">
        <v>1.1200000000000001</v>
      </c>
      <c r="AI154" s="3406" t="s">
        <v>2841</v>
      </c>
      <c r="AJ154" s="2995">
        <f t="shared" si="67"/>
        <v>0</v>
      </c>
    </row>
    <row r="155" spans="1:39" hidden="1">
      <c r="A155" s="3222">
        <v>148</v>
      </c>
      <c r="B155" s="3322" t="s">
        <v>3091</v>
      </c>
      <c r="C155" s="3322" t="s">
        <v>3091</v>
      </c>
      <c r="D155" s="3323" t="s">
        <v>1022</v>
      </c>
      <c r="E155" s="3291">
        <v>16815.8</v>
      </c>
      <c r="F155" s="3300">
        <f>SUM(F158:F286)</f>
        <v>0</v>
      </c>
      <c r="G155" s="3300"/>
      <c r="H155" s="3301"/>
      <c r="I155" s="3297"/>
      <c r="J155" s="3297"/>
      <c r="K155" s="3297"/>
      <c r="L155" s="3257">
        <v>10</v>
      </c>
      <c r="M155" s="3297"/>
      <c r="N155" s="3297"/>
      <c r="O155" s="3297"/>
      <c r="P155" s="3291">
        <f t="shared" si="70"/>
        <v>10</v>
      </c>
      <c r="Q155" s="3257">
        <v>500</v>
      </c>
      <c r="R155" s="3291">
        <f t="shared" si="72"/>
        <v>5600</v>
      </c>
      <c r="S155" s="3297"/>
      <c r="T155" s="3291">
        <f t="shared" si="71"/>
        <v>5600</v>
      </c>
      <c r="U155" s="3432"/>
      <c r="V155" s="3297"/>
      <c r="W155" s="3297"/>
      <c r="X155" s="3297"/>
      <c r="Y155" s="3297"/>
      <c r="Z155" s="3297"/>
      <c r="AA155" s="3297"/>
      <c r="AB155" s="3297"/>
      <c r="AC155" s="3297"/>
      <c r="AD155" s="3297"/>
      <c r="AE155" s="3305">
        <f t="shared" si="73"/>
        <v>560</v>
      </c>
      <c r="AF155" s="2995">
        <v>1.1200000000000001</v>
      </c>
      <c r="AI155" s="3406" t="s">
        <v>3091</v>
      </c>
      <c r="AJ155" s="2995">
        <f t="shared" si="67"/>
        <v>0</v>
      </c>
      <c r="AL155" s="3406" t="s">
        <v>3092</v>
      </c>
      <c r="AM155" s="2995">
        <f>IF(B155=AL155,0,1)</f>
        <v>1</v>
      </c>
    </row>
    <row r="156" spans="1:39">
      <c r="A156" s="3222"/>
      <c r="B156" s="3322" t="s">
        <v>3093</v>
      </c>
      <c r="C156" s="3322"/>
      <c r="D156" s="3323"/>
      <c r="E156" s="3291"/>
      <c r="F156" s="3300"/>
      <c r="G156" s="3300"/>
      <c r="H156" s="3301"/>
      <c r="I156" s="3297"/>
      <c r="J156" s="3297"/>
      <c r="K156" s="3297"/>
      <c r="L156" s="3257"/>
      <c r="M156" s="3297"/>
      <c r="N156" s="3297"/>
      <c r="O156" s="3297"/>
      <c r="P156" s="3291"/>
      <c r="Q156" s="3257"/>
      <c r="R156" s="3291"/>
      <c r="S156" s="3297"/>
      <c r="T156" s="3291"/>
      <c r="U156" s="3362"/>
      <c r="V156" s="3362"/>
      <c r="W156" s="3362"/>
      <c r="X156" s="3362"/>
      <c r="Y156" s="3362"/>
      <c r="Z156" s="3362"/>
      <c r="AA156" s="3362"/>
      <c r="AB156" s="3362"/>
      <c r="AC156" s="3362"/>
      <c r="AD156" s="3362"/>
      <c r="AE156" s="3305"/>
      <c r="AF156" s="2995"/>
      <c r="AJ156" s="2995"/>
      <c r="AL156" s="3406"/>
      <c r="AM156" s="2995"/>
    </row>
    <row r="157" spans="1:39">
      <c r="A157" s="3423"/>
      <c r="B157" s="3249" t="s">
        <v>3094</v>
      </c>
      <c r="C157" s="3424"/>
      <c r="D157" s="3425"/>
      <c r="E157" s="3426"/>
      <c r="F157" s="3427"/>
      <c r="G157" s="3427"/>
      <c r="H157" s="3428"/>
      <c r="I157" s="3362"/>
      <c r="J157" s="3362"/>
      <c r="K157" s="3362"/>
      <c r="L157" s="3429"/>
      <c r="M157" s="3362"/>
      <c r="N157" s="3362"/>
      <c r="O157" s="3362"/>
      <c r="P157" s="3426"/>
      <c r="Q157" s="3429"/>
      <c r="R157" s="3426"/>
      <c r="S157" s="3362"/>
      <c r="T157" s="3426"/>
      <c r="U157" s="3362"/>
      <c r="V157" s="3362"/>
      <c r="W157" s="3362"/>
      <c r="X157" s="3362"/>
      <c r="Y157" s="3362"/>
      <c r="Z157" s="3362"/>
      <c r="AA157" s="3362"/>
      <c r="AB157" s="3362"/>
      <c r="AC157" s="3362"/>
      <c r="AD157" s="3362"/>
      <c r="AE157" s="3430"/>
      <c r="AF157" s="2995"/>
      <c r="AJ157" s="2995"/>
      <c r="AL157" s="3406"/>
      <c r="AM157" s="2995"/>
    </row>
    <row r="158" spans="1:39">
      <c r="B158" s="3249" t="s">
        <v>3095</v>
      </c>
      <c r="C158" s="3329"/>
      <c r="D158" s="3328"/>
      <c r="E158" s="3328"/>
      <c r="F158" s="3328"/>
      <c r="G158" s="3328"/>
      <c r="H158" s="3328"/>
      <c r="I158" s="3328"/>
      <c r="J158" s="3328"/>
      <c r="K158" s="3328"/>
      <c r="L158" s="3328"/>
      <c r="M158" s="3328"/>
      <c r="N158" s="3328"/>
      <c r="O158" s="3328"/>
      <c r="Q158" s="3328"/>
      <c r="R158" s="3328"/>
      <c r="S158" s="3328"/>
      <c r="T158" s="3328"/>
      <c r="U158" s="3328"/>
      <c r="V158" s="3328"/>
      <c r="W158" s="3328"/>
      <c r="X158" s="3328"/>
      <c r="Y158" s="3328"/>
      <c r="Z158" s="3328"/>
      <c r="AA158" s="3328"/>
      <c r="AB158" s="3328"/>
      <c r="AC158" s="3328"/>
      <c r="AD158" s="3328"/>
      <c r="AE158" s="3328"/>
      <c r="AJ158" s="2995">
        <f t="shared" si="67"/>
        <v>1</v>
      </c>
    </row>
    <row r="159" spans="1:39" ht="12.75">
      <c r="B159" s="3226" t="s">
        <v>3096</v>
      </c>
      <c r="C159" s="3330"/>
      <c r="D159" s="3330"/>
      <c r="E159" s="3331"/>
      <c r="F159" s="3331"/>
      <c r="G159" s="3331"/>
      <c r="H159" s="3328"/>
      <c r="I159" s="3328"/>
      <c r="J159" s="3328"/>
      <c r="K159" s="3328"/>
      <c r="L159" s="3328"/>
      <c r="M159" s="3328"/>
      <c r="N159" s="3328"/>
      <c r="O159" s="3328"/>
      <c r="Q159" s="3328"/>
      <c r="R159" s="3328"/>
      <c r="S159" s="3328"/>
      <c r="T159" s="3328"/>
      <c r="U159" s="3328"/>
      <c r="V159" s="3328"/>
      <c r="W159" s="3328"/>
      <c r="X159" s="3328"/>
      <c r="Y159" s="3328"/>
      <c r="Z159" s="3328"/>
      <c r="AA159" s="3328"/>
      <c r="AB159" s="3328"/>
      <c r="AC159" s="3328"/>
      <c r="AD159" s="3328"/>
      <c r="AE159" s="3328"/>
    </row>
    <row r="160" spans="1:39" ht="12.75">
      <c r="B160" s="2165"/>
      <c r="C160" s="3330"/>
      <c r="D160" s="3330"/>
      <c r="E160" s="3330"/>
      <c r="F160" s="3330"/>
      <c r="G160" s="3330"/>
      <c r="H160" s="3328"/>
      <c r="I160" s="3328"/>
      <c r="J160" s="3328"/>
      <c r="K160" s="3328"/>
      <c r="L160" s="3328"/>
      <c r="M160" s="3328"/>
      <c r="N160" s="3328"/>
      <c r="O160" s="3328"/>
      <c r="Q160" s="3328"/>
      <c r="R160" s="3328"/>
      <c r="S160" s="3328"/>
      <c r="T160" s="3328"/>
      <c r="U160" s="3328"/>
      <c r="V160" s="3328"/>
      <c r="W160" s="3328"/>
      <c r="X160" s="3328"/>
      <c r="Y160" s="3328"/>
      <c r="Z160" s="3328"/>
      <c r="AA160" s="3328"/>
      <c r="AB160" s="3328"/>
      <c r="AC160" s="3328"/>
      <c r="AD160" s="3328"/>
      <c r="AE160" s="3328"/>
    </row>
    <row r="161" spans="2:31" ht="12.75">
      <c r="B161" s="2165"/>
      <c r="C161" s="3330"/>
      <c r="D161" s="3330"/>
      <c r="E161" s="3330"/>
      <c r="F161" s="3332"/>
      <c r="G161" s="3332"/>
      <c r="H161" s="3328"/>
      <c r="I161" s="3328"/>
      <c r="J161" s="3328"/>
      <c r="K161" s="3328"/>
      <c r="L161" s="3328"/>
      <c r="M161" s="3328"/>
      <c r="N161" s="3328"/>
      <c r="O161" s="3328"/>
      <c r="Q161" s="3328"/>
      <c r="R161" s="3328"/>
      <c r="S161" s="3328"/>
      <c r="T161" s="3328"/>
      <c r="U161" s="3328"/>
      <c r="V161" s="3328"/>
      <c r="W161" s="3328"/>
      <c r="X161" s="3328"/>
      <c r="Y161" s="3328"/>
      <c r="Z161" s="3328"/>
      <c r="AA161" s="3328"/>
      <c r="AB161" s="3328"/>
      <c r="AC161" s="3328"/>
      <c r="AD161" s="3328"/>
      <c r="AE161" s="3328"/>
    </row>
    <row r="162" spans="2:31" ht="12.75">
      <c r="B162" s="2165"/>
      <c r="C162" s="3332"/>
      <c r="D162" s="3332"/>
      <c r="E162" s="3332"/>
      <c r="F162" s="3330"/>
      <c r="G162" s="3330"/>
      <c r="H162" s="3328"/>
      <c r="I162" s="3328"/>
      <c r="J162" s="3328"/>
      <c r="K162" s="3328"/>
      <c r="L162" s="3328"/>
      <c r="M162" s="3328"/>
      <c r="N162" s="3328"/>
      <c r="O162" s="3328"/>
      <c r="Q162" s="3328"/>
      <c r="R162" s="3328"/>
      <c r="S162" s="3328"/>
      <c r="T162" s="3328"/>
      <c r="U162" s="3328"/>
      <c r="V162" s="3328"/>
      <c r="W162" s="3328"/>
      <c r="X162" s="3328"/>
      <c r="Y162" s="3328"/>
      <c r="Z162" s="3328"/>
      <c r="AA162" s="3328"/>
      <c r="AB162" s="3328"/>
      <c r="AC162" s="3328"/>
      <c r="AD162" s="3328"/>
      <c r="AE162" s="3328"/>
    </row>
    <row r="163" spans="2:31">
      <c r="B163" s="2358"/>
      <c r="C163" s="2359"/>
      <c r="D163" s="2358"/>
      <c r="E163" s="2358"/>
      <c r="F163" s="2358"/>
      <c r="G163" s="2358"/>
      <c r="H163" s="3328"/>
      <c r="I163" s="3328"/>
      <c r="J163" s="3328"/>
      <c r="K163" s="3328"/>
      <c r="L163" s="3328"/>
      <c r="M163" s="3328"/>
      <c r="N163" s="3328"/>
      <c r="O163" s="3328"/>
      <c r="Q163" s="3328"/>
      <c r="R163" s="3328"/>
      <c r="S163" s="3328"/>
      <c r="T163" s="3328"/>
      <c r="U163" s="3328"/>
      <c r="V163" s="3328"/>
      <c r="W163" s="3328"/>
      <c r="X163" s="3328"/>
      <c r="Y163" s="3328"/>
      <c r="Z163" s="3328"/>
      <c r="AA163" s="3328"/>
      <c r="AB163" s="3328"/>
      <c r="AC163" s="3328"/>
      <c r="AD163" s="3328"/>
      <c r="AE163" s="3328"/>
    </row>
  </sheetData>
  <sheetProtection formatColumns="0" insertRows="0" deleteRows="0"/>
  <autoFilter ref="A9:AM9" xr:uid="{00000000-0009-0000-0000-00003A000000}"/>
  <sortState xmlns:xlrd2="http://schemas.microsoft.com/office/spreadsheetml/2017/richdata2" ref="B10:AE156">
    <sortCondition ref="B10"/>
  </sortState>
  <mergeCells count="21">
    <mergeCell ref="S7:T7"/>
    <mergeCell ref="A7:A8"/>
    <mergeCell ref="B7:B8"/>
    <mergeCell ref="C7:C8"/>
    <mergeCell ref="D7:D8"/>
    <mergeCell ref="E7:E8"/>
    <mergeCell ref="F7:G7"/>
    <mergeCell ref="H7:H8"/>
    <mergeCell ref="I7:K7"/>
    <mergeCell ref="L7:P7"/>
    <mergeCell ref="Q7:Q8"/>
    <mergeCell ref="R7:R8"/>
    <mergeCell ref="AE7:AE8"/>
    <mergeCell ref="AB7:AB8"/>
    <mergeCell ref="AC7:AD7"/>
    <mergeCell ref="U7:U9"/>
    <mergeCell ref="V7:V9"/>
    <mergeCell ref="W7:W8"/>
    <mergeCell ref="X7:X8"/>
    <mergeCell ref="Y7:Z7"/>
    <mergeCell ref="AA7:AA8"/>
  </mergeCells>
  <pageMargins left="0" right="0" top="0" bottom="0" header="0" footer="0"/>
  <pageSetup paperSize="9" scale="56" fitToHeight="5" orientation="landscape" r:id="rId1"/>
  <rowBreaks count="1" manualBreakCount="1">
    <brk id="36" max="30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CS22"/>
  <sheetViews>
    <sheetView zoomScaleNormal="100" workbookViewId="0">
      <selection activeCell="B14" sqref="B14"/>
    </sheetView>
  </sheetViews>
  <sheetFormatPr defaultColWidth="8.85546875" defaultRowHeight="18.75"/>
  <cols>
    <col min="1" max="1" width="5.42578125" style="3174" customWidth="1"/>
    <col min="2" max="2" width="78.42578125" style="3173" customWidth="1"/>
    <col min="3" max="3" width="72.28515625" style="3173" customWidth="1"/>
    <col min="4" max="4" width="10" style="3174" customWidth="1"/>
    <col min="5" max="5" width="10.140625" style="3174" customWidth="1"/>
    <col min="6" max="6" width="15.140625" style="3174" customWidth="1"/>
    <col min="7" max="7" width="18" style="3174" customWidth="1"/>
    <col min="8" max="8" width="15" style="3174" customWidth="1"/>
    <col min="9" max="10" width="8.28515625" style="572" customWidth="1"/>
    <col min="11" max="256" width="8.85546875" style="572"/>
    <col min="257" max="257" width="5.42578125" style="572" customWidth="1"/>
    <col min="258" max="258" width="78.42578125" style="572" customWidth="1"/>
    <col min="259" max="259" width="72.28515625" style="572" customWidth="1"/>
    <col min="260" max="260" width="10" style="572" customWidth="1"/>
    <col min="261" max="261" width="10.140625" style="572" customWidth="1"/>
    <col min="262" max="262" width="15.140625" style="572" customWidth="1"/>
    <col min="263" max="263" width="18" style="572" customWidth="1"/>
    <col min="264" max="264" width="8.85546875" style="572" customWidth="1"/>
    <col min="265" max="266" width="8.28515625" style="572" customWidth="1"/>
    <col min="267" max="512" width="8.85546875" style="572"/>
    <col min="513" max="513" width="5.42578125" style="572" customWidth="1"/>
    <col min="514" max="514" width="78.42578125" style="572" customWidth="1"/>
    <col min="515" max="515" width="72.28515625" style="572" customWidth="1"/>
    <col min="516" max="516" width="10" style="572" customWidth="1"/>
    <col min="517" max="517" width="10.140625" style="572" customWidth="1"/>
    <col min="518" max="518" width="15.140625" style="572" customWidth="1"/>
    <col min="519" max="519" width="18" style="572" customWidth="1"/>
    <col min="520" max="520" width="8.85546875" style="572" customWidth="1"/>
    <col min="521" max="522" width="8.28515625" style="572" customWidth="1"/>
    <col min="523" max="768" width="8.85546875" style="572"/>
    <col min="769" max="769" width="5.42578125" style="572" customWidth="1"/>
    <col min="770" max="770" width="78.42578125" style="572" customWidth="1"/>
    <col min="771" max="771" width="72.28515625" style="572" customWidth="1"/>
    <col min="772" max="772" width="10" style="572" customWidth="1"/>
    <col min="773" max="773" width="10.140625" style="572" customWidth="1"/>
    <col min="774" max="774" width="15.140625" style="572" customWidth="1"/>
    <col min="775" max="775" width="18" style="572" customWidth="1"/>
    <col min="776" max="776" width="8.85546875" style="572" customWidth="1"/>
    <col min="777" max="778" width="8.28515625" style="572" customWidth="1"/>
    <col min="779" max="1024" width="8.85546875" style="572"/>
    <col min="1025" max="1025" width="5.42578125" style="572" customWidth="1"/>
    <col min="1026" max="1026" width="78.42578125" style="572" customWidth="1"/>
    <col min="1027" max="1027" width="72.28515625" style="572" customWidth="1"/>
    <col min="1028" max="1028" width="10" style="572" customWidth="1"/>
    <col min="1029" max="1029" width="10.140625" style="572" customWidth="1"/>
    <col min="1030" max="1030" width="15.140625" style="572" customWidth="1"/>
    <col min="1031" max="1031" width="18" style="572" customWidth="1"/>
    <col min="1032" max="1032" width="8.85546875" style="572" customWidth="1"/>
    <col min="1033" max="1034" width="8.28515625" style="572" customWidth="1"/>
    <col min="1035" max="1280" width="8.85546875" style="572"/>
    <col min="1281" max="1281" width="5.42578125" style="572" customWidth="1"/>
    <col min="1282" max="1282" width="78.42578125" style="572" customWidth="1"/>
    <col min="1283" max="1283" width="72.28515625" style="572" customWidth="1"/>
    <col min="1284" max="1284" width="10" style="572" customWidth="1"/>
    <col min="1285" max="1285" width="10.140625" style="572" customWidth="1"/>
    <col min="1286" max="1286" width="15.140625" style="572" customWidth="1"/>
    <col min="1287" max="1287" width="18" style="572" customWidth="1"/>
    <col min="1288" max="1288" width="8.85546875" style="572" customWidth="1"/>
    <col min="1289" max="1290" width="8.28515625" style="572" customWidth="1"/>
    <col min="1291" max="1536" width="8.85546875" style="572"/>
    <col min="1537" max="1537" width="5.42578125" style="572" customWidth="1"/>
    <col min="1538" max="1538" width="78.42578125" style="572" customWidth="1"/>
    <col min="1539" max="1539" width="72.28515625" style="572" customWidth="1"/>
    <col min="1540" max="1540" width="10" style="572" customWidth="1"/>
    <col min="1541" max="1541" width="10.140625" style="572" customWidth="1"/>
    <col min="1542" max="1542" width="15.140625" style="572" customWidth="1"/>
    <col min="1543" max="1543" width="18" style="572" customWidth="1"/>
    <col min="1544" max="1544" width="8.85546875" style="572" customWidth="1"/>
    <col min="1545" max="1546" width="8.28515625" style="572" customWidth="1"/>
    <col min="1547" max="1792" width="8.85546875" style="572"/>
    <col min="1793" max="1793" width="5.42578125" style="572" customWidth="1"/>
    <col min="1794" max="1794" width="78.42578125" style="572" customWidth="1"/>
    <col min="1795" max="1795" width="72.28515625" style="572" customWidth="1"/>
    <col min="1796" max="1796" width="10" style="572" customWidth="1"/>
    <col min="1797" max="1797" width="10.140625" style="572" customWidth="1"/>
    <col min="1798" max="1798" width="15.140625" style="572" customWidth="1"/>
    <col min="1799" max="1799" width="18" style="572" customWidth="1"/>
    <col min="1800" max="1800" width="8.85546875" style="572" customWidth="1"/>
    <col min="1801" max="1802" width="8.28515625" style="572" customWidth="1"/>
    <col min="1803" max="2048" width="8.85546875" style="572"/>
    <col min="2049" max="2049" width="5.42578125" style="572" customWidth="1"/>
    <col min="2050" max="2050" width="78.42578125" style="572" customWidth="1"/>
    <col min="2051" max="2051" width="72.28515625" style="572" customWidth="1"/>
    <col min="2052" max="2052" width="10" style="572" customWidth="1"/>
    <col min="2053" max="2053" width="10.140625" style="572" customWidth="1"/>
    <col min="2054" max="2054" width="15.140625" style="572" customWidth="1"/>
    <col min="2055" max="2055" width="18" style="572" customWidth="1"/>
    <col min="2056" max="2056" width="8.85546875" style="572" customWidth="1"/>
    <col min="2057" max="2058" width="8.28515625" style="572" customWidth="1"/>
    <col min="2059" max="2304" width="8.85546875" style="572"/>
    <col min="2305" max="2305" width="5.42578125" style="572" customWidth="1"/>
    <col min="2306" max="2306" width="78.42578125" style="572" customWidth="1"/>
    <col min="2307" max="2307" width="72.28515625" style="572" customWidth="1"/>
    <col min="2308" max="2308" width="10" style="572" customWidth="1"/>
    <col min="2309" max="2309" width="10.140625" style="572" customWidth="1"/>
    <col min="2310" max="2310" width="15.140625" style="572" customWidth="1"/>
    <col min="2311" max="2311" width="18" style="572" customWidth="1"/>
    <col min="2312" max="2312" width="8.85546875" style="572" customWidth="1"/>
    <col min="2313" max="2314" width="8.28515625" style="572" customWidth="1"/>
    <col min="2315" max="2560" width="8.85546875" style="572"/>
    <col min="2561" max="2561" width="5.42578125" style="572" customWidth="1"/>
    <col min="2562" max="2562" width="78.42578125" style="572" customWidth="1"/>
    <col min="2563" max="2563" width="72.28515625" style="572" customWidth="1"/>
    <col min="2564" max="2564" width="10" style="572" customWidth="1"/>
    <col min="2565" max="2565" width="10.140625" style="572" customWidth="1"/>
    <col min="2566" max="2566" width="15.140625" style="572" customWidth="1"/>
    <col min="2567" max="2567" width="18" style="572" customWidth="1"/>
    <col min="2568" max="2568" width="8.85546875" style="572" customWidth="1"/>
    <col min="2569" max="2570" width="8.28515625" style="572" customWidth="1"/>
    <col min="2571" max="2816" width="8.85546875" style="572"/>
    <col min="2817" max="2817" width="5.42578125" style="572" customWidth="1"/>
    <col min="2818" max="2818" width="78.42578125" style="572" customWidth="1"/>
    <col min="2819" max="2819" width="72.28515625" style="572" customWidth="1"/>
    <col min="2820" max="2820" width="10" style="572" customWidth="1"/>
    <col min="2821" max="2821" width="10.140625" style="572" customWidth="1"/>
    <col min="2822" max="2822" width="15.140625" style="572" customWidth="1"/>
    <col min="2823" max="2823" width="18" style="572" customWidth="1"/>
    <col min="2824" max="2824" width="8.85546875" style="572" customWidth="1"/>
    <col min="2825" max="2826" width="8.28515625" style="572" customWidth="1"/>
    <col min="2827" max="3072" width="8.85546875" style="572"/>
    <col min="3073" max="3073" width="5.42578125" style="572" customWidth="1"/>
    <col min="3074" max="3074" width="78.42578125" style="572" customWidth="1"/>
    <col min="3075" max="3075" width="72.28515625" style="572" customWidth="1"/>
    <col min="3076" max="3076" width="10" style="572" customWidth="1"/>
    <col min="3077" max="3077" width="10.140625" style="572" customWidth="1"/>
    <col min="3078" max="3078" width="15.140625" style="572" customWidth="1"/>
    <col min="3079" max="3079" width="18" style="572" customWidth="1"/>
    <col min="3080" max="3080" width="8.85546875" style="572" customWidth="1"/>
    <col min="3081" max="3082" width="8.28515625" style="572" customWidth="1"/>
    <col min="3083" max="3328" width="8.85546875" style="572"/>
    <col min="3329" max="3329" width="5.42578125" style="572" customWidth="1"/>
    <col min="3330" max="3330" width="78.42578125" style="572" customWidth="1"/>
    <col min="3331" max="3331" width="72.28515625" style="572" customWidth="1"/>
    <col min="3332" max="3332" width="10" style="572" customWidth="1"/>
    <col min="3333" max="3333" width="10.140625" style="572" customWidth="1"/>
    <col min="3334" max="3334" width="15.140625" style="572" customWidth="1"/>
    <col min="3335" max="3335" width="18" style="572" customWidth="1"/>
    <col min="3336" max="3336" width="8.85546875" style="572" customWidth="1"/>
    <col min="3337" max="3338" width="8.28515625" style="572" customWidth="1"/>
    <col min="3339" max="3584" width="8.85546875" style="572"/>
    <col min="3585" max="3585" width="5.42578125" style="572" customWidth="1"/>
    <col min="3586" max="3586" width="78.42578125" style="572" customWidth="1"/>
    <col min="3587" max="3587" width="72.28515625" style="572" customWidth="1"/>
    <col min="3588" max="3588" width="10" style="572" customWidth="1"/>
    <col min="3589" max="3589" width="10.140625" style="572" customWidth="1"/>
    <col min="3590" max="3590" width="15.140625" style="572" customWidth="1"/>
    <col min="3591" max="3591" width="18" style="572" customWidth="1"/>
    <col min="3592" max="3592" width="8.85546875" style="572" customWidth="1"/>
    <col min="3593" max="3594" width="8.28515625" style="572" customWidth="1"/>
    <col min="3595" max="3840" width="8.85546875" style="572"/>
    <col min="3841" max="3841" width="5.42578125" style="572" customWidth="1"/>
    <col min="3842" max="3842" width="78.42578125" style="572" customWidth="1"/>
    <col min="3843" max="3843" width="72.28515625" style="572" customWidth="1"/>
    <col min="3844" max="3844" width="10" style="572" customWidth="1"/>
    <col min="3845" max="3845" width="10.140625" style="572" customWidth="1"/>
    <col min="3846" max="3846" width="15.140625" style="572" customWidth="1"/>
    <col min="3847" max="3847" width="18" style="572" customWidth="1"/>
    <col min="3848" max="3848" width="8.85546875" style="572" customWidth="1"/>
    <col min="3849" max="3850" width="8.28515625" style="572" customWidth="1"/>
    <col min="3851" max="4096" width="8.85546875" style="572"/>
    <col min="4097" max="4097" width="5.42578125" style="572" customWidth="1"/>
    <col min="4098" max="4098" width="78.42578125" style="572" customWidth="1"/>
    <col min="4099" max="4099" width="72.28515625" style="572" customWidth="1"/>
    <col min="4100" max="4100" width="10" style="572" customWidth="1"/>
    <col min="4101" max="4101" width="10.140625" style="572" customWidth="1"/>
    <col min="4102" max="4102" width="15.140625" style="572" customWidth="1"/>
    <col min="4103" max="4103" width="18" style="572" customWidth="1"/>
    <col min="4104" max="4104" width="8.85546875" style="572" customWidth="1"/>
    <col min="4105" max="4106" width="8.28515625" style="572" customWidth="1"/>
    <col min="4107" max="4352" width="8.85546875" style="572"/>
    <col min="4353" max="4353" width="5.42578125" style="572" customWidth="1"/>
    <col min="4354" max="4354" width="78.42578125" style="572" customWidth="1"/>
    <col min="4355" max="4355" width="72.28515625" style="572" customWidth="1"/>
    <col min="4356" max="4356" width="10" style="572" customWidth="1"/>
    <col min="4357" max="4357" width="10.140625" style="572" customWidth="1"/>
    <col min="4358" max="4358" width="15.140625" style="572" customWidth="1"/>
    <col min="4359" max="4359" width="18" style="572" customWidth="1"/>
    <col min="4360" max="4360" width="8.85546875" style="572" customWidth="1"/>
    <col min="4361" max="4362" width="8.28515625" style="572" customWidth="1"/>
    <col min="4363" max="4608" width="8.85546875" style="572"/>
    <col min="4609" max="4609" width="5.42578125" style="572" customWidth="1"/>
    <col min="4610" max="4610" width="78.42578125" style="572" customWidth="1"/>
    <col min="4611" max="4611" width="72.28515625" style="572" customWidth="1"/>
    <col min="4612" max="4612" width="10" style="572" customWidth="1"/>
    <col min="4613" max="4613" width="10.140625" style="572" customWidth="1"/>
    <col min="4614" max="4614" width="15.140625" style="572" customWidth="1"/>
    <col min="4615" max="4615" width="18" style="572" customWidth="1"/>
    <col min="4616" max="4616" width="8.85546875" style="572" customWidth="1"/>
    <col min="4617" max="4618" width="8.28515625" style="572" customWidth="1"/>
    <col min="4619" max="4864" width="8.85546875" style="572"/>
    <col min="4865" max="4865" width="5.42578125" style="572" customWidth="1"/>
    <col min="4866" max="4866" width="78.42578125" style="572" customWidth="1"/>
    <col min="4867" max="4867" width="72.28515625" style="572" customWidth="1"/>
    <col min="4868" max="4868" width="10" style="572" customWidth="1"/>
    <col min="4869" max="4869" width="10.140625" style="572" customWidth="1"/>
    <col min="4870" max="4870" width="15.140625" style="572" customWidth="1"/>
    <col min="4871" max="4871" width="18" style="572" customWidth="1"/>
    <col min="4872" max="4872" width="8.85546875" style="572" customWidth="1"/>
    <col min="4873" max="4874" width="8.28515625" style="572" customWidth="1"/>
    <col min="4875" max="5120" width="8.85546875" style="572"/>
    <col min="5121" max="5121" width="5.42578125" style="572" customWidth="1"/>
    <col min="5122" max="5122" width="78.42578125" style="572" customWidth="1"/>
    <col min="5123" max="5123" width="72.28515625" style="572" customWidth="1"/>
    <col min="5124" max="5124" width="10" style="572" customWidth="1"/>
    <col min="5125" max="5125" width="10.140625" style="572" customWidth="1"/>
    <col min="5126" max="5126" width="15.140625" style="572" customWidth="1"/>
    <col min="5127" max="5127" width="18" style="572" customWidth="1"/>
    <col min="5128" max="5128" width="8.85546875" style="572" customWidth="1"/>
    <col min="5129" max="5130" width="8.28515625" style="572" customWidth="1"/>
    <col min="5131" max="5376" width="8.85546875" style="572"/>
    <col min="5377" max="5377" width="5.42578125" style="572" customWidth="1"/>
    <col min="5378" max="5378" width="78.42578125" style="572" customWidth="1"/>
    <col min="5379" max="5379" width="72.28515625" style="572" customWidth="1"/>
    <col min="5380" max="5380" width="10" style="572" customWidth="1"/>
    <col min="5381" max="5381" width="10.140625" style="572" customWidth="1"/>
    <col min="5382" max="5382" width="15.140625" style="572" customWidth="1"/>
    <col min="5383" max="5383" width="18" style="572" customWidth="1"/>
    <col min="5384" max="5384" width="8.85546875" style="572" customWidth="1"/>
    <col min="5385" max="5386" width="8.28515625" style="572" customWidth="1"/>
    <col min="5387" max="5632" width="8.85546875" style="572"/>
    <col min="5633" max="5633" width="5.42578125" style="572" customWidth="1"/>
    <col min="5634" max="5634" width="78.42578125" style="572" customWidth="1"/>
    <col min="5635" max="5635" width="72.28515625" style="572" customWidth="1"/>
    <col min="5636" max="5636" width="10" style="572" customWidth="1"/>
    <col min="5637" max="5637" width="10.140625" style="572" customWidth="1"/>
    <col min="5638" max="5638" width="15.140625" style="572" customWidth="1"/>
    <col min="5639" max="5639" width="18" style="572" customWidth="1"/>
    <col min="5640" max="5640" width="8.85546875" style="572" customWidth="1"/>
    <col min="5641" max="5642" width="8.28515625" style="572" customWidth="1"/>
    <col min="5643" max="5888" width="8.85546875" style="572"/>
    <col min="5889" max="5889" width="5.42578125" style="572" customWidth="1"/>
    <col min="5890" max="5890" width="78.42578125" style="572" customWidth="1"/>
    <col min="5891" max="5891" width="72.28515625" style="572" customWidth="1"/>
    <col min="5892" max="5892" width="10" style="572" customWidth="1"/>
    <col min="5893" max="5893" width="10.140625" style="572" customWidth="1"/>
    <col min="5894" max="5894" width="15.140625" style="572" customWidth="1"/>
    <col min="5895" max="5895" width="18" style="572" customWidth="1"/>
    <col min="5896" max="5896" width="8.85546875" style="572" customWidth="1"/>
    <col min="5897" max="5898" width="8.28515625" style="572" customWidth="1"/>
    <col min="5899" max="6144" width="8.85546875" style="572"/>
    <col min="6145" max="6145" width="5.42578125" style="572" customWidth="1"/>
    <col min="6146" max="6146" width="78.42578125" style="572" customWidth="1"/>
    <col min="6147" max="6147" width="72.28515625" style="572" customWidth="1"/>
    <col min="6148" max="6148" width="10" style="572" customWidth="1"/>
    <col min="6149" max="6149" width="10.140625" style="572" customWidth="1"/>
    <col min="6150" max="6150" width="15.140625" style="572" customWidth="1"/>
    <col min="6151" max="6151" width="18" style="572" customWidth="1"/>
    <col min="6152" max="6152" width="8.85546875" style="572" customWidth="1"/>
    <col min="6153" max="6154" width="8.28515625" style="572" customWidth="1"/>
    <col min="6155" max="6400" width="8.85546875" style="572"/>
    <col min="6401" max="6401" width="5.42578125" style="572" customWidth="1"/>
    <col min="6402" max="6402" width="78.42578125" style="572" customWidth="1"/>
    <col min="6403" max="6403" width="72.28515625" style="572" customWidth="1"/>
    <col min="6404" max="6404" width="10" style="572" customWidth="1"/>
    <col min="6405" max="6405" width="10.140625" style="572" customWidth="1"/>
    <col min="6406" max="6406" width="15.140625" style="572" customWidth="1"/>
    <col min="6407" max="6407" width="18" style="572" customWidth="1"/>
    <col min="6408" max="6408" width="8.85546875" style="572" customWidth="1"/>
    <col min="6409" max="6410" width="8.28515625" style="572" customWidth="1"/>
    <col min="6411" max="6656" width="8.85546875" style="572"/>
    <col min="6657" max="6657" width="5.42578125" style="572" customWidth="1"/>
    <col min="6658" max="6658" width="78.42578125" style="572" customWidth="1"/>
    <col min="6659" max="6659" width="72.28515625" style="572" customWidth="1"/>
    <col min="6660" max="6660" width="10" style="572" customWidth="1"/>
    <col min="6661" max="6661" width="10.140625" style="572" customWidth="1"/>
    <col min="6662" max="6662" width="15.140625" style="572" customWidth="1"/>
    <col min="6663" max="6663" width="18" style="572" customWidth="1"/>
    <col min="6664" max="6664" width="8.85546875" style="572" customWidth="1"/>
    <col min="6665" max="6666" width="8.28515625" style="572" customWidth="1"/>
    <col min="6667" max="6912" width="8.85546875" style="572"/>
    <col min="6913" max="6913" width="5.42578125" style="572" customWidth="1"/>
    <col min="6914" max="6914" width="78.42578125" style="572" customWidth="1"/>
    <col min="6915" max="6915" width="72.28515625" style="572" customWidth="1"/>
    <col min="6916" max="6916" width="10" style="572" customWidth="1"/>
    <col min="6917" max="6917" width="10.140625" style="572" customWidth="1"/>
    <col min="6918" max="6918" width="15.140625" style="572" customWidth="1"/>
    <col min="6919" max="6919" width="18" style="572" customWidth="1"/>
    <col min="6920" max="6920" width="8.85546875" style="572" customWidth="1"/>
    <col min="6921" max="6922" width="8.28515625" style="572" customWidth="1"/>
    <col min="6923" max="7168" width="8.85546875" style="572"/>
    <col min="7169" max="7169" width="5.42578125" style="572" customWidth="1"/>
    <col min="7170" max="7170" width="78.42578125" style="572" customWidth="1"/>
    <col min="7171" max="7171" width="72.28515625" style="572" customWidth="1"/>
    <col min="7172" max="7172" width="10" style="572" customWidth="1"/>
    <col min="7173" max="7173" width="10.140625" style="572" customWidth="1"/>
    <col min="7174" max="7174" width="15.140625" style="572" customWidth="1"/>
    <col min="7175" max="7175" width="18" style="572" customWidth="1"/>
    <col min="7176" max="7176" width="8.85546875" style="572" customWidth="1"/>
    <col min="7177" max="7178" width="8.28515625" style="572" customWidth="1"/>
    <col min="7179" max="7424" width="8.85546875" style="572"/>
    <col min="7425" max="7425" width="5.42578125" style="572" customWidth="1"/>
    <col min="7426" max="7426" width="78.42578125" style="572" customWidth="1"/>
    <col min="7427" max="7427" width="72.28515625" style="572" customWidth="1"/>
    <col min="7428" max="7428" width="10" style="572" customWidth="1"/>
    <col min="7429" max="7429" width="10.140625" style="572" customWidth="1"/>
    <col min="7430" max="7430" width="15.140625" style="572" customWidth="1"/>
    <col min="7431" max="7431" width="18" style="572" customWidth="1"/>
    <col min="7432" max="7432" width="8.85546875" style="572" customWidth="1"/>
    <col min="7433" max="7434" width="8.28515625" style="572" customWidth="1"/>
    <col min="7435" max="7680" width="8.85546875" style="572"/>
    <col min="7681" max="7681" width="5.42578125" style="572" customWidth="1"/>
    <col min="7682" max="7682" width="78.42578125" style="572" customWidth="1"/>
    <col min="7683" max="7683" width="72.28515625" style="572" customWidth="1"/>
    <col min="7684" max="7684" width="10" style="572" customWidth="1"/>
    <col min="7685" max="7685" width="10.140625" style="572" customWidth="1"/>
    <col min="7686" max="7686" width="15.140625" style="572" customWidth="1"/>
    <col min="7687" max="7687" width="18" style="572" customWidth="1"/>
    <col min="7688" max="7688" width="8.85546875" style="572" customWidth="1"/>
    <col min="7689" max="7690" width="8.28515625" style="572" customWidth="1"/>
    <col min="7691" max="7936" width="8.85546875" style="572"/>
    <col min="7937" max="7937" width="5.42578125" style="572" customWidth="1"/>
    <col min="7938" max="7938" width="78.42578125" style="572" customWidth="1"/>
    <col min="7939" max="7939" width="72.28515625" style="572" customWidth="1"/>
    <col min="7940" max="7940" width="10" style="572" customWidth="1"/>
    <col min="7941" max="7941" width="10.140625" style="572" customWidth="1"/>
    <col min="7942" max="7942" width="15.140625" style="572" customWidth="1"/>
    <col min="7943" max="7943" width="18" style="572" customWidth="1"/>
    <col min="7944" max="7944" width="8.85546875" style="572" customWidth="1"/>
    <col min="7945" max="7946" width="8.28515625" style="572" customWidth="1"/>
    <col min="7947" max="8192" width="8.85546875" style="572"/>
    <col min="8193" max="8193" width="5.42578125" style="572" customWidth="1"/>
    <col min="8194" max="8194" width="78.42578125" style="572" customWidth="1"/>
    <col min="8195" max="8195" width="72.28515625" style="572" customWidth="1"/>
    <col min="8196" max="8196" width="10" style="572" customWidth="1"/>
    <col min="8197" max="8197" width="10.140625" style="572" customWidth="1"/>
    <col min="8198" max="8198" width="15.140625" style="572" customWidth="1"/>
    <col min="8199" max="8199" width="18" style="572" customWidth="1"/>
    <col min="8200" max="8200" width="8.85546875" style="572" customWidth="1"/>
    <col min="8201" max="8202" width="8.28515625" style="572" customWidth="1"/>
    <col min="8203" max="8448" width="8.85546875" style="572"/>
    <col min="8449" max="8449" width="5.42578125" style="572" customWidth="1"/>
    <col min="8450" max="8450" width="78.42578125" style="572" customWidth="1"/>
    <col min="8451" max="8451" width="72.28515625" style="572" customWidth="1"/>
    <col min="8452" max="8452" width="10" style="572" customWidth="1"/>
    <col min="8453" max="8453" width="10.140625" style="572" customWidth="1"/>
    <col min="8454" max="8454" width="15.140625" style="572" customWidth="1"/>
    <col min="8455" max="8455" width="18" style="572" customWidth="1"/>
    <col min="8456" max="8456" width="8.85546875" style="572" customWidth="1"/>
    <col min="8457" max="8458" width="8.28515625" style="572" customWidth="1"/>
    <col min="8459" max="8704" width="8.85546875" style="572"/>
    <col min="8705" max="8705" width="5.42578125" style="572" customWidth="1"/>
    <col min="8706" max="8706" width="78.42578125" style="572" customWidth="1"/>
    <col min="8707" max="8707" width="72.28515625" style="572" customWidth="1"/>
    <col min="8708" max="8708" width="10" style="572" customWidth="1"/>
    <col min="8709" max="8709" width="10.140625" style="572" customWidth="1"/>
    <col min="8710" max="8710" width="15.140625" style="572" customWidth="1"/>
    <col min="8711" max="8711" width="18" style="572" customWidth="1"/>
    <col min="8712" max="8712" width="8.85546875" style="572" customWidth="1"/>
    <col min="8713" max="8714" width="8.28515625" style="572" customWidth="1"/>
    <col min="8715" max="8960" width="8.85546875" style="572"/>
    <col min="8961" max="8961" width="5.42578125" style="572" customWidth="1"/>
    <col min="8962" max="8962" width="78.42578125" style="572" customWidth="1"/>
    <col min="8963" max="8963" width="72.28515625" style="572" customWidth="1"/>
    <col min="8964" max="8964" width="10" style="572" customWidth="1"/>
    <col min="8965" max="8965" width="10.140625" style="572" customWidth="1"/>
    <col min="8966" max="8966" width="15.140625" style="572" customWidth="1"/>
    <col min="8967" max="8967" width="18" style="572" customWidth="1"/>
    <col min="8968" max="8968" width="8.85546875" style="572" customWidth="1"/>
    <col min="8969" max="8970" width="8.28515625" style="572" customWidth="1"/>
    <col min="8971" max="9216" width="8.85546875" style="572"/>
    <col min="9217" max="9217" width="5.42578125" style="572" customWidth="1"/>
    <col min="9218" max="9218" width="78.42578125" style="572" customWidth="1"/>
    <col min="9219" max="9219" width="72.28515625" style="572" customWidth="1"/>
    <col min="9220" max="9220" width="10" style="572" customWidth="1"/>
    <col min="9221" max="9221" width="10.140625" style="572" customWidth="1"/>
    <col min="9222" max="9222" width="15.140625" style="572" customWidth="1"/>
    <col min="9223" max="9223" width="18" style="572" customWidth="1"/>
    <col min="9224" max="9224" width="8.85546875" style="572" customWidth="1"/>
    <col min="9225" max="9226" width="8.28515625" style="572" customWidth="1"/>
    <col min="9227" max="9472" width="8.85546875" style="572"/>
    <col min="9473" max="9473" width="5.42578125" style="572" customWidth="1"/>
    <col min="9474" max="9474" width="78.42578125" style="572" customWidth="1"/>
    <col min="9475" max="9475" width="72.28515625" style="572" customWidth="1"/>
    <col min="9476" max="9476" width="10" style="572" customWidth="1"/>
    <col min="9477" max="9477" width="10.140625" style="572" customWidth="1"/>
    <col min="9478" max="9478" width="15.140625" style="572" customWidth="1"/>
    <col min="9479" max="9479" width="18" style="572" customWidth="1"/>
    <col min="9480" max="9480" width="8.85546875" style="572" customWidth="1"/>
    <col min="9481" max="9482" width="8.28515625" style="572" customWidth="1"/>
    <col min="9483" max="9728" width="8.85546875" style="572"/>
    <col min="9729" max="9729" width="5.42578125" style="572" customWidth="1"/>
    <col min="9730" max="9730" width="78.42578125" style="572" customWidth="1"/>
    <col min="9731" max="9731" width="72.28515625" style="572" customWidth="1"/>
    <col min="9732" max="9732" width="10" style="572" customWidth="1"/>
    <col min="9733" max="9733" width="10.140625" style="572" customWidth="1"/>
    <col min="9734" max="9734" width="15.140625" style="572" customWidth="1"/>
    <col min="9735" max="9735" width="18" style="572" customWidth="1"/>
    <col min="9736" max="9736" width="8.85546875" style="572" customWidth="1"/>
    <col min="9737" max="9738" width="8.28515625" style="572" customWidth="1"/>
    <col min="9739" max="9984" width="8.85546875" style="572"/>
    <col min="9985" max="9985" width="5.42578125" style="572" customWidth="1"/>
    <col min="9986" max="9986" width="78.42578125" style="572" customWidth="1"/>
    <col min="9987" max="9987" width="72.28515625" style="572" customWidth="1"/>
    <col min="9988" max="9988" width="10" style="572" customWidth="1"/>
    <col min="9989" max="9989" width="10.140625" style="572" customWidth="1"/>
    <col min="9990" max="9990" width="15.140625" style="572" customWidth="1"/>
    <col min="9991" max="9991" width="18" style="572" customWidth="1"/>
    <col min="9992" max="9992" width="8.85546875" style="572" customWidth="1"/>
    <col min="9993" max="9994" width="8.28515625" style="572" customWidth="1"/>
    <col min="9995" max="10240" width="8.85546875" style="572"/>
    <col min="10241" max="10241" width="5.42578125" style="572" customWidth="1"/>
    <col min="10242" max="10242" width="78.42578125" style="572" customWidth="1"/>
    <col min="10243" max="10243" width="72.28515625" style="572" customWidth="1"/>
    <col min="10244" max="10244" width="10" style="572" customWidth="1"/>
    <col min="10245" max="10245" width="10.140625" style="572" customWidth="1"/>
    <col min="10246" max="10246" width="15.140625" style="572" customWidth="1"/>
    <col min="10247" max="10247" width="18" style="572" customWidth="1"/>
    <col min="10248" max="10248" width="8.85546875" style="572" customWidth="1"/>
    <col min="10249" max="10250" width="8.28515625" style="572" customWidth="1"/>
    <col min="10251" max="10496" width="8.85546875" style="572"/>
    <col min="10497" max="10497" width="5.42578125" style="572" customWidth="1"/>
    <col min="10498" max="10498" width="78.42578125" style="572" customWidth="1"/>
    <col min="10499" max="10499" width="72.28515625" style="572" customWidth="1"/>
    <col min="10500" max="10500" width="10" style="572" customWidth="1"/>
    <col min="10501" max="10501" width="10.140625" style="572" customWidth="1"/>
    <col min="10502" max="10502" width="15.140625" style="572" customWidth="1"/>
    <col min="10503" max="10503" width="18" style="572" customWidth="1"/>
    <col min="10504" max="10504" width="8.85546875" style="572" customWidth="1"/>
    <col min="10505" max="10506" width="8.28515625" style="572" customWidth="1"/>
    <col min="10507" max="10752" width="8.85546875" style="572"/>
    <col min="10753" max="10753" width="5.42578125" style="572" customWidth="1"/>
    <col min="10754" max="10754" width="78.42578125" style="572" customWidth="1"/>
    <col min="10755" max="10755" width="72.28515625" style="572" customWidth="1"/>
    <col min="10756" max="10756" width="10" style="572" customWidth="1"/>
    <col min="10757" max="10757" width="10.140625" style="572" customWidth="1"/>
    <col min="10758" max="10758" width="15.140625" style="572" customWidth="1"/>
    <col min="10759" max="10759" width="18" style="572" customWidth="1"/>
    <col min="10760" max="10760" width="8.85546875" style="572" customWidth="1"/>
    <col min="10761" max="10762" width="8.28515625" style="572" customWidth="1"/>
    <col min="10763" max="11008" width="8.85546875" style="572"/>
    <col min="11009" max="11009" width="5.42578125" style="572" customWidth="1"/>
    <col min="11010" max="11010" width="78.42578125" style="572" customWidth="1"/>
    <col min="11011" max="11011" width="72.28515625" style="572" customWidth="1"/>
    <col min="11012" max="11012" width="10" style="572" customWidth="1"/>
    <col min="11013" max="11013" width="10.140625" style="572" customWidth="1"/>
    <col min="11014" max="11014" width="15.140625" style="572" customWidth="1"/>
    <col min="11015" max="11015" width="18" style="572" customWidth="1"/>
    <col min="11016" max="11016" width="8.85546875" style="572" customWidth="1"/>
    <col min="11017" max="11018" width="8.28515625" style="572" customWidth="1"/>
    <col min="11019" max="11264" width="8.85546875" style="572"/>
    <col min="11265" max="11265" width="5.42578125" style="572" customWidth="1"/>
    <col min="11266" max="11266" width="78.42578125" style="572" customWidth="1"/>
    <col min="11267" max="11267" width="72.28515625" style="572" customWidth="1"/>
    <col min="11268" max="11268" width="10" style="572" customWidth="1"/>
    <col min="11269" max="11269" width="10.140625" style="572" customWidth="1"/>
    <col min="11270" max="11270" width="15.140625" style="572" customWidth="1"/>
    <col min="11271" max="11271" width="18" style="572" customWidth="1"/>
    <col min="11272" max="11272" width="8.85546875" style="572" customWidth="1"/>
    <col min="11273" max="11274" width="8.28515625" style="572" customWidth="1"/>
    <col min="11275" max="11520" width="8.85546875" style="572"/>
    <col min="11521" max="11521" width="5.42578125" style="572" customWidth="1"/>
    <col min="11522" max="11522" width="78.42578125" style="572" customWidth="1"/>
    <col min="11523" max="11523" width="72.28515625" style="572" customWidth="1"/>
    <col min="11524" max="11524" width="10" style="572" customWidth="1"/>
    <col min="11525" max="11525" width="10.140625" style="572" customWidth="1"/>
    <col min="11526" max="11526" width="15.140625" style="572" customWidth="1"/>
    <col min="11527" max="11527" width="18" style="572" customWidth="1"/>
    <col min="11528" max="11528" width="8.85546875" style="572" customWidth="1"/>
    <col min="11529" max="11530" width="8.28515625" style="572" customWidth="1"/>
    <col min="11531" max="11776" width="8.85546875" style="572"/>
    <col min="11777" max="11777" width="5.42578125" style="572" customWidth="1"/>
    <col min="11778" max="11778" width="78.42578125" style="572" customWidth="1"/>
    <col min="11779" max="11779" width="72.28515625" style="572" customWidth="1"/>
    <col min="11780" max="11780" width="10" style="572" customWidth="1"/>
    <col min="11781" max="11781" width="10.140625" style="572" customWidth="1"/>
    <col min="11782" max="11782" width="15.140625" style="572" customWidth="1"/>
    <col min="11783" max="11783" width="18" style="572" customWidth="1"/>
    <col min="11784" max="11784" width="8.85546875" style="572" customWidth="1"/>
    <col min="11785" max="11786" width="8.28515625" style="572" customWidth="1"/>
    <col min="11787" max="12032" width="8.85546875" style="572"/>
    <col min="12033" max="12033" width="5.42578125" style="572" customWidth="1"/>
    <col min="12034" max="12034" width="78.42578125" style="572" customWidth="1"/>
    <col min="12035" max="12035" width="72.28515625" style="572" customWidth="1"/>
    <col min="12036" max="12036" width="10" style="572" customWidth="1"/>
    <col min="12037" max="12037" width="10.140625" style="572" customWidth="1"/>
    <col min="12038" max="12038" width="15.140625" style="572" customWidth="1"/>
    <col min="12039" max="12039" width="18" style="572" customWidth="1"/>
    <col min="12040" max="12040" width="8.85546875" style="572" customWidth="1"/>
    <col min="12041" max="12042" width="8.28515625" style="572" customWidth="1"/>
    <col min="12043" max="12288" width="8.85546875" style="572"/>
    <col min="12289" max="12289" width="5.42578125" style="572" customWidth="1"/>
    <col min="12290" max="12290" width="78.42578125" style="572" customWidth="1"/>
    <col min="12291" max="12291" width="72.28515625" style="572" customWidth="1"/>
    <col min="12292" max="12292" width="10" style="572" customWidth="1"/>
    <col min="12293" max="12293" width="10.140625" style="572" customWidth="1"/>
    <col min="12294" max="12294" width="15.140625" style="572" customWidth="1"/>
    <col min="12295" max="12295" width="18" style="572" customWidth="1"/>
    <col min="12296" max="12296" width="8.85546875" style="572" customWidth="1"/>
    <col min="12297" max="12298" width="8.28515625" style="572" customWidth="1"/>
    <col min="12299" max="12544" width="8.85546875" style="572"/>
    <col min="12545" max="12545" width="5.42578125" style="572" customWidth="1"/>
    <col min="12546" max="12546" width="78.42578125" style="572" customWidth="1"/>
    <col min="12547" max="12547" width="72.28515625" style="572" customWidth="1"/>
    <col min="12548" max="12548" width="10" style="572" customWidth="1"/>
    <col min="12549" max="12549" width="10.140625" style="572" customWidth="1"/>
    <col min="12550" max="12550" width="15.140625" style="572" customWidth="1"/>
    <col min="12551" max="12551" width="18" style="572" customWidth="1"/>
    <col min="12552" max="12552" width="8.85546875" style="572" customWidth="1"/>
    <col min="12553" max="12554" width="8.28515625" style="572" customWidth="1"/>
    <col min="12555" max="12800" width="8.85546875" style="572"/>
    <col min="12801" max="12801" width="5.42578125" style="572" customWidth="1"/>
    <col min="12802" max="12802" width="78.42578125" style="572" customWidth="1"/>
    <col min="12803" max="12803" width="72.28515625" style="572" customWidth="1"/>
    <col min="12804" max="12804" width="10" style="572" customWidth="1"/>
    <col min="12805" max="12805" width="10.140625" style="572" customWidth="1"/>
    <col min="12806" max="12806" width="15.140625" style="572" customWidth="1"/>
    <col min="12807" max="12807" width="18" style="572" customWidth="1"/>
    <col min="12808" max="12808" width="8.85546875" style="572" customWidth="1"/>
    <col min="12809" max="12810" width="8.28515625" style="572" customWidth="1"/>
    <col min="12811" max="13056" width="8.85546875" style="572"/>
    <col min="13057" max="13057" width="5.42578125" style="572" customWidth="1"/>
    <col min="13058" max="13058" width="78.42578125" style="572" customWidth="1"/>
    <col min="13059" max="13059" width="72.28515625" style="572" customWidth="1"/>
    <col min="13060" max="13060" width="10" style="572" customWidth="1"/>
    <col min="13061" max="13061" width="10.140625" style="572" customWidth="1"/>
    <col min="13062" max="13062" width="15.140625" style="572" customWidth="1"/>
    <col min="13063" max="13063" width="18" style="572" customWidth="1"/>
    <col min="13064" max="13064" width="8.85546875" style="572" customWidth="1"/>
    <col min="13065" max="13066" width="8.28515625" style="572" customWidth="1"/>
    <col min="13067" max="13312" width="8.85546875" style="572"/>
    <col min="13313" max="13313" width="5.42578125" style="572" customWidth="1"/>
    <col min="13314" max="13314" width="78.42578125" style="572" customWidth="1"/>
    <col min="13315" max="13315" width="72.28515625" style="572" customWidth="1"/>
    <col min="13316" max="13316" width="10" style="572" customWidth="1"/>
    <col min="13317" max="13317" width="10.140625" style="572" customWidth="1"/>
    <col min="13318" max="13318" width="15.140625" style="572" customWidth="1"/>
    <col min="13319" max="13319" width="18" style="572" customWidth="1"/>
    <col min="13320" max="13320" width="8.85546875" style="572" customWidth="1"/>
    <col min="13321" max="13322" width="8.28515625" style="572" customWidth="1"/>
    <col min="13323" max="13568" width="8.85546875" style="572"/>
    <col min="13569" max="13569" width="5.42578125" style="572" customWidth="1"/>
    <col min="13570" max="13570" width="78.42578125" style="572" customWidth="1"/>
    <col min="13571" max="13571" width="72.28515625" style="572" customWidth="1"/>
    <col min="13572" max="13572" width="10" style="572" customWidth="1"/>
    <col min="13573" max="13573" width="10.140625" style="572" customWidth="1"/>
    <col min="13574" max="13574" width="15.140625" style="572" customWidth="1"/>
    <col min="13575" max="13575" width="18" style="572" customWidth="1"/>
    <col min="13576" max="13576" width="8.85546875" style="572" customWidth="1"/>
    <col min="13577" max="13578" width="8.28515625" style="572" customWidth="1"/>
    <col min="13579" max="13824" width="8.85546875" style="572"/>
    <col min="13825" max="13825" width="5.42578125" style="572" customWidth="1"/>
    <col min="13826" max="13826" width="78.42578125" style="572" customWidth="1"/>
    <col min="13827" max="13827" width="72.28515625" style="572" customWidth="1"/>
    <col min="13828" max="13828" width="10" style="572" customWidth="1"/>
    <col min="13829" max="13829" width="10.140625" style="572" customWidth="1"/>
    <col min="13830" max="13830" width="15.140625" style="572" customWidth="1"/>
    <col min="13831" max="13831" width="18" style="572" customWidth="1"/>
    <col min="13832" max="13832" width="8.85546875" style="572" customWidth="1"/>
    <col min="13833" max="13834" width="8.28515625" style="572" customWidth="1"/>
    <col min="13835" max="14080" width="8.85546875" style="572"/>
    <col min="14081" max="14081" width="5.42578125" style="572" customWidth="1"/>
    <col min="14082" max="14082" width="78.42578125" style="572" customWidth="1"/>
    <col min="14083" max="14083" width="72.28515625" style="572" customWidth="1"/>
    <col min="14084" max="14084" width="10" style="572" customWidth="1"/>
    <col min="14085" max="14085" width="10.140625" style="572" customWidth="1"/>
    <col min="14086" max="14086" width="15.140625" style="572" customWidth="1"/>
    <col min="14087" max="14087" width="18" style="572" customWidth="1"/>
    <col min="14088" max="14088" width="8.85546875" style="572" customWidth="1"/>
    <col min="14089" max="14090" width="8.28515625" style="572" customWidth="1"/>
    <col min="14091" max="14336" width="8.85546875" style="572"/>
    <col min="14337" max="14337" width="5.42578125" style="572" customWidth="1"/>
    <col min="14338" max="14338" width="78.42578125" style="572" customWidth="1"/>
    <col min="14339" max="14339" width="72.28515625" style="572" customWidth="1"/>
    <col min="14340" max="14340" width="10" style="572" customWidth="1"/>
    <col min="14341" max="14341" width="10.140625" style="572" customWidth="1"/>
    <col min="14342" max="14342" width="15.140625" style="572" customWidth="1"/>
    <col min="14343" max="14343" width="18" style="572" customWidth="1"/>
    <col min="14344" max="14344" width="8.85546875" style="572" customWidth="1"/>
    <col min="14345" max="14346" width="8.28515625" style="572" customWidth="1"/>
    <col min="14347" max="14592" width="8.85546875" style="572"/>
    <col min="14593" max="14593" width="5.42578125" style="572" customWidth="1"/>
    <col min="14594" max="14594" width="78.42578125" style="572" customWidth="1"/>
    <col min="14595" max="14595" width="72.28515625" style="572" customWidth="1"/>
    <col min="14596" max="14596" width="10" style="572" customWidth="1"/>
    <col min="14597" max="14597" width="10.140625" style="572" customWidth="1"/>
    <col min="14598" max="14598" width="15.140625" style="572" customWidth="1"/>
    <col min="14599" max="14599" width="18" style="572" customWidth="1"/>
    <col min="14600" max="14600" width="8.85546875" style="572" customWidth="1"/>
    <col min="14601" max="14602" width="8.28515625" style="572" customWidth="1"/>
    <col min="14603" max="14848" width="8.85546875" style="572"/>
    <col min="14849" max="14849" width="5.42578125" style="572" customWidth="1"/>
    <col min="14850" max="14850" width="78.42578125" style="572" customWidth="1"/>
    <col min="14851" max="14851" width="72.28515625" style="572" customWidth="1"/>
    <col min="14852" max="14852" width="10" style="572" customWidth="1"/>
    <col min="14853" max="14853" width="10.140625" style="572" customWidth="1"/>
    <col min="14854" max="14854" width="15.140625" style="572" customWidth="1"/>
    <col min="14855" max="14855" width="18" style="572" customWidth="1"/>
    <col min="14856" max="14856" width="8.85546875" style="572" customWidth="1"/>
    <col min="14857" max="14858" width="8.28515625" style="572" customWidth="1"/>
    <col min="14859" max="15104" width="8.85546875" style="572"/>
    <col min="15105" max="15105" width="5.42578125" style="572" customWidth="1"/>
    <col min="15106" max="15106" width="78.42578125" style="572" customWidth="1"/>
    <col min="15107" max="15107" width="72.28515625" style="572" customWidth="1"/>
    <col min="15108" max="15108" width="10" style="572" customWidth="1"/>
    <col min="15109" max="15109" width="10.140625" style="572" customWidth="1"/>
    <col min="15110" max="15110" width="15.140625" style="572" customWidth="1"/>
    <col min="15111" max="15111" width="18" style="572" customWidth="1"/>
    <col min="15112" max="15112" width="8.85546875" style="572" customWidth="1"/>
    <col min="15113" max="15114" width="8.28515625" style="572" customWidth="1"/>
    <col min="15115" max="15360" width="8.85546875" style="572"/>
    <col min="15361" max="15361" width="5.42578125" style="572" customWidth="1"/>
    <col min="15362" max="15362" width="78.42578125" style="572" customWidth="1"/>
    <col min="15363" max="15363" width="72.28515625" style="572" customWidth="1"/>
    <col min="15364" max="15364" width="10" style="572" customWidth="1"/>
    <col min="15365" max="15365" width="10.140625" style="572" customWidth="1"/>
    <col min="15366" max="15366" width="15.140625" style="572" customWidth="1"/>
    <col min="15367" max="15367" width="18" style="572" customWidth="1"/>
    <col min="15368" max="15368" width="8.85546875" style="572" customWidth="1"/>
    <col min="15369" max="15370" width="8.28515625" style="572" customWidth="1"/>
    <col min="15371" max="15616" width="8.85546875" style="572"/>
    <col min="15617" max="15617" width="5.42578125" style="572" customWidth="1"/>
    <col min="15618" max="15618" width="78.42578125" style="572" customWidth="1"/>
    <col min="15619" max="15619" width="72.28515625" style="572" customWidth="1"/>
    <col min="15620" max="15620" width="10" style="572" customWidth="1"/>
    <col min="15621" max="15621" width="10.140625" style="572" customWidth="1"/>
    <col min="15622" max="15622" width="15.140625" style="572" customWidth="1"/>
    <col min="15623" max="15623" width="18" style="572" customWidth="1"/>
    <col min="15624" max="15624" width="8.85546875" style="572" customWidth="1"/>
    <col min="15625" max="15626" width="8.28515625" style="572" customWidth="1"/>
    <col min="15627" max="15872" width="8.85546875" style="572"/>
    <col min="15873" max="15873" width="5.42578125" style="572" customWidth="1"/>
    <col min="15874" max="15874" width="78.42578125" style="572" customWidth="1"/>
    <col min="15875" max="15875" width="72.28515625" style="572" customWidth="1"/>
    <col min="15876" max="15876" width="10" style="572" customWidth="1"/>
    <col min="15877" max="15877" width="10.140625" style="572" customWidth="1"/>
    <col min="15878" max="15878" width="15.140625" style="572" customWidth="1"/>
    <col min="15879" max="15879" width="18" style="572" customWidth="1"/>
    <col min="15880" max="15880" width="8.85546875" style="572" customWidth="1"/>
    <col min="15881" max="15882" width="8.28515625" style="572" customWidth="1"/>
    <col min="15883" max="16128" width="8.85546875" style="572"/>
    <col min="16129" max="16129" width="5.42578125" style="572" customWidth="1"/>
    <col min="16130" max="16130" width="78.42578125" style="572" customWidth="1"/>
    <col min="16131" max="16131" width="72.28515625" style="572" customWidth="1"/>
    <col min="16132" max="16132" width="10" style="572" customWidth="1"/>
    <col min="16133" max="16133" width="10.140625" style="572" customWidth="1"/>
    <col min="16134" max="16134" width="15.140625" style="572" customWidth="1"/>
    <col min="16135" max="16135" width="18" style="572" customWidth="1"/>
    <col min="16136" max="16136" width="8.85546875" style="572" customWidth="1"/>
    <col min="16137" max="16138" width="8.28515625" style="572" customWidth="1"/>
    <col min="16139" max="16384" width="8.85546875" style="572"/>
  </cols>
  <sheetData>
    <row r="1" spans="1:97">
      <c r="A1" s="1580"/>
      <c r="B1" s="1578"/>
      <c r="C1" s="357"/>
      <c r="D1" s="1600"/>
      <c r="E1" s="1600"/>
      <c r="F1" s="1600"/>
      <c r="G1" s="1600"/>
      <c r="H1" s="1580"/>
      <c r="I1" s="1580"/>
      <c r="J1" s="1580"/>
      <c r="K1" s="1580"/>
      <c r="L1" s="916"/>
      <c r="M1" s="1580"/>
      <c r="N1" s="1580"/>
      <c r="O1" s="1580" t="s">
        <v>267</v>
      </c>
      <c r="P1" s="3122" t="s">
        <v>2270</v>
      </c>
    </row>
    <row r="2" spans="1:97">
      <c r="A2" s="3123" t="s">
        <v>3097</v>
      </c>
      <c r="B2" s="3124"/>
      <c r="C2" s="3175" t="s">
        <v>3098</v>
      </c>
      <c r="D2" s="3176"/>
      <c r="E2" s="3176"/>
      <c r="F2" s="3176"/>
      <c r="G2" s="3131" t="s">
        <v>267</v>
      </c>
      <c r="H2" s="3177" t="s">
        <v>3099</v>
      </c>
      <c r="I2" s="1636"/>
      <c r="J2" s="1636"/>
      <c r="K2" s="1636"/>
      <c r="L2" s="3127"/>
      <c r="M2" s="1636"/>
      <c r="N2" s="1636"/>
      <c r="O2" s="1636"/>
      <c r="P2" s="1636"/>
    </row>
    <row r="3" spans="1:97">
      <c r="A3" s="3128"/>
      <c r="B3" s="3129" t="s">
        <v>3100</v>
      </c>
      <c r="C3" s="3178"/>
      <c r="D3" s="3179"/>
      <c r="E3" s="3179"/>
      <c r="F3" s="3179"/>
      <c r="G3" s="3179"/>
      <c r="H3" s="3131"/>
      <c r="I3" s="1580"/>
      <c r="J3" s="1580"/>
      <c r="K3" s="1580"/>
      <c r="L3" s="916"/>
      <c r="M3" s="1580"/>
      <c r="N3" s="1580"/>
      <c r="O3" s="1580"/>
      <c r="P3" s="1580"/>
    </row>
    <row r="4" spans="1:97">
      <c r="A4" s="3130" t="s">
        <v>2694</v>
      </c>
      <c r="B4" s="3124"/>
      <c r="C4" s="3175"/>
      <c r="D4" s="3176"/>
      <c r="E4" s="3176"/>
      <c r="F4" s="3176"/>
      <c r="G4" s="3176"/>
      <c r="H4" s="3180"/>
      <c r="I4" s="1636"/>
      <c r="J4" s="1636"/>
      <c r="K4" s="1636"/>
      <c r="L4" s="3127"/>
      <c r="M4" s="1636"/>
      <c r="N4" s="1636"/>
      <c r="O4" s="1636"/>
      <c r="P4" s="1636"/>
    </row>
    <row r="5" spans="1:97">
      <c r="A5" s="3131" t="s">
        <v>990</v>
      </c>
      <c r="B5" s="3129"/>
      <c r="C5" s="3178"/>
      <c r="D5" s="3179"/>
      <c r="E5" s="3179"/>
      <c r="F5" s="3179"/>
      <c r="G5" s="3179"/>
      <c r="H5" s="3131"/>
      <c r="I5" s="1580"/>
      <c r="J5" s="1580"/>
      <c r="K5" s="1580"/>
      <c r="L5" s="916"/>
      <c r="M5" s="1580"/>
      <c r="N5" s="1580"/>
      <c r="O5" s="1580"/>
      <c r="P5" s="1580"/>
    </row>
    <row r="6" spans="1:97">
      <c r="A6" s="1580"/>
      <c r="B6" s="1578"/>
      <c r="C6" s="357"/>
      <c r="D6" s="1600"/>
      <c r="E6" s="1600"/>
      <c r="F6" s="1600"/>
      <c r="G6" s="1600"/>
      <c r="H6" s="1580"/>
      <c r="I6" s="1580"/>
      <c r="J6" s="1580"/>
      <c r="K6" s="1580"/>
      <c r="L6" s="916"/>
      <c r="M6" s="1580"/>
      <c r="N6" s="1580"/>
      <c r="O6" s="1580"/>
      <c r="P6" s="1580"/>
    </row>
    <row r="7" spans="1:97" ht="37.5">
      <c r="A7" s="3132" t="s">
        <v>34</v>
      </c>
      <c r="B7" s="3132" t="s">
        <v>2695</v>
      </c>
      <c r="C7" s="3132" t="s">
        <v>2696</v>
      </c>
      <c r="D7" s="3133" t="s">
        <v>1072</v>
      </c>
      <c r="E7" s="3132" t="s">
        <v>922</v>
      </c>
      <c r="F7" s="3132" t="s">
        <v>1077</v>
      </c>
      <c r="G7" s="3133" t="s">
        <v>345</v>
      </c>
      <c r="H7" s="3133" t="s">
        <v>1002</v>
      </c>
      <c r="I7" s="3133" t="s">
        <v>2697</v>
      </c>
      <c r="J7" s="3133" t="s">
        <v>2698</v>
      </c>
      <c r="K7" s="1580"/>
      <c r="L7" s="916"/>
      <c r="M7" s="1580"/>
      <c r="N7" s="1580"/>
      <c r="O7" s="1580"/>
      <c r="P7" s="1580"/>
    </row>
    <row r="8" spans="1:97">
      <c r="A8" s="3134">
        <v>1</v>
      </c>
      <c r="B8" s="3149" t="s">
        <v>3101</v>
      </c>
      <c r="C8" s="3149" t="s">
        <v>3102</v>
      </c>
      <c r="D8" s="3134" t="s">
        <v>1022</v>
      </c>
      <c r="E8" s="3134">
        <f t="shared" ref="E8:E12" si="0">H8+I8+J8</f>
        <v>1</v>
      </c>
      <c r="F8" s="3134" t="s">
        <v>3103</v>
      </c>
      <c r="G8" s="3167">
        <f t="shared" ref="G8:G13" si="1">F8*E8</f>
        <v>65000</v>
      </c>
      <c r="H8" s="3134">
        <v>0</v>
      </c>
      <c r="I8" s="3168">
        <v>1</v>
      </c>
      <c r="J8" s="3168">
        <v>0</v>
      </c>
    </row>
    <row r="9" spans="1:97">
      <c r="A9" s="3134">
        <v>2</v>
      </c>
      <c r="B9" s="3149" t="s">
        <v>3104</v>
      </c>
      <c r="C9" s="3149" t="s">
        <v>3105</v>
      </c>
      <c r="D9" s="3134" t="s">
        <v>1022</v>
      </c>
      <c r="E9" s="3134">
        <f t="shared" si="0"/>
        <v>3</v>
      </c>
      <c r="F9" s="3134" t="s">
        <v>3106</v>
      </c>
      <c r="G9" s="3167">
        <f t="shared" si="1"/>
        <v>30000</v>
      </c>
      <c r="H9" s="3134">
        <v>1</v>
      </c>
      <c r="I9" s="3168">
        <v>2</v>
      </c>
      <c r="J9" s="3168">
        <v>0</v>
      </c>
    </row>
    <row r="10" spans="1:97" ht="75">
      <c r="A10" s="3134">
        <v>3</v>
      </c>
      <c r="B10" s="3149" t="s">
        <v>3107</v>
      </c>
      <c r="C10" s="3149" t="s">
        <v>3108</v>
      </c>
      <c r="D10" s="3134" t="s">
        <v>1022</v>
      </c>
      <c r="E10" s="3134">
        <f t="shared" si="0"/>
        <v>1</v>
      </c>
      <c r="F10" s="3134" t="s">
        <v>3109</v>
      </c>
      <c r="G10" s="3167">
        <f t="shared" si="1"/>
        <v>12000</v>
      </c>
      <c r="H10" s="3134">
        <v>0</v>
      </c>
      <c r="I10" s="3134">
        <v>1</v>
      </c>
      <c r="J10" s="3134">
        <v>0</v>
      </c>
    </row>
    <row r="11" spans="1:97" ht="56.25">
      <c r="A11" s="3134">
        <v>4</v>
      </c>
      <c r="B11" s="3152" t="s">
        <v>3110</v>
      </c>
      <c r="C11" s="3152" t="s">
        <v>3111</v>
      </c>
      <c r="D11" s="3134" t="s">
        <v>1022</v>
      </c>
      <c r="E11" s="3157">
        <f t="shared" si="0"/>
        <v>1</v>
      </c>
      <c r="F11" s="3181">
        <v>32196.428571428569</v>
      </c>
      <c r="G11" s="3167">
        <f t="shared" si="1"/>
        <v>32196.428571428569</v>
      </c>
      <c r="H11" s="3134">
        <v>0</v>
      </c>
      <c r="I11" s="3134">
        <v>1</v>
      </c>
      <c r="J11" s="3134">
        <v>0</v>
      </c>
    </row>
    <row r="12" spans="1:97" s="3170" customFormat="1">
      <c r="A12" s="3134">
        <v>5</v>
      </c>
      <c r="B12" s="3149" t="s">
        <v>1823</v>
      </c>
      <c r="C12" s="3149" t="s">
        <v>3112</v>
      </c>
      <c r="D12" s="3134" t="s">
        <v>1022</v>
      </c>
      <c r="E12" s="3134">
        <f t="shared" si="0"/>
        <v>1</v>
      </c>
      <c r="F12" s="3134" t="s">
        <v>3113</v>
      </c>
      <c r="G12" s="3167">
        <f t="shared" si="1"/>
        <v>27500</v>
      </c>
      <c r="H12" s="3134">
        <v>0</v>
      </c>
      <c r="I12" s="3134">
        <v>1</v>
      </c>
      <c r="J12" s="3134">
        <v>0</v>
      </c>
      <c r="K12" s="3159"/>
      <c r="L12" s="3159"/>
      <c r="M12" s="3159"/>
      <c r="N12" s="3159"/>
      <c r="O12" s="3159"/>
      <c r="P12" s="3159"/>
      <c r="Q12" s="3159"/>
      <c r="R12" s="3159"/>
      <c r="S12" s="3159"/>
      <c r="T12" s="3159"/>
      <c r="U12" s="3159"/>
      <c r="V12" s="3159"/>
      <c r="W12" s="3159"/>
      <c r="X12" s="3159"/>
      <c r="Y12" s="3159"/>
      <c r="Z12" s="3159"/>
      <c r="AA12" s="3159"/>
      <c r="AB12" s="3159"/>
      <c r="AC12" s="3159"/>
      <c r="AD12" s="3159"/>
      <c r="AE12" s="3159"/>
      <c r="AF12" s="3159"/>
      <c r="AG12" s="3159"/>
      <c r="AH12" s="3159"/>
      <c r="AI12" s="3159"/>
      <c r="AJ12" s="3159"/>
      <c r="AK12" s="3159"/>
      <c r="AL12" s="3159"/>
      <c r="AM12" s="3159"/>
      <c r="AN12" s="3159"/>
      <c r="AO12" s="3159"/>
      <c r="AP12" s="3159"/>
      <c r="AQ12" s="3159"/>
      <c r="AR12" s="3159"/>
      <c r="AS12" s="3159"/>
      <c r="AT12" s="3159"/>
      <c r="AU12" s="3159"/>
      <c r="AV12" s="3159"/>
      <c r="AW12" s="3159"/>
      <c r="AX12" s="3159"/>
      <c r="AY12" s="3159"/>
      <c r="AZ12" s="3159"/>
      <c r="BA12" s="3159"/>
      <c r="BB12" s="3159"/>
      <c r="BC12" s="3159"/>
      <c r="BD12" s="3159"/>
      <c r="BE12" s="3159"/>
      <c r="BF12" s="3159"/>
      <c r="BG12" s="3159"/>
      <c r="BH12" s="3159"/>
      <c r="BI12" s="3159"/>
      <c r="BJ12" s="3159"/>
      <c r="BK12" s="3159"/>
      <c r="BL12" s="3159"/>
      <c r="BM12" s="3159"/>
      <c r="BN12" s="3159"/>
      <c r="BO12" s="3159"/>
      <c r="BP12" s="3159"/>
      <c r="BQ12" s="3159"/>
      <c r="BR12" s="3159"/>
      <c r="BS12" s="3159"/>
      <c r="BT12" s="3159"/>
      <c r="BU12" s="3159"/>
      <c r="BV12" s="3159"/>
      <c r="BW12" s="3159"/>
      <c r="BX12" s="3159"/>
      <c r="BY12" s="3159"/>
      <c r="BZ12" s="3159"/>
      <c r="CA12" s="3159"/>
      <c r="CB12" s="3159"/>
      <c r="CC12" s="3159"/>
      <c r="CD12" s="3159"/>
      <c r="CE12" s="3159"/>
      <c r="CF12" s="3159"/>
      <c r="CG12" s="3159"/>
      <c r="CH12" s="3159"/>
      <c r="CI12" s="3159"/>
      <c r="CJ12" s="3159"/>
      <c r="CK12" s="3159"/>
      <c r="CL12" s="3159"/>
      <c r="CM12" s="3159"/>
      <c r="CN12" s="3159"/>
      <c r="CO12" s="3159"/>
      <c r="CP12" s="3159"/>
      <c r="CQ12" s="3159"/>
      <c r="CR12" s="3159"/>
      <c r="CS12" s="3159"/>
    </row>
    <row r="13" spans="1:97" s="3170" customFormat="1">
      <c r="A13" s="3134">
        <v>6</v>
      </c>
      <c r="B13" s="3149" t="s">
        <v>3114</v>
      </c>
      <c r="C13" s="3149" t="s">
        <v>3115</v>
      </c>
      <c r="D13" s="3134" t="s">
        <v>1022</v>
      </c>
      <c r="E13" s="3134">
        <v>1</v>
      </c>
      <c r="F13" s="3134">
        <v>102000</v>
      </c>
      <c r="G13" s="3167">
        <f t="shared" si="1"/>
        <v>102000</v>
      </c>
      <c r="H13" s="3134">
        <v>0</v>
      </c>
      <c r="I13" s="3134">
        <v>0</v>
      </c>
      <c r="J13" s="3134">
        <v>1</v>
      </c>
      <c r="K13" s="3159"/>
      <c r="L13" s="3159"/>
      <c r="M13" s="3159"/>
      <c r="N13" s="3159"/>
      <c r="O13" s="3159"/>
      <c r="P13" s="3159"/>
      <c r="Q13" s="3159"/>
      <c r="R13" s="3159"/>
      <c r="S13" s="3159"/>
      <c r="T13" s="3159"/>
      <c r="U13" s="3159"/>
      <c r="V13" s="3159"/>
      <c r="W13" s="3159"/>
      <c r="X13" s="3159"/>
      <c r="Y13" s="3159"/>
      <c r="Z13" s="3159"/>
      <c r="AA13" s="3159"/>
      <c r="AB13" s="3159"/>
      <c r="AC13" s="3159"/>
      <c r="AD13" s="3159"/>
      <c r="AE13" s="3159"/>
      <c r="AF13" s="3159"/>
      <c r="AG13" s="3159"/>
      <c r="AH13" s="3159"/>
      <c r="AI13" s="3159"/>
      <c r="AJ13" s="3159"/>
      <c r="AK13" s="3159"/>
      <c r="AL13" s="3159"/>
      <c r="AM13" s="3159"/>
      <c r="AN13" s="3159"/>
      <c r="AO13" s="3159"/>
      <c r="AP13" s="3159"/>
      <c r="AQ13" s="3159"/>
      <c r="AR13" s="3159"/>
      <c r="AS13" s="3159"/>
      <c r="AT13" s="3159"/>
      <c r="AU13" s="3159"/>
      <c r="AV13" s="3159"/>
      <c r="AW13" s="3159"/>
      <c r="AX13" s="3159"/>
      <c r="AY13" s="3159"/>
      <c r="AZ13" s="3159"/>
      <c r="BA13" s="3159"/>
      <c r="BB13" s="3159"/>
      <c r="BC13" s="3159"/>
      <c r="BD13" s="3159"/>
      <c r="BE13" s="3159"/>
      <c r="BF13" s="3159"/>
      <c r="BG13" s="3159"/>
      <c r="BH13" s="3159"/>
      <c r="BI13" s="3159"/>
      <c r="BJ13" s="3159"/>
      <c r="BK13" s="3159"/>
      <c r="BL13" s="3159"/>
      <c r="BM13" s="3159"/>
      <c r="BN13" s="3159"/>
      <c r="BO13" s="3159"/>
      <c r="BP13" s="3159"/>
      <c r="BQ13" s="3159"/>
      <c r="BR13" s="3159"/>
      <c r="BS13" s="3159"/>
      <c r="BT13" s="3159"/>
      <c r="BU13" s="3159"/>
      <c r="BV13" s="3159"/>
      <c r="BW13" s="3159"/>
      <c r="BX13" s="3159"/>
      <c r="BY13" s="3159"/>
      <c r="BZ13" s="3159"/>
      <c r="CA13" s="3159"/>
      <c r="CB13" s="3159"/>
      <c r="CC13" s="3159"/>
      <c r="CD13" s="3159"/>
      <c r="CE13" s="3159"/>
      <c r="CF13" s="3159"/>
      <c r="CG13" s="3159"/>
      <c r="CH13" s="3159"/>
      <c r="CI13" s="3159"/>
      <c r="CJ13" s="3159"/>
      <c r="CK13" s="3159"/>
      <c r="CL13" s="3159"/>
      <c r="CM13" s="3159"/>
      <c r="CN13" s="3159"/>
      <c r="CO13" s="3159"/>
      <c r="CP13" s="3159"/>
      <c r="CQ13" s="3159"/>
      <c r="CR13" s="3159"/>
      <c r="CS13" s="3159"/>
    </row>
    <row r="14" spans="1:97">
      <c r="A14" s="3134">
        <v>7</v>
      </c>
      <c r="B14" s="3182" t="s">
        <v>3116</v>
      </c>
      <c r="C14" s="3182" t="s">
        <v>3116</v>
      </c>
      <c r="D14" s="3134" t="s">
        <v>1022</v>
      </c>
      <c r="E14" s="3134">
        <f t="shared" ref="E14" si="2">H14+I14+J14</f>
        <v>1</v>
      </c>
      <c r="F14" s="3134">
        <v>20000</v>
      </c>
      <c r="G14" s="3167">
        <f>F14*E14</f>
        <v>20000</v>
      </c>
      <c r="H14" s="3134">
        <v>1</v>
      </c>
      <c r="I14" s="3134">
        <v>0</v>
      </c>
      <c r="J14" s="3134">
        <v>0</v>
      </c>
    </row>
    <row r="15" spans="1:97">
      <c r="A15" s="3142"/>
      <c r="B15" s="3183" t="s">
        <v>3117</v>
      </c>
      <c r="C15" s="3184"/>
      <c r="D15" s="3134"/>
      <c r="E15" s="3134"/>
      <c r="F15" s="3134"/>
      <c r="G15" s="3167">
        <f>SUM(G3:G14)</f>
        <v>288696.42857142858</v>
      </c>
      <c r="H15" s="3134"/>
      <c r="I15" s="3185"/>
      <c r="J15" s="3185"/>
    </row>
    <row r="17" spans="2:7" ht="37.5">
      <c r="B17" s="3186" t="s">
        <v>3118</v>
      </c>
      <c r="C17" s="3187" t="s">
        <v>371</v>
      </c>
      <c r="D17" s="3188"/>
      <c r="E17" s="3188"/>
      <c r="F17" s="3188"/>
      <c r="G17" s="3188"/>
    </row>
    <row r="18" spans="2:7">
      <c r="B18" s="3186"/>
      <c r="C18" s="3187"/>
      <c r="D18" s="3188"/>
      <c r="E18" s="3188"/>
      <c r="F18" s="3188"/>
      <c r="G18" s="3188"/>
    </row>
    <row r="19" spans="2:7">
      <c r="B19" s="3186"/>
      <c r="C19" s="3187"/>
      <c r="D19" s="3188"/>
      <c r="E19" s="3188"/>
      <c r="F19" s="3188"/>
      <c r="G19" s="3188"/>
    </row>
    <row r="20" spans="2:7">
      <c r="B20" s="3186" t="s">
        <v>451</v>
      </c>
      <c r="C20" s="3187" t="s">
        <v>452</v>
      </c>
      <c r="D20" s="3188"/>
      <c r="E20" s="3188"/>
      <c r="F20" s="3188"/>
      <c r="G20" s="3188"/>
    </row>
    <row r="21" spans="2:7">
      <c r="B21" s="3186"/>
      <c r="C21" s="3187"/>
      <c r="D21" s="3188"/>
      <c r="E21" s="3188"/>
      <c r="F21" s="3188"/>
      <c r="G21" s="3188"/>
    </row>
    <row r="22" spans="2:7">
      <c r="B22" s="3186" t="s">
        <v>375</v>
      </c>
      <c r="C22" s="3187" t="s">
        <v>453</v>
      </c>
      <c r="D22" s="3188"/>
      <c r="E22" s="3188"/>
      <c r="F22" s="3188"/>
      <c r="G22" s="3188"/>
    </row>
  </sheetData>
  <pageMargins left="0" right="0" top="0.55118110236220474" bottom="0.55118110236220474" header="0.31496062992125984" footer="0.31496062992125984"/>
  <pageSetup paperSize="9" scale="60" fitToWidth="0" fitToHeight="0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rgb="FFFFFF00"/>
    <pageSetUpPr fitToPage="1"/>
  </sheetPr>
  <dimension ref="A1:AF131"/>
  <sheetViews>
    <sheetView view="pageBreakPreview" topLeftCell="D1" zoomScaleNormal="100" zoomScaleSheetLayoutView="100" workbookViewId="0">
      <selection activeCell="V9" sqref="V9"/>
    </sheetView>
  </sheetViews>
  <sheetFormatPr defaultColWidth="9.140625" defaultRowHeight="12.75"/>
  <cols>
    <col min="1" max="1" width="5.5703125" style="2102" customWidth="1"/>
    <col min="2" max="2" width="37.42578125" style="2043" customWidth="1"/>
    <col min="3" max="3" width="38" style="2044" customWidth="1"/>
    <col min="4" max="4" width="8.28515625" style="2048" customWidth="1"/>
    <col min="5" max="5" width="15.85546875" style="2048" customWidth="1"/>
    <col min="6" max="6" width="6.140625" style="2048" customWidth="1"/>
    <col min="7" max="7" width="13.5703125" style="2048" customWidth="1"/>
    <col min="8" max="8" width="6.28515625" style="2043" customWidth="1"/>
    <col min="9" max="9" width="7.42578125" style="2043" customWidth="1"/>
    <col min="10" max="10" width="5.85546875" style="2043" customWidth="1"/>
    <col min="11" max="11" width="6.85546875" style="2043" customWidth="1"/>
    <col min="12" max="12" width="11.140625" style="2076" customWidth="1"/>
    <col min="13" max="13" width="9" style="2043" customWidth="1"/>
    <col min="14" max="14" width="12.28515625" style="2043" customWidth="1"/>
    <col min="15" max="15" width="16.7109375" style="2043" customWidth="1"/>
    <col min="16" max="16" width="12.7109375" style="2164" customWidth="1"/>
    <col min="17" max="17" width="10.42578125" style="2043" hidden="1" customWidth="1"/>
    <col min="18" max="18" width="11.5703125" style="2043" hidden="1" customWidth="1"/>
    <col min="19" max="19" width="13.5703125" style="2043" customWidth="1"/>
    <col min="20" max="20" width="15.28515625" style="2043" customWidth="1"/>
    <col min="21" max="21" width="7.5703125" style="2043" customWidth="1"/>
    <col min="22" max="22" width="15" style="2043" customWidth="1"/>
    <col min="23" max="23" width="10.42578125" style="2043" hidden="1" customWidth="1"/>
    <col min="24" max="24" width="13.85546875" style="2043" hidden="1" customWidth="1"/>
    <col min="25" max="25" width="7.85546875" style="2043" hidden="1" customWidth="1"/>
    <col min="26" max="26" width="13.85546875" style="2043" hidden="1" customWidth="1"/>
    <col min="27" max="27" width="10.42578125" style="2043" hidden="1" customWidth="1"/>
    <col min="28" max="28" width="13.85546875" style="2043" hidden="1" customWidth="1"/>
    <col min="29" max="29" width="0" style="2043" hidden="1" customWidth="1"/>
    <col min="30" max="30" width="13.85546875" style="2043" hidden="1" customWidth="1"/>
    <col min="31" max="31" width="11.7109375" style="2043" customWidth="1"/>
    <col min="32" max="32" width="6.5703125" style="2043" bestFit="1" customWidth="1"/>
    <col min="33" max="33" width="7.85546875" style="2043" customWidth="1"/>
    <col min="34" max="16384" width="9.140625" style="2043"/>
  </cols>
  <sheetData>
    <row r="1" spans="1:32" ht="24">
      <c r="T1" s="2043" t="s">
        <v>267</v>
      </c>
      <c r="U1" s="2077" t="s">
        <v>2270</v>
      </c>
    </row>
    <row r="2" spans="1:32" s="2079" customFormat="1">
      <c r="A2" s="2103" t="s">
        <v>3119</v>
      </c>
      <c r="C2" s="2078"/>
      <c r="D2" s="2046"/>
      <c r="E2" s="2046"/>
      <c r="F2" s="2046"/>
      <c r="G2" s="2046"/>
      <c r="L2" s="2080"/>
      <c r="P2" s="3382"/>
    </row>
    <row r="3" spans="1:32">
      <c r="A3" s="2104"/>
      <c r="B3" s="2043" t="s">
        <v>2693</v>
      </c>
    </row>
    <row r="4" spans="1:32" s="2079" customFormat="1">
      <c r="A4" s="2105" t="s">
        <v>2694</v>
      </c>
      <c r="C4" s="2078"/>
      <c r="D4" s="2046"/>
      <c r="E4" s="2046"/>
      <c r="F4" s="2046"/>
      <c r="G4" s="2046"/>
      <c r="L4" s="2080"/>
      <c r="P4" s="3382"/>
    </row>
    <row r="5" spans="1:32">
      <c r="A5" s="2106" t="s">
        <v>990</v>
      </c>
      <c r="V5" s="2502" t="e">
        <f>V9+#REF!+'хоз кот и ул освещ'!V4</f>
        <v>#REF!</v>
      </c>
      <c r="X5" s="2043">
        <v>1.06</v>
      </c>
      <c r="AA5" s="2043">
        <v>1.05</v>
      </c>
    </row>
    <row r="7" spans="1:32" s="2048" customFormat="1" ht="30" customHeight="1">
      <c r="A7" s="4077" t="s">
        <v>2</v>
      </c>
      <c r="B7" s="4078" t="s">
        <v>478</v>
      </c>
      <c r="C7" s="3974" t="s">
        <v>995</v>
      </c>
      <c r="D7" s="3974" t="s">
        <v>996</v>
      </c>
      <c r="E7" s="3974" t="s">
        <v>1191</v>
      </c>
      <c r="F7" s="3974" t="s">
        <v>255</v>
      </c>
      <c r="G7" s="3974"/>
      <c r="H7" s="4074" t="s">
        <v>1192</v>
      </c>
      <c r="I7" s="4072" t="s">
        <v>1193</v>
      </c>
      <c r="J7" s="4073"/>
      <c r="K7" s="4076"/>
      <c r="L7" s="4072" t="s">
        <v>922</v>
      </c>
      <c r="M7" s="4073"/>
      <c r="N7" s="4073"/>
      <c r="O7" s="4073"/>
      <c r="P7" s="4076"/>
      <c r="Q7" s="2882"/>
      <c r="R7" s="3974" t="s">
        <v>999</v>
      </c>
      <c r="S7" s="3974" t="s">
        <v>999</v>
      </c>
      <c r="T7" s="3974" t="s">
        <v>3120</v>
      </c>
      <c r="U7" s="4072" t="s">
        <v>1001</v>
      </c>
      <c r="V7" s="4076"/>
      <c r="W7" s="3974" t="s">
        <v>999</v>
      </c>
      <c r="X7" s="3974" t="s">
        <v>380</v>
      </c>
      <c r="Y7" s="4072" t="s">
        <v>1001</v>
      </c>
      <c r="Z7" s="4076"/>
      <c r="AA7" s="3974" t="s">
        <v>999</v>
      </c>
      <c r="AB7" s="3974" t="s">
        <v>426</v>
      </c>
      <c r="AC7" s="4072" t="s">
        <v>1001</v>
      </c>
      <c r="AD7" s="4073"/>
      <c r="AE7" s="4071" t="s">
        <v>2265</v>
      </c>
    </row>
    <row r="8" spans="1:32" s="2048" customFormat="1" ht="58.5" customHeight="1">
      <c r="A8" s="4077"/>
      <c r="B8" s="4078"/>
      <c r="C8" s="3974"/>
      <c r="D8" s="3974"/>
      <c r="E8" s="3974"/>
      <c r="F8" s="2040" t="s">
        <v>7</v>
      </c>
      <c r="G8" s="2040" t="s">
        <v>8</v>
      </c>
      <c r="H8" s="4075"/>
      <c r="I8" s="2040" t="s">
        <v>7</v>
      </c>
      <c r="J8" s="2040" t="s">
        <v>8</v>
      </c>
      <c r="K8" s="2040" t="s">
        <v>1096</v>
      </c>
      <c r="L8" s="2040" t="s">
        <v>1099</v>
      </c>
      <c r="M8" s="2040" t="s">
        <v>1194</v>
      </c>
      <c r="N8" s="2040" t="s">
        <v>1011</v>
      </c>
      <c r="O8" s="2040" t="s">
        <v>1012</v>
      </c>
      <c r="P8" s="3383" t="s">
        <v>1013</v>
      </c>
      <c r="Q8" s="2040"/>
      <c r="R8" s="3974"/>
      <c r="S8" s="3974"/>
      <c r="T8" s="3974"/>
      <c r="U8" s="2883" t="s">
        <v>7</v>
      </c>
      <c r="V8" s="2883" t="s">
        <v>8</v>
      </c>
      <c r="W8" s="3974"/>
      <c r="X8" s="3974"/>
      <c r="Y8" s="2883" t="s">
        <v>7</v>
      </c>
      <c r="Z8" s="2883" t="s">
        <v>8</v>
      </c>
      <c r="AA8" s="3974"/>
      <c r="AB8" s="3974"/>
      <c r="AC8" s="2883" t="s">
        <v>7</v>
      </c>
      <c r="AD8" s="3279" t="s">
        <v>8</v>
      </c>
      <c r="AE8" s="4071"/>
    </row>
    <row r="9" spans="1:32">
      <c r="A9" s="2107"/>
      <c r="B9" s="2081" t="s">
        <v>306</v>
      </c>
      <c r="C9" s="2082"/>
      <c r="D9" s="1625"/>
      <c r="E9" s="2083"/>
      <c r="F9" s="2084"/>
      <c r="G9" s="2084"/>
      <c r="H9" s="1820"/>
      <c r="I9" s="1820"/>
      <c r="J9" s="1820"/>
      <c r="K9" s="1820"/>
      <c r="L9" s="1610"/>
      <c r="M9" s="1610"/>
      <c r="N9" s="1820"/>
      <c r="O9" s="1820"/>
      <c r="P9" s="3292"/>
      <c r="Q9" s="1610"/>
      <c r="R9" s="1610"/>
      <c r="S9" s="1610"/>
      <c r="T9" s="2083"/>
      <c r="U9" s="2083">
        <f t="shared" ref="U9" si="0">SUM(U10:U124)</f>
        <v>0</v>
      </c>
      <c r="V9" s="2083"/>
      <c r="W9" s="1610"/>
      <c r="X9" s="2083">
        <f>SUM(X10:X95)</f>
        <v>627160</v>
      </c>
      <c r="Y9" s="2083">
        <f>SUM(Y10:Y94)</f>
        <v>0</v>
      </c>
      <c r="Z9" s="2083">
        <f>SUM(Z10:Z95)</f>
        <v>627160</v>
      </c>
      <c r="AA9" s="1610"/>
      <c r="AB9" s="2083">
        <f>SUM(AB10:AB95)</f>
        <v>658528</v>
      </c>
      <c r="AC9" s="2083">
        <f>SUM(AC10:AC94)</f>
        <v>0</v>
      </c>
      <c r="AD9" s="3280">
        <f>SUM(AD10:AD95)</f>
        <v>658528</v>
      </c>
      <c r="AE9" s="1610"/>
    </row>
    <row r="10" spans="1:32" ht="13.5" customHeight="1">
      <c r="A10" s="2108">
        <v>1</v>
      </c>
      <c r="B10" s="3335" t="s">
        <v>2705</v>
      </c>
      <c r="C10" s="3335" t="s">
        <v>2706</v>
      </c>
      <c r="D10" s="3336" t="s">
        <v>1268</v>
      </c>
      <c r="E10" s="3337">
        <v>10053.200000000001</v>
      </c>
      <c r="F10" s="3338"/>
      <c r="G10" s="3337">
        <f t="shared" ref="G10:G23" si="1">E10</f>
        <v>10053.200000000001</v>
      </c>
      <c r="H10" s="3338"/>
      <c r="I10" s="3338"/>
      <c r="J10" s="3338"/>
      <c r="K10" s="3338"/>
      <c r="L10" s="3214">
        <v>5</v>
      </c>
      <c r="M10" s="3339"/>
      <c r="N10" s="3338"/>
      <c r="O10" s="3338"/>
      <c r="P10" s="3292">
        <f t="shared" ref="P10:P35" si="2">L10-N10-O10</f>
        <v>5</v>
      </c>
      <c r="Q10" s="3292">
        <v>1.07</v>
      </c>
      <c r="R10" s="3292">
        <v>405</v>
      </c>
      <c r="S10" s="3216">
        <v>610</v>
      </c>
      <c r="T10" s="3292">
        <f>ROUND(P10*AE10,2)</f>
        <v>3416</v>
      </c>
      <c r="U10" s="3292"/>
      <c r="V10" s="3292">
        <f t="shared" ref="V10:V39" si="3">T10-U10</f>
        <v>3416</v>
      </c>
      <c r="W10" s="1610">
        <f t="shared" ref="W10:W23" si="4">S10*$X$5</f>
        <v>646.6</v>
      </c>
      <c r="X10" s="1610">
        <f t="shared" ref="X10:X23" si="5">ROUND(P10*W10,0)</f>
        <v>3233</v>
      </c>
      <c r="Y10" s="1610"/>
      <c r="Z10" s="1610">
        <f t="shared" ref="Z10:Z23" si="6">X10-Y10</f>
        <v>3233</v>
      </c>
      <c r="AA10" s="1610">
        <f t="shared" ref="AA10:AA23" si="7">W10*$AA$5</f>
        <v>678.93000000000006</v>
      </c>
      <c r="AB10" s="1610">
        <f t="shared" ref="AB10:AB23" si="8">ROUND(P10*AA10,0)</f>
        <v>3395</v>
      </c>
      <c r="AC10" s="1610"/>
      <c r="AD10" s="3281">
        <f t="shared" ref="AD10:AD23" si="9">AB10-AC10</f>
        <v>3395</v>
      </c>
      <c r="AE10" s="1669">
        <f>ROUND(S10*AF10,2)</f>
        <v>683.2</v>
      </c>
      <c r="AF10" s="2043">
        <v>1.1200000000000001</v>
      </c>
    </row>
    <row r="11" spans="1:32">
      <c r="A11" s="2108">
        <v>2</v>
      </c>
      <c r="B11" s="3335" t="s">
        <v>2699</v>
      </c>
      <c r="C11" s="3335" t="s">
        <v>2700</v>
      </c>
      <c r="D11" s="3336" t="s">
        <v>1268</v>
      </c>
      <c r="E11" s="3337">
        <v>10053.200000000001</v>
      </c>
      <c r="F11" s="3292"/>
      <c r="G11" s="3337">
        <f t="shared" si="1"/>
        <v>10053.200000000001</v>
      </c>
      <c r="H11" s="3292"/>
      <c r="I11" s="3338"/>
      <c r="J11" s="3338"/>
      <c r="K11" s="3292"/>
      <c r="L11" s="3214">
        <v>10</v>
      </c>
      <c r="M11" s="3292"/>
      <c r="N11" s="3292"/>
      <c r="O11" s="3292"/>
      <c r="P11" s="3292">
        <f t="shared" si="2"/>
        <v>10</v>
      </c>
      <c r="Q11" s="3292">
        <v>1.07</v>
      </c>
      <c r="R11" s="3292">
        <v>210</v>
      </c>
      <c r="S11" s="3216">
        <v>820</v>
      </c>
      <c r="T11" s="3292">
        <f t="shared" ref="T11:T74" si="10">ROUND(P11*AE11,2)</f>
        <v>9184</v>
      </c>
      <c r="U11" s="3292"/>
      <c r="V11" s="3292">
        <f t="shared" si="3"/>
        <v>9184</v>
      </c>
      <c r="W11" s="1610">
        <f t="shared" si="4"/>
        <v>869.2</v>
      </c>
      <c r="X11" s="1610">
        <f t="shared" si="5"/>
        <v>8692</v>
      </c>
      <c r="Y11" s="1610"/>
      <c r="Z11" s="1610">
        <f t="shared" si="6"/>
        <v>8692</v>
      </c>
      <c r="AA11" s="1610">
        <f t="shared" si="7"/>
        <v>912.66000000000008</v>
      </c>
      <c r="AB11" s="1610">
        <f t="shared" si="8"/>
        <v>9127</v>
      </c>
      <c r="AC11" s="1610"/>
      <c r="AD11" s="3281">
        <f t="shared" si="9"/>
        <v>9127</v>
      </c>
      <c r="AE11" s="1669">
        <f t="shared" ref="AE11:AE74" si="11">ROUND(S11*AF11,2)</f>
        <v>918.4</v>
      </c>
      <c r="AF11" s="2043">
        <v>1.1200000000000001</v>
      </c>
    </row>
    <row r="12" spans="1:32">
      <c r="A12" s="2108">
        <v>3</v>
      </c>
      <c r="B12" s="3335" t="s">
        <v>2703</v>
      </c>
      <c r="C12" s="3335" t="s">
        <v>2704</v>
      </c>
      <c r="D12" s="3336" t="s">
        <v>1268</v>
      </c>
      <c r="E12" s="3337">
        <v>10053.200000000001</v>
      </c>
      <c r="F12" s="3338"/>
      <c r="G12" s="3337">
        <f t="shared" si="1"/>
        <v>10053.200000000001</v>
      </c>
      <c r="H12" s="3338"/>
      <c r="I12" s="3338"/>
      <c r="J12" s="3338"/>
      <c r="K12" s="3338"/>
      <c r="L12" s="3214">
        <v>5</v>
      </c>
      <c r="M12" s="3339"/>
      <c r="N12" s="3338"/>
      <c r="O12" s="3292"/>
      <c r="P12" s="3292">
        <f t="shared" si="2"/>
        <v>5</v>
      </c>
      <c r="Q12" s="3292">
        <v>1.07</v>
      </c>
      <c r="R12" s="3292">
        <v>335</v>
      </c>
      <c r="S12" s="3216">
        <v>780</v>
      </c>
      <c r="T12" s="3292">
        <f t="shared" si="10"/>
        <v>4368</v>
      </c>
      <c r="U12" s="3292"/>
      <c r="V12" s="3292">
        <f t="shared" si="3"/>
        <v>4368</v>
      </c>
      <c r="W12" s="1610">
        <f t="shared" si="4"/>
        <v>826.80000000000007</v>
      </c>
      <c r="X12" s="1610">
        <f t="shared" si="5"/>
        <v>4134</v>
      </c>
      <c r="Y12" s="1610"/>
      <c r="Z12" s="1610">
        <f t="shared" si="6"/>
        <v>4134</v>
      </c>
      <c r="AA12" s="1610">
        <f t="shared" si="7"/>
        <v>868.1400000000001</v>
      </c>
      <c r="AB12" s="1610">
        <f t="shared" si="8"/>
        <v>4341</v>
      </c>
      <c r="AC12" s="1610"/>
      <c r="AD12" s="3281">
        <f t="shared" si="9"/>
        <v>4341</v>
      </c>
      <c r="AE12" s="1669">
        <f t="shared" si="11"/>
        <v>873.6</v>
      </c>
      <c r="AF12" s="2043">
        <v>1.1200000000000001</v>
      </c>
    </row>
    <row r="13" spans="1:32">
      <c r="A13" s="2108">
        <v>4</v>
      </c>
      <c r="B13" s="3335" t="s">
        <v>2701</v>
      </c>
      <c r="C13" s="3335" t="s">
        <v>2702</v>
      </c>
      <c r="D13" s="3336" t="s">
        <v>1268</v>
      </c>
      <c r="E13" s="3337">
        <v>10053.200000000001</v>
      </c>
      <c r="F13" s="3338"/>
      <c r="G13" s="3337">
        <f t="shared" si="1"/>
        <v>10053.200000000001</v>
      </c>
      <c r="H13" s="3338"/>
      <c r="I13" s="3338"/>
      <c r="J13" s="3338"/>
      <c r="K13" s="3338"/>
      <c r="L13" s="3214">
        <v>10</v>
      </c>
      <c r="M13" s="3339"/>
      <c r="N13" s="3338"/>
      <c r="O13" s="3292"/>
      <c r="P13" s="3292">
        <f t="shared" si="2"/>
        <v>10</v>
      </c>
      <c r="Q13" s="3292">
        <v>1.07</v>
      </c>
      <c r="R13" s="3292">
        <v>290</v>
      </c>
      <c r="S13" s="3216">
        <v>730</v>
      </c>
      <c r="T13" s="3292">
        <f t="shared" si="10"/>
        <v>8176</v>
      </c>
      <c r="U13" s="3292"/>
      <c r="V13" s="3292">
        <f t="shared" si="3"/>
        <v>8176</v>
      </c>
      <c r="W13" s="1610">
        <f t="shared" si="4"/>
        <v>773.80000000000007</v>
      </c>
      <c r="X13" s="1610">
        <f t="shared" si="5"/>
        <v>7738</v>
      </c>
      <c r="Y13" s="1610"/>
      <c r="Z13" s="1610">
        <f t="shared" si="6"/>
        <v>7738</v>
      </c>
      <c r="AA13" s="1610">
        <f t="shared" si="7"/>
        <v>812.49000000000012</v>
      </c>
      <c r="AB13" s="1610">
        <f t="shared" si="8"/>
        <v>8125</v>
      </c>
      <c r="AC13" s="1610"/>
      <c r="AD13" s="3281">
        <f t="shared" si="9"/>
        <v>8125</v>
      </c>
      <c r="AE13" s="1669">
        <f t="shared" si="11"/>
        <v>817.6</v>
      </c>
      <c r="AF13" s="2043">
        <v>1.1200000000000001</v>
      </c>
    </row>
    <row r="14" spans="1:32" ht="36" customHeight="1">
      <c r="A14" s="2108">
        <v>5</v>
      </c>
      <c r="B14" s="3220" t="s">
        <v>2867</v>
      </c>
      <c r="C14" s="3220" t="s">
        <v>2867</v>
      </c>
      <c r="D14" s="3336" t="s">
        <v>1411</v>
      </c>
      <c r="E14" s="3337">
        <v>10053.200000000001</v>
      </c>
      <c r="F14" s="3292"/>
      <c r="G14" s="3337">
        <f t="shared" si="1"/>
        <v>10053.200000000001</v>
      </c>
      <c r="H14" s="3292"/>
      <c r="I14" s="3338"/>
      <c r="J14" s="3338"/>
      <c r="K14" s="3292"/>
      <c r="L14" s="3214">
        <v>5</v>
      </c>
      <c r="M14" s="3339"/>
      <c r="N14" s="3292"/>
      <c r="O14" s="3292"/>
      <c r="P14" s="3292">
        <f t="shared" si="2"/>
        <v>5</v>
      </c>
      <c r="Q14" s="3292">
        <v>1.07</v>
      </c>
      <c r="R14" s="3292">
        <v>2268</v>
      </c>
      <c r="S14" s="3214">
        <v>4000</v>
      </c>
      <c r="T14" s="3292">
        <f t="shared" si="10"/>
        <v>22400</v>
      </c>
      <c r="U14" s="3292"/>
      <c r="V14" s="3292">
        <f t="shared" si="3"/>
        <v>22400</v>
      </c>
      <c r="W14" s="1610">
        <f t="shared" si="4"/>
        <v>4240</v>
      </c>
      <c r="X14" s="1610">
        <f t="shared" si="5"/>
        <v>21200</v>
      </c>
      <c r="Y14" s="1610"/>
      <c r="Z14" s="1610">
        <f t="shared" si="6"/>
        <v>21200</v>
      </c>
      <c r="AA14" s="1610">
        <f t="shared" si="7"/>
        <v>4452</v>
      </c>
      <c r="AB14" s="1610">
        <f t="shared" si="8"/>
        <v>22260</v>
      </c>
      <c r="AC14" s="1610"/>
      <c r="AD14" s="3281">
        <f t="shared" si="9"/>
        <v>22260</v>
      </c>
      <c r="AE14" s="1669">
        <f t="shared" si="11"/>
        <v>4480</v>
      </c>
      <c r="AF14" s="2043">
        <v>1.1200000000000001</v>
      </c>
    </row>
    <row r="15" spans="1:32">
      <c r="A15" s="2108">
        <v>6</v>
      </c>
      <c r="B15" s="3220" t="s">
        <v>2717</v>
      </c>
      <c r="C15" s="3220" t="s">
        <v>2717</v>
      </c>
      <c r="D15" s="2090" t="s">
        <v>1268</v>
      </c>
      <c r="E15" s="3337">
        <v>10053.200000000001</v>
      </c>
      <c r="F15" s="3338"/>
      <c r="G15" s="3337">
        <f t="shared" si="1"/>
        <v>10053.200000000001</v>
      </c>
      <c r="H15" s="3338"/>
      <c r="I15" s="3338"/>
      <c r="J15" s="3338"/>
      <c r="K15" s="3338"/>
      <c r="L15" s="3214">
        <v>10</v>
      </c>
      <c r="M15" s="3339"/>
      <c r="N15" s="3338"/>
      <c r="O15" s="3338"/>
      <c r="P15" s="3292">
        <f t="shared" si="2"/>
        <v>10</v>
      </c>
      <c r="Q15" s="3292">
        <v>1.07</v>
      </c>
      <c r="R15" s="3292">
        <v>756</v>
      </c>
      <c r="S15" s="3216">
        <v>620</v>
      </c>
      <c r="T15" s="3292">
        <f t="shared" si="10"/>
        <v>6944</v>
      </c>
      <c r="U15" s="3292"/>
      <c r="V15" s="3292">
        <f t="shared" si="3"/>
        <v>6944</v>
      </c>
      <c r="W15" s="1610">
        <f t="shared" si="4"/>
        <v>657.2</v>
      </c>
      <c r="X15" s="1610">
        <f t="shared" si="5"/>
        <v>6572</v>
      </c>
      <c r="Y15" s="1610"/>
      <c r="Z15" s="1610">
        <f t="shared" si="6"/>
        <v>6572</v>
      </c>
      <c r="AA15" s="1610">
        <f t="shared" si="7"/>
        <v>690.06000000000006</v>
      </c>
      <c r="AB15" s="1610">
        <f t="shared" si="8"/>
        <v>6901</v>
      </c>
      <c r="AC15" s="1610"/>
      <c r="AD15" s="3281">
        <f t="shared" si="9"/>
        <v>6901</v>
      </c>
      <c r="AE15" s="1669">
        <f t="shared" si="11"/>
        <v>694.4</v>
      </c>
      <c r="AF15" s="2043">
        <v>1.1200000000000001</v>
      </c>
    </row>
    <row r="16" spans="1:32" ht="24">
      <c r="A16" s="2108">
        <v>7</v>
      </c>
      <c r="B16" s="3220" t="s">
        <v>2719</v>
      </c>
      <c r="C16" s="3220" t="s">
        <v>2719</v>
      </c>
      <c r="D16" s="2090" t="s">
        <v>1268</v>
      </c>
      <c r="E16" s="3337">
        <v>10053.200000000001</v>
      </c>
      <c r="F16" s="3338"/>
      <c r="G16" s="3337">
        <f t="shared" si="1"/>
        <v>10053.200000000001</v>
      </c>
      <c r="H16" s="3338"/>
      <c r="I16" s="3338"/>
      <c r="J16" s="3338"/>
      <c r="K16" s="3338"/>
      <c r="L16" s="3214">
        <v>10</v>
      </c>
      <c r="M16" s="3339"/>
      <c r="N16" s="3338"/>
      <c r="O16" s="3338"/>
      <c r="P16" s="3292">
        <f t="shared" si="2"/>
        <v>10</v>
      </c>
      <c r="Q16" s="3292">
        <v>1.07</v>
      </c>
      <c r="R16" s="3292">
        <v>756</v>
      </c>
      <c r="S16" s="3214" t="s">
        <v>2720</v>
      </c>
      <c r="T16" s="3292">
        <f t="shared" si="10"/>
        <v>1008</v>
      </c>
      <c r="U16" s="3292"/>
      <c r="V16" s="3292">
        <f t="shared" si="3"/>
        <v>1008</v>
      </c>
      <c r="W16" s="1610">
        <f t="shared" si="4"/>
        <v>95.4</v>
      </c>
      <c r="X16" s="1610">
        <f t="shared" si="5"/>
        <v>954</v>
      </c>
      <c r="Y16" s="1610"/>
      <c r="Z16" s="1610">
        <f t="shared" si="6"/>
        <v>954</v>
      </c>
      <c r="AA16" s="1610">
        <f t="shared" si="7"/>
        <v>100.17000000000002</v>
      </c>
      <c r="AB16" s="1610">
        <f t="shared" si="8"/>
        <v>1002</v>
      </c>
      <c r="AC16" s="1610"/>
      <c r="AD16" s="3281">
        <f t="shared" si="9"/>
        <v>1002</v>
      </c>
      <c r="AE16" s="1669">
        <f t="shared" si="11"/>
        <v>100.8</v>
      </c>
      <c r="AF16" s="2043">
        <v>1.1200000000000001</v>
      </c>
    </row>
    <row r="17" spans="1:32">
      <c r="A17" s="2108">
        <v>8</v>
      </c>
      <c r="B17" s="3220" t="s">
        <v>2721</v>
      </c>
      <c r="C17" s="3220" t="s">
        <v>2721</v>
      </c>
      <c r="D17" s="2090" t="s">
        <v>1268</v>
      </c>
      <c r="E17" s="3337">
        <v>10053.200000000001</v>
      </c>
      <c r="F17" s="3338"/>
      <c r="G17" s="3337">
        <f t="shared" si="1"/>
        <v>10053.200000000001</v>
      </c>
      <c r="H17" s="3338"/>
      <c r="I17" s="3338"/>
      <c r="J17" s="3338"/>
      <c r="K17" s="3338"/>
      <c r="L17" s="3214">
        <v>20</v>
      </c>
      <c r="M17" s="3339"/>
      <c r="N17" s="3338"/>
      <c r="O17" s="3338"/>
      <c r="P17" s="3292">
        <f t="shared" si="2"/>
        <v>20</v>
      </c>
      <c r="Q17" s="3292">
        <v>1.07</v>
      </c>
      <c r="R17" s="3292">
        <v>837</v>
      </c>
      <c r="S17" s="3214" t="s">
        <v>2722</v>
      </c>
      <c r="T17" s="3292">
        <f t="shared" si="10"/>
        <v>2240</v>
      </c>
      <c r="U17" s="3292"/>
      <c r="V17" s="3292">
        <f t="shared" si="3"/>
        <v>2240</v>
      </c>
      <c r="W17" s="1610">
        <f t="shared" si="4"/>
        <v>106</v>
      </c>
      <c r="X17" s="1610">
        <f t="shared" si="5"/>
        <v>2120</v>
      </c>
      <c r="Y17" s="1610"/>
      <c r="Z17" s="1610">
        <f t="shared" si="6"/>
        <v>2120</v>
      </c>
      <c r="AA17" s="1610">
        <f t="shared" si="7"/>
        <v>111.30000000000001</v>
      </c>
      <c r="AB17" s="1610">
        <f t="shared" si="8"/>
        <v>2226</v>
      </c>
      <c r="AC17" s="1610"/>
      <c r="AD17" s="3281">
        <f t="shared" si="9"/>
        <v>2226</v>
      </c>
      <c r="AE17" s="1669">
        <f t="shared" si="11"/>
        <v>112</v>
      </c>
      <c r="AF17" s="2043">
        <v>1.1200000000000001</v>
      </c>
    </row>
    <row r="18" spans="1:32">
      <c r="A18" s="2108">
        <v>9</v>
      </c>
      <c r="B18" s="3220" t="s">
        <v>2723</v>
      </c>
      <c r="C18" s="3220" t="s">
        <v>2723</v>
      </c>
      <c r="D18" s="2090" t="s">
        <v>1268</v>
      </c>
      <c r="E18" s="3337">
        <v>10053.200000000001</v>
      </c>
      <c r="F18" s="3338"/>
      <c r="G18" s="3337">
        <f t="shared" si="1"/>
        <v>10053.200000000001</v>
      </c>
      <c r="H18" s="3338"/>
      <c r="I18" s="3338"/>
      <c r="J18" s="3338"/>
      <c r="K18" s="3338"/>
      <c r="L18" s="3214">
        <v>20</v>
      </c>
      <c r="M18" s="3339"/>
      <c r="N18" s="3338"/>
      <c r="O18" s="3338"/>
      <c r="P18" s="3292">
        <f t="shared" si="2"/>
        <v>20</v>
      </c>
      <c r="Q18" s="3292">
        <v>1.07</v>
      </c>
      <c r="R18" s="3292">
        <v>297</v>
      </c>
      <c r="S18" s="3214" t="s">
        <v>2724</v>
      </c>
      <c r="T18" s="3292">
        <f t="shared" si="10"/>
        <v>1792</v>
      </c>
      <c r="U18" s="3292"/>
      <c r="V18" s="3292">
        <f t="shared" si="3"/>
        <v>1792</v>
      </c>
      <c r="W18" s="1610">
        <f t="shared" si="4"/>
        <v>84.800000000000011</v>
      </c>
      <c r="X18" s="1610">
        <f t="shared" si="5"/>
        <v>1696</v>
      </c>
      <c r="Y18" s="1610"/>
      <c r="Z18" s="1610">
        <f t="shared" si="6"/>
        <v>1696</v>
      </c>
      <c r="AA18" s="1610">
        <f t="shared" si="7"/>
        <v>89.04000000000002</v>
      </c>
      <c r="AB18" s="1610">
        <f t="shared" si="8"/>
        <v>1781</v>
      </c>
      <c r="AC18" s="1610"/>
      <c r="AD18" s="3281">
        <f t="shared" si="9"/>
        <v>1781</v>
      </c>
      <c r="AE18" s="1669">
        <f t="shared" si="11"/>
        <v>89.6</v>
      </c>
      <c r="AF18" s="2043">
        <v>1.1200000000000001</v>
      </c>
    </row>
    <row r="19" spans="1:32" ht="24">
      <c r="A19" s="2108">
        <v>10</v>
      </c>
      <c r="B19" s="3220" t="s">
        <v>2718</v>
      </c>
      <c r="C19" s="3220" t="s">
        <v>2718</v>
      </c>
      <c r="D19" s="2090" t="s">
        <v>1268</v>
      </c>
      <c r="E19" s="3337">
        <v>10053.200000000001</v>
      </c>
      <c r="F19" s="3338"/>
      <c r="G19" s="3337">
        <f t="shared" si="1"/>
        <v>10053.200000000001</v>
      </c>
      <c r="H19" s="3338"/>
      <c r="I19" s="3338"/>
      <c r="J19" s="3338"/>
      <c r="K19" s="3338"/>
      <c r="L19" s="3214">
        <v>100</v>
      </c>
      <c r="M19" s="3339"/>
      <c r="N19" s="3338"/>
      <c r="O19" s="3338"/>
      <c r="P19" s="3292">
        <f t="shared" si="2"/>
        <v>100</v>
      </c>
      <c r="Q19" s="3292">
        <v>1.07</v>
      </c>
      <c r="R19" s="3292">
        <v>661.5</v>
      </c>
      <c r="S19" s="3216">
        <v>20</v>
      </c>
      <c r="T19" s="3292">
        <f t="shared" si="10"/>
        <v>2240</v>
      </c>
      <c r="U19" s="3292"/>
      <c r="V19" s="3292">
        <f t="shared" si="3"/>
        <v>2240</v>
      </c>
      <c r="W19" s="1610">
        <f t="shared" si="4"/>
        <v>21.200000000000003</v>
      </c>
      <c r="X19" s="1610">
        <f t="shared" si="5"/>
        <v>2120</v>
      </c>
      <c r="Y19" s="1610"/>
      <c r="Z19" s="1610">
        <f t="shared" si="6"/>
        <v>2120</v>
      </c>
      <c r="AA19" s="1610">
        <f t="shared" si="7"/>
        <v>22.260000000000005</v>
      </c>
      <c r="AB19" s="1610">
        <f t="shared" si="8"/>
        <v>2226</v>
      </c>
      <c r="AC19" s="1610"/>
      <c r="AD19" s="3281">
        <f t="shared" si="9"/>
        <v>2226</v>
      </c>
      <c r="AE19" s="1669">
        <f t="shared" si="11"/>
        <v>22.4</v>
      </c>
      <c r="AF19" s="2043">
        <v>1.1200000000000001</v>
      </c>
    </row>
    <row r="20" spans="1:32">
      <c r="A20" s="2108">
        <v>11</v>
      </c>
      <c r="B20" s="3220" t="s">
        <v>2725</v>
      </c>
      <c r="C20" s="3220" t="s">
        <v>2725</v>
      </c>
      <c r="D20" s="2090" t="s">
        <v>1268</v>
      </c>
      <c r="E20" s="3337">
        <v>10053.200000000001</v>
      </c>
      <c r="F20" s="3292"/>
      <c r="G20" s="3337">
        <f t="shared" si="1"/>
        <v>10053.200000000001</v>
      </c>
      <c r="H20" s="3292"/>
      <c r="I20" s="3338"/>
      <c r="J20" s="3338"/>
      <c r="K20" s="3292"/>
      <c r="L20" s="3214">
        <v>100</v>
      </c>
      <c r="M20" s="3339"/>
      <c r="N20" s="3292"/>
      <c r="O20" s="3292"/>
      <c r="P20" s="3292">
        <f t="shared" si="2"/>
        <v>100</v>
      </c>
      <c r="Q20" s="3292">
        <v>1.07</v>
      </c>
      <c r="R20" s="3292">
        <v>285</v>
      </c>
      <c r="S20" s="3216">
        <v>17</v>
      </c>
      <c r="T20" s="3292">
        <f t="shared" si="10"/>
        <v>1904</v>
      </c>
      <c r="U20" s="3292"/>
      <c r="V20" s="3292">
        <f t="shared" si="3"/>
        <v>1904</v>
      </c>
      <c r="W20" s="1610">
        <f t="shared" si="4"/>
        <v>18.02</v>
      </c>
      <c r="X20" s="1610">
        <f t="shared" si="5"/>
        <v>1802</v>
      </c>
      <c r="Y20" s="1610"/>
      <c r="Z20" s="1610">
        <f t="shared" si="6"/>
        <v>1802</v>
      </c>
      <c r="AA20" s="1610">
        <f t="shared" si="7"/>
        <v>18.920999999999999</v>
      </c>
      <c r="AB20" s="1610">
        <f t="shared" si="8"/>
        <v>1892</v>
      </c>
      <c r="AC20" s="1610"/>
      <c r="AD20" s="3281">
        <f t="shared" si="9"/>
        <v>1892</v>
      </c>
      <c r="AE20" s="1669">
        <f t="shared" si="11"/>
        <v>19.04</v>
      </c>
      <c r="AF20" s="2043">
        <v>1.1200000000000001</v>
      </c>
    </row>
    <row r="21" spans="1:32">
      <c r="A21" s="2108">
        <v>12</v>
      </c>
      <c r="B21" s="3335" t="s">
        <v>2726</v>
      </c>
      <c r="C21" s="3335" t="s">
        <v>2726</v>
      </c>
      <c r="D21" s="2090" t="s">
        <v>1268</v>
      </c>
      <c r="E21" s="3337">
        <v>10053.200000000001</v>
      </c>
      <c r="F21" s="3292"/>
      <c r="G21" s="3337">
        <f t="shared" si="1"/>
        <v>10053.200000000001</v>
      </c>
      <c r="H21" s="3292"/>
      <c r="I21" s="3338"/>
      <c r="J21" s="3338"/>
      <c r="K21" s="3292"/>
      <c r="L21" s="3215">
        <v>1</v>
      </c>
      <c r="M21" s="3339"/>
      <c r="N21" s="3292"/>
      <c r="O21" s="3292"/>
      <c r="P21" s="3292">
        <f t="shared" si="2"/>
        <v>1</v>
      </c>
      <c r="Q21" s="3292">
        <v>1.07</v>
      </c>
      <c r="R21" s="3292">
        <v>351</v>
      </c>
      <c r="S21" s="3216">
        <v>1000</v>
      </c>
      <c r="T21" s="3292">
        <f t="shared" si="10"/>
        <v>1120</v>
      </c>
      <c r="U21" s="3292"/>
      <c r="V21" s="3292">
        <f t="shared" si="3"/>
        <v>1120</v>
      </c>
      <c r="W21" s="1610">
        <f t="shared" si="4"/>
        <v>1060</v>
      </c>
      <c r="X21" s="1610">
        <f t="shared" si="5"/>
        <v>1060</v>
      </c>
      <c r="Y21" s="1610"/>
      <c r="Z21" s="1610">
        <f t="shared" si="6"/>
        <v>1060</v>
      </c>
      <c r="AA21" s="1610">
        <f t="shared" si="7"/>
        <v>1113</v>
      </c>
      <c r="AB21" s="1610">
        <f t="shared" si="8"/>
        <v>1113</v>
      </c>
      <c r="AC21" s="1610"/>
      <c r="AD21" s="3281">
        <f t="shared" si="9"/>
        <v>1113</v>
      </c>
      <c r="AE21" s="1669">
        <f t="shared" si="11"/>
        <v>1120</v>
      </c>
      <c r="AF21" s="2043">
        <v>1.1200000000000001</v>
      </c>
    </row>
    <row r="22" spans="1:32">
      <c r="A22" s="2108">
        <v>13</v>
      </c>
      <c r="B22" s="3220" t="s">
        <v>2727</v>
      </c>
      <c r="C22" s="3220" t="s">
        <v>2727</v>
      </c>
      <c r="D22" s="2090" t="s">
        <v>1268</v>
      </c>
      <c r="E22" s="3337">
        <v>10053.200000000001</v>
      </c>
      <c r="F22" s="3292"/>
      <c r="G22" s="3337">
        <f t="shared" si="1"/>
        <v>10053.200000000001</v>
      </c>
      <c r="H22" s="3292"/>
      <c r="I22" s="3338"/>
      <c r="J22" s="3338"/>
      <c r="K22" s="3292"/>
      <c r="L22" s="3215">
        <v>2</v>
      </c>
      <c r="M22" s="3339"/>
      <c r="N22" s="3292"/>
      <c r="O22" s="3292"/>
      <c r="P22" s="3292">
        <f t="shared" si="2"/>
        <v>2</v>
      </c>
      <c r="Q22" s="3292">
        <v>1.07</v>
      </c>
      <c r="R22" s="3292">
        <v>420</v>
      </c>
      <c r="S22" s="3216">
        <v>1000</v>
      </c>
      <c r="T22" s="3292">
        <f t="shared" si="10"/>
        <v>2240</v>
      </c>
      <c r="U22" s="3292"/>
      <c r="V22" s="3292">
        <f t="shared" si="3"/>
        <v>2240</v>
      </c>
      <c r="W22" s="1610">
        <f t="shared" si="4"/>
        <v>1060</v>
      </c>
      <c r="X22" s="1610">
        <f t="shared" si="5"/>
        <v>2120</v>
      </c>
      <c r="Y22" s="1610"/>
      <c r="Z22" s="1610">
        <f t="shared" si="6"/>
        <v>2120</v>
      </c>
      <c r="AA22" s="1610">
        <f t="shared" si="7"/>
        <v>1113</v>
      </c>
      <c r="AB22" s="1610">
        <f t="shared" si="8"/>
        <v>2226</v>
      </c>
      <c r="AC22" s="1610"/>
      <c r="AD22" s="3281">
        <f t="shared" si="9"/>
        <v>2226</v>
      </c>
      <c r="AE22" s="1669">
        <f t="shared" si="11"/>
        <v>1120</v>
      </c>
      <c r="AF22" s="2043">
        <v>1.1200000000000001</v>
      </c>
    </row>
    <row r="23" spans="1:32">
      <c r="A23" s="2108">
        <v>14</v>
      </c>
      <c r="B23" s="3220" t="s">
        <v>2728</v>
      </c>
      <c r="C23" s="3220" t="s">
        <v>2728</v>
      </c>
      <c r="D23" s="2090" t="s">
        <v>1268</v>
      </c>
      <c r="E23" s="3337">
        <v>10053.200000000001</v>
      </c>
      <c r="F23" s="3338"/>
      <c r="G23" s="3337">
        <f t="shared" si="1"/>
        <v>10053.200000000001</v>
      </c>
      <c r="H23" s="3338"/>
      <c r="I23" s="3338"/>
      <c r="J23" s="3338"/>
      <c r="K23" s="3338"/>
      <c r="L23" s="3215">
        <v>2</v>
      </c>
      <c r="M23" s="3339"/>
      <c r="N23" s="3338"/>
      <c r="O23" s="3338"/>
      <c r="P23" s="3292">
        <f t="shared" si="2"/>
        <v>2</v>
      </c>
      <c r="Q23" s="3292">
        <v>1.07</v>
      </c>
      <c r="R23" s="3292">
        <v>459</v>
      </c>
      <c r="S23" s="3216">
        <v>1100</v>
      </c>
      <c r="T23" s="3292">
        <f t="shared" si="10"/>
        <v>2464</v>
      </c>
      <c r="U23" s="3292"/>
      <c r="V23" s="3292">
        <f t="shared" si="3"/>
        <v>2464</v>
      </c>
      <c r="W23" s="1610">
        <f t="shared" si="4"/>
        <v>1166</v>
      </c>
      <c r="X23" s="1610">
        <f t="shared" si="5"/>
        <v>2332</v>
      </c>
      <c r="Y23" s="1610"/>
      <c r="Z23" s="1610">
        <f t="shared" si="6"/>
        <v>2332</v>
      </c>
      <c r="AA23" s="1610">
        <f t="shared" si="7"/>
        <v>1224.3</v>
      </c>
      <c r="AB23" s="1610">
        <f t="shared" si="8"/>
        <v>2449</v>
      </c>
      <c r="AC23" s="1610"/>
      <c r="AD23" s="3281">
        <f t="shared" si="9"/>
        <v>2449</v>
      </c>
      <c r="AE23" s="1669">
        <f t="shared" si="11"/>
        <v>1232</v>
      </c>
      <c r="AF23" s="2043">
        <v>1.1200000000000001</v>
      </c>
    </row>
    <row r="24" spans="1:32">
      <c r="A24" s="2108">
        <v>15</v>
      </c>
      <c r="B24" s="3220" t="s">
        <v>2884</v>
      </c>
      <c r="C24" s="3221" t="s">
        <v>2885</v>
      </c>
      <c r="D24" s="3214" t="s">
        <v>1268</v>
      </c>
      <c r="E24" s="3337">
        <v>10053.200000000001</v>
      </c>
      <c r="F24" s="3343"/>
      <c r="G24" s="3337">
        <v>10053.200000000001</v>
      </c>
      <c r="H24" s="3292"/>
      <c r="I24" s="3292"/>
      <c r="J24" s="3292"/>
      <c r="K24" s="3292"/>
      <c r="L24" s="3215">
        <v>5</v>
      </c>
      <c r="M24" s="3292"/>
      <c r="N24" s="3292"/>
      <c r="O24" s="3292"/>
      <c r="P24" s="3292">
        <f t="shared" si="2"/>
        <v>5</v>
      </c>
      <c r="Q24" s="3292"/>
      <c r="R24" s="3292"/>
      <c r="S24" s="3218">
        <v>1500</v>
      </c>
      <c r="T24" s="3292">
        <f t="shared" si="10"/>
        <v>8400</v>
      </c>
      <c r="U24" s="3292"/>
      <c r="V24" s="2458">
        <f t="shared" si="3"/>
        <v>8400</v>
      </c>
      <c r="W24" s="1610"/>
      <c r="X24" s="1610"/>
      <c r="Y24" s="1610"/>
      <c r="Z24" s="1610"/>
      <c r="AA24" s="1610"/>
      <c r="AB24" s="1610"/>
      <c r="AC24" s="1610"/>
      <c r="AD24" s="3281"/>
      <c r="AE24" s="1669">
        <f t="shared" si="11"/>
        <v>1680</v>
      </c>
      <c r="AF24" s="2043">
        <v>1.1200000000000001</v>
      </c>
    </row>
    <row r="25" spans="1:32">
      <c r="A25" s="2108">
        <v>16</v>
      </c>
      <c r="B25" s="3220" t="s">
        <v>2729</v>
      </c>
      <c r="C25" s="3220" t="s">
        <v>2729</v>
      </c>
      <c r="D25" s="2090" t="s">
        <v>1268</v>
      </c>
      <c r="E25" s="3337">
        <v>10053.200000000001</v>
      </c>
      <c r="F25" s="3292"/>
      <c r="G25" s="3337">
        <f>E25</f>
        <v>10053.200000000001</v>
      </c>
      <c r="H25" s="3292"/>
      <c r="I25" s="3338"/>
      <c r="J25" s="3338"/>
      <c r="K25" s="3292"/>
      <c r="L25" s="3215">
        <v>100</v>
      </c>
      <c r="M25" s="3339"/>
      <c r="N25" s="3292"/>
      <c r="O25" s="3292"/>
      <c r="P25" s="3292">
        <f t="shared" si="2"/>
        <v>100</v>
      </c>
      <c r="Q25" s="3292">
        <v>1.07</v>
      </c>
      <c r="R25" s="3292">
        <v>420</v>
      </c>
      <c r="S25" s="3216">
        <v>5</v>
      </c>
      <c r="T25" s="3292">
        <f t="shared" si="10"/>
        <v>560</v>
      </c>
      <c r="U25" s="3292"/>
      <c r="V25" s="3292">
        <f t="shared" si="3"/>
        <v>560</v>
      </c>
      <c r="W25" s="1610">
        <f>S25*$X$5</f>
        <v>5.3000000000000007</v>
      </c>
      <c r="X25" s="1610">
        <f>ROUND(P25*W25,0)</f>
        <v>530</v>
      </c>
      <c r="Y25" s="1610"/>
      <c r="Z25" s="1610">
        <f>X25-Y25</f>
        <v>530</v>
      </c>
      <c r="AA25" s="1610">
        <f>W25*$AA$5</f>
        <v>5.5650000000000013</v>
      </c>
      <c r="AB25" s="1610">
        <f>ROUND(P25*AA25,0)</f>
        <v>557</v>
      </c>
      <c r="AC25" s="1610"/>
      <c r="AD25" s="3281">
        <f>AB25-AC25</f>
        <v>557</v>
      </c>
      <c r="AE25" s="1669">
        <f t="shared" si="11"/>
        <v>5.6</v>
      </c>
      <c r="AF25" s="2043">
        <v>1.1200000000000001</v>
      </c>
    </row>
    <row r="26" spans="1:32">
      <c r="A26" s="2108">
        <v>17</v>
      </c>
      <c r="B26" s="3311" t="s">
        <v>2730</v>
      </c>
      <c r="C26" s="3311" t="s">
        <v>2730</v>
      </c>
      <c r="D26" s="2090" t="s">
        <v>1268</v>
      </c>
      <c r="E26" s="3337">
        <v>10053.200000000001</v>
      </c>
      <c r="F26" s="3338"/>
      <c r="G26" s="3337">
        <f>E26</f>
        <v>10053.200000000001</v>
      </c>
      <c r="H26" s="3338"/>
      <c r="I26" s="3338"/>
      <c r="J26" s="3338"/>
      <c r="K26" s="3338"/>
      <c r="L26" s="3215">
        <v>5</v>
      </c>
      <c r="M26" s="3339"/>
      <c r="N26" s="3338"/>
      <c r="O26" s="3338"/>
      <c r="P26" s="3292">
        <f t="shared" si="2"/>
        <v>5</v>
      </c>
      <c r="Q26" s="3292">
        <v>1.07</v>
      </c>
      <c r="R26" s="3292">
        <v>528</v>
      </c>
      <c r="S26" s="3216">
        <v>1000</v>
      </c>
      <c r="T26" s="3292">
        <f t="shared" si="10"/>
        <v>5600</v>
      </c>
      <c r="U26" s="3292"/>
      <c r="V26" s="3292">
        <f t="shared" si="3"/>
        <v>5600</v>
      </c>
      <c r="W26" s="1610">
        <f>S26*$X$5</f>
        <v>1060</v>
      </c>
      <c r="X26" s="1610">
        <f>ROUND(P26*W26,0)</f>
        <v>5300</v>
      </c>
      <c r="Y26" s="1610"/>
      <c r="Z26" s="1610">
        <f>X26-Y26</f>
        <v>5300</v>
      </c>
      <c r="AA26" s="1610">
        <f>W26*$AA$5</f>
        <v>1113</v>
      </c>
      <c r="AB26" s="1610">
        <f>ROUND(P26*AA26,0)</f>
        <v>5565</v>
      </c>
      <c r="AC26" s="1610"/>
      <c r="AD26" s="3281">
        <f>AB26-AC26</f>
        <v>5565</v>
      </c>
      <c r="AE26" s="1669">
        <f t="shared" si="11"/>
        <v>1120</v>
      </c>
      <c r="AF26" s="2043">
        <v>1.1200000000000001</v>
      </c>
    </row>
    <row r="27" spans="1:32">
      <c r="A27" s="2108">
        <v>18</v>
      </c>
      <c r="B27" s="3220" t="s">
        <v>2886</v>
      </c>
      <c r="C27" s="3220" t="s">
        <v>2379</v>
      </c>
      <c r="D27" s="3214" t="s">
        <v>2887</v>
      </c>
      <c r="E27" s="3337">
        <v>10053.200000000001</v>
      </c>
      <c r="F27" s="3343"/>
      <c r="G27" s="3337">
        <v>10053.200000000001</v>
      </c>
      <c r="H27" s="3292"/>
      <c r="I27" s="3292"/>
      <c r="J27" s="3292"/>
      <c r="K27" s="3292"/>
      <c r="L27" s="3215">
        <v>5</v>
      </c>
      <c r="M27" s="3292"/>
      <c r="N27" s="3292"/>
      <c r="O27" s="3292"/>
      <c r="P27" s="3292">
        <f t="shared" si="2"/>
        <v>5</v>
      </c>
      <c r="Q27" s="3292"/>
      <c r="R27" s="3292"/>
      <c r="S27" s="3218">
        <v>1100</v>
      </c>
      <c r="T27" s="3292">
        <f t="shared" si="10"/>
        <v>6160</v>
      </c>
      <c r="U27" s="3292"/>
      <c r="V27" s="2458">
        <f t="shared" si="3"/>
        <v>6160</v>
      </c>
      <c r="W27" s="1610"/>
      <c r="X27" s="1610"/>
      <c r="Y27" s="1610"/>
      <c r="Z27" s="1610"/>
      <c r="AA27" s="1610"/>
      <c r="AB27" s="1610"/>
      <c r="AC27" s="1610"/>
      <c r="AD27" s="3281"/>
      <c r="AE27" s="1669">
        <f t="shared" si="11"/>
        <v>1232</v>
      </c>
      <c r="AF27" s="2043">
        <v>1.1200000000000001</v>
      </c>
    </row>
    <row r="28" spans="1:32">
      <c r="A28" s="2108">
        <v>19</v>
      </c>
      <c r="B28" s="3335" t="s">
        <v>2731</v>
      </c>
      <c r="C28" s="3335" t="s">
        <v>2731</v>
      </c>
      <c r="D28" s="2090" t="s">
        <v>1268</v>
      </c>
      <c r="E28" s="3337">
        <v>10053.200000000001</v>
      </c>
      <c r="F28" s="3338"/>
      <c r="G28" s="3337">
        <f t="shared" ref="G28:G35" si="12">E28</f>
        <v>10053.200000000001</v>
      </c>
      <c r="H28" s="3338"/>
      <c r="I28" s="3338"/>
      <c r="J28" s="3338"/>
      <c r="K28" s="3338"/>
      <c r="L28" s="3214">
        <v>15</v>
      </c>
      <c r="M28" s="3339"/>
      <c r="N28" s="3338"/>
      <c r="O28" s="3338"/>
      <c r="P28" s="3292">
        <f t="shared" si="2"/>
        <v>15</v>
      </c>
      <c r="Q28" s="3292">
        <v>1.07</v>
      </c>
      <c r="R28" s="3292">
        <v>621</v>
      </c>
      <c r="S28" s="3216">
        <v>550</v>
      </c>
      <c r="T28" s="3292">
        <f t="shared" si="10"/>
        <v>9240</v>
      </c>
      <c r="U28" s="3292"/>
      <c r="V28" s="3292">
        <f t="shared" si="3"/>
        <v>9240</v>
      </c>
      <c r="W28" s="1610">
        <f t="shared" ref="W28:W35" si="13">S28*$X$5</f>
        <v>583</v>
      </c>
      <c r="X28" s="1610">
        <f t="shared" ref="X28:X35" si="14">ROUND(P28*W28,0)</f>
        <v>8745</v>
      </c>
      <c r="Y28" s="1610"/>
      <c r="Z28" s="1610">
        <f t="shared" ref="Z28:Z35" si="15">X28-Y28</f>
        <v>8745</v>
      </c>
      <c r="AA28" s="1610">
        <f t="shared" ref="AA28:AA35" si="16">W28*$AA$5</f>
        <v>612.15</v>
      </c>
      <c r="AB28" s="1610">
        <f t="shared" ref="AB28:AB35" si="17">ROUND(P28*AA28,0)</f>
        <v>9182</v>
      </c>
      <c r="AC28" s="1610"/>
      <c r="AD28" s="3281">
        <f t="shared" ref="AD28:AD35" si="18">AB28-AC28</f>
        <v>9182</v>
      </c>
      <c r="AE28" s="1669">
        <f t="shared" si="11"/>
        <v>616</v>
      </c>
      <c r="AF28" s="2043">
        <v>1.1200000000000001</v>
      </c>
    </row>
    <row r="29" spans="1:32">
      <c r="A29" s="2108">
        <v>20</v>
      </c>
      <c r="B29" s="3220" t="s">
        <v>2738</v>
      </c>
      <c r="C29" s="3220" t="s">
        <v>2739</v>
      </c>
      <c r="D29" s="2090" t="s">
        <v>2317</v>
      </c>
      <c r="E29" s="3337">
        <v>10053.200000000001</v>
      </c>
      <c r="F29" s="3338"/>
      <c r="G29" s="3337">
        <f t="shared" si="12"/>
        <v>10053.200000000001</v>
      </c>
      <c r="H29" s="3338"/>
      <c r="I29" s="3338"/>
      <c r="J29" s="3338"/>
      <c r="K29" s="3338"/>
      <c r="L29" s="3215">
        <v>1</v>
      </c>
      <c r="M29" s="3339"/>
      <c r="N29" s="3338"/>
      <c r="O29" s="3338"/>
      <c r="P29" s="3292">
        <f t="shared" si="2"/>
        <v>1</v>
      </c>
      <c r="Q29" s="3292">
        <v>1.07</v>
      </c>
      <c r="R29" s="3292">
        <v>590</v>
      </c>
      <c r="S29" s="3216">
        <v>1300</v>
      </c>
      <c r="T29" s="3292">
        <f t="shared" si="10"/>
        <v>1456</v>
      </c>
      <c r="U29" s="3292"/>
      <c r="V29" s="3292">
        <f t="shared" si="3"/>
        <v>1456</v>
      </c>
      <c r="W29" s="1610">
        <f t="shared" si="13"/>
        <v>1378</v>
      </c>
      <c r="X29" s="1610">
        <f t="shared" si="14"/>
        <v>1378</v>
      </c>
      <c r="Y29" s="1610"/>
      <c r="Z29" s="1610">
        <f t="shared" si="15"/>
        <v>1378</v>
      </c>
      <c r="AA29" s="1610">
        <f t="shared" si="16"/>
        <v>1446.9</v>
      </c>
      <c r="AB29" s="1610">
        <f t="shared" si="17"/>
        <v>1447</v>
      </c>
      <c r="AC29" s="1610"/>
      <c r="AD29" s="3281">
        <f t="shared" si="18"/>
        <v>1447</v>
      </c>
      <c r="AE29" s="1669">
        <f t="shared" si="11"/>
        <v>1456</v>
      </c>
      <c r="AF29" s="2043">
        <v>1.1200000000000001</v>
      </c>
    </row>
    <row r="30" spans="1:32">
      <c r="A30" s="2108">
        <v>21</v>
      </c>
      <c r="B30" s="3220" t="s">
        <v>2738</v>
      </c>
      <c r="C30" s="3220" t="s">
        <v>2740</v>
      </c>
      <c r="D30" s="2090" t="s">
        <v>2317</v>
      </c>
      <c r="E30" s="3337">
        <v>10053.200000000001</v>
      </c>
      <c r="F30" s="3338"/>
      <c r="G30" s="3337">
        <f t="shared" si="12"/>
        <v>10053.200000000001</v>
      </c>
      <c r="H30" s="3338"/>
      <c r="I30" s="3338"/>
      <c r="J30" s="3338"/>
      <c r="K30" s="3338"/>
      <c r="L30" s="3215">
        <v>1</v>
      </c>
      <c r="M30" s="3339"/>
      <c r="N30" s="3338"/>
      <c r="O30" s="3338"/>
      <c r="P30" s="3292">
        <f t="shared" si="2"/>
        <v>1</v>
      </c>
      <c r="Q30" s="3292">
        <v>1.07</v>
      </c>
      <c r="R30" s="3292">
        <v>955</v>
      </c>
      <c r="S30" s="3214" t="s">
        <v>2741</v>
      </c>
      <c r="T30" s="3292">
        <f t="shared" si="10"/>
        <v>1008</v>
      </c>
      <c r="U30" s="3292"/>
      <c r="V30" s="3292">
        <f t="shared" si="3"/>
        <v>1008</v>
      </c>
      <c r="W30" s="1610">
        <f t="shared" si="13"/>
        <v>954</v>
      </c>
      <c r="X30" s="1610">
        <f t="shared" si="14"/>
        <v>954</v>
      </c>
      <c r="Y30" s="1610"/>
      <c r="Z30" s="1610">
        <f t="shared" si="15"/>
        <v>954</v>
      </c>
      <c r="AA30" s="1610">
        <f t="shared" si="16"/>
        <v>1001.7</v>
      </c>
      <c r="AB30" s="1610">
        <f t="shared" si="17"/>
        <v>1002</v>
      </c>
      <c r="AC30" s="1610"/>
      <c r="AD30" s="3281">
        <f t="shared" si="18"/>
        <v>1002</v>
      </c>
      <c r="AE30" s="1669">
        <f t="shared" si="11"/>
        <v>1008</v>
      </c>
      <c r="AF30" s="2043">
        <v>1.1200000000000001</v>
      </c>
    </row>
    <row r="31" spans="1:32">
      <c r="A31" s="2108">
        <v>22</v>
      </c>
      <c r="B31" s="3220" t="s">
        <v>2412</v>
      </c>
      <c r="C31" s="3220" t="s">
        <v>2734</v>
      </c>
      <c r="D31" s="2090" t="s">
        <v>1268</v>
      </c>
      <c r="E31" s="3337">
        <v>10053.200000000001</v>
      </c>
      <c r="F31" s="3292"/>
      <c r="G31" s="3337">
        <f t="shared" si="12"/>
        <v>10053.200000000001</v>
      </c>
      <c r="H31" s="3292"/>
      <c r="I31" s="3338"/>
      <c r="J31" s="3338"/>
      <c r="K31" s="3292"/>
      <c r="L31" s="3215">
        <v>1</v>
      </c>
      <c r="M31" s="3339"/>
      <c r="N31" s="3292"/>
      <c r="O31" s="3338"/>
      <c r="P31" s="3292">
        <f t="shared" si="2"/>
        <v>1</v>
      </c>
      <c r="Q31" s="3292">
        <v>1.07</v>
      </c>
      <c r="R31" s="3292">
        <v>555</v>
      </c>
      <c r="S31" s="3214" t="s">
        <v>2735</v>
      </c>
      <c r="T31" s="3292">
        <f t="shared" si="10"/>
        <v>1120</v>
      </c>
      <c r="U31" s="3292"/>
      <c r="V31" s="3292">
        <f t="shared" si="3"/>
        <v>1120</v>
      </c>
      <c r="W31" s="1610">
        <f t="shared" si="13"/>
        <v>1060</v>
      </c>
      <c r="X31" s="1610">
        <f t="shared" si="14"/>
        <v>1060</v>
      </c>
      <c r="Y31" s="1610"/>
      <c r="Z31" s="1610">
        <f t="shared" si="15"/>
        <v>1060</v>
      </c>
      <c r="AA31" s="1610">
        <f t="shared" si="16"/>
        <v>1113</v>
      </c>
      <c r="AB31" s="1610">
        <f t="shared" si="17"/>
        <v>1113</v>
      </c>
      <c r="AC31" s="1610"/>
      <c r="AD31" s="3281">
        <f t="shared" si="18"/>
        <v>1113</v>
      </c>
      <c r="AE31" s="1669">
        <f t="shared" si="11"/>
        <v>1120</v>
      </c>
      <c r="AF31" s="2043">
        <v>1.1200000000000001</v>
      </c>
    </row>
    <row r="32" spans="1:32">
      <c r="A32" s="2108">
        <v>23</v>
      </c>
      <c r="B32" s="3220" t="s">
        <v>2742</v>
      </c>
      <c r="C32" s="3220" t="s">
        <v>2743</v>
      </c>
      <c r="D32" s="2090" t="s">
        <v>2317</v>
      </c>
      <c r="E32" s="3337">
        <v>10053.200000000001</v>
      </c>
      <c r="F32" s="3292"/>
      <c r="G32" s="3337">
        <f t="shared" si="12"/>
        <v>10053.200000000001</v>
      </c>
      <c r="H32" s="3338"/>
      <c r="I32" s="3338"/>
      <c r="J32" s="3338"/>
      <c r="K32" s="3338"/>
      <c r="L32" s="3215">
        <v>5</v>
      </c>
      <c r="M32" s="3339"/>
      <c r="N32" s="3338"/>
      <c r="O32" s="3338"/>
      <c r="P32" s="3292">
        <f t="shared" si="2"/>
        <v>5</v>
      </c>
      <c r="Q32" s="3292">
        <v>1.07</v>
      </c>
      <c r="R32" s="3338">
        <v>1053</v>
      </c>
      <c r="S32" s="3214" t="s">
        <v>2744</v>
      </c>
      <c r="T32" s="3292">
        <f t="shared" si="10"/>
        <v>336</v>
      </c>
      <c r="U32" s="3292"/>
      <c r="V32" s="3292">
        <f t="shared" si="3"/>
        <v>336</v>
      </c>
      <c r="W32" s="1610">
        <f t="shared" si="13"/>
        <v>63.6</v>
      </c>
      <c r="X32" s="1610">
        <f t="shared" si="14"/>
        <v>318</v>
      </c>
      <c r="Y32" s="1610"/>
      <c r="Z32" s="1610">
        <f t="shared" si="15"/>
        <v>318</v>
      </c>
      <c r="AA32" s="1610">
        <f t="shared" si="16"/>
        <v>66.78</v>
      </c>
      <c r="AB32" s="1610">
        <f t="shared" si="17"/>
        <v>334</v>
      </c>
      <c r="AC32" s="1610"/>
      <c r="AD32" s="3281">
        <f t="shared" si="18"/>
        <v>334</v>
      </c>
      <c r="AE32" s="1669">
        <f t="shared" si="11"/>
        <v>67.2</v>
      </c>
      <c r="AF32" s="2043">
        <v>1.1200000000000001</v>
      </c>
    </row>
    <row r="33" spans="1:32">
      <c r="A33" s="2108">
        <v>24</v>
      </c>
      <c r="B33" s="3335" t="s">
        <v>3121</v>
      </c>
      <c r="C33" s="3335" t="s">
        <v>3061</v>
      </c>
      <c r="D33" s="3336" t="s">
        <v>1268</v>
      </c>
      <c r="E33" s="3337">
        <v>10053.200000000001</v>
      </c>
      <c r="F33" s="3338"/>
      <c r="G33" s="3337">
        <f t="shared" si="12"/>
        <v>10053.200000000001</v>
      </c>
      <c r="H33" s="3338"/>
      <c r="I33" s="3338"/>
      <c r="J33" s="3338"/>
      <c r="K33" s="3338"/>
      <c r="L33" s="3215">
        <v>10</v>
      </c>
      <c r="M33" s="3339"/>
      <c r="N33" s="3338"/>
      <c r="O33" s="3338"/>
      <c r="P33" s="3292">
        <f t="shared" si="2"/>
        <v>10</v>
      </c>
      <c r="Q33" s="3292">
        <v>1.07</v>
      </c>
      <c r="R33" s="3292">
        <v>1190</v>
      </c>
      <c r="S33" s="3214">
        <v>600</v>
      </c>
      <c r="T33" s="3292">
        <f t="shared" si="10"/>
        <v>6720</v>
      </c>
      <c r="U33" s="3292"/>
      <c r="V33" s="3292">
        <f t="shared" si="3"/>
        <v>6720</v>
      </c>
      <c r="W33" s="1610">
        <f t="shared" si="13"/>
        <v>636</v>
      </c>
      <c r="X33" s="1610">
        <f t="shared" si="14"/>
        <v>6360</v>
      </c>
      <c r="Y33" s="1610"/>
      <c r="Z33" s="1610">
        <f t="shared" si="15"/>
        <v>6360</v>
      </c>
      <c r="AA33" s="1610">
        <f t="shared" si="16"/>
        <v>667.80000000000007</v>
      </c>
      <c r="AB33" s="1610">
        <f t="shared" si="17"/>
        <v>6678</v>
      </c>
      <c r="AC33" s="1610"/>
      <c r="AD33" s="3281">
        <f t="shared" si="18"/>
        <v>6678</v>
      </c>
      <c r="AE33" s="1669">
        <f t="shared" si="11"/>
        <v>672</v>
      </c>
      <c r="AF33" s="2043">
        <v>1.1200000000000001</v>
      </c>
    </row>
    <row r="34" spans="1:32" ht="24">
      <c r="A34" s="2108">
        <v>25</v>
      </c>
      <c r="B34" s="3221" t="s">
        <v>2733</v>
      </c>
      <c r="C34" s="3221" t="s">
        <v>2733</v>
      </c>
      <c r="D34" s="2090" t="s">
        <v>1268</v>
      </c>
      <c r="E34" s="3337">
        <v>10053.200000000001</v>
      </c>
      <c r="F34" s="3338"/>
      <c r="G34" s="3337">
        <f t="shared" si="12"/>
        <v>10053.200000000001</v>
      </c>
      <c r="H34" s="3338"/>
      <c r="I34" s="3338"/>
      <c r="J34" s="3338"/>
      <c r="K34" s="3338"/>
      <c r="L34" s="3215">
        <v>5</v>
      </c>
      <c r="M34" s="3339"/>
      <c r="N34" s="3338"/>
      <c r="O34" s="3338"/>
      <c r="P34" s="3292">
        <f t="shared" si="2"/>
        <v>5</v>
      </c>
      <c r="Q34" s="3292">
        <v>1.07</v>
      </c>
      <c r="R34" s="3292">
        <v>621</v>
      </c>
      <c r="S34" s="3216">
        <v>4500</v>
      </c>
      <c r="T34" s="3292">
        <f t="shared" si="10"/>
        <v>25200</v>
      </c>
      <c r="U34" s="3292"/>
      <c r="V34" s="3292">
        <f t="shared" si="3"/>
        <v>25200</v>
      </c>
      <c r="W34" s="1610">
        <f t="shared" si="13"/>
        <v>4770</v>
      </c>
      <c r="X34" s="1610">
        <f t="shared" si="14"/>
        <v>23850</v>
      </c>
      <c r="Y34" s="1610"/>
      <c r="Z34" s="1610">
        <f t="shared" si="15"/>
        <v>23850</v>
      </c>
      <c r="AA34" s="1610">
        <f t="shared" si="16"/>
        <v>5008.5</v>
      </c>
      <c r="AB34" s="1610">
        <f t="shared" si="17"/>
        <v>25043</v>
      </c>
      <c r="AC34" s="1610"/>
      <c r="AD34" s="3281">
        <f t="shared" si="18"/>
        <v>25043</v>
      </c>
      <c r="AE34" s="1669">
        <f t="shared" si="11"/>
        <v>5040</v>
      </c>
      <c r="AF34" s="2043">
        <v>1.1200000000000001</v>
      </c>
    </row>
    <row r="35" spans="1:32">
      <c r="A35" s="2108">
        <v>26</v>
      </c>
      <c r="B35" s="3220" t="s">
        <v>2749</v>
      </c>
      <c r="C35" s="3220" t="s">
        <v>2749</v>
      </c>
      <c r="D35" s="3336" t="s">
        <v>1268</v>
      </c>
      <c r="E35" s="3337">
        <v>10053.200000000001</v>
      </c>
      <c r="F35" s="3292"/>
      <c r="G35" s="3337">
        <f t="shared" si="12"/>
        <v>10053.200000000001</v>
      </c>
      <c r="H35" s="3292"/>
      <c r="I35" s="3338"/>
      <c r="J35" s="3338"/>
      <c r="K35" s="3292"/>
      <c r="L35" s="3215">
        <v>5</v>
      </c>
      <c r="M35" s="3292"/>
      <c r="N35" s="3292"/>
      <c r="O35" s="3292"/>
      <c r="P35" s="3292">
        <f t="shared" si="2"/>
        <v>5</v>
      </c>
      <c r="Q35" s="3292">
        <v>1.07</v>
      </c>
      <c r="R35" s="3292">
        <v>2470</v>
      </c>
      <c r="S35" s="3216">
        <v>1500</v>
      </c>
      <c r="T35" s="3292">
        <f t="shared" si="10"/>
        <v>8400</v>
      </c>
      <c r="U35" s="3292"/>
      <c r="V35" s="3292">
        <f t="shared" si="3"/>
        <v>8400</v>
      </c>
      <c r="W35" s="1610">
        <f t="shared" si="13"/>
        <v>1590</v>
      </c>
      <c r="X35" s="1610">
        <f t="shared" si="14"/>
        <v>7950</v>
      </c>
      <c r="Y35" s="1610"/>
      <c r="Z35" s="1610">
        <f t="shared" si="15"/>
        <v>7950</v>
      </c>
      <c r="AA35" s="1610">
        <f t="shared" si="16"/>
        <v>1669.5</v>
      </c>
      <c r="AB35" s="1610">
        <f t="shared" si="17"/>
        <v>8348</v>
      </c>
      <c r="AC35" s="1610"/>
      <c r="AD35" s="3281">
        <f t="shared" si="18"/>
        <v>8348</v>
      </c>
      <c r="AE35" s="1669">
        <f t="shared" si="11"/>
        <v>1680</v>
      </c>
      <c r="AF35" s="2043">
        <v>1.1200000000000001</v>
      </c>
    </row>
    <row r="36" spans="1:32" ht="24">
      <c r="A36" s="2108">
        <v>27</v>
      </c>
      <c r="B36" s="3335" t="s">
        <v>2881</v>
      </c>
      <c r="C36" s="3299" t="s">
        <v>2881</v>
      </c>
      <c r="D36" s="3214" t="s">
        <v>1268</v>
      </c>
      <c r="E36" s="3337">
        <v>10053.200000000001</v>
      </c>
      <c r="F36" s="3342"/>
      <c r="G36" s="3337">
        <v>10053.200000000001</v>
      </c>
      <c r="H36" s="3338"/>
      <c r="I36" s="3338"/>
      <c r="J36" s="3338"/>
      <c r="K36" s="3338"/>
      <c r="L36" s="3215">
        <v>12</v>
      </c>
      <c r="M36" s="3339"/>
      <c r="N36" s="3338"/>
      <c r="O36" s="3338"/>
      <c r="P36" s="3292">
        <v>6</v>
      </c>
      <c r="Q36" s="3292"/>
      <c r="R36" s="3338"/>
      <c r="S36" s="3214">
        <v>110000</v>
      </c>
      <c r="T36" s="3292">
        <f t="shared" si="10"/>
        <v>739200</v>
      </c>
      <c r="U36" s="3292"/>
      <c r="V36" s="2458">
        <f t="shared" si="3"/>
        <v>739200</v>
      </c>
      <c r="W36" s="1610"/>
      <c r="X36" s="1610"/>
      <c r="Y36" s="1610"/>
      <c r="Z36" s="1610"/>
      <c r="AA36" s="1610"/>
      <c r="AB36" s="1610"/>
      <c r="AC36" s="1610"/>
      <c r="AD36" s="3281"/>
      <c r="AE36" s="1669">
        <f t="shared" si="11"/>
        <v>123200</v>
      </c>
      <c r="AF36" s="2043">
        <v>1.1200000000000001</v>
      </c>
    </row>
    <row r="37" spans="1:32">
      <c r="A37" s="2108">
        <v>28</v>
      </c>
      <c r="B37" s="3335" t="s">
        <v>2754</v>
      </c>
      <c r="C37" s="3335" t="s">
        <v>2754</v>
      </c>
      <c r="D37" s="3336" t="s">
        <v>1268</v>
      </c>
      <c r="E37" s="3337">
        <v>10053.200000000001</v>
      </c>
      <c r="F37" s="3338"/>
      <c r="G37" s="3337">
        <f>E37</f>
        <v>10053.200000000001</v>
      </c>
      <c r="H37" s="3338"/>
      <c r="I37" s="3338"/>
      <c r="J37" s="3338"/>
      <c r="K37" s="3338"/>
      <c r="L37" s="3215">
        <v>50</v>
      </c>
      <c r="M37" s="3339"/>
      <c r="N37" s="3338"/>
      <c r="O37" s="3338"/>
      <c r="P37" s="3292">
        <f t="shared" ref="P37:P56" si="19">L37-N37-O37</f>
        <v>50</v>
      </c>
      <c r="Q37" s="3292">
        <v>1.07</v>
      </c>
      <c r="R37" s="3338">
        <v>890</v>
      </c>
      <c r="S37" s="3216">
        <v>160</v>
      </c>
      <c r="T37" s="3292">
        <f t="shared" si="10"/>
        <v>8960</v>
      </c>
      <c r="U37" s="3292"/>
      <c r="V37" s="3292">
        <f t="shared" si="3"/>
        <v>8960</v>
      </c>
      <c r="W37" s="1610">
        <f>S37*$X$5</f>
        <v>169.60000000000002</v>
      </c>
      <c r="X37" s="1610">
        <f>ROUND(P37*W37,0)</f>
        <v>8480</v>
      </c>
      <c r="Y37" s="1610"/>
      <c r="Z37" s="1610">
        <f>X37-Y37</f>
        <v>8480</v>
      </c>
      <c r="AA37" s="1610">
        <f>W37*$AA$5</f>
        <v>178.08000000000004</v>
      </c>
      <c r="AB37" s="1610">
        <f>ROUND(P37*AA37,0)</f>
        <v>8904</v>
      </c>
      <c r="AC37" s="1610"/>
      <c r="AD37" s="3281">
        <f>AB37-AC37</f>
        <v>8904</v>
      </c>
      <c r="AE37" s="1669">
        <f t="shared" si="11"/>
        <v>179.2</v>
      </c>
      <c r="AF37" s="2043">
        <v>1.1200000000000001</v>
      </c>
    </row>
    <row r="38" spans="1:32">
      <c r="A38" s="2108">
        <v>29</v>
      </c>
      <c r="B38" s="3335" t="s">
        <v>2755</v>
      </c>
      <c r="C38" s="3335" t="s">
        <v>2755</v>
      </c>
      <c r="D38" s="3336" t="s">
        <v>1268</v>
      </c>
      <c r="E38" s="3337">
        <v>10053.200000000001</v>
      </c>
      <c r="F38" s="3292"/>
      <c r="G38" s="3337">
        <f>E38</f>
        <v>10053.200000000001</v>
      </c>
      <c r="H38" s="3292"/>
      <c r="I38" s="3338"/>
      <c r="J38" s="3338"/>
      <c r="K38" s="3292"/>
      <c r="L38" s="3215">
        <v>50</v>
      </c>
      <c r="M38" s="3339"/>
      <c r="N38" s="3292"/>
      <c r="O38" s="3292"/>
      <c r="P38" s="3292">
        <f t="shared" si="19"/>
        <v>50</v>
      </c>
      <c r="Q38" s="3292">
        <v>1.07</v>
      </c>
      <c r="R38" s="3292">
        <v>935</v>
      </c>
      <c r="S38" s="3216">
        <v>400</v>
      </c>
      <c r="T38" s="3292">
        <f t="shared" si="10"/>
        <v>22400</v>
      </c>
      <c r="U38" s="3292"/>
      <c r="V38" s="3292">
        <f t="shared" si="3"/>
        <v>22400</v>
      </c>
      <c r="W38" s="1610">
        <f>S38*$X$5</f>
        <v>424</v>
      </c>
      <c r="X38" s="1610">
        <f>ROUND(P38*W38,0)</f>
        <v>21200</v>
      </c>
      <c r="Y38" s="1610"/>
      <c r="Z38" s="1610">
        <f>X38-Y38</f>
        <v>21200</v>
      </c>
      <c r="AA38" s="1610">
        <f>W38*$AA$5</f>
        <v>445.20000000000005</v>
      </c>
      <c r="AB38" s="1610">
        <f>ROUND(P38*AA38,0)</f>
        <v>22260</v>
      </c>
      <c r="AC38" s="1610"/>
      <c r="AD38" s="3281">
        <f>AB38-AC38</f>
        <v>22260</v>
      </c>
      <c r="AE38" s="1669">
        <f t="shared" si="11"/>
        <v>448</v>
      </c>
      <c r="AF38" s="2043">
        <v>1.1200000000000001</v>
      </c>
    </row>
    <row r="39" spans="1:32">
      <c r="A39" s="2108">
        <v>30</v>
      </c>
      <c r="B39" s="3220" t="s">
        <v>2758</v>
      </c>
      <c r="C39" s="3220" t="s">
        <v>2758</v>
      </c>
      <c r="D39" s="3336" t="s">
        <v>1268</v>
      </c>
      <c r="E39" s="3337">
        <v>10053.200000000001</v>
      </c>
      <c r="F39" s="3292"/>
      <c r="G39" s="3337">
        <f>E39</f>
        <v>10053.200000000001</v>
      </c>
      <c r="H39" s="3292"/>
      <c r="I39" s="3338"/>
      <c r="J39" s="3338"/>
      <c r="K39" s="3292"/>
      <c r="L39" s="3215">
        <v>10</v>
      </c>
      <c r="M39" s="3292"/>
      <c r="N39" s="3292"/>
      <c r="O39" s="3292"/>
      <c r="P39" s="3292">
        <f t="shared" si="19"/>
        <v>10</v>
      </c>
      <c r="Q39" s="3292">
        <v>1.07</v>
      </c>
      <c r="R39" s="3292">
        <v>1799</v>
      </c>
      <c r="S39" s="3216">
        <v>2100</v>
      </c>
      <c r="T39" s="3292">
        <f t="shared" si="10"/>
        <v>23520</v>
      </c>
      <c r="U39" s="3292"/>
      <c r="V39" s="3292">
        <f t="shared" si="3"/>
        <v>23520</v>
      </c>
      <c r="W39" s="1610">
        <f>S39*$X$5</f>
        <v>2226</v>
      </c>
      <c r="X39" s="1610">
        <f>ROUND(P39*W39,0)</f>
        <v>22260</v>
      </c>
      <c r="Y39" s="1610"/>
      <c r="Z39" s="1610">
        <f>X39-Y39</f>
        <v>22260</v>
      </c>
      <c r="AA39" s="1610">
        <f>W39*$AA$5</f>
        <v>2337.3000000000002</v>
      </c>
      <c r="AB39" s="1610">
        <f>ROUND(P39*AA39,0)</f>
        <v>23373</v>
      </c>
      <c r="AC39" s="1610"/>
      <c r="AD39" s="3281">
        <f>AB39-AC39</f>
        <v>23373</v>
      </c>
      <c r="AE39" s="1669">
        <f t="shared" si="11"/>
        <v>2352</v>
      </c>
      <c r="AF39" s="2043">
        <v>1.1200000000000001</v>
      </c>
    </row>
    <row r="40" spans="1:32">
      <c r="A40" s="2108">
        <v>31</v>
      </c>
      <c r="B40" s="3220" t="s">
        <v>2759</v>
      </c>
      <c r="C40" s="3220" t="s">
        <v>2759</v>
      </c>
      <c r="D40" s="3336" t="s">
        <v>1268</v>
      </c>
      <c r="E40" s="3337">
        <v>10053.200000000001</v>
      </c>
      <c r="F40" s="3338"/>
      <c r="G40" s="3337">
        <f>E40</f>
        <v>10053.200000000001</v>
      </c>
      <c r="H40" s="3338"/>
      <c r="I40" s="3338"/>
      <c r="J40" s="3338"/>
      <c r="K40" s="3338"/>
      <c r="L40" s="3215">
        <v>10</v>
      </c>
      <c r="M40" s="3339"/>
      <c r="N40" s="3338"/>
      <c r="O40" s="3338"/>
      <c r="P40" s="3292">
        <f t="shared" si="19"/>
        <v>10</v>
      </c>
      <c r="Q40" s="3292">
        <v>1.07</v>
      </c>
      <c r="R40" s="3338">
        <v>1134</v>
      </c>
      <c r="S40" s="3216">
        <v>2500</v>
      </c>
      <c r="T40" s="3292">
        <f t="shared" si="10"/>
        <v>28000</v>
      </c>
      <c r="U40" s="3292"/>
      <c r="V40" s="3292">
        <f t="shared" ref="V40:V70" si="20">T40-U40</f>
        <v>28000</v>
      </c>
      <c r="W40" s="1610">
        <f>S40*$X$5</f>
        <v>2650</v>
      </c>
      <c r="X40" s="1610">
        <f>ROUND(P40*W40,0)</f>
        <v>26500</v>
      </c>
      <c r="Y40" s="1610"/>
      <c r="Z40" s="1610">
        <f>X40-Y40</f>
        <v>26500</v>
      </c>
      <c r="AA40" s="1610">
        <f>W40*$AA$5</f>
        <v>2782.5</v>
      </c>
      <c r="AB40" s="1610">
        <f>ROUND(P40*AA40,0)</f>
        <v>27825</v>
      </c>
      <c r="AC40" s="1610"/>
      <c r="AD40" s="3281">
        <f>AB40-AC40</f>
        <v>27825</v>
      </c>
      <c r="AE40" s="1669">
        <f t="shared" si="11"/>
        <v>2800</v>
      </c>
      <c r="AF40" s="2043">
        <v>1.1200000000000001</v>
      </c>
    </row>
    <row r="41" spans="1:32">
      <c r="A41" s="2108">
        <v>32</v>
      </c>
      <c r="B41" s="3220" t="s">
        <v>2905</v>
      </c>
      <c r="C41" s="3220" t="s">
        <v>2906</v>
      </c>
      <c r="D41" s="3214" t="s">
        <v>1022</v>
      </c>
      <c r="E41" s="3337">
        <v>10053.200000000001</v>
      </c>
      <c r="F41" s="3343"/>
      <c r="G41" s="3337">
        <v>10053.200000000001</v>
      </c>
      <c r="H41" s="3292"/>
      <c r="I41" s="3292"/>
      <c r="J41" s="3292"/>
      <c r="K41" s="3292"/>
      <c r="L41" s="3215">
        <v>4</v>
      </c>
      <c r="M41" s="3292"/>
      <c r="N41" s="3292"/>
      <c r="O41" s="3292"/>
      <c r="P41" s="3292">
        <f t="shared" si="19"/>
        <v>4</v>
      </c>
      <c r="Q41" s="3292"/>
      <c r="R41" s="3292"/>
      <c r="S41" s="3219" t="s">
        <v>2907</v>
      </c>
      <c r="T41" s="3292">
        <f t="shared" si="10"/>
        <v>2464</v>
      </c>
      <c r="U41" s="3292"/>
      <c r="V41" s="2458">
        <f t="shared" si="20"/>
        <v>2464</v>
      </c>
      <c r="W41" s="1610"/>
      <c r="X41" s="1610"/>
      <c r="Y41" s="1610"/>
      <c r="Z41" s="1610"/>
      <c r="AA41" s="1610"/>
      <c r="AB41" s="1610"/>
      <c r="AC41" s="1610"/>
      <c r="AD41" s="3281"/>
      <c r="AE41" s="1669">
        <f t="shared" si="11"/>
        <v>616</v>
      </c>
      <c r="AF41" s="2043">
        <v>1.1200000000000001</v>
      </c>
    </row>
    <row r="42" spans="1:32">
      <c r="A42" s="2108">
        <v>33</v>
      </c>
      <c r="B42" s="3220" t="s">
        <v>2905</v>
      </c>
      <c r="C42" s="3220" t="s">
        <v>2908</v>
      </c>
      <c r="D42" s="3214" t="s">
        <v>1022</v>
      </c>
      <c r="E42" s="3337">
        <v>10053.200000000001</v>
      </c>
      <c r="F42" s="3343"/>
      <c r="G42" s="3337">
        <v>10053.200000000001</v>
      </c>
      <c r="H42" s="3292"/>
      <c r="I42" s="3292"/>
      <c r="J42" s="3292"/>
      <c r="K42" s="3292"/>
      <c r="L42" s="3215">
        <v>4</v>
      </c>
      <c r="M42" s="3292"/>
      <c r="N42" s="3292"/>
      <c r="O42" s="3292"/>
      <c r="P42" s="3292">
        <f t="shared" si="19"/>
        <v>4</v>
      </c>
      <c r="Q42" s="3292"/>
      <c r="R42" s="3292"/>
      <c r="S42" s="3219" t="s">
        <v>2907</v>
      </c>
      <c r="T42" s="3292">
        <f t="shared" si="10"/>
        <v>2464</v>
      </c>
      <c r="U42" s="3292"/>
      <c r="V42" s="2458">
        <f t="shared" si="20"/>
        <v>2464</v>
      </c>
      <c r="W42" s="1610"/>
      <c r="X42" s="1610"/>
      <c r="Y42" s="1610"/>
      <c r="Z42" s="1610"/>
      <c r="AA42" s="1610"/>
      <c r="AB42" s="1610"/>
      <c r="AC42" s="1610"/>
      <c r="AD42" s="3281"/>
      <c r="AE42" s="1669">
        <f t="shared" si="11"/>
        <v>616</v>
      </c>
      <c r="AF42" s="2043">
        <v>1.1200000000000001</v>
      </c>
    </row>
    <row r="43" spans="1:32">
      <c r="A43" s="2108">
        <v>34</v>
      </c>
      <c r="B43" s="3292" t="s">
        <v>3122</v>
      </c>
      <c r="C43" s="3339" t="s">
        <v>3062</v>
      </c>
      <c r="D43" s="3343" t="s">
        <v>1268</v>
      </c>
      <c r="E43" s="3337">
        <v>10053.200000000001</v>
      </c>
      <c r="F43" s="3343"/>
      <c r="G43" s="3337">
        <v>10053.200000000001</v>
      </c>
      <c r="H43" s="3292"/>
      <c r="I43" s="3292"/>
      <c r="J43" s="3292"/>
      <c r="K43" s="3292"/>
      <c r="L43" s="3347">
        <v>4</v>
      </c>
      <c r="M43" s="3292"/>
      <c r="N43" s="3292"/>
      <c r="O43" s="3292"/>
      <c r="P43" s="3292">
        <f t="shared" si="19"/>
        <v>4</v>
      </c>
      <c r="Q43" s="3292"/>
      <c r="R43" s="3292"/>
      <c r="S43" s="3292">
        <v>3700</v>
      </c>
      <c r="T43" s="3292">
        <f t="shared" si="10"/>
        <v>16576</v>
      </c>
      <c r="U43" s="3292"/>
      <c r="V43" s="2458">
        <f t="shared" si="20"/>
        <v>16576</v>
      </c>
      <c r="W43" s="1610"/>
      <c r="X43" s="1610"/>
      <c r="Y43" s="1610"/>
      <c r="Z43" s="1610"/>
      <c r="AA43" s="1610"/>
      <c r="AB43" s="1610"/>
      <c r="AC43" s="1610"/>
      <c r="AD43" s="3281"/>
      <c r="AE43" s="1669">
        <f t="shared" si="11"/>
        <v>4144</v>
      </c>
      <c r="AF43" s="2043">
        <v>1.1200000000000001</v>
      </c>
    </row>
    <row r="44" spans="1:32">
      <c r="A44" s="2108">
        <v>35</v>
      </c>
      <c r="B44" s="3220" t="s">
        <v>2890</v>
      </c>
      <c r="C44" s="3220" t="s">
        <v>2891</v>
      </c>
      <c r="D44" s="3214" t="s">
        <v>1268</v>
      </c>
      <c r="E44" s="3337">
        <v>10053.200000000001</v>
      </c>
      <c r="F44" s="3343"/>
      <c r="G44" s="3337">
        <v>10053.200000000001</v>
      </c>
      <c r="H44" s="3292"/>
      <c r="I44" s="3292"/>
      <c r="J44" s="3292"/>
      <c r="K44" s="3292"/>
      <c r="L44" s="3215">
        <v>5</v>
      </c>
      <c r="M44" s="3292"/>
      <c r="N44" s="3292"/>
      <c r="O44" s="3292"/>
      <c r="P44" s="3292">
        <f t="shared" si="19"/>
        <v>5</v>
      </c>
      <c r="Q44" s="3292"/>
      <c r="R44" s="3292"/>
      <c r="S44" s="3218">
        <v>900</v>
      </c>
      <c r="T44" s="3292">
        <f t="shared" si="10"/>
        <v>5040</v>
      </c>
      <c r="U44" s="3292"/>
      <c r="V44" s="2458">
        <f t="shared" si="20"/>
        <v>5040</v>
      </c>
      <c r="W44" s="1610"/>
      <c r="X44" s="1610"/>
      <c r="Y44" s="1610"/>
      <c r="Z44" s="1610"/>
      <c r="AA44" s="1610"/>
      <c r="AB44" s="1610"/>
      <c r="AC44" s="1610"/>
      <c r="AD44" s="3281"/>
      <c r="AE44" s="1669">
        <f t="shared" si="11"/>
        <v>1008</v>
      </c>
      <c r="AF44" s="2043">
        <v>1.1200000000000001</v>
      </c>
    </row>
    <row r="45" spans="1:32" ht="24">
      <c r="A45" s="2108">
        <v>36</v>
      </c>
      <c r="B45" s="3220" t="s">
        <v>2892</v>
      </c>
      <c r="C45" s="3221" t="s">
        <v>1463</v>
      </c>
      <c r="D45" s="3214" t="s">
        <v>1268</v>
      </c>
      <c r="E45" s="3337">
        <v>10053.200000000001</v>
      </c>
      <c r="F45" s="3343"/>
      <c r="G45" s="3337">
        <v>10053.200000000001</v>
      </c>
      <c r="H45" s="3292"/>
      <c r="I45" s="3292"/>
      <c r="J45" s="3292"/>
      <c r="K45" s="3292"/>
      <c r="L45" s="3215">
        <v>50</v>
      </c>
      <c r="M45" s="3292"/>
      <c r="N45" s="3292"/>
      <c r="O45" s="3292"/>
      <c r="P45" s="3292">
        <f t="shared" si="19"/>
        <v>50</v>
      </c>
      <c r="Q45" s="3292"/>
      <c r="R45" s="3292"/>
      <c r="S45" s="3218">
        <v>700</v>
      </c>
      <c r="T45" s="3292">
        <f t="shared" si="10"/>
        <v>39200</v>
      </c>
      <c r="U45" s="3292"/>
      <c r="V45" s="2458">
        <f t="shared" si="20"/>
        <v>39200</v>
      </c>
      <c r="W45" s="1610"/>
      <c r="X45" s="1610"/>
      <c r="Y45" s="1610"/>
      <c r="Z45" s="1610"/>
      <c r="AA45" s="1610"/>
      <c r="AB45" s="1610"/>
      <c r="AC45" s="1610"/>
      <c r="AD45" s="3281"/>
      <c r="AE45" s="1669">
        <f t="shared" si="11"/>
        <v>784</v>
      </c>
      <c r="AF45" s="2043">
        <v>1.1200000000000001</v>
      </c>
    </row>
    <row r="46" spans="1:32">
      <c r="A46" s="2108">
        <v>37</v>
      </c>
      <c r="B46" s="3220" t="s">
        <v>2765</v>
      </c>
      <c r="C46" s="3220" t="s">
        <v>2765</v>
      </c>
      <c r="D46" s="3336" t="s">
        <v>1268</v>
      </c>
      <c r="E46" s="3337">
        <v>10053.200000000001</v>
      </c>
      <c r="F46" s="3292"/>
      <c r="G46" s="3337">
        <f t="shared" ref="G46:G53" si="21">E46</f>
        <v>10053.200000000001</v>
      </c>
      <c r="H46" s="3292"/>
      <c r="I46" s="3338"/>
      <c r="J46" s="3338"/>
      <c r="K46" s="3292"/>
      <c r="L46" s="3215">
        <v>1</v>
      </c>
      <c r="M46" s="3339"/>
      <c r="N46" s="3292"/>
      <c r="O46" s="3292"/>
      <c r="P46" s="3292">
        <f t="shared" si="19"/>
        <v>1</v>
      </c>
      <c r="Q46" s="3292">
        <v>1.07</v>
      </c>
      <c r="R46" s="3292">
        <v>999</v>
      </c>
      <c r="S46" s="3216">
        <v>2500</v>
      </c>
      <c r="T46" s="3292">
        <f t="shared" si="10"/>
        <v>2800</v>
      </c>
      <c r="U46" s="3292"/>
      <c r="V46" s="3292">
        <f t="shared" si="20"/>
        <v>2800</v>
      </c>
      <c r="W46" s="1610">
        <f t="shared" ref="W46:W53" si="22">S46*$X$5</f>
        <v>2650</v>
      </c>
      <c r="X46" s="1610">
        <f t="shared" ref="X46:X53" si="23">ROUND(P46*W46,0)</f>
        <v>2650</v>
      </c>
      <c r="Y46" s="1610"/>
      <c r="Z46" s="1610">
        <f t="shared" ref="Z46:Z53" si="24">X46-Y46</f>
        <v>2650</v>
      </c>
      <c r="AA46" s="1610">
        <f t="shared" ref="AA46:AA53" si="25">W46*$AA$5</f>
        <v>2782.5</v>
      </c>
      <c r="AB46" s="1610">
        <f t="shared" ref="AB46:AB53" si="26">ROUND(P46*AA46,0)</f>
        <v>2783</v>
      </c>
      <c r="AC46" s="1610"/>
      <c r="AD46" s="3281">
        <f t="shared" ref="AD46:AD53" si="27">AB46-AC46</f>
        <v>2783</v>
      </c>
      <c r="AE46" s="1669">
        <f t="shared" si="11"/>
        <v>2800</v>
      </c>
      <c r="AF46" s="2043">
        <v>1.1200000000000001</v>
      </c>
    </row>
    <row r="47" spans="1:32">
      <c r="A47" s="2108">
        <v>38</v>
      </c>
      <c r="B47" s="3220" t="s">
        <v>2766</v>
      </c>
      <c r="C47" s="3220" t="s">
        <v>2766</v>
      </c>
      <c r="D47" s="3336" t="s">
        <v>1268</v>
      </c>
      <c r="E47" s="3337">
        <v>10053.200000000001</v>
      </c>
      <c r="F47" s="3338"/>
      <c r="G47" s="3337">
        <f t="shared" si="21"/>
        <v>10053.200000000001</v>
      </c>
      <c r="H47" s="3338"/>
      <c r="I47" s="3338"/>
      <c r="J47" s="3338"/>
      <c r="K47" s="3338"/>
      <c r="L47" s="3215">
        <v>1</v>
      </c>
      <c r="M47" s="3339"/>
      <c r="N47" s="3338"/>
      <c r="O47" s="3338"/>
      <c r="P47" s="3292">
        <f t="shared" si="19"/>
        <v>1</v>
      </c>
      <c r="Q47" s="3292">
        <v>1.07</v>
      </c>
      <c r="R47" s="3292">
        <v>1890</v>
      </c>
      <c r="S47" s="3216">
        <v>2500</v>
      </c>
      <c r="T47" s="3292">
        <f t="shared" si="10"/>
        <v>2800</v>
      </c>
      <c r="U47" s="3292"/>
      <c r="V47" s="3292">
        <f t="shared" si="20"/>
        <v>2800</v>
      </c>
      <c r="W47" s="1610">
        <f t="shared" si="22"/>
        <v>2650</v>
      </c>
      <c r="X47" s="1610">
        <f t="shared" si="23"/>
        <v>2650</v>
      </c>
      <c r="Y47" s="1610"/>
      <c r="Z47" s="1610">
        <f t="shared" si="24"/>
        <v>2650</v>
      </c>
      <c r="AA47" s="1610">
        <f t="shared" si="25"/>
        <v>2782.5</v>
      </c>
      <c r="AB47" s="1610">
        <f t="shared" si="26"/>
        <v>2783</v>
      </c>
      <c r="AC47" s="1610"/>
      <c r="AD47" s="3281">
        <f t="shared" si="27"/>
        <v>2783</v>
      </c>
      <c r="AE47" s="1669">
        <f t="shared" si="11"/>
        <v>2800</v>
      </c>
      <c r="AF47" s="2043">
        <v>1.1200000000000001</v>
      </c>
    </row>
    <row r="48" spans="1:32" ht="21.75" customHeight="1">
      <c r="A48" s="2108">
        <v>39</v>
      </c>
      <c r="B48" s="3220" t="s">
        <v>2772</v>
      </c>
      <c r="C48" s="3220" t="s">
        <v>2771</v>
      </c>
      <c r="D48" s="3336" t="s">
        <v>1022</v>
      </c>
      <c r="E48" s="3337">
        <v>10053.200000000001</v>
      </c>
      <c r="F48" s="3292"/>
      <c r="G48" s="3337">
        <f t="shared" si="21"/>
        <v>10053.200000000001</v>
      </c>
      <c r="H48" s="3292"/>
      <c r="I48" s="3338"/>
      <c r="J48" s="3338"/>
      <c r="K48" s="3292"/>
      <c r="L48" s="3215">
        <v>2</v>
      </c>
      <c r="M48" s="3339"/>
      <c r="N48" s="3292"/>
      <c r="O48" s="3292"/>
      <c r="P48" s="3292">
        <f t="shared" si="19"/>
        <v>2</v>
      </c>
      <c r="Q48" s="3292">
        <v>1.07</v>
      </c>
      <c r="R48" s="3292">
        <v>2673</v>
      </c>
      <c r="S48" s="3214" t="s">
        <v>2774</v>
      </c>
      <c r="T48" s="3292">
        <f t="shared" si="10"/>
        <v>33600</v>
      </c>
      <c r="U48" s="3292"/>
      <c r="V48" s="3292">
        <f t="shared" si="20"/>
        <v>33600</v>
      </c>
      <c r="W48" s="1610">
        <f t="shared" si="22"/>
        <v>15900</v>
      </c>
      <c r="X48" s="1610">
        <f t="shared" si="23"/>
        <v>31800</v>
      </c>
      <c r="Y48" s="1610"/>
      <c r="Z48" s="1610">
        <f t="shared" si="24"/>
        <v>31800</v>
      </c>
      <c r="AA48" s="1610">
        <f t="shared" si="25"/>
        <v>16695</v>
      </c>
      <c r="AB48" s="1610">
        <f t="shared" si="26"/>
        <v>33390</v>
      </c>
      <c r="AC48" s="1610"/>
      <c r="AD48" s="3281">
        <f t="shared" si="27"/>
        <v>33390</v>
      </c>
      <c r="AE48" s="1669">
        <f t="shared" si="11"/>
        <v>16800</v>
      </c>
      <c r="AF48" s="2043">
        <v>1.1200000000000001</v>
      </c>
    </row>
    <row r="49" spans="1:32">
      <c r="A49" s="2108">
        <v>40</v>
      </c>
      <c r="B49" s="3335" t="s">
        <v>2767</v>
      </c>
      <c r="C49" s="3335" t="s">
        <v>2767</v>
      </c>
      <c r="D49" s="3336" t="s">
        <v>1268</v>
      </c>
      <c r="E49" s="3337">
        <v>10053.200000000001</v>
      </c>
      <c r="F49" s="3338"/>
      <c r="G49" s="3337">
        <f t="shared" si="21"/>
        <v>10053.200000000001</v>
      </c>
      <c r="H49" s="3338"/>
      <c r="I49" s="3338"/>
      <c r="J49" s="3338"/>
      <c r="K49" s="3338"/>
      <c r="L49" s="3215">
        <v>2</v>
      </c>
      <c r="M49" s="3339"/>
      <c r="N49" s="3338"/>
      <c r="O49" s="3338"/>
      <c r="P49" s="3292">
        <f t="shared" si="19"/>
        <v>2</v>
      </c>
      <c r="Q49" s="3292">
        <v>1.07</v>
      </c>
      <c r="R49" s="3292">
        <v>2916</v>
      </c>
      <c r="S49" s="3214" t="s">
        <v>2768</v>
      </c>
      <c r="T49" s="3292">
        <f t="shared" si="10"/>
        <v>3360</v>
      </c>
      <c r="U49" s="3292"/>
      <c r="V49" s="3292">
        <f t="shared" si="20"/>
        <v>3360</v>
      </c>
      <c r="W49" s="1610">
        <f t="shared" si="22"/>
        <v>1590</v>
      </c>
      <c r="X49" s="1610">
        <f t="shared" si="23"/>
        <v>3180</v>
      </c>
      <c r="Y49" s="1610"/>
      <c r="Z49" s="1610">
        <f t="shared" si="24"/>
        <v>3180</v>
      </c>
      <c r="AA49" s="1610">
        <f t="shared" si="25"/>
        <v>1669.5</v>
      </c>
      <c r="AB49" s="1610">
        <f t="shared" si="26"/>
        <v>3339</v>
      </c>
      <c r="AC49" s="1610"/>
      <c r="AD49" s="3281">
        <f t="shared" si="27"/>
        <v>3339</v>
      </c>
      <c r="AE49" s="1669">
        <f t="shared" si="11"/>
        <v>1680</v>
      </c>
      <c r="AF49" s="2043">
        <v>1.1200000000000001</v>
      </c>
    </row>
    <row r="50" spans="1:32">
      <c r="A50" s="2108">
        <v>41</v>
      </c>
      <c r="B50" s="3335" t="s">
        <v>2769</v>
      </c>
      <c r="C50" s="3335" t="s">
        <v>2769</v>
      </c>
      <c r="D50" s="3336" t="s">
        <v>1268</v>
      </c>
      <c r="E50" s="3337">
        <v>10053.200000000001</v>
      </c>
      <c r="F50" s="3338"/>
      <c r="G50" s="3337">
        <f t="shared" si="21"/>
        <v>10053.200000000001</v>
      </c>
      <c r="H50" s="3338"/>
      <c r="I50" s="3338"/>
      <c r="J50" s="3338"/>
      <c r="K50" s="3338"/>
      <c r="L50" s="3215">
        <v>5</v>
      </c>
      <c r="M50" s="3339"/>
      <c r="N50" s="3338"/>
      <c r="O50" s="3338"/>
      <c r="P50" s="3292">
        <f t="shared" si="19"/>
        <v>5</v>
      </c>
      <c r="Q50" s="3292">
        <v>1.07</v>
      </c>
      <c r="R50" s="3292">
        <v>5200</v>
      </c>
      <c r="S50" s="3214" t="s">
        <v>2770</v>
      </c>
      <c r="T50" s="3292">
        <f t="shared" si="10"/>
        <v>78400</v>
      </c>
      <c r="U50" s="3292"/>
      <c r="V50" s="3292">
        <f t="shared" si="20"/>
        <v>78400</v>
      </c>
      <c r="W50" s="1610">
        <f t="shared" si="22"/>
        <v>14840</v>
      </c>
      <c r="X50" s="1610">
        <f t="shared" si="23"/>
        <v>74200</v>
      </c>
      <c r="Y50" s="1610"/>
      <c r="Z50" s="1610">
        <f t="shared" si="24"/>
        <v>74200</v>
      </c>
      <c r="AA50" s="1610">
        <f t="shared" si="25"/>
        <v>15582</v>
      </c>
      <c r="AB50" s="1610">
        <f t="shared" si="26"/>
        <v>77910</v>
      </c>
      <c r="AC50" s="1610"/>
      <c r="AD50" s="3281">
        <f t="shared" si="27"/>
        <v>77910</v>
      </c>
      <c r="AE50" s="1669">
        <f t="shared" si="11"/>
        <v>15680</v>
      </c>
      <c r="AF50" s="2043">
        <v>1.1200000000000001</v>
      </c>
    </row>
    <row r="51" spans="1:32">
      <c r="A51" s="2108">
        <v>42</v>
      </c>
      <c r="B51" s="3220" t="s">
        <v>2771</v>
      </c>
      <c r="C51" s="3220" t="s">
        <v>2772</v>
      </c>
      <c r="D51" s="3336" t="s">
        <v>1268</v>
      </c>
      <c r="E51" s="3337">
        <v>10053.200000000001</v>
      </c>
      <c r="F51" s="3292"/>
      <c r="G51" s="3337">
        <f t="shared" si="21"/>
        <v>10053.200000000001</v>
      </c>
      <c r="H51" s="3292"/>
      <c r="I51" s="3338"/>
      <c r="J51" s="3338"/>
      <c r="K51" s="3292"/>
      <c r="L51" s="3215">
        <v>1</v>
      </c>
      <c r="M51" s="3339"/>
      <c r="N51" s="3292"/>
      <c r="O51" s="3292"/>
      <c r="P51" s="3292">
        <f t="shared" si="19"/>
        <v>1</v>
      </c>
      <c r="Q51" s="3292">
        <v>1.07</v>
      </c>
      <c r="R51" s="3292">
        <v>7371</v>
      </c>
      <c r="S51" s="3214" t="s">
        <v>2773</v>
      </c>
      <c r="T51" s="3292">
        <f t="shared" si="10"/>
        <v>17920</v>
      </c>
      <c r="U51" s="3292"/>
      <c r="V51" s="3292">
        <f t="shared" si="20"/>
        <v>17920</v>
      </c>
      <c r="W51" s="1610">
        <f t="shared" si="22"/>
        <v>16960</v>
      </c>
      <c r="X51" s="1610">
        <f t="shared" si="23"/>
        <v>16960</v>
      </c>
      <c r="Y51" s="1610"/>
      <c r="Z51" s="1610">
        <f t="shared" si="24"/>
        <v>16960</v>
      </c>
      <c r="AA51" s="1610">
        <f t="shared" si="25"/>
        <v>17808</v>
      </c>
      <c r="AB51" s="1610">
        <f t="shared" si="26"/>
        <v>17808</v>
      </c>
      <c r="AC51" s="1610"/>
      <c r="AD51" s="3281">
        <f t="shared" si="27"/>
        <v>17808</v>
      </c>
      <c r="AE51" s="1669">
        <f t="shared" si="11"/>
        <v>17920</v>
      </c>
      <c r="AF51" s="2043">
        <v>1.1200000000000001</v>
      </c>
    </row>
    <row r="52" spans="1:32">
      <c r="A52" s="2108">
        <v>43</v>
      </c>
      <c r="B52" s="3220" t="s">
        <v>2775</v>
      </c>
      <c r="C52" s="3220" t="s">
        <v>2776</v>
      </c>
      <c r="D52" s="3336" t="s">
        <v>1525</v>
      </c>
      <c r="E52" s="3337">
        <v>10053.200000000001</v>
      </c>
      <c r="F52" s="3292"/>
      <c r="G52" s="3337">
        <f t="shared" si="21"/>
        <v>10053.200000000001</v>
      </c>
      <c r="H52" s="3292"/>
      <c r="I52" s="3338"/>
      <c r="J52" s="3338"/>
      <c r="K52" s="3292"/>
      <c r="L52" s="3214">
        <v>1</v>
      </c>
      <c r="M52" s="3339"/>
      <c r="N52" s="3292"/>
      <c r="O52" s="3292"/>
      <c r="P52" s="3292">
        <f t="shared" si="19"/>
        <v>1</v>
      </c>
      <c r="Q52" s="3292">
        <v>1.07</v>
      </c>
      <c r="R52" s="3292">
        <v>48600</v>
      </c>
      <c r="S52" s="3214" t="s">
        <v>2741</v>
      </c>
      <c r="T52" s="3292">
        <f t="shared" si="10"/>
        <v>1008</v>
      </c>
      <c r="U52" s="3292"/>
      <c r="V52" s="3292">
        <f t="shared" si="20"/>
        <v>1008</v>
      </c>
      <c r="W52" s="1610">
        <f t="shared" si="22"/>
        <v>954</v>
      </c>
      <c r="X52" s="1610">
        <f t="shared" si="23"/>
        <v>954</v>
      </c>
      <c r="Y52" s="1610"/>
      <c r="Z52" s="1610">
        <f t="shared" si="24"/>
        <v>954</v>
      </c>
      <c r="AA52" s="1610">
        <f t="shared" si="25"/>
        <v>1001.7</v>
      </c>
      <c r="AB52" s="1610">
        <f t="shared" si="26"/>
        <v>1002</v>
      </c>
      <c r="AC52" s="1610"/>
      <c r="AD52" s="3281">
        <f t="shared" si="27"/>
        <v>1002</v>
      </c>
      <c r="AE52" s="1669">
        <f t="shared" si="11"/>
        <v>1008</v>
      </c>
      <c r="AF52" s="2043">
        <v>1.1200000000000001</v>
      </c>
    </row>
    <row r="53" spans="1:32">
      <c r="A53" s="2108">
        <v>44</v>
      </c>
      <c r="B53" s="3220" t="s">
        <v>2777</v>
      </c>
      <c r="C53" s="3220" t="s">
        <v>2778</v>
      </c>
      <c r="D53" s="3336" t="s">
        <v>1395</v>
      </c>
      <c r="E53" s="3337">
        <v>10053.200000000001</v>
      </c>
      <c r="F53" s="3292"/>
      <c r="G53" s="3337">
        <f t="shared" si="21"/>
        <v>10053.200000000001</v>
      </c>
      <c r="H53" s="3338"/>
      <c r="I53" s="3338"/>
      <c r="J53" s="3338"/>
      <c r="K53" s="3338"/>
      <c r="L53" s="3214">
        <v>1</v>
      </c>
      <c r="M53" s="3339"/>
      <c r="N53" s="3338"/>
      <c r="O53" s="3338"/>
      <c r="P53" s="3292">
        <f t="shared" si="19"/>
        <v>1</v>
      </c>
      <c r="Q53" s="3292">
        <v>1.07</v>
      </c>
      <c r="R53" s="3338">
        <v>34</v>
      </c>
      <c r="S53" s="3214" t="s">
        <v>2779</v>
      </c>
      <c r="T53" s="3292">
        <f t="shared" si="10"/>
        <v>1232</v>
      </c>
      <c r="U53" s="3292"/>
      <c r="V53" s="3292">
        <f t="shared" si="20"/>
        <v>1232</v>
      </c>
      <c r="W53" s="1610">
        <f t="shared" si="22"/>
        <v>1166</v>
      </c>
      <c r="X53" s="1610">
        <f t="shared" si="23"/>
        <v>1166</v>
      </c>
      <c r="Y53" s="1610"/>
      <c r="Z53" s="1610">
        <f t="shared" si="24"/>
        <v>1166</v>
      </c>
      <c r="AA53" s="1610">
        <f t="shared" si="25"/>
        <v>1224.3</v>
      </c>
      <c r="AB53" s="1610">
        <f t="shared" si="26"/>
        <v>1224</v>
      </c>
      <c r="AC53" s="1610"/>
      <c r="AD53" s="3281">
        <f t="shared" si="27"/>
        <v>1224</v>
      </c>
      <c r="AE53" s="1669">
        <f t="shared" si="11"/>
        <v>1232</v>
      </c>
      <c r="AF53" s="2043">
        <v>1.1200000000000001</v>
      </c>
    </row>
    <row r="54" spans="1:32" ht="24">
      <c r="A54" s="2108">
        <v>45</v>
      </c>
      <c r="B54" s="3335" t="s">
        <v>2882</v>
      </c>
      <c r="C54" s="3299" t="s">
        <v>2882</v>
      </c>
      <c r="D54" s="3214" t="s">
        <v>2815</v>
      </c>
      <c r="E54" s="3337">
        <v>10053.200000000001</v>
      </c>
      <c r="F54" s="3343"/>
      <c r="G54" s="3337">
        <v>10053.200000000001</v>
      </c>
      <c r="H54" s="3292"/>
      <c r="I54" s="3292"/>
      <c r="J54" s="3292"/>
      <c r="K54" s="3292"/>
      <c r="L54" s="3214">
        <v>2</v>
      </c>
      <c r="M54" s="3292"/>
      <c r="N54" s="3292"/>
      <c r="O54" s="3292"/>
      <c r="P54" s="3292">
        <f t="shared" si="19"/>
        <v>2</v>
      </c>
      <c r="Q54" s="3292"/>
      <c r="R54" s="3292"/>
      <c r="S54" s="3214">
        <v>50000</v>
      </c>
      <c r="T54" s="3292">
        <f t="shared" si="10"/>
        <v>112000</v>
      </c>
      <c r="U54" s="3292"/>
      <c r="V54" s="2458">
        <f t="shared" si="20"/>
        <v>112000</v>
      </c>
      <c r="W54" s="1610"/>
      <c r="X54" s="1610"/>
      <c r="Y54" s="1610"/>
      <c r="Z54" s="1610"/>
      <c r="AA54" s="1610"/>
      <c r="AB54" s="1610"/>
      <c r="AC54" s="1610"/>
      <c r="AD54" s="3281"/>
      <c r="AE54" s="1669">
        <f t="shared" si="11"/>
        <v>56000</v>
      </c>
      <c r="AF54" s="2043">
        <v>1.1200000000000001</v>
      </c>
    </row>
    <row r="55" spans="1:32">
      <c r="A55" s="2108">
        <v>46</v>
      </c>
      <c r="B55" s="3335" t="s">
        <v>2848</v>
      </c>
      <c r="C55" s="3335" t="s">
        <v>2848</v>
      </c>
      <c r="D55" s="3336" t="s">
        <v>1268</v>
      </c>
      <c r="E55" s="3337">
        <v>10053.200000000001</v>
      </c>
      <c r="F55" s="3338"/>
      <c r="G55" s="3337">
        <f>E55</f>
        <v>10053.200000000001</v>
      </c>
      <c r="H55" s="3338"/>
      <c r="I55" s="3338"/>
      <c r="J55" s="3338"/>
      <c r="K55" s="3338"/>
      <c r="L55" s="3214">
        <v>10</v>
      </c>
      <c r="M55" s="3339"/>
      <c r="N55" s="3338"/>
      <c r="O55" s="3338"/>
      <c r="P55" s="3292">
        <f t="shared" si="19"/>
        <v>10</v>
      </c>
      <c r="Q55" s="3292">
        <v>1.07</v>
      </c>
      <c r="R55" s="3292">
        <v>990</v>
      </c>
      <c r="S55" s="3216">
        <v>2500</v>
      </c>
      <c r="T55" s="3292">
        <f t="shared" si="10"/>
        <v>28000</v>
      </c>
      <c r="U55" s="3292"/>
      <c r="V55" s="3292">
        <f t="shared" si="20"/>
        <v>28000</v>
      </c>
      <c r="W55" s="1610">
        <f>S55*$X$5</f>
        <v>2650</v>
      </c>
      <c r="X55" s="1610">
        <f>ROUND(P55*W55,0)</f>
        <v>26500</v>
      </c>
      <c r="Y55" s="1610"/>
      <c r="Z55" s="1610">
        <f>X55-Y55</f>
        <v>26500</v>
      </c>
      <c r="AA55" s="1610">
        <f>W55*$AA$5</f>
        <v>2782.5</v>
      </c>
      <c r="AB55" s="1610">
        <f>ROUND(P55*AA55,0)</f>
        <v>27825</v>
      </c>
      <c r="AC55" s="1610"/>
      <c r="AD55" s="3281">
        <f>AB55-AC55</f>
        <v>27825</v>
      </c>
      <c r="AE55" s="1669">
        <f t="shared" si="11"/>
        <v>2800</v>
      </c>
      <c r="AF55" s="2043">
        <v>1.1200000000000001</v>
      </c>
    </row>
    <row r="56" spans="1:32">
      <c r="A56" s="2108">
        <v>47</v>
      </c>
      <c r="B56" s="3220" t="s">
        <v>2786</v>
      </c>
      <c r="C56" s="3220" t="s">
        <v>2787</v>
      </c>
      <c r="D56" s="3336" t="s">
        <v>1395</v>
      </c>
      <c r="E56" s="3337">
        <v>10053.200000000001</v>
      </c>
      <c r="F56" s="3292"/>
      <c r="G56" s="3337">
        <f>E56</f>
        <v>10053.200000000001</v>
      </c>
      <c r="H56" s="3292"/>
      <c r="I56" s="3338"/>
      <c r="J56" s="3338"/>
      <c r="K56" s="3292"/>
      <c r="L56" s="3214">
        <v>4</v>
      </c>
      <c r="M56" s="3339"/>
      <c r="N56" s="3292"/>
      <c r="O56" s="3292"/>
      <c r="P56" s="3292">
        <f t="shared" si="19"/>
        <v>4</v>
      </c>
      <c r="Q56" s="3292">
        <v>1.07</v>
      </c>
      <c r="R56" s="3292">
        <v>1053</v>
      </c>
      <c r="S56" s="3216">
        <v>3000</v>
      </c>
      <c r="T56" s="3292">
        <f t="shared" si="10"/>
        <v>13440</v>
      </c>
      <c r="U56" s="3292"/>
      <c r="V56" s="3292">
        <f t="shared" si="20"/>
        <v>13440</v>
      </c>
      <c r="W56" s="1610">
        <f>S56*$X$5</f>
        <v>3180</v>
      </c>
      <c r="X56" s="1610">
        <f>ROUND(P56*W56,0)</f>
        <v>12720</v>
      </c>
      <c r="Y56" s="1610"/>
      <c r="Z56" s="1610">
        <f>X56-Y56</f>
        <v>12720</v>
      </c>
      <c r="AA56" s="1610">
        <f>W56*$AA$5</f>
        <v>3339</v>
      </c>
      <c r="AB56" s="1610">
        <f>ROUND(P56*AA56,0)</f>
        <v>13356</v>
      </c>
      <c r="AC56" s="1610"/>
      <c r="AD56" s="3281">
        <f>AB56-AC56</f>
        <v>13356</v>
      </c>
      <c r="AE56" s="1669">
        <f t="shared" si="11"/>
        <v>3360</v>
      </c>
      <c r="AF56" s="2043">
        <v>1.1200000000000001</v>
      </c>
    </row>
    <row r="57" spans="1:32" ht="72">
      <c r="A57" s="2108">
        <v>48</v>
      </c>
      <c r="B57" s="3220" t="s">
        <v>2893</v>
      </c>
      <c r="C57" s="3220" t="s">
        <v>2894</v>
      </c>
      <c r="D57" s="3214" t="s">
        <v>1268</v>
      </c>
      <c r="E57" s="3337">
        <v>10053.200000000001</v>
      </c>
      <c r="F57" s="3343"/>
      <c r="G57" s="3337">
        <v>10053.200000000001</v>
      </c>
      <c r="H57" s="3292"/>
      <c r="I57" s="3292"/>
      <c r="J57" s="3292"/>
      <c r="K57" s="3292"/>
      <c r="L57" s="3215">
        <v>100</v>
      </c>
      <c r="M57" s="3292"/>
      <c r="N57" s="3292"/>
      <c r="O57" s="3292"/>
      <c r="P57" s="3292">
        <v>20</v>
      </c>
      <c r="Q57" s="3292"/>
      <c r="R57" s="3292"/>
      <c r="S57" s="3218">
        <v>4000</v>
      </c>
      <c r="T57" s="3292">
        <f t="shared" si="10"/>
        <v>89600</v>
      </c>
      <c r="U57" s="3292"/>
      <c r="V57" s="2458">
        <f t="shared" si="20"/>
        <v>89600</v>
      </c>
      <c r="W57" s="1610"/>
      <c r="X57" s="1610"/>
      <c r="Y57" s="1610"/>
      <c r="Z57" s="1610"/>
      <c r="AA57" s="1610"/>
      <c r="AB57" s="1610"/>
      <c r="AC57" s="1610"/>
      <c r="AD57" s="3281"/>
      <c r="AE57" s="1669">
        <f t="shared" si="11"/>
        <v>4480</v>
      </c>
      <c r="AF57" s="2043">
        <v>1.1200000000000001</v>
      </c>
    </row>
    <row r="58" spans="1:32">
      <c r="A58" s="2108">
        <v>49</v>
      </c>
      <c r="B58" s="3220" t="s">
        <v>1938</v>
      </c>
      <c r="C58" s="3220" t="s">
        <v>1938</v>
      </c>
      <c r="D58" s="3336" t="s">
        <v>1395</v>
      </c>
      <c r="E58" s="3337">
        <v>10053.200000000001</v>
      </c>
      <c r="F58" s="3292"/>
      <c r="G58" s="3337">
        <f>E58</f>
        <v>10053.200000000001</v>
      </c>
      <c r="H58" s="3292"/>
      <c r="I58" s="3338"/>
      <c r="J58" s="3338"/>
      <c r="K58" s="3292"/>
      <c r="L58" s="3214">
        <v>10</v>
      </c>
      <c r="M58" s="3339"/>
      <c r="N58" s="3292"/>
      <c r="O58" s="3292"/>
      <c r="P58" s="3292">
        <f t="shared" ref="P58:P88" si="28">L58-N58-O58</f>
        <v>10</v>
      </c>
      <c r="Q58" s="3292">
        <v>1.07</v>
      </c>
      <c r="R58" s="3292">
        <v>192</v>
      </c>
      <c r="S58" s="3216">
        <v>350</v>
      </c>
      <c r="T58" s="3292">
        <f t="shared" si="10"/>
        <v>3920</v>
      </c>
      <c r="U58" s="3292"/>
      <c r="V58" s="3292">
        <f t="shared" si="20"/>
        <v>3920</v>
      </c>
      <c r="W58" s="1610">
        <f>S58*$X$5</f>
        <v>371</v>
      </c>
      <c r="X58" s="1610">
        <f>ROUND(P58*W58,0)</f>
        <v>3710</v>
      </c>
      <c r="Y58" s="1610"/>
      <c r="Z58" s="1610">
        <f>X58-Y58</f>
        <v>3710</v>
      </c>
      <c r="AA58" s="1610">
        <f>W58*$AA$5</f>
        <v>389.55</v>
      </c>
      <c r="AB58" s="1610">
        <f>ROUND(P58*AA58,0)</f>
        <v>3896</v>
      </c>
      <c r="AC58" s="1610"/>
      <c r="AD58" s="3281">
        <f>AB58-AC58</f>
        <v>3896</v>
      </c>
      <c r="AE58" s="1669">
        <f t="shared" si="11"/>
        <v>392</v>
      </c>
      <c r="AF58" s="2043">
        <v>1.1200000000000001</v>
      </c>
    </row>
    <row r="59" spans="1:32">
      <c r="A59" s="2108">
        <v>50</v>
      </c>
      <c r="B59" s="3292" t="s">
        <v>3123</v>
      </c>
      <c r="C59" s="3339" t="s">
        <v>3064</v>
      </c>
      <c r="D59" s="3343" t="s">
        <v>1022</v>
      </c>
      <c r="E59" s="3337">
        <v>10053.200000000001</v>
      </c>
      <c r="F59" s="3343"/>
      <c r="G59" s="3337">
        <v>10053.200000000001</v>
      </c>
      <c r="H59" s="3292"/>
      <c r="I59" s="3292"/>
      <c r="J59" s="3292"/>
      <c r="K59" s="3292"/>
      <c r="L59" s="3347">
        <v>30</v>
      </c>
      <c r="M59" s="3292"/>
      <c r="N59" s="3292"/>
      <c r="O59" s="3292"/>
      <c r="P59" s="3292">
        <f t="shared" si="28"/>
        <v>30</v>
      </c>
      <c r="Q59" s="3292"/>
      <c r="R59" s="3292"/>
      <c r="S59" s="3292">
        <v>9500</v>
      </c>
      <c r="T59" s="3292">
        <f t="shared" si="10"/>
        <v>319200</v>
      </c>
      <c r="U59" s="3292"/>
      <c r="V59" s="2458">
        <f t="shared" si="20"/>
        <v>319200</v>
      </c>
      <c r="W59" s="1610"/>
      <c r="X59" s="1610"/>
      <c r="Y59" s="1610"/>
      <c r="Z59" s="1610"/>
      <c r="AA59" s="1610"/>
      <c r="AB59" s="1610"/>
      <c r="AC59" s="1610"/>
      <c r="AD59" s="3281"/>
      <c r="AE59" s="1669">
        <f t="shared" si="11"/>
        <v>10640</v>
      </c>
      <c r="AF59" s="2043">
        <v>1.1200000000000001</v>
      </c>
    </row>
    <row r="60" spans="1:32" ht="25.5">
      <c r="A60" s="2108">
        <v>51</v>
      </c>
      <c r="B60" s="3292" t="s">
        <v>3067</v>
      </c>
      <c r="C60" s="3339" t="s">
        <v>3065</v>
      </c>
      <c r="D60" s="3343" t="s">
        <v>1022</v>
      </c>
      <c r="E60" s="3337">
        <v>10053.200000000001</v>
      </c>
      <c r="F60" s="3343"/>
      <c r="G60" s="3337">
        <v>10053.200000000001</v>
      </c>
      <c r="H60" s="3292"/>
      <c r="I60" s="3292"/>
      <c r="J60" s="3292"/>
      <c r="K60" s="3292"/>
      <c r="L60" s="3347">
        <v>50</v>
      </c>
      <c r="M60" s="3292"/>
      <c r="N60" s="3292"/>
      <c r="O60" s="3292"/>
      <c r="P60" s="3292">
        <f t="shared" si="28"/>
        <v>50</v>
      </c>
      <c r="Q60" s="3292"/>
      <c r="R60" s="3292"/>
      <c r="S60" s="3292">
        <v>4600</v>
      </c>
      <c r="T60" s="3292">
        <f t="shared" si="10"/>
        <v>257600</v>
      </c>
      <c r="U60" s="3292"/>
      <c r="V60" s="2458">
        <f t="shared" si="20"/>
        <v>257600</v>
      </c>
      <c r="W60" s="1610"/>
      <c r="X60" s="1610"/>
      <c r="Y60" s="1610"/>
      <c r="Z60" s="1610"/>
      <c r="AA60" s="1610"/>
      <c r="AB60" s="1610"/>
      <c r="AC60" s="1610"/>
      <c r="AD60" s="3281"/>
      <c r="AE60" s="1669">
        <f t="shared" si="11"/>
        <v>5152</v>
      </c>
      <c r="AF60" s="2043">
        <v>1.1200000000000001</v>
      </c>
    </row>
    <row r="61" spans="1:32" ht="25.5">
      <c r="A61" s="2108">
        <v>52</v>
      </c>
      <c r="B61" s="3292" t="s">
        <v>3066</v>
      </c>
      <c r="C61" s="3339" t="s">
        <v>3066</v>
      </c>
      <c r="D61" s="3343" t="s">
        <v>1022</v>
      </c>
      <c r="E61" s="3337">
        <v>10053.200000000001</v>
      </c>
      <c r="F61" s="3343"/>
      <c r="G61" s="3337">
        <v>10053.200000000001</v>
      </c>
      <c r="H61" s="3292"/>
      <c r="I61" s="3292"/>
      <c r="J61" s="3292"/>
      <c r="K61" s="3292"/>
      <c r="L61" s="3347">
        <v>10</v>
      </c>
      <c r="M61" s="3292"/>
      <c r="N61" s="3292"/>
      <c r="O61" s="3292"/>
      <c r="P61" s="3292">
        <f t="shared" si="28"/>
        <v>10</v>
      </c>
      <c r="Q61" s="3292"/>
      <c r="R61" s="3292"/>
      <c r="S61" s="3292">
        <v>8000</v>
      </c>
      <c r="T61" s="3292">
        <f t="shared" si="10"/>
        <v>89600</v>
      </c>
      <c r="U61" s="3292"/>
      <c r="V61" s="2458">
        <f t="shared" si="20"/>
        <v>89600</v>
      </c>
      <c r="W61" s="1610"/>
      <c r="X61" s="1610"/>
      <c r="Y61" s="1610"/>
      <c r="Z61" s="1610"/>
      <c r="AA61" s="1610"/>
      <c r="AB61" s="1610"/>
      <c r="AC61" s="1610"/>
      <c r="AD61" s="3281"/>
      <c r="AE61" s="1669">
        <f t="shared" si="11"/>
        <v>8960</v>
      </c>
      <c r="AF61" s="2043">
        <v>1.1200000000000001</v>
      </c>
    </row>
    <row r="62" spans="1:32">
      <c r="A62" s="2108">
        <v>53</v>
      </c>
      <c r="B62" s="3335" t="s">
        <v>2792</v>
      </c>
      <c r="C62" s="3335" t="s">
        <v>2792</v>
      </c>
      <c r="D62" s="3336" t="s">
        <v>1268</v>
      </c>
      <c r="E62" s="3337">
        <v>10053.200000000001</v>
      </c>
      <c r="F62" s="3338"/>
      <c r="G62" s="3337">
        <f t="shared" ref="G62:G68" si="29">E62</f>
        <v>10053.200000000001</v>
      </c>
      <c r="H62" s="3338"/>
      <c r="I62" s="3338"/>
      <c r="J62" s="3338"/>
      <c r="K62" s="3338"/>
      <c r="L62" s="3214">
        <v>40</v>
      </c>
      <c r="M62" s="3339"/>
      <c r="N62" s="3338"/>
      <c r="O62" s="3338"/>
      <c r="P62" s="3292">
        <f t="shared" si="28"/>
        <v>40</v>
      </c>
      <c r="Q62" s="3292">
        <v>1.07</v>
      </c>
      <c r="R62" s="3292">
        <v>405</v>
      </c>
      <c r="S62" s="3216">
        <v>800</v>
      </c>
      <c r="T62" s="3292">
        <f t="shared" si="10"/>
        <v>35840</v>
      </c>
      <c r="U62" s="3292"/>
      <c r="V62" s="3292">
        <f t="shared" si="20"/>
        <v>35840</v>
      </c>
      <c r="W62" s="1610">
        <f t="shared" ref="W62:W68" si="30">S62*$X$5</f>
        <v>848</v>
      </c>
      <c r="X62" s="1610">
        <f t="shared" ref="X62:X68" si="31">ROUND(P62*W62,0)</f>
        <v>33920</v>
      </c>
      <c r="Y62" s="1610"/>
      <c r="Z62" s="1610">
        <f t="shared" ref="Z62:Z68" si="32">X62-Y62</f>
        <v>33920</v>
      </c>
      <c r="AA62" s="1610">
        <f t="shared" ref="AA62:AA68" si="33">W62*$AA$5</f>
        <v>890.40000000000009</v>
      </c>
      <c r="AB62" s="1610">
        <f t="shared" ref="AB62:AB68" si="34">ROUND(P62*AA62,0)</f>
        <v>35616</v>
      </c>
      <c r="AC62" s="1610"/>
      <c r="AD62" s="3281">
        <f t="shared" ref="AD62:AD68" si="35">AB62-AC62</f>
        <v>35616</v>
      </c>
      <c r="AE62" s="1669">
        <f t="shared" si="11"/>
        <v>896</v>
      </c>
      <c r="AF62" s="2043">
        <v>1.1200000000000001</v>
      </c>
    </row>
    <row r="63" spans="1:32">
      <c r="A63" s="2108">
        <v>54</v>
      </c>
      <c r="B63" s="3220" t="s">
        <v>1511</v>
      </c>
      <c r="C63" s="3220" t="s">
        <v>1511</v>
      </c>
      <c r="D63" s="3336" t="s">
        <v>1268</v>
      </c>
      <c r="E63" s="3337">
        <v>10053.200000000001</v>
      </c>
      <c r="F63" s="3338"/>
      <c r="G63" s="3337">
        <f t="shared" si="29"/>
        <v>10053.200000000001</v>
      </c>
      <c r="H63" s="3338"/>
      <c r="I63" s="3338"/>
      <c r="J63" s="3338"/>
      <c r="K63" s="3338"/>
      <c r="L63" s="3214">
        <v>2</v>
      </c>
      <c r="M63" s="3339"/>
      <c r="N63" s="3338"/>
      <c r="O63" s="3338"/>
      <c r="P63" s="3292">
        <f t="shared" si="28"/>
        <v>2</v>
      </c>
      <c r="Q63" s="3292">
        <v>1.07</v>
      </c>
      <c r="R63" s="3292">
        <v>540</v>
      </c>
      <c r="S63" s="3216">
        <v>2200</v>
      </c>
      <c r="T63" s="3292">
        <f t="shared" si="10"/>
        <v>4928</v>
      </c>
      <c r="U63" s="3292"/>
      <c r="V63" s="3292">
        <f t="shared" si="20"/>
        <v>4928</v>
      </c>
      <c r="W63" s="1610">
        <f t="shared" si="30"/>
        <v>2332</v>
      </c>
      <c r="X63" s="1610">
        <f t="shared" si="31"/>
        <v>4664</v>
      </c>
      <c r="Y63" s="1610"/>
      <c r="Z63" s="1610">
        <f t="shared" si="32"/>
        <v>4664</v>
      </c>
      <c r="AA63" s="1610">
        <f t="shared" si="33"/>
        <v>2448.6</v>
      </c>
      <c r="AB63" s="1610">
        <f t="shared" si="34"/>
        <v>4897</v>
      </c>
      <c r="AC63" s="1610"/>
      <c r="AD63" s="3281">
        <f t="shared" si="35"/>
        <v>4897</v>
      </c>
      <c r="AE63" s="1669">
        <f t="shared" si="11"/>
        <v>2464</v>
      </c>
      <c r="AF63" s="2043">
        <v>1.1200000000000001</v>
      </c>
    </row>
    <row r="64" spans="1:32">
      <c r="A64" s="2108">
        <v>55</v>
      </c>
      <c r="B64" s="3220" t="s">
        <v>2793</v>
      </c>
      <c r="C64" s="3221" t="s">
        <v>2793</v>
      </c>
      <c r="D64" s="3336" t="s">
        <v>1268</v>
      </c>
      <c r="E64" s="3337">
        <v>10053.200000000001</v>
      </c>
      <c r="F64" s="3338"/>
      <c r="G64" s="3337">
        <f t="shared" si="29"/>
        <v>10053.200000000001</v>
      </c>
      <c r="H64" s="3338"/>
      <c r="I64" s="3338"/>
      <c r="J64" s="3338"/>
      <c r="K64" s="3338"/>
      <c r="L64" s="3214">
        <v>1</v>
      </c>
      <c r="M64" s="3339"/>
      <c r="N64" s="3338"/>
      <c r="O64" s="3338"/>
      <c r="P64" s="3292">
        <f t="shared" si="28"/>
        <v>1</v>
      </c>
      <c r="Q64" s="3292">
        <v>1.07</v>
      </c>
      <c r="R64" s="3292">
        <v>825</v>
      </c>
      <c r="S64" s="3216">
        <v>2560</v>
      </c>
      <c r="T64" s="3292">
        <f t="shared" si="10"/>
        <v>2867.2</v>
      </c>
      <c r="U64" s="3292"/>
      <c r="V64" s="3292">
        <f t="shared" si="20"/>
        <v>2867.2</v>
      </c>
      <c r="W64" s="1610">
        <f t="shared" si="30"/>
        <v>2713.6000000000004</v>
      </c>
      <c r="X64" s="1610">
        <f t="shared" si="31"/>
        <v>2714</v>
      </c>
      <c r="Y64" s="1610"/>
      <c r="Z64" s="1610">
        <f t="shared" si="32"/>
        <v>2714</v>
      </c>
      <c r="AA64" s="1610">
        <f t="shared" si="33"/>
        <v>2849.2800000000007</v>
      </c>
      <c r="AB64" s="1610">
        <f t="shared" si="34"/>
        <v>2849</v>
      </c>
      <c r="AC64" s="1610"/>
      <c r="AD64" s="3281">
        <f t="shared" si="35"/>
        <v>2849</v>
      </c>
      <c r="AE64" s="1669">
        <f t="shared" si="11"/>
        <v>2867.2</v>
      </c>
      <c r="AF64" s="2043">
        <v>1.1200000000000001</v>
      </c>
    </row>
    <row r="65" spans="1:32" ht="24">
      <c r="A65" s="2108">
        <v>56</v>
      </c>
      <c r="B65" s="3220" t="s">
        <v>2795</v>
      </c>
      <c r="C65" s="3220" t="s">
        <v>2796</v>
      </c>
      <c r="D65" s="3336" t="s">
        <v>1525</v>
      </c>
      <c r="E65" s="3337">
        <v>10053.200000000001</v>
      </c>
      <c r="F65" s="3292"/>
      <c r="G65" s="3337">
        <f t="shared" si="29"/>
        <v>10053.200000000001</v>
      </c>
      <c r="H65" s="3292"/>
      <c r="I65" s="3338"/>
      <c r="J65" s="3338"/>
      <c r="K65" s="3292"/>
      <c r="L65" s="3214">
        <v>3</v>
      </c>
      <c r="M65" s="3292"/>
      <c r="N65" s="3292"/>
      <c r="O65" s="3292"/>
      <c r="P65" s="3292">
        <f t="shared" si="28"/>
        <v>3</v>
      </c>
      <c r="Q65" s="3292">
        <v>1.07</v>
      </c>
      <c r="R65" s="3292">
        <v>5805</v>
      </c>
      <c r="S65" s="3216">
        <v>3000</v>
      </c>
      <c r="T65" s="3292">
        <f t="shared" si="10"/>
        <v>10080</v>
      </c>
      <c r="U65" s="3292"/>
      <c r="V65" s="3292">
        <f t="shared" si="20"/>
        <v>10080</v>
      </c>
      <c r="W65" s="1610">
        <f t="shared" si="30"/>
        <v>3180</v>
      </c>
      <c r="X65" s="1610">
        <f t="shared" si="31"/>
        <v>9540</v>
      </c>
      <c r="Y65" s="1610"/>
      <c r="Z65" s="1610">
        <f t="shared" si="32"/>
        <v>9540</v>
      </c>
      <c r="AA65" s="1610">
        <f t="shared" si="33"/>
        <v>3339</v>
      </c>
      <c r="AB65" s="1610">
        <f t="shared" si="34"/>
        <v>10017</v>
      </c>
      <c r="AC65" s="1610"/>
      <c r="AD65" s="3281">
        <f t="shared" si="35"/>
        <v>10017</v>
      </c>
      <c r="AE65" s="1669">
        <f t="shared" si="11"/>
        <v>3360</v>
      </c>
      <c r="AF65" s="2043">
        <v>1.1200000000000001</v>
      </c>
    </row>
    <row r="66" spans="1:32">
      <c r="A66" s="2108">
        <v>57</v>
      </c>
      <c r="B66" s="3221" t="s">
        <v>2794</v>
      </c>
      <c r="C66" s="3221" t="s">
        <v>2794</v>
      </c>
      <c r="D66" s="3336" t="s">
        <v>1268</v>
      </c>
      <c r="E66" s="3337">
        <v>10053.200000000001</v>
      </c>
      <c r="F66" s="3338"/>
      <c r="G66" s="3337">
        <f t="shared" si="29"/>
        <v>10053.200000000001</v>
      </c>
      <c r="H66" s="3338"/>
      <c r="I66" s="3338"/>
      <c r="J66" s="3338"/>
      <c r="K66" s="3338"/>
      <c r="L66" s="3214">
        <v>1</v>
      </c>
      <c r="M66" s="3339"/>
      <c r="N66" s="3338"/>
      <c r="O66" s="3338"/>
      <c r="P66" s="3292">
        <f t="shared" si="28"/>
        <v>1</v>
      </c>
      <c r="Q66" s="3292">
        <v>1.07</v>
      </c>
      <c r="R66" s="3292">
        <v>2430</v>
      </c>
      <c r="S66" s="3309">
        <v>1800</v>
      </c>
      <c r="T66" s="3292">
        <f t="shared" si="10"/>
        <v>2016</v>
      </c>
      <c r="U66" s="3292"/>
      <c r="V66" s="3292">
        <f t="shared" si="20"/>
        <v>2016</v>
      </c>
      <c r="W66" s="1610">
        <f t="shared" si="30"/>
        <v>1908</v>
      </c>
      <c r="X66" s="1610">
        <f t="shared" si="31"/>
        <v>1908</v>
      </c>
      <c r="Y66" s="1610"/>
      <c r="Z66" s="1610">
        <f t="shared" si="32"/>
        <v>1908</v>
      </c>
      <c r="AA66" s="1610">
        <f t="shared" si="33"/>
        <v>2003.4</v>
      </c>
      <c r="AB66" s="1610">
        <f t="shared" si="34"/>
        <v>2003</v>
      </c>
      <c r="AC66" s="1610"/>
      <c r="AD66" s="3281">
        <f t="shared" si="35"/>
        <v>2003</v>
      </c>
      <c r="AE66" s="1669">
        <f t="shared" si="11"/>
        <v>2016</v>
      </c>
      <c r="AF66" s="2043">
        <v>1.1200000000000001</v>
      </c>
    </row>
    <row r="67" spans="1:32">
      <c r="A67" s="2108">
        <v>58</v>
      </c>
      <c r="B67" s="3220" t="s">
        <v>2797</v>
      </c>
      <c r="C67" s="3220" t="s">
        <v>2797</v>
      </c>
      <c r="D67" s="3336" t="s">
        <v>1525</v>
      </c>
      <c r="E67" s="3337">
        <v>10053.200000000001</v>
      </c>
      <c r="F67" s="3292"/>
      <c r="G67" s="3337">
        <f t="shared" si="29"/>
        <v>10053.200000000001</v>
      </c>
      <c r="H67" s="3292"/>
      <c r="I67" s="3338"/>
      <c r="J67" s="3338"/>
      <c r="K67" s="3292"/>
      <c r="L67" s="3214">
        <v>1</v>
      </c>
      <c r="M67" s="3292"/>
      <c r="N67" s="3292"/>
      <c r="O67" s="3292"/>
      <c r="P67" s="3292">
        <f t="shared" si="28"/>
        <v>1</v>
      </c>
      <c r="Q67" s="3292">
        <v>1.07</v>
      </c>
      <c r="R67" s="3292">
        <v>6885</v>
      </c>
      <c r="S67" s="3216">
        <v>2000</v>
      </c>
      <c r="T67" s="3292">
        <f t="shared" si="10"/>
        <v>2240</v>
      </c>
      <c r="U67" s="3292"/>
      <c r="V67" s="3292">
        <f t="shared" si="20"/>
        <v>2240</v>
      </c>
      <c r="W67" s="1610">
        <f t="shared" si="30"/>
        <v>2120</v>
      </c>
      <c r="X67" s="1610">
        <f t="shared" si="31"/>
        <v>2120</v>
      </c>
      <c r="Y67" s="1610"/>
      <c r="Z67" s="1610">
        <f t="shared" si="32"/>
        <v>2120</v>
      </c>
      <c r="AA67" s="1610">
        <f t="shared" si="33"/>
        <v>2226</v>
      </c>
      <c r="AB67" s="1610">
        <f t="shared" si="34"/>
        <v>2226</v>
      </c>
      <c r="AC67" s="1610"/>
      <c r="AD67" s="3281">
        <f t="shared" si="35"/>
        <v>2226</v>
      </c>
      <c r="AE67" s="1669">
        <f t="shared" si="11"/>
        <v>2240</v>
      </c>
      <c r="AF67" s="2043">
        <v>1.1200000000000001</v>
      </c>
    </row>
    <row r="68" spans="1:32">
      <c r="A68" s="2108">
        <v>59</v>
      </c>
      <c r="B68" s="3220" t="s">
        <v>2798</v>
      </c>
      <c r="C68" s="3220" t="s">
        <v>2798</v>
      </c>
      <c r="D68" s="3336" t="s">
        <v>1587</v>
      </c>
      <c r="E68" s="3337">
        <v>10053.200000000001</v>
      </c>
      <c r="F68" s="3292"/>
      <c r="G68" s="3337">
        <f t="shared" si="29"/>
        <v>10053.200000000001</v>
      </c>
      <c r="H68" s="3292"/>
      <c r="I68" s="3338"/>
      <c r="J68" s="3338"/>
      <c r="K68" s="3292"/>
      <c r="L68" s="3214">
        <v>1</v>
      </c>
      <c r="M68" s="3339"/>
      <c r="N68" s="3292"/>
      <c r="O68" s="3292"/>
      <c r="P68" s="3292">
        <f t="shared" si="28"/>
        <v>1</v>
      </c>
      <c r="Q68" s="3292">
        <v>1.07</v>
      </c>
      <c r="R68" s="3292">
        <v>28635</v>
      </c>
      <c r="S68" s="3214">
        <v>1000</v>
      </c>
      <c r="T68" s="3292">
        <f t="shared" si="10"/>
        <v>1120</v>
      </c>
      <c r="U68" s="3292"/>
      <c r="V68" s="3292">
        <f t="shared" si="20"/>
        <v>1120</v>
      </c>
      <c r="W68" s="1610">
        <f t="shared" si="30"/>
        <v>1060</v>
      </c>
      <c r="X68" s="1610">
        <f t="shared" si="31"/>
        <v>1060</v>
      </c>
      <c r="Y68" s="1610"/>
      <c r="Z68" s="1610">
        <f t="shared" si="32"/>
        <v>1060</v>
      </c>
      <c r="AA68" s="1610">
        <f t="shared" si="33"/>
        <v>1113</v>
      </c>
      <c r="AB68" s="1610">
        <f t="shared" si="34"/>
        <v>1113</v>
      </c>
      <c r="AC68" s="1610"/>
      <c r="AD68" s="3281">
        <f t="shared" si="35"/>
        <v>1113</v>
      </c>
      <c r="AE68" s="1669">
        <f t="shared" si="11"/>
        <v>1120</v>
      </c>
      <c r="AF68" s="2043">
        <v>1.1200000000000001</v>
      </c>
    </row>
    <row r="69" spans="1:32" ht="24">
      <c r="A69" s="2108">
        <v>60</v>
      </c>
      <c r="B69" s="3220" t="s">
        <v>2897</v>
      </c>
      <c r="C69" s="3220" t="s">
        <v>2401</v>
      </c>
      <c r="D69" s="3214" t="s">
        <v>1022</v>
      </c>
      <c r="E69" s="3337">
        <v>10053.200000000001</v>
      </c>
      <c r="F69" s="3343"/>
      <c r="G69" s="3337">
        <v>10053.200000000001</v>
      </c>
      <c r="H69" s="3292"/>
      <c r="I69" s="3292"/>
      <c r="J69" s="3292"/>
      <c r="K69" s="3292"/>
      <c r="L69" s="3215">
        <v>5</v>
      </c>
      <c r="M69" s="3292"/>
      <c r="N69" s="3292"/>
      <c r="O69" s="3292"/>
      <c r="P69" s="3292">
        <f t="shared" si="28"/>
        <v>5</v>
      </c>
      <c r="Q69" s="3292"/>
      <c r="R69" s="3292"/>
      <c r="S69" s="3218">
        <v>2100</v>
      </c>
      <c r="T69" s="3292">
        <f t="shared" si="10"/>
        <v>11760</v>
      </c>
      <c r="U69" s="3292"/>
      <c r="V69" s="2458">
        <f t="shared" si="20"/>
        <v>11760</v>
      </c>
      <c r="W69" s="1610"/>
      <c r="X69" s="1610"/>
      <c r="Y69" s="1610"/>
      <c r="Z69" s="1610"/>
      <c r="AA69" s="1610"/>
      <c r="AB69" s="1610"/>
      <c r="AC69" s="1610"/>
      <c r="AD69" s="3281"/>
      <c r="AE69" s="1669">
        <f t="shared" si="11"/>
        <v>2352</v>
      </c>
      <c r="AF69" s="2043">
        <v>1.1200000000000001</v>
      </c>
    </row>
    <row r="70" spans="1:32" ht="36">
      <c r="A70" s="2108">
        <v>61</v>
      </c>
      <c r="B70" s="3306" t="s">
        <v>2707</v>
      </c>
      <c r="C70" s="3306" t="s">
        <v>2707</v>
      </c>
      <c r="D70" s="3336" t="s">
        <v>1395</v>
      </c>
      <c r="E70" s="3337">
        <v>10053.200000000001</v>
      </c>
      <c r="F70" s="3338"/>
      <c r="G70" s="3337">
        <f t="shared" ref="G70:G77" si="36">E70</f>
        <v>10053.200000000001</v>
      </c>
      <c r="H70" s="3338"/>
      <c r="I70" s="3338"/>
      <c r="J70" s="3338"/>
      <c r="K70" s="3338"/>
      <c r="L70" s="3214">
        <v>10</v>
      </c>
      <c r="M70" s="3339"/>
      <c r="N70" s="3338"/>
      <c r="O70" s="3338"/>
      <c r="P70" s="3292">
        <f t="shared" si="28"/>
        <v>10</v>
      </c>
      <c r="Q70" s="3292">
        <v>1.07</v>
      </c>
      <c r="R70" s="3292">
        <v>2990</v>
      </c>
      <c r="S70" s="3216">
        <v>650</v>
      </c>
      <c r="T70" s="3292">
        <f t="shared" si="10"/>
        <v>7280</v>
      </c>
      <c r="U70" s="3292"/>
      <c r="V70" s="3292">
        <f t="shared" si="20"/>
        <v>7280</v>
      </c>
      <c r="W70" s="1610">
        <f t="shared" ref="W70:W77" si="37">S70*$X$5</f>
        <v>689</v>
      </c>
      <c r="X70" s="1610">
        <f t="shared" ref="X70:X77" si="38">ROUND(P70*W70,0)</f>
        <v>6890</v>
      </c>
      <c r="Y70" s="1610"/>
      <c r="Z70" s="1610">
        <f t="shared" ref="Z70:Z77" si="39">X70-Y70</f>
        <v>6890</v>
      </c>
      <c r="AA70" s="1610">
        <f t="shared" ref="AA70:AA77" si="40">W70*$AA$5</f>
        <v>723.45</v>
      </c>
      <c r="AB70" s="1610">
        <f t="shared" ref="AB70:AB77" si="41">ROUND(P70*AA70,0)</f>
        <v>7235</v>
      </c>
      <c r="AC70" s="1610"/>
      <c r="AD70" s="3281">
        <f t="shared" ref="AD70:AD77" si="42">AB70-AC70</f>
        <v>7235</v>
      </c>
      <c r="AE70" s="1669">
        <f t="shared" si="11"/>
        <v>728</v>
      </c>
      <c r="AF70" s="2043">
        <v>1.1200000000000001</v>
      </c>
    </row>
    <row r="71" spans="1:32" ht="36">
      <c r="A71" s="2108">
        <v>62</v>
      </c>
      <c r="B71" s="3306" t="s">
        <v>2708</v>
      </c>
      <c r="C71" s="3306" t="s">
        <v>2708</v>
      </c>
      <c r="D71" s="3336" t="s">
        <v>1395</v>
      </c>
      <c r="E71" s="3337">
        <v>10053.200000000001</v>
      </c>
      <c r="F71" s="3338"/>
      <c r="G71" s="3337">
        <f t="shared" si="36"/>
        <v>10053.200000000001</v>
      </c>
      <c r="H71" s="3338"/>
      <c r="I71" s="3338"/>
      <c r="J71" s="3338"/>
      <c r="K71" s="3338"/>
      <c r="L71" s="3214">
        <v>5</v>
      </c>
      <c r="M71" s="3339"/>
      <c r="N71" s="3338"/>
      <c r="O71" s="3338"/>
      <c r="P71" s="3292">
        <f t="shared" si="28"/>
        <v>5</v>
      </c>
      <c r="Q71" s="3292">
        <v>1.07</v>
      </c>
      <c r="R71" s="3292">
        <v>7010</v>
      </c>
      <c r="S71" s="3216">
        <v>650</v>
      </c>
      <c r="T71" s="3292">
        <f t="shared" si="10"/>
        <v>3640</v>
      </c>
      <c r="U71" s="3292"/>
      <c r="V71" s="3292">
        <f t="shared" ref="V71:V102" si="43">T71-U71</f>
        <v>3640</v>
      </c>
      <c r="W71" s="1610">
        <f t="shared" si="37"/>
        <v>689</v>
      </c>
      <c r="X71" s="1610">
        <f t="shared" si="38"/>
        <v>3445</v>
      </c>
      <c r="Y71" s="1610"/>
      <c r="Z71" s="1610">
        <f t="shared" si="39"/>
        <v>3445</v>
      </c>
      <c r="AA71" s="1610">
        <f t="shared" si="40"/>
        <v>723.45</v>
      </c>
      <c r="AB71" s="1610">
        <f t="shared" si="41"/>
        <v>3617</v>
      </c>
      <c r="AC71" s="1610"/>
      <c r="AD71" s="3281">
        <f t="shared" si="42"/>
        <v>3617</v>
      </c>
      <c r="AE71" s="1669">
        <f t="shared" si="11"/>
        <v>728</v>
      </c>
      <c r="AF71" s="2043">
        <v>1.1200000000000001</v>
      </c>
    </row>
    <row r="72" spans="1:32" ht="36">
      <c r="A72" s="2108">
        <v>63</v>
      </c>
      <c r="B72" s="3351" t="s">
        <v>2710</v>
      </c>
      <c r="C72" s="3306" t="s">
        <v>2710</v>
      </c>
      <c r="D72" s="2090" t="s">
        <v>1268</v>
      </c>
      <c r="E72" s="3337">
        <v>10053.200000000001</v>
      </c>
      <c r="F72" s="3338"/>
      <c r="G72" s="3337">
        <f t="shared" si="36"/>
        <v>10053.200000000001</v>
      </c>
      <c r="H72" s="3338"/>
      <c r="I72" s="3338"/>
      <c r="J72" s="3338"/>
      <c r="K72" s="3338"/>
      <c r="L72" s="3214">
        <v>5</v>
      </c>
      <c r="M72" s="3339"/>
      <c r="N72" s="3338"/>
      <c r="O72" s="3338"/>
      <c r="P72" s="3292">
        <f t="shared" si="28"/>
        <v>5</v>
      </c>
      <c r="Q72" s="3292">
        <v>1.07</v>
      </c>
      <c r="R72" s="3292">
        <v>8370</v>
      </c>
      <c r="S72" s="3216">
        <v>750</v>
      </c>
      <c r="T72" s="3292">
        <f t="shared" si="10"/>
        <v>4200</v>
      </c>
      <c r="U72" s="3292"/>
      <c r="V72" s="3292">
        <f t="shared" si="43"/>
        <v>4200</v>
      </c>
      <c r="W72" s="1610">
        <f t="shared" si="37"/>
        <v>795</v>
      </c>
      <c r="X72" s="1610">
        <f t="shared" si="38"/>
        <v>3975</v>
      </c>
      <c r="Y72" s="1610"/>
      <c r="Z72" s="1610">
        <f t="shared" si="39"/>
        <v>3975</v>
      </c>
      <c r="AA72" s="1610">
        <f t="shared" si="40"/>
        <v>834.75</v>
      </c>
      <c r="AB72" s="1610">
        <f t="shared" si="41"/>
        <v>4174</v>
      </c>
      <c r="AC72" s="1610"/>
      <c r="AD72" s="3281">
        <f t="shared" si="42"/>
        <v>4174</v>
      </c>
      <c r="AE72" s="1669">
        <f t="shared" si="11"/>
        <v>840</v>
      </c>
      <c r="AF72" s="2043">
        <v>1.1200000000000001</v>
      </c>
    </row>
    <row r="73" spans="1:32" ht="36">
      <c r="A73" s="2108">
        <v>64</v>
      </c>
      <c r="B73" s="3306" t="s">
        <v>2714</v>
      </c>
      <c r="C73" s="3306" t="s">
        <v>2714</v>
      </c>
      <c r="D73" s="2090" t="s">
        <v>2295</v>
      </c>
      <c r="E73" s="3337">
        <v>10053.200000000001</v>
      </c>
      <c r="F73" s="3338"/>
      <c r="G73" s="3337">
        <f t="shared" si="36"/>
        <v>10053.200000000001</v>
      </c>
      <c r="H73" s="3338"/>
      <c r="I73" s="3338"/>
      <c r="J73" s="3338"/>
      <c r="K73" s="3338"/>
      <c r="L73" s="3214">
        <v>5</v>
      </c>
      <c r="M73" s="3339"/>
      <c r="N73" s="3338"/>
      <c r="O73" s="3338"/>
      <c r="P73" s="3292">
        <f t="shared" si="28"/>
        <v>5</v>
      </c>
      <c r="Q73" s="3292">
        <v>1.07</v>
      </c>
      <c r="R73" s="3292">
        <v>4230</v>
      </c>
      <c r="S73" s="3216">
        <v>3500</v>
      </c>
      <c r="T73" s="3292">
        <f t="shared" si="10"/>
        <v>19600</v>
      </c>
      <c r="U73" s="3292"/>
      <c r="V73" s="3292">
        <f t="shared" si="43"/>
        <v>19600</v>
      </c>
      <c r="W73" s="1610">
        <f t="shared" si="37"/>
        <v>3710</v>
      </c>
      <c r="X73" s="1610">
        <f t="shared" si="38"/>
        <v>18550</v>
      </c>
      <c r="Y73" s="1610"/>
      <c r="Z73" s="1610">
        <f t="shared" si="39"/>
        <v>18550</v>
      </c>
      <c r="AA73" s="1610">
        <f t="shared" si="40"/>
        <v>3895.5</v>
      </c>
      <c r="AB73" s="1610">
        <f t="shared" si="41"/>
        <v>19478</v>
      </c>
      <c r="AC73" s="1610"/>
      <c r="AD73" s="3281">
        <f t="shared" si="42"/>
        <v>19478</v>
      </c>
      <c r="AE73" s="1669">
        <f t="shared" si="11"/>
        <v>3920</v>
      </c>
      <c r="AF73" s="2043">
        <v>1.1200000000000001</v>
      </c>
    </row>
    <row r="74" spans="1:32" ht="36">
      <c r="A74" s="2108">
        <v>65</v>
      </c>
      <c r="B74" s="3306" t="s">
        <v>2713</v>
      </c>
      <c r="C74" s="3306" t="s">
        <v>2713</v>
      </c>
      <c r="D74" s="2090" t="s">
        <v>2291</v>
      </c>
      <c r="E74" s="3337">
        <v>10053.200000000001</v>
      </c>
      <c r="F74" s="3338"/>
      <c r="G74" s="3337">
        <f t="shared" si="36"/>
        <v>10053.200000000001</v>
      </c>
      <c r="H74" s="3338"/>
      <c r="I74" s="3338"/>
      <c r="J74" s="3338"/>
      <c r="K74" s="3338"/>
      <c r="L74" s="3214">
        <v>5</v>
      </c>
      <c r="M74" s="3339"/>
      <c r="N74" s="3338"/>
      <c r="O74" s="3338"/>
      <c r="P74" s="3292">
        <f t="shared" si="28"/>
        <v>5</v>
      </c>
      <c r="Q74" s="3292">
        <v>1.07</v>
      </c>
      <c r="R74" s="3292">
        <v>2365</v>
      </c>
      <c r="S74" s="3216">
        <v>3500</v>
      </c>
      <c r="T74" s="3292">
        <f t="shared" si="10"/>
        <v>19600</v>
      </c>
      <c r="U74" s="3292"/>
      <c r="V74" s="3292">
        <f t="shared" si="43"/>
        <v>19600</v>
      </c>
      <c r="W74" s="1610">
        <f t="shared" si="37"/>
        <v>3710</v>
      </c>
      <c r="X74" s="1610">
        <f t="shared" si="38"/>
        <v>18550</v>
      </c>
      <c r="Y74" s="1610"/>
      <c r="Z74" s="1610">
        <f t="shared" si="39"/>
        <v>18550</v>
      </c>
      <c r="AA74" s="1610">
        <f t="shared" si="40"/>
        <v>3895.5</v>
      </c>
      <c r="AB74" s="1610">
        <f t="shared" si="41"/>
        <v>19478</v>
      </c>
      <c r="AC74" s="1610"/>
      <c r="AD74" s="3281">
        <f t="shared" si="42"/>
        <v>19478</v>
      </c>
      <c r="AE74" s="1669">
        <f t="shared" si="11"/>
        <v>3920</v>
      </c>
      <c r="AF74" s="2043">
        <v>1.1200000000000001</v>
      </c>
    </row>
    <row r="75" spans="1:32" ht="36">
      <c r="A75" s="2108">
        <v>66</v>
      </c>
      <c r="B75" s="3306" t="s">
        <v>2716</v>
      </c>
      <c r="C75" s="3306" t="s">
        <v>2716</v>
      </c>
      <c r="D75" s="2090" t="s">
        <v>2291</v>
      </c>
      <c r="E75" s="3337">
        <v>10053.200000000001</v>
      </c>
      <c r="F75" s="3338"/>
      <c r="G75" s="3337">
        <f t="shared" si="36"/>
        <v>10053.200000000001</v>
      </c>
      <c r="H75" s="3338"/>
      <c r="I75" s="3338"/>
      <c r="J75" s="3338"/>
      <c r="K75" s="3338"/>
      <c r="L75" s="3214">
        <v>5</v>
      </c>
      <c r="M75" s="3339"/>
      <c r="N75" s="3338"/>
      <c r="O75" s="3338"/>
      <c r="P75" s="3292">
        <f t="shared" si="28"/>
        <v>5</v>
      </c>
      <c r="Q75" s="3292">
        <v>1.07</v>
      </c>
      <c r="R75" s="3292">
        <v>4110</v>
      </c>
      <c r="S75" s="3216">
        <v>3500</v>
      </c>
      <c r="T75" s="3292">
        <f t="shared" ref="T75:T124" si="44">ROUND(P75*AE75,2)</f>
        <v>19600</v>
      </c>
      <c r="U75" s="3292"/>
      <c r="V75" s="3292">
        <f t="shared" si="43"/>
        <v>19600</v>
      </c>
      <c r="W75" s="1610">
        <f t="shared" si="37"/>
        <v>3710</v>
      </c>
      <c r="X75" s="1610">
        <f t="shared" si="38"/>
        <v>18550</v>
      </c>
      <c r="Y75" s="1610"/>
      <c r="Z75" s="1610">
        <f t="shared" si="39"/>
        <v>18550</v>
      </c>
      <c r="AA75" s="1610">
        <f t="shared" si="40"/>
        <v>3895.5</v>
      </c>
      <c r="AB75" s="1610">
        <f t="shared" si="41"/>
        <v>19478</v>
      </c>
      <c r="AC75" s="1610"/>
      <c r="AD75" s="3281">
        <f t="shared" si="42"/>
        <v>19478</v>
      </c>
      <c r="AE75" s="1669">
        <f t="shared" ref="AE75:AE124" si="45">ROUND(S75*AF75,2)</f>
        <v>3920</v>
      </c>
      <c r="AF75" s="2043">
        <v>1.1200000000000001</v>
      </c>
    </row>
    <row r="76" spans="1:32">
      <c r="A76" s="2108">
        <v>67</v>
      </c>
      <c r="B76" s="3335" t="s">
        <v>2799</v>
      </c>
      <c r="C76" s="3335" t="s">
        <v>2799</v>
      </c>
      <c r="D76" s="3336" t="s">
        <v>1268</v>
      </c>
      <c r="E76" s="3337">
        <v>10053.200000000001</v>
      </c>
      <c r="F76" s="3292"/>
      <c r="G76" s="3337">
        <f t="shared" si="36"/>
        <v>10053.200000000001</v>
      </c>
      <c r="H76" s="3292"/>
      <c r="I76" s="3338"/>
      <c r="J76" s="3338"/>
      <c r="K76" s="3292"/>
      <c r="L76" s="3214">
        <v>10</v>
      </c>
      <c r="M76" s="3339"/>
      <c r="N76" s="3292"/>
      <c r="O76" s="3292"/>
      <c r="P76" s="3292">
        <f t="shared" si="28"/>
        <v>10</v>
      </c>
      <c r="Q76" s="3292">
        <v>1.07</v>
      </c>
      <c r="R76" s="3292">
        <v>2430</v>
      </c>
      <c r="S76" s="3216">
        <v>100</v>
      </c>
      <c r="T76" s="3292">
        <f t="shared" si="44"/>
        <v>1120</v>
      </c>
      <c r="U76" s="3292"/>
      <c r="V76" s="3292">
        <f t="shared" si="43"/>
        <v>1120</v>
      </c>
      <c r="W76" s="1610">
        <f t="shared" si="37"/>
        <v>106</v>
      </c>
      <c r="X76" s="1610">
        <f t="shared" si="38"/>
        <v>1060</v>
      </c>
      <c r="Y76" s="1610"/>
      <c r="Z76" s="1610">
        <f t="shared" si="39"/>
        <v>1060</v>
      </c>
      <c r="AA76" s="1610">
        <f t="shared" si="40"/>
        <v>111.30000000000001</v>
      </c>
      <c r="AB76" s="1610">
        <f t="shared" si="41"/>
        <v>1113</v>
      </c>
      <c r="AC76" s="1610"/>
      <c r="AD76" s="3281">
        <f t="shared" si="42"/>
        <v>1113</v>
      </c>
      <c r="AE76" s="1669">
        <f t="shared" si="45"/>
        <v>112</v>
      </c>
      <c r="AF76" s="2043">
        <v>1.1200000000000001</v>
      </c>
    </row>
    <row r="77" spans="1:32">
      <c r="A77" s="2108">
        <v>68</v>
      </c>
      <c r="B77" s="3335" t="s">
        <v>2799</v>
      </c>
      <c r="C77" s="3335" t="s">
        <v>2799</v>
      </c>
      <c r="D77" s="3336" t="s">
        <v>1268</v>
      </c>
      <c r="E77" s="3337">
        <v>10053.200000000001</v>
      </c>
      <c r="F77" s="3338"/>
      <c r="G77" s="3337">
        <f t="shared" si="36"/>
        <v>10053.200000000001</v>
      </c>
      <c r="H77" s="3338"/>
      <c r="I77" s="3338"/>
      <c r="J77" s="3338"/>
      <c r="K77" s="3338"/>
      <c r="L77" s="3215">
        <v>8</v>
      </c>
      <c r="M77" s="3339"/>
      <c r="N77" s="3338"/>
      <c r="O77" s="3338"/>
      <c r="P77" s="3292">
        <f t="shared" si="28"/>
        <v>8</v>
      </c>
      <c r="Q77" s="3292">
        <v>1.07</v>
      </c>
      <c r="R77" s="3292">
        <v>9099</v>
      </c>
      <c r="S77" s="3214">
        <v>50</v>
      </c>
      <c r="T77" s="3292">
        <f t="shared" si="44"/>
        <v>448</v>
      </c>
      <c r="U77" s="3292"/>
      <c r="V77" s="3292">
        <f t="shared" si="43"/>
        <v>448</v>
      </c>
      <c r="W77" s="1610">
        <f t="shared" si="37"/>
        <v>53</v>
      </c>
      <c r="X77" s="1610">
        <f t="shared" si="38"/>
        <v>424</v>
      </c>
      <c r="Y77" s="1610"/>
      <c r="Z77" s="1610">
        <f t="shared" si="39"/>
        <v>424</v>
      </c>
      <c r="AA77" s="1610">
        <f t="shared" si="40"/>
        <v>55.650000000000006</v>
      </c>
      <c r="AB77" s="1610">
        <f t="shared" si="41"/>
        <v>445</v>
      </c>
      <c r="AC77" s="1610"/>
      <c r="AD77" s="3281">
        <f t="shared" si="42"/>
        <v>445</v>
      </c>
      <c r="AE77" s="1669">
        <f t="shared" si="45"/>
        <v>56</v>
      </c>
      <c r="AF77" s="2043">
        <v>1.1200000000000001</v>
      </c>
    </row>
    <row r="78" spans="1:32">
      <c r="A78" s="2108">
        <v>69</v>
      </c>
      <c r="B78" s="3220" t="s">
        <v>2900</v>
      </c>
      <c r="C78" s="3220" t="s">
        <v>2900</v>
      </c>
      <c r="D78" s="3345" t="s">
        <v>2899</v>
      </c>
      <c r="E78" s="3337">
        <v>10053.200000000001</v>
      </c>
      <c r="F78" s="3343"/>
      <c r="G78" s="3337">
        <v>10053.200000000001</v>
      </c>
      <c r="H78" s="3292"/>
      <c r="I78" s="3292"/>
      <c r="J78" s="3292"/>
      <c r="K78" s="3292"/>
      <c r="L78" s="3215">
        <v>1</v>
      </c>
      <c r="M78" s="3292"/>
      <c r="N78" s="3292"/>
      <c r="O78" s="3292"/>
      <c r="P78" s="3292">
        <f t="shared" si="28"/>
        <v>1</v>
      </c>
      <c r="Q78" s="3292"/>
      <c r="R78" s="3292"/>
      <c r="S78" s="3218">
        <v>1200</v>
      </c>
      <c r="T78" s="3292">
        <f t="shared" si="44"/>
        <v>1344</v>
      </c>
      <c r="U78" s="3292"/>
      <c r="V78" s="2458">
        <f t="shared" si="43"/>
        <v>1344</v>
      </c>
      <c r="W78" s="1610"/>
      <c r="X78" s="1610"/>
      <c r="Y78" s="1610"/>
      <c r="Z78" s="1610"/>
      <c r="AA78" s="1610"/>
      <c r="AB78" s="1610"/>
      <c r="AC78" s="1610"/>
      <c r="AD78" s="3281"/>
      <c r="AE78" s="1669">
        <f t="shared" si="45"/>
        <v>1344</v>
      </c>
      <c r="AF78" s="2043">
        <v>1.1200000000000001</v>
      </c>
    </row>
    <row r="79" spans="1:32">
      <c r="A79" s="2108">
        <v>70</v>
      </c>
      <c r="B79" s="3220" t="s">
        <v>2745</v>
      </c>
      <c r="C79" s="3220" t="s">
        <v>2746</v>
      </c>
      <c r="D79" s="2090" t="s">
        <v>2317</v>
      </c>
      <c r="E79" s="3337">
        <v>10053.200000000001</v>
      </c>
      <c r="F79" s="3292"/>
      <c r="G79" s="3337">
        <f t="shared" ref="G79:G85" si="46">E79</f>
        <v>10053.200000000001</v>
      </c>
      <c r="H79" s="3292"/>
      <c r="I79" s="3338"/>
      <c r="J79" s="3338"/>
      <c r="K79" s="3292"/>
      <c r="L79" s="3215">
        <v>1</v>
      </c>
      <c r="M79" s="3339"/>
      <c r="N79" s="3292"/>
      <c r="O79" s="3292"/>
      <c r="P79" s="3292">
        <f t="shared" si="28"/>
        <v>1</v>
      </c>
      <c r="Q79" s="3292">
        <v>1.07</v>
      </c>
      <c r="R79" s="3292">
        <v>1260</v>
      </c>
      <c r="S79" s="3214" t="s">
        <v>2747</v>
      </c>
      <c r="T79" s="3292">
        <f t="shared" si="44"/>
        <v>560</v>
      </c>
      <c r="U79" s="3292"/>
      <c r="V79" s="3292">
        <f t="shared" si="43"/>
        <v>560</v>
      </c>
      <c r="W79" s="1610">
        <f t="shared" ref="W79:W85" si="47">S79*$X$5</f>
        <v>530</v>
      </c>
      <c r="X79" s="1610">
        <f t="shared" ref="X79:X85" si="48">ROUND(P79*W79,0)</f>
        <v>530</v>
      </c>
      <c r="Y79" s="1610"/>
      <c r="Z79" s="1610">
        <f t="shared" ref="Z79:Z85" si="49">X79-Y79</f>
        <v>530</v>
      </c>
      <c r="AA79" s="1610">
        <f t="shared" ref="AA79:AA85" si="50">W79*$AA$5</f>
        <v>556.5</v>
      </c>
      <c r="AB79" s="1610">
        <f t="shared" ref="AB79:AB85" si="51">ROUND(P79*AA79,0)</f>
        <v>557</v>
      </c>
      <c r="AC79" s="1610"/>
      <c r="AD79" s="3281">
        <f t="shared" ref="AD79:AD85" si="52">AB79-AC79</f>
        <v>557</v>
      </c>
      <c r="AE79" s="1669">
        <f t="shared" si="45"/>
        <v>560</v>
      </c>
      <c r="AF79" s="2043">
        <v>1.1200000000000001</v>
      </c>
    </row>
    <row r="80" spans="1:32" ht="24">
      <c r="A80" s="2108">
        <v>71</v>
      </c>
      <c r="B80" s="3335" t="s">
        <v>2876</v>
      </c>
      <c r="C80" s="3299" t="s">
        <v>2876</v>
      </c>
      <c r="D80" s="3336" t="s">
        <v>1268</v>
      </c>
      <c r="E80" s="3337">
        <v>10053.200000000001</v>
      </c>
      <c r="F80" s="3292"/>
      <c r="G80" s="3337">
        <f t="shared" si="46"/>
        <v>10053.200000000001</v>
      </c>
      <c r="H80" s="3292"/>
      <c r="I80" s="3338"/>
      <c r="J80" s="3338"/>
      <c r="K80" s="3292"/>
      <c r="L80" s="3215">
        <v>1</v>
      </c>
      <c r="M80" s="3339"/>
      <c r="N80" s="3292"/>
      <c r="O80" s="3292"/>
      <c r="P80" s="3292">
        <f t="shared" si="28"/>
        <v>1</v>
      </c>
      <c r="Q80" s="3292">
        <v>1.07</v>
      </c>
      <c r="R80" s="3338">
        <v>1315</v>
      </c>
      <c r="S80" s="3214">
        <v>3300</v>
      </c>
      <c r="T80" s="3292">
        <f t="shared" si="44"/>
        <v>3696</v>
      </c>
      <c r="U80" s="3292"/>
      <c r="V80" s="3292">
        <f t="shared" si="43"/>
        <v>3696</v>
      </c>
      <c r="W80" s="1610">
        <f t="shared" si="47"/>
        <v>3498</v>
      </c>
      <c r="X80" s="1610">
        <f t="shared" si="48"/>
        <v>3498</v>
      </c>
      <c r="Y80" s="1610"/>
      <c r="Z80" s="1610">
        <f t="shared" si="49"/>
        <v>3498</v>
      </c>
      <c r="AA80" s="1610">
        <f t="shared" si="50"/>
        <v>3672.9</v>
      </c>
      <c r="AB80" s="1610">
        <f t="shared" si="51"/>
        <v>3673</v>
      </c>
      <c r="AC80" s="1610"/>
      <c r="AD80" s="3281">
        <f t="shared" si="52"/>
        <v>3673</v>
      </c>
      <c r="AE80" s="1669">
        <f t="shared" si="45"/>
        <v>3696</v>
      </c>
      <c r="AF80" s="2043">
        <v>1.1200000000000001</v>
      </c>
    </row>
    <row r="81" spans="1:32" ht="24">
      <c r="A81" s="2108">
        <v>72</v>
      </c>
      <c r="B81" s="3299" t="s">
        <v>2868</v>
      </c>
      <c r="C81" s="3299" t="s">
        <v>2868</v>
      </c>
      <c r="D81" s="3336" t="s">
        <v>1411</v>
      </c>
      <c r="E81" s="3337">
        <v>10053.200000000001</v>
      </c>
      <c r="F81" s="3338"/>
      <c r="G81" s="3337">
        <f t="shared" si="46"/>
        <v>10053.200000000001</v>
      </c>
      <c r="H81" s="3338"/>
      <c r="I81" s="3338"/>
      <c r="J81" s="3338"/>
      <c r="K81" s="3338"/>
      <c r="L81" s="3214">
        <v>100</v>
      </c>
      <c r="M81" s="3339"/>
      <c r="N81" s="3338"/>
      <c r="O81" s="3338"/>
      <c r="P81" s="3292">
        <f t="shared" si="28"/>
        <v>100</v>
      </c>
      <c r="Q81" s="3292">
        <v>1.07</v>
      </c>
      <c r="R81" s="3292">
        <v>3591</v>
      </c>
      <c r="S81" s="3214">
        <v>120</v>
      </c>
      <c r="T81" s="3292">
        <f t="shared" si="44"/>
        <v>13440</v>
      </c>
      <c r="U81" s="3292"/>
      <c r="V81" s="3292">
        <f t="shared" si="43"/>
        <v>13440</v>
      </c>
      <c r="W81" s="1610">
        <f t="shared" si="47"/>
        <v>127.2</v>
      </c>
      <c r="X81" s="1610">
        <f t="shared" si="48"/>
        <v>12720</v>
      </c>
      <c r="Y81" s="1610"/>
      <c r="Z81" s="1610">
        <f t="shared" si="49"/>
        <v>12720</v>
      </c>
      <c r="AA81" s="1610">
        <f t="shared" si="50"/>
        <v>133.56</v>
      </c>
      <c r="AB81" s="1610">
        <f t="shared" si="51"/>
        <v>13356</v>
      </c>
      <c r="AC81" s="1610"/>
      <c r="AD81" s="3281">
        <f t="shared" si="52"/>
        <v>13356</v>
      </c>
      <c r="AE81" s="1669">
        <f t="shared" si="45"/>
        <v>134.4</v>
      </c>
      <c r="AF81" s="2043">
        <v>1.1200000000000001</v>
      </c>
    </row>
    <row r="82" spans="1:32">
      <c r="A82" s="2108">
        <v>73</v>
      </c>
      <c r="B82" s="3220" t="s">
        <v>2814</v>
      </c>
      <c r="C82" s="3220" t="s">
        <v>2814</v>
      </c>
      <c r="D82" s="3336" t="s">
        <v>1268</v>
      </c>
      <c r="E82" s="3337">
        <v>10053.200000000001</v>
      </c>
      <c r="F82" s="3338"/>
      <c r="G82" s="3337">
        <f t="shared" si="46"/>
        <v>10053.200000000001</v>
      </c>
      <c r="H82" s="3338"/>
      <c r="I82" s="3338"/>
      <c r="J82" s="3338"/>
      <c r="K82" s="3338"/>
      <c r="L82" s="3215">
        <v>10</v>
      </c>
      <c r="M82" s="3339"/>
      <c r="N82" s="3338"/>
      <c r="O82" s="3338"/>
      <c r="P82" s="3292">
        <f t="shared" si="28"/>
        <v>10</v>
      </c>
      <c r="Q82" s="3292">
        <v>1.07</v>
      </c>
      <c r="R82" s="3292">
        <v>64260</v>
      </c>
      <c r="S82" s="3214">
        <v>250</v>
      </c>
      <c r="T82" s="3292">
        <f t="shared" si="44"/>
        <v>2800</v>
      </c>
      <c r="U82" s="3292"/>
      <c r="V82" s="3292">
        <f t="shared" si="43"/>
        <v>2800</v>
      </c>
      <c r="W82" s="1610">
        <f t="shared" si="47"/>
        <v>265</v>
      </c>
      <c r="X82" s="1610">
        <f t="shared" si="48"/>
        <v>2650</v>
      </c>
      <c r="Y82" s="1610"/>
      <c r="Z82" s="1610">
        <f t="shared" si="49"/>
        <v>2650</v>
      </c>
      <c r="AA82" s="1610">
        <f t="shared" si="50"/>
        <v>278.25</v>
      </c>
      <c r="AB82" s="1610">
        <f t="shared" si="51"/>
        <v>2783</v>
      </c>
      <c r="AC82" s="1610"/>
      <c r="AD82" s="3281">
        <f t="shared" si="52"/>
        <v>2783</v>
      </c>
      <c r="AE82" s="1669">
        <f t="shared" si="45"/>
        <v>280</v>
      </c>
      <c r="AF82" s="2043">
        <v>1.1200000000000001</v>
      </c>
    </row>
    <row r="83" spans="1:32">
      <c r="A83" s="2108">
        <v>74</v>
      </c>
      <c r="B83" s="3220" t="s">
        <v>2816</v>
      </c>
      <c r="C83" s="3220" t="s">
        <v>2816</v>
      </c>
      <c r="D83" s="3336" t="s">
        <v>1268</v>
      </c>
      <c r="E83" s="3337">
        <v>10053.200000000001</v>
      </c>
      <c r="F83" s="3338"/>
      <c r="G83" s="3337">
        <f t="shared" si="46"/>
        <v>10053.200000000001</v>
      </c>
      <c r="H83" s="3338"/>
      <c r="I83" s="3338"/>
      <c r="J83" s="3338"/>
      <c r="K83" s="3338"/>
      <c r="L83" s="3215">
        <v>30</v>
      </c>
      <c r="M83" s="3339"/>
      <c r="N83" s="3338"/>
      <c r="O83" s="3338"/>
      <c r="P83" s="3292">
        <f t="shared" si="28"/>
        <v>30</v>
      </c>
      <c r="Q83" s="3292">
        <v>1.07</v>
      </c>
      <c r="R83" s="3292">
        <v>19170</v>
      </c>
      <c r="S83" s="3214">
        <v>820</v>
      </c>
      <c r="T83" s="3292">
        <f t="shared" si="44"/>
        <v>27552</v>
      </c>
      <c r="U83" s="3292"/>
      <c r="V83" s="3292">
        <f t="shared" si="43"/>
        <v>27552</v>
      </c>
      <c r="W83" s="1610">
        <f t="shared" si="47"/>
        <v>869.2</v>
      </c>
      <c r="X83" s="1610">
        <f t="shared" si="48"/>
        <v>26076</v>
      </c>
      <c r="Y83" s="1610"/>
      <c r="Z83" s="1610">
        <f t="shared" si="49"/>
        <v>26076</v>
      </c>
      <c r="AA83" s="1610">
        <f t="shared" si="50"/>
        <v>912.66000000000008</v>
      </c>
      <c r="AB83" s="1610">
        <f t="shared" si="51"/>
        <v>27380</v>
      </c>
      <c r="AC83" s="1610"/>
      <c r="AD83" s="3281">
        <f t="shared" si="52"/>
        <v>27380</v>
      </c>
      <c r="AE83" s="1669">
        <f t="shared" si="45"/>
        <v>918.4</v>
      </c>
      <c r="AF83" s="2043">
        <v>1.1200000000000001</v>
      </c>
    </row>
    <row r="84" spans="1:32">
      <c r="A84" s="2108">
        <v>75</v>
      </c>
      <c r="B84" s="3340" t="s">
        <v>2836</v>
      </c>
      <c r="C84" s="3340" t="s">
        <v>2836</v>
      </c>
      <c r="D84" s="3336" t="s">
        <v>1268</v>
      </c>
      <c r="E84" s="3337">
        <v>10053.200000000001</v>
      </c>
      <c r="F84" s="3338"/>
      <c r="G84" s="3337">
        <f t="shared" si="46"/>
        <v>10053.200000000001</v>
      </c>
      <c r="H84" s="3338"/>
      <c r="I84" s="3338"/>
      <c r="J84" s="3338"/>
      <c r="K84" s="3338"/>
      <c r="L84" s="3215">
        <v>10</v>
      </c>
      <c r="M84" s="3339"/>
      <c r="N84" s="3338"/>
      <c r="O84" s="3338"/>
      <c r="P84" s="3292">
        <f t="shared" si="28"/>
        <v>10</v>
      </c>
      <c r="Q84" s="3292">
        <v>1.07</v>
      </c>
      <c r="R84" s="3292">
        <v>4185</v>
      </c>
      <c r="S84" s="3216">
        <v>350</v>
      </c>
      <c r="T84" s="3292">
        <f t="shared" si="44"/>
        <v>3920</v>
      </c>
      <c r="U84" s="3292"/>
      <c r="V84" s="3292">
        <f t="shared" si="43"/>
        <v>3920</v>
      </c>
      <c r="W84" s="1610">
        <f t="shared" si="47"/>
        <v>371</v>
      </c>
      <c r="X84" s="1610">
        <f t="shared" si="48"/>
        <v>3710</v>
      </c>
      <c r="Y84" s="1610"/>
      <c r="Z84" s="1610">
        <f t="shared" si="49"/>
        <v>3710</v>
      </c>
      <c r="AA84" s="1610">
        <f t="shared" si="50"/>
        <v>389.55</v>
      </c>
      <c r="AB84" s="1610">
        <f t="shared" si="51"/>
        <v>3896</v>
      </c>
      <c r="AC84" s="1610"/>
      <c r="AD84" s="3281">
        <f t="shared" si="52"/>
        <v>3896</v>
      </c>
      <c r="AE84" s="1669">
        <f t="shared" si="45"/>
        <v>392</v>
      </c>
      <c r="AF84" s="2043">
        <v>1.1200000000000001</v>
      </c>
    </row>
    <row r="85" spans="1:32">
      <c r="A85" s="2108">
        <v>76</v>
      </c>
      <c r="B85" s="3335" t="s">
        <v>2872</v>
      </c>
      <c r="C85" s="3335" t="s">
        <v>2872</v>
      </c>
      <c r="D85" s="3336" t="s">
        <v>1268</v>
      </c>
      <c r="E85" s="3337">
        <v>10053.200000000001</v>
      </c>
      <c r="F85" s="3292"/>
      <c r="G85" s="3337">
        <f t="shared" si="46"/>
        <v>10053.200000000001</v>
      </c>
      <c r="H85" s="3292"/>
      <c r="I85" s="3338"/>
      <c r="J85" s="3338"/>
      <c r="K85" s="3292"/>
      <c r="L85" s="3215">
        <v>30</v>
      </c>
      <c r="M85" s="3339"/>
      <c r="N85" s="3292"/>
      <c r="O85" s="3292"/>
      <c r="P85" s="3292">
        <f t="shared" si="28"/>
        <v>30</v>
      </c>
      <c r="Q85" s="3292">
        <v>1.07</v>
      </c>
      <c r="R85" s="3292">
        <v>2875.5</v>
      </c>
      <c r="S85" s="3214" t="s">
        <v>2873</v>
      </c>
      <c r="T85" s="3292">
        <f t="shared" si="44"/>
        <v>15120</v>
      </c>
      <c r="U85" s="3292"/>
      <c r="V85" s="3292">
        <f t="shared" si="43"/>
        <v>15120</v>
      </c>
      <c r="W85" s="1610">
        <f t="shared" si="47"/>
        <v>477</v>
      </c>
      <c r="X85" s="1610">
        <f t="shared" si="48"/>
        <v>14310</v>
      </c>
      <c r="Y85" s="1610"/>
      <c r="Z85" s="1610">
        <f t="shared" si="49"/>
        <v>14310</v>
      </c>
      <c r="AA85" s="1610">
        <f t="shared" si="50"/>
        <v>500.85</v>
      </c>
      <c r="AB85" s="1610">
        <f t="shared" si="51"/>
        <v>15026</v>
      </c>
      <c r="AC85" s="1610"/>
      <c r="AD85" s="3281">
        <f t="shared" si="52"/>
        <v>15026</v>
      </c>
      <c r="AE85" s="1669">
        <f t="shared" si="45"/>
        <v>504</v>
      </c>
      <c r="AF85" s="2043">
        <v>1.1200000000000001</v>
      </c>
    </row>
    <row r="86" spans="1:32">
      <c r="A86" s="2108">
        <v>77</v>
      </c>
      <c r="B86" s="3292" t="s">
        <v>3069</v>
      </c>
      <c r="C86" s="3339" t="s">
        <v>3069</v>
      </c>
      <c r="D86" s="3343" t="s">
        <v>1268</v>
      </c>
      <c r="E86" s="3337">
        <v>10053.200000000001</v>
      </c>
      <c r="F86" s="3343"/>
      <c r="G86" s="3337">
        <v>10053.200000000001</v>
      </c>
      <c r="H86" s="3292"/>
      <c r="I86" s="3292"/>
      <c r="J86" s="3292"/>
      <c r="K86" s="3292"/>
      <c r="L86" s="3347">
        <v>1</v>
      </c>
      <c r="M86" s="3292"/>
      <c r="N86" s="3292"/>
      <c r="O86" s="3292"/>
      <c r="P86" s="3292">
        <f t="shared" si="28"/>
        <v>1</v>
      </c>
      <c r="Q86" s="3292"/>
      <c r="R86" s="3292"/>
      <c r="S86" s="3292">
        <v>33000</v>
      </c>
      <c r="T86" s="3292">
        <f t="shared" si="44"/>
        <v>36960</v>
      </c>
      <c r="U86" s="3292"/>
      <c r="V86" s="2458">
        <f t="shared" si="43"/>
        <v>36960</v>
      </c>
      <c r="W86" s="1610"/>
      <c r="X86" s="1610"/>
      <c r="Y86" s="1610"/>
      <c r="Z86" s="1610"/>
      <c r="AA86" s="1610"/>
      <c r="AB86" s="1610"/>
      <c r="AC86" s="1610"/>
      <c r="AD86" s="3281"/>
      <c r="AE86" s="1669">
        <f t="shared" si="45"/>
        <v>36960</v>
      </c>
      <c r="AF86" s="2043">
        <v>1.1200000000000001</v>
      </c>
    </row>
    <row r="87" spans="1:32">
      <c r="A87" s="2108">
        <v>78</v>
      </c>
      <c r="B87" s="3335" t="s">
        <v>2874</v>
      </c>
      <c r="C87" s="3335" t="s">
        <v>2874</v>
      </c>
      <c r="D87" s="3336" t="s">
        <v>1268</v>
      </c>
      <c r="E87" s="3337">
        <v>10053.200000000001</v>
      </c>
      <c r="F87" s="3292"/>
      <c r="G87" s="3337">
        <f t="shared" ref="G87:G99" si="53">E87</f>
        <v>10053.200000000001</v>
      </c>
      <c r="H87" s="3292"/>
      <c r="I87" s="3338"/>
      <c r="J87" s="3338"/>
      <c r="K87" s="3292"/>
      <c r="L87" s="3215">
        <v>1</v>
      </c>
      <c r="M87" s="3339"/>
      <c r="N87" s="3292"/>
      <c r="O87" s="3292"/>
      <c r="P87" s="3292">
        <f t="shared" si="28"/>
        <v>1</v>
      </c>
      <c r="Q87" s="3292">
        <v>1.07</v>
      </c>
      <c r="R87" s="3292">
        <v>13338</v>
      </c>
      <c r="S87" s="3214">
        <v>3300</v>
      </c>
      <c r="T87" s="3292">
        <f t="shared" si="44"/>
        <v>3696</v>
      </c>
      <c r="U87" s="3292"/>
      <c r="V87" s="3292">
        <f t="shared" si="43"/>
        <v>3696</v>
      </c>
      <c r="W87" s="1610">
        <f t="shared" ref="W87:W99" si="54">S87*$X$5</f>
        <v>3498</v>
      </c>
      <c r="X87" s="1610">
        <f t="shared" ref="X87:X99" si="55">ROUND(P87*W87,0)</f>
        <v>3498</v>
      </c>
      <c r="Y87" s="1610"/>
      <c r="Z87" s="1610">
        <f t="shared" ref="Z87:Z99" si="56">X87-Y87</f>
        <v>3498</v>
      </c>
      <c r="AA87" s="1610">
        <f t="shared" ref="AA87:AA99" si="57">W87*$AA$5</f>
        <v>3672.9</v>
      </c>
      <c r="AB87" s="1610">
        <f t="shared" ref="AB87:AB99" si="58">ROUND(P87*AA87,0)</f>
        <v>3673</v>
      </c>
      <c r="AC87" s="1610"/>
      <c r="AD87" s="3281">
        <f t="shared" ref="AD87:AD99" si="59">AB87-AC87</f>
        <v>3673</v>
      </c>
      <c r="AE87" s="1669">
        <f t="shared" si="45"/>
        <v>3696</v>
      </c>
      <c r="AF87" s="2043">
        <v>1.1200000000000001</v>
      </c>
    </row>
    <row r="88" spans="1:32">
      <c r="A88" s="2108">
        <v>79</v>
      </c>
      <c r="B88" s="3335" t="s">
        <v>2879</v>
      </c>
      <c r="C88" s="3335" t="s">
        <v>2879</v>
      </c>
      <c r="D88" s="2458" t="s">
        <v>1587</v>
      </c>
      <c r="E88" s="3337">
        <v>10053.200000000001</v>
      </c>
      <c r="F88" s="2458"/>
      <c r="G88" s="2458">
        <f t="shared" si="53"/>
        <v>10053.200000000001</v>
      </c>
      <c r="H88" s="2458"/>
      <c r="I88" s="2458"/>
      <c r="J88" s="2458"/>
      <c r="K88" s="2458"/>
      <c r="L88" s="3215">
        <v>2</v>
      </c>
      <c r="M88" s="3341"/>
      <c r="N88" s="2458"/>
      <c r="O88" s="2458"/>
      <c r="P88" s="3292">
        <f t="shared" si="28"/>
        <v>2</v>
      </c>
      <c r="Q88" s="3292">
        <v>1.07</v>
      </c>
      <c r="R88" s="2458">
        <f>400*1.07</f>
        <v>428</v>
      </c>
      <c r="S88" s="3214">
        <v>5000</v>
      </c>
      <c r="T88" s="3292">
        <f t="shared" si="44"/>
        <v>11200</v>
      </c>
      <c r="U88" s="2458"/>
      <c r="V88" s="2458">
        <f t="shared" si="43"/>
        <v>11200</v>
      </c>
      <c r="W88" s="1610">
        <f t="shared" si="54"/>
        <v>5300</v>
      </c>
      <c r="X88" s="1610">
        <f t="shared" si="55"/>
        <v>10600</v>
      </c>
      <c r="Y88" s="2071"/>
      <c r="Z88" s="2071">
        <f t="shared" si="56"/>
        <v>10600</v>
      </c>
      <c r="AA88" s="1610">
        <f t="shared" si="57"/>
        <v>5565</v>
      </c>
      <c r="AB88" s="1610">
        <f t="shared" si="58"/>
        <v>11130</v>
      </c>
      <c r="AC88" s="2071"/>
      <c r="AD88" s="3276">
        <f t="shared" si="59"/>
        <v>11130</v>
      </c>
      <c r="AE88" s="1669">
        <f t="shared" si="45"/>
        <v>5600</v>
      </c>
      <c r="AF88" s="2043">
        <v>1.1200000000000001</v>
      </c>
    </row>
    <row r="89" spans="1:32">
      <c r="A89" s="2108">
        <v>80</v>
      </c>
      <c r="B89" s="3220" t="s">
        <v>2821</v>
      </c>
      <c r="C89" s="3220" t="s">
        <v>2821</v>
      </c>
      <c r="D89" s="3336" t="s">
        <v>1268</v>
      </c>
      <c r="E89" s="3337">
        <v>10053.200000000001</v>
      </c>
      <c r="F89" s="3292"/>
      <c r="G89" s="3337">
        <f t="shared" si="53"/>
        <v>10053.200000000001</v>
      </c>
      <c r="H89" s="3292"/>
      <c r="I89" s="3338"/>
      <c r="J89" s="3338"/>
      <c r="K89" s="3292"/>
      <c r="L89" s="3215">
        <v>6</v>
      </c>
      <c r="M89" s="3292"/>
      <c r="N89" s="3292"/>
      <c r="O89" s="3292"/>
      <c r="P89" s="3292">
        <f t="shared" ref="P89:P109" si="60">L89-N89-O89</f>
        <v>6</v>
      </c>
      <c r="Q89" s="3292">
        <v>1.07</v>
      </c>
      <c r="R89" s="3292">
        <v>9</v>
      </c>
      <c r="S89" s="3214">
        <v>2000</v>
      </c>
      <c r="T89" s="3292">
        <f t="shared" si="44"/>
        <v>13440</v>
      </c>
      <c r="U89" s="3292"/>
      <c r="V89" s="3292">
        <f t="shared" si="43"/>
        <v>13440</v>
      </c>
      <c r="W89" s="1610">
        <f t="shared" si="54"/>
        <v>2120</v>
      </c>
      <c r="X89" s="1610">
        <f t="shared" si="55"/>
        <v>12720</v>
      </c>
      <c r="Y89" s="1610"/>
      <c r="Z89" s="1610">
        <f t="shared" si="56"/>
        <v>12720</v>
      </c>
      <c r="AA89" s="1610">
        <f t="shared" si="57"/>
        <v>2226</v>
      </c>
      <c r="AB89" s="1610">
        <f t="shared" si="58"/>
        <v>13356</v>
      </c>
      <c r="AC89" s="1610"/>
      <c r="AD89" s="3281">
        <f t="shared" si="59"/>
        <v>13356</v>
      </c>
      <c r="AE89" s="1669">
        <f t="shared" si="45"/>
        <v>2240</v>
      </c>
      <c r="AF89" s="2043">
        <v>1.1200000000000001</v>
      </c>
    </row>
    <row r="90" spans="1:32" ht="36">
      <c r="A90" s="2108">
        <v>81</v>
      </c>
      <c r="B90" s="3220" t="s">
        <v>2504</v>
      </c>
      <c r="C90" s="3310" t="s">
        <v>1606</v>
      </c>
      <c r="D90" s="3336" t="s">
        <v>1268</v>
      </c>
      <c r="E90" s="3337">
        <v>10053.200000000001</v>
      </c>
      <c r="F90" s="3338"/>
      <c r="G90" s="3337">
        <f t="shared" si="53"/>
        <v>10053.200000000001</v>
      </c>
      <c r="H90" s="3338"/>
      <c r="I90" s="3338"/>
      <c r="J90" s="3338"/>
      <c r="K90" s="3338"/>
      <c r="L90" s="3214">
        <v>10</v>
      </c>
      <c r="M90" s="3339"/>
      <c r="N90" s="3338"/>
      <c r="O90" s="3338"/>
      <c r="P90" s="3292">
        <f t="shared" si="60"/>
        <v>10</v>
      </c>
      <c r="Q90" s="3292">
        <v>1.07</v>
      </c>
      <c r="R90" s="3292">
        <v>645</v>
      </c>
      <c r="S90" s="3216">
        <v>600</v>
      </c>
      <c r="T90" s="3292">
        <f t="shared" si="44"/>
        <v>6720</v>
      </c>
      <c r="U90" s="3292"/>
      <c r="V90" s="3292">
        <f t="shared" si="43"/>
        <v>6720</v>
      </c>
      <c r="W90" s="1610">
        <f t="shared" si="54"/>
        <v>636</v>
      </c>
      <c r="X90" s="1610">
        <f t="shared" si="55"/>
        <v>6360</v>
      </c>
      <c r="Y90" s="1610"/>
      <c r="Z90" s="1610">
        <f t="shared" si="56"/>
        <v>6360</v>
      </c>
      <c r="AA90" s="1610">
        <f t="shared" si="57"/>
        <v>667.80000000000007</v>
      </c>
      <c r="AB90" s="1610">
        <f t="shared" si="58"/>
        <v>6678</v>
      </c>
      <c r="AC90" s="1610"/>
      <c r="AD90" s="3281">
        <f t="shared" si="59"/>
        <v>6678</v>
      </c>
      <c r="AE90" s="1669">
        <f t="shared" si="45"/>
        <v>672</v>
      </c>
      <c r="AF90" s="2043">
        <v>1.1200000000000001</v>
      </c>
    </row>
    <row r="91" spans="1:32" ht="24">
      <c r="A91" s="2108">
        <v>82</v>
      </c>
      <c r="B91" s="3220" t="s">
        <v>2822</v>
      </c>
      <c r="C91" s="3220" t="s">
        <v>2823</v>
      </c>
      <c r="D91" s="3336" t="s">
        <v>1268</v>
      </c>
      <c r="E91" s="3337">
        <v>10053.200000000001</v>
      </c>
      <c r="F91" s="3338"/>
      <c r="G91" s="3337">
        <f t="shared" si="53"/>
        <v>10053.200000000001</v>
      </c>
      <c r="H91" s="3338"/>
      <c r="I91" s="3338"/>
      <c r="J91" s="3338"/>
      <c r="K91" s="3338"/>
      <c r="L91" s="3215">
        <v>1</v>
      </c>
      <c r="M91" s="3339"/>
      <c r="N91" s="3338"/>
      <c r="O91" s="3338"/>
      <c r="P91" s="3292">
        <f t="shared" si="60"/>
        <v>1</v>
      </c>
      <c r="Q91" s="3292">
        <v>1.07</v>
      </c>
      <c r="R91" s="3292">
        <v>3555</v>
      </c>
      <c r="S91" s="3214">
        <v>500</v>
      </c>
      <c r="T91" s="3292">
        <f t="shared" si="44"/>
        <v>560</v>
      </c>
      <c r="U91" s="3292"/>
      <c r="V91" s="3292">
        <f t="shared" si="43"/>
        <v>560</v>
      </c>
      <c r="W91" s="1610">
        <f t="shared" si="54"/>
        <v>530</v>
      </c>
      <c r="X91" s="1610">
        <f t="shared" si="55"/>
        <v>530</v>
      </c>
      <c r="Y91" s="1610"/>
      <c r="Z91" s="1610">
        <f t="shared" si="56"/>
        <v>530</v>
      </c>
      <c r="AA91" s="1610">
        <f t="shared" si="57"/>
        <v>556.5</v>
      </c>
      <c r="AB91" s="1610">
        <f t="shared" si="58"/>
        <v>557</v>
      </c>
      <c r="AC91" s="1610"/>
      <c r="AD91" s="3281">
        <f t="shared" si="59"/>
        <v>557</v>
      </c>
      <c r="AE91" s="1669">
        <f t="shared" si="45"/>
        <v>560</v>
      </c>
      <c r="AF91" s="2043">
        <v>1.1200000000000001</v>
      </c>
    </row>
    <row r="92" spans="1:32" ht="24">
      <c r="A92" s="2108">
        <v>83</v>
      </c>
      <c r="B92" s="3220" t="s">
        <v>2824</v>
      </c>
      <c r="C92" s="3220" t="s">
        <v>2825</v>
      </c>
      <c r="D92" s="3336" t="s">
        <v>1268</v>
      </c>
      <c r="E92" s="3337">
        <v>10053.200000000001</v>
      </c>
      <c r="F92" s="3338"/>
      <c r="G92" s="3337">
        <f t="shared" si="53"/>
        <v>10053.200000000001</v>
      </c>
      <c r="H92" s="3338"/>
      <c r="I92" s="3338"/>
      <c r="J92" s="3338"/>
      <c r="K92" s="3338"/>
      <c r="L92" s="3215">
        <v>1</v>
      </c>
      <c r="M92" s="3339"/>
      <c r="N92" s="3338"/>
      <c r="O92" s="3338"/>
      <c r="P92" s="3292">
        <f t="shared" si="60"/>
        <v>1</v>
      </c>
      <c r="Q92" s="3292">
        <v>1.07</v>
      </c>
      <c r="R92" s="3292">
        <v>4212</v>
      </c>
      <c r="S92" s="3214">
        <v>500</v>
      </c>
      <c r="T92" s="3292">
        <f t="shared" si="44"/>
        <v>560</v>
      </c>
      <c r="U92" s="3292"/>
      <c r="V92" s="3292">
        <f t="shared" si="43"/>
        <v>560</v>
      </c>
      <c r="W92" s="1610">
        <f t="shared" si="54"/>
        <v>530</v>
      </c>
      <c r="X92" s="1610">
        <f t="shared" si="55"/>
        <v>530</v>
      </c>
      <c r="Y92" s="1610"/>
      <c r="Z92" s="1610">
        <f t="shared" si="56"/>
        <v>530</v>
      </c>
      <c r="AA92" s="1610">
        <f t="shared" si="57"/>
        <v>556.5</v>
      </c>
      <c r="AB92" s="1610">
        <f t="shared" si="58"/>
        <v>557</v>
      </c>
      <c r="AC92" s="1610"/>
      <c r="AD92" s="3281">
        <f t="shared" si="59"/>
        <v>557</v>
      </c>
      <c r="AE92" s="1669">
        <f t="shared" si="45"/>
        <v>560</v>
      </c>
      <c r="AF92" s="2043">
        <v>1.1200000000000001</v>
      </c>
    </row>
    <row r="93" spans="1:32" ht="24">
      <c r="A93" s="2108">
        <v>84</v>
      </c>
      <c r="B93" s="3220" t="s">
        <v>2826</v>
      </c>
      <c r="C93" s="3220" t="s">
        <v>2827</v>
      </c>
      <c r="D93" s="3336" t="s">
        <v>1022</v>
      </c>
      <c r="E93" s="3337">
        <v>10053.200000000001</v>
      </c>
      <c r="F93" s="3338"/>
      <c r="G93" s="3337">
        <f t="shared" si="53"/>
        <v>10053.200000000001</v>
      </c>
      <c r="H93" s="3338"/>
      <c r="I93" s="3338"/>
      <c r="J93" s="3338"/>
      <c r="K93" s="3338"/>
      <c r="L93" s="3215">
        <v>1</v>
      </c>
      <c r="M93" s="3339"/>
      <c r="N93" s="3338"/>
      <c r="O93" s="3338"/>
      <c r="P93" s="3292">
        <f t="shared" si="60"/>
        <v>1</v>
      </c>
      <c r="Q93" s="3292">
        <v>1.07</v>
      </c>
      <c r="R93" s="3292">
        <v>4671</v>
      </c>
      <c r="S93" s="3214">
        <v>500</v>
      </c>
      <c r="T93" s="3292">
        <f t="shared" si="44"/>
        <v>560</v>
      </c>
      <c r="U93" s="3292"/>
      <c r="V93" s="3292">
        <f t="shared" si="43"/>
        <v>560</v>
      </c>
      <c r="W93" s="1610">
        <f t="shared" si="54"/>
        <v>530</v>
      </c>
      <c r="X93" s="1610">
        <f t="shared" si="55"/>
        <v>530</v>
      </c>
      <c r="Y93" s="1610"/>
      <c r="Z93" s="1610">
        <f t="shared" si="56"/>
        <v>530</v>
      </c>
      <c r="AA93" s="1610">
        <f t="shared" si="57"/>
        <v>556.5</v>
      </c>
      <c r="AB93" s="1610">
        <f t="shared" si="58"/>
        <v>557</v>
      </c>
      <c r="AC93" s="1610"/>
      <c r="AD93" s="3281">
        <f t="shared" si="59"/>
        <v>557</v>
      </c>
      <c r="AE93" s="1669">
        <f t="shared" si="45"/>
        <v>560</v>
      </c>
      <c r="AF93" s="2043">
        <v>1.1200000000000001</v>
      </c>
    </row>
    <row r="94" spans="1:32">
      <c r="A94" s="2108">
        <v>85</v>
      </c>
      <c r="B94" s="3335" t="s">
        <v>2877</v>
      </c>
      <c r="C94" s="3335" t="s">
        <v>2877</v>
      </c>
      <c r="D94" s="3336" t="s">
        <v>1268</v>
      </c>
      <c r="E94" s="3337">
        <v>10053.200000000001</v>
      </c>
      <c r="F94" s="3292"/>
      <c r="G94" s="3337">
        <f t="shared" si="53"/>
        <v>10053.200000000001</v>
      </c>
      <c r="H94" s="3292"/>
      <c r="I94" s="3338"/>
      <c r="J94" s="3338"/>
      <c r="K94" s="3292"/>
      <c r="L94" s="3215">
        <v>2</v>
      </c>
      <c r="M94" s="3339"/>
      <c r="N94" s="3292"/>
      <c r="O94" s="3292"/>
      <c r="P94" s="3292">
        <f t="shared" si="60"/>
        <v>2</v>
      </c>
      <c r="Q94" s="3292">
        <v>1.07</v>
      </c>
      <c r="R94" s="3292">
        <v>888</v>
      </c>
      <c r="S94" s="3214">
        <v>7500</v>
      </c>
      <c r="T94" s="3292">
        <f t="shared" si="44"/>
        <v>16800</v>
      </c>
      <c r="U94" s="3292"/>
      <c r="V94" s="3292">
        <f t="shared" si="43"/>
        <v>16800</v>
      </c>
      <c r="W94" s="1610">
        <f t="shared" si="54"/>
        <v>7950</v>
      </c>
      <c r="X94" s="1610">
        <f t="shared" si="55"/>
        <v>15900</v>
      </c>
      <c r="Y94" s="1610"/>
      <c r="Z94" s="1610">
        <f t="shared" si="56"/>
        <v>15900</v>
      </c>
      <c r="AA94" s="1610">
        <f t="shared" si="57"/>
        <v>8347.5</v>
      </c>
      <c r="AB94" s="1610">
        <f t="shared" si="58"/>
        <v>16695</v>
      </c>
      <c r="AC94" s="1610"/>
      <c r="AD94" s="3281">
        <f t="shared" si="59"/>
        <v>16695</v>
      </c>
      <c r="AE94" s="1669">
        <f t="shared" si="45"/>
        <v>8400</v>
      </c>
      <c r="AF94" s="2043">
        <v>1.1200000000000001</v>
      </c>
    </row>
    <row r="95" spans="1:32" s="2052" customFormat="1" ht="24">
      <c r="A95" s="2108">
        <v>86</v>
      </c>
      <c r="B95" s="3220" t="s">
        <v>2804</v>
      </c>
      <c r="C95" s="3220" t="s">
        <v>2805</v>
      </c>
      <c r="D95" s="3336" t="s">
        <v>1268</v>
      </c>
      <c r="E95" s="3337">
        <v>10053.200000000001</v>
      </c>
      <c r="F95" s="3338"/>
      <c r="G95" s="3337">
        <f t="shared" si="53"/>
        <v>10053.200000000001</v>
      </c>
      <c r="H95" s="3338"/>
      <c r="I95" s="3338"/>
      <c r="J95" s="3338"/>
      <c r="K95" s="3338"/>
      <c r="L95" s="3215">
        <v>10</v>
      </c>
      <c r="M95" s="3339"/>
      <c r="N95" s="3338"/>
      <c r="O95" s="3338"/>
      <c r="P95" s="3292">
        <f t="shared" si="60"/>
        <v>10</v>
      </c>
      <c r="Q95" s="3292">
        <v>1.07</v>
      </c>
      <c r="R95" s="3292">
        <v>6075</v>
      </c>
      <c r="S95" s="3216">
        <v>800</v>
      </c>
      <c r="T95" s="3292">
        <f t="shared" si="44"/>
        <v>8960</v>
      </c>
      <c r="U95" s="3292"/>
      <c r="V95" s="3292">
        <f t="shared" si="43"/>
        <v>8960</v>
      </c>
      <c r="W95" s="1610">
        <f t="shared" si="54"/>
        <v>848</v>
      </c>
      <c r="X95" s="1610">
        <f t="shared" si="55"/>
        <v>8480</v>
      </c>
      <c r="Y95" s="1610"/>
      <c r="Z95" s="1610">
        <f t="shared" si="56"/>
        <v>8480</v>
      </c>
      <c r="AA95" s="1610">
        <f t="shared" si="57"/>
        <v>890.40000000000009</v>
      </c>
      <c r="AB95" s="1610">
        <f t="shared" si="58"/>
        <v>8904</v>
      </c>
      <c r="AC95" s="1610"/>
      <c r="AD95" s="3281">
        <f t="shared" si="59"/>
        <v>8904</v>
      </c>
      <c r="AE95" s="1669">
        <f t="shared" si="45"/>
        <v>896</v>
      </c>
      <c r="AF95" s="2043">
        <v>1.1200000000000001</v>
      </c>
    </row>
    <row r="96" spans="1:32" s="2052" customFormat="1" ht="24">
      <c r="A96" s="2108">
        <v>87</v>
      </c>
      <c r="B96" s="3220" t="s">
        <v>2806</v>
      </c>
      <c r="C96" s="3220" t="s">
        <v>2807</v>
      </c>
      <c r="D96" s="3336" t="s">
        <v>1268</v>
      </c>
      <c r="E96" s="3337">
        <v>10053.200000000001</v>
      </c>
      <c r="F96" s="3292"/>
      <c r="G96" s="3337">
        <f t="shared" si="53"/>
        <v>10053.200000000001</v>
      </c>
      <c r="H96" s="3292"/>
      <c r="I96" s="3338"/>
      <c r="J96" s="3338"/>
      <c r="K96" s="3292"/>
      <c r="L96" s="3215">
        <v>10</v>
      </c>
      <c r="M96" s="3292"/>
      <c r="N96" s="3292"/>
      <c r="O96" s="3292"/>
      <c r="P96" s="3292">
        <f t="shared" si="60"/>
        <v>10</v>
      </c>
      <c r="Q96" s="3292">
        <v>1.07</v>
      </c>
      <c r="R96" s="3292">
        <v>4185</v>
      </c>
      <c r="S96" s="3216">
        <v>1500</v>
      </c>
      <c r="T96" s="3292">
        <f t="shared" si="44"/>
        <v>16800</v>
      </c>
      <c r="U96" s="3292"/>
      <c r="V96" s="3292">
        <f t="shared" si="43"/>
        <v>16800</v>
      </c>
      <c r="W96" s="1610">
        <f t="shared" si="54"/>
        <v>1590</v>
      </c>
      <c r="X96" s="1732">
        <f t="shared" si="55"/>
        <v>15900</v>
      </c>
      <c r="Y96" s="1732"/>
      <c r="Z96" s="1732">
        <f t="shared" si="56"/>
        <v>15900</v>
      </c>
      <c r="AA96" s="1732">
        <f t="shared" si="57"/>
        <v>1669.5</v>
      </c>
      <c r="AB96" s="1732">
        <f t="shared" si="58"/>
        <v>16695</v>
      </c>
      <c r="AC96" s="1732"/>
      <c r="AD96" s="1732">
        <f t="shared" si="59"/>
        <v>16695</v>
      </c>
      <c r="AE96" s="1669">
        <f t="shared" si="45"/>
        <v>1680</v>
      </c>
      <c r="AF96" s="2043">
        <v>1.1200000000000001</v>
      </c>
    </row>
    <row r="97" spans="1:32" ht="24">
      <c r="A97" s="2108">
        <v>88</v>
      </c>
      <c r="B97" s="3220" t="s">
        <v>2808</v>
      </c>
      <c r="C97" s="3220" t="s">
        <v>2809</v>
      </c>
      <c r="D97" s="3336" t="s">
        <v>1268</v>
      </c>
      <c r="E97" s="3337">
        <v>10053.200000000001</v>
      </c>
      <c r="F97" s="3292"/>
      <c r="G97" s="3337">
        <f t="shared" si="53"/>
        <v>10053.200000000001</v>
      </c>
      <c r="H97" s="3292"/>
      <c r="I97" s="3338"/>
      <c r="J97" s="3338"/>
      <c r="K97" s="3292"/>
      <c r="L97" s="3215">
        <v>5</v>
      </c>
      <c r="M97" s="3339"/>
      <c r="N97" s="3292"/>
      <c r="O97" s="3292"/>
      <c r="P97" s="3292">
        <f t="shared" si="60"/>
        <v>5</v>
      </c>
      <c r="Q97" s="3292">
        <v>1.07</v>
      </c>
      <c r="R97" s="3292">
        <v>1620</v>
      </c>
      <c r="S97" s="3216">
        <v>1200</v>
      </c>
      <c r="T97" s="3292">
        <f t="shared" si="44"/>
        <v>6720</v>
      </c>
      <c r="U97" s="3292"/>
      <c r="V97" s="3292">
        <f t="shared" si="43"/>
        <v>6720</v>
      </c>
      <c r="W97" s="1610">
        <f t="shared" si="54"/>
        <v>1272</v>
      </c>
      <c r="X97" s="1732">
        <f t="shared" si="55"/>
        <v>6360</v>
      </c>
      <c r="Y97" s="1732"/>
      <c r="Z97" s="1732">
        <f t="shared" si="56"/>
        <v>6360</v>
      </c>
      <c r="AA97" s="1732">
        <f t="shared" si="57"/>
        <v>1335.6000000000001</v>
      </c>
      <c r="AB97" s="1732">
        <f t="shared" si="58"/>
        <v>6678</v>
      </c>
      <c r="AC97" s="1732"/>
      <c r="AD97" s="1732">
        <f t="shared" si="59"/>
        <v>6678</v>
      </c>
      <c r="AE97" s="1669">
        <f t="shared" si="45"/>
        <v>1344</v>
      </c>
      <c r="AF97" s="2043">
        <v>1.1200000000000001</v>
      </c>
    </row>
    <row r="98" spans="1:32" ht="24.75" thickBot="1">
      <c r="A98" s="2108">
        <v>89</v>
      </c>
      <c r="B98" s="3220" t="s">
        <v>2810</v>
      </c>
      <c r="C98" s="3220" t="s">
        <v>2811</v>
      </c>
      <c r="D98" s="3336" t="s">
        <v>1268</v>
      </c>
      <c r="E98" s="3337">
        <v>10053.200000000001</v>
      </c>
      <c r="F98" s="3292"/>
      <c r="G98" s="3337">
        <f t="shared" si="53"/>
        <v>10053.200000000001</v>
      </c>
      <c r="H98" s="3338"/>
      <c r="I98" s="3338"/>
      <c r="J98" s="3338"/>
      <c r="K98" s="3338"/>
      <c r="L98" s="3215">
        <v>6</v>
      </c>
      <c r="M98" s="3339"/>
      <c r="N98" s="3338"/>
      <c r="O98" s="3338"/>
      <c r="P98" s="3292">
        <f t="shared" si="60"/>
        <v>6</v>
      </c>
      <c r="Q98" s="3292">
        <v>1.07</v>
      </c>
      <c r="R98" s="3338">
        <v>7020</v>
      </c>
      <c r="S98" s="3216">
        <v>1500</v>
      </c>
      <c r="T98" s="3292">
        <f t="shared" si="44"/>
        <v>10080</v>
      </c>
      <c r="U98" s="3292"/>
      <c r="V98" s="3292">
        <f t="shared" si="43"/>
        <v>10080</v>
      </c>
      <c r="W98" s="1610">
        <f t="shared" si="54"/>
        <v>1590</v>
      </c>
      <c r="X98" s="1732">
        <f t="shared" si="55"/>
        <v>9540</v>
      </c>
      <c r="Y98" s="1732"/>
      <c r="Z98" s="1732">
        <f t="shared" si="56"/>
        <v>9540</v>
      </c>
      <c r="AA98" s="1732">
        <f t="shared" si="57"/>
        <v>1669.5</v>
      </c>
      <c r="AB98" s="1732">
        <f t="shared" si="58"/>
        <v>10017</v>
      </c>
      <c r="AC98" s="1732"/>
      <c r="AD98" s="1732">
        <f t="shared" si="59"/>
        <v>10017</v>
      </c>
      <c r="AE98" s="1669">
        <f t="shared" si="45"/>
        <v>1680</v>
      </c>
      <c r="AF98" s="2043">
        <v>1.1200000000000001</v>
      </c>
    </row>
    <row r="99" spans="1:32" ht="24">
      <c r="A99" s="2108">
        <v>90</v>
      </c>
      <c r="B99" s="3316" t="s">
        <v>2828</v>
      </c>
      <c r="C99" s="3316" t="s">
        <v>2828</v>
      </c>
      <c r="D99" s="3352" t="s">
        <v>1022</v>
      </c>
      <c r="E99" s="3337">
        <v>10053.200000000001</v>
      </c>
      <c r="F99" s="3338"/>
      <c r="G99" s="3337">
        <f t="shared" si="53"/>
        <v>10053.200000000001</v>
      </c>
      <c r="H99" s="3338"/>
      <c r="I99" s="3338"/>
      <c r="J99" s="3338"/>
      <c r="K99" s="3338"/>
      <c r="L99" s="3358">
        <v>20</v>
      </c>
      <c r="M99" s="3339"/>
      <c r="N99" s="3338"/>
      <c r="O99" s="3338"/>
      <c r="P99" s="3292">
        <f t="shared" si="60"/>
        <v>20</v>
      </c>
      <c r="Q99" s="3292">
        <v>1.07</v>
      </c>
      <c r="R99" s="3292">
        <v>1242</v>
      </c>
      <c r="S99" s="3359">
        <v>3300</v>
      </c>
      <c r="T99" s="3292">
        <f t="shared" si="44"/>
        <v>73920</v>
      </c>
      <c r="U99" s="3292"/>
      <c r="V99" s="3292">
        <f t="shared" si="43"/>
        <v>73920</v>
      </c>
      <c r="W99" s="1610">
        <f t="shared" si="54"/>
        <v>3498</v>
      </c>
      <c r="X99" s="1732">
        <f t="shared" si="55"/>
        <v>69960</v>
      </c>
      <c r="Y99" s="1732"/>
      <c r="Z99" s="1732">
        <f t="shared" si="56"/>
        <v>69960</v>
      </c>
      <c r="AA99" s="1732">
        <f t="shared" si="57"/>
        <v>3672.9</v>
      </c>
      <c r="AB99" s="1732">
        <f t="shared" si="58"/>
        <v>73458</v>
      </c>
      <c r="AC99" s="1732"/>
      <c r="AD99" s="1732">
        <f t="shared" si="59"/>
        <v>73458</v>
      </c>
      <c r="AE99" s="1669">
        <f t="shared" si="45"/>
        <v>3696</v>
      </c>
      <c r="AF99" s="2043">
        <v>1.1200000000000001</v>
      </c>
    </row>
    <row r="100" spans="1:32">
      <c r="A100" s="2108">
        <v>91</v>
      </c>
      <c r="B100" s="3220" t="s">
        <v>2902</v>
      </c>
      <c r="C100" s="3220" t="s">
        <v>2902</v>
      </c>
      <c r="D100" s="3214" t="s">
        <v>1268</v>
      </c>
      <c r="E100" s="3337">
        <v>10053.200000000001</v>
      </c>
      <c r="F100" s="3343"/>
      <c r="G100" s="3337">
        <v>10053.200000000001</v>
      </c>
      <c r="H100" s="3292"/>
      <c r="I100" s="3292"/>
      <c r="J100" s="3292"/>
      <c r="K100" s="3292"/>
      <c r="L100" s="3344">
        <v>10</v>
      </c>
      <c r="M100" s="3292"/>
      <c r="N100" s="3292"/>
      <c r="O100" s="3292"/>
      <c r="P100" s="3292">
        <f t="shared" si="60"/>
        <v>10</v>
      </c>
      <c r="Q100" s="3292"/>
      <c r="R100" s="3292"/>
      <c r="S100" s="3218">
        <v>400</v>
      </c>
      <c r="T100" s="3292">
        <f t="shared" si="44"/>
        <v>4480</v>
      </c>
      <c r="U100" s="3292"/>
      <c r="V100" s="2458">
        <f t="shared" si="43"/>
        <v>4480</v>
      </c>
      <c r="W100" s="1610"/>
      <c r="AE100" s="1669">
        <f t="shared" si="45"/>
        <v>448</v>
      </c>
      <c r="AF100" s="2043">
        <v>1.1200000000000001</v>
      </c>
    </row>
    <row r="101" spans="1:32" ht="24">
      <c r="A101" s="2108">
        <v>92</v>
      </c>
      <c r="B101" s="3220" t="s">
        <v>2862</v>
      </c>
      <c r="C101" s="3220" t="s">
        <v>2863</v>
      </c>
      <c r="D101" s="3336" t="s">
        <v>1411</v>
      </c>
      <c r="E101" s="3337">
        <v>10053.200000000001</v>
      </c>
      <c r="F101" s="3338"/>
      <c r="G101" s="3337">
        <f>E101</f>
        <v>10053.200000000001</v>
      </c>
      <c r="H101" s="3338"/>
      <c r="I101" s="3338"/>
      <c r="J101" s="3338"/>
      <c r="K101" s="3338"/>
      <c r="L101" s="3355">
        <v>5</v>
      </c>
      <c r="M101" s="3339"/>
      <c r="N101" s="3338"/>
      <c r="O101" s="3338"/>
      <c r="P101" s="3292">
        <f t="shared" si="60"/>
        <v>5</v>
      </c>
      <c r="Q101" s="3292">
        <v>1.07</v>
      </c>
      <c r="R101" s="3338">
        <v>1185</v>
      </c>
      <c r="S101" s="3214">
        <v>5550</v>
      </c>
      <c r="T101" s="3292">
        <f t="shared" si="44"/>
        <v>31080</v>
      </c>
      <c r="U101" s="3292"/>
      <c r="V101" s="3292">
        <f t="shared" si="43"/>
        <v>31080</v>
      </c>
      <c r="W101" s="1610">
        <f>S101*$X$5</f>
        <v>5883</v>
      </c>
      <c r="X101" s="1732">
        <f>ROUND(P101*W101,0)</f>
        <v>29415</v>
      </c>
      <c r="Y101" s="1732"/>
      <c r="Z101" s="1732">
        <f>X101-Y101</f>
        <v>29415</v>
      </c>
      <c r="AA101" s="1732">
        <f>W101*$AA$5</f>
        <v>6177.1500000000005</v>
      </c>
      <c r="AB101" s="1732">
        <f>ROUND(P101*AA101,0)</f>
        <v>30886</v>
      </c>
      <c r="AC101" s="1732"/>
      <c r="AD101" s="1732">
        <f>AB101-AC101</f>
        <v>30886</v>
      </c>
      <c r="AE101" s="1669">
        <f t="shared" si="45"/>
        <v>6216</v>
      </c>
      <c r="AF101" s="2043">
        <v>1.1200000000000001</v>
      </c>
    </row>
    <row r="102" spans="1:32" ht="24">
      <c r="A102" s="2108">
        <v>93</v>
      </c>
      <c r="B102" s="3221" t="s">
        <v>2830</v>
      </c>
      <c r="C102" s="3221" t="s">
        <v>2830</v>
      </c>
      <c r="D102" s="3336" t="s">
        <v>1022</v>
      </c>
      <c r="E102" s="3337">
        <v>10053.200000000001</v>
      </c>
      <c r="F102" s="3292"/>
      <c r="G102" s="3337">
        <f>E102</f>
        <v>10053.200000000001</v>
      </c>
      <c r="H102" s="3292"/>
      <c r="I102" s="3338"/>
      <c r="J102" s="3338"/>
      <c r="K102" s="3292"/>
      <c r="L102" s="3357">
        <v>100</v>
      </c>
      <c r="M102" s="3339"/>
      <c r="N102" s="3292"/>
      <c r="O102" s="3292"/>
      <c r="P102" s="3292">
        <f t="shared" si="60"/>
        <v>100</v>
      </c>
      <c r="Q102" s="3292">
        <v>1.07</v>
      </c>
      <c r="R102" s="3292">
        <v>594</v>
      </c>
      <c r="S102" s="3313" t="s">
        <v>95</v>
      </c>
      <c r="T102" s="3292">
        <f t="shared" si="44"/>
        <v>336</v>
      </c>
      <c r="U102" s="3292"/>
      <c r="V102" s="3292">
        <f t="shared" si="43"/>
        <v>336</v>
      </c>
      <c r="W102" s="1610">
        <f>S102*$X$5</f>
        <v>3.18</v>
      </c>
      <c r="X102" s="1732">
        <f>ROUND(P102*W102,0)</f>
        <v>318</v>
      </c>
      <c r="Y102" s="1732"/>
      <c r="Z102" s="1732">
        <f>X102-Y102</f>
        <v>318</v>
      </c>
      <c r="AA102" s="1732">
        <f>W102*$AA$5</f>
        <v>3.3390000000000004</v>
      </c>
      <c r="AB102" s="1732">
        <f>ROUND(P102*AA102,0)</f>
        <v>334</v>
      </c>
      <c r="AC102" s="1732"/>
      <c r="AD102" s="1732">
        <f>AB102-AC102</f>
        <v>334</v>
      </c>
      <c r="AE102" s="1669">
        <f t="shared" si="45"/>
        <v>3.36</v>
      </c>
      <c r="AF102" s="2043">
        <v>1.1200000000000001</v>
      </c>
    </row>
    <row r="103" spans="1:32" ht="25.5">
      <c r="A103" s="2108">
        <v>94</v>
      </c>
      <c r="B103" s="3292" t="s">
        <v>3082</v>
      </c>
      <c r="C103" s="3339" t="s">
        <v>3076</v>
      </c>
      <c r="D103" s="3343" t="s">
        <v>1022</v>
      </c>
      <c r="E103" s="3337">
        <v>10053.200000000001</v>
      </c>
      <c r="F103" s="3343"/>
      <c r="G103" s="3337">
        <v>10053.200000000001</v>
      </c>
      <c r="H103" s="3292"/>
      <c r="I103" s="3292"/>
      <c r="J103" s="3292"/>
      <c r="K103" s="3292"/>
      <c r="L103" s="3356">
        <v>5</v>
      </c>
      <c r="M103" s="3292"/>
      <c r="N103" s="3292"/>
      <c r="O103" s="3292"/>
      <c r="P103" s="3292">
        <f t="shared" si="60"/>
        <v>5</v>
      </c>
      <c r="Q103" s="3292"/>
      <c r="R103" s="3292"/>
      <c r="S103" s="3292">
        <v>800</v>
      </c>
      <c r="T103" s="3292">
        <f t="shared" si="44"/>
        <v>4480</v>
      </c>
      <c r="U103" s="3292"/>
      <c r="V103" s="2458">
        <f t="shared" ref="V103:V125" si="61">T103-U103</f>
        <v>4480</v>
      </c>
      <c r="W103" s="1610"/>
      <c r="AE103" s="1669">
        <f t="shared" si="45"/>
        <v>896</v>
      </c>
      <c r="AF103" s="2043">
        <v>1.1200000000000001</v>
      </c>
    </row>
    <row r="104" spans="1:32">
      <c r="A104" s="2108">
        <v>95</v>
      </c>
      <c r="B104" s="3220" t="s">
        <v>2831</v>
      </c>
      <c r="C104" s="3220" t="s">
        <v>2832</v>
      </c>
      <c r="D104" s="3336" t="s">
        <v>1022</v>
      </c>
      <c r="E104" s="3337">
        <v>10053.200000000001</v>
      </c>
      <c r="F104" s="3292"/>
      <c r="G104" s="3337">
        <f>E104</f>
        <v>10053.200000000001</v>
      </c>
      <c r="H104" s="3292"/>
      <c r="I104" s="3338"/>
      <c r="J104" s="3338"/>
      <c r="K104" s="3292"/>
      <c r="L104" s="3344">
        <v>50</v>
      </c>
      <c r="M104" s="3292"/>
      <c r="N104" s="3292"/>
      <c r="O104" s="3292"/>
      <c r="P104" s="3292">
        <f t="shared" si="60"/>
        <v>50</v>
      </c>
      <c r="Q104" s="3292">
        <v>1.07</v>
      </c>
      <c r="R104" s="3292">
        <v>2341</v>
      </c>
      <c r="S104" s="3214" t="s">
        <v>2744</v>
      </c>
      <c r="T104" s="3292">
        <f t="shared" si="44"/>
        <v>3360</v>
      </c>
      <c r="U104" s="3292"/>
      <c r="V104" s="3292">
        <f t="shared" si="61"/>
        <v>3360</v>
      </c>
      <c r="W104" s="1610">
        <f>S104*$X$5</f>
        <v>63.6</v>
      </c>
      <c r="X104" s="1732">
        <f>ROUND(P104*W104,0)</f>
        <v>3180</v>
      </c>
      <c r="Y104" s="1732"/>
      <c r="Z104" s="1732">
        <f>X104-Y104</f>
        <v>3180</v>
      </c>
      <c r="AA104" s="1732">
        <f>W104*$AA$5</f>
        <v>66.78</v>
      </c>
      <c r="AB104" s="1732">
        <f>ROUND(P104*AA104,0)</f>
        <v>3339</v>
      </c>
      <c r="AC104" s="1732"/>
      <c r="AD104" s="1732">
        <f>AB104-AC104</f>
        <v>3339</v>
      </c>
      <c r="AE104" s="1669">
        <f t="shared" si="45"/>
        <v>67.2</v>
      </c>
      <c r="AF104" s="2043">
        <v>1.1200000000000001</v>
      </c>
    </row>
    <row r="105" spans="1:32">
      <c r="A105" s="2108">
        <v>96</v>
      </c>
      <c r="B105" s="3220" t="s">
        <v>2912</v>
      </c>
      <c r="C105" s="3220"/>
      <c r="D105" s="3336"/>
      <c r="E105" s="3337"/>
      <c r="F105" s="3292"/>
      <c r="G105" s="3337"/>
      <c r="H105" s="3292"/>
      <c r="I105" s="3338"/>
      <c r="J105" s="3338"/>
      <c r="K105" s="3292"/>
      <c r="L105" s="3344"/>
      <c r="M105" s="3292"/>
      <c r="N105" s="3292"/>
      <c r="O105" s="3292"/>
      <c r="P105" s="3292">
        <v>3</v>
      </c>
      <c r="Q105" s="3292"/>
      <c r="R105" s="3292"/>
      <c r="S105" s="3214">
        <v>1000</v>
      </c>
      <c r="T105" s="3292">
        <f t="shared" si="44"/>
        <v>3360</v>
      </c>
      <c r="U105" s="3292"/>
      <c r="V105" s="3292">
        <f t="shared" si="61"/>
        <v>3360</v>
      </c>
      <c r="W105" s="1610"/>
      <c r="X105" s="1732"/>
      <c r="Y105" s="1732"/>
      <c r="Z105" s="1732"/>
      <c r="AA105" s="1732"/>
      <c r="AB105" s="1732"/>
      <c r="AC105" s="1732"/>
      <c r="AD105" s="1732"/>
      <c r="AE105" s="1669">
        <f t="shared" si="45"/>
        <v>1120</v>
      </c>
      <c r="AF105" s="2043">
        <v>1.1200000000000001</v>
      </c>
    </row>
    <row r="106" spans="1:32" ht="24">
      <c r="A106" s="2108">
        <v>97</v>
      </c>
      <c r="B106" s="3220" t="s">
        <v>2909</v>
      </c>
      <c r="C106" s="3220" t="s">
        <v>2910</v>
      </c>
      <c r="D106" s="3214" t="s">
        <v>1022</v>
      </c>
      <c r="E106" s="3337">
        <v>10053.200000000001</v>
      </c>
      <c r="F106" s="3343"/>
      <c r="G106" s="3337">
        <v>10053.200000000001</v>
      </c>
      <c r="H106" s="3292"/>
      <c r="I106" s="3292"/>
      <c r="J106" s="3292"/>
      <c r="K106" s="3292"/>
      <c r="L106" s="3344">
        <v>1</v>
      </c>
      <c r="M106" s="3292"/>
      <c r="N106" s="3292"/>
      <c r="O106" s="3292"/>
      <c r="P106" s="3292">
        <f t="shared" si="60"/>
        <v>1</v>
      </c>
      <c r="Q106" s="3292"/>
      <c r="R106" s="3292"/>
      <c r="S106" s="3219" t="s">
        <v>2911</v>
      </c>
      <c r="T106" s="3292">
        <f t="shared" si="44"/>
        <v>896</v>
      </c>
      <c r="U106" s="3292"/>
      <c r="V106" s="2458">
        <f t="shared" si="61"/>
        <v>896</v>
      </c>
      <c r="W106" s="1610"/>
      <c r="AE106" s="1669">
        <f t="shared" si="45"/>
        <v>896</v>
      </c>
      <c r="AF106" s="2043">
        <v>1.1200000000000001</v>
      </c>
    </row>
    <row r="107" spans="1:32">
      <c r="A107" s="2108">
        <v>98</v>
      </c>
      <c r="B107" s="3335" t="s">
        <v>2732</v>
      </c>
      <c r="C107" s="3335" t="s">
        <v>2732</v>
      </c>
      <c r="D107" s="2090" t="s">
        <v>1268</v>
      </c>
      <c r="E107" s="3337">
        <v>10053.200000000001</v>
      </c>
      <c r="F107" s="3338"/>
      <c r="G107" s="3337">
        <f>E107</f>
        <v>10053.200000000001</v>
      </c>
      <c r="H107" s="3338"/>
      <c r="I107" s="3338"/>
      <c r="J107" s="3338"/>
      <c r="K107" s="3338"/>
      <c r="L107" s="3344">
        <v>50</v>
      </c>
      <c r="M107" s="3339"/>
      <c r="N107" s="3338"/>
      <c r="O107" s="3338"/>
      <c r="P107" s="3292">
        <f t="shared" si="60"/>
        <v>50</v>
      </c>
      <c r="Q107" s="3292">
        <v>1.07</v>
      </c>
      <c r="R107" s="3292">
        <v>528</v>
      </c>
      <c r="S107" s="3216">
        <v>60</v>
      </c>
      <c r="T107" s="3292">
        <f t="shared" si="44"/>
        <v>3360</v>
      </c>
      <c r="U107" s="3292"/>
      <c r="V107" s="3292">
        <f t="shared" si="61"/>
        <v>3360</v>
      </c>
      <c r="W107" s="1610">
        <f>S107*$X$5</f>
        <v>63.6</v>
      </c>
      <c r="X107" s="1732">
        <f>ROUND(P107*W107,0)</f>
        <v>3180</v>
      </c>
      <c r="Y107" s="1732"/>
      <c r="Z107" s="1732">
        <f>X107-Y107</f>
        <v>3180</v>
      </c>
      <c r="AA107" s="1732">
        <f>W107*$AA$5</f>
        <v>66.78</v>
      </c>
      <c r="AB107" s="1732">
        <f>ROUND(P107*AA107,0)</f>
        <v>3339</v>
      </c>
      <c r="AC107" s="1732"/>
      <c r="AD107" s="1732">
        <f>AB107-AC107</f>
        <v>3339</v>
      </c>
      <c r="AE107" s="1669">
        <f t="shared" si="45"/>
        <v>67.2</v>
      </c>
      <c r="AF107" s="2043">
        <v>1.1200000000000001</v>
      </c>
    </row>
    <row r="108" spans="1:32">
      <c r="A108" s="2108">
        <v>99</v>
      </c>
      <c r="B108" s="3335" t="s">
        <v>2880</v>
      </c>
      <c r="C108" s="3335" t="s">
        <v>2880</v>
      </c>
      <c r="D108" s="3214" t="s">
        <v>1263</v>
      </c>
      <c r="E108" s="3337">
        <v>10053.200000000001</v>
      </c>
      <c r="F108" s="2458"/>
      <c r="G108" s="3337">
        <v>10053.200000000001</v>
      </c>
      <c r="H108" s="2458"/>
      <c r="I108" s="2458"/>
      <c r="J108" s="2458"/>
      <c r="K108" s="2458"/>
      <c r="L108" s="3344">
        <v>2</v>
      </c>
      <c r="M108" s="2458"/>
      <c r="N108" s="2458"/>
      <c r="O108" s="2458"/>
      <c r="P108" s="3292">
        <f t="shared" si="60"/>
        <v>2</v>
      </c>
      <c r="Q108" s="2458"/>
      <c r="R108" s="2458"/>
      <c r="S108" s="3214">
        <v>7500</v>
      </c>
      <c r="T108" s="3292">
        <f t="shared" si="44"/>
        <v>16800</v>
      </c>
      <c r="U108" s="2458"/>
      <c r="V108" s="2458">
        <f t="shared" si="61"/>
        <v>16800</v>
      </c>
      <c r="W108" s="2139"/>
      <c r="X108" s="2052"/>
      <c r="Y108" s="2052"/>
      <c r="Z108" s="2052"/>
      <c r="AA108" s="2052"/>
      <c r="AB108" s="2052"/>
      <c r="AC108" s="2052"/>
      <c r="AD108" s="2052"/>
      <c r="AE108" s="1669">
        <f t="shared" si="45"/>
        <v>8400</v>
      </c>
      <c r="AF108" s="2043">
        <v>1.1200000000000001</v>
      </c>
    </row>
    <row r="109" spans="1:32" ht="25.5">
      <c r="A109" s="2108">
        <v>100</v>
      </c>
      <c r="B109" s="3292" t="s">
        <v>3124</v>
      </c>
      <c r="C109" s="3339" t="s">
        <v>3079</v>
      </c>
      <c r="D109" s="3343" t="s">
        <v>1022</v>
      </c>
      <c r="E109" s="3337">
        <v>10053.200000000001</v>
      </c>
      <c r="F109" s="3343"/>
      <c r="G109" s="3337">
        <v>10053.200000000001</v>
      </c>
      <c r="H109" s="3292"/>
      <c r="I109" s="3292"/>
      <c r="J109" s="3292"/>
      <c r="K109" s="3292"/>
      <c r="L109" s="3356">
        <v>12</v>
      </c>
      <c r="M109" s="3292"/>
      <c r="N109" s="3292"/>
      <c r="O109" s="3292"/>
      <c r="P109" s="3292">
        <f t="shared" si="60"/>
        <v>12</v>
      </c>
      <c r="Q109" s="3292"/>
      <c r="R109" s="3292"/>
      <c r="S109" s="3292">
        <v>3600</v>
      </c>
      <c r="T109" s="3292">
        <f t="shared" si="44"/>
        <v>48384</v>
      </c>
      <c r="U109" s="3292"/>
      <c r="V109" s="2458">
        <f t="shared" si="61"/>
        <v>48384</v>
      </c>
      <c r="W109" s="1610"/>
      <c r="AE109" s="1669">
        <f t="shared" si="45"/>
        <v>4032</v>
      </c>
      <c r="AF109" s="2043">
        <v>1.1200000000000001</v>
      </c>
    </row>
    <row r="110" spans="1:32" ht="38.25">
      <c r="A110" s="2108">
        <v>101</v>
      </c>
      <c r="B110" s="3348" t="s">
        <v>3125</v>
      </c>
      <c r="C110" s="3348" t="s">
        <v>3080</v>
      </c>
      <c r="D110" s="3349" t="s">
        <v>1022</v>
      </c>
      <c r="E110" s="3337">
        <v>10053.200000000001</v>
      </c>
      <c r="F110" s="3343"/>
      <c r="G110" s="3337">
        <v>10053.200000000001</v>
      </c>
      <c r="H110" s="3292"/>
      <c r="I110" s="3292"/>
      <c r="J110" s="3292"/>
      <c r="K110" s="3292"/>
      <c r="L110" s="3356">
        <v>100</v>
      </c>
      <c r="M110" s="3292"/>
      <c r="N110" s="3292"/>
      <c r="O110" s="3292"/>
      <c r="P110" s="3292">
        <v>100</v>
      </c>
      <c r="Q110" s="3292"/>
      <c r="R110" s="3292"/>
      <c r="S110" s="3293">
        <v>500</v>
      </c>
      <c r="T110" s="3292">
        <f t="shared" si="44"/>
        <v>56000</v>
      </c>
      <c r="U110" s="3292"/>
      <c r="V110" s="2458">
        <f t="shared" si="61"/>
        <v>56000</v>
      </c>
      <c r="W110" s="1610"/>
      <c r="AE110" s="1669">
        <f t="shared" si="45"/>
        <v>560</v>
      </c>
      <c r="AF110" s="2043">
        <v>1.1200000000000001</v>
      </c>
    </row>
    <row r="111" spans="1:32">
      <c r="A111" s="2108">
        <v>102</v>
      </c>
      <c r="B111" s="3292" t="s">
        <v>2628</v>
      </c>
      <c r="C111" s="3339" t="s">
        <v>3081</v>
      </c>
      <c r="D111" s="3343" t="s">
        <v>1022</v>
      </c>
      <c r="E111" s="3343">
        <v>10053.200000000001</v>
      </c>
      <c r="F111" s="3343"/>
      <c r="G111" s="3337">
        <v>10053.200000000001</v>
      </c>
      <c r="H111" s="3292"/>
      <c r="I111" s="3292"/>
      <c r="J111" s="3292"/>
      <c r="K111" s="3292"/>
      <c r="L111" s="3356">
        <v>1</v>
      </c>
      <c r="M111" s="3292"/>
      <c r="N111" s="3292"/>
      <c r="O111" s="3292"/>
      <c r="P111" s="3292">
        <f t="shared" ref="P111:P122" si="62">L111-N111-O111</f>
        <v>1</v>
      </c>
      <c r="Q111" s="3292"/>
      <c r="R111" s="3292"/>
      <c r="S111" s="3292">
        <v>5000</v>
      </c>
      <c r="T111" s="3292">
        <f t="shared" si="44"/>
        <v>5600</v>
      </c>
      <c r="U111" s="3292"/>
      <c r="V111" s="2458">
        <f t="shared" si="61"/>
        <v>5600</v>
      </c>
      <c r="W111" s="1610"/>
      <c r="X111" s="1732"/>
      <c r="Y111" s="1732"/>
      <c r="Z111" s="1732"/>
      <c r="AA111" s="1732"/>
      <c r="AB111" s="1732"/>
      <c r="AC111" s="1732"/>
      <c r="AD111" s="1732"/>
      <c r="AE111" s="1669">
        <f t="shared" si="45"/>
        <v>5600</v>
      </c>
      <c r="AF111" s="2043">
        <v>1.1200000000000001</v>
      </c>
    </row>
    <row r="112" spans="1:32">
      <c r="A112" s="2108">
        <v>103</v>
      </c>
      <c r="B112" s="3220" t="s">
        <v>2837</v>
      </c>
      <c r="C112" s="3220" t="s">
        <v>2838</v>
      </c>
      <c r="D112" s="3336" t="s">
        <v>1268</v>
      </c>
      <c r="E112" s="3337">
        <v>10053.200000000001</v>
      </c>
      <c r="F112" s="3338"/>
      <c r="G112" s="3337">
        <f>E112</f>
        <v>10053.200000000001</v>
      </c>
      <c r="H112" s="3338"/>
      <c r="I112" s="3338"/>
      <c r="J112" s="3338"/>
      <c r="K112" s="3338"/>
      <c r="L112" s="3344">
        <v>1</v>
      </c>
      <c r="M112" s="3339"/>
      <c r="N112" s="3338"/>
      <c r="O112" s="3338"/>
      <c r="P112" s="3292">
        <f t="shared" si="62"/>
        <v>1</v>
      </c>
      <c r="Q112" s="3292">
        <v>1.07</v>
      </c>
      <c r="R112" s="3292">
        <v>2430</v>
      </c>
      <c r="S112" s="3216">
        <v>100</v>
      </c>
      <c r="T112" s="3292">
        <f t="shared" si="44"/>
        <v>112</v>
      </c>
      <c r="U112" s="3292"/>
      <c r="V112" s="3292">
        <f t="shared" si="61"/>
        <v>112</v>
      </c>
      <c r="W112" s="1610">
        <f>S112*$X$5</f>
        <v>106</v>
      </c>
      <c r="X112" s="1732">
        <f>ROUND(P112*W112,0)</f>
        <v>106</v>
      </c>
      <c r="Y112" s="1732"/>
      <c r="Z112" s="1732">
        <f>X112-Y112</f>
        <v>106</v>
      </c>
      <c r="AA112" s="1732">
        <f>W112*$AA$5</f>
        <v>111.30000000000001</v>
      </c>
      <c r="AB112" s="1732">
        <f>ROUND(P112*AA112,0)</f>
        <v>111</v>
      </c>
      <c r="AC112" s="1732"/>
      <c r="AD112" s="1732">
        <f>AB112-AC112</f>
        <v>111</v>
      </c>
      <c r="AE112" s="1669">
        <f t="shared" si="45"/>
        <v>112</v>
      </c>
      <c r="AF112" s="2043">
        <v>1.1200000000000001</v>
      </c>
    </row>
    <row r="113" spans="1:32">
      <c r="A113" s="2108">
        <v>104</v>
      </c>
      <c r="B113" s="3220" t="s">
        <v>2903</v>
      </c>
      <c r="C113" s="3220" t="s">
        <v>2903</v>
      </c>
      <c r="D113" s="3214" t="s">
        <v>1268</v>
      </c>
      <c r="E113" s="3337">
        <v>10053.200000000001</v>
      </c>
      <c r="F113" s="3343"/>
      <c r="G113" s="3337">
        <v>10053.200000000001</v>
      </c>
      <c r="H113" s="3292"/>
      <c r="I113" s="3292"/>
      <c r="J113" s="3292"/>
      <c r="K113" s="3292"/>
      <c r="L113" s="3344">
        <v>5</v>
      </c>
      <c r="M113" s="3292"/>
      <c r="N113" s="3292"/>
      <c r="O113" s="3292"/>
      <c r="P113" s="3292">
        <f t="shared" si="62"/>
        <v>5</v>
      </c>
      <c r="Q113" s="3292"/>
      <c r="R113" s="3292"/>
      <c r="S113" s="3218">
        <v>400</v>
      </c>
      <c r="T113" s="3292">
        <f t="shared" si="44"/>
        <v>2240</v>
      </c>
      <c r="U113" s="3292"/>
      <c r="V113" s="2458">
        <f t="shared" si="61"/>
        <v>2240</v>
      </c>
      <c r="W113" s="1610"/>
      <c r="AE113" s="1669">
        <f t="shared" si="45"/>
        <v>448</v>
      </c>
      <c r="AF113" s="2043">
        <v>1.1200000000000001</v>
      </c>
    </row>
    <row r="114" spans="1:32">
      <c r="A114" s="2108">
        <v>105</v>
      </c>
      <c r="B114" s="3220" t="s">
        <v>2904</v>
      </c>
      <c r="C114" s="3220" t="s">
        <v>2904</v>
      </c>
      <c r="D114" s="3214" t="s">
        <v>1268</v>
      </c>
      <c r="E114" s="3337">
        <v>10053.200000000001</v>
      </c>
      <c r="F114" s="3343"/>
      <c r="G114" s="3337">
        <v>10053.200000000001</v>
      </c>
      <c r="H114" s="3292"/>
      <c r="I114" s="3292"/>
      <c r="J114" s="3292"/>
      <c r="K114" s="3292"/>
      <c r="L114" s="3215">
        <v>5</v>
      </c>
      <c r="M114" s="3292"/>
      <c r="N114" s="3292"/>
      <c r="O114" s="3292"/>
      <c r="P114" s="3292">
        <f t="shared" si="62"/>
        <v>5</v>
      </c>
      <c r="Q114" s="3292"/>
      <c r="R114" s="3292"/>
      <c r="S114" s="3218">
        <v>700</v>
      </c>
      <c r="T114" s="3292">
        <f t="shared" si="44"/>
        <v>3920</v>
      </c>
      <c r="U114" s="3292"/>
      <c r="V114" s="2458">
        <f t="shared" si="61"/>
        <v>3920</v>
      </c>
      <c r="W114" s="1732"/>
      <c r="AE114" s="1669">
        <f t="shared" si="45"/>
        <v>784</v>
      </c>
      <c r="AF114" s="2043">
        <v>1.1200000000000001</v>
      </c>
    </row>
    <row r="115" spans="1:32">
      <c r="A115" s="2108">
        <v>106</v>
      </c>
      <c r="B115" s="3220" t="s">
        <v>2888</v>
      </c>
      <c r="C115" s="3220" t="s">
        <v>2889</v>
      </c>
      <c r="D115" s="3214" t="s">
        <v>1268</v>
      </c>
      <c r="E115" s="3337">
        <v>10053.200000000001</v>
      </c>
      <c r="F115" s="3343"/>
      <c r="G115" s="3337">
        <v>10053.200000000001</v>
      </c>
      <c r="H115" s="3292"/>
      <c r="I115" s="3292"/>
      <c r="J115" s="3292"/>
      <c r="K115" s="3292"/>
      <c r="L115" s="3215">
        <v>5</v>
      </c>
      <c r="M115" s="3292"/>
      <c r="N115" s="3292"/>
      <c r="O115" s="3292"/>
      <c r="P115" s="3292">
        <f t="shared" si="62"/>
        <v>5</v>
      </c>
      <c r="Q115" s="3292"/>
      <c r="R115" s="3292"/>
      <c r="S115" s="3218">
        <v>2200</v>
      </c>
      <c r="T115" s="3292">
        <f t="shared" si="44"/>
        <v>12320</v>
      </c>
      <c r="U115" s="3292"/>
      <c r="V115" s="2458">
        <f t="shared" si="61"/>
        <v>12320</v>
      </c>
      <c r="W115" s="1732"/>
      <c r="AE115" s="1669">
        <f t="shared" si="45"/>
        <v>2464</v>
      </c>
      <c r="AF115" s="2043">
        <v>1.1200000000000001</v>
      </c>
    </row>
    <row r="116" spans="1:32">
      <c r="A116" s="2108">
        <v>107</v>
      </c>
      <c r="B116" s="3220" t="s">
        <v>2839</v>
      </c>
      <c r="C116" s="3220" t="s">
        <v>2839</v>
      </c>
      <c r="D116" s="3336" t="s">
        <v>1268</v>
      </c>
      <c r="E116" s="3337">
        <v>10053.200000000001</v>
      </c>
      <c r="F116" s="3338"/>
      <c r="G116" s="3337">
        <f t="shared" ref="G116:G124" si="63">E116</f>
        <v>10053.200000000001</v>
      </c>
      <c r="H116" s="3338"/>
      <c r="I116" s="3338"/>
      <c r="J116" s="3338"/>
      <c r="K116" s="3338"/>
      <c r="L116" s="3215">
        <v>1000</v>
      </c>
      <c r="M116" s="3339"/>
      <c r="N116" s="3338"/>
      <c r="O116" s="3338"/>
      <c r="P116" s="3292">
        <f t="shared" si="62"/>
        <v>1000</v>
      </c>
      <c r="Q116" s="3292">
        <v>1.07</v>
      </c>
      <c r="R116" s="3292">
        <v>3375</v>
      </c>
      <c r="S116" s="3216">
        <v>5</v>
      </c>
      <c r="T116" s="3292">
        <f t="shared" si="44"/>
        <v>5600</v>
      </c>
      <c r="U116" s="3292"/>
      <c r="V116" s="3292">
        <f t="shared" si="61"/>
        <v>5600</v>
      </c>
      <c r="W116" s="1732">
        <f t="shared" ref="W116:W124" si="64">S116*$X$5</f>
        <v>5.3000000000000007</v>
      </c>
      <c r="X116" s="1732">
        <f t="shared" ref="X116:X122" si="65">ROUND(P116*W116,0)</f>
        <v>5300</v>
      </c>
      <c r="Y116" s="1732"/>
      <c r="Z116" s="1732">
        <f t="shared" ref="Z116:Z122" si="66">X116-Y116</f>
        <v>5300</v>
      </c>
      <c r="AA116" s="1732">
        <f t="shared" ref="AA116:AA124" si="67">W116*$AA$5</f>
        <v>5.5650000000000013</v>
      </c>
      <c r="AB116" s="1732">
        <f t="shared" ref="AB116:AB122" si="68">ROUND(P116*AA116,0)</f>
        <v>5565</v>
      </c>
      <c r="AC116" s="1732"/>
      <c r="AD116" s="1732">
        <f t="shared" ref="AD116:AD122" si="69">AB116-AC116</f>
        <v>5565</v>
      </c>
      <c r="AE116" s="1669">
        <f t="shared" si="45"/>
        <v>5.6</v>
      </c>
      <c r="AF116" s="2043">
        <v>1.1200000000000001</v>
      </c>
    </row>
    <row r="117" spans="1:32">
      <c r="A117" s="2108">
        <v>108</v>
      </c>
      <c r="B117" s="3220" t="s">
        <v>2840</v>
      </c>
      <c r="C117" s="3220" t="s">
        <v>2441</v>
      </c>
      <c r="D117" s="3336" t="s">
        <v>1525</v>
      </c>
      <c r="E117" s="3337">
        <v>10053.200000000001</v>
      </c>
      <c r="F117" s="3338"/>
      <c r="G117" s="3337">
        <f t="shared" si="63"/>
        <v>10053.200000000001</v>
      </c>
      <c r="H117" s="3338"/>
      <c r="I117" s="3338"/>
      <c r="J117" s="3338"/>
      <c r="K117" s="3338"/>
      <c r="L117" s="3215">
        <v>1</v>
      </c>
      <c r="M117" s="3339"/>
      <c r="N117" s="3338"/>
      <c r="O117" s="3338"/>
      <c r="P117" s="3292">
        <f t="shared" si="62"/>
        <v>1</v>
      </c>
      <c r="Q117" s="3292">
        <v>1.07</v>
      </c>
      <c r="R117" s="3292">
        <v>5076</v>
      </c>
      <c r="S117" s="3216">
        <v>600</v>
      </c>
      <c r="T117" s="3292">
        <f t="shared" si="44"/>
        <v>672</v>
      </c>
      <c r="U117" s="3292"/>
      <c r="V117" s="3292">
        <f t="shared" si="61"/>
        <v>672</v>
      </c>
      <c r="W117" s="1732">
        <f t="shared" si="64"/>
        <v>636</v>
      </c>
      <c r="X117" s="1732">
        <f t="shared" si="65"/>
        <v>636</v>
      </c>
      <c r="Y117" s="1732"/>
      <c r="Z117" s="1732">
        <f t="shared" si="66"/>
        <v>636</v>
      </c>
      <c r="AA117" s="1732">
        <f t="shared" si="67"/>
        <v>667.80000000000007</v>
      </c>
      <c r="AB117" s="1732">
        <f t="shared" si="68"/>
        <v>668</v>
      </c>
      <c r="AC117" s="1732"/>
      <c r="AD117" s="1732">
        <f t="shared" si="69"/>
        <v>668</v>
      </c>
      <c r="AE117" s="1669">
        <f t="shared" si="45"/>
        <v>672</v>
      </c>
      <c r="AF117" s="2043">
        <v>1.1200000000000001</v>
      </c>
    </row>
    <row r="118" spans="1:32">
      <c r="A118" s="2108">
        <v>109</v>
      </c>
      <c r="B118" s="3220" t="s">
        <v>2842</v>
      </c>
      <c r="C118" s="3220" t="s">
        <v>2842</v>
      </c>
      <c r="D118" s="3336" t="s">
        <v>1564</v>
      </c>
      <c r="E118" s="3337">
        <v>10053.200000000001</v>
      </c>
      <c r="F118" s="3338"/>
      <c r="G118" s="3337">
        <f t="shared" si="63"/>
        <v>10053.200000000001</v>
      </c>
      <c r="H118" s="3338"/>
      <c r="I118" s="3338"/>
      <c r="J118" s="3338"/>
      <c r="K118" s="3338"/>
      <c r="L118" s="3214">
        <v>500</v>
      </c>
      <c r="M118" s="3339"/>
      <c r="N118" s="3338"/>
      <c r="O118" s="3338"/>
      <c r="P118" s="3292">
        <f t="shared" si="62"/>
        <v>500</v>
      </c>
      <c r="Q118" s="3292">
        <v>1.07</v>
      </c>
      <c r="R118" s="3292">
        <v>222</v>
      </c>
      <c r="S118" s="3216">
        <v>5</v>
      </c>
      <c r="T118" s="3292">
        <f t="shared" si="44"/>
        <v>2800</v>
      </c>
      <c r="U118" s="3292"/>
      <c r="V118" s="3292">
        <f t="shared" si="61"/>
        <v>2800</v>
      </c>
      <c r="W118" s="1732">
        <f t="shared" si="64"/>
        <v>5.3000000000000007</v>
      </c>
      <c r="X118" s="1732">
        <f t="shared" si="65"/>
        <v>2650</v>
      </c>
      <c r="Y118" s="1732"/>
      <c r="Z118" s="1732">
        <f t="shared" si="66"/>
        <v>2650</v>
      </c>
      <c r="AA118" s="1732">
        <f t="shared" si="67"/>
        <v>5.5650000000000013</v>
      </c>
      <c r="AB118" s="1732">
        <f t="shared" si="68"/>
        <v>2783</v>
      </c>
      <c r="AC118" s="1732"/>
      <c r="AD118" s="1732">
        <f t="shared" si="69"/>
        <v>2783</v>
      </c>
      <c r="AE118" s="1669">
        <f t="shared" si="45"/>
        <v>5.6</v>
      </c>
      <c r="AF118" s="2043">
        <v>1.1200000000000001</v>
      </c>
    </row>
    <row r="119" spans="1:32">
      <c r="A119" s="2108">
        <v>110</v>
      </c>
      <c r="B119" s="3220" t="s">
        <v>2844</v>
      </c>
      <c r="C119" s="3220" t="s">
        <v>2844</v>
      </c>
      <c r="D119" s="3336" t="s">
        <v>1268</v>
      </c>
      <c r="E119" s="3337">
        <v>10053.200000000001</v>
      </c>
      <c r="F119" s="3338"/>
      <c r="G119" s="3337">
        <f t="shared" si="63"/>
        <v>10053.200000000001</v>
      </c>
      <c r="H119" s="3338"/>
      <c r="I119" s="3338"/>
      <c r="J119" s="3338"/>
      <c r="K119" s="3338"/>
      <c r="L119" s="3214">
        <v>1</v>
      </c>
      <c r="M119" s="3339"/>
      <c r="N119" s="3338"/>
      <c r="O119" s="3338"/>
      <c r="P119" s="3292">
        <f t="shared" si="62"/>
        <v>1</v>
      </c>
      <c r="Q119" s="3292">
        <v>1.07</v>
      </c>
      <c r="R119" s="3292">
        <v>2511</v>
      </c>
      <c r="S119" s="3216">
        <v>700</v>
      </c>
      <c r="T119" s="3292">
        <f t="shared" si="44"/>
        <v>784</v>
      </c>
      <c r="U119" s="3292"/>
      <c r="V119" s="3292">
        <f t="shared" si="61"/>
        <v>784</v>
      </c>
      <c r="W119" s="1732">
        <f t="shared" si="64"/>
        <v>742</v>
      </c>
      <c r="X119" s="1732">
        <f t="shared" si="65"/>
        <v>742</v>
      </c>
      <c r="Y119" s="1732"/>
      <c r="Z119" s="1732">
        <f t="shared" si="66"/>
        <v>742</v>
      </c>
      <c r="AA119" s="1732">
        <f t="shared" si="67"/>
        <v>779.1</v>
      </c>
      <c r="AB119" s="1732">
        <f t="shared" si="68"/>
        <v>779</v>
      </c>
      <c r="AC119" s="1732"/>
      <c r="AD119" s="1732">
        <f t="shared" si="69"/>
        <v>779</v>
      </c>
      <c r="AE119" s="1669">
        <f t="shared" si="45"/>
        <v>784</v>
      </c>
      <c r="AF119" s="2043">
        <v>1.1200000000000001</v>
      </c>
    </row>
    <row r="120" spans="1:32">
      <c r="A120" s="2108">
        <v>111</v>
      </c>
      <c r="B120" s="3220" t="s">
        <v>2845</v>
      </c>
      <c r="C120" s="3220" t="s">
        <v>2845</v>
      </c>
      <c r="D120" s="2092" t="s">
        <v>1268</v>
      </c>
      <c r="E120" s="3337">
        <v>10053.200000000001</v>
      </c>
      <c r="F120" s="3338"/>
      <c r="G120" s="3337">
        <f t="shared" si="63"/>
        <v>10053.200000000001</v>
      </c>
      <c r="H120" s="3338"/>
      <c r="I120" s="3338"/>
      <c r="J120" s="3338"/>
      <c r="K120" s="3338"/>
      <c r="L120" s="3214">
        <v>1</v>
      </c>
      <c r="M120" s="3339"/>
      <c r="N120" s="3338"/>
      <c r="O120" s="3338"/>
      <c r="P120" s="3292">
        <f t="shared" si="62"/>
        <v>1</v>
      </c>
      <c r="Q120" s="3292">
        <v>1.07</v>
      </c>
      <c r="R120" s="3292">
        <v>2150</v>
      </c>
      <c r="S120" s="3216">
        <v>700</v>
      </c>
      <c r="T120" s="3292">
        <f t="shared" si="44"/>
        <v>784</v>
      </c>
      <c r="U120" s="3292"/>
      <c r="V120" s="3292">
        <f t="shared" si="61"/>
        <v>784</v>
      </c>
      <c r="W120" s="1732">
        <f t="shared" si="64"/>
        <v>742</v>
      </c>
      <c r="X120" s="1732">
        <f t="shared" si="65"/>
        <v>742</v>
      </c>
      <c r="Y120" s="1732"/>
      <c r="Z120" s="1732">
        <f t="shared" si="66"/>
        <v>742</v>
      </c>
      <c r="AA120" s="1732">
        <f t="shared" si="67"/>
        <v>779.1</v>
      </c>
      <c r="AB120" s="1732">
        <f t="shared" si="68"/>
        <v>779</v>
      </c>
      <c r="AC120" s="1732"/>
      <c r="AD120" s="1732">
        <f t="shared" si="69"/>
        <v>779</v>
      </c>
      <c r="AE120" s="1669">
        <f t="shared" si="45"/>
        <v>784</v>
      </c>
      <c r="AF120" s="2043">
        <v>1.1200000000000001</v>
      </c>
    </row>
    <row r="121" spans="1:32" ht="24">
      <c r="A121" s="2108">
        <v>112</v>
      </c>
      <c r="B121" s="3318" t="s">
        <v>2846</v>
      </c>
      <c r="C121" s="3318" t="s">
        <v>2846</v>
      </c>
      <c r="D121" s="3353" t="s">
        <v>1268</v>
      </c>
      <c r="E121" s="3350">
        <v>10053.200000000001</v>
      </c>
      <c r="F121" s="3354"/>
      <c r="G121" s="3350">
        <f t="shared" si="63"/>
        <v>10053.200000000001</v>
      </c>
      <c r="H121" s="3354"/>
      <c r="I121" s="3354"/>
      <c r="J121" s="3354"/>
      <c r="K121" s="3354"/>
      <c r="L121" s="3346">
        <v>1000</v>
      </c>
      <c r="M121" s="3348"/>
      <c r="N121" s="3354"/>
      <c r="O121" s="3354"/>
      <c r="P121" s="3293">
        <f t="shared" si="62"/>
        <v>1000</v>
      </c>
      <c r="Q121" s="3293">
        <v>1.07</v>
      </c>
      <c r="R121" s="3293">
        <v>2990</v>
      </c>
      <c r="S121" s="3360">
        <v>7</v>
      </c>
      <c r="T121" s="3292">
        <f t="shared" si="44"/>
        <v>7840</v>
      </c>
      <c r="U121" s="3293"/>
      <c r="V121" s="3293">
        <f t="shared" si="61"/>
        <v>7840</v>
      </c>
      <c r="W121" s="1732">
        <f t="shared" si="64"/>
        <v>7.42</v>
      </c>
      <c r="X121" s="1732">
        <f t="shared" si="65"/>
        <v>7420</v>
      </c>
      <c r="Y121" s="1732"/>
      <c r="Z121" s="1732">
        <f t="shared" si="66"/>
        <v>7420</v>
      </c>
      <c r="AA121" s="1732">
        <f t="shared" si="67"/>
        <v>7.7910000000000004</v>
      </c>
      <c r="AB121" s="1732">
        <f t="shared" si="68"/>
        <v>7791</v>
      </c>
      <c r="AC121" s="1732"/>
      <c r="AD121" s="1732">
        <f t="shared" si="69"/>
        <v>7791</v>
      </c>
      <c r="AE121" s="1669">
        <f t="shared" si="45"/>
        <v>7.84</v>
      </c>
      <c r="AF121" s="2043">
        <v>1.1200000000000001</v>
      </c>
    </row>
    <row r="122" spans="1:32">
      <c r="A122" s="2108">
        <v>113</v>
      </c>
      <c r="B122" s="3318" t="s">
        <v>2841</v>
      </c>
      <c r="C122" s="3318" t="s">
        <v>2438</v>
      </c>
      <c r="D122" s="3353" t="s">
        <v>1525</v>
      </c>
      <c r="E122" s="3350">
        <v>10053.200000000001</v>
      </c>
      <c r="F122" s="3354"/>
      <c r="G122" s="3350">
        <f t="shared" si="63"/>
        <v>10053.200000000001</v>
      </c>
      <c r="H122" s="3354"/>
      <c r="I122" s="3354"/>
      <c r="J122" s="3354"/>
      <c r="K122" s="3354"/>
      <c r="L122" s="3320">
        <v>1000</v>
      </c>
      <c r="M122" s="3348"/>
      <c r="N122" s="3354"/>
      <c r="O122" s="3354"/>
      <c r="P122" s="3293">
        <f t="shared" si="62"/>
        <v>1000</v>
      </c>
      <c r="Q122" s="3293">
        <v>1.07</v>
      </c>
      <c r="R122" s="3293">
        <v>5595</v>
      </c>
      <c r="S122" s="3360">
        <v>5</v>
      </c>
      <c r="T122" s="3292">
        <f t="shared" si="44"/>
        <v>5600</v>
      </c>
      <c r="U122" s="3293"/>
      <c r="V122" s="3293">
        <f t="shared" si="61"/>
        <v>5600</v>
      </c>
      <c r="W122" s="1731">
        <f t="shared" si="64"/>
        <v>5.3000000000000007</v>
      </c>
      <c r="X122" s="1731">
        <f t="shared" si="65"/>
        <v>5300</v>
      </c>
      <c r="Y122" s="1731"/>
      <c r="Z122" s="1731">
        <f t="shared" si="66"/>
        <v>5300</v>
      </c>
      <c r="AA122" s="1731">
        <f t="shared" si="67"/>
        <v>5.5650000000000013</v>
      </c>
      <c r="AB122" s="1731">
        <f t="shared" si="68"/>
        <v>5565</v>
      </c>
      <c r="AC122" s="1731"/>
      <c r="AD122" s="1731">
        <f t="shared" si="69"/>
        <v>5565</v>
      </c>
      <c r="AE122" s="1669">
        <f t="shared" si="45"/>
        <v>5.6</v>
      </c>
      <c r="AF122" s="2043">
        <v>1.1200000000000001</v>
      </c>
    </row>
    <row r="123" spans="1:32" hidden="1">
      <c r="A123" s="2108">
        <v>114</v>
      </c>
      <c r="B123" s="3318" t="s">
        <v>3084</v>
      </c>
      <c r="C123" s="3318" t="s">
        <v>3084</v>
      </c>
      <c r="D123" s="3353" t="s">
        <v>1022</v>
      </c>
      <c r="E123" s="3350">
        <v>10053.200000000001</v>
      </c>
      <c r="F123" s="3354"/>
      <c r="G123" s="3350">
        <f t="shared" si="63"/>
        <v>10053.200000000001</v>
      </c>
      <c r="H123" s="3354"/>
      <c r="I123" s="3354"/>
      <c r="J123" s="3354"/>
      <c r="K123" s="3354"/>
      <c r="L123" s="3320">
        <v>10</v>
      </c>
      <c r="M123" s="3348"/>
      <c r="N123" s="3354"/>
      <c r="O123" s="3354"/>
      <c r="P123" s="3293">
        <v>0</v>
      </c>
      <c r="Q123" s="3293"/>
      <c r="R123" s="3293"/>
      <c r="S123" s="3360">
        <v>500</v>
      </c>
      <c r="T123" s="3292">
        <f t="shared" si="44"/>
        <v>0</v>
      </c>
      <c r="U123" s="3293"/>
      <c r="V123" s="3293">
        <f t="shared" si="61"/>
        <v>0</v>
      </c>
      <c r="W123" s="1731">
        <f t="shared" si="64"/>
        <v>530</v>
      </c>
      <c r="X123" s="1731"/>
      <c r="Y123" s="1731"/>
      <c r="Z123" s="1731"/>
      <c r="AA123" s="1731">
        <f t="shared" si="67"/>
        <v>556.5</v>
      </c>
      <c r="AB123" s="1731"/>
      <c r="AC123" s="1731"/>
      <c r="AD123" s="1731"/>
      <c r="AE123" s="1669">
        <f t="shared" si="45"/>
        <v>560</v>
      </c>
      <c r="AF123" s="2043">
        <v>1.1200000000000001</v>
      </c>
    </row>
    <row r="124" spans="1:32">
      <c r="A124" s="2108">
        <v>114</v>
      </c>
      <c r="B124" s="1610" t="s">
        <v>3087</v>
      </c>
      <c r="C124" s="1610" t="s">
        <v>3087</v>
      </c>
      <c r="D124" s="1664" t="s">
        <v>1022</v>
      </c>
      <c r="E124" s="3350">
        <v>10053.200000000001</v>
      </c>
      <c r="F124" s="1664"/>
      <c r="G124" s="3350">
        <f t="shared" si="63"/>
        <v>10053.200000000001</v>
      </c>
      <c r="H124" s="1610"/>
      <c r="I124" s="1610"/>
      <c r="J124" s="1610"/>
      <c r="K124" s="1610"/>
      <c r="L124" s="3378">
        <v>1</v>
      </c>
      <c r="M124" s="1610"/>
      <c r="N124" s="1610"/>
      <c r="O124" s="1610"/>
      <c r="P124" s="3292">
        <v>1</v>
      </c>
      <c r="Q124" s="1610"/>
      <c r="R124" s="1610"/>
      <c r="S124" s="1610">
        <v>55000</v>
      </c>
      <c r="T124" s="3292">
        <f t="shared" si="44"/>
        <v>61600</v>
      </c>
      <c r="U124" s="1610"/>
      <c r="V124" s="3293">
        <f t="shared" si="61"/>
        <v>61600</v>
      </c>
      <c r="W124" s="1610">
        <f t="shared" si="64"/>
        <v>58300</v>
      </c>
      <c r="X124" s="1610"/>
      <c r="Y124" s="1610"/>
      <c r="Z124" s="1610"/>
      <c r="AA124" s="1610">
        <f t="shared" si="67"/>
        <v>61215</v>
      </c>
      <c r="AB124" s="1610"/>
      <c r="AC124" s="1610"/>
      <c r="AD124" s="1610"/>
      <c r="AE124" s="1669">
        <f t="shared" si="45"/>
        <v>61600</v>
      </c>
      <c r="AF124" s="1610">
        <v>1.1200000000000001</v>
      </c>
    </row>
    <row r="125" spans="1:32">
      <c r="P125" s="2164">
        <f>SUM(P10:P124)</f>
        <v>5026</v>
      </c>
      <c r="V125" s="3293">
        <f t="shared" si="61"/>
        <v>0</v>
      </c>
    </row>
    <row r="126" spans="1:32">
      <c r="B126" s="2964" t="s">
        <v>368</v>
      </c>
      <c r="C126" s="3007"/>
      <c r="D126" s="3007"/>
      <c r="E126" s="3008"/>
      <c r="F126" s="3009"/>
      <c r="G126" s="3008"/>
      <c r="H126" s="2983"/>
    </row>
    <row r="127" spans="1:32">
      <c r="B127" s="2964" t="s">
        <v>370</v>
      </c>
      <c r="C127" s="3007"/>
      <c r="D127" s="3007"/>
      <c r="E127" s="3008"/>
      <c r="F127" s="3009"/>
      <c r="G127" s="3008" t="s">
        <v>371</v>
      </c>
      <c r="H127" s="2983"/>
    </row>
    <row r="128" spans="1:32">
      <c r="B128" s="3007"/>
      <c r="C128" s="3007"/>
      <c r="D128" s="3007"/>
      <c r="E128" s="3007"/>
      <c r="F128" s="3009"/>
      <c r="G128" s="3009"/>
      <c r="H128" s="2983"/>
    </row>
    <row r="129" spans="2:8" ht="15.75">
      <c r="B129" s="2042" t="s">
        <v>451</v>
      </c>
      <c r="C129" s="1076"/>
      <c r="D129" s="475"/>
      <c r="E129" s="1077"/>
      <c r="F129" s="419"/>
      <c r="G129" s="2042" t="s">
        <v>452</v>
      </c>
      <c r="H129" s="2983"/>
    </row>
    <row r="130" spans="2:8" ht="15.75">
      <c r="B130" s="2042"/>
      <c r="C130" s="1076"/>
      <c r="D130" s="475"/>
      <c r="E130" s="1077"/>
      <c r="F130" s="580"/>
      <c r="G130" s="2042"/>
      <c r="H130" s="2983"/>
    </row>
    <row r="131" spans="2:8" ht="15.75">
      <c r="B131" s="2042" t="s">
        <v>375</v>
      </c>
      <c r="C131" s="1078"/>
      <c r="D131" s="1078"/>
      <c r="E131" s="1078"/>
      <c r="F131" s="580"/>
      <c r="G131" s="2042" t="s">
        <v>453</v>
      </c>
      <c r="H131" s="2983"/>
    </row>
  </sheetData>
  <sheetProtection formatColumns="0" insertRows="0" deleteRows="0"/>
  <sortState xmlns:xlrd2="http://schemas.microsoft.com/office/spreadsheetml/2017/richdata2" ref="B10:AE124">
    <sortCondition ref="B10"/>
  </sortState>
  <mergeCells count="20">
    <mergeCell ref="A7:A8"/>
    <mergeCell ref="B7:B8"/>
    <mergeCell ref="C7:C8"/>
    <mergeCell ref="D7:D8"/>
    <mergeCell ref="E7:E8"/>
    <mergeCell ref="AE7:AE8"/>
    <mergeCell ref="AC7:AD7"/>
    <mergeCell ref="F7:G7"/>
    <mergeCell ref="H7:H8"/>
    <mergeCell ref="I7:K7"/>
    <mergeCell ref="L7:P7"/>
    <mergeCell ref="R7:R8"/>
    <mergeCell ref="AA7:AA8"/>
    <mergeCell ref="AB7:AB8"/>
    <mergeCell ref="S7:S8"/>
    <mergeCell ref="T7:T8"/>
    <mergeCell ref="U7:V7"/>
    <mergeCell ref="W7:W8"/>
    <mergeCell ref="X7:X8"/>
    <mergeCell ref="Y7:Z7"/>
  </mergeCells>
  <pageMargins left="0" right="0" top="0.59055118110236227" bottom="0.59055118110236227" header="0" footer="0"/>
  <pageSetup paperSize="9" scale="52" fitToHeight="4" orientation="landscape" r:id="rId1"/>
  <rowBreaks count="1" manualBreakCount="1">
    <brk id="32" max="30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theme="8" tint="0.39997558519241921"/>
    <pageSetUpPr fitToPage="1"/>
  </sheetPr>
  <dimension ref="A1:AO47"/>
  <sheetViews>
    <sheetView topLeftCell="C1" zoomScaleNormal="100" zoomScaleSheetLayoutView="80" workbookViewId="0">
      <selection activeCell="B19" sqref="B19"/>
    </sheetView>
  </sheetViews>
  <sheetFormatPr defaultColWidth="9.140625" defaultRowHeight="12"/>
  <cols>
    <col min="1" max="1" width="7.140625" style="1748" customWidth="1"/>
    <col min="2" max="2" width="19.42578125" style="1748" customWidth="1"/>
    <col min="3" max="3" width="44.7109375" style="1749" customWidth="1"/>
    <col min="4" max="4" width="6.42578125" style="1748" customWidth="1"/>
    <col min="5" max="5" width="7.85546875" style="1748" customWidth="1"/>
    <col min="6" max="6" width="6.140625" style="1748" customWidth="1"/>
    <col min="7" max="7" width="7.5703125" style="1748" customWidth="1"/>
    <col min="8" max="8" width="8.28515625" style="1748" customWidth="1"/>
    <col min="9" max="9" width="6" style="1748" customWidth="1"/>
    <col min="10" max="10" width="5.7109375" style="1748" customWidth="1"/>
    <col min="11" max="11" width="9.5703125" style="1748" customWidth="1"/>
    <col min="12" max="12" width="10.7109375" style="3259" customWidth="1"/>
    <col min="13" max="13" width="7.5703125" style="1748" customWidth="1"/>
    <col min="14" max="14" width="9.5703125" style="1748" customWidth="1"/>
    <col min="15" max="15" width="9.7109375" style="1748" customWidth="1"/>
    <col min="16" max="16" width="10.42578125" style="3384" customWidth="1"/>
    <col min="17" max="18" width="9.28515625" style="1769" customWidth="1"/>
    <col min="19" max="19" width="10.42578125" style="1769" bestFit="1" customWidth="1"/>
    <col min="20" max="20" width="11.85546875" style="1769" customWidth="1"/>
    <col min="21" max="21" width="10" style="1748" customWidth="1"/>
    <col min="22" max="22" width="14" style="1769" customWidth="1"/>
    <col min="23" max="23" width="9" style="1748" hidden="1" customWidth="1"/>
    <col min="24" max="24" width="10.28515625" style="1748" hidden="1" customWidth="1"/>
    <col min="25" max="26" width="0" style="1748" hidden="1" customWidth="1"/>
    <col min="27" max="27" width="13" style="1748" hidden="1" customWidth="1"/>
    <col min="28" max="28" width="10.85546875" style="1748" hidden="1" customWidth="1"/>
    <col min="29" max="30" width="0" style="1748" hidden="1" customWidth="1"/>
    <col min="31" max="31" width="10.42578125" style="1748" bestFit="1" customWidth="1"/>
    <col min="32" max="32" width="4.42578125" style="1748" bestFit="1" customWidth="1"/>
    <col min="33" max="16384" width="9.140625" style="1748"/>
  </cols>
  <sheetData>
    <row r="1" spans="1:41">
      <c r="U1" s="1748" t="s">
        <v>267</v>
      </c>
      <c r="V1" s="1770" t="s">
        <v>3126</v>
      </c>
    </row>
    <row r="2" spans="1:41" s="1751" customFormat="1">
      <c r="A2" s="1750" t="s">
        <v>3127</v>
      </c>
      <c r="C2" s="1752"/>
      <c r="L2" s="3260"/>
      <c r="P2" s="3385"/>
      <c r="Q2" s="1772"/>
      <c r="R2" s="1772"/>
      <c r="S2" s="1772"/>
      <c r="T2" s="1772"/>
      <c r="V2" s="1772"/>
    </row>
    <row r="3" spans="1:41">
      <c r="A3" s="1753"/>
      <c r="B3" s="1748" t="s">
        <v>3128</v>
      </c>
    </row>
    <row r="4" spans="1:41" s="1751" customFormat="1">
      <c r="A4" s="1767" t="s">
        <v>2272</v>
      </c>
      <c r="C4" s="1752"/>
      <c r="L4" s="3260"/>
      <c r="P4" s="3385"/>
      <c r="Q4" s="1772"/>
      <c r="R4" s="1772"/>
      <c r="S4" s="1772"/>
      <c r="T4" s="1772"/>
      <c r="V4" s="1772"/>
    </row>
    <row r="5" spans="1:41">
      <c r="A5" s="1754" t="s">
        <v>990</v>
      </c>
    </row>
    <row r="7" spans="1:41" ht="30" customHeight="1">
      <c r="A7" s="4084" t="s">
        <v>2</v>
      </c>
      <c r="B7" s="4084" t="s">
        <v>478</v>
      </c>
      <c r="C7" s="4084" t="s">
        <v>995</v>
      </c>
      <c r="D7" s="4084" t="s">
        <v>996</v>
      </c>
      <c r="E7" s="4084" t="s">
        <v>1191</v>
      </c>
      <c r="F7" s="4084" t="s">
        <v>255</v>
      </c>
      <c r="G7" s="4084"/>
      <c r="H7" s="4085" t="s">
        <v>1192</v>
      </c>
      <c r="I7" s="4087" t="s">
        <v>1193</v>
      </c>
      <c r="J7" s="4088"/>
      <c r="K7" s="4089"/>
      <c r="L7" s="4087" t="s">
        <v>922</v>
      </c>
      <c r="M7" s="4088"/>
      <c r="N7" s="4088"/>
      <c r="O7" s="4088"/>
      <c r="P7" s="4089"/>
      <c r="Q7" s="4084" t="s">
        <v>999</v>
      </c>
      <c r="R7" s="4085" t="s">
        <v>2928</v>
      </c>
      <c r="S7" s="4079" t="s">
        <v>2265</v>
      </c>
      <c r="T7" s="4084" t="s">
        <v>2266</v>
      </c>
      <c r="U7" s="4087" t="s">
        <v>1001</v>
      </c>
      <c r="V7" s="4089"/>
      <c r="W7" s="4080" t="s">
        <v>999</v>
      </c>
      <c r="X7" s="4080" t="s">
        <v>2267</v>
      </c>
      <c r="Y7" s="4081" t="s">
        <v>1001</v>
      </c>
      <c r="Z7" s="4082"/>
      <c r="AA7" s="4080" t="s">
        <v>999</v>
      </c>
      <c r="AB7" s="4080" t="s">
        <v>2268</v>
      </c>
      <c r="AC7" s="4081" t="s">
        <v>1001</v>
      </c>
      <c r="AD7" s="4083"/>
      <c r="AF7" s="1755"/>
      <c r="AG7" s="1755"/>
      <c r="AH7" s="1755"/>
      <c r="AI7" s="1755"/>
      <c r="AJ7" s="1755"/>
      <c r="AK7" s="1755"/>
      <c r="AL7" s="1755"/>
      <c r="AM7" s="1755"/>
      <c r="AN7" s="1755"/>
      <c r="AO7" s="1755"/>
    </row>
    <row r="8" spans="1:41" ht="60">
      <c r="A8" s="4084"/>
      <c r="B8" s="4084"/>
      <c r="C8" s="4084"/>
      <c r="D8" s="4084"/>
      <c r="E8" s="4084"/>
      <c r="F8" s="3243" t="s">
        <v>7</v>
      </c>
      <c r="G8" s="3243" t="s">
        <v>8</v>
      </c>
      <c r="H8" s="4086"/>
      <c r="I8" s="3243" t="s">
        <v>7</v>
      </c>
      <c r="J8" s="3243" t="s">
        <v>8</v>
      </c>
      <c r="K8" s="3243" t="s">
        <v>1096</v>
      </c>
      <c r="L8" s="3261" t="s">
        <v>1099</v>
      </c>
      <c r="M8" s="3243" t="s">
        <v>1194</v>
      </c>
      <c r="N8" s="3243" t="s">
        <v>1011</v>
      </c>
      <c r="O8" s="3243" t="s">
        <v>1012</v>
      </c>
      <c r="P8" s="3386" t="s">
        <v>1013</v>
      </c>
      <c r="Q8" s="4084"/>
      <c r="R8" s="4086"/>
      <c r="S8" s="4079"/>
      <c r="T8" s="4084"/>
      <c r="U8" s="3244" t="s">
        <v>7</v>
      </c>
      <c r="V8" s="3244" t="s">
        <v>8</v>
      </c>
      <c r="W8" s="4080"/>
      <c r="X8" s="4080"/>
      <c r="Y8" s="1684" t="s">
        <v>7</v>
      </c>
      <c r="Z8" s="1775" t="s">
        <v>8</v>
      </c>
      <c r="AA8" s="4080"/>
      <c r="AB8" s="4080"/>
      <c r="AC8" s="1684" t="s">
        <v>7</v>
      </c>
      <c r="AD8" s="3282" t="s">
        <v>8</v>
      </c>
      <c r="AF8" s="1685"/>
      <c r="AG8" s="1685"/>
      <c r="AH8" s="1683"/>
      <c r="AI8" s="1685"/>
      <c r="AJ8" s="1685"/>
      <c r="AK8" s="1685"/>
      <c r="AL8" s="1685"/>
      <c r="AM8" s="1685"/>
      <c r="AN8" s="1685"/>
      <c r="AO8" s="1685"/>
    </row>
    <row r="9" spans="1:41">
      <c r="A9" s="3243"/>
      <c r="B9" s="3243"/>
      <c r="C9" s="3243"/>
      <c r="D9" s="3243"/>
      <c r="E9" s="3251"/>
      <c r="F9" s="3243"/>
      <c r="G9" s="3251"/>
      <c r="H9" s="3244"/>
      <c r="I9" s="3243"/>
      <c r="J9" s="3243"/>
      <c r="K9" s="3243"/>
      <c r="L9" s="3392">
        <f>SUM(L10:L15)</f>
        <v>53</v>
      </c>
      <c r="M9" s="3392">
        <f>SUM(M10:M15)</f>
        <v>123</v>
      </c>
      <c r="N9" s="3392">
        <f>SUM(N10:N15)</f>
        <v>45</v>
      </c>
      <c r="O9" s="3392">
        <f>SUM(O10:O15)</f>
        <v>0</v>
      </c>
      <c r="P9" s="3392">
        <f>SUM(P10:P15)</f>
        <v>53</v>
      </c>
      <c r="Q9" s="3243"/>
      <c r="R9" s="3243"/>
      <c r="S9" s="3285"/>
      <c r="T9" s="3392">
        <f>SUM(T10:T21)</f>
        <v>1162506.24</v>
      </c>
      <c r="U9" s="3392">
        <f t="shared" ref="U9:V9" si="0">SUM(U10:U21)</f>
        <v>0</v>
      </c>
      <c r="V9" s="3392">
        <f t="shared" si="0"/>
        <v>1162506.24</v>
      </c>
      <c r="W9" s="1773"/>
      <c r="X9" s="1776">
        <f>SUM(X10:X13)</f>
        <v>342136</v>
      </c>
      <c r="Y9" s="1776">
        <f>SUM(Y10:Y13)</f>
        <v>0</v>
      </c>
      <c r="Z9" s="1776">
        <f>SUM(Z10:Z13)</f>
        <v>342136</v>
      </c>
      <c r="AA9" s="1773"/>
      <c r="AB9" s="1776">
        <f>SUM(AB10:AB13)</f>
        <v>359243</v>
      </c>
      <c r="AC9" s="1776">
        <f>SUM(AC10:AC13)</f>
        <v>0</v>
      </c>
      <c r="AD9" s="3283">
        <f>SUM(AD10:AD13)</f>
        <v>359243</v>
      </c>
      <c r="AF9" s="1685"/>
      <c r="AG9" s="1685"/>
      <c r="AH9" s="1683"/>
      <c r="AI9" s="1685"/>
      <c r="AJ9" s="1685"/>
      <c r="AK9" s="1685"/>
      <c r="AL9" s="1685"/>
      <c r="AM9" s="1685"/>
      <c r="AN9" s="1685"/>
      <c r="AO9" s="1685"/>
    </row>
    <row r="10" spans="1:41" ht="34.5" customHeight="1">
      <c r="A10" s="3248">
        <v>1</v>
      </c>
      <c r="B10" s="3637" t="s">
        <v>3129</v>
      </c>
      <c r="C10" s="3252" t="s">
        <v>3130</v>
      </c>
      <c r="D10" s="3226" t="s">
        <v>1940</v>
      </c>
      <c r="E10" s="3248">
        <v>16815.8</v>
      </c>
      <c r="F10" s="3248"/>
      <c r="G10" s="3248">
        <f>E10</f>
        <v>16815.8</v>
      </c>
      <c r="H10" s="3248"/>
      <c r="I10" s="3253"/>
      <c r="J10" s="3253"/>
      <c r="K10" s="3248"/>
      <c r="L10" s="3262">
        <v>35</v>
      </c>
      <c r="M10" s="3226">
        <f>35*3</f>
        <v>105</v>
      </c>
      <c r="N10" s="3248">
        <v>36</v>
      </c>
      <c r="O10" s="3248"/>
      <c r="P10" s="3476">
        <f>MIN(L10,M10)-O10</f>
        <v>35</v>
      </c>
      <c r="Q10" s="3495">
        <f>R10/1.06</f>
        <v>8700</v>
      </c>
      <c r="R10" s="3249">
        <f>8700*1.06</f>
        <v>9222</v>
      </c>
      <c r="S10" s="1695">
        <f>ROUND(R10*AF10,2)</f>
        <v>10328.64</v>
      </c>
      <c r="T10" s="3264">
        <f>ROUND(P10*S10,2)</f>
        <v>361502.4</v>
      </c>
      <c r="U10" s="3264"/>
      <c r="V10" s="3264">
        <f>T10-U10</f>
        <v>361502.4</v>
      </c>
      <c r="W10" s="1757">
        <f>ROUND(R10*1.06,2)</f>
        <v>9775.32</v>
      </c>
      <c r="X10" s="1758">
        <f>ROUND(P10*W10,0)</f>
        <v>342136</v>
      </c>
      <c r="Y10" s="1696"/>
      <c r="Z10" s="1758">
        <f t="shared" ref="Z10:Z13" si="1">X10-Y10</f>
        <v>342136</v>
      </c>
      <c r="AA10" s="1757">
        <f>ROUND(W10*1.05,2)</f>
        <v>10264.09</v>
      </c>
      <c r="AB10" s="1758">
        <f>ROUND(P10*AA10,0)</f>
        <v>359243</v>
      </c>
      <c r="AC10" s="1696"/>
      <c r="AD10" s="3284">
        <f t="shared" ref="AD10:AD13" si="2">AB10-AC10</f>
        <v>359243</v>
      </c>
      <c r="AF10" s="1755">
        <v>1.1200000000000001</v>
      </c>
      <c r="AG10" s="1755"/>
      <c r="AH10" s="1755"/>
      <c r="AI10" s="1755"/>
      <c r="AJ10" s="1755"/>
      <c r="AK10" s="1755"/>
      <c r="AL10" s="1755"/>
      <c r="AM10" s="1755"/>
      <c r="AN10" s="1755"/>
      <c r="AO10" s="1755"/>
    </row>
    <row r="11" spans="1:41" ht="60">
      <c r="A11" s="3248">
        <v>2</v>
      </c>
      <c r="B11" s="3637" t="s">
        <v>3131</v>
      </c>
      <c r="C11" s="3254" t="s">
        <v>3132</v>
      </c>
      <c r="D11" s="3226" t="s">
        <v>1022</v>
      </c>
      <c r="E11" s="3255">
        <v>16815.8</v>
      </c>
      <c r="F11" s="3248"/>
      <c r="G11" s="3255">
        <f>E11</f>
        <v>16815.8</v>
      </c>
      <c r="H11" s="3248"/>
      <c r="I11" s="3253"/>
      <c r="J11" s="3253"/>
      <c r="K11" s="3248"/>
      <c r="L11" s="3262">
        <v>9</v>
      </c>
      <c r="M11" s="3226">
        <v>9</v>
      </c>
      <c r="N11" s="3248"/>
      <c r="O11" s="3248"/>
      <c r="P11" s="3476">
        <f t="shared" ref="P11:P21" si="3">MIN(L11,M11)-O11</f>
        <v>9</v>
      </c>
      <c r="Q11" s="3485">
        <f t="shared" ref="Q11:Q14" si="4">R11/1.06</f>
        <v>25000</v>
      </c>
      <c r="R11" s="3249">
        <f>25000*1.06</f>
        <v>26500</v>
      </c>
      <c r="S11" s="1695">
        <f t="shared" ref="S11:S15" si="5">ROUND(R11*AF11,2)</f>
        <v>29680</v>
      </c>
      <c r="T11" s="3264">
        <f>ROUND(P11*S11,2)</f>
        <v>267120</v>
      </c>
      <c r="U11" s="3264"/>
      <c r="V11" s="3264">
        <f t="shared" ref="V11:V21" si="6">T11-U11</f>
        <v>267120</v>
      </c>
      <c r="W11" s="1757">
        <f>ROUND(R11*1.07,2)</f>
        <v>28355</v>
      </c>
      <c r="X11" s="1758"/>
      <c r="Y11" s="1696"/>
      <c r="Z11" s="1758">
        <f t="shared" si="1"/>
        <v>0</v>
      </c>
      <c r="AA11" s="1757">
        <f t="shared" ref="AA11:AA13" si="7">ROUND(W11*1.07,2)</f>
        <v>30339.85</v>
      </c>
      <c r="AB11" s="1758"/>
      <c r="AC11" s="1696"/>
      <c r="AD11" s="3284">
        <f t="shared" si="2"/>
        <v>0</v>
      </c>
      <c r="AF11" s="1755">
        <v>1.1200000000000001</v>
      </c>
      <c r="AG11" s="1755"/>
      <c r="AH11" s="1755"/>
      <c r="AI11" s="1755"/>
      <c r="AJ11" s="1755"/>
      <c r="AK11" s="1755"/>
      <c r="AL11" s="1755"/>
      <c r="AM11" s="1755"/>
      <c r="AN11" s="1755"/>
      <c r="AO11" s="1755"/>
    </row>
    <row r="12" spans="1:41" ht="72" hidden="1" customHeight="1">
      <c r="A12" s="3248"/>
      <c r="B12" s="3249" t="s">
        <v>3133</v>
      </c>
      <c r="C12" s="3254" t="s">
        <v>3134</v>
      </c>
      <c r="D12" s="3226" t="s">
        <v>1022</v>
      </c>
      <c r="E12" s="3255">
        <v>16815.8</v>
      </c>
      <c r="F12" s="3248"/>
      <c r="G12" s="3255">
        <f>E12</f>
        <v>16815.8</v>
      </c>
      <c r="H12" s="3248"/>
      <c r="I12" s="3253"/>
      <c r="J12" s="3253"/>
      <c r="K12" s="3248"/>
      <c r="L12" s="3262"/>
      <c r="M12" s="3226"/>
      <c r="N12" s="3248"/>
      <c r="O12" s="3248"/>
      <c r="P12" s="3476">
        <f t="shared" si="3"/>
        <v>0</v>
      </c>
      <c r="Q12" s="3485">
        <f t="shared" si="4"/>
        <v>11320.754716981131</v>
      </c>
      <c r="R12" s="3249">
        <v>12000</v>
      </c>
      <c r="S12" s="1695">
        <f t="shared" si="5"/>
        <v>13440</v>
      </c>
      <c r="T12" s="3264">
        <f t="shared" ref="T12:T14" si="8">ROUND(P12*S12,2)</f>
        <v>0</v>
      </c>
      <c r="U12" s="3264"/>
      <c r="V12" s="3264">
        <f t="shared" si="6"/>
        <v>0</v>
      </c>
      <c r="W12" s="1757">
        <f>ROUND(R12*1.07,2)</f>
        <v>12840</v>
      </c>
      <c r="X12" s="1758"/>
      <c r="Y12" s="1696"/>
      <c r="Z12" s="1758">
        <f t="shared" si="1"/>
        <v>0</v>
      </c>
      <c r="AA12" s="1757">
        <f t="shared" si="7"/>
        <v>13738.8</v>
      </c>
      <c r="AB12" s="1758"/>
      <c r="AC12" s="1696"/>
      <c r="AD12" s="3284">
        <f t="shared" si="2"/>
        <v>0</v>
      </c>
      <c r="AF12" s="1755">
        <v>1.1200000000000001</v>
      </c>
      <c r="AG12" s="1755"/>
      <c r="AH12" s="1755"/>
      <c r="AI12" s="1755"/>
      <c r="AJ12" s="1755"/>
      <c r="AK12" s="1755"/>
      <c r="AL12" s="1755"/>
      <c r="AM12" s="1755"/>
      <c r="AN12" s="1755"/>
      <c r="AO12" s="1755"/>
    </row>
    <row r="13" spans="1:41" ht="36" hidden="1" customHeight="1">
      <c r="A13" s="3248"/>
      <c r="B13" s="3256" t="s">
        <v>3135</v>
      </c>
      <c r="C13" s="3256" t="s">
        <v>3136</v>
      </c>
      <c r="D13" s="3226" t="s">
        <v>2291</v>
      </c>
      <c r="E13" s="3248">
        <v>16815.8</v>
      </c>
      <c r="F13" s="3248"/>
      <c r="G13" s="3248">
        <f>E13</f>
        <v>16815.8</v>
      </c>
      <c r="H13" s="3248"/>
      <c r="I13" s="3253"/>
      <c r="J13" s="3253"/>
      <c r="K13" s="3248"/>
      <c r="L13" s="3262"/>
      <c r="M13" s="3226"/>
      <c r="N13" s="3248"/>
      <c r="O13" s="3248"/>
      <c r="P13" s="3476">
        <f t="shared" si="3"/>
        <v>0</v>
      </c>
      <c r="Q13" s="3485">
        <f t="shared" si="4"/>
        <v>5249.0566037735844</v>
      </c>
      <c r="R13" s="3249">
        <f>ROUND(5200*1.07,2)</f>
        <v>5564</v>
      </c>
      <c r="S13" s="1695">
        <f t="shared" si="5"/>
        <v>6231.68</v>
      </c>
      <c r="T13" s="3264">
        <f t="shared" si="8"/>
        <v>0</v>
      </c>
      <c r="U13" s="3264"/>
      <c r="V13" s="3264">
        <f t="shared" si="6"/>
        <v>0</v>
      </c>
      <c r="W13" s="1757">
        <f>ROUND(R13*1.07,2)</f>
        <v>5953.48</v>
      </c>
      <c r="X13" s="1758"/>
      <c r="Y13" s="1696"/>
      <c r="Z13" s="1758">
        <f t="shared" si="1"/>
        <v>0</v>
      </c>
      <c r="AA13" s="1757">
        <f t="shared" si="7"/>
        <v>6370.22</v>
      </c>
      <c r="AB13" s="1758"/>
      <c r="AC13" s="1696"/>
      <c r="AD13" s="3284">
        <f t="shared" si="2"/>
        <v>0</v>
      </c>
      <c r="AF13" s="1755">
        <v>1.1200000000000001</v>
      </c>
      <c r="AG13" s="1755"/>
      <c r="AH13" s="1755"/>
      <c r="AI13" s="1755"/>
      <c r="AJ13" s="1755"/>
      <c r="AK13" s="1755"/>
      <c r="AL13" s="1755"/>
      <c r="AM13" s="1755"/>
      <c r="AN13" s="1755"/>
      <c r="AO13" s="1755"/>
    </row>
    <row r="14" spans="1:41" ht="59.25" hidden="1" customHeight="1">
      <c r="A14" s="3248">
        <v>2</v>
      </c>
      <c r="B14" s="3226" t="s">
        <v>3131</v>
      </c>
      <c r="C14" s="3256" t="s">
        <v>3132</v>
      </c>
      <c r="D14" s="3226" t="s">
        <v>1940</v>
      </c>
      <c r="E14" s="3248">
        <v>16815.8</v>
      </c>
      <c r="F14" s="3248"/>
      <c r="G14" s="3248">
        <v>16815.8</v>
      </c>
      <c r="H14" s="3248"/>
      <c r="I14" s="3253"/>
      <c r="J14" s="3253"/>
      <c r="K14" s="3248"/>
      <c r="L14" s="3262"/>
      <c r="M14" s="3226"/>
      <c r="N14" s="3248"/>
      <c r="O14" s="3248"/>
      <c r="P14" s="3476">
        <f t="shared" si="3"/>
        <v>0</v>
      </c>
      <c r="Q14" s="3485">
        <f t="shared" si="4"/>
        <v>16500</v>
      </c>
      <c r="R14" s="3249">
        <v>17490</v>
      </c>
      <c r="S14" s="1695">
        <f t="shared" si="5"/>
        <v>19588.8</v>
      </c>
      <c r="T14" s="3264">
        <f t="shared" si="8"/>
        <v>0</v>
      </c>
      <c r="U14" s="3264"/>
      <c r="V14" s="3264">
        <f t="shared" si="6"/>
        <v>0</v>
      </c>
      <c r="W14" s="3194"/>
      <c r="X14" s="1759"/>
      <c r="Y14" s="1788"/>
      <c r="Z14" s="1759"/>
      <c r="AA14" s="3194"/>
      <c r="AB14" s="1759"/>
      <c r="AC14" s="1788"/>
      <c r="AD14" s="1759"/>
      <c r="AF14" s="1755">
        <v>1.1200000000000001</v>
      </c>
      <c r="AG14" s="1755"/>
      <c r="AH14" s="1755"/>
      <c r="AI14" s="1755"/>
      <c r="AJ14" s="1755"/>
      <c r="AK14" s="1755"/>
      <c r="AL14" s="1755"/>
      <c r="AM14" s="1755"/>
      <c r="AN14" s="1755"/>
      <c r="AO14" s="1755"/>
    </row>
    <row r="15" spans="1:41" ht="69" customHeight="1">
      <c r="A15" s="3248">
        <v>3</v>
      </c>
      <c r="B15" s="3638" t="s">
        <v>3133</v>
      </c>
      <c r="C15" s="3252" t="s">
        <v>3134</v>
      </c>
      <c r="D15" s="3226" t="s">
        <v>1940</v>
      </c>
      <c r="E15" s="3248">
        <v>16815.8</v>
      </c>
      <c r="F15" s="3248"/>
      <c r="G15" s="3248">
        <v>16815.8</v>
      </c>
      <c r="H15" s="3248"/>
      <c r="I15" s="3253"/>
      <c r="J15" s="3253"/>
      <c r="K15" s="3248"/>
      <c r="L15" s="3262">
        <v>9</v>
      </c>
      <c r="M15" s="3226">
        <v>9</v>
      </c>
      <c r="N15" s="3248">
        <v>9</v>
      </c>
      <c r="O15" s="3248"/>
      <c r="P15" s="3476">
        <f t="shared" si="3"/>
        <v>9</v>
      </c>
      <c r="Q15" s="3495">
        <f>R15/1.06</f>
        <v>25000</v>
      </c>
      <c r="R15" s="3249">
        <f>25000*1.06</f>
        <v>26500</v>
      </c>
      <c r="S15" s="1695">
        <f t="shared" si="5"/>
        <v>29680</v>
      </c>
      <c r="T15" s="3264">
        <f>ROUND(P15*S15,2)</f>
        <v>267120</v>
      </c>
      <c r="U15" s="3264"/>
      <c r="V15" s="3264">
        <f t="shared" si="6"/>
        <v>267120</v>
      </c>
      <c r="W15" s="3194"/>
      <c r="X15" s="1759"/>
      <c r="Y15" s="1788"/>
      <c r="Z15" s="1759"/>
      <c r="AA15" s="3194"/>
      <c r="AB15" s="1759"/>
      <c r="AC15" s="1788"/>
      <c r="AD15" s="1759"/>
      <c r="AF15" s="1755">
        <v>1.1200000000000001</v>
      </c>
      <c r="AG15" s="1755"/>
      <c r="AH15" s="1755"/>
      <c r="AI15" s="1755"/>
      <c r="AJ15" s="1755"/>
      <c r="AK15" s="1755"/>
      <c r="AL15" s="1755"/>
      <c r="AM15" s="1755"/>
      <c r="AN15" s="1755"/>
      <c r="AO15" s="1755"/>
    </row>
    <row r="16" spans="1:41" ht="63.75">
      <c r="A16" s="3248">
        <v>4</v>
      </c>
      <c r="B16" s="3617" t="s">
        <v>3137</v>
      </c>
      <c r="C16" s="3547" t="s">
        <v>3138</v>
      </c>
      <c r="D16" s="3547" t="s">
        <v>2254</v>
      </c>
      <c r="E16" s="3248">
        <v>16815.8</v>
      </c>
      <c r="F16" s="3605"/>
      <c r="G16" s="3248">
        <v>16815.8</v>
      </c>
      <c r="H16" s="3036"/>
      <c r="I16" s="3242"/>
      <c r="J16" s="3242"/>
      <c r="K16" s="3242"/>
      <c r="L16" s="3004">
        <v>7000</v>
      </c>
      <c r="M16" s="3242"/>
      <c r="N16" s="3242"/>
      <c r="O16" s="3242"/>
      <c r="P16" s="3476">
        <f t="shared" si="3"/>
        <v>7000</v>
      </c>
      <c r="Q16" s="3485">
        <v>9</v>
      </c>
      <c r="R16" s="3485">
        <f>Q16*1.06</f>
        <v>9.5400000000000009</v>
      </c>
      <c r="S16" s="3611">
        <f>R16*1.12</f>
        <v>10.684800000000003</v>
      </c>
      <c r="T16" s="3264">
        <f>ROUND(P16*S16,2)</f>
        <v>74793.600000000006</v>
      </c>
      <c r="U16" s="1818"/>
      <c r="V16" s="3264">
        <f t="shared" si="6"/>
        <v>74793.600000000006</v>
      </c>
    </row>
    <row r="17" spans="1:22" ht="127.5">
      <c r="A17" s="3248">
        <v>5</v>
      </c>
      <c r="B17" s="3617" t="s">
        <v>3139</v>
      </c>
      <c r="C17" s="3547" t="s">
        <v>3140</v>
      </c>
      <c r="D17" s="3567" t="s">
        <v>1022</v>
      </c>
      <c r="E17" s="3248">
        <v>16815.8</v>
      </c>
      <c r="F17" s="3242"/>
      <c r="G17" s="3248">
        <v>16815.8</v>
      </c>
      <c r="H17" s="3242"/>
      <c r="I17" s="3242"/>
      <c r="J17" s="3242"/>
      <c r="K17" s="3242"/>
      <c r="L17" s="3004">
        <v>50</v>
      </c>
      <c r="M17" s="3242"/>
      <c r="N17" s="3242"/>
      <c r="O17" s="3242"/>
      <c r="P17" s="3476">
        <f t="shared" si="3"/>
        <v>50</v>
      </c>
      <c r="Q17" s="3485">
        <v>950</v>
      </c>
      <c r="R17" s="3485">
        <f t="shared" ref="R17:R21" si="9">Q17*1.06</f>
        <v>1007</v>
      </c>
      <c r="S17" s="3485">
        <f t="shared" ref="S17:S21" si="10">R17*1.12</f>
        <v>1127.8400000000001</v>
      </c>
      <c r="T17" s="3264">
        <f t="shared" ref="T17:T21" si="11">ROUND(P17*S17,2)</f>
        <v>56392</v>
      </c>
      <c r="U17" s="1818"/>
      <c r="V17" s="3264">
        <f t="shared" si="6"/>
        <v>56392</v>
      </c>
    </row>
    <row r="18" spans="1:22" ht="51">
      <c r="A18" s="3248">
        <v>6</v>
      </c>
      <c r="B18" s="3617" t="s">
        <v>3141</v>
      </c>
      <c r="C18" s="3547" t="s">
        <v>3141</v>
      </c>
      <c r="D18" s="3567" t="s">
        <v>1290</v>
      </c>
      <c r="E18" s="3248">
        <v>16815.8</v>
      </c>
      <c r="F18" s="3242"/>
      <c r="G18" s="3248">
        <v>16815.8</v>
      </c>
      <c r="H18" s="3242"/>
      <c r="I18" s="3242"/>
      <c r="J18" s="3242"/>
      <c r="K18" s="3242"/>
      <c r="L18" s="3004">
        <v>50</v>
      </c>
      <c r="M18" s="3242"/>
      <c r="N18" s="3242"/>
      <c r="O18" s="3242"/>
      <c r="P18" s="3476">
        <f t="shared" si="3"/>
        <v>50</v>
      </c>
      <c r="Q18" s="3485">
        <v>575</v>
      </c>
      <c r="R18" s="3485">
        <f t="shared" si="9"/>
        <v>609.5</v>
      </c>
      <c r="S18" s="3485">
        <f t="shared" si="10"/>
        <v>682.6400000000001</v>
      </c>
      <c r="T18" s="3264">
        <f t="shared" si="11"/>
        <v>34132</v>
      </c>
      <c r="U18" s="1818"/>
      <c r="V18" s="3264">
        <f t="shared" si="6"/>
        <v>34132</v>
      </c>
    </row>
    <row r="19" spans="1:22" ht="51">
      <c r="A19" s="3248">
        <v>7</v>
      </c>
      <c r="B19" s="3617" t="s">
        <v>1901</v>
      </c>
      <c r="C19" s="3547" t="s">
        <v>3142</v>
      </c>
      <c r="D19" s="3567" t="s">
        <v>2887</v>
      </c>
      <c r="E19" s="3248">
        <v>16815.8</v>
      </c>
      <c r="F19" s="3606"/>
      <c r="G19" s="3248">
        <v>16815.8</v>
      </c>
      <c r="H19" s="3595"/>
      <c r="I19" s="3242"/>
      <c r="J19" s="3242"/>
      <c r="K19" s="3242"/>
      <c r="L19" s="3004">
        <v>35</v>
      </c>
      <c r="M19" s="3242"/>
      <c r="N19" s="3242"/>
      <c r="O19" s="3242"/>
      <c r="P19" s="3476">
        <f t="shared" si="3"/>
        <v>35</v>
      </c>
      <c r="Q19" s="3485">
        <v>620</v>
      </c>
      <c r="R19" s="3485">
        <f t="shared" si="9"/>
        <v>657.2</v>
      </c>
      <c r="S19" s="3611">
        <f t="shared" si="10"/>
        <v>736.06400000000008</v>
      </c>
      <c r="T19" s="3264">
        <f t="shared" si="11"/>
        <v>25762.240000000002</v>
      </c>
      <c r="U19" s="1818"/>
      <c r="V19" s="3264">
        <f t="shared" si="6"/>
        <v>25762.240000000002</v>
      </c>
    </row>
    <row r="20" spans="1:22" ht="25.5">
      <c r="A20" s="3248">
        <v>8</v>
      </c>
      <c r="B20" s="3547" t="s">
        <v>3143</v>
      </c>
      <c r="C20" s="3547" t="s">
        <v>3144</v>
      </c>
      <c r="D20" s="3567" t="s">
        <v>2253</v>
      </c>
      <c r="E20" s="3248">
        <v>16815.8</v>
      </c>
      <c r="F20" s="3607"/>
      <c r="G20" s="3248">
        <v>16815.8</v>
      </c>
      <c r="H20" s="3607"/>
      <c r="I20" s="3242"/>
      <c r="J20" s="3242"/>
      <c r="K20" s="3242"/>
      <c r="L20" s="3004">
        <v>25</v>
      </c>
      <c r="M20" s="3242"/>
      <c r="N20" s="3242"/>
      <c r="O20" s="3242"/>
      <c r="P20" s="3476">
        <f t="shared" si="3"/>
        <v>25</v>
      </c>
      <c r="Q20" s="3264">
        <v>1950</v>
      </c>
      <c r="R20" s="3264">
        <f t="shared" si="9"/>
        <v>2067</v>
      </c>
      <c r="S20" s="3264">
        <f t="shared" si="10"/>
        <v>2315.0400000000004</v>
      </c>
      <c r="T20" s="3264">
        <f t="shared" si="11"/>
        <v>57876</v>
      </c>
      <c r="U20" s="1818"/>
      <c r="V20" s="3264">
        <f t="shared" si="6"/>
        <v>57876</v>
      </c>
    </row>
    <row r="21" spans="1:22" ht="12.75">
      <c r="A21" s="3248">
        <v>9</v>
      </c>
      <c r="B21" s="3547" t="s">
        <v>3145</v>
      </c>
      <c r="C21" s="3547" t="s">
        <v>3145</v>
      </c>
      <c r="D21" s="3567" t="s">
        <v>1022</v>
      </c>
      <c r="E21" s="3248">
        <v>16815.8</v>
      </c>
      <c r="F21" s="3608"/>
      <c r="G21" s="3248">
        <v>16815.8</v>
      </c>
      <c r="H21" s="3609"/>
      <c r="I21" s="3242"/>
      <c r="J21" s="3242"/>
      <c r="K21" s="3242"/>
      <c r="L21" s="3610">
        <v>2</v>
      </c>
      <c r="M21" s="3242"/>
      <c r="N21" s="3242"/>
      <c r="O21" s="3242"/>
      <c r="P21" s="3214">
        <f t="shared" si="3"/>
        <v>2</v>
      </c>
      <c r="Q21" s="3264">
        <v>7500</v>
      </c>
      <c r="R21" s="3264">
        <f t="shared" si="9"/>
        <v>7950</v>
      </c>
      <c r="S21" s="3264">
        <f t="shared" si="10"/>
        <v>8904</v>
      </c>
      <c r="T21" s="3264">
        <f t="shared" si="11"/>
        <v>17808</v>
      </c>
      <c r="U21" s="3242"/>
      <c r="V21" s="3264">
        <f t="shared" si="6"/>
        <v>17808</v>
      </c>
    </row>
    <row r="22" spans="1:22" ht="12.75">
      <c r="B22" s="3598"/>
      <c r="C22" s="3598"/>
      <c r="D22" s="3007"/>
      <c r="E22" s="3007"/>
      <c r="F22" s="3368"/>
      <c r="G22" s="3368"/>
      <c r="H22" s="3369"/>
    </row>
    <row r="23" spans="1:22" ht="12.75">
      <c r="B23" s="2165" t="s">
        <v>368</v>
      </c>
      <c r="C23" s="3330"/>
      <c r="D23" s="3330"/>
      <c r="E23" s="3331"/>
      <c r="F23" s="3331"/>
      <c r="G23" s="3331"/>
      <c r="H23" s="2983"/>
      <c r="I23" s="2983"/>
      <c r="J23" s="2098" t="s">
        <v>371</v>
      </c>
      <c r="K23" s="2983"/>
    </row>
    <row r="24" spans="1:22" ht="12.75">
      <c r="B24" s="2165" t="s">
        <v>370</v>
      </c>
      <c r="C24" s="3330"/>
      <c r="D24" s="3330"/>
      <c r="E24" s="3331"/>
      <c r="F24" s="3331"/>
      <c r="G24" s="3331"/>
      <c r="H24" s="2983"/>
      <c r="I24" s="2983"/>
      <c r="J24" s="3465"/>
      <c r="K24" s="2983"/>
    </row>
    <row r="25" spans="1:22" ht="12.75">
      <c r="B25" s="2165"/>
      <c r="C25" s="3330"/>
      <c r="D25" s="3330"/>
      <c r="E25" s="3330"/>
      <c r="F25" s="3294"/>
      <c r="G25" s="3294"/>
      <c r="H25" s="2983"/>
      <c r="I25" s="2983"/>
      <c r="J25" s="3465"/>
      <c r="K25" s="2983"/>
      <c r="V25" s="3615">
        <f>V16+V17+V18+V19+V20+'пр запасы мб 2.03.09.'!T13+'пр запасы мб 2.03.09.'!T14+'пр запасы мб 2.03.09.'!T15+'пр запасы мб 2.03.09.'!T16+'пр запасы мб 2.03.09.'!T17</f>
        <v>455157.93999999994</v>
      </c>
    </row>
    <row r="26" spans="1:22" ht="12.75">
      <c r="B26" s="2042" t="s">
        <v>451</v>
      </c>
      <c r="C26" s="3330"/>
      <c r="D26" s="3330"/>
      <c r="E26" s="3330"/>
      <c r="F26" s="3330"/>
      <c r="G26" s="3330"/>
      <c r="H26" s="2983"/>
      <c r="I26" s="2983"/>
      <c r="J26" s="2098" t="s">
        <v>452</v>
      </c>
      <c r="K26" s="2983"/>
    </row>
    <row r="27" spans="1:22" ht="12.75">
      <c r="B27" s="2165"/>
      <c r="C27" s="3330"/>
      <c r="D27" s="3330"/>
      <c r="E27" s="3330"/>
      <c r="F27" s="3332"/>
      <c r="G27" s="3332"/>
      <c r="H27" s="2983"/>
      <c r="I27" s="2983"/>
      <c r="J27" s="3465"/>
      <c r="K27" s="2983"/>
    </row>
    <row r="28" spans="1:22" ht="12.75">
      <c r="B28" s="2165" t="s">
        <v>375</v>
      </c>
      <c r="C28" s="3332"/>
      <c r="D28" s="3332"/>
      <c r="E28" s="3332"/>
      <c r="F28" s="3330"/>
      <c r="G28" s="3330"/>
      <c r="H28" s="2983"/>
      <c r="I28" s="2983"/>
      <c r="J28" s="2098" t="s">
        <v>377</v>
      </c>
      <c r="K28" s="2983"/>
    </row>
    <row r="29" spans="1:22">
      <c r="B29" s="2357"/>
      <c r="C29" s="2366"/>
      <c r="D29" s="2357"/>
      <c r="E29" s="2357"/>
      <c r="F29" s="2357"/>
      <c r="G29" s="2357"/>
      <c r="H29" s="2983"/>
      <c r="I29" s="2983"/>
      <c r="J29" s="2983"/>
      <c r="K29" s="2983"/>
    </row>
    <row r="33" spans="2:3">
      <c r="B33" s="1749"/>
    </row>
    <row r="34" spans="2:3">
      <c r="B34" s="1749"/>
    </row>
    <row r="35" spans="2:3">
      <c r="B35" s="1749"/>
    </row>
    <row r="36" spans="2:3">
      <c r="B36" s="1749"/>
    </row>
    <row r="37" spans="2:3">
      <c r="B37" s="1749"/>
    </row>
    <row r="38" spans="2:3">
      <c r="B38" s="1749"/>
    </row>
    <row r="39" spans="2:3">
      <c r="B39" s="1749"/>
    </row>
    <row r="40" spans="2:3">
      <c r="B40" s="1749"/>
    </row>
    <row r="41" spans="2:3">
      <c r="B41" s="1749"/>
    </row>
    <row r="42" spans="2:3">
      <c r="B42" s="1749"/>
    </row>
    <row r="43" spans="2:3">
      <c r="B43" s="1749"/>
    </row>
    <row r="44" spans="2:3">
      <c r="B44" s="1749"/>
    </row>
    <row r="47" spans="2:3">
      <c r="B47" s="1781"/>
      <c r="C47" s="1780"/>
    </row>
  </sheetData>
  <sheetProtection formatColumns="0" insertRows="0" deleteRows="0"/>
  <mergeCells count="20">
    <mergeCell ref="A7:A8"/>
    <mergeCell ref="B7:B8"/>
    <mergeCell ref="C7:C8"/>
    <mergeCell ref="D7:D8"/>
    <mergeCell ref="E7:E8"/>
    <mergeCell ref="S7:S8"/>
    <mergeCell ref="AB7:AB8"/>
    <mergeCell ref="Y7:Z7"/>
    <mergeCell ref="AC7:AD7"/>
    <mergeCell ref="F7:G7"/>
    <mergeCell ref="H7:H8"/>
    <mergeCell ref="I7:K7"/>
    <mergeCell ref="L7:P7"/>
    <mergeCell ref="Q7:Q8"/>
    <mergeCell ref="T7:T8"/>
    <mergeCell ref="U7:V7"/>
    <mergeCell ref="W7:W8"/>
    <mergeCell ref="X7:X8"/>
    <mergeCell ref="AA7:AA8"/>
    <mergeCell ref="R7:R8"/>
  </mergeCells>
  <dataValidations count="1">
    <dataValidation allowBlank="1" showInputMessage="1" showErrorMessage="1" prompt="Укажите &quot;Краткую характеристику ТРУ&quot;" sqref="C10" xr:uid="{00000000-0002-0000-3D00-000000000000}"/>
  </dataValidations>
  <pageMargins left="0" right="0" top="0" bottom="0" header="0" footer="0"/>
  <pageSetup paperSize="9" scale="57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rgb="FFFF0000"/>
    <pageSetUpPr fitToPage="1"/>
  </sheetPr>
  <dimension ref="A1:BA117"/>
  <sheetViews>
    <sheetView topLeftCell="A23" workbookViewId="0">
      <selection activeCell="M110" sqref="M110"/>
    </sheetView>
  </sheetViews>
  <sheetFormatPr defaultColWidth="9.140625" defaultRowHeight="12.75"/>
  <cols>
    <col min="1" max="1" width="5.5703125" style="1580" customWidth="1"/>
    <col min="2" max="2" width="26" style="1580" customWidth="1"/>
    <col min="3" max="3" width="38.85546875" style="357" customWidth="1"/>
    <col min="4" max="4" width="8.28515625" style="1580" customWidth="1"/>
    <col min="5" max="5" width="10.42578125" style="1580" customWidth="1"/>
    <col min="6" max="6" width="6.140625" style="1580" customWidth="1"/>
    <col min="7" max="7" width="7.5703125" style="1580" customWidth="1"/>
    <col min="8" max="8" width="13.7109375" style="1580" customWidth="1"/>
    <col min="9" max="9" width="9.140625" style="1580" customWidth="1"/>
    <col min="10" max="10" width="9.85546875" style="1580" customWidth="1"/>
    <col min="11" max="11" width="13.7109375" style="1580" customWidth="1"/>
    <col min="12" max="12" width="16" style="1580" customWidth="1"/>
    <col min="13" max="13" width="14.28515625" style="1580" customWidth="1"/>
    <col min="14" max="14" width="15.140625" style="1580" customWidth="1"/>
    <col min="15" max="15" width="13" style="1580" customWidth="1"/>
    <col min="16" max="16" width="10.42578125" style="1580" customWidth="1"/>
    <col min="17" max="17" width="14.85546875" style="1580" customWidth="1"/>
    <col min="18" max="20" width="21" style="1580" customWidth="1"/>
    <col min="21" max="21" width="12.7109375" style="1580" customWidth="1"/>
    <col min="22" max="22" width="11.85546875" style="1580" customWidth="1"/>
    <col min="23" max="23" width="11.7109375" style="1580" customWidth="1"/>
    <col min="24" max="24" width="11.85546875" style="1580" customWidth="1"/>
    <col min="25" max="25" width="9.140625" style="1580"/>
    <col min="26" max="26" width="10.140625" style="1580" customWidth="1"/>
    <col min="27" max="28" width="9.140625" style="1580"/>
    <col min="29" max="29" width="10.42578125" style="1580" customWidth="1"/>
    <col min="30" max="16384" width="9.140625" style="1580"/>
  </cols>
  <sheetData>
    <row r="1" spans="1:53">
      <c r="S1" s="1580" t="s">
        <v>267</v>
      </c>
      <c r="T1" s="357" t="s">
        <v>596</v>
      </c>
    </row>
    <row r="2" spans="1:53" s="1636" customFormat="1">
      <c r="A2" s="1595" t="s">
        <v>1188</v>
      </c>
      <c r="C2" s="924"/>
      <c r="Q2" s="1636">
        <v>1.07</v>
      </c>
    </row>
    <row r="3" spans="1:53">
      <c r="A3" s="120"/>
      <c r="D3" s="1580" t="s">
        <v>1189</v>
      </c>
    </row>
    <row r="4" spans="1:53" s="1636" customFormat="1">
      <c r="A4" s="1644" t="s">
        <v>1190</v>
      </c>
      <c r="C4" s="924"/>
    </row>
    <row r="5" spans="1:53">
      <c r="A5" s="1580" t="s">
        <v>990</v>
      </c>
    </row>
    <row r="7" spans="1:53" ht="30" customHeight="1">
      <c r="A7" s="4003" t="s">
        <v>2</v>
      </c>
      <c r="B7" s="4003" t="s">
        <v>478</v>
      </c>
      <c r="C7" s="4003" t="s">
        <v>995</v>
      </c>
      <c r="D7" s="4003" t="s">
        <v>996</v>
      </c>
      <c r="E7" s="4003" t="s">
        <v>1191</v>
      </c>
      <c r="F7" s="4003" t="s">
        <v>255</v>
      </c>
      <c r="G7" s="4003"/>
      <c r="H7" s="4007" t="s">
        <v>1192</v>
      </c>
      <c r="I7" s="4004" t="s">
        <v>1193</v>
      </c>
      <c r="J7" s="4005"/>
      <c r="K7" s="4006"/>
      <c r="L7" s="4004" t="s">
        <v>922</v>
      </c>
      <c r="M7" s="4005"/>
      <c r="N7" s="4005"/>
      <c r="O7" s="4005"/>
      <c r="P7" s="4006"/>
      <c r="Q7" s="4003" t="s">
        <v>999</v>
      </c>
      <c r="R7" s="4003" t="s">
        <v>345</v>
      </c>
      <c r="S7" s="4004" t="s">
        <v>1001</v>
      </c>
      <c r="T7" s="4006"/>
      <c r="U7" s="4015" t="s">
        <v>3146</v>
      </c>
      <c r="V7" s="4012" t="s">
        <v>3147</v>
      </c>
      <c r="W7" s="4090" t="s">
        <v>3148</v>
      </c>
      <c r="X7" s="4022" t="s">
        <v>2170</v>
      </c>
      <c r="Y7" s="4012" t="s">
        <v>3149</v>
      </c>
      <c r="Z7" s="4012" t="s">
        <v>3150</v>
      </c>
      <c r="AA7" s="4012" t="s">
        <v>3151</v>
      </c>
      <c r="AB7" s="4012" t="s">
        <v>3152</v>
      </c>
      <c r="AC7" s="4012" t="s">
        <v>3153</v>
      </c>
      <c r="AD7" s="4012" t="s">
        <v>3154</v>
      </c>
    </row>
    <row r="8" spans="1:53" ht="76.5">
      <c r="A8" s="4003"/>
      <c r="B8" s="4003"/>
      <c r="C8" s="4003"/>
      <c r="D8" s="4003"/>
      <c r="E8" s="4003"/>
      <c r="F8" s="1601" t="s">
        <v>7</v>
      </c>
      <c r="G8" s="1601" t="s">
        <v>8</v>
      </c>
      <c r="H8" s="4008"/>
      <c r="I8" s="1601" t="s">
        <v>7</v>
      </c>
      <c r="J8" s="1601" t="s">
        <v>8</v>
      </c>
      <c r="K8" s="1601" t="s">
        <v>1096</v>
      </c>
      <c r="L8" s="1601" t="s">
        <v>1099</v>
      </c>
      <c r="M8" s="1601" t="s">
        <v>1194</v>
      </c>
      <c r="N8" s="1601" t="s">
        <v>1011</v>
      </c>
      <c r="O8" s="1601" t="s">
        <v>1012</v>
      </c>
      <c r="P8" s="1601" t="s">
        <v>1013</v>
      </c>
      <c r="Q8" s="4003"/>
      <c r="R8" s="4003"/>
      <c r="S8" s="1603" t="s">
        <v>7</v>
      </c>
      <c r="T8" s="1603" t="s">
        <v>8</v>
      </c>
      <c r="U8" s="4015"/>
      <c r="V8" s="4012"/>
      <c r="W8" s="4090"/>
      <c r="X8" s="4022"/>
      <c r="Y8" s="4012"/>
      <c r="Z8" s="4012"/>
      <c r="AA8" s="4012"/>
      <c r="AB8" s="4012"/>
      <c r="AC8" s="4012"/>
      <c r="AD8" s="4012"/>
      <c r="AE8" s="4012" t="s">
        <v>3155</v>
      </c>
      <c r="AF8" s="4012" t="s">
        <v>3156</v>
      </c>
      <c r="AG8" s="364" t="s">
        <v>3157</v>
      </c>
      <c r="AH8" s="364" t="s">
        <v>3158</v>
      </c>
      <c r="AI8" s="364" t="s">
        <v>3159</v>
      </c>
      <c r="AJ8" s="364" t="s">
        <v>3160</v>
      </c>
      <c r="AK8" s="364" t="s">
        <v>2176</v>
      </c>
      <c r="AL8" s="1578" t="s">
        <v>2177</v>
      </c>
      <c r="AM8" s="364" t="s">
        <v>2178</v>
      </c>
      <c r="AN8" s="364" t="s">
        <v>2175</v>
      </c>
      <c r="AO8" s="364" t="s">
        <v>3161</v>
      </c>
      <c r="AP8" s="364" t="s">
        <v>3162</v>
      </c>
      <c r="AQ8" s="364" t="s">
        <v>2177</v>
      </c>
      <c r="AR8" s="364" t="s">
        <v>2178</v>
      </c>
      <c r="AS8" s="364" t="s">
        <v>2175</v>
      </c>
      <c r="AT8" s="364" t="s">
        <v>3163</v>
      </c>
      <c r="AU8" s="364" t="s">
        <v>3164</v>
      </c>
      <c r="AV8" s="364" t="s">
        <v>2181</v>
      </c>
      <c r="AW8" s="364" t="s">
        <v>3165</v>
      </c>
      <c r="AX8" s="364" t="s">
        <v>3166</v>
      </c>
      <c r="AY8" s="364" t="s">
        <v>2181</v>
      </c>
      <c r="AZ8" s="364" t="s">
        <v>3167</v>
      </c>
      <c r="BA8" s="364" t="s">
        <v>3168</v>
      </c>
    </row>
    <row r="9" spans="1:53" ht="13.5">
      <c r="A9" s="1604"/>
      <c r="B9" s="1605" t="s">
        <v>306</v>
      </c>
      <c r="C9" s="1606"/>
      <c r="D9" s="1604"/>
      <c r="E9" s="1607">
        <f t="shared" ref="E9:Q9" si="0">SUM(E11:E55)</f>
        <v>169400</v>
      </c>
      <c r="F9" s="1607">
        <f t="shared" si="0"/>
        <v>0</v>
      </c>
      <c r="G9" s="1607">
        <f t="shared" si="0"/>
        <v>0</v>
      </c>
      <c r="H9" s="1607">
        <f t="shared" si="0"/>
        <v>0</v>
      </c>
      <c r="I9" s="1607">
        <f t="shared" si="0"/>
        <v>180</v>
      </c>
      <c r="J9" s="1607">
        <f t="shared" si="0"/>
        <v>8580</v>
      </c>
      <c r="K9" s="1607">
        <f t="shared" si="0"/>
        <v>703</v>
      </c>
      <c r="L9" s="1607">
        <f t="shared" si="0"/>
        <v>17665</v>
      </c>
      <c r="M9" s="1607">
        <f t="shared" si="0"/>
        <v>16581.346666666665</v>
      </c>
      <c r="N9" s="1607">
        <f t="shared" si="0"/>
        <v>0</v>
      </c>
      <c r="O9" s="1607">
        <f t="shared" si="0"/>
        <v>0</v>
      </c>
      <c r="P9" s="1607">
        <f t="shared" si="0"/>
        <v>17665</v>
      </c>
      <c r="Q9" s="1607">
        <f t="shared" si="0"/>
        <v>79572.69</v>
      </c>
      <c r="R9" s="1608">
        <f>R10+R41+R95</f>
        <v>7854858.2299999995</v>
      </c>
      <c r="S9" s="1608">
        <f>S10+S41+S95</f>
        <v>232722.26373398496</v>
      </c>
      <c r="T9" s="1608">
        <f>T10+T41+T95</f>
        <v>7622135.9662660155</v>
      </c>
      <c r="U9" s="4015"/>
      <c r="V9" s="4012"/>
      <c r="W9" s="4090"/>
      <c r="X9" s="4022"/>
      <c r="Y9" s="4012"/>
      <c r="Z9" s="4012"/>
      <c r="AA9" s="4012"/>
      <c r="AB9" s="4012"/>
      <c r="AC9" s="4012"/>
      <c r="AD9" s="4012"/>
      <c r="AE9" s="4012"/>
      <c r="AF9" s="4012"/>
    </row>
    <row r="10" spans="1:53" ht="13.5">
      <c r="A10" s="1604"/>
      <c r="B10" s="1605" t="s">
        <v>1195</v>
      </c>
      <c r="C10" s="1606"/>
      <c r="D10" s="1604"/>
      <c r="E10" s="1607"/>
      <c r="F10" s="1607"/>
      <c r="G10" s="1607"/>
      <c r="H10" s="1607"/>
      <c r="I10" s="1607"/>
      <c r="J10" s="1607"/>
      <c r="K10" s="1607"/>
      <c r="L10" s="1607"/>
      <c r="M10" s="1607"/>
      <c r="N10" s="1607"/>
      <c r="O10" s="1607"/>
      <c r="P10" s="1607"/>
      <c r="Q10" s="1607"/>
      <c r="R10" s="1608">
        <f>SUM(R11:R38)</f>
        <v>1554666.13</v>
      </c>
      <c r="S10" s="1608">
        <f>SUM(S11:S38)</f>
        <v>44656.827913089415</v>
      </c>
      <c r="T10" s="1608">
        <f>SUM(T11:T38)</f>
        <v>1510009.3020869107</v>
      </c>
      <c r="U10" s="4015"/>
      <c r="V10" s="4012"/>
      <c r="W10" s="4090"/>
      <c r="X10" s="4022"/>
      <c r="Y10" s="4012"/>
      <c r="Z10" s="4012"/>
      <c r="AA10" s="4012"/>
      <c r="AB10" s="4012"/>
      <c r="AC10" s="4012"/>
      <c r="AD10" s="4012"/>
      <c r="AE10" s="4012"/>
      <c r="AF10" s="4012"/>
    </row>
    <row r="11" spans="1:53" ht="25.5" hidden="1" customHeight="1">
      <c r="A11" s="1609">
        <v>12</v>
      </c>
      <c r="B11" s="1056" t="s">
        <v>1199</v>
      </c>
      <c r="C11" s="917" t="s">
        <v>1200</v>
      </c>
      <c r="D11" s="1609" t="s">
        <v>1022</v>
      </c>
      <c r="E11" s="1581">
        <f>F11+G11</f>
        <v>0</v>
      </c>
      <c r="F11" s="1609"/>
      <c r="G11" s="1609"/>
      <c r="H11" s="1609"/>
      <c r="I11" s="1609"/>
      <c r="J11" s="1609"/>
      <c r="K11" s="1609"/>
      <c r="L11" s="1581"/>
      <c r="M11" s="1581"/>
      <c r="N11" s="1609"/>
      <c r="O11" s="1609"/>
      <c r="P11" s="1581">
        <f t="shared" ref="P11:P19" si="1">L11-O11</f>
        <v>0</v>
      </c>
      <c r="Q11" s="1610"/>
      <c r="R11" s="1611">
        <f t="shared" ref="R11:R19" si="2">P11*Q11</f>
        <v>0</v>
      </c>
      <c r="S11" s="1611"/>
      <c r="T11" s="1611"/>
      <c r="AE11" s="4012"/>
      <c r="AF11" s="4012"/>
    </row>
    <row r="12" spans="1:53" ht="51">
      <c r="A12" s="1609">
        <v>1</v>
      </c>
      <c r="B12" s="1056" t="s">
        <v>1201</v>
      </c>
      <c r="C12" s="917" t="s">
        <v>1202</v>
      </c>
      <c r="D12" s="1056" t="s">
        <v>1203</v>
      </c>
      <c r="E12" s="4091">
        <v>12100</v>
      </c>
      <c r="F12" s="1609"/>
      <c r="G12" s="1609"/>
      <c r="H12" s="1609"/>
      <c r="I12" s="1609">
        <v>6</v>
      </c>
      <c r="J12" s="1609">
        <v>195</v>
      </c>
      <c r="K12" s="1609"/>
      <c r="L12" s="1056">
        <v>121</v>
      </c>
      <c r="M12" s="1056">
        <f>Y12</f>
        <v>121</v>
      </c>
      <c r="N12" s="1609"/>
      <c r="O12" s="1609"/>
      <c r="P12" s="1581">
        <f t="shared" si="1"/>
        <v>121</v>
      </c>
      <c r="Q12" s="1610">
        <f>100*1.07</f>
        <v>107</v>
      </c>
      <c r="R12" s="1611">
        <f t="shared" si="2"/>
        <v>12947</v>
      </c>
      <c r="S12" s="1611">
        <f t="shared" ref="S12:S19" si="3">R12*(I12/(I12+J12+K12))</f>
        <v>386.47761194029852</v>
      </c>
      <c r="T12" s="1611">
        <f t="shared" ref="T12:T19" si="4">R12-S12</f>
        <v>12560.522388059702</v>
      </c>
      <c r="U12" s="1580">
        <v>12100</v>
      </c>
      <c r="V12" s="1600">
        <v>22739</v>
      </c>
      <c r="W12" s="1580">
        <v>500</v>
      </c>
      <c r="Y12" s="1580">
        <f>ROUND(U12/W12*0.2*5/0.2,0)</f>
        <v>121</v>
      </c>
      <c r="Z12" s="1580">
        <f>ROUND(V12/W12*0.2*5/0.2,0)</f>
        <v>227</v>
      </c>
    </row>
    <row r="13" spans="1:53" ht="38.25" hidden="1" customHeight="1">
      <c r="A13" s="1609">
        <v>2</v>
      </c>
      <c r="B13" s="1056" t="s">
        <v>3169</v>
      </c>
      <c r="C13" s="917" t="s">
        <v>1205</v>
      </c>
      <c r="D13" s="1056" t="s">
        <v>1203</v>
      </c>
      <c r="E13" s="4092"/>
      <c r="F13" s="1609"/>
      <c r="G13" s="1609"/>
      <c r="H13" s="1609"/>
      <c r="I13" s="1609">
        <v>6</v>
      </c>
      <c r="J13" s="1609">
        <v>195</v>
      </c>
      <c r="K13" s="1609"/>
      <c r="L13" s="1583"/>
      <c r="M13" s="1583"/>
      <c r="N13" s="1609"/>
      <c r="O13" s="1609"/>
      <c r="P13" s="1581">
        <f t="shared" si="1"/>
        <v>0</v>
      </c>
      <c r="Q13" s="1610"/>
      <c r="R13" s="1611">
        <f t="shared" si="2"/>
        <v>0</v>
      </c>
      <c r="S13" s="1611">
        <f t="shared" si="3"/>
        <v>0</v>
      </c>
      <c r="T13" s="1611">
        <f t="shared" si="4"/>
        <v>0</v>
      </c>
    </row>
    <row r="14" spans="1:53" ht="63.75" hidden="1" customHeight="1">
      <c r="A14" s="1609">
        <v>3</v>
      </c>
      <c r="B14" s="1056" t="s">
        <v>3170</v>
      </c>
      <c r="C14" s="917" t="s">
        <v>1207</v>
      </c>
      <c r="D14" s="1056" t="s">
        <v>1203</v>
      </c>
      <c r="E14" s="4092"/>
      <c r="F14" s="1609"/>
      <c r="G14" s="1609"/>
      <c r="H14" s="1609"/>
      <c r="I14" s="1609">
        <v>6</v>
      </c>
      <c r="J14" s="1609">
        <v>195</v>
      </c>
      <c r="K14" s="1609"/>
      <c r="L14" s="1583"/>
      <c r="M14" s="1583"/>
      <c r="N14" s="1609"/>
      <c r="O14" s="1609"/>
      <c r="P14" s="1581">
        <f t="shared" si="1"/>
        <v>0</v>
      </c>
      <c r="Q14" s="1610"/>
      <c r="R14" s="1611">
        <f t="shared" si="2"/>
        <v>0</v>
      </c>
      <c r="S14" s="1611">
        <f t="shared" si="3"/>
        <v>0</v>
      </c>
      <c r="T14" s="1611">
        <f t="shared" si="4"/>
        <v>0</v>
      </c>
    </row>
    <row r="15" spans="1:53" ht="91.5" hidden="1" customHeight="1">
      <c r="A15" s="1609">
        <v>4</v>
      </c>
      <c r="B15" s="1056" t="s">
        <v>3171</v>
      </c>
      <c r="C15" s="917" t="s">
        <v>1209</v>
      </c>
      <c r="D15" s="1056" t="s">
        <v>1203</v>
      </c>
      <c r="E15" s="4092"/>
      <c r="F15" s="1609"/>
      <c r="G15" s="1609"/>
      <c r="H15" s="1609"/>
      <c r="I15" s="1609">
        <v>6</v>
      </c>
      <c r="J15" s="1609">
        <v>195</v>
      </c>
      <c r="K15" s="1609"/>
      <c r="L15" s="1583"/>
      <c r="M15" s="1583"/>
      <c r="N15" s="1609"/>
      <c r="O15" s="1609"/>
      <c r="P15" s="1581">
        <f t="shared" si="1"/>
        <v>0</v>
      </c>
      <c r="Q15" s="1610"/>
      <c r="R15" s="1611">
        <f t="shared" si="2"/>
        <v>0</v>
      </c>
      <c r="S15" s="1611">
        <f t="shared" si="3"/>
        <v>0</v>
      </c>
      <c r="T15" s="1611">
        <f t="shared" si="4"/>
        <v>0</v>
      </c>
    </row>
    <row r="16" spans="1:53" ht="51">
      <c r="A16" s="1609">
        <v>5</v>
      </c>
      <c r="B16" s="1056" t="s">
        <v>1210</v>
      </c>
      <c r="C16" s="917" t="s">
        <v>1211</v>
      </c>
      <c r="D16" s="1609" t="s">
        <v>1022</v>
      </c>
      <c r="E16" s="4092"/>
      <c r="F16" s="1609"/>
      <c r="G16" s="1609"/>
      <c r="H16" s="1609"/>
      <c r="I16" s="1609">
        <v>6</v>
      </c>
      <c r="J16" s="1609">
        <v>195</v>
      </c>
      <c r="K16" s="1609"/>
      <c r="L16" s="1581">
        <v>300</v>
      </c>
      <c r="M16" s="1581"/>
      <c r="N16" s="1609"/>
      <c r="O16" s="1609"/>
      <c r="P16" s="1581">
        <f t="shared" si="1"/>
        <v>300</v>
      </c>
      <c r="Q16" s="1610">
        <f>135*1.07</f>
        <v>144.45000000000002</v>
      </c>
      <c r="R16" s="1611">
        <f t="shared" si="2"/>
        <v>43335.000000000007</v>
      </c>
      <c r="S16" s="1611">
        <f t="shared" si="3"/>
        <v>1293.582089552239</v>
      </c>
      <c r="T16" s="1611">
        <f t="shared" si="4"/>
        <v>42041.417910447766</v>
      </c>
    </row>
    <row r="17" spans="1:53" ht="48.75" hidden="1" customHeight="1">
      <c r="A17" s="1609">
        <v>13</v>
      </c>
      <c r="B17" s="1056" t="s">
        <v>1212</v>
      </c>
      <c r="C17" s="917" t="s">
        <v>1213</v>
      </c>
      <c r="D17" s="1609" t="s">
        <v>1022</v>
      </c>
      <c r="E17" s="4092"/>
      <c r="F17" s="1609"/>
      <c r="G17" s="1609"/>
      <c r="H17" s="1609"/>
      <c r="I17" s="1609"/>
      <c r="J17" s="1609">
        <v>195</v>
      </c>
      <c r="K17" s="1609"/>
      <c r="L17" s="1581"/>
      <c r="M17" s="1581"/>
      <c r="N17" s="1609"/>
      <c r="O17" s="1609"/>
      <c r="P17" s="1581">
        <f t="shared" si="1"/>
        <v>0</v>
      </c>
      <c r="Q17" s="1610"/>
      <c r="R17" s="1611">
        <f t="shared" si="2"/>
        <v>0</v>
      </c>
      <c r="S17" s="1611"/>
      <c r="T17" s="1611"/>
    </row>
    <row r="18" spans="1:53" ht="38.25">
      <c r="A18" s="1609">
        <v>6</v>
      </c>
      <c r="B18" s="1056" t="s">
        <v>1214</v>
      </c>
      <c r="C18" s="917" t="s">
        <v>1215</v>
      </c>
      <c r="D18" s="1609" t="s">
        <v>1022</v>
      </c>
      <c r="E18" s="4092"/>
      <c r="F18" s="1609"/>
      <c r="G18" s="1609"/>
      <c r="H18" s="1609"/>
      <c r="I18" s="1609">
        <v>6</v>
      </c>
      <c r="J18" s="1609">
        <v>195</v>
      </c>
      <c r="K18" s="1609"/>
      <c r="L18" s="1581">
        <v>30</v>
      </c>
      <c r="M18" s="1615">
        <f>Y18+AP18+AX18</f>
        <v>30</v>
      </c>
      <c r="N18" s="1609"/>
      <c r="O18" s="1609"/>
      <c r="P18" s="1581">
        <f t="shared" si="1"/>
        <v>30</v>
      </c>
      <c r="Q18" s="1610">
        <f>3500*1.07</f>
        <v>3745</v>
      </c>
      <c r="R18" s="1611">
        <f t="shared" si="2"/>
        <v>112350</v>
      </c>
      <c r="S18" s="1611">
        <f t="shared" si="3"/>
        <v>3353.7313432835822</v>
      </c>
      <c r="T18" s="1611">
        <f t="shared" si="4"/>
        <v>108996.26865671642</v>
      </c>
      <c r="U18" s="1580">
        <v>12100</v>
      </c>
      <c r="V18" s="1600">
        <v>22739</v>
      </c>
      <c r="X18" s="364" t="s">
        <v>2186</v>
      </c>
      <c r="Y18" s="1645">
        <f>ROUND((AG18+AH18)*8/300,0)</f>
        <v>10</v>
      </c>
      <c r="Z18" s="1681">
        <f>(AI18+AJ18)*4/300</f>
        <v>9.0955999999999992</v>
      </c>
      <c r="AG18" s="1580">
        <f>U12/100</f>
        <v>121</v>
      </c>
      <c r="AH18" s="1580">
        <f>U12/50</f>
        <v>242</v>
      </c>
      <c r="AI18" s="1580">
        <f>V18/100</f>
        <v>227.39</v>
      </c>
      <c r="AJ18" s="1580">
        <f>V18/50</f>
        <v>454.78</v>
      </c>
      <c r="AL18" s="1580">
        <v>340</v>
      </c>
      <c r="AM18" s="1580">
        <f>AL18/100</f>
        <v>3.4</v>
      </c>
      <c r="AN18" s="1580">
        <f>AL18/50</f>
        <v>6.8</v>
      </c>
      <c r="AO18" s="1580">
        <f>(AM18+AN18)*21*8</f>
        <v>1713.6</v>
      </c>
      <c r="AP18" s="1645">
        <f>ROUND(AO18/300,0)</f>
        <v>6</v>
      </c>
      <c r="AQ18" s="1580">
        <v>831</v>
      </c>
      <c r="AR18" s="1580">
        <f>AQ18/100</f>
        <v>8.31</v>
      </c>
      <c r="AS18" s="1580">
        <f>AQ18/50</f>
        <v>16.62</v>
      </c>
      <c r="AT18" s="1580">
        <f>(AR18+AS18)*21*4</f>
        <v>2094.12</v>
      </c>
      <c r="AU18" s="1645">
        <f>AT18/300</f>
        <v>6.9803999999999995</v>
      </c>
      <c r="AV18" s="1580">
        <f>12100/500</f>
        <v>24.2</v>
      </c>
      <c r="AW18" s="1580">
        <f>AV18*21*8</f>
        <v>4065.6</v>
      </c>
      <c r="AX18" s="1645">
        <f>ROUND(AW18/300,0)</f>
        <v>14</v>
      </c>
      <c r="AY18" s="1580">
        <f>V18/500</f>
        <v>45.478000000000002</v>
      </c>
      <c r="AZ18" s="1580">
        <f>AY18*21*4</f>
        <v>3820.152</v>
      </c>
      <c r="BA18" s="1645">
        <f>AZ18/300</f>
        <v>12.733840000000001</v>
      </c>
    </row>
    <row r="19" spans="1:53" ht="38.25" hidden="1" customHeight="1">
      <c r="A19" s="1609">
        <v>7</v>
      </c>
      <c r="B19" s="1056" t="s">
        <v>1216</v>
      </c>
      <c r="C19" s="917" t="s">
        <v>1217</v>
      </c>
      <c r="D19" s="1056" t="s">
        <v>1218</v>
      </c>
      <c r="E19" s="4092"/>
      <c r="F19" s="1609"/>
      <c r="G19" s="1609"/>
      <c r="H19" s="1609"/>
      <c r="I19" s="1609">
        <v>6</v>
      </c>
      <c r="J19" s="1609">
        <v>195</v>
      </c>
      <c r="K19" s="1609"/>
      <c r="L19" s="1056"/>
      <c r="M19" s="1056"/>
      <c r="N19" s="1609"/>
      <c r="O19" s="1609"/>
      <c r="P19" s="1581">
        <f t="shared" si="1"/>
        <v>0</v>
      </c>
      <c r="Q19" s="1610"/>
      <c r="R19" s="1611">
        <f t="shared" si="2"/>
        <v>0</v>
      </c>
      <c r="S19" s="1611">
        <f t="shared" si="3"/>
        <v>0</v>
      </c>
      <c r="T19" s="1611">
        <f t="shared" si="4"/>
        <v>0</v>
      </c>
      <c r="V19" s="1600">
        <v>22739</v>
      </c>
    </row>
    <row r="20" spans="1:53" ht="26.25" hidden="1" customHeight="1">
      <c r="A20" s="1609">
        <v>20</v>
      </c>
      <c r="B20" s="1056" t="s">
        <v>1219</v>
      </c>
      <c r="C20" s="917"/>
      <c r="D20" s="1056" t="s">
        <v>1203</v>
      </c>
      <c r="E20" s="4092"/>
      <c r="F20" s="1609"/>
      <c r="G20" s="1609"/>
      <c r="H20" s="1609"/>
      <c r="I20" s="1609"/>
      <c r="J20" s="1609">
        <v>195</v>
      </c>
      <c r="K20" s="1609"/>
      <c r="L20" s="1056"/>
      <c r="M20" s="1056"/>
      <c r="N20" s="1609"/>
      <c r="O20" s="1609"/>
      <c r="P20" s="1581"/>
      <c r="Q20" s="1610"/>
      <c r="R20" s="1611"/>
      <c r="S20" s="1611"/>
      <c r="T20" s="1611"/>
      <c r="V20" s="1600">
        <v>22739</v>
      </c>
    </row>
    <row r="21" spans="1:53" ht="12.75" hidden="1" customHeight="1">
      <c r="A21" s="1609">
        <v>8</v>
      </c>
      <c r="B21" s="1056" t="s">
        <v>1220</v>
      </c>
      <c r="C21" s="1056" t="s">
        <v>1221</v>
      </c>
      <c r="D21" s="1056" t="s">
        <v>1022</v>
      </c>
      <c r="E21" s="4092"/>
      <c r="F21" s="1609"/>
      <c r="G21" s="1609"/>
      <c r="H21" s="1609"/>
      <c r="I21" s="1609"/>
      <c r="J21" s="1609">
        <v>195</v>
      </c>
      <c r="K21" s="1609"/>
      <c r="L21" s="1583"/>
      <c r="M21" s="1583"/>
      <c r="N21" s="1609"/>
      <c r="O21" s="1609"/>
      <c r="P21" s="1581"/>
      <c r="Q21" s="1610"/>
      <c r="R21" s="1611"/>
      <c r="S21" s="1611"/>
      <c r="T21" s="1611"/>
      <c r="V21" s="1600">
        <v>22739</v>
      </c>
    </row>
    <row r="22" spans="1:53" ht="27.75" hidden="1" customHeight="1">
      <c r="A22" s="1609">
        <v>9</v>
      </c>
      <c r="B22" s="1056" t="s">
        <v>1222</v>
      </c>
      <c r="C22" s="917"/>
      <c r="D22" s="1056" t="s">
        <v>1203</v>
      </c>
      <c r="E22" s="4092"/>
      <c r="F22" s="1609"/>
      <c r="G22" s="1609"/>
      <c r="H22" s="1609"/>
      <c r="I22" s="1609"/>
      <c r="J22" s="1609">
        <v>195</v>
      </c>
      <c r="K22" s="1609"/>
      <c r="L22" s="1056"/>
      <c r="M22" s="1056"/>
      <c r="N22" s="1609"/>
      <c r="O22" s="1609"/>
      <c r="P22" s="1581"/>
      <c r="Q22" s="1610"/>
      <c r="R22" s="1611"/>
      <c r="S22" s="1611"/>
      <c r="T22" s="1611"/>
      <c r="V22" s="1600">
        <v>22739</v>
      </c>
    </row>
    <row r="23" spans="1:53" ht="25.5">
      <c r="A23" s="1609">
        <v>10</v>
      </c>
      <c r="B23" s="1056" t="s">
        <v>1223</v>
      </c>
      <c r="C23" s="917" t="s">
        <v>1224</v>
      </c>
      <c r="D23" s="1609" t="s">
        <v>1022</v>
      </c>
      <c r="E23" s="4092"/>
      <c r="F23" s="1609"/>
      <c r="G23" s="1609"/>
      <c r="H23" s="1609"/>
      <c r="I23" s="1609">
        <v>6</v>
      </c>
      <c r="J23" s="1609">
        <v>195</v>
      </c>
      <c r="K23" s="1609">
        <v>703</v>
      </c>
      <c r="L23" s="1581">
        <v>47</v>
      </c>
      <c r="M23" s="1615">
        <f>Y23</f>
        <v>46.866666666666667</v>
      </c>
      <c r="N23" s="1609"/>
      <c r="O23" s="1609"/>
      <c r="P23" s="1581">
        <f>L23-O23</f>
        <v>47</v>
      </c>
      <c r="Q23" s="1610">
        <f>1500*1.07</f>
        <v>1605</v>
      </c>
      <c r="R23" s="1611">
        <f>P23*Q23</f>
        <v>75435</v>
      </c>
      <c r="S23" s="1611">
        <f>R23*(I23/(I23+J23+K23))</f>
        <v>500.67477876106193</v>
      </c>
      <c r="T23" s="1611">
        <f>R23-S23</f>
        <v>74934.325221238934</v>
      </c>
      <c r="U23" s="1580">
        <v>12100</v>
      </c>
      <c r="V23" s="1600">
        <v>22739</v>
      </c>
      <c r="X23" s="1580" t="s">
        <v>3172</v>
      </c>
      <c r="Y23" s="1645">
        <f>500*K23/5000/12*8</f>
        <v>46.866666666666667</v>
      </c>
    </row>
    <row r="24" spans="1:53" ht="38.25" hidden="1" customHeight="1">
      <c r="A24" s="1609">
        <v>11</v>
      </c>
      <c r="B24" s="1056" t="s">
        <v>1225</v>
      </c>
      <c r="C24" s="917" t="s">
        <v>1226</v>
      </c>
      <c r="D24" s="1056" t="s">
        <v>1022</v>
      </c>
      <c r="E24" s="4092"/>
      <c r="F24" s="1609"/>
      <c r="G24" s="1609"/>
      <c r="H24" s="1609"/>
      <c r="I24" s="1609">
        <v>6</v>
      </c>
      <c r="J24" s="1609">
        <v>195</v>
      </c>
      <c r="K24" s="1609"/>
      <c r="L24" s="1056"/>
      <c r="M24" s="1056"/>
      <c r="N24" s="1609"/>
      <c r="O24" s="1609"/>
      <c r="P24" s="1581">
        <f>L24-O24</f>
        <v>0</v>
      </c>
      <c r="Q24" s="1610"/>
      <c r="R24" s="1611">
        <f>P24*Q24</f>
        <v>0</v>
      </c>
      <c r="S24" s="1611">
        <f>R24*(I24/(I24+J24+K24))</f>
        <v>0</v>
      </c>
      <c r="T24" s="1611">
        <f>R24-S24</f>
        <v>0</v>
      </c>
    </row>
    <row r="25" spans="1:53" ht="51" hidden="1" customHeight="1">
      <c r="A25" s="1609">
        <v>12</v>
      </c>
      <c r="B25" s="1056" t="s">
        <v>1227</v>
      </c>
      <c r="C25" s="1614" t="s">
        <v>1228</v>
      </c>
      <c r="D25" s="1609" t="s">
        <v>1022</v>
      </c>
      <c r="E25" s="4092"/>
      <c r="F25" s="1609"/>
      <c r="G25" s="1609"/>
      <c r="H25" s="1609"/>
      <c r="I25" s="1609">
        <v>6</v>
      </c>
      <c r="J25" s="1609">
        <v>195</v>
      </c>
      <c r="K25" s="1609"/>
      <c r="L25" s="1581"/>
      <c r="M25" s="1609"/>
      <c r="N25" s="1609"/>
      <c r="O25" s="1609"/>
      <c r="P25" s="1581">
        <f>L25-O25</f>
        <v>0</v>
      </c>
      <c r="Q25" s="1610"/>
      <c r="R25" s="1611">
        <f>P25*Q25</f>
        <v>0</v>
      </c>
      <c r="S25" s="1611">
        <f>R25*(I25/(I25+J25+K25))</f>
        <v>0</v>
      </c>
      <c r="T25" s="1611">
        <f>R25-S25</f>
        <v>0</v>
      </c>
      <c r="U25" s="1580">
        <v>62</v>
      </c>
      <c r="V25" s="1580">
        <v>62</v>
      </c>
      <c r="W25" s="1580">
        <v>86</v>
      </c>
      <c r="Y25" s="1580">
        <v>328</v>
      </c>
      <c r="Z25" s="1580">
        <v>52</v>
      </c>
      <c r="AA25" s="1580">
        <v>77</v>
      </c>
    </row>
    <row r="26" spans="1:53" ht="31.5" hidden="1" customHeight="1">
      <c r="A26" s="1609">
        <v>15</v>
      </c>
      <c r="B26" s="1056" t="s">
        <v>1229</v>
      </c>
      <c r="C26" s="1614"/>
      <c r="D26" s="1609" t="s">
        <v>1022</v>
      </c>
      <c r="E26" s="4092"/>
      <c r="F26" s="1609"/>
      <c r="G26" s="1609"/>
      <c r="H26" s="1609"/>
      <c r="I26" s="1609"/>
      <c r="J26" s="1609">
        <v>195</v>
      </c>
      <c r="K26" s="1609"/>
      <c r="L26" s="1581"/>
      <c r="M26" s="1581"/>
      <c r="N26" s="1609"/>
      <c r="O26" s="1609"/>
      <c r="P26" s="1581"/>
      <c r="Q26" s="1610"/>
      <c r="R26" s="1611"/>
      <c r="S26" s="1611"/>
      <c r="T26" s="1611"/>
    </row>
    <row r="27" spans="1:53" ht="63.75">
      <c r="A27" s="1609">
        <v>13</v>
      </c>
      <c r="B27" s="1056" t="s">
        <v>1230</v>
      </c>
      <c r="C27" s="1579" t="s">
        <v>2188</v>
      </c>
      <c r="D27" s="1056" t="s">
        <v>1203</v>
      </c>
      <c r="E27" s="4092"/>
      <c r="F27" s="1609"/>
      <c r="G27" s="1609"/>
      <c r="H27" s="1609"/>
      <c r="I27" s="1609">
        <v>6</v>
      </c>
      <c r="J27" s="1609">
        <v>195</v>
      </c>
      <c r="K27" s="1609"/>
      <c r="L27" s="1583">
        <f>24+24</f>
        <v>48</v>
      </c>
      <c r="M27" s="1583"/>
      <c r="N27" s="1609"/>
      <c r="O27" s="1609"/>
      <c r="P27" s="1581">
        <f>L27-O27</f>
        <v>48</v>
      </c>
      <c r="Q27" s="1610">
        <f>864*1.07</f>
        <v>924.48</v>
      </c>
      <c r="R27" s="1611">
        <f>P27*Q27</f>
        <v>44375.040000000001</v>
      </c>
      <c r="S27" s="1611">
        <f>R27*(I27/(I27+J27+K27))</f>
        <v>1324.6280597014925</v>
      </c>
      <c r="T27" s="1611">
        <f>R27-S27</f>
        <v>43050.411940298509</v>
      </c>
    </row>
    <row r="28" spans="1:53" ht="12.75" hidden="1" customHeight="1">
      <c r="A28" s="1609">
        <v>14</v>
      </c>
      <c r="B28" s="1056" t="s">
        <v>1231</v>
      </c>
      <c r="C28" s="1614" t="s">
        <v>1232</v>
      </c>
      <c r="D28" s="1609" t="s">
        <v>1022</v>
      </c>
      <c r="E28" s="4092"/>
      <c r="F28" s="1609"/>
      <c r="G28" s="1609"/>
      <c r="H28" s="1609"/>
      <c r="I28" s="1609">
        <v>6</v>
      </c>
      <c r="J28" s="1609">
        <v>195</v>
      </c>
      <c r="K28" s="1609"/>
      <c r="L28" s="1581"/>
      <c r="M28" s="1609"/>
      <c r="N28" s="1609"/>
      <c r="O28" s="1609"/>
      <c r="P28" s="1581">
        <f>L28-O28</f>
        <v>0</v>
      </c>
      <c r="Q28" s="1610"/>
      <c r="R28" s="1611">
        <f>P28*Q28</f>
        <v>0</v>
      </c>
      <c r="S28" s="1611">
        <f>R28*(I28/(I28+J28+K28))</f>
        <v>0</v>
      </c>
      <c r="T28" s="1611">
        <f>R28-S28</f>
        <v>0</v>
      </c>
      <c r="U28" s="1580">
        <v>3</v>
      </c>
      <c r="V28" s="1580">
        <v>3</v>
      </c>
      <c r="W28" s="1580">
        <v>36</v>
      </c>
    </row>
    <row r="29" spans="1:53" ht="12.75" hidden="1" customHeight="1">
      <c r="A29" s="1609">
        <v>15</v>
      </c>
      <c r="B29" s="1056" t="s">
        <v>1233</v>
      </c>
      <c r="C29" s="1652" t="s">
        <v>1234</v>
      </c>
      <c r="D29" s="1056" t="s">
        <v>1022</v>
      </c>
      <c r="E29" s="4092"/>
      <c r="F29" s="1609"/>
      <c r="G29" s="1609"/>
      <c r="H29" s="1609"/>
      <c r="I29" s="1609"/>
      <c r="J29" s="1609">
        <v>195</v>
      </c>
      <c r="K29" s="1609"/>
      <c r="L29" s="1583"/>
      <c r="M29" s="1583"/>
      <c r="N29" s="1609"/>
      <c r="O29" s="1609"/>
      <c r="P29" s="1581"/>
      <c r="Q29" s="1610"/>
      <c r="R29" s="1611"/>
      <c r="S29" s="1611"/>
      <c r="T29" s="1611"/>
    </row>
    <row r="30" spans="1:53">
      <c r="A30" s="1609">
        <v>16</v>
      </c>
      <c r="B30" s="1056" t="s">
        <v>1235</v>
      </c>
      <c r="C30" s="1614" t="s">
        <v>1236</v>
      </c>
      <c r="D30" s="1609" t="s">
        <v>1022</v>
      </c>
      <c r="E30" s="4092"/>
      <c r="F30" s="1609"/>
      <c r="G30" s="1609"/>
      <c r="H30" s="1609"/>
      <c r="I30" s="1609">
        <v>6</v>
      </c>
      <c r="J30" s="1609">
        <v>195</v>
      </c>
      <c r="K30" s="1609"/>
      <c r="L30" s="1581">
        <v>8</v>
      </c>
      <c r="M30" s="1581">
        <f>AC30</f>
        <v>8</v>
      </c>
      <c r="N30" s="1609"/>
      <c r="O30" s="1609"/>
      <c r="P30" s="1581">
        <f>L30-O30</f>
        <v>8</v>
      </c>
      <c r="Q30" s="1610">
        <f>150*1.07</f>
        <v>160.5</v>
      </c>
      <c r="R30" s="1611">
        <f>P30*Q30</f>
        <v>1284</v>
      </c>
      <c r="S30" s="1611">
        <f>R30*(I30/(I30+J30+K30))</f>
        <v>38.328358208955223</v>
      </c>
      <c r="T30" s="1611">
        <f>R30-S30</f>
        <v>1245.6716417910447</v>
      </c>
      <c r="U30" s="1580" t="s">
        <v>2191</v>
      </c>
      <c r="X30" s="1580" t="s">
        <v>3172</v>
      </c>
      <c r="AC30" s="1580">
        <f>1*500*8/500</f>
        <v>8</v>
      </c>
      <c r="AD30" s="1580">
        <f>1*4*500/500</f>
        <v>4</v>
      </c>
    </row>
    <row r="31" spans="1:53">
      <c r="A31" s="1609">
        <v>17</v>
      </c>
      <c r="B31" s="1056" t="s">
        <v>1237</v>
      </c>
      <c r="C31" s="1614" t="s">
        <v>1238</v>
      </c>
      <c r="D31" s="1609" t="s">
        <v>1119</v>
      </c>
      <c r="E31" s="4092"/>
      <c r="F31" s="1609"/>
      <c r="G31" s="1609"/>
      <c r="H31" s="1609"/>
      <c r="I31" s="1609">
        <v>6</v>
      </c>
      <c r="J31" s="1609">
        <v>195</v>
      </c>
      <c r="K31" s="1609"/>
      <c r="L31" s="1581">
        <v>8</v>
      </c>
      <c r="M31" s="1581">
        <v>8</v>
      </c>
      <c r="N31" s="1609"/>
      <c r="O31" s="1609"/>
      <c r="P31" s="1581">
        <f>L31-O31</f>
        <v>8</v>
      </c>
      <c r="Q31" s="1610">
        <f>100*1.07</f>
        <v>107</v>
      </c>
      <c r="R31" s="1611">
        <f>P31*Q31</f>
        <v>856</v>
      </c>
      <c r="S31" s="1611">
        <f>R31*(I31/(I31+J31+K31))</f>
        <v>25.552238805970148</v>
      </c>
      <c r="T31" s="1611">
        <f>R31-S31</f>
        <v>830.44776119402991</v>
      </c>
      <c r="U31" s="1645">
        <f>87*12*4/500</f>
        <v>8.3520000000000003</v>
      </c>
    </row>
    <row r="32" spans="1:53" ht="38.25">
      <c r="A32" s="1609">
        <v>19</v>
      </c>
      <c r="B32" s="1056" t="s">
        <v>1239</v>
      </c>
      <c r="C32" s="1614" t="s">
        <v>1242</v>
      </c>
      <c r="D32" s="1609" t="s">
        <v>1022</v>
      </c>
      <c r="E32" s="4092"/>
      <c r="F32" s="1609"/>
      <c r="G32" s="1609"/>
      <c r="H32" s="1609"/>
      <c r="I32" s="1609">
        <v>6</v>
      </c>
      <c r="J32" s="1609">
        <v>195</v>
      </c>
      <c r="K32" s="1609"/>
      <c r="L32" s="1581">
        <v>1897</v>
      </c>
      <c r="M32" s="1615">
        <f>AE32</f>
        <v>1897.2799999999997</v>
      </c>
      <c r="N32" s="1609"/>
      <c r="O32" s="1609"/>
      <c r="P32" s="1581">
        <f>L32-O32</f>
        <v>1897</v>
      </c>
      <c r="Q32" s="1610">
        <f>447*1.07</f>
        <v>478.29</v>
      </c>
      <c r="R32" s="1611">
        <f>P32*Q32</f>
        <v>907316.13</v>
      </c>
      <c r="S32" s="1611">
        <f>R32*(I32/(I32+J32+K32))</f>
        <v>27084.063582089551</v>
      </c>
      <c r="T32" s="1611">
        <f>R32-S32</f>
        <v>880232.06641791051</v>
      </c>
      <c r="U32" s="1580">
        <v>12100</v>
      </c>
      <c r="V32" s="1580">
        <v>22739</v>
      </c>
      <c r="W32" s="1580" t="s">
        <v>2195</v>
      </c>
      <c r="X32" s="1580" t="s">
        <v>2196</v>
      </c>
      <c r="Y32" s="1580">
        <f>U32/500*0.35*21</f>
        <v>177.86999999999998</v>
      </c>
      <c r="Z32" s="1580">
        <f>V32/500*0.35*21</f>
        <v>334.26329999999996</v>
      </c>
      <c r="AA32" s="1580">
        <f>Y32*8</f>
        <v>1422.9599999999998</v>
      </c>
      <c r="AB32" s="1580">
        <f>Z32*5</f>
        <v>1671.3164999999999</v>
      </c>
      <c r="AE32" s="1580">
        <f>AA32/0.75</f>
        <v>1897.2799999999997</v>
      </c>
      <c r="AF32" s="1580">
        <f>AB32/0.75</f>
        <v>2228.422</v>
      </c>
    </row>
    <row r="33" spans="1:32" ht="38.25" hidden="1" customHeight="1">
      <c r="A33" s="1609">
        <v>20</v>
      </c>
      <c r="B33" s="1056" t="s">
        <v>1244</v>
      </c>
      <c r="C33" s="1614" t="s">
        <v>1245</v>
      </c>
      <c r="D33" s="1609" t="s">
        <v>1119</v>
      </c>
      <c r="E33" s="4092"/>
      <c r="F33" s="1609"/>
      <c r="G33" s="1609"/>
      <c r="H33" s="1609"/>
      <c r="I33" s="1609">
        <v>6</v>
      </c>
      <c r="J33" s="1609">
        <v>195</v>
      </c>
      <c r="K33" s="1609"/>
      <c r="L33" s="1581"/>
      <c r="M33" s="1581"/>
      <c r="N33" s="1609"/>
      <c r="O33" s="1609"/>
      <c r="P33" s="1581">
        <f>L33-O33</f>
        <v>0</v>
      </c>
      <c r="Q33" s="1610"/>
      <c r="R33" s="1611">
        <f>P33*Q33</f>
        <v>0</v>
      </c>
      <c r="S33" s="1611">
        <f>R33*(I33/(I33+J33+K33))</f>
        <v>0</v>
      </c>
      <c r="T33" s="1611">
        <f>R33-S33</f>
        <v>0</v>
      </c>
      <c r="U33" s="1580">
        <v>17</v>
      </c>
      <c r="V33" s="1580">
        <v>17</v>
      </c>
      <c r="W33" s="1580">
        <v>17</v>
      </c>
    </row>
    <row r="34" spans="1:32" ht="25.5" hidden="1" customHeight="1">
      <c r="A34" s="1609">
        <v>22</v>
      </c>
      <c r="B34" s="1056" t="s">
        <v>1247</v>
      </c>
      <c r="C34" s="1652" t="s">
        <v>1248</v>
      </c>
      <c r="D34" s="1056" t="s">
        <v>1022</v>
      </c>
      <c r="E34" s="4092"/>
      <c r="F34" s="1609"/>
      <c r="G34" s="1609"/>
      <c r="H34" s="1609"/>
      <c r="I34" s="1609"/>
      <c r="J34" s="1609">
        <v>195</v>
      </c>
      <c r="K34" s="1609"/>
      <c r="L34" s="1583"/>
      <c r="M34" s="1583"/>
      <c r="N34" s="1609"/>
      <c r="O34" s="1609"/>
      <c r="P34" s="1581"/>
      <c r="Q34" s="1610"/>
      <c r="R34" s="1611"/>
      <c r="S34" s="1611"/>
      <c r="T34" s="1611"/>
    </row>
    <row r="35" spans="1:32" ht="51" hidden="1" customHeight="1">
      <c r="A35" s="1609">
        <v>23</v>
      </c>
      <c r="B35" s="1056" t="s">
        <v>1249</v>
      </c>
      <c r="C35" s="1056" t="s">
        <v>1250</v>
      </c>
      <c r="D35" s="1056" t="s">
        <v>1022</v>
      </c>
      <c r="E35" s="4092"/>
      <c r="F35" s="1609"/>
      <c r="G35" s="1609"/>
      <c r="H35" s="1609"/>
      <c r="I35" s="1609"/>
      <c r="J35" s="1609">
        <v>195</v>
      </c>
      <c r="K35" s="1609"/>
      <c r="L35" s="1583"/>
      <c r="M35" s="1583"/>
      <c r="N35" s="1609"/>
      <c r="O35" s="1609"/>
      <c r="P35" s="1581"/>
      <c r="Q35" s="1610"/>
      <c r="R35" s="1611"/>
      <c r="S35" s="1611"/>
      <c r="T35" s="1611"/>
    </row>
    <row r="36" spans="1:32" ht="25.5">
      <c r="A36" s="1609">
        <v>24</v>
      </c>
      <c r="B36" s="1056" t="s">
        <v>1251</v>
      </c>
      <c r="C36" s="1614" t="s">
        <v>1252</v>
      </c>
      <c r="D36" s="1609" t="s">
        <v>1022</v>
      </c>
      <c r="E36" s="4092"/>
      <c r="F36" s="1609"/>
      <c r="G36" s="1609"/>
      <c r="H36" s="1609"/>
      <c r="I36" s="1609">
        <v>6</v>
      </c>
      <c r="J36" s="1609">
        <v>195</v>
      </c>
      <c r="K36" s="1609"/>
      <c r="L36" s="1581">
        <v>194</v>
      </c>
      <c r="M36" s="1615">
        <f>AE36</f>
        <v>193.6</v>
      </c>
      <c r="N36" s="1609"/>
      <c r="O36" s="1609"/>
      <c r="P36" s="1581">
        <f>L36-O36</f>
        <v>194</v>
      </c>
      <c r="Q36" s="1610">
        <f>234*1.07</f>
        <v>250.38000000000002</v>
      </c>
      <c r="R36" s="1611">
        <f>P36*Q36</f>
        <v>48573.72</v>
      </c>
      <c r="S36" s="1611">
        <f>R36*(I36/(I36+J36+K36))</f>
        <v>1449.9617910447762</v>
      </c>
      <c r="T36" s="1611">
        <f>R36-S36</f>
        <v>47123.758208955223</v>
      </c>
      <c r="U36" s="1580">
        <v>12100</v>
      </c>
      <c r="V36" s="1580">
        <v>22739</v>
      </c>
      <c r="W36" s="1580">
        <v>500</v>
      </c>
      <c r="X36" s="1580" t="s">
        <v>3173</v>
      </c>
      <c r="Z36" s="1580">
        <v>218</v>
      </c>
      <c r="AA36" s="1580">
        <f>U36/W36*0.45</f>
        <v>10.89</v>
      </c>
      <c r="AB36" s="1580">
        <f>V36/W36*0.45</f>
        <v>20.4651</v>
      </c>
      <c r="AC36" s="1580">
        <f>AA36*8</f>
        <v>87.12</v>
      </c>
      <c r="AD36" s="1580">
        <f>AB36*5</f>
        <v>102.32550000000001</v>
      </c>
      <c r="AE36" s="1580">
        <f>AC36/0.45</f>
        <v>193.6</v>
      </c>
      <c r="AF36" s="1580">
        <f>AD36/0.45</f>
        <v>227.39000000000001</v>
      </c>
    </row>
    <row r="37" spans="1:32" ht="25.5">
      <c r="A37" s="1609">
        <v>25</v>
      </c>
      <c r="B37" s="1056" t="s">
        <v>1253</v>
      </c>
      <c r="C37" s="1614" t="s">
        <v>1254</v>
      </c>
      <c r="D37" s="1609" t="s">
        <v>1022</v>
      </c>
      <c r="E37" s="4092"/>
      <c r="F37" s="1609"/>
      <c r="G37" s="1609"/>
      <c r="H37" s="1609"/>
      <c r="I37" s="1609">
        <v>6</v>
      </c>
      <c r="J37" s="1609">
        <v>195</v>
      </c>
      <c r="K37" s="1609"/>
      <c r="L37" s="1581">
        <v>300</v>
      </c>
      <c r="M37" s="1581"/>
      <c r="N37" s="1609"/>
      <c r="O37" s="1609"/>
      <c r="P37" s="1581">
        <f>L37-O37</f>
        <v>300</v>
      </c>
      <c r="Q37" s="1610">
        <f>554*1.07</f>
        <v>592.78000000000009</v>
      </c>
      <c r="R37" s="1611">
        <f>P37*Q37</f>
        <v>177834.00000000003</v>
      </c>
      <c r="S37" s="1611">
        <f>R37*(I37/(I37+J37+K37))</f>
        <v>5308.4776119402995</v>
      </c>
      <c r="T37" s="1611">
        <f>R37-S37</f>
        <v>172525.52238805973</v>
      </c>
    </row>
    <row r="38" spans="1:32" ht="29.25" customHeight="1">
      <c r="A38" s="1609">
        <v>26</v>
      </c>
      <c r="B38" s="1056" t="s">
        <v>1255</v>
      </c>
      <c r="C38" s="1614" t="s">
        <v>1256</v>
      </c>
      <c r="D38" s="1609" t="s">
        <v>1022</v>
      </c>
      <c r="E38" s="4093"/>
      <c r="F38" s="1609"/>
      <c r="G38" s="1609"/>
      <c r="H38" s="1609"/>
      <c r="I38" s="1609">
        <v>6</v>
      </c>
      <c r="J38" s="1609">
        <v>195</v>
      </c>
      <c r="K38" s="1609"/>
      <c r="L38" s="1581">
        <v>194</v>
      </c>
      <c r="M38" s="1615">
        <f>AE38</f>
        <v>193.6</v>
      </c>
      <c r="N38" s="1609"/>
      <c r="O38" s="1609"/>
      <c r="P38" s="1581">
        <f>L38-O38</f>
        <v>194</v>
      </c>
      <c r="Q38" s="1610">
        <f>628*1.07</f>
        <v>671.96</v>
      </c>
      <c r="R38" s="1611">
        <f>P38*Q38</f>
        <v>130360.24</v>
      </c>
      <c r="S38" s="1611">
        <f>R38*(I38/(I38+J38+K38))</f>
        <v>3891.3504477611941</v>
      </c>
      <c r="T38" s="1611">
        <f>R38-S38</f>
        <v>126468.8895522388</v>
      </c>
      <c r="U38" s="1580">
        <v>12100</v>
      </c>
      <c r="V38" s="1556">
        <v>22739</v>
      </c>
      <c r="W38" s="1580">
        <v>500</v>
      </c>
      <c r="X38" s="1580" t="s">
        <v>2199</v>
      </c>
      <c r="AA38" s="1580">
        <f>U38/500*0.5</f>
        <v>12.1</v>
      </c>
      <c r="AB38" s="1580">
        <f>V38/W38*0.5</f>
        <v>22.739000000000001</v>
      </c>
      <c r="AC38" s="1580">
        <f>AA38*8</f>
        <v>96.8</v>
      </c>
      <c r="AD38" s="1580">
        <f>AB38*5</f>
        <v>113.69500000000001</v>
      </c>
      <c r="AE38" s="1580">
        <f>AC38/0.5</f>
        <v>193.6</v>
      </c>
      <c r="AF38" s="1580">
        <f>AD38/0.5</f>
        <v>227.39000000000001</v>
      </c>
    </row>
    <row r="39" spans="1:32" ht="31.5" hidden="1" customHeight="1">
      <c r="A39" s="1609">
        <v>16</v>
      </c>
      <c r="B39" s="1056" t="s">
        <v>1257</v>
      </c>
      <c r="C39" s="1614"/>
      <c r="D39" s="1581"/>
      <c r="E39" s="1581"/>
      <c r="F39" s="1581"/>
      <c r="G39" s="1581"/>
      <c r="H39" s="1581"/>
      <c r="I39" s="1581"/>
      <c r="J39" s="1609">
        <v>195</v>
      </c>
      <c r="K39" s="1581"/>
      <c r="L39" s="1581"/>
      <c r="M39" s="1581"/>
      <c r="N39" s="1581"/>
      <c r="O39" s="1581"/>
      <c r="P39" s="1581"/>
      <c r="Q39" s="1581"/>
      <c r="R39" s="1581"/>
      <c r="S39" s="1581"/>
      <c r="T39" s="1581"/>
    </row>
    <row r="40" spans="1:32" hidden="1">
      <c r="A40" s="1609">
        <v>27</v>
      </c>
      <c r="B40" s="1056" t="s">
        <v>1258</v>
      </c>
      <c r="C40" s="1614" t="s">
        <v>1259</v>
      </c>
      <c r="D40" s="1056" t="s">
        <v>1203</v>
      </c>
      <c r="E40" s="1581"/>
      <c r="F40" s="1609"/>
      <c r="G40" s="1609"/>
      <c r="H40" s="1609"/>
      <c r="I40" s="1609">
        <v>6</v>
      </c>
      <c r="J40" s="1609">
        <v>195</v>
      </c>
      <c r="K40" s="1609"/>
      <c r="L40" s="1056"/>
      <c r="M40" s="1056"/>
      <c r="N40" s="1609"/>
      <c r="O40" s="1609"/>
      <c r="P40" s="1581">
        <f>L40-O40</f>
        <v>0</v>
      </c>
      <c r="Q40" s="1610"/>
      <c r="R40" s="1611">
        <f>P40*Q40</f>
        <v>0</v>
      </c>
      <c r="S40" s="1611">
        <f>R40*(I40/(I40+J40+K40))</f>
        <v>0</v>
      </c>
      <c r="T40" s="1611">
        <f>R40-S40</f>
        <v>0</v>
      </c>
    </row>
    <row r="41" spans="1:32">
      <c r="A41" s="1609"/>
      <c r="B41" s="1616" t="s">
        <v>1260</v>
      </c>
      <c r="C41" s="1614"/>
      <c r="D41" s="1056"/>
      <c r="E41" s="1581"/>
      <c r="F41" s="1609"/>
      <c r="G41" s="1609"/>
      <c r="H41" s="1609"/>
      <c r="I41" s="1609"/>
      <c r="J41" s="1609">
        <v>195</v>
      </c>
      <c r="K41" s="1609"/>
      <c r="L41" s="1583"/>
      <c r="M41" s="1583"/>
      <c r="N41" s="1609"/>
      <c r="O41" s="1609"/>
      <c r="P41" s="1581"/>
      <c r="Q41" s="1610"/>
      <c r="R41" s="1617">
        <f>SUM(R42:R94)</f>
        <v>4759392.0999999996</v>
      </c>
      <c r="S41" s="1617">
        <f>SUM(S42:S94)</f>
        <v>142071.40597014927</v>
      </c>
      <c r="T41" s="1617">
        <f>SUM(T42:T94)</f>
        <v>4617320.6940298509</v>
      </c>
    </row>
    <row r="42" spans="1:32">
      <c r="A42" s="1609"/>
      <c r="B42" s="1625"/>
      <c r="C42" s="1621"/>
      <c r="D42" s="1610"/>
      <c r="E42" s="1581"/>
      <c r="F42" s="1581"/>
      <c r="G42" s="1581"/>
      <c r="H42" s="1581"/>
      <c r="I42" s="1609"/>
      <c r="J42" s="1609">
        <v>195</v>
      </c>
      <c r="K42" s="1581"/>
      <c r="L42" s="1610"/>
      <c r="M42" s="1610"/>
      <c r="N42" s="1581"/>
      <c r="O42" s="1581"/>
      <c r="P42" s="1581"/>
      <c r="Q42" s="1581"/>
      <c r="R42" s="1611"/>
      <c r="S42" s="1611"/>
      <c r="T42" s="1611"/>
    </row>
    <row r="43" spans="1:32" ht="25.5">
      <c r="A43" s="1609">
        <v>286</v>
      </c>
      <c r="B43" s="1618" t="s">
        <v>1264</v>
      </c>
      <c r="C43" s="1621" t="s">
        <v>1265</v>
      </c>
      <c r="D43" s="1618" t="s">
        <v>1022</v>
      </c>
      <c r="E43" s="1581">
        <v>12100</v>
      </c>
      <c r="F43" s="1581"/>
      <c r="G43" s="1581"/>
      <c r="H43" s="1581"/>
      <c r="I43" s="1609">
        <v>6</v>
      </c>
      <c r="J43" s="1609">
        <v>195</v>
      </c>
      <c r="K43" s="1581"/>
      <c r="L43" s="1622">
        <v>3</v>
      </c>
      <c r="M43" s="1622"/>
      <c r="N43" s="1581"/>
      <c r="O43" s="1581"/>
      <c r="P43" s="1581">
        <f>L43-O43</f>
        <v>3</v>
      </c>
      <c r="Q43" s="1581">
        <f>49000*1.07</f>
        <v>52430</v>
      </c>
      <c r="R43" s="1611">
        <f>P43*Q43</f>
        <v>157290</v>
      </c>
      <c r="S43" s="1611">
        <f>R43*(I43/(I43+J43+K43))</f>
        <v>4695.2238805970146</v>
      </c>
      <c r="T43" s="1611">
        <f>R43-S43</f>
        <v>152594.77611940299</v>
      </c>
    </row>
    <row r="44" spans="1:32" ht="38.25">
      <c r="A44" s="1609">
        <v>175</v>
      </c>
      <c r="B44" s="1618" t="s">
        <v>1303</v>
      </c>
      <c r="C44" s="1621" t="s">
        <v>1304</v>
      </c>
      <c r="D44" s="1622" t="s">
        <v>1263</v>
      </c>
      <c r="E44" s="1581">
        <v>12100</v>
      </c>
      <c r="F44" s="1581"/>
      <c r="G44" s="1581"/>
      <c r="H44" s="1581"/>
      <c r="I44" s="1609">
        <v>6</v>
      </c>
      <c r="J44" s="1609">
        <v>195</v>
      </c>
      <c r="K44" s="1581"/>
      <c r="L44" s="1622">
        <v>14060</v>
      </c>
      <c r="M44" s="1622">
        <v>14060</v>
      </c>
      <c r="N44" s="1581"/>
      <c r="O44" s="1581"/>
      <c r="P44" s="1581">
        <f>L44-O44</f>
        <v>14060</v>
      </c>
      <c r="Q44" s="1581">
        <f>40*1.07</f>
        <v>42.800000000000004</v>
      </c>
      <c r="R44" s="1611">
        <f>P44*Q44</f>
        <v>601768.00000000012</v>
      </c>
      <c r="S44" s="1611">
        <f>R44*(I44/(I44+J44+K44))</f>
        <v>17963.223880597019</v>
      </c>
      <c r="T44" s="1611">
        <f>R44-S44</f>
        <v>583804.77611940308</v>
      </c>
      <c r="U44" s="1580">
        <f>703*2*10</f>
        <v>14060</v>
      </c>
      <c r="W44" s="357" t="s">
        <v>3174</v>
      </c>
      <c r="X44" s="1580" t="s">
        <v>3175</v>
      </c>
      <c r="Y44" s="1580" t="s">
        <v>476</v>
      </c>
      <c r="Z44" s="357" t="s">
        <v>3176</v>
      </c>
      <c r="AA44" s="357" t="s">
        <v>3177</v>
      </c>
    </row>
    <row r="45" spans="1:32" ht="25.5">
      <c r="A45" s="1609">
        <v>176</v>
      </c>
      <c r="B45" s="1618" t="s">
        <v>1328</v>
      </c>
      <c r="C45" s="1621" t="s">
        <v>1329</v>
      </c>
      <c r="D45" s="1622" t="s">
        <v>1263</v>
      </c>
      <c r="E45" s="1581">
        <v>12100</v>
      </c>
      <c r="F45" s="1581"/>
      <c r="G45" s="1581"/>
      <c r="H45" s="1581"/>
      <c r="I45" s="1609">
        <v>6</v>
      </c>
      <c r="J45" s="1609">
        <v>195</v>
      </c>
      <c r="K45" s="1581"/>
      <c r="L45" s="1618">
        <v>23</v>
      </c>
      <c r="M45" s="1618">
        <v>23</v>
      </c>
      <c r="N45" s="1581"/>
      <c r="O45" s="1581"/>
      <c r="P45" s="1581">
        <f t="shared" ref="P45:P51" si="5">L45-O45</f>
        <v>23</v>
      </c>
      <c r="Q45" s="1581">
        <f>10000*1.07</f>
        <v>10700</v>
      </c>
      <c r="R45" s="1611">
        <f t="shared" ref="R45:R51" si="6">P45*Q45</f>
        <v>246100</v>
      </c>
      <c r="S45" s="1611">
        <f t="shared" ref="S45:S51" si="7">R45*(I45/(I45+J45+K45))</f>
        <v>7346.2686567164174</v>
      </c>
      <c r="T45" s="1611">
        <f t="shared" ref="T45:T51" si="8">R45-S45</f>
        <v>238753.73134328358</v>
      </c>
      <c r="U45" s="1580" t="s">
        <v>2211</v>
      </c>
      <c r="V45" s="1580">
        <f>12100/500*6</f>
        <v>145.19999999999999</v>
      </c>
      <c r="W45" s="1580">
        <f>V45*8</f>
        <v>1161.5999999999999</v>
      </c>
      <c r="X45" s="1645">
        <f>W45/100</f>
        <v>11.616</v>
      </c>
      <c r="Y45" s="1580">
        <f>22739/500*6</f>
        <v>272.86799999999999</v>
      </c>
      <c r="Z45" s="1580">
        <f>Y45*4</f>
        <v>1091.472</v>
      </c>
      <c r="AA45" s="1645">
        <f>Z45/100</f>
        <v>10.914719999999999</v>
      </c>
    </row>
    <row r="46" spans="1:32">
      <c r="A46" s="1609">
        <v>281</v>
      </c>
      <c r="B46" s="1618" t="s">
        <v>1330</v>
      </c>
      <c r="C46" s="1621" t="s">
        <v>1331</v>
      </c>
      <c r="D46" s="1618" t="s">
        <v>1022</v>
      </c>
      <c r="E46" s="1581">
        <v>12100</v>
      </c>
      <c r="F46" s="1581"/>
      <c r="G46" s="1581"/>
      <c r="H46" s="1581"/>
      <c r="I46" s="1609">
        <v>6</v>
      </c>
      <c r="J46" s="1609">
        <v>195</v>
      </c>
      <c r="K46" s="1581"/>
      <c r="L46" s="1622">
        <v>50</v>
      </c>
      <c r="M46" s="1622"/>
      <c r="N46" s="1581"/>
      <c r="O46" s="1581"/>
      <c r="P46" s="1581">
        <f t="shared" si="5"/>
        <v>50</v>
      </c>
      <c r="Q46" s="1581">
        <f>400*1.07</f>
        <v>428</v>
      </c>
      <c r="R46" s="1611">
        <f t="shared" si="6"/>
        <v>21400</v>
      </c>
      <c r="S46" s="1611">
        <f t="shared" si="7"/>
        <v>638.80597014925377</v>
      </c>
      <c r="T46" s="1611">
        <f t="shared" si="8"/>
        <v>20761.194029850747</v>
      </c>
    </row>
    <row r="47" spans="1:32" ht="38.25" hidden="1">
      <c r="A47" s="1609"/>
      <c r="B47" s="1618" t="s">
        <v>1333</v>
      </c>
      <c r="C47" s="1621" t="s">
        <v>1336</v>
      </c>
      <c r="D47" s="1618" t="s">
        <v>1335</v>
      </c>
      <c r="E47" s="1581">
        <v>12100</v>
      </c>
      <c r="F47" s="1581"/>
      <c r="G47" s="1581"/>
      <c r="H47" s="1581"/>
      <c r="I47" s="1609"/>
      <c r="J47" s="1609">
        <v>195</v>
      </c>
      <c r="K47" s="1581"/>
      <c r="L47" s="1618"/>
      <c r="M47" s="1618"/>
      <c r="N47" s="1581"/>
      <c r="O47" s="1581"/>
      <c r="P47" s="1581"/>
      <c r="Q47" s="1581"/>
      <c r="R47" s="1611"/>
      <c r="S47" s="1611"/>
      <c r="T47" s="1611"/>
    </row>
    <row r="48" spans="1:32" ht="25.5" hidden="1">
      <c r="A48" s="1609"/>
      <c r="B48" s="1618" t="s">
        <v>1333</v>
      </c>
      <c r="C48" s="1621" t="s">
        <v>1337</v>
      </c>
      <c r="D48" s="1618" t="s">
        <v>1338</v>
      </c>
      <c r="E48" s="1581">
        <v>12100</v>
      </c>
      <c r="F48" s="1581"/>
      <c r="G48" s="1581"/>
      <c r="H48" s="1581"/>
      <c r="I48" s="1609"/>
      <c r="J48" s="1609">
        <v>195</v>
      </c>
      <c r="K48" s="1581"/>
      <c r="L48" s="1618"/>
      <c r="M48" s="1618"/>
      <c r="N48" s="1581"/>
      <c r="O48" s="1581"/>
      <c r="P48" s="1581"/>
      <c r="Q48" s="1581"/>
      <c r="R48" s="1611"/>
      <c r="S48" s="1611"/>
      <c r="T48" s="1611"/>
    </row>
    <row r="49" spans="1:21" hidden="1">
      <c r="A49" s="1609"/>
      <c r="B49" s="1618"/>
      <c r="C49" s="1621"/>
      <c r="D49" s="1618"/>
      <c r="E49" s="1581">
        <v>12100</v>
      </c>
      <c r="F49" s="1581"/>
      <c r="G49" s="1581"/>
      <c r="H49" s="1581"/>
      <c r="I49" s="1609"/>
      <c r="J49" s="1609">
        <v>195</v>
      </c>
      <c r="K49" s="1581"/>
      <c r="L49" s="1618"/>
      <c r="M49" s="1618"/>
      <c r="N49" s="1581"/>
      <c r="O49" s="1581"/>
      <c r="P49" s="1581"/>
      <c r="Q49" s="1581"/>
      <c r="R49" s="1611"/>
      <c r="S49" s="1611"/>
      <c r="T49" s="1611"/>
    </row>
    <row r="50" spans="1:21">
      <c r="A50" s="1609">
        <v>287</v>
      </c>
      <c r="B50" s="1618" t="s">
        <v>1339</v>
      </c>
      <c r="C50" s="1621" t="s">
        <v>1340</v>
      </c>
      <c r="D50" s="1618" t="s">
        <v>1022</v>
      </c>
      <c r="E50" s="1581">
        <v>12100</v>
      </c>
      <c r="F50" s="1581"/>
      <c r="G50" s="1581"/>
      <c r="H50" s="1581"/>
      <c r="I50" s="1609">
        <v>6</v>
      </c>
      <c r="J50" s="1609">
        <v>195</v>
      </c>
      <c r="K50" s="1581"/>
      <c r="L50" s="1622">
        <v>30</v>
      </c>
      <c r="M50" s="1622"/>
      <c r="N50" s="1581"/>
      <c r="O50" s="1581"/>
      <c r="P50" s="1581">
        <f t="shared" si="5"/>
        <v>30</v>
      </c>
      <c r="Q50" s="1581">
        <f>265*1.07</f>
        <v>283.55</v>
      </c>
      <c r="R50" s="1611">
        <f t="shared" si="6"/>
        <v>8506.5</v>
      </c>
      <c r="S50" s="1611">
        <f t="shared" si="7"/>
        <v>253.92537313432837</v>
      </c>
      <c r="T50" s="1611">
        <f t="shared" si="8"/>
        <v>8252.5746268656712</v>
      </c>
      <c r="U50" s="1580">
        <v>1000</v>
      </c>
    </row>
    <row r="51" spans="1:21">
      <c r="A51" s="1609">
        <v>279</v>
      </c>
      <c r="B51" s="1618" t="s">
        <v>1341</v>
      </c>
      <c r="C51" s="1621" t="s">
        <v>1342</v>
      </c>
      <c r="D51" s="1618" t="s">
        <v>1022</v>
      </c>
      <c r="E51" s="1581">
        <v>12100</v>
      </c>
      <c r="F51" s="1581"/>
      <c r="G51" s="1581"/>
      <c r="H51" s="1581"/>
      <c r="I51" s="1609">
        <v>6</v>
      </c>
      <c r="J51" s="1609">
        <v>195</v>
      </c>
      <c r="K51" s="1581"/>
      <c r="L51" s="1622">
        <v>100</v>
      </c>
      <c r="M51" s="1622"/>
      <c r="N51" s="1581"/>
      <c r="O51" s="1581"/>
      <c r="P51" s="1581">
        <f t="shared" si="5"/>
        <v>100</v>
      </c>
      <c r="Q51" s="1581">
        <f>450*1.07</f>
        <v>481.5</v>
      </c>
      <c r="R51" s="1611">
        <f t="shared" si="6"/>
        <v>48150</v>
      </c>
      <c r="S51" s="1611">
        <f t="shared" si="7"/>
        <v>1437.3134328358208</v>
      </c>
      <c r="T51" s="1611">
        <f t="shared" si="8"/>
        <v>46712.686567164179</v>
      </c>
    </row>
    <row r="52" spans="1:21">
      <c r="A52" s="1609">
        <v>270</v>
      </c>
      <c r="B52" s="1618" t="s">
        <v>1364</v>
      </c>
      <c r="C52" s="1621" t="s">
        <v>1365</v>
      </c>
      <c r="D52" s="1618" t="s">
        <v>1022</v>
      </c>
      <c r="E52" s="1581">
        <v>12100</v>
      </c>
      <c r="F52" s="1581"/>
      <c r="G52" s="1581"/>
      <c r="H52" s="1581"/>
      <c r="I52" s="1609">
        <v>6</v>
      </c>
      <c r="J52" s="1609">
        <v>195</v>
      </c>
      <c r="K52" s="1581"/>
      <c r="L52" s="1622">
        <v>100</v>
      </c>
      <c r="M52" s="1622"/>
      <c r="N52" s="1581"/>
      <c r="O52" s="1581"/>
      <c r="P52" s="1581">
        <f>L52-O52</f>
        <v>100</v>
      </c>
      <c r="Q52" s="1581">
        <f>1800*1.07</f>
        <v>1926</v>
      </c>
      <c r="R52" s="1611">
        <f>P52*Q52</f>
        <v>192600</v>
      </c>
      <c r="S52" s="1611">
        <f>R52*(I52/(I52+J52+K52))</f>
        <v>5749.2537313432831</v>
      </c>
      <c r="T52" s="1611">
        <f>R52-S52</f>
        <v>186850.74626865672</v>
      </c>
    </row>
    <row r="53" spans="1:21">
      <c r="A53" s="1609">
        <v>271</v>
      </c>
      <c r="B53" s="1618" t="s">
        <v>1366</v>
      </c>
      <c r="C53" s="1621" t="s">
        <v>1367</v>
      </c>
      <c r="D53" s="1618" t="s">
        <v>1022</v>
      </c>
      <c r="E53" s="1581">
        <v>12100</v>
      </c>
      <c r="F53" s="1581"/>
      <c r="G53" s="1581"/>
      <c r="H53" s="1581"/>
      <c r="I53" s="1609">
        <v>6</v>
      </c>
      <c r="J53" s="1609">
        <v>195</v>
      </c>
      <c r="K53" s="1581"/>
      <c r="L53" s="1622">
        <v>150</v>
      </c>
      <c r="M53" s="1622"/>
      <c r="N53" s="1581"/>
      <c r="O53" s="1581"/>
      <c r="P53" s="1581">
        <f>L53-O53</f>
        <v>150</v>
      </c>
      <c r="Q53" s="1581">
        <f>1800*1.07</f>
        <v>1926</v>
      </c>
      <c r="R53" s="1611">
        <f>P53*Q53</f>
        <v>288900</v>
      </c>
      <c r="S53" s="1611">
        <f>R53*(I53/(I53+J53+K53))</f>
        <v>8623.880597014926</v>
      </c>
      <c r="T53" s="1611">
        <f>R53-S53</f>
        <v>280276.11940298509</v>
      </c>
    </row>
    <row r="54" spans="1:21" ht="25.5">
      <c r="A54" s="1609">
        <v>296</v>
      </c>
      <c r="B54" s="1618" t="s">
        <v>1403</v>
      </c>
      <c r="C54" s="1621" t="s">
        <v>3178</v>
      </c>
      <c r="D54" s="1618" t="s">
        <v>1022</v>
      </c>
      <c r="E54" s="1581">
        <v>12100</v>
      </c>
      <c r="F54" s="1581"/>
      <c r="G54" s="1581"/>
      <c r="H54" s="1581"/>
      <c r="I54" s="1609">
        <v>6</v>
      </c>
      <c r="J54" s="1609">
        <v>195</v>
      </c>
      <c r="K54" s="1581"/>
      <c r="L54" s="1622">
        <v>1</v>
      </c>
      <c r="M54" s="1622"/>
      <c r="N54" s="1581"/>
      <c r="O54" s="1581"/>
      <c r="P54" s="1581">
        <f t="shared" ref="P54:P59" si="9">L54-O54</f>
        <v>1</v>
      </c>
      <c r="Q54" s="1581">
        <f>1300*1.07</f>
        <v>1391</v>
      </c>
      <c r="R54" s="1611">
        <f t="shared" ref="R54:R59" si="10">P54*Q54</f>
        <v>1391</v>
      </c>
      <c r="S54" s="1611">
        <f t="shared" ref="S54:S59" si="11">R54*(I54/(I54+J54+K54))</f>
        <v>41.522388059701491</v>
      </c>
      <c r="T54" s="1611">
        <f t="shared" ref="T54:T59" si="12">R54-S54</f>
        <v>1349.4776119402984</v>
      </c>
    </row>
    <row r="55" spans="1:21">
      <c r="A55" s="1609">
        <v>301</v>
      </c>
      <c r="B55" s="1618" t="s">
        <v>1407</v>
      </c>
      <c r="C55" s="1621" t="s">
        <v>1408</v>
      </c>
      <c r="D55" s="1618" t="s">
        <v>1022</v>
      </c>
      <c r="E55" s="1581">
        <v>12100</v>
      </c>
      <c r="F55" s="1581"/>
      <c r="G55" s="1581"/>
      <c r="H55" s="1581"/>
      <c r="I55" s="1609">
        <v>6</v>
      </c>
      <c r="J55" s="1609">
        <v>195</v>
      </c>
      <c r="K55" s="1581"/>
      <c r="L55" s="1622">
        <v>1</v>
      </c>
      <c r="M55" s="1622"/>
      <c r="N55" s="1581"/>
      <c r="O55" s="1581"/>
      <c r="P55" s="1581">
        <f t="shared" si="9"/>
        <v>1</v>
      </c>
      <c r="Q55" s="1581">
        <f>1100*1.07</f>
        <v>1177</v>
      </c>
      <c r="R55" s="1611">
        <f t="shared" si="10"/>
        <v>1177</v>
      </c>
      <c r="S55" s="1611">
        <f t="shared" si="11"/>
        <v>35.134328358208954</v>
      </c>
      <c r="T55" s="1611">
        <f t="shared" si="12"/>
        <v>1141.8656716417911</v>
      </c>
    </row>
    <row r="56" spans="1:21">
      <c r="A56" s="1609">
        <v>275</v>
      </c>
      <c r="B56" s="1618" t="s">
        <v>1421</v>
      </c>
      <c r="C56" s="1579" t="s">
        <v>3179</v>
      </c>
      <c r="D56" s="1618" t="s">
        <v>1022</v>
      </c>
      <c r="E56" s="1581">
        <v>12100</v>
      </c>
      <c r="F56" s="1581"/>
      <c r="G56" s="1581"/>
      <c r="H56" s="1581"/>
      <c r="I56" s="1609">
        <v>6</v>
      </c>
      <c r="J56" s="1609">
        <v>195</v>
      </c>
      <c r="K56" s="1581"/>
      <c r="L56" s="1622">
        <v>50</v>
      </c>
      <c r="M56" s="1622"/>
      <c r="N56" s="1581"/>
      <c r="O56" s="1581"/>
      <c r="P56" s="1581">
        <f t="shared" si="9"/>
        <v>50</v>
      </c>
      <c r="Q56" s="1581">
        <f>140*1.07</f>
        <v>149.80000000000001</v>
      </c>
      <c r="R56" s="1611">
        <f t="shared" si="10"/>
        <v>7490.0000000000009</v>
      </c>
      <c r="S56" s="1611">
        <f t="shared" si="11"/>
        <v>223.58208955223884</v>
      </c>
      <c r="T56" s="1611">
        <f t="shared" si="12"/>
        <v>7266.4179104477616</v>
      </c>
    </row>
    <row r="57" spans="1:21">
      <c r="A57" s="1609">
        <v>274</v>
      </c>
      <c r="B57" s="1618" t="s">
        <v>1423</v>
      </c>
      <c r="C57" s="1579" t="s">
        <v>1424</v>
      </c>
      <c r="D57" s="1618" t="s">
        <v>1022</v>
      </c>
      <c r="E57" s="1581">
        <v>12100</v>
      </c>
      <c r="F57" s="1581"/>
      <c r="G57" s="1581"/>
      <c r="H57" s="1581"/>
      <c r="I57" s="1609">
        <v>6</v>
      </c>
      <c r="J57" s="1609">
        <v>195</v>
      </c>
      <c r="K57" s="1581"/>
      <c r="L57" s="1622">
        <v>50</v>
      </c>
      <c r="M57" s="1622"/>
      <c r="N57" s="1581"/>
      <c r="O57" s="1581"/>
      <c r="P57" s="1581">
        <f t="shared" si="9"/>
        <v>50</v>
      </c>
      <c r="Q57" s="1581">
        <f>153*1.07</f>
        <v>163.71</v>
      </c>
      <c r="R57" s="1611">
        <f t="shared" si="10"/>
        <v>8185.5</v>
      </c>
      <c r="S57" s="1611">
        <f t="shared" si="11"/>
        <v>244.34328358208955</v>
      </c>
      <c r="T57" s="1611">
        <f t="shared" si="12"/>
        <v>7941.1567164179105</v>
      </c>
    </row>
    <row r="58" spans="1:21">
      <c r="A58" s="1609">
        <v>280</v>
      </c>
      <c r="B58" s="1579" t="s">
        <v>1435</v>
      </c>
      <c r="C58" s="1647" t="s">
        <v>1436</v>
      </c>
      <c r="D58" s="1618" t="s">
        <v>1022</v>
      </c>
      <c r="E58" s="1581">
        <v>12100</v>
      </c>
      <c r="F58" s="1581"/>
      <c r="G58" s="1581"/>
      <c r="H58" s="1581"/>
      <c r="I58" s="1609">
        <v>6</v>
      </c>
      <c r="J58" s="1609">
        <v>195</v>
      </c>
      <c r="K58" s="1581"/>
      <c r="L58" s="1622">
        <v>4</v>
      </c>
      <c r="M58" s="1622"/>
      <c r="N58" s="1581"/>
      <c r="O58" s="1581"/>
      <c r="P58" s="1581">
        <f t="shared" si="9"/>
        <v>4</v>
      </c>
      <c r="Q58" s="1581">
        <f>7000*1.07</f>
        <v>7490</v>
      </c>
      <c r="R58" s="1611">
        <f t="shared" si="10"/>
        <v>29960</v>
      </c>
      <c r="S58" s="1611">
        <f t="shared" si="11"/>
        <v>894.32835820895525</v>
      </c>
      <c r="T58" s="1611">
        <f t="shared" si="12"/>
        <v>29065.671641791043</v>
      </c>
    </row>
    <row r="59" spans="1:21" ht="25.5">
      <c r="A59" s="1609">
        <v>97</v>
      </c>
      <c r="B59" s="1619" t="s">
        <v>1451</v>
      </c>
      <c r="C59" s="917" t="s">
        <v>1450</v>
      </c>
      <c r="D59" s="1619" t="s">
        <v>1268</v>
      </c>
      <c r="E59" s="1581">
        <v>12100</v>
      </c>
      <c r="F59" s="1609"/>
      <c r="G59" s="1609"/>
      <c r="H59" s="1609"/>
      <c r="I59" s="1609">
        <v>6</v>
      </c>
      <c r="J59" s="1609">
        <v>195</v>
      </c>
      <c r="K59" s="1609"/>
      <c r="L59" s="1619">
        <v>1</v>
      </c>
      <c r="M59" s="1619"/>
      <c r="N59" s="1609"/>
      <c r="O59" s="1609"/>
      <c r="P59" s="1581">
        <f t="shared" si="9"/>
        <v>1</v>
      </c>
      <c r="Q59" s="1610">
        <f>5000*1.07</f>
        <v>5350</v>
      </c>
      <c r="R59" s="1611">
        <f t="shared" si="10"/>
        <v>5350</v>
      </c>
      <c r="S59" s="1611">
        <f t="shared" si="11"/>
        <v>159.70149253731344</v>
      </c>
      <c r="T59" s="1611">
        <f t="shared" si="12"/>
        <v>5190.2985074626868</v>
      </c>
      <c r="U59" s="1580">
        <v>1500</v>
      </c>
    </row>
    <row r="60" spans="1:21">
      <c r="A60" s="1609">
        <v>282</v>
      </c>
      <c r="B60" s="1618" t="s">
        <v>1490</v>
      </c>
      <c r="C60" s="1579" t="s">
        <v>1491</v>
      </c>
      <c r="D60" s="1618" t="s">
        <v>1022</v>
      </c>
      <c r="E60" s="1581">
        <v>12100</v>
      </c>
      <c r="F60" s="1581"/>
      <c r="G60" s="1581"/>
      <c r="H60" s="1581"/>
      <c r="I60" s="1609">
        <v>6</v>
      </c>
      <c r="J60" s="1609">
        <v>195</v>
      </c>
      <c r="K60" s="1581"/>
      <c r="L60" s="1622">
        <v>1000</v>
      </c>
      <c r="M60" s="1622"/>
      <c r="N60" s="1581"/>
      <c r="O60" s="1581"/>
      <c r="P60" s="1581">
        <f t="shared" ref="P60:P71" si="13">L60-O60</f>
        <v>1000</v>
      </c>
      <c r="Q60" s="1581">
        <f>150*1.07</f>
        <v>160.5</v>
      </c>
      <c r="R60" s="1611">
        <f t="shared" ref="R60:R71" si="14">P60*Q60</f>
        <v>160500</v>
      </c>
      <c r="S60" s="1611">
        <f t="shared" ref="S60:S71" si="15">R60*(I60/(I60+J60+K60))</f>
        <v>4791.0447761194027</v>
      </c>
      <c r="T60" s="1611">
        <f t="shared" ref="T60:T71" si="16">R60-S60</f>
        <v>155708.95522388059</v>
      </c>
    </row>
    <row r="61" spans="1:21">
      <c r="A61" s="1609">
        <v>283</v>
      </c>
      <c r="B61" s="1618" t="s">
        <v>1490</v>
      </c>
      <c r="C61" s="1579" t="s">
        <v>1492</v>
      </c>
      <c r="D61" s="1618" t="s">
        <v>1022</v>
      </c>
      <c r="E61" s="1581">
        <v>12100</v>
      </c>
      <c r="F61" s="1581"/>
      <c r="G61" s="1581"/>
      <c r="H61" s="1581"/>
      <c r="I61" s="1609">
        <v>6</v>
      </c>
      <c r="J61" s="1609">
        <v>195</v>
      </c>
      <c r="K61" s="1581"/>
      <c r="L61" s="1622">
        <v>500</v>
      </c>
      <c r="M61" s="1622"/>
      <c r="N61" s="1581"/>
      <c r="O61" s="1581"/>
      <c r="P61" s="1581">
        <f t="shared" si="13"/>
        <v>500</v>
      </c>
      <c r="Q61" s="1581">
        <f>170*1.07</f>
        <v>181.9</v>
      </c>
      <c r="R61" s="1611">
        <f t="shared" si="14"/>
        <v>90950</v>
      </c>
      <c r="S61" s="1611">
        <f t="shared" si="15"/>
        <v>2714.9253731343283</v>
      </c>
      <c r="T61" s="1611">
        <f t="shared" si="16"/>
        <v>88235.074626865666</v>
      </c>
    </row>
    <row r="62" spans="1:21">
      <c r="A62" s="1581">
        <v>305</v>
      </c>
      <c r="B62" s="1618" t="s">
        <v>1493</v>
      </c>
      <c r="C62" s="1579" t="s">
        <v>1494</v>
      </c>
      <c r="D62" s="1618" t="s">
        <v>1022</v>
      </c>
      <c r="E62" s="1581">
        <v>12100</v>
      </c>
      <c r="F62" s="1581"/>
      <c r="G62" s="1581"/>
      <c r="H62" s="1581"/>
      <c r="I62" s="1609">
        <v>6</v>
      </c>
      <c r="J62" s="1609">
        <v>195</v>
      </c>
      <c r="K62" s="1581"/>
      <c r="L62" s="1610">
        <v>200</v>
      </c>
      <c r="M62" s="1610"/>
      <c r="N62" s="1581"/>
      <c r="O62" s="1581"/>
      <c r="P62" s="1581">
        <f t="shared" si="13"/>
        <v>200</v>
      </c>
      <c r="Q62" s="1581">
        <f>50*1.07</f>
        <v>53.5</v>
      </c>
      <c r="R62" s="1611">
        <f t="shared" si="14"/>
        <v>10700</v>
      </c>
      <c r="S62" s="1611">
        <f t="shared" si="15"/>
        <v>319.40298507462688</v>
      </c>
      <c r="T62" s="1611">
        <f t="shared" si="16"/>
        <v>10380.597014925374</v>
      </c>
    </row>
    <row r="63" spans="1:21">
      <c r="A63" s="1581">
        <v>304</v>
      </c>
      <c r="B63" s="1618" t="s">
        <v>1495</v>
      </c>
      <c r="C63" s="1579" t="s">
        <v>1505</v>
      </c>
      <c r="D63" s="1618" t="s">
        <v>1022</v>
      </c>
      <c r="E63" s="1581">
        <v>12100</v>
      </c>
      <c r="F63" s="1581"/>
      <c r="G63" s="1581"/>
      <c r="H63" s="1581"/>
      <c r="I63" s="1609">
        <v>6</v>
      </c>
      <c r="J63" s="1609">
        <v>195</v>
      </c>
      <c r="K63" s="1581"/>
      <c r="L63" s="1610">
        <v>50</v>
      </c>
      <c r="M63" s="1610"/>
      <c r="N63" s="1581"/>
      <c r="O63" s="1581"/>
      <c r="P63" s="1581">
        <f t="shared" si="13"/>
        <v>50</v>
      </c>
      <c r="Q63" s="1581">
        <f>1000*1.07</f>
        <v>1070</v>
      </c>
      <c r="R63" s="1611">
        <f t="shared" si="14"/>
        <v>53500</v>
      </c>
      <c r="S63" s="1611">
        <f t="shared" si="15"/>
        <v>1597.0149253731342</v>
      </c>
      <c r="T63" s="1611">
        <f t="shared" si="16"/>
        <v>51902.985074626864</v>
      </c>
    </row>
    <row r="64" spans="1:21">
      <c r="A64" s="1609">
        <v>290</v>
      </c>
      <c r="B64" s="1618" t="s">
        <v>1526</v>
      </c>
      <c r="C64" s="1579" t="s">
        <v>2136</v>
      </c>
      <c r="D64" s="1618" t="s">
        <v>1525</v>
      </c>
      <c r="E64" s="1581">
        <v>12100</v>
      </c>
      <c r="F64" s="1581"/>
      <c r="G64" s="1581"/>
      <c r="H64" s="1581"/>
      <c r="I64" s="1609">
        <v>6</v>
      </c>
      <c r="J64" s="1609">
        <v>195</v>
      </c>
      <c r="K64" s="1581"/>
      <c r="L64" s="1622">
        <v>10</v>
      </c>
      <c r="M64" s="1622"/>
      <c r="N64" s="1581"/>
      <c r="O64" s="1581"/>
      <c r="P64" s="1581">
        <f t="shared" si="13"/>
        <v>10</v>
      </c>
      <c r="Q64" s="1581">
        <f>1200*1.07</f>
        <v>1284</v>
      </c>
      <c r="R64" s="1611">
        <f t="shared" si="14"/>
        <v>12840</v>
      </c>
      <c r="S64" s="1611">
        <f t="shared" si="15"/>
        <v>383.28358208955223</v>
      </c>
      <c r="T64" s="1611">
        <f t="shared" si="16"/>
        <v>12456.716417910447</v>
      </c>
    </row>
    <row r="65" spans="1:26">
      <c r="A65" s="1609">
        <v>289</v>
      </c>
      <c r="B65" s="1618" t="s">
        <v>1526</v>
      </c>
      <c r="C65" s="1579" t="s">
        <v>3180</v>
      </c>
      <c r="D65" s="1618" t="s">
        <v>1022</v>
      </c>
      <c r="E65" s="1581">
        <v>12100</v>
      </c>
      <c r="F65" s="1581"/>
      <c r="G65" s="1581"/>
      <c r="H65" s="1581"/>
      <c r="I65" s="1609">
        <v>6</v>
      </c>
      <c r="J65" s="1609">
        <v>195</v>
      </c>
      <c r="K65" s="1581"/>
      <c r="L65" s="1622">
        <v>6</v>
      </c>
      <c r="M65" s="1622"/>
      <c r="N65" s="1581"/>
      <c r="O65" s="1581"/>
      <c r="P65" s="1581">
        <f t="shared" si="13"/>
        <v>6</v>
      </c>
      <c r="Q65" s="1581">
        <f>2000*1.07</f>
        <v>2140</v>
      </c>
      <c r="R65" s="1611">
        <f t="shared" si="14"/>
        <v>12840</v>
      </c>
      <c r="S65" s="1611">
        <f t="shared" si="15"/>
        <v>383.28358208955223</v>
      </c>
      <c r="T65" s="1611">
        <f t="shared" si="16"/>
        <v>12456.716417910447</v>
      </c>
    </row>
    <row r="66" spans="1:26">
      <c r="A66" s="1609">
        <v>295</v>
      </c>
      <c r="B66" s="1618" t="s">
        <v>1532</v>
      </c>
      <c r="C66" s="1579" t="s">
        <v>1533</v>
      </c>
      <c r="D66" s="1618" t="s">
        <v>1022</v>
      </c>
      <c r="E66" s="1581">
        <v>12100</v>
      </c>
      <c r="F66" s="1581"/>
      <c r="G66" s="1581"/>
      <c r="H66" s="1581"/>
      <c r="I66" s="1609">
        <v>6</v>
      </c>
      <c r="J66" s="1609">
        <v>195</v>
      </c>
      <c r="K66" s="1581"/>
      <c r="L66" s="1622">
        <v>1</v>
      </c>
      <c r="M66" s="1622"/>
      <c r="N66" s="1581"/>
      <c r="O66" s="1581"/>
      <c r="P66" s="1581">
        <f t="shared" si="13"/>
        <v>1</v>
      </c>
      <c r="Q66" s="1581">
        <f>4500*1.07</f>
        <v>4815</v>
      </c>
      <c r="R66" s="1611">
        <f t="shared" si="14"/>
        <v>4815</v>
      </c>
      <c r="S66" s="1611">
        <f t="shared" si="15"/>
        <v>143.73134328358208</v>
      </c>
      <c r="T66" s="1611">
        <f t="shared" si="16"/>
        <v>4671.2686567164183</v>
      </c>
    </row>
    <row r="67" spans="1:26">
      <c r="A67" s="1609">
        <v>297</v>
      </c>
      <c r="B67" s="1618" t="s">
        <v>1154</v>
      </c>
      <c r="C67" s="1579" t="s">
        <v>1542</v>
      </c>
      <c r="D67" s="1618" t="s">
        <v>1022</v>
      </c>
      <c r="E67" s="1581">
        <v>12100</v>
      </c>
      <c r="F67" s="1581"/>
      <c r="G67" s="1581"/>
      <c r="H67" s="1581"/>
      <c r="I67" s="1609">
        <v>6</v>
      </c>
      <c r="J67" s="1609">
        <v>195</v>
      </c>
      <c r="K67" s="1581"/>
      <c r="L67" s="1622">
        <v>1</v>
      </c>
      <c r="M67" s="1622"/>
      <c r="N67" s="1581"/>
      <c r="O67" s="1581"/>
      <c r="P67" s="1581">
        <f t="shared" si="13"/>
        <v>1</v>
      </c>
      <c r="Q67" s="1581">
        <f>750*1.07</f>
        <v>802.5</v>
      </c>
      <c r="R67" s="1611">
        <f t="shared" si="14"/>
        <v>802.5</v>
      </c>
      <c r="S67" s="1611">
        <f t="shared" si="15"/>
        <v>23.955223880597014</v>
      </c>
      <c r="T67" s="1611">
        <f t="shared" si="16"/>
        <v>778.54477611940297</v>
      </c>
    </row>
    <row r="68" spans="1:26">
      <c r="A68" s="1609">
        <v>265</v>
      </c>
      <c r="B68" s="1625" t="s">
        <v>1555</v>
      </c>
      <c r="C68" s="1579" t="s">
        <v>1556</v>
      </c>
      <c r="D68" s="1610" t="s">
        <v>1290</v>
      </c>
      <c r="E68" s="1581">
        <v>12100</v>
      </c>
      <c r="F68" s="1581"/>
      <c r="G68" s="1581"/>
      <c r="H68" s="1581"/>
      <c r="I68" s="1609">
        <v>6</v>
      </c>
      <c r="J68" s="1609">
        <v>195</v>
      </c>
      <c r="K68" s="1581"/>
      <c r="L68" s="1610">
        <v>59</v>
      </c>
      <c r="M68" s="1583">
        <v>59</v>
      </c>
      <c r="N68" s="1581"/>
      <c r="O68" s="1581"/>
      <c r="P68" s="1581">
        <f t="shared" si="13"/>
        <v>59</v>
      </c>
      <c r="Q68" s="1581">
        <f>260*1.07</f>
        <v>278.2</v>
      </c>
      <c r="R68" s="1611">
        <f t="shared" si="14"/>
        <v>16413.8</v>
      </c>
      <c r="S68" s="1611">
        <f t="shared" si="15"/>
        <v>489.96417910447758</v>
      </c>
      <c r="T68" s="1611">
        <f t="shared" si="16"/>
        <v>15923.835820895521</v>
      </c>
      <c r="U68" s="1645">
        <f>2*2*297/20</f>
        <v>59.4</v>
      </c>
    </row>
    <row r="69" spans="1:26">
      <c r="A69" s="1609">
        <v>266</v>
      </c>
      <c r="B69" s="1625" t="s">
        <v>1555</v>
      </c>
      <c r="C69" s="1579" t="s">
        <v>1557</v>
      </c>
      <c r="D69" s="1610" t="s">
        <v>1290</v>
      </c>
      <c r="E69" s="1581">
        <v>12100</v>
      </c>
      <c r="F69" s="1581"/>
      <c r="G69" s="1581"/>
      <c r="H69" s="1581"/>
      <c r="I69" s="1609">
        <v>6</v>
      </c>
      <c r="J69" s="1609">
        <v>195</v>
      </c>
      <c r="K69" s="1581"/>
      <c r="L69" s="1610">
        <v>1782</v>
      </c>
      <c r="M69" s="1610">
        <v>1782</v>
      </c>
      <c r="N69" s="1581"/>
      <c r="O69" s="1581"/>
      <c r="P69" s="1581">
        <f t="shared" si="13"/>
        <v>1782</v>
      </c>
      <c r="Q69" s="1581">
        <f>250*1.07</f>
        <v>267.5</v>
      </c>
      <c r="R69" s="1611">
        <f t="shared" si="14"/>
        <v>476685</v>
      </c>
      <c r="S69" s="1611">
        <f t="shared" si="15"/>
        <v>14229.402985074626</v>
      </c>
      <c r="T69" s="1611">
        <f t="shared" si="16"/>
        <v>462455.59701492538</v>
      </c>
      <c r="U69" s="1580">
        <f>120*297/20</f>
        <v>1782</v>
      </c>
    </row>
    <row r="70" spans="1:26">
      <c r="A70" s="1609">
        <v>285</v>
      </c>
      <c r="B70" s="1618" t="s">
        <v>1558</v>
      </c>
      <c r="C70" s="1579" t="s">
        <v>1559</v>
      </c>
      <c r="D70" s="1618" t="s">
        <v>1022</v>
      </c>
      <c r="E70" s="1581">
        <v>12100</v>
      </c>
      <c r="F70" s="1581"/>
      <c r="G70" s="1581"/>
      <c r="H70" s="1581"/>
      <c r="I70" s="1609">
        <v>6</v>
      </c>
      <c r="J70" s="1609">
        <v>195</v>
      </c>
      <c r="K70" s="1581"/>
      <c r="L70" s="1622">
        <v>100</v>
      </c>
      <c r="M70" s="1622"/>
      <c r="N70" s="1581"/>
      <c r="O70" s="1581"/>
      <c r="P70" s="1581">
        <f t="shared" si="13"/>
        <v>100</v>
      </c>
      <c r="Q70" s="1581">
        <f>150*1.07</f>
        <v>160.5</v>
      </c>
      <c r="R70" s="1611">
        <f t="shared" si="14"/>
        <v>16050</v>
      </c>
      <c r="S70" s="1611">
        <f t="shared" si="15"/>
        <v>479.1044776119403</v>
      </c>
      <c r="T70" s="1611">
        <f t="shared" si="16"/>
        <v>15570.89552238806</v>
      </c>
    </row>
    <row r="71" spans="1:26">
      <c r="A71" s="1609">
        <v>179</v>
      </c>
      <c r="B71" s="1618" t="s">
        <v>1562</v>
      </c>
      <c r="C71" s="1579" t="s">
        <v>1563</v>
      </c>
      <c r="D71" s="1618" t="s">
        <v>1564</v>
      </c>
      <c r="E71" s="1581">
        <v>12100</v>
      </c>
      <c r="F71" s="1581"/>
      <c r="G71" s="1581"/>
      <c r="H71" s="1581"/>
      <c r="I71" s="1609">
        <v>6</v>
      </c>
      <c r="J71" s="1609">
        <v>195</v>
      </c>
      <c r="K71" s="1581"/>
      <c r="L71" s="1622">
        <f>M71</f>
        <v>144</v>
      </c>
      <c r="M71" s="1622">
        <v>144</v>
      </c>
      <c r="N71" s="1581"/>
      <c r="O71" s="1581"/>
      <c r="P71" s="1581">
        <f t="shared" si="13"/>
        <v>144</v>
      </c>
      <c r="Q71" s="1581">
        <f>60*1.07</f>
        <v>64.2</v>
      </c>
      <c r="R71" s="1611">
        <f t="shared" si="14"/>
        <v>9244.8000000000011</v>
      </c>
      <c r="S71" s="1611">
        <f t="shared" si="15"/>
        <v>275.96417910447764</v>
      </c>
      <c r="T71" s="1611">
        <f t="shared" si="16"/>
        <v>8968.8358208955233</v>
      </c>
      <c r="U71" s="1580">
        <f>2*2*36</f>
        <v>144</v>
      </c>
    </row>
    <row r="72" spans="1:26" ht="0.75" customHeight="1">
      <c r="A72" s="1609"/>
      <c r="B72" s="1618"/>
      <c r="D72" s="1618" t="s">
        <v>1565</v>
      </c>
      <c r="E72" s="1581">
        <v>12100</v>
      </c>
      <c r="F72" s="1581"/>
      <c r="G72" s="1581"/>
      <c r="H72" s="1581"/>
      <c r="I72" s="1609"/>
      <c r="J72" s="1609">
        <v>195</v>
      </c>
      <c r="K72" s="1581"/>
      <c r="L72" s="1622"/>
      <c r="M72" s="1622"/>
      <c r="N72" s="1581"/>
      <c r="O72" s="1581"/>
      <c r="P72" s="1581"/>
      <c r="Q72" s="1581"/>
      <c r="R72" s="1611"/>
      <c r="S72" s="1611"/>
      <c r="T72" s="1611"/>
    </row>
    <row r="73" spans="1:26" ht="25.5">
      <c r="A73" s="1609">
        <v>267</v>
      </c>
      <c r="B73" s="1618" t="s">
        <v>1568</v>
      </c>
      <c r="C73" s="1579" t="s">
        <v>1570</v>
      </c>
      <c r="D73" s="1610" t="s">
        <v>1564</v>
      </c>
      <c r="E73" s="1581">
        <v>12100</v>
      </c>
      <c r="F73" s="1581"/>
      <c r="G73" s="1581"/>
      <c r="H73" s="1581"/>
      <c r="I73" s="1609">
        <v>6</v>
      </c>
      <c r="J73" s="1609">
        <v>195</v>
      </c>
      <c r="K73" s="1581"/>
      <c r="L73" s="1610">
        <v>2208</v>
      </c>
      <c r="M73" s="1610">
        <v>2208</v>
      </c>
      <c r="N73" s="1581"/>
      <c r="O73" s="1581"/>
      <c r="P73" s="1581">
        <f>L73-O73</f>
        <v>2208</v>
      </c>
      <c r="Q73" s="1581">
        <f>220*1.07</f>
        <v>235.4</v>
      </c>
      <c r="R73" s="1611">
        <f>P73*Q73</f>
        <v>519763.20000000001</v>
      </c>
      <c r="S73" s="1611">
        <f>R73*(I73/(I73+J73+K73))</f>
        <v>15515.319402985075</v>
      </c>
      <c r="T73" s="1611">
        <f>R73-S73</f>
        <v>504247.88059701491</v>
      </c>
      <c r="U73" s="1580">
        <f>46*48</f>
        <v>2208</v>
      </c>
    </row>
    <row r="74" spans="1:26" hidden="1">
      <c r="A74" s="1581"/>
      <c r="B74" s="1056" t="s">
        <v>1571</v>
      </c>
      <c r="C74" s="917" t="s">
        <v>1572</v>
      </c>
      <c r="D74" s="1609" t="s">
        <v>1022</v>
      </c>
      <c r="E74" s="1581">
        <v>12100</v>
      </c>
      <c r="F74" s="1609"/>
      <c r="G74" s="1609"/>
      <c r="H74" s="1609"/>
      <c r="I74" s="1609"/>
      <c r="J74" s="1609">
        <v>195</v>
      </c>
      <c r="K74" s="1609"/>
      <c r="L74" s="1581"/>
      <c r="M74" s="1581"/>
      <c r="N74" s="1609"/>
      <c r="O74" s="1609"/>
      <c r="P74" s="1581"/>
      <c r="Q74" s="1610"/>
      <c r="R74" s="1611"/>
      <c r="S74" s="1611"/>
      <c r="T74" s="1611"/>
    </row>
    <row r="75" spans="1:26">
      <c r="A75" s="1609">
        <v>291</v>
      </c>
      <c r="B75" s="1618" t="s">
        <v>2423</v>
      </c>
      <c r="C75" s="1579" t="s">
        <v>3181</v>
      </c>
      <c r="D75" s="1618" t="s">
        <v>1022</v>
      </c>
      <c r="E75" s="1581">
        <v>12100</v>
      </c>
      <c r="F75" s="1581"/>
      <c r="G75" s="1581"/>
      <c r="H75" s="1581"/>
      <c r="I75" s="1609">
        <v>6</v>
      </c>
      <c r="J75" s="1609">
        <v>195</v>
      </c>
      <c r="K75" s="1581"/>
      <c r="L75" s="1622">
        <v>1</v>
      </c>
      <c r="M75" s="1622"/>
      <c r="N75" s="1581"/>
      <c r="O75" s="1581"/>
      <c r="P75" s="1581">
        <f t="shared" ref="P75:P83" si="17">L75-O75</f>
        <v>1</v>
      </c>
      <c r="Q75" s="1581">
        <f>650*1.07</f>
        <v>695.5</v>
      </c>
      <c r="R75" s="1611">
        <f t="shared" ref="R75:R83" si="18">P75*Q75</f>
        <v>695.5</v>
      </c>
      <c r="S75" s="1611">
        <f t="shared" ref="S75:S83" si="19">R75*(I75/(I75+J75+K75))</f>
        <v>20.761194029850746</v>
      </c>
      <c r="T75" s="1611">
        <f t="shared" ref="T75:T83" si="20">R75-S75</f>
        <v>674.7388059701492</v>
      </c>
    </row>
    <row r="76" spans="1:26">
      <c r="A76" s="1609">
        <v>292</v>
      </c>
      <c r="B76" s="1653" t="s">
        <v>3182</v>
      </c>
      <c r="C76" s="1647" t="s">
        <v>1582</v>
      </c>
      <c r="D76" s="1618" t="s">
        <v>1022</v>
      </c>
      <c r="E76" s="1581">
        <v>12100</v>
      </c>
      <c r="F76" s="1581"/>
      <c r="G76" s="1581"/>
      <c r="H76" s="1581"/>
      <c r="I76" s="1609">
        <v>6</v>
      </c>
      <c r="J76" s="1609">
        <v>195</v>
      </c>
      <c r="K76" s="1581"/>
      <c r="L76" s="1622">
        <v>3</v>
      </c>
      <c r="M76" s="1622"/>
      <c r="N76" s="1581"/>
      <c r="O76" s="1581"/>
      <c r="P76" s="1581">
        <f t="shared" si="17"/>
        <v>3</v>
      </c>
      <c r="Q76" s="1581">
        <f>1000*1.07</f>
        <v>1070</v>
      </c>
      <c r="R76" s="1611">
        <f t="shared" si="18"/>
        <v>3210</v>
      </c>
      <c r="S76" s="1611">
        <f t="shared" si="19"/>
        <v>95.820895522388057</v>
      </c>
      <c r="T76" s="1611">
        <f t="shared" si="20"/>
        <v>3114.1791044776119</v>
      </c>
    </row>
    <row r="77" spans="1:26" ht="25.5">
      <c r="A77" s="1609">
        <v>293</v>
      </c>
      <c r="B77" s="1618" t="s">
        <v>1583</v>
      </c>
      <c r="C77" s="1579" t="s">
        <v>1584</v>
      </c>
      <c r="D77" s="1618" t="s">
        <v>1022</v>
      </c>
      <c r="E77" s="1581">
        <v>12100</v>
      </c>
      <c r="F77" s="1581"/>
      <c r="G77" s="1581"/>
      <c r="H77" s="1581"/>
      <c r="I77" s="1609">
        <v>6</v>
      </c>
      <c r="J77" s="1609">
        <v>195</v>
      </c>
      <c r="K77" s="1581"/>
      <c r="L77" s="1622">
        <v>1</v>
      </c>
      <c r="M77" s="1622"/>
      <c r="N77" s="1581"/>
      <c r="O77" s="1581"/>
      <c r="P77" s="1581">
        <f t="shared" si="17"/>
        <v>1</v>
      </c>
      <c r="Q77" s="1581">
        <f>650*1.07</f>
        <v>695.5</v>
      </c>
      <c r="R77" s="1611">
        <f t="shared" si="18"/>
        <v>695.5</v>
      </c>
      <c r="S77" s="1611">
        <f t="shared" si="19"/>
        <v>20.761194029850746</v>
      </c>
      <c r="T77" s="1611">
        <f t="shared" si="20"/>
        <v>674.7388059701492</v>
      </c>
      <c r="W77" s="357" t="s">
        <v>3183</v>
      </c>
      <c r="X77" s="357" t="s">
        <v>3184</v>
      </c>
      <c r="Y77" s="1580" t="s">
        <v>3185</v>
      </c>
      <c r="Z77" s="357" t="s">
        <v>3186</v>
      </c>
    </row>
    <row r="78" spans="1:26">
      <c r="A78" s="1609">
        <v>177</v>
      </c>
      <c r="B78" s="1618" t="s">
        <v>1588</v>
      </c>
      <c r="C78" s="1579" t="s">
        <v>1589</v>
      </c>
      <c r="D78" s="1622" t="s">
        <v>1590</v>
      </c>
      <c r="E78" s="1581">
        <v>12100</v>
      </c>
      <c r="F78" s="1581"/>
      <c r="G78" s="1581"/>
      <c r="H78" s="1581"/>
      <c r="I78" s="1609">
        <v>6</v>
      </c>
      <c r="J78" s="1609">
        <v>195</v>
      </c>
      <c r="K78" s="1581"/>
      <c r="L78" s="1618">
        <v>252</v>
      </c>
      <c r="M78" s="1618">
        <v>252</v>
      </c>
      <c r="N78" s="1581"/>
      <c r="O78" s="1581"/>
      <c r="P78" s="1581">
        <f t="shared" si="17"/>
        <v>252</v>
      </c>
      <c r="Q78" s="1581">
        <f>150*1.07</f>
        <v>160.5</v>
      </c>
      <c r="R78" s="1611">
        <f t="shared" si="18"/>
        <v>40446</v>
      </c>
      <c r="S78" s="1611">
        <f t="shared" si="19"/>
        <v>1207.3432835820895</v>
      </c>
      <c r="T78" s="1611">
        <f t="shared" si="20"/>
        <v>39238.656716417914</v>
      </c>
      <c r="U78" s="1578" t="s">
        <v>2230</v>
      </c>
      <c r="W78" s="1580">
        <f>12100/500*0.6</f>
        <v>14.52</v>
      </c>
      <c r="X78" s="1645">
        <f>W78*8</f>
        <v>116.16</v>
      </c>
      <c r="Y78" s="1580">
        <f>22739/500*0.6</f>
        <v>27.286799999999999</v>
      </c>
      <c r="Z78" s="1645">
        <f>Y78*5</f>
        <v>136.434</v>
      </c>
    </row>
    <row r="79" spans="1:26">
      <c r="A79" s="1609">
        <v>277</v>
      </c>
      <c r="B79" s="1618" t="s">
        <v>1600</v>
      </c>
      <c r="C79" s="1579" t="s">
        <v>1601</v>
      </c>
      <c r="D79" s="1618" t="s">
        <v>1022</v>
      </c>
      <c r="E79" s="1581">
        <v>12100</v>
      </c>
      <c r="F79" s="1581"/>
      <c r="G79" s="1581"/>
      <c r="H79" s="1581"/>
      <c r="I79" s="1609">
        <v>6</v>
      </c>
      <c r="J79" s="1609">
        <v>195</v>
      </c>
      <c r="K79" s="1581"/>
      <c r="L79" s="1622">
        <v>50</v>
      </c>
      <c r="M79" s="1622"/>
      <c r="N79" s="1581"/>
      <c r="O79" s="1581"/>
      <c r="P79" s="1581">
        <f t="shared" si="17"/>
        <v>50</v>
      </c>
      <c r="Q79" s="1581">
        <f>250*1.07</f>
        <v>267.5</v>
      </c>
      <c r="R79" s="1611">
        <f t="shared" si="18"/>
        <v>13375</v>
      </c>
      <c r="S79" s="1611">
        <f t="shared" si="19"/>
        <v>399.25373134328356</v>
      </c>
      <c r="T79" s="1611">
        <f t="shared" si="20"/>
        <v>12975.746268656716</v>
      </c>
    </row>
    <row r="80" spans="1:26">
      <c r="A80" s="1609">
        <v>278</v>
      </c>
      <c r="B80" s="1618" t="s">
        <v>1600</v>
      </c>
      <c r="C80" s="1579" t="s">
        <v>1602</v>
      </c>
      <c r="D80" s="1618" t="s">
        <v>1022</v>
      </c>
      <c r="E80" s="1581">
        <v>12100</v>
      </c>
      <c r="F80" s="1581"/>
      <c r="G80" s="1581"/>
      <c r="H80" s="1581"/>
      <c r="I80" s="1609">
        <v>6</v>
      </c>
      <c r="J80" s="1609">
        <v>195</v>
      </c>
      <c r="K80" s="1581"/>
      <c r="L80" s="1622">
        <v>50</v>
      </c>
      <c r="M80" s="1622"/>
      <c r="N80" s="1581"/>
      <c r="O80" s="1581"/>
      <c r="P80" s="1581">
        <f t="shared" si="17"/>
        <v>50</v>
      </c>
      <c r="Q80" s="1581">
        <f>1000*1.07</f>
        <v>1070</v>
      </c>
      <c r="R80" s="1611">
        <f t="shared" si="18"/>
        <v>53500</v>
      </c>
      <c r="S80" s="1611">
        <f t="shared" si="19"/>
        <v>1597.0149253731342</v>
      </c>
      <c r="T80" s="1611">
        <f t="shared" si="20"/>
        <v>51902.985074626864</v>
      </c>
    </row>
    <row r="81" spans="1:21">
      <c r="A81" s="1609">
        <v>268</v>
      </c>
      <c r="B81" s="1618" t="s">
        <v>1628</v>
      </c>
      <c r="C81" s="1579" t="s">
        <v>1629</v>
      </c>
      <c r="D81" s="1618" t="s">
        <v>1022</v>
      </c>
      <c r="E81" s="1581">
        <v>12100</v>
      </c>
      <c r="F81" s="1581"/>
      <c r="G81" s="1581"/>
      <c r="H81" s="1581"/>
      <c r="I81" s="1609">
        <v>6</v>
      </c>
      <c r="J81" s="1609">
        <v>195</v>
      </c>
      <c r="K81" s="1581"/>
      <c r="L81" s="1622">
        <v>78</v>
      </c>
      <c r="M81" s="1622"/>
      <c r="N81" s="1581"/>
      <c r="O81" s="1581"/>
      <c r="P81" s="1581">
        <f t="shared" si="17"/>
        <v>78</v>
      </c>
      <c r="Q81" s="1581">
        <f>6000*1.07</f>
        <v>6420</v>
      </c>
      <c r="R81" s="1611">
        <f t="shared" si="18"/>
        <v>500760</v>
      </c>
      <c r="S81" s="1611">
        <f t="shared" si="19"/>
        <v>14948.059701492537</v>
      </c>
      <c r="T81" s="1611">
        <f t="shared" si="20"/>
        <v>485811.94029850746</v>
      </c>
    </row>
    <row r="82" spans="1:21">
      <c r="A82" s="1609">
        <v>269</v>
      </c>
      <c r="B82" s="1618" t="s">
        <v>1630</v>
      </c>
      <c r="C82" s="1579" t="s">
        <v>1631</v>
      </c>
      <c r="D82" s="1618" t="s">
        <v>1022</v>
      </c>
      <c r="E82" s="1581">
        <v>12100</v>
      </c>
      <c r="F82" s="1581"/>
      <c r="G82" s="1581"/>
      <c r="H82" s="1581"/>
      <c r="I82" s="1609">
        <v>6</v>
      </c>
      <c r="J82" s="1609">
        <v>195</v>
      </c>
      <c r="K82" s="1581"/>
      <c r="L82" s="1622">
        <v>50</v>
      </c>
      <c r="M82" s="1622"/>
      <c r="N82" s="1581"/>
      <c r="O82" s="1581"/>
      <c r="P82" s="1581">
        <f t="shared" si="17"/>
        <v>50</v>
      </c>
      <c r="Q82" s="1581">
        <f>5000*1.07</f>
        <v>5350</v>
      </c>
      <c r="R82" s="1611">
        <f t="shared" si="18"/>
        <v>267500</v>
      </c>
      <c r="S82" s="1611">
        <f t="shared" si="19"/>
        <v>7985.0746268656712</v>
      </c>
      <c r="T82" s="1611">
        <f t="shared" si="20"/>
        <v>259514.92537313432</v>
      </c>
    </row>
    <row r="83" spans="1:21" ht="25.5">
      <c r="A83" s="1609">
        <v>284</v>
      </c>
      <c r="B83" s="1618" t="s">
        <v>1638</v>
      </c>
      <c r="C83" s="1579" t="s">
        <v>1639</v>
      </c>
      <c r="D83" s="1618" t="s">
        <v>1022</v>
      </c>
      <c r="E83" s="1581">
        <v>12100</v>
      </c>
      <c r="F83" s="1581"/>
      <c r="G83" s="1581"/>
      <c r="H83" s="1581"/>
      <c r="I83" s="1609">
        <v>6</v>
      </c>
      <c r="J83" s="1609">
        <v>195</v>
      </c>
      <c r="K83" s="1581"/>
      <c r="L83" s="1622">
        <v>50</v>
      </c>
      <c r="M83" s="1622"/>
      <c r="N83" s="1581"/>
      <c r="O83" s="1581"/>
      <c r="P83" s="1581">
        <f t="shared" si="17"/>
        <v>50</v>
      </c>
      <c r="Q83" s="1581">
        <f>4500*1.07</f>
        <v>4815</v>
      </c>
      <c r="R83" s="1611">
        <f t="shared" si="18"/>
        <v>240750</v>
      </c>
      <c r="S83" s="1611">
        <f t="shared" si="19"/>
        <v>7186.5671641791041</v>
      </c>
      <c r="T83" s="1611">
        <f t="shared" si="20"/>
        <v>233563.43283582089</v>
      </c>
    </row>
    <row r="84" spans="1:21">
      <c r="A84" s="1609">
        <v>273</v>
      </c>
      <c r="B84" s="1618" t="s">
        <v>1698</v>
      </c>
      <c r="C84" s="1579" t="s">
        <v>1699</v>
      </c>
      <c r="D84" s="1618" t="s">
        <v>1022</v>
      </c>
      <c r="E84" s="1581">
        <v>12100</v>
      </c>
      <c r="F84" s="1581"/>
      <c r="G84" s="1581"/>
      <c r="H84" s="1581"/>
      <c r="I84" s="1609">
        <v>6</v>
      </c>
      <c r="J84" s="1609">
        <v>195</v>
      </c>
      <c r="K84" s="1581"/>
      <c r="L84" s="1622">
        <v>50</v>
      </c>
      <c r="M84" s="1622"/>
      <c r="N84" s="1581"/>
      <c r="O84" s="1581"/>
      <c r="P84" s="1581">
        <f>L84-O84</f>
        <v>50</v>
      </c>
      <c r="Q84" s="1581">
        <f>1200*1.07</f>
        <v>1284</v>
      </c>
      <c r="R84" s="1611">
        <f>P84*Q84</f>
        <v>64200</v>
      </c>
      <c r="S84" s="1611">
        <f>R84*(I84/(I84+J84+K84))</f>
        <v>1916.4179104477612</v>
      </c>
      <c r="T84" s="1611">
        <f>R84-S84</f>
        <v>62283.582089552241</v>
      </c>
    </row>
    <row r="85" spans="1:21">
      <c r="A85" s="1609">
        <v>272</v>
      </c>
      <c r="B85" s="1618" t="s">
        <v>1700</v>
      </c>
      <c r="C85" s="1579" t="s">
        <v>1701</v>
      </c>
      <c r="D85" s="1618" t="s">
        <v>1022</v>
      </c>
      <c r="E85" s="1581">
        <v>12100</v>
      </c>
      <c r="F85" s="1581"/>
      <c r="G85" s="1581"/>
      <c r="H85" s="1581"/>
      <c r="I85" s="1609">
        <v>6</v>
      </c>
      <c r="J85" s="1609">
        <v>195</v>
      </c>
      <c r="K85" s="1581"/>
      <c r="L85" s="1622">
        <v>50</v>
      </c>
      <c r="M85" s="1622"/>
      <c r="N85" s="1581"/>
      <c r="O85" s="1581"/>
      <c r="P85" s="1581">
        <f>L85-O85</f>
        <v>50</v>
      </c>
      <c r="Q85" s="1581">
        <f>1200*1.07</f>
        <v>1284</v>
      </c>
      <c r="R85" s="1611">
        <f>P85*Q85</f>
        <v>64200</v>
      </c>
      <c r="S85" s="1611">
        <f>R85*(I85/(I85+J85+K85))</f>
        <v>1916.4179104477612</v>
      </c>
      <c r="T85" s="1611">
        <f>R85-S85</f>
        <v>62283.582089552241</v>
      </c>
    </row>
    <row r="86" spans="1:21" ht="38.25">
      <c r="A86" s="1609"/>
      <c r="B86" s="1056" t="s">
        <v>1691</v>
      </c>
      <c r="C86" s="917" t="s">
        <v>1692</v>
      </c>
      <c r="D86" s="1618" t="s">
        <v>1022</v>
      </c>
      <c r="E86" s="1581">
        <v>12100</v>
      </c>
      <c r="F86" s="1581"/>
      <c r="G86" s="1581"/>
      <c r="H86" s="1581"/>
      <c r="I86" s="1609">
        <v>6</v>
      </c>
      <c r="J86" s="1609">
        <v>195</v>
      </c>
      <c r="K86" s="1581"/>
      <c r="L86" s="1622">
        <v>150</v>
      </c>
      <c r="M86" s="1622"/>
      <c r="N86" s="1581"/>
      <c r="O86" s="1581"/>
      <c r="P86" s="1581">
        <f>L86-O86</f>
        <v>150</v>
      </c>
      <c r="Q86" s="1581">
        <f>600*1.07</f>
        <v>642</v>
      </c>
      <c r="R86" s="1611">
        <f>P86*Q86</f>
        <v>96300</v>
      </c>
      <c r="S86" s="1611">
        <f>R86*(I86/(I86+J86+K86))</f>
        <v>2874.6268656716416</v>
      </c>
      <c r="T86" s="1611">
        <f>R86-S86</f>
        <v>93425.373134328358</v>
      </c>
    </row>
    <row r="87" spans="1:21" ht="25.5">
      <c r="A87" s="1581">
        <v>313</v>
      </c>
      <c r="B87" s="1579" t="s">
        <v>1712</v>
      </c>
      <c r="C87" s="1579" t="s">
        <v>1713</v>
      </c>
      <c r="D87" s="1625" t="s">
        <v>1268</v>
      </c>
      <c r="E87" s="1581">
        <v>12100</v>
      </c>
      <c r="F87" s="1581"/>
      <c r="G87" s="1581"/>
      <c r="H87" s="1581"/>
      <c r="I87" s="1609">
        <v>6</v>
      </c>
      <c r="J87" s="1609">
        <v>195</v>
      </c>
      <c r="K87" s="1581"/>
      <c r="L87" s="1625">
        <v>40</v>
      </c>
      <c r="M87" s="1625"/>
      <c r="N87" s="1581"/>
      <c r="O87" s="1581"/>
      <c r="P87" s="1581">
        <f>L87-O87</f>
        <v>40</v>
      </c>
      <c r="Q87" s="1581">
        <f>450*1.07</f>
        <v>481.5</v>
      </c>
      <c r="R87" s="1611">
        <f>P87*Q87</f>
        <v>19260</v>
      </c>
      <c r="S87" s="1611">
        <f>R87*(I87/(I87+J87+K87))</f>
        <v>574.92537313432831</v>
      </c>
      <c r="T87" s="1611">
        <f>R87-S87</f>
        <v>18685.074626865673</v>
      </c>
    </row>
    <row r="88" spans="1:21" hidden="1">
      <c r="A88" s="1581"/>
      <c r="B88" s="1579" t="s">
        <v>1712</v>
      </c>
      <c r="C88" s="1579" t="s">
        <v>1715</v>
      </c>
      <c r="D88" s="1625" t="s">
        <v>1290</v>
      </c>
      <c r="E88" s="1581">
        <v>12100</v>
      </c>
      <c r="F88" s="1581"/>
      <c r="G88" s="1581"/>
      <c r="H88" s="1581"/>
      <c r="I88" s="1609"/>
      <c r="J88" s="1609">
        <v>195</v>
      </c>
      <c r="K88" s="1581"/>
      <c r="L88" s="1625"/>
      <c r="M88" s="1625"/>
      <c r="N88" s="1581"/>
      <c r="O88" s="1581"/>
      <c r="P88" s="1581"/>
      <c r="Q88" s="1581"/>
      <c r="R88" s="1611"/>
      <c r="S88" s="1611"/>
      <c r="T88" s="1611"/>
      <c r="U88" s="1580" t="s">
        <v>1716</v>
      </c>
    </row>
    <row r="89" spans="1:21" ht="38.25">
      <c r="A89" s="1609"/>
      <c r="B89" s="1618" t="s">
        <v>1732</v>
      </c>
      <c r="C89" s="1579" t="s">
        <v>1734</v>
      </c>
      <c r="D89" s="1618"/>
      <c r="E89" s="1581">
        <v>12100</v>
      </c>
      <c r="F89" s="1581"/>
      <c r="G89" s="1581"/>
      <c r="H89" s="1581"/>
      <c r="I89" s="1609">
        <v>6</v>
      </c>
      <c r="J89" s="1609">
        <v>195</v>
      </c>
      <c r="K89" s="1581"/>
      <c r="L89" s="1620">
        <v>40</v>
      </c>
      <c r="M89" s="1620"/>
      <c r="N89" s="1581"/>
      <c r="O89" s="1581"/>
      <c r="P89" s="1581">
        <f t="shared" ref="P89:P94" si="21">L89-O89</f>
        <v>40</v>
      </c>
      <c r="Q89" s="1581">
        <f>1500*1.07</f>
        <v>1605</v>
      </c>
      <c r="R89" s="1611">
        <f t="shared" ref="R89:R94" si="22">P89*Q89</f>
        <v>64200</v>
      </c>
      <c r="S89" s="1611">
        <f t="shared" ref="S89:S94" si="23">R89*(I89/(I89+J89+K89))</f>
        <v>1916.4179104477612</v>
      </c>
      <c r="T89" s="1611">
        <f t="shared" ref="T89:T94" si="24">R89-S89</f>
        <v>62283.582089552241</v>
      </c>
    </row>
    <row r="90" spans="1:21">
      <c r="A90" s="1581">
        <v>321</v>
      </c>
      <c r="B90" s="1056" t="s">
        <v>1761</v>
      </c>
      <c r="C90" s="1579" t="s">
        <v>1762</v>
      </c>
      <c r="D90" s="1625" t="s">
        <v>1022</v>
      </c>
      <c r="E90" s="1581">
        <v>12100</v>
      </c>
      <c r="F90" s="1581"/>
      <c r="G90" s="1581"/>
      <c r="H90" s="1581"/>
      <c r="I90" s="1609">
        <v>6</v>
      </c>
      <c r="J90" s="1609">
        <v>195</v>
      </c>
      <c r="K90" s="1581"/>
      <c r="L90" s="1625">
        <v>10</v>
      </c>
      <c r="M90" s="1625"/>
      <c r="N90" s="1581"/>
      <c r="O90" s="1581"/>
      <c r="P90" s="1581">
        <f t="shared" si="21"/>
        <v>10</v>
      </c>
      <c r="Q90" s="1056">
        <f>2500*1.07</f>
        <v>2675</v>
      </c>
      <c r="R90" s="1611">
        <f t="shared" si="22"/>
        <v>26750</v>
      </c>
      <c r="S90" s="1611">
        <f t="shared" si="23"/>
        <v>798.50746268656712</v>
      </c>
      <c r="T90" s="1611">
        <f t="shared" si="24"/>
        <v>25951.492537313432</v>
      </c>
    </row>
    <row r="91" spans="1:21">
      <c r="A91" s="1581">
        <v>323</v>
      </c>
      <c r="B91" s="1056" t="s">
        <v>1761</v>
      </c>
      <c r="C91" s="1579" t="s">
        <v>1764</v>
      </c>
      <c r="D91" s="1625" t="s">
        <v>1022</v>
      </c>
      <c r="E91" s="1581">
        <v>12100</v>
      </c>
      <c r="F91" s="1581"/>
      <c r="G91" s="1581"/>
      <c r="H91" s="1581"/>
      <c r="I91" s="1609">
        <v>6</v>
      </c>
      <c r="J91" s="1609">
        <v>195</v>
      </c>
      <c r="K91" s="1581"/>
      <c r="L91" s="1625">
        <v>50</v>
      </c>
      <c r="M91" s="1625"/>
      <c r="N91" s="1581"/>
      <c r="O91" s="1581"/>
      <c r="P91" s="1581">
        <f t="shared" si="21"/>
        <v>50</v>
      </c>
      <c r="Q91" s="1056">
        <f>3500*1.07</f>
        <v>3745</v>
      </c>
      <c r="R91" s="1611">
        <f t="shared" si="22"/>
        <v>187250</v>
      </c>
      <c r="S91" s="1611">
        <f t="shared" si="23"/>
        <v>5589.5522388059699</v>
      </c>
      <c r="T91" s="1611">
        <f t="shared" si="24"/>
        <v>181660.44776119402</v>
      </c>
    </row>
    <row r="92" spans="1:21">
      <c r="A92" s="1581"/>
      <c r="B92" s="1630" t="s">
        <v>3187</v>
      </c>
      <c r="C92" s="1579" t="s">
        <v>3188</v>
      </c>
      <c r="D92" s="1625" t="s">
        <v>1022</v>
      </c>
      <c r="E92" s="1581">
        <v>12100</v>
      </c>
      <c r="F92" s="1581"/>
      <c r="G92" s="1581"/>
      <c r="H92" s="1581"/>
      <c r="I92" s="1609">
        <v>6</v>
      </c>
      <c r="J92" s="1609">
        <v>195</v>
      </c>
      <c r="K92" s="1581"/>
      <c r="L92" s="1625">
        <v>1</v>
      </c>
      <c r="M92" s="1625"/>
      <c r="N92" s="1581"/>
      <c r="O92" s="1581"/>
      <c r="P92" s="1581">
        <f t="shared" si="21"/>
        <v>1</v>
      </c>
      <c r="Q92" s="1056">
        <f>750*1.07</f>
        <v>802.5</v>
      </c>
      <c r="R92" s="1611">
        <f t="shared" si="22"/>
        <v>802.5</v>
      </c>
      <c r="S92" s="1611">
        <f t="shared" si="23"/>
        <v>23.955223880597014</v>
      </c>
      <c r="T92" s="1611">
        <f t="shared" si="24"/>
        <v>778.54477611940297</v>
      </c>
    </row>
    <row r="93" spans="1:21">
      <c r="A93" s="1609">
        <v>276</v>
      </c>
      <c r="B93" s="1618" t="s">
        <v>2213</v>
      </c>
      <c r="C93" s="1621" t="s">
        <v>2214</v>
      </c>
      <c r="D93" s="1618" t="s">
        <v>1022</v>
      </c>
      <c r="E93" s="1581">
        <v>12100</v>
      </c>
      <c r="F93" s="1581"/>
      <c r="G93" s="1581"/>
      <c r="H93" s="1581"/>
      <c r="I93" s="1609">
        <v>6</v>
      </c>
      <c r="J93" s="1609">
        <v>195</v>
      </c>
      <c r="K93" s="1581"/>
      <c r="L93" s="1622">
        <v>60</v>
      </c>
      <c r="M93" s="1622"/>
      <c r="N93" s="1581"/>
      <c r="O93" s="1581"/>
      <c r="P93" s="1581">
        <f t="shared" si="21"/>
        <v>60</v>
      </c>
      <c r="Q93" s="1581">
        <f>250*1.07</f>
        <v>267.5</v>
      </c>
      <c r="R93" s="1611">
        <f t="shared" si="22"/>
        <v>16050</v>
      </c>
      <c r="S93" s="1611">
        <f t="shared" si="23"/>
        <v>479.1044776119403</v>
      </c>
      <c r="T93" s="1611">
        <f t="shared" si="24"/>
        <v>15570.89552238806</v>
      </c>
    </row>
    <row r="94" spans="1:21">
      <c r="A94" s="1581"/>
      <c r="B94" s="1630" t="s">
        <v>1551</v>
      </c>
      <c r="C94" s="1579" t="s">
        <v>2571</v>
      </c>
      <c r="D94" s="1625" t="s">
        <v>1022</v>
      </c>
      <c r="E94" s="1581">
        <v>12100</v>
      </c>
      <c r="F94" s="1581"/>
      <c r="G94" s="1581"/>
      <c r="H94" s="1581"/>
      <c r="I94" s="1609">
        <v>6</v>
      </c>
      <c r="J94" s="1609">
        <v>195</v>
      </c>
      <c r="K94" s="1581"/>
      <c r="L94" s="1625">
        <v>246</v>
      </c>
      <c r="M94" s="1625"/>
      <c r="N94" s="1581"/>
      <c r="O94" s="1581"/>
      <c r="P94" s="1581">
        <f t="shared" si="21"/>
        <v>246</v>
      </c>
      <c r="Q94" s="1610">
        <f>365*1.07</f>
        <v>390.55</v>
      </c>
      <c r="R94" s="1611">
        <f t="shared" si="22"/>
        <v>96075.3</v>
      </c>
      <c r="S94" s="1611">
        <f t="shared" si="23"/>
        <v>2867.9194029850746</v>
      </c>
      <c r="T94" s="1611">
        <f t="shared" si="24"/>
        <v>93207.380597014926</v>
      </c>
    </row>
    <row r="95" spans="1:21">
      <c r="A95" s="1581"/>
      <c r="B95" s="1602" t="s">
        <v>1766</v>
      </c>
      <c r="C95" s="1579"/>
      <c r="D95" s="1625"/>
      <c r="E95" s="1581"/>
      <c r="F95" s="1581"/>
      <c r="G95" s="1581"/>
      <c r="H95" s="1581"/>
      <c r="I95" s="1609"/>
      <c r="J95" s="1609">
        <v>195</v>
      </c>
      <c r="K95" s="1581"/>
      <c r="L95" s="1625"/>
      <c r="M95" s="1625"/>
      <c r="N95" s="1581"/>
      <c r="O95" s="1581"/>
      <c r="P95" s="1581"/>
      <c r="Q95" s="1581"/>
      <c r="R95" s="1617">
        <f>SUM(R98:R107)</f>
        <v>1540800.0000000002</v>
      </c>
      <c r="S95" s="1617">
        <f>SUM(S98:S107)</f>
        <v>45994.029850746272</v>
      </c>
      <c r="T95" s="1617">
        <f>SUM(T98:T107)</f>
        <v>1494805.970149254</v>
      </c>
    </row>
    <row r="96" spans="1:21" hidden="1">
      <c r="A96" s="1581">
        <v>326</v>
      </c>
      <c r="B96" s="1062" t="s">
        <v>1769</v>
      </c>
      <c r="C96" s="1579" t="s">
        <v>1770</v>
      </c>
      <c r="D96" s="1625" t="s">
        <v>1022</v>
      </c>
      <c r="E96" s="1581"/>
      <c r="F96" s="1581"/>
      <c r="G96" s="1581"/>
      <c r="H96" s="1581"/>
      <c r="I96" s="1609">
        <v>6</v>
      </c>
      <c r="J96" s="1609">
        <v>195</v>
      </c>
      <c r="K96" s="1581"/>
      <c r="L96" s="1625"/>
      <c r="M96" s="1625"/>
      <c r="N96" s="1581"/>
      <c r="O96" s="1581"/>
      <c r="P96" s="1581">
        <f>L96-O96</f>
        <v>0</v>
      </c>
      <c r="Q96" s="1581"/>
      <c r="R96" s="1611">
        <f>P96*Q96</f>
        <v>0</v>
      </c>
      <c r="S96" s="1611">
        <f>R96*(I96/(I96+J96+K96))</f>
        <v>0</v>
      </c>
      <c r="T96" s="1611">
        <f>R96-S96</f>
        <v>0</v>
      </c>
    </row>
    <row r="97" spans="1:22" hidden="1">
      <c r="A97" s="1581">
        <v>333</v>
      </c>
      <c r="B97" s="1062" t="s">
        <v>1771</v>
      </c>
      <c r="C97" s="1579" t="s">
        <v>1772</v>
      </c>
      <c r="D97" s="1625" t="s">
        <v>1022</v>
      </c>
      <c r="E97" s="1581"/>
      <c r="F97" s="1581"/>
      <c r="G97" s="1581"/>
      <c r="H97" s="1581"/>
      <c r="I97" s="1609">
        <v>6</v>
      </c>
      <c r="J97" s="1609">
        <v>195</v>
      </c>
      <c r="K97" s="1581"/>
      <c r="L97" s="1579"/>
      <c r="M97" s="1579"/>
      <c r="N97" s="1581"/>
      <c r="O97" s="1581"/>
      <c r="P97" s="1581">
        <f>L97-O97</f>
        <v>0</v>
      </c>
      <c r="Q97" s="1581"/>
      <c r="R97" s="1611">
        <f>P97*Q97</f>
        <v>0</v>
      </c>
      <c r="S97" s="1611">
        <f>R97*(I97/(I97+J97+K97))</f>
        <v>0</v>
      </c>
      <c r="T97" s="1611">
        <f>R97-S97</f>
        <v>0</v>
      </c>
    </row>
    <row r="98" spans="1:22" hidden="1">
      <c r="A98" s="1581">
        <v>319</v>
      </c>
      <c r="B98" s="1056" t="s">
        <v>1773</v>
      </c>
      <c r="C98" s="1579"/>
      <c r="D98" s="1625" t="s">
        <v>1022</v>
      </c>
      <c r="E98" s="1581"/>
      <c r="F98" s="1581"/>
      <c r="G98" s="1581"/>
      <c r="H98" s="1581"/>
      <c r="I98" s="1609"/>
      <c r="J98" s="1609">
        <v>195</v>
      </c>
      <c r="K98" s="1581"/>
      <c r="L98" s="1625"/>
      <c r="M98" s="1625"/>
      <c r="N98" s="1581"/>
      <c r="O98" s="1581"/>
      <c r="P98" s="1581"/>
      <c r="Q98" s="1056"/>
      <c r="R98" s="1611"/>
      <c r="S98" s="1611"/>
      <c r="T98" s="1611"/>
    </row>
    <row r="99" spans="1:22" ht="114.75">
      <c r="A99" s="1581">
        <v>318</v>
      </c>
      <c r="B99" s="1056" t="s">
        <v>1774</v>
      </c>
      <c r="C99" s="1579" t="s">
        <v>1775</v>
      </c>
      <c r="D99" s="1625" t="s">
        <v>1022</v>
      </c>
      <c r="E99" s="1581">
        <v>12100</v>
      </c>
      <c r="F99" s="1581"/>
      <c r="G99" s="1581"/>
      <c r="H99" s="1581"/>
      <c r="I99" s="1609">
        <v>6</v>
      </c>
      <c r="J99" s="1609">
        <v>195</v>
      </c>
      <c r="K99" s="1581"/>
      <c r="L99" s="1625">
        <v>24</v>
      </c>
      <c r="M99" s="1625"/>
      <c r="N99" s="1581"/>
      <c r="O99" s="1581"/>
      <c r="P99" s="1581">
        <f>L99-O99</f>
        <v>24</v>
      </c>
      <c r="Q99" s="1056">
        <f>60000*1.07</f>
        <v>64200.000000000007</v>
      </c>
      <c r="R99" s="1611">
        <f>P99*Q99</f>
        <v>1540800.0000000002</v>
      </c>
      <c r="S99" s="1611">
        <f>R99*(I99/(I99+J99+K99))</f>
        <v>45994.029850746272</v>
      </c>
      <c r="T99" s="1611">
        <f>R99-S99</f>
        <v>1494805.970149254</v>
      </c>
    </row>
    <row r="100" spans="1:22" ht="140.25" hidden="1">
      <c r="A100" s="1581">
        <v>324</v>
      </c>
      <c r="B100" s="1056" t="s">
        <v>1776</v>
      </c>
      <c r="C100" s="1579" t="s">
        <v>1777</v>
      </c>
      <c r="D100" s="1625" t="s">
        <v>1022</v>
      </c>
      <c r="E100" s="1581"/>
      <c r="F100" s="1581"/>
      <c r="G100" s="1581"/>
      <c r="H100" s="1581"/>
      <c r="I100" s="1609"/>
      <c r="J100" s="1609"/>
      <c r="K100" s="1581"/>
      <c r="L100" s="1625"/>
      <c r="M100" s="1625"/>
      <c r="N100" s="1581"/>
      <c r="O100" s="1581"/>
      <c r="P100" s="1581"/>
      <c r="Q100" s="1056"/>
      <c r="R100" s="1611"/>
      <c r="S100" s="1611"/>
      <c r="T100" s="1611"/>
    </row>
    <row r="101" spans="1:22" hidden="1">
      <c r="A101" s="1581">
        <v>317</v>
      </c>
      <c r="B101" s="1056" t="s">
        <v>1781</v>
      </c>
      <c r="C101" s="1579" t="s">
        <v>1782</v>
      </c>
      <c r="D101" s="1625" t="s">
        <v>1022</v>
      </c>
      <c r="E101" s="1581"/>
      <c r="F101" s="1581"/>
      <c r="G101" s="1581"/>
      <c r="H101" s="1581"/>
      <c r="I101" s="1609"/>
      <c r="J101" s="1609"/>
      <c r="K101" s="1581"/>
      <c r="L101" s="1625"/>
      <c r="M101" s="1625"/>
      <c r="N101" s="1581"/>
      <c r="O101" s="1581"/>
      <c r="P101" s="1581"/>
      <c r="Q101" s="1056"/>
      <c r="R101" s="1611"/>
      <c r="S101" s="1611"/>
      <c r="T101" s="1611"/>
    </row>
    <row r="102" spans="1:22" hidden="1">
      <c r="A102" s="1581">
        <v>331</v>
      </c>
      <c r="B102" s="1062" t="s">
        <v>1785</v>
      </c>
      <c r="C102" s="1579" t="s">
        <v>1786</v>
      </c>
      <c r="D102" s="1625" t="s">
        <v>1022</v>
      </c>
      <c r="E102" s="1581"/>
      <c r="F102" s="1581"/>
      <c r="G102" s="1581"/>
      <c r="H102" s="1581"/>
      <c r="I102" s="1609"/>
      <c r="J102" s="1609"/>
      <c r="K102" s="1581"/>
      <c r="L102" s="1579"/>
      <c r="M102" s="1579"/>
      <c r="N102" s="1581"/>
      <c r="O102" s="1581"/>
      <c r="P102" s="1581"/>
      <c r="Q102" s="1581"/>
      <c r="R102" s="1611"/>
      <c r="S102" s="1611"/>
      <c r="T102" s="1611"/>
    </row>
    <row r="103" spans="1:22" hidden="1">
      <c r="A103" s="1581">
        <v>332</v>
      </c>
      <c r="B103" s="1062" t="s">
        <v>1787</v>
      </c>
      <c r="C103" s="1579" t="s">
        <v>1788</v>
      </c>
      <c r="D103" s="1625" t="s">
        <v>1022</v>
      </c>
      <c r="E103" s="1581"/>
      <c r="F103" s="1581"/>
      <c r="G103" s="1581"/>
      <c r="H103" s="1581"/>
      <c r="I103" s="1609"/>
      <c r="J103" s="1609"/>
      <c r="K103" s="1581"/>
      <c r="L103" s="1579"/>
      <c r="M103" s="1579"/>
      <c r="N103" s="1581"/>
      <c r="O103" s="1581"/>
      <c r="P103" s="1581"/>
      <c r="Q103" s="1581"/>
      <c r="R103" s="1611"/>
      <c r="S103" s="1611"/>
      <c r="T103" s="1611"/>
    </row>
    <row r="104" spans="1:22" ht="25.5" hidden="1">
      <c r="A104" s="1581">
        <v>320</v>
      </c>
      <c r="B104" s="1583" t="s">
        <v>1789</v>
      </c>
      <c r="C104" s="1579" t="s">
        <v>1790</v>
      </c>
      <c r="D104" s="1625" t="s">
        <v>1022</v>
      </c>
      <c r="E104" s="1581"/>
      <c r="F104" s="1581"/>
      <c r="G104" s="1581"/>
      <c r="H104" s="1581"/>
      <c r="I104" s="1609"/>
      <c r="J104" s="1609"/>
      <c r="K104" s="1581"/>
      <c r="L104" s="1625"/>
      <c r="M104" s="1625"/>
      <c r="N104" s="1581"/>
      <c r="O104" s="1581"/>
      <c r="P104" s="1581"/>
      <c r="Q104" s="1056"/>
      <c r="R104" s="1611"/>
      <c r="S104" s="1611"/>
      <c r="T104" s="1611"/>
      <c r="U104" s="357" t="s">
        <v>3189</v>
      </c>
      <c r="V104" s="1580">
        <f>(2+2)*1</f>
        <v>4</v>
      </c>
    </row>
    <row r="105" spans="1:22" ht="38.25" hidden="1">
      <c r="A105" s="1581"/>
      <c r="B105" s="917" t="s">
        <v>1830</v>
      </c>
      <c r="C105" s="917" t="s">
        <v>1831</v>
      </c>
      <c r="D105" s="1625" t="s">
        <v>1022</v>
      </c>
      <c r="E105" s="1581"/>
      <c r="F105" s="1581"/>
      <c r="G105" s="1581"/>
      <c r="H105" s="1581"/>
      <c r="I105" s="1609"/>
      <c r="J105" s="1609"/>
      <c r="K105" s="1581"/>
      <c r="L105" s="1579"/>
      <c r="M105" s="1579"/>
      <c r="N105" s="1581"/>
      <c r="O105" s="1581"/>
      <c r="P105" s="1581"/>
      <c r="Q105" s="1535"/>
      <c r="R105" s="1611"/>
      <c r="S105" s="1611"/>
      <c r="T105" s="1611"/>
      <c r="U105" s="357" t="s">
        <v>2237</v>
      </c>
      <c r="V105" s="1580">
        <f>(25+21)*3</f>
        <v>138</v>
      </c>
    </row>
    <row r="106" spans="1:22" ht="25.5" hidden="1">
      <c r="A106" s="1581"/>
      <c r="B106" s="917" t="s">
        <v>1832</v>
      </c>
      <c r="C106" s="917" t="s">
        <v>1833</v>
      </c>
      <c r="D106" s="1625" t="s">
        <v>1022</v>
      </c>
      <c r="E106" s="1581"/>
      <c r="F106" s="1581"/>
      <c r="G106" s="1581"/>
      <c r="H106" s="1581"/>
      <c r="I106" s="1609"/>
      <c r="J106" s="1609"/>
      <c r="K106" s="1581"/>
      <c r="L106" s="1579"/>
      <c r="M106" s="1579"/>
      <c r="N106" s="1581"/>
      <c r="O106" s="1581"/>
      <c r="P106" s="1581"/>
      <c r="Q106" s="1535"/>
      <c r="R106" s="1611"/>
      <c r="S106" s="1611"/>
      <c r="T106" s="1611"/>
      <c r="U106" s="357" t="s">
        <v>2237</v>
      </c>
      <c r="V106" s="1580">
        <f>(25+21)*3</f>
        <v>138</v>
      </c>
    </row>
    <row r="107" spans="1:22" ht="25.5" hidden="1">
      <c r="A107" s="1581"/>
      <c r="B107" s="917" t="s">
        <v>1834</v>
      </c>
      <c r="C107" s="917" t="s">
        <v>1835</v>
      </c>
      <c r="D107" s="1625" t="s">
        <v>1022</v>
      </c>
      <c r="E107" s="1581"/>
      <c r="F107" s="1581"/>
      <c r="G107" s="1581"/>
      <c r="H107" s="1581"/>
      <c r="I107" s="1609"/>
      <c r="J107" s="1609"/>
      <c r="K107" s="1581"/>
      <c r="L107" s="1579"/>
      <c r="M107" s="1579"/>
      <c r="N107" s="1581"/>
      <c r="O107" s="1581"/>
      <c r="P107" s="1581"/>
      <c r="Q107" s="1535"/>
      <c r="R107" s="1611"/>
      <c r="S107" s="1611"/>
      <c r="T107" s="1611"/>
      <c r="U107" s="357" t="s">
        <v>2238</v>
      </c>
      <c r="V107" s="1580">
        <f>(2+2+1+1+1+2)*1</f>
        <v>9</v>
      </c>
    </row>
    <row r="108" spans="1:22">
      <c r="A108" s="1636"/>
      <c r="B108" s="1654"/>
      <c r="D108" s="1638"/>
      <c r="F108" s="1636"/>
      <c r="G108" s="1636"/>
      <c r="H108" s="1636"/>
      <c r="I108" s="1636"/>
      <c r="J108" s="1636"/>
      <c r="K108" s="1636"/>
      <c r="L108" s="1638"/>
      <c r="M108" s="1638"/>
      <c r="N108" s="1636"/>
      <c r="O108" s="1636"/>
      <c r="Q108" s="1636"/>
      <c r="R108" s="1639"/>
      <c r="S108" s="1639"/>
      <c r="T108" s="1639"/>
    </row>
    <row r="109" spans="1:22">
      <c r="B109" s="1654"/>
      <c r="D109" s="120"/>
      <c r="E109" s="1644"/>
    </row>
    <row r="110" spans="1:22">
      <c r="B110" s="1714" t="s">
        <v>329</v>
      </c>
      <c r="D110" s="120"/>
      <c r="E110" s="1644"/>
      <c r="G110" s="1644" t="s">
        <v>448</v>
      </c>
    </row>
    <row r="111" spans="1:22">
      <c r="B111" s="1638"/>
      <c r="C111" s="924"/>
      <c r="D111" s="120"/>
      <c r="E111" s="1641"/>
    </row>
    <row r="112" spans="1:22">
      <c r="B112" s="524" t="s">
        <v>330</v>
      </c>
      <c r="C112" s="120"/>
      <c r="D112" s="120"/>
      <c r="E112" s="1641"/>
      <c r="G112" s="1644" t="s">
        <v>369</v>
      </c>
    </row>
    <row r="113" spans="1:7">
      <c r="B113" s="524"/>
      <c r="C113" s="120"/>
      <c r="D113" s="120"/>
      <c r="E113" s="1641"/>
      <c r="G113" s="1650"/>
    </row>
    <row r="114" spans="1:7">
      <c r="B114" s="524" t="s">
        <v>547</v>
      </c>
      <c r="C114" s="524"/>
      <c r="D114" s="1650"/>
      <c r="E114" s="1650"/>
    </row>
    <row r="115" spans="1:7">
      <c r="B115" s="524" t="s">
        <v>548</v>
      </c>
      <c r="C115" s="524"/>
      <c r="G115" s="1641" t="s">
        <v>374</v>
      </c>
    </row>
    <row r="116" spans="1:7">
      <c r="A116" s="1580">
        <v>1</v>
      </c>
      <c r="B116" s="524"/>
      <c r="C116" s="524"/>
    </row>
    <row r="117" spans="1:7">
      <c r="A117" s="1580">
        <v>2</v>
      </c>
      <c r="B117" s="524" t="s">
        <v>375</v>
      </c>
      <c r="C117" s="1650"/>
      <c r="G117" s="1641" t="s">
        <v>376</v>
      </c>
    </row>
  </sheetData>
  <sheetProtection formatColumns="0" insertRows="0" deleteRows="0"/>
  <mergeCells count="25">
    <mergeCell ref="S7:T7"/>
    <mergeCell ref="E12:E38"/>
    <mergeCell ref="AA7:AA10"/>
    <mergeCell ref="AC7:AC10"/>
    <mergeCell ref="AD7:AD10"/>
    <mergeCell ref="AB7:AB10"/>
    <mergeCell ref="F7:G7"/>
    <mergeCell ref="H7:H8"/>
    <mergeCell ref="I7:K7"/>
    <mergeCell ref="L7:P7"/>
    <mergeCell ref="Q7:Q8"/>
    <mergeCell ref="R7:R8"/>
    <mergeCell ref="AF8:AF11"/>
    <mergeCell ref="U7:U10"/>
    <mergeCell ref="V7:V10"/>
    <mergeCell ref="W7:W10"/>
    <mergeCell ref="Y7:Y10"/>
    <mergeCell ref="Z7:Z10"/>
    <mergeCell ref="X7:X10"/>
    <mergeCell ref="AE8:AE11"/>
    <mergeCell ref="A7:A8"/>
    <mergeCell ref="B7:B8"/>
    <mergeCell ref="C7:C8"/>
    <mergeCell ref="D7:D8"/>
    <mergeCell ref="E7:E8"/>
  </mergeCells>
  <pageMargins left="0" right="0" top="0" bottom="0" header="0" footer="0"/>
  <pageSetup paperSize="9" scale="48" fitToHeight="0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theme="8" tint="0.39997558519241921"/>
    <pageSetUpPr fitToPage="1"/>
  </sheetPr>
  <dimension ref="A1:AL125"/>
  <sheetViews>
    <sheetView zoomScaleSheetLayoutView="80" workbookViewId="0">
      <selection activeCell="AH4" sqref="AH4"/>
    </sheetView>
  </sheetViews>
  <sheetFormatPr defaultColWidth="9.140625" defaultRowHeight="12"/>
  <cols>
    <col min="1" max="1" width="3.85546875" style="1748" customWidth="1"/>
    <col min="2" max="2" width="19.42578125" style="1748" customWidth="1"/>
    <col min="3" max="3" width="38.85546875" style="1749" customWidth="1"/>
    <col min="4" max="4" width="8.28515625" style="1748" customWidth="1"/>
    <col min="5" max="5" width="9.7109375" style="1748" customWidth="1"/>
    <col min="6" max="6" width="6.140625" style="1748" customWidth="1"/>
    <col min="7" max="7" width="7.5703125" style="1748" customWidth="1"/>
    <col min="8" max="8" width="8.85546875" style="1748" customWidth="1"/>
    <col min="9" max="9" width="6" style="1748" customWidth="1"/>
    <col min="10" max="10" width="5.7109375" style="1748" customWidth="1"/>
    <col min="11" max="11" width="9.5703125" style="1748" customWidth="1"/>
    <col min="12" max="12" width="10.7109375" style="1768" customWidth="1"/>
    <col min="13" max="13" width="7.5703125" style="1748" customWidth="1"/>
    <col min="14" max="14" width="9.5703125" style="1748" customWidth="1"/>
    <col min="15" max="15" width="9.7109375" style="1748" customWidth="1"/>
    <col min="16" max="17" width="10.42578125" style="3384" customWidth="1"/>
    <col min="18" max="19" width="10.28515625" style="1769" customWidth="1"/>
    <col min="20" max="20" width="11.28515625" style="1769" customWidth="1"/>
    <col min="21" max="21" width="8.28515625" style="1748" hidden="1" customWidth="1"/>
    <col min="22" max="22" width="12.42578125" style="1769" hidden="1" customWidth="1"/>
    <col min="23" max="23" width="9.5703125" style="1748" hidden="1" customWidth="1"/>
    <col min="24" max="26" width="9.140625" style="1748" hidden="1" customWidth="1"/>
    <col min="27" max="27" width="9.5703125" style="1748" hidden="1" customWidth="1"/>
    <col min="28" max="30" width="9.140625" style="1748" hidden="1" customWidth="1"/>
    <col min="31" max="31" width="10.42578125" style="1748" bestFit="1" customWidth="1"/>
    <col min="32" max="32" width="4.42578125" style="1748" bestFit="1" customWidth="1"/>
    <col min="33" max="33" width="10.42578125" style="1748" bestFit="1" customWidth="1"/>
    <col min="34" max="34" width="12.5703125" style="1748" bestFit="1" customWidth="1"/>
    <col min="35" max="35" width="9.140625" style="1748"/>
    <col min="36" max="36" width="10.42578125" style="1748" bestFit="1" customWidth="1"/>
    <col min="37" max="37" width="9.140625" style="1748"/>
    <col min="38" max="38" width="11.28515625" style="1748" bestFit="1" customWidth="1"/>
    <col min="39" max="16384" width="9.140625" style="1748"/>
  </cols>
  <sheetData>
    <row r="1" spans="1:38">
      <c r="P1" s="3384" t="s">
        <v>3190</v>
      </c>
      <c r="U1" s="1748" t="s">
        <v>267</v>
      </c>
      <c r="V1" s="1770" t="s">
        <v>3191</v>
      </c>
    </row>
    <row r="2" spans="1:38" s="1751" customFormat="1">
      <c r="A2" s="1750" t="s">
        <v>3192</v>
      </c>
      <c r="C2" s="1752"/>
      <c r="L2" s="1771"/>
      <c r="P2" s="3385"/>
      <c r="Q2" s="3385"/>
      <c r="R2" s="1772"/>
      <c r="S2" s="1772"/>
      <c r="T2" s="1772"/>
      <c r="V2" s="1772"/>
      <c r="AH2" s="3642" t="e">
        <f>AH3-AH4</f>
        <v>#REF!</v>
      </c>
    </row>
    <row r="3" spans="1:38">
      <c r="A3" s="1753"/>
      <c r="B3" s="1748" t="s">
        <v>3128</v>
      </c>
      <c r="AH3" s="3643">
        <v>3046069.46</v>
      </c>
    </row>
    <row r="4" spans="1:38" s="1751" customFormat="1">
      <c r="A4" s="1767" t="s">
        <v>3193</v>
      </c>
      <c r="C4" s="1752"/>
      <c r="L4" s="1771"/>
      <c r="P4" s="3385"/>
      <c r="Q4" s="3385"/>
      <c r="R4" s="1772"/>
      <c r="S4" s="1772"/>
      <c r="T4" s="1772"/>
      <c r="V4" s="1772"/>
      <c r="AH4" s="3642" t="e">
        <f>AH9+'хоз 2.03.06.'!AX53+'хоз 2.03.06.'!AX69</f>
        <v>#REF!</v>
      </c>
    </row>
    <row r="5" spans="1:38">
      <c r="A5" s="1754" t="s">
        <v>990</v>
      </c>
    </row>
    <row r="7" spans="1:38" ht="30" customHeight="1">
      <c r="A7" s="4094" t="s">
        <v>2</v>
      </c>
      <c r="B7" s="4094" t="s">
        <v>478</v>
      </c>
      <c r="C7" s="4094" t="s">
        <v>995</v>
      </c>
      <c r="D7" s="4094" t="s">
        <v>996</v>
      </c>
      <c r="E7" s="4094" t="s">
        <v>1191</v>
      </c>
      <c r="F7" s="4094" t="s">
        <v>255</v>
      </c>
      <c r="G7" s="4094"/>
      <c r="H7" s="4095" t="s">
        <v>1192</v>
      </c>
      <c r="I7" s="4081" t="s">
        <v>1193</v>
      </c>
      <c r="J7" s="4083"/>
      <c r="K7" s="4082"/>
      <c r="L7" s="4081" t="s">
        <v>922</v>
      </c>
      <c r="M7" s="4083"/>
      <c r="N7" s="4083"/>
      <c r="O7" s="4083"/>
      <c r="P7" s="4082"/>
      <c r="Q7" s="4080" t="s">
        <v>999</v>
      </c>
      <c r="R7" s="4097" t="s">
        <v>2928</v>
      </c>
      <c r="S7" s="4099" t="s">
        <v>2265</v>
      </c>
      <c r="T7" s="4080" t="s">
        <v>2266</v>
      </c>
      <c r="U7" s="4081" t="s">
        <v>1001</v>
      </c>
      <c r="V7" s="4082"/>
      <c r="W7" s="4080" t="s">
        <v>999</v>
      </c>
      <c r="X7" s="4080" t="s">
        <v>2267</v>
      </c>
      <c r="Y7" s="4081" t="s">
        <v>1001</v>
      </c>
      <c r="Z7" s="4082"/>
      <c r="AA7" s="4080" t="s">
        <v>999</v>
      </c>
      <c r="AB7" s="4080" t="s">
        <v>2268</v>
      </c>
      <c r="AC7" s="4081" t="s">
        <v>1001</v>
      </c>
      <c r="AD7" s="4083"/>
      <c r="AJ7" s="1748" t="s">
        <v>3194</v>
      </c>
      <c r="AK7" s="1748" t="s">
        <v>5</v>
      </c>
    </row>
    <row r="8" spans="1:38" ht="60">
      <c r="A8" s="4094"/>
      <c r="B8" s="4094"/>
      <c r="C8" s="4094"/>
      <c r="D8" s="4094"/>
      <c r="E8" s="4094"/>
      <c r="F8" s="1682" t="s">
        <v>7</v>
      </c>
      <c r="G8" s="1682" t="s">
        <v>8</v>
      </c>
      <c r="H8" s="4096"/>
      <c r="I8" s="1682" t="s">
        <v>7</v>
      </c>
      <c r="J8" s="1682" t="s">
        <v>8</v>
      </c>
      <c r="K8" s="1682" t="s">
        <v>1096</v>
      </c>
      <c r="L8" s="1774" t="s">
        <v>1099</v>
      </c>
      <c r="M8" s="1682" t="s">
        <v>1194</v>
      </c>
      <c r="N8" s="1682" t="s">
        <v>1011</v>
      </c>
      <c r="O8" s="1682" t="s">
        <v>1012</v>
      </c>
      <c r="P8" s="3387" t="s">
        <v>1013</v>
      </c>
      <c r="Q8" s="4080"/>
      <c r="R8" s="4098"/>
      <c r="S8" s="4099"/>
      <c r="T8" s="4080"/>
      <c r="U8" s="1684" t="s">
        <v>7</v>
      </c>
      <c r="V8" s="1775" t="s">
        <v>8</v>
      </c>
      <c r="W8" s="4080"/>
      <c r="X8" s="4080"/>
      <c r="Y8" s="1684" t="s">
        <v>7</v>
      </c>
      <c r="Z8" s="1775" t="s">
        <v>8</v>
      </c>
      <c r="AA8" s="4080"/>
      <c r="AB8" s="4080"/>
      <c r="AC8" s="1684" t="s">
        <v>7</v>
      </c>
      <c r="AD8" s="3282" t="s">
        <v>8</v>
      </c>
      <c r="AE8" s="3634" t="e">
        <f>T9+'пр запасы фмн 2.03.09.'!T9+#REF!</f>
        <v>#REF!</v>
      </c>
      <c r="AH8" s="3635" t="e">
        <f>AE8-AH9</f>
        <v>#REF!</v>
      </c>
    </row>
    <row r="9" spans="1:38">
      <c r="A9" s="1682"/>
      <c r="B9" s="1682"/>
      <c r="C9" s="1682"/>
      <c r="D9" s="1682"/>
      <c r="E9" s="1739"/>
      <c r="F9" s="1682"/>
      <c r="G9" s="1739"/>
      <c r="H9" s="1684"/>
      <c r="I9" s="1682"/>
      <c r="J9" s="1682"/>
      <c r="K9" s="1682"/>
      <c r="L9" s="1776">
        <f t="shared" ref="L9:P9" si="0">SUM(L10:L12)</f>
        <v>49</v>
      </c>
      <c r="M9" s="1776">
        <f t="shared" si="0"/>
        <v>107</v>
      </c>
      <c r="N9" s="1776">
        <f t="shared" si="0"/>
        <v>45</v>
      </c>
      <c r="O9" s="1776">
        <f t="shared" si="0"/>
        <v>0</v>
      </c>
      <c r="P9" s="1776">
        <f t="shared" si="0"/>
        <v>49</v>
      </c>
      <c r="Q9" s="3387"/>
      <c r="R9" s="1773"/>
      <c r="S9" s="3242"/>
      <c r="T9" s="2491">
        <f>SUM(T10:T18)</f>
        <v>1117140.6600000001</v>
      </c>
      <c r="U9" s="2491" t="e">
        <f>SUM(#REF!)</f>
        <v>#REF!</v>
      </c>
      <c r="V9" s="2491" t="e">
        <f>SUM(#REF!)</f>
        <v>#REF!</v>
      </c>
      <c r="W9" s="1773"/>
      <c r="X9" s="2491" t="e">
        <f>SUM(#REF!)</f>
        <v>#REF!</v>
      </c>
      <c r="Y9" s="2491" t="e">
        <f>SUM(#REF!)</f>
        <v>#REF!</v>
      </c>
      <c r="Z9" s="2491" t="e">
        <f>SUM(#REF!)</f>
        <v>#REF!</v>
      </c>
      <c r="AA9" s="1773"/>
      <c r="AB9" s="2491" t="e">
        <f>SUM(#REF!)</f>
        <v>#REF!</v>
      </c>
      <c r="AC9" s="2491" t="e">
        <f>SUM(#REF!)</f>
        <v>#REF!</v>
      </c>
      <c r="AD9" s="3286" t="e">
        <f>SUM(#REF!)</f>
        <v>#REF!</v>
      </c>
      <c r="AH9" s="3633" t="e">
        <f>SUM(AH10:AH18)</f>
        <v>#REF!</v>
      </c>
    </row>
    <row r="10" spans="1:38" s="2052" customFormat="1" ht="89.25">
      <c r="A10" s="3258">
        <v>1</v>
      </c>
      <c r="B10" s="3636" t="s">
        <v>3131</v>
      </c>
      <c r="C10" s="3446" t="s">
        <v>3132</v>
      </c>
      <c r="D10" s="3443" t="s">
        <v>1940</v>
      </c>
      <c r="E10" s="3486">
        <f>'площ для обсл объек'!F13</f>
        <v>16859.699999999997</v>
      </c>
      <c r="F10" s="3440"/>
      <c r="G10" s="3250">
        <v>16859.699999999997</v>
      </c>
      <c r="H10" s="3440"/>
      <c r="I10" s="3441"/>
      <c r="J10" s="3441"/>
      <c r="K10" s="3440"/>
      <c r="L10" s="3442">
        <v>10</v>
      </c>
      <c r="M10" s="3443">
        <v>10</v>
      </c>
      <c r="N10" s="3440"/>
      <c r="O10" s="3440"/>
      <c r="P10" s="3476">
        <f>MIN(L10,M10)-O10</f>
        <v>10</v>
      </c>
      <c r="Q10" s="3488">
        <f>R10/1.06</f>
        <v>25000</v>
      </c>
      <c r="R10" s="3444">
        <f>25000*1.06</f>
        <v>26500</v>
      </c>
      <c r="S10" s="3613">
        <f>ROUND(R10*AF10,2)</f>
        <v>29680</v>
      </c>
      <c r="T10" s="3445">
        <f>ROUND(P10*S10,2)</f>
        <v>296800</v>
      </c>
      <c r="U10" s="1795"/>
      <c r="V10" s="3195"/>
      <c r="W10" s="2140"/>
      <c r="X10" s="3195"/>
      <c r="Y10" s="1795"/>
      <c r="Z10" s="3195"/>
      <c r="AA10" s="2140"/>
      <c r="AB10" s="3195"/>
      <c r="AC10" s="1795"/>
      <c r="AD10" s="3195"/>
      <c r="AF10" s="1748">
        <v>1.1200000000000001</v>
      </c>
      <c r="AG10" s="2052" t="e">
        <f>P10+'пр запасы фмн 2.03.09.'!P11+#REF!</f>
        <v>#REF!</v>
      </c>
      <c r="AH10" s="2052" t="e">
        <f t="shared" ref="AH10:AH18" si="1">ROUND(AG10*S10,2)</f>
        <v>#REF!</v>
      </c>
    </row>
    <row r="11" spans="1:38" s="2052" customFormat="1" ht="102">
      <c r="A11" s="3258">
        <v>2</v>
      </c>
      <c r="B11" s="3636" t="s">
        <v>3133</v>
      </c>
      <c r="C11" s="3447" t="s">
        <v>3134</v>
      </c>
      <c r="D11" s="3246" t="s">
        <v>1940</v>
      </c>
      <c r="E11" s="3486">
        <v>16859.699999999997</v>
      </c>
      <c r="F11" s="3245"/>
      <c r="G11" s="3448">
        <v>16859.699999999997</v>
      </c>
      <c r="H11" s="3245"/>
      <c r="I11" s="3247"/>
      <c r="J11" s="3247"/>
      <c r="K11" s="3245"/>
      <c r="L11" s="3226">
        <v>10</v>
      </c>
      <c r="M11" s="3246">
        <v>10</v>
      </c>
      <c r="N11" s="3248">
        <v>10</v>
      </c>
      <c r="O11" s="3245"/>
      <c r="P11" s="3476">
        <f t="shared" ref="P11:P18" si="2">MIN(L11,M11)-O11</f>
        <v>10</v>
      </c>
      <c r="Q11" s="3488">
        <f t="shared" ref="Q11:Q12" si="3">R11/1.06</f>
        <v>25000</v>
      </c>
      <c r="R11" s="3263">
        <f>25000*1.06</f>
        <v>26500</v>
      </c>
      <c r="S11" s="3614">
        <f>ROUND(R11*AF11,2)</f>
        <v>29680</v>
      </c>
      <c r="T11" s="3264">
        <f>ROUND(P11*S11,2)</f>
        <v>296800</v>
      </c>
      <c r="U11" s="1794"/>
      <c r="V11" s="3449"/>
      <c r="W11" s="2068"/>
      <c r="X11" s="3449"/>
      <c r="Y11" s="1794"/>
      <c r="Z11" s="3449"/>
      <c r="AA11" s="2068"/>
      <c r="AB11" s="3449"/>
      <c r="AC11" s="1794"/>
      <c r="AD11" s="3449"/>
      <c r="AF11" s="1748">
        <v>1.1200000000000001</v>
      </c>
      <c r="AG11" s="2052" t="e">
        <f>P11+'пр запасы фмн 2.03.09.'!P15+#REF!</f>
        <v>#REF!</v>
      </c>
      <c r="AH11" s="2052" t="e">
        <f t="shared" si="1"/>
        <v>#REF!</v>
      </c>
    </row>
    <row r="12" spans="1:38" s="2052" customFormat="1" ht="25.5">
      <c r="A12" s="3258">
        <v>3</v>
      </c>
      <c r="B12" s="3639" t="s">
        <v>3195</v>
      </c>
      <c r="C12" s="3447" t="s">
        <v>3130</v>
      </c>
      <c r="D12" s="3246" t="s">
        <v>1940</v>
      </c>
      <c r="E12" s="3487">
        <v>16859.699999999997</v>
      </c>
      <c r="F12" s="3245"/>
      <c r="G12" s="3448">
        <v>16859.699999999997</v>
      </c>
      <c r="H12" s="3245"/>
      <c r="I12" s="3247"/>
      <c r="J12" s="3247"/>
      <c r="K12" s="3245"/>
      <c r="L12" s="3226">
        <v>29</v>
      </c>
      <c r="M12" s="3246">
        <f>29*3</f>
        <v>87</v>
      </c>
      <c r="N12" s="3248">
        <v>35</v>
      </c>
      <c r="O12" s="3245"/>
      <c r="P12" s="3476">
        <f t="shared" si="2"/>
        <v>29</v>
      </c>
      <c r="Q12" s="3489">
        <f t="shared" si="3"/>
        <v>8700</v>
      </c>
      <c r="R12" s="3263">
        <f>8700*1.06</f>
        <v>9222</v>
      </c>
      <c r="S12" s="3614">
        <f>ROUND(R12*AF12,2)</f>
        <v>10328.64</v>
      </c>
      <c r="T12" s="3264">
        <f>ROUND(P12*S12,2)</f>
        <v>299530.56</v>
      </c>
      <c r="U12" s="1794"/>
      <c r="V12" s="3449">
        <f>T12-U12</f>
        <v>299530.56</v>
      </c>
      <c r="W12" s="2068">
        <f>ROUND(R12*1.07,2)</f>
        <v>9867.5400000000009</v>
      </c>
      <c r="X12" s="3449">
        <f>ROUND(P12*W12,0)</f>
        <v>286159</v>
      </c>
      <c r="Y12" s="1794"/>
      <c r="Z12" s="3449">
        <f>X12-Y12</f>
        <v>286159</v>
      </c>
      <c r="AA12" s="2068">
        <f>ROUND(W12*1.07,2)</f>
        <v>10558.27</v>
      </c>
      <c r="AB12" s="3449">
        <f>ROUND(P12*AA12,0)</f>
        <v>306190</v>
      </c>
      <c r="AC12" s="1794"/>
      <c r="AD12" s="3449">
        <f>AB12-AC12</f>
        <v>306190</v>
      </c>
      <c r="AF12" s="1748">
        <v>1.1200000000000001</v>
      </c>
      <c r="AG12" s="2052">
        <f>P12+'пр запасы фмн 2.03.09.'!P10</f>
        <v>64</v>
      </c>
      <c r="AH12" s="2052">
        <f t="shared" si="1"/>
        <v>661032.95999999996</v>
      </c>
    </row>
    <row r="13" spans="1:38" ht="76.5">
      <c r="A13" s="3258">
        <v>4</v>
      </c>
      <c r="B13" s="3617" t="s">
        <v>3137</v>
      </c>
      <c r="C13" s="3547" t="s">
        <v>3138</v>
      </c>
      <c r="D13" s="3547" t="s">
        <v>2254</v>
      </c>
      <c r="E13" s="3248">
        <v>16815.8</v>
      </c>
      <c r="F13" s="3605"/>
      <c r="G13" s="3248">
        <v>16815.8</v>
      </c>
      <c r="H13" s="3242"/>
      <c r="I13" s="3242"/>
      <c r="J13" s="3242"/>
      <c r="K13" s="3242"/>
      <c r="L13" s="3004">
        <v>3000</v>
      </c>
      <c r="M13" s="3242"/>
      <c r="N13" s="3242"/>
      <c r="O13" s="3242"/>
      <c r="P13" s="3476">
        <f t="shared" si="2"/>
        <v>3000</v>
      </c>
      <c r="Q13" s="3567">
        <f>9</f>
        <v>9</v>
      </c>
      <c r="R13" s="3584">
        <f>Q13*1.06</f>
        <v>9.5400000000000009</v>
      </c>
      <c r="S13" s="3614">
        <f>ROUND(R13*AF13,2)</f>
        <v>10.68</v>
      </c>
      <c r="T13" s="3264">
        <f>ROUND(P13*S13,2)</f>
        <v>32040</v>
      </c>
      <c r="AF13" s="1748">
        <v>1.1200000000000001</v>
      </c>
      <c r="AG13" s="3633">
        <f>(P13+'пр запасы фмн 2.03.09.'!P16)</f>
        <v>10000</v>
      </c>
      <c r="AH13" s="2052">
        <f t="shared" si="1"/>
        <v>106800</v>
      </c>
      <c r="AI13" s="1748" t="s">
        <v>2254</v>
      </c>
      <c r="AJ13" s="3633">
        <f>AG13</f>
        <v>10000</v>
      </c>
      <c r="AK13" s="3635">
        <f>S13</f>
        <v>10.68</v>
      </c>
      <c r="AL13" s="3641">
        <f>AJ13*AK13</f>
        <v>106800</v>
      </c>
    </row>
    <row r="14" spans="1:38" ht="140.25">
      <c r="A14" s="3258">
        <v>5</v>
      </c>
      <c r="B14" s="3617" t="s">
        <v>3139</v>
      </c>
      <c r="C14" s="3547" t="s">
        <v>3140</v>
      </c>
      <c r="D14" s="3567" t="s">
        <v>1022</v>
      </c>
      <c r="E14" s="3248">
        <v>16815.8</v>
      </c>
      <c r="F14" s="3242"/>
      <c r="G14" s="3248">
        <v>16815.8</v>
      </c>
      <c r="H14" s="3242"/>
      <c r="I14" s="3242"/>
      <c r="J14" s="3242"/>
      <c r="K14" s="3242"/>
      <c r="L14" s="3004">
        <v>50</v>
      </c>
      <c r="M14" s="3242"/>
      <c r="N14" s="3242"/>
      <c r="O14" s="3242"/>
      <c r="P14" s="3476">
        <f t="shared" si="2"/>
        <v>50</v>
      </c>
      <c r="Q14" s="3567">
        <f>950</f>
        <v>950</v>
      </c>
      <c r="R14" s="3263">
        <f t="shared" ref="R14:R17" si="4">Q14*1.06</f>
        <v>1007</v>
      </c>
      <c r="S14" s="3614">
        <f t="shared" ref="S14:S17" si="5">ROUND(R14*AF14,2)</f>
        <v>1127.8399999999999</v>
      </c>
      <c r="T14" s="3264">
        <f t="shared" ref="T14:T18" si="6">ROUND(P14*S14,2)</f>
        <v>56392</v>
      </c>
      <c r="AF14" s="1748">
        <v>1.1200000000000001</v>
      </c>
      <c r="AG14" s="3633">
        <f>P14+'пр запасы фмн 2.03.09.'!P17</f>
        <v>100</v>
      </c>
      <c r="AH14" s="2052">
        <f t="shared" si="1"/>
        <v>112784</v>
      </c>
      <c r="AI14" s="1748" t="s">
        <v>1395</v>
      </c>
      <c r="AJ14" s="3641">
        <f>ROUND((AG14*100)/1000,2)</f>
        <v>10</v>
      </c>
      <c r="AK14" s="3635">
        <f>S14*10</f>
        <v>11278.4</v>
      </c>
      <c r="AL14" s="3641">
        <f>AJ14*AK14</f>
        <v>112784</v>
      </c>
    </row>
    <row r="15" spans="1:38" ht="51">
      <c r="A15" s="3258">
        <v>6</v>
      </c>
      <c r="B15" s="3617" t="s">
        <v>3141</v>
      </c>
      <c r="C15" s="3547" t="s">
        <v>3141</v>
      </c>
      <c r="D15" s="3567" t="s">
        <v>1290</v>
      </c>
      <c r="E15" s="3248">
        <v>16815.8</v>
      </c>
      <c r="F15" s="3242"/>
      <c r="G15" s="3248">
        <v>16815.8</v>
      </c>
      <c r="H15" s="3242"/>
      <c r="I15" s="3242"/>
      <c r="J15" s="3242"/>
      <c r="K15" s="3242"/>
      <c r="L15" s="3004">
        <v>50</v>
      </c>
      <c r="M15" s="3242"/>
      <c r="N15" s="3242"/>
      <c r="O15" s="3242"/>
      <c r="P15" s="3476">
        <f t="shared" si="2"/>
        <v>50</v>
      </c>
      <c r="Q15" s="3567">
        <f>575</f>
        <v>575</v>
      </c>
      <c r="R15" s="3263">
        <f t="shared" si="4"/>
        <v>609.5</v>
      </c>
      <c r="S15" s="3614">
        <f t="shared" si="5"/>
        <v>682.64</v>
      </c>
      <c r="T15" s="3264">
        <f t="shared" si="6"/>
        <v>34132</v>
      </c>
      <c r="AF15" s="1748">
        <v>1.1200000000000001</v>
      </c>
      <c r="AG15" s="3633">
        <f>P15+'пр запасы фмн 2.03.09.'!P18</f>
        <v>100</v>
      </c>
      <c r="AH15" s="2052">
        <f t="shared" si="1"/>
        <v>68264</v>
      </c>
      <c r="AI15" s="1748" t="s">
        <v>1290</v>
      </c>
    </row>
    <row r="16" spans="1:38" ht="51">
      <c r="A16" s="3258">
        <v>7</v>
      </c>
      <c r="B16" s="3617" t="s">
        <v>1901</v>
      </c>
      <c r="C16" s="3547" t="s">
        <v>3142</v>
      </c>
      <c r="D16" s="3567" t="s">
        <v>2887</v>
      </c>
      <c r="E16" s="3248">
        <v>16815.8</v>
      </c>
      <c r="F16" s="3606"/>
      <c r="G16" s="3248">
        <v>16815.8</v>
      </c>
      <c r="H16" s="3242"/>
      <c r="I16" s="3242"/>
      <c r="J16" s="3242"/>
      <c r="K16" s="3242"/>
      <c r="L16" s="3004">
        <v>35</v>
      </c>
      <c r="M16" s="3242"/>
      <c r="N16" s="3242"/>
      <c r="O16" s="3242"/>
      <c r="P16" s="3476">
        <f t="shared" si="2"/>
        <v>35</v>
      </c>
      <c r="Q16" s="3567">
        <f>620</f>
        <v>620</v>
      </c>
      <c r="R16" s="3263">
        <f t="shared" si="4"/>
        <v>657.2</v>
      </c>
      <c r="S16" s="3614">
        <f t="shared" si="5"/>
        <v>736.06</v>
      </c>
      <c r="T16" s="3264">
        <f t="shared" si="6"/>
        <v>25762.1</v>
      </c>
      <c r="AF16" s="1748">
        <v>1.1200000000000001</v>
      </c>
      <c r="AG16" s="3633">
        <f>(P16+'пр запасы фмн 2.03.09.'!P19)</f>
        <v>70</v>
      </c>
      <c r="AH16" s="2052">
        <f t="shared" si="1"/>
        <v>51524.2</v>
      </c>
      <c r="AI16" s="1748" t="s">
        <v>1016</v>
      </c>
      <c r="AJ16" s="3641">
        <f>AG16*10</f>
        <v>700</v>
      </c>
      <c r="AK16" s="3635">
        <f>ROUND(S16/10,1)</f>
        <v>73.599999999999994</v>
      </c>
      <c r="AL16" s="3641">
        <f>AJ16*AK16</f>
        <v>51519.999999999993</v>
      </c>
    </row>
    <row r="17" spans="1:35" ht="25.5">
      <c r="A17" s="3258">
        <v>8</v>
      </c>
      <c r="B17" s="3617" t="s">
        <v>3143</v>
      </c>
      <c r="C17" s="3547" t="s">
        <v>3144</v>
      </c>
      <c r="D17" s="3567" t="s">
        <v>2253</v>
      </c>
      <c r="E17" s="3248">
        <v>16815.8</v>
      </c>
      <c r="F17" s="3607"/>
      <c r="G17" s="3248">
        <v>16815.8</v>
      </c>
      <c r="H17" s="1186"/>
      <c r="I17" s="2139"/>
      <c r="J17" s="3242"/>
      <c r="K17" s="3242"/>
      <c r="L17" s="3004">
        <v>25</v>
      </c>
      <c r="M17" s="3242"/>
      <c r="N17" s="3242"/>
      <c r="O17" s="3242"/>
      <c r="P17" s="3476">
        <f t="shared" si="2"/>
        <v>25</v>
      </c>
      <c r="Q17" s="3567">
        <f>1950</f>
        <v>1950</v>
      </c>
      <c r="R17" s="3263">
        <f t="shared" si="4"/>
        <v>2067</v>
      </c>
      <c r="S17" s="3614">
        <f t="shared" si="5"/>
        <v>2315.04</v>
      </c>
      <c r="T17" s="3264">
        <f t="shared" si="6"/>
        <v>57876</v>
      </c>
      <c r="AF17" s="1748">
        <v>1.1200000000000001</v>
      </c>
      <c r="AG17" s="3633">
        <f>P17+'пр запасы фмн 2.03.09.'!P20</f>
        <v>50</v>
      </c>
      <c r="AH17" s="2052">
        <f t="shared" si="1"/>
        <v>115752</v>
      </c>
      <c r="AI17" s="1748" t="s">
        <v>1022</v>
      </c>
    </row>
    <row r="18" spans="1:35" ht="12.75">
      <c r="A18" s="3258">
        <v>9</v>
      </c>
      <c r="B18" s="3547" t="s">
        <v>3145</v>
      </c>
      <c r="C18" s="3547" t="s">
        <v>3145</v>
      </c>
      <c r="D18" s="3567" t="s">
        <v>1022</v>
      </c>
      <c r="E18" s="3248">
        <v>16815.8</v>
      </c>
      <c r="F18" s="3608"/>
      <c r="G18" s="3248">
        <v>16815.8</v>
      </c>
      <c r="H18" s="2083"/>
      <c r="I18" s="2139"/>
      <c r="J18" s="3242"/>
      <c r="K18" s="3242"/>
      <c r="L18" s="3612">
        <v>2</v>
      </c>
      <c r="M18" s="3242"/>
      <c r="N18" s="3242"/>
      <c r="O18" s="3242"/>
      <c r="P18" s="3476">
        <f t="shared" si="2"/>
        <v>2</v>
      </c>
      <c r="Q18" s="3214">
        <v>7500</v>
      </c>
      <c r="R18" s="3263">
        <f>Q18*1.06</f>
        <v>7950</v>
      </c>
      <c r="S18" s="3614">
        <f>ROUND(R18*AF18,2)</f>
        <v>8904</v>
      </c>
      <c r="T18" s="3264">
        <f t="shared" si="6"/>
        <v>17808</v>
      </c>
      <c r="AF18" s="1748">
        <v>1.1200000000000001</v>
      </c>
      <c r="AG18" s="3633" t="e">
        <f>P18+'пр запасы фмн 2.03.09.'!P21+#REF!</f>
        <v>#REF!</v>
      </c>
      <c r="AH18" s="2052" t="e">
        <f t="shared" si="1"/>
        <v>#REF!</v>
      </c>
      <c r="AI18" s="1748" t="s">
        <v>1022</v>
      </c>
    </row>
    <row r="19" spans="1:35" ht="15.75">
      <c r="B19" s="2042"/>
      <c r="C19" s="1076"/>
      <c r="D19" s="475"/>
      <c r="E19" s="1077"/>
      <c r="F19" s="419"/>
      <c r="G19" s="406"/>
      <c r="H19" s="2042"/>
      <c r="I19" s="2052"/>
    </row>
    <row r="20" spans="1:35" ht="12.75">
      <c r="B20" s="2165" t="s">
        <v>368</v>
      </c>
      <c r="C20" s="3330"/>
      <c r="D20" s="3330"/>
      <c r="E20" s="3331"/>
      <c r="F20" s="3331"/>
      <c r="G20" s="3331"/>
      <c r="H20" s="2983"/>
      <c r="I20" s="2983"/>
      <c r="J20" s="2098" t="s">
        <v>371</v>
      </c>
      <c r="K20" s="2983"/>
    </row>
    <row r="21" spans="1:35" ht="12.75">
      <c r="B21" s="2165" t="s">
        <v>370</v>
      </c>
      <c r="C21" s="3330"/>
      <c r="D21" s="3330"/>
      <c r="E21" s="3331"/>
      <c r="F21" s="3331"/>
      <c r="G21" s="3331"/>
      <c r="H21" s="2983"/>
      <c r="I21" s="2983"/>
      <c r="J21" s="3465"/>
      <c r="K21" s="2983"/>
    </row>
    <row r="22" spans="1:35" ht="12.75">
      <c r="B22" s="2165"/>
      <c r="C22" s="3330"/>
      <c r="D22" s="3330"/>
      <c r="E22" s="3330"/>
      <c r="F22" s="3294"/>
      <c r="G22" s="3294"/>
      <c r="H22" s="2983"/>
      <c r="I22" s="2983"/>
      <c r="J22" s="3465"/>
      <c r="K22" s="2983"/>
    </row>
    <row r="23" spans="1:35" ht="12.75">
      <c r="B23" s="2042" t="s">
        <v>451</v>
      </c>
      <c r="C23" s="3330"/>
      <c r="D23" s="3330"/>
      <c r="E23" s="3330"/>
      <c r="F23" s="3330"/>
      <c r="G23" s="3330"/>
      <c r="H23" s="2983"/>
      <c r="I23" s="2983"/>
      <c r="J23" s="2098" t="s">
        <v>452</v>
      </c>
      <c r="K23" s="2983"/>
    </row>
    <row r="24" spans="1:35" ht="12.75">
      <c r="B24" s="2165"/>
      <c r="C24" s="3330"/>
      <c r="D24" s="3330"/>
      <c r="E24" s="3330"/>
      <c r="F24" s="3332"/>
      <c r="G24" s="3332"/>
      <c r="H24" s="2983"/>
      <c r="I24" s="2983"/>
      <c r="J24" s="3465"/>
      <c r="K24" s="2983"/>
    </row>
    <row r="25" spans="1:35" ht="12.75">
      <c r="B25" s="2165" t="s">
        <v>375</v>
      </c>
      <c r="C25" s="3332"/>
      <c r="D25" s="3332"/>
      <c r="E25" s="3332"/>
      <c r="F25" s="3330"/>
      <c r="G25" s="3330"/>
      <c r="H25" s="2983"/>
      <c r="I25" s="2983"/>
      <c r="J25" s="2098" t="s">
        <v>377</v>
      </c>
      <c r="K25" s="2983"/>
    </row>
    <row r="26" spans="1:35">
      <c r="B26" s="2357"/>
      <c r="C26" s="2366"/>
      <c r="D26" s="2357"/>
      <c r="E26" s="2357"/>
      <c r="F26" s="2357"/>
      <c r="G26" s="2357"/>
      <c r="H26" s="2983"/>
      <c r="I26" s="2983"/>
      <c r="J26" s="2983"/>
      <c r="K26" s="2983"/>
    </row>
    <row r="27" spans="1:35">
      <c r="B27" s="1749"/>
    </row>
    <row r="28" spans="1:35">
      <c r="B28" s="1749"/>
    </row>
    <row r="29" spans="1:35">
      <c r="B29" s="1749"/>
    </row>
    <row r="30" spans="1:35">
      <c r="B30" s="1749"/>
    </row>
    <row r="31" spans="1:35">
      <c r="B31" s="1749"/>
    </row>
    <row r="32" spans="1:35">
      <c r="B32" s="1777"/>
    </row>
    <row r="33" spans="2:2">
      <c r="B33" s="1749"/>
    </row>
    <row r="34" spans="2:2">
      <c r="B34" s="1749"/>
    </row>
    <row r="35" spans="2:2">
      <c r="B35" s="1782"/>
    </row>
    <row r="36" spans="2:2">
      <c r="B36" s="1749"/>
    </row>
    <row r="37" spans="2:2">
      <c r="B37" s="1749"/>
    </row>
    <row r="38" spans="2:2">
      <c r="B38" s="1749"/>
    </row>
    <row r="54" spans="2:2">
      <c r="B54" s="1749"/>
    </row>
    <row r="55" spans="2:2">
      <c r="B55" s="1749"/>
    </row>
    <row r="56" spans="2:2">
      <c r="B56" s="1749"/>
    </row>
    <row r="57" spans="2:2">
      <c r="B57" s="1749"/>
    </row>
    <row r="58" spans="2:2">
      <c r="B58" s="1749"/>
    </row>
    <row r="59" spans="2:2">
      <c r="B59" s="1749"/>
    </row>
    <row r="60" spans="2:2">
      <c r="B60" s="1749"/>
    </row>
    <row r="61" spans="2:2">
      <c r="B61" s="1749"/>
    </row>
    <row r="111" spans="2:2">
      <c r="B111" s="1749"/>
    </row>
    <row r="112" spans="2:2">
      <c r="B112" s="1749"/>
    </row>
    <row r="113" spans="2:3">
      <c r="B113" s="1749"/>
    </row>
    <row r="114" spans="2:3">
      <c r="B114" s="1749"/>
    </row>
    <row r="115" spans="2:3">
      <c r="B115" s="1749"/>
    </row>
    <row r="116" spans="2:3">
      <c r="B116" s="1749"/>
    </row>
    <row r="117" spans="2:3">
      <c r="B117" s="1749"/>
    </row>
    <row r="118" spans="2:3">
      <c r="B118" s="1749"/>
    </row>
    <row r="119" spans="2:3">
      <c r="B119" s="1749"/>
    </row>
    <row r="120" spans="2:3">
      <c r="B120" s="1749"/>
    </row>
    <row r="121" spans="2:3">
      <c r="B121" s="1749"/>
    </row>
    <row r="122" spans="2:3">
      <c r="B122" s="1749"/>
    </row>
    <row r="125" spans="2:3">
      <c r="B125" s="1781"/>
      <c r="C125" s="1780"/>
    </row>
  </sheetData>
  <sheetProtection formatColumns="0" insertRows="0" deleteRows="0"/>
  <sortState xmlns:xlrd2="http://schemas.microsoft.com/office/spreadsheetml/2017/richdata2" ref="B10:AC22">
    <sortCondition ref="B10"/>
  </sortState>
  <mergeCells count="20">
    <mergeCell ref="A7:A8"/>
    <mergeCell ref="B7:B8"/>
    <mergeCell ref="C7:C8"/>
    <mergeCell ref="D7:D8"/>
    <mergeCell ref="E7:E8"/>
    <mergeCell ref="T7:T8"/>
    <mergeCell ref="U7:V7"/>
    <mergeCell ref="F7:G7"/>
    <mergeCell ref="H7:H8"/>
    <mergeCell ref="I7:K7"/>
    <mergeCell ref="L7:P7"/>
    <mergeCell ref="Q7:Q8"/>
    <mergeCell ref="R7:R8"/>
    <mergeCell ref="S7:S8"/>
    <mergeCell ref="AC7:AD7"/>
    <mergeCell ref="W7:W8"/>
    <mergeCell ref="X7:X8"/>
    <mergeCell ref="Y7:Z7"/>
    <mergeCell ref="AA7:AA8"/>
    <mergeCell ref="AB7:AB8"/>
  </mergeCells>
  <pageMargins left="0" right="0" top="0" bottom="0" header="0" footer="0"/>
  <pageSetup paperSize="9" scale="64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rgb="FF92D050"/>
    <pageSetUpPr fitToPage="1"/>
  </sheetPr>
  <dimension ref="A1:W26"/>
  <sheetViews>
    <sheetView workbookViewId="0">
      <selection activeCell="Q21" sqref="Q21"/>
    </sheetView>
  </sheetViews>
  <sheetFormatPr defaultColWidth="9.140625" defaultRowHeight="12"/>
  <cols>
    <col min="1" max="1" width="5.5703125" style="1755" customWidth="1"/>
    <col min="2" max="2" width="26" style="1755" customWidth="1"/>
    <col min="3" max="3" width="38.85546875" style="1764" customWidth="1"/>
    <col min="4" max="4" width="8.28515625" style="1755" customWidth="1"/>
    <col min="5" max="5" width="10.42578125" style="1755" customWidth="1"/>
    <col min="6" max="6" width="6.140625" style="1755" customWidth="1"/>
    <col min="7" max="7" width="10.42578125" style="1755" customWidth="1"/>
    <col min="8" max="8" width="11.85546875" style="1755" customWidth="1"/>
    <col min="9" max="9" width="8" style="1755" customWidth="1"/>
    <col min="10" max="10" width="8.28515625" style="1755" customWidth="1"/>
    <col min="11" max="11" width="10.7109375" style="1755" customWidth="1"/>
    <col min="12" max="13" width="10" style="1755" bestFit="1" customWidth="1"/>
    <col min="14" max="14" width="12.85546875" style="1755" bestFit="1" customWidth="1"/>
    <col min="15" max="15" width="10.5703125" style="1755" bestFit="1" customWidth="1"/>
    <col min="16" max="16" width="10.42578125" style="1755" customWidth="1"/>
    <col min="17" max="17" width="9.7109375" style="1755" bestFit="1" customWidth="1"/>
    <col min="18" max="18" width="12.5703125" style="1755" bestFit="1" customWidth="1"/>
    <col min="19" max="19" width="9.28515625" style="1755" bestFit="1" customWidth="1"/>
    <col min="20" max="20" width="12.5703125" style="1755" bestFit="1" customWidth="1"/>
    <col min="21" max="16384" width="9.140625" style="1755"/>
  </cols>
  <sheetData>
    <row r="1" spans="1:23">
      <c r="S1" s="1755" t="s">
        <v>267</v>
      </c>
      <c r="T1" s="1764" t="s">
        <v>596</v>
      </c>
    </row>
    <row r="2" spans="1:23" s="1784" customFormat="1">
      <c r="A2" s="1783" t="s">
        <v>3196</v>
      </c>
      <c r="B2" s="2261"/>
      <c r="C2" s="1785"/>
      <c r="Q2" s="1797">
        <v>1.07</v>
      </c>
    </row>
    <row r="3" spans="1:23">
      <c r="A3" s="1778"/>
      <c r="B3" s="2262" t="s">
        <v>1189</v>
      </c>
    </row>
    <row r="4" spans="1:23" s="1784" customFormat="1">
      <c r="A4" s="1763" t="s">
        <v>3197</v>
      </c>
      <c r="B4" s="2261"/>
      <c r="C4" s="1785"/>
    </row>
    <row r="5" spans="1:23">
      <c r="A5" s="1755" t="s">
        <v>990</v>
      </c>
      <c r="B5" s="2262"/>
    </row>
    <row r="6" spans="1:23">
      <c r="M6" s="1796">
        <f>K12*0.5/5000</f>
        <v>7.0300000000000001E-2</v>
      </c>
      <c r="R6" s="1786"/>
    </row>
    <row r="7" spans="1:23" ht="30" customHeight="1">
      <c r="A7" s="4094" t="s">
        <v>2</v>
      </c>
      <c r="B7" s="4094" t="s">
        <v>478</v>
      </c>
      <c r="C7" s="4094" t="s">
        <v>995</v>
      </c>
      <c r="D7" s="4094" t="s">
        <v>996</v>
      </c>
      <c r="E7" s="4094" t="s">
        <v>1191</v>
      </c>
      <c r="F7" s="4094" t="s">
        <v>255</v>
      </c>
      <c r="G7" s="4094"/>
      <c r="H7" s="4095" t="s">
        <v>1192</v>
      </c>
      <c r="I7" s="4081" t="s">
        <v>1193</v>
      </c>
      <c r="J7" s="4083"/>
      <c r="K7" s="4082"/>
      <c r="L7" s="4081" t="s">
        <v>922</v>
      </c>
      <c r="M7" s="4083"/>
      <c r="N7" s="4083"/>
      <c r="O7" s="4083"/>
      <c r="P7" s="4082"/>
      <c r="Q7" s="4094" t="s">
        <v>999</v>
      </c>
      <c r="R7" s="4109" t="s">
        <v>2273</v>
      </c>
      <c r="S7" s="4081" t="s">
        <v>1001</v>
      </c>
      <c r="T7" s="4082"/>
    </row>
    <row r="8" spans="1:23" ht="36">
      <c r="A8" s="4094"/>
      <c r="B8" s="4094"/>
      <c r="C8" s="4094"/>
      <c r="D8" s="4094"/>
      <c r="E8" s="4094"/>
      <c r="F8" s="1682" t="s">
        <v>7</v>
      </c>
      <c r="G8" s="1682" t="s">
        <v>8</v>
      </c>
      <c r="H8" s="4096"/>
      <c r="I8" s="1682" t="s">
        <v>7</v>
      </c>
      <c r="J8" s="1682" t="s">
        <v>8</v>
      </c>
      <c r="K8" s="1682" t="s">
        <v>1096</v>
      </c>
      <c r="L8" s="1682" t="s">
        <v>1099</v>
      </c>
      <c r="M8" s="1682" t="s">
        <v>1194</v>
      </c>
      <c r="N8" s="1682" t="s">
        <v>1011</v>
      </c>
      <c r="O8" s="1682" t="s">
        <v>1012</v>
      </c>
      <c r="P8" s="1682" t="s">
        <v>1013</v>
      </c>
      <c r="Q8" s="4094"/>
      <c r="R8" s="4110"/>
      <c r="S8" s="1684" t="s">
        <v>7</v>
      </c>
      <c r="T8" s="1684" t="s">
        <v>8</v>
      </c>
      <c r="U8" s="1685"/>
      <c r="V8" s="1685"/>
      <c r="W8" s="1685"/>
    </row>
    <row r="9" spans="1:23">
      <c r="A9" s="1686"/>
      <c r="B9" s="1687" t="s">
        <v>306</v>
      </c>
      <c r="C9" s="1688"/>
      <c r="D9" s="1686"/>
      <c r="E9" s="1689">
        <f t="shared" ref="E9:G9" si="0">SUM(E10:E18)</f>
        <v>11265.2</v>
      </c>
      <c r="F9" s="1689">
        <f t="shared" si="0"/>
        <v>0</v>
      </c>
      <c r="G9" s="1689">
        <f t="shared" si="0"/>
        <v>11265.2</v>
      </c>
      <c r="H9" s="1689"/>
      <c r="I9" s="1689"/>
      <c r="J9" s="1689"/>
      <c r="K9" s="1689"/>
      <c r="L9" s="1745"/>
      <c r="M9" s="1745"/>
      <c r="N9" s="1689"/>
      <c r="O9" s="1689"/>
      <c r="P9" s="1689"/>
      <c r="Q9" s="1689"/>
      <c r="R9" s="1793"/>
      <c r="S9" s="1793"/>
      <c r="T9" s="1793"/>
    </row>
    <row r="10" spans="1:23" ht="48">
      <c r="A10" s="1756">
        <v>1</v>
      </c>
      <c r="B10" s="1692" t="s">
        <v>1201</v>
      </c>
      <c r="C10" s="1693" t="s">
        <v>1202</v>
      </c>
      <c r="D10" s="1692" t="s">
        <v>1203</v>
      </c>
      <c r="E10" s="4106">
        <f>'расч по  моющ 2016год'!B60</f>
        <v>11265.2</v>
      </c>
      <c r="F10" s="4100">
        <v>0</v>
      </c>
      <c r="G10" s="4103">
        <v>11265.2</v>
      </c>
      <c r="H10" s="1691"/>
      <c r="I10" s="1691"/>
      <c r="J10" s="1691"/>
      <c r="K10" s="1691"/>
      <c r="L10" s="2263">
        <f>M10</f>
        <v>270</v>
      </c>
      <c r="M10" s="2263">
        <f>'расч по  моющ 2016год'!G64</f>
        <v>270</v>
      </c>
      <c r="N10" s="2263"/>
      <c r="O10" s="2263"/>
      <c r="P10" s="2067">
        <f t="shared" ref="P10:P18" si="1">L10-O10</f>
        <v>270</v>
      </c>
      <c r="Q10" s="2067">
        <v>0</v>
      </c>
      <c r="R10" s="2067">
        <f>ROUND(P10*Q10,0)</f>
        <v>0</v>
      </c>
      <c r="S10" s="2067"/>
      <c r="T10" s="2067">
        <f t="shared" ref="T10:T18" si="2">R10-S10</f>
        <v>0</v>
      </c>
    </row>
    <row r="11" spans="1:23">
      <c r="A11" s="1756">
        <v>2</v>
      </c>
      <c r="B11" s="1692" t="s">
        <v>1214</v>
      </c>
      <c r="C11" s="1693" t="s">
        <v>1215</v>
      </c>
      <c r="D11" s="1691" t="s">
        <v>1022</v>
      </c>
      <c r="E11" s="4107"/>
      <c r="F11" s="4101"/>
      <c r="G11" s="4104"/>
      <c r="H11" s="1691"/>
      <c r="I11" s="1691"/>
      <c r="J11" s="1691"/>
      <c r="K11" s="1691"/>
      <c r="L11" s="2263">
        <f>M11</f>
        <v>52</v>
      </c>
      <c r="M11" s="2263">
        <f>дез.средство!K43</f>
        <v>52</v>
      </c>
      <c r="N11" s="2263"/>
      <c r="O11" s="2263"/>
      <c r="P11" s="2067">
        <f t="shared" si="1"/>
        <v>52</v>
      </c>
      <c r="Q11" s="2067"/>
      <c r="R11" s="2067">
        <f t="shared" ref="R11:R18" si="3">ROUND(P11*Q11,0)</f>
        <v>0</v>
      </c>
      <c r="S11" s="2067"/>
      <c r="T11" s="2067">
        <f t="shared" si="2"/>
        <v>0</v>
      </c>
      <c r="W11" s="1760"/>
    </row>
    <row r="12" spans="1:23" ht="24">
      <c r="A12" s="1756">
        <v>3</v>
      </c>
      <c r="B12" s="1692" t="s">
        <v>1223</v>
      </c>
      <c r="C12" s="1693" t="s">
        <v>1224</v>
      </c>
      <c r="D12" s="1691" t="s">
        <v>1022</v>
      </c>
      <c r="E12" s="4107"/>
      <c r="F12" s="4101"/>
      <c r="G12" s="4104"/>
      <c r="H12" s="1691"/>
      <c r="I12" s="1691"/>
      <c r="J12" s="1691"/>
      <c r="K12" s="2263">
        <v>703</v>
      </c>
      <c r="L12" s="2263">
        <f>M12</f>
        <v>51</v>
      </c>
      <c r="M12" s="2263">
        <f>'расч по  моющ 2016год'!H67</f>
        <v>51</v>
      </c>
      <c r="N12" s="2263"/>
      <c r="O12" s="2263"/>
      <c r="P12" s="2067">
        <f t="shared" si="1"/>
        <v>51</v>
      </c>
      <c r="Q12" s="2067"/>
      <c r="R12" s="2067">
        <f t="shared" si="3"/>
        <v>0</v>
      </c>
      <c r="S12" s="2067"/>
      <c r="T12" s="2067">
        <f t="shared" si="2"/>
        <v>0</v>
      </c>
    </row>
    <row r="13" spans="1:23">
      <c r="A13" s="1756">
        <v>4</v>
      </c>
      <c r="B13" s="1692" t="s">
        <v>1235</v>
      </c>
      <c r="C13" s="1700" t="s">
        <v>1236</v>
      </c>
      <c r="D13" s="1691" t="s">
        <v>1022</v>
      </c>
      <c r="E13" s="4107"/>
      <c r="F13" s="4101"/>
      <c r="G13" s="4104"/>
      <c r="H13" s="1691"/>
      <c r="I13" s="1691"/>
      <c r="J13" s="1691"/>
      <c r="K13" s="1691"/>
      <c r="L13" s="2263">
        <f>M13</f>
        <v>10</v>
      </c>
      <c r="M13" s="2263">
        <f>'расч по  моющ 2016год'!G65</f>
        <v>10</v>
      </c>
      <c r="N13" s="2263"/>
      <c r="O13" s="2263"/>
      <c r="P13" s="2067">
        <f t="shared" si="1"/>
        <v>10</v>
      </c>
      <c r="Q13" s="2067"/>
      <c r="R13" s="2067">
        <f t="shared" si="3"/>
        <v>0</v>
      </c>
      <c r="S13" s="2067"/>
      <c r="T13" s="2067">
        <f t="shared" si="2"/>
        <v>0</v>
      </c>
    </row>
    <row r="14" spans="1:23">
      <c r="A14" s="1756">
        <v>5</v>
      </c>
      <c r="B14" s="1692" t="s">
        <v>1237</v>
      </c>
      <c r="C14" s="1700" t="s">
        <v>1238</v>
      </c>
      <c r="D14" s="1691" t="s">
        <v>1119</v>
      </c>
      <c r="E14" s="4107"/>
      <c r="F14" s="4101"/>
      <c r="G14" s="4104"/>
      <c r="H14" s="1691"/>
      <c r="I14" s="1691"/>
      <c r="J14" s="1691"/>
      <c r="K14" s="1691"/>
      <c r="L14" s="2263">
        <v>1</v>
      </c>
      <c r="M14" s="2263">
        <f>'расч по  моющ 2016год'!G66</f>
        <v>2</v>
      </c>
      <c r="N14" s="2263"/>
      <c r="O14" s="2263"/>
      <c r="P14" s="2067">
        <f t="shared" si="1"/>
        <v>1</v>
      </c>
      <c r="Q14" s="2067"/>
      <c r="R14" s="2067">
        <f t="shared" si="3"/>
        <v>0</v>
      </c>
      <c r="S14" s="2067"/>
      <c r="T14" s="2067">
        <f t="shared" si="2"/>
        <v>0</v>
      </c>
    </row>
    <row r="15" spans="1:23" ht="84">
      <c r="A15" s="1756">
        <v>6</v>
      </c>
      <c r="B15" s="2068" t="s">
        <v>3198</v>
      </c>
      <c r="C15" s="2713" t="s">
        <v>3199</v>
      </c>
      <c r="D15" s="1691" t="s">
        <v>1022</v>
      </c>
      <c r="E15" s="4107"/>
      <c r="F15" s="4101"/>
      <c r="G15" s="4104"/>
      <c r="H15" s="1691"/>
      <c r="I15" s="1691"/>
      <c r="J15" s="1691"/>
      <c r="K15" s="1691"/>
      <c r="L15" s="2263">
        <f>M15</f>
        <v>234</v>
      </c>
      <c r="M15" s="2263">
        <f>'расч по  моющ 2016год'!G62</f>
        <v>234</v>
      </c>
      <c r="N15" s="2263">
        <v>5</v>
      </c>
      <c r="O15" s="2263">
        <v>2</v>
      </c>
      <c r="P15" s="2067">
        <f t="shared" si="1"/>
        <v>232</v>
      </c>
      <c r="Q15" s="2067"/>
      <c r="R15" s="2067">
        <f t="shared" si="3"/>
        <v>0</v>
      </c>
      <c r="S15" s="2067"/>
      <c r="T15" s="2067">
        <f t="shared" si="2"/>
        <v>0</v>
      </c>
    </row>
    <row r="16" spans="1:23" ht="24">
      <c r="A16" s="1756">
        <v>7</v>
      </c>
      <c r="B16" s="2068" t="s">
        <v>1251</v>
      </c>
      <c r="C16" s="2713" t="s">
        <v>3200</v>
      </c>
      <c r="D16" s="1691" t="s">
        <v>1022</v>
      </c>
      <c r="E16" s="4107"/>
      <c r="F16" s="4101"/>
      <c r="G16" s="4104"/>
      <c r="H16" s="1691"/>
      <c r="I16" s="1691"/>
      <c r="J16" s="1691"/>
      <c r="K16" s="1691"/>
      <c r="L16" s="2263">
        <f>M16</f>
        <v>108</v>
      </c>
      <c r="M16" s="2263">
        <f>'расч по  моющ 2016год'!G60</f>
        <v>108</v>
      </c>
      <c r="N16" s="2263"/>
      <c r="O16" s="2263"/>
      <c r="P16" s="2067">
        <f t="shared" si="1"/>
        <v>108</v>
      </c>
      <c r="Q16" s="2067"/>
      <c r="R16" s="2067">
        <f t="shared" si="3"/>
        <v>0</v>
      </c>
      <c r="S16" s="2067"/>
      <c r="T16" s="2067">
        <f t="shared" si="2"/>
        <v>0</v>
      </c>
    </row>
    <row r="17" spans="1:20" ht="84">
      <c r="A17" s="1756">
        <v>8</v>
      </c>
      <c r="B17" s="2068" t="s">
        <v>1253</v>
      </c>
      <c r="C17" s="2713" t="s">
        <v>3201</v>
      </c>
      <c r="D17" s="1691" t="s">
        <v>1022</v>
      </c>
      <c r="E17" s="4107"/>
      <c r="F17" s="4101"/>
      <c r="G17" s="4104"/>
      <c r="H17" s="1691"/>
      <c r="I17" s="1691"/>
      <c r="J17" s="1691"/>
      <c r="K17" s="1691"/>
      <c r="L17" s="2263">
        <f>M17</f>
        <v>11</v>
      </c>
      <c r="M17" s="2263">
        <f>'расч по  моющ 2016год'!G61</f>
        <v>11</v>
      </c>
      <c r="N17" s="2263">
        <v>37</v>
      </c>
      <c r="O17" s="2263">
        <v>0</v>
      </c>
      <c r="P17" s="2067">
        <f t="shared" si="1"/>
        <v>11</v>
      </c>
      <c r="Q17" s="2067"/>
      <c r="R17" s="2067">
        <f t="shared" si="3"/>
        <v>0</v>
      </c>
      <c r="S17" s="2067"/>
      <c r="T17" s="2067">
        <f t="shared" si="2"/>
        <v>0</v>
      </c>
    </row>
    <row r="18" spans="1:20" ht="72">
      <c r="A18" s="1756">
        <v>9</v>
      </c>
      <c r="B18" s="2068" t="s">
        <v>3202</v>
      </c>
      <c r="C18" s="2072" t="s">
        <v>3203</v>
      </c>
      <c r="D18" s="1691" t="s">
        <v>1022</v>
      </c>
      <c r="E18" s="4108"/>
      <c r="F18" s="4102"/>
      <c r="G18" s="4105"/>
      <c r="H18" s="1691"/>
      <c r="I18" s="1691"/>
      <c r="J18" s="1691"/>
      <c r="K18" s="1691"/>
      <c r="L18" s="2263">
        <f>M18</f>
        <v>27</v>
      </c>
      <c r="M18" s="2263">
        <f>'расч по  моющ 2016год'!G63</f>
        <v>27</v>
      </c>
      <c r="N18" s="2263">
        <v>20</v>
      </c>
      <c r="O18" s="2263">
        <v>0</v>
      </c>
      <c r="P18" s="2067">
        <f t="shared" si="1"/>
        <v>27</v>
      </c>
      <c r="Q18" s="2067"/>
      <c r="R18" s="2067">
        <f t="shared" si="3"/>
        <v>0</v>
      </c>
      <c r="S18" s="2067"/>
      <c r="T18" s="2067">
        <f t="shared" si="2"/>
        <v>0</v>
      </c>
    </row>
    <row r="19" spans="1:20">
      <c r="A19" s="1784"/>
      <c r="B19" s="1791"/>
      <c r="D19" s="1777"/>
      <c r="F19" s="1784"/>
      <c r="G19" s="1784"/>
      <c r="H19" s="1784"/>
      <c r="I19" s="1784"/>
      <c r="J19" s="1784"/>
      <c r="K19" s="1784"/>
      <c r="L19" s="1777"/>
      <c r="M19" s="1777"/>
      <c r="N19" s="1784"/>
      <c r="O19" s="1784"/>
      <c r="Q19" s="1784"/>
      <c r="R19" s="1795"/>
      <c r="S19" s="1795"/>
      <c r="T19" s="1795"/>
    </row>
    <row r="20" spans="1:20">
      <c r="B20" s="1777"/>
      <c r="C20" s="1785"/>
      <c r="D20" s="1778"/>
      <c r="E20" s="1779"/>
    </row>
    <row r="21" spans="1:20" s="2052" customFormat="1" ht="12.75">
      <c r="A21" s="2159"/>
      <c r="B21" s="2042" t="s">
        <v>368</v>
      </c>
      <c r="C21" s="2098"/>
      <c r="D21" s="2098"/>
      <c r="E21" s="2099"/>
      <c r="F21" s="2048"/>
      <c r="G21" s="2099"/>
    </row>
    <row r="22" spans="1:20" s="2052" customFormat="1" ht="12.75">
      <c r="A22" s="2159"/>
      <c r="B22" s="2042" t="s">
        <v>370</v>
      </c>
      <c r="C22" s="2098"/>
      <c r="D22" s="2098"/>
      <c r="E22" s="2099"/>
      <c r="F22" s="2048"/>
      <c r="G22" s="2099" t="s">
        <v>371</v>
      </c>
    </row>
    <row r="23" spans="1:20" s="2052" customFormat="1" ht="12.75">
      <c r="A23" s="2159"/>
      <c r="B23" s="2042"/>
      <c r="C23" s="2098"/>
      <c r="D23" s="2098"/>
      <c r="E23" s="2098"/>
      <c r="F23" s="2048"/>
      <c r="G23" s="2048"/>
    </row>
    <row r="24" spans="1:20" s="2052" customFormat="1" ht="12.75">
      <c r="A24" s="2159"/>
      <c r="B24" s="2042" t="s">
        <v>372</v>
      </c>
      <c r="C24" s="2098"/>
      <c r="D24" s="2098"/>
      <c r="E24" s="2098"/>
      <c r="F24" s="2048"/>
      <c r="G24" s="2098" t="s">
        <v>373</v>
      </c>
    </row>
    <row r="25" spans="1:20" s="2052" customFormat="1" ht="12.75">
      <c r="A25" s="2159"/>
      <c r="B25" s="2042"/>
      <c r="C25" s="2098"/>
      <c r="D25" s="2098"/>
      <c r="E25" s="2098"/>
      <c r="F25" s="2048"/>
      <c r="G25" s="2101"/>
    </row>
    <row r="26" spans="1:20" s="2052" customFormat="1" ht="12.75">
      <c r="A26" s="2159"/>
      <c r="B26" s="2042" t="s">
        <v>375</v>
      </c>
      <c r="C26" s="2101"/>
      <c r="D26" s="2101"/>
      <c r="E26" s="2101"/>
      <c r="F26" s="2048"/>
      <c r="G26" s="2098" t="s">
        <v>376</v>
      </c>
    </row>
  </sheetData>
  <sheetProtection formatColumns="0" insertRows="0" deleteRows="0"/>
  <mergeCells count="15">
    <mergeCell ref="S7:T7"/>
    <mergeCell ref="F10:F18"/>
    <mergeCell ref="A7:A8"/>
    <mergeCell ref="B7:B8"/>
    <mergeCell ref="C7:C8"/>
    <mergeCell ref="D7:D8"/>
    <mergeCell ref="E7:E8"/>
    <mergeCell ref="F7:G7"/>
    <mergeCell ref="G10:G18"/>
    <mergeCell ref="E10:E18"/>
    <mergeCell ref="H7:H8"/>
    <mergeCell ref="I7:K7"/>
    <mergeCell ref="L7:P7"/>
    <mergeCell ref="Q7:Q8"/>
    <mergeCell ref="R7:R8"/>
  </mergeCells>
  <pageMargins left="0" right="0" top="0" bottom="0" header="0" footer="0"/>
  <pageSetup paperSize="9" scale="59" fitToHeight="0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rgb="FF92D050"/>
    <pageSetUpPr fitToPage="1"/>
  </sheetPr>
  <dimension ref="A1:BC66"/>
  <sheetViews>
    <sheetView topLeftCell="A22" zoomScaleSheetLayoutView="70" workbookViewId="0">
      <selection activeCell="V10" sqref="V10"/>
    </sheetView>
  </sheetViews>
  <sheetFormatPr defaultColWidth="9.140625" defaultRowHeight="12"/>
  <cols>
    <col min="1" max="1" width="4" style="2142" customWidth="1"/>
    <col min="2" max="2" width="24.28515625" style="2135" customWidth="1"/>
    <col min="3" max="3" width="38.85546875" style="2137" customWidth="1"/>
    <col min="4" max="4" width="7.5703125" style="2135" customWidth="1"/>
    <col min="5" max="5" width="10.42578125" style="2135" customWidth="1"/>
    <col min="6" max="6" width="5.42578125" style="2135" customWidth="1"/>
    <col min="7" max="7" width="10.85546875" style="2135" customWidth="1"/>
    <col min="8" max="8" width="6.7109375" style="2135" customWidth="1"/>
    <col min="9" max="9" width="6.140625" style="2135" customWidth="1"/>
    <col min="10" max="10" width="5.85546875" style="2135" customWidth="1"/>
    <col min="11" max="11" width="7.42578125" style="2135" customWidth="1"/>
    <col min="12" max="12" width="10.7109375" style="2135" customWidth="1"/>
    <col min="13" max="13" width="11" style="2135" customWidth="1"/>
    <col min="14" max="14" width="10.140625" style="2135" customWidth="1"/>
    <col min="15" max="15" width="9.28515625" style="2135" customWidth="1"/>
    <col min="16" max="19" width="10.42578125" style="2135" customWidth="1"/>
    <col min="20" max="20" width="12.42578125" style="2135" bestFit="1" customWidth="1"/>
    <col min="21" max="21" width="8.85546875" style="2135" customWidth="1"/>
    <col min="22" max="22" width="12.42578125" style="2135" bestFit="1" customWidth="1"/>
    <col min="23" max="23" width="12.7109375" style="2135" customWidth="1"/>
    <col min="24" max="24" width="11.85546875" style="2135" customWidth="1"/>
    <col min="25" max="25" width="11.7109375" style="2135" customWidth="1"/>
    <col min="26" max="26" width="11.85546875" style="2135" customWidth="1"/>
    <col min="27" max="27" width="9.140625" style="2135"/>
    <col min="28" max="28" width="10.140625" style="2135" customWidth="1"/>
    <col min="29" max="30" width="9.140625" style="2135"/>
    <col min="31" max="31" width="10.42578125" style="2135" customWidth="1"/>
    <col min="32" max="16384" width="9.140625" style="2135"/>
  </cols>
  <sheetData>
    <row r="1" spans="1:55">
      <c r="U1" s="2135" t="s">
        <v>267</v>
      </c>
      <c r="V1" s="1816" t="s">
        <v>2270</v>
      </c>
    </row>
    <row r="2" spans="1:55" s="2136" customFormat="1">
      <c r="A2" s="2103" t="s">
        <v>3204</v>
      </c>
      <c r="C2" s="2145"/>
      <c r="M2" s="2146">
        <v>462</v>
      </c>
      <c r="N2" s="2146"/>
      <c r="O2" s="2146"/>
      <c r="P2" s="2146"/>
      <c r="Q2" s="2146"/>
      <c r="R2" s="2146">
        <v>1.07</v>
      </c>
      <c r="S2" s="2146"/>
    </row>
    <row r="3" spans="1:55">
      <c r="A3" s="2143"/>
      <c r="B3" s="2135" t="s">
        <v>2693</v>
      </c>
      <c r="M3" s="2147">
        <v>75</v>
      </c>
      <c r="N3" s="2147"/>
      <c r="O3" s="2147"/>
      <c r="P3" s="2147"/>
      <c r="Q3" s="2147"/>
      <c r="R3" s="2147"/>
      <c r="S3" s="2147"/>
    </row>
    <row r="4" spans="1:55" s="2136" customFormat="1">
      <c r="A4" s="2105" t="s">
        <v>3205</v>
      </c>
      <c r="C4" s="2145"/>
      <c r="M4" s="2146">
        <v>227</v>
      </c>
      <c r="N4" s="2146"/>
      <c r="O4" s="2146"/>
      <c r="P4" s="2146"/>
      <c r="Q4" s="2146"/>
      <c r="R4" s="2146"/>
      <c r="S4" s="2146"/>
    </row>
    <row r="5" spans="1:55">
      <c r="A5" s="2144" t="s">
        <v>990</v>
      </c>
      <c r="M5" s="2147">
        <f>M2+M3+M4</f>
        <v>764</v>
      </c>
      <c r="N5" s="2147"/>
      <c r="O5" s="2147"/>
      <c r="P5" s="2147"/>
      <c r="Q5" s="2147"/>
      <c r="R5" s="2147"/>
      <c r="S5" s="2147"/>
      <c r="V5" s="2147">
        <f>V9+'ТМЦ МШ'!R9</f>
        <v>0</v>
      </c>
    </row>
    <row r="7" spans="1:55" ht="30" customHeight="1">
      <c r="A7" s="4038" t="s">
        <v>2</v>
      </c>
      <c r="B7" s="4025" t="s">
        <v>478</v>
      </c>
      <c r="C7" s="4025" t="s">
        <v>995</v>
      </c>
      <c r="D7" s="4025" t="s">
        <v>996</v>
      </c>
      <c r="E7" s="4025" t="s">
        <v>1191</v>
      </c>
      <c r="F7" s="4025" t="s">
        <v>255</v>
      </c>
      <c r="G7" s="4025"/>
      <c r="H7" s="4036" t="s">
        <v>1192</v>
      </c>
      <c r="I7" s="4026" t="s">
        <v>1193</v>
      </c>
      <c r="J7" s="4028"/>
      <c r="K7" s="4027"/>
      <c r="L7" s="4026" t="s">
        <v>922</v>
      </c>
      <c r="M7" s="4028"/>
      <c r="N7" s="4028"/>
      <c r="O7" s="4028"/>
      <c r="P7" s="4027"/>
      <c r="Q7" s="2881"/>
      <c r="R7" s="4025" t="s">
        <v>999</v>
      </c>
      <c r="S7" s="4025" t="s">
        <v>999</v>
      </c>
      <c r="T7" s="4025" t="s">
        <v>345</v>
      </c>
      <c r="U7" s="4026" t="s">
        <v>1001</v>
      </c>
      <c r="V7" s="4027"/>
      <c r="W7" s="4111"/>
      <c r="X7" s="4035"/>
      <c r="Y7" s="4112"/>
      <c r="Z7" s="4113"/>
      <c r="AA7" s="4035"/>
      <c r="AB7" s="4035"/>
      <c r="AC7" s="4035"/>
      <c r="AD7" s="4035"/>
      <c r="AE7" s="4035"/>
      <c r="AF7" s="4035"/>
    </row>
    <row r="8" spans="1:55" ht="60">
      <c r="A8" s="4038"/>
      <c r="B8" s="4025"/>
      <c r="C8" s="4025"/>
      <c r="D8" s="4025"/>
      <c r="E8" s="4025"/>
      <c r="F8" s="2061" t="s">
        <v>7</v>
      </c>
      <c r="G8" s="2061" t="s">
        <v>8</v>
      </c>
      <c r="H8" s="4037"/>
      <c r="I8" s="2061" t="s">
        <v>7</v>
      </c>
      <c r="J8" s="2061" t="s">
        <v>8</v>
      </c>
      <c r="K8" s="2061" t="s">
        <v>1096</v>
      </c>
      <c r="L8" s="2061" t="s">
        <v>1099</v>
      </c>
      <c r="M8" s="2061" t="s">
        <v>1194</v>
      </c>
      <c r="N8" s="2061" t="s">
        <v>1011</v>
      </c>
      <c r="O8" s="2061" t="s">
        <v>1012</v>
      </c>
      <c r="P8" s="2061" t="s">
        <v>1013</v>
      </c>
      <c r="Q8" s="2061"/>
      <c r="R8" s="4025"/>
      <c r="S8" s="4025"/>
      <c r="T8" s="4025"/>
      <c r="U8" s="2062" t="s">
        <v>7</v>
      </c>
      <c r="V8" s="2062" t="s">
        <v>8</v>
      </c>
      <c r="W8" s="4111"/>
      <c r="X8" s="4035"/>
      <c r="Y8" s="4112"/>
      <c r="Z8" s="4113"/>
      <c r="AA8" s="4035"/>
      <c r="AB8" s="4035"/>
      <c r="AC8" s="4035"/>
      <c r="AD8" s="4035"/>
      <c r="AE8" s="4035"/>
      <c r="AF8" s="4035"/>
      <c r="AG8" s="2137"/>
      <c r="AH8" s="2137"/>
      <c r="AI8" s="2137"/>
      <c r="AJ8" s="2137"/>
      <c r="AK8" s="2137"/>
      <c r="AL8" s="2137"/>
      <c r="AM8" s="2137"/>
      <c r="AO8" s="2137"/>
      <c r="AP8" s="2137"/>
      <c r="AQ8" s="2137"/>
      <c r="AR8" s="2137"/>
      <c r="AS8" s="2137"/>
      <c r="AT8" s="2137"/>
      <c r="AU8" s="2137"/>
      <c r="AV8" s="2137"/>
      <c r="AW8" s="2137"/>
      <c r="AX8" s="2137"/>
      <c r="AY8" s="2137"/>
      <c r="AZ8" s="2137"/>
      <c r="BA8" s="2137"/>
      <c r="BB8" s="2137"/>
      <c r="BC8" s="2137"/>
    </row>
    <row r="9" spans="1:55">
      <c r="A9" s="2074"/>
      <c r="B9" s="2061" t="s">
        <v>306</v>
      </c>
      <c r="C9" s="2072"/>
      <c r="D9" s="2068"/>
      <c r="E9" s="2064"/>
      <c r="F9" s="2138"/>
      <c r="G9" s="2138"/>
      <c r="H9" s="2138"/>
      <c r="I9" s="2138"/>
      <c r="J9" s="2138"/>
      <c r="K9" s="2138"/>
      <c r="L9" s="2064"/>
      <c r="M9" s="2064"/>
      <c r="N9" s="2064"/>
      <c r="O9" s="2064"/>
      <c r="P9" s="2064"/>
      <c r="Q9" s="2064"/>
      <c r="R9" s="2071"/>
      <c r="S9" s="2071"/>
      <c r="T9" s="2064"/>
      <c r="U9" s="2064">
        <f>SUM(U10:U50)</f>
        <v>0</v>
      </c>
      <c r="V9" s="2064"/>
    </row>
    <row r="10" spans="1:55" ht="108">
      <c r="A10" s="2074">
        <v>1</v>
      </c>
      <c r="B10" s="2068" t="s">
        <v>2572</v>
      </c>
      <c r="C10" s="2706" t="s">
        <v>2573</v>
      </c>
      <c r="D10" s="2068" t="s">
        <v>1022</v>
      </c>
      <c r="E10" s="2139">
        <f>12100-834.8</f>
        <v>11265.2</v>
      </c>
      <c r="F10" s="2071"/>
      <c r="G10" s="2139">
        <f>12100-834.8</f>
        <v>11265.2</v>
      </c>
      <c r="H10" s="2071"/>
      <c r="I10" s="2067"/>
      <c r="J10" s="2067"/>
      <c r="K10" s="2071"/>
      <c r="L10" s="2071">
        <v>15</v>
      </c>
      <c r="M10" s="2071"/>
      <c r="N10" s="2071"/>
      <c r="O10" s="2071"/>
      <c r="P10" s="2071">
        <f>ROUND((L10-O10)/2,0)</f>
        <v>8</v>
      </c>
      <c r="Q10" s="2071">
        <v>1.07</v>
      </c>
      <c r="R10" s="2071">
        <v>20000</v>
      </c>
      <c r="S10" s="2071">
        <f>ROUND(Q10*R10,2)</f>
        <v>21400</v>
      </c>
      <c r="T10" s="2071">
        <f>ROUND(P10*S10,0)</f>
        <v>171200</v>
      </c>
      <c r="U10" s="2071"/>
      <c r="V10" s="2071">
        <f t="shared" ref="V10:V17" si="0">T10-U10</f>
        <v>171200</v>
      </c>
    </row>
    <row r="11" spans="1:55" ht="36">
      <c r="A11" s="2074">
        <v>2</v>
      </c>
      <c r="B11" s="2068" t="s">
        <v>2574</v>
      </c>
      <c r="C11" s="2073" t="s">
        <v>2575</v>
      </c>
      <c r="D11" s="2068" t="s">
        <v>1022</v>
      </c>
      <c r="E11" s="2071">
        <f t="shared" ref="E11:G53" si="1">12100-834.8</f>
        <v>11265.2</v>
      </c>
      <c r="F11" s="2071"/>
      <c r="G11" s="2071">
        <f t="shared" si="1"/>
        <v>11265.2</v>
      </c>
      <c r="H11" s="2071"/>
      <c r="I11" s="2071"/>
      <c r="J11" s="2071"/>
      <c r="K11" s="2071"/>
      <c r="L11" s="2071">
        <v>2</v>
      </c>
      <c r="M11" s="2071"/>
      <c r="N11" s="2071"/>
      <c r="O11" s="2071"/>
      <c r="P11" s="2071">
        <f t="shared" ref="P11:P58" si="2">ROUND((L11-O11)/2,0)</f>
        <v>1</v>
      </c>
      <c r="Q11" s="2071">
        <v>1.07</v>
      </c>
      <c r="R11" s="2071">
        <v>14645</v>
      </c>
      <c r="S11" s="2071">
        <f t="shared" ref="S11:S58" si="3">ROUND(Q11*R11,2)</f>
        <v>15670.15</v>
      </c>
      <c r="T11" s="2071">
        <f t="shared" ref="T11:T58" si="4">ROUND(P11*S11,0)</f>
        <v>15670</v>
      </c>
      <c r="U11" s="2071"/>
      <c r="V11" s="2071">
        <f t="shared" si="0"/>
        <v>15670</v>
      </c>
      <c r="Y11" s="2137"/>
      <c r="AB11" s="2137"/>
      <c r="AC11" s="2137"/>
    </row>
    <row r="12" spans="1:55">
      <c r="A12" s="2074">
        <v>3</v>
      </c>
      <c r="B12" s="2068" t="s">
        <v>2576</v>
      </c>
      <c r="C12" s="2073" t="s">
        <v>2577</v>
      </c>
      <c r="D12" s="2068" t="s">
        <v>1022</v>
      </c>
      <c r="E12" s="2071">
        <f t="shared" si="1"/>
        <v>11265.2</v>
      </c>
      <c r="F12" s="2071"/>
      <c r="G12" s="2071">
        <f t="shared" si="1"/>
        <v>11265.2</v>
      </c>
      <c r="H12" s="2071"/>
      <c r="I12" s="2071"/>
      <c r="J12" s="2071"/>
      <c r="K12" s="2071"/>
      <c r="L12" s="2071">
        <v>1</v>
      </c>
      <c r="M12" s="2068"/>
      <c r="N12" s="2071"/>
      <c r="O12" s="2071"/>
      <c r="P12" s="2071">
        <f t="shared" si="2"/>
        <v>1</v>
      </c>
      <c r="Q12" s="2071">
        <v>1.07</v>
      </c>
      <c r="R12" s="2071">
        <v>4090.45</v>
      </c>
      <c r="S12" s="2071">
        <f t="shared" si="3"/>
        <v>4376.78</v>
      </c>
      <c r="T12" s="2071">
        <f t="shared" si="4"/>
        <v>4377</v>
      </c>
      <c r="U12" s="2071"/>
      <c r="V12" s="2071">
        <f t="shared" si="0"/>
        <v>4377</v>
      </c>
    </row>
    <row r="13" spans="1:55">
      <c r="A13" s="2074">
        <v>4</v>
      </c>
      <c r="B13" s="2068" t="s">
        <v>2576</v>
      </c>
      <c r="C13" s="2073" t="s">
        <v>2578</v>
      </c>
      <c r="D13" s="2068" t="s">
        <v>1022</v>
      </c>
      <c r="E13" s="2071">
        <f t="shared" si="1"/>
        <v>11265.2</v>
      </c>
      <c r="F13" s="2071"/>
      <c r="G13" s="2071">
        <f t="shared" si="1"/>
        <v>11265.2</v>
      </c>
      <c r="H13" s="2071"/>
      <c r="I13" s="2071"/>
      <c r="J13" s="2071"/>
      <c r="K13" s="2071"/>
      <c r="L13" s="2071">
        <v>5</v>
      </c>
      <c r="M13" s="2071"/>
      <c r="N13" s="2071"/>
      <c r="O13" s="2071"/>
      <c r="P13" s="2071">
        <f t="shared" si="2"/>
        <v>3</v>
      </c>
      <c r="Q13" s="2071">
        <v>1.07</v>
      </c>
      <c r="R13" s="2071">
        <v>291.45</v>
      </c>
      <c r="S13" s="2071">
        <f t="shared" si="3"/>
        <v>311.85000000000002</v>
      </c>
      <c r="T13" s="2071">
        <f t="shared" si="4"/>
        <v>936</v>
      </c>
      <c r="U13" s="2071"/>
      <c r="V13" s="2071">
        <f t="shared" si="0"/>
        <v>936</v>
      </c>
    </row>
    <row r="14" spans="1:55">
      <c r="A14" s="2074">
        <v>5</v>
      </c>
      <c r="B14" s="2068" t="s">
        <v>2576</v>
      </c>
      <c r="C14" s="2073" t="s">
        <v>2579</v>
      </c>
      <c r="D14" s="2068" t="s">
        <v>1022</v>
      </c>
      <c r="E14" s="2071">
        <f t="shared" si="1"/>
        <v>11265.2</v>
      </c>
      <c r="F14" s="2071"/>
      <c r="G14" s="2071">
        <f t="shared" si="1"/>
        <v>11265.2</v>
      </c>
      <c r="H14" s="2071"/>
      <c r="I14" s="2071"/>
      <c r="J14" s="2071"/>
      <c r="K14" s="2071"/>
      <c r="L14" s="2071">
        <v>5</v>
      </c>
      <c r="M14" s="2071"/>
      <c r="N14" s="2071"/>
      <c r="O14" s="2071"/>
      <c r="P14" s="2071">
        <f t="shared" si="2"/>
        <v>3</v>
      </c>
      <c r="Q14" s="2071">
        <v>1.07</v>
      </c>
      <c r="R14" s="2071">
        <v>875.8</v>
      </c>
      <c r="S14" s="2071">
        <f t="shared" si="3"/>
        <v>937.11</v>
      </c>
      <c r="T14" s="2071">
        <f t="shared" si="4"/>
        <v>2811</v>
      </c>
      <c r="U14" s="2071"/>
      <c r="V14" s="2071">
        <f t="shared" si="0"/>
        <v>2811</v>
      </c>
    </row>
    <row r="15" spans="1:55" ht="24">
      <c r="A15" s="2074">
        <v>6</v>
      </c>
      <c r="B15" s="2068" t="s">
        <v>2580</v>
      </c>
      <c r="C15" s="2073" t="s">
        <v>2581</v>
      </c>
      <c r="D15" s="2068" t="s">
        <v>1022</v>
      </c>
      <c r="E15" s="2071">
        <f t="shared" si="1"/>
        <v>11265.2</v>
      </c>
      <c r="F15" s="2071"/>
      <c r="G15" s="2071">
        <f t="shared" si="1"/>
        <v>11265.2</v>
      </c>
      <c r="H15" s="2071"/>
      <c r="I15" s="2071"/>
      <c r="J15" s="2071"/>
      <c r="K15" s="2071"/>
      <c r="L15" s="2071">
        <v>2</v>
      </c>
      <c r="M15" s="2071"/>
      <c r="N15" s="2071">
        <v>1</v>
      </c>
      <c r="O15" s="2456">
        <v>0</v>
      </c>
      <c r="P15" s="2071">
        <f t="shared" si="2"/>
        <v>1</v>
      </c>
      <c r="Q15" s="2071">
        <v>1.07</v>
      </c>
      <c r="R15" s="2071">
        <v>185.6</v>
      </c>
      <c r="S15" s="2071">
        <f t="shared" si="3"/>
        <v>198.59</v>
      </c>
      <c r="T15" s="2071">
        <f t="shared" si="4"/>
        <v>199</v>
      </c>
      <c r="U15" s="2071"/>
      <c r="V15" s="2071">
        <f t="shared" si="0"/>
        <v>199</v>
      </c>
    </row>
    <row r="16" spans="1:55">
      <c r="A16" s="2074">
        <v>7</v>
      </c>
      <c r="B16" s="2068" t="s">
        <v>1409</v>
      </c>
      <c r="C16" s="2073" t="s">
        <v>3206</v>
      </c>
      <c r="D16" s="2068" t="s">
        <v>1590</v>
      </c>
      <c r="E16" s="2071">
        <f t="shared" si="1"/>
        <v>11265.2</v>
      </c>
      <c r="F16" s="2071"/>
      <c r="G16" s="2071">
        <f t="shared" si="1"/>
        <v>11265.2</v>
      </c>
      <c r="H16" s="2071"/>
      <c r="I16" s="2071"/>
      <c r="J16" s="2071"/>
      <c r="K16" s="2071"/>
      <c r="L16" s="2071">
        <v>100</v>
      </c>
      <c r="M16" s="2071"/>
      <c r="N16" s="2456">
        <v>0</v>
      </c>
      <c r="O16" s="2456">
        <v>100</v>
      </c>
      <c r="P16" s="2071">
        <f t="shared" si="2"/>
        <v>0</v>
      </c>
      <c r="Q16" s="2071">
        <v>1.07</v>
      </c>
      <c r="R16" s="2071">
        <v>216.05</v>
      </c>
      <c r="S16" s="2071">
        <f t="shared" si="3"/>
        <v>231.17</v>
      </c>
      <c r="T16" s="2071">
        <f t="shared" si="4"/>
        <v>0</v>
      </c>
      <c r="U16" s="2071"/>
      <c r="V16" s="2071">
        <f t="shared" si="0"/>
        <v>0</v>
      </c>
    </row>
    <row r="17" spans="1:22" ht="24">
      <c r="A17" s="2074">
        <v>8</v>
      </c>
      <c r="B17" s="2068" t="s">
        <v>2582</v>
      </c>
      <c r="C17" s="2073" t="s">
        <v>2583</v>
      </c>
      <c r="D17" s="2068" t="s">
        <v>1022</v>
      </c>
      <c r="E17" s="2071">
        <f t="shared" si="1"/>
        <v>11265.2</v>
      </c>
      <c r="F17" s="2071"/>
      <c r="G17" s="2071">
        <f t="shared" si="1"/>
        <v>11265.2</v>
      </c>
      <c r="H17" s="2071"/>
      <c r="I17" s="2071"/>
      <c r="J17" s="2071"/>
      <c r="K17" s="2071"/>
      <c r="L17" s="2071">
        <v>1</v>
      </c>
      <c r="M17" s="2071"/>
      <c r="N17" s="2071"/>
      <c r="O17" s="2071"/>
      <c r="P17" s="2071">
        <f t="shared" si="2"/>
        <v>1</v>
      </c>
      <c r="Q17" s="2071">
        <v>1.07</v>
      </c>
      <c r="R17" s="2071">
        <v>977.3</v>
      </c>
      <c r="S17" s="2071">
        <f t="shared" si="3"/>
        <v>1045.71</v>
      </c>
      <c r="T17" s="2071">
        <f t="shared" si="4"/>
        <v>1046</v>
      </c>
      <c r="U17" s="2071"/>
      <c r="V17" s="2071">
        <f t="shared" si="0"/>
        <v>1046</v>
      </c>
    </row>
    <row r="18" spans="1:22" ht="72">
      <c r="A18" s="2074">
        <v>9</v>
      </c>
      <c r="B18" s="2068" t="s">
        <v>2584</v>
      </c>
      <c r="C18" s="2073" t="s">
        <v>2585</v>
      </c>
      <c r="D18" s="2068" t="s">
        <v>1525</v>
      </c>
      <c r="E18" s="2071">
        <f t="shared" si="1"/>
        <v>11265.2</v>
      </c>
      <c r="F18" s="2071"/>
      <c r="G18" s="2071">
        <f t="shared" si="1"/>
        <v>11265.2</v>
      </c>
      <c r="H18" s="2071"/>
      <c r="I18" s="2071"/>
      <c r="J18" s="2071"/>
      <c r="K18" s="2071"/>
      <c r="L18" s="2071">
        <v>1</v>
      </c>
      <c r="M18" s="2071"/>
      <c r="N18" s="2456">
        <v>0</v>
      </c>
      <c r="O18" s="2456">
        <v>0</v>
      </c>
      <c r="P18" s="2071">
        <f t="shared" si="2"/>
        <v>1</v>
      </c>
      <c r="Q18" s="2071">
        <v>1.07</v>
      </c>
      <c r="R18" s="2071">
        <v>8946.5</v>
      </c>
      <c r="S18" s="2071">
        <f t="shared" si="3"/>
        <v>9572.76</v>
      </c>
      <c r="T18" s="2071">
        <f t="shared" si="4"/>
        <v>9573</v>
      </c>
      <c r="U18" s="2071"/>
      <c r="V18" s="2071">
        <f t="shared" ref="V18:V35" si="5">T18-U18</f>
        <v>9573</v>
      </c>
    </row>
    <row r="19" spans="1:22">
      <c r="A19" s="2074">
        <v>10</v>
      </c>
      <c r="B19" s="2068" t="s">
        <v>2586</v>
      </c>
      <c r="C19" s="2068" t="s">
        <v>2587</v>
      </c>
      <c r="D19" s="2068" t="s">
        <v>1022</v>
      </c>
      <c r="E19" s="2071">
        <f t="shared" si="1"/>
        <v>11265.2</v>
      </c>
      <c r="F19" s="2071"/>
      <c r="G19" s="2071">
        <f t="shared" si="1"/>
        <v>11265.2</v>
      </c>
      <c r="H19" s="2071"/>
      <c r="I19" s="2071"/>
      <c r="J19" s="2071"/>
      <c r="K19" s="2071"/>
      <c r="L19" s="2071">
        <v>10</v>
      </c>
      <c r="M19" s="2071"/>
      <c r="N19" s="2456">
        <v>0</v>
      </c>
      <c r="O19" s="2456">
        <v>0</v>
      </c>
      <c r="P19" s="2071">
        <f t="shared" si="2"/>
        <v>5</v>
      </c>
      <c r="Q19" s="2071">
        <v>1.07</v>
      </c>
      <c r="R19" s="2071">
        <v>72.5</v>
      </c>
      <c r="S19" s="2071">
        <f t="shared" si="3"/>
        <v>77.58</v>
      </c>
      <c r="T19" s="2071">
        <f t="shared" si="4"/>
        <v>388</v>
      </c>
      <c r="U19" s="2071"/>
      <c r="V19" s="2071">
        <f t="shared" si="5"/>
        <v>388</v>
      </c>
    </row>
    <row r="20" spans="1:22">
      <c r="A20" s="2074">
        <v>11</v>
      </c>
      <c r="B20" s="2068" t="s">
        <v>2588</v>
      </c>
      <c r="C20" s="2068" t="s">
        <v>2589</v>
      </c>
      <c r="D20" s="2068" t="s">
        <v>2520</v>
      </c>
      <c r="E20" s="2071">
        <f t="shared" si="1"/>
        <v>11265.2</v>
      </c>
      <c r="F20" s="2071"/>
      <c r="G20" s="2071">
        <f t="shared" si="1"/>
        <v>11265.2</v>
      </c>
      <c r="H20" s="2071"/>
      <c r="I20" s="2071"/>
      <c r="J20" s="2071"/>
      <c r="K20" s="2071"/>
      <c r="L20" s="2071">
        <v>2</v>
      </c>
      <c r="M20" s="2071"/>
      <c r="N20" s="2071"/>
      <c r="O20" s="2071"/>
      <c r="P20" s="2071">
        <f t="shared" si="2"/>
        <v>1</v>
      </c>
      <c r="Q20" s="2071">
        <v>1.07</v>
      </c>
      <c r="R20" s="2071">
        <v>6220.5</v>
      </c>
      <c r="S20" s="2071">
        <f t="shared" si="3"/>
        <v>6655.94</v>
      </c>
      <c r="T20" s="2071">
        <f t="shared" si="4"/>
        <v>6656</v>
      </c>
      <c r="U20" s="2071"/>
      <c r="V20" s="2071">
        <f t="shared" si="5"/>
        <v>6656</v>
      </c>
    </row>
    <row r="21" spans="1:22">
      <c r="A21" s="2074">
        <v>12</v>
      </c>
      <c r="B21" s="2068" t="s">
        <v>1881</v>
      </c>
      <c r="C21" s="2068" t="s">
        <v>2590</v>
      </c>
      <c r="D21" s="2068" t="s">
        <v>1022</v>
      </c>
      <c r="E21" s="2071">
        <f t="shared" si="1"/>
        <v>11265.2</v>
      </c>
      <c r="F21" s="2071"/>
      <c r="G21" s="2071">
        <f t="shared" si="1"/>
        <v>11265.2</v>
      </c>
      <c r="H21" s="2071"/>
      <c r="I21" s="2071"/>
      <c r="J21" s="2071"/>
      <c r="K21" s="2071"/>
      <c r="L21" s="2071">
        <v>1</v>
      </c>
      <c r="M21" s="2071"/>
      <c r="N21" s="2071"/>
      <c r="O21" s="2071"/>
      <c r="P21" s="2071">
        <f t="shared" si="2"/>
        <v>1</v>
      </c>
      <c r="Q21" s="2071">
        <v>1.07</v>
      </c>
      <c r="R21" s="2071">
        <v>3625</v>
      </c>
      <c r="S21" s="2071">
        <f t="shared" si="3"/>
        <v>3878.75</v>
      </c>
      <c r="T21" s="2071">
        <f t="shared" si="4"/>
        <v>3879</v>
      </c>
      <c r="U21" s="2071"/>
      <c r="V21" s="2071">
        <f t="shared" si="5"/>
        <v>3879</v>
      </c>
    </row>
    <row r="22" spans="1:22">
      <c r="A22" s="2074">
        <v>13</v>
      </c>
      <c r="B22" s="2068" t="s">
        <v>2591</v>
      </c>
      <c r="C22" s="2149" t="s">
        <v>2592</v>
      </c>
      <c r="D22" s="2068" t="s">
        <v>1525</v>
      </c>
      <c r="E22" s="2071">
        <f t="shared" si="1"/>
        <v>11265.2</v>
      </c>
      <c r="F22" s="2071"/>
      <c r="G22" s="2071">
        <f t="shared" si="1"/>
        <v>11265.2</v>
      </c>
      <c r="H22" s="2071"/>
      <c r="I22" s="2071"/>
      <c r="J22" s="2071"/>
      <c r="K22" s="2071"/>
      <c r="L22" s="2071">
        <v>1</v>
      </c>
      <c r="M22" s="2071"/>
      <c r="N22" s="2071"/>
      <c r="O22" s="2071"/>
      <c r="P22" s="2071">
        <f t="shared" si="2"/>
        <v>1</v>
      </c>
      <c r="Q22" s="2071">
        <v>1.07</v>
      </c>
      <c r="R22" s="2071">
        <v>1667.5</v>
      </c>
      <c r="S22" s="2071">
        <f t="shared" si="3"/>
        <v>1784.23</v>
      </c>
      <c r="T22" s="2071">
        <f t="shared" si="4"/>
        <v>1784</v>
      </c>
      <c r="U22" s="2071"/>
      <c r="V22" s="2071">
        <f t="shared" si="5"/>
        <v>1784</v>
      </c>
    </row>
    <row r="23" spans="1:22" ht="48">
      <c r="A23" s="2074">
        <v>14</v>
      </c>
      <c r="B23" s="2068" t="s">
        <v>2593</v>
      </c>
      <c r="C23" s="2069" t="s">
        <v>2594</v>
      </c>
      <c r="D23" s="2068" t="s">
        <v>1268</v>
      </c>
      <c r="E23" s="2071">
        <f t="shared" si="1"/>
        <v>11265.2</v>
      </c>
      <c r="F23" s="2071"/>
      <c r="G23" s="2071">
        <f t="shared" si="1"/>
        <v>11265.2</v>
      </c>
      <c r="H23" s="2071"/>
      <c r="I23" s="2071"/>
      <c r="J23" s="2071"/>
      <c r="K23" s="2071"/>
      <c r="L23" s="2071">
        <v>2</v>
      </c>
      <c r="M23" s="2068"/>
      <c r="N23" s="2067"/>
      <c r="O23" s="2067"/>
      <c r="P23" s="2071">
        <f t="shared" si="2"/>
        <v>1</v>
      </c>
      <c r="Q23" s="2071">
        <v>1.07</v>
      </c>
      <c r="R23" s="2071">
        <v>2755</v>
      </c>
      <c r="S23" s="2071">
        <f t="shared" si="3"/>
        <v>2947.85</v>
      </c>
      <c r="T23" s="2071">
        <f t="shared" si="4"/>
        <v>2948</v>
      </c>
      <c r="U23" s="2071"/>
      <c r="V23" s="2071">
        <f t="shared" si="5"/>
        <v>2948</v>
      </c>
    </row>
    <row r="24" spans="1:22" ht="24">
      <c r="A24" s="2074">
        <v>15</v>
      </c>
      <c r="B24" s="2068" t="s">
        <v>1341</v>
      </c>
      <c r="C24" s="2068" t="s">
        <v>3207</v>
      </c>
      <c r="D24" s="2068" t="s">
        <v>1022</v>
      </c>
      <c r="E24" s="2071">
        <f t="shared" si="1"/>
        <v>11265.2</v>
      </c>
      <c r="F24" s="2071"/>
      <c r="G24" s="2071">
        <f t="shared" si="1"/>
        <v>11265.2</v>
      </c>
      <c r="H24" s="2071"/>
      <c r="I24" s="2071"/>
      <c r="J24" s="2071"/>
      <c r="K24" s="2071"/>
      <c r="L24" s="2071">
        <v>5</v>
      </c>
      <c r="M24" s="2071"/>
      <c r="N24" s="2071"/>
      <c r="O24" s="2071">
        <v>5</v>
      </c>
      <c r="P24" s="2071">
        <f t="shared" si="2"/>
        <v>0</v>
      </c>
      <c r="Q24" s="2071">
        <v>1.07</v>
      </c>
      <c r="R24" s="2071">
        <v>391.5</v>
      </c>
      <c r="S24" s="2071">
        <f t="shared" si="3"/>
        <v>418.91</v>
      </c>
      <c r="T24" s="2071">
        <f t="shared" si="4"/>
        <v>0</v>
      </c>
      <c r="U24" s="2071"/>
      <c r="V24" s="2071">
        <f t="shared" si="5"/>
        <v>0</v>
      </c>
    </row>
    <row r="25" spans="1:22" ht="24">
      <c r="A25" s="2074">
        <v>16</v>
      </c>
      <c r="B25" s="2068" t="s">
        <v>1341</v>
      </c>
      <c r="C25" s="2068" t="s">
        <v>3208</v>
      </c>
      <c r="D25" s="2068" t="s">
        <v>1022</v>
      </c>
      <c r="E25" s="2071">
        <f t="shared" si="1"/>
        <v>11265.2</v>
      </c>
      <c r="F25" s="2071"/>
      <c r="G25" s="2071">
        <f t="shared" si="1"/>
        <v>11265.2</v>
      </c>
      <c r="H25" s="2071"/>
      <c r="I25" s="2071"/>
      <c r="J25" s="2071"/>
      <c r="K25" s="2071"/>
      <c r="L25" s="2071">
        <v>5</v>
      </c>
      <c r="M25" s="2071"/>
      <c r="N25" s="2071"/>
      <c r="O25" s="2071">
        <v>5</v>
      </c>
      <c r="P25" s="2071">
        <f t="shared" si="2"/>
        <v>0</v>
      </c>
      <c r="Q25" s="2071">
        <v>1.07</v>
      </c>
      <c r="R25" s="2071">
        <v>420.5</v>
      </c>
      <c r="S25" s="2071">
        <f t="shared" si="3"/>
        <v>449.94</v>
      </c>
      <c r="T25" s="2071">
        <f t="shared" si="4"/>
        <v>0</v>
      </c>
      <c r="U25" s="2071"/>
      <c r="V25" s="2071">
        <f t="shared" si="5"/>
        <v>0</v>
      </c>
    </row>
    <row r="26" spans="1:22" ht="24">
      <c r="A26" s="2074">
        <v>17</v>
      </c>
      <c r="B26" s="2068" t="s">
        <v>1341</v>
      </c>
      <c r="C26" s="2068" t="s">
        <v>3209</v>
      </c>
      <c r="D26" s="2068" t="s">
        <v>1022</v>
      </c>
      <c r="E26" s="2071">
        <f t="shared" si="1"/>
        <v>11265.2</v>
      </c>
      <c r="F26" s="2071"/>
      <c r="G26" s="2071">
        <f t="shared" si="1"/>
        <v>11265.2</v>
      </c>
      <c r="H26" s="2071"/>
      <c r="I26" s="2071"/>
      <c r="J26" s="2071"/>
      <c r="K26" s="2071"/>
      <c r="L26" s="2071">
        <v>10</v>
      </c>
      <c r="M26" s="2071"/>
      <c r="N26" s="2071">
        <v>10</v>
      </c>
      <c r="O26" s="2071">
        <v>10</v>
      </c>
      <c r="P26" s="2071">
        <f t="shared" si="2"/>
        <v>0</v>
      </c>
      <c r="Q26" s="2071">
        <v>1.07</v>
      </c>
      <c r="R26" s="2071">
        <v>391.5</v>
      </c>
      <c r="S26" s="2071">
        <f t="shared" si="3"/>
        <v>418.91</v>
      </c>
      <c r="T26" s="2071">
        <f t="shared" si="4"/>
        <v>0</v>
      </c>
      <c r="U26" s="2071"/>
      <c r="V26" s="2071">
        <f t="shared" si="5"/>
        <v>0</v>
      </c>
    </row>
    <row r="27" spans="1:22" ht="24">
      <c r="A27" s="2074">
        <v>18</v>
      </c>
      <c r="B27" s="2068" t="s">
        <v>1341</v>
      </c>
      <c r="C27" s="2068" t="s">
        <v>3210</v>
      </c>
      <c r="D27" s="2068" t="s">
        <v>1022</v>
      </c>
      <c r="E27" s="2071">
        <f t="shared" si="1"/>
        <v>11265.2</v>
      </c>
      <c r="F27" s="2071"/>
      <c r="G27" s="2071">
        <f t="shared" si="1"/>
        <v>11265.2</v>
      </c>
      <c r="H27" s="2071"/>
      <c r="I27" s="2071"/>
      <c r="J27" s="2071"/>
      <c r="K27" s="2071"/>
      <c r="L27" s="2071">
        <v>10</v>
      </c>
      <c r="M27" s="2071"/>
      <c r="N27" s="2071">
        <v>15</v>
      </c>
      <c r="O27" s="2071">
        <v>10</v>
      </c>
      <c r="P27" s="2071">
        <f t="shared" si="2"/>
        <v>0</v>
      </c>
      <c r="Q27" s="2071">
        <v>1.07</v>
      </c>
      <c r="R27" s="2071">
        <v>449.5</v>
      </c>
      <c r="S27" s="2071">
        <f t="shared" si="3"/>
        <v>480.97</v>
      </c>
      <c r="T27" s="2071">
        <f t="shared" si="4"/>
        <v>0</v>
      </c>
      <c r="U27" s="2071"/>
      <c r="V27" s="2071">
        <f t="shared" si="5"/>
        <v>0</v>
      </c>
    </row>
    <row r="28" spans="1:22" ht="36">
      <c r="A28" s="2074">
        <v>19</v>
      </c>
      <c r="B28" s="2068" t="s">
        <v>3211</v>
      </c>
      <c r="C28" s="2068" t="s">
        <v>3212</v>
      </c>
      <c r="D28" s="2068" t="s">
        <v>1022</v>
      </c>
      <c r="E28" s="2071">
        <f t="shared" si="1"/>
        <v>11265.2</v>
      </c>
      <c r="F28" s="2071"/>
      <c r="G28" s="2071">
        <f t="shared" si="1"/>
        <v>11265.2</v>
      </c>
      <c r="H28" s="2071"/>
      <c r="I28" s="2071"/>
      <c r="J28" s="2071"/>
      <c r="K28" s="2071"/>
      <c r="L28" s="2071">
        <v>5</v>
      </c>
      <c r="M28" s="2071"/>
      <c r="N28" s="2071"/>
      <c r="O28" s="2071">
        <v>5</v>
      </c>
      <c r="P28" s="2071">
        <f>ROUND((L28-O28),0)</f>
        <v>0</v>
      </c>
      <c r="Q28" s="2071">
        <v>1.07</v>
      </c>
      <c r="R28" s="2071">
        <v>420.5</v>
      </c>
      <c r="S28" s="2071">
        <f t="shared" si="3"/>
        <v>449.94</v>
      </c>
      <c r="T28" s="2071">
        <f t="shared" si="4"/>
        <v>0</v>
      </c>
      <c r="U28" s="2071"/>
      <c r="V28" s="2071">
        <f t="shared" si="5"/>
        <v>0</v>
      </c>
    </row>
    <row r="29" spans="1:22" ht="36">
      <c r="A29" s="2074">
        <v>20</v>
      </c>
      <c r="B29" s="2068" t="s">
        <v>3211</v>
      </c>
      <c r="C29" s="2068" t="s">
        <v>3213</v>
      </c>
      <c r="D29" s="2068" t="s">
        <v>1022</v>
      </c>
      <c r="E29" s="2071">
        <f t="shared" si="1"/>
        <v>11265.2</v>
      </c>
      <c r="F29" s="2071"/>
      <c r="G29" s="2071">
        <f t="shared" si="1"/>
        <v>11265.2</v>
      </c>
      <c r="H29" s="2071"/>
      <c r="I29" s="2071"/>
      <c r="J29" s="2071"/>
      <c r="K29" s="2071"/>
      <c r="L29" s="2071">
        <v>10</v>
      </c>
      <c r="M29" s="2071"/>
      <c r="N29" s="2071">
        <v>10</v>
      </c>
      <c r="O29" s="2071">
        <v>10</v>
      </c>
      <c r="P29" s="2071">
        <f t="shared" ref="P29:P31" si="6">ROUND((L29-O29),0)</f>
        <v>0</v>
      </c>
      <c r="Q29" s="2071">
        <v>1.07</v>
      </c>
      <c r="R29" s="2071">
        <v>420.5</v>
      </c>
      <c r="S29" s="2071">
        <f t="shared" si="3"/>
        <v>449.94</v>
      </c>
      <c r="T29" s="2071">
        <f t="shared" si="4"/>
        <v>0</v>
      </c>
      <c r="U29" s="2071"/>
      <c r="V29" s="2071">
        <f t="shared" si="5"/>
        <v>0</v>
      </c>
    </row>
    <row r="30" spans="1:22" ht="36">
      <c r="A30" s="2074">
        <v>21</v>
      </c>
      <c r="B30" s="2068" t="s">
        <v>3211</v>
      </c>
      <c r="C30" s="2068" t="s">
        <v>3214</v>
      </c>
      <c r="D30" s="2068" t="s">
        <v>1022</v>
      </c>
      <c r="E30" s="2071">
        <f t="shared" si="1"/>
        <v>11265.2</v>
      </c>
      <c r="F30" s="2071"/>
      <c r="G30" s="2071">
        <f t="shared" si="1"/>
        <v>11265.2</v>
      </c>
      <c r="H30" s="2071"/>
      <c r="I30" s="2071"/>
      <c r="J30" s="2071"/>
      <c r="K30" s="2071"/>
      <c r="L30" s="2071">
        <v>5</v>
      </c>
      <c r="M30" s="2071"/>
      <c r="N30" s="2071"/>
      <c r="O30" s="2071">
        <v>5</v>
      </c>
      <c r="P30" s="2071">
        <f t="shared" si="6"/>
        <v>0</v>
      </c>
      <c r="Q30" s="2071">
        <v>1.07</v>
      </c>
      <c r="R30" s="2071">
        <v>609</v>
      </c>
      <c r="S30" s="2071">
        <f t="shared" si="3"/>
        <v>651.63</v>
      </c>
      <c r="T30" s="2071">
        <f t="shared" si="4"/>
        <v>0</v>
      </c>
      <c r="U30" s="2071"/>
      <c r="V30" s="2071">
        <f t="shared" si="5"/>
        <v>0</v>
      </c>
    </row>
    <row r="31" spans="1:22" ht="36">
      <c r="A31" s="2074">
        <v>22</v>
      </c>
      <c r="B31" s="2068" t="s">
        <v>3211</v>
      </c>
      <c r="C31" s="2068" t="s">
        <v>3215</v>
      </c>
      <c r="D31" s="2068" t="s">
        <v>1022</v>
      </c>
      <c r="E31" s="2071">
        <f t="shared" si="1"/>
        <v>11265.2</v>
      </c>
      <c r="F31" s="2071"/>
      <c r="G31" s="2071">
        <f t="shared" si="1"/>
        <v>11265.2</v>
      </c>
      <c r="H31" s="2071"/>
      <c r="I31" s="2071"/>
      <c r="J31" s="2071"/>
      <c r="K31" s="2071"/>
      <c r="L31" s="2071">
        <v>10</v>
      </c>
      <c r="M31" s="2071"/>
      <c r="N31" s="2071">
        <v>10</v>
      </c>
      <c r="O31" s="2071">
        <v>10</v>
      </c>
      <c r="P31" s="2071">
        <f t="shared" si="6"/>
        <v>0</v>
      </c>
      <c r="Q31" s="2071">
        <v>1.07</v>
      </c>
      <c r="R31" s="2071">
        <v>420.5</v>
      </c>
      <c r="S31" s="2071">
        <f t="shared" si="3"/>
        <v>449.94</v>
      </c>
      <c r="T31" s="2071">
        <f t="shared" si="4"/>
        <v>0</v>
      </c>
      <c r="U31" s="2071"/>
      <c r="V31" s="2071">
        <f t="shared" si="5"/>
        <v>0</v>
      </c>
    </row>
    <row r="32" spans="1:22">
      <c r="A32" s="2074">
        <v>23</v>
      </c>
      <c r="B32" s="2068" t="s">
        <v>2595</v>
      </c>
      <c r="C32" s="2068" t="s">
        <v>2596</v>
      </c>
      <c r="D32" s="2071" t="s">
        <v>1022</v>
      </c>
      <c r="E32" s="2071">
        <f t="shared" si="1"/>
        <v>11265.2</v>
      </c>
      <c r="F32" s="2071"/>
      <c r="G32" s="2071">
        <f t="shared" si="1"/>
        <v>11265.2</v>
      </c>
      <c r="H32" s="2071"/>
      <c r="I32" s="2071"/>
      <c r="J32" s="2071"/>
      <c r="K32" s="2071"/>
      <c r="L32" s="2071">
        <v>1000</v>
      </c>
      <c r="M32" s="2071"/>
      <c r="N32" s="2071"/>
      <c r="O32" s="2071"/>
      <c r="P32" s="2071">
        <f t="shared" si="2"/>
        <v>500</v>
      </c>
      <c r="Q32" s="2071">
        <v>1.07</v>
      </c>
      <c r="R32" s="2071">
        <v>261</v>
      </c>
      <c r="S32" s="2071">
        <f t="shared" si="3"/>
        <v>279.27</v>
      </c>
      <c r="T32" s="2071">
        <f t="shared" si="4"/>
        <v>139635</v>
      </c>
      <c r="U32" s="2071"/>
      <c r="V32" s="2071">
        <f t="shared" si="5"/>
        <v>139635</v>
      </c>
    </row>
    <row r="33" spans="1:28">
      <c r="A33" s="2074">
        <v>24</v>
      </c>
      <c r="B33" s="2068" t="s">
        <v>2595</v>
      </c>
      <c r="C33" s="2068" t="s">
        <v>2597</v>
      </c>
      <c r="D33" s="2071" t="s">
        <v>1022</v>
      </c>
      <c r="E33" s="2071">
        <f t="shared" si="1"/>
        <v>11265.2</v>
      </c>
      <c r="F33" s="2071"/>
      <c r="G33" s="2071">
        <f t="shared" si="1"/>
        <v>11265.2</v>
      </c>
      <c r="H33" s="2071"/>
      <c r="I33" s="2071"/>
      <c r="J33" s="2071"/>
      <c r="K33" s="2071"/>
      <c r="L33" s="2071">
        <v>500</v>
      </c>
      <c r="M33" s="2071"/>
      <c r="N33" s="2071">
        <v>300</v>
      </c>
      <c r="O33" s="2071">
        <v>200</v>
      </c>
      <c r="P33" s="2071">
        <f t="shared" si="2"/>
        <v>150</v>
      </c>
      <c r="Q33" s="2071">
        <v>1.07</v>
      </c>
      <c r="R33" s="2071">
        <v>826.5</v>
      </c>
      <c r="S33" s="2071">
        <f t="shared" si="3"/>
        <v>884.36</v>
      </c>
      <c r="T33" s="2071">
        <f t="shared" si="4"/>
        <v>132654</v>
      </c>
      <c r="U33" s="2071"/>
      <c r="V33" s="2071">
        <f t="shared" si="5"/>
        <v>132654</v>
      </c>
    </row>
    <row r="34" spans="1:28">
      <c r="A34" s="2074">
        <v>25</v>
      </c>
      <c r="B34" s="2068" t="s">
        <v>2598</v>
      </c>
      <c r="C34" s="2068" t="s">
        <v>2599</v>
      </c>
      <c r="D34" s="2068" t="s">
        <v>1022</v>
      </c>
      <c r="E34" s="2071">
        <f t="shared" si="1"/>
        <v>11265.2</v>
      </c>
      <c r="F34" s="2071"/>
      <c r="G34" s="2071">
        <f t="shared" si="1"/>
        <v>11265.2</v>
      </c>
      <c r="H34" s="2071"/>
      <c r="I34" s="2071"/>
      <c r="J34" s="2071"/>
      <c r="K34" s="2071"/>
      <c r="L34" s="2071">
        <v>50</v>
      </c>
      <c r="M34" s="2071"/>
      <c r="N34" s="2071"/>
      <c r="O34" s="2071"/>
      <c r="P34" s="2071">
        <f t="shared" si="2"/>
        <v>25</v>
      </c>
      <c r="Q34" s="2071">
        <v>1.07</v>
      </c>
      <c r="R34" s="2071">
        <v>1131</v>
      </c>
      <c r="S34" s="2071">
        <f t="shared" si="3"/>
        <v>1210.17</v>
      </c>
      <c r="T34" s="2071">
        <f t="shared" si="4"/>
        <v>30254</v>
      </c>
      <c r="U34" s="2071"/>
      <c r="V34" s="2071">
        <f t="shared" si="5"/>
        <v>30254</v>
      </c>
    </row>
    <row r="35" spans="1:28">
      <c r="A35" s="2074">
        <v>26</v>
      </c>
      <c r="B35" s="2068" t="s">
        <v>2595</v>
      </c>
      <c r="C35" s="2068" t="s">
        <v>2600</v>
      </c>
      <c r="D35" s="2068" t="s">
        <v>1022</v>
      </c>
      <c r="E35" s="2071">
        <f t="shared" si="1"/>
        <v>11265.2</v>
      </c>
      <c r="F35" s="2071"/>
      <c r="G35" s="2071">
        <f t="shared" si="1"/>
        <v>11265.2</v>
      </c>
      <c r="H35" s="2071"/>
      <c r="I35" s="2071"/>
      <c r="J35" s="2071"/>
      <c r="K35" s="2071"/>
      <c r="L35" s="2071">
        <v>9</v>
      </c>
      <c r="M35" s="2071"/>
      <c r="N35" s="2456">
        <v>0</v>
      </c>
      <c r="O35" s="2456">
        <v>0</v>
      </c>
      <c r="P35" s="2071">
        <f t="shared" si="2"/>
        <v>5</v>
      </c>
      <c r="Q35" s="2071">
        <v>1.07</v>
      </c>
      <c r="R35" s="2071">
        <v>5220</v>
      </c>
      <c r="S35" s="2071">
        <f t="shared" si="3"/>
        <v>5585.4</v>
      </c>
      <c r="T35" s="2071">
        <f t="shared" si="4"/>
        <v>27927</v>
      </c>
      <c r="U35" s="2071"/>
      <c r="V35" s="2071">
        <f t="shared" si="5"/>
        <v>27927</v>
      </c>
    </row>
    <row r="36" spans="1:28" ht="24">
      <c r="A36" s="2074">
        <v>27</v>
      </c>
      <c r="B36" s="2068" t="s">
        <v>2601</v>
      </c>
      <c r="C36" s="2068" t="s">
        <v>2602</v>
      </c>
      <c r="D36" s="2071" t="s">
        <v>1022</v>
      </c>
      <c r="E36" s="2071">
        <f t="shared" si="1"/>
        <v>11265.2</v>
      </c>
      <c r="F36" s="2071"/>
      <c r="G36" s="2071">
        <f t="shared" si="1"/>
        <v>11265.2</v>
      </c>
      <c r="H36" s="2071"/>
      <c r="I36" s="2071"/>
      <c r="J36" s="2071"/>
      <c r="K36" s="2071"/>
      <c r="L36" s="2071">
        <v>20</v>
      </c>
      <c r="M36" s="2071"/>
      <c r="N36" s="2071">
        <v>20</v>
      </c>
      <c r="O36" s="2071">
        <v>10</v>
      </c>
      <c r="P36" s="2071">
        <f t="shared" si="2"/>
        <v>5</v>
      </c>
      <c r="Q36" s="2071">
        <v>1.07</v>
      </c>
      <c r="R36" s="2071">
        <v>580</v>
      </c>
      <c r="S36" s="2071">
        <f t="shared" si="3"/>
        <v>620.6</v>
      </c>
      <c r="T36" s="2071">
        <f t="shared" si="4"/>
        <v>3103</v>
      </c>
      <c r="U36" s="2071"/>
      <c r="V36" s="2071">
        <f>T36-U36</f>
        <v>3103</v>
      </c>
    </row>
    <row r="37" spans="1:28" ht="36">
      <c r="A37" s="2074">
        <v>28</v>
      </c>
      <c r="B37" s="2068" t="s">
        <v>2603</v>
      </c>
      <c r="C37" s="2068" t="s">
        <v>2604</v>
      </c>
      <c r="D37" s="2068" t="s">
        <v>1022</v>
      </c>
      <c r="E37" s="2071">
        <f t="shared" si="1"/>
        <v>11265.2</v>
      </c>
      <c r="F37" s="2071"/>
      <c r="G37" s="2071">
        <f t="shared" si="1"/>
        <v>11265.2</v>
      </c>
      <c r="H37" s="2071"/>
      <c r="I37" s="2071"/>
      <c r="J37" s="2071"/>
      <c r="K37" s="2071"/>
      <c r="L37" s="2071">
        <v>1</v>
      </c>
      <c r="M37" s="2071"/>
      <c r="N37" s="2071"/>
      <c r="O37" s="2071"/>
      <c r="P37" s="2071">
        <f t="shared" si="2"/>
        <v>1</v>
      </c>
      <c r="Q37" s="2071">
        <v>1.07</v>
      </c>
      <c r="R37" s="2071">
        <v>5800</v>
      </c>
      <c r="S37" s="2071">
        <f t="shared" si="3"/>
        <v>6206</v>
      </c>
      <c r="T37" s="2071">
        <f t="shared" si="4"/>
        <v>6206</v>
      </c>
      <c r="U37" s="2071"/>
      <c r="V37" s="2071">
        <f t="shared" ref="V37:V45" si="7">T37-U37</f>
        <v>6206</v>
      </c>
    </row>
    <row r="38" spans="1:28" ht="48">
      <c r="A38" s="2074">
        <v>29</v>
      </c>
      <c r="B38" s="2068" t="s">
        <v>2605</v>
      </c>
      <c r="C38" s="2149" t="s">
        <v>2606</v>
      </c>
      <c r="D38" s="2068" t="s">
        <v>1022</v>
      </c>
      <c r="E38" s="2071">
        <f t="shared" si="1"/>
        <v>11265.2</v>
      </c>
      <c r="F38" s="2071"/>
      <c r="G38" s="2071">
        <f t="shared" si="1"/>
        <v>11265.2</v>
      </c>
      <c r="H38" s="2071"/>
      <c r="I38" s="2071"/>
      <c r="J38" s="2071"/>
      <c r="K38" s="2071"/>
      <c r="L38" s="2071">
        <v>1</v>
      </c>
      <c r="M38" s="2071"/>
      <c r="N38" s="2071">
        <v>1</v>
      </c>
      <c r="O38" s="2071">
        <v>1</v>
      </c>
      <c r="P38" s="2071">
        <f t="shared" si="2"/>
        <v>0</v>
      </c>
      <c r="Q38" s="2071">
        <v>1.07</v>
      </c>
      <c r="R38" s="2071">
        <v>43500</v>
      </c>
      <c r="S38" s="2071">
        <f t="shared" si="3"/>
        <v>46545</v>
      </c>
      <c r="T38" s="2071">
        <f t="shared" si="4"/>
        <v>0</v>
      </c>
      <c r="U38" s="2071"/>
      <c r="V38" s="2071">
        <f t="shared" si="7"/>
        <v>0</v>
      </c>
    </row>
    <row r="39" spans="1:28" ht="72">
      <c r="A39" s="2074">
        <v>30</v>
      </c>
      <c r="B39" s="2068" t="s">
        <v>2607</v>
      </c>
      <c r="C39" s="2068" t="s">
        <v>2608</v>
      </c>
      <c r="D39" s="2068" t="s">
        <v>1022</v>
      </c>
      <c r="E39" s="2071">
        <f t="shared" si="1"/>
        <v>11265.2</v>
      </c>
      <c r="F39" s="2071"/>
      <c r="G39" s="2071">
        <f t="shared" si="1"/>
        <v>11265.2</v>
      </c>
      <c r="H39" s="2071"/>
      <c r="I39" s="2071"/>
      <c r="J39" s="2071"/>
      <c r="K39" s="2071"/>
      <c r="L39" s="2071">
        <v>50</v>
      </c>
      <c r="M39" s="2071"/>
      <c r="N39" s="2456">
        <v>0</v>
      </c>
      <c r="O39" s="2456">
        <v>0</v>
      </c>
      <c r="P39" s="2071">
        <f t="shared" si="2"/>
        <v>25</v>
      </c>
      <c r="Q39" s="2071">
        <v>1.07</v>
      </c>
      <c r="R39" s="2071">
        <v>1595</v>
      </c>
      <c r="S39" s="2071">
        <f t="shared" si="3"/>
        <v>1706.65</v>
      </c>
      <c r="T39" s="2071">
        <f t="shared" si="4"/>
        <v>42666</v>
      </c>
      <c r="U39" s="2071"/>
      <c r="V39" s="2071">
        <f t="shared" si="7"/>
        <v>42666</v>
      </c>
      <c r="Y39" s="2137"/>
      <c r="Z39" s="2137"/>
      <c r="AB39" s="2137"/>
    </row>
    <row r="40" spans="1:28">
      <c r="A40" s="2074">
        <v>31</v>
      </c>
      <c r="B40" s="2068" t="s">
        <v>2609</v>
      </c>
      <c r="C40" s="2068" t="s">
        <v>2610</v>
      </c>
      <c r="D40" s="2071" t="s">
        <v>1590</v>
      </c>
      <c r="E40" s="2071">
        <f t="shared" si="1"/>
        <v>11265.2</v>
      </c>
      <c r="F40" s="2071"/>
      <c r="G40" s="2071">
        <f t="shared" si="1"/>
        <v>11265.2</v>
      </c>
      <c r="H40" s="2071"/>
      <c r="I40" s="2071"/>
      <c r="J40" s="2071"/>
      <c r="K40" s="2071"/>
      <c r="L40" s="2071">
        <v>100</v>
      </c>
      <c r="M40" s="2068"/>
      <c r="N40" s="2071"/>
      <c r="O40" s="2071"/>
      <c r="P40" s="2071">
        <f t="shared" si="2"/>
        <v>50</v>
      </c>
      <c r="Q40" s="2071">
        <v>1.07</v>
      </c>
      <c r="R40" s="2071">
        <v>696</v>
      </c>
      <c r="S40" s="2071">
        <f t="shared" si="3"/>
        <v>744.72</v>
      </c>
      <c r="T40" s="2071">
        <f t="shared" si="4"/>
        <v>37236</v>
      </c>
      <c r="U40" s="2071"/>
      <c r="V40" s="2071">
        <f t="shared" si="7"/>
        <v>37236</v>
      </c>
    </row>
    <row r="41" spans="1:28">
      <c r="A41" s="2074">
        <v>32</v>
      </c>
      <c r="B41" s="2068" t="s">
        <v>2611</v>
      </c>
      <c r="C41" s="2068" t="s">
        <v>2612</v>
      </c>
      <c r="D41" s="2068" t="s">
        <v>1022</v>
      </c>
      <c r="E41" s="2071">
        <f t="shared" si="1"/>
        <v>11265.2</v>
      </c>
      <c r="F41" s="2071"/>
      <c r="G41" s="2071">
        <f t="shared" si="1"/>
        <v>11265.2</v>
      </c>
      <c r="H41" s="2071"/>
      <c r="I41" s="2071"/>
      <c r="J41" s="2071"/>
      <c r="K41" s="2071"/>
      <c r="L41" s="2071">
        <v>50</v>
      </c>
      <c r="M41" s="2071"/>
      <c r="N41" s="2071">
        <v>200</v>
      </c>
      <c r="O41" s="2456">
        <v>0</v>
      </c>
      <c r="P41" s="2071">
        <f t="shared" si="2"/>
        <v>25</v>
      </c>
      <c r="Q41" s="2071">
        <v>1.07</v>
      </c>
      <c r="R41" s="2071">
        <v>362.5</v>
      </c>
      <c r="S41" s="2071">
        <f t="shared" si="3"/>
        <v>387.88</v>
      </c>
      <c r="T41" s="2071">
        <f t="shared" si="4"/>
        <v>9697</v>
      </c>
      <c r="U41" s="2071"/>
      <c r="V41" s="2071">
        <f t="shared" si="7"/>
        <v>9697</v>
      </c>
    </row>
    <row r="42" spans="1:28">
      <c r="A42" s="2074">
        <v>33</v>
      </c>
      <c r="B42" s="2068" t="s">
        <v>2613</v>
      </c>
      <c r="C42" s="2068" t="s">
        <v>2614</v>
      </c>
      <c r="D42" s="2068" t="s">
        <v>1022</v>
      </c>
      <c r="E42" s="2071">
        <f t="shared" si="1"/>
        <v>11265.2</v>
      </c>
      <c r="F42" s="2071"/>
      <c r="G42" s="2071">
        <f t="shared" si="1"/>
        <v>11265.2</v>
      </c>
      <c r="H42" s="2071"/>
      <c r="I42" s="2071"/>
      <c r="J42" s="2071"/>
      <c r="K42" s="2071"/>
      <c r="L42" s="2071">
        <v>24</v>
      </c>
      <c r="M42" s="2071"/>
      <c r="N42" s="2071"/>
      <c r="O42" s="2071"/>
      <c r="P42" s="2071">
        <f t="shared" si="2"/>
        <v>12</v>
      </c>
      <c r="Q42" s="2071">
        <v>1.07</v>
      </c>
      <c r="R42" s="2071">
        <v>870</v>
      </c>
      <c r="S42" s="2071">
        <f t="shared" si="3"/>
        <v>930.9</v>
      </c>
      <c r="T42" s="2071">
        <f t="shared" si="4"/>
        <v>11171</v>
      </c>
      <c r="U42" s="2071"/>
      <c r="V42" s="2071">
        <f t="shared" si="7"/>
        <v>11171</v>
      </c>
    </row>
    <row r="43" spans="1:28">
      <c r="A43" s="2074">
        <v>34</v>
      </c>
      <c r="B43" s="2068" t="s">
        <v>2613</v>
      </c>
      <c r="C43" s="2068" t="s">
        <v>2615</v>
      </c>
      <c r="D43" s="2068" t="s">
        <v>1022</v>
      </c>
      <c r="E43" s="2071">
        <f t="shared" si="1"/>
        <v>11265.2</v>
      </c>
      <c r="F43" s="2071"/>
      <c r="G43" s="2071">
        <f t="shared" si="1"/>
        <v>11265.2</v>
      </c>
      <c r="H43" s="2071"/>
      <c r="I43" s="2071"/>
      <c r="J43" s="2071"/>
      <c r="K43" s="2071"/>
      <c r="L43" s="2071">
        <v>2</v>
      </c>
      <c r="M43" s="2071"/>
      <c r="N43" s="2071"/>
      <c r="O43" s="2071"/>
      <c r="P43" s="2071">
        <f t="shared" si="2"/>
        <v>1</v>
      </c>
      <c r="Q43" s="2071">
        <v>1.07</v>
      </c>
      <c r="R43" s="2071">
        <v>1160</v>
      </c>
      <c r="S43" s="2071">
        <f t="shared" si="3"/>
        <v>1241.2</v>
      </c>
      <c r="T43" s="2071">
        <f t="shared" si="4"/>
        <v>1241</v>
      </c>
      <c r="U43" s="2071"/>
      <c r="V43" s="2071">
        <f t="shared" si="7"/>
        <v>1241</v>
      </c>
    </row>
    <row r="44" spans="1:28">
      <c r="A44" s="2074">
        <v>35</v>
      </c>
      <c r="B44" s="2068" t="s">
        <v>1409</v>
      </c>
      <c r="C44" s="2068" t="s">
        <v>2616</v>
      </c>
      <c r="D44" s="2068" t="s">
        <v>1590</v>
      </c>
      <c r="E44" s="2071">
        <f t="shared" si="1"/>
        <v>11265.2</v>
      </c>
      <c r="F44" s="2071"/>
      <c r="G44" s="2071">
        <f t="shared" si="1"/>
        <v>11265.2</v>
      </c>
      <c r="H44" s="2071"/>
      <c r="I44" s="2071"/>
      <c r="J44" s="2071"/>
      <c r="K44" s="2071"/>
      <c r="L44" s="2071">
        <v>75</v>
      </c>
      <c r="M44" s="2071"/>
      <c r="N44" s="2071"/>
      <c r="O44" s="2071"/>
      <c r="P44" s="2071">
        <f t="shared" si="2"/>
        <v>38</v>
      </c>
      <c r="Q44" s="2071">
        <v>1.07</v>
      </c>
      <c r="R44" s="2071">
        <v>1087.5</v>
      </c>
      <c r="S44" s="2071">
        <f t="shared" si="3"/>
        <v>1163.6300000000001</v>
      </c>
      <c r="T44" s="2071">
        <f t="shared" si="4"/>
        <v>44218</v>
      </c>
      <c r="U44" s="2071"/>
      <c r="V44" s="2071">
        <f t="shared" si="7"/>
        <v>44218</v>
      </c>
    </row>
    <row r="45" spans="1:28">
      <c r="A45" s="2074">
        <v>36</v>
      </c>
      <c r="B45" s="2068" t="s">
        <v>1409</v>
      </c>
      <c r="C45" s="2068" t="s">
        <v>2617</v>
      </c>
      <c r="D45" s="2068" t="s">
        <v>1590</v>
      </c>
      <c r="E45" s="2071">
        <f t="shared" si="1"/>
        <v>11265.2</v>
      </c>
      <c r="F45" s="2071"/>
      <c r="G45" s="2071">
        <f t="shared" si="1"/>
        <v>11265.2</v>
      </c>
      <c r="H45" s="2071"/>
      <c r="I45" s="2071"/>
      <c r="J45" s="2071"/>
      <c r="K45" s="2071"/>
      <c r="L45" s="2071">
        <v>54</v>
      </c>
      <c r="M45" s="2071"/>
      <c r="N45" s="2071"/>
      <c r="O45" s="2071"/>
      <c r="P45" s="2071">
        <f t="shared" si="2"/>
        <v>27</v>
      </c>
      <c r="Q45" s="2071">
        <v>1.07</v>
      </c>
      <c r="R45" s="2071">
        <v>957</v>
      </c>
      <c r="S45" s="2071">
        <f t="shared" si="3"/>
        <v>1023.99</v>
      </c>
      <c r="T45" s="2071">
        <f t="shared" si="4"/>
        <v>27648</v>
      </c>
      <c r="U45" s="2071"/>
      <c r="V45" s="2071">
        <f t="shared" si="7"/>
        <v>27648</v>
      </c>
    </row>
    <row r="46" spans="1:28">
      <c r="A46" s="2074">
        <v>37</v>
      </c>
      <c r="B46" s="2068" t="s">
        <v>2609</v>
      </c>
      <c r="C46" s="2068" t="s">
        <v>2618</v>
      </c>
      <c r="D46" s="2068" t="s">
        <v>1590</v>
      </c>
      <c r="E46" s="2071">
        <f t="shared" si="1"/>
        <v>11265.2</v>
      </c>
      <c r="F46" s="2071"/>
      <c r="G46" s="2071">
        <f t="shared" si="1"/>
        <v>11265.2</v>
      </c>
      <c r="H46" s="2071"/>
      <c r="I46" s="2071"/>
      <c r="J46" s="2071"/>
      <c r="K46" s="2071"/>
      <c r="L46" s="2071">
        <v>60</v>
      </c>
      <c r="M46" s="2071"/>
      <c r="N46" s="2071"/>
      <c r="O46" s="2071"/>
      <c r="P46" s="2071">
        <f t="shared" si="2"/>
        <v>30</v>
      </c>
      <c r="Q46" s="2071">
        <v>1.07</v>
      </c>
      <c r="R46" s="2071">
        <v>58</v>
      </c>
      <c r="S46" s="2071">
        <f t="shared" si="3"/>
        <v>62.06</v>
      </c>
      <c r="T46" s="2071">
        <f t="shared" si="4"/>
        <v>1862</v>
      </c>
      <c r="U46" s="2071"/>
      <c r="V46" s="2071">
        <f t="shared" ref="V46:V53" si="8">T46-U46</f>
        <v>1862</v>
      </c>
    </row>
    <row r="47" spans="1:28">
      <c r="A47" s="2074">
        <v>38</v>
      </c>
      <c r="B47" s="2068" t="s">
        <v>2607</v>
      </c>
      <c r="C47" s="2068" t="s">
        <v>2619</v>
      </c>
      <c r="D47" s="2068" t="s">
        <v>1590</v>
      </c>
      <c r="E47" s="2071">
        <f t="shared" si="1"/>
        <v>11265.2</v>
      </c>
      <c r="F47" s="2071"/>
      <c r="G47" s="2071">
        <f t="shared" si="1"/>
        <v>11265.2</v>
      </c>
      <c r="H47" s="2071"/>
      <c r="I47" s="2071"/>
      <c r="J47" s="2071"/>
      <c r="K47" s="2071"/>
      <c r="L47" s="2071">
        <v>5</v>
      </c>
      <c r="M47" s="2071"/>
      <c r="N47" s="2071"/>
      <c r="O47" s="2071"/>
      <c r="P47" s="2071">
        <f t="shared" si="2"/>
        <v>3</v>
      </c>
      <c r="Q47" s="2071">
        <v>1.07</v>
      </c>
      <c r="R47" s="2071">
        <v>217.5</v>
      </c>
      <c r="S47" s="2071">
        <f t="shared" si="3"/>
        <v>232.73</v>
      </c>
      <c r="T47" s="2071">
        <f t="shared" si="4"/>
        <v>698</v>
      </c>
      <c r="U47" s="2071"/>
      <c r="V47" s="2071">
        <f t="shared" si="8"/>
        <v>698</v>
      </c>
    </row>
    <row r="48" spans="1:28">
      <c r="A48" s="2074">
        <v>39</v>
      </c>
      <c r="B48" s="2068" t="s">
        <v>2620</v>
      </c>
      <c r="C48" s="2069" t="s">
        <v>2621</v>
      </c>
      <c r="D48" s="2068" t="s">
        <v>1022</v>
      </c>
      <c r="E48" s="2071">
        <f t="shared" si="1"/>
        <v>11265.2</v>
      </c>
      <c r="F48" s="2071"/>
      <c r="G48" s="2071">
        <f t="shared" si="1"/>
        <v>11265.2</v>
      </c>
      <c r="H48" s="2071"/>
      <c r="I48" s="2071"/>
      <c r="J48" s="2071"/>
      <c r="K48" s="2071"/>
      <c r="L48" s="2071">
        <v>2</v>
      </c>
      <c r="M48" s="2071"/>
      <c r="N48" s="2071"/>
      <c r="O48" s="2071"/>
      <c r="P48" s="2071">
        <f t="shared" si="2"/>
        <v>1</v>
      </c>
      <c r="Q48" s="2071">
        <v>1.07</v>
      </c>
      <c r="R48" s="2071">
        <v>1595</v>
      </c>
      <c r="S48" s="2071">
        <f t="shared" si="3"/>
        <v>1706.65</v>
      </c>
      <c r="T48" s="2071">
        <f t="shared" si="4"/>
        <v>1707</v>
      </c>
      <c r="U48" s="2071"/>
      <c r="V48" s="2071">
        <f t="shared" si="8"/>
        <v>1707</v>
      </c>
    </row>
    <row r="49" spans="1:24">
      <c r="A49" s="2074">
        <v>40</v>
      </c>
      <c r="B49" s="2068" t="s">
        <v>2620</v>
      </c>
      <c r="C49" s="2069" t="s">
        <v>2622</v>
      </c>
      <c r="D49" s="2068" t="s">
        <v>1268</v>
      </c>
      <c r="E49" s="2071">
        <f t="shared" si="1"/>
        <v>11265.2</v>
      </c>
      <c r="F49" s="2071"/>
      <c r="G49" s="2071">
        <f t="shared" si="1"/>
        <v>11265.2</v>
      </c>
      <c r="H49" s="2071"/>
      <c r="I49" s="2071"/>
      <c r="J49" s="2071"/>
      <c r="K49" s="2071"/>
      <c r="L49" s="2071">
        <v>6</v>
      </c>
      <c r="M49" s="2068"/>
      <c r="N49" s="2071"/>
      <c r="O49" s="2071"/>
      <c r="P49" s="2071">
        <f t="shared" si="2"/>
        <v>3</v>
      </c>
      <c r="Q49" s="2071">
        <v>1.07</v>
      </c>
      <c r="R49" s="2071">
        <v>1160</v>
      </c>
      <c r="S49" s="2071">
        <f t="shared" si="3"/>
        <v>1241.2</v>
      </c>
      <c r="T49" s="2071">
        <f t="shared" si="4"/>
        <v>3724</v>
      </c>
      <c r="U49" s="2071"/>
      <c r="V49" s="2071">
        <f t="shared" si="8"/>
        <v>3724</v>
      </c>
    </row>
    <row r="50" spans="1:24">
      <c r="A50" s="2074">
        <v>41</v>
      </c>
      <c r="B50" s="2068" t="s">
        <v>2620</v>
      </c>
      <c r="C50" s="2069" t="s">
        <v>2623</v>
      </c>
      <c r="D50" s="2068" t="s">
        <v>1268</v>
      </c>
      <c r="E50" s="2071">
        <f t="shared" si="1"/>
        <v>11265.2</v>
      </c>
      <c r="F50" s="2071"/>
      <c r="G50" s="2071">
        <f t="shared" si="1"/>
        <v>11265.2</v>
      </c>
      <c r="H50" s="2071"/>
      <c r="I50" s="2071"/>
      <c r="J50" s="2071"/>
      <c r="K50" s="2071"/>
      <c r="L50" s="2071">
        <v>4</v>
      </c>
      <c r="M50" s="2068"/>
      <c r="N50" s="2071"/>
      <c r="O50" s="2071"/>
      <c r="P50" s="2071">
        <f t="shared" si="2"/>
        <v>2</v>
      </c>
      <c r="Q50" s="2071">
        <v>1.07</v>
      </c>
      <c r="R50" s="2071">
        <v>725</v>
      </c>
      <c r="S50" s="2071">
        <f t="shared" si="3"/>
        <v>775.75</v>
      </c>
      <c r="T50" s="2071">
        <f t="shared" si="4"/>
        <v>1552</v>
      </c>
      <c r="U50" s="2071"/>
      <c r="V50" s="2071">
        <f t="shared" si="8"/>
        <v>1552</v>
      </c>
    </row>
    <row r="51" spans="1:24">
      <c r="A51" s="2074">
        <v>42</v>
      </c>
      <c r="B51" s="2068" t="s">
        <v>1562</v>
      </c>
      <c r="C51" s="2121" t="s">
        <v>1563</v>
      </c>
      <c r="D51" s="2893" t="s">
        <v>1564</v>
      </c>
      <c r="E51" s="2071">
        <f t="shared" si="1"/>
        <v>11265.2</v>
      </c>
      <c r="F51" s="2071"/>
      <c r="G51" s="2071">
        <f t="shared" si="1"/>
        <v>11265.2</v>
      </c>
      <c r="H51" s="2071"/>
      <c r="I51" s="2071"/>
      <c r="J51" s="2071"/>
      <c r="K51" s="2071"/>
      <c r="L51" s="2071">
        <f>M51</f>
        <v>324</v>
      </c>
      <c r="M51" s="2068">
        <f>9*36</f>
        <v>324</v>
      </c>
      <c r="N51" s="2071">
        <v>57</v>
      </c>
      <c r="O51" s="2071">
        <f>N51-10</f>
        <v>47</v>
      </c>
      <c r="P51" s="2071">
        <f t="shared" si="2"/>
        <v>139</v>
      </c>
      <c r="Q51" s="2071">
        <v>1.07</v>
      </c>
      <c r="R51" s="2071">
        <v>165</v>
      </c>
      <c r="S51" s="2071">
        <f t="shared" si="3"/>
        <v>176.55</v>
      </c>
      <c r="T51" s="2071">
        <f t="shared" si="4"/>
        <v>24540</v>
      </c>
      <c r="U51" s="2071"/>
      <c r="V51" s="2071">
        <f t="shared" si="8"/>
        <v>24540</v>
      </c>
      <c r="W51" s="2135">
        <f>'штатка школа МШ'!D112+'штатка школа МШ'!D114+'штатка школа МШ'!D115+'штатка школа МШ'!D116+'штатка школа МШ'!D128+'штатка школа МШ'!D130</f>
        <v>0</v>
      </c>
    </row>
    <row r="52" spans="1:24" ht="36">
      <c r="A52" s="2074">
        <v>43</v>
      </c>
      <c r="B52" s="2068" t="s">
        <v>2518</v>
      </c>
      <c r="C52" s="1699" t="s">
        <v>1304</v>
      </c>
      <c r="D52" s="2893" t="s">
        <v>1263</v>
      </c>
      <c r="E52" s="2071">
        <f t="shared" si="1"/>
        <v>11265.2</v>
      </c>
      <c r="F52" s="2071"/>
      <c r="G52" s="2071">
        <f t="shared" si="1"/>
        <v>11265.2</v>
      </c>
      <c r="H52" s="2071"/>
      <c r="I52" s="2071"/>
      <c r="J52" s="2071"/>
      <c r="K52" s="2071"/>
      <c r="L52" s="2071">
        <f>M52</f>
        <v>15520</v>
      </c>
      <c r="M52" s="2068">
        <f>776*2*10</f>
        <v>15520</v>
      </c>
      <c r="N52" s="2071">
        <v>10440</v>
      </c>
      <c r="O52" s="2071">
        <f>N52-3600</f>
        <v>6840</v>
      </c>
      <c r="P52" s="2071">
        <f t="shared" si="2"/>
        <v>4340</v>
      </c>
      <c r="Q52" s="2071">
        <v>1.07</v>
      </c>
      <c r="R52" s="2071">
        <v>80</v>
      </c>
      <c r="S52" s="2071">
        <f t="shared" si="3"/>
        <v>85.6</v>
      </c>
      <c r="T52" s="2071">
        <f t="shared" si="4"/>
        <v>371504</v>
      </c>
      <c r="U52" s="2071"/>
      <c r="V52" s="2071">
        <f t="shared" si="8"/>
        <v>371504</v>
      </c>
    </row>
    <row r="53" spans="1:24">
      <c r="A53" s="2074">
        <v>44</v>
      </c>
      <c r="B53" s="2068" t="s">
        <v>1562</v>
      </c>
      <c r="C53" s="1699" t="s">
        <v>2519</v>
      </c>
      <c r="D53" s="2893" t="s">
        <v>2520</v>
      </c>
      <c r="E53" s="2071">
        <f t="shared" si="1"/>
        <v>11265.2</v>
      </c>
      <c r="F53" s="2071"/>
      <c r="G53" s="2071">
        <f t="shared" si="1"/>
        <v>11265.2</v>
      </c>
      <c r="H53" s="2071"/>
      <c r="I53" s="2071"/>
      <c r="J53" s="2071"/>
      <c r="K53" s="2071"/>
      <c r="L53" s="2071">
        <f>M53</f>
        <v>1200</v>
      </c>
      <c r="M53" s="2068">
        <f>25*48</f>
        <v>1200</v>
      </c>
      <c r="N53" s="2071"/>
      <c r="O53" s="2071"/>
      <c r="P53" s="2071">
        <f t="shared" si="2"/>
        <v>600</v>
      </c>
      <c r="Q53" s="2071">
        <v>1.07</v>
      </c>
      <c r="R53" s="2071">
        <v>320</v>
      </c>
      <c r="S53" s="2071">
        <f t="shared" si="3"/>
        <v>342.4</v>
      </c>
      <c r="T53" s="2071">
        <f t="shared" si="4"/>
        <v>205440</v>
      </c>
      <c r="U53" s="2071"/>
      <c r="V53" s="2071">
        <f t="shared" si="8"/>
        <v>205440</v>
      </c>
      <c r="W53" s="2135">
        <f>'штатка школа МШ'!D113</f>
        <v>0</v>
      </c>
    </row>
    <row r="54" spans="1:24" s="2052" customFormat="1">
      <c r="A54" s="2074">
        <v>45</v>
      </c>
      <c r="B54" s="2068" t="s">
        <v>2521</v>
      </c>
      <c r="C54" s="2068" t="s">
        <v>2522</v>
      </c>
      <c r="D54" s="2071" t="s">
        <v>1263</v>
      </c>
      <c r="E54" s="2071">
        <f t="shared" ref="E54:E58" si="9">12100-834.8</f>
        <v>11265.2</v>
      </c>
      <c r="F54" s="2071"/>
      <c r="G54" s="2071">
        <f t="shared" ref="G54:G57" si="10">E54</f>
        <v>11265.2</v>
      </c>
      <c r="H54" s="2071"/>
      <c r="I54" s="2071"/>
      <c r="J54" s="2071"/>
      <c r="K54" s="2071"/>
      <c r="L54" s="2071">
        <f>416</f>
        <v>416</v>
      </c>
      <c r="M54" s="2258">
        <f>ROUND((('штатка школа МШ'!D112+'штатка школа МШ'!D114)*4*297)/20,0)</f>
        <v>0</v>
      </c>
      <c r="N54" s="2456">
        <v>0</v>
      </c>
      <c r="O54" s="2456">
        <v>0</v>
      </c>
      <c r="P54" s="2071">
        <f t="shared" si="2"/>
        <v>208</v>
      </c>
      <c r="Q54" s="2071">
        <v>1.07</v>
      </c>
      <c r="R54" s="2071">
        <v>400</v>
      </c>
      <c r="S54" s="2071">
        <f t="shared" si="3"/>
        <v>428</v>
      </c>
      <c r="T54" s="2071">
        <f t="shared" si="4"/>
        <v>89024</v>
      </c>
      <c r="U54" s="2071"/>
      <c r="V54" s="2071">
        <f t="shared" ref="V54:V58" si="11">T54-U54</f>
        <v>89024</v>
      </c>
      <c r="W54" s="2135"/>
      <c r="X54" s="2135"/>
    </row>
    <row r="55" spans="1:24" s="2052" customFormat="1">
      <c r="A55" s="2074">
        <v>46</v>
      </c>
      <c r="B55" s="2068" t="s">
        <v>2521</v>
      </c>
      <c r="C55" s="2068" t="s">
        <v>2523</v>
      </c>
      <c r="D55" s="2071" t="s">
        <v>1587</v>
      </c>
      <c r="E55" s="2071">
        <f t="shared" si="9"/>
        <v>11265.2</v>
      </c>
      <c r="F55" s="2071"/>
      <c r="G55" s="2071">
        <f t="shared" si="10"/>
        <v>11265.2</v>
      </c>
      <c r="H55" s="2071"/>
      <c r="I55" s="2071"/>
      <c r="J55" s="2071"/>
      <c r="K55" s="2071"/>
      <c r="L55" s="2071">
        <f>M55</f>
        <v>891</v>
      </c>
      <c r="M55" s="2258">
        <f>ROUND(60*297/20,0)</f>
        <v>891</v>
      </c>
      <c r="N55" s="2071">
        <v>489</v>
      </c>
      <c r="O55" s="2071">
        <f>N55-200</f>
        <v>289</v>
      </c>
      <c r="P55" s="2071">
        <f t="shared" si="2"/>
        <v>301</v>
      </c>
      <c r="Q55" s="2071">
        <v>1.07</v>
      </c>
      <c r="R55" s="2071">
        <v>300</v>
      </c>
      <c r="S55" s="2071">
        <f t="shared" si="3"/>
        <v>321</v>
      </c>
      <c r="T55" s="2071">
        <f t="shared" si="4"/>
        <v>96621</v>
      </c>
      <c r="U55" s="2071"/>
      <c r="V55" s="2071">
        <f t="shared" si="11"/>
        <v>96621</v>
      </c>
      <c r="W55" s="2135"/>
      <c r="X55" s="2135"/>
    </row>
    <row r="56" spans="1:24" s="2052" customFormat="1" ht="24">
      <c r="A56" s="2074">
        <v>47</v>
      </c>
      <c r="B56" s="2068" t="s">
        <v>2524</v>
      </c>
      <c r="C56" s="1699" t="s">
        <v>1329</v>
      </c>
      <c r="D56" s="2071" t="s">
        <v>1587</v>
      </c>
      <c r="E56" s="2071">
        <f t="shared" si="9"/>
        <v>11265.2</v>
      </c>
      <c r="F56" s="2071"/>
      <c r="G56" s="2071">
        <f t="shared" si="10"/>
        <v>11265.2</v>
      </c>
      <c r="H56" s="2071"/>
      <c r="I56" s="2071"/>
      <c r="J56" s="2071"/>
      <c r="K56" s="2071"/>
      <c r="L56" s="2071">
        <f>M56</f>
        <v>1622</v>
      </c>
      <c r="M56" s="2258">
        <f>ROUND(G56/500*6*12,0)</f>
        <v>1622</v>
      </c>
      <c r="N56" s="2456">
        <v>0</v>
      </c>
      <c r="O56" s="2456">
        <v>0</v>
      </c>
      <c r="P56" s="2071">
        <f t="shared" si="2"/>
        <v>811</v>
      </c>
      <c r="Q56" s="2071">
        <v>1.07</v>
      </c>
      <c r="R56" s="2071">
        <v>200</v>
      </c>
      <c r="S56" s="2071">
        <f t="shared" si="3"/>
        <v>214</v>
      </c>
      <c r="T56" s="2071">
        <f t="shared" si="4"/>
        <v>173554</v>
      </c>
      <c r="U56" s="2071"/>
      <c r="V56" s="2071">
        <f t="shared" si="11"/>
        <v>173554</v>
      </c>
      <c r="W56" s="2135"/>
      <c r="X56" s="2135"/>
    </row>
    <row r="57" spans="1:24" s="2052" customFormat="1">
      <c r="A57" s="2074">
        <v>48</v>
      </c>
      <c r="B57" s="2068" t="s">
        <v>2525</v>
      </c>
      <c r="C57" s="1699" t="s">
        <v>1589</v>
      </c>
      <c r="D57" s="2071" t="s">
        <v>1590</v>
      </c>
      <c r="E57" s="2071">
        <f t="shared" si="9"/>
        <v>11265.2</v>
      </c>
      <c r="F57" s="2071"/>
      <c r="G57" s="2071">
        <f t="shared" si="10"/>
        <v>11265.2</v>
      </c>
      <c r="H57" s="2071"/>
      <c r="I57" s="2071"/>
      <c r="J57" s="2071"/>
      <c r="K57" s="2071"/>
      <c r="L57" s="2071">
        <f>M57</f>
        <v>162</v>
      </c>
      <c r="M57" s="2258">
        <f>ROUND(E57/500*0.6*12,0)</f>
        <v>162</v>
      </c>
      <c r="N57" s="2071">
        <v>134</v>
      </c>
      <c r="O57" s="2071">
        <f>N57-34</f>
        <v>100</v>
      </c>
      <c r="P57" s="2071">
        <f t="shared" si="2"/>
        <v>31</v>
      </c>
      <c r="Q57" s="2071">
        <v>1.07</v>
      </c>
      <c r="R57" s="2071">
        <v>300</v>
      </c>
      <c r="S57" s="2071">
        <f t="shared" si="3"/>
        <v>321</v>
      </c>
      <c r="T57" s="2071">
        <f t="shared" si="4"/>
        <v>9951</v>
      </c>
      <c r="U57" s="2071"/>
      <c r="V57" s="2071">
        <f t="shared" si="11"/>
        <v>9951</v>
      </c>
      <c r="W57" s="2135"/>
      <c r="X57" s="2135"/>
    </row>
    <row r="58" spans="1:24" s="2052" customFormat="1">
      <c r="A58" s="2074">
        <v>49</v>
      </c>
      <c r="B58" s="2068" t="s">
        <v>1551</v>
      </c>
      <c r="C58" s="1699" t="s">
        <v>3216</v>
      </c>
      <c r="D58" s="2071" t="s">
        <v>1022</v>
      </c>
      <c r="E58" s="2071">
        <f t="shared" si="9"/>
        <v>11265.2</v>
      </c>
      <c r="F58" s="2071"/>
      <c r="G58" s="2071">
        <f t="shared" ref="G58" si="12">E58</f>
        <v>11265.2</v>
      </c>
      <c r="H58" s="2071"/>
      <c r="I58" s="2071"/>
      <c r="J58" s="2071"/>
      <c r="K58" s="2071"/>
      <c r="L58" s="2071">
        <v>200</v>
      </c>
      <c r="M58" s="2258"/>
      <c r="N58" s="2071">
        <v>120</v>
      </c>
      <c r="O58" s="2071">
        <f>N58-60</f>
        <v>60</v>
      </c>
      <c r="P58" s="2071">
        <f t="shared" si="2"/>
        <v>70</v>
      </c>
      <c r="Q58" s="2071">
        <v>1.07</v>
      </c>
      <c r="R58" s="2071">
        <v>590</v>
      </c>
      <c r="S58" s="2071">
        <f t="shared" si="3"/>
        <v>631.29999999999995</v>
      </c>
      <c r="T58" s="2071">
        <f t="shared" si="4"/>
        <v>44191</v>
      </c>
      <c r="U58" s="2071"/>
      <c r="V58" s="2071">
        <f t="shared" si="11"/>
        <v>44191</v>
      </c>
      <c r="W58" s="2135"/>
      <c r="X58" s="2135"/>
    </row>
    <row r="59" spans="1:24">
      <c r="B59" s="2140"/>
      <c r="C59" s="2150"/>
      <c r="D59" s="2051"/>
      <c r="E59" s="2051"/>
    </row>
    <row r="60" spans="1:24" ht="12.75">
      <c r="B60" s="2097" t="s">
        <v>368</v>
      </c>
      <c r="C60" s="2042"/>
      <c r="D60" s="2098"/>
      <c r="E60" s="2099"/>
      <c r="F60" s="2048"/>
      <c r="G60" s="2041"/>
    </row>
    <row r="61" spans="1:24" ht="12.75">
      <c r="B61" s="2097" t="s">
        <v>370</v>
      </c>
      <c r="C61" s="2042"/>
      <c r="D61" s="2098"/>
      <c r="E61" s="2099"/>
      <c r="F61" s="2048"/>
      <c r="G61" s="2041" t="s">
        <v>371</v>
      </c>
    </row>
    <row r="62" spans="1:24" ht="12.75">
      <c r="B62" s="2097"/>
      <c r="C62" s="2042"/>
      <c r="D62" s="2098"/>
      <c r="E62" s="2098"/>
      <c r="F62" s="2048"/>
      <c r="G62" s="2043"/>
    </row>
    <row r="63" spans="1:24" ht="12.75">
      <c r="B63" s="2097" t="s">
        <v>372</v>
      </c>
      <c r="C63" s="2042"/>
      <c r="D63" s="2098"/>
      <c r="E63" s="2098"/>
      <c r="F63" s="2048"/>
      <c r="G63" s="2042" t="s">
        <v>373</v>
      </c>
    </row>
    <row r="64" spans="1:24" ht="12.75">
      <c r="B64" s="2097"/>
      <c r="C64" s="2042"/>
      <c r="D64" s="2098"/>
      <c r="E64" s="2098"/>
      <c r="F64" s="2048"/>
      <c r="G64" s="2100"/>
    </row>
    <row r="65" spans="2:7" ht="12.75">
      <c r="B65" s="2097" t="s">
        <v>375</v>
      </c>
      <c r="C65" s="2100"/>
      <c r="D65" s="2101"/>
      <c r="E65" s="2101"/>
      <c r="F65" s="2048"/>
      <c r="G65" s="2042" t="s">
        <v>376</v>
      </c>
    </row>
    <row r="66" spans="2:7" ht="12.75">
      <c r="B66" s="2075"/>
      <c r="C66" s="2044"/>
      <c r="D66" s="2048"/>
      <c r="E66" s="2048"/>
      <c r="F66" s="2048"/>
      <c r="G66" s="2048"/>
    </row>
  </sheetData>
  <sheetProtection formatColumns="0" insertRows="0" deleteRows="0"/>
  <mergeCells count="23">
    <mergeCell ref="A7:A8"/>
    <mergeCell ref="B7:B8"/>
    <mergeCell ref="C7:C8"/>
    <mergeCell ref="D7:D8"/>
    <mergeCell ref="E7:E8"/>
    <mergeCell ref="F7:G7"/>
    <mergeCell ref="H7:H8"/>
    <mergeCell ref="I7:K7"/>
    <mergeCell ref="L7:P7"/>
    <mergeCell ref="R7:R8"/>
    <mergeCell ref="S7:S8"/>
    <mergeCell ref="AF7:AF8"/>
    <mergeCell ref="W7:W8"/>
    <mergeCell ref="X7:X8"/>
    <mergeCell ref="Y7:Y8"/>
    <mergeCell ref="Z7:Z8"/>
    <mergeCell ref="AA7:AA8"/>
    <mergeCell ref="AB7:AB8"/>
    <mergeCell ref="T7:T8"/>
    <mergeCell ref="U7:V7"/>
    <mergeCell ref="AC7:AC8"/>
    <mergeCell ref="AD7:AD8"/>
    <mergeCell ref="AE7:AE8"/>
  </mergeCells>
  <pageMargins left="0" right="0" top="0" bottom="0" header="0" footer="0"/>
  <pageSetup paperSize="9" scale="59" fitToHeight="0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rgb="FF92D050"/>
    <pageSetUpPr fitToPage="1"/>
  </sheetPr>
  <dimension ref="A1:BA18"/>
  <sheetViews>
    <sheetView zoomScaleSheetLayoutView="70" workbookViewId="0">
      <selection activeCell="T9" sqref="T9"/>
    </sheetView>
  </sheetViews>
  <sheetFormatPr defaultColWidth="9.140625" defaultRowHeight="12"/>
  <cols>
    <col min="1" max="1" width="5.5703125" style="1755" customWidth="1"/>
    <col min="2" max="2" width="26" style="1755" customWidth="1"/>
    <col min="3" max="3" width="38.85546875" style="1764" customWidth="1"/>
    <col min="4" max="4" width="8.28515625" style="1755" customWidth="1"/>
    <col min="5" max="5" width="10.42578125" style="1755" customWidth="1"/>
    <col min="6" max="6" width="6.140625" style="1755" customWidth="1"/>
    <col min="7" max="7" width="7.5703125" style="1755" customWidth="1"/>
    <col min="8" max="8" width="13.7109375" style="1755" customWidth="1"/>
    <col min="9" max="9" width="9.140625" style="1755" customWidth="1"/>
    <col min="10" max="10" width="6.85546875" style="1755" customWidth="1"/>
    <col min="11" max="11" width="8.85546875" style="1755" customWidth="1"/>
    <col min="12" max="12" width="12.85546875" style="1755" customWidth="1"/>
    <col min="13" max="13" width="10.28515625" style="1755" customWidth="1"/>
    <col min="14" max="14" width="15.140625" style="1755" customWidth="1"/>
    <col min="15" max="15" width="13" style="1755" customWidth="1"/>
    <col min="16" max="16" width="10.42578125" style="1755" customWidth="1"/>
    <col min="17" max="17" width="8.7109375" style="1755" customWidth="1"/>
    <col min="18" max="18" width="15.7109375" style="1755" customWidth="1"/>
    <col min="19" max="19" width="10.140625" style="1755" customWidth="1"/>
    <col min="20" max="20" width="11.85546875" style="1755" customWidth="1"/>
    <col min="21" max="21" width="12.7109375" style="1755" customWidth="1"/>
    <col min="22" max="22" width="11.85546875" style="1755" customWidth="1"/>
    <col min="23" max="23" width="11.7109375" style="1755" customWidth="1"/>
    <col min="24" max="24" width="11.85546875" style="1755" customWidth="1"/>
    <col min="25" max="25" width="9.140625" style="1755"/>
    <col min="26" max="26" width="10.140625" style="1755" customWidth="1"/>
    <col min="27" max="28" width="9.140625" style="1755"/>
    <col min="29" max="29" width="10.42578125" style="1755" customWidth="1"/>
    <col min="30" max="16384" width="9.140625" style="1755"/>
  </cols>
  <sheetData>
    <row r="1" spans="1:53" ht="12.75">
      <c r="S1" s="1755" t="s">
        <v>267</v>
      </c>
      <c r="T1" s="1880" t="s">
        <v>3191</v>
      </c>
    </row>
    <row r="2" spans="1:53" s="1784" customFormat="1">
      <c r="A2" s="1783" t="s">
        <v>3217</v>
      </c>
      <c r="C2" s="1785"/>
      <c r="Q2" s="1797">
        <v>1.07</v>
      </c>
    </row>
    <row r="3" spans="1:53">
      <c r="A3" s="1778"/>
      <c r="B3" s="1755" t="s">
        <v>3218</v>
      </c>
    </row>
    <row r="4" spans="1:53" s="1784" customFormat="1">
      <c r="A4" s="1763" t="s">
        <v>3205</v>
      </c>
      <c r="C4" s="1785"/>
    </row>
    <row r="5" spans="1:53">
      <c r="A5" s="1755" t="s">
        <v>990</v>
      </c>
    </row>
    <row r="7" spans="1:53" ht="30" customHeight="1">
      <c r="A7" s="4094" t="s">
        <v>2</v>
      </c>
      <c r="B7" s="4094" t="s">
        <v>478</v>
      </c>
      <c r="C7" s="4094" t="s">
        <v>995</v>
      </c>
      <c r="D7" s="4094" t="s">
        <v>996</v>
      </c>
      <c r="E7" s="4094" t="s">
        <v>1191</v>
      </c>
      <c r="F7" s="4094" t="s">
        <v>255</v>
      </c>
      <c r="G7" s="4094"/>
      <c r="H7" s="4095" t="s">
        <v>1192</v>
      </c>
      <c r="I7" s="4081" t="s">
        <v>1193</v>
      </c>
      <c r="J7" s="4083"/>
      <c r="K7" s="4082"/>
      <c r="L7" s="4081" t="s">
        <v>922</v>
      </c>
      <c r="M7" s="4083"/>
      <c r="N7" s="4083"/>
      <c r="O7" s="4083"/>
      <c r="P7" s="4082"/>
      <c r="Q7" s="4094" t="s">
        <v>999</v>
      </c>
      <c r="R7" s="4094" t="s">
        <v>345</v>
      </c>
      <c r="S7" s="4081" t="s">
        <v>1001</v>
      </c>
      <c r="T7" s="4082"/>
      <c r="U7" s="4115"/>
      <c r="V7" s="4114" t="s">
        <v>3147</v>
      </c>
      <c r="W7" s="4116" t="s">
        <v>3148</v>
      </c>
      <c r="X7" s="4117" t="s">
        <v>2170</v>
      </c>
      <c r="Y7" s="4114" t="s">
        <v>3149</v>
      </c>
      <c r="Z7" s="4114" t="s">
        <v>3150</v>
      </c>
      <c r="AA7" s="4114" t="s">
        <v>3151</v>
      </c>
      <c r="AB7" s="4114" t="s">
        <v>3152</v>
      </c>
      <c r="AC7" s="4114" t="s">
        <v>3153</v>
      </c>
      <c r="AD7" s="4114" t="s">
        <v>3154</v>
      </c>
    </row>
    <row r="8" spans="1:53" ht="48">
      <c r="A8" s="4094"/>
      <c r="B8" s="4094"/>
      <c r="C8" s="4094"/>
      <c r="D8" s="4094"/>
      <c r="E8" s="4094"/>
      <c r="F8" s="1682" t="s">
        <v>7</v>
      </c>
      <c r="G8" s="1682" t="s">
        <v>8</v>
      </c>
      <c r="H8" s="4096"/>
      <c r="I8" s="1682" t="s">
        <v>7</v>
      </c>
      <c r="J8" s="1682" t="s">
        <v>8</v>
      </c>
      <c r="K8" s="1682" t="s">
        <v>1096</v>
      </c>
      <c r="L8" s="1682" t="s">
        <v>1099</v>
      </c>
      <c r="M8" s="1682" t="s">
        <v>1194</v>
      </c>
      <c r="N8" s="1682" t="s">
        <v>1011</v>
      </c>
      <c r="O8" s="1682" t="s">
        <v>1012</v>
      </c>
      <c r="P8" s="1682" t="s">
        <v>1013</v>
      </c>
      <c r="Q8" s="4094"/>
      <c r="R8" s="4094"/>
      <c r="S8" s="1684" t="s">
        <v>7</v>
      </c>
      <c r="T8" s="1684" t="s">
        <v>8</v>
      </c>
      <c r="U8" s="4115"/>
      <c r="V8" s="4114"/>
      <c r="W8" s="4116"/>
      <c r="X8" s="4117"/>
      <c r="Y8" s="4114"/>
      <c r="Z8" s="4114"/>
      <c r="AA8" s="4114"/>
      <c r="AB8" s="4114"/>
      <c r="AC8" s="4114"/>
      <c r="AD8" s="4114"/>
      <c r="AE8" s="1740" t="s">
        <v>3155</v>
      </c>
      <c r="AF8" s="1740" t="s">
        <v>3156</v>
      </c>
      <c r="AG8" s="1685" t="s">
        <v>3157</v>
      </c>
      <c r="AH8" s="1685" t="s">
        <v>3158</v>
      </c>
      <c r="AI8" s="1685" t="s">
        <v>3159</v>
      </c>
      <c r="AJ8" s="1685" t="s">
        <v>3160</v>
      </c>
      <c r="AK8" s="1685" t="s">
        <v>2176</v>
      </c>
      <c r="AL8" s="1683" t="s">
        <v>2177</v>
      </c>
      <c r="AM8" s="1685" t="s">
        <v>2178</v>
      </c>
      <c r="AN8" s="1685" t="s">
        <v>2175</v>
      </c>
      <c r="AO8" s="1685" t="s">
        <v>3161</v>
      </c>
      <c r="AP8" s="1685" t="s">
        <v>3162</v>
      </c>
      <c r="AQ8" s="1685" t="s">
        <v>2177</v>
      </c>
      <c r="AR8" s="1685" t="s">
        <v>2178</v>
      </c>
      <c r="AS8" s="1685" t="s">
        <v>2175</v>
      </c>
      <c r="AT8" s="1685" t="s">
        <v>3163</v>
      </c>
      <c r="AU8" s="1685" t="s">
        <v>3164</v>
      </c>
      <c r="AV8" s="1685" t="s">
        <v>2181</v>
      </c>
      <c r="AW8" s="1685" t="s">
        <v>3165</v>
      </c>
      <c r="AX8" s="1685" t="s">
        <v>3166</v>
      </c>
      <c r="AY8" s="1685" t="s">
        <v>2181</v>
      </c>
      <c r="AZ8" s="1685" t="s">
        <v>3167</v>
      </c>
      <c r="BA8" s="1685" t="s">
        <v>3168</v>
      </c>
    </row>
    <row r="9" spans="1:53">
      <c r="A9" s="1694"/>
      <c r="B9" s="1739" t="s">
        <v>306</v>
      </c>
      <c r="C9" s="1765"/>
      <c r="D9" s="1766"/>
      <c r="E9" s="1694"/>
      <c r="F9" s="1694"/>
      <c r="G9" s="1694"/>
      <c r="H9" s="1694"/>
      <c r="I9" s="1691"/>
      <c r="J9" s="1691"/>
      <c r="K9" s="1694"/>
      <c r="L9" s="1766">
        <f>L10</f>
        <v>0</v>
      </c>
      <c r="M9" s="1766"/>
      <c r="N9" s="1694"/>
      <c r="O9" s="1694"/>
      <c r="P9" s="1694">
        <f>P10</f>
        <v>0</v>
      </c>
      <c r="Q9" s="1694"/>
      <c r="R9" s="2493"/>
      <c r="S9" s="2493"/>
      <c r="T9" s="2493"/>
    </row>
    <row r="10" spans="1:53" ht="51">
      <c r="A10" s="1694">
        <v>1</v>
      </c>
      <c r="B10" s="1821" t="s">
        <v>3135</v>
      </c>
      <c r="C10" s="1821" t="s">
        <v>3136</v>
      </c>
      <c r="D10" s="1766" t="s">
        <v>1022</v>
      </c>
      <c r="E10" s="1736">
        <f>12100-834.8</f>
        <v>11265.2</v>
      </c>
      <c r="F10" s="1694"/>
      <c r="G10" s="1736">
        <f>12100-834.8</f>
        <v>11265.2</v>
      </c>
      <c r="H10" s="1694"/>
      <c r="I10" s="1691"/>
      <c r="J10" s="1691"/>
      <c r="K10" s="1694"/>
      <c r="L10" s="1766">
        <f>'штатка школа МШ'!D112+'штатка школа МШ'!D114+'штатка школа МШ'!D116+'штатка школа МШ'!D128+'штатка школа МШ'!D130</f>
        <v>0</v>
      </c>
      <c r="M10" s="1766"/>
      <c r="N10" s="1694"/>
      <c r="O10" s="1694"/>
      <c r="P10" s="1694">
        <f>L10-O10</f>
        <v>0</v>
      </c>
      <c r="Q10" s="1766">
        <f>ROUND(5200*1.07,2)</f>
        <v>5564</v>
      </c>
      <c r="R10" s="1794">
        <f>ROUND(P10*Q10,0)</f>
        <v>0</v>
      </c>
      <c r="S10" s="1794"/>
      <c r="T10" s="1794">
        <f>R10-S10</f>
        <v>0</v>
      </c>
    </row>
    <row r="11" spans="1:53">
      <c r="A11" s="1784"/>
      <c r="B11" s="1791"/>
      <c r="D11" s="1777"/>
      <c r="F11" s="1784"/>
      <c r="G11" s="1784"/>
      <c r="H11" s="1784"/>
      <c r="I11" s="1784"/>
      <c r="J11" s="1784"/>
      <c r="K11" s="1784"/>
      <c r="L11" s="1777"/>
      <c r="M11" s="1777"/>
      <c r="N11" s="1784"/>
      <c r="O11" s="1784"/>
      <c r="Q11" s="1784"/>
      <c r="R11" s="1788"/>
      <c r="S11" s="1788"/>
      <c r="T11" s="1788"/>
    </row>
    <row r="12" spans="1:53">
      <c r="B12" s="1777"/>
      <c r="C12" s="1785"/>
      <c r="D12" s="1778"/>
      <c r="E12" s="1779"/>
    </row>
    <row r="13" spans="1:53" s="2052" customFormat="1" ht="12.75">
      <c r="A13" s="2159"/>
      <c r="B13" s="2042" t="s">
        <v>368</v>
      </c>
      <c r="C13" s="2098"/>
      <c r="D13" s="2098"/>
      <c r="E13" s="2099"/>
      <c r="F13" s="2048"/>
      <c r="G13" s="2099"/>
    </row>
    <row r="14" spans="1:53" s="2052" customFormat="1" ht="12.75">
      <c r="A14" s="2159"/>
      <c r="B14" s="2042" t="s">
        <v>370</v>
      </c>
      <c r="C14" s="2098"/>
      <c r="D14" s="2098"/>
      <c r="E14" s="2099"/>
      <c r="F14" s="2048"/>
      <c r="G14" s="2099" t="s">
        <v>371</v>
      </c>
    </row>
    <row r="15" spans="1:53" s="2052" customFormat="1" ht="12.75">
      <c r="A15" s="2159"/>
      <c r="B15" s="2042"/>
      <c r="C15" s="2098"/>
      <c r="D15" s="2098"/>
      <c r="E15" s="2098"/>
      <c r="F15" s="2048"/>
      <c r="G15" s="2048"/>
    </row>
    <row r="16" spans="1:53" s="2052" customFormat="1" ht="12.75">
      <c r="A16" s="2159"/>
      <c r="B16" s="2042" t="s">
        <v>372</v>
      </c>
      <c r="C16" s="2098"/>
      <c r="D16" s="2098"/>
      <c r="E16" s="2098"/>
      <c r="F16" s="2048"/>
      <c r="G16" s="2098" t="s">
        <v>373</v>
      </c>
    </row>
    <row r="17" spans="1:7" s="2052" customFormat="1" ht="12.75">
      <c r="A17" s="2159"/>
      <c r="B17" s="2042"/>
      <c r="C17" s="2098"/>
      <c r="D17" s="2098"/>
      <c r="E17" s="2098"/>
      <c r="F17" s="2048"/>
      <c r="G17" s="2101"/>
    </row>
    <row r="18" spans="1:7" s="2052" customFormat="1" ht="12.75">
      <c r="A18" s="2159"/>
      <c r="B18" s="2042" t="s">
        <v>375</v>
      </c>
      <c r="C18" s="2101"/>
      <c r="D18" s="2101"/>
      <c r="E18" s="2101"/>
      <c r="F18" s="2048"/>
      <c r="G18" s="2098" t="s">
        <v>376</v>
      </c>
    </row>
  </sheetData>
  <sheetProtection formatColumns="0" insertRows="0" deleteRows="0"/>
  <mergeCells count="22">
    <mergeCell ref="A7:A8"/>
    <mergeCell ref="B7:B8"/>
    <mergeCell ref="C7:C8"/>
    <mergeCell ref="D7:D8"/>
    <mergeCell ref="E7:E8"/>
    <mergeCell ref="F7:G7"/>
    <mergeCell ref="H7:H8"/>
    <mergeCell ref="I7:K7"/>
    <mergeCell ref="L7:P7"/>
    <mergeCell ref="Q7:Q8"/>
    <mergeCell ref="R7:R8"/>
    <mergeCell ref="S7:T7"/>
    <mergeCell ref="AA7:AA8"/>
    <mergeCell ref="AB7:AB8"/>
    <mergeCell ref="AC7:AC8"/>
    <mergeCell ref="AD7:AD8"/>
    <mergeCell ref="U7:U8"/>
    <mergeCell ref="V7:V8"/>
    <mergeCell ref="W7:W8"/>
    <mergeCell ref="X7:X8"/>
    <mergeCell ref="Y7:Y8"/>
    <mergeCell ref="Z7:Z8"/>
  </mergeCells>
  <pageMargins left="0" right="0" top="0" bottom="0" header="0" footer="0"/>
  <pageSetup paperSize="9" scale="58" fitToHeight="0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rgb="FFFF0000"/>
    <pageSetUpPr fitToPage="1"/>
  </sheetPr>
  <dimension ref="A1:BA117"/>
  <sheetViews>
    <sheetView topLeftCell="A16" workbookViewId="0">
      <selection activeCell="O27" sqref="O27"/>
    </sheetView>
  </sheetViews>
  <sheetFormatPr defaultColWidth="9.140625" defaultRowHeight="12.75"/>
  <cols>
    <col min="1" max="1" width="5.5703125" style="1580" customWidth="1"/>
    <col min="2" max="2" width="26" style="1580" customWidth="1"/>
    <col min="3" max="3" width="38.85546875" style="357" customWidth="1"/>
    <col min="4" max="4" width="8.28515625" style="1580" customWidth="1"/>
    <col min="5" max="5" width="10.42578125" style="1580" customWidth="1"/>
    <col min="6" max="6" width="6.140625" style="1580" customWidth="1"/>
    <col min="7" max="7" width="7.5703125" style="1580" customWidth="1"/>
    <col min="8" max="8" width="13.7109375" style="1580" customWidth="1"/>
    <col min="9" max="9" width="9.140625" style="1580" customWidth="1"/>
    <col min="10" max="10" width="9.85546875" style="1580" customWidth="1"/>
    <col min="11" max="11" width="13.7109375" style="1580" customWidth="1"/>
    <col min="12" max="12" width="16" style="1580" customWidth="1"/>
    <col min="13" max="13" width="14.28515625" style="1580" customWidth="1"/>
    <col min="14" max="14" width="15.140625" style="1580" customWidth="1"/>
    <col min="15" max="15" width="13" style="1580" customWidth="1"/>
    <col min="16" max="16" width="10.42578125" style="1580" customWidth="1"/>
    <col min="17" max="17" width="14.85546875" style="1580" customWidth="1"/>
    <col min="18" max="20" width="21" style="1580" customWidth="1"/>
    <col min="21" max="21" width="12.7109375" style="1580" customWidth="1"/>
    <col min="22" max="22" width="11.85546875" style="1580" customWidth="1"/>
    <col min="23" max="23" width="11.7109375" style="1580" customWidth="1"/>
    <col min="24" max="24" width="11.85546875" style="1580" customWidth="1"/>
    <col min="25" max="25" width="9.140625" style="1580"/>
    <col min="26" max="26" width="10.140625" style="1580" customWidth="1"/>
    <col min="27" max="28" width="9.140625" style="1580"/>
    <col min="29" max="29" width="10.42578125" style="1580" customWidth="1"/>
    <col min="30" max="16384" width="9.140625" style="1580"/>
  </cols>
  <sheetData>
    <row r="1" spans="1:53">
      <c r="S1" s="1580" t="s">
        <v>267</v>
      </c>
      <c r="T1" s="357" t="s">
        <v>596</v>
      </c>
    </row>
    <row r="2" spans="1:53" s="1636" customFormat="1">
      <c r="A2" s="1595" t="s">
        <v>1188</v>
      </c>
      <c r="C2" s="924"/>
      <c r="Q2" s="1636">
        <v>1.07</v>
      </c>
    </row>
    <row r="3" spans="1:53">
      <c r="A3" s="120"/>
      <c r="D3" s="1580" t="s">
        <v>1189</v>
      </c>
    </row>
    <row r="4" spans="1:53" s="1636" customFormat="1">
      <c r="A4" s="1644" t="s">
        <v>1190</v>
      </c>
      <c r="C4" s="924"/>
    </row>
    <row r="5" spans="1:53">
      <c r="A5" s="1580" t="s">
        <v>990</v>
      </c>
    </row>
    <row r="7" spans="1:53" ht="30" customHeight="1">
      <c r="A7" s="4003" t="s">
        <v>2</v>
      </c>
      <c r="B7" s="4003" t="s">
        <v>478</v>
      </c>
      <c r="C7" s="4003" t="s">
        <v>995</v>
      </c>
      <c r="D7" s="4003" t="s">
        <v>996</v>
      </c>
      <c r="E7" s="4003" t="s">
        <v>1191</v>
      </c>
      <c r="F7" s="4003" t="s">
        <v>255</v>
      </c>
      <c r="G7" s="4003"/>
      <c r="H7" s="4007" t="s">
        <v>1192</v>
      </c>
      <c r="I7" s="4004" t="s">
        <v>1193</v>
      </c>
      <c r="J7" s="4005"/>
      <c r="K7" s="4006"/>
      <c r="L7" s="4004" t="s">
        <v>922</v>
      </c>
      <c r="M7" s="4005"/>
      <c r="N7" s="4005"/>
      <c r="O7" s="4005"/>
      <c r="P7" s="4006"/>
      <c r="Q7" s="4003" t="s">
        <v>999</v>
      </c>
      <c r="R7" s="4003" t="s">
        <v>345</v>
      </c>
      <c r="S7" s="4004" t="s">
        <v>1001</v>
      </c>
      <c r="T7" s="4006"/>
      <c r="U7" s="4015" t="s">
        <v>3146</v>
      </c>
      <c r="V7" s="4012" t="s">
        <v>3147</v>
      </c>
      <c r="W7" s="4090" t="s">
        <v>3148</v>
      </c>
      <c r="X7" s="4022" t="s">
        <v>2170</v>
      </c>
      <c r="Y7" s="4012" t="s">
        <v>3149</v>
      </c>
      <c r="Z7" s="4012" t="s">
        <v>3150</v>
      </c>
      <c r="AA7" s="4012" t="s">
        <v>3151</v>
      </c>
      <c r="AB7" s="4012" t="s">
        <v>3152</v>
      </c>
      <c r="AC7" s="4012" t="s">
        <v>3153</v>
      </c>
      <c r="AD7" s="4012" t="s">
        <v>3154</v>
      </c>
    </row>
    <row r="8" spans="1:53" ht="76.5">
      <c r="A8" s="4003"/>
      <c r="B8" s="4003"/>
      <c r="C8" s="4003"/>
      <c r="D8" s="4003"/>
      <c r="E8" s="4003"/>
      <c r="F8" s="1601" t="s">
        <v>7</v>
      </c>
      <c r="G8" s="1601" t="s">
        <v>8</v>
      </c>
      <c r="H8" s="4008"/>
      <c r="I8" s="1601" t="s">
        <v>7</v>
      </c>
      <c r="J8" s="1601" t="s">
        <v>8</v>
      </c>
      <c r="K8" s="1601" t="s">
        <v>1096</v>
      </c>
      <c r="L8" s="1601" t="s">
        <v>1099</v>
      </c>
      <c r="M8" s="1601" t="s">
        <v>1194</v>
      </c>
      <c r="N8" s="1601" t="s">
        <v>1011</v>
      </c>
      <c r="O8" s="1601" t="s">
        <v>1012</v>
      </c>
      <c r="P8" s="1601" t="s">
        <v>1013</v>
      </c>
      <c r="Q8" s="4003"/>
      <c r="R8" s="4003"/>
      <c r="S8" s="1603" t="s">
        <v>7</v>
      </c>
      <c r="T8" s="1603" t="s">
        <v>8</v>
      </c>
      <c r="U8" s="4015"/>
      <c r="V8" s="4012"/>
      <c r="W8" s="4090"/>
      <c r="X8" s="4022"/>
      <c r="Y8" s="4012"/>
      <c r="Z8" s="4012"/>
      <c r="AA8" s="4012"/>
      <c r="AB8" s="4012"/>
      <c r="AC8" s="4012"/>
      <c r="AD8" s="4012"/>
      <c r="AE8" s="4012" t="s">
        <v>3155</v>
      </c>
      <c r="AF8" s="4012" t="s">
        <v>3156</v>
      </c>
      <c r="AG8" s="364" t="s">
        <v>3157</v>
      </c>
      <c r="AH8" s="364" t="s">
        <v>3158</v>
      </c>
      <c r="AI8" s="364" t="s">
        <v>3159</v>
      </c>
      <c r="AJ8" s="364" t="s">
        <v>3160</v>
      </c>
      <c r="AK8" s="364" t="s">
        <v>2176</v>
      </c>
      <c r="AL8" s="1578" t="s">
        <v>2177</v>
      </c>
      <c r="AM8" s="364" t="s">
        <v>2178</v>
      </c>
      <c r="AN8" s="364" t="s">
        <v>2175</v>
      </c>
      <c r="AO8" s="364" t="s">
        <v>3161</v>
      </c>
      <c r="AP8" s="364" t="s">
        <v>3162</v>
      </c>
      <c r="AQ8" s="364" t="s">
        <v>2177</v>
      </c>
      <c r="AR8" s="364" t="s">
        <v>2178</v>
      </c>
      <c r="AS8" s="364" t="s">
        <v>2175</v>
      </c>
      <c r="AT8" s="364" t="s">
        <v>3163</v>
      </c>
      <c r="AU8" s="364" t="s">
        <v>3164</v>
      </c>
      <c r="AV8" s="364" t="s">
        <v>2181</v>
      </c>
      <c r="AW8" s="364" t="s">
        <v>3165</v>
      </c>
      <c r="AX8" s="364" t="s">
        <v>3166</v>
      </c>
      <c r="AY8" s="364" t="s">
        <v>2181</v>
      </c>
      <c r="AZ8" s="364" t="s">
        <v>3167</v>
      </c>
      <c r="BA8" s="364" t="s">
        <v>3168</v>
      </c>
    </row>
    <row r="9" spans="1:53" ht="13.5">
      <c r="A9" s="1604"/>
      <c r="B9" s="1605" t="s">
        <v>306</v>
      </c>
      <c r="C9" s="1606"/>
      <c r="D9" s="1604"/>
      <c r="E9" s="1607">
        <f t="shared" ref="E9:Q9" si="0">SUM(E11:E55)</f>
        <v>22739</v>
      </c>
      <c r="F9" s="1607">
        <f t="shared" si="0"/>
        <v>0</v>
      </c>
      <c r="G9" s="1607">
        <f t="shared" si="0"/>
        <v>0</v>
      </c>
      <c r="H9" s="1607">
        <f t="shared" si="0"/>
        <v>0</v>
      </c>
      <c r="I9" s="1607">
        <f t="shared" si="0"/>
        <v>120</v>
      </c>
      <c r="J9" s="1607">
        <f t="shared" si="0"/>
        <v>4100</v>
      </c>
      <c r="K9" s="1607">
        <f t="shared" si="0"/>
        <v>703</v>
      </c>
      <c r="L9" s="1607">
        <f t="shared" si="0"/>
        <v>3641</v>
      </c>
      <c r="M9" s="1607">
        <f t="shared" si="0"/>
        <v>2972.3035066666666</v>
      </c>
      <c r="N9" s="1607">
        <f t="shared" si="0"/>
        <v>0</v>
      </c>
      <c r="O9" s="1607">
        <f t="shared" si="0"/>
        <v>0</v>
      </c>
      <c r="P9" s="1607">
        <f t="shared" si="0"/>
        <v>3641</v>
      </c>
      <c r="Q9" s="1607">
        <f t="shared" si="0"/>
        <v>26334.84</v>
      </c>
      <c r="R9" s="1608">
        <f>R10+R41+R95</f>
        <v>7057465.3399999999</v>
      </c>
      <c r="S9" s="1608">
        <f>S10+S41+S95</f>
        <v>199668.21074263431</v>
      </c>
      <c r="T9" s="1608">
        <f>T10+T41+T95</f>
        <v>6857797.1292573651</v>
      </c>
      <c r="U9" s="4015"/>
      <c r="V9" s="4012"/>
      <c r="W9" s="4090"/>
      <c r="X9" s="4022"/>
      <c r="Y9" s="4012"/>
      <c r="Z9" s="4012"/>
      <c r="AA9" s="4012"/>
      <c r="AB9" s="4012"/>
      <c r="AC9" s="4012"/>
      <c r="AD9" s="4012"/>
      <c r="AE9" s="4012"/>
      <c r="AF9" s="4012"/>
    </row>
    <row r="10" spans="1:53" ht="13.5">
      <c r="A10" s="1604"/>
      <c r="B10" s="1605" t="s">
        <v>1195</v>
      </c>
      <c r="C10" s="1606"/>
      <c r="D10" s="1604"/>
      <c r="E10" s="1607"/>
      <c r="F10" s="1607"/>
      <c r="G10" s="1607"/>
      <c r="H10" s="1607"/>
      <c r="I10" s="1607"/>
      <c r="J10" s="1607"/>
      <c r="K10" s="1607"/>
      <c r="L10" s="1607"/>
      <c r="M10" s="1607"/>
      <c r="N10" s="1607"/>
      <c r="O10" s="1607"/>
      <c r="P10" s="1607"/>
      <c r="Q10" s="1607"/>
      <c r="R10" s="1608">
        <f>SUM(R11:R38)</f>
        <v>2109036.3400000003</v>
      </c>
      <c r="S10" s="1608">
        <f>SUM(S11:S38)</f>
        <v>58954.589889553754</v>
      </c>
      <c r="T10" s="1608">
        <f>SUM(T11:T38)</f>
        <v>2050081.7501104465</v>
      </c>
      <c r="U10" s="4015"/>
      <c r="V10" s="4012"/>
      <c r="W10" s="4090"/>
      <c r="X10" s="4022"/>
      <c r="Y10" s="4012"/>
      <c r="Z10" s="4012"/>
      <c r="AA10" s="4012"/>
      <c r="AB10" s="4012"/>
      <c r="AC10" s="4012"/>
      <c r="AD10" s="4012"/>
      <c r="AE10" s="4012"/>
      <c r="AF10" s="4012"/>
    </row>
    <row r="11" spans="1:53" ht="25.5" hidden="1" customHeight="1">
      <c r="A11" s="1609">
        <v>12</v>
      </c>
      <c r="B11" s="1056" t="s">
        <v>1199</v>
      </c>
      <c r="C11" s="917" t="s">
        <v>1200</v>
      </c>
      <c r="D11" s="1609" t="s">
        <v>1022</v>
      </c>
      <c r="E11" s="1581">
        <f>F11+G11</f>
        <v>0</v>
      </c>
      <c r="F11" s="1609"/>
      <c r="G11" s="1609"/>
      <c r="H11" s="1609"/>
      <c r="I11" s="1609"/>
      <c r="J11" s="1609"/>
      <c r="K11" s="1609"/>
      <c r="L11" s="1581"/>
      <c r="M11" s="1581"/>
      <c r="N11" s="1609"/>
      <c r="O11" s="1609"/>
      <c r="P11" s="1581">
        <f t="shared" ref="P11:P19" si="1">L11-O11</f>
        <v>0</v>
      </c>
      <c r="Q11" s="1610"/>
      <c r="R11" s="1611">
        <f t="shared" ref="R11:R19" si="2">P11*Q11</f>
        <v>0</v>
      </c>
      <c r="S11" s="1611"/>
      <c r="T11" s="1611"/>
      <c r="AE11" s="4012"/>
      <c r="AF11" s="4012"/>
    </row>
    <row r="12" spans="1:53" ht="51">
      <c r="A12" s="1609">
        <v>1</v>
      </c>
      <c r="B12" s="1056" t="s">
        <v>1201</v>
      </c>
      <c r="C12" s="917" t="s">
        <v>1202</v>
      </c>
      <c r="D12" s="1056" t="s">
        <v>1203</v>
      </c>
      <c r="E12" s="4091">
        <v>22739</v>
      </c>
      <c r="F12" s="1609"/>
      <c r="G12" s="1609"/>
      <c r="H12" s="1609"/>
      <c r="I12" s="1609">
        <v>6</v>
      </c>
      <c r="J12" s="1609">
        <v>205</v>
      </c>
      <c r="K12" s="1609"/>
      <c r="L12" s="1056">
        <v>227</v>
      </c>
      <c r="M12" s="1056">
        <f>Z12</f>
        <v>227</v>
      </c>
      <c r="N12" s="1609"/>
      <c r="O12" s="1609"/>
      <c r="P12" s="1581">
        <f t="shared" si="1"/>
        <v>227</v>
      </c>
      <c r="Q12" s="1610">
        <f>100*1.07</f>
        <v>107</v>
      </c>
      <c r="R12" s="1611">
        <f t="shared" si="2"/>
        <v>24289</v>
      </c>
      <c r="S12" s="1611">
        <f t="shared" ref="S12:S19" si="3">R12*(I12/(I12+J12+K12))</f>
        <v>690.6824644549763</v>
      </c>
      <c r="T12" s="1611">
        <f t="shared" ref="T12:T19" si="4">R12-S12</f>
        <v>23598.317535545022</v>
      </c>
      <c r="U12" s="1580">
        <v>12100</v>
      </c>
      <c r="V12" s="1600">
        <v>22739</v>
      </c>
      <c r="W12" s="1580">
        <v>500</v>
      </c>
      <c r="Y12" s="1580">
        <f>ROUND(U12/W12*0.2*5/0.2,0)</f>
        <v>121</v>
      </c>
      <c r="Z12" s="1580">
        <f>ROUND(V12/W12*0.2*5/0.2,0)</f>
        <v>227</v>
      </c>
    </row>
    <row r="13" spans="1:53" ht="38.25" hidden="1" customHeight="1">
      <c r="A13" s="1609">
        <v>2</v>
      </c>
      <c r="B13" s="1056" t="s">
        <v>3169</v>
      </c>
      <c r="C13" s="917" t="s">
        <v>1205</v>
      </c>
      <c r="D13" s="1056" t="s">
        <v>1203</v>
      </c>
      <c r="E13" s="4092"/>
      <c r="F13" s="1609"/>
      <c r="G13" s="1609"/>
      <c r="H13" s="1609"/>
      <c r="I13" s="1609">
        <v>6</v>
      </c>
      <c r="J13" s="1609">
        <v>205</v>
      </c>
      <c r="K13" s="1609"/>
      <c r="L13" s="1583"/>
      <c r="M13" s="1583"/>
      <c r="N13" s="1609"/>
      <c r="O13" s="1609"/>
      <c r="P13" s="1581">
        <f t="shared" si="1"/>
        <v>0</v>
      </c>
      <c r="Q13" s="1610"/>
      <c r="R13" s="1611">
        <f t="shared" si="2"/>
        <v>0</v>
      </c>
      <c r="S13" s="1611">
        <f t="shared" si="3"/>
        <v>0</v>
      </c>
      <c r="T13" s="1611">
        <f t="shared" si="4"/>
        <v>0</v>
      </c>
    </row>
    <row r="14" spans="1:53" ht="63.75" hidden="1" customHeight="1">
      <c r="A14" s="1609">
        <v>3</v>
      </c>
      <c r="B14" s="1056" t="s">
        <v>3170</v>
      </c>
      <c r="C14" s="917" t="s">
        <v>1207</v>
      </c>
      <c r="D14" s="1056" t="s">
        <v>1203</v>
      </c>
      <c r="E14" s="4092"/>
      <c r="F14" s="1609"/>
      <c r="G14" s="1609"/>
      <c r="H14" s="1609"/>
      <c r="I14" s="1609">
        <v>6</v>
      </c>
      <c r="J14" s="1609">
        <v>205</v>
      </c>
      <c r="K14" s="1609"/>
      <c r="L14" s="1583"/>
      <c r="M14" s="1583"/>
      <c r="N14" s="1609"/>
      <c r="O14" s="1609"/>
      <c r="P14" s="1581">
        <f t="shared" si="1"/>
        <v>0</v>
      </c>
      <c r="Q14" s="1610"/>
      <c r="R14" s="1611">
        <f t="shared" si="2"/>
        <v>0</v>
      </c>
      <c r="S14" s="1611">
        <f t="shared" si="3"/>
        <v>0</v>
      </c>
      <c r="T14" s="1611">
        <f t="shared" si="4"/>
        <v>0</v>
      </c>
    </row>
    <row r="15" spans="1:53" ht="91.5" hidden="1" customHeight="1">
      <c r="A15" s="1609">
        <v>4</v>
      </c>
      <c r="B15" s="1056" t="s">
        <v>3171</v>
      </c>
      <c r="C15" s="917" t="s">
        <v>1209</v>
      </c>
      <c r="D15" s="1056" t="s">
        <v>1203</v>
      </c>
      <c r="E15" s="4092"/>
      <c r="F15" s="1609"/>
      <c r="G15" s="1609"/>
      <c r="H15" s="1609"/>
      <c r="I15" s="1609">
        <v>6</v>
      </c>
      <c r="J15" s="1609">
        <v>205</v>
      </c>
      <c r="K15" s="1609"/>
      <c r="L15" s="1583"/>
      <c r="M15" s="1583"/>
      <c r="N15" s="1609"/>
      <c r="O15" s="1609"/>
      <c r="P15" s="1581">
        <f t="shared" si="1"/>
        <v>0</v>
      </c>
      <c r="Q15" s="1610"/>
      <c r="R15" s="1611">
        <f t="shared" si="2"/>
        <v>0</v>
      </c>
      <c r="S15" s="1611">
        <f t="shared" si="3"/>
        <v>0</v>
      </c>
      <c r="T15" s="1611">
        <f t="shared" si="4"/>
        <v>0</v>
      </c>
    </row>
    <row r="16" spans="1:53" ht="51">
      <c r="A16" s="1609">
        <v>5</v>
      </c>
      <c r="B16" s="1056" t="s">
        <v>1210</v>
      </c>
      <c r="C16" s="917" t="s">
        <v>1211</v>
      </c>
      <c r="D16" s="1609" t="s">
        <v>1022</v>
      </c>
      <c r="E16" s="4092"/>
      <c r="F16" s="1609"/>
      <c r="G16" s="1609"/>
      <c r="H16" s="1609"/>
      <c r="I16" s="1609">
        <v>6</v>
      </c>
      <c r="J16" s="1609">
        <v>205</v>
      </c>
      <c r="K16" s="1609"/>
      <c r="L16" s="1581">
        <v>300</v>
      </c>
      <c r="M16" s="1581"/>
      <c r="N16" s="1609"/>
      <c r="O16" s="1609"/>
      <c r="P16" s="1581">
        <f t="shared" si="1"/>
        <v>300</v>
      </c>
      <c r="Q16" s="1610">
        <f>135*1.07</f>
        <v>144.45000000000002</v>
      </c>
      <c r="R16" s="1611">
        <f t="shared" si="2"/>
        <v>43335.000000000007</v>
      </c>
      <c r="S16" s="1611">
        <f t="shared" si="3"/>
        <v>1232.2748815165878</v>
      </c>
      <c r="T16" s="1611">
        <f t="shared" si="4"/>
        <v>42102.725118483417</v>
      </c>
    </row>
    <row r="17" spans="1:53" ht="48.75" hidden="1" customHeight="1">
      <c r="A17" s="1609">
        <v>13</v>
      </c>
      <c r="B17" s="1056" t="s">
        <v>1212</v>
      </c>
      <c r="C17" s="917" t="s">
        <v>1213</v>
      </c>
      <c r="D17" s="1609" t="s">
        <v>1022</v>
      </c>
      <c r="E17" s="4092"/>
      <c r="F17" s="1609"/>
      <c r="G17" s="1609"/>
      <c r="H17" s="1609"/>
      <c r="I17" s="1609"/>
      <c r="J17" s="1609"/>
      <c r="K17" s="1609"/>
      <c r="L17" s="1581"/>
      <c r="M17" s="1581"/>
      <c r="N17" s="1609"/>
      <c r="O17" s="1609"/>
      <c r="P17" s="1581">
        <f t="shared" si="1"/>
        <v>0</v>
      </c>
      <c r="Q17" s="1610"/>
      <c r="R17" s="1611">
        <f t="shared" si="2"/>
        <v>0</v>
      </c>
      <c r="S17" s="1611"/>
      <c r="T17" s="1611"/>
    </row>
    <row r="18" spans="1:53" ht="38.25">
      <c r="A18" s="1609">
        <v>6</v>
      </c>
      <c r="B18" s="1056" t="s">
        <v>1214</v>
      </c>
      <c r="C18" s="917" t="s">
        <v>1215</v>
      </c>
      <c r="D18" s="1609" t="s">
        <v>1022</v>
      </c>
      <c r="E18" s="4092"/>
      <c r="F18" s="1609"/>
      <c r="G18" s="1609"/>
      <c r="H18" s="1609"/>
      <c r="I18" s="1609">
        <v>6</v>
      </c>
      <c r="J18" s="1609">
        <v>205</v>
      </c>
      <c r="K18" s="1609"/>
      <c r="L18" s="1581">
        <v>29</v>
      </c>
      <c r="M18" s="1615">
        <f>Z18+AU18+BA18</f>
        <v>28.809840000000001</v>
      </c>
      <c r="N18" s="1609"/>
      <c r="O18" s="1609"/>
      <c r="P18" s="1581">
        <f t="shared" si="1"/>
        <v>29</v>
      </c>
      <c r="Q18" s="1610">
        <f>3500*1.07</f>
        <v>3745</v>
      </c>
      <c r="R18" s="1611">
        <f t="shared" si="2"/>
        <v>108605</v>
      </c>
      <c r="S18" s="1611">
        <f t="shared" si="3"/>
        <v>3088.2938388625589</v>
      </c>
      <c r="T18" s="1611">
        <f t="shared" si="4"/>
        <v>105516.70616113744</v>
      </c>
      <c r="U18" s="1580">
        <v>12100</v>
      </c>
      <c r="V18" s="1600">
        <v>22739</v>
      </c>
      <c r="X18" s="364" t="s">
        <v>2186</v>
      </c>
      <c r="Y18" s="1645">
        <f>(AG18+AH18)*8/300</f>
        <v>15.354133333333333</v>
      </c>
      <c r="Z18" s="1645">
        <f>(AI18+AJ18)*4/300</f>
        <v>9.0955999999999992</v>
      </c>
      <c r="AG18" s="1580">
        <f>U12/100</f>
        <v>121</v>
      </c>
      <c r="AH18" s="1580">
        <f>V12/50</f>
        <v>454.78</v>
      </c>
      <c r="AI18" s="1580">
        <f>V18/100</f>
        <v>227.39</v>
      </c>
      <c r="AJ18" s="1580">
        <f>V18/50</f>
        <v>454.78</v>
      </c>
      <c r="AL18" s="1580">
        <v>340</v>
      </c>
      <c r="AM18" s="1580">
        <f>AL18/100</f>
        <v>3.4</v>
      </c>
      <c r="AN18" s="1580">
        <f>AL18/50</f>
        <v>6.8</v>
      </c>
      <c r="AO18" s="1580">
        <f>(AM18+AN18)*21*8</f>
        <v>1713.6</v>
      </c>
      <c r="AP18" s="1645">
        <f>AO18/300</f>
        <v>5.7119999999999997</v>
      </c>
      <c r="AQ18" s="1580">
        <v>831</v>
      </c>
      <c r="AR18" s="1580">
        <f>AQ18/100</f>
        <v>8.31</v>
      </c>
      <c r="AS18" s="1580">
        <f>AQ18/50</f>
        <v>16.62</v>
      </c>
      <c r="AT18" s="1580">
        <f>(AR18+AS18)*21*4</f>
        <v>2094.12</v>
      </c>
      <c r="AU18" s="1645">
        <f>AT18/300</f>
        <v>6.9803999999999995</v>
      </c>
      <c r="AV18" s="1580">
        <f>12100/500</f>
        <v>24.2</v>
      </c>
      <c r="AW18" s="1580">
        <f>AV18*21*8</f>
        <v>4065.6</v>
      </c>
      <c r="AX18" s="1645">
        <f>AW18/300</f>
        <v>13.552</v>
      </c>
      <c r="AY18" s="1580">
        <f>V18/500</f>
        <v>45.478000000000002</v>
      </c>
      <c r="AZ18" s="1580">
        <f>AY18*21*4</f>
        <v>3820.152</v>
      </c>
      <c r="BA18" s="1645">
        <f>AZ18/300</f>
        <v>12.733840000000001</v>
      </c>
    </row>
    <row r="19" spans="1:53" ht="38.25" hidden="1" customHeight="1">
      <c r="A19" s="1609">
        <v>7</v>
      </c>
      <c r="B19" s="1056" t="s">
        <v>1216</v>
      </c>
      <c r="C19" s="917" t="s">
        <v>1217</v>
      </c>
      <c r="D19" s="1056" t="s">
        <v>1218</v>
      </c>
      <c r="E19" s="4092"/>
      <c r="F19" s="1609"/>
      <c r="G19" s="1609"/>
      <c r="H19" s="1609"/>
      <c r="I19" s="1609">
        <v>6</v>
      </c>
      <c r="J19" s="1609">
        <v>205</v>
      </c>
      <c r="K19" s="1609"/>
      <c r="L19" s="1056"/>
      <c r="M19" s="1056"/>
      <c r="N19" s="1609"/>
      <c r="O19" s="1609"/>
      <c r="P19" s="1581">
        <f t="shared" si="1"/>
        <v>0</v>
      </c>
      <c r="Q19" s="1610"/>
      <c r="R19" s="1611">
        <f t="shared" si="2"/>
        <v>0</v>
      </c>
      <c r="S19" s="1611">
        <f t="shared" si="3"/>
        <v>0</v>
      </c>
      <c r="T19" s="1611">
        <f t="shared" si="4"/>
        <v>0</v>
      </c>
      <c r="V19" s="1600">
        <v>22739</v>
      </c>
    </row>
    <row r="20" spans="1:53" ht="26.25" hidden="1" customHeight="1">
      <c r="A20" s="1609">
        <v>20</v>
      </c>
      <c r="B20" s="1056" t="s">
        <v>1219</v>
      </c>
      <c r="C20" s="917"/>
      <c r="D20" s="1056" t="s">
        <v>1203</v>
      </c>
      <c r="E20" s="4092"/>
      <c r="F20" s="1609"/>
      <c r="G20" s="1609"/>
      <c r="H20" s="1609"/>
      <c r="I20" s="1609"/>
      <c r="J20" s="1609"/>
      <c r="K20" s="1609"/>
      <c r="L20" s="1056"/>
      <c r="M20" s="1056"/>
      <c r="N20" s="1609"/>
      <c r="O20" s="1609"/>
      <c r="P20" s="1581"/>
      <c r="Q20" s="1610"/>
      <c r="R20" s="1611"/>
      <c r="S20" s="1611"/>
      <c r="T20" s="1611"/>
      <c r="V20" s="1600">
        <v>22739</v>
      </c>
    </row>
    <row r="21" spans="1:53" ht="12.75" hidden="1" customHeight="1">
      <c r="A21" s="1609">
        <v>8</v>
      </c>
      <c r="B21" s="1056" t="s">
        <v>1220</v>
      </c>
      <c r="C21" s="1056" t="s">
        <v>1221</v>
      </c>
      <c r="D21" s="1056" t="s">
        <v>1022</v>
      </c>
      <c r="E21" s="4092"/>
      <c r="F21" s="1609"/>
      <c r="G21" s="1609"/>
      <c r="H21" s="1609"/>
      <c r="I21" s="1609"/>
      <c r="J21" s="1609"/>
      <c r="K21" s="1609"/>
      <c r="L21" s="1583"/>
      <c r="M21" s="1583"/>
      <c r="N21" s="1609"/>
      <c r="O21" s="1609"/>
      <c r="P21" s="1581"/>
      <c r="Q21" s="1610"/>
      <c r="R21" s="1611"/>
      <c r="S21" s="1611"/>
      <c r="T21" s="1611"/>
      <c r="V21" s="1600">
        <v>22739</v>
      </c>
    </row>
    <row r="22" spans="1:53" ht="27.75" hidden="1" customHeight="1">
      <c r="A22" s="1609">
        <v>9</v>
      </c>
      <c r="B22" s="1056" t="s">
        <v>1222</v>
      </c>
      <c r="C22" s="917"/>
      <c r="D22" s="1056" t="s">
        <v>1203</v>
      </c>
      <c r="E22" s="4092"/>
      <c r="F22" s="1609"/>
      <c r="G22" s="1609"/>
      <c r="H22" s="1609"/>
      <c r="I22" s="1609"/>
      <c r="J22" s="1609"/>
      <c r="K22" s="1609"/>
      <c r="L22" s="1056"/>
      <c r="M22" s="1056"/>
      <c r="N22" s="1609"/>
      <c r="O22" s="1609"/>
      <c r="P22" s="1581"/>
      <c r="Q22" s="1610"/>
      <c r="R22" s="1611"/>
      <c r="S22" s="1611"/>
      <c r="T22" s="1611"/>
      <c r="V22" s="1600">
        <v>22739</v>
      </c>
    </row>
    <row r="23" spans="1:53" ht="25.5">
      <c r="A23" s="1609">
        <v>10</v>
      </c>
      <c r="B23" s="1056" t="s">
        <v>1223</v>
      </c>
      <c r="C23" s="917" t="s">
        <v>1224</v>
      </c>
      <c r="D23" s="1609" t="s">
        <v>1022</v>
      </c>
      <c r="E23" s="4092"/>
      <c r="F23" s="1609"/>
      <c r="G23" s="1609"/>
      <c r="H23" s="1609"/>
      <c r="I23" s="1609">
        <v>6</v>
      </c>
      <c r="J23" s="1609">
        <v>205</v>
      </c>
      <c r="K23" s="1609">
        <v>703</v>
      </c>
      <c r="L23" s="1581">
        <v>29</v>
      </c>
      <c r="M23" s="1615">
        <f>Y23</f>
        <v>29.291666666666668</v>
      </c>
      <c r="N23" s="1609"/>
      <c r="O23" s="1609"/>
      <c r="P23" s="1581">
        <f>L23-O23</f>
        <v>29</v>
      </c>
      <c r="Q23" s="1610">
        <f>1500*1.07</f>
        <v>1605</v>
      </c>
      <c r="R23" s="1611">
        <f>P23*Q23</f>
        <v>46545</v>
      </c>
      <c r="S23" s="1611">
        <f>R23*(I23/(I23+J23+K23))</f>
        <v>305.54704595185996</v>
      </c>
      <c r="T23" s="1611">
        <f>R23-S23</f>
        <v>46239.452954048138</v>
      </c>
      <c r="U23" s="1580">
        <v>12100</v>
      </c>
      <c r="V23" s="1600">
        <v>22739</v>
      </c>
      <c r="X23" s="1580" t="s">
        <v>3172</v>
      </c>
      <c r="Y23" s="1645">
        <f>500*K23/5000/12*5</f>
        <v>29.291666666666668</v>
      </c>
    </row>
    <row r="24" spans="1:53" ht="38.25" hidden="1" customHeight="1">
      <c r="A24" s="1609">
        <v>11</v>
      </c>
      <c r="B24" s="1056" t="s">
        <v>1225</v>
      </c>
      <c r="C24" s="917" t="s">
        <v>1226</v>
      </c>
      <c r="D24" s="1056" t="s">
        <v>1022</v>
      </c>
      <c r="E24" s="4092"/>
      <c r="F24" s="1609"/>
      <c r="G24" s="1609"/>
      <c r="H24" s="1609"/>
      <c r="I24" s="1609">
        <v>6</v>
      </c>
      <c r="J24" s="1609">
        <v>205</v>
      </c>
      <c r="K24" s="1609"/>
      <c r="L24" s="1056"/>
      <c r="M24" s="1056"/>
      <c r="N24" s="1609"/>
      <c r="O24" s="1609"/>
      <c r="P24" s="1581">
        <f>L24-O24</f>
        <v>0</v>
      </c>
      <c r="Q24" s="1610"/>
      <c r="R24" s="1611">
        <f>P24*Q24</f>
        <v>0</v>
      </c>
      <c r="S24" s="1611">
        <f>R24*(I24/(I24+J24+K24))</f>
        <v>0</v>
      </c>
      <c r="T24" s="1611">
        <f>R24-S24</f>
        <v>0</v>
      </c>
    </row>
    <row r="25" spans="1:53" ht="51" hidden="1" customHeight="1">
      <c r="A25" s="1609">
        <v>12</v>
      </c>
      <c r="B25" s="1056" t="s">
        <v>1227</v>
      </c>
      <c r="C25" s="1614" t="s">
        <v>1228</v>
      </c>
      <c r="D25" s="1609" t="s">
        <v>1022</v>
      </c>
      <c r="E25" s="4092"/>
      <c r="F25" s="1609"/>
      <c r="G25" s="1609"/>
      <c r="H25" s="1609"/>
      <c r="I25" s="1609">
        <v>6</v>
      </c>
      <c r="J25" s="1609">
        <v>205</v>
      </c>
      <c r="K25" s="1609"/>
      <c r="L25" s="1581"/>
      <c r="M25" s="1609"/>
      <c r="N25" s="1609"/>
      <c r="O25" s="1609"/>
      <c r="P25" s="1581">
        <f>L25-O25</f>
        <v>0</v>
      </c>
      <c r="Q25" s="1610"/>
      <c r="R25" s="1611">
        <f>P25*Q25</f>
        <v>0</v>
      </c>
      <c r="S25" s="1611">
        <f>R25*(I25/(I25+J25+K25))</f>
        <v>0</v>
      </c>
      <c r="T25" s="1611">
        <f>R25-S25</f>
        <v>0</v>
      </c>
      <c r="U25" s="1580">
        <v>62</v>
      </c>
      <c r="V25" s="1580">
        <v>62</v>
      </c>
      <c r="W25" s="1580">
        <v>86</v>
      </c>
      <c r="Y25" s="1580">
        <v>328</v>
      </c>
      <c r="Z25" s="1580">
        <v>52</v>
      </c>
      <c r="AA25" s="1580">
        <v>77</v>
      </c>
    </row>
    <row r="26" spans="1:53" ht="31.5" hidden="1" customHeight="1">
      <c r="A26" s="1609">
        <v>15</v>
      </c>
      <c r="B26" s="1056" t="s">
        <v>1229</v>
      </c>
      <c r="C26" s="1614"/>
      <c r="D26" s="1609" t="s">
        <v>1022</v>
      </c>
      <c r="E26" s="4092"/>
      <c r="F26" s="1609"/>
      <c r="G26" s="1609"/>
      <c r="H26" s="1609"/>
      <c r="I26" s="1609"/>
      <c r="J26" s="1609"/>
      <c r="K26" s="1609"/>
      <c r="L26" s="1581"/>
      <c r="M26" s="1581"/>
      <c r="N26" s="1609"/>
      <c r="O26" s="1609"/>
      <c r="P26" s="1581"/>
      <c r="Q26" s="1610"/>
      <c r="R26" s="1611"/>
      <c r="S26" s="1611"/>
      <c r="T26" s="1611"/>
    </row>
    <row r="27" spans="1:53" ht="63.75">
      <c r="A27" s="1609">
        <v>13</v>
      </c>
      <c r="B27" s="1056" t="s">
        <v>1230</v>
      </c>
      <c r="C27" s="1579" t="s">
        <v>2188</v>
      </c>
      <c r="D27" s="1056" t="s">
        <v>1203</v>
      </c>
      <c r="E27" s="4092"/>
      <c r="F27" s="1609"/>
      <c r="G27" s="1609"/>
      <c r="H27" s="1609"/>
      <c r="I27" s="1609">
        <v>6</v>
      </c>
      <c r="J27" s="1609">
        <v>205</v>
      </c>
      <c r="K27" s="1609"/>
      <c r="L27" s="1583">
        <f>24+24</f>
        <v>48</v>
      </c>
      <c r="M27" s="1583"/>
      <c r="N27" s="1609"/>
      <c r="O27" s="1609"/>
      <c r="P27" s="1581">
        <f>L27-O27</f>
        <v>48</v>
      </c>
      <c r="Q27" s="1610">
        <f>864*1.07</f>
        <v>924.48</v>
      </c>
      <c r="R27" s="1611">
        <f>P27*Q27</f>
        <v>44375.040000000001</v>
      </c>
      <c r="S27" s="1611">
        <f>R27*(I27/(I27+J27+K27))</f>
        <v>1261.8494786729857</v>
      </c>
      <c r="T27" s="1611">
        <f>R27-S27</f>
        <v>43113.190521327015</v>
      </c>
    </row>
    <row r="28" spans="1:53" ht="12.75" hidden="1" customHeight="1">
      <c r="A28" s="1609">
        <v>14</v>
      </c>
      <c r="B28" s="1056" t="s">
        <v>1231</v>
      </c>
      <c r="C28" s="1614" t="s">
        <v>1232</v>
      </c>
      <c r="D28" s="1609" t="s">
        <v>1022</v>
      </c>
      <c r="E28" s="4092"/>
      <c r="F28" s="1609"/>
      <c r="G28" s="1609"/>
      <c r="H28" s="1609"/>
      <c r="I28" s="1609">
        <v>6</v>
      </c>
      <c r="J28" s="1609">
        <v>205</v>
      </c>
      <c r="K28" s="1609"/>
      <c r="L28" s="1581"/>
      <c r="M28" s="1609"/>
      <c r="N28" s="1609"/>
      <c r="O28" s="1609"/>
      <c r="P28" s="1581">
        <f>L28-O28</f>
        <v>0</v>
      </c>
      <c r="Q28" s="1610"/>
      <c r="R28" s="1611">
        <f>P28*Q28</f>
        <v>0</v>
      </c>
      <c r="S28" s="1611">
        <f>R28*(I28/(I28+J28+K28))</f>
        <v>0</v>
      </c>
      <c r="T28" s="1611">
        <f>R28-S28</f>
        <v>0</v>
      </c>
      <c r="U28" s="1580">
        <v>3</v>
      </c>
      <c r="V28" s="1580">
        <v>3</v>
      </c>
      <c r="W28" s="1580">
        <v>36</v>
      </c>
    </row>
    <row r="29" spans="1:53" ht="12.75" hidden="1" customHeight="1">
      <c r="A29" s="1609">
        <v>15</v>
      </c>
      <c r="B29" s="1056" t="s">
        <v>1233</v>
      </c>
      <c r="C29" s="1652" t="s">
        <v>1234</v>
      </c>
      <c r="D29" s="1056" t="s">
        <v>1022</v>
      </c>
      <c r="E29" s="4092"/>
      <c r="F29" s="1609"/>
      <c r="G29" s="1609"/>
      <c r="H29" s="1609"/>
      <c r="I29" s="1609"/>
      <c r="J29" s="1609"/>
      <c r="K29" s="1609"/>
      <c r="L29" s="1583"/>
      <c r="M29" s="1583"/>
      <c r="N29" s="1609"/>
      <c r="O29" s="1609"/>
      <c r="P29" s="1581"/>
      <c r="Q29" s="1610"/>
      <c r="R29" s="1611"/>
      <c r="S29" s="1611"/>
      <c r="T29" s="1611"/>
    </row>
    <row r="30" spans="1:53">
      <c r="A30" s="1609">
        <v>16</v>
      </c>
      <c r="B30" s="1056" t="s">
        <v>1235</v>
      </c>
      <c r="C30" s="1614" t="s">
        <v>1236</v>
      </c>
      <c r="D30" s="1609" t="s">
        <v>1022</v>
      </c>
      <c r="E30" s="4092"/>
      <c r="F30" s="1609"/>
      <c r="G30" s="1609"/>
      <c r="H30" s="1609"/>
      <c r="I30" s="1609">
        <v>6</v>
      </c>
      <c r="J30" s="1609">
        <v>205</v>
      </c>
      <c r="K30" s="1609"/>
      <c r="L30" s="1581">
        <v>4</v>
      </c>
      <c r="M30" s="1581">
        <f>AD30</f>
        <v>4</v>
      </c>
      <c r="N30" s="1609"/>
      <c r="O30" s="1609"/>
      <c r="P30" s="1581">
        <f>L30-O30</f>
        <v>4</v>
      </c>
      <c r="Q30" s="1610">
        <f>150*1.07</f>
        <v>160.5</v>
      </c>
      <c r="R30" s="1611">
        <f>P30*Q30</f>
        <v>642</v>
      </c>
      <c r="S30" s="1611">
        <f>R30*(I30/(I30+J30+K30))</f>
        <v>18.255924170616112</v>
      </c>
      <c r="T30" s="1611">
        <f>R30-S30</f>
        <v>623.74407582938386</v>
      </c>
      <c r="U30" s="1580" t="s">
        <v>2191</v>
      </c>
      <c r="X30" s="1580" t="s">
        <v>3172</v>
      </c>
      <c r="AC30" s="1580">
        <f>1*500*8/500</f>
        <v>8</v>
      </c>
      <c r="AD30" s="1580">
        <f>1*4*500/500</f>
        <v>4</v>
      </c>
    </row>
    <row r="31" spans="1:53" ht="38.25">
      <c r="A31" s="1609">
        <v>19</v>
      </c>
      <c r="B31" s="1056" t="s">
        <v>1239</v>
      </c>
      <c r="C31" s="1614" t="s">
        <v>1242</v>
      </c>
      <c r="D31" s="1609" t="s">
        <v>1022</v>
      </c>
      <c r="E31" s="4092"/>
      <c r="F31" s="1609"/>
      <c r="G31" s="1609"/>
      <c r="H31" s="1609"/>
      <c r="I31" s="1609">
        <v>6</v>
      </c>
      <c r="J31" s="1609">
        <v>205</v>
      </c>
      <c r="K31" s="1609"/>
      <c r="L31" s="1581">
        <v>2228</v>
      </c>
      <c r="M31" s="1615">
        <f>AF31</f>
        <v>2228.422</v>
      </c>
      <c r="N31" s="1609"/>
      <c r="O31" s="1609"/>
      <c r="P31" s="1581">
        <f>L31-O31</f>
        <v>2228</v>
      </c>
      <c r="Q31" s="1610">
        <f>447*1.07</f>
        <v>478.29</v>
      </c>
      <c r="R31" s="1611">
        <f>P31*Q31</f>
        <v>1065630.1200000001</v>
      </c>
      <c r="S31" s="1611">
        <f>R31*(I31/(I31+J31+K31))</f>
        <v>30302.278293838863</v>
      </c>
      <c r="T31" s="1611">
        <f>R31-S31</f>
        <v>1035327.8417061613</v>
      </c>
      <c r="U31" s="1580">
        <v>12100</v>
      </c>
      <c r="V31" s="1580">
        <v>22739</v>
      </c>
      <c r="W31" s="1580" t="s">
        <v>2195</v>
      </c>
      <c r="X31" s="1580" t="s">
        <v>2196</v>
      </c>
      <c r="Y31" s="1580">
        <f>U31/500*0.35*21</f>
        <v>177.86999999999998</v>
      </c>
      <c r="Z31" s="1580">
        <f>V31/500*0.35*21</f>
        <v>334.26329999999996</v>
      </c>
      <c r="AA31" s="1580">
        <f>Y31*8</f>
        <v>1422.9599999999998</v>
      </c>
      <c r="AB31" s="1580">
        <f>Z31*5</f>
        <v>1671.3164999999999</v>
      </c>
      <c r="AE31" s="1580">
        <f>AA31/0.75</f>
        <v>1897.2799999999997</v>
      </c>
      <c r="AF31" s="1580">
        <f>AB31/0.75</f>
        <v>2228.422</v>
      </c>
    </row>
    <row r="32" spans="1:53" ht="38.25" hidden="1" customHeight="1">
      <c r="A32" s="1609">
        <v>20</v>
      </c>
      <c r="B32" s="1056" t="s">
        <v>1244</v>
      </c>
      <c r="C32" s="1614" t="s">
        <v>1245</v>
      </c>
      <c r="D32" s="1609" t="s">
        <v>1119</v>
      </c>
      <c r="E32" s="4092"/>
      <c r="F32" s="1609"/>
      <c r="G32" s="1609"/>
      <c r="H32" s="1609"/>
      <c r="I32" s="1609">
        <v>6</v>
      </c>
      <c r="J32" s="1609">
        <v>205</v>
      </c>
      <c r="K32" s="1609"/>
      <c r="L32" s="1581"/>
      <c r="M32" s="1581"/>
      <c r="N32" s="1609"/>
      <c r="O32" s="1609"/>
      <c r="P32" s="1581">
        <f>L32-O32</f>
        <v>0</v>
      </c>
      <c r="Q32" s="1610"/>
      <c r="R32" s="1611">
        <f>P32*Q32</f>
        <v>0</v>
      </c>
      <c r="S32" s="1611">
        <f>R32*(I32/(I32+J32+K32))</f>
        <v>0</v>
      </c>
      <c r="T32" s="1611">
        <f>R32-S32</f>
        <v>0</v>
      </c>
      <c r="U32" s="1580">
        <v>17</v>
      </c>
      <c r="V32" s="1580">
        <v>17</v>
      </c>
      <c r="W32" s="1580">
        <v>17</v>
      </c>
    </row>
    <row r="33" spans="1:32" ht="76.5">
      <c r="A33" s="1609">
        <v>21</v>
      </c>
      <c r="B33" s="1056" t="s">
        <v>1241</v>
      </c>
      <c r="C33" s="1652" t="s">
        <v>1246</v>
      </c>
      <c r="D33" s="1056" t="s">
        <v>1022</v>
      </c>
      <c r="E33" s="4092"/>
      <c r="F33" s="1609"/>
      <c r="G33" s="1609"/>
      <c r="H33" s="1609"/>
      <c r="I33" s="1609">
        <v>6</v>
      </c>
      <c r="J33" s="1609">
        <v>205</v>
      </c>
      <c r="K33" s="1609"/>
      <c r="L33" s="1583">
        <v>22</v>
      </c>
      <c r="M33" s="1583"/>
      <c r="N33" s="1609"/>
      <c r="O33" s="1609"/>
      <c r="P33" s="1581">
        <f>L33-O33</f>
        <v>22</v>
      </c>
      <c r="Q33" s="1610">
        <f>16500*1.07</f>
        <v>17655</v>
      </c>
      <c r="R33" s="1611">
        <f>P33*Q33</f>
        <v>388410</v>
      </c>
      <c r="S33" s="1611">
        <f>R33*(I33/(I33+J33+K33))</f>
        <v>11044.834123222749</v>
      </c>
      <c r="T33" s="1611">
        <f>R33-S33</f>
        <v>377365.16587677726</v>
      </c>
    </row>
    <row r="34" spans="1:32" ht="25.5" hidden="1" customHeight="1">
      <c r="A34" s="1609">
        <v>22</v>
      </c>
      <c r="B34" s="1056" t="s">
        <v>1247</v>
      </c>
      <c r="C34" s="1652" t="s">
        <v>1248</v>
      </c>
      <c r="D34" s="1056" t="s">
        <v>1022</v>
      </c>
      <c r="E34" s="4092"/>
      <c r="F34" s="1609"/>
      <c r="G34" s="1609"/>
      <c r="H34" s="1609"/>
      <c r="I34" s="1609"/>
      <c r="J34" s="1609"/>
      <c r="K34" s="1609"/>
      <c r="L34" s="1583"/>
      <c r="M34" s="1583"/>
      <c r="N34" s="1609"/>
      <c r="O34" s="1609"/>
      <c r="P34" s="1581"/>
      <c r="Q34" s="1610"/>
      <c r="R34" s="1611"/>
      <c r="S34" s="1611"/>
      <c r="T34" s="1611"/>
    </row>
    <row r="35" spans="1:32" ht="51" hidden="1" customHeight="1">
      <c r="A35" s="1609">
        <v>23</v>
      </c>
      <c r="B35" s="1056" t="s">
        <v>1249</v>
      </c>
      <c r="C35" s="1056" t="s">
        <v>1250</v>
      </c>
      <c r="D35" s="1056" t="s">
        <v>1022</v>
      </c>
      <c r="E35" s="4092"/>
      <c r="F35" s="1609"/>
      <c r="G35" s="1609"/>
      <c r="H35" s="1609"/>
      <c r="I35" s="1609"/>
      <c r="J35" s="1609"/>
      <c r="K35" s="1609"/>
      <c r="L35" s="1583"/>
      <c r="M35" s="1583"/>
      <c r="N35" s="1609"/>
      <c r="O35" s="1609"/>
      <c r="P35" s="1581"/>
      <c r="Q35" s="1610"/>
      <c r="R35" s="1611"/>
      <c r="S35" s="1611"/>
      <c r="T35" s="1611"/>
    </row>
    <row r="36" spans="1:32" ht="25.5">
      <c r="A36" s="1609">
        <v>24</v>
      </c>
      <c r="B36" s="1056" t="s">
        <v>1251</v>
      </c>
      <c r="C36" s="1614" t="s">
        <v>1252</v>
      </c>
      <c r="D36" s="1609" t="s">
        <v>1022</v>
      </c>
      <c r="E36" s="4092"/>
      <c r="F36" s="1609"/>
      <c r="G36" s="1609"/>
      <c r="H36" s="1609"/>
      <c r="I36" s="1609">
        <v>6</v>
      </c>
      <c r="J36" s="1609">
        <v>205</v>
      </c>
      <c r="K36" s="1609"/>
      <c r="L36" s="1581">
        <v>227</v>
      </c>
      <c r="M36" s="1615">
        <f>AF36</f>
        <v>227.39000000000001</v>
      </c>
      <c r="N36" s="1609"/>
      <c r="O36" s="1609"/>
      <c r="P36" s="1581">
        <f>L36-O36</f>
        <v>227</v>
      </c>
      <c r="Q36" s="1610">
        <f>234*1.07</f>
        <v>250.38000000000002</v>
      </c>
      <c r="R36" s="1611">
        <f>P36*Q36</f>
        <v>56836.26</v>
      </c>
      <c r="S36" s="1611">
        <f>R36*(I36/(I36+J36+K36))</f>
        <v>1616.1969668246445</v>
      </c>
      <c r="T36" s="1611">
        <f>R36-S36</f>
        <v>55220.063033175356</v>
      </c>
      <c r="U36" s="1580">
        <v>12100</v>
      </c>
      <c r="V36" s="1580">
        <v>22739</v>
      </c>
      <c r="W36" s="1580">
        <v>500</v>
      </c>
      <c r="X36" s="1580" t="s">
        <v>3173</v>
      </c>
      <c r="Z36" s="1580">
        <v>218</v>
      </c>
      <c r="AA36" s="1580">
        <f>U36/W36*0.45</f>
        <v>10.89</v>
      </c>
      <c r="AB36" s="1580">
        <f>V36/W36*0.45</f>
        <v>20.4651</v>
      </c>
      <c r="AC36" s="1580">
        <f>AA36*8</f>
        <v>87.12</v>
      </c>
      <c r="AD36" s="1580">
        <f>AB36*5</f>
        <v>102.32550000000001</v>
      </c>
      <c r="AE36" s="1580">
        <f>AC36/0.45</f>
        <v>193.6</v>
      </c>
      <c r="AF36" s="1580">
        <f>AD36/0.45</f>
        <v>227.39000000000001</v>
      </c>
    </row>
    <row r="37" spans="1:32" ht="25.5">
      <c r="A37" s="1609">
        <v>25</v>
      </c>
      <c r="B37" s="1056" t="s">
        <v>1253</v>
      </c>
      <c r="C37" s="1614" t="s">
        <v>1254</v>
      </c>
      <c r="D37" s="1609" t="s">
        <v>1022</v>
      </c>
      <c r="E37" s="4092"/>
      <c r="F37" s="1609"/>
      <c r="G37" s="1609"/>
      <c r="H37" s="1609"/>
      <c r="I37" s="1609">
        <v>6</v>
      </c>
      <c r="J37" s="1609">
        <v>205</v>
      </c>
      <c r="K37" s="1609"/>
      <c r="L37" s="1581">
        <v>300</v>
      </c>
      <c r="M37" s="1581"/>
      <c r="N37" s="1609"/>
      <c r="O37" s="1609"/>
      <c r="P37" s="1581">
        <f>L37-O37</f>
        <v>300</v>
      </c>
      <c r="Q37" s="1610">
        <f>554*1.07</f>
        <v>592.78000000000009</v>
      </c>
      <c r="R37" s="1611">
        <f>P37*Q37</f>
        <v>177834.00000000003</v>
      </c>
      <c r="S37" s="1611">
        <f>R37*(I37/(I37+J37+K37))</f>
        <v>5056.8909952606637</v>
      </c>
      <c r="T37" s="1611">
        <f>R37-S37</f>
        <v>172777.10900473935</v>
      </c>
    </row>
    <row r="38" spans="1:32" ht="29.25" customHeight="1">
      <c r="A38" s="1609">
        <v>26</v>
      </c>
      <c r="B38" s="1056" t="s">
        <v>1255</v>
      </c>
      <c r="C38" s="1614" t="s">
        <v>1256</v>
      </c>
      <c r="D38" s="1609" t="s">
        <v>1022</v>
      </c>
      <c r="E38" s="4093"/>
      <c r="F38" s="1609"/>
      <c r="G38" s="1609"/>
      <c r="H38" s="1609"/>
      <c r="I38" s="1609">
        <v>6</v>
      </c>
      <c r="J38" s="1609">
        <v>205</v>
      </c>
      <c r="K38" s="1609"/>
      <c r="L38" s="1581">
        <v>227</v>
      </c>
      <c r="M38" s="1615">
        <f>AF38</f>
        <v>227.39000000000001</v>
      </c>
      <c r="N38" s="1609"/>
      <c r="O38" s="1609"/>
      <c r="P38" s="1581">
        <f>L38-O38</f>
        <v>227</v>
      </c>
      <c r="Q38" s="1610">
        <f>628*1.07</f>
        <v>671.96</v>
      </c>
      <c r="R38" s="1611">
        <f>P38*Q38</f>
        <v>152534.92000000001</v>
      </c>
      <c r="S38" s="1611">
        <f>R38*(I38/(I38+J38+K38))</f>
        <v>4337.4858767772512</v>
      </c>
      <c r="T38" s="1611">
        <f>R38-S38</f>
        <v>148197.43412322277</v>
      </c>
      <c r="U38" s="1580">
        <v>12100</v>
      </c>
      <c r="V38" s="1556">
        <v>22739</v>
      </c>
      <c r="W38" s="1580">
        <v>500</v>
      </c>
      <c r="X38" s="1580" t="s">
        <v>2199</v>
      </c>
      <c r="AA38" s="1580">
        <f>U38/500*0.5</f>
        <v>12.1</v>
      </c>
      <c r="AB38" s="1580">
        <f>V38/W38*0.5</f>
        <v>22.739000000000001</v>
      </c>
      <c r="AC38" s="1580">
        <f>AA38*8</f>
        <v>96.8</v>
      </c>
      <c r="AD38" s="1580">
        <f>AB38*5</f>
        <v>113.69500000000001</v>
      </c>
      <c r="AE38" s="1580">
        <f>AC38/0.5</f>
        <v>193.6</v>
      </c>
      <c r="AF38" s="1580">
        <f>AD38/0.5</f>
        <v>227.39000000000001</v>
      </c>
    </row>
    <row r="39" spans="1:32" ht="31.5" hidden="1" customHeight="1">
      <c r="A39" s="1609">
        <v>16</v>
      </c>
      <c r="B39" s="1056" t="s">
        <v>1257</v>
      </c>
      <c r="C39" s="1614"/>
      <c r="D39" s="1581"/>
      <c r="E39" s="1581"/>
      <c r="F39" s="1581"/>
      <c r="G39" s="1581"/>
      <c r="H39" s="1581"/>
      <c r="I39" s="1581"/>
      <c r="J39" s="1581"/>
      <c r="K39" s="1581"/>
      <c r="L39" s="1581"/>
      <c r="M39" s="1581"/>
      <c r="N39" s="1581"/>
      <c r="O39" s="1581"/>
      <c r="P39" s="1581"/>
      <c r="Q39" s="1581"/>
      <c r="R39" s="1581"/>
      <c r="S39" s="1581"/>
      <c r="T39" s="1581"/>
    </row>
    <row r="40" spans="1:32" hidden="1">
      <c r="A40" s="1609">
        <v>27</v>
      </c>
      <c r="B40" s="1056" t="s">
        <v>1258</v>
      </c>
      <c r="C40" s="1614" t="s">
        <v>1259</v>
      </c>
      <c r="D40" s="1056" t="s">
        <v>1203</v>
      </c>
      <c r="E40" s="1581"/>
      <c r="F40" s="1609"/>
      <c r="G40" s="1609"/>
      <c r="H40" s="1609"/>
      <c r="I40" s="1609">
        <v>6</v>
      </c>
      <c r="J40" s="1609">
        <v>205</v>
      </c>
      <c r="K40" s="1609"/>
      <c r="L40" s="1056"/>
      <c r="M40" s="1056"/>
      <c r="N40" s="1609"/>
      <c r="O40" s="1609"/>
      <c r="P40" s="1581">
        <f>L40-O40</f>
        <v>0</v>
      </c>
      <c r="Q40" s="1610"/>
      <c r="R40" s="1611">
        <f>P40*Q40</f>
        <v>0</v>
      </c>
      <c r="S40" s="1611">
        <f>R40*(I40/(I40+J40+K40))</f>
        <v>0</v>
      </c>
      <c r="T40" s="1611">
        <f>R40-S40</f>
        <v>0</v>
      </c>
    </row>
    <row r="41" spans="1:32">
      <c r="A41" s="1609"/>
      <c r="B41" s="1616" t="s">
        <v>1260</v>
      </c>
      <c r="C41" s="1614"/>
      <c r="D41" s="1056"/>
      <c r="E41" s="1581"/>
      <c r="F41" s="1609"/>
      <c r="G41" s="1609"/>
      <c r="H41" s="1609"/>
      <c r="I41" s="1609"/>
      <c r="J41" s="1609"/>
      <c r="K41" s="1609"/>
      <c r="L41" s="1583"/>
      <c r="M41" s="1583"/>
      <c r="N41" s="1609"/>
      <c r="O41" s="1609"/>
      <c r="P41" s="1581"/>
      <c r="Q41" s="1610"/>
      <c r="R41" s="1617">
        <f>SUM(R42:R94)</f>
        <v>0</v>
      </c>
      <c r="S41" s="1617">
        <f>SUM(S42:S94)</f>
        <v>0</v>
      </c>
      <c r="T41" s="1617">
        <f>SUM(T42:T94)</f>
        <v>0</v>
      </c>
    </row>
    <row r="42" spans="1:32">
      <c r="A42" s="1609"/>
      <c r="B42" s="1625"/>
      <c r="C42" s="1621"/>
      <c r="D42" s="1610"/>
      <c r="E42" s="1581"/>
      <c r="F42" s="1581"/>
      <c r="G42" s="1581"/>
      <c r="H42" s="1581"/>
      <c r="I42" s="1609"/>
      <c r="J42" s="1609"/>
      <c r="K42" s="1581"/>
      <c r="L42" s="1610"/>
      <c r="M42" s="1610"/>
      <c r="N42" s="1581"/>
      <c r="O42" s="1581"/>
      <c r="P42" s="1581"/>
      <c r="Q42" s="1581"/>
      <c r="R42" s="1611"/>
      <c r="S42" s="1611"/>
      <c r="T42" s="1611"/>
    </row>
    <row r="43" spans="1:32" ht="25.5" hidden="1">
      <c r="A43" s="1609">
        <v>286</v>
      </c>
      <c r="B43" s="1618" t="s">
        <v>1264</v>
      </c>
      <c r="C43" s="1621" t="s">
        <v>1265</v>
      </c>
      <c r="D43" s="1618" t="s">
        <v>1022</v>
      </c>
      <c r="E43" s="1581"/>
      <c r="F43" s="1581"/>
      <c r="G43" s="1581"/>
      <c r="H43" s="1581"/>
      <c r="I43" s="1609"/>
      <c r="J43" s="1609"/>
      <c r="K43" s="1581"/>
      <c r="L43" s="1622"/>
      <c r="M43" s="1622"/>
      <c r="N43" s="1581"/>
      <c r="O43" s="1581"/>
      <c r="P43" s="1581"/>
      <c r="Q43" s="1581"/>
      <c r="R43" s="1611"/>
      <c r="S43" s="1611"/>
      <c r="T43" s="1611"/>
    </row>
    <row r="44" spans="1:32" ht="38.25" hidden="1">
      <c r="A44" s="1609">
        <v>175</v>
      </c>
      <c r="B44" s="1618" t="s">
        <v>1303</v>
      </c>
      <c r="C44" s="1621" t="s">
        <v>1304</v>
      </c>
      <c r="D44" s="1622" t="s">
        <v>1263</v>
      </c>
      <c r="E44" s="1581"/>
      <c r="F44" s="1581"/>
      <c r="G44" s="1581"/>
      <c r="H44" s="1581"/>
      <c r="I44" s="1609"/>
      <c r="J44" s="1609"/>
      <c r="K44" s="1581"/>
      <c r="L44" s="1622"/>
      <c r="M44" s="1622"/>
      <c r="N44" s="1581"/>
      <c r="O44" s="1581"/>
      <c r="P44" s="1581"/>
      <c r="Q44" s="1581"/>
      <c r="R44" s="1611"/>
      <c r="S44" s="1611"/>
      <c r="T44" s="1611"/>
      <c r="U44" s="1580">
        <f>703*2*10</f>
        <v>14060</v>
      </c>
      <c r="W44" s="357" t="s">
        <v>3174</v>
      </c>
      <c r="X44" s="1580" t="s">
        <v>3175</v>
      </c>
      <c r="Y44" s="1580" t="s">
        <v>476</v>
      </c>
      <c r="Z44" s="357" t="s">
        <v>3176</v>
      </c>
      <c r="AA44" s="357" t="s">
        <v>3177</v>
      </c>
    </row>
    <row r="45" spans="1:32" ht="25.5" hidden="1">
      <c r="A45" s="1609">
        <v>176</v>
      </c>
      <c r="B45" s="1618" t="s">
        <v>1328</v>
      </c>
      <c r="C45" s="1621" t="s">
        <v>1329</v>
      </c>
      <c r="D45" s="1622" t="s">
        <v>1263</v>
      </c>
      <c r="E45" s="1581"/>
      <c r="F45" s="1581"/>
      <c r="G45" s="1581"/>
      <c r="H45" s="1581"/>
      <c r="I45" s="1609"/>
      <c r="J45" s="1609"/>
      <c r="K45" s="1581"/>
      <c r="L45" s="1618"/>
      <c r="M45" s="1618"/>
      <c r="N45" s="1581"/>
      <c r="O45" s="1581"/>
      <c r="P45" s="1581"/>
      <c r="Q45" s="1581"/>
      <c r="R45" s="1611"/>
      <c r="S45" s="1611"/>
      <c r="T45" s="1611"/>
      <c r="U45" s="1580" t="s">
        <v>2211</v>
      </c>
      <c r="V45" s="1580">
        <f>12100/500*6</f>
        <v>145.19999999999999</v>
      </c>
      <c r="W45" s="1580">
        <f>V45*8</f>
        <v>1161.5999999999999</v>
      </c>
      <c r="X45" s="1645">
        <f>W45/100</f>
        <v>11.616</v>
      </c>
      <c r="Y45" s="1580">
        <f>22739/500*6</f>
        <v>272.86799999999999</v>
      </c>
      <c r="Z45" s="1580">
        <f>Y45*4</f>
        <v>1091.472</v>
      </c>
      <c r="AA45" s="1645">
        <f>Z45/100</f>
        <v>10.914719999999999</v>
      </c>
    </row>
    <row r="46" spans="1:32" hidden="1">
      <c r="A46" s="1609">
        <v>281</v>
      </c>
      <c r="B46" s="1618" t="s">
        <v>1330</v>
      </c>
      <c r="C46" s="1621" t="s">
        <v>1331</v>
      </c>
      <c r="D46" s="1618" t="s">
        <v>1022</v>
      </c>
      <c r="E46" s="1581"/>
      <c r="F46" s="1581"/>
      <c r="G46" s="1581"/>
      <c r="H46" s="1581"/>
      <c r="I46" s="1609"/>
      <c r="J46" s="1609"/>
      <c r="K46" s="1581"/>
      <c r="L46" s="1622"/>
      <c r="M46" s="1622"/>
      <c r="N46" s="1581"/>
      <c r="O46" s="1581"/>
      <c r="P46" s="1581"/>
      <c r="Q46" s="1581"/>
      <c r="R46" s="1611"/>
      <c r="S46" s="1611"/>
      <c r="T46" s="1611"/>
    </row>
    <row r="47" spans="1:32" ht="38.25" hidden="1">
      <c r="A47" s="1609"/>
      <c r="B47" s="1618" t="s">
        <v>1333</v>
      </c>
      <c r="C47" s="1621" t="s">
        <v>1336</v>
      </c>
      <c r="D47" s="1618" t="s">
        <v>1335</v>
      </c>
      <c r="E47" s="1581"/>
      <c r="F47" s="1581"/>
      <c r="G47" s="1581"/>
      <c r="H47" s="1581"/>
      <c r="I47" s="1609"/>
      <c r="J47" s="1609"/>
      <c r="K47" s="1581"/>
      <c r="L47" s="1618"/>
      <c r="M47" s="1618"/>
      <c r="N47" s="1581"/>
      <c r="O47" s="1581"/>
      <c r="P47" s="1581"/>
      <c r="Q47" s="1581"/>
      <c r="R47" s="1611"/>
      <c r="S47" s="1611"/>
      <c r="T47" s="1611"/>
    </row>
    <row r="48" spans="1:32" ht="25.5" hidden="1">
      <c r="A48" s="1609"/>
      <c r="B48" s="1618" t="s">
        <v>1333</v>
      </c>
      <c r="C48" s="1621" t="s">
        <v>1337</v>
      </c>
      <c r="D48" s="1618" t="s">
        <v>1338</v>
      </c>
      <c r="E48" s="1581"/>
      <c r="F48" s="1581"/>
      <c r="G48" s="1581"/>
      <c r="H48" s="1581"/>
      <c r="I48" s="1609"/>
      <c r="J48" s="1609"/>
      <c r="K48" s="1581"/>
      <c r="L48" s="1618"/>
      <c r="M48" s="1618"/>
      <c r="N48" s="1581"/>
      <c r="O48" s="1581"/>
      <c r="P48" s="1581"/>
      <c r="Q48" s="1581"/>
      <c r="R48" s="1611"/>
      <c r="S48" s="1611"/>
      <c r="T48" s="1611"/>
    </row>
    <row r="49" spans="1:21" hidden="1">
      <c r="A49" s="1609"/>
      <c r="B49" s="1618"/>
      <c r="C49" s="1621"/>
      <c r="D49" s="1618"/>
      <c r="E49" s="1581"/>
      <c r="F49" s="1581"/>
      <c r="G49" s="1581"/>
      <c r="H49" s="1581"/>
      <c r="I49" s="1609"/>
      <c r="J49" s="1609"/>
      <c r="K49" s="1581"/>
      <c r="L49" s="1618"/>
      <c r="M49" s="1618"/>
      <c r="N49" s="1581"/>
      <c r="O49" s="1581"/>
      <c r="P49" s="1581"/>
      <c r="Q49" s="1581"/>
      <c r="R49" s="1611"/>
      <c r="S49" s="1611"/>
      <c r="T49" s="1611"/>
    </row>
    <row r="50" spans="1:21" hidden="1">
      <c r="A50" s="1609">
        <v>287</v>
      </c>
      <c r="B50" s="1618" t="s">
        <v>1339</v>
      </c>
      <c r="C50" s="1621" t="s">
        <v>1340</v>
      </c>
      <c r="D50" s="1618" t="s">
        <v>1022</v>
      </c>
      <c r="E50" s="1581"/>
      <c r="F50" s="1581"/>
      <c r="G50" s="1581"/>
      <c r="H50" s="1581"/>
      <c r="I50" s="1609"/>
      <c r="J50" s="1609"/>
      <c r="K50" s="1581"/>
      <c r="L50" s="1622"/>
      <c r="M50" s="1622"/>
      <c r="N50" s="1581"/>
      <c r="O50" s="1581"/>
      <c r="P50" s="1581"/>
      <c r="Q50" s="1581"/>
      <c r="R50" s="1611"/>
      <c r="S50" s="1611"/>
      <c r="T50" s="1611"/>
      <c r="U50" s="1580">
        <v>1000</v>
      </c>
    </row>
    <row r="51" spans="1:21" hidden="1">
      <c r="A51" s="1609">
        <v>279</v>
      </c>
      <c r="B51" s="1618" t="s">
        <v>1341</v>
      </c>
      <c r="C51" s="1621" t="s">
        <v>1342</v>
      </c>
      <c r="D51" s="1618" t="s">
        <v>1022</v>
      </c>
      <c r="E51" s="1581"/>
      <c r="F51" s="1581"/>
      <c r="G51" s="1581"/>
      <c r="H51" s="1581"/>
      <c r="I51" s="1609"/>
      <c r="J51" s="1609"/>
      <c r="K51" s="1581"/>
      <c r="L51" s="1622"/>
      <c r="M51" s="1622"/>
      <c r="N51" s="1581"/>
      <c r="O51" s="1581"/>
      <c r="P51" s="1581"/>
      <c r="Q51" s="1581"/>
      <c r="R51" s="1611"/>
      <c r="S51" s="1611"/>
      <c r="T51" s="1611"/>
    </row>
    <row r="52" spans="1:21" hidden="1">
      <c r="A52" s="1609">
        <v>270</v>
      </c>
      <c r="B52" s="1618" t="s">
        <v>1364</v>
      </c>
      <c r="C52" s="1621" t="s">
        <v>1365</v>
      </c>
      <c r="D52" s="1618" t="s">
        <v>1022</v>
      </c>
      <c r="E52" s="1581"/>
      <c r="F52" s="1581"/>
      <c r="G52" s="1581"/>
      <c r="H52" s="1581"/>
      <c r="I52" s="1609"/>
      <c r="J52" s="1609"/>
      <c r="K52" s="1581"/>
      <c r="L52" s="1622"/>
      <c r="M52" s="1622"/>
      <c r="N52" s="1581"/>
      <c r="O52" s="1581"/>
      <c r="P52" s="1581"/>
      <c r="Q52" s="1581"/>
      <c r="R52" s="1611"/>
      <c r="S52" s="1611"/>
      <c r="T52" s="1611"/>
    </row>
    <row r="53" spans="1:21" hidden="1">
      <c r="A53" s="1609">
        <v>271</v>
      </c>
      <c r="B53" s="1618" t="s">
        <v>1366</v>
      </c>
      <c r="C53" s="1621" t="s">
        <v>1367</v>
      </c>
      <c r="D53" s="1618" t="s">
        <v>1022</v>
      </c>
      <c r="E53" s="1581"/>
      <c r="F53" s="1581"/>
      <c r="G53" s="1581"/>
      <c r="H53" s="1581"/>
      <c r="I53" s="1609"/>
      <c r="J53" s="1609"/>
      <c r="K53" s="1581"/>
      <c r="L53" s="1622"/>
      <c r="M53" s="1622"/>
      <c r="N53" s="1581"/>
      <c r="O53" s="1581"/>
      <c r="P53" s="1581"/>
      <c r="Q53" s="1581"/>
      <c r="R53" s="1611"/>
      <c r="S53" s="1611"/>
      <c r="T53" s="1611"/>
    </row>
    <row r="54" spans="1:21" ht="25.5" hidden="1">
      <c r="A54" s="1609">
        <v>296</v>
      </c>
      <c r="B54" s="1618" t="s">
        <v>1403</v>
      </c>
      <c r="C54" s="1621" t="s">
        <v>3178</v>
      </c>
      <c r="D54" s="1618" t="s">
        <v>1022</v>
      </c>
      <c r="E54" s="1581"/>
      <c r="F54" s="1581"/>
      <c r="G54" s="1581"/>
      <c r="H54" s="1581"/>
      <c r="I54" s="1609"/>
      <c r="J54" s="1609"/>
      <c r="K54" s="1581"/>
      <c r="L54" s="1622"/>
      <c r="M54" s="1622"/>
      <c r="N54" s="1581"/>
      <c r="O54" s="1581"/>
      <c r="P54" s="1581"/>
      <c r="Q54" s="1581"/>
      <c r="R54" s="1611"/>
      <c r="S54" s="1611"/>
      <c r="T54" s="1611"/>
    </row>
    <row r="55" spans="1:21" hidden="1">
      <c r="A55" s="1609">
        <v>301</v>
      </c>
      <c r="B55" s="1618" t="s">
        <v>1407</v>
      </c>
      <c r="C55" s="1621" t="s">
        <v>1408</v>
      </c>
      <c r="D55" s="1618" t="s">
        <v>1022</v>
      </c>
      <c r="E55" s="1581"/>
      <c r="F55" s="1581"/>
      <c r="G55" s="1581"/>
      <c r="H55" s="1581"/>
      <c r="I55" s="1609"/>
      <c r="J55" s="1609"/>
      <c r="K55" s="1581"/>
      <c r="L55" s="1622"/>
      <c r="M55" s="1622"/>
      <c r="N55" s="1581"/>
      <c r="O55" s="1581"/>
      <c r="P55" s="1581"/>
      <c r="Q55" s="1581"/>
      <c r="R55" s="1611"/>
      <c r="S55" s="1611"/>
      <c r="T55" s="1611"/>
    </row>
    <row r="56" spans="1:21" hidden="1">
      <c r="A56" s="1609">
        <v>275</v>
      </c>
      <c r="B56" s="1618" t="s">
        <v>1421</v>
      </c>
      <c r="C56" s="1579" t="s">
        <v>3179</v>
      </c>
      <c r="D56" s="1618" t="s">
        <v>1022</v>
      </c>
      <c r="E56" s="1581"/>
      <c r="F56" s="1581"/>
      <c r="G56" s="1581"/>
      <c r="H56" s="1581"/>
      <c r="I56" s="1609"/>
      <c r="J56" s="1609"/>
      <c r="K56" s="1581"/>
      <c r="L56" s="1622"/>
      <c r="M56" s="1622"/>
      <c r="N56" s="1581"/>
      <c r="O56" s="1581"/>
      <c r="P56" s="1581"/>
      <c r="Q56" s="1581"/>
      <c r="R56" s="1611"/>
      <c r="S56" s="1611"/>
      <c r="T56" s="1611"/>
    </row>
    <row r="57" spans="1:21" hidden="1">
      <c r="A57" s="1609">
        <v>274</v>
      </c>
      <c r="B57" s="1618" t="s">
        <v>1423</v>
      </c>
      <c r="C57" s="1579" t="s">
        <v>1424</v>
      </c>
      <c r="D57" s="1618" t="s">
        <v>1022</v>
      </c>
      <c r="E57" s="1581"/>
      <c r="F57" s="1581"/>
      <c r="G57" s="1581"/>
      <c r="H57" s="1581"/>
      <c r="I57" s="1609"/>
      <c r="J57" s="1609"/>
      <c r="K57" s="1581"/>
      <c r="L57" s="1622"/>
      <c r="M57" s="1622"/>
      <c r="N57" s="1581"/>
      <c r="O57" s="1581"/>
      <c r="P57" s="1581"/>
      <c r="Q57" s="1581"/>
      <c r="R57" s="1611"/>
      <c r="S57" s="1611"/>
      <c r="T57" s="1611"/>
    </row>
    <row r="58" spans="1:21" hidden="1">
      <c r="A58" s="1609">
        <v>280</v>
      </c>
      <c r="B58" s="1579" t="s">
        <v>1435</v>
      </c>
      <c r="C58" s="1647" t="s">
        <v>1436</v>
      </c>
      <c r="D58" s="1618" t="s">
        <v>1022</v>
      </c>
      <c r="E58" s="1581"/>
      <c r="F58" s="1581"/>
      <c r="G58" s="1581"/>
      <c r="H58" s="1581"/>
      <c r="I58" s="1609"/>
      <c r="J58" s="1609"/>
      <c r="K58" s="1581"/>
      <c r="L58" s="1622"/>
      <c r="M58" s="1622"/>
      <c r="N58" s="1581"/>
      <c r="O58" s="1581"/>
      <c r="P58" s="1581"/>
      <c r="Q58" s="1581"/>
      <c r="R58" s="1611"/>
      <c r="S58" s="1611"/>
      <c r="T58" s="1611"/>
    </row>
    <row r="59" spans="1:21" ht="25.5" hidden="1">
      <c r="A59" s="1609">
        <v>97</v>
      </c>
      <c r="B59" s="1619" t="s">
        <v>1451</v>
      </c>
      <c r="C59" s="917" t="s">
        <v>1450</v>
      </c>
      <c r="D59" s="1619" t="s">
        <v>1268</v>
      </c>
      <c r="E59" s="1581"/>
      <c r="F59" s="1609"/>
      <c r="G59" s="1609"/>
      <c r="H59" s="1609"/>
      <c r="I59" s="1609"/>
      <c r="J59" s="1609"/>
      <c r="K59" s="1609"/>
      <c r="L59" s="1619"/>
      <c r="M59" s="1619"/>
      <c r="N59" s="1609"/>
      <c r="O59" s="1609"/>
      <c r="P59" s="1581"/>
      <c r="Q59" s="1610"/>
      <c r="R59" s="1611"/>
      <c r="S59" s="1611"/>
      <c r="T59" s="1611"/>
      <c r="U59" s="1580">
        <v>1500</v>
      </c>
    </row>
    <row r="60" spans="1:21" hidden="1">
      <c r="A60" s="1609">
        <v>282</v>
      </c>
      <c r="B60" s="1618" t="s">
        <v>1490</v>
      </c>
      <c r="C60" s="1579" t="s">
        <v>1491</v>
      </c>
      <c r="D60" s="1618" t="s">
        <v>1022</v>
      </c>
      <c r="E60" s="1581"/>
      <c r="F60" s="1581"/>
      <c r="G60" s="1581"/>
      <c r="H60" s="1581"/>
      <c r="I60" s="1609"/>
      <c r="J60" s="1609"/>
      <c r="K60" s="1581"/>
      <c r="L60" s="1622"/>
      <c r="M60" s="1622"/>
      <c r="N60" s="1581"/>
      <c r="O60" s="1581"/>
      <c r="P60" s="1581"/>
      <c r="Q60" s="1581"/>
      <c r="R60" s="1611"/>
      <c r="S60" s="1611"/>
      <c r="T60" s="1611"/>
    </row>
    <row r="61" spans="1:21" hidden="1">
      <c r="A61" s="1609">
        <v>283</v>
      </c>
      <c r="B61" s="1618" t="s">
        <v>1490</v>
      </c>
      <c r="C61" s="1579" t="s">
        <v>1492</v>
      </c>
      <c r="D61" s="1618" t="s">
        <v>1022</v>
      </c>
      <c r="E61" s="1581"/>
      <c r="F61" s="1581"/>
      <c r="G61" s="1581"/>
      <c r="H61" s="1581"/>
      <c r="I61" s="1609"/>
      <c r="J61" s="1609"/>
      <c r="K61" s="1581"/>
      <c r="L61" s="1622"/>
      <c r="M61" s="1622"/>
      <c r="N61" s="1581"/>
      <c r="O61" s="1581"/>
      <c r="P61" s="1581"/>
      <c r="Q61" s="1581"/>
      <c r="R61" s="1611"/>
      <c r="S61" s="1611"/>
      <c r="T61" s="1611"/>
    </row>
    <row r="62" spans="1:21" hidden="1">
      <c r="A62" s="1581">
        <v>305</v>
      </c>
      <c r="B62" s="1618" t="s">
        <v>1493</v>
      </c>
      <c r="C62" s="1579" t="s">
        <v>1494</v>
      </c>
      <c r="D62" s="1618" t="s">
        <v>1022</v>
      </c>
      <c r="E62" s="1581"/>
      <c r="F62" s="1581"/>
      <c r="G62" s="1581"/>
      <c r="H62" s="1581"/>
      <c r="I62" s="1609"/>
      <c r="J62" s="1609"/>
      <c r="K62" s="1581"/>
      <c r="L62" s="1610"/>
      <c r="M62" s="1610"/>
      <c r="N62" s="1581"/>
      <c r="O62" s="1581"/>
      <c r="P62" s="1581"/>
      <c r="Q62" s="1581"/>
      <c r="R62" s="1611"/>
      <c r="S62" s="1611"/>
      <c r="T62" s="1611"/>
    </row>
    <row r="63" spans="1:21" hidden="1">
      <c r="A63" s="1581">
        <v>304</v>
      </c>
      <c r="B63" s="1618" t="s">
        <v>1495</v>
      </c>
      <c r="C63" s="1579" t="s">
        <v>1505</v>
      </c>
      <c r="D63" s="1618" t="s">
        <v>1022</v>
      </c>
      <c r="E63" s="1581"/>
      <c r="F63" s="1581"/>
      <c r="G63" s="1581"/>
      <c r="H63" s="1581"/>
      <c r="I63" s="1609"/>
      <c r="J63" s="1609"/>
      <c r="K63" s="1581"/>
      <c r="L63" s="1610"/>
      <c r="M63" s="1610"/>
      <c r="N63" s="1581"/>
      <c r="O63" s="1581"/>
      <c r="P63" s="1581"/>
      <c r="Q63" s="1581"/>
      <c r="R63" s="1611"/>
      <c r="S63" s="1611"/>
      <c r="T63" s="1611"/>
    </row>
    <row r="64" spans="1:21" hidden="1">
      <c r="A64" s="1609">
        <v>290</v>
      </c>
      <c r="B64" s="1618" t="s">
        <v>1526</v>
      </c>
      <c r="C64" s="1579" t="s">
        <v>2136</v>
      </c>
      <c r="D64" s="1618" t="s">
        <v>1525</v>
      </c>
      <c r="E64" s="1581"/>
      <c r="F64" s="1581"/>
      <c r="G64" s="1581"/>
      <c r="H64" s="1581"/>
      <c r="I64" s="1609"/>
      <c r="J64" s="1609"/>
      <c r="K64" s="1581"/>
      <c r="L64" s="1622"/>
      <c r="M64" s="1622"/>
      <c r="N64" s="1581"/>
      <c r="O64" s="1581"/>
      <c r="P64" s="1581"/>
      <c r="Q64" s="1581"/>
      <c r="R64" s="1611"/>
      <c r="S64" s="1611"/>
      <c r="T64" s="1611"/>
    </row>
    <row r="65" spans="1:26" hidden="1">
      <c r="A65" s="1609">
        <v>289</v>
      </c>
      <c r="B65" s="1618" t="s">
        <v>1526</v>
      </c>
      <c r="C65" s="1579" t="s">
        <v>3180</v>
      </c>
      <c r="D65" s="1618" t="s">
        <v>1022</v>
      </c>
      <c r="E65" s="1581"/>
      <c r="F65" s="1581"/>
      <c r="G65" s="1581"/>
      <c r="H65" s="1581"/>
      <c r="I65" s="1609"/>
      <c r="J65" s="1609"/>
      <c r="K65" s="1581"/>
      <c r="L65" s="1622"/>
      <c r="M65" s="1622"/>
      <c r="N65" s="1581"/>
      <c r="O65" s="1581"/>
      <c r="P65" s="1581"/>
      <c r="Q65" s="1581"/>
      <c r="R65" s="1611"/>
      <c r="S65" s="1611"/>
      <c r="T65" s="1611"/>
    </row>
    <row r="66" spans="1:26" hidden="1">
      <c r="A66" s="1609">
        <v>295</v>
      </c>
      <c r="B66" s="1618" t="s">
        <v>1532</v>
      </c>
      <c r="C66" s="1579" t="s">
        <v>1533</v>
      </c>
      <c r="D66" s="1618" t="s">
        <v>1022</v>
      </c>
      <c r="E66" s="1581"/>
      <c r="F66" s="1581"/>
      <c r="G66" s="1581"/>
      <c r="H66" s="1581"/>
      <c r="I66" s="1609"/>
      <c r="J66" s="1609"/>
      <c r="K66" s="1581"/>
      <c r="L66" s="1622"/>
      <c r="M66" s="1622"/>
      <c r="N66" s="1581"/>
      <c r="O66" s="1581"/>
      <c r="P66" s="1581"/>
      <c r="Q66" s="1581"/>
      <c r="R66" s="1611"/>
      <c r="S66" s="1611"/>
      <c r="T66" s="1611"/>
    </row>
    <row r="67" spans="1:26" hidden="1">
      <c r="A67" s="1609">
        <v>297</v>
      </c>
      <c r="B67" s="1618" t="s">
        <v>1154</v>
      </c>
      <c r="C67" s="1579" t="s">
        <v>1542</v>
      </c>
      <c r="D67" s="1618" t="s">
        <v>1022</v>
      </c>
      <c r="E67" s="1581"/>
      <c r="F67" s="1581"/>
      <c r="G67" s="1581"/>
      <c r="H67" s="1581"/>
      <c r="I67" s="1609"/>
      <c r="J67" s="1609"/>
      <c r="K67" s="1581"/>
      <c r="L67" s="1622"/>
      <c r="M67" s="1622"/>
      <c r="N67" s="1581"/>
      <c r="O67" s="1581"/>
      <c r="P67" s="1581"/>
      <c r="Q67" s="1581"/>
      <c r="R67" s="1611"/>
      <c r="S67" s="1611"/>
      <c r="T67" s="1611"/>
    </row>
    <row r="68" spans="1:26" hidden="1">
      <c r="A68" s="1609">
        <v>265</v>
      </c>
      <c r="B68" s="1625" t="s">
        <v>1555</v>
      </c>
      <c r="C68" s="1579" t="s">
        <v>1556</v>
      </c>
      <c r="D68" s="1610" t="s">
        <v>1290</v>
      </c>
      <c r="E68" s="1581"/>
      <c r="F68" s="1581"/>
      <c r="G68" s="1581"/>
      <c r="H68" s="1581"/>
      <c r="I68" s="1609"/>
      <c r="J68" s="1609"/>
      <c r="K68" s="1581"/>
      <c r="L68" s="1610"/>
      <c r="M68" s="1583"/>
      <c r="N68" s="1581"/>
      <c r="O68" s="1581"/>
      <c r="P68" s="1581"/>
      <c r="Q68" s="1581"/>
      <c r="R68" s="1611"/>
      <c r="S68" s="1611"/>
      <c r="T68" s="1611"/>
      <c r="U68" s="1645">
        <f>2*2*297/20</f>
        <v>59.4</v>
      </c>
    </row>
    <row r="69" spans="1:26" hidden="1">
      <c r="A69" s="1609">
        <v>266</v>
      </c>
      <c r="B69" s="1625" t="s">
        <v>1555</v>
      </c>
      <c r="C69" s="1579" t="s">
        <v>1557</v>
      </c>
      <c r="D69" s="1610" t="s">
        <v>1290</v>
      </c>
      <c r="E69" s="1581"/>
      <c r="F69" s="1581"/>
      <c r="G69" s="1581"/>
      <c r="H69" s="1581"/>
      <c r="I69" s="1609"/>
      <c r="J69" s="1609"/>
      <c r="K69" s="1581"/>
      <c r="L69" s="1610"/>
      <c r="M69" s="1610"/>
      <c r="N69" s="1581"/>
      <c r="O69" s="1581"/>
      <c r="P69" s="1581"/>
      <c r="Q69" s="1581"/>
      <c r="R69" s="1611"/>
      <c r="S69" s="1611"/>
      <c r="T69" s="1611"/>
      <c r="U69" s="1580">
        <f>120*297/20</f>
        <v>1782</v>
      </c>
    </row>
    <row r="70" spans="1:26" hidden="1">
      <c r="A70" s="1609">
        <v>285</v>
      </c>
      <c r="B70" s="1618" t="s">
        <v>1558</v>
      </c>
      <c r="C70" s="1579" t="s">
        <v>1559</v>
      </c>
      <c r="D70" s="1618" t="s">
        <v>1022</v>
      </c>
      <c r="E70" s="1581"/>
      <c r="F70" s="1581"/>
      <c r="G70" s="1581"/>
      <c r="H70" s="1581"/>
      <c r="I70" s="1609"/>
      <c r="J70" s="1609"/>
      <c r="K70" s="1581"/>
      <c r="L70" s="1622"/>
      <c r="M70" s="1622"/>
      <c r="N70" s="1581"/>
      <c r="O70" s="1581"/>
      <c r="P70" s="1581"/>
      <c r="Q70" s="1581"/>
      <c r="R70" s="1611"/>
      <c r="S70" s="1611"/>
      <c r="T70" s="1611"/>
    </row>
    <row r="71" spans="1:26" hidden="1">
      <c r="A71" s="1609">
        <v>179</v>
      </c>
      <c r="B71" s="1618" t="s">
        <v>1562</v>
      </c>
      <c r="C71" s="1579" t="s">
        <v>1563</v>
      </c>
      <c r="D71" s="1618" t="s">
        <v>1564</v>
      </c>
      <c r="E71" s="1581"/>
      <c r="F71" s="1581"/>
      <c r="G71" s="1581"/>
      <c r="H71" s="1581"/>
      <c r="I71" s="1609"/>
      <c r="J71" s="1609"/>
      <c r="K71" s="1581"/>
      <c r="L71" s="1622"/>
      <c r="M71" s="1622"/>
      <c r="N71" s="1581"/>
      <c r="O71" s="1581"/>
      <c r="P71" s="1581"/>
      <c r="Q71" s="1581"/>
      <c r="R71" s="1611"/>
      <c r="S71" s="1611"/>
      <c r="T71" s="1611"/>
      <c r="U71" s="1580">
        <f>2*2*36</f>
        <v>144</v>
      </c>
    </row>
    <row r="72" spans="1:26" ht="0.75" hidden="1" customHeight="1">
      <c r="A72" s="1609"/>
      <c r="B72" s="1618"/>
      <c r="D72" s="1618" t="s">
        <v>1565</v>
      </c>
      <c r="E72" s="1581"/>
      <c r="F72" s="1581"/>
      <c r="G72" s="1581"/>
      <c r="H72" s="1581"/>
      <c r="I72" s="1609"/>
      <c r="J72" s="1609"/>
      <c r="K72" s="1581"/>
      <c r="L72" s="1622"/>
      <c r="M72" s="1622"/>
      <c r="N72" s="1581"/>
      <c r="O72" s="1581"/>
      <c r="P72" s="1581"/>
      <c r="Q72" s="1581"/>
      <c r="R72" s="1611"/>
      <c r="S72" s="1611"/>
      <c r="T72" s="1611"/>
    </row>
    <row r="73" spans="1:26" ht="25.5" hidden="1">
      <c r="A73" s="1609">
        <v>267</v>
      </c>
      <c r="B73" s="1618" t="s">
        <v>1568</v>
      </c>
      <c r="C73" s="1579" t="s">
        <v>1570</v>
      </c>
      <c r="D73" s="1610" t="s">
        <v>1564</v>
      </c>
      <c r="E73" s="1581"/>
      <c r="F73" s="1581"/>
      <c r="G73" s="1581"/>
      <c r="H73" s="1581"/>
      <c r="I73" s="1609"/>
      <c r="J73" s="1609"/>
      <c r="K73" s="1581"/>
      <c r="L73" s="1610"/>
      <c r="M73" s="1610"/>
      <c r="N73" s="1581"/>
      <c r="O73" s="1581"/>
      <c r="P73" s="1581"/>
      <c r="Q73" s="1581"/>
      <c r="R73" s="1611"/>
      <c r="S73" s="1611"/>
      <c r="T73" s="1611"/>
      <c r="U73" s="1580">
        <f>46*48</f>
        <v>2208</v>
      </c>
    </row>
    <row r="74" spans="1:26" hidden="1">
      <c r="A74" s="1581"/>
      <c r="B74" s="1056" t="s">
        <v>1571</v>
      </c>
      <c r="C74" s="917" t="s">
        <v>1572</v>
      </c>
      <c r="D74" s="1609" t="s">
        <v>1022</v>
      </c>
      <c r="E74" s="1581"/>
      <c r="F74" s="1609"/>
      <c r="G74" s="1609"/>
      <c r="H74" s="1609"/>
      <c r="I74" s="1609"/>
      <c r="J74" s="1609"/>
      <c r="K74" s="1609"/>
      <c r="L74" s="1581"/>
      <c r="M74" s="1581"/>
      <c r="N74" s="1609"/>
      <c r="O74" s="1609"/>
      <c r="P74" s="1581"/>
      <c r="Q74" s="1610"/>
      <c r="R74" s="1611"/>
      <c r="S74" s="1611"/>
      <c r="T74" s="1611"/>
    </row>
    <row r="75" spans="1:26" hidden="1">
      <c r="A75" s="1609">
        <v>291</v>
      </c>
      <c r="B75" s="1618" t="s">
        <v>2423</v>
      </c>
      <c r="C75" s="1579" t="s">
        <v>3181</v>
      </c>
      <c r="D75" s="1618" t="s">
        <v>1022</v>
      </c>
      <c r="E75" s="1581"/>
      <c r="F75" s="1581"/>
      <c r="G75" s="1581"/>
      <c r="H75" s="1581"/>
      <c r="I75" s="1609"/>
      <c r="J75" s="1609"/>
      <c r="K75" s="1581"/>
      <c r="L75" s="1622"/>
      <c r="M75" s="1622"/>
      <c r="N75" s="1581"/>
      <c r="O75" s="1581"/>
      <c r="P75" s="1581"/>
      <c r="Q75" s="1581"/>
      <c r="R75" s="1611"/>
      <c r="S75" s="1611"/>
      <c r="T75" s="1611"/>
    </row>
    <row r="76" spans="1:26" hidden="1">
      <c r="A76" s="1609">
        <v>292</v>
      </c>
      <c r="B76" s="1653" t="s">
        <v>3182</v>
      </c>
      <c r="C76" s="1647" t="s">
        <v>1582</v>
      </c>
      <c r="D76" s="1618" t="s">
        <v>1022</v>
      </c>
      <c r="E76" s="1581"/>
      <c r="F76" s="1581"/>
      <c r="G76" s="1581"/>
      <c r="H76" s="1581"/>
      <c r="I76" s="1609"/>
      <c r="J76" s="1609"/>
      <c r="K76" s="1581"/>
      <c r="L76" s="1622"/>
      <c r="M76" s="1622"/>
      <c r="N76" s="1581"/>
      <c r="O76" s="1581"/>
      <c r="P76" s="1581"/>
      <c r="Q76" s="1581"/>
      <c r="R76" s="1611"/>
      <c r="S76" s="1611"/>
      <c r="T76" s="1611"/>
    </row>
    <row r="77" spans="1:26" ht="25.5" hidden="1">
      <c r="A77" s="1609">
        <v>293</v>
      </c>
      <c r="B77" s="1618" t="s">
        <v>1583</v>
      </c>
      <c r="C77" s="1579" t="s">
        <v>1584</v>
      </c>
      <c r="D77" s="1618" t="s">
        <v>1022</v>
      </c>
      <c r="E77" s="1581"/>
      <c r="F77" s="1581"/>
      <c r="G77" s="1581"/>
      <c r="H77" s="1581"/>
      <c r="I77" s="1609"/>
      <c r="J77" s="1609"/>
      <c r="K77" s="1581"/>
      <c r="L77" s="1622"/>
      <c r="M77" s="1622"/>
      <c r="N77" s="1581"/>
      <c r="O77" s="1581"/>
      <c r="P77" s="1581"/>
      <c r="Q77" s="1581"/>
      <c r="R77" s="1611"/>
      <c r="S77" s="1611"/>
      <c r="T77" s="1611"/>
      <c r="W77" s="357" t="s">
        <v>3183</v>
      </c>
      <c r="X77" s="357" t="s">
        <v>3184</v>
      </c>
      <c r="Y77" s="1580" t="s">
        <v>3185</v>
      </c>
      <c r="Z77" s="357" t="s">
        <v>3186</v>
      </c>
    </row>
    <row r="78" spans="1:26" hidden="1">
      <c r="A78" s="1609">
        <v>177</v>
      </c>
      <c r="B78" s="1618" t="s">
        <v>1588</v>
      </c>
      <c r="C78" s="1579" t="s">
        <v>1589</v>
      </c>
      <c r="D78" s="1622" t="s">
        <v>1590</v>
      </c>
      <c r="E78" s="1581"/>
      <c r="F78" s="1581"/>
      <c r="G78" s="1581"/>
      <c r="H78" s="1581"/>
      <c r="I78" s="1609"/>
      <c r="J78" s="1609"/>
      <c r="K78" s="1581"/>
      <c r="L78" s="1618"/>
      <c r="M78" s="1618"/>
      <c r="N78" s="1581"/>
      <c r="O78" s="1581"/>
      <c r="P78" s="1581"/>
      <c r="Q78" s="1581"/>
      <c r="R78" s="1611"/>
      <c r="S78" s="1611"/>
      <c r="T78" s="1611"/>
      <c r="U78" s="1578" t="s">
        <v>2230</v>
      </c>
      <c r="W78" s="1580">
        <f>12100/500*0.6</f>
        <v>14.52</v>
      </c>
      <c r="X78" s="1645">
        <f>W78*8</f>
        <v>116.16</v>
      </c>
      <c r="Y78" s="1580">
        <f>22739/500*0.6</f>
        <v>27.286799999999999</v>
      </c>
      <c r="Z78" s="1645">
        <f>Y78*5</f>
        <v>136.434</v>
      </c>
    </row>
    <row r="79" spans="1:26" hidden="1">
      <c r="A79" s="1609">
        <v>277</v>
      </c>
      <c r="B79" s="1618" t="s">
        <v>1600</v>
      </c>
      <c r="C79" s="1579" t="s">
        <v>1601</v>
      </c>
      <c r="D79" s="1618" t="s">
        <v>1022</v>
      </c>
      <c r="E79" s="1581"/>
      <c r="F79" s="1581"/>
      <c r="G79" s="1581"/>
      <c r="H79" s="1581"/>
      <c r="I79" s="1609"/>
      <c r="J79" s="1609"/>
      <c r="K79" s="1581"/>
      <c r="L79" s="1622"/>
      <c r="M79" s="1622"/>
      <c r="N79" s="1581"/>
      <c r="O79" s="1581"/>
      <c r="P79" s="1581"/>
      <c r="Q79" s="1581"/>
      <c r="R79" s="1611"/>
      <c r="S79" s="1611"/>
      <c r="T79" s="1611"/>
    </row>
    <row r="80" spans="1:26" hidden="1">
      <c r="A80" s="1609">
        <v>278</v>
      </c>
      <c r="B80" s="1618" t="s">
        <v>1600</v>
      </c>
      <c r="C80" s="1579" t="s">
        <v>1602</v>
      </c>
      <c r="D80" s="1618" t="s">
        <v>1022</v>
      </c>
      <c r="E80" s="1581"/>
      <c r="F80" s="1581"/>
      <c r="G80" s="1581"/>
      <c r="H80" s="1581"/>
      <c r="I80" s="1609"/>
      <c r="J80" s="1609"/>
      <c r="K80" s="1581"/>
      <c r="L80" s="1622"/>
      <c r="M80" s="1622"/>
      <c r="N80" s="1581"/>
      <c r="O80" s="1581"/>
      <c r="P80" s="1581"/>
      <c r="Q80" s="1581"/>
      <c r="R80" s="1611"/>
      <c r="S80" s="1611"/>
      <c r="T80" s="1611"/>
    </row>
    <row r="81" spans="1:21" hidden="1">
      <c r="A81" s="1609">
        <v>268</v>
      </c>
      <c r="B81" s="1618" t="s">
        <v>1628</v>
      </c>
      <c r="C81" s="1579" t="s">
        <v>1629</v>
      </c>
      <c r="D81" s="1618" t="s">
        <v>1022</v>
      </c>
      <c r="E81" s="1581"/>
      <c r="F81" s="1581"/>
      <c r="G81" s="1581"/>
      <c r="H81" s="1581"/>
      <c r="I81" s="1609"/>
      <c r="J81" s="1609"/>
      <c r="K81" s="1581"/>
      <c r="L81" s="1622"/>
      <c r="M81" s="1622"/>
      <c r="N81" s="1581"/>
      <c r="O81" s="1581"/>
      <c r="P81" s="1581"/>
      <c r="Q81" s="1581"/>
      <c r="R81" s="1611"/>
      <c r="S81" s="1611"/>
      <c r="T81" s="1611"/>
    </row>
    <row r="82" spans="1:21" hidden="1">
      <c r="A82" s="1609">
        <v>269</v>
      </c>
      <c r="B82" s="1618" t="s">
        <v>1630</v>
      </c>
      <c r="C82" s="1579" t="s">
        <v>1631</v>
      </c>
      <c r="D82" s="1618" t="s">
        <v>1022</v>
      </c>
      <c r="E82" s="1581"/>
      <c r="F82" s="1581"/>
      <c r="G82" s="1581"/>
      <c r="H82" s="1581"/>
      <c r="I82" s="1609"/>
      <c r="J82" s="1609"/>
      <c r="K82" s="1581"/>
      <c r="L82" s="1622"/>
      <c r="M82" s="1622"/>
      <c r="N82" s="1581"/>
      <c r="O82" s="1581"/>
      <c r="P82" s="1581"/>
      <c r="Q82" s="1581"/>
      <c r="R82" s="1611"/>
      <c r="S82" s="1611"/>
      <c r="T82" s="1611"/>
    </row>
    <row r="83" spans="1:21" ht="25.5" hidden="1">
      <c r="A83" s="1609">
        <v>284</v>
      </c>
      <c r="B83" s="1618" t="s">
        <v>1638</v>
      </c>
      <c r="C83" s="1579" t="s">
        <v>1639</v>
      </c>
      <c r="D83" s="1618" t="s">
        <v>1022</v>
      </c>
      <c r="E83" s="1581"/>
      <c r="F83" s="1581"/>
      <c r="G83" s="1581"/>
      <c r="H83" s="1581"/>
      <c r="I83" s="1609"/>
      <c r="J83" s="1609"/>
      <c r="K83" s="1581"/>
      <c r="L83" s="1622"/>
      <c r="M83" s="1622"/>
      <c r="N83" s="1581"/>
      <c r="O83" s="1581"/>
      <c r="P83" s="1581"/>
      <c r="Q83" s="1581"/>
      <c r="R83" s="1611"/>
      <c r="S83" s="1611"/>
      <c r="T83" s="1611"/>
    </row>
    <row r="84" spans="1:21" hidden="1">
      <c r="A84" s="1609">
        <v>273</v>
      </c>
      <c r="B84" s="1618" t="s">
        <v>1698</v>
      </c>
      <c r="C84" s="1579" t="s">
        <v>1699</v>
      </c>
      <c r="D84" s="1618" t="s">
        <v>1022</v>
      </c>
      <c r="E84" s="1581"/>
      <c r="F84" s="1581"/>
      <c r="G84" s="1581"/>
      <c r="H84" s="1581"/>
      <c r="I84" s="1609"/>
      <c r="J84" s="1609"/>
      <c r="K84" s="1581"/>
      <c r="L84" s="1622"/>
      <c r="M84" s="1622"/>
      <c r="N84" s="1581"/>
      <c r="O84" s="1581"/>
      <c r="P84" s="1581"/>
      <c r="Q84" s="1581"/>
      <c r="R84" s="1611"/>
      <c r="S84" s="1611"/>
      <c r="T84" s="1611"/>
    </row>
    <row r="85" spans="1:21" hidden="1">
      <c r="A85" s="1609">
        <v>272</v>
      </c>
      <c r="B85" s="1618" t="s">
        <v>1700</v>
      </c>
      <c r="C85" s="1579" t="s">
        <v>1701</v>
      </c>
      <c r="D85" s="1618" t="s">
        <v>1022</v>
      </c>
      <c r="E85" s="1581"/>
      <c r="F85" s="1581"/>
      <c r="G85" s="1581"/>
      <c r="H85" s="1581"/>
      <c r="I85" s="1609"/>
      <c r="J85" s="1609"/>
      <c r="K85" s="1581"/>
      <c r="L85" s="1622"/>
      <c r="M85" s="1622"/>
      <c r="N85" s="1581"/>
      <c r="O85" s="1581"/>
      <c r="P85" s="1581"/>
      <c r="Q85" s="1581"/>
      <c r="R85" s="1611"/>
      <c r="S85" s="1611"/>
      <c r="T85" s="1611"/>
    </row>
    <row r="86" spans="1:21" ht="38.25" hidden="1">
      <c r="A86" s="1609"/>
      <c r="B86" s="1056" t="s">
        <v>1691</v>
      </c>
      <c r="C86" s="917" t="s">
        <v>1692</v>
      </c>
      <c r="D86" s="1618" t="s">
        <v>1022</v>
      </c>
      <c r="E86" s="1581"/>
      <c r="F86" s="1581"/>
      <c r="G86" s="1581"/>
      <c r="H86" s="1581"/>
      <c r="I86" s="1609"/>
      <c r="J86" s="1609"/>
      <c r="K86" s="1581"/>
      <c r="L86" s="1622"/>
      <c r="M86" s="1622"/>
      <c r="N86" s="1581"/>
      <c r="O86" s="1581"/>
      <c r="P86" s="1581"/>
      <c r="Q86" s="1581"/>
      <c r="R86" s="1611"/>
      <c r="S86" s="1611"/>
      <c r="T86" s="1611"/>
    </row>
    <row r="87" spans="1:21" ht="25.5" hidden="1">
      <c r="A87" s="1581">
        <v>313</v>
      </c>
      <c r="B87" s="1579" t="s">
        <v>1712</v>
      </c>
      <c r="C87" s="1579" t="s">
        <v>1713</v>
      </c>
      <c r="D87" s="1625" t="s">
        <v>1268</v>
      </c>
      <c r="E87" s="1581"/>
      <c r="F87" s="1581"/>
      <c r="G87" s="1581"/>
      <c r="H87" s="1581"/>
      <c r="I87" s="1609"/>
      <c r="J87" s="1609"/>
      <c r="K87" s="1581"/>
      <c r="L87" s="1625"/>
      <c r="M87" s="1625"/>
      <c r="N87" s="1581"/>
      <c r="O87" s="1581"/>
      <c r="P87" s="1581"/>
      <c r="Q87" s="1581"/>
      <c r="R87" s="1611"/>
      <c r="S87" s="1611"/>
      <c r="T87" s="1611"/>
    </row>
    <row r="88" spans="1:21" hidden="1">
      <c r="A88" s="1581"/>
      <c r="B88" s="1579" t="s">
        <v>1712</v>
      </c>
      <c r="C88" s="1579" t="s">
        <v>1715</v>
      </c>
      <c r="D88" s="1625" t="s">
        <v>1290</v>
      </c>
      <c r="E88" s="1581"/>
      <c r="F88" s="1581"/>
      <c r="G88" s="1581"/>
      <c r="H88" s="1581"/>
      <c r="I88" s="1609"/>
      <c r="J88" s="1609"/>
      <c r="K88" s="1581"/>
      <c r="L88" s="1625"/>
      <c r="M88" s="1625"/>
      <c r="N88" s="1581"/>
      <c r="O88" s="1581"/>
      <c r="P88" s="1581"/>
      <c r="Q88" s="1581"/>
      <c r="R88" s="1611"/>
      <c r="S88" s="1611"/>
      <c r="T88" s="1611"/>
      <c r="U88" s="1580" t="s">
        <v>1716</v>
      </c>
    </row>
    <row r="89" spans="1:21" ht="38.25" hidden="1">
      <c r="A89" s="1609"/>
      <c r="B89" s="1618" t="s">
        <v>1732</v>
      </c>
      <c r="C89" s="1579" t="s">
        <v>1734</v>
      </c>
      <c r="D89" s="1618"/>
      <c r="E89" s="1581"/>
      <c r="F89" s="1581"/>
      <c r="G89" s="1581"/>
      <c r="H89" s="1581"/>
      <c r="I89" s="1609"/>
      <c r="J89" s="1609"/>
      <c r="K89" s="1581"/>
      <c r="L89" s="1620"/>
      <c r="M89" s="1620"/>
      <c r="N89" s="1581"/>
      <c r="O89" s="1581"/>
      <c r="P89" s="1581"/>
      <c r="Q89" s="1581"/>
      <c r="R89" s="1611"/>
      <c r="S89" s="1611"/>
      <c r="T89" s="1611"/>
    </row>
    <row r="90" spans="1:21" hidden="1">
      <c r="A90" s="1581">
        <v>321</v>
      </c>
      <c r="B90" s="1056" t="s">
        <v>1761</v>
      </c>
      <c r="C90" s="1579" t="s">
        <v>1762</v>
      </c>
      <c r="D90" s="1625" t="s">
        <v>1022</v>
      </c>
      <c r="E90" s="1581"/>
      <c r="F90" s="1581"/>
      <c r="G90" s="1581"/>
      <c r="H90" s="1581"/>
      <c r="I90" s="1609"/>
      <c r="J90" s="1609"/>
      <c r="K90" s="1581"/>
      <c r="L90" s="1625"/>
      <c r="M90" s="1625"/>
      <c r="N90" s="1581"/>
      <c r="O90" s="1581"/>
      <c r="P90" s="1581"/>
      <c r="Q90" s="1056"/>
      <c r="R90" s="1611"/>
      <c r="S90" s="1611"/>
      <c r="T90" s="1611"/>
    </row>
    <row r="91" spans="1:21" hidden="1">
      <c r="A91" s="1581">
        <v>323</v>
      </c>
      <c r="B91" s="1056" t="s">
        <v>1761</v>
      </c>
      <c r="C91" s="1579" t="s">
        <v>1764</v>
      </c>
      <c r="D91" s="1625" t="s">
        <v>1022</v>
      </c>
      <c r="E91" s="1581"/>
      <c r="F91" s="1581"/>
      <c r="G91" s="1581"/>
      <c r="H91" s="1581"/>
      <c r="I91" s="1609"/>
      <c r="J91" s="1609"/>
      <c r="K91" s="1581"/>
      <c r="L91" s="1625"/>
      <c r="M91" s="1625"/>
      <c r="N91" s="1581"/>
      <c r="O91" s="1581"/>
      <c r="P91" s="1581"/>
      <c r="Q91" s="1056"/>
      <c r="R91" s="1611"/>
      <c r="S91" s="1611"/>
      <c r="T91" s="1611"/>
    </row>
    <row r="92" spans="1:21" hidden="1">
      <c r="A92" s="1581"/>
      <c r="B92" s="1630" t="s">
        <v>3187</v>
      </c>
      <c r="C92" s="1579" t="s">
        <v>3188</v>
      </c>
      <c r="D92" s="1625" t="s">
        <v>1022</v>
      </c>
      <c r="E92" s="1581"/>
      <c r="F92" s="1581"/>
      <c r="G92" s="1581"/>
      <c r="H92" s="1581"/>
      <c r="I92" s="1609"/>
      <c r="J92" s="1609"/>
      <c r="K92" s="1581"/>
      <c r="L92" s="1625"/>
      <c r="M92" s="1625"/>
      <c r="N92" s="1581"/>
      <c r="O92" s="1581"/>
      <c r="P92" s="1581"/>
      <c r="Q92" s="1056"/>
      <c r="R92" s="1611"/>
      <c r="S92" s="1611"/>
      <c r="T92" s="1611"/>
    </row>
    <row r="93" spans="1:21" hidden="1">
      <c r="A93" s="1609">
        <v>276</v>
      </c>
      <c r="B93" s="1618" t="s">
        <v>2213</v>
      </c>
      <c r="C93" s="1621" t="s">
        <v>2214</v>
      </c>
      <c r="D93" s="1618" t="s">
        <v>1022</v>
      </c>
      <c r="E93" s="1581"/>
      <c r="F93" s="1581"/>
      <c r="G93" s="1581"/>
      <c r="H93" s="1581"/>
      <c r="I93" s="1609"/>
      <c r="J93" s="1609"/>
      <c r="K93" s="1581"/>
      <c r="L93" s="1622"/>
      <c r="M93" s="1622"/>
      <c r="N93" s="1581"/>
      <c r="O93" s="1581"/>
      <c r="P93" s="1581"/>
      <c r="Q93" s="1581"/>
      <c r="R93" s="1611"/>
      <c r="S93" s="1611"/>
      <c r="T93" s="1611"/>
    </row>
    <row r="94" spans="1:21" hidden="1">
      <c r="A94" s="1581"/>
      <c r="B94" s="1630" t="s">
        <v>1551</v>
      </c>
      <c r="C94" s="1579" t="s">
        <v>2571</v>
      </c>
      <c r="D94" s="1625" t="s">
        <v>1022</v>
      </c>
      <c r="E94" s="1581"/>
      <c r="F94" s="1581"/>
      <c r="G94" s="1581"/>
      <c r="H94" s="1581"/>
      <c r="I94" s="1609"/>
      <c r="J94" s="1609"/>
      <c r="K94" s="1581"/>
      <c r="L94" s="1625"/>
      <c r="M94" s="1625"/>
      <c r="N94" s="1581"/>
      <c r="O94" s="1581"/>
      <c r="P94" s="1581"/>
      <c r="Q94" s="1610"/>
      <c r="R94" s="1611"/>
      <c r="S94" s="1611"/>
      <c r="T94" s="1611"/>
    </row>
    <row r="95" spans="1:21">
      <c r="A95" s="1581"/>
      <c r="B95" s="1602" t="s">
        <v>1766</v>
      </c>
      <c r="C95" s="1579"/>
      <c r="D95" s="1625"/>
      <c r="E95" s="1581"/>
      <c r="F95" s="1581"/>
      <c r="G95" s="1581"/>
      <c r="H95" s="1581"/>
      <c r="I95" s="1609"/>
      <c r="J95" s="1609"/>
      <c r="K95" s="1581"/>
      <c r="L95" s="1625"/>
      <c r="M95" s="1625"/>
      <c r="N95" s="1581"/>
      <c r="O95" s="1581"/>
      <c r="P95" s="1581"/>
      <c r="Q95" s="1581"/>
      <c r="R95" s="1617">
        <f>SUM(R98:R107)</f>
        <v>4948429</v>
      </c>
      <c r="S95" s="1617">
        <f>SUM(S98:S107)</f>
        <v>140713.62085308056</v>
      </c>
      <c r="T95" s="1617">
        <f>SUM(T98:T107)</f>
        <v>4807715.3791469187</v>
      </c>
    </row>
    <row r="96" spans="1:21" hidden="1">
      <c r="A96" s="1581">
        <v>326</v>
      </c>
      <c r="B96" s="1062" t="s">
        <v>1769</v>
      </c>
      <c r="C96" s="1579" t="s">
        <v>1770</v>
      </c>
      <c r="D96" s="1625" t="s">
        <v>1022</v>
      </c>
      <c r="E96" s="1581"/>
      <c r="F96" s="1581"/>
      <c r="G96" s="1581"/>
      <c r="H96" s="1581"/>
      <c r="I96" s="1609">
        <v>6</v>
      </c>
      <c r="J96" s="1609">
        <v>205</v>
      </c>
      <c r="K96" s="1581"/>
      <c r="L96" s="1625"/>
      <c r="M96" s="1625"/>
      <c r="N96" s="1581"/>
      <c r="O96" s="1581"/>
      <c r="P96" s="1581">
        <f t="shared" ref="P96:P107" si="5">L96-O96</f>
        <v>0</v>
      </c>
      <c r="Q96" s="1581"/>
      <c r="R96" s="1611">
        <f t="shared" ref="R96:R107" si="6">P96*Q96</f>
        <v>0</v>
      </c>
      <c r="S96" s="1611">
        <f t="shared" ref="S96:S107" si="7">R96*(I96/(I96+J96+K96))</f>
        <v>0</v>
      </c>
      <c r="T96" s="1611">
        <f t="shared" ref="T96:T107" si="8">R96-S96</f>
        <v>0</v>
      </c>
    </row>
    <row r="97" spans="1:22" hidden="1">
      <c r="A97" s="1581">
        <v>333</v>
      </c>
      <c r="B97" s="1062" t="s">
        <v>1771</v>
      </c>
      <c r="C97" s="1579" t="s">
        <v>1772</v>
      </c>
      <c r="D97" s="1625" t="s">
        <v>1022</v>
      </c>
      <c r="E97" s="1581"/>
      <c r="F97" s="1581"/>
      <c r="G97" s="1581"/>
      <c r="H97" s="1581"/>
      <c r="I97" s="1609">
        <v>6</v>
      </c>
      <c r="J97" s="1609">
        <v>205</v>
      </c>
      <c r="K97" s="1581"/>
      <c r="L97" s="1579"/>
      <c r="M97" s="1579"/>
      <c r="N97" s="1581"/>
      <c r="O97" s="1581"/>
      <c r="P97" s="1581">
        <f t="shared" si="5"/>
        <v>0</v>
      </c>
      <c r="Q97" s="1581"/>
      <c r="R97" s="1611">
        <f t="shared" si="6"/>
        <v>0</v>
      </c>
      <c r="S97" s="1611">
        <f t="shared" si="7"/>
        <v>0</v>
      </c>
      <c r="T97" s="1611">
        <f t="shared" si="8"/>
        <v>0</v>
      </c>
    </row>
    <row r="98" spans="1:22">
      <c r="A98" s="1581">
        <v>319</v>
      </c>
      <c r="B98" s="1056" t="s">
        <v>1773</v>
      </c>
      <c r="C98" s="1579"/>
      <c r="D98" s="1625" t="s">
        <v>1022</v>
      </c>
      <c r="E98" s="1581">
        <v>22379</v>
      </c>
      <c r="F98" s="1581"/>
      <c r="G98" s="1581"/>
      <c r="H98" s="1581"/>
      <c r="I98" s="1609">
        <v>6</v>
      </c>
      <c r="J98" s="1609">
        <v>205</v>
      </c>
      <c r="K98" s="1581"/>
      <c r="L98" s="1625">
        <v>65</v>
      </c>
      <c r="M98" s="1625"/>
      <c r="N98" s="1581"/>
      <c r="O98" s="1581"/>
      <c r="P98" s="1581">
        <f t="shared" si="5"/>
        <v>65</v>
      </c>
      <c r="Q98" s="1056">
        <f>8500*1.07</f>
        <v>9095</v>
      </c>
      <c r="R98" s="1611">
        <f t="shared" si="6"/>
        <v>591175</v>
      </c>
      <c r="S98" s="1611">
        <f t="shared" si="7"/>
        <v>16810.663507109002</v>
      </c>
      <c r="T98" s="1611">
        <f t="shared" si="8"/>
        <v>574364.33649289096</v>
      </c>
    </row>
    <row r="99" spans="1:22" ht="114.75" hidden="1">
      <c r="A99" s="1581">
        <v>318</v>
      </c>
      <c r="B99" s="1056" t="s">
        <v>1774</v>
      </c>
      <c r="C99" s="1579" t="s">
        <v>1775</v>
      </c>
      <c r="D99" s="1625" t="s">
        <v>1022</v>
      </c>
      <c r="E99" s="1581">
        <v>22379</v>
      </c>
      <c r="F99" s="1581"/>
      <c r="G99" s="1581"/>
      <c r="H99" s="1581"/>
      <c r="I99" s="1609">
        <v>6</v>
      </c>
      <c r="J99" s="1609">
        <v>205</v>
      </c>
      <c r="K99" s="1581"/>
      <c r="L99" s="1625"/>
      <c r="M99" s="1625"/>
      <c r="N99" s="1581"/>
      <c r="O99" s="1581"/>
      <c r="P99" s="1581">
        <f t="shared" si="5"/>
        <v>0</v>
      </c>
      <c r="Q99" s="1056"/>
      <c r="R99" s="1611">
        <f t="shared" si="6"/>
        <v>0</v>
      </c>
      <c r="S99" s="1611">
        <f t="shared" si="7"/>
        <v>0</v>
      </c>
      <c r="T99" s="1611">
        <f t="shared" si="8"/>
        <v>0</v>
      </c>
    </row>
    <row r="100" spans="1:22" ht="140.25">
      <c r="A100" s="1581">
        <v>324</v>
      </c>
      <c r="B100" s="1056" t="s">
        <v>1776</v>
      </c>
      <c r="C100" s="1579" t="s">
        <v>1777</v>
      </c>
      <c r="D100" s="1625" t="s">
        <v>1022</v>
      </c>
      <c r="E100" s="1581">
        <v>22379</v>
      </c>
      <c r="F100" s="1581"/>
      <c r="G100" s="1581"/>
      <c r="H100" s="1581"/>
      <c r="I100" s="1609">
        <v>6</v>
      </c>
      <c r="J100" s="1609">
        <v>205</v>
      </c>
      <c r="K100" s="1581"/>
      <c r="L100" s="1625">
        <v>2</v>
      </c>
      <c r="M100" s="1625"/>
      <c r="N100" s="1581"/>
      <c r="O100" s="1581"/>
      <c r="P100" s="1581">
        <f t="shared" si="5"/>
        <v>2</v>
      </c>
      <c r="Q100" s="1056">
        <f>27400*1.07</f>
        <v>29318</v>
      </c>
      <c r="R100" s="1611">
        <f t="shared" si="6"/>
        <v>58636</v>
      </c>
      <c r="S100" s="1611">
        <f t="shared" si="7"/>
        <v>1667.3744075829384</v>
      </c>
      <c r="T100" s="1611">
        <f t="shared" si="8"/>
        <v>56968.625592417062</v>
      </c>
    </row>
    <row r="101" spans="1:22">
      <c r="A101" s="1581">
        <v>317</v>
      </c>
      <c r="B101" s="1056" t="s">
        <v>1781</v>
      </c>
      <c r="C101" s="1579" t="s">
        <v>1782</v>
      </c>
      <c r="D101" s="1625" t="s">
        <v>1022</v>
      </c>
      <c r="E101" s="1581">
        <v>22379</v>
      </c>
      <c r="F101" s="1581"/>
      <c r="G101" s="1581"/>
      <c r="H101" s="1581"/>
      <c r="I101" s="1609">
        <v>6</v>
      </c>
      <c r="J101" s="1609">
        <v>205</v>
      </c>
      <c r="K101" s="1581"/>
      <c r="L101" s="1625">
        <v>1050</v>
      </c>
      <c r="M101" s="1625"/>
      <c r="N101" s="1581"/>
      <c r="O101" s="1581"/>
      <c r="P101" s="1581">
        <f t="shared" si="5"/>
        <v>1050</v>
      </c>
      <c r="Q101" s="1056">
        <f>3500*1.07</f>
        <v>3745</v>
      </c>
      <c r="R101" s="1611">
        <f t="shared" si="6"/>
        <v>3932250</v>
      </c>
      <c r="S101" s="1611">
        <f t="shared" si="7"/>
        <v>111817.5355450237</v>
      </c>
      <c r="T101" s="1611">
        <f t="shared" si="8"/>
        <v>3820432.4644549764</v>
      </c>
    </row>
    <row r="102" spans="1:22" hidden="1">
      <c r="A102" s="1581">
        <v>331</v>
      </c>
      <c r="B102" s="1062" t="s">
        <v>1785</v>
      </c>
      <c r="C102" s="1579" t="s">
        <v>1786</v>
      </c>
      <c r="D102" s="1625" t="s">
        <v>1022</v>
      </c>
      <c r="E102" s="1581"/>
      <c r="F102" s="1581"/>
      <c r="G102" s="1581"/>
      <c r="H102" s="1581"/>
      <c r="I102" s="1609">
        <v>6</v>
      </c>
      <c r="J102" s="1609">
        <v>205</v>
      </c>
      <c r="K102" s="1581"/>
      <c r="L102" s="1579"/>
      <c r="M102" s="1579"/>
      <c r="N102" s="1581"/>
      <c r="O102" s="1581"/>
      <c r="P102" s="1581"/>
      <c r="Q102" s="1581"/>
      <c r="R102" s="1611">
        <f t="shared" si="6"/>
        <v>0</v>
      </c>
      <c r="S102" s="1611">
        <f t="shared" si="7"/>
        <v>0</v>
      </c>
      <c r="T102" s="1611">
        <f t="shared" si="8"/>
        <v>0</v>
      </c>
    </row>
    <row r="103" spans="1:22" hidden="1">
      <c r="A103" s="1581">
        <v>332</v>
      </c>
      <c r="B103" s="1062" t="s">
        <v>1787</v>
      </c>
      <c r="C103" s="1579" t="s">
        <v>1788</v>
      </c>
      <c r="D103" s="1625" t="s">
        <v>1022</v>
      </c>
      <c r="E103" s="1581"/>
      <c r="F103" s="1581"/>
      <c r="G103" s="1581"/>
      <c r="H103" s="1581"/>
      <c r="I103" s="1609">
        <v>6</v>
      </c>
      <c r="J103" s="1609">
        <v>205</v>
      </c>
      <c r="K103" s="1581"/>
      <c r="L103" s="1579"/>
      <c r="M103" s="1579"/>
      <c r="N103" s="1581"/>
      <c r="O103" s="1581"/>
      <c r="P103" s="1581"/>
      <c r="Q103" s="1581"/>
      <c r="R103" s="1611">
        <f t="shared" si="6"/>
        <v>0</v>
      </c>
      <c r="S103" s="1611">
        <f t="shared" si="7"/>
        <v>0</v>
      </c>
      <c r="T103" s="1611">
        <f t="shared" si="8"/>
        <v>0</v>
      </c>
    </row>
    <row r="104" spans="1:22" ht="25.5">
      <c r="A104" s="1581">
        <v>320</v>
      </c>
      <c r="B104" s="1583" t="s">
        <v>1789</v>
      </c>
      <c r="C104" s="1579" t="s">
        <v>1790</v>
      </c>
      <c r="D104" s="1625" t="s">
        <v>1022</v>
      </c>
      <c r="E104" s="1581">
        <v>22379</v>
      </c>
      <c r="F104" s="1581"/>
      <c r="G104" s="1581"/>
      <c r="H104" s="1581"/>
      <c r="I104" s="1609">
        <v>6</v>
      </c>
      <c r="J104" s="1609">
        <v>205</v>
      </c>
      <c r="K104" s="1581"/>
      <c r="L104" s="1625">
        <v>2</v>
      </c>
      <c r="M104" s="1625">
        <v>4</v>
      </c>
      <c r="N104" s="1581"/>
      <c r="O104" s="1581"/>
      <c r="P104" s="1581">
        <f t="shared" si="5"/>
        <v>2</v>
      </c>
      <c r="Q104" s="1056">
        <f>20000*1.07</f>
        <v>21400</v>
      </c>
      <c r="R104" s="1611">
        <f t="shared" si="6"/>
        <v>42800</v>
      </c>
      <c r="S104" s="1611">
        <f t="shared" si="7"/>
        <v>1217.0616113744074</v>
      </c>
      <c r="T104" s="1611">
        <f t="shared" si="8"/>
        <v>41582.938388625589</v>
      </c>
      <c r="U104" s="357" t="s">
        <v>3189</v>
      </c>
      <c r="V104" s="1580">
        <f>(2+2)*1</f>
        <v>4</v>
      </c>
    </row>
    <row r="105" spans="1:22" ht="38.25">
      <c r="A105" s="1581"/>
      <c r="B105" s="917" t="s">
        <v>1830</v>
      </c>
      <c r="C105" s="917" t="s">
        <v>1831</v>
      </c>
      <c r="D105" s="1625" t="s">
        <v>1022</v>
      </c>
      <c r="E105" s="1581">
        <v>22379</v>
      </c>
      <c r="F105" s="1581"/>
      <c r="G105" s="1581"/>
      <c r="H105" s="1581"/>
      <c r="I105" s="1609">
        <v>6</v>
      </c>
      <c r="J105" s="1609">
        <v>205</v>
      </c>
      <c r="K105" s="1581"/>
      <c r="L105" s="1579">
        <v>48</v>
      </c>
      <c r="M105" s="1579">
        <v>48</v>
      </c>
      <c r="N105" s="1581"/>
      <c r="O105" s="1581"/>
      <c r="P105" s="1581">
        <f t="shared" si="5"/>
        <v>48</v>
      </c>
      <c r="Q105" s="1535">
        <f>4500*1.07</f>
        <v>4815</v>
      </c>
      <c r="R105" s="1611">
        <f t="shared" si="6"/>
        <v>231120</v>
      </c>
      <c r="S105" s="1611">
        <f t="shared" si="7"/>
        <v>6572.1327014218004</v>
      </c>
      <c r="T105" s="1611">
        <f t="shared" si="8"/>
        <v>224547.8672985782</v>
      </c>
      <c r="U105" s="357" t="s">
        <v>2237</v>
      </c>
      <c r="V105" s="1580">
        <f>(25+21)*3</f>
        <v>138</v>
      </c>
    </row>
    <row r="106" spans="1:22" ht="25.5">
      <c r="A106" s="1581"/>
      <c r="B106" s="917" t="s">
        <v>1832</v>
      </c>
      <c r="C106" s="917" t="s">
        <v>1833</v>
      </c>
      <c r="D106" s="1625" t="s">
        <v>1022</v>
      </c>
      <c r="E106" s="1581">
        <v>22379</v>
      </c>
      <c r="F106" s="1581"/>
      <c r="G106" s="1581"/>
      <c r="H106" s="1581"/>
      <c r="I106" s="1609">
        <v>6</v>
      </c>
      <c r="J106" s="1609">
        <v>205</v>
      </c>
      <c r="K106" s="1581"/>
      <c r="L106" s="1579">
        <v>48</v>
      </c>
      <c r="M106" s="1579">
        <v>48</v>
      </c>
      <c r="N106" s="1581"/>
      <c r="O106" s="1581"/>
      <c r="P106" s="1581">
        <f t="shared" si="5"/>
        <v>48</v>
      </c>
      <c r="Q106" s="1535">
        <f>900*1.07</f>
        <v>963</v>
      </c>
      <c r="R106" s="1611">
        <f t="shared" si="6"/>
        <v>46224</v>
      </c>
      <c r="S106" s="1611">
        <f t="shared" si="7"/>
        <v>1314.42654028436</v>
      </c>
      <c r="T106" s="1611">
        <f t="shared" si="8"/>
        <v>44909.573459715641</v>
      </c>
      <c r="U106" s="357" t="s">
        <v>2237</v>
      </c>
      <c r="V106" s="1580">
        <f>(25+21)*3</f>
        <v>138</v>
      </c>
    </row>
    <row r="107" spans="1:22" ht="25.5">
      <c r="A107" s="1581"/>
      <c r="B107" s="917" t="s">
        <v>1834</v>
      </c>
      <c r="C107" s="917" t="s">
        <v>1835</v>
      </c>
      <c r="D107" s="1625" t="s">
        <v>1022</v>
      </c>
      <c r="E107" s="1581">
        <v>22379</v>
      </c>
      <c r="F107" s="1581"/>
      <c r="G107" s="1581"/>
      <c r="H107" s="1581"/>
      <c r="I107" s="1609">
        <v>6</v>
      </c>
      <c r="J107" s="1609">
        <v>205</v>
      </c>
      <c r="K107" s="1581"/>
      <c r="L107" s="1579">
        <v>9</v>
      </c>
      <c r="M107" s="1579">
        <v>9</v>
      </c>
      <c r="N107" s="1581"/>
      <c r="O107" s="1581"/>
      <c r="P107" s="1581">
        <f t="shared" si="5"/>
        <v>9</v>
      </c>
      <c r="Q107" s="1535">
        <f>4800*1.07</f>
        <v>5136</v>
      </c>
      <c r="R107" s="1611">
        <f t="shared" si="6"/>
        <v>46224</v>
      </c>
      <c r="S107" s="1611">
        <f t="shared" si="7"/>
        <v>1314.42654028436</v>
      </c>
      <c r="T107" s="1611">
        <f t="shared" si="8"/>
        <v>44909.573459715641</v>
      </c>
      <c r="U107" s="357" t="s">
        <v>2238</v>
      </c>
      <c r="V107" s="1580">
        <f>(2+2+1+1+1+2)*1</f>
        <v>9</v>
      </c>
    </row>
    <row r="108" spans="1:22">
      <c r="A108" s="1636"/>
      <c r="B108" s="1654"/>
      <c r="D108" s="1638"/>
      <c r="F108" s="1636"/>
      <c r="G108" s="1636"/>
      <c r="H108" s="1636"/>
      <c r="I108" s="1636"/>
      <c r="J108" s="1636"/>
      <c r="K108" s="1636"/>
      <c r="L108" s="1638"/>
      <c r="M108" s="1638"/>
      <c r="N108" s="1636"/>
      <c r="O108" s="1636"/>
      <c r="Q108" s="1636"/>
      <c r="R108" s="1639"/>
      <c r="S108" s="1639"/>
      <c r="T108" s="1639"/>
    </row>
    <row r="109" spans="1:22">
      <c r="D109" s="120"/>
      <c r="E109" s="1644"/>
    </row>
    <row r="110" spans="1:22">
      <c r="B110" s="1714" t="s">
        <v>329</v>
      </c>
      <c r="D110" s="120"/>
      <c r="E110" s="1644"/>
      <c r="G110" s="1644" t="s">
        <v>448</v>
      </c>
    </row>
    <row r="111" spans="1:22">
      <c r="B111" s="1638"/>
      <c r="C111" s="924"/>
      <c r="D111" s="120"/>
      <c r="E111" s="1641"/>
    </row>
    <row r="112" spans="1:22">
      <c r="B112" s="524" t="s">
        <v>330</v>
      </c>
      <c r="C112" s="120"/>
      <c r="D112" s="120"/>
      <c r="E112" s="1641"/>
      <c r="G112" s="1644" t="s">
        <v>369</v>
      </c>
    </row>
    <row r="113" spans="1:7">
      <c r="B113" s="524"/>
      <c r="C113" s="120"/>
      <c r="D113" s="120"/>
      <c r="E113" s="1641"/>
      <c r="G113" s="1650"/>
    </row>
    <row r="114" spans="1:7">
      <c r="B114" s="524" t="s">
        <v>547</v>
      </c>
      <c r="C114" s="524"/>
      <c r="D114" s="1650"/>
      <c r="E114" s="1650"/>
    </row>
    <row r="115" spans="1:7">
      <c r="B115" s="524" t="s">
        <v>548</v>
      </c>
      <c r="C115" s="524"/>
      <c r="G115" s="1641" t="s">
        <v>374</v>
      </c>
    </row>
    <row r="116" spans="1:7">
      <c r="A116" s="1580">
        <v>1</v>
      </c>
      <c r="B116" s="524"/>
      <c r="C116" s="524"/>
    </row>
    <row r="117" spans="1:7">
      <c r="A117" s="1580">
        <v>2</v>
      </c>
      <c r="B117" s="524" t="s">
        <v>375</v>
      </c>
      <c r="C117" s="1650"/>
      <c r="G117" s="1641" t="s">
        <v>376</v>
      </c>
    </row>
  </sheetData>
  <sheetProtection formatColumns="0" insertRows="0" deleteRows="0"/>
  <mergeCells count="25">
    <mergeCell ref="S7:T7"/>
    <mergeCell ref="E12:E38"/>
    <mergeCell ref="AA7:AA10"/>
    <mergeCell ref="AB7:AB10"/>
    <mergeCell ref="AC7:AC10"/>
    <mergeCell ref="F7:G7"/>
    <mergeCell ref="H7:H8"/>
    <mergeCell ref="I7:K7"/>
    <mergeCell ref="L7:P7"/>
    <mergeCell ref="Q7:Q8"/>
    <mergeCell ref="R7:R8"/>
    <mergeCell ref="AF8:AF11"/>
    <mergeCell ref="U7:U10"/>
    <mergeCell ref="V7:V10"/>
    <mergeCell ref="W7:W10"/>
    <mergeCell ref="X7:X10"/>
    <mergeCell ref="Y7:Y10"/>
    <mergeCell ref="Z7:Z10"/>
    <mergeCell ref="AE8:AE11"/>
    <mergeCell ref="AD7:AD10"/>
    <mergeCell ref="A7:A8"/>
    <mergeCell ref="B7:B8"/>
    <mergeCell ref="C7:C8"/>
    <mergeCell ref="D7:D8"/>
    <mergeCell ref="E7:E8"/>
  </mergeCells>
  <pageMargins left="0" right="0" top="0" bottom="0" header="0" footer="0"/>
  <pageSetup paperSize="9" scale="48" fitToHeight="0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rgb="FF92D050"/>
    <pageSetUpPr fitToPage="1"/>
  </sheetPr>
  <dimension ref="A1:AS29"/>
  <sheetViews>
    <sheetView topLeftCell="D1" workbookViewId="0">
      <selection activeCell="AB9" sqref="AB9"/>
    </sheetView>
  </sheetViews>
  <sheetFormatPr defaultColWidth="9.140625" defaultRowHeight="12"/>
  <cols>
    <col min="1" max="1" width="5.5703125" style="1741" customWidth="1"/>
    <col min="2" max="2" width="26" style="1755" customWidth="1"/>
    <col min="3" max="3" width="38.85546875" style="1764" customWidth="1"/>
    <col min="4" max="4" width="8.28515625" style="1741" customWidth="1"/>
    <col min="5" max="5" width="10.42578125" style="1755" customWidth="1"/>
    <col min="6" max="6" width="6.140625" style="1755" customWidth="1"/>
    <col min="7" max="7" width="7.5703125" style="1755" customWidth="1"/>
    <col min="8" max="8" width="7.7109375" style="1755" customWidth="1"/>
    <col min="9" max="9" width="7.42578125" style="1755" customWidth="1"/>
    <col min="10" max="10" width="6.42578125" style="1755" customWidth="1"/>
    <col min="11" max="12" width="8.28515625" style="1755" bestFit="1" customWidth="1"/>
    <col min="13" max="13" width="7.28515625" style="1755" customWidth="1"/>
    <col min="14" max="14" width="8" style="1755" customWidth="1"/>
    <col min="15" max="15" width="9" style="1755" customWidth="1"/>
    <col min="16" max="16" width="10.42578125" style="1755" customWidth="1"/>
    <col min="17" max="17" width="10" style="1755" customWidth="1"/>
    <col min="18" max="18" width="11.7109375" style="1755" customWidth="1"/>
    <col min="19" max="19" width="7.28515625" style="1741" customWidth="1"/>
    <col min="20" max="20" width="12" style="1741" customWidth="1"/>
    <col min="21" max="21" width="9.140625" style="1755"/>
    <col min="22" max="22" width="10.42578125" style="1755" customWidth="1"/>
    <col min="23" max="23" width="11.7109375" style="1755" customWidth="1"/>
    <col min="24" max="24" width="9.140625" style="1755"/>
    <col min="25" max="25" width="11.7109375" style="1755" customWidth="1"/>
    <col min="26" max="27" width="9.140625" style="1755"/>
    <col min="28" max="28" width="11.7109375" style="1755" bestFit="1" customWidth="1"/>
    <col min="29" max="29" width="9.140625" style="1755"/>
    <col min="30" max="30" width="11.7109375" style="1755" bestFit="1" customWidth="1"/>
    <col min="31" max="16384" width="9.140625" style="1755"/>
  </cols>
  <sheetData>
    <row r="1" spans="1:45">
      <c r="S1" s="1741" t="s">
        <v>267</v>
      </c>
      <c r="T1" s="1740" t="s">
        <v>596</v>
      </c>
    </row>
    <row r="2" spans="1:45" s="1784" customFormat="1">
      <c r="A2" s="1783" t="s">
        <v>3196</v>
      </c>
      <c r="C2" s="1785"/>
      <c r="D2" s="1798"/>
      <c r="Q2" s="1797">
        <v>1.07</v>
      </c>
      <c r="S2" s="1798"/>
      <c r="T2" s="1798"/>
    </row>
    <row r="3" spans="1:45">
      <c r="A3" s="1778"/>
      <c r="B3" s="1741" t="s">
        <v>1189</v>
      </c>
      <c r="C3" s="1762"/>
    </row>
    <row r="4" spans="1:45" s="1784" customFormat="1">
      <c r="A4" s="1763" t="s">
        <v>3219</v>
      </c>
      <c r="C4" s="1785"/>
      <c r="D4" s="1798"/>
      <c r="S4" s="1798"/>
      <c r="T4" s="1798"/>
    </row>
    <row r="5" spans="1:45">
      <c r="B5" s="1741" t="s">
        <v>990</v>
      </c>
    </row>
    <row r="7" spans="1:45" ht="30" customHeight="1">
      <c r="A7" s="4080" t="s">
        <v>2</v>
      </c>
      <c r="B7" s="4094" t="s">
        <v>478</v>
      </c>
      <c r="C7" s="4094" t="s">
        <v>995</v>
      </c>
      <c r="D7" s="4080" t="s">
        <v>996</v>
      </c>
      <c r="E7" s="4094" t="s">
        <v>1191</v>
      </c>
      <c r="F7" s="4094" t="s">
        <v>255</v>
      </c>
      <c r="G7" s="4094"/>
      <c r="H7" s="4095" t="s">
        <v>1192</v>
      </c>
      <c r="I7" s="4081" t="s">
        <v>1193</v>
      </c>
      <c r="J7" s="4083"/>
      <c r="K7" s="4082"/>
      <c r="L7" s="4081" t="s">
        <v>922</v>
      </c>
      <c r="M7" s="4083"/>
      <c r="N7" s="4083"/>
      <c r="O7" s="4083"/>
      <c r="P7" s="4082"/>
      <c r="Q7" s="4094" t="s">
        <v>999</v>
      </c>
      <c r="R7" s="4109" t="s">
        <v>2273</v>
      </c>
      <c r="S7" s="4118" t="s">
        <v>1001</v>
      </c>
      <c r="T7" s="4119"/>
      <c r="U7" s="2500"/>
      <c r="V7" s="4094" t="s">
        <v>999</v>
      </c>
      <c r="W7" s="4109" t="s">
        <v>1078</v>
      </c>
      <c r="X7" s="4118" t="s">
        <v>1001</v>
      </c>
      <c r="Y7" s="4119"/>
      <c r="Z7" s="2500"/>
      <c r="AA7" s="4094" t="s">
        <v>999</v>
      </c>
      <c r="AB7" s="4109" t="s">
        <v>2267</v>
      </c>
      <c r="AC7" s="4118" t="s">
        <v>1001</v>
      </c>
      <c r="AD7" s="4119"/>
    </row>
    <row r="8" spans="1:45" ht="72">
      <c r="A8" s="4080"/>
      <c r="B8" s="4094"/>
      <c r="C8" s="4094"/>
      <c r="D8" s="4080"/>
      <c r="E8" s="4094"/>
      <c r="F8" s="1682" t="s">
        <v>7</v>
      </c>
      <c r="G8" s="1682" t="s">
        <v>8</v>
      </c>
      <c r="H8" s="4096"/>
      <c r="I8" s="1682" t="s">
        <v>7</v>
      </c>
      <c r="J8" s="1682" t="s">
        <v>8</v>
      </c>
      <c r="K8" s="1682" t="s">
        <v>1096</v>
      </c>
      <c r="L8" s="1682" t="s">
        <v>1099</v>
      </c>
      <c r="M8" s="1682" t="s">
        <v>1194</v>
      </c>
      <c r="N8" s="1682" t="s">
        <v>1011</v>
      </c>
      <c r="O8" s="1682" t="s">
        <v>1012</v>
      </c>
      <c r="P8" s="1682" t="s">
        <v>1013</v>
      </c>
      <c r="Q8" s="4094"/>
      <c r="R8" s="4110"/>
      <c r="S8" s="1775" t="s">
        <v>7</v>
      </c>
      <c r="T8" s="1775" t="s">
        <v>8</v>
      </c>
      <c r="U8" s="1682" t="s">
        <v>1013</v>
      </c>
      <c r="V8" s="4094"/>
      <c r="W8" s="4110"/>
      <c r="X8" s="1775" t="s">
        <v>7</v>
      </c>
      <c r="Y8" s="1775" t="s">
        <v>8</v>
      </c>
      <c r="Z8" s="1682" t="s">
        <v>1013</v>
      </c>
      <c r="AA8" s="4094"/>
      <c r="AB8" s="4110"/>
      <c r="AC8" s="1775" t="s">
        <v>7</v>
      </c>
      <c r="AD8" s="1775" t="s">
        <v>8</v>
      </c>
      <c r="AE8" s="1685"/>
      <c r="AF8" s="1685"/>
      <c r="AG8" s="1685"/>
      <c r="AH8" s="1685"/>
      <c r="AI8" s="1685"/>
      <c r="AJ8" s="1685"/>
      <c r="AK8" s="1685"/>
      <c r="AL8" s="1685"/>
      <c r="AM8" s="1685"/>
      <c r="AN8" s="1685"/>
      <c r="AO8" s="1685"/>
      <c r="AP8" s="1685"/>
      <c r="AQ8" s="1685"/>
      <c r="AR8" s="1685"/>
      <c r="AS8" s="1685"/>
    </row>
    <row r="9" spans="1:45">
      <c r="A9" s="1800"/>
      <c r="B9" s="1687" t="s">
        <v>306</v>
      </c>
      <c r="C9" s="1688"/>
      <c r="D9" s="1800"/>
      <c r="E9" s="1689">
        <f>SUM(E10:E18)</f>
        <v>14854.6</v>
      </c>
      <c r="F9" s="1689">
        <f>SUM(F10:F18)</f>
        <v>0</v>
      </c>
      <c r="G9" s="1689">
        <f>SUM(G10:G18)</f>
        <v>14854.6</v>
      </c>
      <c r="H9" s="1689">
        <f>SUM(H10:H18)</f>
        <v>0</v>
      </c>
      <c r="I9" s="1689"/>
      <c r="J9" s="1689"/>
      <c r="K9" s="1689"/>
      <c r="L9" s="1689"/>
      <c r="M9" s="1689"/>
      <c r="N9" s="1689">
        <f>SUM(N10:N18)</f>
        <v>0</v>
      </c>
      <c r="O9" s="1689">
        <f>SUM(O10:O18)</f>
        <v>0</v>
      </c>
      <c r="P9" s="1689"/>
      <c r="Q9" s="1689"/>
      <c r="R9" s="1793">
        <f>SUM(R10:R18)</f>
        <v>1520497</v>
      </c>
      <c r="S9" s="1793"/>
      <c r="T9" s="1793">
        <f t="shared" ref="T9" si="0">SUM(T10:T18)</f>
        <v>1520497</v>
      </c>
      <c r="U9" s="1689"/>
      <c r="V9" s="1689"/>
      <c r="W9" s="1793">
        <f>SUM(W10:W18)</f>
        <v>3412026</v>
      </c>
      <c r="X9" s="1793"/>
      <c r="Y9" s="1793">
        <f t="shared" ref="Y9" si="1">SUM(Y10:Y18)</f>
        <v>3412026</v>
      </c>
      <c r="Z9" s="1689"/>
      <c r="AA9" s="1689"/>
      <c r="AB9" s="1793">
        <f>SUM(AB10:AB18)</f>
        <v>3650866</v>
      </c>
      <c r="AC9" s="1793"/>
      <c r="AD9" s="1793">
        <f t="shared" ref="AD9" si="2">SUM(AD10:AD18)</f>
        <v>3650866</v>
      </c>
    </row>
    <row r="10" spans="1:45" ht="48">
      <c r="A10" s="1756">
        <v>1</v>
      </c>
      <c r="B10" s="1692" t="s">
        <v>1201</v>
      </c>
      <c r="C10" s="1693" t="s">
        <v>1202</v>
      </c>
      <c r="D10" s="1757" t="s">
        <v>1203</v>
      </c>
      <c r="E10" s="4106">
        <f>'расч по  моющ 2016год'!B72</f>
        <v>14854.6</v>
      </c>
      <c r="F10" s="4100">
        <v>0</v>
      </c>
      <c r="G10" s="4120">
        <v>14854.6</v>
      </c>
      <c r="H10" s="1691"/>
      <c r="I10" s="2351"/>
      <c r="J10" s="2351"/>
      <c r="K10" s="2067"/>
      <c r="L10" s="2068">
        <f t="shared" ref="L10:L18" si="3">M10</f>
        <v>200</v>
      </c>
      <c r="M10" s="2068">
        <f>'расч по  моющ 2016год'!F78</f>
        <v>200</v>
      </c>
      <c r="N10" s="2068"/>
      <c r="O10" s="2068"/>
      <c r="P10" s="2068">
        <f t="shared" ref="P10:P18" si="4">L10-O10</f>
        <v>200</v>
      </c>
      <c r="Q10" s="2068">
        <f>ROUND(165*1.07,2)</f>
        <v>176.55</v>
      </c>
      <c r="R10" s="2068">
        <f>ROUND(P10*Q10,0)</f>
        <v>35310</v>
      </c>
      <c r="S10" s="2068"/>
      <c r="T10" s="2068">
        <f t="shared" ref="T10:T18" si="5">R10-S10</f>
        <v>35310</v>
      </c>
      <c r="U10" s="2068">
        <f>'расч по  моющ 2017-18гг'!G78</f>
        <v>357</v>
      </c>
      <c r="V10" s="2068">
        <f>ROUND(Q10*1.07,2)</f>
        <v>188.91</v>
      </c>
      <c r="W10" s="2068">
        <f>ROUND(U10*V10,0)</f>
        <v>67441</v>
      </c>
      <c r="X10" s="2068"/>
      <c r="Y10" s="2068">
        <f t="shared" ref="Y10:Y18" si="6">W10-X10</f>
        <v>67441</v>
      </c>
      <c r="Z10" s="2068">
        <f>U10</f>
        <v>357</v>
      </c>
      <c r="AA10" s="2068">
        <f>ROUND(V10*1.07,2)</f>
        <v>202.13</v>
      </c>
      <c r="AB10" s="2068">
        <f>ROUND(Z10*AA10,0)</f>
        <v>72160</v>
      </c>
      <c r="AC10" s="2068"/>
      <c r="AD10" s="2068">
        <f t="shared" ref="AD10:AD18" si="7">AB10-AC10</f>
        <v>72160</v>
      </c>
    </row>
    <row r="11" spans="1:45">
      <c r="A11" s="1756">
        <v>2</v>
      </c>
      <c r="B11" s="1692" t="s">
        <v>1214</v>
      </c>
      <c r="C11" s="1693" t="s">
        <v>1215</v>
      </c>
      <c r="D11" s="1756" t="s">
        <v>1022</v>
      </c>
      <c r="E11" s="4107"/>
      <c r="F11" s="4101"/>
      <c r="G11" s="4107"/>
      <c r="H11" s="1691"/>
      <c r="I11" s="2351"/>
      <c r="J11" s="2351"/>
      <c r="K11" s="2067"/>
      <c r="L11" s="2071">
        <f t="shared" si="3"/>
        <v>71</v>
      </c>
      <c r="M11" s="2068">
        <f>дез.средство!K57</f>
        <v>71</v>
      </c>
      <c r="N11" s="2068"/>
      <c r="O11" s="2068"/>
      <c r="P11" s="2068">
        <f t="shared" si="4"/>
        <v>71</v>
      </c>
      <c r="Q11" s="2068">
        <f>ROUND(5600*1.07,2)</f>
        <v>5992</v>
      </c>
      <c r="R11" s="2068">
        <f t="shared" ref="R11:R18" si="8">ROUND(P11*Q11,0)</f>
        <v>425432</v>
      </c>
      <c r="S11" s="2068"/>
      <c r="T11" s="2068">
        <f t="shared" si="5"/>
        <v>425432</v>
      </c>
      <c r="U11" s="2068">
        <f>дез.средство!K57</f>
        <v>71</v>
      </c>
      <c r="V11" s="2068">
        <f t="shared" ref="V11:V18" si="9">ROUND(Q11*1.07,2)</f>
        <v>6411.44</v>
      </c>
      <c r="W11" s="2068">
        <f t="shared" ref="W11:W18" si="10">ROUND(U11*V11,0)</f>
        <v>455212</v>
      </c>
      <c r="X11" s="2068"/>
      <c r="Y11" s="2068">
        <f t="shared" si="6"/>
        <v>455212</v>
      </c>
      <c r="Z11" s="2068">
        <f t="shared" ref="Z11:Z18" si="11">U11</f>
        <v>71</v>
      </c>
      <c r="AA11" s="2068">
        <f t="shared" ref="AA11:AA18" si="12">ROUND(V11*1.07,2)</f>
        <v>6860.24</v>
      </c>
      <c r="AB11" s="2068">
        <f t="shared" ref="AB11:AB18" si="13">ROUND(Z11*AA11,0)</f>
        <v>487077</v>
      </c>
      <c r="AC11" s="2068"/>
      <c r="AD11" s="2068">
        <f t="shared" si="7"/>
        <v>487077</v>
      </c>
      <c r="AH11" s="1760"/>
      <c r="AM11" s="1790"/>
      <c r="AP11" s="1760"/>
      <c r="AS11" s="1790"/>
    </row>
    <row r="12" spans="1:45" ht="24">
      <c r="A12" s="1756">
        <v>3</v>
      </c>
      <c r="B12" s="1692" t="s">
        <v>1223</v>
      </c>
      <c r="C12" s="1693" t="s">
        <v>1224</v>
      </c>
      <c r="D12" s="1756" t="s">
        <v>1022</v>
      </c>
      <c r="E12" s="4107"/>
      <c r="F12" s="4101"/>
      <c r="G12" s="4107"/>
      <c r="H12" s="1691"/>
      <c r="I12" s="2351"/>
      <c r="J12" s="2351"/>
      <c r="K12" s="2067">
        <v>755</v>
      </c>
      <c r="L12" s="2071">
        <f t="shared" si="3"/>
        <v>25</v>
      </c>
      <c r="M12" s="2068">
        <f>'расч по  моющ 2016год'!H81</f>
        <v>25</v>
      </c>
      <c r="N12" s="2068"/>
      <c r="O12" s="2068"/>
      <c r="P12" s="2068">
        <f t="shared" si="4"/>
        <v>25</v>
      </c>
      <c r="Q12" s="2068">
        <f>ROUND(2450*1.07,2)</f>
        <v>2621.5</v>
      </c>
      <c r="R12" s="2068">
        <f t="shared" si="8"/>
        <v>65538</v>
      </c>
      <c r="S12" s="2068"/>
      <c r="T12" s="2068">
        <f t="shared" si="5"/>
        <v>65538</v>
      </c>
      <c r="U12" s="2068">
        <f>'расч по  моющ 2017-18гг'!G81</f>
        <v>75.5</v>
      </c>
      <c r="V12" s="2068">
        <f t="shared" si="9"/>
        <v>2805.01</v>
      </c>
      <c r="W12" s="2068">
        <f t="shared" si="10"/>
        <v>211778</v>
      </c>
      <c r="X12" s="2068"/>
      <c r="Y12" s="2068">
        <f t="shared" si="6"/>
        <v>211778</v>
      </c>
      <c r="Z12" s="2068">
        <f t="shared" si="11"/>
        <v>75.5</v>
      </c>
      <c r="AA12" s="2068">
        <f t="shared" si="12"/>
        <v>3001.36</v>
      </c>
      <c r="AB12" s="2068">
        <f t="shared" si="13"/>
        <v>226603</v>
      </c>
      <c r="AC12" s="2068"/>
      <c r="AD12" s="2068">
        <f t="shared" si="7"/>
        <v>226603</v>
      </c>
    </row>
    <row r="13" spans="1:45">
      <c r="A13" s="1756">
        <v>4</v>
      </c>
      <c r="B13" s="1692" t="s">
        <v>1235</v>
      </c>
      <c r="C13" s="1700" t="s">
        <v>1236</v>
      </c>
      <c r="D13" s="1756" t="s">
        <v>1022</v>
      </c>
      <c r="E13" s="4107"/>
      <c r="F13" s="4101"/>
      <c r="G13" s="4107"/>
      <c r="H13" s="1691"/>
      <c r="I13" s="2351"/>
      <c r="J13" s="2351"/>
      <c r="K13" s="2067"/>
      <c r="L13" s="2071">
        <f t="shared" si="3"/>
        <v>5</v>
      </c>
      <c r="M13" s="2068">
        <f>'расч по  моющ 2016год'!G79</f>
        <v>5</v>
      </c>
      <c r="N13" s="2068"/>
      <c r="O13" s="2068"/>
      <c r="P13" s="2068">
        <f t="shared" si="4"/>
        <v>5</v>
      </c>
      <c r="Q13" s="2068">
        <f>ROUND(136.4*1.07,2)</f>
        <v>145.94999999999999</v>
      </c>
      <c r="R13" s="2068">
        <f t="shared" si="8"/>
        <v>730</v>
      </c>
      <c r="S13" s="2068"/>
      <c r="T13" s="2068">
        <f t="shared" si="5"/>
        <v>730</v>
      </c>
      <c r="U13" s="2068">
        <f>'расч по  моющ 2017-18гг'!G79</f>
        <v>10</v>
      </c>
      <c r="V13" s="2068">
        <f t="shared" si="9"/>
        <v>156.16999999999999</v>
      </c>
      <c r="W13" s="2068">
        <f t="shared" si="10"/>
        <v>1562</v>
      </c>
      <c r="X13" s="2068"/>
      <c r="Y13" s="2068">
        <f t="shared" si="6"/>
        <v>1562</v>
      </c>
      <c r="Z13" s="2068">
        <f t="shared" si="11"/>
        <v>10</v>
      </c>
      <c r="AA13" s="2068">
        <f t="shared" si="12"/>
        <v>167.1</v>
      </c>
      <c r="AB13" s="2068">
        <f t="shared" si="13"/>
        <v>1671</v>
      </c>
      <c r="AC13" s="2068"/>
      <c r="AD13" s="2068">
        <f t="shared" si="7"/>
        <v>1671</v>
      </c>
    </row>
    <row r="14" spans="1:45">
      <c r="A14" s="1756">
        <v>5</v>
      </c>
      <c r="B14" s="1692" t="s">
        <v>1237</v>
      </c>
      <c r="C14" s="1700" t="s">
        <v>1238</v>
      </c>
      <c r="D14" s="1691" t="s">
        <v>1119</v>
      </c>
      <c r="E14" s="4107"/>
      <c r="F14" s="4101"/>
      <c r="G14" s="4107"/>
      <c r="H14" s="1691"/>
      <c r="I14" s="2351"/>
      <c r="J14" s="2351"/>
      <c r="K14" s="2067"/>
      <c r="L14" s="2352">
        <f t="shared" si="3"/>
        <v>3</v>
      </c>
      <c r="M14" s="2068">
        <f>'расч по  моющ 2016год'!G80</f>
        <v>3</v>
      </c>
      <c r="N14" s="2068"/>
      <c r="O14" s="2068"/>
      <c r="P14" s="2068">
        <f t="shared" si="4"/>
        <v>3</v>
      </c>
      <c r="Q14" s="2068">
        <f>ROUND(90.95*1.07,2)</f>
        <v>97.32</v>
      </c>
      <c r="R14" s="2068">
        <f t="shared" si="8"/>
        <v>292</v>
      </c>
      <c r="S14" s="2068"/>
      <c r="T14" s="2068">
        <f t="shared" si="5"/>
        <v>292</v>
      </c>
      <c r="U14" s="2068">
        <f>'расч по  моющ 2017-18гг'!G80</f>
        <v>5</v>
      </c>
      <c r="V14" s="2068">
        <f t="shared" si="9"/>
        <v>104.13</v>
      </c>
      <c r="W14" s="2068">
        <f t="shared" si="10"/>
        <v>521</v>
      </c>
      <c r="X14" s="2068"/>
      <c r="Y14" s="2068">
        <f t="shared" si="6"/>
        <v>521</v>
      </c>
      <c r="Z14" s="2068">
        <f t="shared" si="11"/>
        <v>5</v>
      </c>
      <c r="AA14" s="2068">
        <f t="shared" si="12"/>
        <v>111.42</v>
      </c>
      <c r="AB14" s="2068">
        <f t="shared" si="13"/>
        <v>557</v>
      </c>
      <c r="AC14" s="2068"/>
      <c r="AD14" s="2068">
        <f t="shared" si="7"/>
        <v>557</v>
      </c>
    </row>
    <row r="15" spans="1:45" ht="84">
      <c r="A15" s="1756">
        <v>6</v>
      </c>
      <c r="B15" s="2068" t="s">
        <v>3198</v>
      </c>
      <c r="C15" s="2350" t="s">
        <v>3199</v>
      </c>
      <c r="D15" s="1756" t="s">
        <v>1022</v>
      </c>
      <c r="E15" s="4107"/>
      <c r="F15" s="4101"/>
      <c r="G15" s="4107"/>
      <c r="H15" s="1691"/>
      <c r="I15" s="2351"/>
      <c r="J15" s="2351"/>
      <c r="K15" s="2067"/>
      <c r="L15" s="2071">
        <f t="shared" si="3"/>
        <v>130</v>
      </c>
      <c r="M15" s="2068">
        <f>'расч по  моющ 2016год'!G76</f>
        <v>130</v>
      </c>
      <c r="N15" s="2068"/>
      <c r="O15" s="2068"/>
      <c r="P15" s="2068">
        <f t="shared" si="4"/>
        <v>130</v>
      </c>
      <c r="Q15" s="2068">
        <f>ROUND(5500*1.07,2)</f>
        <v>5885</v>
      </c>
      <c r="R15" s="2068">
        <f t="shared" si="8"/>
        <v>765050</v>
      </c>
      <c r="S15" s="2068"/>
      <c r="T15" s="2068">
        <f t="shared" si="5"/>
        <v>765050</v>
      </c>
      <c r="U15" s="2068">
        <f>'расч по  моющ 2017-18гг'!G76</f>
        <v>309</v>
      </c>
      <c r="V15" s="2068">
        <f t="shared" si="9"/>
        <v>6296.95</v>
      </c>
      <c r="W15" s="2068">
        <f t="shared" si="10"/>
        <v>1945758</v>
      </c>
      <c r="X15" s="2068"/>
      <c r="Y15" s="2068">
        <f t="shared" si="6"/>
        <v>1945758</v>
      </c>
      <c r="Z15" s="2068">
        <f t="shared" si="11"/>
        <v>309</v>
      </c>
      <c r="AA15" s="2068">
        <f t="shared" si="12"/>
        <v>6737.74</v>
      </c>
      <c r="AB15" s="2068">
        <f t="shared" si="13"/>
        <v>2081962</v>
      </c>
      <c r="AC15" s="2068"/>
      <c r="AD15" s="2068">
        <f t="shared" si="7"/>
        <v>2081962</v>
      </c>
    </row>
    <row r="16" spans="1:45" ht="24">
      <c r="A16" s="1756">
        <v>7</v>
      </c>
      <c r="B16" s="2068" t="s">
        <v>1251</v>
      </c>
      <c r="C16" s="2072" t="s">
        <v>3200</v>
      </c>
      <c r="D16" s="1756" t="s">
        <v>1022</v>
      </c>
      <c r="E16" s="4107"/>
      <c r="F16" s="4101"/>
      <c r="G16" s="4107"/>
      <c r="H16" s="1691"/>
      <c r="I16" s="2351"/>
      <c r="J16" s="2351"/>
      <c r="K16" s="2067"/>
      <c r="L16" s="2071">
        <f t="shared" si="3"/>
        <v>48</v>
      </c>
      <c r="M16" s="2068">
        <f>'расч по  моющ 2016год'!G72</f>
        <v>48</v>
      </c>
      <c r="N16" s="2068"/>
      <c r="O16" s="2068"/>
      <c r="P16" s="2068">
        <f t="shared" si="4"/>
        <v>48</v>
      </c>
      <c r="Q16" s="2068">
        <f>ROUND(2265*1.07,2)</f>
        <v>2423.5500000000002</v>
      </c>
      <c r="R16" s="2068">
        <f t="shared" si="8"/>
        <v>116330</v>
      </c>
      <c r="S16" s="2068"/>
      <c r="T16" s="2068">
        <f t="shared" si="5"/>
        <v>116330</v>
      </c>
      <c r="U16" s="2068">
        <f>'расч по  моющ 2017-18гг'!G72</f>
        <v>143</v>
      </c>
      <c r="V16" s="2068">
        <f t="shared" si="9"/>
        <v>2593.1999999999998</v>
      </c>
      <c r="W16" s="2068">
        <f t="shared" si="10"/>
        <v>370828</v>
      </c>
      <c r="X16" s="2068"/>
      <c r="Y16" s="2068">
        <f t="shared" si="6"/>
        <v>370828</v>
      </c>
      <c r="Z16" s="2068">
        <f t="shared" si="11"/>
        <v>143</v>
      </c>
      <c r="AA16" s="2068">
        <f t="shared" si="12"/>
        <v>2774.72</v>
      </c>
      <c r="AB16" s="2068">
        <f t="shared" si="13"/>
        <v>396785</v>
      </c>
      <c r="AC16" s="2068"/>
      <c r="AD16" s="2068">
        <f t="shared" si="7"/>
        <v>396785</v>
      </c>
    </row>
    <row r="17" spans="1:30" ht="84">
      <c r="A17" s="1756">
        <v>8</v>
      </c>
      <c r="B17" s="2068" t="s">
        <v>1253</v>
      </c>
      <c r="C17" s="2350" t="s">
        <v>3201</v>
      </c>
      <c r="D17" s="1756" t="s">
        <v>1022</v>
      </c>
      <c r="E17" s="4107"/>
      <c r="F17" s="4101"/>
      <c r="G17" s="4107"/>
      <c r="H17" s="1691"/>
      <c r="I17" s="2351"/>
      <c r="J17" s="2351"/>
      <c r="K17" s="2067"/>
      <c r="L17" s="2071">
        <f t="shared" si="3"/>
        <v>5</v>
      </c>
      <c r="M17" s="2068">
        <f>'расч по  моющ 2016год'!G73</f>
        <v>5</v>
      </c>
      <c r="N17" s="2068"/>
      <c r="O17" s="2068"/>
      <c r="P17" s="2068">
        <f t="shared" si="4"/>
        <v>5</v>
      </c>
      <c r="Q17" s="2068">
        <f>ROUND(6500*1.07,2)</f>
        <v>6955</v>
      </c>
      <c r="R17" s="2068">
        <f t="shared" si="8"/>
        <v>34775</v>
      </c>
      <c r="S17" s="2068"/>
      <c r="T17" s="2068">
        <f t="shared" si="5"/>
        <v>34775</v>
      </c>
      <c r="U17" s="2068">
        <f>'расч по  моющ 2017-18гг'!G73</f>
        <v>15</v>
      </c>
      <c r="V17" s="2068">
        <f t="shared" si="9"/>
        <v>7441.85</v>
      </c>
      <c r="W17" s="2068">
        <f t="shared" si="10"/>
        <v>111628</v>
      </c>
      <c r="X17" s="2068"/>
      <c r="Y17" s="2068">
        <f t="shared" si="6"/>
        <v>111628</v>
      </c>
      <c r="Z17" s="2068">
        <f t="shared" si="11"/>
        <v>15</v>
      </c>
      <c r="AA17" s="2068">
        <f t="shared" si="12"/>
        <v>7962.78</v>
      </c>
      <c r="AB17" s="2068">
        <f t="shared" si="13"/>
        <v>119442</v>
      </c>
      <c r="AC17" s="2068"/>
      <c r="AD17" s="2068">
        <f t="shared" si="7"/>
        <v>119442</v>
      </c>
    </row>
    <row r="18" spans="1:30" ht="72">
      <c r="A18" s="1756">
        <v>9</v>
      </c>
      <c r="B18" s="2068" t="s">
        <v>3202</v>
      </c>
      <c r="C18" s="2072" t="s">
        <v>3203</v>
      </c>
      <c r="D18" s="1756" t="s">
        <v>1022</v>
      </c>
      <c r="E18" s="4108"/>
      <c r="F18" s="4102"/>
      <c r="G18" s="4108"/>
      <c r="H18" s="1691"/>
      <c r="I18" s="2351"/>
      <c r="J18" s="2351"/>
      <c r="K18" s="2067"/>
      <c r="L18" s="2071">
        <f t="shared" si="3"/>
        <v>12</v>
      </c>
      <c r="M18" s="2068">
        <f>'расч по  моющ 2016год'!G77</f>
        <v>12</v>
      </c>
      <c r="N18" s="2068"/>
      <c r="O18" s="2068"/>
      <c r="P18" s="2068">
        <f t="shared" si="4"/>
        <v>12</v>
      </c>
      <c r="Q18" s="2068">
        <f>ROUND(6000*1.07,2)</f>
        <v>6420</v>
      </c>
      <c r="R18" s="2068">
        <f t="shared" si="8"/>
        <v>77040</v>
      </c>
      <c r="S18" s="2068"/>
      <c r="T18" s="2068">
        <f t="shared" si="5"/>
        <v>77040</v>
      </c>
      <c r="U18" s="2068">
        <f>'расч по  моющ 2017-18гг'!G77</f>
        <v>36</v>
      </c>
      <c r="V18" s="2068">
        <f t="shared" si="9"/>
        <v>6869.4</v>
      </c>
      <c r="W18" s="2068">
        <f t="shared" si="10"/>
        <v>247298</v>
      </c>
      <c r="X18" s="2068"/>
      <c r="Y18" s="2068">
        <f t="shared" si="6"/>
        <v>247298</v>
      </c>
      <c r="Z18" s="2068">
        <f t="shared" si="11"/>
        <v>36</v>
      </c>
      <c r="AA18" s="2068">
        <f t="shared" si="12"/>
        <v>7350.26</v>
      </c>
      <c r="AB18" s="2068">
        <f t="shared" si="13"/>
        <v>264609</v>
      </c>
      <c r="AC18" s="2068"/>
      <c r="AD18" s="2068">
        <f t="shared" si="7"/>
        <v>264609</v>
      </c>
    </row>
    <row r="19" spans="1:30">
      <c r="A19" s="1798"/>
      <c r="B19" s="1791"/>
      <c r="D19" s="1799"/>
      <c r="F19" s="1784"/>
      <c r="G19" s="1784"/>
      <c r="H19" s="1784"/>
      <c r="I19" s="1784"/>
      <c r="J19" s="1784"/>
      <c r="K19" s="1784"/>
      <c r="L19" s="1777"/>
      <c r="M19" s="1777"/>
      <c r="N19" s="1784"/>
      <c r="O19" s="1784"/>
      <c r="Q19" s="1784"/>
      <c r="R19" s="1788"/>
      <c r="S19" s="1759"/>
      <c r="T19" s="1759"/>
    </row>
    <row r="20" spans="1:30">
      <c r="D20" s="358"/>
      <c r="E20" s="1763"/>
    </row>
    <row r="21" spans="1:30">
      <c r="B21" s="1792"/>
      <c r="D21" s="358"/>
      <c r="E21" s="1763"/>
      <c r="G21" s="1763"/>
    </row>
    <row r="22" spans="1:30">
      <c r="B22" s="1777"/>
      <c r="C22" s="1785"/>
      <c r="D22" s="358"/>
      <c r="E22" s="1779"/>
    </row>
    <row r="23" spans="1:30">
      <c r="B23" s="1777"/>
      <c r="C23" s="1785"/>
      <c r="D23" s="358"/>
      <c r="E23" s="1779"/>
    </row>
    <row r="24" spans="1:30" s="2135" customFormat="1" ht="12.75">
      <c r="A24" s="2142"/>
      <c r="B24" s="2097" t="s">
        <v>368</v>
      </c>
      <c r="C24" s="2042"/>
      <c r="D24" s="2098"/>
      <c r="E24" s="2099"/>
      <c r="F24" s="2048"/>
      <c r="G24" s="2041"/>
    </row>
    <row r="25" spans="1:30" s="2135" customFormat="1" ht="12.75">
      <c r="A25" s="2142"/>
      <c r="B25" s="2097" t="s">
        <v>370</v>
      </c>
      <c r="C25" s="2042"/>
      <c r="D25" s="2098"/>
      <c r="E25" s="2099"/>
      <c r="F25" s="2048"/>
      <c r="G25" s="2041" t="s">
        <v>371</v>
      </c>
    </row>
    <row r="26" spans="1:30" s="2135" customFormat="1" ht="12.75">
      <c r="A26" s="2142"/>
      <c r="B26" s="2097"/>
      <c r="C26" s="2042"/>
      <c r="D26" s="2098"/>
      <c r="E26" s="2098"/>
      <c r="F26" s="2048"/>
      <c r="G26" s="2043"/>
    </row>
    <row r="27" spans="1:30" s="2135" customFormat="1" ht="12.75">
      <c r="A27" s="2142"/>
      <c r="B27" s="2097" t="s">
        <v>372</v>
      </c>
      <c r="C27" s="2042"/>
      <c r="D27" s="2098"/>
      <c r="E27" s="2098"/>
      <c r="F27" s="2048"/>
      <c r="G27" s="2042" t="s">
        <v>373</v>
      </c>
    </row>
    <row r="28" spans="1:30" s="2135" customFormat="1" ht="12.75">
      <c r="A28" s="2142"/>
      <c r="B28" s="2097"/>
      <c r="C28" s="2042"/>
      <c r="D28" s="2098"/>
      <c r="E28" s="2098"/>
      <c r="F28" s="2048"/>
      <c r="G28" s="2100"/>
    </row>
    <row r="29" spans="1:30" s="2135" customFormat="1" ht="12.75">
      <c r="A29" s="2142"/>
      <c r="B29" s="2097" t="s">
        <v>375</v>
      </c>
      <c r="C29" s="2100"/>
      <c r="D29" s="2101"/>
      <c r="E29" s="2101"/>
      <c r="F29" s="2048"/>
      <c r="G29" s="2042" t="s">
        <v>376</v>
      </c>
    </row>
  </sheetData>
  <sheetProtection formatColumns="0" insertRows="0" deleteRows="0"/>
  <mergeCells count="21">
    <mergeCell ref="E10:E18"/>
    <mergeCell ref="F10:F18"/>
    <mergeCell ref="I7:K7"/>
    <mergeCell ref="L7:P7"/>
    <mergeCell ref="Q7:Q8"/>
    <mergeCell ref="A7:A8"/>
    <mergeCell ref="B7:B8"/>
    <mergeCell ref="C7:C8"/>
    <mergeCell ref="D7:D8"/>
    <mergeCell ref="E7:E8"/>
    <mergeCell ref="AC7:AD7"/>
    <mergeCell ref="S7:T7"/>
    <mergeCell ref="H7:H8"/>
    <mergeCell ref="G10:G18"/>
    <mergeCell ref="F7:G7"/>
    <mergeCell ref="R7:R8"/>
    <mergeCell ref="V7:V8"/>
    <mergeCell ref="W7:W8"/>
    <mergeCell ref="X7:Y7"/>
    <mergeCell ref="AA7:AA8"/>
    <mergeCell ref="AB7:AB8"/>
  </mergeCells>
  <pageMargins left="0" right="0" top="0" bottom="0" header="0" footer="0"/>
  <pageSetup paperSize="9" scale="66" fitToHeight="0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tabColor rgb="FF92D050"/>
    <pageSetUpPr fitToPage="1"/>
  </sheetPr>
  <dimension ref="A1:AB20"/>
  <sheetViews>
    <sheetView zoomScale="80" zoomScaleNormal="80" workbookViewId="0">
      <selection activeCell="J18" sqref="J18"/>
    </sheetView>
  </sheetViews>
  <sheetFormatPr defaultColWidth="9.140625" defaultRowHeight="12.75"/>
  <cols>
    <col min="1" max="1" width="5.5703125" style="1805" customWidth="1"/>
    <col min="2" max="2" width="26" style="1805" customWidth="1"/>
    <col min="3" max="3" width="38.85546875" style="1806" customWidth="1"/>
    <col min="4" max="4" width="8.28515625" style="1805" customWidth="1"/>
    <col min="5" max="5" width="10.42578125" style="1805" customWidth="1"/>
    <col min="6" max="6" width="6.140625" style="1805" customWidth="1"/>
    <col min="7" max="7" width="9.140625" style="1805" customWidth="1"/>
    <col min="8" max="8" width="8.28515625" style="1805" customWidth="1"/>
    <col min="9" max="9" width="6.5703125" style="1805" customWidth="1"/>
    <col min="10" max="10" width="6.85546875" style="1805" customWidth="1"/>
    <col min="11" max="11" width="8.7109375" style="1805" customWidth="1"/>
    <col min="12" max="12" width="10.7109375" style="1805" customWidth="1"/>
    <col min="13" max="13" width="14.28515625" style="1805" customWidth="1"/>
    <col min="14" max="14" width="15.140625" style="1805" customWidth="1"/>
    <col min="15" max="15" width="13" style="1805" customWidth="1"/>
    <col min="16" max="16" width="10.42578125" style="1805" customWidth="1"/>
    <col min="17" max="17" width="12.28515625" style="1805" customWidth="1"/>
    <col min="18" max="18" width="13.5703125" style="1805" customWidth="1"/>
    <col min="19" max="19" width="9.7109375" style="1805" customWidth="1"/>
    <col min="20" max="20" width="14.140625" style="1805" customWidth="1"/>
    <col min="21" max="21" width="11.5703125" style="1805" customWidth="1"/>
    <col min="22" max="22" width="13.85546875" style="1805" customWidth="1"/>
    <col min="23" max="23" width="7.85546875" style="1805" bestFit="1" customWidth="1"/>
    <col min="24" max="24" width="12.85546875" style="1805" customWidth="1"/>
    <col min="25" max="25" width="10.85546875" style="1805" bestFit="1" customWidth="1"/>
    <col min="26" max="26" width="13.85546875" style="1805" customWidth="1"/>
    <col min="27" max="27" width="7.85546875" style="1805" bestFit="1" customWidth="1"/>
    <col min="28" max="28" width="14.42578125" style="1805" customWidth="1"/>
    <col min="29" max="16384" width="9.140625" style="1805"/>
  </cols>
  <sheetData>
    <row r="1" spans="1:28">
      <c r="S1" s="1805" t="s">
        <v>267</v>
      </c>
      <c r="T1" s="1880" t="s">
        <v>3191</v>
      </c>
    </row>
    <row r="2" spans="1:28" s="1807" customFormat="1">
      <c r="A2" s="1813" t="s">
        <v>3220</v>
      </c>
      <c r="B2" s="923"/>
      <c r="C2" s="1814"/>
      <c r="D2" s="923"/>
      <c r="E2" s="923"/>
      <c r="Q2" s="1881">
        <v>1.07</v>
      </c>
    </row>
    <row r="3" spans="1:28">
      <c r="A3" s="88"/>
      <c r="B3" s="356" t="s">
        <v>3221</v>
      </c>
      <c r="C3" s="1815"/>
      <c r="E3" s="356"/>
    </row>
    <row r="4" spans="1:28" s="1807" customFormat="1">
      <c r="A4" s="1763" t="s">
        <v>3219</v>
      </c>
      <c r="B4" s="923"/>
      <c r="C4" s="1814"/>
      <c r="D4" s="923"/>
      <c r="E4" s="923"/>
    </row>
    <row r="5" spans="1:28">
      <c r="A5" s="356" t="s">
        <v>990</v>
      </c>
      <c r="B5" s="356"/>
      <c r="C5" s="1815"/>
      <c r="D5" s="356"/>
      <c r="E5" s="356"/>
    </row>
    <row r="7" spans="1:28" ht="30" customHeight="1">
      <c r="A7" s="4009" t="s">
        <v>2</v>
      </c>
      <c r="B7" s="4009" t="s">
        <v>478</v>
      </c>
      <c r="C7" s="4009" t="s">
        <v>995</v>
      </c>
      <c r="D7" s="4009" t="s">
        <v>996</v>
      </c>
      <c r="E7" s="4009" t="s">
        <v>1191</v>
      </c>
      <c r="F7" s="4009" t="s">
        <v>255</v>
      </c>
      <c r="G7" s="4009"/>
      <c r="H7" s="4013" t="s">
        <v>1192</v>
      </c>
      <c r="I7" s="4121" t="s">
        <v>1193</v>
      </c>
      <c r="J7" s="4123"/>
      <c r="K7" s="4122"/>
      <c r="L7" s="4121" t="s">
        <v>922</v>
      </c>
      <c r="M7" s="4123"/>
      <c r="N7" s="4123"/>
      <c r="O7" s="4123"/>
      <c r="P7" s="4122"/>
      <c r="Q7" s="4009" t="s">
        <v>999</v>
      </c>
      <c r="R7" s="4009" t="s">
        <v>3222</v>
      </c>
      <c r="S7" s="4121" t="s">
        <v>1001</v>
      </c>
      <c r="T7" s="4122"/>
      <c r="U7" s="4009" t="s">
        <v>999</v>
      </c>
      <c r="V7" s="4009" t="s">
        <v>379</v>
      </c>
      <c r="W7" s="4121" t="s">
        <v>1001</v>
      </c>
      <c r="X7" s="4122"/>
      <c r="Y7" s="4009" t="s">
        <v>999</v>
      </c>
      <c r="Z7" s="4009" t="s">
        <v>380</v>
      </c>
      <c r="AA7" s="4121" t="s">
        <v>1001</v>
      </c>
      <c r="AB7" s="4122"/>
    </row>
    <row r="8" spans="1:28" ht="38.25">
      <c r="A8" s="4009"/>
      <c r="B8" s="4009"/>
      <c r="C8" s="4009"/>
      <c r="D8" s="4009"/>
      <c r="E8" s="4009"/>
      <c r="F8" s="369" t="s">
        <v>7</v>
      </c>
      <c r="G8" s="369" t="s">
        <v>8</v>
      </c>
      <c r="H8" s="4014"/>
      <c r="I8" s="369" t="s">
        <v>7</v>
      </c>
      <c r="J8" s="369" t="s">
        <v>8</v>
      </c>
      <c r="K8" s="369" t="s">
        <v>1096</v>
      </c>
      <c r="L8" s="369" t="s">
        <v>1099</v>
      </c>
      <c r="M8" s="369" t="s">
        <v>1194</v>
      </c>
      <c r="N8" s="369" t="s">
        <v>1011</v>
      </c>
      <c r="O8" s="369" t="s">
        <v>1012</v>
      </c>
      <c r="P8" s="369" t="s">
        <v>1013</v>
      </c>
      <c r="Q8" s="4009"/>
      <c r="R8" s="4009"/>
      <c r="S8" s="627" t="s">
        <v>7</v>
      </c>
      <c r="T8" s="627" t="s">
        <v>8</v>
      </c>
      <c r="U8" s="4009"/>
      <c r="V8" s="4009"/>
      <c r="W8" s="627" t="s">
        <v>7</v>
      </c>
      <c r="X8" s="627" t="s">
        <v>8</v>
      </c>
      <c r="Y8" s="4009"/>
      <c r="Z8" s="4009"/>
      <c r="AA8" s="627" t="s">
        <v>7</v>
      </c>
      <c r="AB8" s="627" t="s">
        <v>8</v>
      </c>
    </row>
    <row r="9" spans="1:28" ht="13.5">
      <c r="A9" s="1747"/>
      <c r="B9" s="1738" t="s">
        <v>306</v>
      </c>
      <c r="C9" s="1801"/>
      <c r="D9" s="1747"/>
      <c r="E9" s="1802">
        <v>14854.6</v>
      </c>
      <c r="F9" s="1802"/>
      <c r="G9" s="1802">
        <v>14854.6</v>
      </c>
      <c r="H9" s="1802"/>
      <c r="I9" s="1802"/>
      <c r="J9" s="1802"/>
      <c r="K9" s="1802"/>
      <c r="L9" s="1803">
        <f>SUM(L10:L12)</f>
        <v>22</v>
      </c>
      <c r="M9" s="1803">
        <f>SUM(M10:M12)</f>
        <v>0</v>
      </c>
      <c r="N9" s="1803"/>
      <c r="O9" s="1803"/>
      <c r="P9" s="1803">
        <f>SUM(P10:P12)</f>
        <v>22</v>
      </c>
      <c r="Q9" s="1803"/>
      <c r="R9" s="1803">
        <f>SUM(R10:R12)</f>
        <v>38520</v>
      </c>
      <c r="S9" s="1803">
        <f t="shared" ref="S9:T9" si="0">SUM(S10:S12)</f>
        <v>0</v>
      </c>
      <c r="T9" s="1803">
        <f t="shared" si="0"/>
        <v>38520</v>
      </c>
      <c r="U9" s="1803"/>
      <c r="V9" s="1803">
        <f>SUM(V10:V12)</f>
        <v>41216</v>
      </c>
      <c r="W9" s="1803">
        <f t="shared" ref="W9:X9" si="1">SUM(W10:W12)</f>
        <v>0</v>
      </c>
      <c r="X9" s="1803">
        <f t="shared" si="1"/>
        <v>41216</v>
      </c>
      <c r="Y9" s="1803"/>
      <c r="Z9" s="1803">
        <f>SUM(Z10:Z12)</f>
        <v>44101</v>
      </c>
      <c r="AA9" s="1803">
        <f t="shared" ref="AA9:AB9" si="2">SUM(AA10:AA12)</f>
        <v>0</v>
      </c>
      <c r="AB9" s="1803">
        <f t="shared" si="2"/>
        <v>44101</v>
      </c>
    </row>
    <row r="10" spans="1:28" ht="25.5">
      <c r="A10" s="1556">
        <v>1</v>
      </c>
      <c r="B10" s="1065" t="s">
        <v>3223</v>
      </c>
      <c r="C10" s="365" t="s">
        <v>3224</v>
      </c>
      <c r="D10" s="1742" t="s">
        <v>1022</v>
      </c>
      <c r="E10" s="1736">
        <f>22739-7884.4</f>
        <v>14854.6</v>
      </c>
      <c r="F10" s="1556"/>
      <c r="G10" s="1736">
        <f>22739-7884.4</f>
        <v>14854.6</v>
      </c>
      <c r="H10" s="1556"/>
      <c r="I10" s="1663"/>
      <c r="J10" s="1663"/>
      <c r="K10" s="1556"/>
      <c r="L10" s="1742">
        <v>2</v>
      </c>
      <c r="M10" s="1742"/>
      <c r="N10" s="1556"/>
      <c r="O10" s="1556"/>
      <c r="P10" s="1743">
        <f>L10-O10</f>
        <v>2</v>
      </c>
      <c r="Q10" s="1742">
        <f>ROUND(3000*1.07,2)</f>
        <v>3210</v>
      </c>
      <c r="R10" s="1664">
        <f t="shared" ref="R10:R12" si="3">P10*Q10</f>
        <v>6420</v>
      </c>
      <c r="S10" s="1665"/>
      <c r="T10" s="1665">
        <f t="shared" ref="T10:T12" si="4">R10-S10</f>
        <v>6420</v>
      </c>
      <c r="U10" s="1742">
        <f>ROUND(Q10*1.07,2)</f>
        <v>3434.7</v>
      </c>
      <c r="V10" s="1664">
        <f>ROUND(P10*U10,0)</f>
        <v>6869</v>
      </c>
      <c r="W10" s="1665"/>
      <c r="X10" s="1665">
        <f t="shared" ref="X10:X12" si="5">V10-W10</f>
        <v>6869</v>
      </c>
      <c r="Y10" s="1742">
        <f>ROUND(U10*1.07,2)</f>
        <v>3675.13</v>
      </c>
      <c r="Z10" s="1664">
        <f>ROUND(P10*Y10,0)</f>
        <v>7350</v>
      </c>
      <c r="AA10" s="1665"/>
      <c r="AB10" s="1665">
        <f t="shared" ref="AB10:AB12" si="6">Z10-AA10</f>
        <v>7350</v>
      </c>
    </row>
    <row r="11" spans="1:28">
      <c r="A11" s="1556">
        <v>2</v>
      </c>
      <c r="B11" s="1065" t="s">
        <v>3225</v>
      </c>
      <c r="C11" s="365" t="s">
        <v>3226</v>
      </c>
      <c r="D11" s="1742" t="s">
        <v>1022</v>
      </c>
      <c r="E11" s="1736">
        <f t="shared" ref="E11:G12" si="7">22739-7884.4</f>
        <v>14854.6</v>
      </c>
      <c r="F11" s="1556"/>
      <c r="G11" s="1736">
        <f t="shared" si="7"/>
        <v>14854.6</v>
      </c>
      <c r="H11" s="1556"/>
      <c r="I11" s="1663"/>
      <c r="J11" s="1663"/>
      <c r="K11" s="1556"/>
      <c r="L11" s="1744">
        <v>20</v>
      </c>
      <c r="M11" s="1744"/>
      <c r="N11" s="1556"/>
      <c r="O11" s="1556"/>
      <c r="P11" s="1743">
        <f>L11-O11</f>
        <v>20</v>
      </c>
      <c r="Q11" s="1742">
        <f>ROUND(1500*1.07,2)</f>
        <v>1605</v>
      </c>
      <c r="R11" s="1664">
        <f t="shared" si="3"/>
        <v>32100</v>
      </c>
      <c r="S11" s="1665"/>
      <c r="T11" s="1665">
        <f t="shared" si="4"/>
        <v>32100</v>
      </c>
      <c r="U11" s="1742">
        <f t="shared" ref="U11:U12" si="8">ROUND(Q11*1.07,2)</f>
        <v>1717.35</v>
      </c>
      <c r="V11" s="1664">
        <f t="shared" ref="V11:V12" si="9">ROUND(P11*U11,0)</f>
        <v>34347</v>
      </c>
      <c r="W11" s="1665"/>
      <c r="X11" s="1665">
        <f t="shared" si="5"/>
        <v>34347</v>
      </c>
      <c r="Y11" s="1742">
        <f t="shared" ref="Y11:Y12" si="10">ROUND(U11*1.07,2)</f>
        <v>1837.56</v>
      </c>
      <c r="Z11" s="1664">
        <f t="shared" ref="Z11:Z12" si="11">ROUND(P11*Y11,0)</f>
        <v>36751</v>
      </c>
      <c r="AA11" s="1665"/>
      <c r="AB11" s="1665">
        <f t="shared" si="6"/>
        <v>36751</v>
      </c>
    </row>
    <row r="12" spans="1:28" ht="51">
      <c r="A12" s="1556">
        <v>3</v>
      </c>
      <c r="B12" s="1065" t="s">
        <v>3135</v>
      </c>
      <c r="C12" s="1821" t="s">
        <v>3136</v>
      </c>
      <c r="D12" s="1742" t="s">
        <v>1022</v>
      </c>
      <c r="E12" s="1736">
        <f t="shared" si="7"/>
        <v>14854.6</v>
      </c>
      <c r="F12" s="1556"/>
      <c r="G12" s="1736">
        <f t="shared" si="7"/>
        <v>14854.6</v>
      </c>
      <c r="H12" s="1556"/>
      <c r="I12" s="1663"/>
      <c r="J12" s="1663"/>
      <c r="K12" s="1556"/>
      <c r="L12" s="1804">
        <f>'штатка школа Орынб'!D112+'штатка школа Орынб'!D114+'штатка школа Орынб'!D116+'штатка школа Орынб'!D128+'штатка школа Орынб'!D130</f>
        <v>0</v>
      </c>
      <c r="M12" s="1744"/>
      <c r="N12" s="1556"/>
      <c r="O12" s="1556"/>
      <c r="P12" s="1743">
        <f>L12-O12</f>
        <v>0</v>
      </c>
      <c r="Q12" s="1742">
        <f>ROUND(5200*1.07,2)</f>
        <v>5564</v>
      </c>
      <c r="R12" s="1664">
        <f t="shared" si="3"/>
        <v>0</v>
      </c>
      <c r="S12" s="1665"/>
      <c r="T12" s="1665">
        <f t="shared" si="4"/>
        <v>0</v>
      </c>
      <c r="U12" s="1742">
        <f t="shared" si="8"/>
        <v>5953.48</v>
      </c>
      <c r="V12" s="1664">
        <f t="shared" si="9"/>
        <v>0</v>
      </c>
      <c r="W12" s="1665"/>
      <c r="X12" s="1665">
        <f t="shared" si="5"/>
        <v>0</v>
      </c>
      <c r="Y12" s="1742">
        <f t="shared" si="10"/>
        <v>6370.22</v>
      </c>
      <c r="Z12" s="1664">
        <f t="shared" si="11"/>
        <v>0</v>
      </c>
      <c r="AA12" s="1665"/>
      <c r="AB12" s="1665">
        <f t="shared" si="6"/>
        <v>0</v>
      </c>
    </row>
    <row r="13" spans="1:28">
      <c r="A13" s="1807"/>
      <c r="B13" s="1808"/>
      <c r="D13" s="1809"/>
      <c r="F13" s="1807"/>
      <c r="G13" s="1807"/>
      <c r="H13" s="1807"/>
      <c r="I13" s="1807"/>
      <c r="J13" s="1807"/>
      <c r="K13" s="1807"/>
      <c r="L13" s="1809"/>
      <c r="M13" s="1809"/>
      <c r="N13" s="1807"/>
      <c r="O13" s="1807"/>
      <c r="Q13" s="1807"/>
      <c r="R13" s="1810"/>
      <c r="S13" s="1810"/>
      <c r="T13" s="1810"/>
    </row>
    <row r="14" spans="1:28">
      <c r="B14" s="1809"/>
      <c r="C14" s="1811"/>
      <c r="D14" s="121"/>
      <c r="E14" s="1812"/>
    </row>
    <row r="15" spans="1:28" s="2135" customFormat="1">
      <c r="A15" s="2142"/>
      <c r="B15" s="2097" t="s">
        <v>368</v>
      </c>
      <c r="C15" s="2042"/>
      <c r="D15" s="2098"/>
      <c r="E15" s="2099"/>
      <c r="F15" s="2048"/>
      <c r="G15" s="2041"/>
    </row>
    <row r="16" spans="1:28" s="2135" customFormat="1">
      <c r="A16" s="2142"/>
      <c r="B16" s="2097" t="s">
        <v>370</v>
      </c>
      <c r="C16" s="2042"/>
      <c r="D16" s="2098"/>
      <c r="E16" s="2099"/>
      <c r="F16" s="2048"/>
      <c r="G16" s="2041" t="s">
        <v>371</v>
      </c>
    </row>
    <row r="17" spans="1:7" s="2135" customFormat="1">
      <c r="A17" s="2142"/>
      <c r="B17" s="2097"/>
      <c r="C17" s="2042"/>
      <c r="D17" s="2098"/>
      <c r="E17" s="2098"/>
      <c r="F17" s="2048"/>
      <c r="G17" s="2043"/>
    </row>
    <row r="18" spans="1:7" s="2135" customFormat="1">
      <c r="A18" s="2142"/>
      <c r="B18" s="2097" t="s">
        <v>372</v>
      </c>
      <c r="C18" s="2042"/>
      <c r="D18" s="2098"/>
      <c r="E18" s="2098"/>
      <c r="F18" s="2048"/>
      <c r="G18" s="2042" t="s">
        <v>373</v>
      </c>
    </row>
    <row r="19" spans="1:7" s="2135" customFormat="1">
      <c r="A19" s="2142"/>
      <c r="B19" s="2097"/>
      <c r="C19" s="2042"/>
      <c r="D19" s="2098"/>
      <c r="E19" s="2098"/>
      <c r="F19" s="2048"/>
      <c r="G19" s="2100"/>
    </row>
    <row r="20" spans="1:7" s="2135" customFormat="1">
      <c r="A20" s="2142"/>
      <c r="B20" s="2097" t="s">
        <v>375</v>
      </c>
      <c r="C20" s="2100"/>
      <c r="D20" s="2101"/>
      <c r="E20" s="2101"/>
      <c r="F20" s="2048"/>
      <c r="G20" s="2042" t="s">
        <v>376</v>
      </c>
    </row>
  </sheetData>
  <sheetProtection formatColumns="0" insertRows="0" deleteRows="0"/>
  <mergeCells count="18">
    <mergeCell ref="A7:A8"/>
    <mergeCell ref="B7:B8"/>
    <mergeCell ref="C7:C8"/>
    <mergeCell ref="D7:D8"/>
    <mergeCell ref="E7:E8"/>
    <mergeCell ref="R7:R8"/>
    <mergeCell ref="S7:T7"/>
    <mergeCell ref="F7:G7"/>
    <mergeCell ref="H7:H8"/>
    <mergeCell ref="I7:K7"/>
    <mergeCell ref="L7:P7"/>
    <mergeCell ref="Q7:Q8"/>
    <mergeCell ref="AA7:AB7"/>
    <mergeCell ref="U7:U8"/>
    <mergeCell ref="V7:V8"/>
    <mergeCell ref="W7:X7"/>
    <mergeCell ref="Y7:Y8"/>
    <mergeCell ref="Z7:Z8"/>
  </mergeCells>
  <pageMargins left="0" right="0" top="0" bottom="0" header="0" footer="0"/>
  <pageSetup paperSize="9" scale="58" fitToHeight="0" orientation="landscape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tabColor rgb="FFFF0000"/>
    <pageSetUpPr fitToPage="1"/>
  </sheetPr>
  <dimension ref="A1:AL244"/>
  <sheetViews>
    <sheetView workbookViewId="0">
      <selection activeCell="N19" sqref="N19"/>
    </sheetView>
  </sheetViews>
  <sheetFormatPr defaultColWidth="9.140625" defaultRowHeight="12.75"/>
  <cols>
    <col min="1" max="1" width="5.5703125" style="1580" customWidth="1"/>
    <col min="2" max="2" width="26" style="1580" customWidth="1"/>
    <col min="3" max="3" width="38.85546875" style="357" customWidth="1"/>
    <col min="4" max="4" width="8.28515625" style="1580" customWidth="1"/>
    <col min="5" max="5" width="10.42578125" style="1580" customWidth="1"/>
    <col min="6" max="6" width="6.140625" style="1580" customWidth="1"/>
    <col min="7" max="7" width="7.5703125" style="1580" customWidth="1"/>
    <col min="8" max="8" width="13.7109375" style="1580" customWidth="1"/>
    <col min="9" max="9" width="9.140625" style="1580" customWidth="1"/>
    <col min="10" max="10" width="9.85546875" style="1580" customWidth="1"/>
    <col min="11" max="11" width="13.7109375" style="1580" customWidth="1"/>
    <col min="12" max="12" width="16" style="1580" customWidth="1"/>
    <col min="13" max="13" width="14.28515625" style="1580" customWidth="1"/>
    <col min="14" max="14" width="15.140625" style="1580" customWidth="1"/>
    <col min="15" max="15" width="13" style="1580" customWidth="1"/>
    <col min="16" max="16" width="10.42578125" style="1580" customWidth="1"/>
    <col min="17" max="17" width="14.85546875" style="1580" customWidth="1"/>
    <col min="18" max="20" width="21" style="1580" customWidth="1"/>
    <col min="21" max="22" width="11.140625" style="1580" customWidth="1"/>
    <col min="23" max="23" width="11.28515625" style="1580" customWidth="1"/>
    <col min="24" max="24" width="10" style="1580" customWidth="1"/>
    <col min="25" max="16384" width="9.140625" style="1580"/>
  </cols>
  <sheetData>
    <row r="1" spans="1:38">
      <c r="S1" s="1580" t="s">
        <v>267</v>
      </c>
      <c r="T1" s="357" t="s">
        <v>596</v>
      </c>
    </row>
    <row r="2" spans="1:38" s="1636" customFormat="1">
      <c r="A2" s="1595" t="s">
        <v>1188</v>
      </c>
      <c r="C2" s="924"/>
    </row>
    <row r="3" spans="1:38">
      <c r="A3" s="120"/>
      <c r="D3" s="1580" t="s">
        <v>1189</v>
      </c>
    </row>
    <row r="4" spans="1:38" s="1636" customFormat="1">
      <c r="A4" s="1644" t="s">
        <v>1190</v>
      </c>
      <c r="C4" s="924"/>
    </row>
    <row r="5" spans="1:38">
      <c r="A5" s="1580" t="s">
        <v>990</v>
      </c>
    </row>
    <row r="7" spans="1:38" ht="30" customHeight="1">
      <c r="A7" s="4003" t="s">
        <v>2</v>
      </c>
      <c r="B7" s="4003" t="s">
        <v>478</v>
      </c>
      <c r="C7" s="4003" t="s">
        <v>995</v>
      </c>
      <c r="D7" s="4003" t="s">
        <v>996</v>
      </c>
      <c r="E7" s="4003" t="s">
        <v>1191</v>
      </c>
      <c r="F7" s="4003" t="s">
        <v>255</v>
      </c>
      <c r="G7" s="4003"/>
      <c r="H7" s="4007" t="s">
        <v>1192</v>
      </c>
      <c r="I7" s="4004" t="s">
        <v>1193</v>
      </c>
      <c r="J7" s="4005"/>
      <c r="K7" s="4006"/>
      <c r="L7" s="4004" t="s">
        <v>922</v>
      </c>
      <c r="M7" s="4005"/>
      <c r="N7" s="4005"/>
      <c r="O7" s="4005"/>
      <c r="P7" s="4006"/>
      <c r="Q7" s="4003" t="s">
        <v>999</v>
      </c>
      <c r="R7" s="4003" t="s">
        <v>345</v>
      </c>
      <c r="S7" s="4004" t="s">
        <v>1001</v>
      </c>
      <c r="T7" s="4006"/>
      <c r="U7" s="4015" t="s">
        <v>3227</v>
      </c>
      <c r="V7" s="4012" t="s">
        <v>3228</v>
      </c>
      <c r="W7" s="4012" t="s">
        <v>2170</v>
      </c>
      <c r="Y7" s="4012" t="s">
        <v>3229</v>
      </c>
      <c r="Z7" s="4012" t="s">
        <v>3230</v>
      </c>
      <c r="AA7" s="4022" t="s">
        <v>3231</v>
      </c>
    </row>
    <row r="8" spans="1:38" ht="38.25">
      <c r="A8" s="4003"/>
      <c r="B8" s="4003"/>
      <c r="C8" s="4003"/>
      <c r="D8" s="4003"/>
      <c r="E8" s="4003"/>
      <c r="F8" s="1601" t="s">
        <v>7</v>
      </c>
      <c r="G8" s="1601" t="s">
        <v>8</v>
      </c>
      <c r="H8" s="4008"/>
      <c r="I8" s="1601" t="s">
        <v>7</v>
      </c>
      <c r="J8" s="1601" t="s">
        <v>8</v>
      </c>
      <c r="K8" s="1601" t="s">
        <v>1096</v>
      </c>
      <c r="L8" s="1601" t="s">
        <v>1099</v>
      </c>
      <c r="M8" s="1601" t="s">
        <v>1194</v>
      </c>
      <c r="N8" s="1601" t="s">
        <v>1011</v>
      </c>
      <c r="O8" s="1601" t="s">
        <v>1012</v>
      </c>
      <c r="P8" s="1601" t="s">
        <v>1013</v>
      </c>
      <c r="Q8" s="4003"/>
      <c r="R8" s="4003"/>
      <c r="S8" s="1603" t="s">
        <v>7</v>
      </c>
      <c r="T8" s="1603" t="s">
        <v>8</v>
      </c>
      <c r="U8" s="4015"/>
      <c r="V8" s="4012"/>
      <c r="W8" s="4012"/>
      <c r="Y8" s="4012"/>
      <c r="Z8" s="4012"/>
      <c r="AA8" s="4022"/>
      <c r="AB8" s="364" t="s">
        <v>2174</v>
      </c>
      <c r="AC8" s="364" t="s">
        <v>2175</v>
      </c>
      <c r="AD8" s="364" t="s">
        <v>2176</v>
      </c>
      <c r="AE8" s="1578" t="s">
        <v>2177</v>
      </c>
      <c r="AF8" s="364" t="s">
        <v>2178</v>
      </c>
      <c r="AG8" s="364" t="s">
        <v>2175</v>
      </c>
      <c r="AH8" s="364" t="s">
        <v>2179</v>
      </c>
      <c r="AI8" s="364" t="s">
        <v>2180</v>
      </c>
      <c r="AJ8" s="364" t="s">
        <v>2181</v>
      </c>
      <c r="AK8" s="364" t="s">
        <v>2182</v>
      </c>
      <c r="AL8" s="364" t="s">
        <v>2183</v>
      </c>
    </row>
    <row r="9" spans="1:38" ht="13.5">
      <c r="A9" s="1604"/>
      <c r="B9" s="1605" t="s">
        <v>306</v>
      </c>
      <c r="C9" s="1606"/>
      <c r="D9" s="1604"/>
      <c r="E9" s="1607">
        <f t="shared" ref="E9:Q9" si="0">SUM(E11:E81)</f>
        <v>779463.60000000056</v>
      </c>
      <c r="F9" s="1607">
        <f t="shared" si="0"/>
        <v>0</v>
      </c>
      <c r="G9" s="1607">
        <f t="shared" si="0"/>
        <v>0</v>
      </c>
      <c r="H9" s="1607">
        <f t="shared" si="0"/>
        <v>0</v>
      </c>
      <c r="I9" s="1607">
        <f t="shared" si="0"/>
        <v>336</v>
      </c>
      <c r="J9" s="1607">
        <f t="shared" si="0"/>
        <v>11480</v>
      </c>
      <c r="K9" s="1607">
        <f t="shared" si="0"/>
        <v>0</v>
      </c>
      <c r="L9" s="1607">
        <f t="shared" si="0"/>
        <v>9452</v>
      </c>
      <c r="M9" s="1607">
        <f t="shared" si="0"/>
        <v>7927.2195199999996</v>
      </c>
      <c r="N9" s="1607">
        <f t="shared" si="0"/>
        <v>0</v>
      </c>
      <c r="O9" s="1607">
        <f t="shared" si="0"/>
        <v>0</v>
      </c>
      <c r="P9" s="1607">
        <f t="shared" si="0"/>
        <v>9452</v>
      </c>
      <c r="Q9" s="1607">
        <f t="shared" si="0"/>
        <v>112587.54</v>
      </c>
      <c r="R9" s="1608">
        <f>R10+R25+R207</f>
        <v>22553245.240000002</v>
      </c>
      <c r="S9" s="1608">
        <f>S10+S25+S207</f>
        <v>641324.50919431285</v>
      </c>
      <c r="T9" s="1608">
        <f>T10+T25+T207</f>
        <v>21445218.780094787</v>
      </c>
      <c r="U9" s="4015"/>
      <c r="V9" s="4012"/>
      <c r="W9" s="4012"/>
      <c r="Y9" s="4012"/>
      <c r="Z9" s="4012"/>
      <c r="AA9" s="4022"/>
    </row>
    <row r="10" spans="1:38" ht="13.5">
      <c r="A10" s="1604"/>
      <c r="B10" s="1605" t="s">
        <v>1195</v>
      </c>
      <c r="C10" s="1606"/>
      <c r="D10" s="1604"/>
      <c r="E10" s="1607"/>
      <c r="F10" s="1607"/>
      <c r="G10" s="1607"/>
      <c r="H10" s="1607"/>
      <c r="I10" s="1607"/>
      <c r="J10" s="1607"/>
      <c r="K10" s="1607"/>
      <c r="L10" s="1607"/>
      <c r="M10" s="1607"/>
      <c r="N10" s="1607"/>
      <c r="O10" s="1607"/>
      <c r="P10" s="1607"/>
      <c r="Q10" s="1607"/>
      <c r="R10" s="1608">
        <f>SUM(R11:R24)</f>
        <v>2122807.2399999998</v>
      </c>
      <c r="S10" s="1608">
        <f>SUM(S12:S24)</f>
        <v>60364.186919431282</v>
      </c>
      <c r="T10" s="1608">
        <f>SUM(T11:T21)</f>
        <v>1595741.1023696682</v>
      </c>
      <c r="U10" s="4015"/>
      <c r="V10" s="4012"/>
      <c r="W10" s="4012"/>
      <c r="Y10" s="4012"/>
      <c r="Z10" s="4012"/>
      <c r="AA10" s="4022"/>
    </row>
    <row r="11" spans="1:38" ht="25.5" hidden="1" customHeight="1">
      <c r="A11" s="1609">
        <v>12</v>
      </c>
      <c r="B11" s="1056" t="s">
        <v>1199</v>
      </c>
      <c r="C11" s="917" t="s">
        <v>1200</v>
      </c>
      <c r="D11" s="1609" t="s">
        <v>1022</v>
      </c>
      <c r="E11" s="1581">
        <f>F11+G11</f>
        <v>0</v>
      </c>
      <c r="F11" s="1609"/>
      <c r="G11" s="1609"/>
      <c r="H11" s="1609"/>
      <c r="I11" s="1609"/>
      <c r="J11" s="1609"/>
      <c r="K11" s="1609"/>
      <c r="L11" s="1581"/>
      <c r="M11" s="1581"/>
      <c r="N11" s="1609"/>
      <c r="O11" s="1609"/>
      <c r="P11" s="1581">
        <f>L11-O11</f>
        <v>0</v>
      </c>
      <c r="Q11" s="1610"/>
      <c r="R11" s="1611">
        <f>P11*Q11</f>
        <v>0</v>
      </c>
      <c r="S11" s="1611"/>
      <c r="T11" s="1611"/>
    </row>
    <row r="12" spans="1:38" ht="51">
      <c r="A12" s="1609">
        <v>1</v>
      </c>
      <c r="B12" s="1056" t="s">
        <v>1201</v>
      </c>
      <c r="C12" s="917" t="s">
        <v>1202</v>
      </c>
      <c r="D12" s="1056" t="s">
        <v>1203</v>
      </c>
      <c r="E12" s="4091">
        <v>13674.8</v>
      </c>
      <c r="F12" s="1609"/>
      <c r="G12" s="1609"/>
      <c r="H12" s="1609"/>
      <c r="I12" s="1609">
        <v>6</v>
      </c>
      <c r="J12" s="1609">
        <v>205</v>
      </c>
      <c r="K12" s="1609"/>
      <c r="L12" s="1056">
        <v>273</v>
      </c>
      <c r="M12" s="1056">
        <f>W12</f>
        <v>273</v>
      </c>
      <c r="N12" s="1609"/>
      <c r="O12" s="1609"/>
      <c r="P12" s="1581">
        <f>L12-O12</f>
        <v>273</v>
      </c>
      <c r="Q12" s="1610">
        <f>100*1.07</f>
        <v>107</v>
      </c>
      <c r="R12" s="1611">
        <f>P12*Q12</f>
        <v>29211</v>
      </c>
      <c r="S12" s="1611">
        <f>R12*(I12/(I12+J12+K12))</f>
        <v>830.64454976303318</v>
      </c>
      <c r="T12" s="1611">
        <f>R12-S12</f>
        <v>28380.355450236966</v>
      </c>
      <c r="U12" s="1590">
        <v>13674.8</v>
      </c>
      <c r="V12" s="1580">
        <v>500</v>
      </c>
      <c r="W12" s="1580">
        <f>ROUND(U12/V12*0.2*10/0.2,0)</f>
        <v>273</v>
      </c>
    </row>
    <row r="13" spans="1:38" ht="51">
      <c r="A13" s="1609">
        <v>5</v>
      </c>
      <c r="B13" s="1056" t="s">
        <v>1210</v>
      </c>
      <c r="C13" s="917" t="s">
        <v>1211</v>
      </c>
      <c r="D13" s="1609" t="s">
        <v>1022</v>
      </c>
      <c r="E13" s="4092"/>
      <c r="F13" s="1609"/>
      <c r="G13" s="1609"/>
      <c r="H13" s="1609"/>
      <c r="I13" s="1609">
        <v>6</v>
      </c>
      <c r="J13" s="1609">
        <v>205</v>
      </c>
      <c r="K13" s="1609"/>
      <c r="L13" s="1581">
        <v>300</v>
      </c>
      <c r="M13" s="1581"/>
      <c r="N13" s="1609"/>
      <c r="O13" s="1609"/>
      <c r="P13" s="1581">
        <f>L13-O13</f>
        <v>300</v>
      </c>
      <c r="Q13" s="1610">
        <f>135*1.07</f>
        <v>144.45000000000002</v>
      </c>
      <c r="R13" s="1611">
        <f>P13*Q13</f>
        <v>43335.000000000007</v>
      </c>
      <c r="S13" s="1611">
        <f>R13*(I13/(I13+J13+K13))</f>
        <v>1232.2748815165878</v>
      </c>
      <c r="T13" s="1611">
        <f>R13-S13</f>
        <v>42102.725118483417</v>
      </c>
    </row>
    <row r="14" spans="1:38" ht="38.25">
      <c r="A14" s="1609">
        <v>6</v>
      </c>
      <c r="B14" s="1056" t="s">
        <v>1214</v>
      </c>
      <c r="C14" s="917" t="s">
        <v>1215</v>
      </c>
      <c r="D14" s="1609" t="s">
        <v>1022</v>
      </c>
      <c r="E14" s="4092"/>
      <c r="F14" s="1609"/>
      <c r="G14" s="1609"/>
      <c r="H14" s="1609"/>
      <c r="I14" s="1609">
        <v>6</v>
      </c>
      <c r="J14" s="1609">
        <v>205</v>
      </c>
      <c r="K14" s="1609"/>
      <c r="L14" s="1581">
        <v>50</v>
      </c>
      <c r="M14" s="1612">
        <f>AD14+AI14+AL14</f>
        <v>50.123519999999999</v>
      </c>
      <c r="N14" s="1609"/>
      <c r="O14" s="1609"/>
      <c r="P14" s="1581">
        <f>L14-O14</f>
        <v>50</v>
      </c>
      <c r="Q14" s="1610">
        <f>3500*1.07</f>
        <v>3745</v>
      </c>
      <c r="R14" s="1611">
        <f>P14*Q14</f>
        <v>187250</v>
      </c>
      <c r="S14" s="1611">
        <f>R14*(I14/(I14+J14+K14))</f>
        <v>5324.644549763033</v>
      </c>
      <c r="T14" s="1611">
        <f>R14-S14</f>
        <v>181925.35545023697</v>
      </c>
      <c r="U14" s="1580">
        <v>13674.8</v>
      </c>
      <c r="W14" s="364" t="s">
        <v>2186</v>
      </c>
      <c r="AB14" s="1580">
        <f>U14/100</f>
        <v>136.74799999999999</v>
      </c>
      <c r="AC14" s="1580">
        <f>U14/50</f>
        <v>273.49599999999998</v>
      </c>
      <c r="AD14" s="1645">
        <f>(AB14+AC14)*10/300</f>
        <v>13.674799999999999</v>
      </c>
      <c r="AE14" s="1580">
        <v>824</v>
      </c>
      <c r="AF14" s="1580">
        <f>AE14/100</f>
        <v>8.24</v>
      </c>
      <c r="AG14" s="1580">
        <f>AE14/50</f>
        <v>16.48</v>
      </c>
      <c r="AH14" s="1580">
        <f>(AF14+AG14)*21*10</f>
        <v>5191.2</v>
      </c>
      <c r="AI14" s="1645">
        <f>AH14/300</f>
        <v>17.303999999999998</v>
      </c>
      <c r="AJ14" s="1580">
        <f>13674.8/500</f>
        <v>27.349599999999999</v>
      </c>
      <c r="AK14" s="1580">
        <f>AJ14*21*10</f>
        <v>5743.4159999999993</v>
      </c>
      <c r="AL14" s="1645">
        <f>AK14/300</f>
        <v>19.144719999999996</v>
      </c>
    </row>
    <row r="15" spans="1:38" ht="26.25" hidden="1" customHeight="1">
      <c r="A15" s="1609">
        <v>20</v>
      </c>
      <c r="B15" s="1056" t="s">
        <v>1219</v>
      </c>
      <c r="C15" s="917"/>
      <c r="D15" s="1056" t="s">
        <v>1203</v>
      </c>
      <c r="E15" s="4092"/>
      <c r="F15" s="1609"/>
      <c r="G15" s="1609"/>
      <c r="H15" s="1609"/>
      <c r="I15" s="1609"/>
      <c r="J15" s="1609"/>
      <c r="K15" s="1609"/>
      <c r="L15" s="1056"/>
      <c r="M15" s="1056"/>
      <c r="N15" s="1609"/>
      <c r="O15" s="1609"/>
      <c r="P15" s="1581"/>
      <c r="Q15" s="1610"/>
      <c r="R15" s="1611"/>
      <c r="S15" s="1611"/>
      <c r="T15" s="1611"/>
    </row>
    <row r="16" spans="1:38" ht="27.75" hidden="1" customHeight="1">
      <c r="A16" s="1609">
        <v>9</v>
      </c>
      <c r="B16" s="1056" t="s">
        <v>1222</v>
      </c>
      <c r="C16" s="917"/>
      <c r="D16" s="1056" t="s">
        <v>1203</v>
      </c>
      <c r="E16" s="4092"/>
      <c r="F16" s="1609"/>
      <c r="G16" s="1609"/>
      <c r="H16" s="1609"/>
      <c r="I16" s="1609"/>
      <c r="J16" s="1609"/>
      <c r="K16" s="1609"/>
      <c r="L16" s="1056"/>
      <c r="M16" s="1056"/>
      <c r="N16" s="1609"/>
      <c r="O16" s="1609"/>
      <c r="P16" s="1581"/>
      <c r="Q16" s="1610"/>
      <c r="R16" s="1611"/>
      <c r="S16" s="1611"/>
      <c r="T16" s="1611"/>
    </row>
    <row r="17" spans="1:27" ht="25.5">
      <c r="A17" s="1609">
        <v>10</v>
      </c>
      <c r="B17" s="1056" t="s">
        <v>1223</v>
      </c>
      <c r="C17" s="917" t="s">
        <v>1224</v>
      </c>
      <c r="D17" s="1609" t="s">
        <v>1022</v>
      </c>
      <c r="E17" s="4092"/>
      <c r="F17" s="1609"/>
      <c r="G17" s="1609"/>
      <c r="H17" s="1609"/>
      <c r="I17" s="1609">
        <v>6</v>
      </c>
      <c r="J17" s="1609">
        <v>205</v>
      </c>
      <c r="K17" s="1609"/>
      <c r="L17" s="1581">
        <v>49</v>
      </c>
      <c r="M17" s="1612">
        <f>Z17</f>
        <v>48.6</v>
      </c>
      <c r="N17" s="1609"/>
      <c r="O17" s="1609"/>
      <c r="P17" s="1581">
        <f>L17-O17</f>
        <v>49</v>
      </c>
      <c r="Q17" s="1610">
        <f>1500*1.07</f>
        <v>1605</v>
      </c>
      <c r="R17" s="1611">
        <f>P17*Q17</f>
        <v>78645</v>
      </c>
      <c r="S17" s="1611">
        <f>R17*(I17/(I17+J17+K17))</f>
        <v>2236.350710900474</v>
      </c>
      <c r="T17" s="1611">
        <f>R17-S17</f>
        <v>76408.649289099529</v>
      </c>
      <c r="U17" s="1580">
        <v>13674.8</v>
      </c>
      <c r="W17" s="1580">
        <v>500</v>
      </c>
      <c r="Z17" s="1645">
        <f>486*500/5000</f>
        <v>48.6</v>
      </c>
    </row>
    <row r="18" spans="1:27" ht="31.5" hidden="1" customHeight="1">
      <c r="A18" s="1609">
        <v>15</v>
      </c>
      <c r="B18" s="1056" t="s">
        <v>1229</v>
      </c>
      <c r="C18" s="1614"/>
      <c r="D18" s="1609" t="s">
        <v>1022</v>
      </c>
      <c r="E18" s="4092"/>
      <c r="F18" s="1609"/>
      <c r="G18" s="1609"/>
      <c r="H18" s="1609"/>
      <c r="I18" s="1609"/>
      <c r="J18" s="1609"/>
      <c r="K18" s="1609"/>
      <c r="L18" s="1581"/>
      <c r="M18" s="1581"/>
      <c r="N18" s="1609"/>
      <c r="O18" s="1609"/>
      <c r="P18" s="1581"/>
      <c r="Q18" s="1610"/>
      <c r="R18" s="1611"/>
      <c r="S18" s="1611"/>
      <c r="T18" s="1611"/>
    </row>
    <row r="19" spans="1:27" ht="63.75">
      <c r="A19" s="1609">
        <v>13</v>
      </c>
      <c r="B19" s="1056" t="s">
        <v>1230</v>
      </c>
      <c r="C19" s="1579" t="s">
        <v>2188</v>
      </c>
      <c r="D19" s="1056" t="s">
        <v>1203</v>
      </c>
      <c r="E19" s="4092"/>
      <c r="F19" s="1609"/>
      <c r="G19" s="1609"/>
      <c r="H19" s="1609"/>
      <c r="I19" s="1609">
        <v>6</v>
      </c>
      <c r="J19" s="1609">
        <v>205</v>
      </c>
      <c r="K19" s="1609"/>
      <c r="L19" s="1583">
        <v>24</v>
      </c>
      <c r="M19" s="1583"/>
      <c r="N19" s="1609"/>
      <c r="O19" s="1609"/>
      <c r="P19" s="1581">
        <f t="shared" ref="P19:P24" si="1">L19-O19</f>
        <v>24</v>
      </c>
      <c r="Q19" s="1610">
        <f>864*1.07</f>
        <v>924.48</v>
      </c>
      <c r="R19" s="1611">
        <f t="shared" ref="R19:R24" si="2">P19*Q19</f>
        <v>22187.52</v>
      </c>
      <c r="S19" s="1611">
        <f t="shared" ref="S19:S24" si="3">R19*(I19/(I19+J19+K19))</f>
        <v>630.92473933649285</v>
      </c>
      <c r="T19" s="1611">
        <f t="shared" ref="T19:T24" si="4">R19-S19</f>
        <v>21556.595260663507</v>
      </c>
      <c r="U19" s="1580">
        <v>72</v>
      </c>
      <c r="V19" s="1580">
        <v>72</v>
      </c>
      <c r="W19" s="1580">
        <v>20</v>
      </c>
    </row>
    <row r="20" spans="1:27" ht="12.75" hidden="1" customHeight="1">
      <c r="A20" s="1609">
        <v>16</v>
      </c>
      <c r="B20" s="1056" t="s">
        <v>1235</v>
      </c>
      <c r="C20" s="1614" t="s">
        <v>1236</v>
      </c>
      <c r="D20" s="1609" t="s">
        <v>1022</v>
      </c>
      <c r="E20" s="4092"/>
      <c r="F20" s="1609"/>
      <c r="G20" s="1609"/>
      <c r="H20" s="1609"/>
      <c r="I20" s="1609">
        <v>6</v>
      </c>
      <c r="J20" s="1609">
        <v>205</v>
      </c>
      <c r="K20" s="1609"/>
      <c r="L20" s="1581"/>
      <c r="M20" s="1581"/>
      <c r="N20" s="1609"/>
      <c r="O20" s="1609"/>
      <c r="P20" s="1581">
        <f t="shared" si="1"/>
        <v>0</v>
      </c>
      <c r="Q20" s="1610"/>
      <c r="R20" s="1611">
        <f t="shared" si="2"/>
        <v>0</v>
      </c>
      <c r="S20" s="1611">
        <f t="shared" si="3"/>
        <v>0</v>
      </c>
      <c r="T20" s="1611">
        <f t="shared" si="4"/>
        <v>0</v>
      </c>
    </row>
    <row r="21" spans="1:27" ht="38.25">
      <c r="A21" s="1609">
        <v>19</v>
      </c>
      <c r="B21" s="1056" t="s">
        <v>1239</v>
      </c>
      <c r="C21" s="1614" t="s">
        <v>1242</v>
      </c>
      <c r="D21" s="1609" t="s">
        <v>1022</v>
      </c>
      <c r="E21" s="4092"/>
      <c r="F21" s="1609"/>
      <c r="G21" s="1609"/>
      <c r="H21" s="1609"/>
      <c r="I21" s="1609">
        <v>6</v>
      </c>
      <c r="J21" s="1609">
        <v>205</v>
      </c>
      <c r="K21" s="1609"/>
      <c r="L21" s="1581">
        <v>2680</v>
      </c>
      <c r="M21" s="1615">
        <f>AA21</f>
        <v>2680.2607999999996</v>
      </c>
      <c r="N21" s="1609"/>
      <c r="O21" s="1609"/>
      <c r="P21" s="1581">
        <f t="shared" si="1"/>
        <v>2680</v>
      </c>
      <c r="Q21" s="1610">
        <f>447*1.07</f>
        <v>478.29</v>
      </c>
      <c r="R21" s="1611">
        <f t="shared" si="2"/>
        <v>1281817.2</v>
      </c>
      <c r="S21" s="1611">
        <f t="shared" si="3"/>
        <v>36449.778199052133</v>
      </c>
      <c r="T21" s="1611">
        <f t="shared" si="4"/>
        <v>1245367.4218009477</v>
      </c>
      <c r="U21" s="1580">
        <v>13674.8</v>
      </c>
      <c r="V21" s="1580">
        <v>500</v>
      </c>
      <c r="W21" s="1580" t="s">
        <v>2196</v>
      </c>
      <c r="X21" s="1580" t="s">
        <v>3232</v>
      </c>
      <c r="Y21" s="1580">
        <f>U21/V21*0.35*21</f>
        <v>201.01955999999998</v>
      </c>
      <c r="Z21" s="1580">
        <f>Y21*10</f>
        <v>2010.1955999999998</v>
      </c>
      <c r="AA21" s="1580">
        <f>Z21/0.75</f>
        <v>2680.2607999999996</v>
      </c>
    </row>
    <row r="22" spans="1:27" ht="25.5">
      <c r="A22" s="1609">
        <v>24</v>
      </c>
      <c r="B22" s="1056" t="s">
        <v>1251</v>
      </c>
      <c r="C22" s="1614" t="s">
        <v>1252</v>
      </c>
      <c r="D22" s="1609" t="s">
        <v>1022</v>
      </c>
      <c r="E22" s="4092"/>
      <c r="F22" s="1609"/>
      <c r="G22" s="1609"/>
      <c r="H22" s="1609"/>
      <c r="I22" s="1609">
        <v>6</v>
      </c>
      <c r="J22" s="1609">
        <v>205</v>
      </c>
      <c r="K22" s="1609"/>
      <c r="L22" s="1581">
        <v>328</v>
      </c>
      <c r="M22" s="1612">
        <f>AA22</f>
        <v>328.1952</v>
      </c>
      <c r="N22" s="1609"/>
      <c r="O22" s="1609"/>
      <c r="P22" s="1581">
        <f t="shared" si="1"/>
        <v>328</v>
      </c>
      <c r="Q22" s="1610">
        <f>234*1.07</f>
        <v>250.38000000000002</v>
      </c>
      <c r="R22" s="1611">
        <f t="shared" si="2"/>
        <v>82124.640000000014</v>
      </c>
      <c r="S22" s="1611">
        <f t="shared" si="3"/>
        <v>2335.2978199052136</v>
      </c>
      <c r="T22" s="1611">
        <f t="shared" si="4"/>
        <v>79789.342180094798</v>
      </c>
      <c r="U22" s="1592">
        <v>13674.8</v>
      </c>
      <c r="V22" s="1580">
        <v>500</v>
      </c>
      <c r="W22" s="1580" t="s">
        <v>3173</v>
      </c>
      <c r="Y22" s="1580">
        <f>U22/V22*0.45</f>
        <v>12.307319999999999</v>
      </c>
      <c r="Z22" s="1580">
        <f>Y22*12</f>
        <v>147.68783999999999</v>
      </c>
      <c r="AA22" s="1580">
        <f>Z22/0.45</f>
        <v>328.1952</v>
      </c>
    </row>
    <row r="23" spans="1:27" ht="25.5">
      <c r="A23" s="1609">
        <v>25</v>
      </c>
      <c r="B23" s="1056" t="s">
        <v>1253</v>
      </c>
      <c r="C23" s="1614" t="s">
        <v>1254</v>
      </c>
      <c r="D23" s="1609" t="s">
        <v>1022</v>
      </c>
      <c r="E23" s="4092"/>
      <c r="F23" s="1609"/>
      <c r="G23" s="1609"/>
      <c r="H23" s="1609"/>
      <c r="I23" s="1609">
        <v>6</v>
      </c>
      <c r="J23" s="1609">
        <v>205</v>
      </c>
      <c r="K23" s="1609"/>
      <c r="L23" s="1581">
        <v>300</v>
      </c>
      <c r="M23" s="1581"/>
      <c r="N23" s="1609"/>
      <c r="O23" s="1609"/>
      <c r="P23" s="1581">
        <f t="shared" si="1"/>
        <v>300</v>
      </c>
      <c r="Q23" s="1610">
        <f>554*1.07</f>
        <v>592.78000000000009</v>
      </c>
      <c r="R23" s="1611">
        <f t="shared" si="2"/>
        <v>177834.00000000003</v>
      </c>
      <c r="S23" s="1611">
        <f t="shared" si="3"/>
        <v>5056.8909952606637</v>
      </c>
      <c r="T23" s="1611">
        <f t="shared" si="4"/>
        <v>172777.10900473935</v>
      </c>
    </row>
    <row r="24" spans="1:27" ht="29.25" customHeight="1">
      <c r="A24" s="1609">
        <v>26</v>
      </c>
      <c r="B24" s="1056" t="s">
        <v>1255</v>
      </c>
      <c r="C24" s="1614" t="s">
        <v>1256</v>
      </c>
      <c r="D24" s="1609" t="s">
        <v>1022</v>
      </c>
      <c r="E24" s="4093"/>
      <c r="F24" s="1609"/>
      <c r="G24" s="1609"/>
      <c r="H24" s="1609"/>
      <c r="I24" s="1609">
        <v>6</v>
      </c>
      <c r="J24" s="1609">
        <v>205</v>
      </c>
      <c r="K24" s="1609"/>
      <c r="L24" s="1581">
        <v>328</v>
      </c>
      <c r="M24" s="1609">
        <v>328</v>
      </c>
      <c r="N24" s="1609"/>
      <c r="O24" s="1609"/>
      <c r="P24" s="1581">
        <f t="shared" si="1"/>
        <v>328</v>
      </c>
      <c r="Q24" s="1610">
        <f>628*1.07</f>
        <v>671.96</v>
      </c>
      <c r="R24" s="1611">
        <f t="shared" si="2"/>
        <v>220402.88</v>
      </c>
      <c r="S24" s="1611">
        <f t="shared" si="3"/>
        <v>6267.3804739336492</v>
      </c>
      <c r="T24" s="1611">
        <f t="shared" si="4"/>
        <v>214135.49952606636</v>
      </c>
      <c r="U24" s="1592">
        <v>13674.8</v>
      </c>
      <c r="V24" s="1580">
        <v>500</v>
      </c>
      <c r="W24" s="1580" t="s">
        <v>2199</v>
      </c>
      <c r="Y24" s="1580">
        <f>U24/V24*0.5</f>
        <v>13.674799999999999</v>
      </c>
      <c r="Z24" s="1580">
        <f>Y24*12</f>
        <v>164.0976</v>
      </c>
      <c r="AA24" s="1580">
        <f>Z24/0.5</f>
        <v>328.1952</v>
      </c>
    </row>
    <row r="25" spans="1:27">
      <c r="A25" s="1609"/>
      <c r="B25" s="1616" t="s">
        <v>1260</v>
      </c>
      <c r="C25" s="1614"/>
      <c r="D25" s="1056"/>
      <c r="E25" s="1581"/>
      <c r="F25" s="1609"/>
      <c r="G25" s="1609"/>
      <c r="H25" s="1609"/>
      <c r="I25" s="1609"/>
      <c r="J25" s="1609"/>
      <c r="K25" s="1609"/>
      <c r="L25" s="1583"/>
      <c r="M25" s="1583"/>
      <c r="N25" s="1609"/>
      <c r="O25" s="1609"/>
      <c r="P25" s="1581"/>
      <c r="Q25" s="1610"/>
      <c r="R25" s="1617">
        <f>SUM(R26:R205)</f>
        <v>8468747.5</v>
      </c>
      <c r="S25" s="1617">
        <f>SUM(S26:S205)</f>
        <v>240817.46445497638</v>
      </c>
      <c r="T25" s="1617">
        <f>SUM(T26:T205)</f>
        <v>8227930.0355450232</v>
      </c>
    </row>
    <row r="26" spans="1:27">
      <c r="A26" s="1609">
        <v>264</v>
      </c>
      <c r="B26" s="1625" t="s">
        <v>1261</v>
      </c>
      <c r="C26" s="1621" t="s">
        <v>1262</v>
      </c>
      <c r="D26" s="1610" t="s">
        <v>1263</v>
      </c>
      <c r="E26" s="1662">
        <v>13674.8</v>
      </c>
      <c r="F26" s="1581"/>
      <c r="G26" s="1581"/>
      <c r="H26" s="1581"/>
      <c r="I26" s="1609">
        <v>6</v>
      </c>
      <c r="J26" s="1609">
        <v>205</v>
      </c>
      <c r="K26" s="1581"/>
      <c r="L26" s="1610">
        <v>4199</v>
      </c>
      <c r="M26" s="1610">
        <f>U26</f>
        <v>4199.04</v>
      </c>
      <c r="N26" s="1581"/>
      <c r="O26" s="1581"/>
      <c r="P26" s="1581">
        <f t="shared" ref="P26:P58" si="5">L26-O26</f>
        <v>4199</v>
      </c>
      <c r="Q26" s="1581">
        <f>430*1.07</f>
        <v>460.1</v>
      </c>
      <c r="R26" s="1611">
        <f t="shared" ref="R26:R58" si="6">P26*Q26</f>
        <v>1931959.9000000001</v>
      </c>
      <c r="S26" s="1611">
        <f t="shared" ref="S26:S58" si="7">R26*(I26/(I26+J26+K26))</f>
        <v>54937.248341232225</v>
      </c>
      <c r="T26" s="1611">
        <f t="shared" ref="T26:T58" si="8">R26-S26</f>
        <v>1877022.6516587678</v>
      </c>
      <c r="U26" s="1580">
        <f>486*2*12*54/150</f>
        <v>4199.04</v>
      </c>
    </row>
    <row r="27" spans="1:27" ht="25.5">
      <c r="A27" s="1609">
        <v>38</v>
      </c>
      <c r="B27" s="1618" t="s">
        <v>1266</v>
      </c>
      <c r="C27" s="1614" t="s">
        <v>1267</v>
      </c>
      <c r="D27" s="1619" t="s">
        <v>1268</v>
      </c>
      <c r="E27" s="1662">
        <v>13674.8</v>
      </c>
      <c r="F27" s="1609"/>
      <c r="G27" s="1609"/>
      <c r="H27" s="1609"/>
      <c r="I27" s="1609">
        <v>6</v>
      </c>
      <c r="J27" s="1609">
        <v>205</v>
      </c>
      <c r="K27" s="1609"/>
      <c r="L27" s="1623">
        <v>1</v>
      </c>
      <c r="M27" s="1623"/>
      <c r="N27" s="1609"/>
      <c r="O27" s="1609"/>
      <c r="P27" s="1581">
        <f t="shared" si="5"/>
        <v>1</v>
      </c>
      <c r="Q27" s="1610">
        <f>14000*1.07</f>
        <v>14980</v>
      </c>
      <c r="R27" s="1611">
        <f t="shared" si="6"/>
        <v>14980</v>
      </c>
      <c r="S27" s="1611">
        <f t="shared" si="7"/>
        <v>425.97156398104261</v>
      </c>
      <c r="T27" s="1611">
        <f t="shared" si="8"/>
        <v>14554.028436018958</v>
      </c>
    </row>
    <row r="28" spans="1:27" ht="25.5">
      <c r="A28" s="1609">
        <v>39</v>
      </c>
      <c r="B28" s="1618" t="s">
        <v>1266</v>
      </c>
      <c r="C28" s="1614" t="s">
        <v>1269</v>
      </c>
      <c r="D28" s="1619" t="s">
        <v>1268</v>
      </c>
      <c r="E28" s="1662">
        <v>13674.8</v>
      </c>
      <c r="F28" s="1609"/>
      <c r="G28" s="1609"/>
      <c r="H28" s="1609"/>
      <c r="I28" s="1609">
        <v>6</v>
      </c>
      <c r="J28" s="1609">
        <v>205</v>
      </c>
      <c r="K28" s="1609"/>
      <c r="L28" s="1623">
        <v>1</v>
      </c>
      <c r="M28" s="1623"/>
      <c r="N28" s="1609"/>
      <c r="O28" s="1609"/>
      <c r="P28" s="1581">
        <f t="shared" si="5"/>
        <v>1</v>
      </c>
      <c r="Q28" s="1610">
        <f>12000*1.07</f>
        <v>12840</v>
      </c>
      <c r="R28" s="1611">
        <f t="shared" si="6"/>
        <v>12840</v>
      </c>
      <c r="S28" s="1611">
        <f t="shared" si="7"/>
        <v>365.11848341232223</v>
      </c>
      <c r="T28" s="1611">
        <f t="shared" si="8"/>
        <v>12474.881516587679</v>
      </c>
      <c r="U28" s="1580">
        <v>310</v>
      </c>
      <c r="V28" s="1580">
        <v>310</v>
      </c>
      <c r="W28" s="1580">
        <v>86</v>
      </c>
    </row>
    <row r="29" spans="1:27" ht="25.5">
      <c r="A29" s="1609">
        <v>40</v>
      </c>
      <c r="B29" s="1618" t="s">
        <v>1266</v>
      </c>
      <c r="C29" s="1614" t="s">
        <v>1270</v>
      </c>
      <c r="D29" s="1619" t="s">
        <v>1268</v>
      </c>
      <c r="E29" s="1662">
        <v>13674.8</v>
      </c>
      <c r="F29" s="1609"/>
      <c r="G29" s="1609"/>
      <c r="H29" s="1609"/>
      <c r="I29" s="1609">
        <v>6</v>
      </c>
      <c r="J29" s="1609">
        <v>205</v>
      </c>
      <c r="K29" s="1609"/>
      <c r="L29" s="1623">
        <v>1</v>
      </c>
      <c r="M29" s="1623"/>
      <c r="N29" s="1609"/>
      <c r="O29" s="1609"/>
      <c r="P29" s="1581">
        <f t="shared" si="5"/>
        <v>1</v>
      </c>
      <c r="Q29" s="1610">
        <f>11000*1.07</f>
        <v>11770</v>
      </c>
      <c r="R29" s="1611">
        <f t="shared" si="6"/>
        <v>11770</v>
      </c>
      <c r="S29" s="1611">
        <f t="shared" si="7"/>
        <v>334.69194312796208</v>
      </c>
      <c r="T29" s="1611">
        <f t="shared" si="8"/>
        <v>11435.308056872038</v>
      </c>
    </row>
    <row r="30" spans="1:27" ht="25.5">
      <c r="A30" s="1609">
        <v>41</v>
      </c>
      <c r="B30" s="1618" t="s">
        <v>1266</v>
      </c>
      <c r="C30" s="1614" t="s">
        <v>1271</v>
      </c>
      <c r="D30" s="1619" t="s">
        <v>1268</v>
      </c>
      <c r="E30" s="1662">
        <v>13674.8</v>
      </c>
      <c r="F30" s="1609"/>
      <c r="G30" s="1609"/>
      <c r="H30" s="1609"/>
      <c r="I30" s="1609">
        <v>6</v>
      </c>
      <c r="J30" s="1609">
        <v>205</v>
      </c>
      <c r="K30" s="1609"/>
      <c r="L30" s="1623">
        <v>1</v>
      </c>
      <c r="M30" s="1623"/>
      <c r="N30" s="1609"/>
      <c r="O30" s="1609"/>
      <c r="P30" s="1581">
        <f t="shared" si="5"/>
        <v>1</v>
      </c>
      <c r="Q30" s="1610">
        <f>10000*1.07</f>
        <v>10700</v>
      </c>
      <c r="R30" s="1611">
        <f t="shared" si="6"/>
        <v>10700</v>
      </c>
      <c r="S30" s="1611">
        <f t="shared" si="7"/>
        <v>304.26540284360186</v>
      </c>
      <c r="T30" s="1611">
        <f t="shared" si="8"/>
        <v>10395.734597156397</v>
      </c>
    </row>
    <row r="31" spans="1:27" ht="25.5">
      <c r="A31" s="1609">
        <v>42</v>
      </c>
      <c r="B31" s="1618" t="s">
        <v>1273</v>
      </c>
      <c r="C31" s="1614" t="s">
        <v>3233</v>
      </c>
      <c r="D31" s="1619" t="s">
        <v>1268</v>
      </c>
      <c r="E31" s="1662">
        <v>13674.8</v>
      </c>
      <c r="F31" s="1609"/>
      <c r="G31" s="1609"/>
      <c r="H31" s="1609"/>
      <c r="I31" s="1609">
        <v>6</v>
      </c>
      <c r="J31" s="1609">
        <v>205</v>
      </c>
      <c r="K31" s="1609"/>
      <c r="L31" s="1619">
        <v>5</v>
      </c>
      <c r="M31" s="1619"/>
      <c r="N31" s="1609"/>
      <c r="O31" s="1609"/>
      <c r="P31" s="1581">
        <f t="shared" si="5"/>
        <v>5</v>
      </c>
      <c r="Q31" s="1610">
        <f>1210*1.07</f>
        <v>1294.7</v>
      </c>
      <c r="R31" s="1611">
        <f t="shared" si="6"/>
        <v>6473.5</v>
      </c>
      <c r="S31" s="1611">
        <f t="shared" si="7"/>
        <v>184.08056872037915</v>
      </c>
      <c r="T31" s="1611">
        <f t="shared" si="8"/>
        <v>6289.4194312796208</v>
      </c>
    </row>
    <row r="32" spans="1:27" ht="25.5">
      <c r="A32" s="1609">
        <v>43</v>
      </c>
      <c r="B32" s="1618" t="s">
        <v>1273</v>
      </c>
      <c r="C32" s="1614" t="s">
        <v>1274</v>
      </c>
      <c r="D32" s="1619" t="s">
        <v>1268</v>
      </c>
      <c r="E32" s="1662">
        <v>13674.8</v>
      </c>
      <c r="F32" s="1609"/>
      <c r="G32" s="1609"/>
      <c r="H32" s="1609"/>
      <c r="I32" s="1609">
        <v>6</v>
      </c>
      <c r="J32" s="1609">
        <v>205</v>
      </c>
      <c r="K32" s="1609"/>
      <c r="L32" s="1619">
        <v>5</v>
      </c>
      <c r="M32" s="1619"/>
      <c r="N32" s="1609"/>
      <c r="O32" s="1609"/>
      <c r="P32" s="1581">
        <f t="shared" si="5"/>
        <v>5</v>
      </c>
      <c r="Q32" s="1610">
        <f>1210*1.07</f>
        <v>1294.7</v>
      </c>
      <c r="R32" s="1611">
        <f t="shared" si="6"/>
        <v>6473.5</v>
      </c>
      <c r="S32" s="1611">
        <f t="shared" si="7"/>
        <v>184.08056872037915</v>
      </c>
      <c r="T32" s="1611">
        <f t="shared" si="8"/>
        <v>6289.4194312796208</v>
      </c>
    </row>
    <row r="33" spans="1:20" ht="25.5">
      <c r="A33" s="1609">
        <v>44</v>
      </c>
      <c r="B33" s="1618" t="s">
        <v>1273</v>
      </c>
      <c r="C33" s="1614" t="s">
        <v>2495</v>
      </c>
      <c r="D33" s="1619" t="s">
        <v>1268</v>
      </c>
      <c r="E33" s="1662">
        <v>13674.8</v>
      </c>
      <c r="F33" s="1609"/>
      <c r="G33" s="1609"/>
      <c r="H33" s="1609"/>
      <c r="I33" s="1609">
        <v>6</v>
      </c>
      <c r="J33" s="1609">
        <v>205</v>
      </c>
      <c r="K33" s="1609"/>
      <c r="L33" s="1619">
        <v>5</v>
      </c>
      <c r="M33" s="1619"/>
      <c r="N33" s="1609"/>
      <c r="O33" s="1609"/>
      <c r="P33" s="1581">
        <f t="shared" si="5"/>
        <v>5</v>
      </c>
      <c r="Q33" s="1610">
        <f>1360*1.07</f>
        <v>1455.2</v>
      </c>
      <c r="R33" s="1611">
        <f t="shared" si="6"/>
        <v>7276</v>
      </c>
      <c r="S33" s="1611">
        <f t="shared" si="7"/>
        <v>206.90047393364927</v>
      </c>
      <c r="T33" s="1611">
        <f t="shared" si="8"/>
        <v>7069.0995260663503</v>
      </c>
    </row>
    <row r="34" spans="1:20" ht="25.5">
      <c r="A34" s="1609">
        <v>45</v>
      </c>
      <c r="B34" s="1618" t="s">
        <v>1273</v>
      </c>
      <c r="C34" s="1614" t="s">
        <v>2493</v>
      </c>
      <c r="D34" s="1619" t="s">
        <v>1268</v>
      </c>
      <c r="E34" s="1662">
        <v>13674.8</v>
      </c>
      <c r="F34" s="1609"/>
      <c r="G34" s="1609"/>
      <c r="H34" s="1609"/>
      <c r="I34" s="1609">
        <v>6</v>
      </c>
      <c r="J34" s="1609">
        <v>205</v>
      </c>
      <c r="K34" s="1609"/>
      <c r="L34" s="1619">
        <v>5</v>
      </c>
      <c r="M34" s="1619"/>
      <c r="N34" s="1609"/>
      <c r="O34" s="1609"/>
      <c r="P34" s="1581">
        <f t="shared" si="5"/>
        <v>5</v>
      </c>
      <c r="Q34" s="1610">
        <f>1360*1.07</f>
        <v>1455.2</v>
      </c>
      <c r="R34" s="1611">
        <f t="shared" si="6"/>
        <v>7276</v>
      </c>
      <c r="S34" s="1611">
        <f t="shared" si="7"/>
        <v>206.90047393364927</v>
      </c>
      <c r="T34" s="1611">
        <f t="shared" si="8"/>
        <v>7069.0995260663503</v>
      </c>
    </row>
    <row r="35" spans="1:20" ht="25.5">
      <c r="A35" s="1609">
        <v>46</v>
      </c>
      <c r="B35" s="1618" t="s">
        <v>1273</v>
      </c>
      <c r="C35" s="1614" t="s">
        <v>2496</v>
      </c>
      <c r="D35" s="1619" t="s">
        <v>1268</v>
      </c>
      <c r="E35" s="1662">
        <v>13674.8</v>
      </c>
      <c r="F35" s="1609"/>
      <c r="G35" s="1609"/>
      <c r="H35" s="1609"/>
      <c r="I35" s="1609">
        <v>6</v>
      </c>
      <c r="J35" s="1609">
        <v>205</v>
      </c>
      <c r="K35" s="1609"/>
      <c r="L35" s="1619">
        <v>5</v>
      </c>
      <c r="M35" s="1619"/>
      <c r="N35" s="1609"/>
      <c r="O35" s="1609"/>
      <c r="P35" s="1581">
        <f t="shared" si="5"/>
        <v>5</v>
      </c>
      <c r="Q35" s="1610">
        <f>1590*1.07</f>
        <v>1701.3000000000002</v>
      </c>
      <c r="R35" s="1611">
        <f t="shared" si="6"/>
        <v>8506.5</v>
      </c>
      <c r="S35" s="1611">
        <f t="shared" si="7"/>
        <v>241.89099526066349</v>
      </c>
      <c r="T35" s="1611">
        <f t="shared" si="8"/>
        <v>8264.6090047393373</v>
      </c>
    </row>
    <row r="36" spans="1:20" ht="25.5">
      <c r="A36" s="1609">
        <v>47</v>
      </c>
      <c r="B36" s="1618" t="s">
        <v>2497</v>
      </c>
      <c r="C36" s="1614" t="s">
        <v>2498</v>
      </c>
      <c r="D36" s="1619" t="s">
        <v>1268</v>
      </c>
      <c r="E36" s="1662">
        <v>13674.8</v>
      </c>
      <c r="F36" s="1609"/>
      <c r="G36" s="1609"/>
      <c r="H36" s="1609"/>
      <c r="I36" s="1609">
        <v>6</v>
      </c>
      <c r="J36" s="1609">
        <v>205</v>
      </c>
      <c r="K36" s="1609"/>
      <c r="L36" s="1619">
        <v>5</v>
      </c>
      <c r="M36" s="1619"/>
      <c r="N36" s="1609"/>
      <c r="O36" s="1609"/>
      <c r="P36" s="1581">
        <f t="shared" si="5"/>
        <v>5</v>
      </c>
      <c r="Q36" s="1610">
        <f>490*1.07</f>
        <v>524.30000000000007</v>
      </c>
      <c r="R36" s="1611">
        <f t="shared" si="6"/>
        <v>2621.5000000000005</v>
      </c>
      <c r="S36" s="1611">
        <f t="shared" si="7"/>
        <v>74.545023696682478</v>
      </c>
      <c r="T36" s="1611">
        <f t="shared" si="8"/>
        <v>2546.9549763033178</v>
      </c>
    </row>
    <row r="37" spans="1:20" ht="25.5">
      <c r="A37" s="1609">
        <v>48</v>
      </c>
      <c r="B37" s="1618" t="s">
        <v>2497</v>
      </c>
      <c r="C37" s="1614" t="s">
        <v>3234</v>
      </c>
      <c r="D37" s="1619" t="s">
        <v>1268</v>
      </c>
      <c r="E37" s="1662">
        <v>13674.8</v>
      </c>
      <c r="F37" s="1609"/>
      <c r="G37" s="1609"/>
      <c r="H37" s="1609"/>
      <c r="I37" s="1609">
        <v>6</v>
      </c>
      <c r="J37" s="1609">
        <v>205</v>
      </c>
      <c r="K37" s="1609"/>
      <c r="L37" s="1619">
        <v>5</v>
      </c>
      <c r="M37" s="1619"/>
      <c r="N37" s="1609"/>
      <c r="O37" s="1609"/>
      <c r="P37" s="1581">
        <f t="shared" si="5"/>
        <v>5</v>
      </c>
      <c r="Q37" s="1610">
        <f>540*1.07</f>
        <v>577.80000000000007</v>
      </c>
      <c r="R37" s="1611">
        <f t="shared" si="6"/>
        <v>2889.0000000000005</v>
      </c>
      <c r="S37" s="1611">
        <f t="shared" si="7"/>
        <v>82.151658767772517</v>
      </c>
      <c r="T37" s="1611">
        <f t="shared" si="8"/>
        <v>2806.848341232228</v>
      </c>
    </row>
    <row r="38" spans="1:20" ht="25.5">
      <c r="A38" s="1609">
        <v>49</v>
      </c>
      <c r="B38" s="1618" t="s">
        <v>2497</v>
      </c>
      <c r="C38" s="1614" t="s">
        <v>2499</v>
      </c>
      <c r="D38" s="1619" t="s">
        <v>1268</v>
      </c>
      <c r="E38" s="1662">
        <v>13674.8</v>
      </c>
      <c r="F38" s="1609"/>
      <c r="G38" s="1609"/>
      <c r="H38" s="1609"/>
      <c r="I38" s="1609">
        <v>6</v>
      </c>
      <c r="J38" s="1609">
        <v>205</v>
      </c>
      <c r="K38" s="1609"/>
      <c r="L38" s="1619">
        <v>5</v>
      </c>
      <c r="M38" s="1619"/>
      <c r="N38" s="1609"/>
      <c r="O38" s="1609"/>
      <c r="P38" s="1581">
        <f t="shared" si="5"/>
        <v>5</v>
      </c>
      <c r="Q38" s="1610">
        <f>560*1.07</f>
        <v>599.20000000000005</v>
      </c>
      <c r="R38" s="1611">
        <f t="shared" si="6"/>
        <v>2996</v>
      </c>
      <c r="S38" s="1611">
        <f t="shared" si="7"/>
        <v>85.194312796208521</v>
      </c>
      <c r="T38" s="1611">
        <f t="shared" si="8"/>
        <v>2910.8056872037914</v>
      </c>
    </row>
    <row r="39" spans="1:20" ht="25.5">
      <c r="A39" s="1609">
        <v>50</v>
      </c>
      <c r="B39" s="1618" t="s">
        <v>2497</v>
      </c>
      <c r="C39" s="1614" t="s">
        <v>2500</v>
      </c>
      <c r="D39" s="1619" t="s">
        <v>1268</v>
      </c>
      <c r="E39" s="1662">
        <v>13674.8</v>
      </c>
      <c r="F39" s="1609"/>
      <c r="G39" s="1609"/>
      <c r="H39" s="1609"/>
      <c r="I39" s="1609">
        <v>6</v>
      </c>
      <c r="J39" s="1609">
        <v>205</v>
      </c>
      <c r="K39" s="1609"/>
      <c r="L39" s="1619">
        <v>5</v>
      </c>
      <c r="M39" s="1619"/>
      <c r="N39" s="1609"/>
      <c r="O39" s="1609"/>
      <c r="P39" s="1581">
        <f t="shared" si="5"/>
        <v>5</v>
      </c>
      <c r="Q39" s="1610">
        <f>620*1.07</f>
        <v>663.40000000000009</v>
      </c>
      <c r="R39" s="1611">
        <f t="shared" si="6"/>
        <v>3317.0000000000005</v>
      </c>
      <c r="S39" s="1611">
        <f t="shared" si="7"/>
        <v>94.322274881516591</v>
      </c>
      <c r="T39" s="1611">
        <f t="shared" si="8"/>
        <v>3222.677725118484</v>
      </c>
    </row>
    <row r="40" spans="1:20" ht="25.5">
      <c r="A40" s="1609">
        <v>51</v>
      </c>
      <c r="B40" s="1618" t="s">
        <v>1282</v>
      </c>
      <c r="C40" s="1614" t="s">
        <v>1283</v>
      </c>
      <c r="D40" s="1619" t="s">
        <v>1268</v>
      </c>
      <c r="E40" s="1662">
        <v>13674.8</v>
      </c>
      <c r="F40" s="1609"/>
      <c r="G40" s="1609"/>
      <c r="H40" s="1609"/>
      <c r="I40" s="1609">
        <v>6</v>
      </c>
      <c r="J40" s="1609">
        <v>205</v>
      </c>
      <c r="K40" s="1609"/>
      <c r="L40" s="1619">
        <v>5</v>
      </c>
      <c r="M40" s="1619"/>
      <c r="N40" s="1609"/>
      <c r="O40" s="1609"/>
      <c r="P40" s="1581">
        <f t="shared" si="5"/>
        <v>5</v>
      </c>
      <c r="Q40" s="1610">
        <f>620*1.07</f>
        <v>663.40000000000009</v>
      </c>
      <c r="R40" s="1611">
        <f t="shared" si="6"/>
        <v>3317.0000000000005</v>
      </c>
      <c r="S40" s="1611">
        <f t="shared" si="7"/>
        <v>94.322274881516591</v>
      </c>
      <c r="T40" s="1611">
        <f t="shared" si="8"/>
        <v>3222.677725118484</v>
      </c>
    </row>
    <row r="41" spans="1:20" ht="25.5">
      <c r="A41" s="1609">
        <v>52</v>
      </c>
      <c r="B41" s="1618" t="s">
        <v>2497</v>
      </c>
      <c r="C41" s="1614" t="s">
        <v>3235</v>
      </c>
      <c r="D41" s="1619" t="s">
        <v>1268</v>
      </c>
      <c r="E41" s="1662">
        <v>13674.8</v>
      </c>
      <c r="F41" s="1609"/>
      <c r="G41" s="1609"/>
      <c r="H41" s="1609"/>
      <c r="I41" s="1609">
        <v>6</v>
      </c>
      <c r="J41" s="1609">
        <v>205</v>
      </c>
      <c r="K41" s="1609"/>
      <c r="L41" s="1619">
        <v>5</v>
      </c>
      <c r="M41" s="1619"/>
      <c r="N41" s="1609"/>
      <c r="O41" s="1609"/>
      <c r="P41" s="1581">
        <f t="shared" si="5"/>
        <v>5</v>
      </c>
      <c r="Q41" s="1610">
        <f>710*1.07</f>
        <v>759.7</v>
      </c>
      <c r="R41" s="1611">
        <f t="shared" si="6"/>
        <v>3798.5</v>
      </c>
      <c r="S41" s="1611">
        <f t="shared" si="7"/>
        <v>108.01421800947867</v>
      </c>
      <c r="T41" s="1611">
        <f t="shared" si="8"/>
        <v>3690.4857819905214</v>
      </c>
    </row>
    <row r="42" spans="1:20" hidden="1">
      <c r="A42" s="1609"/>
      <c r="B42" s="1620"/>
      <c r="C42" s="1621"/>
      <c r="D42" s="1620"/>
      <c r="E42" s="1662">
        <v>13674.8</v>
      </c>
      <c r="F42" s="1581"/>
      <c r="G42" s="1581"/>
      <c r="H42" s="1581"/>
      <c r="I42" s="1609"/>
      <c r="J42" s="1609"/>
      <c r="K42" s="1581"/>
      <c r="L42" s="1620"/>
      <c r="M42" s="1620"/>
      <c r="N42" s="1581"/>
      <c r="O42" s="1581"/>
      <c r="P42" s="1581"/>
      <c r="Q42" s="1581"/>
      <c r="R42" s="1611"/>
      <c r="S42" s="1611"/>
      <c r="T42" s="1611"/>
    </row>
    <row r="43" spans="1:20" hidden="1">
      <c r="A43" s="1609"/>
      <c r="B43" s="1620"/>
      <c r="C43" s="1621"/>
      <c r="D43" s="1620"/>
      <c r="E43" s="1662">
        <v>13674.8</v>
      </c>
      <c r="F43" s="1581"/>
      <c r="G43" s="1581"/>
      <c r="H43" s="1581"/>
      <c r="I43" s="1609"/>
      <c r="J43" s="1609"/>
      <c r="K43" s="1581"/>
      <c r="L43" s="1620"/>
      <c r="M43" s="1620"/>
      <c r="N43" s="1581"/>
      <c r="O43" s="1581"/>
      <c r="P43" s="1581"/>
      <c r="Q43" s="1581"/>
      <c r="R43" s="1611"/>
      <c r="S43" s="1611"/>
      <c r="T43" s="1611"/>
    </row>
    <row r="44" spans="1:20" hidden="1">
      <c r="A44" s="1609">
        <v>231</v>
      </c>
      <c r="B44" s="1622" t="s">
        <v>1288</v>
      </c>
      <c r="C44" s="1621" t="s">
        <v>1289</v>
      </c>
      <c r="D44" s="1622" t="s">
        <v>1290</v>
      </c>
      <c r="E44" s="1662">
        <v>13674.8</v>
      </c>
      <c r="F44" s="1581"/>
      <c r="G44" s="1581"/>
      <c r="H44" s="1581"/>
      <c r="I44" s="1609">
        <v>6</v>
      </c>
      <c r="J44" s="1609">
        <v>205</v>
      </c>
      <c r="K44" s="1581"/>
      <c r="L44" s="1610"/>
      <c r="M44" s="1610"/>
      <c r="N44" s="1581"/>
      <c r="O44" s="1581"/>
      <c r="P44" s="1581">
        <f t="shared" si="5"/>
        <v>0</v>
      </c>
      <c r="Q44" s="1581"/>
      <c r="R44" s="1611">
        <f t="shared" si="6"/>
        <v>0</v>
      </c>
      <c r="S44" s="1611">
        <f t="shared" si="7"/>
        <v>0</v>
      </c>
      <c r="T44" s="1611">
        <f t="shared" si="8"/>
        <v>0</v>
      </c>
    </row>
    <row r="45" spans="1:20" hidden="1">
      <c r="A45" s="1609">
        <v>232</v>
      </c>
      <c r="B45" s="1622" t="s">
        <v>1288</v>
      </c>
      <c r="C45" s="1621" t="s">
        <v>1291</v>
      </c>
      <c r="D45" s="1622" t="s">
        <v>1290</v>
      </c>
      <c r="E45" s="1662">
        <v>13674.8</v>
      </c>
      <c r="F45" s="1581"/>
      <c r="G45" s="1581"/>
      <c r="H45" s="1581"/>
      <c r="I45" s="1609">
        <v>6</v>
      </c>
      <c r="J45" s="1609">
        <v>205</v>
      </c>
      <c r="K45" s="1581"/>
      <c r="L45" s="1610"/>
      <c r="M45" s="1610"/>
      <c r="N45" s="1581"/>
      <c r="O45" s="1581"/>
      <c r="P45" s="1581">
        <f t="shared" si="5"/>
        <v>0</v>
      </c>
      <c r="Q45" s="1581"/>
      <c r="R45" s="1611">
        <f t="shared" si="6"/>
        <v>0</v>
      </c>
      <c r="S45" s="1611">
        <f t="shared" si="7"/>
        <v>0</v>
      </c>
      <c r="T45" s="1611">
        <f t="shared" si="8"/>
        <v>0</v>
      </c>
    </row>
    <row r="46" spans="1:20" ht="25.5" hidden="1">
      <c r="A46" s="1609">
        <v>222</v>
      </c>
      <c r="B46" s="1620" t="s">
        <v>1288</v>
      </c>
      <c r="C46" s="1621" t="s">
        <v>1292</v>
      </c>
      <c r="D46" s="1620" t="s">
        <v>1022</v>
      </c>
      <c r="E46" s="1662">
        <v>13674.8</v>
      </c>
      <c r="F46" s="1581"/>
      <c r="G46" s="1581"/>
      <c r="H46" s="1581"/>
      <c r="I46" s="1609">
        <v>6</v>
      </c>
      <c r="J46" s="1609">
        <v>205</v>
      </c>
      <c r="K46" s="1581"/>
      <c r="L46" s="1620"/>
      <c r="M46" s="1620"/>
      <c r="N46" s="1581"/>
      <c r="O46" s="1581"/>
      <c r="P46" s="1581">
        <f t="shared" si="5"/>
        <v>0</v>
      </c>
      <c r="Q46" s="1581"/>
      <c r="R46" s="1611">
        <f t="shared" si="6"/>
        <v>0</v>
      </c>
      <c r="S46" s="1611">
        <f t="shared" si="7"/>
        <v>0</v>
      </c>
      <c r="T46" s="1611">
        <f t="shared" si="8"/>
        <v>0</v>
      </c>
    </row>
    <row r="47" spans="1:20" ht="25.5" hidden="1">
      <c r="A47" s="1609">
        <v>221</v>
      </c>
      <c r="B47" s="1620" t="s">
        <v>1288</v>
      </c>
      <c r="C47" s="1621" t="s">
        <v>1293</v>
      </c>
      <c r="D47" s="1620" t="s">
        <v>1022</v>
      </c>
      <c r="E47" s="1662">
        <v>13674.8</v>
      </c>
      <c r="F47" s="1581"/>
      <c r="G47" s="1581"/>
      <c r="H47" s="1581"/>
      <c r="I47" s="1609">
        <v>6</v>
      </c>
      <c r="J47" s="1609">
        <v>205</v>
      </c>
      <c r="K47" s="1581"/>
      <c r="L47" s="1620"/>
      <c r="M47" s="1620"/>
      <c r="N47" s="1581"/>
      <c r="O47" s="1581"/>
      <c r="P47" s="1581">
        <f t="shared" si="5"/>
        <v>0</v>
      </c>
      <c r="Q47" s="1581"/>
      <c r="R47" s="1611">
        <f t="shared" si="6"/>
        <v>0</v>
      </c>
      <c r="S47" s="1611">
        <f t="shared" si="7"/>
        <v>0</v>
      </c>
      <c r="T47" s="1611">
        <f t="shared" si="8"/>
        <v>0</v>
      </c>
    </row>
    <row r="48" spans="1:20">
      <c r="A48" s="1609">
        <v>37</v>
      </c>
      <c r="B48" s="1618" t="s">
        <v>1294</v>
      </c>
      <c r="C48" s="1614" t="s">
        <v>2204</v>
      </c>
      <c r="D48" s="1619" t="s">
        <v>1268</v>
      </c>
      <c r="E48" s="1662">
        <v>13674.8</v>
      </c>
      <c r="F48" s="1609"/>
      <c r="G48" s="1609"/>
      <c r="H48" s="1609"/>
      <c r="I48" s="1609">
        <v>6</v>
      </c>
      <c r="J48" s="1609">
        <v>205</v>
      </c>
      <c r="K48" s="1609"/>
      <c r="L48" s="1623">
        <v>20</v>
      </c>
      <c r="M48" s="1623"/>
      <c r="N48" s="1609"/>
      <c r="O48" s="1609"/>
      <c r="P48" s="1581">
        <f t="shared" si="5"/>
        <v>20</v>
      </c>
      <c r="Q48" s="1610">
        <v>107</v>
      </c>
      <c r="R48" s="1611">
        <f t="shared" si="6"/>
        <v>2140</v>
      </c>
      <c r="S48" s="1611">
        <f t="shared" si="7"/>
        <v>60.85308056872038</v>
      </c>
      <c r="T48" s="1611">
        <f t="shared" si="8"/>
        <v>2079.1469194312795</v>
      </c>
    </row>
    <row r="49" spans="1:24">
      <c r="A49" s="1609">
        <v>34</v>
      </c>
      <c r="B49" s="1618" t="s">
        <v>1297</v>
      </c>
      <c r="C49" s="1614" t="s">
        <v>1298</v>
      </c>
      <c r="D49" s="1619" t="s">
        <v>1268</v>
      </c>
      <c r="E49" s="1662">
        <v>13674.8</v>
      </c>
      <c r="F49" s="1609"/>
      <c r="G49" s="1609"/>
      <c r="H49" s="1609"/>
      <c r="I49" s="1609">
        <v>6</v>
      </c>
      <c r="J49" s="1609">
        <v>205</v>
      </c>
      <c r="K49" s="1609"/>
      <c r="L49" s="1623">
        <v>20</v>
      </c>
      <c r="M49" s="1623"/>
      <c r="N49" s="1609"/>
      <c r="O49" s="1609"/>
      <c r="P49" s="1581">
        <f t="shared" si="5"/>
        <v>20</v>
      </c>
      <c r="Q49" s="1610">
        <f>390*1.07</f>
        <v>417.3</v>
      </c>
      <c r="R49" s="1611">
        <f t="shared" si="6"/>
        <v>8346</v>
      </c>
      <c r="S49" s="1611">
        <f t="shared" si="7"/>
        <v>237.32701421800948</v>
      </c>
      <c r="T49" s="1611">
        <f t="shared" si="8"/>
        <v>8108.6729857819901</v>
      </c>
    </row>
    <row r="50" spans="1:24">
      <c r="A50" s="1609">
        <v>35</v>
      </c>
      <c r="B50" s="1618" t="s">
        <v>1294</v>
      </c>
      <c r="C50" s="1614" t="s">
        <v>3236</v>
      </c>
      <c r="D50" s="1619" t="s">
        <v>1268</v>
      </c>
      <c r="E50" s="1662">
        <v>13674.8</v>
      </c>
      <c r="F50" s="1609"/>
      <c r="G50" s="1609"/>
      <c r="H50" s="1609"/>
      <c r="I50" s="1609">
        <v>6</v>
      </c>
      <c r="J50" s="1609">
        <v>205</v>
      </c>
      <c r="K50" s="1609"/>
      <c r="L50" s="1623">
        <v>20</v>
      </c>
      <c r="M50" s="1623"/>
      <c r="N50" s="1609"/>
      <c r="O50" s="1609"/>
      <c r="P50" s="1581">
        <f t="shared" si="5"/>
        <v>20</v>
      </c>
      <c r="Q50" s="1610">
        <f>400*1.07</f>
        <v>428</v>
      </c>
      <c r="R50" s="1611">
        <f t="shared" si="6"/>
        <v>8560</v>
      </c>
      <c r="S50" s="1611">
        <f t="shared" si="7"/>
        <v>243.41232227488152</v>
      </c>
      <c r="T50" s="1611">
        <f t="shared" si="8"/>
        <v>8316.5876777251178</v>
      </c>
    </row>
    <row r="51" spans="1:24" ht="25.5">
      <c r="A51" s="1609">
        <v>209</v>
      </c>
      <c r="B51" s="1620" t="s">
        <v>1300</v>
      </c>
      <c r="C51" s="1621" t="s">
        <v>1301</v>
      </c>
      <c r="D51" s="1620" t="s">
        <v>1022</v>
      </c>
      <c r="E51" s="1662">
        <v>13674.8</v>
      </c>
      <c r="F51" s="1581"/>
      <c r="G51" s="1581"/>
      <c r="H51" s="1581"/>
      <c r="I51" s="1609">
        <v>6</v>
      </c>
      <c r="J51" s="1609">
        <v>205</v>
      </c>
      <c r="K51" s="1581"/>
      <c r="L51" s="1620">
        <v>3</v>
      </c>
      <c r="M51" s="1620"/>
      <c r="N51" s="1581"/>
      <c r="O51" s="1581"/>
      <c r="P51" s="1581">
        <f t="shared" si="5"/>
        <v>3</v>
      </c>
      <c r="Q51" s="1581">
        <f>190*1.07</f>
        <v>203.3</v>
      </c>
      <c r="R51" s="1611">
        <f t="shared" si="6"/>
        <v>609.90000000000009</v>
      </c>
      <c r="S51" s="1611">
        <f t="shared" si="7"/>
        <v>17.343127962085308</v>
      </c>
      <c r="T51" s="1611">
        <f t="shared" si="8"/>
        <v>592.55687203791479</v>
      </c>
    </row>
    <row r="52" spans="1:24" ht="38.25" hidden="1">
      <c r="A52" s="1609">
        <v>175</v>
      </c>
      <c r="B52" s="1618" t="s">
        <v>1303</v>
      </c>
      <c r="C52" s="1621" t="s">
        <v>1304</v>
      </c>
      <c r="D52" s="1622" t="s">
        <v>1263</v>
      </c>
      <c r="E52" s="1662">
        <v>13674.8</v>
      </c>
      <c r="F52" s="1581"/>
      <c r="G52" s="1581"/>
      <c r="H52" s="1581"/>
      <c r="I52" s="1609"/>
      <c r="J52" s="1609"/>
      <c r="K52" s="1581"/>
      <c r="L52" s="1622"/>
      <c r="M52" s="1622"/>
      <c r="N52" s="1581"/>
      <c r="O52" s="1581"/>
      <c r="P52" s="1581"/>
      <c r="Q52" s="1581"/>
      <c r="R52" s="1611"/>
      <c r="S52" s="1611"/>
      <c r="T52" s="1611"/>
    </row>
    <row r="53" spans="1:24" hidden="1">
      <c r="A53" s="1609">
        <v>210</v>
      </c>
      <c r="B53" s="1620" t="s">
        <v>1305</v>
      </c>
      <c r="C53" s="1621" t="s">
        <v>1306</v>
      </c>
      <c r="D53" s="1620" t="s">
        <v>1268</v>
      </c>
      <c r="E53" s="1662">
        <v>13674.8</v>
      </c>
      <c r="F53" s="1581"/>
      <c r="G53" s="1581"/>
      <c r="H53" s="1581"/>
      <c r="I53" s="1609">
        <v>6</v>
      </c>
      <c r="J53" s="1609">
        <v>205</v>
      </c>
      <c r="K53" s="1581"/>
      <c r="L53" s="1620"/>
      <c r="M53" s="1620"/>
      <c r="N53" s="1581"/>
      <c r="O53" s="1581"/>
      <c r="P53" s="1581">
        <f t="shared" si="5"/>
        <v>0</v>
      </c>
      <c r="Q53" s="1581"/>
      <c r="R53" s="1611">
        <f t="shared" si="6"/>
        <v>0</v>
      </c>
      <c r="S53" s="1611">
        <f t="shared" si="7"/>
        <v>0</v>
      </c>
      <c r="T53" s="1611">
        <f t="shared" si="8"/>
        <v>0</v>
      </c>
    </row>
    <row r="54" spans="1:24" hidden="1">
      <c r="A54" s="1609">
        <v>211</v>
      </c>
      <c r="B54" s="1620" t="s">
        <v>1305</v>
      </c>
      <c r="C54" s="1621" t="s">
        <v>1307</v>
      </c>
      <c r="D54" s="1620" t="s">
        <v>1268</v>
      </c>
      <c r="E54" s="1662">
        <v>13674.8</v>
      </c>
      <c r="F54" s="1581"/>
      <c r="G54" s="1581"/>
      <c r="H54" s="1581"/>
      <c r="I54" s="1609">
        <v>6</v>
      </c>
      <c r="J54" s="1609">
        <v>205</v>
      </c>
      <c r="K54" s="1581"/>
      <c r="L54" s="1620"/>
      <c r="M54" s="1620"/>
      <c r="N54" s="1581"/>
      <c r="O54" s="1581"/>
      <c r="P54" s="1581">
        <f t="shared" si="5"/>
        <v>0</v>
      </c>
      <c r="Q54" s="1581"/>
      <c r="R54" s="1611">
        <f t="shared" si="6"/>
        <v>0</v>
      </c>
      <c r="S54" s="1611">
        <f t="shared" si="7"/>
        <v>0</v>
      </c>
      <c r="T54" s="1611">
        <f t="shared" si="8"/>
        <v>0</v>
      </c>
    </row>
    <row r="55" spans="1:24" hidden="1">
      <c r="A55" s="1609">
        <v>212</v>
      </c>
      <c r="B55" s="1620" t="s">
        <v>1308</v>
      </c>
      <c r="C55" s="1621" t="s">
        <v>1309</v>
      </c>
      <c r="D55" s="1620" t="s">
        <v>1268</v>
      </c>
      <c r="E55" s="1662">
        <v>13674.8</v>
      </c>
      <c r="F55" s="1581"/>
      <c r="G55" s="1581"/>
      <c r="H55" s="1581"/>
      <c r="I55" s="1609">
        <v>6</v>
      </c>
      <c r="J55" s="1609">
        <v>205</v>
      </c>
      <c r="K55" s="1581"/>
      <c r="L55" s="1620"/>
      <c r="M55" s="1620"/>
      <c r="N55" s="1581"/>
      <c r="O55" s="1581"/>
      <c r="P55" s="1581">
        <f t="shared" si="5"/>
        <v>0</v>
      </c>
      <c r="Q55" s="1581"/>
      <c r="R55" s="1611">
        <f t="shared" si="6"/>
        <v>0</v>
      </c>
      <c r="S55" s="1611">
        <f t="shared" si="7"/>
        <v>0</v>
      </c>
      <c r="T55" s="1611">
        <f t="shared" si="8"/>
        <v>0</v>
      </c>
      <c r="U55" s="1580" t="s">
        <v>1302</v>
      </c>
    </row>
    <row r="56" spans="1:24">
      <c r="A56" s="1609">
        <v>144</v>
      </c>
      <c r="B56" s="1618" t="s">
        <v>1310</v>
      </c>
      <c r="C56" s="1621" t="s">
        <v>1311</v>
      </c>
      <c r="D56" s="1618" t="s">
        <v>1022</v>
      </c>
      <c r="E56" s="1662">
        <v>13674.8</v>
      </c>
      <c r="F56" s="1581"/>
      <c r="G56" s="1581"/>
      <c r="H56" s="1581"/>
      <c r="I56" s="1609">
        <v>6</v>
      </c>
      <c r="J56" s="1609">
        <v>205</v>
      </c>
      <c r="K56" s="1581"/>
      <c r="L56" s="1618">
        <v>1</v>
      </c>
      <c r="M56" s="1618"/>
      <c r="N56" s="1581"/>
      <c r="O56" s="1581"/>
      <c r="P56" s="1581">
        <f t="shared" si="5"/>
        <v>1</v>
      </c>
      <c r="Q56" s="1581">
        <f>2000*1.07</f>
        <v>2140</v>
      </c>
      <c r="R56" s="1611">
        <f t="shared" si="6"/>
        <v>2140</v>
      </c>
      <c r="S56" s="1611">
        <f t="shared" si="7"/>
        <v>60.85308056872038</v>
      </c>
      <c r="T56" s="1611">
        <f t="shared" si="8"/>
        <v>2079.1469194312795</v>
      </c>
      <c r="W56" s="1580" t="s">
        <v>3237</v>
      </c>
      <c r="X56" s="1580" t="s">
        <v>3238</v>
      </c>
    </row>
    <row r="57" spans="1:24" hidden="1">
      <c r="A57" s="1609"/>
      <c r="B57" s="1618" t="s">
        <v>1312</v>
      </c>
      <c r="C57" s="1621" t="s">
        <v>1313</v>
      </c>
      <c r="D57" s="1618"/>
      <c r="E57" s="1662">
        <v>13674.8</v>
      </c>
      <c r="F57" s="1581"/>
      <c r="G57" s="1581"/>
      <c r="H57" s="1581"/>
      <c r="I57" s="1609"/>
      <c r="J57" s="1609"/>
      <c r="K57" s="1581"/>
      <c r="L57" s="1618"/>
      <c r="M57" s="1618"/>
      <c r="N57" s="1581"/>
      <c r="O57" s="1581"/>
      <c r="P57" s="1581"/>
      <c r="Q57" s="1581"/>
      <c r="R57" s="1611"/>
      <c r="S57" s="1611"/>
      <c r="T57" s="1611"/>
    </row>
    <row r="58" spans="1:24" hidden="1">
      <c r="A58" s="1609"/>
      <c r="B58" s="1618" t="s">
        <v>1314</v>
      </c>
      <c r="C58" s="1621" t="s">
        <v>1315</v>
      </c>
      <c r="D58" s="1618" t="s">
        <v>1022</v>
      </c>
      <c r="E58" s="1662">
        <v>13674.8</v>
      </c>
      <c r="F58" s="1581"/>
      <c r="G58" s="1581"/>
      <c r="H58" s="1581"/>
      <c r="I58" s="1609">
        <v>6</v>
      </c>
      <c r="J58" s="1609">
        <v>205</v>
      </c>
      <c r="K58" s="1581"/>
      <c r="L58" s="1622"/>
      <c r="M58" s="1622"/>
      <c r="N58" s="1581"/>
      <c r="O58" s="1581"/>
      <c r="P58" s="1581">
        <f t="shared" si="5"/>
        <v>0</v>
      </c>
      <c r="Q58" s="1581"/>
      <c r="R58" s="1611">
        <f t="shared" si="6"/>
        <v>0</v>
      </c>
      <c r="S58" s="1611">
        <f t="shared" si="7"/>
        <v>0</v>
      </c>
      <c r="T58" s="1611">
        <f t="shared" si="8"/>
        <v>0</v>
      </c>
    </row>
    <row r="59" spans="1:24" hidden="1">
      <c r="A59" s="1609"/>
      <c r="B59" s="1618" t="s">
        <v>1314</v>
      </c>
      <c r="C59" s="1621" t="s">
        <v>1316</v>
      </c>
      <c r="D59" s="1618" t="s">
        <v>1022</v>
      </c>
      <c r="E59" s="1662">
        <v>13674.8</v>
      </c>
      <c r="F59" s="1581"/>
      <c r="G59" s="1581"/>
      <c r="H59" s="1581"/>
      <c r="I59" s="1609"/>
      <c r="J59" s="1609"/>
      <c r="K59" s="1581"/>
      <c r="L59" s="1622"/>
      <c r="M59" s="1622"/>
      <c r="N59" s="1581"/>
      <c r="O59" s="1581"/>
      <c r="P59" s="1581"/>
      <c r="Q59" s="1581"/>
      <c r="R59" s="1611"/>
      <c r="S59" s="1611"/>
      <c r="T59" s="1611"/>
    </row>
    <row r="60" spans="1:24" ht="19.5" hidden="1" customHeight="1">
      <c r="A60" s="1609"/>
      <c r="B60" s="1618" t="s">
        <v>1314</v>
      </c>
      <c r="C60" s="1621" t="s">
        <v>1317</v>
      </c>
      <c r="D60" s="1618" t="s">
        <v>1022</v>
      </c>
      <c r="E60" s="1662">
        <v>13674.8</v>
      </c>
      <c r="F60" s="1581"/>
      <c r="G60" s="1581"/>
      <c r="H60" s="1581"/>
      <c r="I60" s="1609"/>
      <c r="J60" s="1609"/>
      <c r="K60" s="1581"/>
      <c r="L60" s="1622"/>
      <c r="M60" s="1622"/>
      <c r="N60" s="1581"/>
      <c r="O60" s="1581"/>
      <c r="P60" s="1581"/>
      <c r="Q60" s="1581"/>
      <c r="R60" s="1611"/>
      <c r="S60" s="1611"/>
      <c r="T60" s="1611"/>
    </row>
    <row r="61" spans="1:24" ht="18.75" hidden="1" customHeight="1">
      <c r="A61" s="1581"/>
      <c r="B61" s="1056" t="s">
        <v>1318</v>
      </c>
      <c r="C61" s="1646" t="s">
        <v>1319</v>
      </c>
      <c r="D61" s="1609" t="s">
        <v>1022</v>
      </c>
      <c r="E61" s="1662">
        <v>13674.8</v>
      </c>
      <c r="F61" s="1609"/>
      <c r="G61" s="1609"/>
      <c r="H61" s="1609"/>
      <c r="I61" s="1609"/>
      <c r="J61" s="1609"/>
      <c r="K61" s="1609"/>
      <c r="L61" s="1581"/>
      <c r="M61" s="1581"/>
      <c r="N61" s="1609"/>
      <c r="O61" s="1609"/>
      <c r="P61" s="1581"/>
      <c r="Q61" s="1610"/>
      <c r="R61" s="1611"/>
      <c r="S61" s="1611"/>
      <c r="T61" s="1611"/>
    </row>
    <row r="62" spans="1:24" ht="25.5">
      <c r="A62" s="1609">
        <v>176</v>
      </c>
      <c r="B62" s="1618" t="s">
        <v>1328</v>
      </c>
      <c r="C62" s="1621" t="s">
        <v>1329</v>
      </c>
      <c r="D62" s="1622" t="s">
        <v>1263</v>
      </c>
      <c r="E62" s="1662">
        <v>13674.8</v>
      </c>
      <c r="F62" s="1581"/>
      <c r="G62" s="1581"/>
      <c r="H62" s="1581"/>
      <c r="I62" s="1609">
        <v>6</v>
      </c>
      <c r="J62" s="1609">
        <v>205</v>
      </c>
      <c r="K62" s="1581"/>
      <c r="L62" s="1618">
        <v>20</v>
      </c>
      <c r="M62" s="1618">
        <v>20</v>
      </c>
      <c r="N62" s="1581"/>
      <c r="O62" s="1581"/>
      <c r="P62" s="1581">
        <f>L62-O62</f>
        <v>20</v>
      </c>
      <c r="Q62" s="1581">
        <f>10000*1.07</f>
        <v>10700</v>
      </c>
      <c r="R62" s="1611">
        <f>P62*Q62</f>
        <v>214000</v>
      </c>
      <c r="S62" s="1611">
        <f>R62*(I62/(I62+J62+K62))</f>
        <v>6085.3080568720379</v>
      </c>
      <c r="T62" s="1611">
        <f>R62-S62</f>
        <v>207914.69194312795</v>
      </c>
      <c r="U62" s="1580" t="s">
        <v>2211</v>
      </c>
      <c r="W62" s="1645">
        <f>13674.8/500*6*12</f>
        <v>1969.1712</v>
      </c>
      <c r="X62" s="1645">
        <f>W62/100</f>
        <v>19.691711999999999</v>
      </c>
    </row>
    <row r="63" spans="1:24">
      <c r="A63" s="1609">
        <v>86</v>
      </c>
      <c r="B63" s="1618" t="s">
        <v>1330</v>
      </c>
      <c r="C63" s="1614" t="s">
        <v>3239</v>
      </c>
      <c r="D63" s="1619" t="s">
        <v>1268</v>
      </c>
      <c r="E63" s="1662">
        <v>13674.8</v>
      </c>
      <c r="F63" s="1609"/>
      <c r="G63" s="1609"/>
      <c r="H63" s="1609"/>
      <c r="I63" s="1609">
        <v>6</v>
      </c>
      <c r="J63" s="1609">
        <v>205</v>
      </c>
      <c r="K63" s="1609"/>
      <c r="L63" s="1619">
        <v>50</v>
      </c>
      <c r="M63" s="1619"/>
      <c r="N63" s="1609"/>
      <c r="O63" s="1609"/>
      <c r="P63" s="1581">
        <f>L63-O63</f>
        <v>50</v>
      </c>
      <c r="Q63" s="1610">
        <f>400*1.07</f>
        <v>428</v>
      </c>
      <c r="R63" s="1611">
        <f>P63*Q63</f>
        <v>21400</v>
      </c>
      <c r="S63" s="1611">
        <f>R63*(I63/(I63+J63+K63))</f>
        <v>608.53080568720372</v>
      </c>
      <c r="T63" s="1611">
        <f>R63-S63</f>
        <v>20791.469194312795</v>
      </c>
    </row>
    <row r="64" spans="1:24" ht="38.25">
      <c r="A64" s="1609">
        <v>142</v>
      </c>
      <c r="B64" s="1618" t="s">
        <v>1333</v>
      </c>
      <c r="C64" s="1621" t="s">
        <v>1334</v>
      </c>
      <c r="D64" s="1618" t="s">
        <v>1335</v>
      </c>
      <c r="E64" s="1662">
        <v>13674.8</v>
      </c>
      <c r="F64" s="1581"/>
      <c r="G64" s="1581"/>
      <c r="H64" s="1581"/>
      <c r="I64" s="1609">
        <v>6</v>
      </c>
      <c r="J64" s="1609">
        <v>205</v>
      </c>
      <c r="K64" s="1581"/>
      <c r="L64" s="1618">
        <v>6</v>
      </c>
      <c r="M64" s="1618"/>
      <c r="N64" s="1581"/>
      <c r="O64" s="1581"/>
      <c r="P64" s="1581">
        <f>L64-O64</f>
        <v>6</v>
      </c>
      <c r="Q64" s="1581">
        <f>12000*1.07</f>
        <v>12840</v>
      </c>
      <c r="R64" s="1611">
        <f>P64*Q64</f>
        <v>77040</v>
      </c>
      <c r="S64" s="1611">
        <f>R64*(I64/(I64+J64+K64))</f>
        <v>2190.7109004739336</v>
      </c>
      <c r="T64" s="1611">
        <f>R64-S64</f>
        <v>74849.289099526068</v>
      </c>
    </row>
    <row r="65" spans="1:20" ht="38.25" hidden="1">
      <c r="A65" s="1609"/>
      <c r="B65" s="1618" t="s">
        <v>1333</v>
      </c>
      <c r="C65" s="1621" t="s">
        <v>1336</v>
      </c>
      <c r="D65" s="1618" t="s">
        <v>1335</v>
      </c>
      <c r="E65" s="1662">
        <v>13674.8</v>
      </c>
      <c r="F65" s="1581"/>
      <c r="G65" s="1581"/>
      <c r="H65" s="1581"/>
      <c r="I65" s="1609"/>
      <c r="J65" s="1609"/>
      <c r="K65" s="1581"/>
      <c r="L65" s="1618"/>
      <c r="M65" s="1618"/>
      <c r="N65" s="1581"/>
      <c r="O65" s="1581"/>
      <c r="P65" s="1581"/>
      <c r="Q65" s="1581"/>
      <c r="R65" s="1611"/>
      <c r="S65" s="1611"/>
      <c r="T65" s="1611"/>
    </row>
    <row r="66" spans="1:20" ht="25.5" hidden="1">
      <c r="A66" s="1609"/>
      <c r="B66" s="1618" t="s">
        <v>1333</v>
      </c>
      <c r="C66" s="1621" t="s">
        <v>1337</v>
      </c>
      <c r="D66" s="1618" t="s">
        <v>1338</v>
      </c>
      <c r="E66" s="1662">
        <v>13674.8</v>
      </c>
      <c r="F66" s="1581"/>
      <c r="G66" s="1581"/>
      <c r="H66" s="1581"/>
      <c r="I66" s="1609"/>
      <c r="J66" s="1609"/>
      <c r="K66" s="1581"/>
      <c r="L66" s="1618"/>
      <c r="M66" s="1618"/>
      <c r="N66" s="1581"/>
      <c r="O66" s="1581"/>
      <c r="P66" s="1581"/>
      <c r="Q66" s="1581"/>
      <c r="R66" s="1611"/>
      <c r="S66" s="1611"/>
      <c r="T66" s="1611"/>
    </row>
    <row r="67" spans="1:20" hidden="1">
      <c r="A67" s="1609"/>
      <c r="B67" s="1618"/>
      <c r="C67" s="1621"/>
      <c r="D67" s="1618"/>
      <c r="E67" s="1662">
        <v>13674.8</v>
      </c>
      <c r="F67" s="1581"/>
      <c r="G67" s="1581"/>
      <c r="H67" s="1581"/>
      <c r="I67" s="1609"/>
      <c r="J67" s="1609"/>
      <c r="K67" s="1581"/>
      <c r="L67" s="1618"/>
      <c r="M67" s="1618"/>
      <c r="N67" s="1581"/>
      <c r="O67" s="1581"/>
      <c r="P67" s="1581"/>
      <c r="Q67" s="1581"/>
      <c r="R67" s="1611"/>
      <c r="S67" s="1611"/>
      <c r="T67" s="1611"/>
    </row>
    <row r="68" spans="1:20" ht="38.25">
      <c r="A68" s="1609">
        <v>55</v>
      </c>
      <c r="B68" s="1619" t="s">
        <v>1343</v>
      </c>
      <c r="C68" s="1614" t="s">
        <v>1344</v>
      </c>
      <c r="D68" s="1619" t="s">
        <v>1268</v>
      </c>
      <c r="E68" s="1662">
        <v>13674.8</v>
      </c>
      <c r="F68" s="1609"/>
      <c r="G68" s="1609"/>
      <c r="H68" s="1609"/>
      <c r="I68" s="1609">
        <v>6</v>
      </c>
      <c r="J68" s="1609">
        <v>205</v>
      </c>
      <c r="K68" s="1609"/>
      <c r="L68" s="1619">
        <v>5</v>
      </c>
      <c r="M68" s="1619"/>
      <c r="N68" s="1609"/>
      <c r="O68" s="1609"/>
      <c r="P68" s="1581">
        <f t="shared" ref="P68:P76" si="9">L68-O68</f>
        <v>5</v>
      </c>
      <c r="Q68" s="1610">
        <f>400*1.07</f>
        <v>428</v>
      </c>
      <c r="R68" s="1611">
        <f t="shared" ref="R68:R75" si="10">P68*Q68</f>
        <v>2140</v>
      </c>
      <c r="S68" s="1611">
        <f t="shared" ref="S68:S76" si="11">R68*(I68/(I68+J68+K68))</f>
        <v>60.85308056872038</v>
      </c>
      <c r="T68" s="1611">
        <f t="shared" ref="T68:T76" si="12">R68-S68</f>
        <v>2079.1469194312795</v>
      </c>
    </row>
    <row r="69" spans="1:20" ht="38.25">
      <c r="A69" s="1609">
        <v>56</v>
      </c>
      <c r="B69" s="1619" t="s">
        <v>1341</v>
      </c>
      <c r="C69" s="1614" t="s">
        <v>1345</v>
      </c>
      <c r="D69" s="1619" t="s">
        <v>1268</v>
      </c>
      <c r="E69" s="1662">
        <v>13674.8</v>
      </c>
      <c r="F69" s="1609"/>
      <c r="G69" s="1609"/>
      <c r="H69" s="1609"/>
      <c r="I69" s="1609">
        <v>6</v>
      </c>
      <c r="J69" s="1609">
        <v>205</v>
      </c>
      <c r="K69" s="1609"/>
      <c r="L69" s="1619">
        <v>5</v>
      </c>
      <c r="M69" s="1619"/>
      <c r="N69" s="1609"/>
      <c r="O69" s="1609"/>
      <c r="P69" s="1581">
        <f t="shared" si="9"/>
        <v>5</v>
      </c>
      <c r="Q69" s="1610">
        <f>480*1.07</f>
        <v>513.6</v>
      </c>
      <c r="R69" s="1611">
        <f t="shared" si="10"/>
        <v>2568</v>
      </c>
      <c r="S69" s="1611">
        <f t="shared" si="11"/>
        <v>73.023696682464447</v>
      </c>
      <c r="T69" s="1611">
        <f t="shared" si="12"/>
        <v>2494.9763033175354</v>
      </c>
    </row>
    <row r="70" spans="1:20" ht="38.25">
      <c r="A70" s="1609">
        <v>53</v>
      </c>
      <c r="B70" s="1619" t="s">
        <v>1346</v>
      </c>
      <c r="C70" s="1614" t="s">
        <v>1347</v>
      </c>
      <c r="D70" s="1619" t="s">
        <v>1268</v>
      </c>
      <c r="E70" s="1662">
        <v>13674.8</v>
      </c>
      <c r="F70" s="1609"/>
      <c r="G70" s="1609"/>
      <c r="H70" s="1609"/>
      <c r="I70" s="1609">
        <v>6</v>
      </c>
      <c r="J70" s="1609">
        <v>205</v>
      </c>
      <c r="K70" s="1609"/>
      <c r="L70" s="1619">
        <v>5</v>
      </c>
      <c r="M70" s="1619"/>
      <c r="N70" s="1609"/>
      <c r="O70" s="1609"/>
      <c r="P70" s="1581">
        <f t="shared" si="9"/>
        <v>5</v>
      </c>
      <c r="Q70" s="1610">
        <f>380*1.07</f>
        <v>406.6</v>
      </c>
      <c r="R70" s="1611">
        <f t="shared" si="10"/>
        <v>2033</v>
      </c>
      <c r="S70" s="1611">
        <f t="shared" si="11"/>
        <v>57.810426540284361</v>
      </c>
      <c r="T70" s="1611">
        <f t="shared" si="12"/>
        <v>1975.1895734597156</v>
      </c>
    </row>
    <row r="71" spans="1:20" ht="38.25">
      <c r="A71" s="1609">
        <v>54</v>
      </c>
      <c r="B71" s="1619" t="s">
        <v>1343</v>
      </c>
      <c r="C71" s="1614" t="s">
        <v>1348</v>
      </c>
      <c r="D71" s="1619" t="s">
        <v>1268</v>
      </c>
      <c r="E71" s="1662">
        <v>13674.8</v>
      </c>
      <c r="F71" s="1609"/>
      <c r="G71" s="1609"/>
      <c r="H71" s="1609"/>
      <c r="I71" s="1609">
        <v>6</v>
      </c>
      <c r="J71" s="1609">
        <v>205</v>
      </c>
      <c r="K71" s="1609"/>
      <c r="L71" s="1619">
        <v>5</v>
      </c>
      <c r="M71" s="1619"/>
      <c r="N71" s="1609"/>
      <c r="O71" s="1609"/>
      <c r="P71" s="1581">
        <f t="shared" si="9"/>
        <v>5</v>
      </c>
      <c r="Q71" s="1610">
        <f>450*1.07</f>
        <v>481.5</v>
      </c>
      <c r="R71" s="1611">
        <f t="shared" si="10"/>
        <v>2407.5</v>
      </c>
      <c r="S71" s="1611">
        <f t="shared" si="11"/>
        <v>68.459715639810426</v>
      </c>
      <c r="T71" s="1611">
        <f t="shared" si="12"/>
        <v>2339.0402843601896</v>
      </c>
    </row>
    <row r="72" spans="1:20" ht="25.5">
      <c r="A72" s="1609">
        <v>156</v>
      </c>
      <c r="B72" s="1618" t="s">
        <v>1353</v>
      </c>
      <c r="C72" s="1621" t="s">
        <v>1354</v>
      </c>
      <c r="D72" s="1618" t="s">
        <v>1022</v>
      </c>
      <c r="E72" s="1662">
        <v>13674.8</v>
      </c>
      <c r="F72" s="1581"/>
      <c r="G72" s="1581"/>
      <c r="H72" s="1581"/>
      <c r="I72" s="1609">
        <v>6</v>
      </c>
      <c r="J72" s="1609">
        <v>205</v>
      </c>
      <c r="K72" s="1581"/>
      <c r="L72" s="1618">
        <v>30</v>
      </c>
      <c r="M72" s="1618"/>
      <c r="N72" s="1581"/>
      <c r="O72" s="1581"/>
      <c r="P72" s="1581">
        <f t="shared" si="9"/>
        <v>30</v>
      </c>
      <c r="Q72" s="1581">
        <f>1500*1.07</f>
        <v>1605</v>
      </c>
      <c r="R72" s="1611">
        <f t="shared" si="10"/>
        <v>48150</v>
      </c>
      <c r="S72" s="1611">
        <f t="shared" si="11"/>
        <v>1369.1943127962086</v>
      </c>
      <c r="T72" s="1611">
        <f t="shared" si="12"/>
        <v>46780.805687203792</v>
      </c>
    </row>
    <row r="73" spans="1:20">
      <c r="A73" s="1609">
        <v>130</v>
      </c>
      <c r="B73" s="1618" t="s">
        <v>1359</v>
      </c>
      <c r="C73" s="1621" t="s">
        <v>1363</v>
      </c>
      <c r="D73" s="1618" t="s">
        <v>1268</v>
      </c>
      <c r="E73" s="1662">
        <v>13674.8</v>
      </c>
      <c r="F73" s="1581"/>
      <c r="G73" s="1581"/>
      <c r="H73" s="1581"/>
      <c r="I73" s="1609">
        <v>6</v>
      </c>
      <c r="J73" s="1609">
        <v>205</v>
      </c>
      <c r="K73" s="1581"/>
      <c r="L73" s="1618">
        <v>40</v>
      </c>
      <c r="M73" s="1618"/>
      <c r="N73" s="1581"/>
      <c r="O73" s="1581"/>
      <c r="P73" s="1581">
        <f t="shared" si="9"/>
        <v>40</v>
      </c>
      <c r="Q73" s="1581">
        <f>1900*1.07</f>
        <v>2033.0000000000002</v>
      </c>
      <c r="R73" s="1611">
        <f t="shared" si="10"/>
        <v>81320.000000000015</v>
      </c>
      <c r="S73" s="1611">
        <f t="shared" si="11"/>
        <v>2312.4170616113747</v>
      </c>
      <c r="T73" s="1611">
        <f t="shared" si="12"/>
        <v>79007.582938388645</v>
      </c>
    </row>
    <row r="74" spans="1:20">
      <c r="A74" s="1609">
        <v>89</v>
      </c>
      <c r="B74" s="1619" t="s">
        <v>1368</v>
      </c>
      <c r="C74" s="1614" t="s">
        <v>1369</v>
      </c>
      <c r="D74" s="1619" t="s">
        <v>1268</v>
      </c>
      <c r="E74" s="1662">
        <v>13674.8</v>
      </c>
      <c r="F74" s="1609"/>
      <c r="G74" s="1609"/>
      <c r="H74" s="1609"/>
      <c r="I74" s="1609">
        <v>6</v>
      </c>
      <c r="J74" s="1609">
        <v>205</v>
      </c>
      <c r="K74" s="1609"/>
      <c r="L74" s="1619">
        <v>20</v>
      </c>
      <c r="M74" s="1619"/>
      <c r="N74" s="1609"/>
      <c r="O74" s="1609"/>
      <c r="P74" s="1581">
        <f t="shared" si="9"/>
        <v>20</v>
      </c>
      <c r="Q74" s="1610">
        <f>1200*1.07</f>
        <v>1284</v>
      </c>
      <c r="R74" s="1611">
        <f t="shared" si="10"/>
        <v>25680</v>
      </c>
      <c r="S74" s="1611">
        <f t="shared" si="11"/>
        <v>730.23696682464447</v>
      </c>
      <c r="T74" s="1611">
        <f t="shared" si="12"/>
        <v>24949.763033175357</v>
      </c>
    </row>
    <row r="75" spans="1:20">
      <c r="A75" s="1609">
        <v>90</v>
      </c>
      <c r="B75" s="1619" t="s">
        <v>1368</v>
      </c>
      <c r="C75" s="1614" t="s">
        <v>1370</v>
      </c>
      <c r="D75" s="1619" t="s">
        <v>1268</v>
      </c>
      <c r="E75" s="1662">
        <v>13674.8</v>
      </c>
      <c r="F75" s="1609"/>
      <c r="G75" s="1609"/>
      <c r="H75" s="1609"/>
      <c r="I75" s="1609">
        <v>6</v>
      </c>
      <c r="J75" s="1609">
        <v>205</v>
      </c>
      <c r="K75" s="1609"/>
      <c r="L75" s="1619">
        <v>20</v>
      </c>
      <c r="M75" s="1619"/>
      <c r="N75" s="1609"/>
      <c r="O75" s="1609"/>
      <c r="P75" s="1581">
        <f t="shared" si="9"/>
        <v>20</v>
      </c>
      <c r="Q75" s="1610">
        <f>1200*1.07</f>
        <v>1284</v>
      </c>
      <c r="R75" s="1611">
        <f t="shared" si="10"/>
        <v>25680</v>
      </c>
      <c r="S75" s="1611">
        <f t="shared" si="11"/>
        <v>730.23696682464447</v>
      </c>
      <c r="T75" s="1611">
        <f t="shared" si="12"/>
        <v>24949.763033175357</v>
      </c>
    </row>
    <row r="76" spans="1:20">
      <c r="A76" s="1609"/>
      <c r="B76" s="1619" t="s">
        <v>3240</v>
      </c>
      <c r="C76" s="1621" t="s">
        <v>1372</v>
      </c>
      <c r="D76" s="1619" t="s">
        <v>1268</v>
      </c>
      <c r="E76" s="1662">
        <v>13674.8</v>
      </c>
      <c r="F76" s="1581"/>
      <c r="G76" s="1581"/>
      <c r="H76" s="1609"/>
      <c r="I76" s="1609">
        <v>6</v>
      </c>
      <c r="J76" s="1609">
        <v>205</v>
      </c>
      <c r="K76" s="1609"/>
      <c r="L76" s="1619">
        <v>500</v>
      </c>
      <c r="M76" s="1619"/>
      <c r="N76" s="1609"/>
      <c r="O76" s="1609"/>
      <c r="P76" s="1581">
        <f t="shared" si="9"/>
        <v>500</v>
      </c>
      <c r="Q76" s="1609">
        <f>500*1.07</f>
        <v>535</v>
      </c>
      <c r="R76" s="1611">
        <v>500</v>
      </c>
      <c r="S76" s="1611">
        <f t="shared" si="11"/>
        <v>14.218009478672984</v>
      </c>
      <c r="T76" s="1611">
        <f t="shared" si="12"/>
        <v>485.78199052132703</v>
      </c>
    </row>
    <row r="77" spans="1:20">
      <c r="A77" s="1609">
        <v>159</v>
      </c>
      <c r="B77" s="1618" t="s">
        <v>1380</v>
      </c>
      <c r="C77" s="1621" t="s">
        <v>1381</v>
      </c>
      <c r="D77" s="1618" t="s">
        <v>1022</v>
      </c>
      <c r="E77" s="1662">
        <v>13674.8</v>
      </c>
      <c r="F77" s="1581"/>
      <c r="G77" s="1581"/>
      <c r="H77" s="1581"/>
      <c r="I77" s="1609">
        <v>6</v>
      </c>
      <c r="J77" s="1609">
        <v>205</v>
      </c>
      <c r="K77" s="1581"/>
      <c r="L77" s="1618">
        <v>10</v>
      </c>
      <c r="M77" s="1618"/>
      <c r="N77" s="1581"/>
      <c r="O77" s="1581"/>
      <c r="P77" s="1581">
        <f t="shared" ref="P77:P108" si="13">L77-O77</f>
        <v>10</v>
      </c>
      <c r="Q77" s="1581">
        <f>2500*1.07</f>
        <v>2675</v>
      </c>
      <c r="R77" s="1611">
        <f t="shared" ref="R77:R108" si="14">P77*Q77</f>
        <v>26750</v>
      </c>
      <c r="S77" s="1611">
        <f t="shared" ref="S77:S108" si="15">R77*(I77/(I77+J77+K77))</f>
        <v>760.66350710900474</v>
      </c>
      <c r="T77" s="1611">
        <f t="shared" ref="T77:T108" si="16">R77-S77</f>
        <v>25989.336492890994</v>
      </c>
    </row>
    <row r="78" spans="1:20" ht="38.25" hidden="1">
      <c r="A78" s="1581"/>
      <c r="B78" s="1056" t="s">
        <v>1390</v>
      </c>
      <c r="C78" s="1614" t="s">
        <v>1391</v>
      </c>
      <c r="D78" s="1056" t="s">
        <v>1203</v>
      </c>
      <c r="E78" s="1662">
        <v>13674.8</v>
      </c>
      <c r="F78" s="1609"/>
      <c r="G78" s="1609"/>
      <c r="H78" s="1609"/>
      <c r="I78" s="1609">
        <v>6</v>
      </c>
      <c r="J78" s="1609">
        <v>205</v>
      </c>
      <c r="K78" s="1609"/>
      <c r="L78" s="1056"/>
      <c r="M78" s="1056"/>
      <c r="N78" s="1609"/>
      <c r="O78" s="1609"/>
      <c r="P78" s="1581">
        <f t="shared" si="13"/>
        <v>0</v>
      </c>
      <c r="Q78" s="1610"/>
      <c r="R78" s="1611">
        <f t="shared" si="14"/>
        <v>0</v>
      </c>
      <c r="S78" s="1611">
        <f t="shared" si="15"/>
        <v>0</v>
      </c>
      <c r="T78" s="1611">
        <f t="shared" si="16"/>
        <v>0</v>
      </c>
    </row>
    <row r="79" spans="1:20">
      <c r="A79" s="1609"/>
      <c r="B79" s="1619" t="s">
        <v>3241</v>
      </c>
      <c r="C79" s="1614" t="s">
        <v>1397</v>
      </c>
      <c r="D79" s="1619"/>
      <c r="E79" s="1662">
        <v>13674.8</v>
      </c>
      <c r="F79" s="1609"/>
      <c r="G79" s="1609"/>
      <c r="H79" s="1609"/>
      <c r="I79" s="1609">
        <v>6</v>
      </c>
      <c r="J79" s="1609">
        <v>205</v>
      </c>
      <c r="K79" s="1609"/>
      <c r="L79" s="1619">
        <v>20</v>
      </c>
      <c r="M79" s="1619"/>
      <c r="N79" s="1609"/>
      <c r="O79" s="1609"/>
      <c r="P79" s="1581">
        <f t="shared" si="13"/>
        <v>20</v>
      </c>
      <c r="Q79" s="1609">
        <f>250*1.07</f>
        <v>267.5</v>
      </c>
      <c r="R79" s="1611">
        <f t="shared" si="14"/>
        <v>5350</v>
      </c>
      <c r="S79" s="1611">
        <f t="shared" si="15"/>
        <v>152.13270142180093</v>
      </c>
      <c r="T79" s="1611">
        <f t="shared" si="16"/>
        <v>5197.8672985781986</v>
      </c>
    </row>
    <row r="80" spans="1:20">
      <c r="A80" s="1609"/>
      <c r="B80" s="1619" t="s">
        <v>3241</v>
      </c>
      <c r="C80" s="1621" t="s">
        <v>1398</v>
      </c>
      <c r="D80" s="1618"/>
      <c r="E80" s="1662">
        <v>13674.8</v>
      </c>
      <c r="F80" s="1581"/>
      <c r="G80" s="1581"/>
      <c r="H80" s="1581"/>
      <c r="I80" s="1609">
        <v>6</v>
      </c>
      <c r="J80" s="1609">
        <v>205</v>
      </c>
      <c r="K80" s="1581"/>
      <c r="L80" s="1622">
        <v>60</v>
      </c>
      <c r="M80" s="1622"/>
      <c r="N80" s="1581"/>
      <c r="O80" s="1581"/>
      <c r="P80" s="1581">
        <f t="shared" si="13"/>
        <v>60</v>
      </c>
      <c r="Q80" s="1581">
        <f>320*1.07</f>
        <v>342.40000000000003</v>
      </c>
      <c r="R80" s="1611">
        <f t="shared" si="14"/>
        <v>20544.000000000004</v>
      </c>
      <c r="S80" s="1611">
        <f t="shared" si="15"/>
        <v>584.18957345971569</v>
      </c>
      <c r="T80" s="1611">
        <f t="shared" si="16"/>
        <v>19959.810426540287</v>
      </c>
    </row>
    <row r="81" spans="1:21">
      <c r="A81" s="1609">
        <v>94</v>
      </c>
      <c r="B81" s="1619" t="s">
        <v>1399</v>
      </c>
      <c r="C81" s="1614" t="s">
        <v>1400</v>
      </c>
      <c r="D81" s="1619" t="s">
        <v>1268</v>
      </c>
      <c r="E81" s="1662">
        <v>13674.8</v>
      </c>
      <c r="F81" s="1609"/>
      <c r="G81" s="1609"/>
      <c r="H81" s="1609"/>
      <c r="I81" s="1609">
        <v>6</v>
      </c>
      <c r="J81" s="1609">
        <v>205</v>
      </c>
      <c r="K81" s="1609"/>
      <c r="L81" s="1619">
        <v>2</v>
      </c>
      <c r="M81" s="1619"/>
      <c r="N81" s="1609"/>
      <c r="O81" s="1609"/>
      <c r="P81" s="1581">
        <f t="shared" si="13"/>
        <v>2</v>
      </c>
      <c r="Q81" s="1610">
        <f>3000*1.07</f>
        <v>3210</v>
      </c>
      <c r="R81" s="1611">
        <f t="shared" si="14"/>
        <v>6420</v>
      </c>
      <c r="S81" s="1611">
        <f t="shared" si="15"/>
        <v>182.55924170616112</v>
      </c>
      <c r="T81" s="1611">
        <f t="shared" si="16"/>
        <v>6237.4407582938393</v>
      </c>
    </row>
    <row r="82" spans="1:21">
      <c r="A82" s="1609">
        <v>103</v>
      </c>
      <c r="B82" s="1619" t="s">
        <v>1409</v>
      </c>
      <c r="C82" s="917" t="s">
        <v>1410</v>
      </c>
      <c r="D82" s="1619" t="s">
        <v>1411</v>
      </c>
      <c r="E82" s="1662">
        <v>13674.8</v>
      </c>
      <c r="F82" s="1609"/>
      <c r="G82" s="1609"/>
      <c r="H82" s="1609"/>
      <c r="I82" s="1609">
        <v>6</v>
      </c>
      <c r="J82" s="1609">
        <v>205</v>
      </c>
      <c r="K82" s="1609"/>
      <c r="L82" s="1619">
        <v>100</v>
      </c>
      <c r="M82" s="1619"/>
      <c r="N82" s="1609"/>
      <c r="O82" s="1609"/>
      <c r="P82" s="1581">
        <f t="shared" si="13"/>
        <v>100</v>
      </c>
      <c r="Q82" s="1609">
        <f>650*1.07</f>
        <v>695.5</v>
      </c>
      <c r="R82" s="1611">
        <f t="shared" si="14"/>
        <v>69550</v>
      </c>
      <c r="S82" s="1611">
        <f t="shared" si="15"/>
        <v>1977.7251184834122</v>
      </c>
      <c r="T82" s="1611">
        <f t="shared" si="16"/>
        <v>67572.274881516583</v>
      </c>
    </row>
    <row r="83" spans="1:21">
      <c r="A83" s="1609">
        <v>104</v>
      </c>
      <c r="B83" s="1619" t="s">
        <v>1409</v>
      </c>
      <c r="C83" s="917" t="s">
        <v>1412</v>
      </c>
      <c r="D83" s="1619" t="s">
        <v>1411</v>
      </c>
      <c r="E83" s="1662">
        <v>13674.8</v>
      </c>
      <c r="F83" s="1609"/>
      <c r="G83" s="1609"/>
      <c r="H83" s="1609"/>
      <c r="I83" s="1609">
        <v>6</v>
      </c>
      <c r="J83" s="1609">
        <v>205</v>
      </c>
      <c r="K83" s="1609"/>
      <c r="L83" s="1619">
        <v>100</v>
      </c>
      <c r="M83" s="1619"/>
      <c r="N83" s="1609"/>
      <c r="O83" s="1609"/>
      <c r="P83" s="1581">
        <f t="shared" si="13"/>
        <v>100</v>
      </c>
      <c r="Q83" s="1609">
        <f>750*1.07</f>
        <v>802.5</v>
      </c>
      <c r="R83" s="1611">
        <f t="shared" si="14"/>
        <v>80250</v>
      </c>
      <c r="S83" s="1611">
        <f t="shared" si="15"/>
        <v>2281.990521327014</v>
      </c>
      <c r="T83" s="1611">
        <f t="shared" si="16"/>
        <v>77968.00947867299</v>
      </c>
    </row>
    <row r="84" spans="1:21">
      <c r="A84" s="1609">
        <v>155</v>
      </c>
      <c r="B84" s="1618" t="s">
        <v>1413</v>
      </c>
      <c r="C84" s="1579" t="s">
        <v>1414</v>
      </c>
      <c r="D84" s="1618" t="s">
        <v>1415</v>
      </c>
      <c r="E84" s="1662">
        <v>13674.8</v>
      </c>
      <c r="F84" s="1581"/>
      <c r="G84" s="1581"/>
      <c r="H84" s="1581"/>
      <c r="I84" s="1609">
        <v>6</v>
      </c>
      <c r="J84" s="1609">
        <v>205</v>
      </c>
      <c r="K84" s="1581"/>
      <c r="L84" s="1618">
        <v>200</v>
      </c>
      <c r="M84" s="1618"/>
      <c r="N84" s="1581"/>
      <c r="O84" s="1581"/>
      <c r="P84" s="1581">
        <f t="shared" si="13"/>
        <v>200</v>
      </c>
      <c r="Q84" s="1581">
        <f>450*1.07</f>
        <v>481.5</v>
      </c>
      <c r="R84" s="1611">
        <f t="shared" si="14"/>
        <v>96300</v>
      </c>
      <c r="S84" s="1611">
        <f t="shared" si="15"/>
        <v>2738.3886255924172</v>
      </c>
      <c r="T84" s="1611">
        <f t="shared" si="16"/>
        <v>93561.611374407585</v>
      </c>
    </row>
    <row r="85" spans="1:21">
      <c r="A85" s="1609">
        <v>105</v>
      </c>
      <c r="B85" s="1619" t="s">
        <v>1416</v>
      </c>
      <c r="C85" s="917" t="s">
        <v>1417</v>
      </c>
      <c r="D85" s="1619" t="s">
        <v>1411</v>
      </c>
      <c r="E85" s="1662">
        <v>13674.8</v>
      </c>
      <c r="F85" s="1609"/>
      <c r="G85" s="1609"/>
      <c r="H85" s="1609"/>
      <c r="I85" s="1609">
        <v>6</v>
      </c>
      <c r="J85" s="1609">
        <v>205</v>
      </c>
      <c r="K85" s="1609"/>
      <c r="L85" s="1619">
        <v>100</v>
      </c>
      <c r="M85" s="1619"/>
      <c r="N85" s="1609"/>
      <c r="O85" s="1609"/>
      <c r="P85" s="1581">
        <f t="shared" si="13"/>
        <v>100</v>
      </c>
      <c r="Q85" s="1609">
        <f>600*1.07</f>
        <v>642</v>
      </c>
      <c r="R85" s="1611">
        <f t="shared" si="14"/>
        <v>64200</v>
      </c>
      <c r="S85" s="1611">
        <f t="shared" si="15"/>
        <v>1825.5924170616113</v>
      </c>
      <c r="T85" s="1611">
        <f t="shared" si="16"/>
        <v>62374.407582938387</v>
      </c>
      <c r="U85" s="1580">
        <v>1000</v>
      </c>
    </row>
    <row r="86" spans="1:21">
      <c r="A86" s="1609">
        <v>106</v>
      </c>
      <c r="B86" s="1619" t="s">
        <v>1416</v>
      </c>
      <c r="C86" s="917" t="s">
        <v>1418</v>
      </c>
      <c r="D86" s="1619" t="s">
        <v>1415</v>
      </c>
      <c r="E86" s="1662">
        <v>13674.8</v>
      </c>
      <c r="F86" s="1609"/>
      <c r="G86" s="1609"/>
      <c r="H86" s="1609"/>
      <c r="I86" s="1609">
        <v>6</v>
      </c>
      <c r="J86" s="1609">
        <v>205</v>
      </c>
      <c r="K86" s="1609"/>
      <c r="L86" s="1619">
        <v>100</v>
      </c>
      <c r="M86" s="1619"/>
      <c r="N86" s="1609"/>
      <c r="O86" s="1609"/>
      <c r="P86" s="1581">
        <f t="shared" si="13"/>
        <v>100</v>
      </c>
      <c r="Q86" s="1609">
        <f>800*1.07</f>
        <v>856</v>
      </c>
      <c r="R86" s="1611">
        <f t="shared" si="14"/>
        <v>85600</v>
      </c>
      <c r="S86" s="1611">
        <f t="shared" si="15"/>
        <v>2434.1232227488149</v>
      </c>
      <c r="T86" s="1611">
        <f t="shared" si="16"/>
        <v>83165.876777251178</v>
      </c>
      <c r="U86" s="1580">
        <v>300</v>
      </c>
    </row>
    <row r="87" spans="1:21">
      <c r="A87" s="1609">
        <v>263</v>
      </c>
      <c r="B87" s="1610" t="s">
        <v>1419</v>
      </c>
      <c r="C87" s="1579" t="s">
        <v>1420</v>
      </c>
      <c r="D87" s="1610" t="s">
        <v>1415</v>
      </c>
      <c r="E87" s="1662">
        <v>13674.8</v>
      </c>
      <c r="F87" s="1581"/>
      <c r="G87" s="1581"/>
      <c r="H87" s="1581"/>
      <c r="I87" s="1609">
        <v>6</v>
      </c>
      <c r="J87" s="1609">
        <v>205</v>
      </c>
      <c r="K87" s="1581"/>
      <c r="L87" s="1610">
        <v>300</v>
      </c>
      <c r="M87" s="1610"/>
      <c r="N87" s="1581"/>
      <c r="O87" s="1581"/>
      <c r="P87" s="1581">
        <f t="shared" si="13"/>
        <v>300</v>
      </c>
      <c r="Q87" s="1581">
        <f>350*1.07</f>
        <v>374.5</v>
      </c>
      <c r="R87" s="1611">
        <f t="shared" si="14"/>
        <v>112350</v>
      </c>
      <c r="S87" s="1611">
        <f t="shared" si="15"/>
        <v>3194.7867298578199</v>
      </c>
      <c r="T87" s="1611">
        <f t="shared" si="16"/>
        <v>109155.21327014218</v>
      </c>
    </row>
    <row r="88" spans="1:21">
      <c r="A88" s="1609">
        <v>102</v>
      </c>
      <c r="B88" s="1619" t="s">
        <v>1425</v>
      </c>
      <c r="C88" s="917" t="s">
        <v>1426</v>
      </c>
      <c r="D88" s="1619" t="s">
        <v>1411</v>
      </c>
      <c r="E88" s="1662">
        <v>13674.8</v>
      </c>
      <c r="F88" s="1609"/>
      <c r="G88" s="1609"/>
      <c r="H88" s="1609"/>
      <c r="I88" s="1609">
        <v>6</v>
      </c>
      <c r="J88" s="1609">
        <v>205</v>
      </c>
      <c r="K88" s="1609"/>
      <c r="L88" s="1619">
        <v>50</v>
      </c>
      <c r="M88" s="1619"/>
      <c r="N88" s="1609"/>
      <c r="O88" s="1609"/>
      <c r="P88" s="1581">
        <f t="shared" si="13"/>
        <v>50</v>
      </c>
      <c r="Q88" s="1609">
        <f>1000*1.07</f>
        <v>1070</v>
      </c>
      <c r="R88" s="1611">
        <f t="shared" si="14"/>
        <v>53500</v>
      </c>
      <c r="S88" s="1611">
        <f t="shared" si="15"/>
        <v>1521.3270142180095</v>
      </c>
      <c r="T88" s="1611">
        <f t="shared" si="16"/>
        <v>51978.672985781988</v>
      </c>
    </row>
    <row r="89" spans="1:21">
      <c r="A89" s="1609">
        <v>101</v>
      </c>
      <c r="B89" s="1619" t="s">
        <v>1427</v>
      </c>
      <c r="C89" s="917" t="s">
        <v>1428</v>
      </c>
      <c r="D89" s="1619" t="s">
        <v>1411</v>
      </c>
      <c r="E89" s="1662">
        <v>13674.8</v>
      </c>
      <c r="F89" s="1609"/>
      <c r="G89" s="1609"/>
      <c r="H89" s="1609"/>
      <c r="I89" s="1609">
        <v>6</v>
      </c>
      <c r="J89" s="1609">
        <v>205</v>
      </c>
      <c r="K89" s="1609"/>
      <c r="L89" s="1619">
        <v>50</v>
      </c>
      <c r="M89" s="1619"/>
      <c r="N89" s="1609"/>
      <c r="O89" s="1609"/>
      <c r="P89" s="1581">
        <f t="shared" si="13"/>
        <v>50</v>
      </c>
      <c r="Q89" s="1610">
        <f>1900*1.07</f>
        <v>2033.0000000000002</v>
      </c>
      <c r="R89" s="1611">
        <f t="shared" si="14"/>
        <v>101650.00000000001</v>
      </c>
      <c r="S89" s="1611">
        <f t="shared" si="15"/>
        <v>2890.5213270142185</v>
      </c>
      <c r="T89" s="1611">
        <f t="shared" si="16"/>
        <v>98759.478672985802</v>
      </c>
    </row>
    <row r="90" spans="1:21">
      <c r="A90" s="1609">
        <v>280</v>
      </c>
      <c r="B90" s="1579" t="s">
        <v>1435</v>
      </c>
      <c r="C90" s="1647" t="s">
        <v>1436</v>
      </c>
      <c r="D90" s="1618" t="s">
        <v>1022</v>
      </c>
      <c r="E90" s="1662">
        <v>13674.8</v>
      </c>
      <c r="F90" s="1581"/>
      <c r="G90" s="1581"/>
      <c r="H90" s="1581"/>
      <c r="I90" s="1609">
        <v>6</v>
      </c>
      <c r="J90" s="1609">
        <v>205</v>
      </c>
      <c r="K90" s="1581"/>
      <c r="L90" s="1622">
        <v>2</v>
      </c>
      <c r="M90" s="1622"/>
      <c r="N90" s="1581"/>
      <c r="O90" s="1581"/>
      <c r="P90" s="1581">
        <f t="shared" si="13"/>
        <v>2</v>
      </c>
      <c r="Q90" s="1581">
        <f>7000*1.07</f>
        <v>7490</v>
      </c>
      <c r="R90" s="1611">
        <f t="shared" si="14"/>
        <v>14980</v>
      </c>
      <c r="S90" s="1611">
        <f t="shared" si="15"/>
        <v>425.97156398104261</v>
      </c>
      <c r="T90" s="1611">
        <f t="shared" si="16"/>
        <v>14554.028436018958</v>
      </c>
    </row>
    <row r="91" spans="1:21" ht="34.5" customHeight="1">
      <c r="A91" s="1609">
        <v>143</v>
      </c>
      <c r="B91" s="1618" t="s">
        <v>1437</v>
      </c>
      <c r="C91" s="1579" t="s">
        <v>1438</v>
      </c>
      <c r="D91" s="1618" t="s">
        <v>1022</v>
      </c>
      <c r="E91" s="1662">
        <v>13674.8</v>
      </c>
      <c r="F91" s="1581"/>
      <c r="G91" s="1581"/>
      <c r="H91" s="1581"/>
      <c r="I91" s="1609">
        <v>6</v>
      </c>
      <c r="J91" s="1609">
        <v>205</v>
      </c>
      <c r="K91" s="1581"/>
      <c r="L91" s="1618">
        <v>10</v>
      </c>
      <c r="M91" s="1618"/>
      <c r="N91" s="1581"/>
      <c r="O91" s="1581"/>
      <c r="P91" s="1581">
        <f t="shared" si="13"/>
        <v>10</v>
      </c>
      <c r="Q91" s="1581">
        <f>200*1.07</f>
        <v>214</v>
      </c>
      <c r="R91" s="1611">
        <f t="shared" si="14"/>
        <v>2140</v>
      </c>
      <c r="S91" s="1611">
        <f t="shared" si="15"/>
        <v>60.85308056872038</v>
      </c>
      <c r="T91" s="1611">
        <f t="shared" si="16"/>
        <v>2079.1469194312795</v>
      </c>
    </row>
    <row r="92" spans="1:21" ht="34.5" hidden="1" customHeight="1">
      <c r="A92" s="1609"/>
      <c r="B92" s="1618" t="s">
        <v>1437</v>
      </c>
      <c r="C92" s="1579" t="s">
        <v>1439</v>
      </c>
      <c r="D92" s="1618"/>
      <c r="E92" s="1662">
        <v>13674.8</v>
      </c>
      <c r="F92" s="1581"/>
      <c r="G92" s="1581"/>
      <c r="H92" s="1581"/>
      <c r="I92" s="1609"/>
      <c r="J92" s="1609"/>
      <c r="K92" s="1581"/>
      <c r="L92" s="1618"/>
      <c r="M92" s="1618"/>
      <c r="N92" s="1581"/>
      <c r="O92" s="1581"/>
      <c r="P92" s="1581"/>
      <c r="Q92" s="1581"/>
      <c r="R92" s="1611"/>
      <c r="S92" s="1611"/>
      <c r="T92" s="1611"/>
    </row>
    <row r="93" spans="1:21">
      <c r="A93" s="1609">
        <v>165</v>
      </c>
      <c r="B93" s="1618" t="s">
        <v>1440</v>
      </c>
      <c r="C93" s="1579" t="s">
        <v>1441</v>
      </c>
      <c r="D93" s="1618" t="s">
        <v>1022</v>
      </c>
      <c r="E93" s="1662">
        <v>13674.8</v>
      </c>
      <c r="F93" s="1581"/>
      <c r="G93" s="1581"/>
      <c r="H93" s="1581"/>
      <c r="I93" s="1609">
        <v>6</v>
      </c>
      <c r="J93" s="1609">
        <v>205</v>
      </c>
      <c r="K93" s="1581"/>
      <c r="L93" s="1618">
        <v>6</v>
      </c>
      <c r="M93" s="1618"/>
      <c r="N93" s="1581"/>
      <c r="O93" s="1581"/>
      <c r="P93" s="1581">
        <f t="shared" si="13"/>
        <v>6</v>
      </c>
      <c r="Q93" s="1581">
        <f>1500*1.07</f>
        <v>1605</v>
      </c>
      <c r="R93" s="1611">
        <f t="shared" si="14"/>
        <v>9630</v>
      </c>
      <c r="S93" s="1611">
        <f t="shared" si="15"/>
        <v>273.8388625592417</v>
      </c>
      <c r="T93" s="1611">
        <f t="shared" si="16"/>
        <v>9356.1611374407585</v>
      </c>
    </row>
    <row r="94" spans="1:21">
      <c r="A94" s="1609">
        <v>173</v>
      </c>
      <c r="B94" s="1618" t="s">
        <v>1442</v>
      </c>
      <c r="C94" s="1579" t="s">
        <v>1443</v>
      </c>
      <c r="D94" s="1618" t="s">
        <v>1022</v>
      </c>
      <c r="E94" s="1662">
        <v>13674.8</v>
      </c>
      <c r="F94" s="1581"/>
      <c r="G94" s="1581"/>
      <c r="H94" s="1581"/>
      <c r="I94" s="1609">
        <v>6</v>
      </c>
      <c r="J94" s="1609">
        <v>205</v>
      </c>
      <c r="K94" s="1581"/>
      <c r="L94" s="1618">
        <v>5</v>
      </c>
      <c r="M94" s="1618"/>
      <c r="N94" s="1581"/>
      <c r="O94" s="1581"/>
      <c r="P94" s="1581">
        <f t="shared" si="13"/>
        <v>5</v>
      </c>
      <c r="Q94" s="1581">
        <f>7000*1.07</f>
        <v>7490</v>
      </c>
      <c r="R94" s="1611">
        <f t="shared" si="14"/>
        <v>37450</v>
      </c>
      <c r="S94" s="1611">
        <f t="shared" si="15"/>
        <v>1064.9289099526065</v>
      </c>
      <c r="T94" s="1611">
        <f t="shared" si="16"/>
        <v>36385.071090047393</v>
      </c>
    </row>
    <row r="95" spans="1:21" ht="38.25">
      <c r="A95" s="1609">
        <v>32</v>
      </c>
      <c r="B95" s="1618" t="s">
        <v>1446</v>
      </c>
      <c r="C95" s="917" t="s">
        <v>1447</v>
      </c>
      <c r="D95" s="1619" t="s">
        <v>1268</v>
      </c>
      <c r="E95" s="1662">
        <v>13674.8</v>
      </c>
      <c r="F95" s="1609"/>
      <c r="G95" s="1609"/>
      <c r="H95" s="1609"/>
      <c r="I95" s="1609">
        <v>6</v>
      </c>
      <c r="J95" s="1609">
        <v>205</v>
      </c>
      <c r="K95" s="1609"/>
      <c r="L95" s="1623">
        <v>50</v>
      </c>
      <c r="M95" s="1623"/>
      <c r="N95" s="1609"/>
      <c r="O95" s="1609"/>
      <c r="P95" s="1581">
        <f t="shared" si="13"/>
        <v>50</v>
      </c>
      <c r="Q95" s="1610">
        <f>250*1.07</f>
        <v>267.5</v>
      </c>
      <c r="R95" s="1611">
        <f t="shared" si="14"/>
        <v>13375</v>
      </c>
      <c r="S95" s="1611">
        <f t="shared" si="15"/>
        <v>380.33175355450237</v>
      </c>
      <c r="T95" s="1611">
        <f t="shared" si="16"/>
        <v>12994.668246445497</v>
      </c>
    </row>
    <row r="96" spans="1:21" ht="25.5">
      <c r="A96" s="1609">
        <v>33</v>
      </c>
      <c r="B96" s="1618" t="s">
        <v>1446</v>
      </c>
      <c r="C96" s="917" t="s">
        <v>1448</v>
      </c>
      <c r="D96" s="1619" t="s">
        <v>1268</v>
      </c>
      <c r="E96" s="1662">
        <v>13674.8</v>
      </c>
      <c r="F96" s="1609"/>
      <c r="G96" s="1609"/>
      <c r="H96" s="1609"/>
      <c r="I96" s="1609">
        <v>6</v>
      </c>
      <c r="J96" s="1609">
        <v>205</v>
      </c>
      <c r="K96" s="1609"/>
      <c r="L96" s="1623">
        <v>50</v>
      </c>
      <c r="M96" s="1623"/>
      <c r="N96" s="1609"/>
      <c r="O96" s="1609"/>
      <c r="P96" s="1581">
        <f t="shared" si="13"/>
        <v>50</v>
      </c>
      <c r="Q96" s="1610">
        <f>300*1.07</f>
        <v>321</v>
      </c>
      <c r="R96" s="1611">
        <f t="shared" si="14"/>
        <v>16050</v>
      </c>
      <c r="S96" s="1611">
        <f t="shared" si="15"/>
        <v>456.39810426540282</v>
      </c>
      <c r="T96" s="1611">
        <f t="shared" si="16"/>
        <v>15593.601895734597</v>
      </c>
    </row>
    <row r="97" spans="1:21" ht="25.5">
      <c r="A97" s="1609">
        <v>97</v>
      </c>
      <c r="B97" s="1619" t="s">
        <v>1451</v>
      </c>
      <c r="C97" s="917" t="s">
        <v>1450</v>
      </c>
      <c r="D97" s="1619" t="s">
        <v>1268</v>
      </c>
      <c r="E97" s="1662">
        <v>13674.8</v>
      </c>
      <c r="F97" s="1609"/>
      <c r="G97" s="1609"/>
      <c r="H97" s="1609"/>
      <c r="I97" s="1609">
        <v>6</v>
      </c>
      <c r="J97" s="1609">
        <v>205</v>
      </c>
      <c r="K97" s="1609"/>
      <c r="L97" s="1619">
        <v>2</v>
      </c>
      <c r="M97" s="1619"/>
      <c r="N97" s="1609"/>
      <c r="O97" s="1609"/>
      <c r="P97" s="1581">
        <f t="shared" si="13"/>
        <v>2</v>
      </c>
      <c r="Q97" s="1610">
        <f>5000*1.07</f>
        <v>5350</v>
      </c>
      <c r="R97" s="1611">
        <f t="shared" si="14"/>
        <v>10700</v>
      </c>
      <c r="S97" s="1611">
        <f t="shared" si="15"/>
        <v>304.26540284360186</v>
      </c>
      <c r="T97" s="1611">
        <f t="shared" si="16"/>
        <v>10395.734597156397</v>
      </c>
    </row>
    <row r="98" spans="1:21" ht="38.25">
      <c r="A98" s="1609">
        <v>92</v>
      </c>
      <c r="B98" s="1619" t="s">
        <v>1452</v>
      </c>
      <c r="C98" s="917" t="s">
        <v>1453</v>
      </c>
      <c r="D98" s="1619" t="s">
        <v>1268</v>
      </c>
      <c r="E98" s="1662">
        <v>13674.8</v>
      </c>
      <c r="F98" s="1609"/>
      <c r="G98" s="1609"/>
      <c r="H98" s="1609"/>
      <c r="I98" s="1609">
        <v>6</v>
      </c>
      <c r="J98" s="1609">
        <v>205</v>
      </c>
      <c r="K98" s="1609"/>
      <c r="L98" s="1619">
        <v>1</v>
      </c>
      <c r="M98" s="1619"/>
      <c r="N98" s="1609"/>
      <c r="O98" s="1609"/>
      <c r="P98" s="1581">
        <f t="shared" si="13"/>
        <v>1</v>
      </c>
      <c r="Q98" s="1610">
        <f>4000*1.07</f>
        <v>4280</v>
      </c>
      <c r="R98" s="1611">
        <f t="shared" si="14"/>
        <v>4280</v>
      </c>
      <c r="S98" s="1611">
        <f t="shared" si="15"/>
        <v>121.70616113744076</v>
      </c>
      <c r="T98" s="1611">
        <f t="shared" si="16"/>
        <v>4158.2938388625589</v>
      </c>
    </row>
    <row r="99" spans="1:21">
      <c r="A99" s="1609">
        <v>125</v>
      </c>
      <c r="B99" s="1618" t="s">
        <v>1454</v>
      </c>
      <c r="C99" s="1579" t="s">
        <v>1455</v>
      </c>
      <c r="D99" s="1618" t="s">
        <v>1268</v>
      </c>
      <c r="E99" s="1662">
        <v>13674.8</v>
      </c>
      <c r="F99" s="1581"/>
      <c r="G99" s="1581"/>
      <c r="H99" s="1581"/>
      <c r="I99" s="1609">
        <v>6</v>
      </c>
      <c r="J99" s="1609">
        <v>205</v>
      </c>
      <c r="K99" s="1581"/>
      <c r="L99" s="1618">
        <v>6</v>
      </c>
      <c r="M99" s="1618"/>
      <c r="N99" s="1581"/>
      <c r="O99" s="1581"/>
      <c r="P99" s="1581">
        <f t="shared" si="13"/>
        <v>6</v>
      </c>
      <c r="Q99" s="1581">
        <f>2600*1.07</f>
        <v>2782</v>
      </c>
      <c r="R99" s="1611">
        <f t="shared" si="14"/>
        <v>16692</v>
      </c>
      <c r="S99" s="1611">
        <f t="shared" si="15"/>
        <v>474.65402843601896</v>
      </c>
      <c r="T99" s="1611">
        <f t="shared" si="16"/>
        <v>16217.34597156398</v>
      </c>
    </row>
    <row r="100" spans="1:21">
      <c r="A100" s="1609">
        <v>126</v>
      </c>
      <c r="B100" s="1618" t="s">
        <v>1456</v>
      </c>
      <c r="C100" s="1579" t="s">
        <v>1457</v>
      </c>
      <c r="D100" s="1618" t="s">
        <v>1268</v>
      </c>
      <c r="E100" s="1662">
        <v>13674.8</v>
      </c>
      <c r="F100" s="1581"/>
      <c r="G100" s="1581"/>
      <c r="H100" s="1581"/>
      <c r="I100" s="1609">
        <v>6</v>
      </c>
      <c r="J100" s="1609">
        <v>205</v>
      </c>
      <c r="K100" s="1581"/>
      <c r="L100" s="1618">
        <v>6</v>
      </c>
      <c r="M100" s="1618"/>
      <c r="N100" s="1581"/>
      <c r="O100" s="1581"/>
      <c r="P100" s="1581">
        <f t="shared" si="13"/>
        <v>6</v>
      </c>
      <c r="Q100" s="1581">
        <f>3900*1.07</f>
        <v>4173</v>
      </c>
      <c r="R100" s="1611">
        <f t="shared" si="14"/>
        <v>25038</v>
      </c>
      <c r="S100" s="1611">
        <f t="shared" si="15"/>
        <v>711.98104265402844</v>
      </c>
      <c r="T100" s="1611">
        <f t="shared" si="16"/>
        <v>24326.018957345972</v>
      </c>
    </row>
    <row r="101" spans="1:21">
      <c r="A101" s="1609">
        <v>127</v>
      </c>
      <c r="B101" s="1618" t="s">
        <v>1458</v>
      </c>
      <c r="C101" s="1579" t="s">
        <v>1457</v>
      </c>
      <c r="D101" s="1618" t="s">
        <v>1268</v>
      </c>
      <c r="E101" s="1662">
        <v>13674.8</v>
      </c>
      <c r="F101" s="1581"/>
      <c r="G101" s="1581"/>
      <c r="H101" s="1581"/>
      <c r="I101" s="1609">
        <v>6</v>
      </c>
      <c r="J101" s="1609">
        <v>205</v>
      </c>
      <c r="K101" s="1581"/>
      <c r="L101" s="1618">
        <v>2</v>
      </c>
      <c r="M101" s="1618"/>
      <c r="N101" s="1581"/>
      <c r="O101" s="1581"/>
      <c r="P101" s="1581">
        <f t="shared" si="13"/>
        <v>2</v>
      </c>
      <c r="Q101" s="1581">
        <f>4700*1.07</f>
        <v>5029</v>
      </c>
      <c r="R101" s="1611">
        <f t="shared" si="14"/>
        <v>10058</v>
      </c>
      <c r="S101" s="1611">
        <f t="shared" si="15"/>
        <v>286.00947867298578</v>
      </c>
      <c r="T101" s="1611">
        <f t="shared" si="16"/>
        <v>9771.990521327014</v>
      </c>
      <c r="U101" s="1580">
        <v>1500</v>
      </c>
    </row>
    <row r="102" spans="1:21">
      <c r="A102" s="1609">
        <v>128</v>
      </c>
      <c r="B102" s="1618" t="s">
        <v>1459</v>
      </c>
      <c r="C102" s="1579" t="s">
        <v>1457</v>
      </c>
      <c r="D102" s="1618" t="s">
        <v>1268</v>
      </c>
      <c r="E102" s="1662">
        <v>13674.8</v>
      </c>
      <c r="F102" s="1581"/>
      <c r="G102" s="1581"/>
      <c r="H102" s="1581"/>
      <c r="I102" s="1609">
        <v>6</v>
      </c>
      <c r="J102" s="1609">
        <v>205</v>
      </c>
      <c r="K102" s="1581"/>
      <c r="L102" s="1618">
        <v>1</v>
      </c>
      <c r="M102" s="1618"/>
      <c r="N102" s="1581"/>
      <c r="O102" s="1581"/>
      <c r="P102" s="1581">
        <f t="shared" si="13"/>
        <v>1</v>
      </c>
      <c r="Q102" s="1581">
        <f>6100*1.07</f>
        <v>6527</v>
      </c>
      <c r="R102" s="1611">
        <f t="shared" si="14"/>
        <v>6527</v>
      </c>
      <c r="S102" s="1611">
        <f t="shared" si="15"/>
        <v>185.60189573459715</v>
      </c>
      <c r="T102" s="1611">
        <f t="shared" si="16"/>
        <v>6341.3981042654032</v>
      </c>
    </row>
    <row r="103" spans="1:21">
      <c r="A103" s="1609">
        <v>122</v>
      </c>
      <c r="B103" s="1619" t="s">
        <v>1460</v>
      </c>
      <c r="C103" s="1579" t="s">
        <v>1461</v>
      </c>
      <c r="D103" s="1619" t="s">
        <v>1268</v>
      </c>
      <c r="E103" s="1662">
        <v>13674.8</v>
      </c>
      <c r="F103" s="1581"/>
      <c r="G103" s="1581"/>
      <c r="H103" s="1609"/>
      <c r="I103" s="1609">
        <v>6</v>
      </c>
      <c r="J103" s="1609">
        <v>205</v>
      </c>
      <c r="K103" s="1609"/>
      <c r="L103" s="1619">
        <v>5</v>
      </c>
      <c r="M103" s="1619"/>
      <c r="N103" s="1609"/>
      <c r="O103" s="1609"/>
      <c r="P103" s="1581">
        <f t="shared" si="13"/>
        <v>5</v>
      </c>
      <c r="Q103" s="1609">
        <f>5000*1.07</f>
        <v>5350</v>
      </c>
      <c r="R103" s="1611">
        <f t="shared" si="14"/>
        <v>26750</v>
      </c>
      <c r="S103" s="1611">
        <f t="shared" si="15"/>
        <v>760.66350710900474</v>
      </c>
      <c r="T103" s="1611">
        <f t="shared" si="16"/>
        <v>25989.336492890994</v>
      </c>
    </row>
    <row r="104" spans="1:21" hidden="1">
      <c r="A104" s="1609">
        <v>204</v>
      </c>
      <c r="B104" s="1620" t="s">
        <v>1473</v>
      </c>
      <c r="C104" s="1579" t="s">
        <v>1474</v>
      </c>
      <c r="D104" s="1620" t="s">
        <v>1022</v>
      </c>
      <c r="E104" s="1662">
        <v>13674.8</v>
      </c>
      <c r="F104" s="1581"/>
      <c r="G104" s="1581"/>
      <c r="H104" s="1581"/>
      <c r="I104" s="1609">
        <v>6</v>
      </c>
      <c r="J104" s="1609">
        <v>205</v>
      </c>
      <c r="K104" s="1581"/>
      <c r="L104" s="1620"/>
      <c r="M104" s="1620"/>
      <c r="N104" s="1581"/>
      <c r="O104" s="1581"/>
      <c r="P104" s="1581"/>
      <c r="Q104" s="1581"/>
      <c r="R104" s="1611"/>
      <c r="S104" s="1611"/>
      <c r="T104" s="1611"/>
    </row>
    <row r="105" spans="1:21">
      <c r="A105" s="1609">
        <v>167</v>
      </c>
      <c r="B105" s="1618" t="s">
        <v>1476</v>
      </c>
      <c r="C105" s="1579" t="s">
        <v>1477</v>
      </c>
      <c r="D105" s="1618" t="s">
        <v>1022</v>
      </c>
      <c r="E105" s="1662">
        <v>13674.8</v>
      </c>
      <c r="F105" s="1581"/>
      <c r="G105" s="1581"/>
      <c r="H105" s="1581"/>
      <c r="I105" s="1609">
        <v>6</v>
      </c>
      <c r="J105" s="1609">
        <v>205</v>
      </c>
      <c r="K105" s="1581"/>
      <c r="L105" s="1618">
        <v>10</v>
      </c>
      <c r="M105" s="1618"/>
      <c r="N105" s="1581"/>
      <c r="O105" s="1581"/>
      <c r="P105" s="1581">
        <f t="shared" si="13"/>
        <v>10</v>
      </c>
      <c r="Q105" s="1581">
        <f>1100*1.07</f>
        <v>1177</v>
      </c>
      <c r="R105" s="1611">
        <f t="shared" si="14"/>
        <v>11770</v>
      </c>
      <c r="S105" s="1611">
        <f t="shared" si="15"/>
        <v>334.69194312796208</v>
      </c>
      <c r="T105" s="1611">
        <f t="shared" si="16"/>
        <v>11435.308056872038</v>
      </c>
    </row>
    <row r="106" spans="1:21">
      <c r="A106" s="1609">
        <v>168</v>
      </c>
      <c r="B106" s="1618" t="s">
        <v>1476</v>
      </c>
      <c r="C106" s="1579" t="s">
        <v>1478</v>
      </c>
      <c r="D106" s="1618" t="s">
        <v>1022</v>
      </c>
      <c r="E106" s="1662">
        <v>13674.8</v>
      </c>
      <c r="F106" s="1581"/>
      <c r="G106" s="1581"/>
      <c r="H106" s="1581"/>
      <c r="I106" s="1609">
        <v>6</v>
      </c>
      <c r="J106" s="1609">
        <v>205</v>
      </c>
      <c r="K106" s="1581"/>
      <c r="L106" s="1618">
        <v>10</v>
      </c>
      <c r="M106" s="1618"/>
      <c r="N106" s="1581"/>
      <c r="O106" s="1581"/>
      <c r="P106" s="1581">
        <f t="shared" si="13"/>
        <v>10</v>
      </c>
      <c r="Q106" s="1581">
        <f>1300*1.07</f>
        <v>1391</v>
      </c>
      <c r="R106" s="1611">
        <f t="shared" si="14"/>
        <v>13910</v>
      </c>
      <c r="S106" s="1611">
        <f t="shared" si="15"/>
        <v>395.54502369668245</v>
      </c>
      <c r="T106" s="1611">
        <f t="shared" si="16"/>
        <v>13514.454976303317</v>
      </c>
    </row>
    <row r="107" spans="1:21">
      <c r="A107" s="1609">
        <v>169</v>
      </c>
      <c r="B107" s="1618" t="s">
        <v>1476</v>
      </c>
      <c r="C107" s="1579" t="s">
        <v>1479</v>
      </c>
      <c r="D107" s="1618" t="s">
        <v>1022</v>
      </c>
      <c r="E107" s="1662">
        <v>13674.8</v>
      </c>
      <c r="F107" s="1581"/>
      <c r="G107" s="1581"/>
      <c r="H107" s="1581"/>
      <c r="I107" s="1609">
        <v>6</v>
      </c>
      <c r="J107" s="1609">
        <v>205</v>
      </c>
      <c r="K107" s="1581"/>
      <c r="L107" s="1618">
        <v>5</v>
      </c>
      <c r="M107" s="1618"/>
      <c r="N107" s="1581"/>
      <c r="O107" s="1581"/>
      <c r="P107" s="1581">
        <f t="shared" si="13"/>
        <v>5</v>
      </c>
      <c r="Q107" s="1581">
        <f>1900*1.07</f>
        <v>2033.0000000000002</v>
      </c>
      <c r="R107" s="1611">
        <f t="shared" si="14"/>
        <v>10165.000000000002</v>
      </c>
      <c r="S107" s="1611">
        <f t="shared" si="15"/>
        <v>289.05213270142184</v>
      </c>
      <c r="T107" s="1611">
        <f t="shared" si="16"/>
        <v>9875.9478672985806</v>
      </c>
    </row>
    <row r="108" spans="1:21">
      <c r="A108" s="1609">
        <v>172</v>
      </c>
      <c r="B108" s="1618" t="s">
        <v>1476</v>
      </c>
      <c r="C108" s="1579" t="s">
        <v>1480</v>
      </c>
      <c r="D108" s="1618" t="s">
        <v>1022</v>
      </c>
      <c r="E108" s="1662">
        <v>13674.8</v>
      </c>
      <c r="F108" s="1581"/>
      <c r="G108" s="1581"/>
      <c r="H108" s="1581"/>
      <c r="I108" s="1609">
        <v>6</v>
      </c>
      <c r="J108" s="1609">
        <v>205</v>
      </c>
      <c r="K108" s="1581"/>
      <c r="L108" s="1618">
        <v>5</v>
      </c>
      <c r="M108" s="1618"/>
      <c r="N108" s="1581"/>
      <c r="O108" s="1581"/>
      <c r="P108" s="1581">
        <f t="shared" si="13"/>
        <v>5</v>
      </c>
      <c r="Q108" s="1581">
        <f>7000*1.07</f>
        <v>7490</v>
      </c>
      <c r="R108" s="1611">
        <f t="shared" si="14"/>
        <v>37450</v>
      </c>
      <c r="S108" s="1611">
        <f t="shared" si="15"/>
        <v>1064.9289099526065</v>
      </c>
      <c r="T108" s="1611">
        <f t="shared" si="16"/>
        <v>36385.071090047393</v>
      </c>
    </row>
    <row r="109" spans="1:21">
      <c r="A109" s="1609">
        <v>170</v>
      </c>
      <c r="B109" s="1618" t="s">
        <v>1481</v>
      </c>
      <c r="C109" s="1579" t="s">
        <v>1482</v>
      </c>
      <c r="D109" s="1618" t="s">
        <v>1022</v>
      </c>
      <c r="E109" s="1662">
        <v>13674.8</v>
      </c>
      <c r="F109" s="1581"/>
      <c r="G109" s="1581"/>
      <c r="H109" s="1581"/>
      <c r="I109" s="1609">
        <v>6</v>
      </c>
      <c r="J109" s="1609">
        <v>205</v>
      </c>
      <c r="K109" s="1581"/>
      <c r="L109" s="1618">
        <v>5</v>
      </c>
      <c r="M109" s="1618"/>
      <c r="N109" s="1581"/>
      <c r="O109" s="1581"/>
      <c r="P109" s="1581">
        <f t="shared" ref="P109:P131" si="17">L109-O109</f>
        <v>5</v>
      </c>
      <c r="Q109" s="1581">
        <f>3600*1.07</f>
        <v>3852</v>
      </c>
      <c r="R109" s="1611">
        <f t="shared" ref="R109:R131" si="18">P109*Q109</f>
        <v>19260</v>
      </c>
      <c r="S109" s="1611">
        <f t="shared" ref="S109:S131" si="19">R109*(I109/(I109+J109+K109))</f>
        <v>547.67772511848341</v>
      </c>
      <c r="T109" s="1611">
        <f t="shared" ref="T109:T131" si="20">R109-S109</f>
        <v>18712.322274881517</v>
      </c>
    </row>
    <row r="110" spans="1:21">
      <c r="A110" s="1609">
        <v>171</v>
      </c>
      <c r="B110" s="1618" t="s">
        <v>1481</v>
      </c>
      <c r="C110" s="1579" t="s">
        <v>1483</v>
      </c>
      <c r="D110" s="1618" t="s">
        <v>1022</v>
      </c>
      <c r="E110" s="1662">
        <v>13674.8</v>
      </c>
      <c r="F110" s="1581"/>
      <c r="G110" s="1581"/>
      <c r="H110" s="1581"/>
      <c r="I110" s="1609">
        <v>6</v>
      </c>
      <c r="J110" s="1609">
        <v>205</v>
      </c>
      <c r="K110" s="1581"/>
      <c r="L110" s="1618">
        <v>5</v>
      </c>
      <c r="M110" s="1618"/>
      <c r="N110" s="1581"/>
      <c r="O110" s="1581"/>
      <c r="P110" s="1581">
        <f t="shared" si="17"/>
        <v>5</v>
      </c>
      <c r="Q110" s="1581">
        <f>5600*1.07</f>
        <v>5992</v>
      </c>
      <c r="R110" s="1611">
        <f t="shared" si="18"/>
        <v>29960</v>
      </c>
      <c r="S110" s="1611">
        <f t="shared" si="19"/>
        <v>851.94312796208521</v>
      </c>
      <c r="T110" s="1611">
        <f t="shared" si="20"/>
        <v>29108.056872037916</v>
      </c>
    </row>
    <row r="111" spans="1:21">
      <c r="A111" s="1609">
        <v>149</v>
      </c>
      <c r="B111" s="1618" t="s">
        <v>1488</v>
      </c>
      <c r="C111" s="1579" t="s">
        <v>1489</v>
      </c>
      <c r="D111" s="1618" t="s">
        <v>1022</v>
      </c>
      <c r="E111" s="1662">
        <v>13674.8</v>
      </c>
      <c r="F111" s="1581"/>
      <c r="G111" s="1581"/>
      <c r="H111" s="1581"/>
      <c r="I111" s="1609">
        <v>6</v>
      </c>
      <c r="J111" s="1609">
        <v>205</v>
      </c>
      <c r="K111" s="1581"/>
      <c r="L111" s="1618">
        <v>1</v>
      </c>
      <c r="M111" s="1618"/>
      <c r="N111" s="1581"/>
      <c r="O111" s="1581"/>
      <c r="P111" s="1581">
        <f t="shared" si="17"/>
        <v>1</v>
      </c>
      <c r="Q111" s="1581">
        <f>5000*1.07</f>
        <v>5350</v>
      </c>
      <c r="R111" s="1611">
        <f t="shared" si="18"/>
        <v>5350</v>
      </c>
      <c r="S111" s="1611">
        <f t="shared" si="19"/>
        <v>152.13270142180093</v>
      </c>
      <c r="T111" s="1611">
        <f t="shared" si="20"/>
        <v>5197.8672985781986</v>
      </c>
    </row>
    <row r="112" spans="1:21">
      <c r="A112" s="1609">
        <v>81</v>
      </c>
      <c r="B112" s="1619" t="s">
        <v>1495</v>
      </c>
      <c r="C112" s="917" t="s">
        <v>1496</v>
      </c>
      <c r="D112" s="1619" t="s">
        <v>1268</v>
      </c>
      <c r="E112" s="1662">
        <v>13674.8</v>
      </c>
      <c r="F112" s="1609"/>
      <c r="G112" s="1609"/>
      <c r="H112" s="1609"/>
      <c r="I112" s="1609">
        <v>6</v>
      </c>
      <c r="J112" s="1609">
        <v>205</v>
      </c>
      <c r="K112" s="1609"/>
      <c r="L112" s="1619">
        <v>200</v>
      </c>
      <c r="M112" s="1619"/>
      <c r="N112" s="1609"/>
      <c r="O112" s="1609"/>
      <c r="P112" s="1581">
        <f t="shared" si="17"/>
        <v>200</v>
      </c>
      <c r="Q112" s="1610">
        <f>1300*1.07</f>
        <v>1391</v>
      </c>
      <c r="R112" s="1611">
        <f t="shared" si="18"/>
        <v>278200</v>
      </c>
      <c r="S112" s="1611">
        <f t="shared" si="19"/>
        <v>7910.9004739336488</v>
      </c>
      <c r="T112" s="1611">
        <f t="shared" si="20"/>
        <v>270289.09952606633</v>
      </c>
    </row>
    <row r="113" spans="1:21">
      <c r="A113" s="1581">
        <v>312</v>
      </c>
      <c r="B113" s="1625" t="s">
        <v>1495</v>
      </c>
      <c r="C113" s="1579" t="s">
        <v>1497</v>
      </c>
      <c r="D113" s="1625" t="s">
        <v>1268</v>
      </c>
      <c r="E113" s="1662">
        <v>13674.8</v>
      </c>
      <c r="F113" s="1581"/>
      <c r="G113" s="1581"/>
      <c r="H113" s="1581"/>
      <c r="I113" s="1609">
        <v>6</v>
      </c>
      <c r="J113" s="1609">
        <v>205</v>
      </c>
      <c r="K113" s="1581"/>
      <c r="L113" s="1625">
        <v>100</v>
      </c>
      <c r="M113" s="1625"/>
      <c r="N113" s="1581"/>
      <c r="O113" s="1581"/>
      <c r="P113" s="1581">
        <f t="shared" si="17"/>
        <v>100</v>
      </c>
      <c r="Q113" s="1581">
        <f>1300*1.07</f>
        <v>1391</v>
      </c>
      <c r="R113" s="1611">
        <f t="shared" si="18"/>
        <v>139100</v>
      </c>
      <c r="S113" s="1611">
        <f t="shared" si="19"/>
        <v>3955.4502369668244</v>
      </c>
      <c r="T113" s="1611">
        <f t="shared" si="20"/>
        <v>135144.54976303317</v>
      </c>
    </row>
    <row r="114" spans="1:21" hidden="1">
      <c r="A114" s="1609">
        <v>84</v>
      </c>
      <c r="B114" s="1619" t="s">
        <v>1498</v>
      </c>
      <c r="C114" s="917" t="s">
        <v>1499</v>
      </c>
      <c r="D114" s="1619" t="s">
        <v>1268</v>
      </c>
      <c r="E114" s="1662">
        <v>13674.8</v>
      </c>
      <c r="F114" s="1609"/>
      <c r="G114" s="1609"/>
      <c r="H114" s="1609"/>
      <c r="I114" s="1609">
        <v>6</v>
      </c>
      <c r="J114" s="1609">
        <v>205</v>
      </c>
      <c r="K114" s="1609"/>
      <c r="L114" s="1619"/>
      <c r="M114" s="1619"/>
      <c r="N114" s="1609"/>
      <c r="O114" s="1609"/>
      <c r="P114" s="1581">
        <f t="shared" si="17"/>
        <v>0</v>
      </c>
      <c r="Q114" s="1610"/>
      <c r="R114" s="1611">
        <f t="shared" si="18"/>
        <v>0</v>
      </c>
      <c r="S114" s="1611">
        <f t="shared" si="19"/>
        <v>0</v>
      </c>
      <c r="T114" s="1611">
        <f t="shared" si="20"/>
        <v>0</v>
      </c>
    </row>
    <row r="115" spans="1:21">
      <c r="A115" s="1609">
        <v>83</v>
      </c>
      <c r="B115" s="1619" t="s">
        <v>1490</v>
      </c>
      <c r="C115" s="917" t="s">
        <v>1500</v>
      </c>
      <c r="D115" s="1619" t="s">
        <v>1268</v>
      </c>
      <c r="E115" s="1662">
        <v>13674.8</v>
      </c>
      <c r="F115" s="1609"/>
      <c r="G115" s="1609"/>
      <c r="H115" s="1609"/>
      <c r="I115" s="1609">
        <v>6</v>
      </c>
      <c r="J115" s="1609">
        <v>205</v>
      </c>
      <c r="K115" s="1609"/>
      <c r="L115" s="1619">
        <v>20</v>
      </c>
      <c r="M115" s="1619"/>
      <c r="N115" s="1609"/>
      <c r="O115" s="1609"/>
      <c r="P115" s="1581">
        <f t="shared" si="17"/>
        <v>20</v>
      </c>
      <c r="Q115" s="1610">
        <f>1400*1.07</f>
        <v>1498</v>
      </c>
      <c r="R115" s="1611">
        <f t="shared" si="18"/>
        <v>29960</v>
      </c>
      <c r="S115" s="1611">
        <f t="shared" si="19"/>
        <v>851.94312796208521</v>
      </c>
      <c r="T115" s="1611">
        <f t="shared" si="20"/>
        <v>29108.056872037916</v>
      </c>
    </row>
    <row r="116" spans="1:21">
      <c r="A116" s="1609">
        <v>82</v>
      </c>
      <c r="B116" s="1619" t="s">
        <v>1490</v>
      </c>
      <c r="C116" s="917" t="s">
        <v>1501</v>
      </c>
      <c r="D116" s="1619" t="s">
        <v>1268</v>
      </c>
      <c r="E116" s="1662">
        <v>13674.8</v>
      </c>
      <c r="F116" s="1609"/>
      <c r="G116" s="1609"/>
      <c r="H116" s="1609"/>
      <c r="I116" s="1609">
        <v>6</v>
      </c>
      <c r="J116" s="1609">
        <v>205</v>
      </c>
      <c r="K116" s="1609"/>
      <c r="L116" s="1619">
        <v>50</v>
      </c>
      <c r="M116" s="1619"/>
      <c r="N116" s="1609"/>
      <c r="O116" s="1609"/>
      <c r="P116" s="1581">
        <f t="shared" si="17"/>
        <v>50</v>
      </c>
      <c r="Q116" s="1610">
        <f>1890*1.07</f>
        <v>2022.3000000000002</v>
      </c>
      <c r="R116" s="1611">
        <f t="shared" si="18"/>
        <v>101115.00000000001</v>
      </c>
      <c r="S116" s="1611">
        <f t="shared" si="19"/>
        <v>2875.3080568720384</v>
      </c>
      <c r="T116" s="1611">
        <f t="shared" si="20"/>
        <v>98239.691943127982</v>
      </c>
    </row>
    <row r="117" spans="1:21">
      <c r="A117" s="1609">
        <v>79</v>
      </c>
      <c r="B117" s="1619" t="s">
        <v>1502</v>
      </c>
      <c r="C117" s="917" t="s">
        <v>1503</v>
      </c>
      <c r="D117" s="1619" t="s">
        <v>1268</v>
      </c>
      <c r="E117" s="1662">
        <v>13674.8</v>
      </c>
      <c r="F117" s="1609"/>
      <c r="G117" s="1609"/>
      <c r="H117" s="1609"/>
      <c r="I117" s="1609">
        <v>6</v>
      </c>
      <c r="J117" s="1609">
        <v>205</v>
      </c>
      <c r="K117" s="1609"/>
      <c r="L117" s="1619">
        <v>500</v>
      </c>
      <c r="M117" s="1619"/>
      <c r="N117" s="1609"/>
      <c r="O117" s="1609"/>
      <c r="P117" s="1581">
        <f t="shared" si="17"/>
        <v>500</v>
      </c>
      <c r="Q117" s="1610">
        <f>260*1.07</f>
        <v>278.2</v>
      </c>
      <c r="R117" s="1611">
        <f t="shared" si="18"/>
        <v>139100</v>
      </c>
      <c r="S117" s="1611">
        <f t="shared" si="19"/>
        <v>3955.4502369668244</v>
      </c>
      <c r="T117" s="1611">
        <f t="shared" si="20"/>
        <v>135144.54976303317</v>
      </c>
    </row>
    <row r="118" spans="1:21">
      <c r="A118" s="1609">
        <v>80</v>
      </c>
      <c r="B118" s="1619" t="s">
        <v>1490</v>
      </c>
      <c r="C118" s="917" t="s">
        <v>1504</v>
      </c>
      <c r="D118" s="1619" t="s">
        <v>1268</v>
      </c>
      <c r="E118" s="1662">
        <v>13674.8</v>
      </c>
      <c r="F118" s="1609"/>
      <c r="G118" s="1609"/>
      <c r="H118" s="1609"/>
      <c r="I118" s="1609">
        <v>6</v>
      </c>
      <c r="J118" s="1609">
        <v>205</v>
      </c>
      <c r="K118" s="1609"/>
      <c r="L118" s="1619">
        <v>300</v>
      </c>
      <c r="M118" s="1619"/>
      <c r="N118" s="1609"/>
      <c r="O118" s="1609"/>
      <c r="P118" s="1581">
        <f t="shared" si="17"/>
        <v>300</v>
      </c>
      <c r="Q118" s="1610">
        <f>680*1.07</f>
        <v>727.6</v>
      </c>
      <c r="R118" s="1611">
        <f t="shared" si="18"/>
        <v>218280</v>
      </c>
      <c r="S118" s="1611">
        <f t="shared" si="19"/>
        <v>6207.0142180094781</v>
      </c>
      <c r="T118" s="1611">
        <f t="shared" si="20"/>
        <v>212072.98578199052</v>
      </c>
    </row>
    <row r="119" spans="1:21">
      <c r="A119" s="1609">
        <v>258</v>
      </c>
      <c r="B119" s="1610" t="s">
        <v>1502</v>
      </c>
      <c r="C119" s="1579" t="s">
        <v>1508</v>
      </c>
      <c r="D119" s="1610" t="s">
        <v>1022</v>
      </c>
      <c r="E119" s="1662">
        <v>13674.8</v>
      </c>
      <c r="F119" s="1581"/>
      <c r="G119" s="1581"/>
      <c r="H119" s="1581"/>
      <c r="I119" s="1609">
        <v>6</v>
      </c>
      <c r="J119" s="1609">
        <v>205</v>
      </c>
      <c r="K119" s="1581"/>
      <c r="L119" s="1610">
        <v>60</v>
      </c>
      <c r="M119" s="1610"/>
      <c r="N119" s="1581"/>
      <c r="O119" s="1581"/>
      <c r="P119" s="1581">
        <f t="shared" si="17"/>
        <v>60</v>
      </c>
      <c r="Q119" s="1581">
        <f>400*1.07</f>
        <v>428</v>
      </c>
      <c r="R119" s="1611">
        <f t="shared" si="18"/>
        <v>25680</v>
      </c>
      <c r="S119" s="1611">
        <f t="shared" si="19"/>
        <v>730.23696682464447</v>
      </c>
      <c r="T119" s="1611">
        <f t="shared" si="20"/>
        <v>24949.763033175357</v>
      </c>
    </row>
    <row r="120" spans="1:21">
      <c r="A120" s="1609">
        <v>261</v>
      </c>
      <c r="B120" s="1610" t="s">
        <v>1509</v>
      </c>
      <c r="C120" s="1579" t="s">
        <v>1510</v>
      </c>
      <c r="D120" s="1610" t="s">
        <v>1022</v>
      </c>
      <c r="E120" s="1662">
        <v>13674.8</v>
      </c>
      <c r="F120" s="1581"/>
      <c r="G120" s="1581"/>
      <c r="H120" s="1581"/>
      <c r="I120" s="1609">
        <v>6</v>
      </c>
      <c r="J120" s="1609">
        <v>205</v>
      </c>
      <c r="K120" s="1581"/>
      <c r="L120" s="1610">
        <v>1000</v>
      </c>
      <c r="M120" s="1610"/>
      <c r="N120" s="1581"/>
      <c r="O120" s="1581"/>
      <c r="P120" s="1581">
        <f t="shared" si="17"/>
        <v>1000</v>
      </c>
      <c r="Q120" s="1581">
        <f>560*1.07</f>
        <v>599.20000000000005</v>
      </c>
      <c r="R120" s="1611">
        <f t="shared" si="18"/>
        <v>599200</v>
      </c>
      <c r="S120" s="1611">
        <f t="shared" si="19"/>
        <v>17038.862559241705</v>
      </c>
      <c r="T120" s="1611">
        <f t="shared" si="20"/>
        <v>582161.13744075829</v>
      </c>
    </row>
    <row r="121" spans="1:21">
      <c r="A121" s="1609">
        <v>151</v>
      </c>
      <c r="B121" s="1618" t="s">
        <v>1513</v>
      </c>
      <c r="C121" s="1579" t="s">
        <v>1514</v>
      </c>
      <c r="D121" s="1618" t="s">
        <v>2218</v>
      </c>
      <c r="E121" s="1662">
        <v>13674.8</v>
      </c>
      <c r="F121" s="1581"/>
      <c r="G121" s="1581"/>
      <c r="H121" s="1581"/>
      <c r="I121" s="1609">
        <v>6</v>
      </c>
      <c r="J121" s="1609">
        <v>205</v>
      </c>
      <c r="K121" s="1581"/>
      <c r="L121" s="1618">
        <v>10</v>
      </c>
      <c r="M121" s="1618"/>
      <c r="N121" s="1581"/>
      <c r="O121" s="1581"/>
      <c r="P121" s="1581">
        <f t="shared" si="17"/>
        <v>10</v>
      </c>
      <c r="Q121" s="1581">
        <f>500*1.07</f>
        <v>535</v>
      </c>
      <c r="R121" s="1611">
        <f t="shared" si="18"/>
        <v>5350</v>
      </c>
      <c r="S121" s="1611">
        <f t="shared" si="19"/>
        <v>152.13270142180093</v>
      </c>
      <c r="T121" s="1611">
        <f t="shared" si="20"/>
        <v>5197.8672985781986</v>
      </c>
    </row>
    <row r="122" spans="1:21">
      <c r="A122" s="1609">
        <v>150</v>
      </c>
      <c r="B122" s="1618" t="s">
        <v>1517</v>
      </c>
      <c r="C122" s="1579" t="s">
        <v>1518</v>
      </c>
      <c r="D122" s="1618" t="s">
        <v>1022</v>
      </c>
      <c r="E122" s="1662">
        <v>13674.8</v>
      </c>
      <c r="F122" s="1581"/>
      <c r="G122" s="1581"/>
      <c r="H122" s="1581"/>
      <c r="I122" s="1609">
        <v>6</v>
      </c>
      <c r="J122" s="1609">
        <v>205</v>
      </c>
      <c r="K122" s="1581"/>
      <c r="L122" s="1618">
        <v>5</v>
      </c>
      <c r="M122" s="1618"/>
      <c r="N122" s="1581"/>
      <c r="O122" s="1581"/>
      <c r="P122" s="1581">
        <f t="shared" si="17"/>
        <v>5</v>
      </c>
      <c r="Q122" s="1581">
        <f>2500*1.07</f>
        <v>2675</v>
      </c>
      <c r="R122" s="1611">
        <f t="shared" si="18"/>
        <v>13375</v>
      </c>
      <c r="S122" s="1611">
        <f t="shared" si="19"/>
        <v>380.33175355450237</v>
      </c>
      <c r="T122" s="1611">
        <f t="shared" si="20"/>
        <v>12994.668246445497</v>
      </c>
    </row>
    <row r="123" spans="1:21" ht="45.75" customHeight="1">
      <c r="A123" s="1609">
        <v>129</v>
      </c>
      <c r="B123" s="1618" t="s">
        <v>1523</v>
      </c>
      <c r="C123" s="1579" t="s">
        <v>1524</v>
      </c>
      <c r="D123" s="1618" t="s">
        <v>1525</v>
      </c>
      <c r="E123" s="1662">
        <v>13674.8</v>
      </c>
      <c r="F123" s="1581"/>
      <c r="G123" s="1581"/>
      <c r="H123" s="1581"/>
      <c r="I123" s="1609">
        <v>6</v>
      </c>
      <c r="J123" s="1609">
        <v>205</v>
      </c>
      <c r="K123" s="1581"/>
      <c r="L123" s="1618">
        <v>1</v>
      </c>
      <c r="M123" s="1618"/>
      <c r="N123" s="1581"/>
      <c r="O123" s="1581"/>
      <c r="P123" s="1581">
        <f t="shared" si="17"/>
        <v>1</v>
      </c>
      <c r="Q123" s="1581">
        <f>18000*1.07</f>
        <v>19260</v>
      </c>
      <c r="R123" s="1611">
        <f t="shared" si="18"/>
        <v>19260</v>
      </c>
      <c r="S123" s="1611">
        <f t="shared" si="19"/>
        <v>547.67772511848341</v>
      </c>
      <c r="T123" s="1611">
        <f t="shared" si="20"/>
        <v>18712.322274881517</v>
      </c>
    </row>
    <row r="124" spans="1:21">
      <c r="A124" s="1609">
        <v>132</v>
      </c>
      <c r="B124" s="1618" t="s">
        <v>1530</v>
      </c>
      <c r="C124" s="1591" t="s">
        <v>1531</v>
      </c>
      <c r="D124" s="1618" t="s">
        <v>1525</v>
      </c>
      <c r="E124" s="1662">
        <v>13674.8</v>
      </c>
      <c r="F124" s="1581"/>
      <c r="G124" s="1581"/>
      <c r="H124" s="1581"/>
      <c r="I124" s="1609">
        <v>6</v>
      </c>
      <c r="J124" s="1609">
        <v>205</v>
      </c>
      <c r="K124" s="1581"/>
      <c r="L124" s="1618">
        <v>1</v>
      </c>
      <c r="M124" s="1618"/>
      <c r="N124" s="1581"/>
      <c r="O124" s="1581"/>
      <c r="P124" s="1581">
        <f t="shared" si="17"/>
        <v>1</v>
      </c>
      <c r="Q124" s="1581">
        <f>60000*1.07</f>
        <v>64200.000000000007</v>
      </c>
      <c r="R124" s="1611">
        <f t="shared" si="18"/>
        <v>64200.000000000007</v>
      </c>
      <c r="S124" s="1611">
        <f t="shared" si="19"/>
        <v>1825.5924170616115</v>
      </c>
      <c r="T124" s="1611">
        <f t="shared" si="20"/>
        <v>62374.407582938395</v>
      </c>
    </row>
    <row r="125" spans="1:21" ht="25.5">
      <c r="A125" s="1609">
        <v>131</v>
      </c>
      <c r="B125" s="1618" t="s">
        <v>1536</v>
      </c>
      <c r="C125" s="1579" t="s">
        <v>1537</v>
      </c>
      <c r="D125" s="1618" t="s">
        <v>1525</v>
      </c>
      <c r="E125" s="1662">
        <v>13674.8</v>
      </c>
      <c r="F125" s="1581"/>
      <c r="G125" s="1581"/>
      <c r="H125" s="1581"/>
      <c r="I125" s="1609">
        <v>6</v>
      </c>
      <c r="J125" s="1609">
        <v>205</v>
      </c>
      <c r="K125" s="1581"/>
      <c r="L125" s="1618">
        <v>1</v>
      </c>
      <c r="M125" s="1618"/>
      <c r="N125" s="1581"/>
      <c r="O125" s="1581"/>
      <c r="P125" s="1581">
        <f t="shared" si="17"/>
        <v>1</v>
      </c>
      <c r="Q125" s="1581">
        <f>30000*1.07</f>
        <v>32100.000000000004</v>
      </c>
      <c r="R125" s="1611">
        <f t="shared" si="18"/>
        <v>32100.000000000004</v>
      </c>
      <c r="S125" s="1611">
        <f t="shared" si="19"/>
        <v>912.79620853080576</v>
      </c>
      <c r="T125" s="1611">
        <f t="shared" si="20"/>
        <v>31187.203791469197</v>
      </c>
    </row>
    <row r="126" spans="1:21" ht="25.5">
      <c r="A126" s="1609">
        <v>93</v>
      </c>
      <c r="B126" s="1619" t="s">
        <v>1538</v>
      </c>
      <c r="C126" s="917" t="s">
        <v>1539</v>
      </c>
      <c r="D126" s="1619" t="s">
        <v>1525</v>
      </c>
      <c r="E126" s="1662">
        <v>13674.8</v>
      </c>
      <c r="F126" s="1609"/>
      <c r="G126" s="1609"/>
      <c r="H126" s="1609"/>
      <c r="I126" s="1609">
        <v>6</v>
      </c>
      <c r="J126" s="1609">
        <v>205</v>
      </c>
      <c r="K126" s="1609"/>
      <c r="L126" s="1619">
        <v>1</v>
      </c>
      <c r="M126" s="1619"/>
      <c r="N126" s="1609"/>
      <c r="O126" s="1609"/>
      <c r="P126" s="1581">
        <f t="shared" si="17"/>
        <v>1</v>
      </c>
      <c r="Q126" s="1610">
        <f>40000*1.07</f>
        <v>42800</v>
      </c>
      <c r="R126" s="1611">
        <f t="shared" si="18"/>
        <v>42800</v>
      </c>
      <c r="S126" s="1611">
        <f t="shared" si="19"/>
        <v>1217.0616113744074</v>
      </c>
      <c r="T126" s="1611">
        <f t="shared" si="20"/>
        <v>41582.938388625589</v>
      </c>
    </row>
    <row r="127" spans="1:21">
      <c r="A127" s="1581"/>
      <c r="B127" s="1056" t="s">
        <v>1551</v>
      </c>
      <c r="C127" s="917" t="s">
        <v>1552</v>
      </c>
      <c r="D127" s="1609" t="s">
        <v>1022</v>
      </c>
      <c r="E127" s="1662">
        <v>13674.8</v>
      </c>
      <c r="F127" s="1609"/>
      <c r="G127" s="1609"/>
      <c r="H127" s="1609"/>
      <c r="I127" s="1609">
        <v>6</v>
      </c>
      <c r="J127" s="1609">
        <v>205</v>
      </c>
      <c r="K127" s="1609"/>
      <c r="L127" s="1581">
        <v>160</v>
      </c>
      <c r="M127" s="1581"/>
      <c r="N127" s="1609"/>
      <c r="O127" s="1609"/>
      <c r="P127" s="1581">
        <f t="shared" si="17"/>
        <v>160</v>
      </c>
      <c r="Q127" s="1610">
        <f>365*1.07</f>
        <v>390.55</v>
      </c>
      <c r="R127" s="1611">
        <f t="shared" si="18"/>
        <v>62488</v>
      </c>
      <c r="S127" s="1611">
        <f t="shared" si="19"/>
        <v>1776.909952606635</v>
      </c>
      <c r="T127" s="1611">
        <f t="shared" si="20"/>
        <v>60711.090047393365</v>
      </c>
    </row>
    <row r="128" spans="1:21">
      <c r="A128" s="1609">
        <v>265</v>
      </c>
      <c r="B128" s="1625" t="s">
        <v>1555</v>
      </c>
      <c r="C128" s="1579" t="s">
        <v>1556</v>
      </c>
      <c r="D128" s="1610" t="s">
        <v>1290</v>
      </c>
      <c r="E128" s="1662">
        <v>13674.8</v>
      </c>
      <c r="F128" s="1581"/>
      <c r="G128" s="1581"/>
      <c r="H128" s="1581"/>
      <c r="I128" s="1609">
        <v>6</v>
      </c>
      <c r="J128" s="1609">
        <v>205</v>
      </c>
      <c r="K128" s="1581"/>
      <c r="L128" s="1610">
        <v>59</v>
      </c>
      <c r="M128" s="1610">
        <v>59</v>
      </c>
      <c r="N128" s="1581"/>
      <c r="O128" s="1581"/>
      <c r="P128" s="1581">
        <f t="shared" si="17"/>
        <v>59</v>
      </c>
      <c r="Q128" s="1581">
        <f>260*1.07</f>
        <v>278.2</v>
      </c>
      <c r="R128" s="1611">
        <f t="shared" si="18"/>
        <v>16413.8</v>
      </c>
      <c r="S128" s="1611">
        <f t="shared" si="19"/>
        <v>466.74312796208528</v>
      </c>
      <c r="T128" s="1611">
        <f t="shared" si="20"/>
        <v>15947.056872037914</v>
      </c>
      <c r="U128" s="1645">
        <f>2*2*297/20</f>
        <v>59.4</v>
      </c>
    </row>
    <row r="129" spans="1:25">
      <c r="A129" s="1609">
        <v>266</v>
      </c>
      <c r="B129" s="1625" t="s">
        <v>1555</v>
      </c>
      <c r="C129" s="1579" t="s">
        <v>1557</v>
      </c>
      <c r="D129" s="1610" t="s">
        <v>1290</v>
      </c>
      <c r="E129" s="1662">
        <v>13674.8</v>
      </c>
      <c r="F129" s="1581"/>
      <c r="G129" s="1581"/>
      <c r="H129" s="1581"/>
      <c r="I129" s="1609">
        <v>6</v>
      </c>
      <c r="J129" s="1609">
        <v>205</v>
      </c>
      <c r="K129" s="1581"/>
      <c r="L129" s="1610">
        <v>1782</v>
      </c>
      <c r="M129" s="1610">
        <v>1782</v>
      </c>
      <c r="N129" s="1581"/>
      <c r="O129" s="1581"/>
      <c r="P129" s="1581">
        <f t="shared" si="17"/>
        <v>1782</v>
      </c>
      <c r="Q129" s="1581">
        <f>250*1.07</f>
        <v>267.5</v>
      </c>
      <c r="R129" s="1611">
        <f t="shared" si="18"/>
        <v>476685</v>
      </c>
      <c r="S129" s="1611">
        <f t="shared" si="19"/>
        <v>13555.023696682463</v>
      </c>
      <c r="T129" s="1611">
        <f t="shared" si="20"/>
        <v>463129.97630331753</v>
      </c>
      <c r="U129" s="1580">
        <f>120*297/20</f>
        <v>1782</v>
      </c>
    </row>
    <row r="130" spans="1:25">
      <c r="A130" s="1609">
        <v>158</v>
      </c>
      <c r="B130" s="1618" t="s">
        <v>1560</v>
      </c>
      <c r="C130" s="1579" t="s">
        <v>1561</v>
      </c>
      <c r="D130" s="1618" t="s">
        <v>1022</v>
      </c>
      <c r="E130" s="1662">
        <v>13674.8</v>
      </c>
      <c r="F130" s="1581"/>
      <c r="G130" s="1581"/>
      <c r="H130" s="1581"/>
      <c r="I130" s="1609">
        <v>6</v>
      </c>
      <c r="J130" s="1609">
        <v>205</v>
      </c>
      <c r="K130" s="1581"/>
      <c r="L130" s="1618">
        <v>30</v>
      </c>
      <c r="M130" s="1618"/>
      <c r="N130" s="1581"/>
      <c r="O130" s="1581"/>
      <c r="P130" s="1581">
        <f t="shared" si="17"/>
        <v>30</v>
      </c>
      <c r="Q130" s="1581">
        <f>1500*1.07</f>
        <v>1605</v>
      </c>
      <c r="R130" s="1611">
        <f t="shared" si="18"/>
        <v>48150</v>
      </c>
      <c r="S130" s="1611">
        <f t="shared" si="19"/>
        <v>1369.1943127962086</v>
      </c>
      <c r="T130" s="1611">
        <f t="shared" si="20"/>
        <v>46780.805687203792</v>
      </c>
    </row>
    <row r="131" spans="1:25">
      <c r="A131" s="1609">
        <v>179</v>
      </c>
      <c r="B131" s="1618" t="s">
        <v>1562</v>
      </c>
      <c r="C131" s="1579" t="s">
        <v>1563</v>
      </c>
      <c r="D131" s="1618" t="s">
        <v>1564</v>
      </c>
      <c r="E131" s="1662">
        <v>13674.8</v>
      </c>
      <c r="F131" s="1581"/>
      <c r="G131" s="1581"/>
      <c r="H131" s="1581"/>
      <c r="I131" s="1609">
        <v>6</v>
      </c>
      <c r="J131" s="1609">
        <v>205</v>
      </c>
      <c r="K131" s="1581"/>
      <c r="L131" s="1622">
        <v>144</v>
      </c>
      <c r="M131" s="1622">
        <f>U131</f>
        <v>144</v>
      </c>
      <c r="N131" s="1581"/>
      <c r="O131" s="1581"/>
      <c r="P131" s="1581">
        <f t="shared" si="17"/>
        <v>144</v>
      </c>
      <c r="Q131" s="1581">
        <f>60*1.07</f>
        <v>64.2</v>
      </c>
      <c r="R131" s="1611">
        <f t="shared" si="18"/>
        <v>9244.8000000000011</v>
      </c>
      <c r="S131" s="1611">
        <f t="shared" si="19"/>
        <v>262.88530805687208</v>
      </c>
      <c r="T131" s="1611">
        <f t="shared" si="20"/>
        <v>8981.9146919431296</v>
      </c>
      <c r="U131" s="1580">
        <f>2*2*36</f>
        <v>144</v>
      </c>
    </row>
    <row r="132" spans="1:25" ht="0.75" customHeight="1">
      <c r="A132" s="1609"/>
      <c r="B132" s="1618"/>
      <c r="D132" s="1618" t="s">
        <v>1565</v>
      </c>
      <c r="E132" s="1662">
        <v>13674.8</v>
      </c>
      <c r="F132" s="1581"/>
      <c r="G132" s="1581"/>
      <c r="H132" s="1581"/>
      <c r="I132" s="1609"/>
      <c r="J132" s="1609"/>
      <c r="K132" s="1581"/>
      <c r="L132" s="1622"/>
      <c r="M132" s="1622"/>
      <c r="N132" s="1581"/>
      <c r="O132" s="1581"/>
      <c r="P132" s="1581"/>
      <c r="Q132" s="1581"/>
      <c r="R132" s="1611"/>
      <c r="S132" s="1611"/>
      <c r="T132" s="1611"/>
    </row>
    <row r="133" spans="1:25" ht="25.5">
      <c r="A133" s="1609">
        <v>121</v>
      </c>
      <c r="B133" s="1619" t="s">
        <v>1566</v>
      </c>
      <c r="C133" s="1579" t="s">
        <v>1567</v>
      </c>
      <c r="D133" s="1619" t="s">
        <v>1565</v>
      </c>
      <c r="E133" s="1662">
        <v>13674.8</v>
      </c>
      <c r="F133" s="1581"/>
      <c r="G133" s="1581"/>
      <c r="H133" s="1609"/>
      <c r="I133" s="1609">
        <v>6</v>
      </c>
      <c r="J133" s="1609">
        <v>205</v>
      </c>
      <c r="K133" s="1609"/>
      <c r="L133" s="1619">
        <v>5</v>
      </c>
      <c r="M133" s="1619">
        <v>5</v>
      </c>
      <c r="N133" s="1609"/>
      <c r="O133" s="1609"/>
      <c r="P133" s="1581">
        <f>L133-O133</f>
        <v>5</v>
      </c>
      <c r="Q133" s="1609">
        <f>3000*1.07</f>
        <v>3210</v>
      </c>
      <c r="R133" s="1611">
        <f>P133*Q133</f>
        <v>16050</v>
      </c>
      <c r="S133" s="1611">
        <f>R133*(I133/(I133+J133+K133))</f>
        <v>456.39810426540282</v>
      </c>
      <c r="T133" s="1611">
        <f>R133-S133</f>
        <v>15593.601895734597</v>
      </c>
    </row>
    <row r="134" spans="1:25" ht="25.5">
      <c r="A134" s="1609">
        <v>267</v>
      </c>
      <c r="B134" s="1618" t="s">
        <v>1568</v>
      </c>
      <c r="C134" s="1579" t="s">
        <v>1570</v>
      </c>
      <c r="D134" s="1610" t="s">
        <v>1564</v>
      </c>
      <c r="E134" s="1662">
        <v>13674.8</v>
      </c>
      <c r="F134" s="1581"/>
      <c r="G134" s="1581"/>
      <c r="H134" s="1581"/>
      <c r="I134" s="1609">
        <v>6</v>
      </c>
      <c r="J134" s="1609">
        <v>205</v>
      </c>
      <c r="K134" s="1581"/>
      <c r="L134" s="1610">
        <v>1584</v>
      </c>
      <c r="M134" s="1610">
        <f>U134</f>
        <v>1584</v>
      </c>
      <c r="N134" s="1581"/>
      <c r="O134" s="1581"/>
      <c r="P134" s="1581">
        <f>L134-O134</f>
        <v>1584</v>
      </c>
      <c r="Q134" s="1581">
        <f>220*1.07</f>
        <v>235.4</v>
      </c>
      <c r="R134" s="1611">
        <f>P134*Q134</f>
        <v>372873.60000000003</v>
      </c>
      <c r="S134" s="1611">
        <f>R134*(I134/(I134+J134+K134))</f>
        <v>10603.040758293839</v>
      </c>
      <c r="T134" s="1611">
        <f>R134-S134</f>
        <v>362270.55924170621</v>
      </c>
      <c r="U134" s="1580">
        <f>33*48</f>
        <v>1584</v>
      </c>
    </row>
    <row r="135" spans="1:25" hidden="1">
      <c r="A135" s="1581"/>
      <c r="B135" s="1056" t="s">
        <v>1571</v>
      </c>
      <c r="C135" s="917" t="s">
        <v>1572</v>
      </c>
      <c r="D135" s="1609" t="s">
        <v>1022</v>
      </c>
      <c r="E135" s="1662">
        <v>13674.8</v>
      </c>
      <c r="F135" s="1609"/>
      <c r="G135" s="1609"/>
      <c r="H135" s="1609"/>
      <c r="I135" s="1609"/>
      <c r="J135" s="1609"/>
      <c r="K135" s="1609"/>
      <c r="L135" s="1581"/>
      <c r="M135" s="1581"/>
      <c r="N135" s="1609"/>
      <c r="O135" s="1609"/>
      <c r="P135" s="1581"/>
      <c r="Q135" s="1610"/>
      <c r="R135" s="1611"/>
      <c r="S135" s="1611"/>
      <c r="T135" s="1611"/>
    </row>
    <row r="136" spans="1:25" ht="25.5">
      <c r="A136" s="1609">
        <v>98</v>
      </c>
      <c r="B136" s="1619" t="s">
        <v>1573</v>
      </c>
      <c r="C136" s="917" t="s">
        <v>1574</v>
      </c>
      <c r="D136" s="1619" t="s">
        <v>1268</v>
      </c>
      <c r="E136" s="1662">
        <v>13674.8</v>
      </c>
      <c r="F136" s="1609"/>
      <c r="G136" s="1609"/>
      <c r="H136" s="1609"/>
      <c r="I136" s="1609">
        <v>6</v>
      </c>
      <c r="J136" s="1609">
        <v>205</v>
      </c>
      <c r="K136" s="1609"/>
      <c r="L136" s="1619">
        <v>10</v>
      </c>
      <c r="M136" s="1619"/>
      <c r="N136" s="1609"/>
      <c r="O136" s="1609"/>
      <c r="P136" s="1581">
        <f t="shared" ref="P136:P171" si="21">L136-O136</f>
        <v>10</v>
      </c>
      <c r="Q136" s="1610">
        <f>1000*1.07</f>
        <v>1070</v>
      </c>
      <c r="R136" s="1611">
        <f t="shared" ref="R136:R171" si="22">P136*Q136</f>
        <v>10700</v>
      </c>
      <c r="S136" s="1611">
        <f t="shared" ref="S136:S171" si="23">R136*(I136/(I136+J136+K136))</f>
        <v>304.26540284360186</v>
      </c>
      <c r="T136" s="1611">
        <f t="shared" ref="T136:T171" si="24">R136-S136</f>
        <v>10395.734597156397</v>
      </c>
    </row>
    <row r="137" spans="1:25" ht="25.5">
      <c r="A137" s="1609">
        <v>99</v>
      </c>
      <c r="B137" s="1619" t="s">
        <v>1573</v>
      </c>
      <c r="C137" s="917" t="s">
        <v>1575</v>
      </c>
      <c r="D137" s="1619" t="s">
        <v>1268</v>
      </c>
      <c r="E137" s="1662">
        <v>13674.8</v>
      </c>
      <c r="F137" s="1609"/>
      <c r="G137" s="1609"/>
      <c r="H137" s="1609"/>
      <c r="I137" s="1609">
        <v>6</v>
      </c>
      <c r="J137" s="1609">
        <v>205</v>
      </c>
      <c r="K137" s="1609"/>
      <c r="L137" s="1619">
        <v>20</v>
      </c>
      <c r="M137" s="1619"/>
      <c r="N137" s="1609"/>
      <c r="O137" s="1609"/>
      <c r="P137" s="1581">
        <f t="shared" si="21"/>
        <v>20</v>
      </c>
      <c r="Q137" s="1610">
        <f>1000*1.07</f>
        <v>1070</v>
      </c>
      <c r="R137" s="1611">
        <f t="shared" si="22"/>
        <v>21400</v>
      </c>
      <c r="S137" s="1611">
        <f t="shared" si="23"/>
        <v>608.53080568720372</v>
      </c>
      <c r="T137" s="1611">
        <f t="shared" si="24"/>
        <v>20791.469194312795</v>
      </c>
    </row>
    <row r="138" spans="1:25" ht="25.5">
      <c r="A138" s="1609">
        <v>100</v>
      </c>
      <c r="B138" s="1619" t="s">
        <v>1573</v>
      </c>
      <c r="C138" s="917" t="s">
        <v>1576</v>
      </c>
      <c r="D138" s="1619" t="s">
        <v>1268</v>
      </c>
      <c r="E138" s="1662">
        <v>13674.8</v>
      </c>
      <c r="F138" s="1609"/>
      <c r="G138" s="1609"/>
      <c r="H138" s="1609"/>
      <c r="I138" s="1609">
        <v>6</v>
      </c>
      <c r="J138" s="1609">
        <v>205</v>
      </c>
      <c r="K138" s="1609"/>
      <c r="L138" s="1619">
        <v>5</v>
      </c>
      <c r="M138" s="1619"/>
      <c r="N138" s="1609"/>
      <c r="O138" s="1609"/>
      <c r="P138" s="1581">
        <f t="shared" si="21"/>
        <v>5</v>
      </c>
      <c r="Q138" s="1610">
        <f>1000*1.07</f>
        <v>1070</v>
      </c>
      <c r="R138" s="1611">
        <f t="shared" si="22"/>
        <v>5350</v>
      </c>
      <c r="S138" s="1611">
        <f t="shared" si="23"/>
        <v>152.13270142180093</v>
      </c>
      <c r="T138" s="1611">
        <f t="shared" si="24"/>
        <v>5197.8672985781986</v>
      </c>
    </row>
    <row r="139" spans="1:25" ht="25.5">
      <c r="A139" s="1609">
        <v>148</v>
      </c>
      <c r="B139" s="1618" t="s">
        <v>1585</v>
      </c>
      <c r="C139" s="1579" t="s">
        <v>1586</v>
      </c>
      <c r="D139" s="1618" t="s">
        <v>1587</v>
      </c>
      <c r="E139" s="1662">
        <v>13674.8</v>
      </c>
      <c r="F139" s="1581"/>
      <c r="G139" s="1581"/>
      <c r="H139" s="1581"/>
      <c r="I139" s="1609">
        <v>6</v>
      </c>
      <c r="J139" s="1609">
        <v>205</v>
      </c>
      <c r="K139" s="1581"/>
      <c r="L139" s="1618">
        <v>2</v>
      </c>
      <c r="M139" s="1618"/>
      <c r="N139" s="1581"/>
      <c r="O139" s="1581"/>
      <c r="P139" s="1581">
        <f t="shared" si="21"/>
        <v>2</v>
      </c>
      <c r="Q139" s="1581">
        <f>18000*1.07</f>
        <v>19260</v>
      </c>
      <c r="R139" s="1611">
        <f t="shared" si="22"/>
        <v>38520</v>
      </c>
      <c r="S139" s="1611">
        <f t="shared" si="23"/>
        <v>1095.3554502369668</v>
      </c>
      <c r="T139" s="1611">
        <f t="shared" si="24"/>
        <v>37424.644549763034</v>
      </c>
      <c r="X139" s="1580" t="s">
        <v>3242</v>
      </c>
      <c r="Y139" s="1580" t="s">
        <v>3243</v>
      </c>
    </row>
    <row r="140" spans="1:25">
      <c r="A140" s="1609">
        <v>177</v>
      </c>
      <c r="B140" s="1618" t="s">
        <v>1588</v>
      </c>
      <c r="C140" s="1579" t="s">
        <v>1589</v>
      </c>
      <c r="D140" s="1622" t="s">
        <v>1590</v>
      </c>
      <c r="E140" s="1662">
        <v>13674.8</v>
      </c>
      <c r="F140" s="1581"/>
      <c r="G140" s="1581"/>
      <c r="H140" s="1581"/>
      <c r="I140" s="1609">
        <v>6</v>
      </c>
      <c r="J140" s="1609">
        <v>205</v>
      </c>
      <c r="K140" s="1581"/>
      <c r="L140" s="1618">
        <v>197</v>
      </c>
      <c r="M140" s="1618">
        <v>197</v>
      </c>
      <c r="N140" s="1581"/>
      <c r="O140" s="1581"/>
      <c r="P140" s="1581">
        <f t="shared" si="21"/>
        <v>197</v>
      </c>
      <c r="Q140" s="1581">
        <f>150*1.07</f>
        <v>160.5</v>
      </c>
      <c r="R140" s="1611">
        <f t="shared" si="22"/>
        <v>31618.5</v>
      </c>
      <c r="S140" s="1611">
        <f t="shared" si="23"/>
        <v>899.10426540284357</v>
      </c>
      <c r="T140" s="1611">
        <f t="shared" si="24"/>
        <v>30719.395734597158</v>
      </c>
      <c r="U140" s="1580">
        <v>13674.8</v>
      </c>
      <c r="V140" s="1578" t="s">
        <v>2230</v>
      </c>
      <c r="X140" s="1580">
        <f>13674.8/500*0.6</f>
        <v>16.409759999999999</v>
      </c>
      <c r="Y140" s="1645">
        <f>X140*12</f>
        <v>196.91711999999998</v>
      </c>
    </row>
    <row r="141" spans="1:25">
      <c r="A141" s="1609">
        <v>124</v>
      </c>
      <c r="B141" s="1618" t="s">
        <v>1596</v>
      </c>
      <c r="C141" s="1579" t="s">
        <v>2231</v>
      </c>
      <c r="D141" s="1618" t="s">
        <v>1268</v>
      </c>
      <c r="E141" s="1662">
        <v>13674.8</v>
      </c>
      <c r="F141" s="1581"/>
      <c r="G141" s="1581"/>
      <c r="H141" s="1581"/>
      <c r="I141" s="1609">
        <v>6</v>
      </c>
      <c r="J141" s="1609">
        <v>205</v>
      </c>
      <c r="K141" s="1581"/>
      <c r="L141" s="1618">
        <v>70</v>
      </c>
      <c r="M141" s="1618"/>
      <c r="N141" s="1581"/>
      <c r="O141" s="1581"/>
      <c r="P141" s="1581">
        <f t="shared" si="21"/>
        <v>70</v>
      </c>
      <c r="Q141" s="1581">
        <f>1000*1.07</f>
        <v>1070</v>
      </c>
      <c r="R141" s="1611">
        <f t="shared" si="22"/>
        <v>74900</v>
      </c>
      <c r="S141" s="1611">
        <f t="shared" si="23"/>
        <v>2129.8578199052131</v>
      </c>
      <c r="T141" s="1611">
        <f t="shared" si="24"/>
        <v>72770.142180094786</v>
      </c>
    </row>
    <row r="142" spans="1:25" ht="25.5">
      <c r="A142" s="1609">
        <v>262</v>
      </c>
      <c r="B142" s="1610" t="s">
        <v>1598</v>
      </c>
      <c r="C142" s="1579" t="s">
        <v>1599</v>
      </c>
      <c r="D142" s="1610" t="s">
        <v>1022</v>
      </c>
      <c r="E142" s="1662">
        <v>13674.8</v>
      </c>
      <c r="F142" s="1581"/>
      <c r="G142" s="1581"/>
      <c r="H142" s="1581"/>
      <c r="I142" s="1609">
        <v>6</v>
      </c>
      <c r="J142" s="1609">
        <v>205</v>
      </c>
      <c r="K142" s="1581"/>
      <c r="L142" s="1610">
        <v>1</v>
      </c>
      <c r="M142" s="1610"/>
      <c r="N142" s="1581"/>
      <c r="O142" s="1581"/>
      <c r="P142" s="1581">
        <f t="shared" si="21"/>
        <v>1</v>
      </c>
      <c r="Q142" s="1581">
        <f>7000*1.07</f>
        <v>7490</v>
      </c>
      <c r="R142" s="1611">
        <f t="shared" si="22"/>
        <v>7490</v>
      </c>
      <c r="S142" s="1611">
        <f t="shared" si="23"/>
        <v>212.9857819905213</v>
      </c>
      <c r="T142" s="1611">
        <f t="shared" si="24"/>
        <v>7277.014218009479</v>
      </c>
    </row>
    <row r="143" spans="1:25" ht="15.75" customHeight="1">
      <c r="A143" s="1609">
        <v>154</v>
      </c>
      <c r="B143" s="1618" t="s">
        <v>1600</v>
      </c>
      <c r="C143" s="1579" t="s">
        <v>1603</v>
      </c>
      <c r="D143" s="1618" t="s">
        <v>1022</v>
      </c>
      <c r="E143" s="1662">
        <v>13674.8</v>
      </c>
      <c r="F143" s="1581"/>
      <c r="G143" s="1581"/>
      <c r="H143" s="1581"/>
      <c r="I143" s="1609">
        <v>6</v>
      </c>
      <c r="J143" s="1609">
        <v>205</v>
      </c>
      <c r="K143" s="1581"/>
      <c r="L143" s="1618">
        <v>10</v>
      </c>
      <c r="M143" s="1618"/>
      <c r="N143" s="1581"/>
      <c r="O143" s="1581"/>
      <c r="P143" s="1581">
        <f t="shared" si="21"/>
        <v>10</v>
      </c>
      <c r="Q143" s="1581">
        <f>2000*1.07</f>
        <v>2140</v>
      </c>
      <c r="R143" s="1611">
        <f t="shared" si="22"/>
        <v>21400</v>
      </c>
      <c r="S143" s="1611">
        <f t="shared" si="23"/>
        <v>608.53080568720372</v>
      </c>
      <c r="T143" s="1611">
        <f t="shared" si="24"/>
        <v>20791.469194312795</v>
      </c>
    </row>
    <row r="144" spans="1:25" ht="38.25">
      <c r="A144" s="1609">
        <v>59</v>
      </c>
      <c r="B144" s="1619" t="s">
        <v>1604</v>
      </c>
      <c r="C144" s="917" t="s">
        <v>1605</v>
      </c>
      <c r="D144" s="1619" t="s">
        <v>1268</v>
      </c>
      <c r="E144" s="1662">
        <v>13674.8</v>
      </c>
      <c r="F144" s="1609"/>
      <c r="G144" s="1609"/>
      <c r="H144" s="1609"/>
      <c r="I144" s="1609">
        <v>6</v>
      </c>
      <c r="J144" s="1609">
        <v>205</v>
      </c>
      <c r="K144" s="1609"/>
      <c r="L144" s="1619">
        <v>10</v>
      </c>
      <c r="M144" s="1619"/>
      <c r="N144" s="1609"/>
      <c r="O144" s="1609"/>
      <c r="P144" s="1581">
        <f t="shared" si="21"/>
        <v>10</v>
      </c>
      <c r="Q144" s="1610">
        <f>470*1.07</f>
        <v>502.90000000000003</v>
      </c>
      <c r="R144" s="1611">
        <f t="shared" si="22"/>
        <v>5029</v>
      </c>
      <c r="S144" s="1611">
        <f t="shared" si="23"/>
        <v>143.00473933649289</v>
      </c>
      <c r="T144" s="1611">
        <f t="shared" si="24"/>
        <v>4885.995260663507</v>
      </c>
    </row>
    <row r="145" spans="1:21" ht="38.25">
      <c r="A145" s="1609">
        <v>61</v>
      </c>
      <c r="B145" s="1619" t="s">
        <v>1604</v>
      </c>
      <c r="C145" s="917" t="s">
        <v>1606</v>
      </c>
      <c r="D145" s="1619" t="s">
        <v>1268</v>
      </c>
      <c r="E145" s="1662">
        <v>13674.8</v>
      </c>
      <c r="F145" s="1609"/>
      <c r="G145" s="1609"/>
      <c r="H145" s="1609"/>
      <c r="I145" s="1609">
        <v>6</v>
      </c>
      <c r="J145" s="1609">
        <v>205</v>
      </c>
      <c r="K145" s="1609"/>
      <c r="L145" s="1619">
        <v>10</v>
      </c>
      <c r="M145" s="1619"/>
      <c r="N145" s="1609"/>
      <c r="O145" s="1609"/>
      <c r="P145" s="1581">
        <f t="shared" si="21"/>
        <v>10</v>
      </c>
      <c r="Q145" s="1610">
        <f>670*1.07</f>
        <v>716.90000000000009</v>
      </c>
      <c r="R145" s="1611">
        <f t="shared" si="22"/>
        <v>7169.0000000000009</v>
      </c>
      <c r="S145" s="1611">
        <f t="shared" si="23"/>
        <v>203.85781990521329</v>
      </c>
      <c r="T145" s="1611">
        <f t="shared" si="24"/>
        <v>6965.1421800947874</v>
      </c>
      <c r="U145" s="1580">
        <v>1500</v>
      </c>
    </row>
    <row r="146" spans="1:21">
      <c r="A146" s="1609">
        <v>57</v>
      </c>
      <c r="B146" s="1619" t="s">
        <v>1607</v>
      </c>
      <c r="C146" s="917" t="s">
        <v>1608</v>
      </c>
      <c r="D146" s="1619" t="s">
        <v>1268</v>
      </c>
      <c r="E146" s="1662">
        <v>13674.8</v>
      </c>
      <c r="F146" s="1609"/>
      <c r="G146" s="1609"/>
      <c r="H146" s="1609"/>
      <c r="I146" s="1609">
        <v>6</v>
      </c>
      <c r="J146" s="1609">
        <v>205</v>
      </c>
      <c r="K146" s="1609"/>
      <c r="L146" s="1619">
        <v>10</v>
      </c>
      <c r="M146" s="1619"/>
      <c r="N146" s="1609"/>
      <c r="O146" s="1609"/>
      <c r="P146" s="1581">
        <f t="shared" si="21"/>
        <v>10</v>
      </c>
      <c r="Q146" s="1610">
        <f>1860*1.07</f>
        <v>1990.2</v>
      </c>
      <c r="R146" s="1611">
        <f t="shared" si="22"/>
        <v>19902</v>
      </c>
      <c r="S146" s="1611">
        <f t="shared" si="23"/>
        <v>565.93364928909955</v>
      </c>
      <c r="T146" s="1611">
        <f t="shared" si="24"/>
        <v>19336.066350710902</v>
      </c>
      <c r="U146" s="1580">
        <v>2500</v>
      </c>
    </row>
    <row r="147" spans="1:21" ht="38.25">
      <c r="A147" s="1609">
        <v>58</v>
      </c>
      <c r="B147" s="1619" t="s">
        <v>1609</v>
      </c>
      <c r="C147" s="917" t="s">
        <v>1605</v>
      </c>
      <c r="D147" s="1619" t="s">
        <v>1268</v>
      </c>
      <c r="E147" s="1662">
        <v>13674.8</v>
      </c>
      <c r="F147" s="1609"/>
      <c r="G147" s="1609"/>
      <c r="H147" s="1609"/>
      <c r="I147" s="1609">
        <v>6</v>
      </c>
      <c r="J147" s="1609">
        <v>205</v>
      </c>
      <c r="K147" s="1609"/>
      <c r="L147" s="1619">
        <v>10</v>
      </c>
      <c r="M147" s="1619"/>
      <c r="N147" s="1609"/>
      <c r="O147" s="1609"/>
      <c r="P147" s="1581">
        <f t="shared" si="21"/>
        <v>10</v>
      </c>
      <c r="Q147" s="1610">
        <f>460*1.07</f>
        <v>492.20000000000005</v>
      </c>
      <c r="R147" s="1611">
        <f t="shared" si="22"/>
        <v>4922</v>
      </c>
      <c r="S147" s="1611">
        <f t="shared" si="23"/>
        <v>139.96208530805686</v>
      </c>
      <c r="T147" s="1611">
        <f t="shared" si="24"/>
        <v>4782.0379146919431</v>
      </c>
    </row>
    <row r="148" spans="1:21" ht="38.25">
      <c r="A148" s="1609">
        <v>60</v>
      </c>
      <c r="B148" s="1619" t="s">
        <v>1609</v>
      </c>
      <c r="C148" s="917" t="s">
        <v>1606</v>
      </c>
      <c r="D148" s="1619" t="s">
        <v>1268</v>
      </c>
      <c r="E148" s="1662">
        <v>13674.8</v>
      </c>
      <c r="F148" s="1609"/>
      <c r="G148" s="1609"/>
      <c r="H148" s="1609"/>
      <c r="I148" s="1609">
        <v>6</v>
      </c>
      <c r="J148" s="1609">
        <v>205</v>
      </c>
      <c r="K148" s="1609"/>
      <c r="L148" s="1619">
        <v>10</v>
      </c>
      <c r="M148" s="1619"/>
      <c r="N148" s="1609"/>
      <c r="O148" s="1609"/>
      <c r="P148" s="1581">
        <f t="shared" si="21"/>
        <v>10</v>
      </c>
      <c r="Q148" s="1610">
        <f>670*1.07</f>
        <v>716.90000000000009</v>
      </c>
      <c r="R148" s="1611">
        <f t="shared" si="22"/>
        <v>7169.0000000000009</v>
      </c>
      <c r="S148" s="1611">
        <f t="shared" si="23"/>
        <v>203.85781990521329</v>
      </c>
      <c r="T148" s="1611">
        <f t="shared" si="24"/>
        <v>6965.1421800947874</v>
      </c>
    </row>
    <row r="149" spans="1:21">
      <c r="A149" s="1609">
        <v>119</v>
      </c>
      <c r="B149" s="1619" t="s">
        <v>1616</v>
      </c>
      <c r="C149" s="1579" t="s">
        <v>1617</v>
      </c>
      <c r="D149" s="1619" t="s">
        <v>1119</v>
      </c>
      <c r="E149" s="1662">
        <v>13674.8</v>
      </c>
      <c r="F149" s="1581"/>
      <c r="G149" s="1581"/>
      <c r="H149" s="1609"/>
      <c r="I149" s="1609">
        <v>6</v>
      </c>
      <c r="J149" s="1609">
        <v>205</v>
      </c>
      <c r="K149" s="1609"/>
      <c r="L149" s="1619">
        <v>500</v>
      </c>
      <c r="M149" s="1619"/>
      <c r="N149" s="1609"/>
      <c r="O149" s="1609"/>
      <c r="P149" s="1581">
        <f t="shared" si="21"/>
        <v>500</v>
      </c>
      <c r="Q149" s="1609">
        <f>20*1.07</f>
        <v>21.400000000000002</v>
      </c>
      <c r="R149" s="1611">
        <f t="shared" si="22"/>
        <v>10700.000000000002</v>
      </c>
      <c r="S149" s="1611">
        <f t="shared" si="23"/>
        <v>304.26540284360192</v>
      </c>
      <c r="T149" s="1611">
        <f t="shared" si="24"/>
        <v>10395.734597156399</v>
      </c>
    </row>
    <row r="150" spans="1:21">
      <c r="A150" s="1609">
        <v>162</v>
      </c>
      <c r="B150" s="1618" t="s">
        <v>1618</v>
      </c>
      <c r="C150" s="1579" t="s">
        <v>1619</v>
      </c>
      <c r="D150" s="1618" t="s">
        <v>1565</v>
      </c>
      <c r="E150" s="1662">
        <v>13674.8</v>
      </c>
      <c r="F150" s="1581"/>
      <c r="G150" s="1581"/>
      <c r="H150" s="1581"/>
      <c r="I150" s="1609">
        <v>6</v>
      </c>
      <c r="J150" s="1609">
        <v>205</v>
      </c>
      <c r="K150" s="1581"/>
      <c r="L150" s="1618">
        <v>2</v>
      </c>
      <c r="M150" s="1618"/>
      <c r="N150" s="1581"/>
      <c r="O150" s="1581"/>
      <c r="P150" s="1581">
        <f t="shared" si="21"/>
        <v>2</v>
      </c>
      <c r="Q150" s="1581">
        <f>4500*1.07</f>
        <v>4815</v>
      </c>
      <c r="R150" s="1611">
        <f t="shared" si="22"/>
        <v>9630</v>
      </c>
      <c r="S150" s="1611">
        <f t="shared" si="23"/>
        <v>273.8388625592417</v>
      </c>
      <c r="T150" s="1611">
        <f t="shared" si="24"/>
        <v>9356.1611374407585</v>
      </c>
    </row>
    <row r="151" spans="1:21">
      <c r="A151" s="1609">
        <v>135</v>
      </c>
      <c r="B151" s="1618" t="s">
        <v>2232</v>
      </c>
      <c r="C151" s="1579" t="s">
        <v>2233</v>
      </c>
      <c r="D151" s="1618" t="s">
        <v>1268</v>
      </c>
      <c r="E151" s="1662">
        <v>13674.8</v>
      </c>
      <c r="F151" s="1581"/>
      <c r="G151" s="1581"/>
      <c r="H151" s="1581"/>
      <c r="I151" s="1609">
        <v>6</v>
      </c>
      <c r="J151" s="1609">
        <v>205</v>
      </c>
      <c r="K151" s="1581"/>
      <c r="L151" s="1618">
        <v>30</v>
      </c>
      <c r="M151" s="1618"/>
      <c r="N151" s="1581"/>
      <c r="O151" s="1581"/>
      <c r="P151" s="1581">
        <f t="shared" si="21"/>
        <v>30</v>
      </c>
      <c r="Q151" s="1581">
        <f>2000*1.07</f>
        <v>2140</v>
      </c>
      <c r="R151" s="1611">
        <f t="shared" si="22"/>
        <v>64200</v>
      </c>
      <c r="S151" s="1611">
        <f t="shared" si="23"/>
        <v>1825.5924170616113</v>
      </c>
      <c r="T151" s="1611">
        <f t="shared" si="24"/>
        <v>62374.407582938387</v>
      </c>
    </row>
    <row r="152" spans="1:21">
      <c r="A152" s="1609">
        <v>260</v>
      </c>
      <c r="B152" s="1625" t="s">
        <v>1632</v>
      </c>
      <c r="C152" s="1579" t="s">
        <v>1633</v>
      </c>
      <c r="D152" s="1610" t="s">
        <v>1022</v>
      </c>
      <c r="E152" s="1662">
        <v>13674.8</v>
      </c>
      <c r="F152" s="1581"/>
      <c r="G152" s="1581"/>
      <c r="H152" s="1581"/>
      <c r="I152" s="1609">
        <v>6</v>
      </c>
      <c r="J152" s="1609">
        <v>205</v>
      </c>
      <c r="K152" s="1581"/>
      <c r="L152" s="1610">
        <v>2</v>
      </c>
      <c r="M152" s="1610"/>
      <c r="N152" s="1581"/>
      <c r="O152" s="1581"/>
      <c r="P152" s="1581">
        <f t="shared" si="21"/>
        <v>2</v>
      </c>
      <c r="Q152" s="1581">
        <f>4800*1.07</f>
        <v>5136</v>
      </c>
      <c r="R152" s="1611">
        <f t="shared" si="22"/>
        <v>10272</v>
      </c>
      <c r="S152" s="1611">
        <f t="shared" si="23"/>
        <v>292.09478672985779</v>
      </c>
      <c r="T152" s="1611">
        <f t="shared" si="24"/>
        <v>9979.9052132701418</v>
      </c>
    </row>
    <row r="153" spans="1:21" ht="38.25">
      <c r="A153" s="1609">
        <v>68</v>
      </c>
      <c r="B153" s="1619" t="s">
        <v>1634</v>
      </c>
      <c r="C153" s="917" t="s">
        <v>1635</v>
      </c>
      <c r="D153" s="1619" t="s">
        <v>1268</v>
      </c>
      <c r="E153" s="1662">
        <v>13674.8</v>
      </c>
      <c r="F153" s="1609"/>
      <c r="G153" s="1609"/>
      <c r="H153" s="1609"/>
      <c r="I153" s="1609">
        <v>6</v>
      </c>
      <c r="J153" s="1609">
        <v>205</v>
      </c>
      <c r="K153" s="1609"/>
      <c r="L153" s="1619">
        <v>5</v>
      </c>
      <c r="M153" s="1619"/>
      <c r="N153" s="1609"/>
      <c r="O153" s="1609"/>
      <c r="P153" s="1581">
        <f t="shared" si="21"/>
        <v>5</v>
      </c>
      <c r="Q153" s="1610">
        <f>6500*1.07</f>
        <v>6955</v>
      </c>
      <c r="R153" s="1611">
        <f t="shared" si="22"/>
        <v>34775</v>
      </c>
      <c r="S153" s="1611">
        <f t="shared" si="23"/>
        <v>988.86255924170609</v>
      </c>
      <c r="T153" s="1611">
        <f t="shared" si="24"/>
        <v>33786.137440758292</v>
      </c>
      <c r="U153" s="1580">
        <v>1000</v>
      </c>
    </row>
    <row r="154" spans="1:21" ht="38.25">
      <c r="A154" s="1609">
        <v>66</v>
      </c>
      <c r="B154" s="1619" t="s">
        <v>1636</v>
      </c>
      <c r="C154" s="917" t="s">
        <v>1637</v>
      </c>
      <c r="D154" s="1619" t="s">
        <v>1268</v>
      </c>
      <c r="E154" s="1662">
        <v>13674.8</v>
      </c>
      <c r="F154" s="1609"/>
      <c r="G154" s="1609"/>
      <c r="H154" s="1609"/>
      <c r="I154" s="1609">
        <v>6</v>
      </c>
      <c r="J154" s="1609">
        <v>205</v>
      </c>
      <c r="K154" s="1609"/>
      <c r="L154" s="1619">
        <v>5</v>
      </c>
      <c r="M154" s="1619"/>
      <c r="N154" s="1609"/>
      <c r="O154" s="1609"/>
      <c r="P154" s="1581">
        <f t="shared" si="21"/>
        <v>5</v>
      </c>
      <c r="Q154" s="1610">
        <f>12000*1.07</f>
        <v>12840</v>
      </c>
      <c r="R154" s="1611">
        <f t="shared" si="22"/>
        <v>64200</v>
      </c>
      <c r="S154" s="1611">
        <f t="shared" si="23"/>
        <v>1825.5924170616113</v>
      </c>
      <c r="T154" s="1611">
        <f t="shared" si="24"/>
        <v>62374.407582938387</v>
      </c>
    </row>
    <row r="155" spans="1:21" ht="25.5">
      <c r="A155" s="1609">
        <v>62</v>
      </c>
      <c r="B155" s="1619" t="s">
        <v>1640</v>
      </c>
      <c r="C155" s="917" t="s">
        <v>1641</v>
      </c>
      <c r="D155" s="1619" t="s">
        <v>1268</v>
      </c>
      <c r="E155" s="1662">
        <v>13674.8</v>
      </c>
      <c r="F155" s="1609"/>
      <c r="G155" s="1609"/>
      <c r="H155" s="1609"/>
      <c r="I155" s="1609">
        <v>6</v>
      </c>
      <c r="J155" s="1609">
        <v>205</v>
      </c>
      <c r="K155" s="1609"/>
      <c r="L155" s="1619">
        <v>5</v>
      </c>
      <c r="M155" s="1619"/>
      <c r="N155" s="1609"/>
      <c r="O155" s="1609"/>
      <c r="P155" s="1581">
        <f t="shared" si="21"/>
        <v>5</v>
      </c>
      <c r="Q155" s="1610">
        <f>6000*1.07</f>
        <v>6420</v>
      </c>
      <c r="R155" s="1611">
        <f t="shared" si="22"/>
        <v>32100</v>
      </c>
      <c r="S155" s="1611">
        <f t="shared" si="23"/>
        <v>912.79620853080564</v>
      </c>
      <c r="T155" s="1611">
        <f t="shared" si="24"/>
        <v>31187.203791469194</v>
      </c>
    </row>
    <row r="156" spans="1:21" ht="38.25">
      <c r="A156" s="1609">
        <v>67</v>
      </c>
      <c r="B156" s="1619" t="s">
        <v>1640</v>
      </c>
      <c r="C156" s="917" t="s">
        <v>1642</v>
      </c>
      <c r="D156" s="1619" t="s">
        <v>1268</v>
      </c>
      <c r="E156" s="1662">
        <v>13674.8</v>
      </c>
      <c r="F156" s="1609"/>
      <c r="G156" s="1609"/>
      <c r="H156" s="1609"/>
      <c r="I156" s="1609">
        <v>6</v>
      </c>
      <c r="J156" s="1609">
        <v>205</v>
      </c>
      <c r="K156" s="1609"/>
      <c r="L156" s="1619">
        <v>5</v>
      </c>
      <c r="M156" s="1619"/>
      <c r="N156" s="1609"/>
      <c r="O156" s="1609"/>
      <c r="P156" s="1581">
        <f t="shared" si="21"/>
        <v>5</v>
      </c>
      <c r="Q156" s="1610">
        <f>6000*1.07</f>
        <v>6420</v>
      </c>
      <c r="R156" s="1611">
        <f t="shared" si="22"/>
        <v>32100</v>
      </c>
      <c r="S156" s="1611">
        <f t="shared" si="23"/>
        <v>912.79620853080564</v>
      </c>
      <c r="T156" s="1611">
        <f t="shared" si="24"/>
        <v>31187.203791469194</v>
      </c>
    </row>
    <row r="157" spans="1:21" ht="25.5">
      <c r="A157" s="1609">
        <v>78</v>
      </c>
      <c r="B157" s="1619" t="s">
        <v>1643</v>
      </c>
      <c r="C157" s="917" t="s">
        <v>1644</v>
      </c>
      <c r="D157" s="1619" t="s">
        <v>1268</v>
      </c>
      <c r="E157" s="1662">
        <v>13674.8</v>
      </c>
      <c r="F157" s="1609"/>
      <c r="G157" s="1609"/>
      <c r="H157" s="1609"/>
      <c r="I157" s="1609">
        <v>6</v>
      </c>
      <c r="J157" s="1609">
        <v>205</v>
      </c>
      <c r="K157" s="1609"/>
      <c r="L157" s="1619"/>
      <c r="M157" s="1619"/>
      <c r="N157" s="1609"/>
      <c r="O157" s="1609"/>
      <c r="P157" s="1581">
        <f t="shared" si="21"/>
        <v>0</v>
      </c>
      <c r="Q157" s="1610"/>
      <c r="R157" s="1611">
        <f t="shared" si="22"/>
        <v>0</v>
      </c>
      <c r="S157" s="1611">
        <f t="shared" si="23"/>
        <v>0</v>
      </c>
      <c r="T157" s="1611">
        <f t="shared" si="24"/>
        <v>0</v>
      </c>
    </row>
    <row r="158" spans="1:21" ht="38.25">
      <c r="A158" s="1609">
        <v>77</v>
      </c>
      <c r="B158" s="1619" t="s">
        <v>1645</v>
      </c>
      <c r="C158" s="1614" t="s">
        <v>1646</v>
      </c>
      <c r="D158" s="1619" t="s">
        <v>1268</v>
      </c>
      <c r="E158" s="1662">
        <v>13674.8</v>
      </c>
      <c r="F158" s="1609"/>
      <c r="G158" s="1609"/>
      <c r="H158" s="1609"/>
      <c r="I158" s="1609">
        <v>6</v>
      </c>
      <c r="J158" s="1609">
        <v>205</v>
      </c>
      <c r="K158" s="1609"/>
      <c r="L158" s="1619">
        <v>5</v>
      </c>
      <c r="M158" s="1619"/>
      <c r="N158" s="1609"/>
      <c r="O158" s="1609"/>
      <c r="P158" s="1581">
        <f t="shared" si="21"/>
        <v>5</v>
      </c>
      <c r="Q158" s="1610">
        <f>6000*1.07</f>
        <v>6420</v>
      </c>
      <c r="R158" s="1611">
        <f t="shared" si="22"/>
        <v>32100</v>
      </c>
      <c r="S158" s="1611">
        <f t="shared" si="23"/>
        <v>912.79620853080564</v>
      </c>
      <c r="T158" s="1611">
        <f t="shared" si="24"/>
        <v>31187.203791469194</v>
      </c>
    </row>
    <row r="159" spans="1:21" ht="25.5">
      <c r="A159" s="1609">
        <v>76</v>
      </c>
      <c r="B159" s="1619" t="s">
        <v>1647</v>
      </c>
      <c r="C159" s="917" t="s">
        <v>1648</v>
      </c>
      <c r="D159" s="1619" t="s">
        <v>1268</v>
      </c>
      <c r="E159" s="1662">
        <v>13674.8</v>
      </c>
      <c r="F159" s="1609"/>
      <c r="G159" s="1609"/>
      <c r="H159" s="1609"/>
      <c r="I159" s="1609">
        <v>6</v>
      </c>
      <c r="J159" s="1609">
        <v>205</v>
      </c>
      <c r="K159" s="1609"/>
      <c r="L159" s="1619">
        <v>5</v>
      </c>
      <c r="M159" s="1619"/>
      <c r="N159" s="1609"/>
      <c r="O159" s="1609"/>
      <c r="P159" s="1581">
        <f t="shared" si="21"/>
        <v>5</v>
      </c>
      <c r="Q159" s="1610">
        <f>6000*1.07</f>
        <v>6420</v>
      </c>
      <c r="R159" s="1611">
        <f t="shared" si="22"/>
        <v>32100</v>
      </c>
      <c r="S159" s="1611">
        <f t="shared" si="23"/>
        <v>912.79620853080564</v>
      </c>
      <c r="T159" s="1611">
        <f t="shared" si="24"/>
        <v>31187.203791469194</v>
      </c>
    </row>
    <row r="160" spans="1:21" ht="38.25">
      <c r="A160" s="1609">
        <v>75</v>
      </c>
      <c r="B160" s="1619" t="s">
        <v>1649</v>
      </c>
      <c r="C160" s="917" t="s">
        <v>1650</v>
      </c>
      <c r="D160" s="1619" t="s">
        <v>1268</v>
      </c>
      <c r="E160" s="1662">
        <v>13674.8</v>
      </c>
      <c r="F160" s="1609"/>
      <c r="G160" s="1609"/>
      <c r="H160" s="1609"/>
      <c r="I160" s="1609">
        <v>6</v>
      </c>
      <c r="J160" s="1609">
        <v>205</v>
      </c>
      <c r="K160" s="1609"/>
      <c r="L160" s="1619">
        <v>5</v>
      </c>
      <c r="M160" s="1619"/>
      <c r="N160" s="1609"/>
      <c r="O160" s="1609"/>
      <c r="P160" s="1581">
        <f t="shared" si="21"/>
        <v>5</v>
      </c>
      <c r="Q160" s="1610">
        <f>4000*1.07</f>
        <v>4280</v>
      </c>
      <c r="R160" s="1611">
        <f t="shared" si="22"/>
        <v>21400</v>
      </c>
      <c r="S160" s="1611">
        <f t="shared" si="23"/>
        <v>608.53080568720372</v>
      </c>
      <c r="T160" s="1611">
        <f t="shared" si="24"/>
        <v>20791.469194312795</v>
      </c>
    </row>
    <row r="161" spans="1:21" ht="38.25">
      <c r="A161" s="1609">
        <v>74</v>
      </c>
      <c r="B161" s="1619" t="s">
        <v>1651</v>
      </c>
      <c r="C161" s="917" t="s">
        <v>1652</v>
      </c>
      <c r="D161" s="1619" t="s">
        <v>1268</v>
      </c>
      <c r="E161" s="1662">
        <v>13674.8</v>
      </c>
      <c r="F161" s="1609"/>
      <c r="G161" s="1609"/>
      <c r="H161" s="1609"/>
      <c r="I161" s="1609">
        <v>6</v>
      </c>
      <c r="J161" s="1609">
        <v>205</v>
      </c>
      <c r="K161" s="1609"/>
      <c r="L161" s="1619">
        <v>5</v>
      </c>
      <c r="M161" s="1619"/>
      <c r="N161" s="1609"/>
      <c r="O161" s="1609"/>
      <c r="P161" s="1581">
        <f t="shared" si="21"/>
        <v>5</v>
      </c>
      <c r="Q161" s="1610">
        <f>6500*1.07</f>
        <v>6955</v>
      </c>
      <c r="R161" s="1611">
        <f t="shared" si="22"/>
        <v>34775</v>
      </c>
      <c r="S161" s="1611">
        <f t="shared" si="23"/>
        <v>988.86255924170609</v>
      </c>
      <c r="T161" s="1611">
        <f t="shared" si="24"/>
        <v>33786.137440758292</v>
      </c>
    </row>
    <row r="162" spans="1:21" ht="25.5">
      <c r="A162" s="1609">
        <v>64</v>
      </c>
      <c r="B162" s="1619" t="s">
        <v>1653</v>
      </c>
      <c r="C162" s="917" t="s">
        <v>1654</v>
      </c>
      <c r="D162" s="1619" t="s">
        <v>1268</v>
      </c>
      <c r="E162" s="1662">
        <v>13674.8</v>
      </c>
      <c r="F162" s="1609"/>
      <c r="G162" s="1609"/>
      <c r="H162" s="1609"/>
      <c r="I162" s="1609">
        <v>6</v>
      </c>
      <c r="J162" s="1609">
        <v>205</v>
      </c>
      <c r="K162" s="1609"/>
      <c r="L162" s="1619">
        <v>5</v>
      </c>
      <c r="M162" s="1619"/>
      <c r="N162" s="1609"/>
      <c r="O162" s="1609"/>
      <c r="P162" s="1581">
        <f t="shared" si="21"/>
        <v>5</v>
      </c>
      <c r="Q162" s="1610">
        <f>4000*1.07</f>
        <v>4280</v>
      </c>
      <c r="R162" s="1611">
        <f t="shared" si="22"/>
        <v>21400</v>
      </c>
      <c r="S162" s="1611">
        <f t="shared" si="23"/>
        <v>608.53080568720372</v>
      </c>
      <c r="T162" s="1611">
        <f t="shared" si="24"/>
        <v>20791.469194312795</v>
      </c>
    </row>
    <row r="163" spans="1:21" ht="25.5">
      <c r="A163" s="1609">
        <v>63</v>
      </c>
      <c r="B163" s="1619" t="s">
        <v>1655</v>
      </c>
      <c r="C163" s="917" t="s">
        <v>1641</v>
      </c>
      <c r="D163" s="1619" t="s">
        <v>1268</v>
      </c>
      <c r="E163" s="1662">
        <v>13674.8</v>
      </c>
      <c r="F163" s="1609"/>
      <c r="G163" s="1609"/>
      <c r="H163" s="1609"/>
      <c r="I163" s="1609">
        <v>6</v>
      </c>
      <c r="J163" s="1609">
        <v>205</v>
      </c>
      <c r="K163" s="1609"/>
      <c r="L163" s="1619">
        <v>5</v>
      </c>
      <c r="M163" s="1619"/>
      <c r="N163" s="1609"/>
      <c r="O163" s="1609"/>
      <c r="P163" s="1581">
        <f t="shared" si="21"/>
        <v>5</v>
      </c>
      <c r="Q163" s="1610">
        <f>6000*1.07</f>
        <v>6420</v>
      </c>
      <c r="R163" s="1611">
        <f t="shared" si="22"/>
        <v>32100</v>
      </c>
      <c r="S163" s="1611">
        <f t="shared" si="23"/>
        <v>912.79620853080564</v>
      </c>
      <c r="T163" s="1611">
        <f t="shared" si="24"/>
        <v>31187.203791469194</v>
      </c>
    </row>
    <row r="164" spans="1:21" ht="25.5">
      <c r="A164" s="1609">
        <v>69</v>
      </c>
      <c r="B164" s="1619" t="s">
        <v>1655</v>
      </c>
      <c r="C164" s="917" t="s">
        <v>1656</v>
      </c>
      <c r="D164" s="1619" t="s">
        <v>1268</v>
      </c>
      <c r="E164" s="1662">
        <v>13674.8</v>
      </c>
      <c r="F164" s="1609"/>
      <c r="G164" s="1609"/>
      <c r="H164" s="1609"/>
      <c r="I164" s="1609">
        <v>6</v>
      </c>
      <c r="J164" s="1609">
        <v>205</v>
      </c>
      <c r="K164" s="1609"/>
      <c r="L164" s="1619">
        <v>5</v>
      </c>
      <c r="M164" s="1619"/>
      <c r="N164" s="1609"/>
      <c r="O164" s="1609"/>
      <c r="P164" s="1581">
        <f t="shared" si="21"/>
        <v>5</v>
      </c>
      <c r="Q164" s="1610">
        <f>6000*1.07</f>
        <v>6420</v>
      </c>
      <c r="R164" s="1611">
        <f t="shared" si="22"/>
        <v>32100</v>
      </c>
      <c r="S164" s="1611">
        <f t="shared" si="23"/>
        <v>912.79620853080564</v>
      </c>
      <c r="T164" s="1611">
        <f t="shared" si="24"/>
        <v>31187.203791469194</v>
      </c>
    </row>
    <row r="165" spans="1:21" ht="38.25">
      <c r="A165" s="1609">
        <v>70</v>
      </c>
      <c r="B165" s="1619" t="s">
        <v>1655</v>
      </c>
      <c r="C165" s="917" t="s">
        <v>1657</v>
      </c>
      <c r="D165" s="1619" t="s">
        <v>1268</v>
      </c>
      <c r="E165" s="1662">
        <v>13674.8</v>
      </c>
      <c r="F165" s="1609"/>
      <c r="G165" s="1609"/>
      <c r="H165" s="1609"/>
      <c r="I165" s="1609">
        <v>6</v>
      </c>
      <c r="J165" s="1609">
        <v>205</v>
      </c>
      <c r="K165" s="1609"/>
      <c r="L165" s="1619">
        <v>5</v>
      </c>
      <c r="M165" s="1619"/>
      <c r="N165" s="1609"/>
      <c r="O165" s="1609"/>
      <c r="P165" s="1581">
        <f t="shared" si="21"/>
        <v>5</v>
      </c>
      <c r="Q165" s="1610">
        <f>6000*1.07</f>
        <v>6420</v>
      </c>
      <c r="R165" s="1611">
        <f t="shared" si="22"/>
        <v>32100</v>
      </c>
      <c r="S165" s="1611">
        <f t="shared" si="23"/>
        <v>912.79620853080564</v>
      </c>
      <c r="T165" s="1611">
        <f t="shared" si="24"/>
        <v>31187.203791469194</v>
      </c>
    </row>
    <row r="166" spans="1:21" ht="38.25">
      <c r="A166" s="1609">
        <v>71</v>
      </c>
      <c r="B166" s="1619" t="s">
        <v>1655</v>
      </c>
      <c r="C166" s="917" t="s">
        <v>1652</v>
      </c>
      <c r="D166" s="1619" t="s">
        <v>1268</v>
      </c>
      <c r="E166" s="1662">
        <v>13674.8</v>
      </c>
      <c r="F166" s="1609"/>
      <c r="G166" s="1609"/>
      <c r="H166" s="1609"/>
      <c r="I166" s="1609">
        <v>6</v>
      </c>
      <c r="J166" s="1609">
        <v>205</v>
      </c>
      <c r="K166" s="1609"/>
      <c r="L166" s="1619">
        <v>5</v>
      </c>
      <c r="M166" s="1619"/>
      <c r="N166" s="1609"/>
      <c r="O166" s="1609"/>
      <c r="P166" s="1581">
        <f t="shared" si="21"/>
        <v>5</v>
      </c>
      <c r="Q166" s="1610">
        <f>6500*1.07</f>
        <v>6955</v>
      </c>
      <c r="R166" s="1611">
        <f t="shared" si="22"/>
        <v>34775</v>
      </c>
      <c r="S166" s="1611">
        <f t="shared" si="23"/>
        <v>988.86255924170609</v>
      </c>
      <c r="T166" s="1611">
        <f t="shared" si="24"/>
        <v>33786.137440758292</v>
      </c>
    </row>
    <row r="167" spans="1:21" ht="38.25">
      <c r="A167" s="1609">
        <v>72</v>
      </c>
      <c r="B167" s="1619" t="s">
        <v>1655</v>
      </c>
      <c r="C167" s="917" t="s">
        <v>1658</v>
      </c>
      <c r="D167" s="1619" t="s">
        <v>1268</v>
      </c>
      <c r="E167" s="1662">
        <v>13674.8</v>
      </c>
      <c r="F167" s="1609"/>
      <c r="G167" s="1609"/>
      <c r="H167" s="1609"/>
      <c r="I167" s="1609">
        <v>6</v>
      </c>
      <c r="J167" s="1609">
        <v>205</v>
      </c>
      <c r="K167" s="1609"/>
      <c r="L167" s="1619">
        <v>5</v>
      </c>
      <c r="M167" s="1619"/>
      <c r="N167" s="1609"/>
      <c r="O167" s="1609"/>
      <c r="P167" s="1581">
        <f t="shared" si="21"/>
        <v>5</v>
      </c>
      <c r="Q167" s="1610">
        <f>6000*1.07</f>
        <v>6420</v>
      </c>
      <c r="R167" s="1611">
        <f t="shared" si="22"/>
        <v>32100</v>
      </c>
      <c r="S167" s="1611">
        <f t="shared" si="23"/>
        <v>912.79620853080564</v>
      </c>
      <c r="T167" s="1611">
        <f t="shared" si="24"/>
        <v>31187.203791469194</v>
      </c>
    </row>
    <row r="168" spans="1:21" ht="38.25">
      <c r="A168" s="1609">
        <v>73</v>
      </c>
      <c r="B168" s="1619" t="s">
        <v>1655</v>
      </c>
      <c r="C168" s="917" t="s">
        <v>1659</v>
      </c>
      <c r="D168" s="1619" t="s">
        <v>1268</v>
      </c>
      <c r="E168" s="1662">
        <v>13674.8</v>
      </c>
      <c r="F168" s="1609"/>
      <c r="G168" s="1609"/>
      <c r="H168" s="1609"/>
      <c r="I168" s="1609">
        <v>6</v>
      </c>
      <c r="J168" s="1609">
        <v>205</v>
      </c>
      <c r="K168" s="1609"/>
      <c r="L168" s="1619">
        <v>5</v>
      </c>
      <c r="M168" s="1619"/>
      <c r="N168" s="1609"/>
      <c r="O168" s="1609"/>
      <c r="P168" s="1581">
        <f t="shared" si="21"/>
        <v>5</v>
      </c>
      <c r="Q168" s="1610">
        <f>6000*1.07</f>
        <v>6420</v>
      </c>
      <c r="R168" s="1611">
        <f t="shared" si="22"/>
        <v>32100</v>
      </c>
      <c r="S168" s="1611">
        <f t="shared" si="23"/>
        <v>912.79620853080564</v>
      </c>
      <c r="T168" s="1611">
        <f t="shared" si="24"/>
        <v>31187.203791469194</v>
      </c>
    </row>
    <row r="169" spans="1:21">
      <c r="A169" s="1609">
        <v>160</v>
      </c>
      <c r="B169" s="1618" t="s">
        <v>1665</v>
      </c>
      <c r="C169" s="1579" t="s">
        <v>1667</v>
      </c>
      <c r="D169" s="1618" t="s">
        <v>1022</v>
      </c>
      <c r="E169" s="1662">
        <v>13674.8</v>
      </c>
      <c r="F169" s="1581"/>
      <c r="G169" s="1581"/>
      <c r="H169" s="1581"/>
      <c r="I169" s="1609">
        <v>6</v>
      </c>
      <c r="J169" s="1609">
        <v>205</v>
      </c>
      <c r="K169" s="1581"/>
      <c r="L169" s="1618">
        <v>20</v>
      </c>
      <c r="M169" s="1618"/>
      <c r="N169" s="1581"/>
      <c r="O169" s="1581"/>
      <c r="P169" s="1581">
        <f t="shared" si="21"/>
        <v>20</v>
      </c>
      <c r="Q169" s="1581">
        <f>2000*1.07</f>
        <v>2140</v>
      </c>
      <c r="R169" s="1611">
        <f t="shared" si="22"/>
        <v>42800</v>
      </c>
      <c r="S169" s="1611">
        <f t="shared" si="23"/>
        <v>1217.0616113744074</v>
      </c>
      <c r="T169" s="1611">
        <f t="shared" si="24"/>
        <v>41582.938388625589</v>
      </c>
    </row>
    <row r="170" spans="1:21" ht="25.5">
      <c r="A170" s="1609">
        <v>157</v>
      </c>
      <c r="B170" s="1618" t="s">
        <v>1668</v>
      </c>
      <c r="C170" s="1579" t="s">
        <v>1669</v>
      </c>
      <c r="D170" s="1618" t="s">
        <v>1022</v>
      </c>
      <c r="E170" s="1662">
        <v>13674.8</v>
      </c>
      <c r="F170" s="1581"/>
      <c r="G170" s="1581"/>
      <c r="H170" s="1581"/>
      <c r="I170" s="1609">
        <v>6</v>
      </c>
      <c r="J170" s="1609">
        <v>205</v>
      </c>
      <c r="K170" s="1581"/>
      <c r="L170" s="1618">
        <v>40</v>
      </c>
      <c r="M170" s="1618"/>
      <c r="N170" s="1581"/>
      <c r="O170" s="1581"/>
      <c r="P170" s="1581">
        <f t="shared" si="21"/>
        <v>40</v>
      </c>
      <c r="Q170" s="1581">
        <f>500*1.07</f>
        <v>535</v>
      </c>
      <c r="R170" s="1611">
        <f t="shared" si="22"/>
        <v>21400</v>
      </c>
      <c r="S170" s="1611">
        <f t="shared" si="23"/>
        <v>608.53080568720372</v>
      </c>
      <c r="T170" s="1611">
        <f t="shared" si="24"/>
        <v>20791.469194312795</v>
      </c>
    </row>
    <row r="171" spans="1:21" ht="0.75" customHeight="1">
      <c r="A171" s="1609">
        <v>257</v>
      </c>
      <c r="B171" s="1610" t="s">
        <v>1670</v>
      </c>
      <c r="C171" s="1579" t="s">
        <v>1671</v>
      </c>
      <c r="D171" s="1610" t="s">
        <v>1672</v>
      </c>
      <c r="E171" s="1662">
        <v>13674.8</v>
      </c>
      <c r="F171" s="1581"/>
      <c r="G171" s="1581"/>
      <c r="H171" s="1581"/>
      <c r="I171" s="1609"/>
      <c r="J171" s="1609">
        <v>205</v>
      </c>
      <c r="K171" s="1581"/>
      <c r="L171" s="1610"/>
      <c r="M171" s="1610"/>
      <c r="N171" s="1581"/>
      <c r="O171" s="1581"/>
      <c r="P171" s="1581">
        <f t="shared" si="21"/>
        <v>0</v>
      </c>
      <c r="Q171" s="1581"/>
      <c r="R171" s="1611">
        <f t="shared" si="22"/>
        <v>0</v>
      </c>
      <c r="S171" s="1611">
        <f t="shared" si="23"/>
        <v>0</v>
      </c>
      <c r="T171" s="1611">
        <f t="shared" si="24"/>
        <v>0</v>
      </c>
    </row>
    <row r="172" spans="1:21" ht="25.5" hidden="1">
      <c r="A172" s="1581"/>
      <c r="B172" s="1056" t="s">
        <v>1677</v>
      </c>
      <c r="C172" s="917" t="s">
        <v>1678</v>
      </c>
      <c r="D172" s="1609" t="s">
        <v>1022</v>
      </c>
      <c r="E172" s="1662">
        <v>13674.8</v>
      </c>
      <c r="F172" s="1609"/>
      <c r="G172" s="1609"/>
      <c r="H172" s="1609"/>
      <c r="I172" s="1609"/>
      <c r="J172" s="1609"/>
      <c r="K172" s="1609"/>
      <c r="L172" s="1581"/>
      <c r="M172" s="1581"/>
      <c r="N172" s="1609"/>
      <c r="O172" s="1609"/>
      <c r="P172" s="1581"/>
      <c r="Q172" s="1610"/>
      <c r="R172" s="1611"/>
      <c r="S172" s="1611"/>
      <c r="T172" s="1611"/>
    </row>
    <row r="173" spans="1:21">
      <c r="A173" s="1609">
        <v>147</v>
      </c>
      <c r="B173" s="1618" t="s">
        <v>1680</v>
      </c>
      <c r="C173" s="1579" t="s">
        <v>1681</v>
      </c>
      <c r="D173" s="1618" t="s">
        <v>1022</v>
      </c>
      <c r="E173" s="1662">
        <v>13674.8</v>
      </c>
      <c r="F173" s="1581"/>
      <c r="G173" s="1581"/>
      <c r="H173" s="1581"/>
      <c r="I173" s="1609">
        <v>6</v>
      </c>
      <c r="J173" s="1609">
        <v>205</v>
      </c>
      <c r="K173" s="1581"/>
      <c r="L173" s="1618">
        <v>10</v>
      </c>
      <c r="M173" s="1618"/>
      <c r="N173" s="1581"/>
      <c r="O173" s="1581"/>
      <c r="P173" s="1581">
        <f t="shared" ref="P173:P178" si="25">L173-O173</f>
        <v>10</v>
      </c>
      <c r="Q173" s="1581">
        <f>10000*1.07</f>
        <v>10700</v>
      </c>
      <c r="R173" s="1611">
        <f t="shared" ref="R173:R178" si="26">P173*Q173</f>
        <v>107000</v>
      </c>
      <c r="S173" s="1611">
        <f t="shared" ref="S173:S178" si="27">R173*(I173/(I173+J173+K173))</f>
        <v>3042.654028436019</v>
      </c>
      <c r="T173" s="1611">
        <f t="shared" ref="T173:T178" si="28">R173-S173</f>
        <v>103957.34597156398</v>
      </c>
    </row>
    <row r="174" spans="1:21" ht="25.5">
      <c r="A174" s="1609">
        <v>28</v>
      </c>
      <c r="B174" s="1618" t="s">
        <v>1682</v>
      </c>
      <c r="C174" s="917" t="s">
        <v>1683</v>
      </c>
      <c r="D174" s="1619" t="s">
        <v>1268</v>
      </c>
      <c r="E174" s="1662">
        <v>13674.8</v>
      </c>
      <c r="F174" s="1609"/>
      <c r="G174" s="1609"/>
      <c r="H174" s="1609"/>
      <c r="I174" s="1609">
        <v>6</v>
      </c>
      <c r="J174" s="1609">
        <v>205</v>
      </c>
      <c r="K174" s="1609"/>
      <c r="L174" s="1623">
        <v>30</v>
      </c>
      <c r="M174" s="1623"/>
      <c r="N174" s="1609"/>
      <c r="O174" s="1609"/>
      <c r="P174" s="1581">
        <f t="shared" si="25"/>
        <v>30</v>
      </c>
      <c r="Q174" s="1610">
        <f>20*1.07</f>
        <v>21.400000000000002</v>
      </c>
      <c r="R174" s="1611">
        <f t="shared" si="26"/>
        <v>642.00000000000011</v>
      </c>
      <c r="S174" s="1611">
        <f t="shared" si="27"/>
        <v>18.255924170616115</v>
      </c>
      <c r="T174" s="1611">
        <f t="shared" si="28"/>
        <v>623.74407582938397</v>
      </c>
    </row>
    <row r="175" spans="1:21" ht="25.5">
      <c r="A175" s="1609">
        <v>29</v>
      </c>
      <c r="B175" s="1618" t="s">
        <v>1682</v>
      </c>
      <c r="C175" s="917" t="s">
        <v>1684</v>
      </c>
      <c r="D175" s="1619" t="s">
        <v>1268</v>
      </c>
      <c r="E175" s="1662">
        <v>13674.8</v>
      </c>
      <c r="F175" s="1609"/>
      <c r="G175" s="1609"/>
      <c r="H175" s="1609"/>
      <c r="I175" s="1609">
        <v>6</v>
      </c>
      <c r="J175" s="1609">
        <v>205</v>
      </c>
      <c r="K175" s="1609"/>
      <c r="L175" s="1623">
        <v>30</v>
      </c>
      <c r="M175" s="1623"/>
      <c r="N175" s="1609"/>
      <c r="O175" s="1609"/>
      <c r="P175" s="1581">
        <f t="shared" si="25"/>
        <v>30</v>
      </c>
      <c r="Q175" s="1610">
        <f>20*1.07</f>
        <v>21.400000000000002</v>
      </c>
      <c r="R175" s="1611">
        <f t="shared" si="26"/>
        <v>642.00000000000011</v>
      </c>
      <c r="S175" s="1611">
        <f t="shared" si="27"/>
        <v>18.255924170616115</v>
      </c>
      <c r="T175" s="1611">
        <f t="shared" si="28"/>
        <v>623.74407582938397</v>
      </c>
      <c r="U175" s="1580">
        <v>1600</v>
      </c>
    </row>
    <row r="176" spans="1:21" ht="25.5">
      <c r="A176" s="1609">
        <v>30</v>
      </c>
      <c r="B176" s="1618" t="s">
        <v>1682</v>
      </c>
      <c r="C176" s="917" t="s">
        <v>1685</v>
      </c>
      <c r="D176" s="1619" t="s">
        <v>1268</v>
      </c>
      <c r="E176" s="1662">
        <v>13674.8</v>
      </c>
      <c r="F176" s="1609"/>
      <c r="G176" s="1609"/>
      <c r="H176" s="1609"/>
      <c r="I176" s="1609">
        <v>6</v>
      </c>
      <c r="J176" s="1609">
        <v>205</v>
      </c>
      <c r="K176" s="1609"/>
      <c r="L176" s="1623">
        <v>30</v>
      </c>
      <c r="M176" s="1623"/>
      <c r="N176" s="1609"/>
      <c r="O176" s="1609"/>
      <c r="P176" s="1581">
        <f t="shared" si="25"/>
        <v>30</v>
      </c>
      <c r="Q176" s="1610">
        <f>20*1.07</f>
        <v>21.400000000000002</v>
      </c>
      <c r="R176" s="1611">
        <f t="shared" si="26"/>
        <v>642.00000000000011</v>
      </c>
      <c r="S176" s="1611">
        <f t="shared" si="27"/>
        <v>18.255924170616115</v>
      </c>
      <c r="T176" s="1611">
        <f t="shared" si="28"/>
        <v>623.74407582938397</v>
      </c>
      <c r="U176" s="1580" t="s">
        <v>1679</v>
      </c>
    </row>
    <row r="177" spans="1:21" ht="25.5">
      <c r="A177" s="1609">
        <v>31</v>
      </c>
      <c r="B177" s="1618" t="s">
        <v>1682</v>
      </c>
      <c r="C177" s="917" t="s">
        <v>1686</v>
      </c>
      <c r="D177" s="1619" t="s">
        <v>1268</v>
      </c>
      <c r="E177" s="1662">
        <v>13674.8</v>
      </c>
      <c r="F177" s="1609"/>
      <c r="G177" s="1609"/>
      <c r="H177" s="1609"/>
      <c r="I177" s="1609">
        <v>6</v>
      </c>
      <c r="J177" s="1609">
        <v>205</v>
      </c>
      <c r="K177" s="1609"/>
      <c r="L177" s="1623">
        <v>30</v>
      </c>
      <c r="M177" s="1623"/>
      <c r="N177" s="1609"/>
      <c r="O177" s="1609"/>
      <c r="P177" s="1581">
        <f t="shared" si="25"/>
        <v>30</v>
      </c>
      <c r="Q177" s="1610">
        <f>20*1.07</f>
        <v>21.400000000000002</v>
      </c>
      <c r="R177" s="1611">
        <f t="shared" si="26"/>
        <v>642.00000000000011</v>
      </c>
      <c r="S177" s="1611">
        <f t="shared" si="27"/>
        <v>18.255924170616115</v>
      </c>
      <c r="T177" s="1611">
        <f t="shared" si="28"/>
        <v>623.74407582938397</v>
      </c>
    </row>
    <row r="178" spans="1:21" ht="38.25">
      <c r="A178" s="1581"/>
      <c r="B178" s="1056" t="s">
        <v>1691</v>
      </c>
      <c r="C178" s="917" t="s">
        <v>1692</v>
      </c>
      <c r="D178" s="1609" t="s">
        <v>1022</v>
      </c>
      <c r="E178" s="1662">
        <v>13674.8</v>
      </c>
      <c r="F178" s="1609"/>
      <c r="G178" s="1609"/>
      <c r="H178" s="1609"/>
      <c r="I178" s="1609">
        <v>6</v>
      </c>
      <c r="J178" s="1609">
        <v>205</v>
      </c>
      <c r="K178" s="1609"/>
      <c r="L178" s="1581">
        <v>150</v>
      </c>
      <c r="M178" s="1581"/>
      <c r="N178" s="1609"/>
      <c r="O178" s="1609"/>
      <c r="P178" s="1581">
        <f t="shared" si="25"/>
        <v>150</v>
      </c>
      <c r="Q178" s="1610">
        <f>600*1.07</f>
        <v>642</v>
      </c>
      <c r="R178" s="1611">
        <f t="shared" si="26"/>
        <v>96300</v>
      </c>
      <c r="S178" s="1611">
        <f t="shared" si="27"/>
        <v>2738.3886255924172</v>
      </c>
      <c r="T178" s="1611">
        <f t="shared" si="28"/>
        <v>93561.611374407585</v>
      </c>
    </row>
    <row r="179" spans="1:21" ht="0.75" customHeight="1">
      <c r="A179" s="1581"/>
      <c r="B179" s="1056" t="s">
        <v>1694</v>
      </c>
      <c r="C179" s="917" t="s">
        <v>1695</v>
      </c>
      <c r="D179" s="1609" t="s">
        <v>1022</v>
      </c>
      <c r="E179" s="1662">
        <v>13674.8</v>
      </c>
      <c r="F179" s="1609"/>
      <c r="G179" s="1609"/>
      <c r="H179" s="1609"/>
      <c r="I179" s="1609"/>
      <c r="J179" s="1609"/>
      <c r="K179" s="1609"/>
      <c r="L179" s="1581"/>
      <c r="M179" s="1581"/>
      <c r="N179" s="1609"/>
      <c r="O179" s="1609"/>
      <c r="P179" s="1581"/>
      <c r="Q179" s="1610"/>
      <c r="R179" s="1611"/>
      <c r="S179" s="1611"/>
      <c r="T179" s="1611"/>
    </row>
    <row r="180" spans="1:21">
      <c r="A180" s="1609">
        <v>91</v>
      </c>
      <c r="B180" s="1619" t="s">
        <v>1702</v>
      </c>
      <c r="C180" s="917" t="s">
        <v>1703</v>
      </c>
      <c r="D180" s="1619" t="s">
        <v>1268</v>
      </c>
      <c r="E180" s="1662">
        <v>13674.8</v>
      </c>
      <c r="F180" s="1609"/>
      <c r="G180" s="1609"/>
      <c r="H180" s="1609"/>
      <c r="I180" s="1609">
        <v>6</v>
      </c>
      <c r="J180" s="1609">
        <v>205</v>
      </c>
      <c r="K180" s="1609"/>
      <c r="L180" s="1619">
        <v>250</v>
      </c>
      <c r="M180" s="1619"/>
      <c r="N180" s="1609"/>
      <c r="O180" s="1609"/>
      <c r="P180" s="1581">
        <f t="shared" ref="P180:P185" si="29">L180-O180</f>
        <v>250</v>
      </c>
      <c r="Q180" s="1610">
        <f>100*1.07</f>
        <v>107</v>
      </c>
      <c r="R180" s="1611">
        <f t="shared" ref="R180:R185" si="30">P180*Q180</f>
        <v>26750</v>
      </c>
      <c r="S180" s="1611">
        <f t="shared" ref="S180:S185" si="31">R180*(I180/(I180+J180+K180))</f>
        <v>760.66350710900474</v>
      </c>
      <c r="T180" s="1611">
        <f t="shared" ref="T180:T185" si="32">R180-S180</f>
        <v>25989.336492890994</v>
      </c>
    </row>
    <row r="181" spans="1:21">
      <c r="A181" s="1609">
        <v>95</v>
      </c>
      <c r="B181" s="1619" t="s">
        <v>1704</v>
      </c>
      <c r="C181" s="917" t="s">
        <v>1705</v>
      </c>
      <c r="D181" s="1619" t="s">
        <v>1268</v>
      </c>
      <c r="E181" s="1662">
        <v>13674.8</v>
      </c>
      <c r="F181" s="1609"/>
      <c r="G181" s="1609"/>
      <c r="H181" s="1609"/>
      <c r="I181" s="1609">
        <v>6</v>
      </c>
      <c r="J181" s="1609">
        <v>205</v>
      </c>
      <c r="K181" s="1609"/>
      <c r="L181" s="1619">
        <v>1</v>
      </c>
      <c r="M181" s="1619"/>
      <c r="N181" s="1609"/>
      <c r="O181" s="1609"/>
      <c r="P181" s="1581">
        <f t="shared" si="29"/>
        <v>1</v>
      </c>
      <c r="Q181" s="1610">
        <f>2500*1.07</f>
        <v>2675</v>
      </c>
      <c r="R181" s="1611">
        <f t="shared" si="30"/>
        <v>2675</v>
      </c>
      <c r="S181" s="1611">
        <f t="shared" si="31"/>
        <v>76.066350710900466</v>
      </c>
      <c r="T181" s="1611">
        <f t="shared" si="32"/>
        <v>2598.9336492890993</v>
      </c>
    </row>
    <row r="182" spans="1:21">
      <c r="A182" s="1609">
        <v>201</v>
      </c>
      <c r="B182" s="1620" t="s">
        <v>1706</v>
      </c>
      <c r="C182" s="1579" t="s">
        <v>1707</v>
      </c>
      <c r="D182" s="1620" t="s">
        <v>1022</v>
      </c>
      <c r="E182" s="1662">
        <v>13674.8</v>
      </c>
      <c r="F182" s="1581"/>
      <c r="G182" s="1581"/>
      <c r="H182" s="1581"/>
      <c r="I182" s="1609">
        <v>6</v>
      </c>
      <c r="J182" s="1609">
        <v>205</v>
      </c>
      <c r="K182" s="1581"/>
      <c r="L182" s="1620"/>
      <c r="M182" s="1620"/>
      <c r="N182" s="1581"/>
      <c r="O182" s="1581"/>
      <c r="P182" s="1581">
        <f t="shared" si="29"/>
        <v>0</v>
      </c>
      <c r="Q182" s="1581"/>
      <c r="R182" s="1611">
        <f t="shared" si="30"/>
        <v>0</v>
      </c>
      <c r="S182" s="1611">
        <f t="shared" si="31"/>
        <v>0</v>
      </c>
      <c r="T182" s="1611">
        <f t="shared" si="32"/>
        <v>0</v>
      </c>
    </row>
    <row r="183" spans="1:21">
      <c r="A183" s="1609">
        <v>107</v>
      </c>
      <c r="B183" s="1619" t="s">
        <v>1708</v>
      </c>
      <c r="C183" s="917" t="s">
        <v>1709</v>
      </c>
      <c r="D183" s="1619" t="s">
        <v>1411</v>
      </c>
      <c r="E183" s="1662">
        <v>13674.8</v>
      </c>
      <c r="F183" s="1609"/>
      <c r="G183" s="1609"/>
      <c r="H183" s="1609"/>
      <c r="I183" s="1609">
        <v>6</v>
      </c>
      <c r="J183" s="1609">
        <v>205</v>
      </c>
      <c r="K183" s="1609"/>
      <c r="L183" s="1619">
        <v>200</v>
      </c>
      <c r="M183" s="1619"/>
      <c r="N183" s="1609"/>
      <c r="O183" s="1609"/>
      <c r="P183" s="1581">
        <f t="shared" si="29"/>
        <v>200</v>
      </c>
      <c r="Q183" s="1609">
        <f>250*1.07</f>
        <v>267.5</v>
      </c>
      <c r="R183" s="1611">
        <f t="shared" si="30"/>
        <v>53500</v>
      </c>
      <c r="S183" s="1611">
        <f t="shared" si="31"/>
        <v>1521.3270142180095</v>
      </c>
      <c r="T183" s="1611">
        <f t="shared" si="32"/>
        <v>51978.672985781988</v>
      </c>
    </row>
    <row r="184" spans="1:21">
      <c r="A184" s="1609">
        <v>123</v>
      </c>
      <c r="B184" s="1618" t="s">
        <v>1710</v>
      </c>
      <c r="C184" s="1579" t="s">
        <v>1711</v>
      </c>
      <c r="D184" s="1618" t="s">
        <v>1411</v>
      </c>
      <c r="E184" s="1662">
        <v>13674.8</v>
      </c>
      <c r="F184" s="1581"/>
      <c r="G184" s="1581"/>
      <c r="H184" s="1609"/>
      <c r="I184" s="1609">
        <v>6</v>
      </c>
      <c r="J184" s="1609">
        <v>205</v>
      </c>
      <c r="K184" s="1609"/>
      <c r="L184" s="1618">
        <v>50</v>
      </c>
      <c r="M184" s="1618"/>
      <c r="N184" s="1609"/>
      <c r="O184" s="1609"/>
      <c r="P184" s="1581">
        <f t="shared" si="29"/>
        <v>50</v>
      </c>
      <c r="Q184" s="1609">
        <f>1000*1.07</f>
        <v>1070</v>
      </c>
      <c r="R184" s="1611">
        <f t="shared" si="30"/>
        <v>53500</v>
      </c>
      <c r="S184" s="1611">
        <f t="shared" si="31"/>
        <v>1521.3270142180095</v>
      </c>
      <c r="T184" s="1611">
        <f t="shared" si="32"/>
        <v>51978.672985781988</v>
      </c>
    </row>
    <row r="185" spans="1:21" ht="25.5">
      <c r="A185" s="1581">
        <v>313</v>
      </c>
      <c r="B185" s="1579" t="s">
        <v>1712</v>
      </c>
      <c r="C185" s="1579" t="s">
        <v>1713</v>
      </c>
      <c r="D185" s="1625" t="s">
        <v>1268</v>
      </c>
      <c r="E185" s="1662">
        <v>13674.8</v>
      </c>
      <c r="F185" s="1581"/>
      <c r="G185" s="1581"/>
      <c r="H185" s="1581"/>
      <c r="I185" s="1609">
        <v>6</v>
      </c>
      <c r="J185" s="1609">
        <v>205</v>
      </c>
      <c r="K185" s="1581"/>
      <c r="L185" s="1625">
        <v>40</v>
      </c>
      <c r="M185" s="1625"/>
      <c r="N185" s="1581"/>
      <c r="O185" s="1581"/>
      <c r="P185" s="1581">
        <f t="shared" si="29"/>
        <v>40</v>
      </c>
      <c r="Q185" s="1581">
        <f>450*1.07</f>
        <v>481.5</v>
      </c>
      <c r="R185" s="1611">
        <f t="shared" si="30"/>
        <v>19260</v>
      </c>
      <c r="S185" s="1611">
        <f t="shared" si="31"/>
        <v>547.67772511848341</v>
      </c>
      <c r="T185" s="1611">
        <f t="shared" si="32"/>
        <v>18712.322274881517</v>
      </c>
    </row>
    <row r="186" spans="1:21" hidden="1">
      <c r="A186" s="1581"/>
      <c r="B186" s="1579" t="s">
        <v>1712</v>
      </c>
      <c r="C186" s="1579" t="s">
        <v>1715</v>
      </c>
      <c r="D186" s="1625" t="s">
        <v>1290</v>
      </c>
      <c r="E186" s="1662">
        <v>13674.8</v>
      </c>
      <c r="F186" s="1581"/>
      <c r="G186" s="1581"/>
      <c r="H186" s="1581"/>
      <c r="I186" s="1609"/>
      <c r="J186" s="1609"/>
      <c r="K186" s="1581"/>
      <c r="L186" s="1625"/>
      <c r="M186" s="1625"/>
      <c r="N186" s="1581"/>
      <c r="O186" s="1581"/>
      <c r="P186" s="1581"/>
      <c r="Q186" s="1581"/>
      <c r="R186" s="1611"/>
      <c r="S186" s="1611"/>
      <c r="T186" s="1611"/>
    </row>
    <row r="187" spans="1:21">
      <c r="A187" s="1609">
        <v>120</v>
      </c>
      <c r="B187" s="1619" t="s">
        <v>1435</v>
      </c>
      <c r="C187" s="1579" t="s">
        <v>1717</v>
      </c>
      <c r="D187" s="1619" t="s">
        <v>1268</v>
      </c>
      <c r="E187" s="1662">
        <v>13674.8</v>
      </c>
      <c r="F187" s="1581"/>
      <c r="G187" s="1581"/>
      <c r="H187" s="1609"/>
      <c r="I187" s="1609">
        <v>6</v>
      </c>
      <c r="J187" s="1609">
        <v>205</v>
      </c>
      <c r="K187" s="1609"/>
      <c r="L187" s="1619"/>
      <c r="M187" s="1619"/>
      <c r="N187" s="1609"/>
      <c r="O187" s="1609"/>
      <c r="P187" s="1581">
        <f t="shared" ref="P187:P194" si="33">L187-O187</f>
        <v>0</v>
      </c>
      <c r="Q187" s="1609"/>
      <c r="R187" s="1611">
        <f t="shared" ref="R187:R194" si="34">P187*Q187</f>
        <v>0</v>
      </c>
      <c r="S187" s="1611">
        <f t="shared" ref="S187:S194" si="35">R187*(I187/(I187+J187+K187))</f>
        <v>0</v>
      </c>
      <c r="T187" s="1611">
        <f t="shared" ref="T187:T194" si="36">R187-S187</f>
        <v>0</v>
      </c>
    </row>
    <row r="188" spans="1:21" ht="25.5">
      <c r="A188" s="1609">
        <v>96</v>
      </c>
      <c r="B188" s="1619" t="s">
        <v>1718</v>
      </c>
      <c r="C188" s="917" t="s">
        <v>1719</v>
      </c>
      <c r="D188" s="1619" t="s">
        <v>1268</v>
      </c>
      <c r="E188" s="1662">
        <v>13674.8</v>
      </c>
      <c r="F188" s="1609"/>
      <c r="G188" s="1609"/>
      <c r="H188" s="1609"/>
      <c r="I188" s="1609">
        <v>6</v>
      </c>
      <c r="J188" s="1609">
        <v>205</v>
      </c>
      <c r="K188" s="1609"/>
      <c r="L188" s="1619">
        <v>1</v>
      </c>
      <c r="M188" s="1619"/>
      <c r="N188" s="1609"/>
      <c r="O188" s="1609"/>
      <c r="P188" s="1581">
        <f t="shared" si="33"/>
        <v>1</v>
      </c>
      <c r="Q188" s="1610">
        <f>5100*1.07</f>
        <v>5457</v>
      </c>
      <c r="R188" s="1611">
        <f t="shared" si="34"/>
        <v>5457</v>
      </c>
      <c r="S188" s="1611">
        <f t="shared" si="35"/>
        <v>155.17535545023696</v>
      </c>
      <c r="T188" s="1611">
        <f t="shared" si="36"/>
        <v>5301.8246445497634</v>
      </c>
    </row>
    <row r="189" spans="1:21" hidden="1">
      <c r="A189" s="1581"/>
      <c r="B189" s="1618"/>
      <c r="C189" s="1579"/>
      <c r="D189" s="1618" t="s">
        <v>1022</v>
      </c>
      <c r="E189" s="1662">
        <v>13674.8</v>
      </c>
      <c r="F189" s="1581"/>
      <c r="G189" s="1581"/>
      <c r="H189" s="1581"/>
      <c r="I189" s="1609">
        <v>6</v>
      </c>
      <c r="J189" s="1609">
        <v>205</v>
      </c>
      <c r="K189" s="1581"/>
      <c r="L189" s="1622"/>
      <c r="M189" s="1622"/>
      <c r="N189" s="1581"/>
      <c r="O189" s="1581"/>
      <c r="P189" s="1581">
        <f t="shared" si="33"/>
        <v>0</v>
      </c>
      <c r="Q189" s="1581"/>
      <c r="R189" s="1611">
        <f t="shared" si="34"/>
        <v>0</v>
      </c>
      <c r="S189" s="1611">
        <f t="shared" si="35"/>
        <v>0</v>
      </c>
      <c r="T189" s="1611">
        <f t="shared" si="36"/>
        <v>0</v>
      </c>
      <c r="U189" s="1580" t="s">
        <v>1714</v>
      </c>
    </row>
    <row r="190" spans="1:21" ht="25.5">
      <c r="A190" s="1609">
        <v>115</v>
      </c>
      <c r="B190" s="1619" t="s">
        <v>1724</v>
      </c>
      <c r="C190" s="917" t="s">
        <v>1725</v>
      </c>
      <c r="D190" s="1619" t="s">
        <v>1268</v>
      </c>
      <c r="E190" s="1662">
        <v>13674.8</v>
      </c>
      <c r="F190" s="1609"/>
      <c r="G190" s="1609"/>
      <c r="H190" s="1609"/>
      <c r="I190" s="1609">
        <v>6</v>
      </c>
      <c r="J190" s="1609">
        <v>205</v>
      </c>
      <c r="K190" s="1609"/>
      <c r="L190" s="1619">
        <v>4</v>
      </c>
      <c r="M190" s="1619"/>
      <c r="N190" s="1609"/>
      <c r="O190" s="1609"/>
      <c r="P190" s="1581">
        <f t="shared" si="33"/>
        <v>4</v>
      </c>
      <c r="Q190" s="1609">
        <f>5000*1.07</f>
        <v>5350</v>
      </c>
      <c r="R190" s="1611">
        <f t="shared" si="34"/>
        <v>21400</v>
      </c>
      <c r="S190" s="1611">
        <f t="shared" si="35"/>
        <v>608.53080568720372</v>
      </c>
      <c r="T190" s="1611">
        <f t="shared" si="36"/>
        <v>20791.469194312795</v>
      </c>
    </row>
    <row r="191" spans="1:21" ht="25.5" hidden="1">
      <c r="A191" s="1581">
        <v>308</v>
      </c>
      <c r="B191" s="1618" t="s">
        <v>1726</v>
      </c>
      <c r="C191" s="1579"/>
      <c r="D191" s="1618" t="s">
        <v>1022</v>
      </c>
      <c r="E191" s="1662">
        <v>13674.8</v>
      </c>
      <c r="F191" s="1581"/>
      <c r="G191" s="1581"/>
      <c r="H191" s="1581"/>
      <c r="I191" s="1609">
        <v>6</v>
      </c>
      <c r="J191" s="1609">
        <v>205</v>
      </c>
      <c r="K191" s="1581"/>
      <c r="L191" s="1622"/>
      <c r="M191" s="1622"/>
      <c r="N191" s="1581"/>
      <c r="O191" s="1581"/>
      <c r="P191" s="1581">
        <f t="shared" si="33"/>
        <v>0</v>
      </c>
      <c r="Q191" s="1581"/>
      <c r="R191" s="1611">
        <f t="shared" si="34"/>
        <v>0</v>
      </c>
      <c r="S191" s="1611">
        <f t="shared" si="35"/>
        <v>0</v>
      </c>
      <c r="T191" s="1611">
        <f t="shared" si="36"/>
        <v>0</v>
      </c>
    </row>
    <row r="192" spans="1:21" ht="25.5" hidden="1">
      <c r="A192" s="1581"/>
      <c r="B192" s="1618" t="s">
        <v>1727</v>
      </c>
      <c r="C192" s="1579"/>
      <c r="D192" s="1618" t="s">
        <v>1022</v>
      </c>
      <c r="E192" s="1662">
        <v>13674.8</v>
      </c>
      <c r="F192" s="1581"/>
      <c r="G192" s="1581"/>
      <c r="H192" s="1581"/>
      <c r="I192" s="1609">
        <v>6</v>
      </c>
      <c r="J192" s="1609">
        <v>205</v>
      </c>
      <c r="K192" s="1581"/>
      <c r="L192" s="1610">
        <v>1</v>
      </c>
      <c r="M192" s="1610"/>
      <c r="N192" s="1581"/>
      <c r="O192" s="1581"/>
      <c r="P192" s="1581">
        <f t="shared" si="33"/>
        <v>1</v>
      </c>
      <c r="Q192" s="1581"/>
      <c r="R192" s="1611">
        <f t="shared" si="34"/>
        <v>0</v>
      </c>
      <c r="S192" s="1611">
        <f t="shared" si="35"/>
        <v>0</v>
      </c>
      <c r="T192" s="1611">
        <f t="shared" si="36"/>
        <v>0</v>
      </c>
    </row>
    <row r="193" spans="1:21" ht="25.5">
      <c r="A193" s="1609">
        <v>152</v>
      </c>
      <c r="B193" s="1618" t="s">
        <v>1728</v>
      </c>
      <c r="C193" s="1579" t="s">
        <v>1729</v>
      </c>
      <c r="D193" s="1618" t="s">
        <v>1587</v>
      </c>
      <c r="E193" s="1662">
        <v>13674.8</v>
      </c>
      <c r="F193" s="1581"/>
      <c r="G193" s="1581"/>
      <c r="H193" s="1581"/>
      <c r="I193" s="1609">
        <v>6</v>
      </c>
      <c r="J193" s="1609">
        <v>205</v>
      </c>
      <c r="K193" s="1581"/>
      <c r="L193" s="1618">
        <v>30</v>
      </c>
      <c r="M193" s="1618"/>
      <c r="N193" s="1581"/>
      <c r="O193" s="1581"/>
      <c r="P193" s="1581">
        <f t="shared" si="33"/>
        <v>30</v>
      </c>
      <c r="Q193" s="1581">
        <f>400*1.07</f>
        <v>428</v>
      </c>
      <c r="R193" s="1611">
        <f t="shared" si="34"/>
        <v>12840</v>
      </c>
      <c r="S193" s="1611">
        <f t="shared" si="35"/>
        <v>365.11848341232223</v>
      </c>
      <c r="T193" s="1611">
        <f t="shared" si="36"/>
        <v>12474.881516587679</v>
      </c>
    </row>
    <row r="194" spans="1:21">
      <c r="A194" s="1609">
        <v>27</v>
      </c>
      <c r="B194" s="1618" t="s">
        <v>1730</v>
      </c>
      <c r="C194" s="917" t="s">
        <v>1731</v>
      </c>
      <c r="D194" s="1619" t="s">
        <v>1268</v>
      </c>
      <c r="E194" s="1662">
        <v>13674.8</v>
      </c>
      <c r="F194" s="1609"/>
      <c r="G194" s="1609"/>
      <c r="H194" s="1609"/>
      <c r="I194" s="1609">
        <v>6</v>
      </c>
      <c r="J194" s="1609">
        <v>205</v>
      </c>
      <c r="K194" s="1609"/>
      <c r="L194" s="1623">
        <v>100</v>
      </c>
      <c r="M194" s="1623"/>
      <c r="N194" s="1609"/>
      <c r="O194" s="1609"/>
      <c r="P194" s="1581">
        <f t="shared" si="33"/>
        <v>100</v>
      </c>
      <c r="Q194" s="1610">
        <f>20*1.07</f>
        <v>21.400000000000002</v>
      </c>
      <c r="R194" s="1611">
        <f t="shared" si="34"/>
        <v>2140</v>
      </c>
      <c r="S194" s="1611">
        <f t="shared" si="35"/>
        <v>60.85308056872038</v>
      </c>
      <c r="T194" s="1611">
        <f t="shared" si="36"/>
        <v>2079.1469194312795</v>
      </c>
    </row>
    <row r="195" spans="1:21">
      <c r="A195" s="1609">
        <v>138</v>
      </c>
      <c r="B195" s="1618" t="s">
        <v>1736</v>
      </c>
      <c r="C195" s="1579" t="s">
        <v>1737</v>
      </c>
      <c r="D195" s="1618" t="s">
        <v>1022</v>
      </c>
      <c r="E195" s="1662">
        <v>13674.8</v>
      </c>
      <c r="F195" s="1581"/>
      <c r="G195" s="1581"/>
      <c r="H195" s="1581"/>
      <c r="I195" s="1609">
        <v>6</v>
      </c>
      <c r="J195" s="1609">
        <v>205</v>
      </c>
      <c r="K195" s="1581"/>
      <c r="L195" s="1618">
        <v>20</v>
      </c>
      <c r="M195" s="1618"/>
      <c r="N195" s="1581"/>
      <c r="O195" s="1581"/>
      <c r="P195" s="1581">
        <f t="shared" ref="P195:P202" si="37">L195-O195</f>
        <v>20</v>
      </c>
      <c r="Q195" s="1581">
        <f>1500*1.07</f>
        <v>1605</v>
      </c>
      <c r="R195" s="1611">
        <f t="shared" ref="R195:R202" si="38">P195*Q195</f>
        <v>32100</v>
      </c>
      <c r="S195" s="1611">
        <f t="shared" ref="S195:S202" si="39">R195*(I195/(I195+J195+K195))</f>
        <v>912.79620853080564</v>
      </c>
      <c r="T195" s="1611">
        <f>R195-S195</f>
        <v>31187.203791469194</v>
      </c>
    </row>
    <row r="196" spans="1:21">
      <c r="A196" s="1609">
        <v>139</v>
      </c>
      <c r="B196" s="1618" t="s">
        <v>1738</v>
      </c>
      <c r="C196" s="1579" t="s">
        <v>1739</v>
      </c>
      <c r="D196" s="1618" t="s">
        <v>1022</v>
      </c>
      <c r="E196" s="1662">
        <v>13674.8</v>
      </c>
      <c r="F196" s="1581"/>
      <c r="G196" s="1581"/>
      <c r="H196" s="1581"/>
      <c r="I196" s="1609">
        <v>6</v>
      </c>
      <c r="J196" s="1609">
        <v>205</v>
      </c>
      <c r="K196" s="1581"/>
      <c r="L196" s="1618">
        <v>40</v>
      </c>
      <c r="M196" s="1618"/>
      <c r="N196" s="1581"/>
      <c r="O196" s="1581"/>
      <c r="P196" s="1581">
        <f t="shared" si="37"/>
        <v>40</v>
      </c>
      <c r="Q196" s="1581">
        <f>1200*1.07</f>
        <v>1284</v>
      </c>
      <c r="R196" s="1611">
        <f t="shared" si="38"/>
        <v>51360</v>
      </c>
      <c r="S196" s="1611">
        <f t="shared" si="39"/>
        <v>1460.4739336492889</v>
      </c>
      <c r="T196" s="1611">
        <f>R196-S196</f>
        <v>49899.526066350714</v>
      </c>
    </row>
    <row r="197" spans="1:21">
      <c r="A197" s="1609">
        <v>146</v>
      </c>
      <c r="B197" s="1618" t="s">
        <v>1742</v>
      </c>
      <c r="C197" s="1579" t="s">
        <v>1743</v>
      </c>
      <c r="D197" s="1618" t="s">
        <v>1022</v>
      </c>
      <c r="E197" s="1662">
        <v>13674.8</v>
      </c>
      <c r="F197" s="1581"/>
      <c r="G197" s="1581"/>
      <c r="H197" s="1581"/>
      <c r="I197" s="1609">
        <v>6</v>
      </c>
      <c r="J197" s="1609">
        <v>205</v>
      </c>
      <c r="K197" s="1581"/>
      <c r="L197" s="1618">
        <v>6</v>
      </c>
      <c r="M197" s="1618"/>
      <c r="N197" s="1581"/>
      <c r="O197" s="1581"/>
      <c r="P197" s="1581">
        <f t="shared" si="37"/>
        <v>6</v>
      </c>
      <c r="Q197" s="1581">
        <f>400*1.07</f>
        <v>428</v>
      </c>
      <c r="R197" s="1611">
        <f t="shared" si="38"/>
        <v>2568</v>
      </c>
      <c r="S197" s="1611">
        <f t="shared" si="39"/>
        <v>73.023696682464447</v>
      </c>
      <c r="T197" s="1611">
        <f>R197-S197</f>
        <v>2494.9763033175354</v>
      </c>
    </row>
    <row r="198" spans="1:21">
      <c r="A198" s="1609">
        <v>116</v>
      </c>
      <c r="B198" s="1619" t="s">
        <v>1744</v>
      </c>
      <c r="C198" s="1614" t="s">
        <v>2137</v>
      </c>
      <c r="D198" s="1619" t="s">
        <v>1119</v>
      </c>
      <c r="E198" s="1662">
        <v>13674.8</v>
      </c>
      <c r="F198" s="1609"/>
      <c r="G198" s="1609"/>
      <c r="H198" s="1609"/>
      <c r="I198" s="1609">
        <v>6</v>
      </c>
      <c r="J198" s="1609">
        <v>205</v>
      </c>
      <c r="K198" s="1609"/>
      <c r="L198" s="1619">
        <v>500</v>
      </c>
      <c r="M198" s="1619"/>
      <c r="N198" s="1609"/>
      <c r="O198" s="1609"/>
      <c r="P198" s="1581">
        <f t="shared" si="37"/>
        <v>500</v>
      </c>
      <c r="Q198" s="1609">
        <f>20*1.07</f>
        <v>21.400000000000002</v>
      </c>
      <c r="R198" s="1611">
        <f t="shared" si="38"/>
        <v>10700.000000000002</v>
      </c>
      <c r="S198" s="1611">
        <f t="shared" si="39"/>
        <v>304.26540284360192</v>
      </c>
      <c r="T198" s="1611">
        <f>R198-S198</f>
        <v>10395.734597156399</v>
      </c>
      <c r="U198" s="1580">
        <v>350</v>
      </c>
    </row>
    <row r="199" spans="1:21">
      <c r="A199" s="1609">
        <v>117</v>
      </c>
      <c r="B199" s="1628" t="s">
        <v>1744</v>
      </c>
      <c r="C199" s="1621" t="s">
        <v>1746</v>
      </c>
      <c r="D199" s="1619" t="s">
        <v>1268</v>
      </c>
      <c r="E199" s="1662">
        <v>13674.8</v>
      </c>
      <c r="F199" s="1581"/>
      <c r="G199" s="1581"/>
      <c r="H199" s="1581"/>
      <c r="I199" s="1609">
        <v>6</v>
      </c>
      <c r="J199" s="1609">
        <v>205</v>
      </c>
      <c r="K199" s="1581"/>
      <c r="L199" s="1619">
        <v>500</v>
      </c>
      <c r="M199" s="1619"/>
      <c r="N199" s="1581"/>
      <c r="O199" s="1581"/>
      <c r="P199" s="1581">
        <f t="shared" si="37"/>
        <v>500</v>
      </c>
      <c r="Q199" s="1609">
        <f>20*1.07</f>
        <v>21.400000000000002</v>
      </c>
      <c r="R199" s="1611">
        <f t="shared" si="38"/>
        <v>10700.000000000002</v>
      </c>
      <c r="S199" s="1611">
        <f t="shared" si="39"/>
        <v>304.26540284360192</v>
      </c>
      <c r="T199" s="1611">
        <f>R199-S199</f>
        <v>10395.734597156399</v>
      </c>
    </row>
    <row r="200" spans="1:21">
      <c r="A200" s="1609">
        <v>133</v>
      </c>
      <c r="B200" s="1632" t="s">
        <v>1753</v>
      </c>
      <c r="C200" s="357" t="s">
        <v>1754</v>
      </c>
      <c r="D200" s="1618" t="s">
        <v>1119</v>
      </c>
      <c r="E200" s="1662">
        <v>13674.8</v>
      </c>
      <c r="F200" s="1581"/>
      <c r="G200" s="1581"/>
      <c r="H200" s="1581"/>
      <c r="I200" s="1609">
        <v>6</v>
      </c>
      <c r="J200" s="1609">
        <v>205</v>
      </c>
      <c r="K200" s="1581"/>
      <c r="L200" s="1618">
        <v>6</v>
      </c>
      <c r="M200" s="1618"/>
      <c r="N200" s="1581"/>
      <c r="O200" s="1581"/>
      <c r="P200" s="1581">
        <f t="shared" si="37"/>
        <v>6</v>
      </c>
      <c r="Q200" s="1581">
        <f>1500*1.07</f>
        <v>1605</v>
      </c>
      <c r="R200" s="1611">
        <f t="shared" si="38"/>
        <v>9630</v>
      </c>
      <c r="S200" s="1611">
        <f t="shared" si="39"/>
        <v>273.8388625592417</v>
      </c>
      <c r="T200" s="1611">
        <f t="shared" ref="T200:T237" si="40">R200-S200</f>
        <v>9356.1611374407585</v>
      </c>
    </row>
    <row r="201" spans="1:21">
      <c r="A201" s="1609">
        <v>87</v>
      </c>
      <c r="B201" s="1619" t="s">
        <v>1755</v>
      </c>
      <c r="C201" s="1614" t="s">
        <v>1369</v>
      </c>
      <c r="D201" s="1619" t="s">
        <v>1268</v>
      </c>
      <c r="E201" s="1662">
        <v>13674.8</v>
      </c>
      <c r="F201" s="1609"/>
      <c r="G201" s="1609"/>
      <c r="H201" s="1609"/>
      <c r="I201" s="1609">
        <v>6</v>
      </c>
      <c r="J201" s="1609">
        <v>205</v>
      </c>
      <c r="K201" s="1609"/>
      <c r="L201" s="1619">
        <v>20</v>
      </c>
      <c r="M201" s="1619"/>
      <c r="N201" s="1609"/>
      <c r="O201" s="1609"/>
      <c r="P201" s="1581">
        <f t="shared" si="37"/>
        <v>20</v>
      </c>
      <c r="Q201" s="1610">
        <f>3900*1.07</f>
        <v>4173</v>
      </c>
      <c r="R201" s="1611">
        <f t="shared" si="38"/>
        <v>83460</v>
      </c>
      <c r="S201" s="1611">
        <f t="shared" si="39"/>
        <v>2373.2701421800948</v>
      </c>
      <c r="T201" s="1611">
        <f t="shared" si="40"/>
        <v>81086.729857819912</v>
      </c>
      <c r="U201" s="1580">
        <v>750</v>
      </c>
    </row>
    <row r="202" spans="1:21">
      <c r="A202" s="1609">
        <v>88</v>
      </c>
      <c r="B202" s="1628" t="s">
        <v>1756</v>
      </c>
      <c r="C202" s="1614" t="s">
        <v>1370</v>
      </c>
      <c r="D202" s="1619" t="s">
        <v>1268</v>
      </c>
      <c r="E202" s="1662">
        <v>13674.8</v>
      </c>
      <c r="F202" s="1609"/>
      <c r="G202" s="1609"/>
      <c r="H202" s="1609"/>
      <c r="I202" s="1609">
        <v>6</v>
      </c>
      <c r="J202" s="1609">
        <v>205</v>
      </c>
      <c r="K202" s="1609"/>
      <c r="L202" s="1619">
        <v>20</v>
      </c>
      <c r="M202" s="1619"/>
      <c r="N202" s="1609"/>
      <c r="O202" s="1609"/>
      <c r="P202" s="1581">
        <f t="shared" si="37"/>
        <v>20</v>
      </c>
      <c r="Q202" s="1610">
        <f>3900*1.07</f>
        <v>4173</v>
      </c>
      <c r="R202" s="1611">
        <f t="shared" si="38"/>
        <v>83460</v>
      </c>
      <c r="S202" s="1611">
        <f t="shared" si="39"/>
        <v>2373.2701421800948</v>
      </c>
      <c r="T202" s="1611">
        <f t="shared" si="40"/>
        <v>81086.729857819912</v>
      </c>
      <c r="U202" s="1580">
        <v>1800</v>
      </c>
    </row>
    <row r="203" spans="1:21">
      <c r="A203" s="1581">
        <v>321</v>
      </c>
      <c r="B203" s="1056" t="s">
        <v>1761</v>
      </c>
      <c r="C203" s="1579" t="s">
        <v>1762</v>
      </c>
      <c r="D203" s="1625" t="s">
        <v>1022</v>
      </c>
      <c r="E203" s="1662">
        <v>13674.8</v>
      </c>
      <c r="F203" s="1581"/>
      <c r="G203" s="1581"/>
      <c r="H203" s="1581"/>
      <c r="I203" s="1609">
        <v>6</v>
      </c>
      <c r="J203" s="1609">
        <v>205</v>
      </c>
      <c r="K203" s="1581"/>
      <c r="L203" s="1625">
        <v>70</v>
      </c>
      <c r="M203" s="1625"/>
      <c r="N203" s="1581"/>
      <c r="O203" s="1581"/>
      <c r="P203" s="1581">
        <f>L203-O203</f>
        <v>70</v>
      </c>
      <c r="Q203" s="1056">
        <f>2500*1.07</f>
        <v>2675</v>
      </c>
      <c r="R203" s="1611">
        <f>P203*Q203</f>
        <v>187250</v>
      </c>
      <c r="S203" s="1611">
        <f>R203*(I203/(I203+J203+K203))</f>
        <v>5324.644549763033</v>
      </c>
      <c r="T203" s="1611">
        <f>R203-S203</f>
        <v>181925.35545023697</v>
      </c>
    </row>
    <row r="204" spans="1:21">
      <c r="A204" s="1581">
        <v>323</v>
      </c>
      <c r="B204" s="1056" t="s">
        <v>1761</v>
      </c>
      <c r="C204" s="1579" t="s">
        <v>1764</v>
      </c>
      <c r="D204" s="1625" t="s">
        <v>1022</v>
      </c>
      <c r="E204" s="1662">
        <v>13674.8</v>
      </c>
      <c r="F204" s="1581"/>
      <c r="G204" s="1581"/>
      <c r="H204" s="1581"/>
      <c r="I204" s="1609">
        <v>6</v>
      </c>
      <c r="J204" s="1609">
        <v>205</v>
      </c>
      <c r="K204" s="1581"/>
      <c r="L204" s="1625">
        <v>80</v>
      </c>
      <c r="M204" s="1625"/>
      <c r="N204" s="1581"/>
      <c r="O204" s="1581"/>
      <c r="P204" s="1581">
        <f>L204-O204</f>
        <v>80</v>
      </c>
      <c r="Q204" s="1056">
        <f>3500*1.07</f>
        <v>3745</v>
      </c>
      <c r="R204" s="1611">
        <f>P204*Q204</f>
        <v>299600</v>
      </c>
      <c r="S204" s="1611">
        <f>R204*(I204/(I204+J204+K204))</f>
        <v>8519.4312796208524</v>
      </c>
      <c r="T204" s="1611">
        <f>R204-S204</f>
        <v>291080.56872037915</v>
      </c>
      <c r="U204" s="1580">
        <v>1500</v>
      </c>
    </row>
    <row r="205" spans="1:21" ht="38.25">
      <c r="A205" s="1609"/>
      <c r="B205" s="1628" t="s">
        <v>3244</v>
      </c>
      <c r="C205" s="1614" t="s">
        <v>3245</v>
      </c>
      <c r="D205" s="1625" t="s">
        <v>1022</v>
      </c>
      <c r="E205" s="1662">
        <v>13674.8</v>
      </c>
      <c r="F205" s="1609"/>
      <c r="G205" s="1609"/>
      <c r="H205" s="1609"/>
      <c r="I205" s="1609">
        <v>6</v>
      </c>
      <c r="J205" s="1609">
        <v>205</v>
      </c>
      <c r="K205" s="1609"/>
      <c r="L205" s="1619">
        <v>40</v>
      </c>
      <c r="M205" s="1619"/>
      <c r="N205" s="1609"/>
      <c r="O205" s="1609"/>
      <c r="P205" s="1581">
        <f>L205-O205</f>
        <v>40</v>
      </c>
      <c r="Q205" s="1610">
        <f>1500*1.07</f>
        <v>1605</v>
      </c>
      <c r="R205" s="1611">
        <f>P205*Q205</f>
        <v>64200</v>
      </c>
      <c r="S205" s="1611">
        <f>R205*(I205/(I205+J205+K205))</f>
        <v>1825.5924170616113</v>
      </c>
      <c r="T205" s="1611">
        <f>R205-S205</f>
        <v>62374.407582938387</v>
      </c>
    </row>
    <row r="206" spans="1:21">
      <c r="A206" s="1609"/>
      <c r="B206" s="1628"/>
      <c r="C206" s="1614"/>
      <c r="D206" s="1619"/>
      <c r="E206" s="1662"/>
      <c r="F206" s="1609"/>
      <c r="G206" s="1609"/>
      <c r="H206" s="1609"/>
      <c r="I206" s="1609"/>
      <c r="J206" s="1609"/>
      <c r="K206" s="1609"/>
      <c r="L206" s="1619"/>
      <c r="M206" s="1619"/>
      <c r="N206" s="1609"/>
      <c r="O206" s="1609"/>
      <c r="P206" s="1581"/>
      <c r="Q206" s="1610"/>
      <c r="R206" s="1611"/>
      <c r="S206" s="1611"/>
      <c r="T206" s="1611"/>
    </row>
    <row r="207" spans="1:21">
      <c r="A207" s="1581"/>
      <c r="B207" s="1602" t="s">
        <v>1766</v>
      </c>
      <c r="C207" s="1579"/>
      <c r="D207" s="1625"/>
      <c r="E207" s="1662"/>
      <c r="F207" s="1581"/>
      <c r="G207" s="1581"/>
      <c r="H207" s="1581"/>
      <c r="I207" s="1609"/>
      <c r="J207" s="1609"/>
      <c r="K207" s="1581"/>
      <c r="L207" s="1625"/>
      <c r="M207" s="1625"/>
      <c r="N207" s="1581"/>
      <c r="O207" s="1581"/>
      <c r="P207" s="1581"/>
      <c r="Q207" s="1581"/>
      <c r="R207" s="1617">
        <f>SUM(R208:R237)</f>
        <v>11961690.5</v>
      </c>
      <c r="S207" s="1617">
        <f>SUM(S208:S237)</f>
        <v>340142.85781990516</v>
      </c>
      <c r="T207" s="1617">
        <f>SUM(T208:T237)</f>
        <v>11621547.642180094</v>
      </c>
      <c r="U207" s="1580" t="s">
        <v>1763</v>
      </c>
    </row>
    <row r="208" spans="1:21" ht="25.5">
      <c r="A208" s="1581">
        <v>325</v>
      </c>
      <c r="B208" s="1648" t="s">
        <v>1767</v>
      </c>
      <c r="C208" s="1579" t="s">
        <v>3246</v>
      </c>
      <c r="D208" s="1625" t="s">
        <v>1022</v>
      </c>
      <c r="E208" s="1662">
        <v>13674.8</v>
      </c>
      <c r="F208" s="1581"/>
      <c r="G208" s="1581"/>
      <c r="H208" s="1581"/>
      <c r="I208" s="1609">
        <v>6</v>
      </c>
      <c r="J208" s="1609">
        <v>205</v>
      </c>
      <c r="K208" s="1581"/>
      <c r="L208" s="1625">
        <v>4</v>
      </c>
      <c r="M208" s="1625"/>
      <c r="N208" s="1581"/>
      <c r="O208" s="1581"/>
      <c r="P208" s="1581">
        <f t="shared" ref="P208:P222" si="41">L208-O208</f>
        <v>4</v>
      </c>
      <c r="Q208" s="1581">
        <f>4900*1.07</f>
        <v>5243</v>
      </c>
      <c r="R208" s="1611">
        <f t="shared" ref="R208:R237" si="42">P208*Q208</f>
        <v>20972</v>
      </c>
      <c r="S208" s="1611">
        <f t="shared" ref="S208:S237" si="43">R208*(I208/(I208+J208+K208))</f>
        <v>596.36018957345971</v>
      </c>
      <c r="T208" s="1611">
        <f t="shared" si="40"/>
        <v>20375.639810426539</v>
      </c>
    </row>
    <row r="209" spans="1:23" hidden="1">
      <c r="A209" s="1581">
        <v>326</v>
      </c>
      <c r="B209" s="1062" t="s">
        <v>1769</v>
      </c>
      <c r="C209" s="1579" t="s">
        <v>1770</v>
      </c>
      <c r="D209" s="1625" t="s">
        <v>1022</v>
      </c>
      <c r="E209" s="1662">
        <v>13674.8</v>
      </c>
      <c r="F209" s="1581"/>
      <c r="G209" s="1581"/>
      <c r="H209" s="1581"/>
      <c r="I209" s="1609">
        <v>6</v>
      </c>
      <c r="J209" s="1609">
        <v>205</v>
      </c>
      <c r="K209" s="1581"/>
      <c r="L209" s="1625"/>
      <c r="M209" s="1625"/>
      <c r="N209" s="1581"/>
      <c r="O209" s="1581"/>
      <c r="P209" s="1581">
        <f t="shared" si="41"/>
        <v>0</v>
      </c>
      <c r="Q209" s="1581"/>
      <c r="R209" s="1611">
        <f t="shared" si="42"/>
        <v>0</v>
      </c>
      <c r="S209" s="1611">
        <f t="shared" si="43"/>
        <v>0</v>
      </c>
      <c r="T209" s="1611">
        <f t="shared" si="40"/>
        <v>0</v>
      </c>
    </row>
    <row r="210" spans="1:23" hidden="1">
      <c r="A210" s="1581">
        <v>333</v>
      </c>
      <c r="B210" s="1062" t="s">
        <v>1771</v>
      </c>
      <c r="C210" s="1579" t="s">
        <v>1772</v>
      </c>
      <c r="D210" s="1625" t="s">
        <v>1022</v>
      </c>
      <c r="E210" s="1662">
        <v>13674.8</v>
      </c>
      <c r="F210" s="1581"/>
      <c r="G210" s="1581"/>
      <c r="H210" s="1581"/>
      <c r="I210" s="1609">
        <v>6</v>
      </c>
      <c r="J210" s="1609">
        <v>205</v>
      </c>
      <c r="K210" s="1581"/>
      <c r="L210" s="1579"/>
      <c r="M210" s="1579"/>
      <c r="N210" s="1581"/>
      <c r="O210" s="1581"/>
      <c r="P210" s="1581">
        <f t="shared" si="41"/>
        <v>0</v>
      </c>
      <c r="Q210" s="1581"/>
      <c r="R210" s="1611">
        <f t="shared" si="42"/>
        <v>0</v>
      </c>
      <c r="S210" s="1611">
        <f t="shared" si="43"/>
        <v>0</v>
      </c>
      <c r="T210" s="1611">
        <f t="shared" si="40"/>
        <v>0</v>
      </c>
    </row>
    <row r="211" spans="1:23">
      <c r="A211" s="1581">
        <v>319</v>
      </c>
      <c r="B211" s="1056" t="s">
        <v>1773</v>
      </c>
      <c r="C211" s="1649"/>
      <c r="D211" s="1625" t="s">
        <v>1022</v>
      </c>
      <c r="E211" s="1662">
        <v>13674.8</v>
      </c>
      <c r="F211" s="1581"/>
      <c r="G211" s="1581"/>
      <c r="H211" s="1581"/>
      <c r="I211" s="1609">
        <v>6</v>
      </c>
      <c r="J211" s="1609">
        <v>205</v>
      </c>
      <c r="K211" s="1581"/>
      <c r="L211" s="1625">
        <v>91</v>
      </c>
      <c r="M211" s="1625"/>
      <c r="N211" s="1581"/>
      <c r="O211" s="1581"/>
      <c r="P211" s="1581">
        <f t="shared" si="41"/>
        <v>91</v>
      </c>
      <c r="Q211" s="1056">
        <f>8500*1.07</f>
        <v>9095</v>
      </c>
      <c r="R211" s="1611">
        <f t="shared" si="42"/>
        <v>827645</v>
      </c>
      <c r="S211" s="1611">
        <f t="shared" si="43"/>
        <v>23534.928909952607</v>
      </c>
      <c r="T211" s="1611">
        <f t="shared" si="40"/>
        <v>804110.07109004736</v>
      </c>
    </row>
    <row r="212" spans="1:23" ht="114.75">
      <c r="A212" s="1581">
        <v>318</v>
      </c>
      <c r="B212" s="1056" t="s">
        <v>1774</v>
      </c>
      <c r="C212" s="1579" t="s">
        <v>1775</v>
      </c>
      <c r="D212" s="1625" t="s">
        <v>1022</v>
      </c>
      <c r="E212" s="1662">
        <v>13674.8</v>
      </c>
      <c r="F212" s="1581"/>
      <c r="G212" s="1581"/>
      <c r="H212" s="1581"/>
      <c r="I212" s="1609">
        <v>6</v>
      </c>
      <c r="J212" s="1609">
        <v>205</v>
      </c>
      <c r="K212" s="1581"/>
      <c r="L212" s="1625">
        <v>33</v>
      </c>
      <c r="M212" s="1625"/>
      <c r="N212" s="1581"/>
      <c r="O212" s="1581"/>
      <c r="P212" s="1581">
        <f t="shared" si="41"/>
        <v>33</v>
      </c>
      <c r="Q212" s="1056">
        <f>60000*1.07</f>
        <v>64200.000000000007</v>
      </c>
      <c r="R212" s="1611">
        <f t="shared" si="42"/>
        <v>2118600.0000000005</v>
      </c>
      <c r="S212" s="1611">
        <f t="shared" si="43"/>
        <v>60244.549763033188</v>
      </c>
      <c r="T212" s="1611">
        <f t="shared" si="40"/>
        <v>2058355.4502369673</v>
      </c>
    </row>
    <row r="213" spans="1:23" ht="140.25">
      <c r="A213" s="1581">
        <v>324</v>
      </c>
      <c r="B213" s="1056" t="s">
        <v>1776</v>
      </c>
      <c r="C213" s="1579" t="s">
        <v>1777</v>
      </c>
      <c r="D213" s="1625" t="s">
        <v>1022</v>
      </c>
      <c r="E213" s="1662">
        <v>13674.8</v>
      </c>
      <c r="F213" s="1581"/>
      <c r="G213" s="1581"/>
      <c r="H213" s="1581"/>
      <c r="I213" s="1609">
        <v>6</v>
      </c>
      <c r="J213" s="1609">
        <v>205</v>
      </c>
      <c r="K213" s="1581"/>
      <c r="L213" s="1625">
        <v>2</v>
      </c>
      <c r="M213" s="1625"/>
      <c r="N213" s="1581"/>
      <c r="O213" s="1581"/>
      <c r="P213" s="1581">
        <f t="shared" si="41"/>
        <v>2</v>
      </c>
      <c r="Q213" s="1056">
        <f>27400*1.07</f>
        <v>29318</v>
      </c>
      <c r="R213" s="1611">
        <f t="shared" si="42"/>
        <v>58636</v>
      </c>
      <c r="S213" s="1611">
        <f t="shared" si="43"/>
        <v>1667.3744075829384</v>
      </c>
      <c r="T213" s="1611">
        <f t="shared" si="40"/>
        <v>56968.625592417062</v>
      </c>
    </row>
    <row r="214" spans="1:23">
      <c r="A214" s="1581">
        <v>339</v>
      </c>
      <c r="B214" s="1579" t="s">
        <v>1728</v>
      </c>
      <c r="C214" s="1579" t="s">
        <v>1778</v>
      </c>
      <c r="D214" s="1625" t="s">
        <v>1022</v>
      </c>
      <c r="E214" s="1662">
        <v>13674.8</v>
      </c>
      <c r="F214" s="1581"/>
      <c r="G214" s="1581"/>
      <c r="H214" s="1581"/>
      <c r="I214" s="1609">
        <v>6</v>
      </c>
      <c r="J214" s="1609">
        <v>205</v>
      </c>
      <c r="K214" s="1581"/>
      <c r="L214" s="1535">
        <v>600</v>
      </c>
      <c r="M214" s="1535"/>
      <c r="N214" s="1581"/>
      <c r="O214" s="1581"/>
      <c r="P214" s="1581">
        <f t="shared" si="41"/>
        <v>600</v>
      </c>
      <c r="Q214" s="1581">
        <f>5460*1.07</f>
        <v>5842.2000000000007</v>
      </c>
      <c r="R214" s="1611">
        <f t="shared" si="42"/>
        <v>3505320.0000000005</v>
      </c>
      <c r="S214" s="1611">
        <f t="shared" si="43"/>
        <v>99677.345971563991</v>
      </c>
      <c r="T214" s="1611">
        <f t="shared" si="40"/>
        <v>3405642.6540284366</v>
      </c>
    </row>
    <row r="215" spans="1:23" ht="51">
      <c r="A215" s="1581">
        <v>338</v>
      </c>
      <c r="B215" s="1579" t="s">
        <v>1779</v>
      </c>
      <c r="C215" s="1579" t="s">
        <v>1780</v>
      </c>
      <c r="D215" s="1625" t="s">
        <v>1022</v>
      </c>
      <c r="E215" s="1662">
        <v>13674.8</v>
      </c>
      <c r="F215" s="1581"/>
      <c r="G215" s="1581"/>
      <c r="H215" s="1581"/>
      <c r="I215" s="1609">
        <v>6</v>
      </c>
      <c r="J215" s="1609">
        <v>205</v>
      </c>
      <c r="K215" s="1581"/>
      <c r="L215" s="1535">
        <v>1</v>
      </c>
      <c r="M215" s="1535"/>
      <c r="N215" s="1581"/>
      <c r="O215" s="1581"/>
      <c r="P215" s="1581">
        <f t="shared" si="41"/>
        <v>1</v>
      </c>
      <c r="Q215" s="1581">
        <f>44570*1.07</f>
        <v>47689.9</v>
      </c>
      <c r="R215" s="1611">
        <f t="shared" si="42"/>
        <v>47689.9</v>
      </c>
      <c r="S215" s="1611">
        <f t="shared" si="43"/>
        <v>1356.1109004739337</v>
      </c>
      <c r="T215" s="1611">
        <f t="shared" si="40"/>
        <v>46333.789099526068</v>
      </c>
    </row>
    <row r="216" spans="1:23">
      <c r="A216" s="1581">
        <v>317</v>
      </c>
      <c r="B216" s="1056" t="s">
        <v>1781</v>
      </c>
      <c r="C216" s="1579" t="s">
        <v>1782</v>
      </c>
      <c r="D216" s="1625" t="s">
        <v>1022</v>
      </c>
      <c r="E216" s="1662">
        <v>13674.8</v>
      </c>
      <c r="F216" s="1581"/>
      <c r="G216" s="1581"/>
      <c r="H216" s="1581"/>
      <c r="I216" s="1609">
        <v>6</v>
      </c>
      <c r="J216" s="1609">
        <v>205</v>
      </c>
      <c r="K216" s="1581"/>
      <c r="L216" s="1625">
        <v>420</v>
      </c>
      <c r="M216" s="1625"/>
      <c r="N216" s="1581"/>
      <c r="O216" s="1581"/>
      <c r="P216" s="1581">
        <f t="shared" si="41"/>
        <v>420</v>
      </c>
      <c r="Q216" s="1056">
        <f>3500*1.07</f>
        <v>3745</v>
      </c>
      <c r="R216" s="1611">
        <f t="shared" si="42"/>
        <v>1572900</v>
      </c>
      <c r="S216" s="1611">
        <f t="shared" si="43"/>
        <v>44727.014218009477</v>
      </c>
      <c r="T216" s="1611">
        <f t="shared" si="40"/>
        <v>1528172.9857819905</v>
      </c>
    </row>
    <row r="217" spans="1:23">
      <c r="A217" s="1581">
        <v>316</v>
      </c>
      <c r="B217" s="1056" t="s">
        <v>1783</v>
      </c>
      <c r="C217" s="1579" t="s">
        <v>3247</v>
      </c>
      <c r="D217" s="1625" t="s">
        <v>1022</v>
      </c>
      <c r="E217" s="1662">
        <v>13674.8</v>
      </c>
      <c r="F217" s="1581"/>
      <c r="G217" s="1581"/>
      <c r="H217" s="1581"/>
      <c r="I217" s="1609">
        <v>6</v>
      </c>
      <c r="J217" s="1609">
        <v>205</v>
      </c>
      <c r="K217" s="1581"/>
      <c r="L217" s="1625"/>
      <c r="M217" s="1625"/>
      <c r="N217" s="1581"/>
      <c r="O217" s="1581"/>
      <c r="P217" s="1581">
        <f t="shared" si="41"/>
        <v>0</v>
      </c>
      <c r="Q217" s="1583"/>
      <c r="R217" s="1611">
        <f t="shared" si="42"/>
        <v>0</v>
      </c>
      <c r="S217" s="1611">
        <f t="shared" si="43"/>
        <v>0</v>
      </c>
      <c r="T217" s="1611">
        <f t="shared" si="40"/>
        <v>0</v>
      </c>
    </row>
    <row r="218" spans="1:23" hidden="1">
      <c r="A218" s="1581">
        <v>331</v>
      </c>
      <c r="B218" s="1062" t="s">
        <v>1785</v>
      </c>
      <c r="C218" s="1579" t="s">
        <v>1786</v>
      </c>
      <c r="D218" s="1625" t="s">
        <v>1022</v>
      </c>
      <c r="E218" s="1662">
        <v>13674.8</v>
      </c>
      <c r="F218" s="1581"/>
      <c r="G218" s="1581"/>
      <c r="H218" s="1581"/>
      <c r="I218" s="1609">
        <v>6</v>
      </c>
      <c r="J218" s="1609">
        <v>205</v>
      </c>
      <c r="K218" s="1581"/>
      <c r="L218" s="1579"/>
      <c r="M218" s="1579"/>
      <c r="N218" s="1581"/>
      <c r="O218" s="1581"/>
      <c r="P218" s="1581"/>
      <c r="Q218" s="1581"/>
      <c r="R218" s="1611">
        <f t="shared" si="42"/>
        <v>0</v>
      </c>
      <c r="S218" s="1611">
        <f t="shared" si="43"/>
        <v>0</v>
      </c>
      <c r="T218" s="1611">
        <f t="shared" si="40"/>
        <v>0</v>
      </c>
    </row>
    <row r="219" spans="1:23" hidden="1">
      <c r="A219" s="1581">
        <v>332</v>
      </c>
      <c r="B219" s="1062" t="s">
        <v>1787</v>
      </c>
      <c r="C219" s="1579" t="s">
        <v>1788</v>
      </c>
      <c r="D219" s="1625" t="s">
        <v>1022</v>
      </c>
      <c r="E219" s="1662">
        <v>13674.8</v>
      </c>
      <c r="F219" s="1581"/>
      <c r="G219" s="1581"/>
      <c r="H219" s="1581"/>
      <c r="I219" s="1609">
        <v>6</v>
      </c>
      <c r="J219" s="1609">
        <v>205</v>
      </c>
      <c r="K219" s="1581"/>
      <c r="L219" s="1579"/>
      <c r="M219" s="1579"/>
      <c r="N219" s="1581"/>
      <c r="O219" s="1581"/>
      <c r="P219" s="1581"/>
      <c r="Q219" s="1581"/>
      <c r="R219" s="1611">
        <f t="shared" si="42"/>
        <v>0</v>
      </c>
      <c r="S219" s="1611">
        <f t="shared" si="43"/>
        <v>0</v>
      </c>
      <c r="T219" s="1611">
        <f t="shared" si="40"/>
        <v>0</v>
      </c>
    </row>
    <row r="220" spans="1:23" ht="25.5">
      <c r="A220" s="1581">
        <v>320</v>
      </c>
      <c r="B220" s="1583" t="s">
        <v>1789</v>
      </c>
      <c r="C220" s="1579" t="s">
        <v>1790</v>
      </c>
      <c r="D220" s="1625" t="s">
        <v>1022</v>
      </c>
      <c r="E220" s="1662">
        <v>13674.8</v>
      </c>
      <c r="F220" s="1581"/>
      <c r="G220" s="1581"/>
      <c r="H220" s="1581"/>
      <c r="I220" s="1609">
        <v>6</v>
      </c>
      <c r="J220" s="1609">
        <v>205</v>
      </c>
      <c r="K220" s="1581"/>
      <c r="L220" s="1625">
        <v>2</v>
      </c>
      <c r="M220" s="1625">
        <v>4</v>
      </c>
      <c r="N220" s="1581"/>
      <c r="O220" s="1581"/>
      <c r="P220" s="1581">
        <f t="shared" si="41"/>
        <v>2</v>
      </c>
      <c r="Q220" s="1056">
        <f>20000*1.07</f>
        <v>21400</v>
      </c>
      <c r="R220" s="1611">
        <f t="shared" si="42"/>
        <v>42800</v>
      </c>
      <c r="S220" s="1611">
        <f t="shared" si="43"/>
        <v>1217.0616113744074</v>
      </c>
      <c r="T220" s="1611">
        <f t="shared" si="40"/>
        <v>41582.938388625589</v>
      </c>
      <c r="U220" s="1580" t="s">
        <v>3248</v>
      </c>
      <c r="W220" s="1580">
        <f>2+2</f>
        <v>4</v>
      </c>
    </row>
    <row r="221" spans="1:23" ht="51">
      <c r="A221" s="1581">
        <v>337</v>
      </c>
      <c r="B221" s="1579" t="s">
        <v>1791</v>
      </c>
      <c r="C221" s="1579" t="s">
        <v>1792</v>
      </c>
      <c r="D221" s="1625" t="s">
        <v>1022</v>
      </c>
      <c r="E221" s="1662">
        <v>13674.8</v>
      </c>
      <c r="F221" s="1581"/>
      <c r="G221" s="1581"/>
      <c r="H221" s="1581"/>
      <c r="I221" s="1609">
        <v>6</v>
      </c>
      <c r="J221" s="1609">
        <v>205</v>
      </c>
      <c r="K221" s="1581"/>
      <c r="L221" s="1535">
        <v>1</v>
      </c>
      <c r="M221" s="1535"/>
      <c r="N221" s="1581"/>
      <c r="O221" s="1581"/>
      <c r="P221" s="1581">
        <f t="shared" si="41"/>
        <v>1</v>
      </c>
      <c r="Q221" s="1581">
        <f>156180*1.07</f>
        <v>167112.6</v>
      </c>
      <c r="R221" s="1611">
        <f t="shared" si="42"/>
        <v>167112.6</v>
      </c>
      <c r="S221" s="1611">
        <f t="shared" si="43"/>
        <v>4752.0170616113746</v>
      </c>
      <c r="T221" s="1611">
        <f t="shared" si="40"/>
        <v>162360.58293838863</v>
      </c>
    </row>
    <row r="222" spans="1:23" ht="25.5">
      <c r="A222" s="1581">
        <v>336</v>
      </c>
      <c r="B222" s="1535" t="s">
        <v>1793</v>
      </c>
      <c r="C222" s="1579" t="s">
        <v>1794</v>
      </c>
      <c r="D222" s="1625" t="s">
        <v>1022</v>
      </c>
      <c r="E222" s="1662">
        <v>13674.8</v>
      </c>
      <c r="F222" s="1581"/>
      <c r="G222" s="1581"/>
      <c r="H222" s="1581"/>
      <c r="I222" s="1609">
        <v>6</v>
      </c>
      <c r="J222" s="1609">
        <v>205</v>
      </c>
      <c r="K222" s="1581"/>
      <c r="L222" s="1581">
        <v>36</v>
      </c>
      <c r="M222" s="1581"/>
      <c r="N222" s="1581"/>
      <c r="O222" s="1581"/>
      <c r="P222" s="1581">
        <f t="shared" si="41"/>
        <v>36</v>
      </c>
      <c r="Q222" s="1581">
        <f>23400*1.07</f>
        <v>25038</v>
      </c>
      <c r="R222" s="1611">
        <f t="shared" si="42"/>
        <v>901368</v>
      </c>
      <c r="S222" s="1611">
        <f t="shared" si="43"/>
        <v>25631.317535545022</v>
      </c>
      <c r="T222" s="1611">
        <f t="shared" si="40"/>
        <v>875736.68246445502</v>
      </c>
    </row>
    <row r="223" spans="1:23" ht="18.75" hidden="1" customHeight="1">
      <c r="A223" s="1581">
        <v>327</v>
      </c>
      <c r="B223" s="1062" t="s">
        <v>1804</v>
      </c>
      <c r="C223" s="1579" t="s">
        <v>1805</v>
      </c>
      <c r="D223" s="1625" t="s">
        <v>1022</v>
      </c>
      <c r="E223" s="1662">
        <v>13674.8</v>
      </c>
      <c r="F223" s="1581"/>
      <c r="G223" s="1581"/>
      <c r="H223" s="1581"/>
      <c r="I223" s="1609">
        <v>6</v>
      </c>
      <c r="J223" s="1609">
        <v>205</v>
      </c>
      <c r="K223" s="1581"/>
      <c r="L223" s="1581"/>
      <c r="M223" s="1581"/>
      <c r="N223" s="1581"/>
      <c r="O223" s="1581"/>
      <c r="P223" s="1581"/>
      <c r="Q223" s="1581"/>
      <c r="R223" s="1611">
        <f t="shared" si="42"/>
        <v>0</v>
      </c>
      <c r="S223" s="1611">
        <f t="shared" si="43"/>
        <v>0</v>
      </c>
      <c r="T223" s="1611">
        <f t="shared" si="40"/>
        <v>0</v>
      </c>
    </row>
    <row r="224" spans="1:23" ht="89.25">
      <c r="A224" s="1581"/>
      <c r="B224" s="1579" t="s">
        <v>1806</v>
      </c>
      <c r="C224" s="1579" t="s">
        <v>1807</v>
      </c>
      <c r="D224" s="1625" t="s">
        <v>1022</v>
      </c>
      <c r="E224" s="1662">
        <v>13674.8</v>
      </c>
      <c r="F224" s="1581"/>
      <c r="G224" s="1581"/>
      <c r="H224" s="1581"/>
      <c r="I224" s="1609">
        <v>6</v>
      </c>
      <c r="J224" s="1609">
        <v>205</v>
      </c>
      <c r="K224" s="1581"/>
      <c r="L224" s="1625">
        <v>91</v>
      </c>
      <c r="M224" s="1625"/>
      <c r="N224" s="1581"/>
      <c r="O224" s="1581"/>
      <c r="P224" s="1581">
        <f t="shared" ref="P224:P237" si="44">L224-O224</f>
        <v>91</v>
      </c>
      <c r="Q224" s="1581">
        <f>20500*1.07</f>
        <v>21935</v>
      </c>
      <c r="R224" s="1611">
        <f t="shared" si="42"/>
        <v>1996085</v>
      </c>
      <c r="S224" s="1611">
        <f t="shared" si="43"/>
        <v>56760.710900473932</v>
      </c>
      <c r="T224" s="1611">
        <f t="shared" si="40"/>
        <v>1939324.2890995261</v>
      </c>
    </row>
    <row r="225" spans="1:22">
      <c r="A225" s="1609">
        <v>164</v>
      </c>
      <c r="B225" s="1618" t="s">
        <v>1812</v>
      </c>
      <c r="C225" s="1579" t="s">
        <v>1813</v>
      </c>
      <c r="D225" s="1618" t="s">
        <v>1022</v>
      </c>
      <c r="E225" s="1662">
        <v>13674.8</v>
      </c>
      <c r="F225" s="1581"/>
      <c r="G225" s="1581"/>
      <c r="H225" s="1581"/>
      <c r="I225" s="1609">
        <v>6</v>
      </c>
      <c r="J225" s="1609">
        <v>205</v>
      </c>
      <c r="K225" s="1581"/>
      <c r="L225" s="1618">
        <v>2</v>
      </c>
      <c r="M225" s="1618"/>
      <c r="N225" s="1581"/>
      <c r="O225" s="1581"/>
      <c r="P225" s="1581">
        <f t="shared" si="44"/>
        <v>2</v>
      </c>
      <c r="Q225" s="1581">
        <f>18000*1.07</f>
        <v>19260</v>
      </c>
      <c r="R225" s="1611">
        <f t="shared" si="42"/>
        <v>38520</v>
      </c>
      <c r="S225" s="1611">
        <f t="shared" si="43"/>
        <v>1095.3554502369668</v>
      </c>
      <c r="T225" s="1611">
        <f t="shared" si="40"/>
        <v>37424.644549763034</v>
      </c>
    </row>
    <row r="226" spans="1:22">
      <c r="A226" s="1609">
        <v>163</v>
      </c>
      <c r="B226" s="1618" t="s">
        <v>1812</v>
      </c>
      <c r="C226" s="1579" t="s">
        <v>1814</v>
      </c>
      <c r="D226" s="1618" t="s">
        <v>1022</v>
      </c>
      <c r="E226" s="1662">
        <v>13674.8</v>
      </c>
      <c r="F226" s="1581"/>
      <c r="G226" s="1581"/>
      <c r="H226" s="1581"/>
      <c r="I226" s="1609">
        <v>6</v>
      </c>
      <c r="J226" s="1609">
        <v>205</v>
      </c>
      <c r="K226" s="1581"/>
      <c r="L226" s="1618">
        <v>1</v>
      </c>
      <c r="M226" s="1618"/>
      <c r="N226" s="1581"/>
      <c r="O226" s="1581"/>
      <c r="P226" s="1581">
        <f t="shared" si="44"/>
        <v>1</v>
      </c>
      <c r="Q226" s="1581">
        <f>25000*1.07</f>
        <v>26750</v>
      </c>
      <c r="R226" s="1611">
        <f t="shared" si="42"/>
        <v>26750</v>
      </c>
      <c r="S226" s="1611">
        <f t="shared" si="43"/>
        <v>760.66350710900474</v>
      </c>
      <c r="T226" s="1611">
        <f t="shared" si="40"/>
        <v>25989.336492890994</v>
      </c>
    </row>
    <row r="227" spans="1:22" ht="38.25">
      <c r="A227" s="1609">
        <v>110</v>
      </c>
      <c r="B227" s="1619" t="s">
        <v>1815</v>
      </c>
      <c r="C227" s="917" t="s">
        <v>1816</v>
      </c>
      <c r="D227" s="1619" t="s">
        <v>1268</v>
      </c>
      <c r="E227" s="1662">
        <v>13674.8</v>
      </c>
      <c r="F227" s="1609"/>
      <c r="G227" s="1609"/>
      <c r="H227" s="1609"/>
      <c r="I227" s="1609">
        <v>6</v>
      </c>
      <c r="J227" s="1609">
        <v>205</v>
      </c>
      <c r="K227" s="1609"/>
      <c r="L227" s="1619">
        <v>2</v>
      </c>
      <c r="M227" s="1619"/>
      <c r="N227" s="1609"/>
      <c r="O227" s="1609"/>
      <c r="P227" s="1581">
        <f t="shared" si="44"/>
        <v>2</v>
      </c>
      <c r="Q227" s="1609">
        <f>27000*1.07</f>
        <v>28890</v>
      </c>
      <c r="R227" s="1611">
        <f t="shared" si="42"/>
        <v>57780</v>
      </c>
      <c r="S227" s="1611">
        <f t="shared" si="43"/>
        <v>1643.0331753554501</v>
      </c>
      <c r="T227" s="1611">
        <f t="shared" si="40"/>
        <v>56136.966824644551</v>
      </c>
    </row>
    <row r="228" spans="1:22">
      <c r="A228" s="1609">
        <v>134</v>
      </c>
      <c r="B228" s="1618" t="s">
        <v>1817</v>
      </c>
      <c r="C228" s="1579" t="s">
        <v>1818</v>
      </c>
      <c r="D228" s="1618" t="s">
        <v>1268</v>
      </c>
      <c r="E228" s="1662">
        <v>13674.8</v>
      </c>
      <c r="F228" s="1581"/>
      <c r="G228" s="1581"/>
      <c r="H228" s="1581"/>
      <c r="I228" s="1609">
        <v>6</v>
      </c>
      <c r="J228" s="1609">
        <v>205</v>
      </c>
      <c r="K228" s="1581"/>
      <c r="L228" s="1618">
        <v>1</v>
      </c>
      <c r="M228" s="1618"/>
      <c r="N228" s="1581"/>
      <c r="O228" s="1581"/>
      <c r="P228" s="1581">
        <f t="shared" si="44"/>
        <v>1</v>
      </c>
      <c r="Q228" s="1581">
        <f>25000*1.07</f>
        <v>26750</v>
      </c>
      <c r="R228" s="1611">
        <f t="shared" si="42"/>
        <v>26750</v>
      </c>
      <c r="S228" s="1611">
        <f t="shared" si="43"/>
        <v>760.66350710900474</v>
      </c>
      <c r="T228" s="1611">
        <f t="shared" si="40"/>
        <v>25989.336492890994</v>
      </c>
    </row>
    <row r="229" spans="1:22">
      <c r="A229" s="1609">
        <v>114</v>
      </c>
      <c r="B229" s="1619" t="s">
        <v>1819</v>
      </c>
      <c r="C229" s="1614" t="s">
        <v>3249</v>
      </c>
      <c r="D229" s="1619" t="s">
        <v>1268</v>
      </c>
      <c r="E229" s="1662">
        <v>13674.8</v>
      </c>
      <c r="F229" s="1609"/>
      <c r="G229" s="1609"/>
      <c r="H229" s="1609"/>
      <c r="I229" s="1609">
        <v>6</v>
      </c>
      <c r="J229" s="1609">
        <v>205</v>
      </c>
      <c r="K229" s="1609"/>
      <c r="L229" s="1619">
        <v>1</v>
      </c>
      <c r="M229" s="1619"/>
      <c r="N229" s="1609"/>
      <c r="O229" s="1609"/>
      <c r="P229" s="1581">
        <f t="shared" si="44"/>
        <v>1</v>
      </c>
      <c r="Q229" s="1609">
        <f>20000*1.07</f>
        <v>21400</v>
      </c>
      <c r="R229" s="1611">
        <f t="shared" si="42"/>
        <v>21400</v>
      </c>
      <c r="S229" s="1611">
        <f t="shared" si="43"/>
        <v>608.53080568720372</v>
      </c>
      <c r="T229" s="1611">
        <f t="shared" si="40"/>
        <v>20791.469194312795</v>
      </c>
    </row>
    <row r="230" spans="1:22">
      <c r="A230" s="1609">
        <v>166</v>
      </c>
      <c r="B230" s="1618" t="s">
        <v>1821</v>
      </c>
      <c r="C230" s="1621" t="s">
        <v>1822</v>
      </c>
      <c r="D230" s="1618" t="s">
        <v>1022</v>
      </c>
      <c r="E230" s="1662">
        <v>13674.8</v>
      </c>
      <c r="F230" s="1581"/>
      <c r="G230" s="1581"/>
      <c r="H230" s="1581"/>
      <c r="I230" s="1609">
        <v>6</v>
      </c>
      <c r="J230" s="1609">
        <v>205</v>
      </c>
      <c r="K230" s="1581"/>
      <c r="L230" s="1618">
        <v>1</v>
      </c>
      <c r="M230" s="1618"/>
      <c r="N230" s="1581"/>
      <c r="O230" s="1581"/>
      <c r="P230" s="1581">
        <f t="shared" si="44"/>
        <v>1</v>
      </c>
      <c r="Q230" s="1581">
        <f>25000*1.07</f>
        <v>26750</v>
      </c>
      <c r="R230" s="1611">
        <f t="shared" si="42"/>
        <v>26750</v>
      </c>
      <c r="S230" s="1611">
        <f t="shared" si="43"/>
        <v>760.66350710900474</v>
      </c>
      <c r="T230" s="1611">
        <f t="shared" si="40"/>
        <v>25989.336492890994</v>
      </c>
    </row>
    <row r="231" spans="1:22">
      <c r="A231" s="1609">
        <v>112</v>
      </c>
      <c r="B231" s="1619" t="s">
        <v>1823</v>
      </c>
      <c r="C231" s="917" t="s">
        <v>1824</v>
      </c>
      <c r="D231" s="1619" t="s">
        <v>1022</v>
      </c>
      <c r="E231" s="1662">
        <v>13674.8</v>
      </c>
      <c r="F231" s="1609"/>
      <c r="G231" s="1609"/>
      <c r="H231" s="1609"/>
      <c r="I231" s="1609">
        <v>6</v>
      </c>
      <c r="J231" s="1609">
        <v>205</v>
      </c>
      <c r="K231" s="1609"/>
      <c r="L231" s="1619">
        <v>1</v>
      </c>
      <c r="M231" s="1619"/>
      <c r="N231" s="1609"/>
      <c r="O231" s="1609"/>
      <c r="P231" s="1581">
        <f t="shared" si="44"/>
        <v>1</v>
      </c>
      <c r="Q231" s="1609">
        <f>50000*1.07</f>
        <v>53500</v>
      </c>
      <c r="R231" s="1611">
        <f t="shared" si="42"/>
        <v>53500</v>
      </c>
      <c r="S231" s="1611">
        <f t="shared" si="43"/>
        <v>1521.3270142180095</v>
      </c>
      <c r="T231" s="1611">
        <f t="shared" si="40"/>
        <v>51978.672985781988</v>
      </c>
    </row>
    <row r="232" spans="1:22">
      <c r="A232" s="1609">
        <v>137</v>
      </c>
      <c r="B232" s="1618" t="s">
        <v>1825</v>
      </c>
      <c r="C232" s="1579"/>
      <c r="D232" s="1618" t="s">
        <v>1268</v>
      </c>
      <c r="E232" s="1662">
        <v>13674.8</v>
      </c>
      <c r="F232" s="1581"/>
      <c r="G232" s="1581"/>
      <c r="H232" s="1581"/>
      <c r="I232" s="1609">
        <v>6</v>
      </c>
      <c r="J232" s="1609">
        <v>205</v>
      </c>
      <c r="K232" s="1581"/>
      <c r="L232" s="1618">
        <v>2</v>
      </c>
      <c r="M232" s="1618"/>
      <c r="N232" s="1581"/>
      <c r="O232" s="1581"/>
      <c r="P232" s="1581">
        <f t="shared" si="44"/>
        <v>2</v>
      </c>
      <c r="Q232" s="1609">
        <f>50000*1.07</f>
        <v>53500</v>
      </c>
      <c r="R232" s="1611">
        <f t="shared" si="42"/>
        <v>107000</v>
      </c>
      <c r="S232" s="1611">
        <f t="shared" si="43"/>
        <v>3042.654028436019</v>
      </c>
      <c r="T232" s="1611">
        <f t="shared" si="40"/>
        <v>103957.34597156398</v>
      </c>
    </row>
    <row r="233" spans="1:22" ht="89.25">
      <c r="A233" s="1609">
        <v>113</v>
      </c>
      <c r="B233" s="1619" t="s">
        <v>1826</v>
      </c>
      <c r="C233" s="1579" t="s">
        <v>1827</v>
      </c>
      <c r="D233" s="1619" t="s">
        <v>1022</v>
      </c>
      <c r="E233" s="1662">
        <v>13674.8</v>
      </c>
      <c r="F233" s="1609"/>
      <c r="G233" s="1609"/>
      <c r="H233" s="1609"/>
      <c r="I233" s="1609">
        <v>6</v>
      </c>
      <c r="J233" s="1609">
        <v>205</v>
      </c>
      <c r="K233" s="1609"/>
      <c r="L233" s="1619">
        <v>1</v>
      </c>
      <c r="M233" s="1619"/>
      <c r="N233" s="1609"/>
      <c r="O233" s="1609"/>
      <c r="P233" s="1581">
        <f t="shared" si="44"/>
        <v>1</v>
      </c>
      <c r="Q233" s="1609">
        <f>25000*1.07</f>
        <v>26750</v>
      </c>
      <c r="R233" s="1611">
        <f t="shared" si="42"/>
        <v>26750</v>
      </c>
      <c r="S233" s="1611">
        <f t="shared" si="43"/>
        <v>760.66350710900474</v>
      </c>
      <c r="T233" s="1611">
        <f t="shared" si="40"/>
        <v>25989.336492890994</v>
      </c>
    </row>
    <row r="234" spans="1:22" ht="76.5">
      <c r="A234" s="1609">
        <v>111</v>
      </c>
      <c r="B234" s="1619" t="s">
        <v>1828</v>
      </c>
      <c r="C234" s="917" t="s">
        <v>1829</v>
      </c>
      <c r="D234" s="1619" t="s">
        <v>1268</v>
      </c>
      <c r="E234" s="1662">
        <v>13674.8</v>
      </c>
      <c r="F234" s="1609"/>
      <c r="G234" s="1609"/>
      <c r="H234" s="1609"/>
      <c r="I234" s="1609">
        <v>6</v>
      </c>
      <c r="J234" s="1609">
        <v>205</v>
      </c>
      <c r="K234" s="1609"/>
      <c r="L234" s="1619">
        <v>1</v>
      </c>
      <c r="M234" s="1619"/>
      <c r="N234" s="1609"/>
      <c r="O234" s="1609"/>
      <c r="P234" s="1581">
        <f t="shared" si="44"/>
        <v>1</v>
      </c>
      <c r="Q234" s="1609">
        <f>80000*1.07</f>
        <v>85600</v>
      </c>
      <c r="R234" s="1611">
        <f t="shared" si="42"/>
        <v>85600</v>
      </c>
      <c r="S234" s="1611">
        <f t="shared" si="43"/>
        <v>2434.1232227488149</v>
      </c>
      <c r="T234" s="1611">
        <f t="shared" si="40"/>
        <v>83165.876777251178</v>
      </c>
    </row>
    <row r="235" spans="1:22" ht="38.25">
      <c r="A235" s="1636"/>
      <c r="B235" s="917" t="s">
        <v>1830</v>
      </c>
      <c r="C235" s="917" t="s">
        <v>1831</v>
      </c>
      <c r="D235" s="1619" t="s">
        <v>1268</v>
      </c>
      <c r="E235" s="1662">
        <v>13674.8</v>
      </c>
      <c r="F235" s="1609"/>
      <c r="G235" s="1609"/>
      <c r="H235" s="1609"/>
      <c r="I235" s="1609">
        <v>6</v>
      </c>
      <c r="J235" s="1609">
        <v>205</v>
      </c>
      <c r="K235" s="1609"/>
      <c r="L235" s="1579">
        <v>33</v>
      </c>
      <c r="M235" s="1579">
        <v>99</v>
      </c>
      <c r="N235" s="1609"/>
      <c r="O235" s="1609"/>
      <c r="P235" s="1581">
        <f t="shared" si="44"/>
        <v>33</v>
      </c>
      <c r="Q235" s="1535">
        <f>4500*1.07</f>
        <v>4815</v>
      </c>
      <c r="R235" s="1611">
        <f t="shared" si="42"/>
        <v>158895</v>
      </c>
      <c r="S235" s="1611">
        <f t="shared" si="43"/>
        <v>4518.341232227488</v>
      </c>
      <c r="T235" s="1611">
        <f t="shared" si="40"/>
        <v>154376.65876777252</v>
      </c>
      <c r="U235" s="357" t="s">
        <v>3250</v>
      </c>
      <c r="V235" s="1580">
        <f>33*3</f>
        <v>99</v>
      </c>
    </row>
    <row r="236" spans="1:22" ht="25.5">
      <c r="A236" s="1636"/>
      <c r="B236" s="917" t="s">
        <v>1832</v>
      </c>
      <c r="C236" s="917" t="s">
        <v>1833</v>
      </c>
      <c r="D236" s="1619" t="s">
        <v>1268</v>
      </c>
      <c r="E236" s="1662">
        <v>13674.8</v>
      </c>
      <c r="F236" s="1609"/>
      <c r="G236" s="1609"/>
      <c r="H236" s="1609"/>
      <c r="I236" s="1609">
        <v>6</v>
      </c>
      <c r="J236" s="1609">
        <v>205</v>
      </c>
      <c r="K236" s="1609"/>
      <c r="L236" s="1579">
        <v>33</v>
      </c>
      <c r="M236" s="1579">
        <v>99</v>
      </c>
      <c r="N236" s="1609"/>
      <c r="O236" s="1609"/>
      <c r="P236" s="1581">
        <f t="shared" si="44"/>
        <v>33</v>
      </c>
      <c r="Q236" s="1535">
        <f>900*1.07</f>
        <v>963</v>
      </c>
      <c r="R236" s="1611">
        <f t="shared" si="42"/>
        <v>31779</v>
      </c>
      <c r="S236" s="1611">
        <f t="shared" si="43"/>
        <v>903.66824644549763</v>
      </c>
      <c r="T236" s="1611">
        <f t="shared" si="40"/>
        <v>30875.331753554503</v>
      </c>
      <c r="U236" s="357" t="s">
        <v>3250</v>
      </c>
      <c r="V236" s="1580">
        <f>33*3</f>
        <v>99</v>
      </c>
    </row>
    <row r="237" spans="1:22" ht="25.5">
      <c r="A237" s="1636"/>
      <c r="B237" s="917" t="s">
        <v>1834</v>
      </c>
      <c r="C237" s="917" t="s">
        <v>1835</v>
      </c>
      <c r="D237" s="1619" t="s">
        <v>1268</v>
      </c>
      <c r="E237" s="1662">
        <v>13674.8</v>
      </c>
      <c r="F237" s="1609"/>
      <c r="G237" s="1609"/>
      <c r="H237" s="1609"/>
      <c r="I237" s="1609">
        <v>6</v>
      </c>
      <c r="J237" s="1609">
        <v>205</v>
      </c>
      <c r="K237" s="1609"/>
      <c r="L237" s="1579">
        <v>8</v>
      </c>
      <c r="M237" s="1579">
        <v>9</v>
      </c>
      <c r="N237" s="1609"/>
      <c r="O237" s="1609"/>
      <c r="P237" s="1581">
        <f t="shared" si="44"/>
        <v>8</v>
      </c>
      <c r="Q237" s="1535">
        <f>4800*1.07</f>
        <v>5136</v>
      </c>
      <c r="R237" s="1611">
        <f t="shared" si="42"/>
        <v>41088</v>
      </c>
      <c r="S237" s="1611">
        <f t="shared" si="43"/>
        <v>1168.3791469194312</v>
      </c>
      <c r="T237" s="1611">
        <f t="shared" si="40"/>
        <v>39919.620853080567</v>
      </c>
      <c r="U237" s="357" t="s">
        <v>3251</v>
      </c>
      <c r="V237" s="1580">
        <f>2+2+1+1+1+2</f>
        <v>9</v>
      </c>
    </row>
    <row r="238" spans="1:22">
      <c r="A238" s="1636"/>
      <c r="B238" s="1638"/>
      <c r="C238" s="924"/>
      <c r="D238" s="1638"/>
      <c r="F238" s="1636"/>
      <c r="G238" s="1636"/>
      <c r="H238" s="1636"/>
      <c r="I238" s="1636"/>
      <c r="J238" s="1636"/>
      <c r="K238" s="1636"/>
      <c r="L238" s="1638"/>
      <c r="M238" s="1638"/>
      <c r="N238" s="1636"/>
      <c r="O238" s="1636"/>
      <c r="Q238" s="1636"/>
      <c r="R238" s="1639"/>
      <c r="S238" s="1639"/>
      <c r="T238" s="1639"/>
    </row>
    <row r="239" spans="1:22">
      <c r="B239" s="524" t="s">
        <v>330</v>
      </c>
      <c r="C239" s="120"/>
      <c r="D239" s="120"/>
      <c r="E239" s="1644"/>
      <c r="G239" s="1644" t="s">
        <v>369</v>
      </c>
    </row>
    <row r="240" spans="1:22">
      <c r="B240" s="524"/>
      <c r="C240" s="120"/>
      <c r="D240" s="120"/>
      <c r="E240" s="1644"/>
      <c r="G240" s="1644"/>
    </row>
    <row r="241" spans="2:7">
      <c r="B241" s="524" t="s">
        <v>547</v>
      </c>
      <c r="C241" s="524"/>
      <c r="D241" s="120"/>
      <c r="E241" s="1641"/>
      <c r="G241" s="1641" t="s">
        <v>374</v>
      </c>
    </row>
    <row r="242" spans="2:7">
      <c r="B242" s="524" t="s">
        <v>548</v>
      </c>
      <c r="C242" s="524"/>
      <c r="D242" s="120"/>
      <c r="E242" s="1641"/>
      <c r="G242" s="1641"/>
    </row>
    <row r="243" spans="2:7">
      <c r="B243" s="524"/>
      <c r="C243" s="524"/>
      <c r="D243" s="120"/>
      <c r="E243" s="1641"/>
      <c r="G243" s="1650"/>
    </row>
    <row r="244" spans="2:7">
      <c r="B244" s="524" t="s">
        <v>375</v>
      </c>
      <c r="C244" s="1650"/>
      <c r="D244" s="1650"/>
      <c r="E244" s="1650"/>
      <c r="G244" s="1641" t="s">
        <v>376</v>
      </c>
    </row>
  </sheetData>
  <sheetProtection formatColumns="0" insertRows="0" deleteRows="0"/>
  <mergeCells count="19">
    <mergeCell ref="E12:E24"/>
    <mergeCell ref="U7:U10"/>
    <mergeCell ref="V7:V10"/>
    <mergeCell ref="W7:W10"/>
    <mergeCell ref="Y7:Y10"/>
    <mergeCell ref="F7:G7"/>
    <mergeCell ref="Z7:Z10"/>
    <mergeCell ref="AA7:AA10"/>
    <mergeCell ref="H7:H8"/>
    <mergeCell ref="I7:K7"/>
    <mergeCell ref="L7:P7"/>
    <mergeCell ref="Q7:Q8"/>
    <mergeCell ref="R7:R8"/>
    <mergeCell ref="S7:T7"/>
    <mergeCell ref="A7:A8"/>
    <mergeCell ref="B7:B8"/>
    <mergeCell ref="C7:C8"/>
    <mergeCell ref="D7:D8"/>
    <mergeCell ref="E7:E8"/>
  </mergeCells>
  <dataValidations count="1">
    <dataValidation allowBlank="1" showInputMessage="1" showErrorMessage="1" prompt="Укажите &quot;Краткую характеристику ТРУ&quot;" sqref="C211" xr:uid="{00000000-0002-0000-4600-000000000000}"/>
  </dataValidations>
  <pageMargins left="0" right="0" top="0" bottom="0" header="0" footer="0"/>
  <pageSetup paperSize="9" scale="48" fitToHeight="0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tabColor theme="0" tint="-0.249977111117893"/>
    <pageSetUpPr fitToPage="1"/>
  </sheetPr>
  <dimension ref="A1:AL23"/>
  <sheetViews>
    <sheetView workbookViewId="0">
      <selection activeCell="T9" sqref="T9"/>
    </sheetView>
  </sheetViews>
  <sheetFormatPr defaultColWidth="9.140625" defaultRowHeight="12"/>
  <cols>
    <col min="1" max="1" width="5.5703125" style="1755" customWidth="1"/>
    <col min="2" max="2" width="26" style="1755" customWidth="1"/>
    <col min="3" max="3" width="38.85546875" style="1764" customWidth="1"/>
    <col min="4" max="4" width="8.28515625" style="1755" customWidth="1"/>
    <col min="5" max="5" width="8.5703125" style="1755" customWidth="1"/>
    <col min="6" max="6" width="8.42578125" style="1755" customWidth="1"/>
    <col min="7" max="7" width="7.5703125" style="1755" customWidth="1"/>
    <col min="8" max="8" width="10.42578125" style="1755" customWidth="1"/>
    <col min="9" max="9" width="5.7109375" style="1755" customWidth="1"/>
    <col min="10" max="10" width="5" style="1755" customWidth="1"/>
    <col min="11" max="11" width="8.7109375" style="1755" customWidth="1"/>
    <col min="12" max="12" width="9.42578125" style="1755" customWidth="1"/>
    <col min="13" max="13" width="9.5703125" style="1755" customWidth="1"/>
    <col min="14" max="14" width="12.140625" style="1755" customWidth="1"/>
    <col min="15" max="15" width="11" style="1755" customWidth="1"/>
    <col min="16" max="16" width="7.85546875" style="1755" customWidth="1"/>
    <col min="17" max="17" width="14.85546875" style="1755" customWidth="1"/>
    <col min="18" max="18" width="11.7109375" style="1755" customWidth="1"/>
    <col min="19" max="19" width="9.140625" style="1755" customWidth="1"/>
    <col min="20" max="20" width="11.42578125" style="1755" customWidth="1"/>
    <col min="21" max="22" width="11.140625" style="1755" customWidth="1"/>
    <col min="23" max="23" width="11.28515625" style="1755" customWidth="1"/>
    <col min="24" max="24" width="10" style="1755" customWidth="1"/>
    <col min="25" max="16384" width="9.140625" style="1755"/>
  </cols>
  <sheetData>
    <row r="1" spans="1:38">
      <c r="S1" s="1755" t="s">
        <v>267</v>
      </c>
      <c r="T1" s="1764" t="s">
        <v>596</v>
      </c>
    </row>
    <row r="2" spans="1:38" s="1784" customFormat="1">
      <c r="A2" s="1783" t="s">
        <v>3252</v>
      </c>
      <c r="C2" s="1785"/>
    </row>
    <row r="3" spans="1:38">
      <c r="A3" s="1778"/>
      <c r="C3" s="1755" t="s">
        <v>1189</v>
      </c>
    </row>
    <row r="4" spans="1:38" s="1784" customFormat="1">
      <c r="A4" s="1763" t="s">
        <v>2694</v>
      </c>
      <c r="C4" s="1785"/>
    </row>
    <row r="5" spans="1:38">
      <c r="A5" s="1755" t="s">
        <v>990</v>
      </c>
    </row>
    <row r="7" spans="1:38" ht="30" customHeight="1">
      <c r="A7" s="4094" t="s">
        <v>2</v>
      </c>
      <c r="B7" s="4094" t="s">
        <v>478</v>
      </c>
      <c r="C7" s="4094" t="s">
        <v>995</v>
      </c>
      <c r="D7" s="4094" t="s">
        <v>996</v>
      </c>
      <c r="E7" s="4094" t="s">
        <v>1191</v>
      </c>
      <c r="F7" s="4094" t="s">
        <v>255</v>
      </c>
      <c r="G7" s="4094"/>
      <c r="H7" s="4095" t="s">
        <v>1192</v>
      </c>
      <c r="I7" s="4081" t="s">
        <v>1193</v>
      </c>
      <c r="J7" s="4083"/>
      <c r="K7" s="4082"/>
      <c r="L7" s="4081" t="s">
        <v>922</v>
      </c>
      <c r="M7" s="4083"/>
      <c r="N7" s="4083"/>
      <c r="O7" s="4083"/>
      <c r="P7" s="4082"/>
      <c r="Q7" s="4094" t="s">
        <v>999</v>
      </c>
      <c r="R7" s="4094" t="s">
        <v>345</v>
      </c>
      <c r="S7" s="4081" t="s">
        <v>1001</v>
      </c>
      <c r="T7" s="4082"/>
      <c r="U7" s="4115"/>
      <c r="V7" s="4114"/>
      <c r="W7" s="4114"/>
      <c r="Y7" s="4114"/>
      <c r="Z7" s="4114"/>
      <c r="AA7" s="4117"/>
    </row>
    <row r="8" spans="1:38" ht="60">
      <c r="A8" s="4094"/>
      <c r="B8" s="4094"/>
      <c r="C8" s="4094"/>
      <c r="D8" s="4094"/>
      <c r="E8" s="4094"/>
      <c r="F8" s="1773" t="s">
        <v>7</v>
      </c>
      <c r="G8" s="1773" t="s">
        <v>8</v>
      </c>
      <c r="H8" s="4096"/>
      <c r="I8" s="1682" t="s">
        <v>7</v>
      </c>
      <c r="J8" s="1682" t="s">
        <v>8</v>
      </c>
      <c r="K8" s="1682" t="s">
        <v>1096</v>
      </c>
      <c r="L8" s="1682" t="s">
        <v>1099</v>
      </c>
      <c r="M8" s="1682" t="s">
        <v>1194</v>
      </c>
      <c r="N8" s="1682" t="s">
        <v>1011</v>
      </c>
      <c r="O8" s="1682" t="s">
        <v>1012</v>
      </c>
      <c r="P8" s="1682" t="s">
        <v>1013</v>
      </c>
      <c r="Q8" s="4094"/>
      <c r="R8" s="4094"/>
      <c r="S8" s="1684" t="s">
        <v>7</v>
      </c>
      <c r="T8" s="1684" t="s">
        <v>8</v>
      </c>
      <c r="U8" s="4115"/>
      <c r="V8" s="4114"/>
      <c r="W8" s="4114"/>
      <c r="Y8" s="4114"/>
      <c r="Z8" s="4114"/>
      <c r="AA8" s="4117"/>
      <c r="AB8" s="1685"/>
      <c r="AC8" s="1685"/>
      <c r="AD8" s="1685"/>
      <c r="AE8" s="1683"/>
      <c r="AF8" s="1685"/>
      <c r="AG8" s="1685"/>
      <c r="AH8" s="1685"/>
      <c r="AI8" s="1685"/>
      <c r="AJ8" s="1685"/>
      <c r="AK8" s="1685"/>
      <c r="AL8" s="1685"/>
    </row>
    <row r="9" spans="1:38">
      <c r="A9" s="1686"/>
      <c r="B9" s="1687" t="s">
        <v>1195</v>
      </c>
      <c r="C9" s="1688"/>
      <c r="D9" s="1686"/>
      <c r="E9" s="1689"/>
      <c r="F9" s="1689"/>
      <c r="G9" s="1689"/>
      <c r="H9" s="1689"/>
      <c r="I9" s="1689"/>
      <c r="J9" s="1689"/>
      <c r="K9" s="1689"/>
      <c r="L9" s="1689"/>
      <c r="M9" s="1689"/>
      <c r="N9" s="1689"/>
      <c r="O9" s="1689"/>
      <c r="P9" s="1689"/>
      <c r="Q9" s="1689"/>
      <c r="R9" s="1793"/>
      <c r="S9" s="1793">
        <f>SUM(S10:S16)</f>
        <v>0</v>
      </c>
      <c r="T9" s="1793"/>
      <c r="U9" s="4115"/>
      <c r="V9" s="4114"/>
      <c r="W9" s="4114"/>
      <c r="Y9" s="4114"/>
      <c r="Z9" s="4114"/>
      <c r="AA9" s="4117"/>
    </row>
    <row r="10" spans="1:38" ht="48">
      <c r="A10" s="1691">
        <v>1</v>
      </c>
      <c r="B10" s="1692" t="s">
        <v>1201</v>
      </c>
      <c r="C10" s="1693" t="s">
        <v>1202</v>
      </c>
      <c r="D10" s="1692" t="s">
        <v>1203</v>
      </c>
      <c r="E10" s="4120">
        <v>13942.8</v>
      </c>
      <c r="F10" s="4100"/>
      <c r="G10" s="4120">
        <v>13942.8</v>
      </c>
      <c r="H10" s="1691"/>
      <c r="I10" s="1691"/>
      <c r="J10" s="1691"/>
      <c r="K10" s="1691"/>
      <c r="L10" s="1787">
        <v>328</v>
      </c>
      <c r="M10" s="1787">
        <f>335</f>
        <v>335</v>
      </c>
      <c r="N10" s="1691"/>
      <c r="O10" s="1691"/>
      <c r="P10" s="1694">
        <f t="shared" ref="P10:P16" si="0">L10-O10</f>
        <v>328</v>
      </c>
      <c r="Q10" s="1695">
        <f>100*1.07</f>
        <v>107</v>
      </c>
      <c r="R10" s="1794">
        <f t="shared" ref="R10:R16" si="1">P10*Q10</f>
        <v>35096</v>
      </c>
      <c r="S10" s="1794"/>
      <c r="T10" s="1794">
        <f t="shared" ref="T10:T16" si="2">R10-S10</f>
        <v>35096</v>
      </c>
      <c r="U10" s="1816">
        <v>13674.8</v>
      </c>
      <c r="V10" s="1755">
        <v>500</v>
      </c>
      <c r="W10" s="1755">
        <f>ROUND(U10/V10*0.2*10/0.2,0)</f>
        <v>273</v>
      </c>
    </row>
    <row r="11" spans="1:38" ht="36">
      <c r="A11" s="1691">
        <v>2</v>
      </c>
      <c r="B11" s="1692" t="s">
        <v>1214</v>
      </c>
      <c r="C11" s="1693" t="s">
        <v>1215</v>
      </c>
      <c r="D11" s="1691" t="s">
        <v>1022</v>
      </c>
      <c r="E11" s="4107"/>
      <c r="F11" s="4101"/>
      <c r="G11" s="4107"/>
      <c r="H11" s="1691"/>
      <c r="I11" s="1691"/>
      <c r="J11" s="1691"/>
      <c r="K11" s="1691"/>
      <c r="L11" s="1789">
        <v>67</v>
      </c>
      <c r="M11" s="1817">
        <f>67</f>
        <v>67</v>
      </c>
      <c r="N11" s="1691"/>
      <c r="O11" s="1691"/>
      <c r="P11" s="1694">
        <f t="shared" si="0"/>
        <v>67</v>
      </c>
      <c r="Q11" s="1695">
        <f>3500*1.07</f>
        <v>3745</v>
      </c>
      <c r="R11" s="1794">
        <f t="shared" si="1"/>
        <v>250915</v>
      </c>
      <c r="S11" s="1794"/>
      <c r="T11" s="1794">
        <f t="shared" si="2"/>
        <v>250915</v>
      </c>
      <c r="U11" s="1755">
        <v>13674.8</v>
      </c>
      <c r="W11" s="1685" t="s">
        <v>2186</v>
      </c>
      <c r="AB11" s="1755">
        <f>U11/100</f>
        <v>136.74799999999999</v>
      </c>
      <c r="AC11" s="1755">
        <f>U11/50</f>
        <v>273.49599999999998</v>
      </c>
      <c r="AD11" s="1760">
        <f>(AB11+AC11)*10/300</f>
        <v>13.674799999999999</v>
      </c>
      <c r="AE11" s="1755">
        <v>824</v>
      </c>
      <c r="AF11" s="1755">
        <f>AE11/100</f>
        <v>8.24</v>
      </c>
      <c r="AG11" s="1755">
        <f>AE11/50</f>
        <v>16.48</v>
      </c>
      <c r="AH11" s="1755">
        <f>(AF11+AG11)*21*10</f>
        <v>5191.2</v>
      </c>
      <c r="AI11" s="1760">
        <f>AH11/300</f>
        <v>17.303999999999998</v>
      </c>
      <c r="AJ11" s="1755">
        <f>13674.8/500</f>
        <v>27.349599999999999</v>
      </c>
      <c r="AK11" s="1755">
        <f>AJ11*21*10</f>
        <v>5743.4159999999993</v>
      </c>
      <c r="AL11" s="1760">
        <f>AK11/300</f>
        <v>19.144719999999996</v>
      </c>
    </row>
    <row r="12" spans="1:38" ht="30" customHeight="1">
      <c r="A12" s="1691">
        <v>3</v>
      </c>
      <c r="B12" s="1692" t="s">
        <v>1223</v>
      </c>
      <c r="C12" s="1693" t="s">
        <v>1224</v>
      </c>
      <c r="D12" s="1691" t="s">
        <v>1022</v>
      </c>
      <c r="E12" s="4107"/>
      <c r="F12" s="4101"/>
      <c r="G12" s="4107"/>
      <c r="H12" s="1691"/>
      <c r="I12" s="1691">
        <v>486</v>
      </c>
      <c r="J12" s="1691"/>
      <c r="K12" s="1691"/>
      <c r="L12" s="1789">
        <v>49</v>
      </c>
      <c r="M12" s="1817">
        <f>Z12</f>
        <v>49</v>
      </c>
      <c r="N12" s="1691"/>
      <c r="O12" s="1691"/>
      <c r="P12" s="1694">
        <f t="shared" si="0"/>
        <v>49</v>
      </c>
      <c r="Q12" s="1695">
        <f>1500*1.07</f>
        <v>1605</v>
      </c>
      <c r="R12" s="1794">
        <f t="shared" si="1"/>
        <v>78645</v>
      </c>
      <c r="S12" s="1794"/>
      <c r="T12" s="1794">
        <f t="shared" si="2"/>
        <v>78645</v>
      </c>
      <c r="U12" s="1755">
        <v>13674.8</v>
      </c>
      <c r="W12" s="1755">
        <v>500</v>
      </c>
      <c r="Z12" s="1760">
        <f>ROUND(486*500/5000,0)</f>
        <v>49</v>
      </c>
    </row>
    <row r="13" spans="1:38" ht="36">
      <c r="A13" s="1691">
        <v>4</v>
      </c>
      <c r="B13" s="1692" t="s">
        <v>1239</v>
      </c>
      <c r="C13" s="1700" t="s">
        <v>1242</v>
      </c>
      <c r="D13" s="1691" t="s">
        <v>1022</v>
      </c>
      <c r="E13" s="4107"/>
      <c r="F13" s="4101"/>
      <c r="G13" s="4107"/>
      <c r="H13" s="1691"/>
      <c r="I13" s="1691"/>
      <c r="J13" s="1691"/>
      <c r="K13" s="1691"/>
      <c r="L13" s="1789">
        <v>3829</v>
      </c>
      <c r="M13" s="1789">
        <f>3865</f>
        <v>3865</v>
      </c>
      <c r="N13" s="1691"/>
      <c r="O13" s="1691"/>
      <c r="P13" s="1694">
        <f t="shared" si="0"/>
        <v>3829</v>
      </c>
      <c r="Q13" s="1695">
        <f>447*1.07</f>
        <v>478.29</v>
      </c>
      <c r="R13" s="1794">
        <f t="shared" si="1"/>
        <v>1831372.4100000001</v>
      </c>
      <c r="S13" s="1794"/>
      <c r="T13" s="1794">
        <f t="shared" si="2"/>
        <v>1831372.4100000001</v>
      </c>
      <c r="U13" s="1755">
        <v>13674.8</v>
      </c>
      <c r="V13" s="1755">
        <v>500</v>
      </c>
      <c r="W13" s="1755" t="s">
        <v>2196</v>
      </c>
      <c r="X13" s="1755" t="s">
        <v>3232</v>
      </c>
      <c r="Y13" s="1755">
        <f>U13/V13*0.35*21</f>
        <v>201.01955999999998</v>
      </c>
      <c r="Z13" s="1755">
        <f>Y13*10</f>
        <v>2010.1955999999998</v>
      </c>
      <c r="AA13" s="1755">
        <f>Z13/0.75</f>
        <v>2680.2607999999996</v>
      </c>
    </row>
    <row r="14" spans="1:38" ht="24">
      <c r="A14" s="1691">
        <v>5</v>
      </c>
      <c r="B14" s="1692" t="s">
        <v>1251</v>
      </c>
      <c r="C14" s="1700" t="s">
        <v>1252</v>
      </c>
      <c r="D14" s="1691" t="s">
        <v>1022</v>
      </c>
      <c r="E14" s="4107"/>
      <c r="F14" s="4101"/>
      <c r="G14" s="4107"/>
      <c r="H14" s="1691"/>
      <c r="I14" s="1691"/>
      <c r="J14" s="1691"/>
      <c r="K14" s="1691"/>
      <c r="L14" s="1789">
        <v>167</v>
      </c>
      <c r="M14" s="1817">
        <v>167</v>
      </c>
      <c r="N14" s="1691"/>
      <c r="O14" s="1691"/>
      <c r="P14" s="1694">
        <f t="shared" si="0"/>
        <v>167</v>
      </c>
      <c r="Q14" s="1695">
        <f>234*1.07</f>
        <v>250.38000000000002</v>
      </c>
      <c r="R14" s="1794">
        <f t="shared" si="1"/>
        <v>41813.460000000006</v>
      </c>
      <c r="S14" s="1794"/>
      <c r="T14" s="1794">
        <f t="shared" si="2"/>
        <v>41813.460000000006</v>
      </c>
      <c r="U14" s="1816">
        <v>13674.8</v>
      </c>
      <c r="V14" s="1755">
        <v>500</v>
      </c>
      <c r="W14" s="1755" t="s">
        <v>3173</v>
      </c>
      <c r="Y14" s="1755">
        <f>U14/V14*0.45</f>
        <v>12.307319999999999</v>
      </c>
      <c r="Z14" s="1755">
        <f>Y14*12</f>
        <v>147.68783999999999</v>
      </c>
      <c r="AA14" s="1755">
        <f>Z14/0.45</f>
        <v>328.1952</v>
      </c>
    </row>
    <row r="15" spans="1:38" ht="24">
      <c r="A15" s="1691">
        <v>6</v>
      </c>
      <c r="B15" s="1692" t="s">
        <v>1253</v>
      </c>
      <c r="C15" s="1700" t="s">
        <v>1254</v>
      </c>
      <c r="D15" s="1691" t="s">
        <v>1022</v>
      </c>
      <c r="E15" s="4107"/>
      <c r="F15" s="4101"/>
      <c r="G15" s="4107"/>
      <c r="H15" s="1691"/>
      <c r="I15" s="1691"/>
      <c r="J15" s="1691"/>
      <c r="K15" s="1691"/>
      <c r="L15" s="1789">
        <v>84</v>
      </c>
      <c r="M15" s="1789">
        <v>84</v>
      </c>
      <c r="N15" s="1691"/>
      <c r="O15" s="1691"/>
      <c r="P15" s="1694">
        <f t="shared" si="0"/>
        <v>84</v>
      </c>
      <c r="Q15" s="1695">
        <f>554*1.07</f>
        <v>592.78000000000009</v>
      </c>
      <c r="R15" s="1794">
        <f t="shared" si="1"/>
        <v>49793.520000000004</v>
      </c>
      <c r="S15" s="1794"/>
      <c r="T15" s="1794">
        <f t="shared" si="2"/>
        <v>49793.520000000004</v>
      </c>
    </row>
    <row r="16" spans="1:38" ht="29.25" customHeight="1">
      <c r="A16" s="1691">
        <v>7</v>
      </c>
      <c r="B16" s="1692" t="s">
        <v>1255</v>
      </c>
      <c r="C16" s="1700" t="s">
        <v>1256</v>
      </c>
      <c r="D16" s="1691" t="s">
        <v>1022</v>
      </c>
      <c r="E16" s="4108"/>
      <c r="F16" s="4102"/>
      <c r="G16" s="4108"/>
      <c r="H16" s="1691"/>
      <c r="I16" s="1691"/>
      <c r="J16" s="1691"/>
      <c r="K16" s="1691"/>
      <c r="L16" s="1789">
        <v>328</v>
      </c>
      <c r="M16" s="1817">
        <f>335</f>
        <v>335</v>
      </c>
      <c r="N16" s="1691"/>
      <c r="O16" s="1691"/>
      <c r="P16" s="1694">
        <f t="shared" si="0"/>
        <v>328</v>
      </c>
      <c r="Q16" s="1695">
        <f>628*1.07</f>
        <v>671.96</v>
      </c>
      <c r="R16" s="1794">
        <f t="shared" si="1"/>
        <v>220402.88</v>
      </c>
      <c r="S16" s="1794"/>
      <c r="T16" s="1794">
        <f t="shared" si="2"/>
        <v>220402.88</v>
      </c>
      <c r="U16" s="1816">
        <v>13674.8</v>
      </c>
      <c r="V16" s="1755">
        <v>500</v>
      </c>
      <c r="W16" s="1755" t="s">
        <v>2199</v>
      </c>
      <c r="Y16" s="1755">
        <f>U16/V16*0.5</f>
        <v>13.674799999999999</v>
      </c>
      <c r="Z16" s="1755">
        <f>Y16*12</f>
        <v>164.0976</v>
      </c>
      <c r="AA16" s="1755">
        <f>Z16/0.5</f>
        <v>328.1952</v>
      </c>
    </row>
    <row r="17" spans="1:20">
      <c r="A17" s="1784"/>
      <c r="B17" s="1777"/>
      <c r="C17" s="1785"/>
      <c r="D17" s="1777"/>
      <c r="F17" s="1784"/>
      <c r="G17" s="1784"/>
      <c r="H17" s="1784"/>
      <c r="I17" s="1784"/>
      <c r="J17" s="1784"/>
      <c r="K17" s="1784"/>
      <c r="L17" s="1777"/>
      <c r="M17" s="1777"/>
      <c r="N17" s="1784"/>
      <c r="O17" s="1784"/>
      <c r="Q17" s="1784"/>
      <c r="R17" s="1788"/>
      <c r="S17" s="1788"/>
      <c r="T17" s="1788"/>
    </row>
    <row r="18" spans="1:20" s="2135" customFormat="1" ht="12.75">
      <c r="A18" s="2142"/>
      <c r="B18" s="2097" t="s">
        <v>368</v>
      </c>
      <c r="C18" s="2042"/>
      <c r="D18" s="2098"/>
      <c r="E18" s="2099"/>
      <c r="F18" s="2048"/>
      <c r="G18" s="2041"/>
    </row>
    <row r="19" spans="1:20" s="2135" customFormat="1" ht="12.75">
      <c r="A19" s="2142"/>
      <c r="B19" s="2097" t="s">
        <v>370</v>
      </c>
      <c r="C19" s="2042"/>
      <c r="D19" s="2098"/>
      <c r="E19" s="2099"/>
      <c r="F19" s="2048"/>
      <c r="G19" s="2041" t="s">
        <v>371</v>
      </c>
    </row>
    <row r="20" spans="1:20" s="2135" customFormat="1" ht="12.75">
      <c r="A20" s="2142"/>
      <c r="B20" s="2097"/>
      <c r="C20" s="2042"/>
      <c r="D20" s="2098"/>
      <c r="E20" s="2098"/>
      <c r="F20" s="2048"/>
      <c r="G20" s="2043"/>
    </row>
    <row r="21" spans="1:20" s="2135" customFormat="1" ht="12.75">
      <c r="A21" s="2142"/>
      <c r="B21" s="2097" t="s">
        <v>372</v>
      </c>
      <c r="C21" s="2042"/>
      <c r="D21" s="2098"/>
      <c r="E21" s="2098"/>
      <c r="F21" s="2048"/>
      <c r="G21" s="2042" t="s">
        <v>373</v>
      </c>
    </row>
    <row r="22" spans="1:20" s="2135" customFormat="1" ht="12.75">
      <c r="A22" s="2142"/>
      <c r="B22" s="2097"/>
      <c r="C22" s="2042"/>
      <c r="D22" s="2098"/>
      <c r="E22" s="2098"/>
      <c r="F22" s="2048"/>
      <c r="G22" s="2100"/>
    </row>
    <row r="23" spans="1:20" s="2135" customFormat="1" ht="12.75">
      <c r="A23" s="2142"/>
      <c r="B23" s="2097" t="s">
        <v>375</v>
      </c>
      <c r="C23" s="2100"/>
      <c r="D23" s="2101"/>
      <c r="E23" s="2101"/>
      <c r="F23" s="2048"/>
      <c r="G23" s="2042" t="s">
        <v>376</v>
      </c>
    </row>
  </sheetData>
  <sheetProtection formatColumns="0" insertRows="0" deleteRows="0"/>
  <mergeCells count="21">
    <mergeCell ref="A7:A8"/>
    <mergeCell ref="B7:B8"/>
    <mergeCell ref="C7:C8"/>
    <mergeCell ref="D7:D8"/>
    <mergeCell ref="E7:E8"/>
    <mergeCell ref="AA7:AA9"/>
    <mergeCell ref="H7:H8"/>
    <mergeCell ref="I7:K7"/>
    <mergeCell ref="L7:P7"/>
    <mergeCell ref="Q7:Q8"/>
    <mergeCell ref="R7:R8"/>
    <mergeCell ref="S7:T7"/>
    <mergeCell ref="Z7:Z9"/>
    <mergeCell ref="E10:E16"/>
    <mergeCell ref="U7:U9"/>
    <mergeCell ref="V7:V9"/>
    <mergeCell ref="W7:W9"/>
    <mergeCell ref="Y7:Y9"/>
    <mergeCell ref="G10:G16"/>
    <mergeCell ref="F10:F16"/>
    <mergeCell ref="F7:G7"/>
  </mergeCells>
  <pageMargins left="0" right="0" top="0" bottom="0" header="0" footer="0"/>
  <pageSetup paperSize="9" scale="62" fitToHeight="0" orientation="landscape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tabColor rgb="FFFF0000"/>
    <pageSetUpPr fitToPage="1"/>
  </sheetPr>
  <dimension ref="A1:AM349"/>
  <sheetViews>
    <sheetView topLeftCell="L289" zoomScale="106" zoomScaleNormal="106" workbookViewId="0">
      <selection activeCell="T321" sqref="T321"/>
    </sheetView>
  </sheetViews>
  <sheetFormatPr defaultColWidth="9.140625" defaultRowHeight="12.75"/>
  <cols>
    <col min="1" max="1" width="5.5703125" style="1578" customWidth="1"/>
    <col min="2" max="2" width="26" style="1578" customWidth="1"/>
    <col min="3" max="3" width="38.85546875" style="364" customWidth="1"/>
    <col min="4" max="4" width="8.28515625" style="1578" customWidth="1"/>
    <col min="5" max="5" width="10.42578125" style="1578" customWidth="1"/>
    <col min="6" max="6" width="6.140625" style="1578" customWidth="1"/>
    <col min="7" max="7" width="7.5703125" style="1578" customWidth="1"/>
    <col min="8" max="8" width="13.7109375" style="1578" customWidth="1"/>
    <col min="9" max="9" width="9.140625" style="1578" customWidth="1"/>
    <col min="10" max="10" width="9.85546875" style="1578" customWidth="1"/>
    <col min="11" max="11" width="13.7109375" style="1578" customWidth="1"/>
    <col min="12" max="12" width="16" style="1578" customWidth="1"/>
    <col min="13" max="13" width="14.28515625" style="1578" customWidth="1"/>
    <col min="14" max="14" width="15.140625" style="1578" customWidth="1"/>
    <col min="15" max="15" width="13" style="1578" customWidth="1"/>
    <col min="16" max="16" width="10.42578125" style="1578" customWidth="1"/>
    <col min="17" max="17" width="14.85546875" style="1578" customWidth="1"/>
    <col min="18" max="20" width="21" style="1578" customWidth="1"/>
    <col min="21" max="21" width="9.5703125" style="1578" customWidth="1"/>
    <col min="22" max="22" width="11.42578125" style="1578" customWidth="1"/>
    <col min="23" max="23" width="16.140625" style="1578" customWidth="1"/>
    <col min="24" max="24" width="9.140625" style="1578"/>
    <col min="25" max="25" width="9.5703125" style="1578" bestFit="1" customWidth="1"/>
    <col min="26" max="32" width="9.140625" style="1578"/>
    <col min="33" max="33" width="10" style="1578" customWidth="1"/>
    <col min="34" max="34" width="10.140625" style="1578" customWidth="1"/>
    <col min="35" max="16384" width="9.140625" style="1578"/>
  </cols>
  <sheetData>
    <row r="1" spans="1:39">
      <c r="S1" s="916" t="s">
        <v>267</v>
      </c>
      <c r="T1" s="361" t="s">
        <v>596</v>
      </c>
    </row>
    <row r="2" spans="1:39" s="1596" customFormat="1">
      <c r="A2" s="1595" t="s">
        <v>1188</v>
      </c>
      <c r="C2" s="1597"/>
    </row>
    <row r="3" spans="1:39">
      <c r="A3" s="118"/>
      <c r="D3" s="1578" t="s">
        <v>1189</v>
      </c>
    </row>
    <row r="4" spans="1:39" s="1596" customFormat="1">
      <c r="A4" s="1598" t="s">
        <v>1190</v>
      </c>
      <c r="C4" s="928"/>
      <c r="D4" s="1599"/>
      <c r="E4" s="1599"/>
    </row>
    <row r="5" spans="1:39">
      <c r="A5" s="1578" t="s">
        <v>990</v>
      </c>
      <c r="C5" s="361"/>
      <c r="D5" s="1600"/>
      <c r="E5" s="1600"/>
    </row>
    <row r="7" spans="1:39" ht="30" customHeight="1">
      <c r="A7" s="4094" t="s">
        <v>2</v>
      </c>
      <c r="B7" s="4094" t="s">
        <v>478</v>
      </c>
      <c r="C7" s="4094" t="s">
        <v>995</v>
      </c>
      <c r="D7" s="4094" t="s">
        <v>996</v>
      </c>
      <c r="E7" s="4094" t="s">
        <v>1191</v>
      </c>
      <c r="F7" s="4094" t="s">
        <v>255</v>
      </c>
      <c r="G7" s="4094"/>
      <c r="H7" s="4095" t="s">
        <v>1192</v>
      </c>
      <c r="I7" s="4081" t="s">
        <v>1193</v>
      </c>
      <c r="J7" s="4083"/>
      <c r="K7" s="4082"/>
      <c r="L7" s="4081" t="s">
        <v>922</v>
      </c>
      <c r="M7" s="4083"/>
      <c r="N7" s="4083"/>
      <c r="O7" s="4083"/>
      <c r="P7" s="4082"/>
      <c r="Q7" s="4094" t="s">
        <v>999</v>
      </c>
      <c r="R7" s="4094" t="s">
        <v>345</v>
      </c>
      <c r="S7" s="4081" t="s">
        <v>1001</v>
      </c>
      <c r="T7" s="4082"/>
      <c r="U7" s="4115" t="s">
        <v>3253</v>
      </c>
      <c r="V7" s="4114" t="s">
        <v>3228</v>
      </c>
      <c r="W7" s="4114" t="s">
        <v>2170</v>
      </c>
      <c r="X7" s="4114" t="s">
        <v>3254</v>
      </c>
      <c r="Y7" s="4114" t="s">
        <v>3255</v>
      </c>
      <c r="Z7" s="4117" t="s">
        <v>3256</v>
      </c>
      <c r="AA7" s="4114" t="s">
        <v>3257</v>
      </c>
      <c r="AB7" s="4114" t="s">
        <v>3258</v>
      </c>
      <c r="AC7" s="1683"/>
      <c r="AD7" s="1683"/>
      <c r="AE7" s="1683"/>
      <c r="AF7" s="1683"/>
      <c r="AG7" s="1683"/>
      <c r="AH7" s="1683"/>
      <c r="AI7" s="1683"/>
      <c r="AJ7" s="1683"/>
      <c r="AK7" s="1683"/>
      <c r="AL7" s="1683"/>
      <c r="AM7" s="1683"/>
    </row>
    <row r="8" spans="1:39" ht="36">
      <c r="A8" s="4094"/>
      <c r="B8" s="4094"/>
      <c r="C8" s="4094"/>
      <c r="D8" s="4094"/>
      <c r="E8" s="4094"/>
      <c r="F8" s="1682" t="s">
        <v>7</v>
      </c>
      <c r="G8" s="1682" t="s">
        <v>8</v>
      </c>
      <c r="H8" s="4096"/>
      <c r="I8" s="1682" t="s">
        <v>7</v>
      </c>
      <c r="J8" s="1682" t="s">
        <v>8</v>
      </c>
      <c r="K8" s="1682" t="s">
        <v>1096</v>
      </c>
      <c r="L8" s="1682" t="s">
        <v>1099</v>
      </c>
      <c r="M8" s="1682" t="s">
        <v>1194</v>
      </c>
      <c r="N8" s="1682" t="s">
        <v>1011</v>
      </c>
      <c r="O8" s="1682" t="s">
        <v>1012</v>
      </c>
      <c r="P8" s="1682" t="s">
        <v>1013</v>
      </c>
      <c r="Q8" s="4094"/>
      <c r="R8" s="4094"/>
      <c r="S8" s="1684" t="s">
        <v>7</v>
      </c>
      <c r="T8" s="1684" t="s">
        <v>8</v>
      </c>
      <c r="U8" s="4115"/>
      <c r="V8" s="4114"/>
      <c r="W8" s="4114"/>
      <c r="X8" s="4114"/>
      <c r="Y8" s="4114"/>
      <c r="Z8" s="4117"/>
      <c r="AA8" s="4114"/>
      <c r="AB8" s="4114"/>
      <c r="AC8" s="1685" t="s">
        <v>2174</v>
      </c>
      <c r="AD8" s="1685" t="s">
        <v>2175</v>
      </c>
      <c r="AE8" s="1685" t="s">
        <v>2176</v>
      </c>
      <c r="AF8" s="1683" t="s">
        <v>2177</v>
      </c>
      <c r="AG8" s="1685" t="s">
        <v>2178</v>
      </c>
      <c r="AH8" s="1685" t="s">
        <v>2175</v>
      </c>
      <c r="AI8" s="1685" t="s">
        <v>2179</v>
      </c>
      <c r="AJ8" s="1685" t="s">
        <v>2180</v>
      </c>
      <c r="AK8" s="1685" t="s">
        <v>2181</v>
      </c>
      <c r="AL8" s="1685" t="s">
        <v>2182</v>
      </c>
      <c r="AM8" s="1685" t="s">
        <v>2183</v>
      </c>
    </row>
    <row r="9" spans="1:39">
      <c r="A9" s="1686"/>
      <c r="B9" s="1687" t="s">
        <v>306</v>
      </c>
      <c r="C9" s="1688"/>
      <c r="D9" s="1686"/>
      <c r="E9" s="1689">
        <f t="shared" ref="E9:Q9" si="0">SUM(E11:E112)</f>
        <v>372638</v>
      </c>
      <c r="F9" s="1689">
        <f t="shared" si="0"/>
        <v>0</v>
      </c>
      <c r="G9" s="1689">
        <f t="shared" si="0"/>
        <v>0</v>
      </c>
      <c r="H9" s="1689">
        <f t="shared" si="0"/>
        <v>0</v>
      </c>
      <c r="I9" s="1689">
        <f t="shared" si="0"/>
        <v>432</v>
      </c>
      <c r="J9" s="1689">
        <f t="shared" si="0"/>
        <v>14350</v>
      </c>
      <c r="K9" s="1689">
        <f t="shared" si="0"/>
        <v>200</v>
      </c>
      <c r="L9" s="1689">
        <f t="shared" si="0"/>
        <v>11138</v>
      </c>
      <c r="M9" s="1689">
        <f t="shared" si="0"/>
        <v>9946.5879999999997</v>
      </c>
      <c r="N9" s="1689">
        <f t="shared" si="0"/>
        <v>0</v>
      </c>
      <c r="O9" s="1689">
        <f t="shared" si="0"/>
        <v>0</v>
      </c>
      <c r="P9" s="1689">
        <f t="shared" si="0"/>
        <v>11138</v>
      </c>
      <c r="Q9" s="1689">
        <f t="shared" si="0"/>
        <v>63341.86</v>
      </c>
      <c r="R9" s="1690">
        <f>R10+R27+R321</f>
        <v>5556543.1699999999</v>
      </c>
      <c r="S9" s="1690">
        <f>S10+S27+S321</f>
        <v>157561.78384958662</v>
      </c>
      <c r="T9" s="1690">
        <f>T10+T27+T321</f>
        <v>4094572.4292783756</v>
      </c>
      <c r="U9" s="4115"/>
      <c r="V9" s="4114"/>
      <c r="W9" s="4114"/>
      <c r="X9" s="4114"/>
      <c r="Y9" s="4114"/>
      <c r="Z9" s="4117"/>
      <c r="AA9" s="4114"/>
      <c r="AB9" s="4114"/>
      <c r="AC9" s="1683"/>
      <c r="AD9" s="1683"/>
      <c r="AE9" s="1683"/>
      <c r="AF9" s="1683"/>
      <c r="AG9" s="1683"/>
      <c r="AH9" s="1683"/>
      <c r="AI9" s="1683"/>
      <c r="AJ9" s="1683"/>
      <c r="AK9" s="1683"/>
      <c r="AL9" s="1683"/>
      <c r="AM9" s="1683"/>
    </row>
    <row r="10" spans="1:39">
      <c r="A10" s="1686"/>
      <c r="B10" s="1687" t="s">
        <v>1195</v>
      </c>
      <c r="C10" s="1688"/>
      <c r="D10" s="1686"/>
      <c r="E10" s="1689"/>
      <c r="F10" s="1689"/>
      <c r="G10" s="1689"/>
      <c r="H10" s="1689"/>
      <c r="I10" s="1689"/>
      <c r="J10" s="1689"/>
      <c r="K10" s="1689"/>
      <c r="L10" s="1689"/>
      <c r="M10" s="1689"/>
      <c r="N10" s="1689"/>
      <c r="O10" s="1689"/>
      <c r="P10" s="1689"/>
      <c r="Q10" s="1689"/>
      <c r="R10" s="1690">
        <f>SUM(R11:R26)</f>
        <v>2437428.9699999997</v>
      </c>
      <c r="S10" s="1690">
        <f>SUM(S11:S26)</f>
        <v>68866.593328259594</v>
      </c>
      <c r="T10" s="1690">
        <f>SUM(T11:T22)</f>
        <v>1064153.4197997025</v>
      </c>
      <c r="U10" s="4115"/>
      <c r="V10" s="4114"/>
      <c r="W10" s="4114"/>
      <c r="X10" s="4114"/>
      <c r="Y10" s="4114"/>
      <c r="Z10" s="4117"/>
      <c r="AA10" s="4114"/>
      <c r="AB10" s="4114"/>
      <c r="AC10" s="1683"/>
      <c r="AD10" s="1683"/>
      <c r="AE10" s="1683"/>
      <c r="AF10" s="1683"/>
      <c r="AG10" s="1683"/>
      <c r="AH10" s="1683"/>
      <c r="AI10" s="1683"/>
      <c r="AJ10" s="1683"/>
      <c r="AK10" s="1683"/>
      <c r="AL10" s="1683"/>
      <c r="AM10" s="1683"/>
    </row>
    <row r="11" spans="1:39" ht="48">
      <c r="A11" s="1691">
        <v>1</v>
      </c>
      <c r="B11" s="1692" t="s">
        <v>1201</v>
      </c>
      <c r="C11" s="1693" t="s">
        <v>1202</v>
      </c>
      <c r="D11" s="1692" t="s">
        <v>1203</v>
      </c>
      <c r="E11" s="4120">
        <v>4333</v>
      </c>
      <c r="F11" s="1691"/>
      <c r="G11" s="1691"/>
      <c r="H11" s="1691"/>
      <c r="I11" s="1691">
        <v>6</v>
      </c>
      <c r="J11" s="1691">
        <v>205</v>
      </c>
      <c r="K11" s="1691"/>
      <c r="L11" s="1692">
        <v>87</v>
      </c>
      <c r="M11" s="1692">
        <f>W11</f>
        <v>87</v>
      </c>
      <c r="N11" s="1691"/>
      <c r="O11" s="1691"/>
      <c r="P11" s="1694">
        <f t="shared" ref="P11:P16" si="1">L11-O11</f>
        <v>87</v>
      </c>
      <c r="Q11" s="1695">
        <f>100*1.07</f>
        <v>107</v>
      </c>
      <c r="R11" s="1696">
        <f t="shared" ref="R11:R16" si="2">P11*Q11</f>
        <v>9309</v>
      </c>
      <c r="S11" s="1696">
        <f t="shared" ref="S11:S16" si="3">R11*(I11/(I11+J11+K11))</f>
        <v>264.71090047393363</v>
      </c>
      <c r="T11" s="1696">
        <f t="shared" ref="T11:T16" si="4">R11-S11</f>
        <v>9044.2890995260659</v>
      </c>
      <c r="U11" s="1683">
        <v>4333</v>
      </c>
      <c r="V11" s="1683">
        <v>500</v>
      </c>
      <c r="W11" s="1683">
        <f>ROUND(U11/500*0.2*10/0.2,0)</f>
        <v>87</v>
      </c>
      <c r="X11" s="1683"/>
      <c r="Y11" s="1683"/>
      <c r="Z11" s="1683"/>
      <c r="AA11" s="1683"/>
      <c r="AB11" s="1683"/>
      <c r="AC11" s="1683"/>
      <c r="AD11" s="1683"/>
      <c r="AE11" s="1683"/>
      <c r="AF11" s="1683"/>
      <c r="AG11" s="1683"/>
      <c r="AH11" s="1683"/>
      <c r="AI11" s="1683"/>
      <c r="AJ11" s="1683"/>
      <c r="AK11" s="1683"/>
      <c r="AL11" s="1683"/>
      <c r="AM11" s="1683"/>
    </row>
    <row r="12" spans="1:39" ht="48">
      <c r="A12" s="1691">
        <v>5</v>
      </c>
      <c r="B12" s="1692" t="s">
        <v>1210</v>
      </c>
      <c r="C12" s="1693" t="s">
        <v>1211</v>
      </c>
      <c r="D12" s="1691" t="s">
        <v>1022</v>
      </c>
      <c r="E12" s="4107"/>
      <c r="F12" s="1691"/>
      <c r="G12" s="1691"/>
      <c r="H12" s="1691"/>
      <c r="I12" s="1691">
        <v>6</v>
      </c>
      <c r="J12" s="1691">
        <v>205</v>
      </c>
      <c r="K12" s="1691"/>
      <c r="L12" s="1694">
        <v>440</v>
      </c>
      <c r="M12" s="1694"/>
      <c r="N12" s="1691"/>
      <c r="O12" s="1691"/>
      <c r="P12" s="1694">
        <f t="shared" si="1"/>
        <v>440</v>
      </c>
      <c r="Q12" s="1695">
        <f>135*1.07</f>
        <v>144.45000000000002</v>
      </c>
      <c r="R12" s="1696">
        <f t="shared" si="2"/>
        <v>63558.000000000007</v>
      </c>
      <c r="S12" s="1696">
        <f t="shared" si="3"/>
        <v>1807.3364928909955</v>
      </c>
      <c r="T12" s="1696">
        <f t="shared" si="4"/>
        <v>61750.663507109013</v>
      </c>
      <c r="U12" s="1683"/>
      <c r="V12" s="1683"/>
      <c r="W12" s="1683"/>
      <c r="X12" s="1683"/>
      <c r="Y12" s="1683"/>
      <c r="Z12" s="1683"/>
      <c r="AA12" s="1683"/>
      <c r="AB12" s="1683"/>
      <c r="AC12" s="1683"/>
      <c r="AD12" s="1683"/>
      <c r="AE12" s="1683"/>
      <c r="AF12" s="1683"/>
      <c r="AG12" s="1683"/>
      <c r="AH12" s="1683"/>
      <c r="AI12" s="1683"/>
      <c r="AJ12" s="1683"/>
      <c r="AK12" s="1683"/>
      <c r="AL12" s="1683"/>
      <c r="AM12" s="1683"/>
    </row>
    <row r="13" spans="1:39" ht="24">
      <c r="A13" s="1691">
        <v>6</v>
      </c>
      <c r="B13" s="1692" t="s">
        <v>1214</v>
      </c>
      <c r="C13" s="1693" t="s">
        <v>1215</v>
      </c>
      <c r="D13" s="1691" t="s">
        <v>1022</v>
      </c>
      <c r="E13" s="4107"/>
      <c r="F13" s="1691"/>
      <c r="G13" s="1691"/>
      <c r="H13" s="1691"/>
      <c r="I13" s="1691">
        <v>6</v>
      </c>
      <c r="J13" s="1691">
        <v>205</v>
      </c>
      <c r="K13" s="1691"/>
      <c r="L13" s="1694">
        <v>15</v>
      </c>
      <c r="M13" s="1697">
        <f>AE13+AJ13+AM13</f>
        <v>15</v>
      </c>
      <c r="N13" s="1691"/>
      <c r="O13" s="1691"/>
      <c r="P13" s="1694">
        <f t="shared" si="1"/>
        <v>15</v>
      </c>
      <c r="Q13" s="1695">
        <f>3500*1.07</f>
        <v>3745</v>
      </c>
      <c r="R13" s="1696">
        <f t="shared" si="2"/>
        <v>56175</v>
      </c>
      <c r="S13" s="1696">
        <f t="shared" si="3"/>
        <v>1597.3933649289099</v>
      </c>
      <c r="T13" s="1696">
        <f t="shared" si="4"/>
        <v>54577.60663507109</v>
      </c>
      <c r="U13" s="1683">
        <v>4333</v>
      </c>
      <c r="V13" s="1683"/>
      <c r="W13" s="1685" t="s">
        <v>2186</v>
      </c>
      <c r="X13" s="1683"/>
      <c r="Y13" s="1683"/>
      <c r="Z13" s="1683">
        <f>(AC13+AD13)*10</f>
        <v>1299.9000000000001</v>
      </c>
      <c r="AA13" s="1683"/>
      <c r="AB13" s="1683"/>
      <c r="AC13" s="1683">
        <f>U13/100</f>
        <v>43.33</v>
      </c>
      <c r="AD13" s="1683">
        <f>U13/50</f>
        <v>86.66</v>
      </c>
      <c r="AE13" s="1698">
        <f>ROUND(Z13/300,0)</f>
        <v>4</v>
      </c>
      <c r="AF13" s="1683" t="s">
        <v>3259</v>
      </c>
      <c r="AG13" s="1683">
        <f>230/100</f>
        <v>2.2999999999999998</v>
      </c>
      <c r="AH13" s="1683">
        <f>230/50</f>
        <v>4.5999999999999996</v>
      </c>
      <c r="AI13" s="1683">
        <f>(AG13+AH13)*21*10</f>
        <v>1448.9999999999998</v>
      </c>
      <c r="AJ13" s="1698">
        <f>ROUND(AI13/300,0)</f>
        <v>5</v>
      </c>
      <c r="AK13" s="1683">
        <f>4333/500</f>
        <v>8.6660000000000004</v>
      </c>
      <c r="AL13" s="1683">
        <f>AK13*21*10</f>
        <v>1819.8600000000001</v>
      </c>
      <c r="AM13" s="1698">
        <f>ROUND(AL13/300,0)</f>
        <v>6</v>
      </c>
    </row>
    <row r="14" spans="1:39" ht="24">
      <c r="A14" s="1691">
        <v>7</v>
      </c>
      <c r="B14" s="1692" t="s">
        <v>1216</v>
      </c>
      <c r="C14" s="1693" t="s">
        <v>1217</v>
      </c>
      <c r="D14" s="1692" t="s">
        <v>1218</v>
      </c>
      <c r="E14" s="4107"/>
      <c r="F14" s="1691"/>
      <c r="G14" s="1691"/>
      <c r="H14" s="1691"/>
      <c r="I14" s="1691">
        <v>6</v>
      </c>
      <c r="J14" s="1691">
        <v>205</v>
      </c>
      <c r="K14" s="1691"/>
      <c r="L14" s="1692">
        <v>1800</v>
      </c>
      <c r="M14" s="1692">
        <f>Z14</f>
        <v>1800</v>
      </c>
      <c r="N14" s="1691"/>
      <c r="O14" s="1691"/>
      <c r="P14" s="1694">
        <f t="shared" si="1"/>
        <v>1800</v>
      </c>
      <c r="Q14" s="1695">
        <f>280*1.07</f>
        <v>299.60000000000002</v>
      </c>
      <c r="R14" s="1696">
        <f t="shared" si="2"/>
        <v>539280</v>
      </c>
      <c r="S14" s="1696">
        <f t="shared" si="3"/>
        <v>15334.976303317535</v>
      </c>
      <c r="T14" s="1696">
        <f t="shared" si="4"/>
        <v>523945.02369668247</v>
      </c>
      <c r="U14" s="1683" t="s">
        <v>3260</v>
      </c>
      <c r="V14" s="1683"/>
      <c r="W14" s="1683" t="s">
        <v>3261</v>
      </c>
      <c r="X14" s="1683"/>
      <c r="Y14" s="1683">
        <f>200*1</f>
        <v>200</v>
      </c>
      <c r="Z14" s="1683">
        <f>Y14*9</f>
        <v>1800</v>
      </c>
      <c r="AA14" s="1683"/>
      <c r="AB14" s="1683"/>
      <c r="AC14" s="1683"/>
      <c r="AD14" s="1683"/>
      <c r="AE14" s="1683"/>
      <c r="AF14" s="1683"/>
      <c r="AG14" s="1683"/>
      <c r="AH14" s="1683"/>
      <c r="AI14" s="1683"/>
      <c r="AJ14" s="1683"/>
      <c r="AK14" s="1683"/>
      <c r="AL14" s="1683"/>
      <c r="AM14" s="1683"/>
    </row>
    <row r="15" spans="1:39" ht="24">
      <c r="A15" s="1691">
        <v>10</v>
      </c>
      <c r="B15" s="1692" t="s">
        <v>3262</v>
      </c>
      <c r="C15" s="1693" t="s">
        <v>1224</v>
      </c>
      <c r="D15" s="1691" t="s">
        <v>1022</v>
      </c>
      <c r="E15" s="4107"/>
      <c r="F15" s="1691"/>
      <c r="G15" s="1691"/>
      <c r="H15" s="1691"/>
      <c r="I15" s="1691">
        <v>6</v>
      </c>
      <c r="J15" s="1691">
        <v>205</v>
      </c>
      <c r="K15" s="1691">
        <v>200</v>
      </c>
      <c r="L15" s="1694">
        <v>20</v>
      </c>
      <c r="M15" s="1691">
        <f>Z15</f>
        <v>20</v>
      </c>
      <c r="N15" s="1691"/>
      <c r="O15" s="1691"/>
      <c r="P15" s="1694">
        <f t="shared" si="1"/>
        <v>20</v>
      </c>
      <c r="Q15" s="1695">
        <f>1500*1.07</f>
        <v>1605</v>
      </c>
      <c r="R15" s="1696">
        <f t="shared" si="2"/>
        <v>32100</v>
      </c>
      <c r="S15" s="1696">
        <f t="shared" si="3"/>
        <v>468.61313868613138</v>
      </c>
      <c r="T15" s="1696">
        <f t="shared" si="4"/>
        <v>31631.386861313869</v>
      </c>
      <c r="U15" s="1683">
        <v>4333</v>
      </c>
      <c r="V15" s="1683"/>
      <c r="W15" s="1683">
        <v>500</v>
      </c>
      <c r="X15" s="1683"/>
      <c r="Y15" s="1683"/>
      <c r="Z15" s="1683">
        <f>K15*500/5000</f>
        <v>20</v>
      </c>
      <c r="AA15" s="1683"/>
      <c r="AB15" s="1683"/>
      <c r="AC15" s="1683"/>
      <c r="AD15" s="1683"/>
      <c r="AE15" s="1683"/>
      <c r="AF15" s="1683"/>
      <c r="AG15" s="1683"/>
      <c r="AH15" s="1683"/>
      <c r="AI15" s="1683"/>
      <c r="AJ15" s="1683"/>
      <c r="AK15" s="1683"/>
      <c r="AL15" s="1683"/>
      <c r="AM15" s="1683"/>
    </row>
    <row r="16" spans="1:39" ht="24">
      <c r="A16" s="1691">
        <v>12</v>
      </c>
      <c r="B16" s="1699" t="s">
        <v>1225</v>
      </c>
      <c r="C16" s="1699" t="s">
        <v>3263</v>
      </c>
      <c r="D16" s="1691" t="s">
        <v>1022</v>
      </c>
      <c r="E16" s="4107"/>
      <c r="F16" s="1691"/>
      <c r="G16" s="1691"/>
      <c r="H16" s="1691"/>
      <c r="I16" s="1691">
        <v>6</v>
      </c>
      <c r="J16" s="1691">
        <v>205</v>
      </c>
      <c r="K16" s="1691"/>
      <c r="L16" s="1694">
        <v>500</v>
      </c>
      <c r="M16" s="1691">
        <v>500</v>
      </c>
      <c r="N16" s="1691"/>
      <c r="O16" s="1691"/>
      <c r="P16" s="1694">
        <f t="shared" si="1"/>
        <v>500</v>
      </c>
      <c r="Q16" s="1695">
        <f>100*1.07</f>
        <v>107</v>
      </c>
      <c r="R16" s="1696">
        <f t="shared" si="2"/>
        <v>53500</v>
      </c>
      <c r="S16" s="1696">
        <f t="shared" si="3"/>
        <v>1521.3270142180095</v>
      </c>
      <c r="T16" s="1696">
        <f t="shared" si="4"/>
        <v>51978.672985781988</v>
      </c>
      <c r="U16" s="1683">
        <v>4333</v>
      </c>
      <c r="V16" s="1683" t="s">
        <v>3264</v>
      </c>
      <c r="W16" s="1683" t="s">
        <v>3265</v>
      </c>
      <c r="X16" s="1683">
        <f>200/2</f>
        <v>100</v>
      </c>
      <c r="Y16" s="1683">
        <f>X16/2</f>
        <v>50</v>
      </c>
      <c r="Z16" s="1683">
        <f>Y16*10</f>
        <v>500</v>
      </c>
      <c r="AA16" s="1683"/>
      <c r="AB16" s="1683"/>
      <c r="AC16" s="1683"/>
      <c r="AD16" s="1683"/>
      <c r="AE16" s="1683"/>
      <c r="AF16" s="1683"/>
      <c r="AG16" s="1683"/>
      <c r="AH16" s="1683"/>
      <c r="AI16" s="1683"/>
      <c r="AJ16" s="1683"/>
      <c r="AK16" s="1683"/>
      <c r="AL16" s="1683"/>
      <c r="AM16" s="1683"/>
    </row>
    <row r="17" spans="1:39" ht="13.5" customHeight="1">
      <c r="A17" s="1691">
        <v>14</v>
      </c>
      <c r="B17" s="1692" t="s">
        <v>1231</v>
      </c>
      <c r="C17" s="1700" t="s">
        <v>1232</v>
      </c>
      <c r="D17" s="1691" t="s">
        <v>1022</v>
      </c>
      <c r="E17" s="4107"/>
      <c r="F17" s="1691"/>
      <c r="G17" s="1691"/>
      <c r="H17" s="1691"/>
      <c r="I17" s="1691">
        <v>6</v>
      </c>
      <c r="J17" s="1691">
        <v>205</v>
      </c>
      <c r="K17" s="1691"/>
      <c r="L17" s="1694">
        <v>71</v>
      </c>
      <c r="M17" s="1691">
        <f>AA17</f>
        <v>71</v>
      </c>
      <c r="N17" s="1691"/>
      <c r="O17" s="1691"/>
      <c r="P17" s="1694">
        <f t="shared" ref="P17:P26" si="5">L17-O17</f>
        <v>71</v>
      </c>
      <c r="Q17" s="1695">
        <f>4194*1.07</f>
        <v>4487.58</v>
      </c>
      <c r="R17" s="1696">
        <f t="shared" ref="R17:R26" si="6">P17*Q17</f>
        <v>318618.18</v>
      </c>
      <c r="S17" s="1696">
        <f t="shared" ref="S17:S26" si="7">R17*(I17/(I17+J17+K17))</f>
        <v>9060.2326066350706</v>
      </c>
      <c r="T17" s="1696">
        <f t="shared" ref="T17:T26" si="8">R17-S17</f>
        <v>309557.94739336491</v>
      </c>
      <c r="U17" s="1683">
        <v>4333</v>
      </c>
      <c r="V17" s="1683" t="s">
        <v>3266</v>
      </c>
      <c r="W17" s="1683"/>
      <c r="X17" s="1683"/>
      <c r="Y17" s="1683">
        <f>200*0.32</f>
        <v>64</v>
      </c>
      <c r="Z17" s="1683">
        <f>Y17*10</f>
        <v>640</v>
      </c>
      <c r="AA17" s="1683">
        <f>ROUND(Z17/9,0)</f>
        <v>71</v>
      </c>
      <c r="AB17" s="1683"/>
      <c r="AC17" s="1683"/>
      <c r="AD17" s="1683"/>
      <c r="AE17" s="1683"/>
      <c r="AF17" s="1683"/>
      <c r="AG17" s="1683"/>
      <c r="AH17" s="1683"/>
      <c r="AI17" s="1683"/>
      <c r="AJ17" s="1683"/>
      <c r="AK17" s="1683"/>
      <c r="AL17" s="1683"/>
      <c r="AM17" s="1683"/>
    </row>
    <row r="18" spans="1:39" ht="19.5" customHeight="1">
      <c r="A18" s="1691">
        <v>16</v>
      </c>
      <c r="B18" s="1692" t="s">
        <v>1235</v>
      </c>
      <c r="C18" s="1700" t="s">
        <v>1236</v>
      </c>
      <c r="D18" s="1691" t="s">
        <v>1022</v>
      </c>
      <c r="E18" s="4107"/>
      <c r="F18" s="1691"/>
      <c r="G18" s="1691"/>
      <c r="H18" s="1691"/>
      <c r="I18" s="1691">
        <v>6</v>
      </c>
      <c r="J18" s="1691">
        <v>205</v>
      </c>
      <c r="K18" s="1691"/>
      <c r="L18" s="1694"/>
      <c r="M18" s="1694"/>
      <c r="N18" s="1691"/>
      <c r="O18" s="1691"/>
      <c r="P18" s="1694">
        <f t="shared" si="5"/>
        <v>0</v>
      </c>
      <c r="Q18" s="1695"/>
      <c r="R18" s="1696">
        <f t="shared" si="6"/>
        <v>0</v>
      </c>
      <c r="S18" s="1696">
        <f t="shared" si="7"/>
        <v>0</v>
      </c>
      <c r="T18" s="1696">
        <f t="shared" si="8"/>
        <v>0</v>
      </c>
      <c r="U18" s="1683"/>
      <c r="V18" s="1683"/>
      <c r="W18" s="1683"/>
      <c r="X18" s="1683"/>
      <c r="Y18" s="1683"/>
      <c r="Z18" s="1683"/>
      <c r="AA18" s="1683"/>
      <c r="AB18" s="1683"/>
      <c r="AC18" s="1683"/>
      <c r="AD18" s="1683"/>
      <c r="AE18" s="1683"/>
      <c r="AF18" s="1683"/>
      <c r="AG18" s="1683"/>
      <c r="AH18" s="1683"/>
      <c r="AI18" s="1683"/>
      <c r="AJ18" s="1683"/>
      <c r="AK18" s="1683"/>
      <c r="AL18" s="1683"/>
      <c r="AM18" s="1683"/>
    </row>
    <row r="19" spans="1:39">
      <c r="A19" s="1691">
        <v>17</v>
      </c>
      <c r="B19" s="1692" t="s">
        <v>1237</v>
      </c>
      <c r="C19" s="1700" t="s">
        <v>1238</v>
      </c>
      <c r="D19" s="1691" t="s">
        <v>1119</v>
      </c>
      <c r="E19" s="4107"/>
      <c r="F19" s="1691"/>
      <c r="G19" s="1691"/>
      <c r="H19" s="1691"/>
      <c r="I19" s="1691">
        <v>6</v>
      </c>
      <c r="J19" s="1691">
        <v>205</v>
      </c>
      <c r="K19" s="1691"/>
      <c r="L19" s="1694">
        <v>8</v>
      </c>
      <c r="M19" s="1694">
        <v>8</v>
      </c>
      <c r="N19" s="1691"/>
      <c r="O19" s="1691"/>
      <c r="P19" s="1694">
        <f t="shared" si="5"/>
        <v>8</v>
      </c>
      <c r="Q19" s="1695">
        <f>100*1.07</f>
        <v>107</v>
      </c>
      <c r="R19" s="1696">
        <f t="shared" si="6"/>
        <v>856</v>
      </c>
      <c r="S19" s="1696">
        <f t="shared" si="7"/>
        <v>24.341232227488149</v>
      </c>
      <c r="T19" s="1696">
        <f t="shared" si="8"/>
        <v>831.65876777251185</v>
      </c>
      <c r="U19" s="1683"/>
      <c r="V19" s="1683">
        <v>87</v>
      </c>
      <c r="W19" s="1683" t="s">
        <v>3267</v>
      </c>
      <c r="X19" s="1683"/>
      <c r="Y19" s="1683"/>
      <c r="Z19" s="1698">
        <f>V19*12*4/500</f>
        <v>8.3520000000000003</v>
      </c>
      <c r="AA19" s="1683"/>
      <c r="AB19" s="1683"/>
      <c r="AC19" s="1683"/>
      <c r="AD19" s="1683"/>
      <c r="AE19" s="1683"/>
      <c r="AF19" s="1683"/>
      <c r="AG19" s="1683"/>
      <c r="AH19" s="1683"/>
      <c r="AI19" s="1683"/>
      <c r="AJ19" s="1683"/>
      <c r="AK19" s="1683"/>
      <c r="AL19" s="1683"/>
      <c r="AM19" s="1683"/>
    </row>
    <row r="20" spans="1:39" ht="24">
      <c r="A20" s="1691">
        <v>18</v>
      </c>
      <c r="B20" s="1692" t="s">
        <v>1239</v>
      </c>
      <c r="C20" s="1700" t="s">
        <v>1240</v>
      </c>
      <c r="D20" s="1691" t="s">
        <v>1119</v>
      </c>
      <c r="E20" s="4107"/>
      <c r="F20" s="1691"/>
      <c r="G20" s="1691"/>
      <c r="H20" s="1691"/>
      <c r="I20" s="1691">
        <v>6</v>
      </c>
      <c r="J20" s="1691">
        <v>205</v>
      </c>
      <c r="K20" s="1691"/>
      <c r="L20" s="1694"/>
      <c r="M20" s="1701"/>
      <c r="N20" s="1691"/>
      <c r="O20" s="1691"/>
      <c r="P20" s="1694">
        <f t="shared" si="5"/>
        <v>0</v>
      </c>
      <c r="Q20" s="1695">
        <f>224*1.07</f>
        <v>239.68</v>
      </c>
      <c r="R20" s="1696">
        <f t="shared" si="6"/>
        <v>0</v>
      </c>
      <c r="S20" s="1696">
        <f t="shared" si="7"/>
        <v>0</v>
      </c>
      <c r="T20" s="1696">
        <f t="shared" si="8"/>
        <v>0</v>
      </c>
      <c r="U20" s="1683"/>
      <c r="V20" s="1683"/>
      <c r="W20" s="1683"/>
      <c r="X20" s="1683"/>
      <c r="Y20" s="1683"/>
      <c r="Z20" s="1683"/>
      <c r="AA20" s="1683"/>
      <c r="AB20" s="1683"/>
      <c r="AC20" s="1683"/>
      <c r="AD20" s="1683"/>
      <c r="AE20" s="1683"/>
      <c r="AF20" s="1683"/>
      <c r="AG20" s="1683"/>
      <c r="AH20" s="1683"/>
      <c r="AI20" s="1683"/>
      <c r="AJ20" s="1683"/>
      <c r="AK20" s="1683"/>
      <c r="AL20" s="1683"/>
      <c r="AM20" s="1683"/>
    </row>
    <row r="21" spans="1:39" ht="36">
      <c r="A21" s="1691">
        <v>19</v>
      </c>
      <c r="B21" s="1692" t="s">
        <v>1239</v>
      </c>
      <c r="C21" s="1700" t="s">
        <v>3268</v>
      </c>
      <c r="D21" s="1691" t="s">
        <v>1022</v>
      </c>
      <c r="E21" s="4107"/>
      <c r="F21" s="1691"/>
      <c r="G21" s="1691"/>
      <c r="H21" s="1691"/>
      <c r="I21" s="1691">
        <v>6</v>
      </c>
      <c r="J21" s="1691">
        <v>205</v>
      </c>
      <c r="K21" s="1691"/>
      <c r="L21" s="1694">
        <v>849</v>
      </c>
      <c r="M21" s="1701">
        <f>AA21</f>
        <v>849.26800000000003</v>
      </c>
      <c r="N21" s="1691"/>
      <c r="O21" s="1691"/>
      <c r="P21" s="1694">
        <f t="shared" si="5"/>
        <v>849</v>
      </c>
      <c r="Q21" s="1695"/>
      <c r="R21" s="1696">
        <f t="shared" si="6"/>
        <v>0</v>
      </c>
      <c r="S21" s="1696">
        <f t="shared" si="7"/>
        <v>0</v>
      </c>
      <c r="T21" s="1696">
        <f t="shared" si="8"/>
        <v>0</v>
      </c>
      <c r="U21" s="1683">
        <v>4333</v>
      </c>
      <c r="V21" s="1683">
        <v>500</v>
      </c>
      <c r="W21" s="1683" t="s">
        <v>2196</v>
      </c>
      <c r="X21" s="1683" t="s">
        <v>3269</v>
      </c>
      <c r="Y21" s="1683">
        <f>U21/V21*0.35*21</f>
        <v>63.695100000000004</v>
      </c>
      <c r="Z21" s="1683">
        <f>Y21*10</f>
        <v>636.95100000000002</v>
      </c>
      <c r="AA21" s="1683">
        <f>Z21/0.75</f>
        <v>849.26800000000003</v>
      </c>
      <c r="AB21" s="1683"/>
      <c r="AC21" s="1683"/>
      <c r="AD21" s="1683"/>
      <c r="AE21" s="1683"/>
      <c r="AF21" s="1683"/>
      <c r="AG21" s="1683"/>
      <c r="AH21" s="1683"/>
      <c r="AI21" s="1683"/>
      <c r="AJ21" s="1683"/>
      <c r="AK21" s="1683"/>
      <c r="AL21" s="1683"/>
      <c r="AM21" s="1683"/>
    </row>
    <row r="22" spans="1:39" ht="36">
      <c r="A22" s="1691">
        <v>20</v>
      </c>
      <c r="B22" s="1692" t="s">
        <v>1244</v>
      </c>
      <c r="C22" s="1700" t="s">
        <v>1245</v>
      </c>
      <c r="D22" s="1691" t="s">
        <v>1119</v>
      </c>
      <c r="E22" s="4107"/>
      <c r="F22" s="1691"/>
      <c r="G22" s="1691"/>
      <c r="H22" s="1691"/>
      <c r="I22" s="1691">
        <v>6</v>
      </c>
      <c r="J22" s="1691">
        <v>205</v>
      </c>
      <c r="K22" s="1691"/>
      <c r="L22" s="1694">
        <v>17</v>
      </c>
      <c r="M22" s="1694">
        <v>17</v>
      </c>
      <c r="N22" s="1691"/>
      <c r="O22" s="1691"/>
      <c r="P22" s="1694">
        <f t="shared" si="5"/>
        <v>17</v>
      </c>
      <c r="Q22" s="1695">
        <f>1179*1.07</f>
        <v>1261.53</v>
      </c>
      <c r="R22" s="1696">
        <f t="shared" si="6"/>
        <v>21446.01</v>
      </c>
      <c r="S22" s="1696">
        <f t="shared" si="7"/>
        <v>609.83914691943119</v>
      </c>
      <c r="T22" s="1696">
        <f t="shared" si="8"/>
        <v>20836.170853080566</v>
      </c>
      <c r="U22" s="1683">
        <v>4333</v>
      </c>
      <c r="V22" s="1683" t="s">
        <v>2197</v>
      </c>
      <c r="W22" s="1683" t="s">
        <v>2189</v>
      </c>
      <c r="X22" s="1683"/>
      <c r="Y22" s="1683">
        <f>240/4*0.016</f>
        <v>0.96</v>
      </c>
      <c r="Z22" s="1683">
        <f>Y22*10/0.55</f>
        <v>17.454545454545453</v>
      </c>
      <c r="AA22" s="1683"/>
      <c r="AB22" s="1683"/>
      <c r="AC22" s="1683"/>
      <c r="AD22" s="1683"/>
      <c r="AE22" s="1683"/>
      <c r="AF22" s="1683"/>
      <c r="AG22" s="1683"/>
      <c r="AH22" s="1683"/>
      <c r="AI22" s="1683"/>
      <c r="AJ22" s="1683"/>
      <c r="AK22" s="1683"/>
      <c r="AL22" s="1683"/>
      <c r="AM22" s="1683"/>
    </row>
    <row r="23" spans="1:39" ht="24">
      <c r="A23" s="1691">
        <v>24</v>
      </c>
      <c r="B23" s="1692" t="s">
        <v>1251</v>
      </c>
      <c r="C23" s="1700" t="s">
        <v>1252</v>
      </c>
      <c r="D23" s="1691" t="s">
        <v>1022</v>
      </c>
      <c r="E23" s="4107"/>
      <c r="F23" s="1691"/>
      <c r="G23" s="1691"/>
      <c r="H23" s="1691"/>
      <c r="I23" s="1691">
        <v>6</v>
      </c>
      <c r="J23" s="1691">
        <v>205</v>
      </c>
      <c r="K23" s="1691"/>
      <c r="L23" s="1694">
        <v>87</v>
      </c>
      <c r="M23" s="1697">
        <f>AA23</f>
        <v>86.66</v>
      </c>
      <c r="N23" s="1691"/>
      <c r="O23" s="1691"/>
      <c r="P23" s="1694">
        <f t="shared" si="5"/>
        <v>87</v>
      </c>
      <c r="Q23" s="1695">
        <f>234*1.07</f>
        <v>250.38000000000002</v>
      </c>
      <c r="R23" s="1696">
        <f t="shared" si="6"/>
        <v>21783.06</v>
      </c>
      <c r="S23" s="1696">
        <f t="shared" si="7"/>
        <v>619.42350710900473</v>
      </c>
      <c r="T23" s="1696">
        <f t="shared" si="8"/>
        <v>21163.636492890997</v>
      </c>
      <c r="U23" s="1683">
        <v>4333</v>
      </c>
      <c r="V23" s="1683" t="s">
        <v>3270</v>
      </c>
      <c r="W23" s="1683" t="s">
        <v>3271</v>
      </c>
      <c r="X23" s="1683"/>
      <c r="Y23" s="1683">
        <f>U23/500*0.45</f>
        <v>3.8997000000000002</v>
      </c>
      <c r="Z23" s="1683">
        <f>Y23*10</f>
        <v>38.997</v>
      </c>
      <c r="AA23" s="1683">
        <f>Z23/0.45</f>
        <v>86.66</v>
      </c>
      <c r="AB23" s="1683"/>
      <c r="AC23" s="1683"/>
      <c r="AD23" s="1683"/>
      <c r="AE23" s="1683"/>
      <c r="AF23" s="1683"/>
      <c r="AG23" s="1683"/>
      <c r="AH23" s="1683"/>
      <c r="AI23" s="1683"/>
      <c r="AJ23" s="1683"/>
      <c r="AK23" s="1683"/>
      <c r="AL23" s="1683"/>
      <c r="AM23" s="1683"/>
    </row>
    <row r="24" spans="1:39" ht="24">
      <c r="A24" s="1691">
        <v>25</v>
      </c>
      <c r="B24" s="1692" t="s">
        <v>1253</v>
      </c>
      <c r="C24" s="1700" t="s">
        <v>1254</v>
      </c>
      <c r="D24" s="1691" t="s">
        <v>1022</v>
      </c>
      <c r="E24" s="4107"/>
      <c r="F24" s="1691"/>
      <c r="G24" s="1691"/>
      <c r="H24" s="1691"/>
      <c r="I24" s="1691">
        <v>6</v>
      </c>
      <c r="J24" s="1691">
        <v>205</v>
      </c>
      <c r="K24" s="1691"/>
      <c r="L24" s="1694">
        <v>440</v>
      </c>
      <c r="M24" s="1694"/>
      <c r="N24" s="1691"/>
      <c r="O24" s="1691"/>
      <c r="P24" s="1694">
        <f t="shared" si="5"/>
        <v>440</v>
      </c>
      <c r="Q24" s="1695">
        <f>554*1.07</f>
        <v>592.78000000000009</v>
      </c>
      <c r="R24" s="1696">
        <f t="shared" si="6"/>
        <v>260823.20000000004</v>
      </c>
      <c r="S24" s="1696">
        <f t="shared" si="7"/>
        <v>7416.7734597156405</v>
      </c>
      <c r="T24" s="1696">
        <f t="shared" si="8"/>
        <v>253406.42654028439</v>
      </c>
      <c r="U24" s="1683"/>
      <c r="V24" s="1683"/>
      <c r="W24" s="1683"/>
      <c r="X24" s="1683"/>
      <c r="Y24" s="1683"/>
      <c r="Z24" s="1683"/>
      <c r="AA24" s="1683"/>
      <c r="AB24" s="1683"/>
      <c r="AC24" s="1683"/>
      <c r="AD24" s="1683"/>
      <c r="AE24" s="1683"/>
      <c r="AF24" s="1683"/>
      <c r="AG24" s="1683"/>
      <c r="AH24" s="1683"/>
      <c r="AI24" s="1683"/>
      <c r="AJ24" s="1683"/>
      <c r="AK24" s="1683"/>
      <c r="AL24" s="1683"/>
      <c r="AM24" s="1683"/>
    </row>
    <row r="25" spans="1:39" ht="29.25" customHeight="1">
      <c r="A25" s="1691">
        <v>26</v>
      </c>
      <c r="B25" s="1692" t="s">
        <v>1255</v>
      </c>
      <c r="C25" s="1700" t="s">
        <v>1256</v>
      </c>
      <c r="D25" s="1691" t="s">
        <v>1022</v>
      </c>
      <c r="E25" s="4107"/>
      <c r="F25" s="1691"/>
      <c r="G25" s="1691"/>
      <c r="H25" s="1691"/>
      <c r="I25" s="1691">
        <v>6</v>
      </c>
      <c r="J25" s="1691">
        <v>205</v>
      </c>
      <c r="K25" s="1691"/>
      <c r="L25" s="1694">
        <v>87</v>
      </c>
      <c r="M25" s="1697">
        <f>AA25</f>
        <v>86.66</v>
      </c>
      <c r="N25" s="1691"/>
      <c r="O25" s="1691"/>
      <c r="P25" s="1694">
        <f t="shared" si="5"/>
        <v>87</v>
      </c>
      <c r="Q25" s="1695">
        <f>628*1.07</f>
        <v>671.96</v>
      </c>
      <c r="R25" s="1696">
        <f t="shared" si="6"/>
        <v>58460.520000000004</v>
      </c>
      <c r="S25" s="1696">
        <f t="shared" si="7"/>
        <v>1662.3844549763035</v>
      </c>
      <c r="T25" s="1696">
        <f t="shared" si="8"/>
        <v>56798.135545023702</v>
      </c>
      <c r="U25" s="1683">
        <v>4333</v>
      </c>
      <c r="V25" s="1683" t="s">
        <v>3270</v>
      </c>
      <c r="W25" s="1683" t="s">
        <v>2199</v>
      </c>
      <c r="X25" s="1683"/>
      <c r="Y25" s="1683">
        <f>U25/500*0.5</f>
        <v>4.3330000000000002</v>
      </c>
      <c r="Z25" s="1683">
        <f>Y25*10</f>
        <v>43.33</v>
      </c>
      <c r="AA25" s="1702">
        <f>Z25/0.5</f>
        <v>86.66</v>
      </c>
      <c r="AB25" s="1683"/>
      <c r="AC25" s="1683"/>
      <c r="AD25" s="1683"/>
      <c r="AE25" s="1683"/>
      <c r="AF25" s="1683"/>
      <c r="AG25" s="1683"/>
      <c r="AH25" s="1683"/>
      <c r="AI25" s="1683"/>
      <c r="AJ25" s="1683"/>
      <c r="AK25" s="1683"/>
      <c r="AL25" s="1683"/>
      <c r="AM25" s="1683"/>
    </row>
    <row r="26" spans="1:39">
      <c r="A26" s="1691">
        <v>27</v>
      </c>
      <c r="B26" s="1692" t="s">
        <v>1258</v>
      </c>
      <c r="C26" s="1700" t="s">
        <v>1259</v>
      </c>
      <c r="D26" s="1692" t="s">
        <v>1203</v>
      </c>
      <c r="E26" s="4108"/>
      <c r="F26" s="1691"/>
      <c r="G26" s="1691"/>
      <c r="H26" s="1691"/>
      <c r="I26" s="1691">
        <v>6</v>
      </c>
      <c r="J26" s="1691">
        <v>205</v>
      </c>
      <c r="K26" s="1691"/>
      <c r="L26" s="1692">
        <v>1800</v>
      </c>
      <c r="M26" s="1692">
        <v>1800</v>
      </c>
      <c r="N26" s="1691"/>
      <c r="O26" s="1691"/>
      <c r="P26" s="1694">
        <f t="shared" si="5"/>
        <v>1800</v>
      </c>
      <c r="Q26" s="1695">
        <f>520*1.07</f>
        <v>556.4</v>
      </c>
      <c r="R26" s="1696">
        <f t="shared" si="6"/>
        <v>1001520</v>
      </c>
      <c r="S26" s="1696">
        <f t="shared" si="7"/>
        <v>28479.241706161138</v>
      </c>
      <c r="T26" s="1696">
        <f t="shared" si="8"/>
        <v>973040.75829383882</v>
      </c>
      <c r="U26" s="1683" t="s">
        <v>3260</v>
      </c>
      <c r="V26" s="1683"/>
      <c r="W26" s="1683" t="s">
        <v>3272</v>
      </c>
      <c r="X26" s="1683"/>
      <c r="Y26" s="1683">
        <f>200*1</f>
        <v>200</v>
      </c>
      <c r="Z26" s="1683">
        <f>Y26*9</f>
        <v>1800</v>
      </c>
      <c r="AA26" s="1683"/>
      <c r="AB26" s="1683"/>
      <c r="AC26" s="1683"/>
      <c r="AD26" s="1683"/>
      <c r="AE26" s="1683"/>
      <c r="AF26" s="1683"/>
      <c r="AG26" s="1683"/>
      <c r="AH26" s="1683"/>
      <c r="AI26" s="1683"/>
      <c r="AJ26" s="1683"/>
      <c r="AK26" s="1683"/>
      <c r="AL26" s="1683"/>
      <c r="AM26" s="1683"/>
    </row>
    <row r="27" spans="1:39">
      <c r="A27" s="1691"/>
      <c r="B27" s="1703" t="s">
        <v>1260</v>
      </c>
      <c r="C27" s="1700"/>
      <c r="D27" s="1692"/>
      <c r="E27" s="1694"/>
      <c r="F27" s="1691"/>
      <c r="G27" s="1691"/>
      <c r="H27" s="1691"/>
      <c r="I27" s="1691"/>
      <c r="J27" s="1691"/>
      <c r="K27" s="1691"/>
      <c r="L27" s="1704"/>
      <c r="M27" s="1704"/>
      <c r="N27" s="1691"/>
      <c r="O27" s="1691"/>
      <c r="P27" s="1694"/>
      <c r="Q27" s="1695"/>
      <c r="R27" s="1705">
        <f>SUM(R28:R320)</f>
        <v>3119114.2</v>
      </c>
      <c r="S27" s="1705">
        <f>SUM(S28:S320)</f>
        <v>88695.190521327007</v>
      </c>
      <c r="T27" s="1705">
        <f>SUM(T28:T320)</f>
        <v>3030419.0094786729</v>
      </c>
      <c r="U27" s="1683"/>
      <c r="V27" s="1683"/>
      <c r="W27" s="1683"/>
      <c r="X27" s="1683"/>
      <c r="Y27" s="1683"/>
      <c r="Z27" s="1683"/>
      <c r="AA27" s="1683"/>
      <c r="AB27" s="1683"/>
      <c r="AC27" s="1683"/>
      <c r="AD27" s="1683"/>
      <c r="AE27" s="1683"/>
      <c r="AF27" s="1683"/>
      <c r="AG27" s="1683"/>
      <c r="AH27" s="1683"/>
      <c r="AI27" s="1683"/>
      <c r="AJ27" s="1683"/>
      <c r="AK27" s="1683"/>
      <c r="AL27" s="1683"/>
      <c r="AM27" s="1683"/>
    </row>
    <row r="28" spans="1:39">
      <c r="A28" s="1691">
        <v>42</v>
      </c>
      <c r="B28" s="1706" t="s">
        <v>1266</v>
      </c>
      <c r="C28" s="1700" t="s">
        <v>1272</v>
      </c>
      <c r="D28" s="1707" t="s">
        <v>1268</v>
      </c>
      <c r="E28" s="1694">
        <v>4333</v>
      </c>
      <c r="F28" s="1691"/>
      <c r="G28" s="1691"/>
      <c r="H28" s="1691"/>
      <c r="I28" s="1691">
        <v>6</v>
      </c>
      <c r="J28" s="1691">
        <v>205</v>
      </c>
      <c r="K28" s="1691"/>
      <c r="L28" s="1707">
        <v>10</v>
      </c>
      <c r="M28" s="1707"/>
      <c r="N28" s="1691"/>
      <c r="O28" s="1691"/>
      <c r="P28" s="1694">
        <f>L28-O28</f>
        <v>10</v>
      </c>
      <c r="Q28" s="1695">
        <f>1210*1.07</f>
        <v>1294.7</v>
      </c>
      <c r="R28" s="1696">
        <f>P28*Q28</f>
        <v>12947</v>
      </c>
      <c r="S28" s="1696">
        <f>R28*(I28/(I28+J28+K28))</f>
        <v>368.1611374407583</v>
      </c>
      <c r="T28" s="1696">
        <f>R28-S28</f>
        <v>12578.838862559242</v>
      </c>
      <c r="U28" s="1683"/>
      <c r="V28" s="1683"/>
      <c r="W28" s="1683"/>
      <c r="X28" s="1683"/>
      <c r="Y28" s="1683"/>
      <c r="Z28" s="1683"/>
      <c r="AA28" s="1683"/>
      <c r="AB28" s="1683"/>
      <c r="AC28" s="1683"/>
      <c r="AD28" s="1683"/>
      <c r="AE28" s="1683"/>
      <c r="AF28" s="1683"/>
      <c r="AG28" s="1683"/>
      <c r="AH28" s="1683"/>
      <c r="AI28" s="1683"/>
      <c r="AJ28" s="1683"/>
      <c r="AK28" s="1683"/>
      <c r="AL28" s="1683"/>
      <c r="AM28" s="1683"/>
    </row>
    <row r="29" spans="1:39" ht="48.75" customHeight="1">
      <c r="A29" s="1691">
        <v>44</v>
      </c>
      <c r="B29" s="1706" t="s">
        <v>1273</v>
      </c>
      <c r="C29" s="1700" t="s">
        <v>2495</v>
      </c>
      <c r="D29" s="1707" t="s">
        <v>1268</v>
      </c>
      <c r="E29" s="1694">
        <v>4333</v>
      </c>
      <c r="F29" s="1691"/>
      <c r="G29" s="1691"/>
      <c r="H29" s="1691"/>
      <c r="I29" s="1691">
        <v>6</v>
      </c>
      <c r="J29" s="1691">
        <v>205</v>
      </c>
      <c r="K29" s="1691"/>
      <c r="L29" s="1707">
        <v>10</v>
      </c>
      <c r="M29" s="1707"/>
      <c r="N29" s="1691"/>
      <c r="O29" s="1691"/>
      <c r="P29" s="1694">
        <f t="shared" ref="P29:P35" si="9">L29-O29</f>
        <v>10</v>
      </c>
      <c r="Q29" s="1695">
        <f>1360*1.07</f>
        <v>1455.2</v>
      </c>
      <c r="R29" s="1696">
        <f t="shared" ref="R29:R35" si="10">P29*Q29</f>
        <v>14552</v>
      </c>
      <c r="S29" s="1696">
        <f t="shared" ref="S29:S35" si="11">R29*(I29/(I29+J29+K29))</f>
        <v>413.80094786729853</v>
      </c>
      <c r="T29" s="1696">
        <f t="shared" ref="T29:T35" si="12">R29-S29</f>
        <v>14138.199052132701</v>
      </c>
      <c r="U29" s="1683"/>
      <c r="V29" s="1683"/>
      <c r="W29" s="1683"/>
      <c r="X29" s="1683"/>
      <c r="Y29" s="1683"/>
      <c r="Z29" s="1683"/>
      <c r="AA29" s="1683"/>
      <c r="AB29" s="1683"/>
      <c r="AC29" s="1683"/>
      <c r="AD29" s="1683"/>
      <c r="AE29" s="1683"/>
      <c r="AF29" s="1683"/>
      <c r="AG29" s="1683"/>
      <c r="AH29" s="1683"/>
      <c r="AI29" s="1683"/>
      <c r="AJ29" s="1683"/>
      <c r="AK29" s="1683"/>
      <c r="AL29" s="1683"/>
      <c r="AM29" s="1683"/>
    </row>
    <row r="30" spans="1:39" ht="24">
      <c r="A30" s="1691">
        <v>45</v>
      </c>
      <c r="B30" s="1706" t="s">
        <v>1273</v>
      </c>
      <c r="C30" s="1700" t="s">
        <v>1276</v>
      </c>
      <c r="D30" s="1707" t="s">
        <v>1268</v>
      </c>
      <c r="E30" s="1694">
        <v>4333</v>
      </c>
      <c r="F30" s="1691"/>
      <c r="G30" s="1691"/>
      <c r="H30" s="1691"/>
      <c r="I30" s="1691">
        <v>6</v>
      </c>
      <c r="J30" s="1691">
        <v>205</v>
      </c>
      <c r="K30" s="1691"/>
      <c r="L30" s="1707">
        <v>10</v>
      </c>
      <c r="M30" s="1707"/>
      <c r="N30" s="1691"/>
      <c r="O30" s="1691"/>
      <c r="P30" s="1694">
        <f t="shared" si="9"/>
        <v>10</v>
      </c>
      <c r="Q30" s="1695">
        <f>1360*1.07</f>
        <v>1455.2</v>
      </c>
      <c r="R30" s="1696">
        <f t="shared" si="10"/>
        <v>14552</v>
      </c>
      <c r="S30" s="1696">
        <f t="shared" si="11"/>
        <v>413.80094786729853</v>
      </c>
      <c r="T30" s="1696">
        <f t="shared" si="12"/>
        <v>14138.199052132701</v>
      </c>
      <c r="U30" s="1683"/>
      <c r="V30" s="1683"/>
      <c r="W30" s="1683"/>
      <c r="X30" s="1683"/>
      <c r="Y30" s="1683"/>
      <c r="Z30" s="1683"/>
      <c r="AA30" s="1683"/>
      <c r="AB30" s="1683"/>
      <c r="AC30" s="1683"/>
      <c r="AD30" s="1683"/>
      <c r="AE30" s="1683"/>
      <c r="AF30" s="1683"/>
      <c r="AG30" s="1683"/>
      <c r="AH30" s="1683"/>
      <c r="AI30" s="1683"/>
      <c r="AJ30" s="1683"/>
      <c r="AK30" s="1683"/>
      <c r="AL30" s="1683"/>
      <c r="AM30" s="1683"/>
    </row>
    <row r="31" spans="1:39" ht="24">
      <c r="A31" s="1691">
        <v>46</v>
      </c>
      <c r="B31" s="1706" t="s">
        <v>1273</v>
      </c>
      <c r="C31" s="1700" t="s">
        <v>3273</v>
      </c>
      <c r="D31" s="1707" t="s">
        <v>1268</v>
      </c>
      <c r="E31" s="1694">
        <v>4333</v>
      </c>
      <c r="F31" s="1691"/>
      <c r="G31" s="1691"/>
      <c r="H31" s="1691"/>
      <c r="I31" s="1691">
        <v>6</v>
      </c>
      <c r="J31" s="1691">
        <v>205</v>
      </c>
      <c r="K31" s="1691"/>
      <c r="L31" s="1707">
        <v>10</v>
      </c>
      <c r="M31" s="1707"/>
      <c r="N31" s="1691"/>
      <c r="O31" s="1691"/>
      <c r="P31" s="1694">
        <f t="shared" si="9"/>
        <v>10</v>
      </c>
      <c r="Q31" s="1695">
        <f>1590*1.07</f>
        <v>1701.3000000000002</v>
      </c>
      <c r="R31" s="1696">
        <f t="shared" si="10"/>
        <v>17013</v>
      </c>
      <c r="S31" s="1696">
        <f t="shared" si="11"/>
        <v>483.78199052132697</v>
      </c>
      <c r="T31" s="1696">
        <f t="shared" si="12"/>
        <v>16529.218009478675</v>
      </c>
      <c r="U31" s="1683"/>
      <c r="V31" s="1683"/>
      <c r="W31" s="1683"/>
      <c r="X31" s="1683"/>
      <c r="Y31" s="1683"/>
      <c r="Z31" s="1683"/>
      <c r="AA31" s="1683"/>
      <c r="AB31" s="1683"/>
      <c r="AC31" s="1683"/>
      <c r="AD31" s="1683"/>
      <c r="AE31" s="1683"/>
      <c r="AF31" s="1683"/>
      <c r="AG31" s="1683"/>
      <c r="AH31" s="1683"/>
      <c r="AI31" s="1683"/>
      <c r="AJ31" s="1683"/>
      <c r="AK31" s="1683"/>
      <c r="AL31" s="1683"/>
      <c r="AM31" s="1683"/>
    </row>
    <row r="32" spans="1:39" ht="24">
      <c r="A32" s="1691">
        <v>47</v>
      </c>
      <c r="B32" s="1706" t="s">
        <v>2497</v>
      </c>
      <c r="C32" s="1700" t="s">
        <v>2498</v>
      </c>
      <c r="D32" s="1707" t="s">
        <v>1268</v>
      </c>
      <c r="E32" s="1694">
        <v>4333</v>
      </c>
      <c r="F32" s="1691"/>
      <c r="G32" s="1691"/>
      <c r="H32" s="1691"/>
      <c r="I32" s="1691">
        <v>6</v>
      </c>
      <c r="J32" s="1691">
        <v>205</v>
      </c>
      <c r="K32" s="1691"/>
      <c r="L32" s="1707">
        <v>10</v>
      </c>
      <c r="M32" s="1707"/>
      <c r="N32" s="1691"/>
      <c r="O32" s="1691"/>
      <c r="P32" s="1694">
        <f t="shared" si="9"/>
        <v>10</v>
      </c>
      <c r="Q32" s="1695">
        <f>490*1.07</f>
        <v>524.30000000000007</v>
      </c>
      <c r="R32" s="1696">
        <f t="shared" si="10"/>
        <v>5243.0000000000009</v>
      </c>
      <c r="S32" s="1696">
        <f t="shared" si="11"/>
        <v>149.09004739336496</v>
      </c>
      <c r="T32" s="1696">
        <f t="shared" si="12"/>
        <v>5093.9099526066357</v>
      </c>
      <c r="U32" s="1683"/>
      <c r="V32" s="1683"/>
      <c r="W32" s="1683"/>
      <c r="X32" s="1683"/>
      <c r="Y32" s="1683"/>
      <c r="Z32" s="1683"/>
      <c r="AA32" s="1683"/>
      <c r="AB32" s="1683"/>
      <c r="AC32" s="1683"/>
      <c r="AD32" s="1683"/>
      <c r="AE32" s="1683"/>
      <c r="AF32" s="1683"/>
      <c r="AG32" s="1683"/>
      <c r="AH32" s="1683"/>
      <c r="AI32" s="1683"/>
      <c r="AJ32" s="1683"/>
      <c r="AK32" s="1683"/>
      <c r="AL32" s="1683"/>
      <c r="AM32" s="1683"/>
    </row>
    <row r="33" spans="1:39" ht="24">
      <c r="A33" s="1691">
        <v>48</v>
      </c>
      <c r="B33" s="1706" t="s">
        <v>2497</v>
      </c>
      <c r="C33" s="1700" t="s">
        <v>3234</v>
      </c>
      <c r="D33" s="1707" t="s">
        <v>1268</v>
      </c>
      <c r="E33" s="1694">
        <v>4333</v>
      </c>
      <c r="F33" s="1691"/>
      <c r="G33" s="1691"/>
      <c r="H33" s="1691"/>
      <c r="I33" s="1691">
        <v>6</v>
      </c>
      <c r="J33" s="1691">
        <v>205</v>
      </c>
      <c r="K33" s="1691"/>
      <c r="L33" s="1707">
        <v>10</v>
      </c>
      <c r="M33" s="1707"/>
      <c r="N33" s="1691"/>
      <c r="O33" s="1691"/>
      <c r="P33" s="1694">
        <f t="shared" si="9"/>
        <v>10</v>
      </c>
      <c r="Q33" s="1695">
        <f>540*1.07</f>
        <v>577.80000000000007</v>
      </c>
      <c r="R33" s="1696">
        <f t="shared" si="10"/>
        <v>5778.0000000000009</v>
      </c>
      <c r="S33" s="1696">
        <f t="shared" si="11"/>
        <v>164.30331753554503</v>
      </c>
      <c r="T33" s="1696">
        <f t="shared" si="12"/>
        <v>5613.696682464456</v>
      </c>
      <c r="U33" s="1683"/>
      <c r="V33" s="1683"/>
      <c r="W33" s="1683"/>
      <c r="X33" s="1683"/>
      <c r="Y33" s="1683"/>
      <c r="Z33" s="1683"/>
      <c r="AA33" s="1683"/>
      <c r="AB33" s="1683"/>
      <c r="AC33" s="1683"/>
      <c r="AD33" s="1683"/>
      <c r="AE33" s="1683"/>
      <c r="AF33" s="1683"/>
      <c r="AG33" s="1683"/>
      <c r="AH33" s="1683"/>
      <c r="AI33" s="1683"/>
      <c r="AJ33" s="1683"/>
      <c r="AK33" s="1683"/>
      <c r="AL33" s="1683"/>
      <c r="AM33" s="1683"/>
    </row>
    <row r="34" spans="1:39" ht="24">
      <c r="A34" s="1691">
        <v>49</v>
      </c>
      <c r="B34" s="1706" t="s">
        <v>2497</v>
      </c>
      <c r="C34" s="1700" t="s">
        <v>2499</v>
      </c>
      <c r="D34" s="1707" t="s">
        <v>1268</v>
      </c>
      <c r="E34" s="1694">
        <v>4333</v>
      </c>
      <c r="F34" s="1691"/>
      <c r="G34" s="1691"/>
      <c r="H34" s="1691"/>
      <c r="I34" s="1691">
        <v>6</v>
      </c>
      <c r="J34" s="1691">
        <v>205</v>
      </c>
      <c r="K34" s="1691"/>
      <c r="L34" s="1707">
        <v>10</v>
      </c>
      <c r="M34" s="1707"/>
      <c r="N34" s="1691"/>
      <c r="O34" s="1691"/>
      <c r="P34" s="1694">
        <f t="shared" si="9"/>
        <v>10</v>
      </c>
      <c r="Q34" s="1695">
        <f>560*1.07</f>
        <v>599.20000000000005</v>
      </c>
      <c r="R34" s="1696">
        <f t="shared" si="10"/>
        <v>5992</v>
      </c>
      <c r="S34" s="1696">
        <f t="shared" si="11"/>
        <v>170.38862559241704</v>
      </c>
      <c r="T34" s="1696">
        <f t="shared" si="12"/>
        <v>5821.6113744075828</v>
      </c>
      <c r="U34" s="1683"/>
      <c r="V34" s="1683"/>
      <c r="W34" s="1683"/>
      <c r="X34" s="1683"/>
      <c r="Y34" s="1683"/>
      <c r="Z34" s="1683"/>
      <c r="AA34" s="1683"/>
      <c r="AB34" s="1683"/>
      <c r="AC34" s="1683"/>
      <c r="AD34" s="1683"/>
      <c r="AE34" s="1683"/>
      <c r="AF34" s="1683"/>
      <c r="AG34" s="1683"/>
      <c r="AH34" s="1683"/>
      <c r="AI34" s="1683"/>
      <c r="AJ34" s="1683"/>
      <c r="AK34" s="1683"/>
      <c r="AL34" s="1683"/>
      <c r="AM34" s="1683"/>
    </row>
    <row r="35" spans="1:39" ht="24">
      <c r="A35" s="1691">
        <v>50</v>
      </c>
      <c r="B35" s="1706" t="s">
        <v>2497</v>
      </c>
      <c r="C35" s="1700" t="s">
        <v>2500</v>
      </c>
      <c r="D35" s="1707" t="s">
        <v>1268</v>
      </c>
      <c r="E35" s="1694">
        <v>4333</v>
      </c>
      <c r="F35" s="1691"/>
      <c r="G35" s="1691"/>
      <c r="H35" s="1691"/>
      <c r="I35" s="1691">
        <v>6</v>
      </c>
      <c r="J35" s="1691">
        <v>205</v>
      </c>
      <c r="K35" s="1691"/>
      <c r="L35" s="1707">
        <v>10</v>
      </c>
      <c r="M35" s="1707"/>
      <c r="N35" s="1691"/>
      <c r="O35" s="1691"/>
      <c r="P35" s="1694">
        <f t="shared" si="9"/>
        <v>10</v>
      </c>
      <c r="Q35" s="1695">
        <f>620*1.07</f>
        <v>663.40000000000009</v>
      </c>
      <c r="R35" s="1696">
        <f t="shared" si="10"/>
        <v>6634.0000000000009</v>
      </c>
      <c r="S35" s="1696">
        <f t="shared" si="11"/>
        <v>188.64454976303318</v>
      </c>
      <c r="T35" s="1696">
        <f t="shared" si="12"/>
        <v>6445.355450236968</v>
      </c>
      <c r="U35" s="1683" t="s">
        <v>3274</v>
      </c>
      <c r="V35" s="1683"/>
      <c r="W35" s="1683"/>
      <c r="X35" s="1683"/>
      <c r="Y35" s="1683"/>
      <c r="Z35" s="1683"/>
      <c r="AA35" s="1683"/>
      <c r="AB35" s="1683"/>
      <c r="AC35" s="1683"/>
      <c r="AD35" s="1683"/>
      <c r="AE35" s="1683"/>
      <c r="AF35" s="1683"/>
      <c r="AG35" s="1683"/>
      <c r="AH35" s="1683"/>
      <c r="AI35" s="1683"/>
      <c r="AJ35" s="1683"/>
      <c r="AK35" s="1683"/>
      <c r="AL35" s="1683"/>
      <c r="AM35" s="1683"/>
    </row>
    <row r="36" spans="1:39" ht="24" hidden="1">
      <c r="A36" s="1691">
        <v>51</v>
      </c>
      <c r="B36" s="1706" t="s">
        <v>1282</v>
      </c>
      <c r="C36" s="1700" t="s">
        <v>1283</v>
      </c>
      <c r="D36" s="1707" t="s">
        <v>1268</v>
      </c>
      <c r="E36" s="1694">
        <v>4333</v>
      </c>
      <c r="F36" s="1691"/>
      <c r="G36" s="1691"/>
      <c r="H36" s="1691"/>
      <c r="I36" s="1691">
        <v>6</v>
      </c>
      <c r="J36" s="1691">
        <v>205</v>
      </c>
      <c r="K36" s="1691"/>
      <c r="L36" s="1707"/>
      <c r="M36" s="1707"/>
      <c r="N36" s="1691"/>
      <c r="O36" s="1691"/>
      <c r="P36" s="1694"/>
      <c r="Q36" s="1695"/>
      <c r="R36" s="1696"/>
      <c r="S36" s="1696"/>
      <c r="T36" s="1696"/>
      <c r="U36" s="1683"/>
      <c r="V36" s="1683"/>
      <c r="W36" s="1683"/>
      <c r="X36" s="1683"/>
      <c r="Y36" s="1683"/>
      <c r="Z36" s="1683"/>
      <c r="AA36" s="1683"/>
      <c r="AB36" s="1683"/>
      <c r="AC36" s="1683"/>
      <c r="AD36" s="1683"/>
      <c r="AE36" s="1683"/>
      <c r="AF36" s="1683"/>
      <c r="AG36" s="1683"/>
      <c r="AH36" s="1683"/>
      <c r="AI36" s="1683"/>
      <c r="AJ36" s="1683"/>
      <c r="AK36" s="1683"/>
      <c r="AL36" s="1683"/>
      <c r="AM36" s="1683"/>
    </row>
    <row r="37" spans="1:39" hidden="1">
      <c r="A37" s="1691">
        <v>52</v>
      </c>
      <c r="B37" s="1706" t="s">
        <v>1266</v>
      </c>
      <c r="C37" s="1700" t="s">
        <v>1284</v>
      </c>
      <c r="D37" s="1707" t="s">
        <v>1268</v>
      </c>
      <c r="E37" s="1694">
        <v>4333</v>
      </c>
      <c r="F37" s="1691"/>
      <c r="G37" s="1691"/>
      <c r="H37" s="1691"/>
      <c r="I37" s="1691">
        <v>6</v>
      </c>
      <c r="J37" s="1691">
        <v>205</v>
      </c>
      <c r="K37" s="1691"/>
      <c r="L37" s="1707"/>
      <c r="M37" s="1707"/>
      <c r="N37" s="1691"/>
      <c r="O37" s="1691"/>
      <c r="P37" s="1694"/>
      <c r="Q37" s="1695"/>
      <c r="R37" s="1696"/>
      <c r="S37" s="1696"/>
      <c r="T37" s="1696"/>
      <c r="U37" s="1683"/>
      <c r="V37" s="1683"/>
      <c r="W37" s="1683"/>
      <c r="X37" s="1683"/>
      <c r="Y37" s="1683"/>
      <c r="Z37" s="1683"/>
      <c r="AA37" s="1683"/>
      <c r="AB37" s="1683"/>
      <c r="AC37" s="1683"/>
      <c r="AD37" s="1683"/>
      <c r="AE37" s="1683"/>
      <c r="AF37" s="1683"/>
      <c r="AG37" s="1683"/>
      <c r="AH37" s="1683"/>
      <c r="AI37" s="1683"/>
      <c r="AJ37" s="1683"/>
      <c r="AK37" s="1683"/>
      <c r="AL37" s="1683"/>
      <c r="AM37" s="1683"/>
    </row>
    <row r="38" spans="1:39" hidden="1">
      <c r="A38" s="1691">
        <v>202</v>
      </c>
      <c r="B38" s="1708" t="s">
        <v>1285</v>
      </c>
      <c r="C38" s="1709" t="s">
        <v>1286</v>
      </c>
      <c r="D38" s="1708" t="s">
        <v>1022</v>
      </c>
      <c r="E38" s="1694">
        <v>4333</v>
      </c>
      <c r="F38" s="1694"/>
      <c r="G38" s="1694"/>
      <c r="H38" s="1694"/>
      <c r="I38" s="1691"/>
      <c r="J38" s="1691"/>
      <c r="K38" s="1694"/>
      <c r="L38" s="1708"/>
      <c r="M38" s="1708"/>
      <c r="N38" s="1694"/>
      <c r="O38" s="1694"/>
      <c r="P38" s="1694"/>
      <c r="Q38" s="1694"/>
      <c r="R38" s="1696"/>
      <c r="S38" s="1696"/>
      <c r="T38" s="1696"/>
      <c r="U38" s="1683"/>
      <c r="V38" s="1683"/>
      <c r="W38" s="1683"/>
      <c r="X38" s="1683"/>
      <c r="Y38" s="1683"/>
      <c r="Z38" s="1683"/>
      <c r="AA38" s="1683"/>
      <c r="AB38" s="1683"/>
      <c r="AC38" s="1683"/>
      <c r="AD38" s="1683"/>
      <c r="AE38" s="1683"/>
      <c r="AF38" s="1683"/>
      <c r="AG38" s="1683"/>
      <c r="AH38" s="1683"/>
      <c r="AI38" s="1683"/>
      <c r="AJ38" s="1683"/>
      <c r="AK38" s="1683"/>
      <c r="AL38" s="1683"/>
      <c r="AM38" s="1683"/>
    </row>
    <row r="39" spans="1:39" hidden="1">
      <c r="A39" s="1691">
        <v>203</v>
      </c>
      <c r="B39" s="1708" t="s">
        <v>1285</v>
      </c>
      <c r="C39" s="1709" t="s">
        <v>1287</v>
      </c>
      <c r="D39" s="1708" t="s">
        <v>1022</v>
      </c>
      <c r="E39" s="1694">
        <v>4333</v>
      </c>
      <c r="F39" s="1694"/>
      <c r="G39" s="1694"/>
      <c r="H39" s="1694"/>
      <c r="I39" s="1691"/>
      <c r="J39" s="1691"/>
      <c r="K39" s="1694"/>
      <c r="L39" s="1708"/>
      <c r="M39" s="1708"/>
      <c r="N39" s="1694"/>
      <c r="O39" s="1694"/>
      <c r="P39" s="1694"/>
      <c r="Q39" s="1694"/>
      <c r="R39" s="1696"/>
      <c r="S39" s="1696"/>
      <c r="T39" s="1696"/>
      <c r="U39" s="1683"/>
      <c r="V39" s="1683"/>
      <c r="W39" s="1683"/>
      <c r="X39" s="1683"/>
      <c r="Y39" s="1683"/>
      <c r="Z39" s="1683"/>
      <c r="AA39" s="1683"/>
      <c r="AB39" s="1683"/>
      <c r="AC39" s="1683"/>
      <c r="AD39" s="1683"/>
      <c r="AE39" s="1683"/>
      <c r="AF39" s="1683"/>
      <c r="AG39" s="1683"/>
      <c r="AH39" s="1683"/>
      <c r="AI39" s="1683"/>
      <c r="AJ39" s="1683"/>
      <c r="AK39" s="1683"/>
      <c r="AL39" s="1683"/>
      <c r="AM39" s="1683"/>
    </row>
    <row r="40" spans="1:39" hidden="1">
      <c r="A40" s="1691">
        <v>231</v>
      </c>
      <c r="B40" s="1710" t="s">
        <v>1288</v>
      </c>
      <c r="C40" s="1709" t="s">
        <v>3275</v>
      </c>
      <c r="D40" s="1710" t="s">
        <v>1290</v>
      </c>
      <c r="E40" s="1694">
        <v>4333</v>
      </c>
      <c r="F40" s="1694"/>
      <c r="G40" s="1694"/>
      <c r="H40" s="1694"/>
      <c r="I40" s="1691"/>
      <c r="J40" s="1691"/>
      <c r="K40" s="1694"/>
      <c r="L40" s="1695"/>
      <c r="M40" s="1695"/>
      <c r="N40" s="1694"/>
      <c r="O40" s="1694"/>
      <c r="P40" s="1694"/>
      <c r="Q40" s="1694"/>
      <c r="R40" s="1696"/>
      <c r="S40" s="1696"/>
      <c r="T40" s="1696"/>
      <c r="U40" s="1683"/>
      <c r="V40" s="1683"/>
      <c r="W40" s="1683"/>
      <c r="X40" s="1683"/>
      <c r="Y40" s="1683"/>
      <c r="Z40" s="1683"/>
      <c r="AA40" s="1683"/>
      <c r="AB40" s="1683"/>
      <c r="AC40" s="1683"/>
      <c r="AD40" s="1683"/>
      <c r="AE40" s="1683"/>
      <c r="AF40" s="1683"/>
      <c r="AG40" s="1683"/>
      <c r="AH40" s="1683"/>
      <c r="AI40" s="1683"/>
      <c r="AJ40" s="1683"/>
      <c r="AK40" s="1683"/>
      <c r="AL40" s="1683"/>
      <c r="AM40" s="1683"/>
    </row>
    <row r="41" spans="1:39" hidden="1">
      <c r="A41" s="1691">
        <v>232</v>
      </c>
      <c r="B41" s="1710" t="s">
        <v>1288</v>
      </c>
      <c r="C41" s="1709" t="s">
        <v>1291</v>
      </c>
      <c r="D41" s="1710" t="s">
        <v>1290</v>
      </c>
      <c r="E41" s="1694">
        <v>4333</v>
      </c>
      <c r="F41" s="1694"/>
      <c r="G41" s="1694"/>
      <c r="H41" s="1694"/>
      <c r="I41" s="1691"/>
      <c r="J41" s="1691"/>
      <c r="K41" s="1694"/>
      <c r="L41" s="1695"/>
      <c r="M41" s="1695"/>
      <c r="N41" s="1694"/>
      <c r="O41" s="1694"/>
      <c r="P41" s="1694"/>
      <c r="Q41" s="1694"/>
      <c r="R41" s="1696"/>
      <c r="S41" s="1696"/>
      <c r="T41" s="1696"/>
      <c r="U41" s="1683"/>
      <c r="V41" s="1683"/>
      <c r="W41" s="1683"/>
      <c r="X41" s="1683"/>
      <c r="Y41" s="1683"/>
      <c r="Z41" s="1683"/>
      <c r="AA41" s="1683"/>
      <c r="AB41" s="1683"/>
      <c r="AC41" s="1683"/>
      <c r="AD41" s="1683"/>
      <c r="AE41" s="1683"/>
      <c r="AF41" s="1683"/>
      <c r="AG41" s="1683"/>
      <c r="AH41" s="1683"/>
      <c r="AI41" s="1683"/>
      <c r="AJ41" s="1683"/>
      <c r="AK41" s="1683"/>
      <c r="AL41" s="1683"/>
      <c r="AM41" s="1683"/>
    </row>
    <row r="42" spans="1:39" hidden="1">
      <c r="A42" s="1691">
        <v>222</v>
      </c>
      <c r="B42" s="1708" t="s">
        <v>1288</v>
      </c>
      <c r="C42" s="1709" t="s">
        <v>3276</v>
      </c>
      <c r="D42" s="1708" t="s">
        <v>1022</v>
      </c>
      <c r="E42" s="1694">
        <v>4333</v>
      </c>
      <c r="F42" s="1694"/>
      <c r="G42" s="1694"/>
      <c r="H42" s="1694"/>
      <c r="I42" s="1691"/>
      <c r="J42" s="1691"/>
      <c r="K42" s="1694"/>
      <c r="L42" s="1708"/>
      <c r="M42" s="1708"/>
      <c r="N42" s="1694"/>
      <c r="O42" s="1694"/>
      <c r="P42" s="1694"/>
      <c r="Q42" s="1694"/>
      <c r="R42" s="1696"/>
      <c r="S42" s="1696"/>
      <c r="T42" s="1696"/>
      <c r="U42" s="1683"/>
      <c r="V42" s="1683"/>
      <c r="W42" s="1683"/>
      <c r="X42" s="1683"/>
      <c r="Y42" s="1683"/>
      <c r="Z42" s="1683"/>
      <c r="AA42" s="1683"/>
      <c r="AB42" s="1683"/>
      <c r="AC42" s="1683"/>
      <c r="AD42" s="1683"/>
      <c r="AE42" s="1683"/>
      <c r="AF42" s="1683"/>
      <c r="AG42" s="1683"/>
      <c r="AH42" s="1683"/>
      <c r="AI42" s="1683"/>
      <c r="AJ42" s="1683"/>
      <c r="AK42" s="1683"/>
      <c r="AL42" s="1683"/>
      <c r="AM42" s="1683"/>
    </row>
    <row r="43" spans="1:39" hidden="1">
      <c r="A43" s="1691">
        <v>221</v>
      </c>
      <c r="B43" s="1708" t="s">
        <v>1288</v>
      </c>
      <c r="C43" s="1709" t="s">
        <v>3277</v>
      </c>
      <c r="D43" s="1708" t="s">
        <v>1022</v>
      </c>
      <c r="E43" s="1694">
        <v>4333</v>
      </c>
      <c r="F43" s="1694"/>
      <c r="G43" s="1694"/>
      <c r="H43" s="1694"/>
      <c r="I43" s="1691"/>
      <c r="J43" s="1691"/>
      <c r="K43" s="1694"/>
      <c r="L43" s="1708"/>
      <c r="M43" s="1708"/>
      <c r="N43" s="1694"/>
      <c r="O43" s="1694"/>
      <c r="P43" s="1694"/>
      <c r="Q43" s="1694"/>
      <c r="R43" s="1696"/>
      <c r="S43" s="1696"/>
      <c r="T43" s="1696"/>
      <c r="U43" s="1683"/>
      <c r="V43" s="1683"/>
      <c r="W43" s="1683"/>
      <c r="X43" s="1683"/>
      <c r="Y43" s="1683"/>
      <c r="Z43" s="1683"/>
      <c r="AA43" s="1683"/>
      <c r="AB43" s="1683"/>
      <c r="AC43" s="1683"/>
      <c r="AD43" s="1683"/>
      <c r="AE43" s="1683"/>
      <c r="AF43" s="1683"/>
      <c r="AG43" s="1683"/>
      <c r="AH43" s="1683"/>
      <c r="AI43" s="1683"/>
      <c r="AJ43" s="1683"/>
      <c r="AK43" s="1683"/>
      <c r="AL43" s="1683"/>
      <c r="AM43" s="1683"/>
    </row>
    <row r="44" spans="1:39" hidden="1">
      <c r="A44" s="1691">
        <v>36</v>
      </c>
      <c r="B44" s="1706" t="s">
        <v>1294</v>
      </c>
      <c r="C44" s="1700" t="s">
        <v>3278</v>
      </c>
      <c r="D44" s="1707" t="s">
        <v>1268</v>
      </c>
      <c r="E44" s="1694">
        <v>4333</v>
      </c>
      <c r="F44" s="1691"/>
      <c r="G44" s="1691"/>
      <c r="H44" s="1691"/>
      <c r="I44" s="1691"/>
      <c r="J44" s="1691"/>
      <c r="K44" s="1691"/>
      <c r="L44" s="1711"/>
      <c r="M44" s="1711"/>
      <c r="N44" s="1691"/>
      <c r="O44" s="1691"/>
      <c r="P44" s="1694"/>
      <c r="Q44" s="1695"/>
      <c r="R44" s="1696"/>
      <c r="S44" s="1696"/>
      <c r="T44" s="1696"/>
      <c r="U44" s="1683"/>
      <c r="V44" s="1683"/>
      <c r="W44" s="1683"/>
      <c r="X44" s="1683"/>
      <c r="Y44" s="1683"/>
      <c r="Z44" s="1683"/>
      <c r="AA44" s="1683"/>
      <c r="AB44" s="1683"/>
      <c r="AC44" s="1683"/>
      <c r="AD44" s="1683"/>
      <c r="AE44" s="1683"/>
      <c r="AF44" s="1683"/>
      <c r="AG44" s="1683"/>
      <c r="AH44" s="1683"/>
      <c r="AI44" s="1683"/>
      <c r="AJ44" s="1683"/>
      <c r="AK44" s="1683"/>
      <c r="AL44" s="1683"/>
      <c r="AM44" s="1683"/>
    </row>
    <row r="45" spans="1:39" hidden="1">
      <c r="A45" s="1691">
        <v>37</v>
      </c>
      <c r="B45" s="1706" t="s">
        <v>1294</v>
      </c>
      <c r="C45" s="1700" t="s">
        <v>3279</v>
      </c>
      <c r="D45" s="1707" t="s">
        <v>1268</v>
      </c>
      <c r="E45" s="1694">
        <v>4333</v>
      </c>
      <c r="F45" s="1691"/>
      <c r="G45" s="1691"/>
      <c r="H45" s="1691"/>
      <c r="I45" s="1691"/>
      <c r="J45" s="1691"/>
      <c r="K45" s="1691"/>
      <c r="L45" s="1711"/>
      <c r="M45" s="1711"/>
      <c r="N45" s="1691"/>
      <c r="O45" s="1691"/>
      <c r="P45" s="1694"/>
      <c r="Q45" s="1695"/>
      <c r="R45" s="1696"/>
      <c r="S45" s="1696"/>
      <c r="T45" s="1696"/>
      <c r="U45" s="1683"/>
      <c r="V45" s="1683"/>
      <c r="W45" s="1683"/>
      <c r="X45" s="1683"/>
      <c r="Y45" s="1683"/>
      <c r="Z45" s="1683"/>
      <c r="AA45" s="1683"/>
      <c r="AB45" s="1683"/>
      <c r="AC45" s="1683"/>
      <c r="AD45" s="1683"/>
      <c r="AE45" s="1683"/>
      <c r="AF45" s="1683"/>
      <c r="AG45" s="1683"/>
      <c r="AH45" s="1683"/>
      <c r="AI45" s="1683"/>
      <c r="AJ45" s="1683"/>
      <c r="AK45" s="1683"/>
      <c r="AL45" s="1683"/>
      <c r="AM45" s="1683"/>
    </row>
    <row r="46" spans="1:39" hidden="1">
      <c r="A46" s="1691">
        <v>34</v>
      </c>
      <c r="B46" s="1706" t="s">
        <v>1297</v>
      </c>
      <c r="C46" s="1700" t="s">
        <v>1298</v>
      </c>
      <c r="D46" s="1707" t="s">
        <v>1268</v>
      </c>
      <c r="E46" s="1694">
        <v>4333</v>
      </c>
      <c r="F46" s="1691"/>
      <c r="G46" s="1691"/>
      <c r="H46" s="1691"/>
      <c r="I46" s="1691"/>
      <c r="J46" s="1691"/>
      <c r="K46" s="1691"/>
      <c r="L46" s="1711"/>
      <c r="M46" s="1711"/>
      <c r="N46" s="1691"/>
      <c r="O46" s="1691"/>
      <c r="P46" s="1694"/>
      <c r="Q46" s="1695"/>
      <c r="R46" s="1696"/>
      <c r="S46" s="1696"/>
      <c r="T46" s="1696"/>
      <c r="U46" s="1683"/>
      <c r="V46" s="1683"/>
      <c r="W46" s="1683"/>
      <c r="X46" s="1683"/>
      <c r="Y46" s="1683"/>
      <c r="Z46" s="1683"/>
      <c r="AA46" s="1683"/>
      <c r="AB46" s="1683"/>
      <c r="AC46" s="1683"/>
      <c r="AD46" s="1683"/>
      <c r="AE46" s="1683"/>
      <c r="AF46" s="1683"/>
      <c r="AG46" s="1683"/>
      <c r="AH46" s="1683"/>
      <c r="AI46" s="1683"/>
      <c r="AJ46" s="1683"/>
      <c r="AK46" s="1683"/>
      <c r="AL46" s="1683"/>
      <c r="AM46" s="1683"/>
    </row>
    <row r="47" spans="1:39" hidden="1">
      <c r="A47" s="1691">
        <v>35</v>
      </c>
      <c r="B47" s="1706" t="s">
        <v>1294</v>
      </c>
      <c r="C47" s="1700" t="s">
        <v>1299</v>
      </c>
      <c r="D47" s="1707" t="s">
        <v>1268</v>
      </c>
      <c r="E47" s="1694">
        <v>4333</v>
      </c>
      <c r="F47" s="1691"/>
      <c r="G47" s="1691"/>
      <c r="H47" s="1691"/>
      <c r="I47" s="1691"/>
      <c r="J47" s="1691"/>
      <c r="K47" s="1691"/>
      <c r="L47" s="1711"/>
      <c r="M47" s="1711"/>
      <c r="N47" s="1691"/>
      <c r="O47" s="1691"/>
      <c r="P47" s="1694"/>
      <c r="Q47" s="1695"/>
      <c r="R47" s="1696"/>
      <c r="S47" s="1696"/>
      <c r="T47" s="1696"/>
      <c r="U47" s="1683"/>
      <c r="V47" s="1683"/>
      <c r="W47" s="1683"/>
      <c r="X47" s="1683"/>
      <c r="Y47" s="1683"/>
      <c r="Z47" s="1683"/>
      <c r="AA47" s="1683"/>
      <c r="AB47" s="1683"/>
      <c r="AC47" s="1683"/>
      <c r="AD47" s="1683"/>
      <c r="AE47" s="1683"/>
      <c r="AF47" s="1683"/>
      <c r="AG47" s="1683"/>
      <c r="AH47" s="1683"/>
      <c r="AI47" s="1683"/>
      <c r="AJ47" s="1683"/>
      <c r="AK47" s="1683"/>
      <c r="AL47" s="1683"/>
      <c r="AM47" s="1683"/>
    </row>
    <row r="48" spans="1:39" hidden="1">
      <c r="A48" s="1691">
        <v>209</v>
      </c>
      <c r="B48" s="1708" t="s">
        <v>3280</v>
      </c>
      <c r="C48" s="1709" t="s">
        <v>1541</v>
      </c>
      <c r="D48" s="1708" t="s">
        <v>1022</v>
      </c>
      <c r="E48" s="1694">
        <v>4333</v>
      </c>
      <c r="F48" s="1694"/>
      <c r="G48" s="1694"/>
      <c r="H48" s="1694"/>
      <c r="I48" s="1691"/>
      <c r="J48" s="1691"/>
      <c r="K48" s="1694"/>
      <c r="L48" s="1708"/>
      <c r="M48" s="1708"/>
      <c r="N48" s="1694"/>
      <c r="O48" s="1694"/>
      <c r="P48" s="1694"/>
      <c r="Q48" s="1694"/>
      <c r="R48" s="1696"/>
      <c r="S48" s="1696"/>
      <c r="T48" s="1696"/>
      <c r="U48" s="1683"/>
      <c r="V48" s="1683"/>
      <c r="W48" s="1683"/>
      <c r="X48" s="1683"/>
      <c r="Y48" s="1683"/>
      <c r="Z48" s="1683"/>
      <c r="AA48" s="1683"/>
      <c r="AB48" s="1683"/>
      <c r="AC48" s="1683"/>
      <c r="AD48" s="1683"/>
      <c r="AE48" s="1683"/>
      <c r="AF48" s="1683"/>
      <c r="AG48" s="1683"/>
      <c r="AH48" s="1683"/>
      <c r="AI48" s="1683"/>
      <c r="AJ48" s="1683"/>
      <c r="AK48" s="1683"/>
      <c r="AL48" s="1683"/>
      <c r="AM48" s="1683"/>
    </row>
    <row r="49" spans="1:39" ht="36">
      <c r="A49" s="1691">
        <v>175</v>
      </c>
      <c r="B49" s="1706" t="s">
        <v>1303</v>
      </c>
      <c r="C49" s="1709" t="s">
        <v>1304</v>
      </c>
      <c r="D49" s="1710" t="s">
        <v>1263</v>
      </c>
      <c r="E49" s="1694">
        <v>4333</v>
      </c>
      <c r="F49" s="1694"/>
      <c r="G49" s="1694"/>
      <c r="H49" s="1694"/>
      <c r="I49" s="1691">
        <v>6</v>
      </c>
      <c r="J49" s="1691">
        <v>205</v>
      </c>
      <c r="K49" s="1694"/>
      <c r="L49" s="1710">
        <v>4000</v>
      </c>
      <c r="M49" s="1710">
        <f>U49</f>
        <v>4000</v>
      </c>
      <c r="N49" s="1694"/>
      <c r="O49" s="1694"/>
      <c r="P49" s="1694">
        <f>L49-O49</f>
        <v>4000</v>
      </c>
      <c r="Q49" s="1694">
        <f>40*1.07</f>
        <v>42.800000000000004</v>
      </c>
      <c r="R49" s="1696">
        <f>P49*Q49</f>
        <v>171200.00000000003</v>
      </c>
      <c r="S49" s="1696">
        <f>R49*(I49/(I49+J49+K49))</f>
        <v>4868.2464454976307</v>
      </c>
      <c r="T49" s="1696">
        <f>R49-S49</f>
        <v>166331.75355450239</v>
      </c>
      <c r="U49" s="1683">
        <f>200*2*10</f>
        <v>4000</v>
      </c>
      <c r="V49" s="1683"/>
      <c r="W49" s="1683"/>
      <c r="X49" s="1683"/>
      <c r="Y49" s="1683"/>
      <c r="Z49" s="1683"/>
      <c r="AA49" s="1683"/>
      <c r="AB49" s="1683"/>
      <c r="AC49" s="1683"/>
      <c r="AD49" s="1683"/>
      <c r="AE49" s="1683"/>
      <c r="AF49" s="1683"/>
      <c r="AG49" s="1683"/>
      <c r="AH49" s="1683"/>
      <c r="AI49" s="1683"/>
      <c r="AJ49" s="1683"/>
      <c r="AK49" s="1683"/>
      <c r="AL49" s="1683"/>
      <c r="AM49" s="1683"/>
    </row>
    <row r="50" spans="1:39" hidden="1">
      <c r="A50" s="1691">
        <v>210</v>
      </c>
      <c r="B50" s="1708" t="s">
        <v>1305</v>
      </c>
      <c r="C50" s="1709" t="s">
        <v>3281</v>
      </c>
      <c r="D50" s="1708" t="s">
        <v>1268</v>
      </c>
      <c r="E50" s="1694">
        <v>4333</v>
      </c>
      <c r="F50" s="1694"/>
      <c r="G50" s="1694"/>
      <c r="H50" s="1694"/>
      <c r="I50" s="1691"/>
      <c r="J50" s="1691"/>
      <c r="K50" s="1694"/>
      <c r="L50" s="1708"/>
      <c r="M50" s="1708"/>
      <c r="N50" s="1694"/>
      <c r="O50" s="1694"/>
      <c r="P50" s="1694"/>
      <c r="Q50" s="1694"/>
      <c r="R50" s="1696"/>
      <c r="S50" s="1696"/>
      <c r="T50" s="1696"/>
      <c r="U50" s="1683"/>
      <c r="V50" s="1683"/>
      <c r="W50" s="1683"/>
      <c r="X50" s="1683"/>
      <c r="Y50" s="1683"/>
      <c r="Z50" s="1683"/>
      <c r="AA50" s="1683"/>
      <c r="AB50" s="1683"/>
      <c r="AC50" s="1683"/>
      <c r="AD50" s="1683"/>
      <c r="AE50" s="1683"/>
      <c r="AF50" s="1683"/>
      <c r="AG50" s="1683"/>
      <c r="AH50" s="1683"/>
      <c r="AI50" s="1683"/>
      <c r="AJ50" s="1683"/>
      <c r="AK50" s="1683"/>
      <c r="AL50" s="1683"/>
      <c r="AM50" s="1683"/>
    </row>
    <row r="51" spans="1:39" hidden="1">
      <c r="A51" s="1691">
        <v>211</v>
      </c>
      <c r="B51" s="1708" t="s">
        <v>1305</v>
      </c>
      <c r="C51" s="1709" t="s">
        <v>3282</v>
      </c>
      <c r="D51" s="1708" t="s">
        <v>1268</v>
      </c>
      <c r="E51" s="1694">
        <v>4333</v>
      </c>
      <c r="F51" s="1694"/>
      <c r="G51" s="1694"/>
      <c r="H51" s="1694"/>
      <c r="I51" s="1691"/>
      <c r="J51" s="1691"/>
      <c r="K51" s="1694"/>
      <c r="L51" s="1708"/>
      <c r="M51" s="1708"/>
      <c r="N51" s="1694"/>
      <c r="O51" s="1694"/>
      <c r="P51" s="1694"/>
      <c r="Q51" s="1694"/>
      <c r="R51" s="1696"/>
      <c r="S51" s="1696"/>
      <c r="T51" s="1696"/>
      <c r="U51" s="1683"/>
      <c r="V51" s="1683"/>
      <c r="W51" s="1683"/>
      <c r="X51" s="1683"/>
      <c r="Y51" s="1683"/>
      <c r="Z51" s="1683"/>
      <c r="AA51" s="1683"/>
      <c r="AB51" s="1683"/>
      <c r="AC51" s="1683"/>
      <c r="AD51" s="1683"/>
      <c r="AE51" s="1683"/>
      <c r="AF51" s="1683"/>
      <c r="AG51" s="1683"/>
      <c r="AH51" s="1683"/>
      <c r="AI51" s="1683"/>
      <c r="AJ51" s="1683"/>
      <c r="AK51" s="1683"/>
      <c r="AL51" s="1683"/>
      <c r="AM51" s="1683"/>
    </row>
    <row r="52" spans="1:39" hidden="1">
      <c r="A52" s="1691">
        <v>212</v>
      </c>
      <c r="B52" s="1708" t="s">
        <v>1308</v>
      </c>
      <c r="C52" s="1709" t="s">
        <v>3283</v>
      </c>
      <c r="D52" s="1708" t="s">
        <v>1268</v>
      </c>
      <c r="E52" s="1694">
        <v>4333</v>
      </c>
      <c r="F52" s="1694"/>
      <c r="G52" s="1694"/>
      <c r="H52" s="1694"/>
      <c r="I52" s="1691"/>
      <c r="J52" s="1691"/>
      <c r="K52" s="1694"/>
      <c r="L52" s="1708"/>
      <c r="M52" s="1708"/>
      <c r="N52" s="1694"/>
      <c r="O52" s="1694"/>
      <c r="P52" s="1694"/>
      <c r="Q52" s="1694"/>
      <c r="R52" s="1696"/>
      <c r="S52" s="1696"/>
      <c r="T52" s="1696"/>
      <c r="U52" s="1683"/>
      <c r="V52" s="1683"/>
      <c r="W52" s="1683"/>
      <c r="X52" s="1683"/>
      <c r="Y52" s="1683"/>
      <c r="Z52" s="1683"/>
      <c r="AA52" s="1683"/>
      <c r="AB52" s="1683"/>
      <c r="AC52" s="1683"/>
      <c r="AD52" s="1683"/>
      <c r="AE52" s="1683"/>
      <c r="AF52" s="1683"/>
      <c r="AG52" s="1683"/>
      <c r="AH52" s="1683"/>
      <c r="AI52" s="1683"/>
      <c r="AJ52" s="1683"/>
      <c r="AK52" s="1683"/>
      <c r="AL52" s="1683"/>
      <c r="AM52" s="1683"/>
    </row>
    <row r="53" spans="1:39">
      <c r="A53" s="1691">
        <v>144</v>
      </c>
      <c r="B53" s="1706" t="s">
        <v>3284</v>
      </c>
      <c r="C53" s="1709" t="s">
        <v>3285</v>
      </c>
      <c r="D53" s="1706" t="s">
        <v>1022</v>
      </c>
      <c r="E53" s="1694">
        <v>4333</v>
      </c>
      <c r="F53" s="1694"/>
      <c r="G53" s="1694"/>
      <c r="H53" s="1694"/>
      <c r="I53" s="1691">
        <v>6</v>
      </c>
      <c r="J53" s="1691">
        <v>205</v>
      </c>
      <c r="K53" s="1694"/>
      <c r="L53" s="1706">
        <v>1</v>
      </c>
      <c r="M53" s="1706"/>
      <c r="N53" s="1694"/>
      <c r="O53" s="1694"/>
      <c r="P53" s="1694">
        <f>L53-O53</f>
        <v>1</v>
      </c>
      <c r="Q53" s="1694">
        <f>2000*1.07</f>
        <v>2140</v>
      </c>
      <c r="R53" s="1696">
        <f>P53*Q53</f>
        <v>2140</v>
      </c>
      <c r="S53" s="1696">
        <f>R53*(I53/(I53+J53+K53))</f>
        <v>60.85308056872038</v>
      </c>
      <c r="T53" s="1696">
        <f>R53-S53</f>
        <v>2079.1469194312795</v>
      </c>
      <c r="U53" s="1683"/>
      <c r="V53" s="1683"/>
      <c r="W53" s="1683"/>
      <c r="X53" s="1683"/>
      <c r="Y53" s="1683"/>
      <c r="Z53" s="1683"/>
      <c r="AA53" s="1683"/>
      <c r="AB53" s="1683"/>
      <c r="AC53" s="1683"/>
      <c r="AD53" s="1683"/>
      <c r="AE53" s="1683"/>
      <c r="AF53" s="1683"/>
      <c r="AG53" s="1683"/>
      <c r="AH53" s="1683"/>
      <c r="AI53" s="1683"/>
      <c r="AJ53" s="1683"/>
      <c r="AK53" s="1683"/>
      <c r="AL53" s="1683"/>
      <c r="AM53" s="1683"/>
    </row>
    <row r="54" spans="1:39" hidden="1">
      <c r="A54" s="1691"/>
      <c r="B54" s="1706" t="s">
        <v>1312</v>
      </c>
      <c r="C54" s="1709" t="s">
        <v>1313</v>
      </c>
      <c r="D54" s="1706"/>
      <c r="E54" s="1694">
        <v>4333</v>
      </c>
      <c r="F54" s="1694"/>
      <c r="G54" s="1694"/>
      <c r="H54" s="1694"/>
      <c r="I54" s="1691"/>
      <c r="J54" s="1691"/>
      <c r="K54" s="1694"/>
      <c r="L54" s="1706"/>
      <c r="M54" s="1706"/>
      <c r="N54" s="1694"/>
      <c r="O54" s="1694"/>
      <c r="P54" s="1694"/>
      <c r="Q54" s="1694"/>
      <c r="R54" s="1696"/>
      <c r="S54" s="1696"/>
      <c r="T54" s="1696"/>
      <c r="U54" s="1683"/>
      <c r="V54" s="1683"/>
      <c r="W54" s="1683"/>
      <c r="X54" s="1683"/>
      <c r="Y54" s="1683"/>
      <c r="Z54" s="1683"/>
      <c r="AA54" s="1683"/>
      <c r="AB54" s="1683"/>
      <c r="AC54" s="1683"/>
      <c r="AD54" s="1683"/>
      <c r="AE54" s="1683"/>
      <c r="AF54" s="1683"/>
      <c r="AG54" s="1683"/>
      <c r="AH54" s="1683"/>
      <c r="AI54" s="1683"/>
      <c r="AJ54" s="1683"/>
      <c r="AK54" s="1683"/>
      <c r="AL54" s="1683"/>
      <c r="AM54" s="1683"/>
    </row>
    <row r="55" spans="1:39">
      <c r="A55" s="1691">
        <v>180</v>
      </c>
      <c r="B55" s="1706" t="s">
        <v>1314</v>
      </c>
      <c r="C55" s="1709" t="s">
        <v>1315</v>
      </c>
      <c r="D55" s="1706" t="s">
        <v>1022</v>
      </c>
      <c r="E55" s="1694">
        <v>4333</v>
      </c>
      <c r="F55" s="1694"/>
      <c r="G55" s="1694"/>
      <c r="H55" s="1694"/>
      <c r="I55" s="1691">
        <v>6</v>
      </c>
      <c r="J55" s="1691"/>
      <c r="K55" s="1694"/>
      <c r="L55" s="1710"/>
      <c r="M55" s="1710"/>
      <c r="N55" s="1694"/>
      <c r="O55" s="1694"/>
      <c r="P55" s="1694"/>
      <c r="Q55" s="1694"/>
      <c r="R55" s="1696"/>
      <c r="S55" s="1696"/>
      <c r="T55" s="1696"/>
      <c r="U55" s="1683"/>
      <c r="V55" s="1683"/>
      <c r="W55" s="1683"/>
      <c r="X55" s="1683"/>
      <c r="Y55" s="1683"/>
      <c r="Z55" s="1683"/>
      <c r="AA55" s="1683"/>
      <c r="AB55" s="1683"/>
      <c r="AC55" s="1683"/>
      <c r="AD55" s="1683"/>
      <c r="AE55" s="1683"/>
      <c r="AF55" s="1683"/>
      <c r="AG55" s="1683"/>
      <c r="AH55" s="1683"/>
      <c r="AI55" s="1683"/>
      <c r="AJ55" s="1683"/>
      <c r="AK55" s="1683"/>
      <c r="AL55" s="1683"/>
      <c r="AM55" s="1683"/>
    </row>
    <row r="56" spans="1:39" hidden="1">
      <c r="A56" s="1691"/>
      <c r="B56" s="1706" t="s">
        <v>1314</v>
      </c>
      <c r="C56" s="1709" t="s">
        <v>1316</v>
      </c>
      <c r="D56" s="1706" t="s">
        <v>1022</v>
      </c>
      <c r="E56" s="1694">
        <v>4333</v>
      </c>
      <c r="F56" s="1694"/>
      <c r="G56" s="1694"/>
      <c r="H56" s="1694"/>
      <c r="I56" s="1691"/>
      <c r="J56" s="1691"/>
      <c r="K56" s="1694"/>
      <c r="L56" s="1710"/>
      <c r="M56" s="1710"/>
      <c r="N56" s="1694"/>
      <c r="O56" s="1694"/>
      <c r="P56" s="1694"/>
      <c r="Q56" s="1694"/>
      <c r="R56" s="1696"/>
      <c r="S56" s="1696"/>
      <c r="T56" s="1696"/>
      <c r="U56" s="1683"/>
      <c r="V56" s="1683"/>
      <c r="W56" s="1683"/>
      <c r="X56" s="1683"/>
      <c r="Y56" s="1683"/>
      <c r="Z56" s="1683"/>
      <c r="AA56" s="1683"/>
      <c r="AB56" s="1683"/>
      <c r="AC56" s="1683"/>
      <c r="AD56" s="1683"/>
      <c r="AE56" s="1683"/>
      <c r="AF56" s="1683"/>
      <c r="AG56" s="1683"/>
      <c r="AH56" s="1683"/>
      <c r="AI56" s="1683"/>
      <c r="AJ56" s="1683"/>
      <c r="AK56" s="1683"/>
      <c r="AL56" s="1683"/>
      <c r="AM56" s="1683"/>
    </row>
    <row r="57" spans="1:39" ht="19.5" hidden="1" customHeight="1">
      <c r="A57" s="1691"/>
      <c r="B57" s="1706" t="s">
        <v>1314</v>
      </c>
      <c r="C57" s="1709" t="s">
        <v>1317</v>
      </c>
      <c r="D57" s="1706" t="s">
        <v>1022</v>
      </c>
      <c r="E57" s="1694">
        <v>4333</v>
      </c>
      <c r="F57" s="1694"/>
      <c r="G57" s="1694"/>
      <c r="H57" s="1694"/>
      <c r="I57" s="1691"/>
      <c r="J57" s="1691"/>
      <c r="K57" s="1694"/>
      <c r="L57" s="1710"/>
      <c r="M57" s="1710"/>
      <c r="N57" s="1694"/>
      <c r="O57" s="1694"/>
      <c r="P57" s="1694"/>
      <c r="Q57" s="1694"/>
      <c r="R57" s="1696"/>
      <c r="S57" s="1696"/>
      <c r="T57" s="1696"/>
      <c r="U57" s="1683"/>
      <c r="V57" s="1683"/>
      <c r="W57" s="1683"/>
      <c r="X57" s="1683"/>
      <c r="Y57" s="1683"/>
      <c r="Z57" s="1683"/>
      <c r="AA57" s="1683"/>
      <c r="AB57" s="1683"/>
      <c r="AC57" s="1683"/>
      <c r="AD57" s="1683"/>
      <c r="AE57" s="1683"/>
      <c r="AF57" s="1683"/>
      <c r="AG57" s="1683"/>
      <c r="AH57" s="1683"/>
      <c r="AI57" s="1683"/>
      <c r="AJ57" s="1683"/>
      <c r="AK57" s="1683"/>
      <c r="AL57" s="1683"/>
      <c r="AM57" s="1683"/>
    </row>
    <row r="58" spans="1:39" ht="18.75" hidden="1" customHeight="1">
      <c r="A58" s="1694"/>
      <c r="B58" s="1692" t="s">
        <v>1318</v>
      </c>
      <c r="C58" s="1712" t="s">
        <v>1319</v>
      </c>
      <c r="D58" s="1691" t="s">
        <v>1022</v>
      </c>
      <c r="E58" s="1694">
        <v>4333</v>
      </c>
      <c r="F58" s="1691"/>
      <c r="G58" s="1691"/>
      <c r="H58" s="1691"/>
      <c r="I58" s="1691"/>
      <c r="J58" s="1691"/>
      <c r="K58" s="1691"/>
      <c r="L58" s="1694"/>
      <c r="M58" s="1694"/>
      <c r="N58" s="1691"/>
      <c r="O58" s="1691"/>
      <c r="P58" s="1694"/>
      <c r="Q58" s="1695"/>
      <c r="R58" s="1696"/>
      <c r="S58" s="1696"/>
      <c r="T58" s="1696"/>
      <c r="U58" s="1683"/>
      <c r="V58" s="1683"/>
      <c r="W58" s="1683"/>
      <c r="X58" s="1683"/>
      <c r="Y58" s="1683"/>
      <c r="Z58" s="1683"/>
      <c r="AA58" s="1683"/>
      <c r="AB58" s="1683"/>
      <c r="AC58" s="1683"/>
      <c r="AD58" s="1683"/>
      <c r="AE58" s="1683"/>
      <c r="AF58" s="1683"/>
      <c r="AG58" s="1683"/>
      <c r="AH58" s="1683"/>
      <c r="AI58" s="1683"/>
      <c r="AJ58" s="1683"/>
      <c r="AK58" s="1683"/>
      <c r="AL58" s="1683"/>
      <c r="AM58" s="1683"/>
    </row>
    <row r="59" spans="1:39" hidden="1">
      <c r="A59" s="1691">
        <v>181</v>
      </c>
      <c r="B59" s="1706" t="s">
        <v>1320</v>
      </c>
      <c r="C59" s="1709" t="s">
        <v>1321</v>
      </c>
      <c r="D59" s="1706" t="s">
        <v>1022</v>
      </c>
      <c r="E59" s="1694">
        <v>4333</v>
      </c>
      <c r="F59" s="1694"/>
      <c r="G59" s="1694"/>
      <c r="H59" s="1694"/>
      <c r="I59" s="1691"/>
      <c r="J59" s="1691"/>
      <c r="K59" s="1694"/>
      <c r="L59" s="1710"/>
      <c r="M59" s="1710"/>
      <c r="N59" s="1694"/>
      <c r="O59" s="1694"/>
      <c r="P59" s="1694"/>
      <c r="Q59" s="1694"/>
      <c r="R59" s="1696"/>
      <c r="S59" s="1696"/>
      <c r="T59" s="1696"/>
      <c r="U59" s="1683"/>
      <c r="V59" s="1683"/>
      <c r="W59" s="1683"/>
      <c r="X59" s="1683"/>
      <c r="Y59" s="1683"/>
      <c r="Z59" s="1683"/>
      <c r="AA59" s="1683"/>
      <c r="AB59" s="1683"/>
      <c r="AC59" s="1683"/>
      <c r="AD59" s="1683"/>
      <c r="AE59" s="1683"/>
      <c r="AF59" s="1683"/>
      <c r="AG59" s="1683"/>
      <c r="AH59" s="1683"/>
      <c r="AI59" s="1683"/>
      <c r="AJ59" s="1683"/>
      <c r="AK59" s="1683"/>
      <c r="AL59" s="1683"/>
      <c r="AM59" s="1683"/>
    </row>
    <row r="60" spans="1:39" hidden="1">
      <c r="A60" s="1691">
        <v>182</v>
      </c>
      <c r="B60" s="1706" t="s">
        <v>1322</v>
      </c>
      <c r="C60" s="1709" t="s">
        <v>1323</v>
      </c>
      <c r="D60" s="1706" t="s">
        <v>1022</v>
      </c>
      <c r="E60" s="1694">
        <v>4333</v>
      </c>
      <c r="F60" s="1694"/>
      <c r="G60" s="1694"/>
      <c r="H60" s="1694"/>
      <c r="I60" s="1691"/>
      <c r="J60" s="1691"/>
      <c r="K60" s="1694"/>
      <c r="L60" s="1710"/>
      <c r="M60" s="1710"/>
      <c r="N60" s="1694"/>
      <c r="O60" s="1694"/>
      <c r="P60" s="1694"/>
      <c r="Q60" s="1694"/>
      <c r="R60" s="1696"/>
      <c r="S60" s="1696"/>
      <c r="T60" s="1696"/>
      <c r="U60" s="1683"/>
      <c r="V60" s="1683"/>
      <c r="W60" s="1683"/>
      <c r="X60" s="1683"/>
      <c r="Y60" s="1683"/>
      <c r="Z60" s="1683"/>
      <c r="AA60" s="1683"/>
      <c r="AB60" s="1683"/>
      <c r="AC60" s="1683"/>
      <c r="AD60" s="1683"/>
      <c r="AE60" s="1683"/>
      <c r="AF60" s="1683"/>
      <c r="AG60" s="1683"/>
      <c r="AH60" s="1683"/>
      <c r="AI60" s="1683"/>
      <c r="AJ60" s="1683"/>
      <c r="AK60" s="1683"/>
      <c r="AL60" s="1683"/>
      <c r="AM60" s="1683"/>
    </row>
    <row r="61" spans="1:39">
      <c r="A61" s="1691">
        <v>141</v>
      </c>
      <c r="B61" s="1706" t="s">
        <v>1324</v>
      </c>
      <c r="C61" s="1709"/>
      <c r="D61" s="1706" t="s">
        <v>1325</v>
      </c>
      <c r="E61" s="1694">
        <v>4333</v>
      </c>
      <c r="F61" s="1694"/>
      <c r="G61" s="1694"/>
      <c r="H61" s="1694"/>
      <c r="I61" s="1691">
        <v>6</v>
      </c>
      <c r="J61" s="1691"/>
      <c r="K61" s="1694"/>
      <c r="L61" s="1706"/>
      <c r="M61" s="1706"/>
      <c r="N61" s="1694"/>
      <c r="O61" s="1694"/>
      <c r="P61" s="1694"/>
      <c r="Q61" s="1694"/>
      <c r="R61" s="1696"/>
      <c r="S61" s="1696"/>
      <c r="T61" s="1696"/>
      <c r="U61" s="1683"/>
      <c r="V61" s="1683"/>
      <c r="W61" s="1683"/>
      <c r="X61" s="1683" t="s">
        <v>3286</v>
      </c>
      <c r="Y61" s="1683" t="s">
        <v>3238</v>
      </c>
      <c r="Z61" s="1683"/>
      <c r="AA61" s="1683"/>
      <c r="AB61" s="1683"/>
      <c r="AC61" s="1683"/>
      <c r="AD61" s="1683"/>
      <c r="AE61" s="1683"/>
      <c r="AF61" s="1683"/>
      <c r="AG61" s="1683"/>
      <c r="AH61" s="1683"/>
      <c r="AI61" s="1683"/>
      <c r="AJ61" s="1683"/>
      <c r="AK61" s="1683"/>
      <c r="AL61" s="1683"/>
      <c r="AM61" s="1683"/>
    </row>
    <row r="62" spans="1:39" hidden="1">
      <c r="A62" s="1691">
        <v>234</v>
      </c>
      <c r="B62" s="1710" t="s">
        <v>3287</v>
      </c>
      <c r="C62" s="1709" t="s">
        <v>3288</v>
      </c>
      <c r="D62" s="1710" t="s">
        <v>1351</v>
      </c>
      <c r="E62" s="1694">
        <v>4333</v>
      </c>
      <c r="F62" s="1694"/>
      <c r="G62" s="1694"/>
      <c r="H62" s="1694"/>
      <c r="I62" s="1691"/>
      <c r="J62" s="1691"/>
      <c r="K62" s="1694"/>
      <c r="L62" s="1695"/>
      <c r="M62" s="1695"/>
      <c r="N62" s="1694"/>
      <c r="O62" s="1694"/>
      <c r="P62" s="1694"/>
      <c r="Q62" s="1694"/>
      <c r="R62" s="1696"/>
      <c r="S62" s="1696"/>
      <c r="T62" s="1696"/>
      <c r="U62" s="1683"/>
      <c r="V62" s="1683"/>
      <c r="W62" s="1683"/>
      <c r="X62" s="1683"/>
      <c r="Y62" s="1683"/>
      <c r="Z62" s="1683"/>
      <c r="AA62" s="1683"/>
      <c r="AB62" s="1683"/>
      <c r="AC62" s="1683"/>
      <c r="AD62" s="1683"/>
      <c r="AE62" s="1683"/>
      <c r="AF62" s="1683"/>
      <c r="AG62" s="1683"/>
      <c r="AH62" s="1683"/>
      <c r="AI62" s="1683"/>
      <c r="AJ62" s="1683"/>
      <c r="AK62" s="1683"/>
      <c r="AL62" s="1683"/>
      <c r="AM62" s="1683"/>
    </row>
    <row r="63" spans="1:39" ht="24">
      <c r="A63" s="1691">
        <v>176</v>
      </c>
      <c r="B63" s="1706" t="s">
        <v>1328</v>
      </c>
      <c r="C63" s="1709" t="s">
        <v>1329</v>
      </c>
      <c r="D63" s="1710" t="s">
        <v>1263</v>
      </c>
      <c r="E63" s="1694">
        <v>4333</v>
      </c>
      <c r="F63" s="1694"/>
      <c r="G63" s="1694"/>
      <c r="H63" s="1694"/>
      <c r="I63" s="1691">
        <v>6</v>
      </c>
      <c r="J63" s="1691">
        <v>205</v>
      </c>
      <c r="K63" s="1694"/>
      <c r="L63" s="1706">
        <v>6</v>
      </c>
      <c r="M63" s="1706">
        <v>6</v>
      </c>
      <c r="N63" s="1694"/>
      <c r="O63" s="1694"/>
      <c r="P63" s="1694">
        <f t="shared" ref="P63:P78" si="13">L63-O63</f>
        <v>6</v>
      </c>
      <c r="Q63" s="1694">
        <f>10000*1.07</f>
        <v>10700</v>
      </c>
      <c r="R63" s="1696">
        <f t="shared" ref="R63:R78" si="14">P63*Q63</f>
        <v>64200</v>
      </c>
      <c r="S63" s="1696">
        <f t="shared" ref="S63:S78" si="15">R63*(I63/(I63+J63+K63))</f>
        <v>1825.5924170616113</v>
      </c>
      <c r="T63" s="1696">
        <f t="shared" ref="T63:T78" si="16">R63-S63</f>
        <v>62374.407582938387</v>
      </c>
      <c r="U63" s="1683" t="s">
        <v>3289</v>
      </c>
      <c r="V63" s="1683"/>
      <c r="W63" s="1713">
        <f>4333/500*6</f>
        <v>51.996000000000002</v>
      </c>
      <c r="X63" s="1683">
        <f>W63*12</f>
        <v>623.952</v>
      </c>
      <c r="Y63" s="1698">
        <f>X63/100</f>
        <v>6.2395199999999997</v>
      </c>
      <c r="Z63" s="1683"/>
      <c r="AA63" s="1683"/>
      <c r="AB63" s="1683"/>
      <c r="AC63" s="1683"/>
      <c r="AD63" s="1683"/>
      <c r="AE63" s="1683"/>
      <c r="AF63" s="1683"/>
      <c r="AG63" s="1683"/>
      <c r="AH63" s="1683"/>
      <c r="AI63" s="1683"/>
      <c r="AJ63" s="1683"/>
      <c r="AK63" s="1683"/>
      <c r="AL63" s="1683"/>
      <c r="AM63" s="1683"/>
    </row>
    <row r="64" spans="1:39">
      <c r="A64" s="1691">
        <v>281</v>
      </c>
      <c r="B64" s="1706" t="s">
        <v>2601</v>
      </c>
      <c r="C64" s="1709" t="s">
        <v>3290</v>
      </c>
      <c r="D64" s="1706" t="s">
        <v>1022</v>
      </c>
      <c r="E64" s="1694">
        <v>4333</v>
      </c>
      <c r="F64" s="1694"/>
      <c r="G64" s="1694"/>
      <c r="H64" s="1694"/>
      <c r="I64" s="1691">
        <v>6</v>
      </c>
      <c r="J64" s="1691">
        <v>205</v>
      </c>
      <c r="K64" s="1694"/>
      <c r="L64" s="1710"/>
      <c r="M64" s="1710"/>
      <c r="N64" s="1694"/>
      <c r="O64" s="1694"/>
      <c r="P64" s="1694"/>
      <c r="Q64" s="1694"/>
      <c r="R64" s="1696"/>
      <c r="S64" s="1696"/>
      <c r="T64" s="1696"/>
      <c r="U64" s="1683"/>
      <c r="V64" s="1683"/>
      <c r="W64" s="1683"/>
      <c r="X64" s="1683"/>
      <c r="Y64" s="1683"/>
      <c r="Z64" s="1683"/>
      <c r="AA64" s="1683"/>
      <c r="AB64" s="1683"/>
      <c r="AC64" s="1683"/>
      <c r="AD64" s="1683"/>
      <c r="AE64" s="1683"/>
      <c r="AF64" s="1683"/>
      <c r="AG64" s="1683"/>
      <c r="AH64" s="1683"/>
      <c r="AI64" s="1683"/>
      <c r="AJ64" s="1683"/>
      <c r="AK64" s="1683"/>
      <c r="AL64" s="1683"/>
      <c r="AM64" s="1683"/>
    </row>
    <row r="65" spans="1:39">
      <c r="A65" s="1691">
        <v>86</v>
      </c>
      <c r="B65" s="1707" t="s">
        <v>3291</v>
      </c>
      <c r="C65" s="1709" t="s">
        <v>3290</v>
      </c>
      <c r="D65" s="1707" t="s">
        <v>1268</v>
      </c>
      <c r="E65" s="1694">
        <v>4333</v>
      </c>
      <c r="F65" s="1691"/>
      <c r="G65" s="1691"/>
      <c r="H65" s="1691"/>
      <c r="I65" s="1691">
        <v>6</v>
      </c>
      <c r="J65" s="1691">
        <v>205</v>
      </c>
      <c r="K65" s="1691"/>
      <c r="L65" s="1707">
        <v>10</v>
      </c>
      <c r="M65" s="1707"/>
      <c r="N65" s="1691"/>
      <c r="O65" s="1691"/>
      <c r="P65" s="1694">
        <f t="shared" si="13"/>
        <v>10</v>
      </c>
      <c r="Q65" s="1695">
        <f>400*1.07</f>
        <v>428</v>
      </c>
      <c r="R65" s="1696">
        <f t="shared" si="14"/>
        <v>4280</v>
      </c>
      <c r="S65" s="1696">
        <f t="shared" si="15"/>
        <v>121.70616113744076</v>
      </c>
      <c r="T65" s="1696">
        <f t="shared" si="16"/>
        <v>4158.2938388625589</v>
      </c>
      <c r="U65" s="1683" t="s">
        <v>3292</v>
      </c>
      <c r="V65" s="1683"/>
      <c r="W65" s="1683"/>
      <c r="X65" s="1683"/>
      <c r="Y65" s="1683"/>
      <c r="Z65" s="1683"/>
      <c r="AA65" s="1683"/>
      <c r="AB65" s="1683"/>
      <c r="AC65" s="1683"/>
      <c r="AD65" s="1683"/>
      <c r="AE65" s="1683"/>
      <c r="AF65" s="1683"/>
      <c r="AG65" s="1683"/>
      <c r="AH65" s="1683"/>
      <c r="AI65" s="1683"/>
      <c r="AJ65" s="1683"/>
      <c r="AK65" s="1683"/>
      <c r="AL65" s="1683"/>
      <c r="AM65" s="1683"/>
    </row>
    <row r="66" spans="1:39" ht="36">
      <c r="A66" s="1691">
        <v>142</v>
      </c>
      <c r="B66" s="1706" t="s">
        <v>1333</v>
      </c>
      <c r="C66" s="1709" t="s">
        <v>1334</v>
      </c>
      <c r="D66" s="1706" t="s">
        <v>1335</v>
      </c>
      <c r="E66" s="1694">
        <v>4333</v>
      </c>
      <c r="F66" s="1694"/>
      <c r="G66" s="1694"/>
      <c r="H66" s="1694"/>
      <c r="I66" s="1691">
        <v>6</v>
      </c>
      <c r="J66" s="1691">
        <v>205</v>
      </c>
      <c r="K66" s="1694"/>
      <c r="L66" s="1706">
        <v>3</v>
      </c>
      <c r="M66" s="1706"/>
      <c r="N66" s="1694"/>
      <c r="O66" s="1694"/>
      <c r="P66" s="1694">
        <f t="shared" si="13"/>
        <v>3</v>
      </c>
      <c r="Q66" s="1694">
        <f>12000*1.07</f>
        <v>12840</v>
      </c>
      <c r="R66" s="1696">
        <f t="shared" si="14"/>
        <v>38520</v>
      </c>
      <c r="S66" s="1696">
        <f t="shared" si="15"/>
        <v>1095.3554502369668</v>
      </c>
      <c r="T66" s="1696">
        <f t="shared" si="16"/>
        <v>37424.644549763034</v>
      </c>
      <c r="U66" s="1683"/>
      <c r="V66" s="1683"/>
      <c r="W66" s="1683"/>
      <c r="X66" s="1683"/>
      <c r="Y66" s="1683"/>
      <c r="Z66" s="1683"/>
      <c r="AA66" s="1683"/>
      <c r="AB66" s="1683"/>
      <c r="AC66" s="1683"/>
      <c r="AD66" s="1683"/>
      <c r="AE66" s="1683"/>
      <c r="AF66" s="1683"/>
      <c r="AG66" s="1683"/>
      <c r="AH66" s="1683"/>
      <c r="AI66" s="1683"/>
      <c r="AJ66" s="1683"/>
      <c r="AK66" s="1683"/>
      <c r="AL66" s="1683"/>
      <c r="AM66" s="1683"/>
    </row>
    <row r="67" spans="1:39" ht="24" hidden="1">
      <c r="A67" s="1691"/>
      <c r="B67" s="1706" t="s">
        <v>1333</v>
      </c>
      <c r="C67" s="1709" t="s">
        <v>1336</v>
      </c>
      <c r="D67" s="1706" t="s">
        <v>1335</v>
      </c>
      <c r="E67" s="1694">
        <v>4333</v>
      </c>
      <c r="F67" s="1694"/>
      <c r="G67" s="1694"/>
      <c r="H67" s="1694"/>
      <c r="I67" s="1691"/>
      <c r="J67" s="1691"/>
      <c r="K67" s="1694"/>
      <c r="L67" s="1706"/>
      <c r="M67" s="1706"/>
      <c r="N67" s="1694"/>
      <c r="O67" s="1694"/>
      <c r="P67" s="1694"/>
      <c r="Q67" s="1694"/>
      <c r="R67" s="1696"/>
      <c r="S67" s="1696"/>
      <c r="T67" s="1696"/>
      <c r="U67" s="1683"/>
      <c r="V67" s="1683"/>
      <c r="W67" s="1683"/>
      <c r="X67" s="1683"/>
      <c r="Y67" s="1683"/>
      <c r="Z67" s="1683"/>
      <c r="AA67" s="1683"/>
      <c r="AB67" s="1683"/>
      <c r="AC67" s="1683"/>
      <c r="AD67" s="1683"/>
      <c r="AE67" s="1683"/>
      <c r="AF67" s="1683"/>
      <c r="AG67" s="1683"/>
      <c r="AH67" s="1683"/>
      <c r="AI67" s="1683"/>
      <c r="AJ67" s="1683"/>
      <c r="AK67" s="1683"/>
      <c r="AL67" s="1683"/>
      <c r="AM67" s="1683"/>
    </row>
    <row r="68" spans="1:39" ht="24" hidden="1">
      <c r="A68" s="1691"/>
      <c r="B68" s="1706" t="s">
        <v>1333</v>
      </c>
      <c r="C68" s="1709" t="s">
        <v>1337</v>
      </c>
      <c r="D68" s="1706" t="s">
        <v>1338</v>
      </c>
      <c r="E68" s="1694">
        <v>4333</v>
      </c>
      <c r="F68" s="1694"/>
      <c r="G68" s="1694"/>
      <c r="H68" s="1694"/>
      <c r="I68" s="1691"/>
      <c r="J68" s="1691"/>
      <c r="K68" s="1694"/>
      <c r="L68" s="1706"/>
      <c r="M68" s="1706"/>
      <c r="N68" s="1694"/>
      <c r="O68" s="1694"/>
      <c r="P68" s="1694"/>
      <c r="Q68" s="1694"/>
      <c r="R68" s="1696"/>
      <c r="S68" s="1696"/>
      <c r="T68" s="1696"/>
      <c r="U68" s="1683"/>
      <c r="V68" s="1683"/>
      <c r="W68" s="1683"/>
      <c r="X68" s="1683"/>
      <c r="Y68" s="1683"/>
      <c r="Z68" s="1683"/>
      <c r="AA68" s="1683"/>
      <c r="AB68" s="1683"/>
      <c r="AC68" s="1683"/>
      <c r="AD68" s="1683"/>
      <c r="AE68" s="1683"/>
      <c r="AF68" s="1683"/>
      <c r="AG68" s="1683"/>
      <c r="AH68" s="1683"/>
      <c r="AI68" s="1683"/>
      <c r="AJ68" s="1683"/>
      <c r="AK68" s="1683"/>
      <c r="AL68" s="1683"/>
      <c r="AM68" s="1683"/>
    </row>
    <row r="69" spans="1:39" hidden="1">
      <c r="A69" s="1609"/>
      <c r="B69" s="1618"/>
      <c r="C69" s="1621"/>
      <c r="D69" s="1618"/>
      <c r="E69" s="1694">
        <v>4333</v>
      </c>
      <c r="F69" s="1581"/>
      <c r="G69" s="1581"/>
      <c r="H69" s="1581"/>
      <c r="I69" s="1609"/>
      <c r="J69" s="1609"/>
      <c r="K69" s="1581"/>
      <c r="L69" s="1618"/>
      <c r="M69" s="1618"/>
      <c r="N69" s="1581"/>
      <c r="O69" s="1581"/>
      <c r="P69" s="1581"/>
      <c r="Q69" s="1581"/>
      <c r="R69" s="1611"/>
      <c r="S69" s="1611"/>
      <c r="T69" s="1611"/>
    </row>
    <row r="70" spans="1:39" hidden="1">
      <c r="A70" s="1609">
        <v>287</v>
      </c>
      <c r="B70" s="1618" t="s">
        <v>1339</v>
      </c>
      <c r="C70" s="1621" t="s">
        <v>1340</v>
      </c>
      <c r="D70" s="1618" t="s">
        <v>1022</v>
      </c>
      <c r="E70" s="1694">
        <v>4333</v>
      </c>
      <c r="F70" s="1581"/>
      <c r="G70" s="1581"/>
      <c r="H70" s="1581"/>
      <c r="I70" s="1609">
        <v>6</v>
      </c>
      <c r="J70" s="1609">
        <v>205</v>
      </c>
      <c r="K70" s="1581"/>
      <c r="L70" s="1622"/>
      <c r="M70" s="1622"/>
      <c r="N70" s="1581"/>
      <c r="O70" s="1581"/>
      <c r="P70" s="1581"/>
      <c r="Q70" s="1581"/>
      <c r="R70" s="1611"/>
      <c r="S70" s="1611"/>
      <c r="T70" s="1611"/>
    </row>
    <row r="71" spans="1:39" hidden="1">
      <c r="A71" s="1609">
        <v>279</v>
      </c>
      <c r="B71" s="1618" t="s">
        <v>1341</v>
      </c>
      <c r="C71" s="1621" t="s">
        <v>1342</v>
      </c>
      <c r="D71" s="1618" t="s">
        <v>1022</v>
      </c>
      <c r="E71" s="1694">
        <v>4333</v>
      </c>
      <c r="F71" s="1581"/>
      <c r="G71" s="1581"/>
      <c r="H71" s="1581"/>
      <c r="I71" s="1609">
        <v>6</v>
      </c>
      <c r="J71" s="1609">
        <v>205</v>
      </c>
      <c r="K71" s="1581"/>
      <c r="L71" s="1622"/>
      <c r="M71" s="1622"/>
      <c r="N71" s="1581"/>
      <c r="O71" s="1581"/>
      <c r="P71" s="1581"/>
      <c r="Q71" s="1581"/>
      <c r="R71" s="1611"/>
      <c r="S71" s="1611"/>
      <c r="T71" s="1611"/>
    </row>
    <row r="72" spans="1:39" ht="38.25">
      <c r="A72" s="1609">
        <v>55</v>
      </c>
      <c r="B72" s="1619" t="s">
        <v>1343</v>
      </c>
      <c r="C72" s="1614" t="s">
        <v>1344</v>
      </c>
      <c r="D72" s="1619" t="s">
        <v>1268</v>
      </c>
      <c r="E72" s="1694">
        <v>4333</v>
      </c>
      <c r="F72" s="1609"/>
      <c r="G72" s="1609"/>
      <c r="H72" s="1609"/>
      <c r="I72" s="1609">
        <v>6</v>
      </c>
      <c r="J72" s="1609">
        <v>205</v>
      </c>
      <c r="K72" s="1609"/>
      <c r="L72" s="1619">
        <v>15</v>
      </c>
      <c r="M72" s="1619"/>
      <c r="N72" s="1609"/>
      <c r="O72" s="1609"/>
      <c r="P72" s="1581">
        <f t="shared" si="13"/>
        <v>15</v>
      </c>
      <c r="Q72" s="1610">
        <f>400*1.07</f>
        <v>428</v>
      </c>
      <c r="R72" s="1611">
        <f t="shared" si="14"/>
        <v>6420</v>
      </c>
      <c r="S72" s="1611">
        <f t="shared" si="15"/>
        <v>182.55924170616112</v>
      </c>
      <c r="T72" s="1611">
        <f t="shared" si="16"/>
        <v>6237.4407582938393</v>
      </c>
    </row>
    <row r="73" spans="1:39" ht="38.25">
      <c r="A73" s="1609">
        <v>56</v>
      </c>
      <c r="B73" s="1619" t="s">
        <v>1341</v>
      </c>
      <c r="C73" s="1614" t="s">
        <v>1345</v>
      </c>
      <c r="D73" s="1619" t="s">
        <v>1268</v>
      </c>
      <c r="E73" s="1694">
        <v>4333</v>
      </c>
      <c r="F73" s="1609"/>
      <c r="G73" s="1609"/>
      <c r="H73" s="1609"/>
      <c r="I73" s="1609">
        <v>6</v>
      </c>
      <c r="J73" s="1609">
        <v>205</v>
      </c>
      <c r="K73" s="1609"/>
      <c r="L73" s="1619">
        <v>15</v>
      </c>
      <c r="M73" s="1619"/>
      <c r="N73" s="1609"/>
      <c r="O73" s="1609"/>
      <c r="P73" s="1581">
        <f t="shared" si="13"/>
        <v>15</v>
      </c>
      <c r="Q73" s="1610">
        <f>480*1.07</f>
        <v>513.6</v>
      </c>
      <c r="R73" s="1611">
        <f t="shared" si="14"/>
        <v>7704</v>
      </c>
      <c r="S73" s="1611">
        <f t="shared" si="15"/>
        <v>219.07109004739337</v>
      </c>
      <c r="T73" s="1611">
        <f t="shared" si="16"/>
        <v>7484.9289099526068</v>
      </c>
    </row>
    <row r="74" spans="1:39" ht="38.25">
      <c r="A74" s="1609">
        <v>53</v>
      </c>
      <c r="B74" s="1619" t="s">
        <v>1346</v>
      </c>
      <c r="C74" s="1614" t="s">
        <v>1347</v>
      </c>
      <c r="D74" s="1619" t="s">
        <v>1268</v>
      </c>
      <c r="E74" s="1694">
        <v>4333</v>
      </c>
      <c r="F74" s="1609"/>
      <c r="G74" s="1609"/>
      <c r="H74" s="1609"/>
      <c r="I74" s="1609">
        <v>6</v>
      </c>
      <c r="J74" s="1609">
        <v>205</v>
      </c>
      <c r="K74" s="1609"/>
      <c r="L74" s="1619">
        <v>15</v>
      </c>
      <c r="M74" s="1619"/>
      <c r="N74" s="1609"/>
      <c r="O74" s="1609"/>
      <c r="P74" s="1581">
        <f t="shared" si="13"/>
        <v>15</v>
      </c>
      <c r="Q74" s="1610">
        <f>380*1.07</f>
        <v>406.6</v>
      </c>
      <c r="R74" s="1611">
        <f t="shared" si="14"/>
        <v>6099</v>
      </c>
      <c r="S74" s="1611">
        <f t="shared" si="15"/>
        <v>173.43127962085308</v>
      </c>
      <c r="T74" s="1611">
        <f t="shared" si="16"/>
        <v>5925.5687203791467</v>
      </c>
    </row>
    <row r="75" spans="1:39" ht="38.25">
      <c r="A75" s="1609">
        <v>54</v>
      </c>
      <c r="B75" s="1619" t="s">
        <v>1343</v>
      </c>
      <c r="C75" s="1614" t="s">
        <v>1348</v>
      </c>
      <c r="D75" s="1619" t="s">
        <v>1268</v>
      </c>
      <c r="E75" s="1694">
        <v>4333</v>
      </c>
      <c r="F75" s="1609"/>
      <c r="G75" s="1609"/>
      <c r="H75" s="1609"/>
      <c r="I75" s="1609">
        <v>6</v>
      </c>
      <c r="J75" s="1609">
        <v>205</v>
      </c>
      <c r="K75" s="1609"/>
      <c r="L75" s="1619">
        <v>15</v>
      </c>
      <c r="M75" s="1619"/>
      <c r="N75" s="1609"/>
      <c r="O75" s="1609"/>
      <c r="P75" s="1581">
        <f t="shared" si="13"/>
        <v>15</v>
      </c>
      <c r="Q75" s="1610">
        <f>450*1.07</f>
        <v>481.5</v>
      </c>
      <c r="R75" s="1611">
        <f t="shared" si="14"/>
        <v>7222.5</v>
      </c>
      <c r="S75" s="1611">
        <f t="shared" si="15"/>
        <v>205.37914691943126</v>
      </c>
      <c r="T75" s="1611">
        <f t="shared" si="16"/>
        <v>7017.1208530805688</v>
      </c>
    </row>
    <row r="76" spans="1:39" hidden="1">
      <c r="A76" s="1609">
        <v>186</v>
      </c>
      <c r="B76" s="1620" t="s">
        <v>1349</v>
      </c>
      <c r="C76" s="1621" t="s">
        <v>1350</v>
      </c>
      <c r="D76" s="1620" t="s">
        <v>1351</v>
      </c>
      <c r="E76" s="1694">
        <v>4333</v>
      </c>
      <c r="F76" s="1581"/>
      <c r="G76" s="1581"/>
      <c r="H76" s="1581"/>
      <c r="I76" s="1609">
        <v>6</v>
      </c>
      <c r="J76" s="1609">
        <v>205</v>
      </c>
      <c r="K76" s="1581"/>
      <c r="L76" s="1620"/>
      <c r="M76" s="1620"/>
      <c r="N76" s="1581"/>
      <c r="O76" s="1581"/>
      <c r="P76" s="1581"/>
      <c r="Q76" s="1581"/>
      <c r="R76" s="1611"/>
      <c r="S76" s="1611"/>
      <c r="T76" s="1611"/>
    </row>
    <row r="77" spans="1:39" hidden="1">
      <c r="A77" s="1609">
        <v>233</v>
      </c>
      <c r="B77" s="1622" t="s">
        <v>1349</v>
      </c>
      <c r="C77" s="1621" t="s">
        <v>1352</v>
      </c>
      <c r="D77" s="1622" t="s">
        <v>1351</v>
      </c>
      <c r="E77" s="1694">
        <v>4333</v>
      </c>
      <c r="F77" s="1581"/>
      <c r="G77" s="1581"/>
      <c r="H77" s="1581"/>
      <c r="I77" s="1609"/>
      <c r="J77" s="1609"/>
      <c r="K77" s="1581"/>
      <c r="L77" s="1610"/>
      <c r="M77" s="1610"/>
      <c r="N77" s="1581"/>
      <c r="O77" s="1581"/>
      <c r="P77" s="1581"/>
      <c r="Q77" s="1581"/>
      <c r="R77" s="1611"/>
      <c r="S77" s="1611"/>
      <c r="T77" s="1611"/>
    </row>
    <row r="78" spans="1:39" ht="25.5">
      <c r="A78" s="1609">
        <v>156</v>
      </c>
      <c r="B78" s="1618" t="s">
        <v>1353</v>
      </c>
      <c r="C78" s="1621" t="s">
        <v>1354</v>
      </c>
      <c r="D78" s="1618" t="s">
        <v>1022</v>
      </c>
      <c r="E78" s="1694">
        <v>4333</v>
      </c>
      <c r="F78" s="1581"/>
      <c r="G78" s="1581"/>
      <c r="H78" s="1581"/>
      <c r="I78" s="1609">
        <v>6</v>
      </c>
      <c r="J78" s="1609">
        <v>205</v>
      </c>
      <c r="K78" s="1581"/>
      <c r="L78" s="1618"/>
      <c r="M78" s="1618"/>
      <c r="N78" s="1581"/>
      <c r="O78" s="1581"/>
      <c r="P78" s="1581">
        <f t="shared" si="13"/>
        <v>0</v>
      </c>
      <c r="Q78" s="1581">
        <f>1500*1.07</f>
        <v>1605</v>
      </c>
      <c r="R78" s="1611">
        <f t="shared" si="14"/>
        <v>0</v>
      </c>
      <c r="S78" s="1611">
        <f t="shared" si="15"/>
        <v>0</v>
      </c>
      <c r="T78" s="1611">
        <f t="shared" si="16"/>
        <v>0</v>
      </c>
      <c r="V78" s="1578" t="s">
        <v>3293</v>
      </c>
    </row>
    <row r="79" spans="1:39" ht="38.25" hidden="1">
      <c r="A79" s="1609">
        <v>251</v>
      </c>
      <c r="B79" s="1622" t="s">
        <v>1355</v>
      </c>
      <c r="C79" s="1621" t="s">
        <v>1356</v>
      </c>
      <c r="D79" s="1622" t="s">
        <v>1022</v>
      </c>
      <c r="E79" s="1694">
        <v>4333</v>
      </c>
      <c r="F79" s="1581"/>
      <c r="G79" s="1581"/>
      <c r="H79" s="1581"/>
      <c r="I79" s="1609">
        <v>6</v>
      </c>
      <c r="J79" s="1609">
        <v>205</v>
      </c>
      <c r="K79" s="1581"/>
      <c r="L79" s="1610"/>
      <c r="M79" s="1610"/>
      <c r="N79" s="1581"/>
      <c r="O79" s="1581"/>
      <c r="P79" s="1581"/>
      <c r="Q79" s="1581"/>
      <c r="R79" s="1611"/>
      <c r="S79" s="1611"/>
      <c r="T79" s="1611"/>
    </row>
    <row r="80" spans="1:39" ht="25.5" hidden="1">
      <c r="A80" s="1581"/>
      <c r="B80" s="1056" t="s">
        <v>1357</v>
      </c>
      <c r="C80" s="1614" t="s">
        <v>1358</v>
      </c>
      <c r="D80" s="1056" t="s">
        <v>1022</v>
      </c>
      <c r="E80" s="1694">
        <v>4333</v>
      </c>
      <c r="F80" s="1609"/>
      <c r="G80" s="1609"/>
      <c r="H80" s="1609"/>
      <c r="I80" s="1609"/>
      <c r="J80" s="1609"/>
      <c r="K80" s="1609"/>
      <c r="L80" s="1056"/>
      <c r="M80" s="1056"/>
      <c r="N80" s="1609"/>
      <c r="O80" s="1609"/>
      <c r="P80" s="1581"/>
      <c r="Q80" s="1610"/>
      <c r="R80" s="1611"/>
      <c r="S80" s="1611"/>
      <c r="T80" s="1611"/>
    </row>
    <row r="81" spans="1:20" hidden="1">
      <c r="A81" s="1609">
        <v>216</v>
      </c>
      <c r="B81" s="1620" t="s">
        <v>1359</v>
      </c>
      <c r="C81" s="1621" t="s">
        <v>3294</v>
      </c>
      <c r="D81" s="1620" t="s">
        <v>1022</v>
      </c>
      <c r="E81" s="1694">
        <v>4333</v>
      </c>
      <c r="F81" s="1581"/>
      <c r="G81" s="1581"/>
      <c r="H81" s="1581"/>
      <c r="I81" s="1609">
        <v>6</v>
      </c>
      <c r="J81" s="1609">
        <v>205</v>
      </c>
      <c r="K81" s="1581"/>
      <c r="L81" s="1620"/>
      <c r="M81" s="1620"/>
      <c r="N81" s="1581"/>
      <c r="O81" s="1581"/>
      <c r="P81" s="1581"/>
      <c r="Q81" s="1581"/>
      <c r="R81" s="1611"/>
      <c r="S81" s="1611"/>
      <c r="T81" s="1611"/>
    </row>
    <row r="82" spans="1:20" hidden="1">
      <c r="A82" s="1609">
        <v>217</v>
      </c>
      <c r="B82" s="1620" t="s">
        <v>1359</v>
      </c>
      <c r="C82" s="1621" t="s">
        <v>3295</v>
      </c>
      <c r="D82" s="1620" t="s">
        <v>1022</v>
      </c>
      <c r="E82" s="1694">
        <v>4333</v>
      </c>
      <c r="F82" s="1581"/>
      <c r="G82" s="1581"/>
      <c r="H82" s="1581"/>
      <c r="I82" s="1609">
        <v>6</v>
      </c>
      <c r="J82" s="1609">
        <v>205</v>
      </c>
      <c r="K82" s="1581"/>
      <c r="L82" s="1620"/>
      <c r="M82" s="1620"/>
      <c r="N82" s="1581"/>
      <c r="O82" s="1581"/>
      <c r="P82" s="1581"/>
      <c r="Q82" s="1581"/>
      <c r="R82" s="1611"/>
      <c r="S82" s="1611"/>
      <c r="T82" s="1611"/>
    </row>
    <row r="83" spans="1:20">
      <c r="A83" s="1609">
        <v>130</v>
      </c>
      <c r="B83" s="1618" t="s">
        <v>1359</v>
      </c>
      <c r="C83" s="1621" t="s">
        <v>3296</v>
      </c>
      <c r="D83" s="1618" t="s">
        <v>1268</v>
      </c>
      <c r="E83" s="1694">
        <v>4333</v>
      </c>
      <c r="F83" s="1581"/>
      <c r="G83" s="1581"/>
      <c r="H83" s="1581"/>
      <c r="I83" s="1609">
        <v>6</v>
      </c>
      <c r="J83" s="1609">
        <v>205</v>
      </c>
      <c r="K83" s="1581"/>
      <c r="L83" s="1618">
        <v>5</v>
      </c>
      <c r="M83" s="1618"/>
      <c r="N83" s="1581"/>
      <c r="O83" s="1581"/>
      <c r="P83" s="1581">
        <f t="shared" ref="P83:P88" si="17">L83-O83</f>
        <v>5</v>
      </c>
      <c r="Q83" s="1581">
        <f>1900*1.07</f>
        <v>2033.0000000000002</v>
      </c>
      <c r="R83" s="1611">
        <f t="shared" ref="R83:R88" si="18">P83*Q83</f>
        <v>10165.000000000002</v>
      </c>
      <c r="S83" s="1611">
        <f t="shared" ref="S83:S88" si="19">R83*(I83/(I83+J83+K83))</f>
        <v>289.05213270142184</v>
      </c>
      <c r="T83" s="1611">
        <f t="shared" ref="T83:T88" si="20">R83-S83</f>
        <v>9875.9478672985806</v>
      </c>
    </row>
    <row r="84" spans="1:20" hidden="1">
      <c r="A84" s="1609">
        <v>270</v>
      </c>
      <c r="B84" s="1618" t="s">
        <v>1364</v>
      </c>
      <c r="C84" s="1621" t="s">
        <v>1365</v>
      </c>
      <c r="D84" s="1618" t="s">
        <v>1022</v>
      </c>
      <c r="E84" s="1694">
        <v>4333</v>
      </c>
      <c r="F84" s="1581"/>
      <c r="G84" s="1581"/>
      <c r="H84" s="1581"/>
      <c r="I84" s="1609">
        <v>6</v>
      </c>
      <c r="J84" s="1609">
        <v>205</v>
      </c>
      <c r="K84" s="1581"/>
      <c r="L84" s="1622"/>
      <c r="M84" s="1622"/>
      <c r="N84" s="1581"/>
      <c r="O84" s="1581"/>
      <c r="P84" s="1581"/>
      <c r="Q84" s="1581"/>
      <c r="R84" s="1611"/>
      <c r="S84" s="1611"/>
      <c r="T84" s="1611"/>
    </row>
    <row r="85" spans="1:20" hidden="1">
      <c r="A85" s="1609">
        <v>271</v>
      </c>
      <c r="B85" s="1618" t="s">
        <v>1366</v>
      </c>
      <c r="C85" s="1621" t="s">
        <v>1367</v>
      </c>
      <c r="D85" s="1618" t="s">
        <v>1022</v>
      </c>
      <c r="E85" s="1694">
        <v>4333</v>
      </c>
      <c r="F85" s="1581"/>
      <c r="G85" s="1581"/>
      <c r="H85" s="1581"/>
      <c r="I85" s="1609">
        <v>6</v>
      </c>
      <c r="J85" s="1609">
        <v>205</v>
      </c>
      <c r="K85" s="1581"/>
      <c r="L85" s="1622"/>
      <c r="M85" s="1622"/>
      <c r="N85" s="1581"/>
      <c r="O85" s="1581"/>
      <c r="P85" s="1581"/>
      <c r="Q85" s="1581"/>
      <c r="R85" s="1611"/>
      <c r="S85" s="1611"/>
      <c r="T85" s="1611"/>
    </row>
    <row r="86" spans="1:20">
      <c r="A86" s="1609">
        <v>89</v>
      </c>
      <c r="B86" s="1619" t="s">
        <v>1368</v>
      </c>
      <c r="C86" s="1614" t="s">
        <v>1369</v>
      </c>
      <c r="D86" s="1619" t="s">
        <v>1268</v>
      </c>
      <c r="E86" s="1694">
        <v>4333</v>
      </c>
      <c r="F86" s="1609"/>
      <c r="G86" s="1609"/>
      <c r="H86" s="1609"/>
      <c r="I86" s="1609">
        <v>6</v>
      </c>
      <c r="J86" s="1609">
        <v>205</v>
      </c>
      <c r="K86" s="1609"/>
      <c r="L86" s="1619">
        <v>10</v>
      </c>
      <c r="M86" s="1619"/>
      <c r="N86" s="1609"/>
      <c r="O86" s="1609"/>
      <c r="P86" s="1581">
        <f t="shared" si="17"/>
        <v>10</v>
      </c>
      <c r="Q86" s="1610">
        <f>1200*1.07</f>
        <v>1284</v>
      </c>
      <c r="R86" s="1611">
        <f t="shared" si="18"/>
        <v>12840</v>
      </c>
      <c r="S86" s="1611">
        <f t="shared" si="19"/>
        <v>365.11848341232223</v>
      </c>
      <c r="T86" s="1611">
        <f t="shared" si="20"/>
        <v>12474.881516587679</v>
      </c>
    </row>
    <row r="87" spans="1:20">
      <c r="A87" s="1609">
        <v>90</v>
      </c>
      <c r="B87" s="1619" t="s">
        <v>1368</v>
      </c>
      <c r="C87" s="1614" t="s">
        <v>1370</v>
      </c>
      <c r="D87" s="1619" t="s">
        <v>1268</v>
      </c>
      <c r="E87" s="1694">
        <v>4333</v>
      </c>
      <c r="F87" s="1609"/>
      <c r="G87" s="1609"/>
      <c r="H87" s="1609"/>
      <c r="I87" s="1609">
        <v>6</v>
      </c>
      <c r="J87" s="1609">
        <v>205</v>
      </c>
      <c r="K87" s="1609"/>
      <c r="L87" s="1619">
        <v>10</v>
      </c>
      <c r="M87" s="1619"/>
      <c r="N87" s="1609"/>
      <c r="O87" s="1609"/>
      <c r="P87" s="1581">
        <f t="shared" si="17"/>
        <v>10</v>
      </c>
      <c r="Q87" s="1610">
        <f>1200*1.07</f>
        <v>1284</v>
      </c>
      <c r="R87" s="1611">
        <f t="shared" si="18"/>
        <v>12840</v>
      </c>
      <c r="S87" s="1611">
        <f t="shared" si="19"/>
        <v>365.11848341232223</v>
      </c>
      <c r="T87" s="1611">
        <f t="shared" si="20"/>
        <v>12474.881516587679</v>
      </c>
    </row>
    <row r="88" spans="1:20">
      <c r="A88" s="1609">
        <v>118</v>
      </c>
      <c r="B88" s="1619" t="s">
        <v>1371</v>
      </c>
      <c r="C88" s="1621" t="s">
        <v>1372</v>
      </c>
      <c r="D88" s="1619" t="s">
        <v>1268</v>
      </c>
      <c r="E88" s="1694">
        <v>4333</v>
      </c>
      <c r="F88" s="1581"/>
      <c r="G88" s="1581"/>
      <c r="H88" s="1609"/>
      <c r="I88" s="1609">
        <v>6</v>
      </c>
      <c r="J88" s="1609">
        <v>205</v>
      </c>
      <c r="K88" s="1609"/>
      <c r="L88" s="1619">
        <v>100</v>
      </c>
      <c r="M88" s="1619"/>
      <c r="N88" s="1609"/>
      <c r="O88" s="1609"/>
      <c r="P88" s="1581">
        <f t="shared" si="17"/>
        <v>100</v>
      </c>
      <c r="Q88" s="1609">
        <f>50*1.07</f>
        <v>53.5</v>
      </c>
      <c r="R88" s="1611">
        <f t="shared" si="18"/>
        <v>5350</v>
      </c>
      <c r="S88" s="1611">
        <f t="shared" si="19"/>
        <v>152.13270142180093</v>
      </c>
      <c r="T88" s="1611">
        <f t="shared" si="20"/>
        <v>5197.8672985781986</v>
      </c>
    </row>
    <row r="89" spans="1:20" ht="25.5" hidden="1">
      <c r="A89" s="1609"/>
      <c r="B89" s="1618" t="s">
        <v>1373</v>
      </c>
      <c r="C89" s="1621" t="s">
        <v>1374</v>
      </c>
      <c r="D89" s="1618" t="s">
        <v>1022</v>
      </c>
      <c r="E89" s="1694">
        <v>4333</v>
      </c>
      <c r="F89" s="1581"/>
      <c r="G89" s="1581"/>
      <c r="H89" s="1581"/>
      <c r="I89" s="1609"/>
      <c r="J89" s="1609"/>
      <c r="K89" s="1581"/>
      <c r="L89" s="1622"/>
      <c r="M89" s="1622"/>
      <c r="N89" s="1581"/>
      <c r="O89" s="1581"/>
      <c r="P89" s="1581"/>
      <c r="Q89" s="1581"/>
      <c r="R89" s="1611"/>
      <c r="S89" s="1611"/>
      <c r="T89" s="1611"/>
    </row>
    <row r="90" spans="1:20" hidden="1">
      <c r="A90" s="1609">
        <v>188</v>
      </c>
      <c r="B90" s="1620" t="s">
        <v>3297</v>
      </c>
      <c r="C90" s="1621" t="s">
        <v>3298</v>
      </c>
      <c r="D90" s="1620" t="s">
        <v>1351</v>
      </c>
      <c r="E90" s="1694">
        <v>4333</v>
      </c>
      <c r="F90" s="1581"/>
      <c r="G90" s="1581"/>
      <c r="H90" s="1581"/>
      <c r="I90" s="1609">
        <v>6</v>
      </c>
      <c r="J90" s="1609">
        <v>205</v>
      </c>
      <c r="K90" s="1581"/>
      <c r="L90" s="1620"/>
      <c r="M90" s="1620"/>
      <c r="N90" s="1581"/>
      <c r="O90" s="1581"/>
      <c r="P90" s="1581"/>
      <c r="Q90" s="1581"/>
      <c r="R90" s="1611"/>
      <c r="S90" s="1611"/>
      <c r="T90" s="1611"/>
    </row>
    <row r="91" spans="1:20" hidden="1">
      <c r="A91" s="1609">
        <v>219</v>
      </c>
      <c r="B91" s="1620" t="s">
        <v>1377</v>
      </c>
      <c r="C91" s="1621"/>
      <c r="D91" s="1620" t="s">
        <v>1022</v>
      </c>
      <c r="E91" s="1694">
        <v>4333</v>
      </c>
      <c r="F91" s="1581"/>
      <c r="G91" s="1581"/>
      <c r="H91" s="1581"/>
      <c r="I91" s="1609">
        <v>6</v>
      </c>
      <c r="J91" s="1609">
        <v>205</v>
      </c>
      <c r="K91" s="1581"/>
      <c r="L91" s="1620"/>
      <c r="M91" s="1620"/>
      <c r="N91" s="1581"/>
      <c r="O91" s="1581"/>
      <c r="P91" s="1581"/>
      <c r="Q91" s="1581"/>
      <c r="R91" s="1611"/>
      <c r="S91" s="1611"/>
      <c r="T91" s="1611"/>
    </row>
    <row r="92" spans="1:20" hidden="1">
      <c r="A92" s="1609">
        <v>253</v>
      </c>
      <c r="B92" s="1610" t="s">
        <v>1378</v>
      </c>
      <c r="C92" s="1621" t="s">
        <v>1379</v>
      </c>
      <c r="D92" s="1610" t="s">
        <v>1022</v>
      </c>
      <c r="E92" s="1694">
        <v>4333</v>
      </c>
      <c r="F92" s="1581"/>
      <c r="G92" s="1581"/>
      <c r="H92" s="1581"/>
      <c r="I92" s="1609">
        <v>6</v>
      </c>
      <c r="J92" s="1609">
        <v>205</v>
      </c>
      <c r="K92" s="1581"/>
      <c r="L92" s="1610"/>
      <c r="M92" s="1610"/>
      <c r="N92" s="1581"/>
      <c r="O92" s="1581"/>
      <c r="P92" s="1581"/>
      <c r="Q92" s="1581"/>
      <c r="R92" s="1611"/>
      <c r="S92" s="1611"/>
      <c r="T92" s="1611"/>
    </row>
    <row r="93" spans="1:20">
      <c r="A93" s="1609">
        <v>159</v>
      </c>
      <c r="B93" s="1618" t="s">
        <v>1380</v>
      </c>
      <c r="C93" s="1621" t="s">
        <v>1381</v>
      </c>
      <c r="D93" s="1618" t="s">
        <v>1022</v>
      </c>
      <c r="E93" s="1694">
        <v>4333</v>
      </c>
      <c r="F93" s="1581"/>
      <c r="G93" s="1581"/>
      <c r="H93" s="1581"/>
      <c r="I93" s="1609">
        <v>6</v>
      </c>
      <c r="J93" s="1609">
        <v>205</v>
      </c>
      <c r="K93" s="1581"/>
      <c r="L93" s="1618">
        <v>5</v>
      </c>
      <c r="M93" s="1618"/>
      <c r="N93" s="1581"/>
      <c r="O93" s="1581"/>
      <c r="P93" s="1581">
        <f>L93-O93</f>
        <v>5</v>
      </c>
      <c r="Q93" s="1581">
        <f>2500*1.07</f>
        <v>2675</v>
      </c>
      <c r="R93" s="1611">
        <f>P93*Q93</f>
        <v>13375</v>
      </c>
      <c r="S93" s="1611">
        <f>R93*(I93/(I93+J93+K93))</f>
        <v>380.33175355450237</v>
      </c>
      <c r="T93" s="1611">
        <f>R93-S93</f>
        <v>12994.668246445497</v>
      </c>
    </row>
    <row r="94" spans="1:20" hidden="1">
      <c r="A94" s="1609">
        <v>189</v>
      </c>
      <c r="B94" s="1620" t="s">
        <v>1380</v>
      </c>
      <c r="C94" s="1621" t="s">
        <v>1382</v>
      </c>
      <c r="D94" s="1620" t="s">
        <v>1022</v>
      </c>
      <c r="E94" s="1694">
        <v>4333</v>
      </c>
      <c r="F94" s="1581"/>
      <c r="G94" s="1581"/>
      <c r="H94" s="1581"/>
      <c r="I94" s="1609">
        <v>6</v>
      </c>
      <c r="J94" s="1609">
        <v>205</v>
      </c>
      <c r="K94" s="1581"/>
      <c r="L94" s="1620"/>
      <c r="M94" s="1620"/>
      <c r="N94" s="1581"/>
      <c r="O94" s="1581"/>
      <c r="P94" s="1581"/>
      <c r="Q94" s="1581"/>
      <c r="R94" s="1611"/>
      <c r="S94" s="1611"/>
      <c r="T94" s="1611"/>
    </row>
    <row r="95" spans="1:20" hidden="1">
      <c r="A95" s="1609">
        <v>255</v>
      </c>
      <c r="B95" s="1622" t="s">
        <v>1378</v>
      </c>
      <c r="C95" s="1621" t="s">
        <v>1382</v>
      </c>
      <c r="D95" s="1622" t="s">
        <v>1022</v>
      </c>
      <c r="E95" s="1694">
        <v>4333</v>
      </c>
      <c r="F95" s="1581"/>
      <c r="G95" s="1581"/>
      <c r="H95" s="1581"/>
      <c r="I95" s="1609">
        <v>6</v>
      </c>
      <c r="J95" s="1609">
        <v>205</v>
      </c>
      <c r="K95" s="1581"/>
      <c r="L95" s="1622"/>
      <c r="M95" s="1622"/>
      <c r="N95" s="1581"/>
      <c r="O95" s="1581"/>
      <c r="P95" s="1581"/>
      <c r="Q95" s="1581"/>
      <c r="R95" s="1611"/>
      <c r="S95" s="1611"/>
      <c r="T95" s="1611"/>
    </row>
    <row r="96" spans="1:20" hidden="1">
      <c r="A96" s="1609">
        <v>190</v>
      </c>
      <c r="B96" s="1620" t="s">
        <v>1380</v>
      </c>
      <c r="C96" s="1621" t="s">
        <v>1379</v>
      </c>
      <c r="D96" s="1620" t="s">
        <v>1022</v>
      </c>
      <c r="E96" s="1694">
        <v>4333</v>
      </c>
      <c r="F96" s="1581"/>
      <c r="G96" s="1581"/>
      <c r="H96" s="1581"/>
      <c r="I96" s="1609"/>
      <c r="J96" s="1609"/>
      <c r="K96" s="1581"/>
      <c r="L96" s="1620"/>
      <c r="M96" s="1620"/>
      <c r="N96" s="1581"/>
      <c r="O96" s="1581"/>
      <c r="P96" s="1581"/>
      <c r="Q96" s="1581"/>
      <c r="R96" s="1611"/>
      <c r="S96" s="1611"/>
      <c r="T96" s="1611"/>
    </row>
    <row r="97" spans="1:23" hidden="1">
      <c r="A97" s="1609">
        <v>254</v>
      </c>
      <c r="B97" s="1610" t="s">
        <v>3299</v>
      </c>
      <c r="C97" s="1621" t="s">
        <v>3300</v>
      </c>
      <c r="D97" s="1610" t="s">
        <v>1022</v>
      </c>
      <c r="E97" s="1694">
        <v>4333</v>
      </c>
      <c r="F97" s="1581"/>
      <c r="G97" s="1581"/>
      <c r="H97" s="1581"/>
      <c r="I97" s="1609">
        <v>6</v>
      </c>
      <c r="J97" s="1609">
        <v>205</v>
      </c>
      <c r="K97" s="1581"/>
      <c r="L97" s="1610"/>
      <c r="M97" s="1610"/>
      <c r="N97" s="1581"/>
      <c r="O97" s="1581"/>
      <c r="P97" s="1581"/>
      <c r="Q97" s="1581"/>
      <c r="R97" s="1611"/>
      <c r="S97" s="1611"/>
      <c r="T97" s="1611"/>
    </row>
    <row r="98" spans="1:23" ht="38.25" hidden="1">
      <c r="A98" s="1609">
        <v>218</v>
      </c>
      <c r="B98" s="1620" t="s">
        <v>1380</v>
      </c>
      <c r="C98" s="1621" t="s">
        <v>1385</v>
      </c>
      <c r="D98" s="1620" t="s">
        <v>1022</v>
      </c>
      <c r="E98" s="1694">
        <v>4333</v>
      </c>
      <c r="F98" s="1581"/>
      <c r="G98" s="1581"/>
      <c r="H98" s="1581"/>
      <c r="I98" s="1609">
        <v>6</v>
      </c>
      <c r="J98" s="1609">
        <v>205</v>
      </c>
      <c r="K98" s="1581"/>
      <c r="L98" s="1620"/>
      <c r="M98" s="1620"/>
      <c r="N98" s="1581"/>
      <c r="O98" s="1581"/>
      <c r="P98" s="1581"/>
      <c r="Q98" s="1581"/>
      <c r="R98" s="1611"/>
      <c r="S98" s="1611"/>
      <c r="T98" s="1611"/>
    </row>
    <row r="99" spans="1:23" ht="0.75" hidden="1" customHeight="1">
      <c r="A99" s="1609">
        <v>145</v>
      </c>
      <c r="B99" s="1618" t="s">
        <v>1386</v>
      </c>
      <c r="C99" s="1621"/>
      <c r="D99" s="1618" t="s">
        <v>1022</v>
      </c>
      <c r="E99" s="1694">
        <v>4333</v>
      </c>
      <c r="F99" s="1581"/>
      <c r="G99" s="1581"/>
      <c r="H99" s="1581"/>
      <c r="I99" s="1609"/>
      <c r="J99" s="1609"/>
      <c r="K99" s="1581"/>
      <c r="L99" s="1618"/>
      <c r="M99" s="1618"/>
      <c r="N99" s="1581"/>
      <c r="O99" s="1581"/>
      <c r="P99" s="1581"/>
      <c r="Q99" s="1581"/>
      <c r="R99" s="1611"/>
      <c r="S99" s="1611"/>
      <c r="T99" s="1611"/>
    </row>
    <row r="100" spans="1:23" hidden="1">
      <c r="A100" s="1609">
        <v>197</v>
      </c>
      <c r="B100" s="1618" t="s">
        <v>1387</v>
      </c>
      <c r="C100" s="1621" t="s">
        <v>1388</v>
      </c>
      <c r="D100" s="1618" t="s">
        <v>1268</v>
      </c>
      <c r="E100" s="1694">
        <v>4333</v>
      </c>
      <c r="F100" s="1581"/>
      <c r="G100" s="1581"/>
      <c r="H100" s="1581"/>
      <c r="I100" s="1609">
        <v>6</v>
      </c>
      <c r="J100" s="1609">
        <v>205</v>
      </c>
      <c r="K100" s="1581"/>
      <c r="L100" s="1620"/>
      <c r="M100" s="1620"/>
      <c r="N100" s="1581"/>
      <c r="O100" s="1581"/>
      <c r="P100" s="1581"/>
      <c r="Q100" s="1581"/>
      <c r="R100" s="1611"/>
      <c r="S100" s="1611"/>
      <c r="T100" s="1611"/>
    </row>
    <row r="101" spans="1:23" hidden="1">
      <c r="A101" s="1609">
        <v>153</v>
      </c>
      <c r="B101" s="1618" t="s">
        <v>1389</v>
      </c>
      <c r="C101" s="1621"/>
      <c r="D101" s="1618" t="s">
        <v>1022</v>
      </c>
      <c r="E101" s="1694">
        <v>4333</v>
      </c>
      <c r="F101" s="1581"/>
      <c r="G101" s="1581"/>
      <c r="H101" s="1581"/>
      <c r="I101" s="1609">
        <v>6</v>
      </c>
      <c r="J101" s="1609">
        <v>205</v>
      </c>
      <c r="K101" s="1581"/>
      <c r="L101" s="1618"/>
      <c r="M101" s="1618"/>
      <c r="N101" s="1581"/>
      <c r="O101" s="1581"/>
      <c r="P101" s="1581">
        <f>L101-O101</f>
        <v>0</v>
      </c>
      <c r="Q101" s="1581"/>
      <c r="R101" s="1611">
        <f>P101*Q101</f>
        <v>0</v>
      </c>
      <c r="S101" s="1611">
        <f>R101*(I101/(I101+J101+K101))</f>
        <v>0</v>
      </c>
      <c r="T101" s="1611">
        <f>R101-S101</f>
        <v>0</v>
      </c>
    </row>
    <row r="102" spans="1:23" ht="38.25">
      <c r="A102" s="1581"/>
      <c r="B102" s="1056" t="s">
        <v>1390</v>
      </c>
      <c r="C102" s="1614" t="s">
        <v>1391</v>
      </c>
      <c r="D102" s="1056" t="s">
        <v>1203</v>
      </c>
      <c r="E102" s="1694">
        <v>4333</v>
      </c>
      <c r="F102" s="1609"/>
      <c r="G102" s="1609"/>
      <c r="H102" s="1609"/>
      <c r="I102" s="1609">
        <v>6</v>
      </c>
      <c r="J102" s="1609">
        <v>205</v>
      </c>
      <c r="K102" s="1609"/>
      <c r="L102" s="1056">
        <v>600</v>
      </c>
      <c r="M102" s="1056">
        <v>600</v>
      </c>
      <c r="N102" s="1609"/>
      <c r="O102" s="1609"/>
      <c r="P102" s="1581">
        <f>L102-O102</f>
        <v>600</v>
      </c>
      <c r="Q102" s="1610">
        <f>150*1.07</f>
        <v>160.5</v>
      </c>
      <c r="R102" s="1611">
        <f>P102*Q102</f>
        <v>96300</v>
      </c>
      <c r="S102" s="1611">
        <f>R102*(I102/(I102+J102+K102))</f>
        <v>2738.3886255924172</v>
      </c>
      <c r="T102" s="1611">
        <f>R102-S102</f>
        <v>93561.611374407585</v>
      </c>
      <c r="U102" s="1578" t="s">
        <v>3301</v>
      </c>
      <c r="V102" s="1578" t="s">
        <v>3260</v>
      </c>
      <c r="W102" s="1578">
        <f>3*200</f>
        <v>600</v>
      </c>
    </row>
    <row r="103" spans="1:23" hidden="1">
      <c r="A103" s="1609">
        <v>249</v>
      </c>
      <c r="B103" s="1622" t="s">
        <v>1392</v>
      </c>
      <c r="C103" s="1621"/>
      <c r="D103" s="1622" t="s">
        <v>1022</v>
      </c>
      <c r="E103" s="1694">
        <v>4333</v>
      </c>
      <c r="F103" s="1581"/>
      <c r="G103" s="1581"/>
      <c r="H103" s="1581"/>
      <c r="I103" s="1609">
        <v>6</v>
      </c>
      <c r="J103" s="1609">
        <v>205</v>
      </c>
      <c r="K103" s="1581"/>
      <c r="L103" s="1610"/>
      <c r="M103" s="1610"/>
      <c r="N103" s="1581"/>
      <c r="O103" s="1581"/>
      <c r="P103" s="1581"/>
      <c r="Q103" s="1581"/>
      <c r="R103" s="1611"/>
      <c r="S103" s="1611"/>
      <c r="T103" s="1611"/>
    </row>
    <row r="104" spans="1:23" hidden="1">
      <c r="A104" s="1609">
        <v>250</v>
      </c>
      <c r="B104" s="1622" t="s">
        <v>1393</v>
      </c>
      <c r="C104" s="1621" t="s">
        <v>1394</v>
      </c>
      <c r="D104" s="1622" t="s">
        <v>1395</v>
      </c>
      <c r="E104" s="1694">
        <v>4333</v>
      </c>
      <c r="F104" s="1581"/>
      <c r="G104" s="1581"/>
      <c r="H104" s="1581"/>
      <c r="I104" s="1609">
        <v>6</v>
      </c>
      <c r="J104" s="1609">
        <v>205</v>
      </c>
      <c r="K104" s="1581"/>
      <c r="L104" s="1610"/>
      <c r="M104" s="1610"/>
      <c r="N104" s="1581"/>
      <c r="O104" s="1581"/>
      <c r="P104" s="1581"/>
      <c r="Q104" s="1581"/>
      <c r="R104" s="1611"/>
      <c r="S104" s="1611"/>
      <c r="T104" s="1611"/>
    </row>
    <row r="105" spans="1:23">
      <c r="A105" s="1609">
        <v>108</v>
      </c>
      <c r="B105" s="1619" t="s">
        <v>1396</v>
      </c>
      <c r="C105" s="1614" t="s">
        <v>1397</v>
      </c>
      <c r="D105" s="1619" t="s">
        <v>1263</v>
      </c>
      <c r="E105" s="1694">
        <v>4333</v>
      </c>
      <c r="F105" s="1609"/>
      <c r="G105" s="1609"/>
      <c r="H105" s="1609"/>
      <c r="I105" s="1609">
        <v>6</v>
      </c>
      <c r="J105" s="1609">
        <v>205</v>
      </c>
      <c r="K105" s="1609"/>
      <c r="L105" s="1619">
        <v>10</v>
      </c>
      <c r="M105" s="1619"/>
      <c r="N105" s="1609"/>
      <c r="O105" s="1609"/>
      <c r="P105" s="1581">
        <f>L105-O105</f>
        <v>10</v>
      </c>
      <c r="Q105" s="1609">
        <f>250*1.07</f>
        <v>267.5</v>
      </c>
      <c r="R105" s="1611">
        <f>P105*Q105</f>
        <v>2675</v>
      </c>
      <c r="S105" s="1611">
        <f>R105*(I105/(I105+J105+K105))</f>
        <v>76.066350710900466</v>
      </c>
      <c r="T105" s="1611">
        <f>R105-S105</f>
        <v>2598.9336492890993</v>
      </c>
    </row>
    <row r="106" spans="1:23">
      <c r="A106" s="1609">
        <v>109</v>
      </c>
      <c r="B106" s="1619" t="s">
        <v>1396</v>
      </c>
      <c r="C106" s="1614" t="s">
        <v>1398</v>
      </c>
      <c r="D106" s="1619" t="s">
        <v>1263</v>
      </c>
      <c r="E106" s="1694">
        <v>4333</v>
      </c>
      <c r="F106" s="1609"/>
      <c r="G106" s="1609"/>
      <c r="H106" s="1609"/>
      <c r="I106" s="1609">
        <v>6</v>
      </c>
      <c r="J106" s="1609">
        <v>205</v>
      </c>
      <c r="K106" s="1609"/>
      <c r="L106" s="1619">
        <v>15</v>
      </c>
      <c r="M106" s="1619"/>
      <c r="N106" s="1609"/>
      <c r="O106" s="1609"/>
      <c r="P106" s="1581">
        <f>L106-O106</f>
        <v>15</v>
      </c>
      <c r="Q106" s="1609">
        <f>320*1.07</f>
        <v>342.40000000000003</v>
      </c>
      <c r="R106" s="1611">
        <f>P106*Q106</f>
        <v>5136.0000000000009</v>
      </c>
      <c r="S106" s="1611">
        <f>R106*(I106/(I106+J106+K106))</f>
        <v>146.04739336492892</v>
      </c>
      <c r="T106" s="1611">
        <f>R106-S106</f>
        <v>4989.9526066350718</v>
      </c>
    </row>
    <row r="107" spans="1:23" hidden="1">
      <c r="A107" s="1609">
        <v>276</v>
      </c>
      <c r="B107" s="1618" t="s">
        <v>2213</v>
      </c>
      <c r="C107" s="1621" t="s">
        <v>2214</v>
      </c>
      <c r="D107" s="1618" t="s">
        <v>1022</v>
      </c>
      <c r="E107" s="1694">
        <v>4333</v>
      </c>
      <c r="F107" s="1581"/>
      <c r="G107" s="1581"/>
      <c r="H107" s="1581"/>
      <c r="I107" s="1609">
        <v>6</v>
      </c>
      <c r="J107" s="1609">
        <v>205</v>
      </c>
      <c r="K107" s="1581"/>
      <c r="L107" s="1622"/>
      <c r="M107" s="1622"/>
      <c r="N107" s="1581"/>
      <c r="O107" s="1581"/>
      <c r="P107" s="1581"/>
      <c r="Q107" s="1581"/>
      <c r="R107" s="1611"/>
      <c r="S107" s="1611"/>
      <c r="T107" s="1611"/>
    </row>
    <row r="108" spans="1:23">
      <c r="A108" s="1609">
        <v>94</v>
      </c>
      <c r="B108" s="1619" t="s">
        <v>1399</v>
      </c>
      <c r="C108" s="1614" t="s">
        <v>1400</v>
      </c>
      <c r="D108" s="1619" t="s">
        <v>1268</v>
      </c>
      <c r="E108" s="1694">
        <v>4333</v>
      </c>
      <c r="F108" s="1609"/>
      <c r="G108" s="1609"/>
      <c r="H108" s="1609"/>
      <c r="I108" s="1609">
        <v>6</v>
      </c>
      <c r="J108" s="1609">
        <v>205</v>
      </c>
      <c r="K108" s="1609"/>
      <c r="L108" s="1619">
        <v>2</v>
      </c>
      <c r="M108" s="1619"/>
      <c r="N108" s="1609"/>
      <c r="O108" s="1609"/>
      <c r="P108" s="1581">
        <f>L108-O108</f>
        <v>2</v>
      </c>
      <c r="Q108" s="1610">
        <f>3000*1.07</f>
        <v>3210</v>
      </c>
      <c r="R108" s="1611">
        <f>P108*Q108</f>
        <v>6420</v>
      </c>
      <c r="S108" s="1611">
        <f>R108*(I108/(I108+J108+K108))</f>
        <v>182.55924170616112</v>
      </c>
      <c r="T108" s="1611">
        <f>R108-S108</f>
        <v>6237.4407582938393</v>
      </c>
    </row>
    <row r="109" spans="1:23" hidden="1">
      <c r="A109" s="1609">
        <v>191</v>
      </c>
      <c r="B109" s="1620" t="s">
        <v>1401</v>
      </c>
      <c r="C109" s="1621" t="s">
        <v>1402</v>
      </c>
      <c r="D109" s="1620" t="s">
        <v>1022</v>
      </c>
      <c r="E109" s="1694">
        <v>4333</v>
      </c>
      <c r="F109" s="1581"/>
      <c r="G109" s="1581"/>
      <c r="H109" s="1581"/>
      <c r="I109" s="1609">
        <v>6</v>
      </c>
      <c r="J109" s="1609">
        <v>205</v>
      </c>
      <c r="K109" s="1581"/>
      <c r="L109" s="1620"/>
      <c r="M109" s="1620"/>
      <c r="N109" s="1581"/>
      <c r="O109" s="1581"/>
      <c r="P109" s="1581"/>
      <c r="Q109" s="1581"/>
      <c r="R109" s="1611"/>
      <c r="S109" s="1611"/>
      <c r="T109" s="1611"/>
    </row>
    <row r="110" spans="1:23" ht="25.5" hidden="1">
      <c r="A110" s="1609">
        <v>296</v>
      </c>
      <c r="B110" s="1618" t="s">
        <v>1403</v>
      </c>
      <c r="C110" s="1621" t="s">
        <v>1404</v>
      </c>
      <c r="D110" s="1618" t="s">
        <v>1022</v>
      </c>
      <c r="E110" s="1694">
        <v>4333</v>
      </c>
      <c r="F110" s="1581"/>
      <c r="G110" s="1581"/>
      <c r="H110" s="1581"/>
      <c r="I110" s="1609">
        <v>6</v>
      </c>
      <c r="J110" s="1609">
        <v>205</v>
      </c>
      <c r="K110" s="1581"/>
      <c r="L110" s="1622"/>
      <c r="M110" s="1622"/>
      <c r="N110" s="1581"/>
      <c r="O110" s="1581"/>
      <c r="P110" s="1581"/>
      <c r="Q110" s="1581"/>
      <c r="R110" s="1611"/>
      <c r="S110" s="1611"/>
      <c r="T110" s="1611"/>
    </row>
    <row r="111" spans="1:23" hidden="1">
      <c r="A111" s="1609">
        <v>302</v>
      </c>
      <c r="B111" s="1618" t="s">
        <v>1405</v>
      </c>
      <c r="C111" s="1621" t="s">
        <v>1406</v>
      </c>
      <c r="D111" s="1618" t="s">
        <v>1022</v>
      </c>
      <c r="E111" s="1694">
        <v>4333</v>
      </c>
      <c r="F111" s="1581"/>
      <c r="G111" s="1581"/>
      <c r="H111" s="1581"/>
      <c r="I111" s="1609">
        <v>6</v>
      </c>
      <c r="J111" s="1609">
        <v>205</v>
      </c>
      <c r="K111" s="1581"/>
      <c r="L111" s="1622"/>
      <c r="M111" s="1622"/>
      <c r="N111" s="1581"/>
      <c r="O111" s="1581"/>
      <c r="P111" s="1581"/>
      <c r="Q111" s="1581"/>
      <c r="R111" s="1611"/>
      <c r="S111" s="1611"/>
      <c r="T111" s="1611"/>
    </row>
    <row r="112" spans="1:23" hidden="1">
      <c r="A112" s="1609">
        <v>301</v>
      </c>
      <c r="B112" s="1618" t="s">
        <v>1407</v>
      </c>
      <c r="C112" s="1621" t="s">
        <v>1408</v>
      </c>
      <c r="D112" s="1618" t="s">
        <v>1022</v>
      </c>
      <c r="E112" s="1694">
        <v>4333</v>
      </c>
      <c r="F112" s="1581"/>
      <c r="G112" s="1581"/>
      <c r="H112" s="1581"/>
      <c r="I112" s="1609">
        <v>6</v>
      </c>
      <c r="J112" s="1609">
        <v>205</v>
      </c>
      <c r="K112" s="1581"/>
      <c r="L112" s="1622"/>
      <c r="M112" s="1622"/>
      <c r="N112" s="1581"/>
      <c r="O112" s="1581"/>
      <c r="P112" s="1581"/>
      <c r="Q112" s="1581"/>
      <c r="R112" s="1611"/>
      <c r="S112" s="1611"/>
      <c r="T112" s="1611"/>
    </row>
    <row r="113" spans="1:20">
      <c r="A113" s="1609">
        <v>103</v>
      </c>
      <c r="B113" s="1619" t="s">
        <v>1409</v>
      </c>
      <c r="C113" s="917" t="s">
        <v>1410</v>
      </c>
      <c r="D113" s="1619" t="s">
        <v>1411</v>
      </c>
      <c r="E113" s="1694">
        <v>4333</v>
      </c>
      <c r="F113" s="1609"/>
      <c r="G113" s="1609"/>
      <c r="H113" s="1609"/>
      <c r="I113" s="1609">
        <v>6</v>
      </c>
      <c r="J113" s="1609">
        <v>205</v>
      </c>
      <c r="K113" s="1609"/>
      <c r="L113" s="1619">
        <v>50</v>
      </c>
      <c r="M113" s="1619"/>
      <c r="N113" s="1609"/>
      <c r="O113" s="1609"/>
      <c r="P113" s="1581">
        <f>L113-O113</f>
        <v>50</v>
      </c>
      <c r="Q113" s="1609">
        <f>650*1.07</f>
        <v>695.5</v>
      </c>
      <c r="R113" s="1611">
        <f>P113*Q113</f>
        <v>34775</v>
      </c>
      <c r="S113" s="1611">
        <f>R113*(I113/(I113+J113+K113))</f>
        <v>988.86255924170609</v>
      </c>
      <c r="T113" s="1611">
        <f>R113-S113</f>
        <v>33786.137440758292</v>
      </c>
    </row>
    <row r="114" spans="1:20">
      <c r="A114" s="1609">
        <v>104</v>
      </c>
      <c r="B114" s="1619" t="s">
        <v>1409</v>
      </c>
      <c r="C114" s="917" t="s">
        <v>3302</v>
      </c>
      <c r="D114" s="1619" t="s">
        <v>1411</v>
      </c>
      <c r="E114" s="1694">
        <v>4333</v>
      </c>
      <c r="F114" s="1609"/>
      <c r="G114" s="1609"/>
      <c r="H114" s="1609"/>
      <c r="I114" s="1609">
        <v>6</v>
      </c>
      <c r="J114" s="1609">
        <v>205</v>
      </c>
      <c r="K114" s="1609"/>
      <c r="L114" s="1619">
        <v>50</v>
      </c>
      <c r="M114" s="1619"/>
      <c r="N114" s="1609"/>
      <c r="O114" s="1609"/>
      <c r="P114" s="1581">
        <f>L114-O114</f>
        <v>50</v>
      </c>
      <c r="Q114" s="1609">
        <f>750*1.07</f>
        <v>802.5</v>
      </c>
      <c r="R114" s="1611">
        <f>P114*Q114</f>
        <v>40125</v>
      </c>
      <c r="S114" s="1611">
        <f>R114*(I114/(I114+J114+K114))</f>
        <v>1140.995260663507</v>
      </c>
      <c r="T114" s="1611">
        <f>R114-S114</f>
        <v>38984.004739336495</v>
      </c>
    </row>
    <row r="115" spans="1:20">
      <c r="A115" s="1609">
        <v>155</v>
      </c>
      <c r="B115" s="1618" t="s">
        <v>1413</v>
      </c>
      <c r="C115" s="1579" t="s">
        <v>1414</v>
      </c>
      <c r="D115" s="1618" t="s">
        <v>1415</v>
      </c>
      <c r="E115" s="1694">
        <v>4333</v>
      </c>
      <c r="F115" s="1581"/>
      <c r="G115" s="1581"/>
      <c r="H115" s="1581"/>
      <c r="I115" s="1609">
        <v>6</v>
      </c>
      <c r="J115" s="1609">
        <v>205</v>
      </c>
      <c r="K115" s="1581"/>
      <c r="L115" s="1619">
        <v>50</v>
      </c>
      <c r="M115" s="1618"/>
      <c r="N115" s="1581"/>
      <c r="O115" s="1581"/>
      <c r="P115" s="1581">
        <f>L115-O115</f>
        <v>50</v>
      </c>
      <c r="Q115" s="1581">
        <f>450*1.07</f>
        <v>481.5</v>
      </c>
      <c r="R115" s="1611">
        <f>P115*Q115</f>
        <v>24075</v>
      </c>
      <c r="S115" s="1611">
        <f>R115*(I115/(I115+J115+K115))</f>
        <v>684.59715639810429</v>
      </c>
      <c r="T115" s="1611">
        <f>R115-S115</f>
        <v>23390.402843601896</v>
      </c>
    </row>
    <row r="116" spans="1:20">
      <c r="A116" s="1609">
        <v>105</v>
      </c>
      <c r="B116" s="1619" t="s">
        <v>1416</v>
      </c>
      <c r="C116" s="917" t="s">
        <v>1417</v>
      </c>
      <c r="D116" s="1619" t="s">
        <v>1411</v>
      </c>
      <c r="E116" s="1694">
        <v>4333</v>
      </c>
      <c r="F116" s="1609"/>
      <c r="G116" s="1609"/>
      <c r="H116" s="1609"/>
      <c r="I116" s="1609">
        <v>6</v>
      </c>
      <c r="J116" s="1609">
        <v>205</v>
      </c>
      <c r="K116" s="1609"/>
      <c r="L116" s="1619">
        <v>50</v>
      </c>
      <c r="M116" s="1619"/>
      <c r="N116" s="1609"/>
      <c r="O116" s="1609"/>
      <c r="P116" s="1581">
        <f>L116-O116</f>
        <v>50</v>
      </c>
      <c r="Q116" s="1609">
        <f>600*1.07</f>
        <v>642</v>
      </c>
      <c r="R116" s="1611">
        <f>P116*Q116</f>
        <v>32100</v>
      </c>
      <c r="S116" s="1611">
        <f>R116*(I116/(I116+J116+K116))</f>
        <v>912.79620853080564</v>
      </c>
      <c r="T116" s="1611">
        <f>R116-S116</f>
        <v>31187.203791469194</v>
      </c>
    </row>
    <row r="117" spans="1:20">
      <c r="A117" s="1609">
        <v>106</v>
      </c>
      <c r="B117" s="1619" t="s">
        <v>1416</v>
      </c>
      <c r="C117" s="917" t="s">
        <v>1418</v>
      </c>
      <c r="D117" s="1619" t="s">
        <v>1415</v>
      </c>
      <c r="E117" s="1694">
        <v>4333</v>
      </c>
      <c r="F117" s="1609"/>
      <c r="G117" s="1609"/>
      <c r="H117" s="1609"/>
      <c r="I117" s="1609">
        <v>6</v>
      </c>
      <c r="J117" s="1609">
        <v>205</v>
      </c>
      <c r="K117" s="1609"/>
      <c r="L117" s="1619">
        <v>50</v>
      </c>
      <c r="M117" s="1619"/>
      <c r="N117" s="1609"/>
      <c r="O117" s="1609"/>
      <c r="P117" s="1581">
        <f>L117-O117</f>
        <v>50</v>
      </c>
      <c r="Q117" s="1609">
        <f>800*1.07</f>
        <v>856</v>
      </c>
      <c r="R117" s="1611">
        <f>P117*Q117</f>
        <v>42800</v>
      </c>
      <c r="S117" s="1611">
        <f>R117*(I117/(I117+J117+K117))</f>
        <v>1217.0616113744074</v>
      </c>
      <c r="T117" s="1611">
        <f>R117-S117</f>
        <v>41582.938388625589</v>
      </c>
    </row>
    <row r="118" spans="1:20" hidden="1">
      <c r="A118" s="1609">
        <v>263</v>
      </c>
      <c r="B118" s="1610" t="s">
        <v>1419</v>
      </c>
      <c r="C118" s="1579" t="s">
        <v>1420</v>
      </c>
      <c r="D118" s="1610" t="s">
        <v>1415</v>
      </c>
      <c r="E118" s="1694">
        <v>4333</v>
      </c>
      <c r="F118" s="1581"/>
      <c r="G118" s="1581"/>
      <c r="H118" s="1581"/>
      <c r="I118" s="1609">
        <v>6</v>
      </c>
      <c r="J118" s="1609">
        <v>205</v>
      </c>
      <c r="K118" s="1581"/>
      <c r="L118" s="1610"/>
      <c r="M118" s="1610"/>
      <c r="N118" s="1581"/>
      <c r="O118" s="1581"/>
      <c r="P118" s="1581"/>
      <c r="Q118" s="1581"/>
      <c r="R118" s="1611"/>
      <c r="S118" s="1611"/>
      <c r="T118" s="1611"/>
    </row>
    <row r="119" spans="1:20" hidden="1">
      <c r="A119" s="1609">
        <v>275</v>
      </c>
      <c r="B119" s="1618" t="s">
        <v>1421</v>
      </c>
      <c r="C119" s="1579" t="s">
        <v>1422</v>
      </c>
      <c r="D119" s="1618" t="s">
        <v>1022</v>
      </c>
      <c r="E119" s="1694">
        <v>4333</v>
      </c>
      <c r="F119" s="1581"/>
      <c r="G119" s="1581"/>
      <c r="H119" s="1581"/>
      <c r="I119" s="1609">
        <v>6</v>
      </c>
      <c r="J119" s="1609">
        <v>205</v>
      </c>
      <c r="K119" s="1581"/>
      <c r="L119" s="1622"/>
      <c r="M119" s="1622"/>
      <c r="N119" s="1581"/>
      <c r="O119" s="1581"/>
      <c r="P119" s="1581"/>
      <c r="Q119" s="1581"/>
      <c r="R119" s="1611"/>
      <c r="S119" s="1611"/>
      <c r="T119" s="1611"/>
    </row>
    <row r="120" spans="1:20" hidden="1">
      <c r="A120" s="1609">
        <v>274</v>
      </c>
      <c r="B120" s="1618" t="s">
        <v>1423</v>
      </c>
      <c r="C120" s="1579" t="s">
        <v>1424</v>
      </c>
      <c r="D120" s="1618" t="s">
        <v>1022</v>
      </c>
      <c r="E120" s="1694">
        <v>4333</v>
      </c>
      <c r="F120" s="1581"/>
      <c r="G120" s="1581"/>
      <c r="H120" s="1581"/>
      <c r="I120" s="1609">
        <v>6</v>
      </c>
      <c r="J120" s="1609">
        <v>205</v>
      </c>
      <c r="K120" s="1581"/>
      <c r="L120" s="1622"/>
      <c r="M120" s="1622"/>
      <c r="N120" s="1581"/>
      <c r="O120" s="1581"/>
      <c r="P120" s="1581"/>
      <c r="Q120" s="1581"/>
      <c r="R120" s="1611"/>
      <c r="S120" s="1611"/>
      <c r="T120" s="1611"/>
    </row>
    <row r="121" spans="1:20">
      <c r="A121" s="1609">
        <v>102</v>
      </c>
      <c r="B121" s="1619" t="s">
        <v>1425</v>
      </c>
      <c r="C121" s="917" t="s">
        <v>3303</v>
      </c>
      <c r="D121" s="1619" t="s">
        <v>1411</v>
      </c>
      <c r="E121" s="1694">
        <v>4333</v>
      </c>
      <c r="F121" s="1609"/>
      <c r="G121" s="1609"/>
      <c r="H121" s="1609"/>
      <c r="I121" s="1609">
        <v>6</v>
      </c>
      <c r="J121" s="1609">
        <v>205</v>
      </c>
      <c r="K121" s="1609"/>
      <c r="L121" s="1619">
        <v>25</v>
      </c>
      <c r="M121" s="1619"/>
      <c r="N121" s="1609"/>
      <c r="O121" s="1609"/>
      <c r="P121" s="1581">
        <f>L121-O121</f>
        <v>25</v>
      </c>
      <c r="Q121" s="1609">
        <f>1000*1.07</f>
        <v>1070</v>
      </c>
      <c r="R121" s="1611">
        <f>P121*Q121</f>
        <v>26750</v>
      </c>
      <c r="S121" s="1611">
        <f>R121*(I121/(I121+J121+K121))</f>
        <v>760.66350710900474</v>
      </c>
      <c r="T121" s="1611">
        <f>R121-S121</f>
        <v>25989.336492890994</v>
      </c>
    </row>
    <row r="122" spans="1:20">
      <c r="A122" s="1609">
        <v>101</v>
      </c>
      <c r="B122" s="1619" t="s">
        <v>1427</v>
      </c>
      <c r="C122" s="917" t="s">
        <v>3304</v>
      </c>
      <c r="D122" s="1619" t="s">
        <v>1411</v>
      </c>
      <c r="E122" s="1694">
        <v>4333</v>
      </c>
      <c r="F122" s="1609"/>
      <c r="G122" s="1609"/>
      <c r="H122" s="1609"/>
      <c r="I122" s="1609">
        <v>6</v>
      </c>
      <c r="J122" s="1609">
        <v>205</v>
      </c>
      <c r="K122" s="1609"/>
      <c r="L122" s="1619">
        <v>25</v>
      </c>
      <c r="M122" s="1619"/>
      <c r="N122" s="1609"/>
      <c r="O122" s="1609"/>
      <c r="P122" s="1581">
        <f>L122-O122</f>
        <v>25</v>
      </c>
      <c r="Q122" s="1610">
        <f>1900*1.07</f>
        <v>2033.0000000000002</v>
      </c>
      <c r="R122" s="1611">
        <f>P122*Q122</f>
        <v>50825.000000000007</v>
      </c>
      <c r="S122" s="1611">
        <f>R122*(I122/(I122+J122+K122))</f>
        <v>1445.2606635071093</v>
      </c>
      <c r="T122" s="1611">
        <f>R122-S122</f>
        <v>49379.739336492901</v>
      </c>
    </row>
    <row r="123" spans="1:20" hidden="1">
      <c r="A123" s="1609">
        <v>206</v>
      </c>
      <c r="B123" s="1620" t="s">
        <v>1429</v>
      </c>
      <c r="C123" s="1579" t="s">
        <v>1430</v>
      </c>
      <c r="D123" s="1620" t="s">
        <v>1022</v>
      </c>
      <c r="E123" s="1694">
        <v>4333</v>
      </c>
      <c r="F123" s="1581"/>
      <c r="G123" s="1581"/>
      <c r="H123" s="1581"/>
      <c r="I123" s="1609">
        <v>6</v>
      </c>
      <c r="J123" s="1609">
        <v>205</v>
      </c>
      <c r="K123" s="1581"/>
      <c r="L123" s="1620"/>
      <c r="M123" s="1620"/>
      <c r="N123" s="1581"/>
      <c r="O123" s="1581"/>
      <c r="P123" s="1581"/>
      <c r="Q123" s="1581"/>
      <c r="R123" s="1611"/>
      <c r="S123" s="1611"/>
      <c r="T123" s="1611"/>
    </row>
    <row r="124" spans="1:20" hidden="1">
      <c r="A124" s="1609">
        <v>298</v>
      </c>
      <c r="B124" s="1618" t="s">
        <v>1431</v>
      </c>
      <c r="C124" s="1579" t="s">
        <v>1432</v>
      </c>
      <c r="D124" s="1618" t="s">
        <v>1022</v>
      </c>
      <c r="E124" s="1694">
        <v>4333</v>
      </c>
      <c r="F124" s="1581"/>
      <c r="G124" s="1581"/>
      <c r="H124" s="1581"/>
      <c r="I124" s="1609">
        <v>6</v>
      </c>
      <c r="J124" s="1609">
        <v>205</v>
      </c>
      <c r="K124" s="1581"/>
      <c r="L124" s="1622"/>
      <c r="M124" s="1622"/>
      <c r="N124" s="1581"/>
      <c r="O124" s="1581"/>
      <c r="P124" s="1581"/>
      <c r="Q124" s="1581"/>
      <c r="R124" s="1611"/>
      <c r="S124" s="1611"/>
      <c r="T124" s="1611"/>
    </row>
    <row r="125" spans="1:20" hidden="1">
      <c r="A125" s="1609">
        <v>299</v>
      </c>
      <c r="B125" s="1618" t="s">
        <v>1433</v>
      </c>
      <c r="C125" s="1579" t="s">
        <v>1434</v>
      </c>
      <c r="D125" s="1618" t="s">
        <v>1022</v>
      </c>
      <c r="E125" s="1694">
        <v>4333</v>
      </c>
      <c r="F125" s="1581"/>
      <c r="G125" s="1581"/>
      <c r="H125" s="1581"/>
      <c r="I125" s="1609">
        <v>6</v>
      </c>
      <c r="J125" s="1609">
        <v>205</v>
      </c>
      <c r="K125" s="1581"/>
      <c r="L125" s="1622"/>
      <c r="M125" s="1622"/>
      <c r="N125" s="1581"/>
      <c r="O125" s="1581"/>
      <c r="P125" s="1581"/>
      <c r="Q125" s="1581"/>
      <c r="R125" s="1611"/>
      <c r="S125" s="1611"/>
      <c r="T125" s="1611"/>
    </row>
    <row r="126" spans="1:20" hidden="1">
      <c r="A126" s="1609">
        <v>280</v>
      </c>
      <c r="B126" s="1591" t="s">
        <v>1435</v>
      </c>
      <c r="C126" s="1624" t="s">
        <v>1436</v>
      </c>
      <c r="D126" s="1618" t="s">
        <v>1022</v>
      </c>
      <c r="E126" s="1694">
        <v>4333</v>
      </c>
      <c r="F126" s="1581"/>
      <c r="G126" s="1581"/>
      <c r="H126" s="1581"/>
      <c r="I126" s="1609">
        <v>6</v>
      </c>
      <c r="J126" s="1609">
        <v>205</v>
      </c>
      <c r="K126" s="1581"/>
      <c r="L126" s="1622"/>
      <c r="M126" s="1622"/>
      <c r="N126" s="1581"/>
      <c r="O126" s="1581"/>
      <c r="P126" s="1581"/>
      <c r="Q126" s="1581"/>
      <c r="R126" s="1611"/>
      <c r="S126" s="1611"/>
      <c r="T126" s="1611"/>
    </row>
    <row r="127" spans="1:20" ht="34.5" customHeight="1">
      <c r="A127" s="1609">
        <v>143</v>
      </c>
      <c r="B127" s="1618" t="s">
        <v>1437</v>
      </c>
      <c r="C127" s="1579" t="s">
        <v>1438</v>
      </c>
      <c r="D127" s="1618" t="s">
        <v>1022</v>
      </c>
      <c r="E127" s="1694">
        <v>4333</v>
      </c>
      <c r="F127" s="1581"/>
      <c r="G127" s="1581"/>
      <c r="H127" s="1581"/>
      <c r="I127" s="1609">
        <v>6</v>
      </c>
      <c r="J127" s="1609">
        <v>205</v>
      </c>
      <c r="K127" s="1581"/>
      <c r="L127" s="1618">
        <v>5</v>
      </c>
      <c r="M127" s="1618"/>
      <c r="N127" s="1581"/>
      <c r="O127" s="1581"/>
      <c r="P127" s="1581">
        <f>L127-O127</f>
        <v>5</v>
      </c>
      <c r="Q127" s="1581">
        <f>200*1.07</f>
        <v>214</v>
      </c>
      <c r="R127" s="1611">
        <f>P127*Q127</f>
        <v>1070</v>
      </c>
      <c r="S127" s="1611">
        <f>R127*(I127/(I127+J127+K127))</f>
        <v>30.42654028436019</v>
      </c>
      <c r="T127" s="1611">
        <f>R127-S127</f>
        <v>1039.5734597156397</v>
      </c>
    </row>
    <row r="128" spans="1:20" ht="34.5" hidden="1" customHeight="1">
      <c r="A128" s="1609"/>
      <c r="B128" s="1618" t="s">
        <v>1437</v>
      </c>
      <c r="C128" s="1579" t="s">
        <v>1439</v>
      </c>
      <c r="D128" s="1618"/>
      <c r="E128" s="1694">
        <v>4333</v>
      </c>
      <c r="F128" s="1581"/>
      <c r="G128" s="1581"/>
      <c r="H128" s="1581"/>
      <c r="I128" s="1609"/>
      <c r="J128" s="1609"/>
      <c r="K128" s="1581"/>
      <c r="L128" s="1618"/>
      <c r="M128" s="1618"/>
      <c r="N128" s="1581"/>
      <c r="O128" s="1581"/>
      <c r="P128" s="1581"/>
      <c r="Q128" s="1581"/>
      <c r="R128" s="1611"/>
      <c r="S128" s="1611"/>
      <c r="T128" s="1611"/>
    </row>
    <row r="129" spans="1:20" hidden="1">
      <c r="A129" s="1609">
        <v>165</v>
      </c>
      <c r="B129" s="1618" t="s">
        <v>1440</v>
      </c>
      <c r="C129" s="1579" t="s">
        <v>1441</v>
      </c>
      <c r="D129" s="1618" t="s">
        <v>1022</v>
      </c>
      <c r="E129" s="1694">
        <v>4333</v>
      </c>
      <c r="F129" s="1581"/>
      <c r="G129" s="1581"/>
      <c r="H129" s="1581"/>
      <c r="I129" s="1609">
        <v>6</v>
      </c>
      <c r="J129" s="1609">
        <v>205</v>
      </c>
      <c r="K129" s="1581"/>
      <c r="L129" s="1618"/>
      <c r="M129" s="1618"/>
      <c r="N129" s="1581"/>
      <c r="O129" s="1581"/>
      <c r="P129" s="1581"/>
      <c r="Q129" s="1581"/>
      <c r="R129" s="1611"/>
      <c r="S129" s="1611"/>
      <c r="T129" s="1611"/>
    </row>
    <row r="130" spans="1:20" hidden="1">
      <c r="A130" s="1609">
        <v>173</v>
      </c>
      <c r="B130" s="1618" t="s">
        <v>1442</v>
      </c>
      <c r="C130" s="1579" t="s">
        <v>1443</v>
      </c>
      <c r="D130" s="1618" t="s">
        <v>1022</v>
      </c>
      <c r="E130" s="1694">
        <v>4333</v>
      </c>
      <c r="F130" s="1581"/>
      <c r="G130" s="1581"/>
      <c r="H130" s="1581"/>
      <c r="I130" s="1609">
        <v>6</v>
      </c>
      <c r="J130" s="1609">
        <v>205</v>
      </c>
      <c r="K130" s="1581"/>
      <c r="L130" s="1618"/>
      <c r="M130" s="1618"/>
      <c r="N130" s="1581"/>
      <c r="O130" s="1581"/>
      <c r="P130" s="1581"/>
      <c r="Q130" s="1581"/>
      <c r="R130" s="1611"/>
      <c r="S130" s="1611"/>
      <c r="T130" s="1611"/>
    </row>
    <row r="131" spans="1:20" hidden="1">
      <c r="A131" s="1609">
        <v>192</v>
      </c>
      <c r="B131" s="1620" t="s">
        <v>1444</v>
      </c>
      <c r="C131" s="1579" t="s">
        <v>1445</v>
      </c>
      <c r="D131" s="1620" t="s">
        <v>1022</v>
      </c>
      <c r="E131" s="1694">
        <v>4333</v>
      </c>
      <c r="F131" s="1581"/>
      <c r="G131" s="1581"/>
      <c r="H131" s="1581"/>
      <c r="I131" s="1609">
        <v>6</v>
      </c>
      <c r="J131" s="1609">
        <v>205</v>
      </c>
      <c r="K131" s="1581"/>
      <c r="L131" s="1620"/>
      <c r="M131" s="1620"/>
      <c r="N131" s="1581"/>
      <c r="O131" s="1581"/>
      <c r="P131" s="1581"/>
      <c r="Q131" s="1581"/>
      <c r="R131" s="1611"/>
      <c r="S131" s="1611"/>
      <c r="T131" s="1611"/>
    </row>
    <row r="132" spans="1:20" ht="38.25">
      <c r="A132" s="1609">
        <v>32</v>
      </c>
      <c r="B132" s="1618" t="s">
        <v>1446</v>
      </c>
      <c r="C132" s="917" t="s">
        <v>3305</v>
      </c>
      <c r="D132" s="1619" t="s">
        <v>1268</v>
      </c>
      <c r="E132" s="1694">
        <v>4333</v>
      </c>
      <c r="F132" s="1609"/>
      <c r="G132" s="1609"/>
      <c r="H132" s="1609"/>
      <c r="I132" s="1609">
        <v>6</v>
      </c>
      <c r="J132" s="1609">
        <v>205</v>
      </c>
      <c r="K132" s="1609"/>
      <c r="L132" s="1623">
        <v>10</v>
      </c>
      <c r="M132" s="1623"/>
      <c r="N132" s="1609"/>
      <c r="O132" s="1609"/>
      <c r="P132" s="1581">
        <f>L132-O132</f>
        <v>10</v>
      </c>
      <c r="Q132" s="1610">
        <f>250*1.07</f>
        <v>267.5</v>
      </c>
      <c r="R132" s="1611">
        <f>P132*Q132</f>
        <v>2675</v>
      </c>
      <c r="S132" s="1611">
        <f>R132*(I132/(I132+J132+K132))</f>
        <v>76.066350710900466</v>
      </c>
      <c r="T132" s="1611">
        <f>R132-S132</f>
        <v>2598.9336492890993</v>
      </c>
    </row>
    <row r="133" spans="1:20" ht="25.5">
      <c r="A133" s="1609">
        <v>33</v>
      </c>
      <c r="B133" s="1618" t="s">
        <v>1446</v>
      </c>
      <c r="C133" s="917" t="s">
        <v>3306</v>
      </c>
      <c r="D133" s="1619" t="s">
        <v>1268</v>
      </c>
      <c r="E133" s="1694">
        <v>4333</v>
      </c>
      <c r="F133" s="1609"/>
      <c r="G133" s="1609"/>
      <c r="H133" s="1609"/>
      <c r="I133" s="1609">
        <v>6</v>
      </c>
      <c r="J133" s="1609">
        <v>205</v>
      </c>
      <c r="K133" s="1609"/>
      <c r="L133" s="1623">
        <v>10</v>
      </c>
      <c r="M133" s="1623"/>
      <c r="N133" s="1609"/>
      <c r="O133" s="1609"/>
      <c r="P133" s="1581">
        <f>L133-O133</f>
        <v>10</v>
      </c>
      <c r="Q133" s="1610">
        <f>300*1.07</f>
        <v>321</v>
      </c>
      <c r="R133" s="1611">
        <f>P133*Q133</f>
        <v>3210</v>
      </c>
      <c r="S133" s="1611">
        <f>R133*(I133/(I133+J133+K133))</f>
        <v>91.279620853080559</v>
      </c>
      <c r="T133" s="1611">
        <f>R133-S133</f>
        <v>3118.7203791469196</v>
      </c>
    </row>
    <row r="134" spans="1:20" hidden="1">
      <c r="A134" s="1581">
        <v>303</v>
      </c>
      <c r="B134" s="1618" t="s">
        <v>1449</v>
      </c>
      <c r="C134" s="1579" t="s">
        <v>2216</v>
      </c>
      <c r="D134" s="1618" t="s">
        <v>1022</v>
      </c>
      <c r="E134" s="1694">
        <v>4333</v>
      </c>
      <c r="F134" s="1581"/>
      <c r="G134" s="1581"/>
      <c r="H134" s="1581"/>
      <c r="I134" s="1609">
        <v>6</v>
      </c>
      <c r="J134" s="1609">
        <v>205</v>
      </c>
      <c r="K134" s="1581"/>
      <c r="L134" s="1622"/>
      <c r="M134" s="1622"/>
      <c r="N134" s="1581"/>
      <c r="O134" s="1581"/>
      <c r="P134" s="1581"/>
      <c r="Q134" s="1581"/>
      <c r="R134" s="1611"/>
      <c r="S134" s="1611"/>
      <c r="T134" s="1611"/>
    </row>
    <row r="135" spans="1:20" ht="25.5">
      <c r="A135" s="1609">
        <v>97</v>
      </c>
      <c r="B135" s="1619" t="s">
        <v>3307</v>
      </c>
      <c r="C135" s="917" t="s">
        <v>1450</v>
      </c>
      <c r="D135" s="1619" t="s">
        <v>1268</v>
      </c>
      <c r="E135" s="1694">
        <v>4333</v>
      </c>
      <c r="F135" s="1609"/>
      <c r="G135" s="1609"/>
      <c r="H135" s="1609"/>
      <c r="I135" s="1609">
        <v>6</v>
      </c>
      <c r="J135" s="1609">
        <v>205</v>
      </c>
      <c r="K135" s="1609"/>
      <c r="L135" s="1619">
        <v>1</v>
      </c>
      <c r="M135" s="1619"/>
      <c r="N135" s="1609"/>
      <c r="O135" s="1609"/>
      <c r="P135" s="1581">
        <f>L135-O135</f>
        <v>1</v>
      </c>
      <c r="Q135" s="1610">
        <f>5000*1.07</f>
        <v>5350</v>
      </c>
      <c r="R135" s="1611">
        <f>P135*Q135</f>
        <v>5350</v>
      </c>
      <c r="S135" s="1611">
        <f>R135*(I135/(I135+J135+K135))</f>
        <v>152.13270142180093</v>
      </c>
      <c r="T135" s="1611">
        <f>R135-S135</f>
        <v>5197.8672985781986</v>
      </c>
    </row>
    <row r="136" spans="1:20" ht="38.25" hidden="1">
      <c r="A136" s="1609">
        <v>92</v>
      </c>
      <c r="B136" s="1619" t="s">
        <v>1452</v>
      </c>
      <c r="C136" s="917" t="s">
        <v>1453</v>
      </c>
      <c r="D136" s="1619" t="s">
        <v>1268</v>
      </c>
      <c r="E136" s="1694">
        <v>4333</v>
      </c>
      <c r="F136" s="1609"/>
      <c r="G136" s="1609"/>
      <c r="H136" s="1609"/>
      <c r="I136" s="1609">
        <v>6</v>
      </c>
      <c r="J136" s="1609">
        <v>205</v>
      </c>
      <c r="K136" s="1609"/>
      <c r="L136" s="1619"/>
      <c r="M136" s="1619"/>
      <c r="N136" s="1609"/>
      <c r="O136" s="1609"/>
      <c r="P136" s="1581"/>
      <c r="Q136" s="1610"/>
      <c r="R136" s="1611"/>
      <c r="S136" s="1611"/>
      <c r="T136" s="1611"/>
    </row>
    <row r="137" spans="1:20">
      <c r="A137" s="1609">
        <v>125</v>
      </c>
      <c r="B137" s="1618" t="s">
        <v>1454</v>
      </c>
      <c r="C137" s="1579" t="s">
        <v>1455</v>
      </c>
      <c r="D137" s="1618" t="s">
        <v>1268</v>
      </c>
      <c r="E137" s="1694">
        <v>4333</v>
      </c>
      <c r="F137" s="1581"/>
      <c r="G137" s="1581"/>
      <c r="H137" s="1581"/>
      <c r="I137" s="1609">
        <v>6</v>
      </c>
      <c r="J137" s="1609">
        <v>205</v>
      </c>
      <c r="K137" s="1581"/>
      <c r="L137" s="1618">
        <v>3</v>
      </c>
      <c r="M137" s="1618"/>
      <c r="N137" s="1581"/>
      <c r="O137" s="1581"/>
      <c r="P137" s="1581">
        <f>L137-O137</f>
        <v>3</v>
      </c>
      <c r="Q137" s="1581">
        <f>2600*1.07</f>
        <v>2782</v>
      </c>
      <c r="R137" s="1611">
        <f>P137*Q137</f>
        <v>8346</v>
      </c>
      <c r="S137" s="1611">
        <f>R137*(I137/(I137+J137+K137))</f>
        <v>237.32701421800948</v>
      </c>
      <c r="T137" s="1611">
        <f>R137-S137</f>
        <v>8108.6729857819901</v>
      </c>
    </row>
    <row r="138" spans="1:20">
      <c r="A138" s="1609">
        <v>126</v>
      </c>
      <c r="B138" s="1618" t="s">
        <v>1456</v>
      </c>
      <c r="C138" s="1579" t="s">
        <v>1457</v>
      </c>
      <c r="D138" s="1618" t="s">
        <v>1268</v>
      </c>
      <c r="E138" s="1694">
        <v>4333</v>
      </c>
      <c r="F138" s="1581"/>
      <c r="G138" s="1581"/>
      <c r="H138" s="1581"/>
      <c r="I138" s="1609">
        <v>6</v>
      </c>
      <c r="J138" s="1609">
        <v>205</v>
      </c>
      <c r="K138" s="1581"/>
      <c r="L138" s="1618">
        <v>3</v>
      </c>
      <c r="M138" s="1618"/>
      <c r="N138" s="1581"/>
      <c r="O138" s="1581"/>
      <c r="P138" s="1581">
        <f>L138-O138</f>
        <v>3</v>
      </c>
      <c r="Q138" s="1581">
        <f>3900*1.07</f>
        <v>4173</v>
      </c>
      <c r="R138" s="1611">
        <f>P138*Q138</f>
        <v>12519</v>
      </c>
      <c r="S138" s="1611">
        <f>R138*(I138/(I138+J138+K138))</f>
        <v>355.99052132701422</v>
      </c>
      <c r="T138" s="1611">
        <f>R138-S138</f>
        <v>12163.009478672986</v>
      </c>
    </row>
    <row r="139" spans="1:20">
      <c r="A139" s="1609">
        <v>127</v>
      </c>
      <c r="B139" s="1618" t="s">
        <v>1458</v>
      </c>
      <c r="C139" s="1579" t="s">
        <v>1457</v>
      </c>
      <c r="D139" s="1618" t="s">
        <v>1268</v>
      </c>
      <c r="E139" s="1694">
        <v>4333</v>
      </c>
      <c r="F139" s="1581"/>
      <c r="G139" s="1581"/>
      <c r="H139" s="1581"/>
      <c r="I139" s="1609">
        <v>6</v>
      </c>
      <c r="J139" s="1609">
        <v>205</v>
      </c>
      <c r="K139" s="1581"/>
      <c r="L139" s="1618">
        <v>1</v>
      </c>
      <c r="M139" s="1618"/>
      <c r="N139" s="1581"/>
      <c r="O139" s="1581"/>
      <c r="P139" s="1581">
        <f>L139-O139</f>
        <v>1</v>
      </c>
      <c r="Q139" s="1581">
        <f>4700*1.07</f>
        <v>5029</v>
      </c>
      <c r="R139" s="1611">
        <f>P139*Q139</f>
        <v>5029</v>
      </c>
      <c r="S139" s="1611">
        <f>R139*(I139/(I139+J139+K139))</f>
        <v>143.00473933649289</v>
      </c>
      <c r="T139" s="1611">
        <f>R139-S139</f>
        <v>4885.995260663507</v>
      </c>
    </row>
    <row r="140" spans="1:20">
      <c r="A140" s="1609">
        <v>128</v>
      </c>
      <c r="B140" s="1618" t="s">
        <v>1459</v>
      </c>
      <c r="C140" s="1579" t="s">
        <v>1457</v>
      </c>
      <c r="D140" s="1618" t="s">
        <v>1268</v>
      </c>
      <c r="E140" s="1694">
        <v>4333</v>
      </c>
      <c r="F140" s="1581"/>
      <c r="G140" s="1581"/>
      <c r="H140" s="1581"/>
      <c r="I140" s="1609">
        <v>6</v>
      </c>
      <c r="J140" s="1609">
        <v>205</v>
      </c>
      <c r="K140" s="1581"/>
      <c r="L140" s="1618">
        <v>1</v>
      </c>
      <c r="M140" s="1618"/>
      <c r="N140" s="1581"/>
      <c r="O140" s="1581"/>
      <c r="P140" s="1581">
        <f>L140-O140</f>
        <v>1</v>
      </c>
      <c r="Q140" s="1581">
        <f>6100*1.07</f>
        <v>6527</v>
      </c>
      <c r="R140" s="1611">
        <f>P140*Q140</f>
        <v>6527</v>
      </c>
      <c r="S140" s="1611">
        <f>R140*(I140/(I140+J140+K140))</f>
        <v>185.60189573459715</v>
      </c>
      <c r="T140" s="1611">
        <f>R140-S140</f>
        <v>6341.3981042654032</v>
      </c>
    </row>
    <row r="141" spans="1:20">
      <c r="A141" s="1609">
        <v>122</v>
      </c>
      <c r="B141" s="1619" t="s">
        <v>1460</v>
      </c>
      <c r="C141" s="1579" t="s">
        <v>1461</v>
      </c>
      <c r="D141" s="1619" t="s">
        <v>1268</v>
      </c>
      <c r="E141" s="1694">
        <v>4333</v>
      </c>
      <c r="F141" s="1581"/>
      <c r="G141" s="1581"/>
      <c r="H141" s="1609"/>
      <c r="I141" s="1609">
        <v>6</v>
      </c>
      <c r="J141" s="1609">
        <v>205</v>
      </c>
      <c r="K141" s="1609"/>
      <c r="L141" s="1619">
        <v>10</v>
      </c>
      <c r="M141" s="1619"/>
      <c r="N141" s="1609"/>
      <c r="O141" s="1609"/>
      <c r="P141" s="1581">
        <f>L141-O141</f>
        <v>10</v>
      </c>
      <c r="Q141" s="1609">
        <f>5000*1.07</f>
        <v>5350</v>
      </c>
      <c r="R141" s="1611">
        <f>P141*Q141</f>
        <v>53500</v>
      </c>
      <c r="S141" s="1611">
        <f>R141*(I141/(I141+J141+K141))</f>
        <v>1521.3270142180095</v>
      </c>
      <c r="T141" s="1611">
        <f>R141-S141</f>
        <v>51978.672985781988</v>
      </c>
    </row>
    <row r="142" spans="1:20" ht="25.5" hidden="1">
      <c r="A142" s="1609">
        <v>227</v>
      </c>
      <c r="B142" s="1620" t="s">
        <v>1462</v>
      </c>
      <c r="C142" s="1579" t="s">
        <v>1463</v>
      </c>
      <c r="D142" s="1620" t="s">
        <v>1268</v>
      </c>
      <c r="E142" s="1694">
        <v>4333</v>
      </c>
      <c r="F142" s="1581"/>
      <c r="G142" s="1581"/>
      <c r="H142" s="1581"/>
      <c r="I142" s="1609">
        <v>6</v>
      </c>
      <c r="J142" s="1609">
        <v>205</v>
      </c>
      <c r="K142" s="1581"/>
      <c r="L142" s="1620"/>
      <c r="M142" s="1620"/>
      <c r="N142" s="1581"/>
      <c r="O142" s="1581"/>
      <c r="P142" s="1581"/>
      <c r="Q142" s="1581"/>
      <c r="R142" s="1611"/>
      <c r="S142" s="1611"/>
      <c r="T142" s="1611"/>
    </row>
    <row r="143" spans="1:20">
      <c r="A143" s="1581">
        <v>309</v>
      </c>
      <c r="B143" s="1625" t="s">
        <v>3308</v>
      </c>
      <c r="C143" s="1579" t="s">
        <v>3309</v>
      </c>
      <c r="D143" s="1625" t="s">
        <v>1268</v>
      </c>
      <c r="E143" s="1694">
        <v>4333</v>
      </c>
      <c r="F143" s="1581"/>
      <c r="G143" s="1581"/>
      <c r="H143" s="1581"/>
      <c r="I143" s="1609">
        <v>6</v>
      </c>
      <c r="J143" s="1609">
        <v>205</v>
      </c>
      <c r="K143" s="1581"/>
      <c r="L143" s="1625">
        <v>50</v>
      </c>
      <c r="M143" s="1625"/>
      <c r="N143" s="1581"/>
      <c r="O143" s="1581"/>
      <c r="P143" s="1581">
        <f>L143-O143</f>
        <v>50</v>
      </c>
      <c r="Q143" s="1581">
        <f>800*1.07</f>
        <v>856</v>
      </c>
      <c r="R143" s="1611">
        <f>P143*Q143</f>
        <v>42800</v>
      </c>
      <c r="S143" s="1611">
        <f>R143*(I143/(I143+J143+K143))</f>
        <v>1217.0616113744074</v>
      </c>
      <c r="T143" s="1611">
        <f>R143-S143</f>
        <v>41582.938388625589</v>
      </c>
    </row>
    <row r="144" spans="1:20">
      <c r="A144" s="1581">
        <v>310</v>
      </c>
      <c r="B144" s="1625" t="s">
        <v>1502</v>
      </c>
      <c r="C144" s="1579" t="s">
        <v>3310</v>
      </c>
      <c r="D144" s="1625" t="s">
        <v>1268</v>
      </c>
      <c r="E144" s="1694">
        <v>4333</v>
      </c>
      <c r="F144" s="1581"/>
      <c r="G144" s="1581"/>
      <c r="H144" s="1581"/>
      <c r="I144" s="1609">
        <v>6</v>
      </c>
      <c r="J144" s="1609">
        <v>205</v>
      </c>
      <c r="K144" s="1581"/>
      <c r="L144" s="1625">
        <v>50</v>
      </c>
      <c r="M144" s="1625"/>
      <c r="N144" s="1581"/>
      <c r="O144" s="1581"/>
      <c r="P144" s="1581">
        <f>L144-O144</f>
        <v>50</v>
      </c>
      <c r="Q144" s="1581">
        <f>680*1.07</f>
        <v>727.6</v>
      </c>
      <c r="R144" s="1611">
        <f>P144*Q144</f>
        <v>36380</v>
      </c>
      <c r="S144" s="1611">
        <f>R144*(I144/(I144+J144+K144))</f>
        <v>1034.5023696682465</v>
      </c>
      <c r="T144" s="1611">
        <f>R144-S144</f>
        <v>35345.497630331753</v>
      </c>
    </row>
    <row r="145" spans="1:21">
      <c r="A145" s="1581">
        <v>311</v>
      </c>
      <c r="B145" s="1625" t="s">
        <v>3308</v>
      </c>
      <c r="C145" s="1579" t="s">
        <v>3311</v>
      </c>
      <c r="D145" s="1625" t="s">
        <v>1268</v>
      </c>
      <c r="E145" s="1694">
        <v>4333</v>
      </c>
      <c r="F145" s="1581"/>
      <c r="G145" s="1581"/>
      <c r="H145" s="1581"/>
      <c r="I145" s="1609">
        <v>6</v>
      </c>
      <c r="J145" s="1609">
        <v>205</v>
      </c>
      <c r="K145" s="1581"/>
      <c r="L145" s="1625">
        <v>50</v>
      </c>
      <c r="M145" s="1625"/>
      <c r="N145" s="1581"/>
      <c r="O145" s="1581"/>
      <c r="P145" s="1581">
        <f>L145-O145</f>
        <v>50</v>
      </c>
      <c r="Q145" s="1581">
        <f>1120*1.07</f>
        <v>1198.4000000000001</v>
      </c>
      <c r="R145" s="1611">
        <f>P145*Q145</f>
        <v>59920.000000000007</v>
      </c>
      <c r="S145" s="1611">
        <f>R145*(I145/(I145+J145+K145))</f>
        <v>1703.8862559241707</v>
      </c>
      <c r="T145" s="1611">
        <f>R145-S145</f>
        <v>58216.113744075839</v>
      </c>
    </row>
    <row r="146" spans="1:21">
      <c r="A146" s="1609">
        <v>161</v>
      </c>
      <c r="B146" s="1618" t="s">
        <v>1468</v>
      </c>
      <c r="C146" s="1579"/>
      <c r="D146" s="1618" t="s">
        <v>1022</v>
      </c>
      <c r="E146" s="1694">
        <v>4333</v>
      </c>
      <c r="F146" s="1581"/>
      <c r="G146" s="1581"/>
      <c r="H146" s="1581"/>
      <c r="I146" s="1609">
        <v>6</v>
      </c>
      <c r="J146" s="1609">
        <v>205</v>
      </c>
      <c r="K146" s="1581"/>
      <c r="L146" s="1618"/>
      <c r="M146" s="1618"/>
      <c r="N146" s="1581"/>
      <c r="O146" s="1581"/>
      <c r="P146" s="1581"/>
      <c r="Q146" s="1581"/>
      <c r="R146" s="1611"/>
      <c r="S146" s="1611"/>
      <c r="T146" s="1611"/>
    </row>
    <row r="147" spans="1:21" ht="51" hidden="1">
      <c r="A147" s="1609">
        <v>187</v>
      </c>
      <c r="B147" s="1618" t="s">
        <v>3312</v>
      </c>
      <c r="C147" s="1626" t="s">
        <v>3313</v>
      </c>
      <c r="D147" s="1618" t="s">
        <v>1268</v>
      </c>
      <c r="E147" s="1694">
        <v>4333</v>
      </c>
      <c r="F147" s="1581"/>
      <c r="G147" s="1581"/>
      <c r="H147" s="1581"/>
      <c r="I147" s="1609">
        <v>6</v>
      </c>
      <c r="J147" s="1609">
        <v>205</v>
      </c>
      <c r="K147" s="1581"/>
      <c r="L147" s="1620"/>
      <c r="M147" s="1620"/>
      <c r="N147" s="1581"/>
      <c r="O147" s="1581"/>
      <c r="P147" s="1581"/>
      <c r="Q147" s="1581"/>
      <c r="R147" s="1611"/>
      <c r="S147" s="1611"/>
      <c r="T147" s="1611"/>
    </row>
    <row r="148" spans="1:21" hidden="1">
      <c r="A148" s="1609">
        <v>238</v>
      </c>
      <c r="B148" s="1622" t="s">
        <v>1471</v>
      </c>
      <c r="C148" s="1579" t="s">
        <v>1472</v>
      </c>
      <c r="D148" s="1622" t="s">
        <v>1022</v>
      </c>
      <c r="E148" s="1694">
        <v>4333</v>
      </c>
      <c r="F148" s="1581"/>
      <c r="G148" s="1581"/>
      <c r="H148" s="1581"/>
      <c r="I148" s="1609">
        <v>6</v>
      </c>
      <c r="J148" s="1609">
        <v>205</v>
      </c>
      <c r="K148" s="1581"/>
      <c r="L148" s="1610"/>
      <c r="M148" s="1610"/>
      <c r="N148" s="1581"/>
      <c r="O148" s="1581"/>
      <c r="P148" s="1581"/>
      <c r="Q148" s="1581"/>
      <c r="R148" s="1611"/>
      <c r="S148" s="1611"/>
      <c r="T148" s="1611"/>
    </row>
    <row r="149" spans="1:21" hidden="1">
      <c r="A149" s="1609">
        <v>204</v>
      </c>
      <c r="B149" s="1620" t="s">
        <v>1473</v>
      </c>
      <c r="C149" s="1579" t="s">
        <v>1474</v>
      </c>
      <c r="D149" s="1620" t="s">
        <v>1022</v>
      </c>
      <c r="E149" s="1694">
        <v>4333</v>
      </c>
      <c r="F149" s="1581"/>
      <c r="G149" s="1581"/>
      <c r="H149" s="1581"/>
      <c r="I149" s="1609">
        <v>6</v>
      </c>
      <c r="J149" s="1609">
        <v>205</v>
      </c>
      <c r="K149" s="1581"/>
      <c r="L149" s="1620"/>
      <c r="M149" s="1620"/>
      <c r="N149" s="1581"/>
      <c r="O149" s="1581"/>
      <c r="P149" s="1581"/>
      <c r="Q149" s="1581"/>
      <c r="R149" s="1611"/>
      <c r="S149" s="1611"/>
      <c r="T149" s="1611"/>
      <c r="U149" s="1578" t="s">
        <v>1475</v>
      </c>
    </row>
    <row r="150" spans="1:21" hidden="1">
      <c r="A150" s="1609">
        <v>167</v>
      </c>
      <c r="B150" s="1618" t="s">
        <v>1476</v>
      </c>
      <c r="C150" s="1579" t="s">
        <v>1477</v>
      </c>
      <c r="D150" s="1618" t="s">
        <v>1022</v>
      </c>
      <c r="E150" s="1694">
        <v>4333</v>
      </c>
      <c r="F150" s="1581"/>
      <c r="G150" s="1581"/>
      <c r="H150" s="1581"/>
      <c r="I150" s="1609">
        <v>6</v>
      </c>
      <c r="J150" s="1609">
        <v>205</v>
      </c>
      <c r="K150" s="1581"/>
      <c r="L150" s="1618"/>
      <c r="M150" s="1618"/>
      <c r="N150" s="1581"/>
      <c r="O150" s="1581"/>
      <c r="P150" s="1581"/>
      <c r="Q150" s="1581"/>
      <c r="R150" s="1611"/>
      <c r="S150" s="1611"/>
      <c r="T150" s="1611"/>
    </row>
    <row r="151" spans="1:21" hidden="1">
      <c r="A151" s="1609">
        <v>168</v>
      </c>
      <c r="B151" s="1618" t="s">
        <v>1476</v>
      </c>
      <c r="C151" s="1579" t="s">
        <v>1478</v>
      </c>
      <c r="D151" s="1618" t="s">
        <v>1022</v>
      </c>
      <c r="E151" s="1694">
        <v>4333</v>
      </c>
      <c r="F151" s="1581"/>
      <c r="G151" s="1581"/>
      <c r="H151" s="1581"/>
      <c r="I151" s="1609">
        <v>6</v>
      </c>
      <c r="J151" s="1609">
        <v>205</v>
      </c>
      <c r="K151" s="1581"/>
      <c r="L151" s="1618"/>
      <c r="M151" s="1618"/>
      <c r="N151" s="1581"/>
      <c r="O151" s="1581"/>
      <c r="P151" s="1581"/>
      <c r="Q151" s="1581"/>
      <c r="R151" s="1611"/>
      <c r="S151" s="1611"/>
      <c r="T151" s="1611"/>
    </row>
    <row r="152" spans="1:21" hidden="1">
      <c r="A152" s="1609">
        <v>169</v>
      </c>
      <c r="B152" s="1618" t="s">
        <v>1476</v>
      </c>
      <c r="C152" s="1579" t="s">
        <v>1479</v>
      </c>
      <c r="D152" s="1618" t="s">
        <v>1022</v>
      </c>
      <c r="E152" s="1694">
        <v>4333</v>
      </c>
      <c r="F152" s="1581"/>
      <c r="G152" s="1581"/>
      <c r="H152" s="1581"/>
      <c r="I152" s="1609">
        <v>6</v>
      </c>
      <c r="J152" s="1609">
        <v>205</v>
      </c>
      <c r="K152" s="1581"/>
      <c r="L152" s="1618"/>
      <c r="M152" s="1618"/>
      <c r="N152" s="1581"/>
      <c r="O152" s="1581"/>
      <c r="P152" s="1581"/>
      <c r="Q152" s="1581"/>
      <c r="R152" s="1611"/>
      <c r="S152" s="1611"/>
      <c r="T152" s="1611"/>
    </row>
    <row r="153" spans="1:21" hidden="1">
      <c r="A153" s="1609">
        <v>172</v>
      </c>
      <c r="B153" s="1618" t="s">
        <v>1476</v>
      </c>
      <c r="C153" s="1579" t="s">
        <v>1480</v>
      </c>
      <c r="D153" s="1618" t="s">
        <v>1022</v>
      </c>
      <c r="E153" s="1694">
        <v>4333</v>
      </c>
      <c r="F153" s="1581"/>
      <c r="G153" s="1581"/>
      <c r="H153" s="1581"/>
      <c r="I153" s="1609">
        <v>6</v>
      </c>
      <c r="J153" s="1609">
        <v>205</v>
      </c>
      <c r="K153" s="1581"/>
      <c r="L153" s="1618"/>
      <c r="M153" s="1618"/>
      <c r="N153" s="1581"/>
      <c r="O153" s="1581"/>
      <c r="P153" s="1581"/>
      <c r="Q153" s="1581"/>
      <c r="R153" s="1611"/>
      <c r="S153" s="1611"/>
      <c r="T153" s="1611"/>
    </row>
    <row r="154" spans="1:21" hidden="1">
      <c r="A154" s="1609">
        <v>170</v>
      </c>
      <c r="B154" s="1618" t="s">
        <v>1481</v>
      </c>
      <c r="C154" s="1579" t="s">
        <v>1482</v>
      </c>
      <c r="D154" s="1618" t="s">
        <v>1022</v>
      </c>
      <c r="E154" s="1694">
        <v>4333</v>
      </c>
      <c r="F154" s="1581"/>
      <c r="G154" s="1581"/>
      <c r="H154" s="1581"/>
      <c r="I154" s="1609">
        <v>6</v>
      </c>
      <c r="J154" s="1609">
        <v>205</v>
      </c>
      <c r="K154" s="1581"/>
      <c r="L154" s="1618"/>
      <c r="M154" s="1618"/>
      <c r="N154" s="1581"/>
      <c r="O154" s="1581"/>
      <c r="P154" s="1581"/>
      <c r="Q154" s="1581"/>
      <c r="R154" s="1611"/>
      <c r="S154" s="1611"/>
      <c r="T154" s="1611"/>
    </row>
    <row r="155" spans="1:21" hidden="1">
      <c r="A155" s="1609">
        <v>171</v>
      </c>
      <c r="B155" s="1618" t="s">
        <v>1481</v>
      </c>
      <c r="C155" s="1579" t="s">
        <v>3314</v>
      </c>
      <c r="D155" s="1618" t="s">
        <v>1022</v>
      </c>
      <c r="E155" s="1694">
        <v>4333</v>
      </c>
      <c r="F155" s="1581"/>
      <c r="G155" s="1581"/>
      <c r="H155" s="1581"/>
      <c r="I155" s="1609">
        <v>6</v>
      </c>
      <c r="J155" s="1609">
        <v>205</v>
      </c>
      <c r="K155" s="1581"/>
      <c r="L155" s="1618"/>
      <c r="M155" s="1618"/>
      <c r="N155" s="1581"/>
      <c r="O155" s="1581"/>
      <c r="P155" s="1581"/>
      <c r="Q155" s="1581"/>
      <c r="R155" s="1611"/>
      <c r="S155" s="1611"/>
      <c r="T155" s="1611"/>
    </row>
    <row r="156" spans="1:21" hidden="1">
      <c r="A156" s="1609">
        <v>205</v>
      </c>
      <c r="B156" s="1620" t="s">
        <v>1320</v>
      </c>
      <c r="C156" s="1579" t="s">
        <v>3315</v>
      </c>
      <c r="D156" s="1620" t="s">
        <v>1022</v>
      </c>
      <c r="E156" s="1694">
        <v>4333</v>
      </c>
      <c r="F156" s="1581"/>
      <c r="G156" s="1581"/>
      <c r="H156" s="1581"/>
      <c r="I156" s="1609">
        <v>6</v>
      </c>
      <c r="J156" s="1609">
        <v>205</v>
      </c>
      <c r="K156" s="1581"/>
      <c r="L156" s="1620"/>
      <c r="M156" s="1620"/>
      <c r="N156" s="1581"/>
      <c r="O156" s="1581"/>
      <c r="P156" s="1581"/>
      <c r="Q156" s="1581"/>
      <c r="R156" s="1611"/>
      <c r="S156" s="1611"/>
      <c r="T156" s="1611"/>
    </row>
    <row r="157" spans="1:21" hidden="1">
      <c r="A157" s="1609">
        <v>207</v>
      </c>
      <c r="B157" s="1620" t="s">
        <v>1485</v>
      </c>
      <c r="C157" s="1579" t="s">
        <v>1486</v>
      </c>
      <c r="D157" s="1620" t="s">
        <v>1022</v>
      </c>
      <c r="E157" s="1694">
        <v>4333</v>
      </c>
      <c r="F157" s="1581"/>
      <c r="G157" s="1581"/>
      <c r="H157" s="1581"/>
      <c r="I157" s="1609">
        <v>6</v>
      </c>
      <c r="J157" s="1609">
        <v>205</v>
      </c>
      <c r="K157" s="1581"/>
      <c r="L157" s="1620"/>
      <c r="M157" s="1620"/>
      <c r="N157" s="1581"/>
      <c r="O157" s="1581"/>
      <c r="P157" s="1581"/>
      <c r="Q157" s="1581"/>
      <c r="R157" s="1611"/>
      <c r="S157" s="1611"/>
      <c r="T157" s="1611"/>
    </row>
    <row r="158" spans="1:21" hidden="1">
      <c r="A158" s="1609">
        <v>208</v>
      </c>
      <c r="B158" s="1620" t="s">
        <v>1485</v>
      </c>
      <c r="C158" s="1579" t="s">
        <v>1487</v>
      </c>
      <c r="D158" s="1620" t="s">
        <v>1022</v>
      </c>
      <c r="E158" s="1694">
        <v>4333</v>
      </c>
      <c r="F158" s="1581"/>
      <c r="G158" s="1581"/>
      <c r="H158" s="1581"/>
      <c r="I158" s="1609">
        <v>6</v>
      </c>
      <c r="J158" s="1609">
        <v>205</v>
      </c>
      <c r="K158" s="1581"/>
      <c r="L158" s="1620"/>
      <c r="M158" s="1620"/>
      <c r="N158" s="1581"/>
      <c r="O158" s="1581"/>
      <c r="P158" s="1581"/>
      <c r="Q158" s="1581"/>
      <c r="R158" s="1611"/>
      <c r="S158" s="1611"/>
      <c r="T158" s="1611"/>
    </row>
    <row r="159" spans="1:21">
      <c r="A159" s="1609">
        <v>149</v>
      </c>
      <c r="B159" s="1618" t="s">
        <v>1488</v>
      </c>
      <c r="C159" s="1579" t="s">
        <v>1489</v>
      </c>
      <c r="D159" s="1618" t="s">
        <v>1022</v>
      </c>
      <c r="E159" s="1694">
        <v>4333</v>
      </c>
      <c r="F159" s="1581"/>
      <c r="G159" s="1581"/>
      <c r="H159" s="1581"/>
      <c r="I159" s="1609">
        <v>6</v>
      </c>
      <c r="J159" s="1609">
        <v>205</v>
      </c>
      <c r="K159" s="1581"/>
      <c r="L159" s="1618">
        <v>1</v>
      </c>
      <c r="M159" s="1618"/>
      <c r="N159" s="1581"/>
      <c r="O159" s="1581"/>
      <c r="P159" s="1581">
        <f>L159-O159</f>
        <v>1</v>
      </c>
      <c r="Q159" s="1581">
        <f>5000*1.07</f>
        <v>5350</v>
      </c>
      <c r="R159" s="1611">
        <f>P159*Q159</f>
        <v>5350</v>
      </c>
      <c r="S159" s="1611">
        <f>R159*(I159/(I159+J159+K159))</f>
        <v>152.13270142180093</v>
      </c>
      <c r="T159" s="1611">
        <f>R159-S159</f>
        <v>5197.8672985781986</v>
      </c>
    </row>
    <row r="160" spans="1:21" hidden="1">
      <c r="A160" s="1609">
        <v>282</v>
      </c>
      <c r="B160" s="1618" t="s">
        <v>1490</v>
      </c>
      <c r="C160" s="1579" t="s">
        <v>3316</v>
      </c>
      <c r="D160" s="1618" t="s">
        <v>1022</v>
      </c>
      <c r="E160" s="1694">
        <v>4333</v>
      </c>
      <c r="F160" s="1581"/>
      <c r="G160" s="1581"/>
      <c r="H160" s="1581"/>
      <c r="I160" s="1609">
        <v>6</v>
      </c>
      <c r="J160" s="1609">
        <v>205</v>
      </c>
      <c r="K160" s="1581"/>
      <c r="L160" s="1622"/>
      <c r="M160" s="1622"/>
      <c r="N160" s="1581"/>
      <c r="O160" s="1581"/>
      <c r="P160" s="1581"/>
      <c r="Q160" s="1581"/>
      <c r="R160" s="1611"/>
      <c r="S160" s="1611"/>
      <c r="T160" s="1611"/>
    </row>
    <row r="161" spans="1:20" hidden="1">
      <c r="A161" s="1609">
        <v>283</v>
      </c>
      <c r="B161" s="1618" t="s">
        <v>1490</v>
      </c>
      <c r="C161" s="1579" t="s">
        <v>3317</v>
      </c>
      <c r="D161" s="1618" t="s">
        <v>1022</v>
      </c>
      <c r="E161" s="1694">
        <v>4333</v>
      </c>
      <c r="F161" s="1581"/>
      <c r="G161" s="1581"/>
      <c r="H161" s="1581"/>
      <c r="I161" s="1609">
        <v>6</v>
      </c>
      <c r="J161" s="1609">
        <v>205</v>
      </c>
      <c r="K161" s="1581"/>
      <c r="L161" s="1622"/>
      <c r="M161" s="1622"/>
      <c r="N161" s="1581"/>
      <c r="O161" s="1581"/>
      <c r="P161" s="1581"/>
      <c r="Q161" s="1581"/>
      <c r="R161" s="1611"/>
      <c r="S161" s="1611"/>
      <c r="T161" s="1611"/>
    </row>
    <row r="162" spans="1:20" hidden="1">
      <c r="A162" s="1581">
        <v>305</v>
      </c>
      <c r="B162" s="1618" t="s">
        <v>1493</v>
      </c>
      <c r="C162" s="1579" t="s">
        <v>3318</v>
      </c>
      <c r="D162" s="1618" t="s">
        <v>1022</v>
      </c>
      <c r="E162" s="1694">
        <v>4333</v>
      </c>
      <c r="F162" s="1581"/>
      <c r="G162" s="1581"/>
      <c r="H162" s="1581"/>
      <c r="I162" s="1609">
        <v>6</v>
      </c>
      <c r="J162" s="1609">
        <v>205</v>
      </c>
      <c r="K162" s="1581"/>
      <c r="L162" s="1610"/>
      <c r="M162" s="1610"/>
      <c r="N162" s="1581"/>
      <c r="O162" s="1581"/>
      <c r="P162" s="1581"/>
      <c r="Q162" s="1581"/>
      <c r="R162" s="1611"/>
      <c r="S162" s="1611"/>
      <c r="T162" s="1611"/>
    </row>
    <row r="163" spans="1:20" hidden="1">
      <c r="A163" s="1609">
        <v>81</v>
      </c>
      <c r="B163" s="1619" t="s">
        <v>1495</v>
      </c>
      <c r="C163" s="917" t="s">
        <v>1496</v>
      </c>
      <c r="D163" s="1619" t="s">
        <v>1268</v>
      </c>
      <c r="E163" s="1694">
        <v>4333</v>
      </c>
      <c r="F163" s="1609"/>
      <c r="G163" s="1609"/>
      <c r="H163" s="1609"/>
      <c r="I163" s="1609">
        <v>6</v>
      </c>
      <c r="J163" s="1609">
        <v>205</v>
      </c>
      <c r="K163" s="1609"/>
      <c r="L163" s="1619"/>
      <c r="M163" s="1619"/>
      <c r="N163" s="1609"/>
      <c r="O163" s="1609"/>
      <c r="P163" s="1581"/>
      <c r="Q163" s="1610"/>
      <c r="R163" s="1611"/>
      <c r="S163" s="1611"/>
      <c r="T163" s="1611"/>
    </row>
    <row r="164" spans="1:20">
      <c r="A164" s="1581">
        <v>312</v>
      </c>
      <c r="B164" s="1625" t="s">
        <v>1495</v>
      </c>
      <c r="C164" s="1579" t="s">
        <v>1497</v>
      </c>
      <c r="D164" s="1625" t="s">
        <v>1268</v>
      </c>
      <c r="E164" s="1694">
        <v>4333</v>
      </c>
      <c r="F164" s="1581"/>
      <c r="G164" s="1581"/>
      <c r="H164" s="1581"/>
      <c r="I164" s="1609">
        <v>6</v>
      </c>
      <c r="J164" s="1609">
        <v>205</v>
      </c>
      <c r="K164" s="1581"/>
      <c r="L164" s="1625">
        <v>50</v>
      </c>
      <c r="M164" s="1625"/>
      <c r="N164" s="1581"/>
      <c r="O164" s="1581"/>
      <c r="P164" s="1581">
        <f>L164-O164</f>
        <v>50</v>
      </c>
      <c r="Q164" s="1581">
        <f>1300*1.07</f>
        <v>1391</v>
      </c>
      <c r="R164" s="1611">
        <f>P164*Q164</f>
        <v>69550</v>
      </c>
      <c r="S164" s="1611">
        <f>R164*(I164/(I164+J164+K164))</f>
        <v>1977.7251184834122</v>
      </c>
      <c r="T164" s="1611">
        <f>R164-S164</f>
        <v>67572.274881516583</v>
      </c>
    </row>
    <row r="165" spans="1:20" hidden="1">
      <c r="A165" s="1609">
        <v>84</v>
      </c>
      <c r="B165" s="1619" t="s">
        <v>1498</v>
      </c>
      <c r="C165" s="917" t="s">
        <v>1499</v>
      </c>
      <c r="D165" s="1619" t="s">
        <v>1268</v>
      </c>
      <c r="E165" s="1694">
        <v>4333</v>
      </c>
      <c r="F165" s="1609"/>
      <c r="G165" s="1609"/>
      <c r="H165" s="1609"/>
      <c r="I165" s="1609">
        <v>6</v>
      </c>
      <c r="J165" s="1609">
        <v>205</v>
      </c>
      <c r="K165" s="1609"/>
      <c r="L165" s="1619"/>
      <c r="M165" s="1619"/>
      <c r="N165" s="1609"/>
      <c r="O165" s="1609"/>
      <c r="P165" s="1581"/>
      <c r="Q165" s="1610"/>
      <c r="R165" s="1611"/>
      <c r="S165" s="1611"/>
      <c r="T165" s="1611"/>
    </row>
    <row r="166" spans="1:20" hidden="1">
      <c r="A166" s="1609">
        <v>83</v>
      </c>
      <c r="B166" s="1619" t="s">
        <v>1490</v>
      </c>
      <c r="C166" s="917" t="s">
        <v>1500</v>
      </c>
      <c r="D166" s="1619" t="s">
        <v>1268</v>
      </c>
      <c r="E166" s="1694">
        <v>4333</v>
      </c>
      <c r="F166" s="1609"/>
      <c r="G166" s="1609"/>
      <c r="H166" s="1609"/>
      <c r="I166" s="1609">
        <v>6</v>
      </c>
      <c r="J166" s="1609">
        <v>205</v>
      </c>
      <c r="K166" s="1609"/>
      <c r="L166" s="1619"/>
      <c r="M166" s="1619"/>
      <c r="N166" s="1609"/>
      <c r="O166" s="1609"/>
      <c r="P166" s="1581"/>
      <c r="Q166" s="1610"/>
      <c r="R166" s="1611"/>
      <c r="S166" s="1611"/>
      <c r="T166" s="1611"/>
    </row>
    <row r="167" spans="1:20" hidden="1">
      <c r="A167" s="1609">
        <v>82</v>
      </c>
      <c r="B167" s="1619" t="s">
        <v>1490</v>
      </c>
      <c r="C167" s="917" t="s">
        <v>1501</v>
      </c>
      <c r="D167" s="1619" t="s">
        <v>1268</v>
      </c>
      <c r="E167" s="1694">
        <v>4333</v>
      </c>
      <c r="F167" s="1609"/>
      <c r="G167" s="1609"/>
      <c r="H167" s="1609"/>
      <c r="I167" s="1609">
        <v>6</v>
      </c>
      <c r="J167" s="1609">
        <v>205</v>
      </c>
      <c r="K167" s="1609"/>
      <c r="L167" s="1619"/>
      <c r="M167" s="1619"/>
      <c r="N167" s="1609"/>
      <c r="O167" s="1609"/>
      <c r="P167" s="1581"/>
      <c r="Q167" s="1610"/>
      <c r="R167" s="1611"/>
      <c r="S167" s="1611"/>
      <c r="T167" s="1611"/>
    </row>
    <row r="168" spans="1:20">
      <c r="A168" s="1609">
        <v>79</v>
      </c>
      <c r="B168" s="1619" t="s">
        <v>1502</v>
      </c>
      <c r="C168" s="917" t="s">
        <v>1503</v>
      </c>
      <c r="D168" s="1619" t="s">
        <v>1268</v>
      </c>
      <c r="E168" s="1694">
        <v>4333</v>
      </c>
      <c r="F168" s="1609"/>
      <c r="G168" s="1609"/>
      <c r="H168" s="1609"/>
      <c r="I168" s="1609">
        <v>6</v>
      </c>
      <c r="J168" s="1609">
        <v>205</v>
      </c>
      <c r="K168" s="1609"/>
      <c r="L168" s="1619">
        <v>50</v>
      </c>
      <c r="M168" s="1619"/>
      <c r="N168" s="1609"/>
      <c r="O168" s="1609"/>
      <c r="P168" s="1581">
        <f>L168-O168</f>
        <v>50</v>
      </c>
      <c r="Q168" s="1610">
        <f>260*1.07</f>
        <v>278.2</v>
      </c>
      <c r="R168" s="1611">
        <f>P168*Q168</f>
        <v>13910</v>
      </c>
      <c r="S168" s="1611">
        <f>R168*(I168/(I168+J168+K168))</f>
        <v>395.54502369668245</v>
      </c>
      <c r="T168" s="1611">
        <f>R168-S168</f>
        <v>13514.454976303317</v>
      </c>
    </row>
    <row r="169" spans="1:20">
      <c r="A169" s="1609">
        <v>80</v>
      </c>
      <c r="B169" s="1619" t="s">
        <v>1490</v>
      </c>
      <c r="C169" s="917" t="s">
        <v>1504</v>
      </c>
      <c r="D169" s="1619" t="s">
        <v>1268</v>
      </c>
      <c r="E169" s="1694">
        <v>4333</v>
      </c>
      <c r="F169" s="1609"/>
      <c r="G169" s="1609"/>
      <c r="H169" s="1609"/>
      <c r="I169" s="1609">
        <v>6</v>
      </c>
      <c r="J169" s="1609">
        <v>205</v>
      </c>
      <c r="K169" s="1609"/>
      <c r="L169" s="1619">
        <v>50</v>
      </c>
      <c r="M169" s="1619"/>
      <c r="N169" s="1609"/>
      <c r="O169" s="1609"/>
      <c r="P169" s="1581">
        <f>L169-O169</f>
        <v>50</v>
      </c>
      <c r="Q169" s="1610">
        <f>680*1.07</f>
        <v>727.6</v>
      </c>
      <c r="R169" s="1611">
        <f>P169*Q169</f>
        <v>36380</v>
      </c>
      <c r="S169" s="1611">
        <f>R169*(I169/(I169+J169+K169))</f>
        <v>1034.5023696682465</v>
      </c>
      <c r="T169" s="1611">
        <f>R169-S169</f>
        <v>35345.497630331753</v>
      </c>
    </row>
    <row r="170" spans="1:20" hidden="1">
      <c r="A170" s="1581">
        <v>304</v>
      </c>
      <c r="B170" s="1618" t="s">
        <v>1495</v>
      </c>
      <c r="C170" s="1579" t="s">
        <v>1505</v>
      </c>
      <c r="D170" s="1618" t="s">
        <v>1022</v>
      </c>
      <c r="E170" s="1694">
        <v>4333</v>
      </c>
      <c r="F170" s="1581"/>
      <c r="G170" s="1581"/>
      <c r="H170" s="1581"/>
      <c r="I170" s="1609">
        <v>6</v>
      </c>
      <c r="J170" s="1609">
        <v>205</v>
      </c>
      <c r="K170" s="1581"/>
      <c r="L170" s="1610"/>
      <c r="M170" s="1610"/>
      <c r="N170" s="1581"/>
      <c r="O170" s="1581"/>
      <c r="P170" s="1581"/>
      <c r="Q170" s="1581"/>
      <c r="R170" s="1611"/>
      <c r="S170" s="1611"/>
      <c r="T170" s="1611"/>
    </row>
    <row r="171" spans="1:20" hidden="1">
      <c r="A171" s="1609">
        <v>85</v>
      </c>
      <c r="B171" s="1619" t="s">
        <v>1506</v>
      </c>
      <c r="C171" s="917" t="s">
        <v>1507</v>
      </c>
      <c r="D171" s="1619" t="s">
        <v>1268</v>
      </c>
      <c r="E171" s="1694">
        <v>4333</v>
      </c>
      <c r="F171" s="1609"/>
      <c r="G171" s="1609"/>
      <c r="H171" s="1609"/>
      <c r="I171" s="1609">
        <v>6</v>
      </c>
      <c r="J171" s="1609">
        <v>205</v>
      </c>
      <c r="K171" s="1609"/>
      <c r="L171" s="1619"/>
      <c r="M171" s="1619"/>
      <c r="N171" s="1609"/>
      <c r="O171" s="1609"/>
      <c r="P171" s="1581"/>
      <c r="Q171" s="1610"/>
      <c r="R171" s="1611"/>
      <c r="S171" s="1611"/>
      <c r="T171" s="1611"/>
    </row>
    <row r="172" spans="1:20" hidden="1">
      <c r="A172" s="1609">
        <v>258</v>
      </c>
      <c r="B172" s="1610" t="s">
        <v>1502</v>
      </c>
      <c r="C172" s="1579" t="s">
        <v>1508</v>
      </c>
      <c r="D172" s="1610" t="s">
        <v>1022</v>
      </c>
      <c r="E172" s="1694">
        <v>4333</v>
      </c>
      <c r="F172" s="1581"/>
      <c r="G172" s="1581"/>
      <c r="H172" s="1581"/>
      <c r="I172" s="1609">
        <v>6</v>
      </c>
      <c r="J172" s="1609">
        <v>205</v>
      </c>
      <c r="K172" s="1581"/>
      <c r="L172" s="1610"/>
      <c r="M172" s="1610"/>
      <c r="N172" s="1581"/>
      <c r="O172" s="1581"/>
      <c r="P172" s="1581"/>
      <c r="Q172" s="1581"/>
      <c r="R172" s="1611"/>
      <c r="S172" s="1611"/>
      <c r="T172" s="1611"/>
    </row>
    <row r="173" spans="1:20" hidden="1">
      <c r="A173" s="1609">
        <v>261</v>
      </c>
      <c r="B173" s="1610" t="s">
        <v>1509</v>
      </c>
      <c r="C173" s="1579" t="s">
        <v>1510</v>
      </c>
      <c r="D173" s="1610" t="s">
        <v>1022</v>
      </c>
      <c r="E173" s="1694">
        <v>4333</v>
      </c>
      <c r="F173" s="1581"/>
      <c r="G173" s="1581"/>
      <c r="H173" s="1581"/>
      <c r="I173" s="1609">
        <v>6</v>
      </c>
      <c r="J173" s="1609">
        <v>205</v>
      </c>
      <c r="K173" s="1581"/>
      <c r="L173" s="1610"/>
      <c r="M173" s="1610"/>
      <c r="N173" s="1581"/>
      <c r="O173" s="1581"/>
      <c r="P173" s="1581"/>
      <c r="Q173" s="1581"/>
      <c r="R173" s="1611"/>
      <c r="S173" s="1611"/>
      <c r="T173" s="1611"/>
    </row>
    <row r="174" spans="1:20" hidden="1">
      <c r="A174" s="1609">
        <v>224</v>
      </c>
      <c r="B174" s="1620" t="s">
        <v>1511</v>
      </c>
      <c r="C174" s="1579"/>
      <c r="D174" s="1620" t="s">
        <v>1268</v>
      </c>
      <c r="E174" s="1694">
        <v>4333</v>
      </c>
      <c r="F174" s="1581"/>
      <c r="G174" s="1581"/>
      <c r="H174" s="1581"/>
      <c r="I174" s="1609">
        <v>6</v>
      </c>
      <c r="J174" s="1609">
        <v>205</v>
      </c>
      <c r="K174" s="1581"/>
      <c r="L174" s="1620"/>
      <c r="M174" s="1620"/>
      <c r="N174" s="1581"/>
      <c r="O174" s="1581"/>
      <c r="P174" s="1581"/>
      <c r="Q174" s="1581"/>
      <c r="R174" s="1611"/>
      <c r="S174" s="1611"/>
      <c r="T174" s="1611"/>
    </row>
    <row r="175" spans="1:20">
      <c r="A175" s="1609">
        <v>151</v>
      </c>
      <c r="B175" s="1618" t="s">
        <v>1513</v>
      </c>
      <c r="C175" s="1579" t="s">
        <v>1514</v>
      </c>
      <c r="D175" s="1618" t="s">
        <v>2218</v>
      </c>
      <c r="E175" s="1694">
        <v>4333</v>
      </c>
      <c r="F175" s="1581"/>
      <c r="G175" s="1581"/>
      <c r="H175" s="1581"/>
      <c r="I175" s="1609">
        <v>6</v>
      </c>
      <c r="J175" s="1609">
        <v>205</v>
      </c>
      <c r="K175" s="1581"/>
      <c r="L175" s="1618">
        <v>5</v>
      </c>
      <c r="M175" s="1618"/>
      <c r="N175" s="1581"/>
      <c r="O175" s="1581"/>
      <c r="P175" s="1581">
        <f>L175-O175</f>
        <v>5</v>
      </c>
      <c r="Q175" s="1581">
        <f>500*1.07</f>
        <v>535</v>
      </c>
      <c r="R175" s="1611">
        <f>P175*Q175</f>
        <v>2675</v>
      </c>
      <c r="S175" s="1611">
        <f>R175*(I175/(I175+J175+K175))</f>
        <v>76.066350710900466</v>
      </c>
      <c r="T175" s="1611">
        <f>R175-S175</f>
        <v>2598.9336492890993</v>
      </c>
    </row>
    <row r="176" spans="1:20" hidden="1">
      <c r="A176" s="1609">
        <v>223</v>
      </c>
      <c r="B176" s="1620" t="s">
        <v>1515</v>
      </c>
      <c r="C176" s="1579" t="s">
        <v>1516</v>
      </c>
      <c r="D176" s="1620" t="s">
        <v>1268</v>
      </c>
      <c r="E176" s="1694">
        <v>4333</v>
      </c>
      <c r="F176" s="1581"/>
      <c r="G176" s="1581"/>
      <c r="H176" s="1581"/>
      <c r="I176" s="1609">
        <v>6</v>
      </c>
      <c r="J176" s="1609">
        <v>205</v>
      </c>
      <c r="K176" s="1581"/>
      <c r="L176" s="1620"/>
      <c r="M176" s="1620"/>
      <c r="N176" s="1581"/>
      <c r="O176" s="1581"/>
      <c r="P176" s="1581"/>
      <c r="Q176" s="1581"/>
      <c r="R176" s="1611"/>
      <c r="S176" s="1611"/>
      <c r="T176" s="1611"/>
    </row>
    <row r="177" spans="1:23">
      <c r="A177" s="1609">
        <v>150</v>
      </c>
      <c r="B177" s="1618" t="s">
        <v>1517</v>
      </c>
      <c r="C177" s="1579" t="s">
        <v>3319</v>
      </c>
      <c r="D177" s="1618" t="s">
        <v>1022</v>
      </c>
      <c r="E177" s="1694">
        <v>4333</v>
      </c>
      <c r="F177" s="1581"/>
      <c r="G177" s="1581"/>
      <c r="H177" s="1581"/>
      <c r="I177" s="1609">
        <v>6</v>
      </c>
      <c r="J177" s="1609">
        <v>205</v>
      </c>
      <c r="K177" s="1581"/>
      <c r="L177" s="1618">
        <v>1</v>
      </c>
      <c r="M177" s="1618"/>
      <c r="N177" s="1581"/>
      <c r="O177" s="1581"/>
      <c r="P177" s="1581">
        <f>L177-O177</f>
        <v>1</v>
      </c>
      <c r="Q177" s="1581">
        <f>2500*1.07</f>
        <v>2675</v>
      </c>
      <c r="R177" s="1611">
        <f>P177*Q177</f>
        <v>2675</v>
      </c>
      <c r="S177" s="1611">
        <f>R177*(I177/(I177+J177+K177))</f>
        <v>76.066350710900466</v>
      </c>
      <c r="T177" s="1611">
        <f>R177-S177</f>
        <v>2598.9336492890993</v>
      </c>
    </row>
    <row r="178" spans="1:23">
      <c r="A178" s="1581"/>
      <c r="B178" s="1056" t="s">
        <v>1519</v>
      </c>
      <c r="C178" s="917" t="s">
        <v>1520</v>
      </c>
      <c r="D178" s="1056" t="s">
        <v>1203</v>
      </c>
      <c r="E178" s="1694">
        <v>4333</v>
      </c>
      <c r="F178" s="1609"/>
      <c r="G178" s="1609"/>
      <c r="H178" s="1609"/>
      <c r="I178" s="1609">
        <v>6</v>
      </c>
      <c r="J178" s="1609">
        <v>205</v>
      </c>
      <c r="K178" s="1609"/>
      <c r="L178" s="1056">
        <v>200</v>
      </c>
      <c r="M178" s="1056"/>
      <c r="N178" s="1609"/>
      <c r="O178" s="1609"/>
      <c r="P178" s="1581">
        <f>L178-O178</f>
        <v>200</v>
      </c>
      <c r="Q178" s="1610">
        <f>400*1.07</f>
        <v>428</v>
      </c>
      <c r="R178" s="1611">
        <f>P178*Q178</f>
        <v>85600</v>
      </c>
      <c r="S178" s="1611">
        <f>R178*(I178/(I178+J178+K178))</f>
        <v>2434.1232227488149</v>
      </c>
      <c r="T178" s="1611">
        <f>R178-S178</f>
        <v>83165.876777251178</v>
      </c>
      <c r="U178" s="1578" t="s">
        <v>3320</v>
      </c>
      <c r="V178" s="1578" t="s">
        <v>3260</v>
      </c>
      <c r="W178" s="1578">
        <f>200*1</f>
        <v>200</v>
      </c>
    </row>
    <row r="179" spans="1:23" hidden="1">
      <c r="A179" s="1609">
        <v>288</v>
      </c>
      <c r="B179" s="1618" t="s">
        <v>1521</v>
      </c>
      <c r="C179" s="1579" t="s">
        <v>1522</v>
      </c>
      <c r="D179" s="1618" t="s">
        <v>1022</v>
      </c>
      <c r="E179" s="1694">
        <v>4333</v>
      </c>
      <c r="F179" s="1581"/>
      <c r="G179" s="1581"/>
      <c r="H179" s="1581"/>
      <c r="I179" s="1609">
        <v>6</v>
      </c>
      <c r="J179" s="1609">
        <v>205</v>
      </c>
      <c r="K179" s="1581"/>
      <c r="L179" s="1622"/>
      <c r="M179" s="1622"/>
      <c r="N179" s="1581"/>
      <c r="O179" s="1581"/>
      <c r="P179" s="1581"/>
      <c r="Q179" s="1581"/>
      <c r="R179" s="1611"/>
      <c r="S179" s="1611"/>
      <c r="T179" s="1611"/>
    </row>
    <row r="180" spans="1:23">
      <c r="A180" s="1609">
        <v>129</v>
      </c>
      <c r="B180" s="1618" t="s">
        <v>1523</v>
      </c>
      <c r="C180" s="1579" t="s">
        <v>3321</v>
      </c>
      <c r="D180" s="1618" t="s">
        <v>1525</v>
      </c>
      <c r="E180" s="1694">
        <v>4333</v>
      </c>
      <c r="F180" s="1581"/>
      <c r="G180" s="1581"/>
      <c r="H180" s="1581"/>
      <c r="I180" s="1609">
        <v>6</v>
      </c>
      <c r="J180" s="1609">
        <v>205</v>
      </c>
      <c r="K180" s="1581"/>
      <c r="L180" s="1618">
        <v>1</v>
      </c>
      <c r="M180" s="1618"/>
      <c r="N180" s="1581"/>
      <c r="O180" s="1581"/>
      <c r="P180" s="1581">
        <f>L180-O180</f>
        <v>1</v>
      </c>
      <c r="Q180" s="1581">
        <f>18000*1.07</f>
        <v>19260</v>
      </c>
      <c r="R180" s="1611">
        <f>P180*Q180</f>
        <v>19260</v>
      </c>
      <c r="S180" s="1611">
        <f>R180*(I180/(I180+J180+K180))</f>
        <v>547.67772511848341</v>
      </c>
      <c r="T180" s="1611">
        <f>R180-S180</f>
        <v>18712.322274881517</v>
      </c>
    </row>
    <row r="181" spans="1:23" hidden="1">
      <c r="A181" s="1609">
        <v>290</v>
      </c>
      <c r="B181" s="1618" t="s">
        <v>1526</v>
      </c>
      <c r="C181" s="1579" t="s">
        <v>3322</v>
      </c>
      <c r="D181" s="1618" t="s">
        <v>1525</v>
      </c>
      <c r="E181" s="1694">
        <v>4333</v>
      </c>
      <c r="F181" s="1581"/>
      <c r="G181" s="1581"/>
      <c r="H181" s="1581"/>
      <c r="I181" s="1609">
        <v>6</v>
      </c>
      <c r="J181" s="1609">
        <v>205</v>
      </c>
      <c r="K181" s="1581"/>
      <c r="L181" s="1622"/>
      <c r="M181" s="1622"/>
      <c r="N181" s="1581"/>
      <c r="O181" s="1581"/>
      <c r="P181" s="1581"/>
      <c r="Q181" s="1581"/>
      <c r="R181" s="1611"/>
      <c r="S181" s="1611"/>
      <c r="T181" s="1611"/>
    </row>
    <row r="182" spans="1:23" ht="25.5" hidden="1">
      <c r="A182" s="1609">
        <v>289</v>
      </c>
      <c r="B182" s="1618" t="s">
        <v>2220</v>
      </c>
      <c r="C182" s="1579"/>
      <c r="D182" s="1618" t="s">
        <v>1022</v>
      </c>
      <c r="E182" s="1694">
        <v>4333</v>
      </c>
      <c r="F182" s="1581"/>
      <c r="G182" s="1581"/>
      <c r="H182" s="1581"/>
      <c r="I182" s="1609">
        <v>6</v>
      </c>
      <c r="J182" s="1609">
        <v>205</v>
      </c>
      <c r="K182" s="1581"/>
      <c r="L182" s="1622"/>
      <c r="M182" s="1622"/>
      <c r="N182" s="1581"/>
      <c r="O182" s="1581"/>
      <c r="P182" s="1581"/>
      <c r="Q182" s="1581"/>
      <c r="R182" s="1611"/>
      <c r="S182" s="1611"/>
      <c r="T182" s="1611"/>
    </row>
    <row r="183" spans="1:23">
      <c r="A183" s="1609">
        <v>132</v>
      </c>
      <c r="B183" s="1618" t="s">
        <v>1530</v>
      </c>
      <c r="C183" s="1579" t="s">
        <v>1531</v>
      </c>
      <c r="D183" s="1618" t="s">
        <v>1525</v>
      </c>
      <c r="E183" s="1694">
        <v>4333</v>
      </c>
      <c r="F183" s="1581"/>
      <c r="G183" s="1581"/>
      <c r="H183" s="1581"/>
      <c r="I183" s="1609">
        <v>6</v>
      </c>
      <c r="J183" s="1609">
        <v>205</v>
      </c>
      <c r="K183" s="1581"/>
      <c r="L183" s="1618">
        <v>1</v>
      </c>
      <c r="M183" s="1618"/>
      <c r="N183" s="1581"/>
      <c r="O183" s="1581"/>
      <c r="P183" s="1581">
        <f>L183-O183</f>
        <v>1</v>
      </c>
      <c r="Q183" s="1581">
        <f>60000*1.07</f>
        <v>64200.000000000007</v>
      </c>
      <c r="R183" s="1611">
        <f>P183*Q183</f>
        <v>64200.000000000007</v>
      </c>
      <c r="S183" s="1611">
        <f>R183*(I183/(I183+J183+K183))</f>
        <v>1825.5924170616115</v>
      </c>
      <c r="T183" s="1611">
        <f>R183-S183</f>
        <v>62374.407582938395</v>
      </c>
    </row>
    <row r="184" spans="1:23" hidden="1">
      <c r="A184" s="1609">
        <v>295</v>
      </c>
      <c r="B184" s="1618" t="s">
        <v>1532</v>
      </c>
      <c r="C184" s="1579" t="s">
        <v>3323</v>
      </c>
      <c r="D184" s="1618" t="s">
        <v>1022</v>
      </c>
      <c r="E184" s="1694">
        <v>4333</v>
      </c>
      <c r="F184" s="1581"/>
      <c r="G184" s="1581"/>
      <c r="H184" s="1581"/>
      <c r="I184" s="1609">
        <v>6</v>
      </c>
      <c r="J184" s="1609">
        <v>205</v>
      </c>
      <c r="K184" s="1581"/>
      <c r="L184" s="1622"/>
      <c r="M184" s="1622"/>
      <c r="N184" s="1581"/>
      <c r="O184" s="1581"/>
      <c r="P184" s="1581"/>
      <c r="Q184" s="1581"/>
      <c r="R184" s="1611"/>
      <c r="S184" s="1611"/>
      <c r="T184" s="1611"/>
    </row>
    <row r="185" spans="1:23" hidden="1">
      <c r="A185" s="1609">
        <v>300</v>
      </c>
      <c r="B185" s="1618" t="s">
        <v>3324</v>
      </c>
      <c r="C185" s="1579" t="s">
        <v>3325</v>
      </c>
      <c r="D185" s="1618" t="s">
        <v>1022</v>
      </c>
      <c r="E185" s="1694">
        <v>4333</v>
      </c>
      <c r="F185" s="1581"/>
      <c r="G185" s="1581"/>
      <c r="H185" s="1581"/>
      <c r="I185" s="1609">
        <v>6</v>
      </c>
      <c r="J185" s="1609">
        <v>205</v>
      </c>
      <c r="K185" s="1581"/>
      <c r="L185" s="1622"/>
      <c r="M185" s="1622"/>
      <c r="N185" s="1581"/>
      <c r="O185" s="1581"/>
      <c r="P185" s="1581"/>
      <c r="Q185" s="1581"/>
      <c r="R185" s="1611"/>
      <c r="S185" s="1611"/>
      <c r="T185" s="1611"/>
    </row>
    <row r="186" spans="1:23" ht="25.5">
      <c r="A186" s="1609">
        <v>131</v>
      </c>
      <c r="B186" s="1618" t="s">
        <v>1536</v>
      </c>
      <c r="C186" s="1579" t="s">
        <v>1537</v>
      </c>
      <c r="D186" s="1618" t="s">
        <v>1525</v>
      </c>
      <c r="E186" s="1694">
        <v>4333</v>
      </c>
      <c r="F186" s="1581"/>
      <c r="G186" s="1581"/>
      <c r="H186" s="1581"/>
      <c r="I186" s="1609">
        <v>6</v>
      </c>
      <c r="J186" s="1609">
        <v>205</v>
      </c>
      <c r="K186" s="1581"/>
      <c r="L186" s="1618">
        <v>1</v>
      </c>
      <c r="M186" s="1618"/>
      <c r="N186" s="1581"/>
      <c r="O186" s="1581"/>
      <c r="P186" s="1581">
        <f>L186-O186</f>
        <v>1</v>
      </c>
      <c r="Q186" s="1581">
        <f>30000*1.07</f>
        <v>32100.000000000004</v>
      </c>
      <c r="R186" s="1611">
        <f>P186*Q186</f>
        <v>32100.000000000004</v>
      </c>
      <c r="S186" s="1611">
        <f>R186*(I186/(I186+J186+K186))</f>
        <v>912.79620853080576</v>
      </c>
      <c r="T186" s="1611">
        <f>R186-S186</f>
        <v>31187.203791469197</v>
      </c>
    </row>
    <row r="187" spans="1:23" ht="25.5">
      <c r="A187" s="1609">
        <v>93</v>
      </c>
      <c r="B187" s="1619" t="s">
        <v>1538</v>
      </c>
      <c r="C187" s="917" t="s">
        <v>1539</v>
      </c>
      <c r="D187" s="1619" t="s">
        <v>1525</v>
      </c>
      <c r="E187" s="1694">
        <v>4333</v>
      </c>
      <c r="F187" s="1609"/>
      <c r="G187" s="1609"/>
      <c r="H187" s="1609"/>
      <c r="I187" s="1609">
        <v>6</v>
      </c>
      <c r="J187" s="1609">
        <v>205</v>
      </c>
      <c r="K187" s="1609"/>
      <c r="L187" s="1619">
        <v>1</v>
      </c>
      <c r="M187" s="1619"/>
      <c r="N187" s="1609"/>
      <c r="O187" s="1609"/>
      <c r="P187" s="1581">
        <f>L187-O187</f>
        <v>1</v>
      </c>
      <c r="Q187" s="1610">
        <f>40000*1.07</f>
        <v>42800</v>
      </c>
      <c r="R187" s="1611">
        <f>P187*Q187</f>
        <v>42800</v>
      </c>
      <c r="S187" s="1611">
        <f>R187*(I187/(I187+J187+K187))</f>
        <v>1217.0616113744074</v>
      </c>
      <c r="T187" s="1611">
        <f>R187-S187</f>
        <v>41582.938388625589</v>
      </c>
    </row>
    <row r="188" spans="1:23" hidden="1">
      <c r="A188" s="1609">
        <v>259</v>
      </c>
      <c r="B188" s="1610" t="s">
        <v>1540</v>
      </c>
      <c r="C188" s="1579" t="s">
        <v>1541</v>
      </c>
      <c r="D188" s="1610" t="s">
        <v>1525</v>
      </c>
      <c r="E188" s="1694">
        <v>4333</v>
      </c>
      <c r="F188" s="1581"/>
      <c r="G188" s="1581"/>
      <c r="H188" s="1581"/>
      <c r="I188" s="1609">
        <v>6</v>
      </c>
      <c r="J188" s="1609">
        <v>205</v>
      </c>
      <c r="K188" s="1581"/>
      <c r="L188" s="1610"/>
      <c r="M188" s="1610"/>
      <c r="N188" s="1581"/>
      <c r="O188" s="1581"/>
      <c r="P188" s="1581">
        <f t="shared" ref="P188:P195" si="21">L188-O188</f>
        <v>0</v>
      </c>
      <c r="Q188" s="1581"/>
      <c r="R188" s="1611">
        <f t="shared" ref="R188:R195" si="22">P188*Q188</f>
        <v>0</v>
      </c>
      <c r="S188" s="1611">
        <f t="shared" ref="S188:S195" si="23">R188*(I188/(I188+J188+K188))</f>
        <v>0</v>
      </c>
      <c r="T188" s="1611">
        <f t="shared" ref="T188:T195" si="24">R188-S188</f>
        <v>0</v>
      </c>
    </row>
    <row r="189" spans="1:23" hidden="1">
      <c r="A189" s="1609">
        <v>297</v>
      </c>
      <c r="B189" s="1618" t="s">
        <v>1154</v>
      </c>
      <c r="C189" s="1579" t="s">
        <v>1542</v>
      </c>
      <c r="D189" s="1618" t="s">
        <v>1022</v>
      </c>
      <c r="E189" s="1694">
        <v>4333</v>
      </c>
      <c r="F189" s="1581"/>
      <c r="G189" s="1581"/>
      <c r="H189" s="1581"/>
      <c r="I189" s="1609">
        <v>6</v>
      </c>
      <c r="J189" s="1609">
        <v>205</v>
      </c>
      <c r="K189" s="1581"/>
      <c r="L189" s="1622"/>
      <c r="M189" s="1622"/>
      <c r="N189" s="1581"/>
      <c r="O189" s="1581"/>
      <c r="P189" s="1581">
        <f t="shared" si="21"/>
        <v>0</v>
      </c>
      <c r="Q189" s="1581"/>
      <c r="R189" s="1611">
        <f t="shared" si="22"/>
        <v>0</v>
      </c>
      <c r="S189" s="1611">
        <f t="shared" si="23"/>
        <v>0</v>
      </c>
      <c r="T189" s="1611">
        <f t="shared" si="24"/>
        <v>0</v>
      </c>
    </row>
    <row r="190" spans="1:23" hidden="1">
      <c r="A190" s="1609">
        <v>225</v>
      </c>
      <c r="B190" s="1620" t="s">
        <v>1543</v>
      </c>
      <c r="C190" s="1579" t="s">
        <v>3326</v>
      </c>
      <c r="D190" s="1620" t="s">
        <v>1268</v>
      </c>
      <c r="E190" s="1694">
        <v>4333</v>
      </c>
      <c r="F190" s="1581"/>
      <c r="G190" s="1581"/>
      <c r="H190" s="1581"/>
      <c r="I190" s="1609">
        <v>6</v>
      </c>
      <c r="J190" s="1609">
        <v>205</v>
      </c>
      <c r="K190" s="1581"/>
      <c r="L190" s="1620"/>
      <c r="M190" s="1620"/>
      <c r="N190" s="1581"/>
      <c r="O190" s="1581"/>
      <c r="P190" s="1581">
        <f t="shared" si="21"/>
        <v>0</v>
      </c>
      <c r="Q190" s="1581"/>
      <c r="R190" s="1611">
        <f t="shared" si="22"/>
        <v>0</v>
      </c>
      <c r="S190" s="1611">
        <f t="shared" si="23"/>
        <v>0</v>
      </c>
      <c r="T190" s="1611">
        <f t="shared" si="24"/>
        <v>0</v>
      </c>
    </row>
    <row r="191" spans="1:23" hidden="1">
      <c r="A191" s="1609">
        <v>242</v>
      </c>
      <c r="B191" s="1622" t="s">
        <v>1543</v>
      </c>
      <c r="C191" s="1579" t="s">
        <v>1623</v>
      </c>
      <c r="D191" s="1622" t="s">
        <v>1022</v>
      </c>
      <c r="E191" s="1694">
        <v>4333</v>
      </c>
      <c r="F191" s="1581"/>
      <c r="G191" s="1581"/>
      <c r="H191" s="1581"/>
      <c r="I191" s="1609">
        <v>6</v>
      </c>
      <c r="J191" s="1609">
        <v>205</v>
      </c>
      <c r="K191" s="1581"/>
      <c r="L191" s="1610"/>
      <c r="M191" s="1610"/>
      <c r="N191" s="1581"/>
      <c r="O191" s="1581"/>
      <c r="P191" s="1581">
        <f t="shared" si="21"/>
        <v>0</v>
      </c>
      <c r="Q191" s="1581"/>
      <c r="R191" s="1611">
        <f t="shared" si="22"/>
        <v>0</v>
      </c>
      <c r="S191" s="1611">
        <f t="shared" si="23"/>
        <v>0</v>
      </c>
      <c r="T191" s="1611">
        <f t="shared" si="24"/>
        <v>0</v>
      </c>
    </row>
    <row r="192" spans="1:23" hidden="1">
      <c r="A192" s="1609">
        <v>243</v>
      </c>
      <c r="B192" s="1622" t="s">
        <v>3327</v>
      </c>
      <c r="C192" s="1579" t="s">
        <v>3328</v>
      </c>
      <c r="D192" s="1622" t="s">
        <v>1022</v>
      </c>
      <c r="E192" s="1694">
        <v>4333</v>
      </c>
      <c r="F192" s="1581"/>
      <c r="G192" s="1581"/>
      <c r="H192" s="1581"/>
      <c r="I192" s="1609">
        <v>6</v>
      </c>
      <c r="J192" s="1609">
        <v>205</v>
      </c>
      <c r="K192" s="1581"/>
      <c r="L192" s="1610"/>
      <c r="M192" s="1610"/>
      <c r="N192" s="1581"/>
      <c r="O192" s="1581"/>
      <c r="P192" s="1581">
        <f t="shared" si="21"/>
        <v>0</v>
      </c>
      <c r="Q192" s="1581"/>
      <c r="R192" s="1611">
        <f t="shared" si="22"/>
        <v>0</v>
      </c>
      <c r="S192" s="1611">
        <f t="shared" si="23"/>
        <v>0</v>
      </c>
      <c r="T192" s="1611">
        <f t="shared" si="24"/>
        <v>0</v>
      </c>
    </row>
    <row r="193" spans="1:22" hidden="1">
      <c r="A193" s="1609">
        <v>226</v>
      </c>
      <c r="B193" s="1620" t="s">
        <v>1549</v>
      </c>
      <c r="C193" s="1579" t="s">
        <v>1550</v>
      </c>
      <c r="D193" s="1620" t="s">
        <v>1268</v>
      </c>
      <c r="E193" s="1694">
        <v>4333</v>
      </c>
      <c r="F193" s="1581"/>
      <c r="G193" s="1581"/>
      <c r="H193" s="1581"/>
      <c r="I193" s="1609">
        <v>6</v>
      </c>
      <c r="J193" s="1609">
        <v>205</v>
      </c>
      <c r="K193" s="1581"/>
      <c r="L193" s="1620"/>
      <c r="M193" s="1620"/>
      <c r="N193" s="1581"/>
      <c r="O193" s="1581"/>
      <c r="P193" s="1581">
        <f t="shared" si="21"/>
        <v>0</v>
      </c>
      <c r="Q193" s="1581"/>
      <c r="R193" s="1611">
        <f t="shared" si="22"/>
        <v>0</v>
      </c>
      <c r="S193" s="1611">
        <f t="shared" si="23"/>
        <v>0</v>
      </c>
      <c r="T193" s="1611">
        <f t="shared" si="24"/>
        <v>0</v>
      </c>
    </row>
    <row r="194" spans="1:22">
      <c r="A194" s="1581"/>
      <c r="B194" s="1056" t="s">
        <v>1551</v>
      </c>
      <c r="C194" s="917" t="s">
        <v>1552</v>
      </c>
      <c r="D194" s="1609" t="s">
        <v>1022</v>
      </c>
      <c r="E194" s="1694">
        <v>4333</v>
      </c>
      <c r="F194" s="1609"/>
      <c r="G194" s="1609"/>
      <c r="H194" s="1609"/>
      <c r="I194" s="1609">
        <v>6</v>
      </c>
      <c r="J194" s="1609">
        <v>205</v>
      </c>
      <c r="K194" s="1609"/>
      <c r="L194" s="1581">
        <v>300</v>
      </c>
      <c r="M194" s="1581"/>
      <c r="N194" s="1609"/>
      <c r="O194" s="1609"/>
      <c r="P194" s="1581">
        <f t="shared" si="21"/>
        <v>300</v>
      </c>
      <c r="Q194" s="1610">
        <f>365*1.07</f>
        <v>390.55</v>
      </c>
      <c r="R194" s="1611">
        <f t="shared" si="22"/>
        <v>117165</v>
      </c>
      <c r="S194" s="1611">
        <f t="shared" si="23"/>
        <v>3331.7061611374406</v>
      </c>
      <c r="T194" s="1611">
        <f t="shared" si="24"/>
        <v>113833.29383886256</v>
      </c>
    </row>
    <row r="195" spans="1:22" hidden="1">
      <c r="A195" s="1609">
        <v>200</v>
      </c>
      <c r="B195" s="1620" t="s">
        <v>1553</v>
      </c>
      <c r="C195" s="1579" t="s">
        <v>3329</v>
      </c>
      <c r="D195" s="1620" t="s">
        <v>1022</v>
      </c>
      <c r="E195" s="1694">
        <v>4333</v>
      </c>
      <c r="F195" s="1581"/>
      <c r="G195" s="1581"/>
      <c r="H195" s="1581"/>
      <c r="I195" s="1609">
        <v>6</v>
      </c>
      <c r="J195" s="1609">
        <v>205</v>
      </c>
      <c r="K195" s="1581"/>
      <c r="L195" s="1620"/>
      <c r="M195" s="1620"/>
      <c r="N195" s="1581"/>
      <c r="O195" s="1581"/>
      <c r="P195" s="1581">
        <f t="shared" si="21"/>
        <v>0</v>
      </c>
      <c r="Q195" s="1610"/>
      <c r="R195" s="1611">
        <f t="shared" si="22"/>
        <v>0</v>
      </c>
      <c r="S195" s="1611">
        <f t="shared" si="23"/>
        <v>0</v>
      </c>
      <c r="T195" s="1611">
        <f t="shared" si="24"/>
        <v>0</v>
      </c>
    </row>
    <row r="196" spans="1:22">
      <c r="A196" s="1609">
        <v>265</v>
      </c>
      <c r="B196" s="1625" t="s">
        <v>1555</v>
      </c>
      <c r="C196" s="1579" t="s">
        <v>1556</v>
      </c>
      <c r="D196" s="1610" t="s">
        <v>1290</v>
      </c>
      <c r="E196" s="1694">
        <v>4333</v>
      </c>
      <c r="F196" s="1581"/>
      <c r="G196" s="1581"/>
      <c r="H196" s="1581"/>
      <c r="I196" s="1609">
        <v>6</v>
      </c>
      <c r="J196" s="1609">
        <v>205</v>
      </c>
      <c r="K196" s="1581"/>
      <c r="L196" s="1610">
        <v>30</v>
      </c>
      <c r="M196" s="1610">
        <v>30</v>
      </c>
      <c r="N196" s="1581"/>
      <c r="O196" s="1581"/>
      <c r="P196" s="1581">
        <f>L196-O196</f>
        <v>30</v>
      </c>
      <c r="Q196" s="1581">
        <f>260*1.07</f>
        <v>278.2</v>
      </c>
      <c r="R196" s="1611">
        <f>P196*Q196</f>
        <v>8346</v>
      </c>
      <c r="S196" s="1611">
        <f>R196*(I196/(I196+J196+K196))</f>
        <v>237.32701421800948</v>
      </c>
      <c r="T196" s="1611">
        <f>R196-S196</f>
        <v>8108.6729857819901</v>
      </c>
      <c r="U196" s="1613">
        <f>2*297/20</f>
        <v>29.7</v>
      </c>
    </row>
    <row r="197" spans="1:22">
      <c r="A197" s="1609">
        <v>266</v>
      </c>
      <c r="B197" s="1625" t="s">
        <v>1555</v>
      </c>
      <c r="C197" s="1579" t="s">
        <v>1557</v>
      </c>
      <c r="D197" s="1610" t="s">
        <v>1290</v>
      </c>
      <c r="E197" s="1694">
        <v>4333</v>
      </c>
      <c r="F197" s="1581"/>
      <c r="G197" s="1581"/>
      <c r="H197" s="1581"/>
      <c r="I197" s="1609">
        <v>6</v>
      </c>
      <c r="J197" s="1609">
        <v>205</v>
      </c>
      <c r="K197" s="1581"/>
      <c r="L197" s="1610">
        <v>900</v>
      </c>
      <c r="M197" s="1610">
        <v>1188</v>
      </c>
      <c r="N197" s="1581"/>
      <c r="O197" s="1581"/>
      <c r="P197" s="1581">
        <f>L197-O197</f>
        <v>900</v>
      </c>
      <c r="Q197" s="1581">
        <f>250*1.07</f>
        <v>267.5</v>
      </c>
      <c r="R197" s="1611">
        <f>P197*Q197</f>
        <v>240750</v>
      </c>
      <c r="S197" s="1611">
        <f>R197*(I197/(I197+J197+K197))</f>
        <v>6845.971563981042</v>
      </c>
      <c r="T197" s="1611">
        <f>R197-S197</f>
        <v>233904.02843601897</v>
      </c>
      <c r="U197" s="1578">
        <f>80*297/20</f>
        <v>1188</v>
      </c>
    </row>
    <row r="198" spans="1:22" hidden="1">
      <c r="A198" s="1609">
        <v>285</v>
      </c>
      <c r="B198" s="1618" t="s">
        <v>1558</v>
      </c>
      <c r="C198" s="1579" t="s">
        <v>1559</v>
      </c>
      <c r="D198" s="1618" t="s">
        <v>1022</v>
      </c>
      <c r="E198" s="1694">
        <v>4333</v>
      </c>
      <c r="F198" s="1581"/>
      <c r="G198" s="1581"/>
      <c r="H198" s="1581"/>
      <c r="I198" s="1609">
        <v>6</v>
      </c>
      <c r="J198" s="1609">
        <v>205</v>
      </c>
      <c r="K198" s="1581"/>
      <c r="L198" s="1622"/>
      <c r="M198" s="1622"/>
      <c r="N198" s="1581"/>
      <c r="O198" s="1581"/>
      <c r="P198" s="1581"/>
      <c r="Q198" s="1581"/>
      <c r="R198" s="1611"/>
      <c r="S198" s="1611"/>
      <c r="T198" s="1611"/>
    </row>
    <row r="199" spans="1:22">
      <c r="A199" s="1609">
        <v>158</v>
      </c>
      <c r="B199" s="1618" t="s">
        <v>1560</v>
      </c>
      <c r="C199" s="1579" t="s">
        <v>1561</v>
      </c>
      <c r="D199" s="1618" t="s">
        <v>1022</v>
      </c>
      <c r="E199" s="1694">
        <v>4333</v>
      </c>
      <c r="F199" s="1581"/>
      <c r="G199" s="1581"/>
      <c r="H199" s="1581"/>
      <c r="I199" s="1609">
        <v>6</v>
      </c>
      <c r="J199" s="1609">
        <v>205</v>
      </c>
      <c r="K199" s="1581"/>
      <c r="L199" s="1618">
        <v>10</v>
      </c>
      <c r="M199" s="1618"/>
      <c r="N199" s="1581"/>
      <c r="O199" s="1581"/>
      <c r="P199" s="1581">
        <f>L199-O199</f>
        <v>10</v>
      </c>
      <c r="Q199" s="1581">
        <f>1500*1.07</f>
        <v>1605</v>
      </c>
      <c r="R199" s="1611">
        <f>P199*Q199</f>
        <v>16050</v>
      </c>
      <c r="S199" s="1611">
        <f>R199*(I199/(I199+J199+K199))</f>
        <v>456.39810426540282</v>
      </c>
      <c r="T199" s="1611">
        <f>R199-S199</f>
        <v>15593.601895734597</v>
      </c>
    </row>
    <row r="200" spans="1:22">
      <c r="A200" s="1609">
        <v>179</v>
      </c>
      <c r="B200" s="1618" t="s">
        <v>1562</v>
      </c>
      <c r="C200" s="1579" t="s">
        <v>1563</v>
      </c>
      <c r="D200" s="1618" t="s">
        <v>1564</v>
      </c>
      <c r="E200" s="1694">
        <v>4333</v>
      </c>
      <c r="F200" s="1581"/>
      <c r="G200" s="1581"/>
      <c r="H200" s="1581"/>
      <c r="I200" s="1609">
        <v>6</v>
      </c>
      <c r="J200" s="1609">
        <v>205</v>
      </c>
      <c r="K200" s="1581"/>
      <c r="L200" s="1622">
        <v>72</v>
      </c>
      <c r="M200" s="1622">
        <f>U200</f>
        <v>72</v>
      </c>
      <c r="N200" s="1581"/>
      <c r="O200" s="1581"/>
      <c r="P200" s="1581">
        <f>L200-O200</f>
        <v>72</v>
      </c>
      <c r="Q200" s="1581">
        <f>60*1.07</f>
        <v>64.2</v>
      </c>
      <c r="R200" s="1611">
        <f>P200*Q200</f>
        <v>4622.4000000000005</v>
      </c>
      <c r="S200" s="1611">
        <f>R200*(I200/(I200+J200+K200))</f>
        <v>131.44265402843604</v>
      </c>
      <c r="T200" s="1611">
        <f>R200-S200</f>
        <v>4490.9573459715648</v>
      </c>
      <c r="U200" s="1578">
        <f>2*36</f>
        <v>72</v>
      </c>
    </row>
    <row r="201" spans="1:22" ht="0.75" customHeight="1">
      <c r="A201" s="1609"/>
      <c r="B201" s="1618"/>
      <c r="D201" s="1618" t="s">
        <v>1565</v>
      </c>
      <c r="E201" s="1694">
        <v>4333</v>
      </c>
      <c r="F201" s="1581"/>
      <c r="G201" s="1581"/>
      <c r="H201" s="1581"/>
      <c r="I201" s="1609"/>
      <c r="J201" s="1609"/>
      <c r="K201" s="1581"/>
      <c r="L201" s="1622"/>
      <c r="M201" s="1622"/>
      <c r="N201" s="1581"/>
      <c r="O201" s="1581"/>
      <c r="P201" s="1581"/>
      <c r="Q201" s="1581"/>
      <c r="R201" s="1611"/>
      <c r="S201" s="1611"/>
      <c r="T201" s="1611"/>
    </row>
    <row r="202" spans="1:22" ht="25.5">
      <c r="A202" s="1609">
        <v>121</v>
      </c>
      <c r="B202" s="1619" t="s">
        <v>1566</v>
      </c>
      <c r="C202" s="1579" t="s">
        <v>1567</v>
      </c>
      <c r="D202" s="1619" t="s">
        <v>1565</v>
      </c>
      <c r="E202" s="1694">
        <v>4333</v>
      </c>
      <c r="F202" s="1581"/>
      <c r="G202" s="1581"/>
      <c r="H202" s="1609"/>
      <c r="I202" s="1609">
        <v>6</v>
      </c>
      <c r="J202" s="1609">
        <v>205</v>
      </c>
      <c r="K202" s="1609"/>
      <c r="L202" s="1619">
        <v>10</v>
      </c>
      <c r="M202" s="1619">
        <v>10</v>
      </c>
      <c r="N202" s="1609"/>
      <c r="O202" s="1609"/>
      <c r="P202" s="1581">
        <f>L202-O202</f>
        <v>10</v>
      </c>
      <c r="Q202" s="1609">
        <f>3000*1.07</f>
        <v>3210</v>
      </c>
      <c r="R202" s="1611">
        <f>P202*Q202</f>
        <v>32100</v>
      </c>
      <c r="S202" s="1611">
        <f>R202*(I202/(I202+J202+K202))</f>
        <v>912.79620853080564</v>
      </c>
      <c r="T202" s="1611">
        <f>R202-S202</f>
        <v>31187.203791469194</v>
      </c>
    </row>
    <row r="203" spans="1:22" ht="38.25" hidden="1">
      <c r="A203" s="1609">
        <v>178</v>
      </c>
      <c r="B203" s="1618" t="s">
        <v>1568</v>
      </c>
      <c r="C203" s="1579" t="s">
        <v>1569</v>
      </c>
      <c r="D203" s="1618" t="s">
        <v>1564</v>
      </c>
      <c r="E203" s="1694">
        <v>4333</v>
      </c>
      <c r="F203" s="1581"/>
      <c r="G203" s="1581"/>
      <c r="H203" s="1581"/>
      <c r="I203" s="1609">
        <v>6</v>
      </c>
      <c r="J203" s="1609">
        <v>205</v>
      </c>
      <c r="K203" s="1581"/>
      <c r="L203" s="1622"/>
      <c r="M203" s="1622"/>
      <c r="N203" s="1581"/>
      <c r="O203" s="1581"/>
      <c r="P203" s="1581"/>
      <c r="Q203" s="1581"/>
      <c r="R203" s="1611"/>
      <c r="S203" s="1611"/>
      <c r="T203" s="1611"/>
    </row>
    <row r="204" spans="1:22" ht="25.5">
      <c r="A204" s="1609">
        <v>267</v>
      </c>
      <c r="B204" s="1618" t="s">
        <v>1568</v>
      </c>
      <c r="C204" s="1579" t="s">
        <v>1570</v>
      </c>
      <c r="D204" s="1610" t="s">
        <v>1564</v>
      </c>
      <c r="E204" s="1694">
        <v>4333</v>
      </c>
      <c r="F204" s="1581"/>
      <c r="G204" s="1581"/>
      <c r="H204" s="1581"/>
      <c r="I204" s="1609">
        <v>6</v>
      </c>
      <c r="J204" s="1609">
        <v>205</v>
      </c>
      <c r="K204" s="1581"/>
      <c r="L204" s="1610">
        <v>432</v>
      </c>
      <c r="M204" s="1610">
        <v>432</v>
      </c>
      <c r="N204" s="1581"/>
      <c r="O204" s="1581"/>
      <c r="P204" s="1581">
        <f>L204-O204</f>
        <v>432</v>
      </c>
      <c r="Q204" s="1581">
        <f>220*1.07</f>
        <v>235.4</v>
      </c>
      <c r="R204" s="1611">
        <f>P204*Q204</f>
        <v>101692.8</v>
      </c>
      <c r="S204" s="1611">
        <f>R204*(I204/(I204+J204+K204))</f>
        <v>2891.7383886255925</v>
      </c>
      <c r="T204" s="1611">
        <f>R204-S204</f>
        <v>98801.061611374404</v>
      </c>
      <c r="U204" s="1578">
        <f>9*48</f>
        <v>432</v>
      </c>
      <c r="V204" s="1578" t="s">
        <v>2227</v>
      </c>
    </row>
    <row r="205" spans="1:22" hidden="1">
      <c r="A205" s="1581"/>
      <c r="B205" s="1056" t="s">
        <v>1571</v>
      </c>
      <c r="C205" s="917" t="s">
        <v>1572</v>
      </c>
      <c r="D205" s="1609" t="s">
        <v>1022</v>
      </c>
      <c r="E205" s="1694">
        <v>4333</v>
      </c>
      <c r="F205" s="1609"/>
      <c r="G205" s="1609"/>
      <c r="H205" s="1609"/>
      <c r="I205" s="1609"/>
      <c r="J205" s="1609"/>
      <c r="K205" s="1609"/>
      <c r="L205" s="1581"/>
      <c r="M205" s="1581"/>
      <c r="N205" s="1609"/>
      <c r="O205" s="1609"/>
      <c r="P205" s="1581"/>
      <c r="Q205" s="1610"/>
      <c r="R205" s="1611"/>
      <c r="S205" s="1611"/>
      <c r="T205" s="1611"/>
    </row>
    <row r="206" spans="1:22" ht="25.5">
      <c r="A206" s="1609">
        <v>98</v>
      </c>
      <c r="B206" s="1619" t="s">
        <v>1573</v>
      </c>
      <c r="C206" s="917" t="s">
        <v>1574</v>
      </c>
      <c r="D206" s="1619" t="s">
        <v>1268</v>
      </c>
      <c r="E206" s="1694">
        <v>4333</v>
      </c>
      <c r="F206" s="1609"/>
      <c r="G206" s="1609"/>
      <c r="H206" s="1609"/>
      <c r="I206" s="1609">
        <v>6</v>
      </c>
      <c r="J206" s="1609">
        <v>205</v>
      </c>
      <c r="K206" s="1609"/>
      <c r="L206" s="1619">
        <v>10</v>
      </c>
      <c r="M206" s="1619"/>
      <c r="N206" s="1609"/>
      <c r="O206" s="1609"/>
      <c r="P206" s="1581">
        <f>L206-O206</f>
        <v>10</v>
      </c>
      <c r="Q206" s="1610">
        <f>1000*1.07</f>
        <v>1070</v>
      </c>
      <c r="R206" s="1611">
        <f>P206*Q206</f>
        <v>10700</v>
      </c>
      <c r="S206" s="1611">
        <f>R206*(I206/(I206+J206+K206))</f>
        <v>304.26540284360186</v>
      </c>
      <c r="T206" s="1611">
        <f>R206-S206</f>
        <v>10395.734597156397</v>
      </c>
    </row>
    <row r="207" spans="1:22" ht="25.5">
      <c r="A207" s="1609">
        <v>99</v>
      </c>
      <c r="B207" s="1619" t="s">
        <v>1573</v>
      </c>
      <c r="C207" s="917" t="s">
        <v>1575</v>
      </c>
      <c r="D207" s="1619" t="s">
        <v>1268</v>
      </c>
      <c r="E207" s="1694">
        <v>4333</v>
      </c>
      <c r="F207" s="1609"/>
      <c r="G207" s="1609"/>
      <c r="H207" s="1609"/>
      <c r="I207" s="1609">
        <v>6</v>
      </c>
      <c r="J207" s="1609">
        <v>205</v>
      </c>
      <c r="K207" s="1609"/>
      <c r="L207" s="1619">
        <v>20</v>
      </c>
      <c r="M207" s="1619"/>
      <c r="N207" s="1609"/>
      <c r="O207" s="1609"/>
      <c r="P207" s="1581">
        <f>L207-O207</f>
        <v>20</v>
      </c>
      <c r="Q207" s="1610">
        <f>1000*1.07</f>
        <v>1070</v>
      </c>
      <c r="R207" s="1611">
        <f>P207*Q207</f>
        <v>21400</v>
      </c>
      <c r="S207" s="1611">
        <f>R207*(I207/(I207+J207+K207))</f>
        <v>608.53080568720372</v>
      </c>
      <c r="T207" s="1611">
        <f>R207-S207</f>
        <v>20791.469194312795</v>
      </c>
    </row>
    <row r="208" spans="1:22">
      <c r="A208" s="1609">
        <v>100</v>
      </c>
      <c r="B208" s="1619" t="s">
        <v>1573</v>
      </c>
      <c r="C208" s="917" t="s">
        <v>1576</v>
      </c>
      <c r="D208" s="1619" t="s">
        <v>1268</v>
      </c>
      <c r="E208" s="1694">
        <v>4333</v>
      </c>
      <c r="F208" s="1609"/>
      <c r="G208" s="1609"/>
      <c r="H208" s="1609"/>
      <c r="I208" s="1609">
        <v>6</v>
      </c>
      <c r="J208" s="1609">
        <v>205</v>
      </c>
      <c r="K208" s="1609"/>
      <c r="L208" s="1619">
        <v>5</v>
      </c>
      <c r="M208" s="1619"/>
      <c r="N208" s="1609"/>
      <c r="O208" s="1609"/>
      <c r="P208" s="1581">
        <f>L208-O208</f>
        <v>5</v>
      </c>
      <c r="Q208" s="1610">
        <f>1000*1.07</f>
        <v>1070</v>
      </c>
      <c r="R208" s="1611">
        <f>P208*Q208</f>
        <v>5350</v>
      </c>
      <c r="S208" s="1611">
        <f>R208*(I208/(I208+J208+K208))</f>
        <v>152.13270142180093</v>
      </c>
      <c r="T208" s="1611">
        <f>R208-S208</f>
        <v>5197.8672985781986</v>
      </c>
    </row>
    <row r="209" spans="1:24" ht="25.5" hidden="1">
      <c r="A209" s="1609">
        <v>235</v>
      </c>
      <c r="B209" s="1618" t="s">
        <v>1577</v>
      </c>
      <c r="C209" s="1579" t="s">
        <v>1578</v>
      </c>
      <c r="D209" s="1622" t="s">
        <v>1579</v>
      </c>
      <c r="E209" s="1694">
        <v>4333</v>
      </c>
      <c r="F209" s="1581"/>
      <c r="G209" s="1581"/>
      <c r="H209" s="1581"/>
      <c r="I209" s="1609">
        <v>6</v>
      </c>
      <c r="J209" s="1609">
        <v>205</v>
      </c>
      <c r="K209" s="1581"/>
      <c r="L209" s="1610"/>
      <c r="M209" s="1610"/>
      <c r="N209" s="1581"/>
      <c r="O209" s="1581"/>
      <c r="P209" s="1581"/>
      <c r="Q209" s="1581"/>
      <c r="R209" s="1611"/>
      <c r="S209" s="1611"/>
      <c r="T209" s="1611"/>
    </row>
    <row r="210" spans="1:24" hidden="1">
      <c r="A210" s="1609">
        <v>291</v>
      </c>
      <c r="B210" s="1618" t="s">
        <v>1580</v>
      </c>
      <c r="C210" s="1579"/>
      <c r="D210" s="1618" t="s">
        <v>1022</v>
      </c>
      <c r="E210" s="1694">
        <v>4333</v>
      </c>
      <c r="F210" s="1581"/>
      <c r="G210" s="1581"/>
      <c r="H210" s="1581"/>
      <c r="I210" s="1609">
        <v>6</v>
      </c>
      <c r="J210" s="1609">
        <v>205</v>
      </c>
      <c r="K210" s="1581"/>
      <c r="L210" s="1622"/>
      <c r="M210" s="1622"/>
      <c r="N210" s="1581"/>
      <c r="O210" s="1581"/>
      <c r="P210" s="1581"/>
      <c r="Q210" s="1581"/>
      <c r="R210" s="1611"/>
      <c r="S210" s="1611"/>
      <c r="T210" s="1611"/>
    </row>
    <row r="211" spans="1:24" ht="25.5" hidden="1">
      <c r="A211" s="1609">
        <v>292</v>
      </c>
      <c r="B211" s="1618" t="s">
        <v>3330</v>
      </c>
      <c r="C211" s="1579"/>
      <c r="D211" s="1618" t="s">
        <v>1022</v>
      </c>
      <c r="E211" s="1694">
        <v>4333</v>
      </c>
      <c r="F211" s="1581"/>
      <c r="G211" s="1581"/>
      <c r="H211" s="1581"/>
      <c r="I211" s="1609">
        <v>6</v>
      </c>
      <c r="J211" s="1609">
        <v>205</v>
      </c>
      <c r="K211" s="1581"/>
      <c r="L211" s="1622"/>
      <c r="M211" s="1622"/>
      <c r="N211" s="1581"/>
      <c r="O211" s="1581"/>
      <c r="P211" s="1581"/>
      <c r="Q211" s="1581"/>
      <c r="R211" s="1611"/>
      <c r="S211" s="1611"/>
      <c r="T211" s="1611"/>
    </row>
    <row r="212" spans="1:24" ht="25.5" hidden="1">
      <c r="A212" s="1609">
        <v>293</v>
      </c>
      <c r="B212" s="1618" t="s">
        <v>3331</v>
      </c>
      <c r="C212" s="1579"/>
      <c r="D212" s="1618" t="s">
        <v>1022</v>
      </c>
      <c r="E212" s="1694">
        <v>4333</v>
      </c>
      <c r="F212" s="1581"/>
      <c r="G212" s="1581"/>
      <c r="H212" s="1581"/>
      <c r="I212" s="1609">
        <v>6</v>
      </c>
      <c r="J212" s="1609">
        <v>205</v>
      </c>
      <c r="K212" s="1581"/>
      <c r="L212" s="1622"/>
      <c r="M212" s="1622"/>
      <c r="N212" s="1581"/>
      <c r="O212" s="1581"/>
      <c r="P212" s="1581"/>
      <c r="Q212" s="1581"/>
      <c r="R212" s="1611"/>
      <c r="S212" s="1611"/>
      <c r="T212" s="1611"/>
    </row>
    <row r="213" spans="1:24" ht="25.5">
      <c r="A213" s="1609">
        <v>148</v>
      </c>
      <c r="B213" s="1618" t="s">
        <v>1585</v>
      </c>
      <c r="C213" s="1579" t="s">
        <v>1586</v>
      </c>
      <c r="D213" s="1618" t="s">
        <v>1587</v>
      </c>
      <c r="E213" s="1694">
        <v>4333</v>
      </c>
      <c r="F213" s="1581"/>
      <c r="G213" s="1581"/>
      <c r="H213" s="1581"/>
      <c r="I213" s="1609">
        <v>6</v>
      </c>
      <c r="J213" s="1609">
        <v>205</v>
      </c>
      <c r="K213" s="1581"/>
      <c r="L213" s="1618">
        <v>1</v>
      </c>
      <c r="M213" s="1618"/>
      <c r="N213" s="1581"/>
      <c r="O213" s="1581"/>
      <c r="P213" s="1581">
        <f>L213-O213</f>
        <v>1</v>
      </c>
      <c r="Q213" s="1581">
        <f>18000*1.07</f>
        <v>19260</v>
      </c>
      <c r="R213" s="1611">
        <f>P213*Q213</f>
        <v>19260</v>
      </c>
      <c r="S213" s="1611">
        <f>R213*(I213/(I213+J213+K213))</f>
        <v>547.67772511848341</v>
      </c>
      <c r="T213" s="1611">
        <f>R213-S213</f>
        <v>18712.322274881517</v>
      </c>
      <c r="W213" s="364" t="s">
        <v>3332</v>
      </c>
      <c r="X213" s="1578" t="s">
        <v>3333</v>
      </c>
    </row>
    <row r="214" spans="1:24">
      <c r="A214" s="1609">
        <v>177</v>
      </c>
      <c r="B214" s="1618" t="s">
        <v>1588</v>
      </c>
      <c r="C214" s="1579" t="s">
        <v>1589</v>
      </c>
      <c r="D214" s="1622" t="s">
        <v>1590</v>
      </c>
      <c r="E214" s="1694">
        <v>4333</v>
      </c>
      <c r="F214" s="1581"/>
      <c r="G214" s="1581"/>
      <c r="H214" s="1581"/>
      <c r="I214" s="1609">
        <v>6</v>
      </c>
      <c r="J214" s="1609">
        <v>205</v>
      </c>
      <c r="K214" s="1581"/>
      <c r="L214" s="1618">
        <v>62</v>
      </c>
      <c r="M214" s="1618"/>
      <c r="N214" s="1581"/>
      <c r="O214" s="1581"/>
      <c r="P214" s="1581">
        <f>L214-O214</f>
        <v>62</v>
      </c>
      <c r="Q214" s="1581">
        <f>150*1.07</f>
        <v>160.5</v>
      </c>
      <c r="R214" s="1611">
        <f>P214*Q214</f>
        <v>9951</v>
      </c>
      <c r="S214" s="1611">
        <f>R214*(I214/(I214+J214+K214))</f>
        <v>282.96682464454977</v>
      </c>
      <c r="T214" s="1611">
        <f>R214-S214</f>
        <v>9668.033175355451</v>
      </c>
      <c r="U214" s="1578" t="s">
        <v>2230</v>
      </c>
      <c r="W214" s="1627">
        <f>4333/500*0.6</f>
        <v>5.1996000000000002</v>
      </c>
      <c r="X214" s="1613">
        <f>W214*12</f>
        <v>62.395200000000003</v>
      </c>
    </row>
    <row r="215" spans="1:24" ht="25.5" hidden="1">
      <c r="A215" s="1609">
        <v>247</v>
      </c>
      <c r="B215" s="1622" t="s">
        <v>1591</v>
      </c>
      <c r="C215" s="1579" t="s">
        <v>1592</v>
      </c>
      <c r="D215" s="1622" t="s">
        <v>1290</v>
      </c>
      <c r="E215" s="1694">
        <v>4333</v>
      </c>
      <c r="F215" s="1581"/>
      <c r="G215" s="1581"/>
      <c r="H215" s="1581"/>
      <c r="I215" s="1609">
        <v>6</v>
      </c>
      <c r="J215" s="1609">
        <v>205</v>
      </c>
      <c r="K215" s="1581"/>
      <c r="L215" s="1610"/>
      <c r="M215" s="1610"/>
      <c r="N215" s="1581"/>
      <c r="O215" s="1581"/>
      <c r="P215" s="1581"/>
      <c r="Q215" s="1581"/>
      <c r="R215" s="1611"/>
      <c r="S215" s="1611"/>
      <c r="T215" s="1611"/>
      <c r="U215" s="1578" t="s">
        <v>1593</v>
      </c>
    </row>
    <row r="216" spans="1:24" hidden="1">
      <c r="A216" s="1609">
        <v>241</v>
      </c>
      <c r="B216" s="1622" t="s">
        <v>1594</v>
      </c>
      <c r="C216" s="1579" t="s">
        <v>1595</v>
      </c>
      <c r="D216" s="1622" t="s">
        <v>1022</v>
      </c>
      <c r="E216" s="1694">
        <v>4333</v>
      </c>
      <c r="F216" s="1581"/>
      <c r="G216" s="1581"/>
      <c r="H216" s="1581"/>
      <c r="I216" s="1609">
        <v>6</v>
      </c>
      <c r="J216" s="1609">
        <v>205</v>
      </c>
      <c r="K216" s="1581"/>
      <c r="L216" s="1610"/>
      <c r="M216" s="1610"/>
      <c r="N216" s="1581"/>
      <c r="O216" s="1581"/>
      <c r="P216" s="1581"/>
      <c r="Q216" s="1581"/>
      <c r="R216" s="1611"/>
      <c r="S216" s="1611"/>
      <c r="T216" s="1611"/>
    </row>
    <row r="217" spans="1:24">
      <c r="A217" s="1609">
        <v>124</v>
      </c>
      <c r="B217" s="1618" t="s">
        <v>1596</v>
      </c>
      <c r="C217" s="1579" t="s">
        <v>3334</v>
      </c>
      <c r="D217" s="1618" t="s">
        <v>1268</v>
      </c>
      <c r="E217" s="1694">
        <v>4333</v>
      </c>
      <c r="F217" s="1581"/>
      <c r="G217" s="1581"/>
      <c r="H217" s="1581"/>
      <c r="I217" s="1609">
        <v>6</v>
      </c>
      <c r="J217" s="1609">
        <v>205</v>
      </c>
      <c r="K217" s="1581"/>
      <c r="L217" s="1618">
        <v>100</v>
      </c>
      <c r="M217" s="1618"/>
      <c r="N217" s="1581"/>
      <c r="O217" s="1581"/>
      <c r="P217" s="1581">
        <f>L217-O217</f>
        <v>100</v>
      </c>
      <c r="Q217" s="1581">
        <f>1000*1.07</f>
        <v>1070</v>
      </c>
      <c r="R217" s="1611">
        <f>P217*Q217</f>
        <v>107000</v>
      </c>
      <c r="S217" s="1611">
        <f>R217*(I217/(I217+J217+K217))</f>
        <v>3042.654028436019</v>
      </c>
      <c r="T217" s="1611">
        <f>R217-S217</f>
        <v>103957.34597156398</v>
      </c>
    </row>
    <row r="218" spans="1:24" hidden="1">
      <c r="A218" s="1609">
        <v>262</v>
      </c>
      <c r="B218" s="1610" t="s">
        <v>1598</v>
      </c>
      <c r="C218" s="1579" t="s">
        <v>3335</v>
      </c>
      <c r="D218" s="1610" t="s">
        <v>1022</v>
      </c>
      <c r="E218" s="1694">
        <v>4333</v>
      </c>
      <c r="F218" s="1581"/>
      <c r="G218" s="1581"/>
      <c r="H218" s="1581"/>
      <c r="I218" s="1609">
        <v>6</v>
      </c>
      <c r="J218" s="1609">
        <v>205</v>
      </c>
      <c r="K218" s="1581"/>
      <c r="L218" s="1610"/>
      <c r="M218" s="1610"/>
      <c r="N218" s="1581"/>
      <c r="O218" s="1581"/>
      <c r="P218" s="1581"/>
      <c r="Q218" s="1581"/>
      <c r="R218" s="1611"/>
      <c r="S218" s="1611"/>
      <c r="T218" s="1611"/>
    </row>
    <row r="219" spans="1:24" hidden="1">
      <c r="A219" s="1609">
        <v>277</v>
      </c>
      <c r="B219" s="1618" t="s">
        <v>1600</v>
      </c>
      <c r="C219" s="1579" t="s">
        <v>1601</v>
      </c>
      <c r="D219" s="1618" t="s">
        <v>1022</v>
      </c>
      <c r="E219" s="1694">
        <v>4333</v>
      </c>
      <c r="F219" s="1581"/>
      <c r="G219" s="1581"/>
      <c r="H219" s="1581"/>
      <c r="I219" s="1609">
        <v>6</v>
      </c>
      <c r="J219" s="1609">
        <v>205</v>
      </c>
      <c r="K219" s="1581"/>
      <c r="L219" s="1622"/>
      <c r="M219" s="1622"/>
      <c r="N219" s="1581"/>
      <c r="O219" s="1581"/>
      <c r="P219" s="1581"/>
      <c r="Q219" s="1581"/>
      <c r="R219" s="1611"/>
      <c r="S219" s="1611"/>
      <c r="T219" s="1611"/>
    </row>
    <row r="220" spans="1:24" hidden="1">
      <c r="A220" s="1609">
        <v>278</v>
      </c>
      <c r="B220" s="1618" t="s">
        <v>1600</v>
      </c>
      <c r="C220" s="1579" t="s">
        <v>1602</v>
      </c>
      <c r="D220" s="1618" t="s">
        <v>1022</v>
      </c>
      <c r="E220" s="1694">
        <v>4333</v>
      </c>
      <c r="F220" s="1581"/>
      <c r="G220" s="1581"/>
      <c r="H220" s="1581"/>
      <c r="I220" s="1609">
        <v>6</v>
      </c>
      <c r="J220" s="1609">
        <v>205</v>
      </c>
      <c r="K220" s="1581"/>
      <c r="L220" s="1622"/>
      <c r="M220" s="1622"/>
      <c r="N220" s="1581"/>
      <c r="O220" s="1581"/>
      <c r="P220" s="1581"/>
      <c r="Q220" s="1581"/>
      <c r="R220" s="1611"/>
      <c r="S220" s="1611"/>
      <c r="T220" s="1611"/>
    </row>
    <row r="221" spans="1:24" ht="15.75" customHeight="1">
      <c r="A221" s="1609">
        <v>154</v>
      </c>
      <c r="B221" s="1618" t="s">
        <v>1600</v>
      </c>
      <c r="C221" s="1579" t="s">
        <v>1603</v>
      </c>
      <c r="D221" s="1618" t="s">
        <v>1022</v>
      </c>
      <c r="E221" s="1694">
        <v>4333</v>
      </c>
      <c r="F221" s="1581"/>
      <c r="G221" s="1581"/>
      <c r="H221" s="1581"/>
      <c r="I221" s="1609">
        <v>6</v>
      </c>
      <c r="J221" s="1609">
        <v>205</v>
      </c>
      <c r="K221" s="1581"/>
      <c r="L221" s="1618">
        <v>10</v>
      </c>
      <c r="M221" s="1618"/>
      <c r="N221" s="1581"/>
      <c r="O221" s="1581"/>
      <c r="P221" s="1581">
        <f>L221-O221</f>
        <v>10</v>
      </c>
      <c r="Q221" s="1581">
        <f>2000*1.07</f>
        <v>2140</v>
      </c>
      <c r="R221" s="1611">
        <f>P221*Q221</f>
        <v>21400</v>
      </c>
      <c r="S221" s="1611">
        <f>R221*(I221/(I221+J221+K221))</f>
        <v>608.53080568720372</v>
      </c>
      <c r="T221" s="1611">
        <f>R221-S221</f>
        <v>20791.469194312795</v>
      </c>
    </row>
    <row r="222" spans="1:24" ht="38.25">
      <c r="A222" s="1609">
        <v>59</v>
      </c>
      <c r="B222" s="1619" t="s">
        <v>1604</v>
      </c>
      <c r="C222" s="917" t="s">
        <v>1605</v>
      </c>
      <c r="D222" s="1619" t="s">
        <v>1268</v>
      </c>
      <c r="E222" s="1694">
        <v>4333</v>
      </c>
      <c r="F222" s="1609"/>
      <c r="G222" s="1609"/>
      <c r="H222" s="1609"/>
      <c r="I222" s="1609">
        <v>6</v>
      </c>
      <c r="J222" s="1609">
        <v>205</v>
      </c>
      <c r="K222" s="1609"/>
      <c r="L222" s="1619">
        <v>5</v>
      </c>
      <c r="M222" s="1619"/>
      <c r="N222" s="1609"/>
      <c r="O222" s="1609"/>
      <c r="P222" s="1581">
        <f>L222-O222</f>
        <v>5</v>
      </c>
      <c r="Q222" s="1610">
        <f>470*1.07</f>
        <v>502.90000000000003</v>
      </c>
      <c r="R222" s="1611">
        <f>P222*Q222</f>
        <v>2514.5</v>
      </c>
      <c r="S222" s="1611">
        <f>R222*(I222/(I222+J222+K222))</f>
        <v>71.502369668246445</v>
      </c>
      <c r="T222" s="1611">
        <f>R222-S222</f>
        <v>2442.9976303317535</v>
      </c>
    </row>
    <row r="223" spans="1:24" ht="38.25">
      <c r="A223" s="1609">
        <v>61</v>
      </c>
      <c r="B223" s="1619" t="s">
        <v>1604</v>
      </c>
      <c r="C223" s="917" t="s">
        <v>1606</v>
      </c>
      <c r="D223" s="1619" t="s">
        <v>1268</v>
      </c>
      <c r="E223" s="1694">
        <v>4333</v>
      </c>
      <c r="F223" s="1609"/>
      <c r="G223" s="1609"/>
      <c r="H223" s="1609"/>
      <c r="I223" s="1609">
        <v>6</v>
      </c>
      <c r="J223" s="1609">
        <v>205</v>
      </c>
      <c r="K223" s="1609"/>
      <c r="L223" s="1619">
        <v>15</v>
      </c>
      <c r="M223" s="1619"/>
      <c r="N223" s="1609"/>
      <c r="O223" s="1609"/>
      <c r="P223" s="1581">
        <f>L223-O223</f>
        <v>15</v>
      </c>
      <c r="Q223" s="1610">
        <f>670*1.07</f>
        <v>716.90000000000009</v>
      </c>
      <c r="R223" s="1611">
        <f>P223*Q223</f>
        <v>10753.500000000002</v>
      </c>
      <c r="S223" s="1611">
        <f>R223*(I223/(I223+J223+K223))</f>
        <v>305.78672985781992</v>
      </c>
      <c r="T223" s="1611">
        <f>R223-S223</f>
        <v>10447.713270142181</v>
      </c>
    </row>
    <row r="224" spans="1:24" hidden="1">
      <c r="A224" s="1609">
        <v>57</v>
      </c>
      <c r="B224" s="1619" t="s">
        <v>1604</v>
      </c>
      <c r="C224" s="917" t="s">
        <v>1608</v>
      </c>
      <c r="D224" s="1619" t="s">
        <v>1268</v>
      </c>
      <c r="E224" s="1694">
        <v>4333</v>
      </c>
      <c r="F224" s="1609"/>
      <c r="G224" s="1609"/>
      <c r="H224" s="1609"/>
      <c r="I224" s="1609">
        <v>6</v>
      </c>
      <c r="J224" s="1609">
        <v>205</v>
      </c>
      <c r="K224" s="1609"/>
      <c r="L224" s="1619"/>
      <c r="M224" s="1619"/>
      <c r="N224" s="1609"/>
      <c r="O224" s="1609"/>
      <c r="P224" s="1581"/>
      <c r="Q224" s="1610"/>
      <c r="R224" s="1611"/>
      <c r="S224" s="1611"/>
      <c r="T224" s="1611"/>
    </row>
    <row r="225" spans="1:20" ht="38.25">
      <c r="A225" s="1609">
        <v>58</v>
      </c>
      <c r="B225" s="1619" t="s">
        <v>1609</v>
      </c>
      <c r="C225" s="917" t="s">
        <v>1605</v>
      </c>
      <c r="D225" s="1619" t="s">
        <v>1268</v>
      </c>
      <c r="E225" s="1694">
        <v>4333</v>
      </c>
      <c r="F225" s="1609"/>
      <c r="G225" s="1609"/>
      <c r="H225" s="1609"/>
      <c r="I225" s="1609">
        <v>6</v>
      </c>
      <c r="J225" s="1609">
        <v>205</v>
      </c>
      <c r="K225" s="1609"/>
      <c r="L225" s="1619">
        <v>15</v>
      </c>
      <c r="M225" s="1619"/>
      <c r="N225" s="1609"/>
      <c r="O225" s="1609"/>
      <c r="P225" s="1581">
        <f>L225-O225</f>
        <v>15</v>
      </c>
      <c r="Q225" s="1610">
        <f>460*1.07</f>
        <v>492.20000000000005</v>
      </c>
      <c r="R225" s="1611">
        <f>P225*Q225</f>
        <v>7383.0000000000009</v>
      </c>
      <c r="S225" s="1611">
        <f>R225*(I225/(I225+J225+K225))</f>
        <v>209.94312796208533</v>
      </c>
      <c r="T225" s="1611">
        <f>R225-S225</f>
        <v>7173.056872037916</v>
      </c>
    </row>
    <row r="226" spans="1:20" ht="38.25">
      <c r="A226" s="1609">
        <v>60</v>
      </c>
      <c r="B226" s="1619" t="s">
        <v>1609</v>
      </c>
      <c r="C226" s="917" t="s">
        <v>1606</v>
      </c>
      <c r="D226" s="1619" t="s">
        <v>1268</v>
      </c>
      <c r="E226" s="1694">
        <v>4333</v>
      </c>
      <c r="F226" s="1609"/>
      <c r="G226" s="1609"/>
      <c r="H226" s="1609"/>
      <c r="I226" s="1609">
        <v>6</v>
      </c>
      <c r="J226" s="1609">
        <v>205</v>
      </c>
      <c r="K226" s="1609"/>
      <c r="L226" s="1619">
        <v>5</v>
      </c>
      <c r="M226" s="1619"/>
      <c r="N226" s="1609"/>
      <c r="O226" s="1609"/>
      <c r="P226" s="1581">
        <f>L226-O226</f>
        <v>5</v>
      </c>
      <c r="Q226" s="1610">
        <f>670*1.07</f>
        <v>716.90000000000009</v>
      </c>
      <c r="R226" s="1611">
        <f>P226*Q226</f>
        <v>3584.5000000000005</v>
      </c>
      <c r="S226" s="1611">
        <f>R226*(I226/(I226+J226+K226))</f>
        <v>101.92890995260665</v>
      </c>
      <c r="T226" s="1611">
        <f>R226-S226</f>
        <v>3482.5710900473937</v>
      </c>
    </row>
    <row r="227" spans="1:20" hidden="1">
      <c r="A227" s="1609">
        <v>245</v>
      </c>
      <c r="B227" s="1622" t="s">
        <v>1610</v>
      </c>
      <c r="C227" s="1579" t="s">
        <v>1611</v>
      </c>
      <c r="D227" s="1622" t="s">
        <v>1022</v>
      </c>
      <c r="E227" s="1694">
        <v>4333</v>
      </c>
      <c r="F227" s="1581"/>
      <c r="G227" s="1581"/>
      <c r="H227" s="1581"/>
      <c r="I227" s="1609">
        <v>6</v>
      </c>
      <c r="J227" s="1609">
        <v>205</v>
      </c>
      <c r="K227" s="1581"/>
      <c r="L227" s="1610"/>
      <c r="M227" s="1610"/>
      <c r="N227" s="1581"/>
      <c r="O227" s="1581"/>
      <c r="P227" s="1581"/>
      <c r="Q227" s="1581"/>
      <c r="R227" s="1611"/>
      <c r="S227" s="1611"/>
      <c r="T227" s="1611"/>
    </row>
    <row r="228" spans="1:20" hidden="1">
      <c r="A228" s="1609">
        <v>294</v>
      </c>
      <c r="B228" s="1618" t="s">
        <v>1612</v>
      </c>
      <c r="C228" s="1579" t="s">
        <v>1613</v>
      </c>
      <c r="D228" s="1618" t="s">
        <v>1022</v>
      </c>
      <c r="E228" s="1694">
        <v>4333</v>
      </c>
      <c r="F228" s="1581"/>
      <c r="G228" s="1581"/>
      <c r="H228" s="1581"/>
      <c r="I228" s="1609">
        <v>6</v>
      </c>
      <c r="J228" s="1609">
        <v>205</v>
      </c>
      <c r="K228" s="1581"/>
      <c r="L228" s="1622"/>
      <c r="M228" s="1622"/>
      <c r="N228" s="1581"/>
      <c r="O228" s="1581"/>
      <c r="P228" s="1581"/>
      <c r="Q228" s="1581"/>
      <c r="R228" s="1611"/>
      <c r="S228" s="1611"/>
      <c r="T228" s="1611"/>
    </row>
    <row r="229" spans="1:20" hidden="1">
      <c r="A229" s="1609">
        <v>194</v>
      </c>
      <c r="B229" s="1618" t="s">
        <v>1614</v>
      </c>
      <c r="C229" s="1579" t="s">
        <v>1615</v>
      </c>
      <c r="D229" s="1618" t="s">
        <v>1022</v>
      </c>
      <c r="E229" s="1694">
        <v>4333</v>
      </c>
      <c r="F229" s="1581"/>
      <c r="G229" s="1581"/>
      <c r="H229" s="1581"/>
      <c r="I229" s="1609">
        <v>6</v>
      </c>
      <c r="J229" s="1609">
        <v>205</v>
      </c>
      <c r="K229" s="1581"/>
      <c r="L229" s="1620"/>
      <c r="M229" s="1620"/>
      <c r="N229" s="1581"/>
      <c r="O229" s="1581"/>
      <c r="P229" s="1581"/>
      <c r="Q229" s="1581"/>
      <c r="R229" s="1611"/>
      <c r="S229" s="1611"/>
      <c r="T229" s="1611"/>
    </row>
    <row r="230" spans="1:20">
      <c r="A230" s="1609">
        <v>119</v>
      </c>
      <c r="B230" s="1619" t="s">
        <v>1616</v>
      </c>
      <c r="C230" s="1579" t="s">
        <v>1617</v>
      </c>
      <c r="D230" s="1619" t="s">
        <v>1268</v>
      </c>
      <c r="E230" s="1694">
        <v>4333</v>
      </c>
      <c r="F230" s="1581"/>
      <c r="G230" s="1581"/>
      <c r="H230" s="1609"/>
      <c r="I230" s="1609">
        <v>6</v>
      </c>
      <c r="J230" s="1609">
        <v>205</v>
      </c>
      <c r="K230" s="1609"/>
      <c r="L230" s="1619">
        <v>100</v>
      </c>
      <c r="M230" s="1619"/>
      <c r="N230" s="1609"/>
      <c r="O230" s="1609"/>
      <c r="P230" s="1581">
        <f>L230-O230</f>
        <v>100</v>
      </c>
      <c r="Q230" s="1609">
        <f>20*1.07</f>
        <v>21.400000000000002</v>
      </c>
      <c r="R230" s="1611">
        <f>P230*Q230</f>
        <v>2140</v>
      </c>
      <c r="S230" s="1611">
        <f>R230*(I230/(I230+J230+K230))</f>
        <v>60.85308056872038</v>
      </c>
      <c r="T230" s="1611">
        <f>R230-S230</f>
        <v>2079.1469194312795</v>
      </c>
    </row>
    <row r="231" spans="1:20" hidden="1">
      <c r="A231" s="1609">
        <v>162</v>
      </c>
      <c r="B231" s="1618" t="s">
        <v>1618</v>
      </c>
      <c r="C231" s="1579" t="s">
        <v>1619</v>
      </c>
      <c r="D231" s="1618" t="s">
        <v>1565</v>
      </c>
      <c r="E231" s="1694">
        <v>4333</v>
      </c>
      <c r="F231" s="1581"/>
      <c r="G231" s="1581"/>
      <c r="H231" s="1581"/>
      <c r="I231" s="1609">
        <v>6</v>
      </c>
      <c r="J231" s="1609">
        <v>205</v>
      </c>
      <c r="K231" s="1581"/>
      <c r="L231" s="1618"/>
      <c r="M231" s="1618"/>
      <c r="N231" s="1581"/>
      <c r="O231" s="1581"/>
      <c r="P231" s="1581"/>
      <c r="Q231" s="1581"/>
      <c r="R231" s="1611"/>
      <c r="S231" s="1611"/>
      <c r="T231" s="1611"/>
    </row>
    <row r="232" spans="1:20" hidden="1">
      <c r="A232" s="1609">
        <v>136</v>
      </c>
      <c r="B232" s="1618" t="s">
        <v>1620</v>
      </c>
      <c r="C232" s="1579" t="s">
        <v>1621</v>
      </c>
      <c r="D232" s="1618" t="s">
        <v>1268</v>
      </c>
      <c r="E232" s="1694">
        <v>4333</v>
      </c>
      <c r="F232" s="1581"/>
      <c r="G232" s="1581"/>
      <c r="H232" s="1581"/>
      <c r="I232" s="1609"/>
      <c r="J232" s="1609"/>
      <c r="K232" s="1581"/>
      <c r="L232" s="1618"/>
      <c r="M232" s="1618"/>
      <c r="N232" s="1581"/>
      <c r="O232" s="1581"/>
      <c r="P232" s="1581"/>
      <c r="Q232" s="1581"/>
      <c r="R232" s="1611"/>
      <c r="S232" s="1611"/>
      <c r="T232" s="1611"/>
    </row>
    <row r="233" spans="1:20">
      <c r="A233" s="1609">
        <v>135</v>
      </c>
      <c r="B233" s="1618" t="s">
        <v>1622</v>
      </c>
      <c r="C233" s="1579" t="s">
        <v>2233</v>
      </c>
      <c r="D233" s="1618" t="s">
        <v>1268</v>
      </c>
      <c r="E233" s="1694">
        <v>4333</v>
      </c>
      <c r="F233" s="1581"/>
      <c r="G233" s="1581"/>
      <c r="H233" s="1581"/>
      <c r="I233" s="1609">
        <v>6</v>
      </c>
      <c r="J233" s="1609">
        <v>205</v>
      </c>
      <c r="K233" s="1581"/>
      <c r="L233" s="1618">
        <v>5</v>
      </c>
      <c r="M233" s="1618"/>
      <c r="N233" s="1581"/>
      <c r="O233" s="1581"/>
      <c r="P233" s="1581">
        <f>L233-O233</f>
        <v>5</v>
      </c>
      <c r="Q233" s="1581">
        <f>2000*1.07</f>
        <v>2140</v>
      </c>
      <c r="R233" s="1611">
        <f>P233*Q233</f>
        <v>10700</v>
      </c>
      <c r="S233" s="1611">
        <f>R233*(I233/(I233+J233+K233))</f>
        <v>304.26540284360186</v>
      </c>
      <c r="T233" s="1611">
        <f>R233-S233</f>
        <v>10395.734597156397</v>
      </c>
    </row>
    <row r="234" spans="1:20" hidden="1">
      <c r="A234" s="1609">
        <v>256</v>
      </c>
      <c r="B234" s="1622" t="s">
        <v>1624</v>
      </c>
      <c r="C234" s="1579"/>
      <c r="D234" s="1622" t="s">
        <v>1022</v>
      </c>
      <c r="E234" s="1694">
        <v>4333</v>
      </c>
      <c r="F234" s="1581"/>
      <c r="G234" s="1581"/>
      <c r="H234" s="1581"/>
      <c r="I234" s="1609"/>
      <c r="J234" s="1609"/>
      <c r="K234" s="1581"/>
      <c r="L234" s="1622"/>
      <c r="M234" s="1622"/>
      <c r="N234" s="1581"/>
      <c r="O234" s="1581"/>
      <c r="P234" s="1581"/>
      <c r="Q234" s="1581"/>
      <c r="R234" s="1611"/>
      <c r="S234" s="1611"/>
      <c r="T234" s="1611"/>
    </row>
    <row r="235" spans="1:20" hidden="1">
      <c r="A235" s="1609">
        <v>213</v>
      </c>
      <c r="B235" s="1620" t="s">
        <v>1624</v>
      </c>
      <c r="C235" s="1579" t="s">
        <v>1625</v>
      </c>
      <c r="D235" s="1620" t="s">
        <v>1022</v>
      </c>
      <c r="E235" s="1694">
        <v>4333</v>
      </c>
      <c r="F235" s="1581"/>
      <c r="G235" s="1581"/>
      <c r="H235" s="1581"/>
      <c r="I235" s="1609"/>
      <c r="J235" s="1609"/>
      <c r="K235" s="1581"/>
      <c r="L235" s="1620"/>
      <c r="M235" s="1620"/>
      <c r="N235" s="1581"/>
      <c r="O235" s="1581"/>
      <c r="P235" s="1581"/>
      <c r="Q235" s="1581"/>
      <c r="R235" s="1611"/>
      <c r="S235" s="1611"/>
      <c r="T235" s="1611"/>
    </row>
    <row r="236" spans="1:20" hidden="1">
      <c r="A236" s="1609">
        <v>214</v>
      </c>
      <c r="B236" s="1620" t="s">
        <v>1624</v>
      </c>
      <c r="C236" s="1579" t="s">
        <v>1626</v>
      </c>
      <c r="D236" s="1620" t="s">
        <v>1022</v>
      </c>
      <c r="E236" s="1694">
        <v>4333</v>
      </c>
      <c r="F236" s="1581"/>
      <c r="G236" s="1581"/>
      <c r="H236" s="1581"/>
      <c r="I236" s="1609"/>
      <c r="J236" s="1609"/>
      <c r="K236" s="1581"/>
      <c r="L236" s="1620"/>
      <c r="M236" s="1620"/>
      <c r="N236" s="1581"/>
      <c r="O236" s="1581"/>
      <c r="P236" s="1581"/>
      <c r="Q236" s="1581"/>
      <c r="R236" s="1611"/>
      <c r="S236" s="1611"/>
      <c r="T236" s="1611"/>
    </row>
    <row r="237" spans="1:20" hidden="1">
      <c r="A237" s="1609">
        <v>215</v>
      </c>
      <c r="B237" s="1620" t="s">
        <v>1624</v>
      </c>
      <c r="C237" s="1579" t="s">
        <v>1627</v>
      </c>
      <c r="D237" s="1620" t="s">
        <v>1022</v>
      </c>
      <c r="E237" s="1694">
        <v>4333</v>
      </c>
      <c r="F237" s="1581"/>
      <c r="G237" s="1581"/>
      <c r="H237" s="1581"/>
      <c r="I237" s="1609"/>
      <c r="J237" s="1609"/>
      <c r="K237" s="1581"/>
      <c r="L237" s="1620"/>
      <c r="M237" s="1620"/>
      <c r="N237" s="1581"/>
      <c r="O237" s="1581"/>
      <c r="P237" s="1581"/>
      <c r="Q237" s="1581"/>
      <c r="R237" s="1611"/>
      <c r="S237" s="1611"/>
      <c r="T237" s="1611"/>
    </row>
    <row r="238" spans="1:20" hidden="1">
      <c r="A238" s="1609">
        <v>268</v>
      </c>
      <c r="B238" s="1618" t="s">
        <v>1628</v>
      </c>
      <c r="C238" s="1579" t="s">
        <v>1629</v>
      </c>
      <c r="D238" s="1618" t="s">
        <v>1022</v>
      </c>
      <c r="E238" s="1694">
        <v>4333</v>
      </c>
      <c r="F238" s="1581"/>
      <c r="G238" s="1581"/>
      <c r="H238" s="1581"/>
      <c r="I238" s="1609">
        <v>6</v>
      </c>
      <c r="J238" s="1609">
        <v>205</v>
      </c>
      <c r="K238" s="1581"/>
      <c r="L238" s="1622"/>
      <c r="M238" s="1622"/>
      <c r="N238" s="1581"/>
      <c r="O238" s="1581"/>
      <c r="P238" s="1581"/>
      <c r="Q238" s="1581"/>
      <c r="R238" s="1611"/>
      <c r="S238" s="1611"/>
      <c r="T238" s="1611"/>
    </row>
    <row r="239" spans="1:20" hidden="1">
      <c r="A239" s="1609">
        <v>269</v>
      </c>
      <c r="B239" s="1618" t="s">
        <v>1630</v>
      </c>
      <c r="C239" s="1579" t="s">
        <v>1631</v>
      </c>
      <c r="D239" s="1618" t="s">
        <v>1022</v>
      </c>
      <c r="E239" s="1694">
        <v>4333</v>
      </c>
      <c r="F239" s="1581"/>
      <c r="G239" s="1581"/>
      <c r="H239" s="1581"/>
      <c r="I239" s="1609">
        <v>6</v>
      </c>
      <c r="J239" s="1609">
        <v>205</v>
      </c>
      <c r="K239" s="1581"/>
      <c r="L239" s="1622"/>
      <c r="M239" s="1622"/>
      <c r="N239" s="1581"/>
      <c r="O239" s="1581"/>
      <c r="P239" s="1581"/>
      <c r="Q239" s="1581"/>
      <c r="R239" s="1611"/>
      <c r="S239" s="1611"/>
      <c r="T239" s="1611"/>
    </row>
    <row r="240" spans="1:20" hidden="1">
      <c r="A240" s="1609">
        <v>260</v>
      </c>
      <c r="B240" s="1625" t="s">
        <v>1632</v>
      </c>
      <c r="C240" s="1579" t="s">
        <v>1633</v>
      </c>
      <c r="D240" s="1610" t="s">
        <v>1022</v>
      </c>
      <c r="E240" s="1694">
        <v>4333</v>
      </c>
      <c r="F240" s="1581"/>
      <c r="G240" s="1581"/>
      <c r="H240" s="1581"/>
      <c r="I240" s="1609">
        <v>6</v>
      </c>
      <c r="J240" s="1609">
        <v>205</v>
      </c>
      <c r="K240" s="1581"/>
      <c r="L240" s="1610"/>
      <c r="M240" s="1610"/>
      <c r="N240" s="1581"/>
      <c r="O240" s="1581"/>
      <c r="P240" s="1581"/>
      <c r="Q240" s="1581"/>
      <c r="R240" s="1611"/>
      <c r="S240" s="1611"/>
      <c r="T240" s="1611"/>
    </row>
    <row r="241" spans="1:20" ht="38.25" hidden="1">
      <c r="A241" s="1609">
        <v>68</v>
      </c>
      <c r="B241" s="1619" t="s">
        <v>1634</v>
      </c>
      <c r="C241" s="917" t="s">
        <v>1635</v>
      </c>
      <c r="D241" s="1619" t="s">
        <v>1268</v>
      </c>
      <c r="E241" s="1694">
        <v>4333</v>
      </c>
      <c r="F241" s="1609"/>
      <c r="G241" s="1609"/>
      <c r="H241" s="1609"/>
      <c r="I241" s="1609">
        <v>6</v>
      </c>
      <c r="J241" s="1609">
        <v>205</v>
      </c>
      <c r="K241" s="1609"/>
      <c r="L241" s="1619"/>
      <c r="M241" s="1619"/>
      <c r="N241" s="1609"/>
      <c r="O241" s="1609"/>
      <c r="P241" s="1581"/>
      <c r="Q241" s="1610"/>
      <c r="R241" s="1611"/>
      <c r="S241" s="1611"/>
      <c r="T241" s="1611"/>
    </row>
    <row r="242" spans="1:20" ht="38.25">
      <c r="A242" s="1609">
        <v>66</v>
      </c>
      <c r="B242" s="1619" t="s">
        <v>1636</v>
      </c>
      <c r="C242" s="917" t="s">
        <v>1637</v>
      </c>
      <c r="D242" s="1619" t="s">
        <v>1268</v>
      </c>
      <c r="E242" s="1694">
        <v>4333</v>
      </c>
      <c r="F242" s="1609"/>
      <c r="G242" s="1609"/>
      <c r="H242" s="1609"/>
      <c r="I242" s="1609">
        <v>6</v>
      </c>
      <c r="J242" s="1609">
        <v>205</v>
      </c>
      <c r="K242" s="1609"/>
      <c r="L242" s="1619">
        <v>2</v>
      </c>
      <c r="M242" s="1619"/>
      <c r="N242" s="1609"/>
      <c r="O242" s="1609"/>
      <c r="P242" s="1581">
        <f>L242-O242</f>
        <v>2</v>
      </c>
      <c r="Q242" s="1610">
        <f>12000*1.07</f>
        <v>12840</v>
      </c>
      <c r="R242" s="1611">
        <f>P242*Q242</f>
        <v>25680</v>
      </c>
      <c r="S242" s="1611">
        <f>R242*(I242/(I242+J242+K242))</f>
        <v>730.23696682464447</v>
      </c>
      <c r="T242" s="1611">
        <f>R242-S242</f>
        <v>24949.763033175357</v>
      </c>
    </row>
    <row r="243" spans="1:20" ht="25.5" hidden="1">
      <c r="A243" s="1609">
        <v>284</v>
      </c>
      <c r="B243" s="1618" t="s">
        <v>1638</v>
      </c>
      <c r="C243" s="1579" t="s">
        <v>1639</v>
      </c>
      <c r="D243" s="1618" t="s">
        <v>1022</v>
      </c>
      <c r="E243" s="1694">
        <v>4333</v>
      </c>
      <c r="F243" s="1581"/>
      <c r="G243" s="1581"/>
      <c r="H243" s="1581"/>
      <c r="I243" s="1609">
        <v>6</v>
      </c>
      <c r="J243" s="1609">
        <v>205</v>
      </c>
      <c r="K243" s="1581"/>
      <c r="L243" s="1622"/>
      <c r="M243" s="1622"/>
      <c r="N243" s="1581"/>
      <c r="O243" s="1581"/>
      <c r="P243" s="1581"/>
      <c r="Q243" s="1581"/>
      <c r="R243" s="1611"/>
      <c r="S243" s="1611"/>
      <c r="T243" s="1611"/>
    </row>
    <row r="244" spans="1:20" ht="25.5">
      <c r="A244" s="1609">
        <v>62</v>
      </c>
      <c r="B244" s="1619" t="s">
        <v>1640</v>
      </c>
      <c r="C244" s="917" t="s">
        <v>1641</v>
      </c>
      <c r="D244" s="1619" t="s">
        <v>1268</v>
      </c>
      <c r="E244" s="1694">
        <v>4333</v>
      </c>
      <c r="F244" s="1609"/>
      <c r="G244" s="1609"/>
      <c r="H244" s="1609"/>
      <c r="I244" s="1609">
        <v>6</v>
      </c>
      <c r="J244" s="1609">
        <v>205</v>
      </c>
      <c r="K244" s="1609"/>
      <c r="L244" s="1619">
        <v>5</v>
      </c>
      <c r="M244" s="1619"/>
      <c r="N244" s="1609"/>
      <c r="O244" s="1609"/>
      <c r="P244" s="1581">
        <f>L244-O244</f>
        <v>5</v>
      </c>
      <c r="Q244" s="1610">
        <f>6000*1.07</f>
        <v>6420</v>
      </c>
      <c r="R244" s="1611">
        <f>P244*Q244</f>
        <v>32100</v>
      </c>
      <c r="S244" s="1611">
        <f>R244*(I244/(I244+J244+K244))</f>
        <v>912.79620853080564</v>
      </c>
      <c r="T244" s="1611">
        <f>R244-S244</f>
        <v>31187.203791469194</v>
      </c>
    </row>
    <row r="245" spans="1:20" ht="38.25" hidden="1">
      <c r="A245" s="1609">
        <v>67</v>
      </c>
      <c r="B245" s="1619" t="s">
        <v>1640</v>
      </c>
      <c r="C245" s="917" t="s">
        <v>1642</v>
      </c>
      <c r="D245" s="1619" t="s">
        <v>1268</v>
      </c>
      <c r="E245" s="1694">
        <v>4333</v>
      </c>
      <c r="F245" s="1609"/>
      <c r="G245" s="1609"/>
      <c r="H245" s="1609"/>
      <c r="I245" s="1609">
        <v>6</v>
      </c>
      <c r="J245" s="1609">
        <v>205</v>
      </c>
      <c r="K245" s="1609"/>
      <c r="L245" s="1619"/>
      <c r="M245" s="1619"/>
      <c r="N245" s="1609"/>
      <c r="O245" s="1609"/>
      <c r="P245" s="1581"/>
      <c r="Q245" s="1610"/>
      <c r="R245" s="1611"/>
      <c r="S245" s="1611"/>
      <c r="T245" s="1611"/>
    </row>
    <row r="246" spans="1:20" ht="25.5" hidden="1">
      <c r="A246" s="1609">
        <v>78</v>
      </c>
      <c r="B246" s="1619" t="s">
        <v>1643</v>
      </c>
      <c r="C246" s="917" t="s">
        <v>1644</v>
      </c>
      <c r="D246" s="1619" t="s">
        <v>1268</v>
      </c>
      <c r="E246" s="1694">
        <v>4333</v>
      </c>
      <c r="F246" s="1609"/>
      <c r="G246" s="1609"/>
      <c r="H246" s="1609"/>
      <c r="I246" s="1609">
        <v>6</v>
      </c>
      <c r="J246" s="1609">
        <v>205</v>
      </c>
      <c r="K246" s="1609"/>
      <c r="L246" s="1619"/>
      <c r="M246" s="1619"/>
      <c r="N246" s="1609"/>
      <c r="O246" s="1609"/>
      <c r="P246" s="1581"/>
      <c r="Q246" s="1610"/>
      <c r="R246" s="1611"/>
      <c r="S246" s="1611"/>
      <c r="T246" s="1611"/>
    </row>
    <row r="247" spans="1:20" ht="38.25" hidden="1">
      <c r="A247" s="1609">
        <v>77</v>
      </c>
      <c r="B247" s="1619" t="s">
        <v>1645</v>
      </c>
      <c r="C247" s="1614" t="s">
        <v>1646</v>
      </c>
      <c r="D247" s="1619" t="s">
        <v>1268</v>
      </c>
      <c r="E247" s="1694">
        <v>4333</v>
      </c>
      <c r="F247" s="1609"/>
      <c r="G247" s="1609"/>
      <c r="H247" s="1609"/>
      <c r="I247" s="1609">
        <v>6</v>
      </c>
      <c r="J247" s="1609">
        <v>205</v>
      </c>
      <c r="K247" s="1609"/>
      <c r="L247" s="1619"/>
      <c r="M247" s="1619"/>
      <c r="N247" s="1609"/>
      <c r="O247" s="1609"/>
      <c r="P247" s="1581"/>
      <c r="Q247" s="1610"/>
      <c r="R247" s="1611"/>
      <c r="S247" s="1611"/>
      <c r="T247" s="1611"/>
    </row>
    <row r="248" spans="1:20" ht="25.5" hidden="1">
      <c r="A248" s="1609">
        <v>76</v>
      </c>
      <c r="B248" s="1619" t="s">
        <v>1647</v>
      </c>
      <c r="C248" s="917" t="s">
        <v>1648</v>
      </c>
      <c r="D248" s="1619" t="s">
        <v>1268</v>
      </c>
      <c r="E248" s="1694">
        <v>4333</v>
      </c>
      <c r="F248" s="1609"/>
      <c r="G248" s="1609"/>
      <c r="H248" s="1609"/>
      <c r="I248" s="1609">
        <v>6</v>
      </c>
      <c r="J248" s="1609">
        <v>205</v>
      </c>
      <c r="K248" s="1609"/>
      <c r="L248" s="1619"/>
      <c r="M248" s="1619"/>
      <c r="N248" s="1609"/>
      <c r="O248" s="1609"/>
      <c r="P248" s="1581"/>
      <c r="Q248" s="1610"/>
      <c r="R248" s="1611"/>
      <c r="S248" s="1611"/>
      <c r="T248" s="1611"/>
    </row>
    <row r="249" spans="1:20" ht="38.25" hidden="1">
      <c r="A249" s="1609">
        <v>75</v>
      </c>
      <c r="B249" s="1619" t="s">
        <v>1649</v>
      </c>
      <c r="C249" s="917" t="s">
        <v>1650</v>
      </c>
      <c r="D249" s="1619" t="s">
        <v>1268</v>
      </c>
      <c r="E249" s="1694">
        <v>4333</v>
      </c>
      <c r="F249" s="1609"/>
      <c r="G249" s="1609"/>
      <c r="H249" s="1609"/>
      <c r="I249" s="1609">
        <v>6</v>
      </c>
      <c r="J249" s="1609">
        <v>205</v>
      </c>
      <c r="K249" s="1609"/>
      <c r="L249" s="1619"/>
      <c r="M249" s="1619"/>
      <c r="N249" s="1609"/>
      <c r="O249" s="1609"/>
      <c r="P249" s="1581"/>
      <c r="Q249" s="1610"/>
      <c r="R249" s="1611"/>
      <c r="S249" s="1611"/>
      <c r="T249" s="1611"/>
    </row>
    <row r="250" spans="1:20" ht="38.25" hidden="1">
      <c r="A250" s="1609">
        <v>74</v>
      </c>
      <c r="B250" s="1619" t="s">
        <v>1651</v>
      </c>
      <c r="C250" s="917" t="s">
        <v>1652</v>
      </c>
      <c r="D250" s="1619" t="s">
        <v>1268</v>
      </c>
      <c r="E250" s="1694">
        <v>4333</v>
      </c>
      <c r="F250" s="1609"/>
      <c r="G250" s="1609"/>
      <c r="H250" s="1609"/>
      <c r="I250" s="1609">
        <v>6</v>
      </c>
      <c r="J250" s="1609">
        <v>205</v>
      </c>
      <c r="K250" s="1609"/>
      <c r="L250" s="1619"/>
      <c r="M250" s="1619"/>
      <c r="N250" s="1609"/>
      <c r="O250" s="1609"/>
      <c r="P250" s="1581"/>
      <c r="Q250" s="1610"/>
      <c r="R250" s="1611"/>
      <c r="S250" s="1611"/>
      <c r="T250" s="1611"/>
    </row>
    <row r="251" spans="1:20" ht="25.5">
      <c r="A251" s="1609">
        <v>64</v>
      </c>
      <c r="B251" s="1619" t="s">
        <v>1653</v>
      </c>
      <c r="C251" s="917" t="s">
        <v>1654</v>
      </c>
      <c r="D251" s="1619" t="s">
        <v>1268</v>
      </c>
      <c r="E251" s="1694">
        <v>4333</v>
      </c>
      <c r="F251" s="1609"/>
      <c r="G251" s="1609"/>
      <c r="H251" s="1609"/>
      <c r="I251" s="1609">
        <v>6</v>
      </c>
      <c r="J251" s="1609">
        <v>205</v>
      </c>
      <c r="K251" s="1609"/>
      <c r="L251" s="1619">
        <v>5</v>
      </c>
      <c r="M251" s="1619"/>
      <c r="N251" s="1609"/>
      <c r="O251" s="1609"/>
      <c r="P251" s="1581">
        <f>L251-O251</f>
        <v>5</v>
      </c>
      <c r="Q251" s="1610">
        <f>4000*1.07</f>
        <v>4280</v>
      </c>
      <c r="R251" s="1611">
        <f>P251*Q251</f>
        <v>21400</v>
      </c>
      <c r="S251" s="1611">
        <f>R251*(I251/(I251+J251+K251))</f>
        <v>608.53080568720372</v>
      </c>
      <c r="T251" s="1611">
        <f>R251-S251</f>
        <v>20791.469194312795</v>
      </c>
    </row>
    <row r="252" spans="1:20" ht="25.5">
      <c r="A252" s="1609">
        <v>63</v>
      </c>
      <c r="B252" s="1619" t="s">
        <v>1655</v>
      </c>
      <c r="C252" s="917" t="s">
        <v>1641</v>
      </c>
      <c r="D252" s="1619" t="s">
        <v>1268</v>
      </c>
      <c r="E252" s="1694">
        <v>4333</v>
      </c>
      <c r="F252" s="1609"/>
      <c r="G252" s="1609"/>
      <c r="H252" s="1609"/>
      <c r="I252" s="1609">
        <v>6</v>
      </c>
      <c r="J252" s="1609">
        <v>205</v>
      </c>
      <c r="K252" s="1609"/>
      <c r="L252" s="1619">
        <v>7</v>
      </c>
      <c r="M252" s="1619"/>
      <c r="N252" s="1609"/>
      <c r="O252" s="1609"/>
      <c r="P252" s="1581">
        <f>L252-O252</f>
        <v>7</v>
      </c>
      <c r="Q252" s="1610">
        <f>6000*1.07</f>
        <v>6420</v>
      </c>
      <c r="R252" s="1611">
        <f>P252*Q252</f>
        <v>44940</v>
      </c>
      <c r="S252" s="1611">
        <f>R252*(I252/(I252+J252+K252))</f>
        <v>1277.914691943128</v>
      </c>
      <c r="T252" s="1611">
        <f>R252-S252</f>
        <v>43662.08530805687</v>
      </c>
    </row>
    <row r="253" spans="1:20" ht="25.5" hidden="1">
      <c r="A253" s="1609">
        <v>69</v>
      </c>
      <c r="B253" s="1619" t="s">
        <v>1655</v>
      </c>
      <c r="C253" s="917" t="s">
        <v>1656</v>
      </c>
      <c r="D253" s="1619" t="s">
        <v>1268</v>
      </c>
      <c r="E253" s="1694">
        <v>4333</v>
      </c>
      <c r="F253" s="1609"/>
      <c r="G253" s="1609"/>
      <c r="H253" s="1609"/>
      <c r="I253" s="1609">
        <v>6</v>
      </c>
      <c r="J253" s="1609">
        <v>205</v>
      </c>
      <c r="K253" s="1609"/>
      <c r="L253" s="1619"/>
      <c r="M253" s="1619"/>
      <c r="N253" s="1609"/>
      <c r="O253" s="1609"/>
      <c r="P253" s="1581"/>
      <c r="Q253" s="1610"/>
      <c r="R253" s="1611"/>
      <c r="S253" s="1611"/>
      <c r="T253" s="1611"/>
    </row>
    <row r="254" spans="1:20" ht="38.25" hidden="1">
      <c r="A254" s="1609">
        <v>70</v>
      </c>
      <c r="B254" s="1619" t="s">
        <v>1655</v>
      </c>
      <c r="C254" s="917" t="s">
        <v>1657</v>
      </c>
      <c r="D254" s="1619" t="s">
        <v>1268</v>
      </c>
      <c r="E254" s="1694">
        <v>4333</v>
      </c>
      <c r="F254" s="1609"/>
      <c r="G254" s="1609"/>
      <c r="H254" s="1609"/>
      <c r="I254" s="1609">
        <v>6</v>
      </c>
      <c r="J254" s="1609">
        <v>205</v>
      </c>
      <c r="K254" s="1609"/>
      <c r="L254" s="1619"/>
      <c r="M254" s="1619"/>
      <c r="N254" s="1609"/>
      <c r="O254" s="1609"/>
      <c r="P254" s="1581"/>
      <c r="Q254" s="1610"/>
      <c r="R254" s="1611"/>
      <c r="S254" s="1611"/>
      <c r="T254" s="1611"/>
    </row>
    <row r="255" spans="1:20" ht="38.25" hidden="1">
      <c r="A255" s="1609">
        <v>71</v>
      </c>
      <c r="B255" s="1619" t="s">
        <v>1655</v>
      </c>
      <c r="C255" s="917" t="s">
        <v>1652</v>
      </c>
      <c r="D255" s="1619" t="s">
        <v>1268</v>
      </c>
      <c r="E255" s="1694">
        <v>4333</v>
      </c>
      <c r="F255" s="1609"/>
      <c r="G255" s="1609"/>
      <c r="H255" s="1609"/>
      <c r="I255" s="1609">
        <v>6</v>
      </c>
      <c r="J255" s="1609">
        <v>205</v>
      </c>
      <c r="K255" s="1609"/>
      <c r="L255" s="1619"/>
      <c r="M255" s="1619"/>
      <c r="N255" s="1609"/>
      <c r="O255" s="1609"/>
      <c r="P255" s="1581"/>
      <c r="Q255" s="1610"/>
      <c r="R255" s="1611"/>
      <c r="S255" s="1611"/>
      <c r="T255" s="1611"/>
    </row>
    <row r="256" spans="1:20" ht="38.25" hidden="1">
      <c r="A256" s="1609">
        <v>72</v>
      </c>
      <c r="B256" s="1619" t="s">
        <v>1655</v>
      </c>
      <c r="C256" s="917" t="s">
        <v>1658</v>
      </c>
      <c r="D256" s="1619" t="s">
        <v>1268</v>
      </c>
      <c r="E256" s="1694">
        <v>4333</v>
      </c>
      <c r="F256" s="1609"/>
      <c r="G256" s="1609"/>
      <c r="H256" s="1609"/>
      <c r="I256" s="1609">
        <v>6</v>
      </c>
      <c r="J256" s="1609">
        <v>205</v>
      </c>
      <c r="K256" s="1609"/>
      <c r="L256" s="1619"/>
      <c r="M256" s="1619"/>
      <c r="N256" s="1609"/>
      <c r="O256" s="1609"/>
      <c r="P256" s="1581"/>
      <c r="Q256" s="1610"/>
      <c r="R256" s="1611"/>
      <c r="S256" s="1611"/>
      <c r="T256" s="1611"/>
    </row>
    <row r="257" spans="1:21" ht="38.25" hidden="1">
      <c r="A257" s="1609">
        <v>73</v>
      </c>
      <c r="B257" s="1619" t="s">
        <v>1655</v>
      </c>
      <c r="C257" s="917" t="s">
        <v>1659</v>
      </c>
      <c r="D257" s="1619" t="s">
        <v>1268</v>
      </c>
      <c r="E257" s="1694">
        <v>4333</v>
      </c>
      <c r="F257" s="1609"/>
      <c r="G257" s="1609"/>
      <c r="H257" s="1609"/>
      <c r="I257" s="1609">
        <v>6</v>
      </c>
      <c r="J257" s="1609">
        <v>205</v>
      </c>
      <c r="K257" s="1609"/>
      <c r="L257" s="1619"/>
      <c r="M257" s="1619"/>
      <c r="N257" s="1609"/>
      <c r="O257" s="1609"/>
      <c r="P257" s="1581"/>
      <c r="Q257" s="1610"/>
      <c r="R257" s="1611"/>
      <c r="S257" s="1611"/>
      <c r="T257" s="1611"/>
    </row>
    <row r="258" spans="1:21" ht="38.25">
      <c r="A258" s="1581">
        <v>306</v>
      </c>
      <c r="B258" s="1625" t="s">
        <v>1655</v>
      </c>
      <c r="C258" s="1579" t="s">
        <v>1660</v>
      </c>
      <c r="D258" s="1625" t="s">
        <v>1268</v>
      </c>
      <c r="E258" s="1694">
        <v>4333</v>
      </c>
      <c r="F258" s="1581"/>
      <c r="G258" s="1581"/>
      <c r="H258" s="1581"/>
      <c r="I258" s="1609">
        <v>6</v>
      </c>
      <c r="J258" s="1609">
        <v>205</v>
      </c>
      <c r="K258" s="1581"/>
      <c r="L258" s="1625">
        <v>5</v>
      </c>
      <c r="M258" s="1625"/>
      <c r="N258" s="1581"/>
      <c r="O258" s="1581"/>
      <c r="P258" s="1581">
        <f>L258-O258</f>
        <v>5</v>
      </c>
      <c r="Q258" s="1581">
        <f>6000*1.07</f>
        <v>6420</v>
      </c>
      <c r="R258" s="1611">
        <f>P258*Q258</f>
        <v>32100</v>
      </c>
      <c r="S258" s="1611">
        <f>R258*(I258/(I258+J258+K258))</f>
        <v>912.79620853080564</v>
      </c>
      <c r="T258" s="1611">
        <f>R258-S258</f>
        <v>31187.203791469194</v>
      </c>
    </row>
    <row r="259" spans="1:21" ht="38.25">
      <c r="A259" s="1581">
        <v>307</v>
      </c>
      <c r="B259" s="1625" t="s">
        <v>1655</v>
      </c>
      <c r="C259" s="1579" t="s">
        <v>1661</v>
      </c>
      <c r="D259" s="1625" t="s">
        <v>1268</v>
      </c>
      <c r="E259" s="1694">
        <v>4333</v>
      </c>
      <c r="F259" s="1581"/>
      <c r="G259" s="1581"/>
      <c r="H259" s="1581"/>
      <c r="I259" s="1609">
        <v>6</v>
      </c>
      <c r="J259" s="1609">
        <v>205</v>
      </c>
      <c r="K259" s="1581"/>
      <c r="L259" s="1625">
        <v>5</v>
      </c>
      <c r="M259" s="1625"/>
      <c r="N259" s="1581"/>
      <c r="O259" s="1581"/>
      <c r="P259" s="1581">
        <f>L259-O259</f>
        <v>5</v>
      </c>
      <c r="Q259" s="1581">
        <f>6500*1.07</f>
        <v>6955</v>
      </c>
      <c r="R259" s="1611">
        <f>P259*Q259</f>
        <v>34775</v>
      </c>
      <c r="S259" s="1611">
        <f>R259*(I259/(I259+J259+K259))</f>
        <v>988.86255924170609</v>
      </c>
      <c r="T259" s="1611">
        <f>R259-S259</f>
        <v>33786.137440758292</v>
      </c>
    </row>
    <row r="260" spans="1:21" ht="38.25">
      <c r="A260" s="1581">
        <v>308</v>
      </c>
      <c r="B260" s="1625" t="s">
        <v>1655</v>
      </c>
      <c r="C260" s="1579" t="s">
        <v>1662</v>
      </c>
      <c r="D260" s="1625" t="s">
        <v>1268</v>
      </c>
      <c r="E260" s="1694">
        <v>4333</v>
      </c>
      <c r="F260" s="1581"/>
      <c r="G260" s="1581"/>
      <c r="H260" s="1581"/>
      <c r="I260" s="1609">
        <v>6</v>
      </c>
      <c r="J260" s="1609">
        <v>205</v>
      </c>
      <c r="K260" s="1581"/>
      <c r="L260" s="1625">
        <v>5</v>
      </c>
      <c r="M260" s="1625"/>
      <c r="N260" s="1581"/>
      <c r="O260" s="1581"/>
      <c r="P260" s="1581">
        <f>L260-O260</f>
        <v>5</v>
      </c>
      <c r="Q260" s="1581">
        <f>8500*1.07</f>
        <v>9095</v>
      </c>
      <c r="R260" s="1611">
        <f>P260*Q260</f>
        <v>45475</v>
      </c>
      <c r="S260" s="1611">
        <f>R260*(I260/(I260+J260+K260))</f>
        <v>1293.1279620853079</v>
      </c>
      <c r="T260" s="1611">
        <f>R260-S260</f>
        <v>44181.872037914691</v>
      </c>
    </row>
    <row r="261" spans="1:21" ht="38.25" hidden="1">
      <c r="A261" s="1609">
        <v>65</v>
      </c>
      <c r="B261" s="1619" t="s">
        <v>1663</v>
      </c>
      <c r="C261" s="917" t="s">
        <v>1664</v>
      </c>
      <c r="D261" s="1619" t="s">
        <v>1268</v>
      </c>
      <c r="E261" s="1694">
        <v>4333</v>
      </c>
      <c r="F261" s="1609"/>
      <c r="G261" s="1609"/>
      <c r="H261" s="1609"/>
      <c r="I261" s="1609">
        <v>6</v>
      </c>
      <c r="J261" s="1609">
        <v>205</v>
      </c>
      <c r="K261" s="1609"/>
      <c r="L261" s="1619"/>
      <c r="M261" s="1619"/>
      <c r="N261" s="1609"/>
      <c r="O261" s="1609"/>
      <c r="P261" s="1581"/>
      <c r="Q261" s="1610"/>
      <c r="R261" s="1611"/>
      <c r="S261" s="1611"/>
      <c r="T261" s="1611"/>
    </row>
    <row r="262" spans="1:21" hidden="1">
      <c r="A262" s="1609">
        <v>220</v>
      </c>
      <c r="B262" s="1620" t="s">
        <v>1665</v>
      </c>
      <c r="C262" s="1579" t="s">
        <v>3336</v>
      </c>
      <c r="D262" s="1620" t="s">
        <v>1022</v>
      </c>
      <c r="E262" s="1694">
        <v>4333</v>
      </c>
      <c r="F262" s="1581"/>
      <c r="G262" s="1581"/>
      <c r="H262" s="1581"/>
      <c r="I262" s="1609">
        <v>6</v>
      </c>
      <c r="J262" s="1609">
        <v>205</v>
      </c>
      <c r="K262" s="1581"/>
      <c r="L262" s="1620"/>
      <c r="M262" s="1620"/>
      <c r="N262" s="1581"/>
      <c r="O262" s="1581"/>
      <c r="P262" s="1581"/>
      <c r="Q262" s="1581"/>
      <c r="R262" s="1611"/>
      <c r="S262" s="1611"/>
      <c r="T262" s="1611"/>
    </row>
    <row r="263" spans="1:21">
      <c r="A263" s="1609">
        <v>160</v>
      </c>
      <c r="B263" s="1618" t="s">
        <v>1665</v>
      </c>
      <c r="C263" s="1579" t="s">
        <v>1667</v>
      </c>
      <c r="D263" s="1618" t="s">
        <v>1022</v>
      </c>
      <c r="E263" s="1694">
        <v>4333</v>
      </c>
      <c r="F263" s="1581"/>
      <c r="G263" s="1581"/>
      <c r="H263" s="1581"/>
      <c r="I263" s="1609">
        <v>6</v>
      </c>
      <c r="J263" s="1609">
        <v>205</v>
      </c>
      <c r="K263" s="1581"/>
      <c r="L263" s="1618">
        <v>10</v>
      </c>
      <c r="M263" s="1618"/>
      <c r="N263" s="1581"/>
      <c r="O263" s="1581"/>
      <c r="P263" s="1581">
        <f>L263-O263</f>
        <v>10</v>
      </c>
      <c r="Q263" s="1581">
        <f>2000*1.07</f>
        <v>2140</v>
      </c>
      <c r="R263" s="1611">
        <f>P263*Q263</f>
        <v>21400</v>
      </c>
      <c r="S263" s="1611">
        <f>R263*(I263/(I263+J263+K263))</f>
        <v>608.53080568720372</v>
      </c>
      <c r="T263" s="1611">
        <f>R263-S263</f>
        <v>20791.469194312795</v>
      </c>
    </row>
    <row r="264" spans="1:21" ht="25.5">
      <c r="A264" s="1609">
        <v>157</v>
      </c>
      <c r="B264" s="1618" t="s">
        <v>1668</v>
      </c>
      <c r="C264" s="1579" t="s">
        <v>1669</v>
      </c>
      <c r="D264" s="1618" t="s">
        <v>1022</v>
      </c>
      <c r="E264" s="1694">
        <v>4333</v>
      </c>
      <c r="F264" s="1581"/>
      <c r="G264" s="1581"/>
      <c r="H264" s="1581"/>
      <c r="I264" s="1609">
        <v>6</v>
      </c>
      <c r="J264" s="1609">
        <v>205</v>
      </c>
      <c r="K264" s="1581"/>
      <c r="L264" s="1618">
        <v>10</v>
      </c>
      <c r="M264" s="1618"/>
      <c r="N264" s="1581"/>
      <c r="O264" s="1581"/>
      <c r="P264" s="1581">
        <f>L264-O264</f>
        <v>10</v>
      </c>
      <c r="Q264" s="1581">
        <f>500*1.07</f>
        <v>535</v>
      </c>
      <c r="R264" s="1611">
        <f>P264*Q264</f>
        <v>5350</v>
      </c>
      <c r="S264" s="1611">
        <f>R264*(I264/(I264+J264+K264))</f>
        <v>152.13270142180093</v>
      </c>
      <c r="T264" s="1611">
        <f>R264-S264</f>
        <v>5197.8672985781986</v>
      </c>
    </row>
    <row r="265" spans="1:21" ht="34.5" hidden="1" customHeight="1">
      <c r="A265" s="1609">
        <v>257</v>
      </c>
      <c r="B265" s="1610" t="s">
        <v>1670</v>
      </c>
      <c r="C265" s="1579" t="s">
        <v>3337</v>
      </c>
      <c r="D265" s="1610" t="s">
        <v>1672</v>
      </c>
      <c r="E265" s="1694">
        <v>4333</v>
      </c>
      <c r="F265" s="1581"/>
      <c r="G265" s="1581"/>
      <c r="H265" s="1581"/>
      <c r="I265" s="1609">
        <v>6</v>
      </c>
      <c r="J265" s="1609">
        <v>205</v>
      </c>
      <c r="K265" s="1581"/>
      <c r="L265" s="1610"/>
      <c r="M265" s="1610"/>
      <c r="N265" s="1581"/>
      <c r="O265" s="1581"/>
      <c r="P265" s="1581"/>
      <c r="Q265" s="1581"/>
      <c r="R265" s="1611"/>
      <c r="S265" s="1611"/>
      <c r="T265" s="1611"/>
    </row>
    <row r="266" spans="1:21" hidden="1">
      <c r="A266" s="1581">
        <v>314</v>
      </c>
      <c r="B266" s="1579" t="s">
        <v>1673</v>
      </c>
      <c r="C266" s="1579" t="s">
        <v>1674</v>
      </c>
      <c r="D266" s="1625" t="s">
        <v>1268</v>
      </c>
      <c r="E266" s="1694">
        <v>4333</v>
      </c>
      <c r="F266" s="1581"/>
      <c r="G266" s="1581"/>
      <c r="H266" s="1581"/>
      <c r="I266" s="1609">
        <v>6</v>
      </c>
      <c r="J266" s="1609">
        <v>205</v>
      </c>
      <c r="K266" s="1581"/>
      <c r="L266" s="1625"/>
      <c r="M266" s="1625"/>
      <c r="N266" s="1581"/>
      <c r="O266" s="1581"/>
      <c r="P266" s="1581">
        <f>L266-O266</f>
        <v>0</v>
      </c>
      <c r="Q266" s="1581"/>
      <c r="R266" s="1611">
        <f>P266*Q266</f>
        <v>0</v>
      </c>
      <c r="S266" s="1611">
        <f>R266*(I266/(I266+J266+K266))</f>
        <v>0</v>
      </c>
      <c r="T266" s="1611">
        <f>R266-S266</f>
        <v>0</v>
      </c>
    </row>
    <row r="267" spans="1:21" hidden="1">
      <c r="A267" s="1609">
        <v>198</v>
      </c>
      <c r="B267" s="1620" t="s">
        <v>3338</v>
      </c>
      <c r="C267" s="1579" t="s">
        <v>3339</v>
      </c>
      <c r="D267" s="1620" t="s">
        <v>1022</v>
      </c>
      <c r="E267" s="1694">
        <v>4333</v>
      </c>
      <c r="F267" s="1581"/>
      <c r="G267" s="1581"/>
      <c r="H267" s="1581"/>
      <c r="I267" s="1609">
        <v>6</v>
      </c>
      <c r="J267" s="1609">
        <v>205</v>
      </c>
      <c r="K267" s="1581"/>
      <c r="L267" s="1620"/>
      <c r="M267" s="1620"/>
      <c r="N267" s="1581"/>
      <c r="O267" s="1581"/>
      <c r="P267" s="1581"/>
      <c r="Q267" s="1581"/>
      <c r="R267" s="1611"/>
      <c r="S267" s="1611"/>
      <c r="T267" s="1611"/>
    </row>
    <row r="268" spans="1:21" ht="25.5" hidden="1">
      <c r="A268" s="1581"/>
      <c r="B268" s="1056" t="s">
        <v>1677</v>
      </c>
      <c r="C268" s="917" t="s">
        <v>1678</v>
      </c>
      <c r="D268" s="1609" t="s">
        <v>1022</v>
      </c>
      <c r="E268" s="1694">
        <v>4333</v>
      </c>
      <c r="F268" s="1609"/>
      <c r="G268" s="1609"/>
      <c r="H268" s="1609"/>
      <c r="I268" s="1609"/>
      <c r="J268" s="1609"/>
      <c r="K268" s="1609"/>
      <c r="L268" s="1581"/>
      <c r="M268" s="1581"/>
      <c r="N268" s="1609"/>
      <c r="O268" s="1609"/>
      <c r="P268" s="1581"/>
      <c r="Q268" s="1610"/>
      <c r="R268" s="1611"/>
      <c r="S268" s="1611"/>
      <c r="T268" s="1611"/>
      <c r="U268" s="1578" t="s">
        <v>1679</v>
      </c>
    </row>
    <row r="269" spans="1:21">
      <c r="A269" s="1609">
        <v>147</v>
      </c>
      <c r="B269" s="1618" t="s">
        <v>1680</v>
      </c>
      <c r="C269" s="1579" t="s">
        <v>1681</v>
      </c>
      <c r="D269" s="1618" t="s">
        <v>1022</v>
      </c>
      <c r="E269" s="1694">
        <v>4333</v>
      </c>
      <c r="F269" s="1581"/>
      <c r="G269" s="1581"/>
      <c r="H269" s="1581"/>
      <c r="I269" s="1609">
        <v>6</v>
      </c>
      <c r="J269" s="1609">
        <v>205</v>
      </c>
      <c r="K269" s="1581"/>
      <c r="L269" s="1618">
        <v>3</v>
      </c>
      <c r="M269" s="1618"/>
      <c r="N269" s="1581"/>
      <c r="O269" s="1581"/>
      <c r="P269" s="1581">
        <f t="shared" ref="P269:P276" si="25">L269-O269</f>
        <v>3</v>
      </c>
      <c r="Q269" s="1581">
        <f>10000*1.07</f>
        <v>10700</v>
      </c>
      <c r="R269" s="1611">
        <f t="shared" ref="R269:R276" si="26">P269*Q269</f>
        <v>32100</v>
      </c>
      <c r="S269" s="1611">
        <f t="shared" ref="S269:S276" si="27">R269*(I269/(I269+J269+K269))</f>
        <v>912.79620853080564</v>
      </c>
      <c r="T269" s="1611">
        <f t="shared" ref="T269:T276" si="28">R269-S269</f>
        <v>31187.203791469194</v>
      </c>
    </row>
    <row r="270" spans="1:21" ht="25.5">
      <c r="A270" s="1609">
        <v>28</v>
      </c>
      <c r="B270" s="1618" t="s">
        <v>1682</v>
      </c>
      <c r="C270" s="917" t="s">
        <v>1683</v>
      </c>
      <c r="D270" s="1619" t="s">
        <v>1268</v>
      </c>
      <c r="E270" s="1694">
        <v>4333</v>
      </c>
      <c r="F270" s="1609"/>
      <c r="G270" s="1609"/>
      <c r="H270" s="1609"/>
      <c r="I270" s="1609">
        <v>6</v>
      </c>
      <c r="J270" s="1609">
        <v>205</v>
      </c>
      <c r="K270" s="1609"/>
      <c r="L270" s="1623">
        <v>10</v>
      </c>
      <c r="M270" s="1623"/>
      <c r="N270" s="1609"/>
      <c r="O270" s="1609"/>
      <c r="P270" s="1581">
        <f t="shared" si="25"/>
        <v>10</v>
      </c>
      <c r="Q270" s="1610">
        <f>20*1.07</f>
        <v>21.400000000000002</v>
      </c>
      <c r="R270" s="1611">
        <f t="shared" si="26"/>
        <v>214.00000000000003</v>
      </c>
      <c r="S270" s="1611">
        <f t="shared" si="27"/>
        <v>6.0853080568720381</v>
      </c>
      <c r="T270" s="1611">
        <f t="shared" si="28"/>
        <v>207.91469194312799</v>
      </c>
    </row>
    <row r="271" spans="1:21" ht="25.5">
      <c r="A271" s="1609">
        <v>29</v>
      </c>
      <c r="B271" s="1618" t="s">
        <v>1682</v>
      </c>
      <c r="C271" s="917" t="s">
        <v>1684</v>
      </c>
      <c r="D271" s="1619" t="s">
        <v>1268</v>
      </c>
      <c r="E271" s="1694">
        <v>4333</v>
      </c>
      <c r="F271" s="1609"/>
      <c r="G271" s="1609"/>
      <c r="H271" s="1609"/>
      <c r="I271" s="1609">
        <v>6</v>
      </c>
      <c r="J271" s="1609">
        <v>205</v>
      </c>
      <c r="K271" s="1609"/>
      <c r="L271" s="1623">
        <v>10</v>
      </c>
      <c r="M271" s="1623"/>
      <c r="N271" s="1609"/>
      <c r="O271" s="1609"/>
      <c r="P271" s="1581">
        <f t="shared" si="25"/>
        <v>10</v>
      </c>
      <c r="Q271" s="1610">
        <f>20*1.07</f>
        <v>21.400000000000002</v>
      </c>
      <c r="R271" s="1611">
        <f t="shared" si="26"/>
        <v>214.00000000000003</v>
      </c>
      <c r="S271" s="1611">
        <f t="shared" si="27"/>
        <v>6.0853080568720381</v>
      </c>
      <c r="T271" s="1611">
        <f t="shared" si="28"/>
        <v>207.91469194312799</v>
      </c>
    </row>
    <row r="272" spans="1:21" ht="25.5">
      <c r="A272" s="1609">
        <v>30</v>
      </c>
      <c r="B272" s="1618" t="s">
        <v>1682</v>
      </c>
      <c r="C272" s="917" t="s">
        <v>1685</v>
      </c>
      <c r="D272" s="1619" t="s">
        <v>1268</v>
      </c>
      <c r="E272" s="1694">
        <v>4333</v>
      </c>
      <c r="F272" s="1609"/>
      <c r="G272" s="1609"/>
      <c r="H272" s="1609"/>
      <c r="I272" s="1609">
        <v>6</v>
      </c>
      <c r="J272" s="1609">
        <v>205</v>
      </c>
      <c r="K272" s="1609"/>
      <c r="L272" s="1623">
        <v>10</v>
      </c>
      <c r="M272" s="1623"/>
      <c r="N272" s="1609"/>
      <c r="O272" s="1609"/>
      <c r="P272" s="1581">
        <f t="shared" si="25"/>
        <v>10</v>
      </c>
      <c r="Q272" s="1610">
        <f>20*1.07</f>
        <v>21.400000000000002</v>
      </c>
      <c r="R272" s="1611">
        <f t="shared" si="26"/>
        <v>214.00000000000003</v>
      </c>
      <c r="S272" s="1611">
        <f t="shared" si="27"/>
        <v>6.0853080568720381</v>
      </c>
      <c r="T272" s="1611">
        <f t="shared" si="28"/>
        <v>207.91469194312799</v>
      </c>
    </row>
    <row r="273" spans="1:21" ht="25.5">
      <c r="A273" s="1609">
        <v>31</v>
      </c>
      <c r="B273" s="1618" t="s">
        <v>1682</v>
      </c>
      <c r="C273" s="917" t="s">
        <v>1686</v>
      </c>
      <c r="D273" s="1619" t="s">
        <v>1268</v>
      </c>
      <c r="E273" s="1694">
        <v>4333</v>
      </c>
      <c r="F273" s="1609"/>
      <c r="G273" s="1609"/>
      <c r="H273" s="1609"/>
      <c r="I273" s="1609">
        <v>6</v>
      </c>
      <c r="J273" s="1609">
        <v>205</v>
      </c>
      <c r="K273" s="1609"/>
      <c r="L273" s="1623">
        <v>10</v>
      </c>
      <c r="M273" s="1623"/>
      <c r="N273" s="1609"/>
      <c r="O273" s="1609"/>
      <c r="P273" s="1581">
        <f t="shared" si="25"/>
        <v>10</v>
      </c>
      <c r="Q273" s="1610">
        <f>20*1.07</f>
        <v>21.400000000000002</v>
      </c>
      <c r="R273" s="1611">
        <f t="shared" si="26"/>
        <v>214.00000000000003</v>
      </c>
      <c r="S273" s="1611">
        <f t="shared" si="27"/>
        <v>6.0853080568720381</v>
      </c>
      <c r="T273" s="1611">
        <f t="shared" si="28"/>
        <v>207.91469194312799</v>
      </c>
    </row>
    <row r="274" spans="1:21" hidden="1">
      <c r="A274" s="1609">
        <v>174</v>
      </c>
      <c r="B274" s="1618" t="s">
        <v>1687</v>
      </c>
      <c r="C274" s="1579" t="s">
        <v>1688</v>
      </c>
      <c r="D274" s="1618" t="s">
        <v>1395</v>
      </c>
      <c r="E274" s="1694">
        <v>4333</v>
      </c>
      <c r="F274" s="1581"/>
      <c r="G274" s="1581"/>
      <c r="H274" s="1581"/>
      <c r="I274" s="1609">
        <v>6</v>
      </c>
      <c r="J274" s="1609">
        <v>205</v>
      </c>
      <c r="K274" s="1581"/>
      <c r="L274" s="1618"/>
      <c r="M274" s="1618"/>
      <c r="N274" s="1581"/>
      <c r="O274" s="1581"/>
      <c r="P274" s="1581">
        <f t="shared" si="25"/>
        <v>0</v>
      </c>
      <c r="Q274" s="1610"/>
      <c r="R274" s="1611">
        <f t="shared" si="26"/>
        <v>0</v>
      </c>
      <c r="S274" s="1611">
        <f t="shared" si="27"/>
        <v>0</v>
      </c>
      <c r="T274" s="1611">
        <f t="shared" si="28"/>
        <v>0</v>
      </c>
    </row>
    <row r="275" spans="1:21" hidden="1">
      <c r="A275" s="1609">
        <v>228</v>
      </c>
      <c r="B275" s="1620" t="s">
        <v>1689</v>
      </c>
      <c r="C275" s="1579" t="s">
        <v>1690</v>
      </c>
      <c r="D275" s="1620" t="s">
        <v>1395</v>
      </c>
      <c r="E275" s="1694">
        <v>4333</v>
      </c>
      <c r="F275" s="1581"/>
      <c r="G275" s="1581"/>
      <c r="H275" s="1581"/>
      <c r="I275" s="1609">
        <v>6</v>
      </c>
      <c r="J275" s="1609">
        <v>205</v>
      </c>
      <c r="K275" s="1581"/>
      <c r="L275" s="1620"/>
      <c r="M275" s="1620"/>
      <c r="N275" s="1581"/>
      <c r="O275" s="1581"/>
      <c r="P275" s="1581">
        <f t="shared" si="25"/>
        <v>0</v>
      </c>
      <c r="Q275" s="1610"/>
      <c r="R275" s="1611">
        <f t="shared" si="26"/>
        <v>0</v>
      </c>
      <c r="S275" s="1611">
        <f t="shared" si="27"/>
        <v>0</v>
      </c>
      <c r="T275" s="1611">
        <f t="shared" si="28"/>
        <v>0</v>
      </c>
    </row>
    <row r="276" spans="1:21" ht="38.25">
      <c r="A276" s="1581"/>
      <c r="B276" s="1056" t="s">
        <v>1691</v>
      </c>
      <c r="C276" s="917" t="s">
        <v>1692</v>
      </c>
      <c r="D276" s="1609" t="s">
        <v>1022</v>
      </c>
      <c r="E276" s="1694">
        <v>4333</v>
      </c>
      <c r="F276" s="1609"/>
      <c r="G276" s="1609"/>
      <c r="H276" s="1609"/>
      <c r="I276" s="1609">
        <v>6</v>
      </c>
      <c r="J276" s="1609">
        <v>205</v>
      </c>
      <c r="K276" s="1609"/>
      <c r="L276" s="1581">
        <v>150</v>
      </c>
      <c r="M276" s="1581"/>
      <c r="N276" s="1609"/>
      <c r="O276" s="1609"/>
      <c r="P276" s="1581">
        <f t="shared" si="25"/>
        <v>150</v>
      </c>
      <c r="Q276" s="1610">
        <f>600*1.07</f>
        <v>642</v>
      </c>
      <c r="R276" s="1611">
        <f t="shared" si="26"/>
        <v>96300</v>
      </c>
      <c r="S276" s="1611">
        <f t="shared" si="27"/>
        <v>2738.3886255924172</v>
      </c>
      <c r="T276" s="1611">
        <f t="shared" si="28"/>
        <v>93561.611374407585</v>
      </c>
      <c r="U276" s="1578" t="s">
        <v>1693</v>
      </c>
    </row>
    <row r="277" spans="1:21" ht="0.75" customHeight="1">
      <c r="A277" s="1581"/>
      <c r="B277" s="1056" t="s">
        <v>1694</v>
      </c>
      <c r="C277" s="917" t="s">
        <v>1695</v>
      </c>
      <c r="D277" s="1609" t="s">
        <v>1022</v>
      </c>
      <c r="E277" s="1694">
        <v>4333</v>
      </c>
      <c r="F277" s="1609"/>
      <c r="G277" s="1609"/>
      <c r="H277" s="1609"/>
      <c r="I277" s="1609"/>
      <c r="J277" s="1609"/>
      <c r="K277" s="1609"/>
      <c r="L277" s="1581"/>
      <c r="M277" s="1581"/>
      <c r="N277" s="1609"/>
      <c r="O277" s="1609"/>
      <c r="P277" s="1581"/>
      <c r="Q277" s="1610"/>
      <c r="R277" s="1611"/>
      <c r="S277" s="1611"/>
      <c r="T277" s="1611"/>
    </row>
    <row r="278" spans="1:21" ht="25.5" hidden="1">
      <c r="A278" s="1609">
        <v>195</v>
      </c>
      <c r="B278" s="1618" t="s">
        <v>1696</v>
      </c>
      <c r="C278" s="1579" t="s">
        <v>1697</v>
      </c>
      <c r="D278" s="1618"/>
      <c r="E278" s="1694">
        <v>4333</v>
      </c>
      <c r="F278" s="1581"/>
      <c r="G278" s="1581"/>
      <c r="H278" s="1581"/>
      <c r="I278" s="1609">
        <v>6</v>
      </c>
      <c r="J278" s="1609">
        <v>205</v>
      </c>
      <c r="K278" s="1581"/>
      <c r="L278" s="1620"/>
      <c r="M278" s="1620"/>
      <c r="N278" s="1581"/>
      <c r="O278" s="1581"/>
      <c r="P278" s="1581"/>
      <c r="Q278" s="1581"/>
      <c r="R278" s="1611"/>
      <c r="S278" s="1611"/>
      <c r="T278" s="1611"/>
    </row>
    <row r="279" spans="1:21" hidden="1">
      <c r="A279" s="1609">
        <v>273</v>
      </c>
      <c r="B279" s="1618" t="s">
        <v>1698</v>
      </c>
      <c r="C279" s="1579" t="s">
        <v>1699</v>
      </c>
      <c r="D279" s="1618" t="s">
        <v>1022</v>
      </c>
      <c r="E279" s="1694">
        <v>4333</v>
      </c>
      <c r="F279" s="1581"/>
      <c r="G279" s="1581"/>
      <c r="H279" s="1581"/>
      <c r="I279" s="1609">
        <v>6</v>
      </c>
      <c r="J279" s="1609">
        <v>205</v>
      </c>
      <c r="K279" s="1581"/>
      <c r="L279" s="1622"/>
      <c r="M279" s="1622"/>
      <c r="N279" s="1581"/>
      <c r="O279" s="1581"/>
      <c r="P279" s="1581"/>
      <c r="Q279" s="1581"/>
      <c r="R279" s="1611"/>
      <c r="S279" s="1611"/>
      <c r="T279" s="1611"/>
    </row>
    <row r="280" spans="1:21" hidden="1">
      <c r="A280" s="1609">
        <v>272</v>
      </c>
      <c r="B280" s="1618" t="s">
        <v>1700</v>
      </c>
      <c r="C280" s="1579" t="s">
        <v>1701</v>
      </c>
      <c r="D280" s="1618" t="s">
        <v>1022</v>
      </c>
      <c r="E280" s="1694">
        <v>4333</v>
      </c>
      <c r="F280" s="1581"/>
      <c r="G280" s="1581"/>
      <c r="H280" s="1581"/>
      <c r="I280" s="1609">
        <v>6</v>
      </c>
      <c r="J280" s="1609">
        <v>205</v>
      </c>
      <c r="K280" s="1581"/>
      <c r="L280" s="1622"/>
      <c r="M280" s="1622"/>
      <c r="N280" s="1581"/>
      <c r="O280" s="1581"/>
      <c r="P280" s="1581"/>
      <c r="Q280" s="1581"/>
      <c r="R280" s="1611"/>
      <c r="S280" s="1611"/>
      <c r="T280" s="1611"/>
    </row>
    <row r="281" spans="1:21">
      <c r="A281" s="1609">
        <v>91</v>
      </c>
      <c r="B281" s="1619" t="s">
        <v>1702</v>
      </c>
      <c r="C281" s="917" t="s">
        <v>1703</v>
      </c>
      <c r="D281" s="1619" t="s">
        <v>1268</v>
      </c>
      <c r="E281" s="1694">
        <v>4333</v>
      </c>
      <c r="F281" s="1609"/>
      <c r="G281" s="1609"/>
      <c r="H281" s="1609"/>
      <c r="I281" s="1609">
        <v>6</v>
      </c>
      <c r="J281" s="1609">
        <v>205</v>
      </c>
      <c r="K281" s="1609"/>
      <c r="L281" s="1619">
        <v>125</v>
      </c>
      <c r="M281" s="1619"/>
      <c r="N281" s="1609"/>
      <c r="O281" s="1609"/>
      <c r="P281" s="1581">
        <f t="shared" ref="P281:P286" si="29">L281-O281</f>
        <v>125</v>
      </c>
      <c r="Q281" s="1610">
        <f>100*1.07</f>
        <v>107</v>
      </c>
      <c r="R281" s="1611">
        <f t="shared" ref="R281:R286" si="30">P281*Q281</f>
        <v>13375</v>
      </c>
      <c r="S281" s="1611">
        <f t="shared" ref="S281:S286" si="31">R281*(I281/(I281+J281+K281))</f>
        <v>380.33175355450237</v>
      </c>
      <c r="T281" s="1611">
        <f t="shared" ref="T281:T286" si="32">R281-S281</f>
        <v>12994.668246445497</v>
      </c>
    </row>
    <row r="282" spans="1:21">
      <c r="A282" s="1609">
        <v>95</v>
      </c>
      <c r="B282" s="1619" t="s">
        <v>1704</v>
      </c>
      <c r="C282" s="917" t="s">
        <v>1705</v>
      </c>
      <c r="D282" s="1619" t="s">
        <v>1268</v>
      </c>
      <c r="E282" s="1694">
        <v>4333</v>
      </c>
      <c r="F282" s="1609"/>
      <c r="G282" s="1609"/>
      <c r="H282" s="1609"/>
      <c r="I282" s="1609">
        <v>6</v>
      </c>
      <c r="J282" s="1609">
        <v>205</v>
      </c>
      <c r="K282" s="1609"/>
      <c r="L282" s="1619">
        <v>1</v>
      </c>
      <c r="M282" s="1619"/>
      <c r="N282" s="1609"/>
      <c r="O282" s="1609"/>
      <c r="P282" s="1581">
        <f t="shared" si="29"/>
        <v>1</v>
      </c>
      <c r="Q282" s="1610">
        <f>2500*1.07</f>
        <v>2675</v>
      </c>
      <c r="R282" s="1611">
        <f t="shared" si="30"/>
        <v>2675</v>
      </c>
      <c r="S282" s="1611">
        <f t="shared" si="31"/>
        <v>76.066350710900466</v>
      </c>
      <c r="T282" s="1611">
        <f t="shared" si="32"/>
        <v>2598.9336492890993</v>
      </c>
    </row>
    <row r="283" spans="1:21" hidden="1">
      <c r="A283" s="1609">
        <v>201</v>
      </c>
      <c r="B283" s="1620" t="s">
        <v>1706</v>
      </c>
      <c r="C283" s="1579" t="s">
        <v>3340</v>
      </c>
      <c r="D283" s="1620" t="s">
        <v>1022</v>
      </c>
      <c r="E283" s="1694">
        <v>4333</v>
      </c>
      <c r="F283" s="1581"/>
      <c r="G283" s="1581"/>
      <c r="H283" s="1581"/>
      <c r="I283" s="1609">
        <v>6</v>
      </c>
      <c r="J283" s="1609">
        <v>205</v>
      </c>
      <c r="K283" s="1581"/>
      <c r="L283" s="1620"/>
      <c r="M283" s="1620"/>
      <c r="N283" s="1581"/>
      <c r="O283" s="1581"/>
      <c r="P283" s="1581"/>
      <c r="Q283" s="1581"/>
      <c r="R283" s="1611"/>
      <c r="S283" s="1611"/>
      <c r="T283" s="1611"/>
    </row>
    <row r="284" spans="1:21">
      <c r="A284" s="1609">
        <v>107</v>
      </c>
      <c r="B284" s="1619" t="s">
        <v>1708</v>
      </c>
      <c r="C284" s="917" t="s">
        <v>1709</v>
      </c>
      <c r="D284" s="1619" t="s">
        <v>1411</v>
      </c>
      <c r="E284" s="1694">
        <v>4333</v>
      </c>
      <c r="F284" s="1609"/>
      <c r="G284" s="1609"/>
      <c r="H284" s="1609"/>
      <c r="I284" s="1609">
        <v>6</v>
      </c>
      <c r="J284" s="1609">
        <v>205</v>
      </c>
      <c r="K284" s="1609"/>
      <c r="L284" s="1619">
        <v>100</v>
      </c>
      <c r="M284" s="1619"/>
      <c r="N284" s="1609"/>
      <c r="O284" s="1609"/>
      <c r="P284" s="1581">
        <f t="shared" si="29"/>
        <v>100</v>
      </c>
      <c r="Q284" s="1609">
        <f>250*1.07</f>
        <v>267.5</v>
      </c>
      <c r="R284" s="1611">
        <f t="shared" si="30"/>
        <v>26750</v>
      </c>
      <c r="S284" s="1611">
        <f t="shared" si="31"/>
        <v>760.66350710900474</v>
      </c>
      <c r="T284" s="1611">
        <f t="shared" si="32"/>
        <v>25989.336492890994</v>
      </c>
    </row>
    <row r="285" spans="1:21">
      <c r="A285" s="1609">
        <v>123</v>
      </c>
      <c r="B285" s="1618" t="s">
        <v>1710</v>
      </c>
      <c r="C285" s="1579" t="s">
        <v>1711</v>
      </c>
      <c r="D285" s="1618" t="s">
        <v>1411</v>
      </c>
      <c r="E285" s="1694">
        <v>4333</v>
      </c>
      <c r="F285" s="1581"/>
      <c r="G285" s="1581"/>
      <c r="H285" s="1609"/>
      <c r="I285" s="1609">
        <v>6</v>
      </c>
      <c r="J285" s="1609">
        <v>205</v>
      </c>
      <c r="K285" s="1609"/>
      <c r="L285" s="1618">
        <v>50</v>
      </c>
      <c r="M285" s="1618"/>
      <c r="N285" s="1609"/>
      <c r="O285" s="1609"/>
      <c r="P285" s="1581">
        <f t="shared" si="29"/>
        <v>50</v>
      </c>
      <c r="Q285" s="1609">
        <f>1000*1.07</f>
        <v>1070</v>
      </c>
      <c r="R285" s="1611">
        <f t="shared" si="30"/>
        <v>53500</v>
      </c>
      <c r="S285" s="1611">
        <f t="shared" si="31"/>
        <v>1521.3270142180095</v>
      </c>
      <c r="T285" s="1611">
        <f t="shared" si="32"/>
        <v>51978.672985781988</v>
      </c>
    </row>
    <row r="286" spans="1:21" ht="25.5">
      <c r="A286" s="1581">
        <v>313</v>
      </c>
      <c r="B286" s="1579" t="s">
        <v>1712</v>
      </c>
      <c r="C286" s="1579" t="s">
        <v>1713</v>
      </c>
      <c r="D286" s="1625" t="s">
        <v>1268</v>
      </c>
      <c r="E286" s="1694">
        <v>4333</v>
      </c>
      <c r="F286" s="1581"/>
      <c r="G286" s="1581"/>
      <c r="H286" s="1581"/>
      <c r="I286" s="1609">
        <v>6</v>
      </c>
      <c r="J286" s="1609">
        <v>205</v>
      </c>
      <c r="K286" s="1581"/>
      <c r="L286" s="1625">
        <v>30</v>
      </c>
      <c r="M286" s="1625"/>
      <c r="N286" s="1581"/>
      <c r="O286" s="1581"/>
      <c r="P286" s="1581">
        <f t="shared" si="29"/>
        <v>30</v>
      </c>
      <c r="Q286" s="1581">
        <f>450*1.07</f>
        <v>481.5</v>
      </c>
      <c r="R286" s="1611">
        <f t="shared" si="30"/>
        <v>14445</v>
      </c>
      <c r="S286" s="1611">
        <f t="shared" si="31"/>
        <v>410.75829383886253</v>
      </c>
      <c r="T286" s="1611">
        <f t="shared" si="32"/>
        <v>14034.241706161138</v>
      </c>
      <c r="U286" s="1578" t="s">
        <v>1714</v>
      </c>
    </row>
    <row r="287" spans="1:21" hidden="1">
      <c r="A287" s="1581"/>
      <c r="B287" s="1579" t="s">
        <v>1712</v>
      </c>
      <c r="C287" s="1579" t="s">
        <v>1715</v>
      </c>
      <c r="D287" s="1625" t="s">
        <v>1290</v>
      </c>
      <c r="E287" s="1694">
        <v>4333</v>
      </c>
      <c r="F287" s="1581"/>
      <c r="G287" s="1581"/>
      <c r="H287" s="1581"/>
      <c r="I287" s="1609"/>
      <c r="J287" s="1609"/>
      <c r="K287" s="1581"/>
      <c r="L287" s="1625"/>
      <c r="M287" s="1625"/>
      <c r="N287" s="1581"/>
      <c r="O287" s="1581"/>
      <c r="P287" s="1581"/>
      <c r="Q287" s="1581"/>
      <c r="R287" s="1611"/>
      <c r="S287" s="1611"/>
      <c r="T287" s="1611"/>
      <c r="U287" s="1578" t="s">
        <v>1716</v>
      </c>
    </row>
    <row r="288" spans="1:21" hidden="1">
      <c r="A288" s="1609">
        <v>120</v>
      </c>
      <c r="B288" s="1619" t="s">
        <v>1435</v>
      </c>
      <c r="C288" s="1579" t="s">
        <v>1717</v>
      </c>
      <c r="D288" s="1619" t="s">
        <v>1268</v>
      </c>
      <c r="E288" s="1694">
        <v>4333</v>
      </c>
      <c r="F288" s="1581"/>
      <c r="G288" s="1581"/>
      <c r="H288" s="1609"/>
      <c r="I288" s="1609">
        <v>6</v>
      </c>
      <c r="J288" s="1609">
        <v>205</v>
      </c>
      <c r="K288" s="1609"/>
      <c r="L288" s="1619"/>
      <c r="M288" s="1619"/>
      <c r="N288" s="1609"/>
      <c r="O288" s="1609"/>
      <c r="P288" s="1581">
        <f t="shared" ref="P288:P299" si="33">L288-O288</f>
        <v>0</v>
      </c>
      <c r="Q288" s="1609"/>
      <c r="R288" s="1611">
        <f t="shared" ref="R288:R299" si="34">P288*Q288</f>
        <v>0</v>
      </c>
      <c r="S288" s="1611">
        <f t="shared" ref="S288:S299" si="35">R288*(I288/(I288+J288+K288))</f>
        <v>0</v>
      </c>
      <c r="T288" s="1611">
        <f t="shared" ref="T288:T299" si="36">R288-S288</f>
        <v>0</v>
      </c>
    </row>
    <row r="289" spans="1:20" ht="25.5">
      <c r="A289" s="1609">
        <v>96</v>
      </c>
      <c r="B289" s="1619" t="s">
        <v>1718</v>
      </c>
      <c r="C289" s="917" t="s">
        <v>1719</v>
      </c>
      <c r="D289" s="1619" t="s">
        <v>1268</v>
      </c>
      <c r="E289" s="1694">
        <v>4333</v>
      </c>
      <c r="F289" s="1609"/>
      <c r="G289" s="1609"/>
      <c r="H289" s="1609"/>
      <c r="I289" s="1609">
        <v>6</v>
      </c>
      <c r="J289" s="1609">
        <v>205</v>
      </c>
      <c r="K289" s="1609"/>
      <c r="L289" s="1619">
        <v>1</v>
      </c>
      <c r="M289" s="1619"/>
      <c r="N289" s="1609"/>
      <c r="O289" s="1609"/>
      <c r="P289" s="1581">
        <f t="shared" si="33"/>
        <v>1</v>
      </c>
      <c r="Q289" s="1610">
        <f>5100*1.07</f>
        <v>5457</v>
      </c>
      <c r="R289" s="1611">
        <f t="shared" si="34"/>
        <v>5457</v>
      </c>
      <c r="S289" s="1611">
        <f t="shared" si="35"/>
        <v>155.17535545023696</v>
      </c>
      <c r="T289" s="1611">
        <f t="shared" si="36"/>
        <v>5301.8246445497634</v>
      </c>
    </row>
    <row r="290" spans="1:20" hidden="1">
      <c r="A290" s="1609">
        <v>240</v>
      </c>
      <c r="B290" s="1622" t="s">
        <v>1720</v>
      </c>
      <c r="C290" s="1579" t="s">
        <v>1721</v>
      </c>
      <c r="D290" s="1622" t="s">
        <v>1325</v>
      </c>
      <c r="E290" s="1694">
        <v>4333</v>
      </c>
      <c r="F290" s="1581"/>
      <c r="G290" s="1581"/>
      <c r="H290" s="1581"/>
      <c r="I290" s="1609">
        <v>6</v>
      </c>
      <c r="J290" s="1609">
        <v>205</v>
      </c>
      <c r="K290" s="1581"/>
      <c r="L290" s="1610"/>
      <c r="M290" s="1610"/>
      <c r="N290" s="1581"/>
      <c r="O290" s="1581"/>
      <c r="P290" s="1581"/>
      <c r="Q290" s="1581"/>
      <c r="R290" s="1611"/>
      <c r="S290" s="1611"/>
      <c r="T290" s="1611"/>
    </row>
    <row r="291" spans="1:20" ht="25.5" hidden="1">
      <c r="A291" s="1609">
        <v>140</v>
      </c>
      <c r="B291" s="1618" t="s">
        <v>1722</v>
      </c>
      <c r="C291" s="1579" t="s">
        <v>1723</v>
      </c>
      <c r="D291" s="1618" t="s">
        <v>1022</v>
      </c>
      <c r="E291" s="1694">
        <v>4333</v>
      </c>
      <c r="F291" s="1581"/>
      <c r="G291" s="1581"/>
      <c r="H291" s="1581"/>
      <c r="I291" s="1609"/>
      <c r="J291" s="1609"/>
      <c r="K291" s="1581"/>
      <c r="L291" s="1618"/>
      <c r="M291" s="1618"/>
      <c r="N291" s="1581"/>
      <c r="O291" s="1581"/>
      <c r="P291" s="1581"/>
      <c r="Q291" s="1581"/>
      <c r="R291" s="1611"/>
      <c r="S291" s="1611"/>
      <c r="T291" s="1611"/>
    </row>
    <row r="292" spans="1:20" hidden="1">
      <c r="A292" s="1581"/>
      <c r="B292" s="1618"/>
      <c r="C292" s="1579"/>
      <c r="D292" s="1618" t="s">
        <v>1022</v>
      </c>
      <c r="E292" s="1694">
        <v>4333</v>
      </c>
      <c r="F292" s="1581"/>
      <c r="G292" s="1581"/>
      <c r="H292" s="1581"/>
      <c r="I292" s="1609">
        <v>6</v>
      </c>
      <c r="J292" s="1609">
        <v>205</v>
      </c>
      <c r="K292" s="1581"/>
      <c r="L292" s="1622"/>
      <c r="M292" s="1622"/>
      <c r="N292" s="1581"/>
      <c r="O292" s="1581"/>
      <c r="P292" s="1581">
        <f t="shared" si="33"/>
        <v>0</v>
      </c>
      <c r="Q292" s="1581"/>
      <c r="R292" s="1611">
        <f t="shared" si="34"/>
        <v>0</v>
      </c>
      <c r="S292" s="1611">
        <f t="shared" si="35"/>
        <v>0</v>
      </c>
      <c r="T292" s="1611">
        <f t="shared" si="36"/>
        <v>0</v>
      </c>
    </row>
    <row r="293" spans="1:20" ht="25.5">
      <c r="A293" s="1609">
        <v>115</v>
      </c>
      <c r="B293" s="1619" t="s">
        <v>1724</v>
      </c>
      <c r="C293" s="917" t="s">
        <v>1725</v>
      </c>
      <c r="D293" s="1619" t="s">
        <v>1268</v>
      </c>
      <c r="E293" s="1694">
        <v>4333</v>
      </c>
      <c r="F293" s="1609"/>
      <c r="G293" s="1609"/>
      <c r="H293" s="1609"/>
      <c r="I293" s="1609">
        <v>6</v>
      </c>
      <c r="J293" s="1609">
        <v>205</v>
      </c>
      <c r="K293" s="1609"/>
      <c r="L293" s="1619">
        <v>2</v>
      </c>
      <c r="M293" s="1619"/>
      <c r="N293" s="1609"/>
      <c r="O293" s="1609"/>
      <c r="P293" s="1581">
        <f t="shared" si="33"/>
        <v>2</v>
      </c>
      <c r="Q293" s="1609">
        <f>5000*1.07</f>
        <v>5350</v>
      </c>
      <c r="R293" s="1611">
        <f t="shared" si="34"/>
        <v>10700</v>
      </c>
      <c r="S293" s="1611">
        <f t="shared" si="35"/>
        <v>304.26540284360186</v>
      </c>
      <c r="T293" s="1611">
        <f t="shared" si="36"/>
        <v>10395.734597156397</v>
      </c>
    </row>
    <row r="294" spans="1:20" ht="25.5" hidden="1">
      <c r="A294" s="1581">
        <v>308</v>
      </c>
      <c r="B294" s="1618" t="s">
        <v>1726</v>
      </c>
      <c r="C294" s="1579"/>
      <c r="D294" s="1618" t="s">
        <v>1022</v>
      </c>
      <c r="E294" s="1694">
        <v>4333</v>
      </c>
      <c r="F294" s="1581"/>
      <c r="G294" s="1581"/>
      <c r="H294" s="1581"/>
      <c r="I294" s="1609">
        <v>6</v>
      </c>
      <c r="J294" s="1609">
        <v>205</v>
      </c>
      <c r="K294" s="1581"/>
      <c r="L294" s="1622"/>
      <c r="M294" s="1622"/>
      <c r="N294" s="1581"/>
      <c r="O294" s="1581"/>
      <c r="P294" s="1581">
        <f t="shared" si="33"/>
        <v>0</v>
      </c>
      <c r="Q294" s="1581"/>
      <c r="R294" s="1611">
        <f t="shared" si="34"/>
        <v>0</v>
      </c>
      <c r="S294" s="1611">
        <f t="shared" si="35"/>
        <v>0</v>
      </c>
      <c r="T294" s="1611">
        <f t="shared" si="36"/>
        <v>0</v>
      </c>
    </row>
    <row r="295" spans="1:20" ht="25.5" hidden="1">
      <c r="A295" s="1581"/>
      <c r="B295" s="1618" t="s">
        <v>1727</v>
      </c>
      <c r="C295" s="1579"/>
      <c r="D295" s="1618" t="s">
        <v>1022</v>
      </c>
      <c r="E295" s="1694">
        <v>4333</v>
      </c>
      <c r="F295" s="1581"/>
      <c r="G295" s="1581"/>
      <c r="H295" s="1581"/>
      <c r="I295" s="1609">
        <v>6</v>
      </c>
      <c r="J295" s="1609">
        <v>205</v>
      </c>
      <c r="K295" s="1581"/>
      <c r="L295" s="1610">
        <v>1</v>
      </c>
      <c r="M295" s="1610"/>
      <c r="N295" s="1581"/>
      <c r="O295" s="1581"/>
      <c r="P295" s="1581">
        <f t="shared" si="33"/>
        <v>1</v>
      </c>
      <c r="Q295" s="1581"/>
      <c r="R295" s="1611">
        <f t="shared" si="34"/>
        <v>0</v>
      </c>
      <c r="S295" s="1611">
        <f t="shared" si="35"/>
        <v>0</v>
      </c>
      <c r="T295" s="1611">
        <f t="shared" si="36"/>
        <v>0</v>
      </c>
    </row>
    <row r="296" spans="1:20" ht="25.5">
      <c r="A296" s="1609">
        <v>152</v>
      </c>
      <c r="B296" s="1618" t="s">
        <v>1728</v>
      </c>
      <c r="C296" s="1579" t="s">
        <v>1729</v>
      </c>
      <c r="D296" s="1618" t="s">
        <v>1587</v>
      </c>
      <c r="E296" s="1694">
        <v>4333</v>
      </c>
      <c r="F296" s="1581"/>
      <c r="G296" s="1581"/>
      <c r="H296" s="1581"/>
      <c r="I296" s="1609">
        <v>6</v>
      </c>
      <c r="J296" s="1609">
        <v>205</v>
      </c>
      <c r="K296" s="1581"/>
      <c r="L296" s="1618">
        <v>10</v>
      </c>
      <c r="M296" s="1618"/>
      <c r="N296" s="1581"/>
      <c r="O296" s="1581"/>
      <c r="P296" s="1581">
        <f t="shared" si="33"/>
        <v>10</v>
      </c>
      <c r="Q296" s="1581">
        <f>400*1.07</f>
        <v>428</v>
      </c>
      <c r="R296" s="1611">
        <f t="shared" si="34"/>
        <v>4280</v>
      </c>
      <c r="S296" s="1611">
        <f t="shared" si="35"/>
        <v>121.70616113744076</v>
      </c>
      <c r="T296" s="1611">
        <f t="shared" si="36"/>
        <v>4158.2938388625589</v>
      </c>
    </row>
    <row r="297" spans="1:20">
      <c r="A297" s="1609">
        <v>27</v>
      </c>
      <c r="B297" s="1618" t="s">
        <v>1730</v>
      </c>
      <c r="C297" s="917" t="s">
        <v>1731</v>
      </c>
      <c r="D297" s="1619" t="s">
        <v>1268</v>
      </c>
      <c r="E297" s="1694">
        <v>4333</v>
      </c>
      <c r="F297" s="1609"/>
      <c r="G297" s="1609"/>
      <c r="H297" s="1609"/>
      <c r="I297" s="1609">
        <v>6</v>
      </c>
      <c r="J297" s="1609">
        <v>205</v>
      </c>
      <c r="K297" s="1609"/>
      <c r="L297" s="1623">
        <v>50</v>
      </c>
      <c r="M297" s="1623"/>
      <c r="N297" s="1609"/>
      <c r="O297" s="1609"/>
      <c r="P297" s="1581">
        <f t="shared" si="33"/>
        <v>50</v>
      </c>
      <c r="Q297" s="1581">
        <f>20*1.07</f>
        <v>21.400000000000002</v>
      </c>
      <c r="R297" s="1611">
        <f t="shared" si="34"/>
        <v>1070</v>
      </c>
      <c r="S297" s="1611">
        <f t="shared" si="35"/>
        <v>30.42654028436019</v>
      </c>
      <c r="T297" s="1611">
        <f t="shared" si="36"/>
        <v>1039.5734597156397</v>
      </c>
    </row>
    <row r="298" spans="1:20" ht="25.5" hidden="1">
      <c r="A298" s="1609">
        <v>196</v>
      </c>
      <c r="B298" s="1618" t="s">
        <v>1732</v>
      </c>
      <c r="C298" s="1579" t="s">
        <v>1733</v>
      </c>
      <c r="D298" s="1618" t="s">
        <v>1268</v>
      </c>
      <c r="E298" s="1694">
        <v>4333</v>
      </c>
      <c r="F298" s="1581"/>
      <c r="G298" s="1581"/>
      <c r="H298" s="1581"/>
      <c r="I298" s="1609">
        <v>6</v>
      </c>
      <c r="J298" s="1609">
        <v>205</v>
      </c>
      <c r="K298" s="1581"/>
      <c r="L298" s="1620"/>
      <c r="M298" s="1620"/>
      <c r="N298" s="1581"/>
      <c r="O298" s="1581"/>
      <c r="P298" s="1581">
        <f t="shared" si="33"/>
        <v>0</v>
      </c>
      <c r="Q298" s="1581"/>
      <c r="R298" s="1611">
        <f t="shared" si="34"/>
        <v>0</v>
      </c>
      <c r="S298" s="1611">
        <f t="shared" si="35"/>
        <v>0</v>
      </c>
      <c r="T298" s="1611">
        <f t="shared" si="36"/>
        <v>0</v>
      </c>
    </row>
    <row r="299" spans="1:20" ht="38.25">
      <c r="A299" s="1609"/>
      <c r="B299" s="1618" t="s">
        <v>1732</v>
      </c>
      <c r="C299" s="1579" t="s">
        <v>1734</v>
      </c>
      <c r="D299" s="1618"/>
      <c r="E299" s="1694">
        <v>4333</v>
      </c>
      <c r="F299" s="1581"/>
      <c r="G299" s="1581"/>
      <c r="H299" s="1581"/>
      <c r="I299" s="1609">
        <v>6</v>
      </c>
      <c r="J299" s="1609">
        <v>205</v>
      </c>
      <c r="K299" s="1581"/>
      <c r="L299" s="1620">
        <v>30</v>
      </c>
      <c r="M299" s="1620"/>
      <c r="N299" s="1581"/>
      <c r="O299" s="1581"/>
      <c r="P299" s="1581">
        <f t="shared" si="33"/>
        <v>30</v>
      </c>
      <c r="Q299" s="1581">
        <f>1500*1.07</f>
        <v>1605</v>
      </c>
      <c r="R299" s="1611">
        <f t="shared" si="34"/>
        <v>48150</v>
      </c>
      <c r="S299" s="1611">
        <f t="shared" si="35"/>
        <v>1369.1943127962086</v>
      </c>
      <c r="T299" s="1611">
        <f t="shared" si="36"/>
        <v>46780.805687203792</v>
      </c>
    </row>
    <row r="300" spans="1:20" ht="25.5" hidden="1">
      <c r="A300" s="1609">
        <v>246</v>
      </c>
      <c r="B300" s="1622" t="s">
        <v>1732</v>
      </c>
      <c r="C300" s="1579" t="s">
        <v>1735</v>
      </c>
      <c r="D300" s="1622" t="s">
        <v>1022</v>
      </c>
      <c r="E300" s="1694">
        <v>4333</v>
      </c>
      <c r="F300" s="1581"/>
      <c r="G300" s="1581"/>
      <c r="H300" s="1581"/>
      <c r="I300" s="1609">
        <v>6</v>
      </c>
      <c r="J300" s="1609">
        <v>205</v>
      </c>
      <c r="K300" s="1581"/>
      <c r="L300" s="1610"/>
      <c r="M300" s="1610"/>
      <c r="N300" s="1581"/>
      <c r="O300" s="1581"/>
      <c r="P300" s="1581"/>
      <c r="Q300" s="1581">
        <f>1500*1.07</f>
        <v>1605</v>
      </c>
      <c r="R300" s="1611"/>
      <c r="S300" s="1611"/>
      <c r="T300" s="1611"/>
    </row>
    <row r="301" spans="1:20">
      <c r="A301" s="1609">
        <v>138</v>
      </c>
      <c r="B301" s="1618" t="s">
        <v>1736</v>
      </c>
      <c r="C301" s="1579" t="s">
        <v>1737</v>
      </c>
      <c r="D301" s="1618" t="s">
        <v>1022</v>
      </c>
      <c r="E301" s="1694">
        <v>4333</v>
      </c>
      <c r="F301" s="1581"/>
      <c r="G301" s="1581"/>
      <c r="H301" s="1581"/>
      <c r="I301" s="1609">
        <v>6</v>
      </c>
      <c r="J301" s="1609">
        <v>205</v>
      </c>
      <c r="K301" s="1581"/>
      <c r="L301" s="1618">
        <v>5</v>
      </c>
      <c r="M301" s="1618"/>
      <c r="N301" s="1581"/>
      <c r="O301" s="1581"/>
      <c r="P301" s="1581">
        <f t="shared" ref="P301:P306" si="37">L301-O301</f>
        <v>5</v>
      </c>
      <c r="Q301" s="1581">
        <f>1500*1.07</f>
        <v>1605</v>
      </c>
      <c r="R301" s="1611">
        <f t="shared" ref="R301:R306" si="38">P301*Q301</f>
        <v>8025</v>
      </c>
      <c r="S301" s="1611">
        <f t="shared" ref="S301:S306" si="39">R301*(I301/(I301+J301+K301))</f>
        <v>228.19905213270141</v>
      </c>
      <c r="T301" s="1611">
        <f t="shared" ref="T301:T306" si="40">R301-S301</f>
        <v>7796.8009478672984</v>
      </c>
    </row>
    <row r="302" spans="1:20">
      <c r="A302" s="1609">
        <v>139</v>
      </c>
      <c r="B302" s="1618" t="s">
        <v>1738</v>
      </c>
      <c r="C302" s="1579" t="s">
        <v>3341</v>
      </c>
      <c r="D302" s="1618" t="s">
        <v>1022</v>
      </c>
      <c r="E302" s="1694">
        <v>4333</v>
      </c>
      <c r="F302" s="1581"/>
      <c r="G302" s="1581"/>
      <c r="H302" s="1581"/>
      <c r="I302" s="1609">
        <v>6</v>
      </c>
      <c r="J302" s="1609">
        <v>205</v>
      </c>
      <c r="K302" s="1581"/>
      <c r="L302" s="1618">
        <v>10</v>
      </c>
      <c r="M302" s="1618"/>
      <c r="N302" s="1581"/>
      <c r="O302" s="1581"/>
      <c r="P302" s="1581">
        <f t="shared" si="37"/>
        <v>10</v>
      </c>
      <c r="Q302" s="1581">
        <f>1200*1.07</f>
        <v>1284</v>
      </c>
      <c r="R302" s="1611">
        <f t="shared" si="38"/>
        <v>12840</v>
      </c>
      <c r="S302" s="1611">
        <f t="shared" si="39"/>
        <v>365.11848341232223</v>
      </c>
      <c r="T302" s="1611">
        <f t="shared" si="40"/>
        <v>12474.881516587679</v>
      </c>
    </row>
    <row r="303" spans="1:20" hidden="1">
      <c r="A303" s="1609">
        <v>237</v>
      </c>
      <c r="B303" s="1622" t="s">
        <v>1740</v>
      </c>
      <c r="C303" s="1579" t="s">
        <v>1741</v>
      </c>
      <c r="D303" s="1622" t="s">
        <v>1587</v>
      </c>
      <c r="E303" s="1694">
        <v>4333</v>
      </c>
      <c r="F303" s="1581"/>
      <c r="G303" s="1581"/>
      <c r="H303" s="1581"/>
      <c r="I303" s="1609">
        <v>6</v>
      </c>
      <c r="J303" s="1609">
        <v>205</v>
      </c>
      <c r="K303" s="1581"/>
      <c r="L303" s="1610"/>
      <c r="M303" s="1610"/>
      <c r="N303" s="1581"/>
      <c r="O303" s="1581"/>
      <c r="P303" s="1581"/>
      <c r="Q303" s="1581"/>
      <c r="R303" s="1611"/>
      <c r="S303" s="1611"/>
      <c r="T303" s="1611"/>
    </row>
    <row r="304" spans="1:20">
      <c r="A304" s="1609">
        <v>146</v>
      </c>
      <c r="B304" s="1618" t="s">
        <v>1742</v>
      </c>
      <c r="C304" s="1579" t="s">
        <v>3342</v>
      </c>
      <c r="D304" s="1618" t="s">
        <v>1022</v>
      </c>
      <c r="E304" s="1694">
        <v>4333</v>
      </c>
      <c r="F304" s="1581"/>
      <c r="G304" s="1581"/>
      <c r="H304" s="1581"/>
      <c r="I304" s="1609">
        <v>6</v>
      </c>
      <c r="J304" s="1609">
        <v>205</v>
      </c>
      <c r="K304" s="1581"/>
      <c r="L304" s="1618">
        <v>1</v>
      </c>
      <c r="M304" s="1618"/>
      <c r="N304" s="1581"/>
      <c r="O304" s="1581"/>
      <c r="P304" s="1581">
        <f t="shared" si="37"/>
        <v>1</v>
      </c>
      <c r="Q304" s="1581">
        <f>400*1.07</f>
        <v>428</v>
      </c>
      <c r="R304" s="1611">
        <f t="shared" si="38"/>
        <v>428</v>
      </c>
      <c r="S304" s="1611">
        <f t="shared" si="39"/>
        <v>12.170616113744074</v>
      </c>
      <c r="T304" s="1611">
        <f t="shared" si="40"/>
        <v>415.82938388625593</v>
      </c>
    </row>
    <row r="305" spans="1:20">
      <c r="A305" s="1609">
        <v>116</v>
      </c>
      <c r="B305" s="1619" t="s">
        <v>1744</v>
      </c>
      <c r="C305" s="1614" t="s">
        <v>3343</v>
      </c>
      <c r="D305" s="1619" t="s">
        <v>1268</v>
      </c>
      <c r="E305" s="1694">
        <v>4333</v>
      </c>
      <c r="F305" s="1609"/>
      <c r="G305" s="1609"/>
      <c r="H305" s="1609"/>
      <c r="I305" s="1609">
        <v>6</v>
      </c>
      <c r="J305" s="1609">
        <v>205</v>
      </c>
      <c r="K305" s="1609"/>
      <c r="L305" s="1619">
        <v>100</v>
      </c>
      <c r="M305" s="1619"/>
      <c r="N305" s="1609"/>
      <c r="O305" s="1609"/>
      <c r="P305" s="1581">
        <f t="shared" si="37"/>
        <v>100</v>
      </c>
      <c r="Q305" s="1609">
        <f>20*1.07</f>
        <v>21.400000000000002</v>
      </c>
      <c r="R305" s="1611">
        <f t="shared" si="38"/>
        <v>2140</v>
      </c>
      <c r="S305" s="1611">
        <f t="shared" si="39"/>
        <v>60.85308056872038</v>
      </c>
      <c r="T305" s="1611">
        <f t="shared" si="40"/>
        <v>2079.1469194312795</v>
      </c>
    </row>
    <row r="306" spans="1:20">
      <c r="A306" s="1609">
        <v>117</v>
      </c>
      <c r="B306" s="1628" t="s">
        <v>1744</v>
      </c>
      <c r="C306" s="1621" t="s">
        <v>1746</v>
      </c>
      <c r="D306" s="1619" t="s">
        <v>1268</v>
      </c>
      <c r="E306" s="1694">
        <v>4333</v>
      </c>
      <c r="F306" s="1581"/>
      <c r="G306" s="1581"/>
      <c r="H306" s="1581"/>
      <c r="I306" s="1609">
        <v>6</v>
      </c>
      <c r="J306" s="1609">
        <v>205</v>
      </c>
      <c r="K306" s="1581"/>
      <c r="L306" s="1619">
        <v>100</v>
      </c>
      <c r="M306" s="1619"/>
      <c r="N306" s="1581"/>
      <c r="O306" s="1581"/>
      <c r="P306" s="1581">
        <f t="shared" si="37"/>
        <v>100</v>
      </c>
      <c r="Q306" s="1609">
        <f>20*1.07</f>
        <v>21.400000000000002</v>
      </c>
      <c r="R306" s="1611">
        <f t="shared" si="38"/>
        <v>2140</v>
      </c>
      <c r="S306" s="1611">
        <f t="shared" si="39"/>
        <v>60.85308056872038</v>
      </c>
      <c r="T306" s="1611">
        <f t="shared" si="40"/>
        <v>2079.1469194312795</v>
      </c>
    </row>
    <row r="307" spans="1:20" ht="25.5" hidden="1">
      <c r="A307" s="1609">
        <v>199</v>
      </c>
      <c r="B307" s="1620" t="s">
        <v>1747</v>
      </c>
      <c r="C307" s="1621" t="s">
        <v>1748</v>
      </c>
      <c r="D307" s="1620" t="s">
        <v>1022</v>
      </c>
      <c r="E307" s="1694">
        <v>4333</v>
      </c>
      <c r="F307" s="1581"/>
      <c r="G307" s="1581"/>
      <c r="H307" s="1581"/>
      <c r="I307" s="1609">
        <v>6</v>
      </c>
      <c r="J307" s="1609">
        <v>205</v>
      </c>
      <c r="K307" s="1581"/>
      <c r="L307" s="1620"/>
      <c r="M307" s="1620"/>
      <c r="N307" s="1581"/>
      <c r="O307" s="1581"/>
      <c r="P307" s="1581"/>
      <c r="Q307" s="1581"/>
      <c r="R307" s="1611"/>
      <c r="S307" s="1611"/>
      <c r="T307" s="1611"/>
    </row>
    <row r="308" spans="1:20" ht="25.5" hidden="1">
      <c r="A308" s="1609">
        <v>252</v>
      </c>
      <c r="B308" s="1629" t="s">
        <v>1747</v>
      </c>
      <c r="C308" s="1614" t="s">
        <v>1749</v>
      </c>
      <c r="D308" s="1622" t="s">
        <v>1022</v>
      </c>
      <c r="E308" s="1694">
        <v>4333</v>
      </c>
      <c r="F308" s="1581"/>
      <c r="G308" s="1581"/>
      <c r="H308" s="1581"/>
      <c r="I308" s="1609">
        <v>6</v>
      </c>
      <c r="J308" s="1609">
        <v>205</v>
      </c>
      <c r="K308" s="1581"/>
      <c r="L308" s="1610"/>
      <c r="M308" s="1610"/>
      <c r="N308" s="1581"/>
      <c r="O308" s="1581"/>
      <c r="P308" s="1581"/>
      <c r="Q308" s="1581"/>
      <c r="R308" s="1611"/>
      <c r="S308" s="1611"/>
      <c r="T308" s="1611"/>
    </row>
    <row r="309" spans="1:20" hidden="1">
      <c r="A309" s="1581"/>
      <c r="B309" s="1630" t="s">
        <v>1750</v>
      </c>
      <c r="C309" s="1614" t="s">
        <v>1751</v>
      </c>
      <c r="D309" s="1609" t="s">
        <v>1022</v>
      </c>
      <c r="E309" s="1694">
        <v>4333</v>
      </c>
      <c r="F309" s="1609"/>
      <c r="G309" s="1609"/>
      <c r="H309" s="1609"/>
      <c r="I309" s="1609"/>
      <c r="J309" s="1609"/>
      <c r="K309" s="1609"/>
      <c r="L309" s="1581"/>
      <c r="M309" s="1581"/>
      <c r="N309" s="1609"/>
      <c r="O309" s="1609"/>
      <c r="P309" s="1581"/>
      <c r="Q309" s="1610"/>
      <c r="R309" s="1611"/>
      <c r="S309" s="1611"/>
      <c r="T309" s="1611"/>
    </row>
    <row r="310" spans="1:20" hidden="1">
      <c r="A310" s="1609">
        <v>229</v>
      </c>
      <c r="B310" s="1631" t="s">
        <v>1750</v>
      </c>
      <c r="C310" s="1621" t="s">
        <v>1752</v>
      </c>
      <c r="D310" s="1620" t="s">
        <v>1022</v>
      </c>
      <c r="E310" s="1694">
        <v>4333</v>
      </c>
      <c r="F310" s="1581"/>
      <c r="G310" s="1581"/>
      <c r="H310" s="1581"/>
      <c r="I310" s="1609">
        <v>6</v>
      </c>
      <c r="J310" s="1609">
        <v>205</v>
      </c>
      <c r="K310" s="1581"/>
      <c r="L310" s="1620"/>
      <c r="M310" s="1620"/>
      <c r="N310" s="1581"/>
      <c r="O310" s="1581"/>
      <c r="P310" s="1581"/>
      <c r="Q310" s="1581"/>
      <c r="R310" s="1611"/>
      <c r="S310" s="1611"/>
      <c r="T310" s="1611"/>
    </row>
    <row r="311" spans="1:20">
      <c r="A311" s="1609">
        <v>133</v>
      </c>
      <c r="B311" s="1632" t="s">
        <v>1753</v>
      </c>
      <c r="C311" s="357" t="s">
        <v>1754</v>
      </c>
      <c r="D311" s="1618" t="s">
        <v>1119</v>
      </c>
      <c r="E311" s="1694">
        <v>4333</v>
      </c>
      <c r="F311" s="1581"/>
      <c r="G311" s="1581"/>
      <c r="H311" s="1581"/>
      <c r="I311" s="1609">
        <v>6</v>
      </c>
      <c r="J311" s="1609">
        <v>205</v>
      </c>
      <c r="K311" s="1581"/>
      <c r="L311" s="1618">
        <v>1</v>
      </c>
      <c r="M311" s="1618"/>
      <c r="N311" s="1581"/>
      <c r="O311" s="1581"/>
      <c r="P311" s="1581">
        <f>L311-O311</f>
        <v>1</v>
      </c>
      <c r="Q311" s="1581">
        <f>1500*1.07</f>
        <v>1605</v>
      </c>
      <c r="R311" s="1611">
        <f>P311*Q311</f>
        <v>1605</v>
      </c>
      <c r="S311" s="1611">
        <f>R311*(I311/(I311+J311+K311))</f>
        <v>45.639810426540279</v>
      </c>
      <c r="T311" s="1611">
        <f t="shared" ref="T311:T342" si="41">R311-S311</f>
        <v>1559.3601895734598</v>
      </c>
    </row>
    <row r="312" spans="1:20">
      <c r="A312" s="1609">
        <v>87</v>
      </c>
      <c r="B312" s="1619" t="s">
        <v>3344</v>
      </c>
      <c r="C312" s="1614" t="s">
        <v>1369</v>
      </c>
      <c r="D312" s="1619" t="s">
        <v>1268</v>
      </c>
      <c r="E312" s="1694">
        <v>4333</v>
      </c>
      <c r="F312" s="1609"/>
      <c r="G312" s="1609"/>
      <c r="H312" s="1609"/>
      <c r="I312" s="1609">
        <v>6</v>
      </c>
      <c r="J312" s="1609">
        <v>205</v>
      </c>
      <c r="K312" s="1609"/>
      <c r="L312" s="1619">
        <v>7</v>
      </c>
      <c r="M312" s="1619"/>
      <c r="N312" s="1609"/>
      <c r="O312" s="1609"/>
      <c r="P312" s="1581">
        <f>L312-O312</f>
        <v>7</v>
      </c>
      <c r="Q312" s="1610">
        <f>3900*1.07</f>
        <v>4173</v>
      </c>
      <c r="R312" s="1611">
        <f>P312*Q312</f>
        <v>29211</v>
      </c>
      <c r="S312" s="1611">
        <f>R312*(I312/(I312+J312+K312))</f>
        <v>830.64454976303318</v>
      </c>
      <c r="T312" s="1611">
        <f t="shared" si="41"/>
        <v>28380.355450236966</v>
      </c>
    </row>
    <row r="313" spans="1:20">
      <c r="A313" s="1609">
        <v>88</v>
      </c>
      <c r="B313" s="1628" t="s">
        <v>3344</v>
      </c>
      <c r="C313" s="1614" t="s">
        <v>1370</v>
      </c>
      <c r="D313" s="1619" t="s">
        <v>1268</v>
      </c>
      <c r="E313" s="1694">
        <v>4333</v>
      </c>
      <c r="F313" s="1609"/>
      <c r="G313" s="1609"/>
      <c r="H313" s="1609"/>
      <c r="I313" s="1609">
        <v>6</v>
      </c>
      <c r="J313" s="1609">
        <v>205</v>
      </c>
      <c r="K313" s="1609"/>
      <c r="L313" s="1619">
        <v>7</v>
      </c>
      <c r="M313" s="1619"/>
      <c r="N313" s="1609"/>
      <c r="O313" s="1609"/>
      <c r="P313" s="1581">
        <f>L313-O313</f>
        <v>7</v>
      </c>
      <c r="Q313" s="1610">
        <f>3900*1.07</f>
        <v>4173</v>
      </c>
      <c r="R313" s="1611">
        <f>P313*Q313</f>
        <v>29211</v>
      </c>
      <c r="S313" s="1611">
        <f>R313*(I313/(I313+J313+K313))</f>
        <v>830.64454976303318</v>
      </c>
      <c r="T313" s="1611">
        <f t="shared" si="41"/>
        <v>28380.355450236966</v>
      </c>
    </row>
    <row r="314" spans="1:20" ht="25.5" hidden="1">
      <c r="A314" s="1609">
        <v>185</v>
      </c>
      <c r="B314" s="1620" t="s">
        <v>1757</v>
      </c>
      <c r="C314" s="1579" t="s">
        <v>1758</v>
      </c>
      <c r="D314" s="1620" t="s">
        <v>1022</v>
      </c>
      <c r="E314" s="1694">
        <v>4333</v>
      </c>
      <c r="F314" s="1581"/>
      <c r="G314" s="1581"/>
      <c r="H314" s="1581"/>
      <c r="I314" s="1609">
        <v>6</v>
      </c>
      <c r="J314" s="1609">
        <v>205</v>
      </c>
      <c r="K314" s="1581"/>
      <c r="L314" s="1620"/>
      <c r="M314" s="1620"/>
      <c r="N314" s="1581"/>
      <c r="O314" s="1581"/>
      <c r="P314" s="1581"/>
      <c r="Q314" s="1581"/>
      <c r="R314" s="1611"/>
      <c r="S314" s="1611"/>
      <c r="T314" s="1611"/>
    </row>
    <row r="315" spans="1:20" ht="33" hidden="1" customHeight="1">
      <c r="A315" s="1609">
        <v>183</v>
      </c>
      <c r="B315" s="1620" t="s">
        <v>1757</v>
      </c>
      <c r="C315" s="1579" t="s">
        <v>1759</v>
      </c>
      <c r="D315" s="1620" t="s">
        <v>1022</v>
      </c>
      <c r="E315" s="1694">
        <v>4333</v>
      </c>
      <c r="F315" s="1581"/>
      <c r="G315" s="1581"/>
      <c r="H315" s="1581"/>
      <c r="I315" s="1609">
        <v>6</v>
      </c>
      <c r="J315" s="1609">
        <v>205</v>
      </c>
      <c r="K315" s="1581"/>
      <c r="L315" s="1620"/>
      <c r="M315" s="1620"/>
      <c r="N315" s="1581"/>
      <c r="O315" s="1581"/>
      <c r="P315" s="1581"/>
      <c r="Q315" s="1581"/>
      <c r="R315" s="1611"/>
      <c r="S315" s="1611"/>
      <c r="T315" s="1611"/>
    </row>
    <row r="316" spans="1:20" ht="25.5" hidden="1">
      <c r="A316" s="1609">
        <v>184</v>
      </c>
      <c r="B316" s="1620" t="s">
        <v>1757</v>
      </c>
      <c r="C316" s="1579" t="s">
        <v>1760</v>
      </c>
      <c r="D316" s="1620" t="s">
        <v>1022</v>
      </c>
      <c r="E316" s="1694">
        <v>4333</v>
      </c>
      <c r="F316" s="1581"/>
      <c r="G316" s="1581"/>
      <c r="H316" s="1581"/>
      <c r="I316" s="1609">
        <v>6</v>
      </c>
      <c r="J316" s="1609">
        <v>205</v>
      </c>
      <c r="K316" s="1581"/>
      <c r="L316" s="1620"/>
      <c r="M316" s="1620"/>
      <c r="N316" s="1581"/>
      <c r="O316" s="1581"/>
      <c r="P316" s="1581"/>
      <c r="Q316" s="1581"/>
      <c r="R316" s="1611"/>
      <c r="S316" s="1611"/>
      <c r="T316" s="1611"/>
    </row>
    <row r="317" spans="1:20">
      <c r="A317" s="1581">
        <v>321</v>
      </c>
      <c r="B317" s="1056" t="s">
        <v>1865</v>
      </c>
      <c r="C317" s="1579"/>
      <c r="D317" s="1625" t="s">
        <v>1022</v>
      </c>
      <c r="E317" s="1694">
        <v>4333</v>
      </c>
      <c r="F317" s="1581"/>
      <c r="G317" s="1581"/>
      <c r="H317" s="1581"/>
      <c r="I317" s="1609">
        <v>6</v>
      </c>
      <c r="J317" s="1609">
        <v>205</v>
      </c>
      <c r="K317" s="1581"/>
      <c r="L317" s="1625">
        <v>45</v>
      </c>
      <c r="M317" s="1625"/>
      <c r="N317" s="1581"/>
      <c r="O317" s="1581"/>
      <c r="P317" s="1581">
        <f>L317-O317</f>
        <v>45</v>
      </c>
      <c r="Q317" s="1056">
        <f>2500*1.07</f>
        <v>2675</v>
      </c>
      <c r="R317" s="1611">
        <f>P317*Q317</f>
        <v>120375</v>
      </c>
      <c r="S317" s="1611">
        <f>R317*(I317/(I317+J317+K317))</f>
        <v>3422.985781990521</v>
      </c>
      <c r="T317" s="1611">
        <f>R317-S317</f>
        <v>116952.01421800948</v>
      </c>
    </row>
    <row r="318" spans="1:20">
      <c r="A318" s="1581">
        <v>323</v>
      </c>
      <c r="B318" s="1056" t="s">
        <v>1866</v>
      </c>
      <c r="C318" s="1579"/>
      <c r="D318" s="1625" t="s">
        <v>1022</v>
      </c>
      <c r="E318" s="1694">
        <v>4333</v>
      </c>
      <c r="F318" s="1581"/>
      <c r="G318" s="1581"/>
      <c r="H318" s="1581"/>
      <c r="I318" s="1609">
        <v>6</v>
      </c>
      <c r="J318" s="1609">
        <v>205</v>
      </c>
      <c r="K318" s="1581"/>
      <c r="L318" s="1625">
        <v>45</v>
      </c>
      <c r="M318" s="1625"/>
      <c r="N318" s="1581"/>
      <c r="O318" s="1581"/>
      <c r="P318" s="1581">
        <f>L318-O318</f>
        <v>45</v>
      </c>
      <c r="Q318" s="1056">
        <f>3500*1.07</f>
        <v>3745</v>
      </c>
      <c r="R318" s="1611">
        <f>P318*Q318</f>
        <v>168525</v>
      </c>
      <c r="S318" s="1611">
        <f>R318*(I318/(I318+J318+K318))</f>
        <v>4792.1800947867296</v>
      </c>
      <c r="T318" s="1611">
        <f>R318-S318</f>
        <v>163732.81990521328</v>
      </c>
    </row>
    <row r="319" spans="1:20" hidden="1">
      <c r="A319" s="1609"/>
      <c r="B319" s="1631"/>
      <c r="C319" s="1579"/>
      <c r="D319" s="1620"/>
      <c r="E319" s="1694">
        <v>4333</v>
      </c>
      <c r="F319" s="1581"/>
      <c r="G319" s="1581"/>
      <c r="H319" s="1581"/>
      <c r="I319" s="1609"/>
      <c r="J319" s="1609"/>
      <c r="K319" s="1581"/>
      <c r="L319" s="1620"/>
      <c r="M319" s="1620"/>
      <c r="N319" s="1581"/>
      <c r="O319" s="1581"/>
      <c r="P319" s="1581"/>
      <c r="Q319" s="1581"/>
      <c r="R319" s="1611"/>
      <c r="S319" s="1611"/>
      <c r="T319" s="1611"/>
    </row>
    <row r="320" spans="1:20" hidden="1">
      <c r="A320" s="1609"/>
      <c r="B320" s="1631"/>
      <c r="C320" s="1579"/>
      <c r="D320" s="1620"/>
      <c r="E320" s="1694">
        <v>4333</v>
      </c>
      <c r="F320" s="1581"/>
      <c r="G320" s="1581"/>
      <c r="H320" s="1581"/>
      <c r="I320" s="1609"/>
      <c r="J320" s="1609"/>
      <c r="K320" s="1581"/>
      <c r="L320" s="1620"/>
      <c r="M320" s="1620"/>
      <c r="N320" s="1581"/>
      <c r="O320" s="1581"/>
      <c r="P320" s="1581"/>
      <c r="Q320" s="1581"/>
      <c r="R320" s="1611"/>
      <c r="S320" s="1611"/>
      <c r="T320" s="1611"/>
    </row>
    <row r="321" spans="1:23">
      <c r="A321" s="1581"/>
      <c r="B321" s="1602" t="s">
        <v>1766</v>
      </c>
      <c r="C321" s="1579"/>
      <c r="D321" s="1625"/>
      <c r="E321" s="1694"/>
      <c r="F321" s="1581"/>
      <c r="G321" s="1581"/>
      <c r="H321" s="1581"/>
      <c r="I321" s="1609"/>
      <c r="J321" s="1609"/>
      <c r="K321" s="1581"/>
      <c r="L321" s="1625"/>
      <c r="M321" s="1625"/>
      <c r="N321" s="1581"/>
      <c r="O321" s="1581"/>
      <c r="P321" s="1581"/>
      <c r="Q321" s="1581"/>
      <c r="R321" s="1617"/>
      <c r="S321" s="1617"/>
      <c r="T321" s="1617"/>
    </row>
    <row r="322" spans="1:23" hidden="1">
      <c r="A322" s="1581">
        <v>326</v>
      </c>
      <c r="B322" s="1062" t="s">
        <v>1769</v>
      </c>
      <c r="C322" s="1579" t="s">
        <v>1770</v>
      </c>
      <c r="D322" s="1625" t="s">
        <v>1022</v>
      </c>
      <c r="E322" s="1694">
        <v>4333</v>
      </c>
      <c r="F322" s="1581"/>
      <c r="G322" s="1581"/>
      <c r="H322" s="1581"/>
      <c r="I322" s="1609">
        <v>6</v>
      </c>
      <c r="J322" s="1609">
        <v>205</v>
      </c>
      <c r="K322" s="1581"/>
      <c r="L322" s="1625"/>
      <c r="M322" s="1625"/>
      <c r="N322" s="1581"/>
      <c r="O322" s="1581"/>
      <c r="P322" s="1581">
        <f t="shared" ref="P322:P331" si="42">L322-O322</f>
        <v>0</v>
      </c>
      <c r="Q322" s="1581"/>
      <c r="R322" s="1611">
        <f t="shared" ref="R322:R342" si="43">P322*Q322</f>
        <v>0</v>
      </c>
      <c r="S322" s="1611">
        <f t="shared" ref="S322:S342" si="44">R322*(I322/(I322+J322+K322))</f>
        <v>0</v>
      </c>
      <c r="T322" s="1611">
        <f t="shared" si="41"/>
        <v>0</v>
      </c>
    </row>
    <row r="323" spans="1:23" hidden="1">
      <c r="A323" s="1581">
        <v>333</v>
      </c>
      <c r="B323" s="1062" t="s">
        <v>1771</v>
      </c>
      <c r="C323" s="1579" t="s">
        <v>1772</v>
      </c>
      <c r="D323" s="1625" t="s">
        <v>1022</v>
      </c>
      <c r="E323" s="1694">
        <v>4333</v>
      </c>
      <c r="F323" s="1581"/>
      <c r="G323" s="1581"/>
      <c r="H323" s="1581"/>
      <c r="I323" s="1609">
        <v>6</v>
      </c>
      <c r="J323" s="1609">
        <v>205</v>
      </c>
      <c r="K323" s="1581"/>
      <c r="L323" s="1579"/>
      <c r="M323" s="1579"/>
      <c r="N323" s="1581"/>
      <c r="O323" s="1581"/>
      <c r="P323" s="1581">
        <f t="shared" si="42"/>
        <v>0</v>
      </c>
      <c r="Q323" s="1581"/>
      <c r="R323" s="1611">
        <f t="shared" si="43"/>
        <v>0</v>
      </c>
      <c r="S323" s="1611">
        <f t="shared" si="44"/>
        <v>0</v>
      </c>
      <c r="T323" s="1611">
        <f t="shared" si="41"/>
        <v>0</v>
      </c>
    </row>
    <row r="324" spans="1:23">
      <c r="A324" s="1581">
        <v>319</v>
      </c>
      <c r="B324" s="1056" t="s">
        <v>1773</v>
      </c>
      <c r="C324" s="1633"/>
      <c r="D324" s="1625" t="s">
        <v>1022</v>
      </c>
      <c r="E324" s="1694">
        <v>4333</v>
      </c>
      <c r="F324" s="1581"/>
      <c r="G324" s="1581"/>
      <c r="H324" s="1581"/>
      <c r="I324" s="1609">
        <v>6</v>
      </c>
      <c r="J324" s="1609">
        <v>205</v>
      </c>
      <c r="K324" s="1581"/>
      <c r="L324" s="1625">
        <v>45</v>
      </c>
      <c r="M324" s="1625"/>
      <c r="N324" s="1581"/>
      <c r="O324" s="1581"/>
      <c r="P324" s="1581">
        <f t="shared" si="42"/>
        <v>45</v>
      </c>
      <c r="Q324" s="1056">
        <f>8500*1.07</f>
        <v>9095</v>
      </c>
      <c r="R324" s="1611">
        <f t="shared" si="43"/>
        <v>409275</v>
      </c>
      <c r="S324" s="1611">
        <f t="shared" si="44"/>
        <v>11638.151658767772</v>
      </c>
      <c r="T324" s="1611">
        <f t="shared" si="41"/>
        <v>397636.84834123222</v>
      </c>
    </row>
    <row r="325" spans="1:23" ht="114.75">
      <c r="A325" s="1581">
        <v>318</v>
      </c>
      <c r="B325" s="1056" t="s">
        <v>1774</v>
      </c>
      <c r="C325" s="1579" t="s">
        <v>1775</v>
      </c>
      <c r="D325" s="1625" t="s">
        <v>1022</v>
      </c>
      <c r="E325" s="1694">
        <v>4333</v>
      </c>
      <c r="F325" s="1581"/>
      <c r="G325" s="1581"/>
      <c r="H325" s="1581"/>
      <c r="I325" s="1609">
        <v>6</v>
      </c>
      <c r="J325" s="1609">
        <v>205</v>
      </c>
      <c r="K325" s="1581"/>
      <c r="L325" s="1625">
        <v>5</v>
      </c>
      <c r="M325" s="1625"/>
      <c r="N325" s="1581"/>
      <c r="O325" s="1581"/>
      <c r="P325" s="1581">
        <f t="shared" si="42"/>
        <v>5</v>
      </c>
      <c r="Q325" s="1056">
        <f>60000*1.07</f>
        <v>64200.000000000007</v>
      </c>
      <c r="R325" s="1611">
        <f t="shared" si="43"/>
        <v>321000.00000000006</v>
      </c>
      <c r="S325" s="1611">
        <f t="shared" si="44"/>
        <v>9127.9620853080578</v>
      </c>
      <c r="T325" s="1611">
        <f t="shared" si="41"/>
        <v>311872.03791469202</v>
      </c>
    </row>
    <row r="326" spans="1:23" ht="140.25">
      <c r="A326" s="1581">
        <v>324</v>
      </c>
      <c r="B326" s="1056" t="s">
        <v>3345</v>
      </c>
      <c r="C326" s="1579" t="s">
        <v>1777</v>
      </c>
      <c r="D326" s="1625" t="s">
        <v>1022</v>
      </c>
      <c r="E326" s="1694">
        <v>4333</v>
      </c>
      <c r="F326" s="1581"/>
      <c r="G326" s="1581"/>
      <c r="H326" s="1581"/>
      <c r="I326" s="1609">
        <v>6</v>
      </c>
      <c r="J326" s="1609">
        <v>205</v>
      </c>
      <c r="K326" s="1581"/>
      <c r="L326" s="1625">
        <v>1</v>
      </c>
      <c r="M326" s="1625"/>
      <c r="N326" s="1581"/>
      <c r="O326" s="1581"/>
      <c r="P326" s="1581">
        <f t="shared" si="42"/>
        <v>1</v>
      </c>
      <c r="Q326" s="1056">
        <f>27400*1.07</f>
        <v>29318</v>
      </c>
      <c r="R326" s="1611">
        <f t="shared" si="43"/>
        <v>29318</v>
      </c>
      <c r="S326" s="1611">
        <f t="shared" si="44"/>
        <v>833.68720379146919</v>
      </c>
      <c r="T326" s="1611">
        <f t="shared" si="41"/>
        <v>28484.312796208531</v>
      </c>
    </row>
    <row r="327" spans="1:23">
      <c r="A327" s="1581">
        <v>317</v>
      </c>
      <c r="B327" s="1056" t="s">
        <v>1781</v>
      </c>
      <c r="C327" s="1579" t="s">
        <v>1782</v>
      </c>
      <c r="D327" s="1625" t="s">
        <v>1022</v>
      </c>
      <c r="E327" s="1694">
        <v>4333</v>
      </c>
      <c r="F327" s="1581"/>
      <c r="G327" s="1581"/>
      <c r="H327" s="1581"/>
      <c r="I327" s="1609">
        <v>6</v>
      </c>
      <c r="J327" s="1609">
        <v>205</v>
      </c>
      <c r="K327" s="1581"/>
      <c r="L327" s="1625">
        <v>330</v>
      </c>
      <c r="M327" s="1625"/>
      <c r="N327" s="1581"/>
      <c r="O327" s="1581"/>
      <c r="P327" s="1581">
        <f t="shared" si="42"/>
        <v>330</v>
      </c>
      <c r="Q327" s="1056">
        <f>3500*1.07</f>
        <v>3745</v>
      </c>
      <c r="R327" s="1611">
        <f t="shared" si="43"/>
        <v>1235850</v>
      </c>
      <c r="S327" s="1611">
        <f t="shared" si="44"/>
        <v>35142.654028436016</v>
      </c>
      <c r="T327" s="1611">
        <f t="shared" si="41"/>
        <v>1200707.3459715641</v>
      </c>
    </row>
    <row r="328" spans="1:23" ht="38.25">
      <c r="A328" s="1581">
        <v>316</v>
      </c>
      <c r="B328" s="1056" t="s">
        <v>1783</v>
      </c>
      <c r="C328" s="1634" t="s">
        <v>1784</v>
      </c>
      <c r="D328" s="1625" t="s">
        <v>1022</v>
      </c>
      <c r="E328" s="1694">
        <v>4333</v>
      </c>
      <c r="F328" s="1581"/>
      <c r="G328" s="1581"/>
      <c r="H328" s="1581"/>
      <c r="I328" s="1609">
        <v>6</v>
      </c>
      <c r="J328" s="1609">
        <v>205</v>
      </c>
      <c r="K328" s="1581"/>
      <c r="L328" s="1625">
        <v>200</v>
      </c>
      <c r="M328" s="1625"/>
      <c r="N328" s="1581"/>
      <c r="O328" s="1581"/>
      <c r="P328" s="1581">
        <f t="shared" si="42"/>
        <v>200</v>
      </c>
      <c r="Q328" s="1583">
        <f>5199*1.07</f>
        <v>5562.93</v>
      </c>
      <c r="R328" s="1611">
        <f t="shared" si="43"/>
        <v>1112586</v>
      </c>
      <c r="S328" s="1611">
        <f t="shared" si="44"/>
        <v>31637.516587677725</v>
      </c>
      <c r="T328" s="1611">
        <f t="shared" si="41"/>
        <v>1080948.4834123224</v>
      </c>
    </row>
    <row r="329" spans="1:23" hidden="1">
      <c r="A329" s="1581">
        <v>331</v>
      </c>
      <c r="B329" s="1062" t="s">
        <v>1785</v>
      </c>
      <c r="C329" s="1579" t="s">
        <v>1786</v>
      </c>
      <c r="D329" s="1625" t="s">
        <v>1022</v>
      </c>
      <c r="E329" s="1694">
        <v>4333</v>
      </c>
      <c r="F329" s="1581"/>
      <c r="G329" s="1581"/>
      <c r="H329" s="1581"/>
      <c r="I329" s="1609">
        <v>6</v>
      </c>
      <c r="J329" s="1609">
        <v>205</v>
      </c>
      <c r="K329" s="1581"/>
      <c r="L329" s="1579"/>
      <c r="M329" s="1579"/>
      <c r="N329" s="1581"/>
      <c r="O329" s="1581"/>
      <c r="P329" s="1581"/>
      <c r="Q329" s="1581"/>
      <c r="R329" s="1611">
        <f t="shared" si="43"/>
        <v>0</v>
      </c>
      <c r="S329" s="1611">
        <f t="shared" si="44"/>
        <v>0</v>
      </c>
      <c r="T329" s="1611">
        <f t="shared" si="41"/>
        <v>0</v>
      </c>
    </row>
    <row r="330" spans="1:23" hidden="1">
      <c r="A330" s="1581">
        <v>332</v>
      </c>
      <c r="B330" s="1062" t="s">
        <v>1787</v>
      </c>
      <c r="C330" s="1579" t="s">
        <v>1788</v>
      </c>
      <c r="D330" s="1625" t="s">
        <v>1022</v>
      </c>
      <c r="E330" s="1694">
        <v>4333</v>
      </c>
      <c r="F330" s="1581"/>
      <c r="G330" s="1581"/>
      <c r="H330" s="1581"/>
      <c r="I330" s="1609">
        <v>6</v>
      </c>
      <c r="J330" s="1609">
        <v>205</v>
      </c>
      <c r="K330" s="1581"/>
      <c r="L330" s="1579"/>
      <c r="M330" s="1579"/>
      <c r="N330" s="1581"/>
      <c r="O330" s="1581"/>
      <c r="P330" s="1581"/>
      <c r="Q330" s="1581"/>
      <c r="R330" s="1611">
        <f t="shared" si="43"/>
        <v>0</v>
      </c>
      <c r="S330" s="1611">
        <f t="shared" si="44"/>
        <v>0</v>
      </c>
      <c r="T330" s="1611">
        <f t="shared" si="41"/>
        <v>0</v>
      </c>
    </row>
    <row r="331" spans="1:23" ht="25.5">
      <c r="A331" s="1581">
        <v>320</v>
      </c>
      <c r="B331" s="1583" t="s">
        <v>1789</v>
      </c>
      <c r="C331" s="1579" t="s">
        <v>1790</v>
      </c>
      <c r="D331" s="1625" t="s">
        <v>1022</v>
      </c>
      <c r="E331" s="1694">
        <v>4333</v>
      </c>
      <c r="F331" s="1581"/>
      <c r="G331" s="1581"/>
      <c r="H331" s="1581"/>
      <c r="I331" s="1609">
        <v>6</v>
      </c>
      <c r="J331" s="1609">
        <v>205</v>
      </c>
      <c r="K331" s="1581"/>
      <c r="L331" s="1625">
        <v>2</v>
      </c>
      <c r="M331" s="1625">
        <v>2</v>
      </c>
      <c r="N331" s="1581"/>
      <c r="O331" s="1581"/>
      <c r="P331" s="1581">
        <f t="shared" si="42"/>
        <v>2</v>
      </c>
      <c r="Q331" s="1056">
        <f>20000*1.07</f>
        <v>21400</v>
      </c>
      <c r="R331" s="1611">
        <f t="shared" si="43"/>
        <v>42800</v>
      </c>
      <c r="S331" s="1611">
        <f t="shared" si="44"/>
        <v>1217.0616113744074</v>
      </c>
      <c r="T331" s="1611">
        <f t="shared" si="41"/>
        <v>41582.938388625589</v>
      </c>
      <c r="U331" s="1578" t="s">
        <v>3346</v>
      </c>
      <c r="W331" s="1578">
        <f>2*1</f>
        <v>2</v>
      </c>
    </row>
    <row r="332" spans="1:23" ht="18.75" hidden="1" customHeight="1">
      <c r="A332" s="1581">
        <v>327</v>
      </c>
      <c r="B332" s="1062" t="s">
        <v>1804</v>
      </c>
      <c r="C332" s="1579" t="s">
        <v>1805</v>
      </c>
      <c r="D332" s="1625" t="s">
        <v>1022</v>
      </c>
      <c r="E332" s="1694">
        <v>4333</v>
      </c>
      <c r="F332" s="1581"/>
      <c r="G332" s="1581"/>
      <c r="H332" s="1581"/>
      <c r="I332" s="1609">
        <v>6</v>
      </c>
      <c r="J332" s="1609">
        <v>205</v>
      </c>
      <c r="K332" s="1581"/>
      <c r="L332" s="1581"/>
      <c r="M332" s="1581"/>
      <c r="N332" s="1581"/>
      <c r="O332" s="1581"/>
      <c r="P332" s="1581"/>
      <c r="Q332" s="1581"/>
      <c r="R332" s="1611">
        <f t="shared" si="43"/>
        <v>0</v>
      </c>
      <c r="S332" s="1611">
        <f t="shared" si="44"/>
        <v>0</v>
      </c>
      <c r="T332" s="1611">
        <f t="shared" si="41"/>
        <v>0</v>
      </c>
    </row>
    <row r="333" spans="1:23" ht="89.25">
      <c r="A333" s="1635"/>
      <c r="B333" s="1579" t="s">
        <v>1806</v>
      </c>
      <c r="C333" s="1579" t="s">
        <v>1807</v>
      </c>
      <c r="D333" s="1625" t="s">
        <v>1022</v>
      </c>
      <c r="E333" s="1694">
        <v>4333</v>
      </c>
      <c r="F333" s="1581"/>
      <c r="G333" s="1581"/>
      <c r="H333" s="1581"/>
      <c r="I333" s="1609">
        <v>6</v>
      </c>
      <c r="J333" s="1609">
        <v>205</v>
      </c>
      <c r="K333" s="1581"/>
      <c r="L333" s="1625">
        <v>20</v>
      </c>
      <c r="M333" s="1625"/>
      <c r="N333" s="1581"/>
      <c r="O333" s="1581"/>
      <c r="P333" s="1581">
        <f t="shared" ref="P333:P342" si="45">L333-O333</f>
        <v>20</v>
      </c>
      <c r="Q333" s="1581">
        <f>20500*1.07</f>
        <v>21935</v>
      </c>
      <c r="R333" s="1611">
        <f t="shared" si="43"/>
        <v>438700</v>
      </c>
      <c r="S333" s="1611">
        <f t="shared" si="44"/>
        <v>12474.881516587677</v>
      </c>
      <c r="T333" s="1611">
        <f t="shared" si="41"/>
        <v>426225.11848341231</v>
      </c>
    </row>
    <row r="334" spans="1:23" ht="38.25">
      <c r="A334" s="1609">
        <v>110</v>
      </c>
      <c r="B334" s="1619" t="s">
        <v>1815</v>
      </c>
      <c r="C334" s="917" t="s">
        <v>1816</v>
      </c>
      <c r="D334" s="1619" t="s">
        <v>1268</v>
      </c>
      <c r="E334" s="1694">
        <v>4333</v>
      </c>
      <c r="F334" s="1609"/>
      <c r="G334" s="1609"/>
      <c r="H334" s="1609"/>
      <c r="I334" s="1609">
        <v>6</v>
      </c>
      <c r="J334" s="1609">
        <v>205</v>
      </c>
      <c r="K334" s="1609"/>
      <c r="L334" s="1619">
        <v>1</v>
      </c>
      <c r="M334" s="1619"/>
      <c r="N334" s="1609"/>
      <c r="O334" s="1609"/>
      <c r="P334" s="1581">
        <f t="shared" si="45"/>
        <v>1</v>
      </c>
      <c r="Q334" s="1609">
        <f>27000*1.07</f>
        <v>28890</v>
      </c>
      <c r="R334" s="1611">
        <f t="shared" si="43"/>
        <v>28890</v>
      </c>
      <c r="S334" s="1611">
        <f t="shared" si="44"/>
        <v>821.51658767772506</v>
      </c>
      <c r="T334" s="1611">
        <f t="shared" si="41"/>
        <v>28068.483412322275</v>
      </c>
    </row>
    <row r="335" spans="1:23">
      <c r="A335" s="1609">
        <v>134</v>
      </c>
      <c r="B335" s="1618" t="s">
        <v>1817</v>
      </c>
      <c r="C335" s="1579" t="s">
        <v>1818</v>
      </c>
      <c r="D335" s="1618" t="s">
        <v>1268</v>
      </c>
      <c r="E335" s="1694">
        <v>4333</v>
      </c>
      <c r="F335" s="1581"/>
      <c r="G335" s="1581"/>
      <c r="H335" s="1581"/>
      <c r="I335" s="1609">
        <v>6</v>
      </c>
      <c r="J335" s="1609">
        <v>205</v>
      </c>
      <c r="K335" s="1581"/>
      <c r="L335" s="1618">
        <v>1</v>
      </c>
      <c r="M335" s="1618"/>
      <c r="N335" s="1581"/>
      <c r="O335" s="1581"/>
      <c r="P335" s="1581">
        <f t="shared" si="45"/>
        <v>1</v>
      </c>
      <c r="Q335" s="1581">
        <f>25000*1.07</f>
        <v>26750</v>
      </c>
      <c r="R335" s="1611">
        <f t="shared" si="43"/>
        <v>26750</v>
      </c>
      <c r="S335" s="1611">
        <f t="shared" si="44"/>
        <v>760.66350710900474</v>
      </c>
      <c r="T335" s="1611">
        <f t="shared" si="41"/>
        <v>25989.336492890994</v>
      </c>
    </row>
    <row r="336" spans="1:23">
      <c r="A336" s="1609">
        <v>114</v>
      </c>
      <c r="B336" s="1619" t="s">
        <v>1819</v>
      </c>
      <c r="C336" s="1614" t="s">
        <v>3249</v>
      </c>
      <c r="D336" s="1619" t="s">
        <v>1268</v>
      </c>
      <c r="E336" s="1694">
        <v>4333</v>
      </c>
      <c r="F336" s="1609"/>
      <c r="G336" s="1609"/>
      <c r="H336" s="1609"/>
      <c r="I336" s="1609">
        <v>6</v>
      </c>
      <c r="J336" s="1609">
        <v>205</v>
      </c>
      <c r="K336" s="1609"/>
      <c r="L336" s="1619">
        <v>1</v>
      </c>
      <c r="M336" s="1619"/>
      <c r="N336" s="1609"/>
      <c r="O336" s="1609"/>
      <c r="P336" s="1581">
        <f t="shared" si="45"/>
        <v>1</v>
      </c>
      <c r="Q336" s="1609">
        <f>20000*1.07</f>
        <v>21400</v>
      </c>
      <c r="R336" s="1611">
        <f t="shared" si="43"/>
        <v>21400</v>
      </c>
      <c r="S336" s="1611">
        <f t="shared" si="44"/>
        <v>608.53080568720372</v>
      </c>
      <c r="T336" s="1611">
        <f t="shared" si="41"/>
        <v>20791.469194312795</v>
      </c>
    </row>
    <row r="337" spans="1:22">
      <c r="A337" s="1609">
        <v>112</v>
      </c>
      <c r="B337" s="1619" t="s">
        <v>1823</v>
      </c>
      <c r="C337" s="917" t="s">
        <v>1824</v>
      </c>
      <c r="D337" s="1619" t="s">
        <v>1022</v>
      </c>
      <c r="E337" s="1694">
        <v>4333</v>
      </c>
      <c r="F337" s="1609"/>
      <c r="G337" s="1609"/>
      <c r="H337" s="1609"/>
      <c r="I337" s="1609">
        <v>6</v>
      </c>
      <c r="J337" s="1609">
        <v>205</v>
      </c>
      <c r="K337" s="1609"/>
      <c r="L337" s="1619">
        <v>1</v>
      </c>
      <c r="M337" s="1619"/>
      <c r="N337" s="1609"/>
      <c r="O337" s="1609"/>
      <c r="P337" s="1581">
        <f t="shared" si="45"/>
        <v>1</v>
      </c>
      <c r="Q337" s="1609">
        <f>50000*1.07</f>
        <v>53500</v>
      </c>
      <c r="R337" s="1611">
        <f t="shared" si="43"/>
        <v>53500</v>
      </c>
      <c r="S337" s="1611">
        <f t="shared" si="44"/>
        <v>1521.3270142180095</v>
      </c>
      <c r="T337" s="1611">
        <f t="shared" si="41"/>
        <v>51978.672985781988</v>
      </c>
    </row>
    <row r="338" spans="1:22" ht="89.25">
      <c r="A338" s="1609">
        <v>113</v>
      </c>
      <c r="B338" s="1619" t="s">
        <v>1826</v>
      </c>
      <c r="C338" s="1591" t="s">
        <v>1827</v>
      </c>
      <c r="D338" s="1619" t="s">
        <v>1022</v>
      </c>
      <c r="E338" s="1694">
        <v>4333</v>
      </c>
      <c r="F338" s="1609"/>
      <c r="G338" s="1609"/>
      <c r="H338" s="1609"/>
      <c r="I338" s="1609">
        <v>6</v>
      </c>
      <c r="J338" s="1609">
        <v>205</v>
      </c>
      <c r="K338" s="1609"/>
      <c r="L338" s="1619">
        <v>1</v>
      </c>
      <c r="M338" s="1619"/>
      <c r="N338" s="1609"/>
      <c r="O338" s="1609"/>
      <c r="P338" s="1581">
        <f t="shared" si="45"/>
        <v>1</v>
      </c>
      <c r="Q338" s="1609">
        <f>25000*1.07</f>
        <v>26750</v>
      </c>
      <c r="R338" s="1611">
        <f t="shared" si="43"/>
        <v>26750</v>
      </c>
      <c r="S338" s="1611">
        <f t="shared" si="44"/>
        <v>760.66350710900474</v>
      </c>
      <c r="T338" s="1611">
        <f t="shared" si="41"/>
        <v>25989.336492890994</v>
      </c>
    </row>
    <row r="339" spans="1:22" ht="76.5">
      <c r="A339" s="1609">
        <v>111</v>
      </c>
      <c r="B339" s="1619" t="s">
        <v>1828</v>
      </c>
      <c r="C339" s="917" t="s">
        <v>1829</v>
      </c>
      <c r="D339" s="1619" t="s">
        <v>1268</v>
      </c>
      <c r="E339" s="1694">
        <v>4333</v>
      </c>
      <c r="F339" s="1609"/>
      <c r="G339" s="1609"/>
      <c r="H339" s="1609"/>
      <c r="I339" s="1609">
        <v>6</v>
      </c>
      <c r="J339" s="1609">
        <v>205</v>
      </c>
      <c r="K339" s="1609"/>
      <c r="L339" s="1619">
        <v>1</v>
      </c>
      <c r="M339" s="1619"/>
      <c r="N339" s="1609"/>
      <c r="O339" s="1609"/>
      <c r="P339" s="1581">
        <f t="shared" si="45"/>
        <v>1</v>
      </c>
      <c r="Q339" s="1609">
        <f>80000*1.07</f>
        <v>85600</v>
      </c>
      <c r="R339" s="1611">
        <f t="shared" si="43"/>
        <v>85600</v>
      </c>
      <c r="S339" s="1611">
        <f t="shared" si="44"/>
        <v>2434.1232227488149</v>
      </c>
      <c r="T339" s="1611">
        <f t="shared" si="41"/>
        <v>83165.876777251178</v>
      </c>
    </row>
    <row r="340" spans="1:22" ht="38.25">
      <c r="A340" s="1609"/>
      <c r="B340" s="1637" t="s">
        <v>1830</v>
      </c>
      <c r="C340" s="917" t="s">
        <v>1831</v>
      </c>
      <c r="D340" s="1619" t="s">
        <v>1268</v>
      </c>
      <c r="E340" s="1694">
        <v>4333</v>
      </c>
      <c r="F340" s="1609"/>
      <c r="G340" s="1609"/>
      <c r="H340" s="1609"/>
      <c r="I340" s="1609">
        <v>6</v>
      </c>
      <c r="J340" s="1609">
        <v>205</v>
      </c>
      <c r="K340" s="1609"/>
      <c r="L340" s="367">
        <v>5</v>
      </c>
      <c r="M340" s="367">
        <v>27</v>
      </c>
      <c r="N340" s="1609"/>
      <c r="O340" s="1609"/>
      <c r="P340" s="1581">
        <f t="shared" si="45"/>
        <v>5</v>
      </c>
      <c r="Q340" s="367">
        <f>4500*1.07</f>
        <v>4815</v>
      </c>
      <c r="R340" s="1611">
        <f t="shared" si="43"/>
        <v>24075</v>
      </c>
      <c r="S340" s="1611">
        <f t="shared" si="44"/>
        <v>684.59715639810429</v>
      </c>
      <c r="T340" s="1611">
        <f t="shared" si="41"/>
        <v>23390.402843601896</v>
      </c>
      <c r="U340" s="364" t="s">
        <v>3347</v>
      </c>
      <c r="V340" s="1578">
        <f>9*3</f>
        <v>27</v>
      </c>
    </row>
    <row r="341" spans="1:22" ht="25.5">
      <c r="A341" s="1609"/>
      <c r="B341" s="1637" t="s">
        <v>1832</v>
      </c>
      <c r="C341" s="917" t="s">
        <v>1833</v>
      </c>
      <c r="D341" s="1619" t="s">
        <v>1268</v>
      </c>
      <c r="E341" s="1694">
        <v>4333</v>
      </c>
      <c r="F341" s="1609"/>
      <c r="G341" s="1609"/>
      <c r="H341" s="1609"/>
      <c r="I341" s="1609">
        <v>6</v>
      </c>
      <c r="J341" s="1609">
        <v>205</v>
      </c>
      <c r="K341" s="1609"/>
      <c r="L341" s="367">
        <v>5</v>
      </c>
      <c r="M341" s="367">
        <v>27</v>
      </c>
      <c r="N341" s="1609"/>
      <c r="O341" s="1609"/>
      <c r="P341" s="1581">
        <f t="shared" si="45"/>
        <v>5</v>
      </c>
      <c r="Q341" s="367">
        <f>900*1.07</f>
        <v>963</v>
      </c>
      <c r="R341" s="1611">
        <f t="shared" si="43"/>
        <v>4815</v>
      </c>
      <c r="S341" s="1611">
        <f t="shared" si="44"/>
        <v>136.91943127962085</v>
      </c>
      <c r="T341" s="1611">
        <f t="shared" si="41"/>
        <v>4678.0805687203792</v>
      </c>
      <c r="U341" s="364" t="s">
        <v>3347</v>
      </c>
      <c r="V341" s="1578">
        <f>9*3</f>
        <v>27</v>
      </c>
    </row>
    <row r="342" spans="1:22" ht="25.5">
      <c r="A342" s="1609"/>
      <c r="B342" s="1637" t="s">
        <v>1834</v>
      </c>
      <c r="C342" s="917" t="s">
        <v>1835</v>
      </c>
      <c r="D342" s="1619" t="s">
        <v>1268</v>
      </c>
      <c r="E342" s="1694">
        <v>4333</v>
      </c>
      <c r="F342" s="1609"/>
      <c r="G342" s="1609"/>
      <c r="H342" s="1609"/>
      <c r="I342" s="1609">
        <v>6</v>
      </c>
      <c r="J342" s="1609">
        <v>205</v>
      </c>
      <c r="K342" s="1609"/>
      <c r="L342" s="367">
        <v>4</v>
      </c>
      <c r="M342" s="367">
        <v>4</v>
      </c>
      <c r="N342" s="1609"/>
      <c r="O342" s="1609"/>
      <c r="P342" s="1581">
        <f t="shared" si="45"/>
        <v>4</v>
      </c>
      <c r="Q342" s="367">
        <f>4800*1.07</f>
        <v>5136</v>
      </c>
      <c r="R342" s="1611">
        <f t="shared" si="43"/>
        <v>20544</v>
      </c>
      <c r="S342" s="1611">
        <f t="shared" si="44"/>
        <v>584.18957345971558</v>
      </c>
      <c r="T342" s="1611">
        <f t="shared" si="41"/>
        <v>19959.810426540284</v>
      </c>
      <c r="U342" s="364" t="s">
        <v>3251</v>
      </c>
      <c r="V342" s="1578">
        <f>2*2</f>
        <v>4</v>
      </c>
    </row>
    <row r="343" spans="1:22">
      <c r="A343" s="1636"/>
      <c r="B343" s="1638"/>
      <c r="C343" s="924"/>
      <c r="D343" s="1638"/>
      <c r="E343" s="1580"/>
      <c r="F343" s="1636"/>
      <c r="G343" s="1636"/>
      <c r="H343" s="1636"/>
      <c r="I343" s="1636"/>
      <c r="J343" s="1636"/>
      <c r="K343" s="1636"/>
      <c r="L343" s="1638"/>
      <c r="M343" s="1638"/>
      <c r="N343" s="1636"/>
      <c r="O343" s="1636"/>
      <c r="P343" s="1580"/>
      <c r="Q343" s="1636"/>
      <c r="R343" s="1639"/>
      <c r="S343" s="1639"/>
      <c r="T343" s="1639"/>
    </row>
    <row r="344" spans="1:22">
      <c r="B344" s="525" t="s">
        <v>330</v>
      </c>
      <c r="C344" s="118"/>
      <c r="D344" s="118"/>
      <c r="E344" s="1598"/>
      <c r="G344" s="1598" t="s">
        <v>369</v>
      </c>
    </row>
    <row r="345" spans="1:22">
      <c r="B345" s="525"/>
      <c r="C345" s="118"/>
      <c r="D345" s="118"/>
      <c r="E345" s="1598"/>
      <c r="G345" s="1598"/>
    </row>
    <row r="346" spans="1:22">
      <c r="B346" s="524" t="s">
        <v>547</v>
      </c>
      <c r="C346" s="525"/>
      <c r="D346" s="118"/>
      <c r="E346" s="1640"/>
      <c r="G346" s="1641" t="s">
        <v>374</v>
      </c>
    </row>
    <row r="347" spans="1:22">
      <c r="B347" s="524" t="s">
        <v>548</v>
      </c>
      <c r="C347" s="525"/>
      <c r="D347" s="118"/>
      <c r="E347" s="1640"/>
      <c r="G347" s="1641"/>
    </row>
    <row r="348" spans="1:22">
      <c r="B348" s="524"/>
      <c r="C348" s="525"/>
      <c r="D348" s="118"/>
      <c r="E348" s="1640"/>
      <c r="G348" s="1642"/>
    </row>
    <row r="349" spans="1:22">
      <c r="B349" s="524" t="s">
        <v>375</v>
      </c>
      <c r="C349" s="1642"/>
      <c r="D349" s="1642"/>
      <c r="E349" s="1642"/>
      <c r="G349" s="1641" t="s">
        <v>376</v>
      </c>
    </row>
  </sheetData>
  <sheetProtection formatColumns="0" insertRows="0" deleteRows="0"/>
  <mergeCells count="21">
    <mergeCell ref="E11:E26"/>
    <mergeCell ref="I7:K7"/>
    <mergeCell ref="AB7:AB10"/>
    <mergeCell ref="U7:U10"/>
    <mergeCell ref="V7:V10"/>
    <mergeCell ref="W7:W10"/>
    <mergeCell ref="X7:X10"/>
    <mergeCell ref="AA7:AA10"/>
    <mergeCell ref="Z7:Z10"/>
    <mergeCell ref="H7:H8"/>
    <mergeCell ref="F7:G7"/>
    <mergeCell ref="L7:P7"/>
    <mergeCell ref="Q7:Q8"/>
    <mergeCell ref="Y7:Y10"/>
    <mergeCell ref="S7:T7"/>
    <mergeCell ref="R7:R8"/>
    <mergeCell ref="A7:A8"/>
    <mergeCell ref="B7:B8"/>
    <mergeCell ref="C7:C8"/>
    <mergeCell ref="D7:D8"/>
    <mergeCell ref="E7:E8"/>
  </mergeCells>
  <dataValidations count="1">
    <dataValidation allowBlank="1" showInputMessage="1" showErrorMessage="1" prompt="Укажите &quot;Краткую характеристику ТРУ&quot;" sqref="C324" xr:uid="{00000000-0002-0000-4A00-000000000000}"/>
  </dataValidations>
  <pageMargins left="0" right="0" top="0" bottom="0" header="0" footer="0"/>
  <pageSetup paperSize="9" scale="48" fitToHeight="0" orientation="landscape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tabColor rgb="FF7030A0"/>
    <pageSetUpPr fitToPage="1"/>
  </sheetPr>
  <dimension ref="A1:BB34"/>
  <sheetViews>
    <sheetView topLeftCell="D10" zoomScale="120" zoomScaleNormal="120" workbookViewId="0">
      <selection activeCell="I21" sqref="I21"/>
    </sheetView>
  </sheetViews>
  <sheetFormatPr defaultColWidth="9.140625" defaultRowHeight="15"/>
  <cols>
    <col min="1" max="1" width="19.85546875" style="356" customWidth="1"/>
    <col min="2" max="2" width="11.28515625" style="356" customWidth="1"/>
    <col min="3" max="4" width="9.28515625" style="356" customWidth="1"/>
    <col min="5" max="5" width="10.7109375" style="356" customWidth="1"/>
    <col min="6" max="7" width="10.28515625" style="356" customWidth="1"/>
    <col min="8" max="8" width="14.28515625" style="356" bestFit="1" customWidth="1"/>
    <col min="9" max="9" width="13.140625" style="356" bestFit="1" customWidth="1"/>
    <col min="10" max="10" width="10.7109375" style="356" customWidth="1"/>
    <col min="11" max="11" width="10.42578125" style="356" customWidth="1"/>
    <col min="12" max="12" width="10" style="356" customWidth="1"/>
    <col min="13" max="14" width="9.28515625" style="356" bestFit="1" customWidth="1"/>
    <col min="15" max="15" width="14" style="356" bestFit="1" customWidth="1"/>
    <col min="16" max="16" width="10.85546875" style="356" bestFit="1" customWidth="1"/>
    <col min="17" max="17" width="9.28515625" style="356" bestFit="1" customWidth="1"/>
    <col min="18" max="18" width="14.28515625" style="356" bestFit="1" customWidth="1"/>
    <col min="19" max="22" width="9.28515625" style="356" bestFit="1" customWidth="1"/>
    <col min="23" max="54" width="9.140625" style="356"/>
  </cols>
  <sheetData>
    <row r="1" spans="1:54" ht="15.75">
      <c r="P1" s="916" t="s">
        <v>267</v>
      </c>
      <c r="Q1" s="762" t="s">
        <v>604</v>
      </c>
    </row>
    <row r="2" spans="1:54" s="683" customFormat="1" ht="15.75" customHeight="1">
      <c r="A2" s="4126" t="s">
        <v>3348</v>
      </c>
      <c r="B2" s="4126"/>
      <c r="C2" s="4126"/>
      <c r="D2" s="4126"/>
      <c r="E2" s="4126"/>
      <c r="F2" s="4126"/>
      <c r="G2" s="4126"/>
      <c r="H2" s="4126"/>
      <c r="I2" s="4126"/>
      <c r="J2" s="4126"/>
      <c r="K2" s="4126"/>
      <c r="L2" s="4126"/>
      <c r="M2" s="919"/>
      <c r="N2" s="919"/>
      <c r="O2" s="919"/>
      <c r="P2" s="919"/>
      <c r="Q2" s="919"/>
      <c r="R2" s="919"/>
      <c r="S2" s="919"/>
      <c r="T2" s="919"/>
      <c r="U2" s="919"/>
      <c r="V2" s="919"/>
      <c r="W2" s="919"/>
      <c r="X2" s="919"/>
      <c r="Y2" s="919"/>
      <c r="Z2" s="919"/>
      <c r="AA2" s="919"/>
      <c r="AB2" s="919"/>
      <c r="AC2" s="919"/>
      <c r="AD2" s="919"/>
      <c r="AE2" s="919"/>
      <c r="AF2" s="919"/>
      <c r="AG2" s="919"/>
      <c r="AH2" s="919"/>
      <c r="AI2" s="919"/>
      <c r="AJ2" s="919"/>
      <c r="AK2" s="919"/>
      <c r="AL2" s="919"/>
      <c r="AM2" s="919"/>
      <c r="AN2" s="919"/>
      <c r="AO2" s="919"/>
      <c r="AP2" s="919"/>
      <c r="AQ2" s="919"/>
      <c r="AR2" s="919"/>
      <c r="AS2" s="919"/>
      <c r="AT2" s="919"/>
      <c r="AU2" s="919"/>
      <c r="AV2" s="919"/>
      <c r="AW2" s="919"/>
      <c r="AX2" s="919"/>
      <c r="AY2" s="919"/>
      <c r="AZ2" s="919"/>
      <c r="BA2" s="919"/>
      <c r="BB2" s="919"/>
    </row>
    <row r="4" spans="1:54" s="683" customFormat="1">
      <c r="A4" s="920" t="s">
        <v>3349</v>
      </c>
      <c r="B4" s="921"/>
      <c r="C4" s="921"/>
      <c r="D4" s="921"/>
      <c r="E4" s="921"/>
      <c r="F4" s="921"/>
      <c r="G4" s="921"/>
      <c r="H4" s="921"/>
      <c r="I4" s="921"/>
      <c r="J4" s="921"/>
      <c r="K4" s="921"/>
      <c r="L4" s="921"/>
      <c r="M4" s="922"/>
      <c r="N4" s="922"/>
      <c r="O4" s="922"/>
      <c r="P4" s="922"/>
      <c r="Q4" s="922"/>
      <c r="R4" s="922"/>
      <c r="S4" s="922"/>
      <c r="T4" s="922"/>
      <c r="U4" s="922"/>
      <c r="V4" s="922"/>
      <c r="W4" s="923"/>
      <c r="X4" s="923"/>
      <c r="Y4" s="923"/>
      <c r="Z4" s="923"/>
      <c r="AA4" s="923"/>
      <c r="AB4" s="923"/>
      <c r="AC4" s="923"/>
      <c r="AD4" s="923"/>
      <c r="AE4" s="923"/>
      <c r="AF4" s="923"/>
      <c r="AG4" s="923"/>
      <c r="AH4" s="923"/>
      <c r="AI4" s="923"/>
      <c r="AJ4" s="923"/>
      <c r="AK4" s="923"/>
      <c r="AL4" s="923"/>
      <c r="AM4" s="923"/>
      <c r="AN4" s="923"/>
      <c r="AO4" s="923"/>
      <c r="AP4" s="923"/>
      <c r="AQ4" s="923"/>
      <c r="AR4" s="923"/>
      <c r="AS4" s="923"/>
      <c r="AT4" s="923"/>
      <c r="AU4" s="923"/>
      <c r="AV4" s="923"/>
      <c r="AW4" s="923"/>
      <c r="AX4" s="923"/>
      <c r="AY4" s="923"/>
      <c r="AZ4" s="923"/>
      <c r="BA4" s="923"/>
      <c r="BB4" s="923"/>
    </row>
    <row r="5" spans="1:54">
      <c r="A5" s="522" t="s">
        <v>990</v>
      </c>
      <c r="B5" s="523"/>
      <c r="C5" s="523"/>
      <c r="D5" s="523"/>
      <c r="E5" s="523"/>
      <c r="F5" s="523"/>
      <c r="G5" s="523"/>
      <c r="H5" s="523"/>
      <c r="I5" s="523"/>
      <c r="J5" s="523"/>
      <c r="K5" s="523"/>
      <c r="L5" s="523"/>
      <c r="M5" s="355"/>
      <c r="N5" s="355"/>
      <c r="O5" s="355"/>
      <c r="P5" s="355"/>
      <c r="Q5" s="355"/>
      <c r="R5" s="355"/>
      <c r="S5" s="355"/>
    </row>
    <row r="6" spans="1:54" ht="8.25" customHeight="1">
      <c r="A6" s="357"/>
      <c r="B6" s="357"/>
      <c r="C6" s="357"/>
      <c r="D6" s="357"/>
      <c r="E6" s="357"/>
      <c r="F6" s="357"/>
      <c r="G6" s="357"/>
      <c r="H6" s="358"/>
      <c r="I6" s="359"/>
      <c r="J6" s="359"/>
      <c r="K6" s="359"/>
      <c r="L6" s="360"/>
      <c r="M6" s="361"/>
      <c r="N6" s="362"/>
      <c r="O6" s="359"/>
      <c r="P6" s="363"/>
      <c r="Q6" s="359"/>
      <c r="R6" s="359"/>
      <c r="S6" s="359"/>
      <c r="T6" s="364"/>
      <c r="U6" s="364"/>
      <c r="V6" s="364"/>
      <c r="W6" s="364"/>
      <c r="X6" s="364"/>
      <c r="Y6" s="364"/>
      <c r="Z6" s="364"/>
      <c r="AA6" s="364"/>
      <c r="AB6" s="364"/>
      <c r="AC6" s="364"/>
      <c r="AD6" s="364"/>
      <c r="AE6" s="364"/>
      <c r="AF6" s="364"/>
      <c r="AG6" s="364"/>
      <c r="AH6" s="364"/>
      <c r="AI6" s="364"/>
      <c r="AJ6" s="364"/>
      <c r="AK6" s="364"/>
      <c r="AL6" s="364"/>
      <c r="AM6" s="364"/>
      <c r="AN6" s="364"/>
      <c r="AO6" s="364"/>
      <c r="AP6" s="364"/>
      <c r="AQ6" s="364"/>
      <c r="AR6" s="364"/>
      <c r="AS6" s="364"/>
      <c r="AT6" s="364"/>
      <c r="AU6" s="364"/>
      <c r="AV6" s="364"/>
      <c r="AW6" s="364"/>
      <c r="AX6" s="364"/>
      <c r="AY6" s="364"/>
      <c r="AZ6" s="364"/>
      <c r="BA6" s="364"/>
      <c r="BB6" s="364"/>
    </row>
    <row r="7" spans="1:54" ht="27" customHeight="1">
      <c r="A7" s="4009" t="s">
        <v>478</v>
      </c>
      <c r="B7" s="4009" t="s">
        <v>3350</v>
      </c>
      <c r="C7" s="4127" t="s">
        <v>255</v>
      </c>
      <c r="D7" s="4127"/>
      <c r="E7" s="4009" t="s">
        <v>3351</v>
      </c>
      <c r="F7" s="4009" t="s">
        <v>3352</v>
      </c>
      <c r="G7" s="4009"/>
      <c r="H7" s="4009" t="s">
        <v>3353</v>
      </c>
      <c r="I7" s="4009" t="s">
        <v>3354</v>
      </c>
      <c r="J7" s="4009" t="s">
        <v>3355</v>
      </c>
      <c r="K7" s="4009" t="s">
        <v>3356</v>
      </c>
      <c r="L7" s="4009" t="s">
        <v>3357</v>
      </c>
      <c r="M7" s="4128" t="s">
        <v>3358</v>
      </c>
      <c r="N7" s="4128" t="s">
        <v>3359</v>
      </c>
      <c r="O7" s="4129" t="s">
        <v>345</v>
      </c>
      <c r="P7" s="4124" t="s">
        <v>255</v>
      </c>
      <c r="Q7" s="4124"/>
      <c r="R7" s="359"/>
      <c r="S7" s="359"/>
      <c r="T7" s="364"/>
      <c r="U7" s="364"/>
      <c r="V7" s="364"/>
      <c r="W7" s="364"/>
      <c r="X7" s="364"/>
      <c r="Y7" s="364"/>
      <c r="Z7" s="364"/>
      <c r="AA7" s="364"/>
      <c r="AB7" s="364"/>
      <c r="AC7" s="364"/>
      <c r="AD7" s="364"/>
      <c r="AE7" s="364"/>
      <c r="AF7" s="364"/>
      <c r="AG7" s="364"/>
      <c r="AH7" s="364"/>
      <c r="AI7" s="364"/>
      <c r="AJ7" s="364"/>
      <c r="AK7" s="364"/>
      <c r="AL7" s="364"/>
      <c r="AM7" s="364"/>
      <c r="AN7" s="364"/>
      <c r="AO7" s="364"/>
      <c r="AP7" s="364"/>
      <c r="AQ7" s="364"/>
      <c r="AR7" s="364"/>
      <c r="AS7" s="364"/>
      <c r="AT7" s="364"/>
      <c r="AU7" s="364"/>
      <c r="AV7" s="364"/>
      <c r="AW7" s="364"/>
      <c r="AX7" s="364"/>
      <c r="AY7" s="364"/>
      <c r="AZ7" s="364"/>
      <c r="BA7" s="364"/>
      <c r="BB7" s="364"/>
    </row>
    <row r="8" spans="1:54" ht="90" customHeight="1">
      <c r="A8" s="4009"/>
      <c r="B8" s="4009"/>
      <c r="C8" s="521" t="s">
        <v>7</v>
      </c>
      <c r="D8" s="521" t="s">
        <v>8</v>
      </c>
      <c r="E8" s="4009"/>
      <c r="F8" s="627" t="s">
        <v>3360</v>
      </c>
      <c r="G8" s="627" t="s">
        <v>3361</v>
      </c>
      <c r="H8" s="4009"/>
      <c r="I8" s="4009"/>
      <c r="J8" s="4009"/>
      <c r="K8" s="4009"/>
      <c r="L8" s="4009"/>
      <c r="M8" s="4128"/>
      <c r="N8" s="4128"/>
      <c r="O8" s="4129"/>
      <c r="P8" s="520" t="s">
        <v>7</v>
      </c>
      <c r="Q8" s="519" t="s">
        <v>8</v>
      </c>
      <c r="R8" s="359"/>
      <c r="S8" s="359"/>
      <c r="T8" s="364"/>
      <c r="U8" s="364"/>
      <c r="V8" s="364"/>
      <c r="W8" s="364"/>
      <c r="X8" s="364"/>
      <c r="Y8" s="364"/>
      <c r="Z8" s="364"/>
      <c r="AA8" s="364"/>
      <c r="AB8" s="364"/>
      <c r="AC8" s="364"/>
      <c r="AD8" s="364"/>
      <c r="AE8" s="364"/>
      <c r="AF8" s="364"/>
      <c r="AG8" s="364"/>
      <c r="AH8" s="364"/>
      <c r="AI8" s="364"/>
      <c r="AJ8" s="364"/>
      <c r="AK8" s="364"/>
      <c r="AL8" s="364"/>
      <c r="AM8" s="364"/>
      <c r="AN8" s="364"/>
      <c r="AO8" s="364"/>
      <c r="AP8" s="364"/>
      <c r="AQ8" s="364"/>
      <c r="AR8" s="364"/>
      <c r="AS8" s="364"/>
      <c r="AT8" s="364"/>
      <c r="AU8" s="364"/>
      <c r="AV8" s="364"/>
      <c r="AW8" s="364"/>
      <c r="AX8" s="364"/>
      <c r="AY8" s="364"/>
      <c r="AZ8" s="364"/>
      <c r="BA8" s="364"/>
      <c r="BB8" s="364"/>
    </row>
    <row r="9" spans="1:54">
      <c r="A9" s="365">
        <v>1</v>
      </c>
      <c r="B9" s="365">
        <f t="shared" ref="B9:Q9" si="0">A9+1</f>
        <v>2</v>
      </c>
      <c r="C9" s="365">
        <f t="shared" si="0"/>
        <v>3</v>
      </c>
      <c r="D9" s="365">
        <f t="shared" si="0"/>
        <v>4</v>
      </c>
      <c r="E9" s="365">
        <f t="shared" si="0"/>
        <v>5</v>
      </c>
      <c r="F9" s="365">
        <f t="shared" si="0"/>
        <v>6</v>
      </c>
      <c r="G9" s="365">
        <f t="shared" si="0"/>
        <v>7</v>
      </c>
      <c r="H9" s="365">
        <f t="shared" si="0"/>
        <v>8</v>
      </c>
      <c r="I9" s="365">
        <f t="shared" si="0"/>
        <v>9</v>
      </c>
      <c r="J9" s="365">
        <f t="shared" si="0"/>
        <v>10</v>
      </c>
      <c r="K9" s="365">
        <f t="shared" si="0"/>
        <v>11</v>
      </c>
      <c r="L9" s="365">
        <f t="shared" si="0"/>
        <v>12</v>
      </c>
      <c r="M9" s="365">
        <f t="shared" si="0"/>
        <v>13</v>
      </c>
      <c r="N9" s="365">
        <f t="shared" si="0"/>
        <v>14</v>
      </c>
      <c r="O9" s="365">
        <f t="shared" si="0"/>
        <v>15</v>
      </c>
      <c r="P9" s="365">
        <f t="shared" si="0"/>
        <v>16</v>
      </c>
      <c r="Q9" s="365">
        <f t="shared" si="0"/>
        <v>17</v>
      </c>
      <c r="R9" s="359"/>
      <c r="S9" s="359"/>
      <c r="T9" s="364"/>
      <c r="U9" s="364"/>
      <c r="V9" s="364"/>
      <c r="W9" s="364"/>
      <c r="X9" s="364"/>
      <c r="Y9" s="364"/>
      <c r="Z9" s="364"/>
      <c r="AA9" s="364"/>
      <c r="AB9" s="364"/>
      <c r="AC9" s="364"/>
      <c r="AD9" s="364"/>
      <c r="AE9" s="364"/>
      <c r="AF9" s="364"/>
      <c r="AG9" s="364"/>
      <c r="AH9" s="364"/>
      <c r="AI9" s="364"/>
      <c r="AJ9" s="364"/>
      <c r="AK9" s="364"/>
      <c r="AL9" s="364"/>
      <c r="AM9" s="364"/>
      <c r="AN9" s="364"/>
      <c r="AO9" s="364"/>
      <c r="AP9" s="364"/>
      <c r="AQ9" s="364"/>
      <c r="AR9" s="364"/>
      <c r="AS9" s="364"/>
      <c r="AT9" s="364"/>
      <c r="AU9" s="364"/>
      <c r="AV9" s="364"/>
      <c r="AW9" s="364"/>
      <c r="AX9" s="364"/>
      <c r="AY9" s="364"/>
      <c r="AZ9" s="364"/>
      <c r="BA9" s="364"/>
      <c r="BB9" s="364"/>
    </row>
    <row r="10" spans="1:54">
      <c r="A10" s="369" t="s">
        <v>306</v>
      </c>
      <c r="B10" s="365"/>
      <c r="C10" s="365"/>
      <c r="D10" s="365"/>
      <c r="E10" s="365"/>
      <c r="F10" s="365"/>
      <c r="G10" s="365"/>
      <c r="H10" s="365"/>
      <c r="I10" s="365"/>
      <c r="J10" s="365"/>
      <c r="K10" s="369">
        <f>SUM(K11+K18+K19+K20)</f>
        <v>7421.1490000000003</v>
      </c>
      <c r="L10" s="369">
        <f>SUM(L11+L18+L19+L20)</f>
        <v>2795.24</v>
      </c>
      <c r="M10" s="366"/>
      <c r="N10" s="366"/>
      <c r="O10" s="1505">
        <f>O11+O18+O19+O20</f>
        <v>294174762.60000002</v>
      </c>
      <c r="P10" s="369">
        <f>SUM(P11:P11)</f>
        <v>92338168.599999994</v>
      </c>
      <c r="Q10" s="369">
        <f>SUM(Q11:Q11)</f>
        <v>0</v>
      </c>
      <c r="R10" s="359"/>
      <c r="S10" s="359"/>
      <c r="T10" s="364"/>
      <c r="U10" s="364"/>
      <c r="V10" s="364"/>
      <c r="W10" s="364"/>
      <c r="X10" s="364"/>
      <c r="Y10" s="364"/>
      <c r="Z10" s="364"/>
      <c r="AA10" s="364"/>
      <c r="AB10" s="364"/>
      <c r="AC10" s="364"/>
      <c r="AD10" s="364"/>
      <c r="AE10" s="364"/>
      <c r="AF10" s="364"/>
      <c r="AG10" s="364"/>
      <c r="AH10" s="364"/>
      <c r="AI10" s="364"/>
      <c r="AJ10" s="364"/>
      <c r="AK10" s="364"/>
      <c r="AL10" s="364"/>
      <c r="AM10" s="364"/>
      <c r="AN10" s="364"/>
      <c r="AO10" s="364"/>
      <c r="AP10" s="364"/>
      <c r="AQ10" s="364"/>
      <c r="AR10" s="364"/>
      <c r="AS10" s="364"/>
      <c r="AT10" s="364"/>
      <c r="AU10" s="364"/>
      <c r="AV10" s="364"/>
      <c r="AW10" s="364"/>
      <c r="AX10" s="364"/>
      <c r="AY10" s="364"/>
      <c r="AZ10" s="364"/>
      <c r="BA10" s="364"/>
      <c r="BB10" s="364"/>
    </row>
    <row r="11" spans="1:54" ht="25.5">
      <c r="A11" s="917" t="s">
        <v>3362</v>
      </c>
      <c r="B11" s="367">
        <f>B12+B13+B14+B15+B16+B17</f>
        <v>16568</v>
      </c>
      <c r="C11" s="918"/>
      <c r="D11" s="1521">
        <f>B11</f>
        <v>16568</v>
      </c>
      <c r="E11" s="918">
        <v>3</v>
      </c>
      <c r="F11" s="918">
        <v>182</v>
      </c>
      <c r="G11" s="918">
        <v>183</v>
      </c>
      <c r="H11" s="918">
        <f>ROUND(423954.28/0.85/182,3)</f>
        <v>2740.4929999999999</v>
      </c>
      <c r="I11" s="918">
        <f>ROUND(160562.32/0.85/183,3)</f>
        <v>1032.223</v>
      </c>
      <c r="J11" s="918">
        <v>0.85</v>
      </c>
      <c r="K11" s="365">
        <f>ROUND(H11*J11,3)</f>
        <v>2329.4189999999999</v>
      </c>
      <c r="L11" s="365">
        <f>ROUND(I11*J11,3)</f>
        <v>877.39</v>
      </c>
      <c r="M11" s="918">
        <f>ROUND(160*1.07,1)</f>
        <v>171.2</v>
      </c>
      <c r="N11" s="918">
        <f>ROUND(115*1.07,2)</f>
        <v>123.05</v>
      </c>
      <c r="O11" s="367">
        <f>ROUND(F11*K11*M11+G11*L11*N11,2)</f>
        <v>92338168.599999994</v>
      </c>
      <c r="P11" s="368">
        <f>O11</f>
        <v>92338168.599999994</v>
      </c>
      <c r="Q11" s="367">
        <f>O11-P11</f>
        <v>0</v>
      </c>
      <c r="R11" s="359"/>
      <c r="S11" s="359"/>
      <c r="T11" s="364"/>
      <c r="U11" s="364"/>
      <c r="V11" s="364"/>
      <c r="W11" s="364"/>
      <c r="X11" s="364"/>
      <c r="Y11" s="364"/>
      <c r="Z11" s="364"/>
      <c r="AA11" s="364"/>
      <c r="AB11" s="364"/>
      <c r="AC11" s="364"/>
      <c r="AD11" s="364"/>
      <c r="AE11" s="364"/>
      <c r="AF11" s="364"/>
      <c r="AG11" s="364"/>
      <c r="AH11" s="364"/>
      <c r="AI11" s="364"/>
      <c r="AJ11" s="364"/>
      <c r="AK11" s="364"/>
      <c r="AL11" s="364"/>
      <c r="AM11" s="364"/>
      <c r="AN11" s="364"/>
      <c r="AO11" s="364"/>
      <c r="AP11" s="364"/>
      <c r="AQ11" s="364"/>
      <c r="AR11" s="364"/>
      <c r="AS11" s="364"/>
      <c r="AT11" s="364"/>
      <c r="AU11" s="364"/>
      <c r="AV11" s="364"/>
      <c r="AW11" s="364"/>
      <c r="AX11" s="364"/>
      <c r="AY11" s="364"/>
      <c r="AZ11" s="364"/>
      <c r="BA11" s="364"/>
      <c r="BB11" s="364"/>
    </row>
    <row r="12" spans="1:54" hidden="1">
      <c r="A12" s="1459" t="s">
        <v>3363</v>
      </c>
      <c r="B12" s="1460">
        <v>8820</v>
      </c>
      <c r="C12" s="918"/>
      <c r="D12" s="1521">
        <f t="shared" ref="D12:D20" si="1">B12</f>
        <v>8820</v>
      </c>
      <c r="E12" s="918">
        <v>3</v>
      </c>
      <c r="F12" s="918">
        <v>182</v>
      </c>
      <c r="G12" s="918">
        <v>183</v>
      </c>
      <c r="H12" s="918">
        <f>ROUND(163064/0.85/182,2)</f>
        <v>1054.07</v>
      </c>
      <c r="I12" s="918">
        <f>ROUND(61756/0.85/183,2)</f>
        <v>397.02</v>
      </c>
      <c r="J12" s="918">
        <v>0.85</v>
      </c>
      <c r="K12" s="365">
        <f>ROUND(H12*J12,2)</f>
        <v>895.96</v>
      </c>
      <c r="L12" s="365">
        <f>ROUND(I12*J12,2)</f>
        <v>337.47</v>
      </c>
      <c r="M12" s="918">
        <f>ROUND(160*1.07,1)</f>
        <v>171.2</v>
      </c>
      <c r="N12" s="918">
        <f t="shared" ref="N12:N17" si="2">ROUND(115*1.07,1)</f>
        <v>123.1</v>
      </c>
      <c r="O12" s="367">
        <f t="shared" ref="O12:O17" si="3">F12*K12*M12+G12*L12*N12</f>
        <v>35518967.994999997</v>
      </c>
      <c r="P12" s="368"/>
      <c r="Q12" s="367"/>
      <c r="R12" s="359"/>
      <c r="S12" s="359"/>
      <c r="T12" s="364"/>
      <c r="U12" s="364"/>
      <c r="V12" s="364"/>
      <c r="W12" s="364"/>
      <c r="X12" s="364"/>
      <c r="Y12" s="364"/>
      <c r="Z12" s="364"/>
      <c r="AA12" s="364"/>
      <c r="AB12" s="364"/>
      <c r="AC12" s="364"/>
      <c r="AD12" s="364"/>
      <c r="AE12" s="364"/>
      <c r="AF12" s="364"/>
      <c r="AG12" s="364"/>
      <c r="AH12" s="364"/>
      <c r="AI12" s="364"/>
      <c r="AJ12" s="364"/>
      <c r="AK12" s="364"/>
      <c r="AL12" s="364"/>
      <c r="AM12" s="364"/>
      <c r="AN12" s="364"/>
      <c r="AO12" s="364"/>
      <c r="AP12" s="364"/>
      <c r="AQ12" s="364"/>
      <c r="AR12" s="364"/>
      <c r="AS12" s="364"/>
      <c r="AT12" s="364"/>
      <c r="AU12" s="364"/>
      <c r="AV12" s="364"/>
      <c r="AW12" s="364"/>
      <c r="AX12" s="364"/>
      <c r="AY12" s="364"/>
      <c r="AZ12" s="364"/>
      <c r="BA12" s="364"/>
      <c r="BB12" s="364"/>
    </row>
    <row r="13" spans="1:54" hidden="1">
      <c r="A13" s="1459" t="s">
        <v>3364</v>
      </c>
      <c r="B13" s="1460">
        <v>3787</v>
      </c>
      <c r="C13" s="918"/>
      <c r="D13" s="1521">
        <f t="shared" si="1"/>
        <v>3787</v>
      </c>
      <c r="E13" s="918">
        <v>3</v>
      </c>
      <c r="F13" s="918">
        <v>182</v>
      </c>
      <c r="G13" s="918">
        <v>183</v>
      </c>
      <c r="H13" s="918">
        <f>ROUND(70261/0.85/182,2)</f>
        <v>454.18</v>
      </c>
      <c r="I13" s="918">
        <f>ROUND(26610/0.85/183,2)</f>
        <v>171.07</v>
      </c>
      <c r="J13" s="918">
        <v>0.85</v>
      </c>
      <c r="K13" s="365">
        <f>ROUND(H13*J13,2)</f>
        <v>386.05</v>
      </c>
      <c r="L13" s="365">
        <f>ROUND(I13*J13,2)</f>
        <v>145.41</v>
      </c>
      <c r="M13" s="918">
        <f t="shared" ref="M13:M19" si="4">ROUND(160*1.07,1)</f>
        <v>171.2</v>
      </c>
      <c r="N13" s="918">
        <f t="shared" si="2"/>
        <v>123.1</v>
      </c>
      <c r="O13" s="367">
        <f t="shared" si="3"/>
        <v>15304395.013</v>
      </c>
      <c r="P13" s="368"/>
      <c r="Q13" s="367"/>
      <c r="R13" s="359"/>
      <c r="S13" s="359"/>
      <c r="T13" s="364"/>
      <c r="U13" s="364"/>
      <c r="V13" s="364"/>
      <c r="W13" s="364"/>
      <c r="X13" s="364"/>
      <c r="Y13" s="364"/>
      <c r="Z13" s="364"/>
      <c r="AA13" s="364"/>
      <c r="AB13" s="364"/>
      <c r="AC13" s="364"/>
      <c r="AD13" s="364"/>
      <c r="AE13" s="364"/>
      <c r="AF13" s="364"/>
      <c r="AG13" s="364"/>
      <c r="AH13" s="364"/>
      <c r="AI13" s="364"/>
      <c r="AJ13" s="364"/>
      <c r="AK13" s="364"/>
      <c r="AL13" s="364"/>
      <c r="AM13" s="364"/>
      <c r="AN13" s="364"/>
      <c r="AO13" s="364"/>
      <c r="AP13" s="364"/>
      <c r="AQ13" s="364"/>
      <c r="AR13" s="364"/>
      <c r="AS13" s="364"/>
      <c r="AT13" s="364"/>
      <c r="AU13" s="364"/>
      <c r="AV13" s="364"/>
      <c r="AW13" s="364"/>
      <c r="AX13" s="364"/>
      <c r="AY13" s="364"/>
      <c r="AZ13" s="364"/>
      <c r="BA13" s="364"/>
      <c r="BB13" s="364"/>
    </row>
    <row r="14" spans="1:54" hidden="1">
      <c r="A14" s="1459" t="s">
        <v>3365</v>
      </c>
      <c r="B14" s="1460">
        <v>1223</v>
      </c>
      <c r="C14" s="918"/>
      <c r="D14" s="1521">
        <f t="shared" si="1"/>
        <v>1223</v>
      </c>
      <c r="E14" s="918">
        <v>3</v>
      </c>
      <c r="F14" s="918">
        <v>182</v>
      </c>
      <c r="G14" s="918">
        <v>183</v>
      </c>
      <c r="H14" s="918">
        <f>ROUND(22445/0.85/182,2)</f>
        <v>145.09</v>
      </c>
      <c r="I14" s="918">
        <f>ROUND(8500/0.85/183,2)</f>
        <v>54.64</v>
      </c>
      <c r="J14" s="918">
        <v>0.85</v>
      </c>
      <c r="K14" s="365">
        <f t="shared" ref="K14:K20" si="5">ROUND(H14*J14,2)</f>
        <v>123.33</v>
      </c>
      <c r="L14" s="365">
        <f t="shared" ref="L14:L20" si="6">ROUND(I14*J14,2)</f>
        <v>46.44</v>
      </c>
      <c r="M14" s="918">
        <f t="shared" si="4"/>
        <v>171.2</v>
      </c>
      <c r="N14" s="918">
        <f t="shared" si="2"/>
        <v>123.1</v>
      </c>
      <c r="O14" s="367">
        <f t="shared" si="3"/>
        <v>4888933.284</v>
      </c>
      <c r="P14" s="368"/>
      <c r="Q14" s="367"/>
      <c r="R14" s="359"/>
      <c r="S14" s="359"/>
      <c r="T14" s="364"/>
      <c r="U14" s="364"/>
      <c r="V14" s="364"/>
      <c r="W14" s="364"/>
      <c r="X14" s="364"/>
      <c r="Y14" s="364"/>
      <c r="Z14" s="364"/>
      <c r="AA14" s="364"/>
      <c r="AB14" s="364"/>
      <c r="AC14" s="364"/>
      <c r="AD14" s="364"/>
      <c r="AE14" s="364"/>
      <c r="AF14" s="364"/>
      <c r="AG14" s="364"/>
      <c r="AH14" s="364"/>
      <c r="AI14" s="364"/>
      <c r="AJ14" s="364"/>
      <c r="AK14" s="364"/>
      <c r="AL14" s="364"/>
      <c r="AM14" s="364"/>
      <c r="AN14" s="364"/>
      <c r="AO14" s="364"/>
      <c r="AP14" s="364"/>
      <c r="AQ14" s="364"/>
      <c r="AR14" s="364"/>
      <c r="AS14" s="364"/>
      <c r="AT14" s="364"/>
      <c r="AU14" s="364"/>
      <c r="AV14" s="364"/>
      <c r="AW14" s="364"/>
      <c r="AX14" s="364"/>
      <c r="AY14" s="364"/>
      <c r="AZ14" s="364"/>
      <c r="BA14" s="364"/>
      <c r="BB14" s="364"/>
    </row>
    <row r="15" spans="1:54" hidden="1">
      <c r="A15" s="1459" t="s">
        <v>3366</v>
      </c>
      <c r="B15" s="1460">
        <v>1503</v>
      </c>
      <c r="C15" s="918"/>
      <c r="D15" s="1521">
        <f t="shared" si="1"/>
        <v>1503</v>
      </c>
      <c r="E15" s="918">
        <v>3</v>
      </c>
      <c r="F15" s="918">
        <v>182</v>
      </c>
      <c r="G15" s="918">
        <v>183</v>
      </c>
      <c r="H15" s="918">
        <f>ROUND(27324/0.85/182,2)</f>
        <v>176.63</v>
      </c>
      <c r="I15" s="918">
        <f>ROUND(10348/0.85/183,2)</f>
        <v>66.53</v>
      </c>
      <c r="J15" s="918">
        <v>0.85</v>
      </c>
      <c r="K15" s="365">
        <f t="shared" si="5"/>
        <v>150.13999999999999</v>
      </c>
      <c r="L15" s="365">
        <f t="shared" si="6"/>
        <v>56.55</v>
      </c>
      <c r="M15" s="918">
        <f t="shared" si="4"/>
        <v>171.2</v>
      </c>
      <c r="N15" s="918">
        <f t="shared" si="2"/>
        <v>123.1</v>
      </c>
      <c r="O15" s="367">
        <f t="shared" si="3"/>
        <v>5952040.9909999985</v>
      </c>
      <c r="P15" s="368"/>
      <c r="Q15" s="367"/>
      <c r="R15" s="359"/>
      <c r="S15" s="359"/>
      <c r="T15" s="364"/>
      <c r="U15" s="364"/>
      <c r="V15" s="364"/>
      <c r="W15" s="364"/>
      <c r="X15" s="364"/>
      <c r="Y15" s="364"/>
      <c r="Z15" s="364"/>
      <c r="AA15" s="364"/>
      <c r="AB15" s="364"/>
      <c r="AC15" s="364"/>
      <c r="AD15" s="364"/>
      <c r="AE15" s="364"/>
      <c r="AF15" s="364"/>
      <c r="AG15" s="364"/>
      <c r="AH15" s="364"/>
      <c r="AI15" s="364"/>
      <c r="AJ15" s="364"/>
      <c r="AK15" s="364"/>
      <c r="AL15" s="364"/>
      <c r="AM15" s="364"/>
      <c r="AN15" s="364"/>
      <c r="AO15" s="364"/>
      <c r="AP15" s="364"/>
      <c r="AQ15" s="364"/>
      <c r="AR15" s="364"/>
      <c r="AS15" s="364"/>
      <c r="AT15" s="364"/>
      <c r="AU15" s="364"/>
      <c r="AV15" s="364"/>
      <c r="AW15" s="364"/>
      <c r="AX15" s="364"/>
      <c r="AY15" s="364"/>
      <c r="AZ15" s="364"/>
      <c r="BA15" s="364"/>
      <c r="BB15" s="364"/>
    </row>
    <row r="16" spans="1:54" hidden="1">
      <c r="A16" s="1459" t="s">
        <v>3367</v>
      </c>
      <c r="B16" s="1460">
        <v>605</v>
      </c>
      <c r="C16" s="918"/>
      <c r="D16" s="1521">
        <f t="shared" si="1"/>
        <v>605</v>
      </c>
      <c r="E16" s="918">
        <v>3</v>
      </c>
      <c r="F16" s="918">
        <v>182</v>
      </c>
      <c r="G16" s="918">
        <v>183</v>
      </c>
      <c r="H16" s="918">
        <f>ROUND(10734/0.85/182,2)</f>
        <v>69.39</v>
      </c>
      <c r="I16" s="918">
        <f>ROUND(4065/0.85/183,2)</f>
        <v>26.13</v>
      </c>
      <c r="J16" s="918">
        <v>0.85</v>
      </c>
      <c r="K16" s="365">
        <f t="shared" si="5"/>
        <v>58.98</v>
      </c>
      <c r="L16" s="365">
        <f t="shared" si="6"/>
        <v>22.21</v>
      </c>
      <c r="M16" s="918">
        <f t="shared" si="4"/>
        <v>171.2</v>
      </c>
      <c r="N16" s="918">
        <f t="shared" si="2"/>
        <v>123.1</v>
      </c>
      <c r="O16" s="367">
        <f t="shared" si="3"/>
        <v>2338053.7649999997</v>
      </c>
      <c r="P16" s="368"/>
      <c r="Q16" s="367"/>
      <c r="R16" s="359"/>
      <c r="S16" s="359"/>
      <c r="T16" s="364"/>
      <c r="U16" s="364"/>
      <c r="V16" s="364"/>
      <c r="W16" s="364"/>
      <c r="X16" s="364"/>
      <c r="Y16" s="364"/>
      <c r="Z16" s="364"/>
      <c r="AA16" s="364"/>
      <c r="AB16" s="364"/>
      <c r="AC16" s="364"/>
      <c r="AD16" s="364"/>
      <c r="AE16" s="364"/>
      <c r="AF16" s="364"/>
      <c r="AG16" s="364"/>
      <c r="AH16" s="364"/>
      <c r="AI16" s="364"/>
      <c r="AJ16" s="364"/>
      <c r="AK16" s="364"/>
      <c r="AL16" s="364"/>
      <c r="AM16" s="364"/>
      <c r="AN16" s="364"/>
      <c r="AO16" s="364"/>
      <c r="AP16" s="364"/>
      <c r="AQ16" s="364"/>
      <c r="AR16" s="364"/>
      <c r="AS16" s="364"/>
      <c r="AT16" s="364"/>
      <c r="AU16" s="364"/>
      <c r="AV16" s="364"/>
      <c r="AW16" s="364"/>
      <c r="AX16" s="364"/>
      <c r="AY16" s="364"/>
      <c r="AZ16" s="364"/>
      <c r="BA16" s="364"/>
      <c r="BB16" s="364"/>
    </row>
    <row r="17" spans="1:54" hidden="1">
      <c r="A17" s="1459" t="s">
        <v>3368</v>
      </c>
      <c r="B17" s="1460">
        <v>630</v>
      </c>
      <c r="C17" s="918"/>
      <c r="D17" s="1521">
        <f t="shared" si="1"/>
        <v>630</v>
      </c>
      <c r="E17" s="918">
        <v>3</v>
      </c>
      <c r="F17" s="918">
        <v>182</v>
      </c>
      <c r="G17" s="918">
        <v>183</v>
      </c>
      <c r="H17" s="918">
        <f>ROUND(11710/0.85/182,2)</f>
        <v>75.69</v>
      </c>
      <c r="I17" s="918">
        <f>ROUND(4435/0.85/183,2)</f>
        <v>28.51</v>
      </c>
      <c r="J17" s="918">
        <v>0.85</v>
      </c>
      <c r="K17" s="365">
        <f t="shared" si="5"/>
        <v>64.34</v>
      </c>
      <c r="L17" s="365">
        <f t="shared" si="6"/>
        <v>24.23</v>
      </c>
      <c r="M17" s="918">
        <f t="shared" si="4"/>
        <v>171.2</v>
      </c>
      <c r="N17" s="918">
        <f t="shared" si="2"/>
        <v>123.1</v>
      </c>
      <c r="O17" s="367">
        <f t="shared" si="3"/>
        <v>2550567.9350000001</v>
      </c>
      <c r="P17" s="368"/>
      <c r="Q17" s="367"/>
      <c r="R17" s="359"/>
      <c r="S17" s="359"/>
      <c r="T17" s="364"/>
      <c r="U17" s="364"/>
      <c r="V17" s="364"/>
      <c r="W17" s="364"/>
      <c r="X17" s="364"/>
      <c r="Y17" s="364"/>
      <c r="Z17" s="364"/>
      <c r="AA17" s="364"/>
      <c r="AB17" s="364"/>
      <c r="AC17" s="364"/>
      <c r="AD17" s="364"/>
      <c r="AE17" s="364"/>
      <c r="AF17" s="364"/>
      <c r="AG17" s="364"/>
      <c r="AH17" s="364"/>
      <c r="AI17" s="364"/>
      <c r="AJ17" s="364"/>
      <c r="AK17" s="364"/>
      <c r="AL17" s="364"/>
      <c r="AM17" s="364"/>
      <c r="AN17" s="364"/>
      <c r="AO17" s="364"/>
      <c r="AP17" s="364"/>
      <c r="AQ17" s="364"/>
      <c r="AR17" s="364"/>
      <c r="AS17" s="364"/>
      <c r="AT17" s="364"/>
      <c r="AU17" s="364"/>
      <c r="AV17" s="364"/>
      <c r="AW17" s="364"/>
      <c r="AX17" s="364"/>
      <c r="AY17" s="364"/>
      <c r="AZ17" s="364"/>
      <c r="BA17" s="364"/>
      <c r="BB17" s="364"/>
    </row>
    <row r="18" spans="1:54" ht="25.5">
      <c r="A18" s="1459" t="s">
        <v>3369</v>
      </c>
      <c r="B18" s="1474">
        <v>15941</v>
      </c>
      <c r="C18" s="918"/>
      <c r="D18" s="1521">
        <f t="shared" si="1"/>
        <v>15941</v>
      </c>
      <c r="E18" s="918">
        <v>3</v>
      </c>
      <c r="F18" s="918">
        <v>182</v>
      </c>
      <c r="G18" s="918">
        <v>183</v>
      </c>
      <c r="H18" s="918">
        <f>ROUND(407910.14/0.85/182,2)</f>
        <v>2636.78</v>
      </c>
      <c r="I18" s="918">
        <f>ROUND(154485.99/0.85/183,2)</f>
        <v>993.16</v>
      </c>
      <c r="J18" s="918">
        <v>0.85</v>
      </c>
      <c r="K18" s="365">
        <f t="shared" si="5"/>
        <v>2241.2600000000002</v>
      </c>
      <c r="L18" s="365">
        <f t="shared" si="6"/>
        <v>844.19</v>
      </c>
      <c r="M18" s="918">
        <f t="shared" si="4"/>
        <v>171.2</v>
      </c>
      <c r="N18" s="918">
        <f>ROUND(115*1.07,2)</f>
        <v>123.05</v>
      </c>
      <c r="O18" s="366">
        <f>ROUND(F18*K18*M18+G18*L18*N18,2)</f>
        <v>88843672.629999995</v>
      </c>
      <c r="P18" s="368"/>
      <c r="Q18" s="367"/>
      <c r="R18" s="359"/>
      <c r="S18" s="359"/>
      <c r="T18" s="364"/>
      <c r="U18" s="364"/>
      <c r="V18" s="364"/>
      <c r="W18" s="364"/>
      <c r="X18" s="364"/>
      <c r="Y18" s="364"/>
      <c r="Z18" s="364"/>
      <c r="AA18" s="364"/>
      <c r="AB18" s="364"/>
      <c r="AC18" s="364"/>
      <c r="AD18" s="364"/>
      <c r="AE18" s="364"/>
      <c r="AF18" s="364"/>
      <c r="AG18" s="364"/>
      <c r="AH18" s="364"/>
      <c r="AI18" s="364"/>
      <c r="AJ18" s="364"/>
      <c r="AK18" s="364"/>
      <c r="AL18" s="364"/>
      <c r="AM18" s="364"/>
      <c r="AN18" s="364"/>
      <c r="AO18" s="364"/>
      <c r="AP18" s="364"/>
      <c r="AQ18" s="364"/>
      <c r="AR18" s="364"/>
      <c r="AS18" s="364"/>
      <c r="AT18" s="364"/>
      <c r="AU18" s="364"/>
      <c r="AV18" s="364"/>
      <c r="AW18" s="364"/>
      <c r="AX18" s="364"/>
      <c r="AY18" s="364"/>
      <c r="AZ18" s="364"/>
      <c r="BA18" s="364"/>
      <c r="BB18" s="364"/>
    </row>
    <row r="19" spans="1:54" ht="25.5">
      <c r="A19" s="1459" t="s">
        <v>3370</v>
      </c>
      <c r="B19" s="1474">
        <v>15941</v>
      </c>
      <c r="C19" s="918"/>
      <c r="D19" s="1521">
        <f t="shared" si="1"/>
        <v>15941</v>
      </c>
      <c r="E19" s="918">
        <v>3</v>
      </c>
      <c r="F19" s="918">
        <v>182</v>
      </c>
      <c r="G19" s="918">
        <v>183</v>
      </c>
      <c r="H19" s="918">
        <f>ROUND(407910.14/0.85/182,2)</f>
        <v>2636.78</v>
      </c>
      <c r="I19" s="918">
        <f>ROUND(154485.99/0.85/183,2)</f>
        <v>993.16</v>
      </c>
      <c r="J19" s="918">
        <v>0.85</v>
      </c>
      <c r="K19" s="365">
        <f t="shared" si="5"/>
        <v>2241.2600000000002</v>
      </c>
      <c r="L19" s="365">
        <f t="shared" si="6"/>
        <v>844.19</v>
      </c>
      <c r="M19" s="918">
        <f t="shared" si="4"/>
        <v>171.2</v>
      </c>
      <c r="N19" s="918">
        <f>ROUND(115*1.07,2)</f>
        <v>123.05</v>
      </c>
      <c r="O19" s="366">
        <f>ROUND(F19*K19*M19+G19*L19*N19,2)</f>
        <v>88843672.629999995</v>
      </c>
      <c r="P19" s="368"/>
      <c r="Q19" s="367"/>
      <c r="R19" s="359"/>
      <c r="S19" s="359"/>
      <c r="T19" s="364"/>
      <c r="U19" s="364"/>
      <c r="V19" s="364"/>
      <c r="W19" s="364"/>
      <c r="X19" s="364"/>
      <c r="Y19" s="364"/>
      <c r="Z19" s="364"/>
      <c r="AA19" s="364"/>
      <c r="AB19" s="364"/>
      <c r="AC19" s="364"/>
      <c r="AD19" s="364"/>
      <c r="AE19" s="364"/>
      <c r="AF19" s="364"/>
      <c r="AG19" s="364"/>
      <c r="AH19" s="364"/>
      <c r="AI19" s="364"/>
      <c r="AJ19" s="364"/>
      <c r="AK19" s="364"/>
      <c r="AL19" s="364"/>
      <c r="AM19" s="364"/>
      <c r="AN19" s="364"/>
      <c r="AO19" s="364"/>
      <c r="AP19" s="364"/>
      <c r="AQ19" s="364"/>
      <c r="AR19" s="364"/>
      <c r="AS19" s="364"/>
      <c r="AT19" s="364"/>
      <c r="AU19" s="364"/>
      <c r="AV19" s="364"/>
      <c r="AW19" s="364"/>
      <c r="AX19" s="364"/>
      <c r="AY19" s="364"/>
      <c r="AZ19" s="364"/>
      <c r="BA19" s="364"/>
      <c r="BB19" s="364"/>
    </row>
    <row r="20" spans="1:54" ht="25.5">
      <c r="A20" s="1459" t="s">
        <v>3371</v>
      </c>
      <c r="B20" s="1460">
        <v>4333</v>
      </c>
      <c r="C20" s="918"/>
      <c r="D20" s="1521">
        <f t="shared" si="1"/>
        <v>4333</v>
      </c>
      <c r="E20" s="918">
        <v>3</v>
      </c>
      <c r="F20" s="918">
        <v>182</v>
      </c>
      <c r="G20" s="918">
        <v>183</v>
      </c>
      <c r="H20" s="918">
        <f>ROUND(110876.02/0.85/182,2)</f>
        <v>716.72</v>
      </c>
      <c r="I20" s="918">
        <f>ROUND(41991.58/0.85/183,2)</f>
        <v>269.95999999999998</v>
      </c>
      <c r="J20" s="918">
        <v>0.85</v>
      </c>
      <c r="K20" s="365">
        <f t="shared" si="5"/>
        <v>609.21</v>
      </c>
      <c r="L20" s="365">
        <f t="shared" si="6"/>
        <v>229.47</v>
      </c>
      <c r="M20" s="918">
        <f>ROUND(160*1.07,1)</f>
        <v>171.2</v>
      </c>
      <c r="N20" s="918">
        <f>ROUND(115*1.07,2)</f>
        <v>123.05</v>
      </c>
      <c r="O20" s="366">
        <f>ROUND(F20*K20*M20+G20*L20*N20,2)</f>
        <v>24149248.739999998</v>
      </c>
      <c r="P20" s="368"/>
      <c r="Q20" s="367"/>
      <c r="R20" s="359"/>
      <c r="S20" s="359"/>
      <c r="T20" s="364"/>
      <c r="U20" s="364"/>
      <c r="V20" s="364"/>
      <c r="W20" s="364"/>
      <c r="X20" s="364"/>
      <c r="Y20" s="364"/>
      <c r="Z20" s="364"/>
      <c r="AA20" s="364"/>
      <c r="AB20" s="364"/>
      <c r="AC20" s="364"/>
      <c r="AD20" s="364"/>
      <c r="AE20" s="364"/>
      <c r="AF20" s="364"/>
      <c r="AG20" s="364"/>
      <c r="AH20" s="364"/>
      <c r="AI20" s="364"/>
      <c r="AJ20" s="364"/>
      <c r="AK20" s="364"/>
      <c r="AL20" s="364"/>
      <c r="AM20" s="364"/>
      <c r="AN20" s="364"/>
      <c r="AO20" s="364"/>
      <c r="AP20" s="364"/>
      <c r="AQ20" s="364"/>
      <c r="AR20" s="364"/>
      <c r="AS20" s="364"/>
      <c r="AT20" s="364"/>
      <c r="AU20" s="364"/>
      <c r="AV20" s="364"/>
      <c r="AW20" s="364"/>
      <c r="AX20" s="364"/>
      <c r="AY20" s="364"/>
      <c r="AZ20" s="364"/>
      <c r="BA20" s="364"/>
      <c r="BB20" s="364"/>
    </row>
    <row r="21" spans="1:54">
      <c r="A21" s="924"/>
      <c r="B21" s="361"/>
      <c r="C21" s="928"/>
      <c r="D21" s="1520"/>
      <c r="E21" s="928"/>
      <c r="F21" s="928"/>
      <c r="G21" s="928"/>
      <c r="H21" s="928"/>
      <c r="I21" s="928"/>
      <c r="J21" s="928"/>
      <c r="K21" s="361"/>
      <c r="L21" s="361"/>
      <c r="M21" s="928"/>
      <c r="N21" s="928"/>
      <c r="O21" s="359">
        <v>212541178</v>
      </c>
      <c r="P21" s="363"/>
      <c r="Q21" s="359"/>
      <c r="R21" s="359"/>
      <c r="S21" s="359"/>
      <c r="T21" s="364"/>
      <c r="U21" s="364"/>
      <c r="V21" s="364"/>
      <c r="W21" s="364"/>
      <c r="X21" s="364"/>
      <c r="Y21" s="364"/>
      <c r="Z21" s="364"/>
      <c r="AA21" s="364"/>
      <c r="AB21" s="364"/>
      <c r="AC21" s="364"/>
      <c r="AD21" s="364"/>
      <c r="AE21" s="364"/>
      <c r="AF21" s="364"/>
      <c r="AG21" s="364"/>
      <c r="AH21" s="364"/>
      <c r="AI21" s="364"/>
      <c r="AJ21" s="364"/>
      <c r="AK21" s="364"/>
      <c r="AL21" s="364"/>
      <c r="AM21" s="364"/>
      <c r="AN21" s="364"/>
      <c r="AO21" s="364"/>
      <c r="AP21" s="364"/>
      <c r="AQ21" s="364"/>
      <c r="AR21" s="364"/>
      <c r="AS21" s="364"/>
      <c r="AT21" s="364"/>
      <c r="AU21" s="364"/>
      <c r="AV21" s="364"/>
      <c r="AW21" s="364"/>
      <c r="AX21" s="364"/>
      <c r="AY21" s="364"/>
      <c r="AZ21" s="364"/>
      <c r="BA21" s="364"/>
      <c r="BB21" s="364"/>
    </row>
    <row r="22" spans="1:54">
      <c r="A22" s="4125" t="s">
        <v>3372</v>
      </c>
      <c r="B22" s="4125"/>
      <c r="C22" s="4125"/>
      <c r="D22" s="4125"/>
      <c r="E22" s="4125"/>
      <c r="F22" s="4125"/>
      <c r="G22" s="4125"/>
      <c r="H22" s="4125"/>
      <c r="I22" s="928"/>
      <c r="J22" s="928"/>
      <c r="K22" s="361"/>
      <c r="L22" s="361"/>
      <c r="M22" s="928"/>
      <c r="N22" s="928"/>
      <c r="O22" s="359">
        <f>O10-O21</f>
        <v>81633584.600000024</v>
      </c>
      <c r="P22" s="363"/>
      <c r="Q22" s="359"/>
      <c r="R22" s="359"/>
      <c r="S22" s="359"/>
      <c r="T22" s="364"/>
      <c r="U22" s="364"/>
      <c r="V22" s="364"/>
      <c r="W22" s="364"/>
      <c r="X22" s="364"/>
      <c r="Y22" s="364"/>
      <c r="Z22" s="364"/>
      <c r="AA22" s="364"/>
      <c r="AB22" s="364"/>
      <c r="AC22" s="364"/>
      <c r="AD22" s="364"/>
      <c r="AE22" s="364"/>
      <c r="AF22" s="364"/>
      <c r="AG22" s="364"/>
      <c r="AH22" s="364"/>
      <c r="AI22" s="364"/>
      <c r="AJ22" s="364"/>
      <c r="AK22" s="364"/>
      <c r="AL22" s="364"/>
      <c r="AM22" s="364"/>
      <c r="AN22" s="364"/>
      <c r="AO22" s="364"/>
      <c r="AP22" s="364"/>
      <c r="AQ22" s="364"/>
      <c r="AR22" s="364"/>
      <c r="AS22" s="364"/>
      <c r="AT22" s="364"/>
      <c r="AU22" s="364"/>
      <c r="AV22" s="364"/>
      <c r="AW22" s="364"/>
      <c r="AX22" s="364"/>
      <c r="AY22" s="364"/>
      <c r="AZ22" s="364"/>
      <c r="BA22" s="364"/>
      <c r="BB22" s="364"/>
    </row>
    <row r="23" spans="1:54">
      <c r="A23" s="4125" t="s">
        <v>3373</v>
      </c>
      <c r="B23" s="4125"/>
      <c r="C23" s="4125"/>
      <c r="D23" s="4125"/>
      <c r="E23" s="4125"/>
      <c r="F23" s="4125"/>
      <c r="G23" s="4125"/>
      <c r="H23" s="4125"/>
      <c r="I23" s="928"/>
      <c r="J23" s="928"/>
      <c r="K23" s="361"/>
      <c r="L23" s="361"/>
      <c r="M23" s="928"/>
      <c r="N23" s="928"/>
      <c r="O23" s="359"/>
      <c r="P23" s="363"/>
      <c r="Q23" s="359"/>
      <c r="R23" s="359"/>
      <c r="S23" s="359"/>
      <c r="T23" s="364"/>
      <c r="U23" s="364"/>
      <c r="V23" s="364"/>
      <c r="W23" s="364"/>
      <c r="X23" s="364"/>
      <c r="Y23" s="364"/>
      <c r="Z23" s="364"/>
      <c r="AA23" s="364"/>
      <c r="AB23" s="364"/>
      <c r="AC23" s="364"/>
      <c r="AD23" s="364"/>
      <c r="AE23" s="364"/>
      <c r="AF23" s="364"/>
      <c r="AG23" s="364"/>
      <c r="AH23" s="364"/>
      <c r="AI23" s="364"/>
      <c r="AJ23" s="364"/>
      <c r="AK23" s="364"/>
      <c r="AL23" s="364"/>
      <c r="AM23" s="364"/>
      <c r="AN23" s="364"/>
      <c r="AO23" s="364"/>
      <c r="AP23" s="364"/>
      <c r="AQ23" s="364"/>
      <c r="AR23" s="364"/>
      <c r="AS23" s="364"/>
      <c r="AT23" s="364"/>
      <c r="AU23" s="364"/>
      <c r="AV23" s="364"/>
      <c r="AW23" s="364"/>
      <c r="AX23" s="364"/>
      <c r="AY23" s="364"/>
      <c r="AZ23" s="364"/>
      <c r="BA23" s="364"/>
      <c r="BB23" s="364"/>
    </row>
    <row r="24" spans="1:54">
      <c r="A24" s="524" t="s">
        <v>329</v>
      </c>
      <c r="B24" s="1145"/>
      <c r="C24" s="1145"/>
      <c r="D24" s="1522"/>
      <c r="F24" s="684"/>
      <c r="G24" s="928"/>
      <c r="H24" s="928"/>
      <c r="I24" s="1522" t="s">
        <v>448</v>
      </c>
      <c r="J24" s="928"/>
      <c r="K24" s="361"/>
      <c r="L24" s="361"/>
      <c r="M24" s="928"/>
      <c r="N24" s="928"/>
      <c r="O24" s="359"/>
      <c r="P24" s="363"/>
      <c r="Q24" s="359"/>
      <c r="R24" s="359"/>
      <c r="S24" s="359"/>
      <c r="T24" s="364"/>
      <c r="U24" s="364"/>
      <c r="V24" s="364"/>
      <c r="W24" s="364"/>
      <c r="X24" s="364"/>
      <c r="Y24" s="364"/>
      <c r="Z24" s="364"/>
      <c r="AA24" s="364"/>
      <c r="AB24" s="364"/>
      <c r="AC24" s="364"/>
      <c r="AD24" s="364"/>
      <c r="AE24" s="364"/>
      <c r="AF24" s="364"/>
      <c r="AG24" s="364"/>
      <c r="AH24" s="364"/>
      <c r="AI24" s="364"/>
      <c r="AJ24" s="364"/>
      <c r="AK24" s="364"/>
      <c r="AL24" s="364"/>
      <c r="AM24" s="364"/>
      <c r="AN24" s="364"/>
      <c r="AO24" s="364"/>
      <c r="AP24" s="364"/>
      <c r="AQ24" s="364"/>
      <c r="AR24" s="364"/>
      <c r="AS24" s="364"/>
      <c r="AT24" s="364"/>
      <c r="AU24" s="364"/>
      <c r="AV24" s="364"/>
      <c r="AW24" s="364"/>
      <c r="AX24" s="364"/>
      <c r="AY24" s="364"/>
      <c r="AZ24" s="364"/>
      <c r="BA24" s="364"/>
      <c r="BB24" s="364"/>
    </row>
    <row r="25" spans="1:54">
      <c r="A25" s="524"/>
      <c r="B25" s="1145"/>
      <c r="C25" s="1145"/>
      <c r="D25" s="1522"/>
      <c r="F25" s="684"/>
      <c r="G25" s="928"/>
      <c r="H25" s="928"/>
      <c r="I25" s="1522"/>
      <c r="J25" s="928"/>
      <c r="K25" s="361"/>
      <c r="L25" s="361"/>
      <c r="M25" s="928"/>
      <c r="N25" s="928"/>
      <c r="O25" s="359"/>
      <c r="P25" s="363"/>
      <c r="Q25" s="359"/>
      <c r="R25" s="359"/>
      <c r="S25" s="359"/>
      <c r="T25" s="364"/>
      <c r="U25" s="364"/>
      <c r="V25" s="364"/>
      <c r="W25" s="364"/>
      <c r="X25" s="364"/>
      <c r="Y25" s="364"/>
      <c r="Z25" s="364"/>
      <c r="AA25" s="364"/>
      <c r="AB25" s="364"/>
      <c r="AC25" s="364"/>
      <c r="AD25" s="364"/>
      <c r="AE25" s="364"/>
      <c r="AF25" s="364"/>
      <c r="AG25" s="364"/>
      <c r="AH25" s="364"/>
      <c r="AI25" s="364"/>
      <c r="AJ25" s="364"/>
      <c r="AK25" s="364"/>
      <c r="AL25" s="364"/>
      <c r="AM25" s="364"/>
      <c r="AN25" s="364"/>
      <c r="AO25" s="364"/>
      <c r="AP25" s="364"/>
      <c r="AQ25" s="364"/>
      <c r="AR25" s="364"/>
      <c r="AS25" s="364"/>
      <c r="AT25" s="364"/>
      <c r="AU25" s="364"/>
      <c r="AV25" s="364"/>
      <c r="AW25" s="364"/>
      <c r="AX25" s="364"/>
      <c r="AY25" s="364"/>
      <c r="AZ25" s="364"/>
      <c r="BA25" s="364"/>
      <c r="BB25" s="364"/>
    </row>
    <row r="26" spans="1:54" ht="18" customHeight="1">
      <c r="A26" s="525" t="s">
        <v>330</v>
      </c>
      <c r="B26" s="1145"/>
      <c r="C26" s="1145"/>
      <c r="D26" s="1522"/>
      <c r="F26" s="684"/>
      <c r="I26" s="1522" t="s">
        <v>369</v>
      </c>
      <c r="J26" s="359"/>
      <c r="K26" s="359"/>
      <c r="L26" s="360"/>
      <c r="M26" s="361"/>
      <c r="N26" s="362"/>
      <c r="O26" s="359"/>
      <c r="P26" s="363"/>
      <c r="Q26" s="359"/>
      <c r="R26" s="359"/>
      <c r="S26" s="359"/>
      <c r="T26" s="364"/>
      <c r="U26" s="364"/>
      <c r="V26" s="364"/>
      <c r="W26" s="364"/>
      <c r="X26" s="364"/>
      <c r="Y26" s="364"/>
      <c r="Z26" s="364"/>
      <c r="AA26" s="364"/>
      <c r="AB26" s="364"/>
      <c r="AC26" s="364"/>
      <c r="AD26" s="364"/>
      <c r="AE26" s="364"/>
      <c r="AF26" s="364"/>
      <c r="AG26" s="364"/>
      <c r="AH26" s="364"/>
      <c r="AI26" s="364"/>
      <c r="AJ26" s="364"/>
      <c r="AK26" s="364"/>
      <c r="AL26" s="364"/>
      <c r="AM26" s="364"/>
      <c r="AN26" s="364"/>
      <c r="AO26" s="364"/>
      <c r="AP26" s="364"/>
      <c r="AQ26" s="364"/>
      <c r="AR26" s="364"/>
      <c r="AS26" s="364"/>
      <c r="AT26" s="364"/>
      <c r="AU26" s="364"/>
      <c r="AV26" s="364"/>
      <c r="AW26" s="364"/>
      <c r="AX26" s="364"/>
      <c r="AY26" s="364"/>
      <c r="AZ26" s="364"/>
      <c r="BA26" s="364"/>
      <c r="BB26" s="364"/>
    </row>
    <row r="27" spans="1:54" ht="18" customHeight="1">
      <c r="A27" s="525"/>
      <c r="B27" s="1145"/>
      <c r="C27" s="1145"/>
      <c r="D27" s="1522"/>
      <c r="F27" s="684"/>
      <c r="I27" s="1522"/>
      <c r="J27" s="359"/>
      <c r="K27" s="359"/>
      <c r="L27" s="360"/>
      <c r="M27" s="361"/>
      <c r="N27" s="362"/>
      <c r="O27" s="359"/>
      <c r="P27" s="363"/>
      <c r="Q27" s="359"/>
      <c r="R27" s="359"/>
      <c r="S27" s="359"/>
      <c r="T27" s="364"/>
      <c r="U27" s="364"/>
      <c r="V27" s="364"/>
      <c r="W27" s="364"/>
      <c r="X27" s="364"/>
      <c r="Y27" s="364"/>
      <c r="Z27" s="364"/>
      <c r="AA27" s="364"/>
      <c r="AB27" s="364"/>
      <c r="AC27" s="364"/>
      <c r="AD27" s="364"/>
      <c r="AE27" s="364"/>
      <c r="AF27" s="364"/>
      <c r="AG27" s="364"/>
      <c r="AH27" s="364"/>
      <c r="AI27" s="364"/>
      <c r="AJ27" s="364"/>
      <c r="AK27" s="364"/>
      <c r="AL27" s="364"/>
      <c r="AM27" s="364"/>
      <c r="AN27" s="364"/>
      <c r="AO27" s="364"/>
      <c r="AP27" s="364"/>
      <c r="AQ27" s="364"/>
      <c r="AR27" s="364"/>
      <c r="AS27" s="364"/>
      <c r="AT27" s="364"/>
      <c r="AU27" s="364"/>
      <c r="AV27" s="364"/>
      <c r="AW27" s="364"/>
      <c r="AX27" s="364"/>
      <c r="AY27" s="364"/>
      <c r="AZ27" s="364"/>
      <c r="BA27" s="364"/>
      <c r="BB27" s="364"/>
    </row>
    <row r="28" spans="1:54" ht="18" customHeight="1">
      <c r="A28" s="1138" t="s">
        <v>547</v>
      </c>
      <c r="B28" s="1146"/>
      <c r="C28" s="88"/>
      <c r="D28" s="1523"/>
      <c r="F28" s="684"/>
      <c r="G28" s="357"/>
      <c r="H28" s="1524"/>
      <c r="I28" s="1147" t="s">
        <v>374</v>
      </c>
      <c r="J28" s="359"/>
      <c r="K28" s="359"/>
      <c r="L28" s="360"/>
      <c r="M28" s="361"/>
      <c r="N28" s="362"/>
      <c r="O28" s="359"/>
      <c r="P28" s="363"/>
      <c r="Q28" s="359"/>
      <c r="R28" s="359"/>
      <c r="S28" s="359"/>
      <c r="T28" s="364"/>
      <c r="U28" s="364"/>
      <c r="V28" s="364"/>
      <c r="W28" s="364"/>
      <c r="X28" s="364"/>
      <c r="Y28" s="364"/>
      <c r="Z28" s="364"/>
      <c r="AA28" s="364"/>
      <c r="AB28" s="364"/>
      <c r="AC28" s="364"/>
      <c r="AD28" s="364"/>
      <c r="AE28" s="364"/>
      <c r="AF28" s="364"/>
      <c r="AG28" s="364"/>
      <c r="AH28" s="364"/>
      <c r="AI28" s="364"/>
      <c r="AJ28" s="364"/>
      <c r="AK28" s="364"/>
      <c r="AL28" s="364"/>
      <c r="AM28" s="364"/>
      <c r="AN28" s="364"/>
      <c r="AO28" s="364"/>
      <c r="AP28" s="364"/>
      <c r="AQ28" s="364"/>
      <c r="AR28" s="364"/>
      <c r="AS28" s="364"/>
      <c r="AT28" s="364"/>
      <c r="AU28" s="364"/>
      <c r="AV28" s="364"/>
      <c r="AW28" s="364"/>
      <c r="AX28" s="364"/>
      <c r="AY28" s="364"/>
      <c r="AZ28" s="364"/>
      <c r="BA28" s="364"/>
      <c r="BB28" s="364"/>
    </row>
    <row r="29" spans="1:54" ht="11.25" customHeight="1">
      <c r="A29" s="1138" t="s">
        <v>548</v>
      </c>
      <c r="B29" s="1146"/>
      <c r="C29" s="88"/>
      <c r="D29" s="1523"/>
      <c r="F29" s="684"/>
      <c r="G29" s="924"/>
      <c r="H29" s="1525"/>
      <c r="I29" s="1147"/>
      <c r="J29" s="926"/>
      <c r="K29" s="926"/>
      <c r="L29" s="927"/>
      <c r="M29" s="928"/>
      <c r="N29" s="929"/>
      <c r="O29" s="926"/>
      <c r="P29" s="930"/>
      <c r="Q29" s="926"/>
      <c r="R29" s="359"/>
      <c r="S29" s="359"/>
      <c r="T29" s="364"/>
      <c r="U29" s="364"/>
      <c r="V29" s="364"/>
      <c r="W29" s="364"/>
      <c r="X29" s="364"/>
      <c r="Y29" s="364"/>
      <c r="Z29" s="364"/>
      <c r="AA29" s="364"/>
      <c r="AB29" s="364"/>
      <c r="AC29" s="364"/>
      <c r="AD29" s="364"/>
      <c r="AE29" s="364"/>
      <c r="AF29" s="364"/>
      <c r="AG29" s="364"/>
      <c r="AH29" s="364"/>
      <c r="AI29" s="364"/>
      <c r="AJ29" s="364"/>
      <c r="AK29" s="364"/>
      <c r="AL29" s="364"/>
      <c r="AM29" s="364"/>
      <c r="AN29" s="364"/>
      <c r="AO29" s="364"/>
      <c r="AP29" s="364"/>
      <c r="AQ29" s="364"/>
      <c r="AR29" s="364"/>
      <c r="AS29" s="364"/>
      <c r="AT29" s="364"/>
      <c r="AU29" s="364"/>
      <c r="AV29" s="364"/>
      <c r="AW29" s="364"/>
      <c r="AX29" s="364"/>
      <c r="AY29" s="364"/>
      <c r="AZ29" s="364"/>
      <c r="BA29" s="364"/>
      <c r="BB29" s="364"/>
    </row>
    <row r="30" spans="1:54">
      <c r="A30" s="1138"/>
      <c r="B30" s="1146"/>
      <c r="C30" s="88"/>
      <c r="D30" s="1523"/>
      <c r="F30" s="580"/>
      <c r="G30" s="923"/>
      <c r="H30" s="923"/>
      <c r="I30" s="1148"/>
      <c r="J30" s="923"/>
      <c r="K30" s="923"/>
      <c r="L30" s="923"/>
      <c r="M30" s="923"/>
      <c r="N30" s="923"/>
      <c r="O30" s="923"/>
      <c r="P30" s="923"/>
      <c r="Q30" s="923"/>
    </row>
    <row r="31" spans="1:54" s="356" customFormat="1" ht="12.75">
      <c r="A31" s="1138" t="s">
        <v>375</v>
      </c>
      <c r="B31" s="1148"/>
      <c r="C31" s="1148"/>
      <c r="D31" s="1148"/>
      <c r="F31" s="1324"/>
      <c r="G31" s="923"/>
      <c r="H31" s="923"/>
      <c r="I31" s="1147" t="s">
        <v>376</v>
      </c>
      <c r="J31" s="923"/>
      <c r="K31" s="923"/>
      <c r="L31" s="923"/>
      <c r="M31" s="923"/>
      <c r="N31" s="923"/>
      <c r="O31" s="923"/>
      <c r="P31" s="923"/>
      <c r="Q31" s="923"/>
    </row>
    <row r="32" spans="1:54" s="356" customFormat="1" ht="12.75">
      <c r="G32" s="923"/>
      <c r="H32" s="923"/>
      <c r="I32" s="923"/>
      <c r="J32" s="923"/>
      <c r="K32" s="923"/>
      <c r="L32" s="923"/>
      <c r="M32" s="923"/>
      <c r="N32" s="923"/>
      <c r="O32" s="923"/>
      <c r="P32" s="923"/>
      <c r="Q32" s="923"/>
    </row>
    <row r="33" spans="7:17" s="356" customFormat="1" ht="12.75">
      <c r="G33" s="923"/>
      <c r="H33" s="923"/>
      <c r="I33" s="923"/>
      <c r="J33" s="923"/>
      <c r="K33" s="923"/>
      <c r="L33" s="923"/>
      <c r="M33" s="923"/>
      <c r="N33" s="923"/>
      <c r="O33" s="923"/>
      <c r="P33" s="923"/>
      <c r="Q33" s="923"/>
    </row>
    <row r="34" spans="7:17" s="356" customFormat="1" ht="12.75">
      <c r="G34" s="923"/>
      <c r="H34" s="923"/>
      <c r="I34" s="923"/>
      <c r="J34" s="923"/>
      <c r="K34" s="923"/>
      <c r="L34" s="923"/>
      <c r="M34" s="923"/>
      <c r="N34" s="923"/>
      <c r="O34" s="923"/>
      <c r="P34" s="923"/>
      <c r="Q34" s="923"/>
    </row>
  </sheetData>
  <mergeCells count="17">
    <mergeCell ref="A23:H23"/>
    <mergeCell ref="L7:L8"/>
    <mergeCell ref="M7:M8"/>
    <mergeCell ref="N7:N8"/>
    <mergeCell ref="O7:O8"/>
    <mergeCell ref="P7:Q7"/>
    <mergeCell ref="A22:H22"/>
    <mergeCell ref="A2:L2"/>
    <mergeCell ref="A7:A8"/>
    <mergeCell ref="B7:B8"/>
    <mergeCell ref="C7:D7"/>
    <mergeCell ref="E7:E8"/>
    <mergeCell ref="F7:G7"/>
    <mergeCell ref="H7:H8"/>
    <mergeCell ref="I7:I8"/>
    <mergeCell ref="J7:J8"/>
    <mergeCell ref="K7:K8"/>
  </mergeCells>
  <pageMargins left="0" right="0" top="0" bottom="0" header="0" footer="0"/>
  <pageSetup paperSize="9" scale="75" fitToHeight="0" orientation="landscape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Лист11">
    <tabColor rgb="FF7030A0"/>
    <pageSetUpPr fitToPage="1"/>
  </sheetPr>
  <dimension ref="A1:R26"/>
  <sheetViews>
    <sheetView workbookViewId="0">
      <selection activeCell="C11" sqref="C11"/>
    </sheetView>
  </sheetViews>
  <sheetFormatPr defaultRowHeight="15"/>
  <cols>
    <col min="1" max="1" width="4.42578125" customWidth="1"/>
    <col min="2" max="2" width="21.7109375" customWidth="1"/>
    <col min="3" max="3" width="16.7109375" customWidth="1"/>
    <col min="4" max="4" width="10.85546875" customWidth="1"/>
    <col min="5" max="5" width="12" customWidth="1"/>
    <col min="6" max="6" width="14" customWidth="1"/>
    <col min="7" max="7" width="13.42578125" customWidth="1"/>
    <col min="8" max="8" width="11.140625" customWidth="1"/>
    <col min="9" max="9" width="10.42578125" customWidth="1"/>
    <col min="10" max="10" width="14.85546875" customWidth="1"/>
    <col min="11" max="11" width="11.5703125" customWidth="1"/>
    <col min="12" max="12" width="13.140625" customWidth="1"/>
    <col min="13" max="13" width="14.85546875" customWidth="1"/>
    <col min="14" max="14" width="11.5703125" customWidth="1"/>
    <col min="15" max="21" width="9.7109375" customWidth="1"/>
  </cols>
  <sheetData>
    <row r="1" spans="1:17" ht="15.75">
      <c r="K1" s="406" t="s">
        <v>267</v>
      </c>
      <c r="L1" s="671" t="s">
        <v>604</v>
      </c>
    </row>
    <row r="2" spans="1:17" s="744" customFormat="1" ht="15.75">
      <c r="A2" s="695" t="s">
        <v>3374</v>
      </c>
      <c r="B2" s="849"/>
      <c r="C2" s="849"/>
      <c r="D2" s="849"/>
      <c r="E2" s="849"/>
      <c r="F2" s="849"/>
      <c r="G2" s="849"/>
      <c r="H2" s="849"/>
      <c r="I2" s="3814" t="s">
        <v>3375</v>
      </c>
      <c r="J2" s="849"/>
      <c r="K2" s="866"/>
      <c r="L2" s="866"/>
    </row>
    <row r="3" spans="1:17" s="282" customFormat="1" ht="15.75">
      <c r="A3" s="45"/>
      <c r="B3" s="280"/>
      <c r="C3" s="280"/>
      <c r="D3" s="280"/>
      <c r="E3" s="280"/>
      <c r="F3" s="280"/>
      <c r="G3" s="280"/>
      <c r="H3" s="280"/>
      <c r="I3" s="3815"/>
      <c r="J3" s="280"/>
      <c r="K3" s="281"/>
      <c r="L3" s="281"/>
    </row>
    <row r="4" spans="1:17" s="744" customFormat="1" ht="15.75" customHeight="1">
      <c r="A4" s="656" t="s">
        <v>3376</v>
      </c>
      <c r="B4" s="852"/>
      <c r="C4" s="852"/>
      <c r="D4" s="852"/>
      <c r="E4" s="852"/>
      <c r="F4" s="852"/>
      <c r="G4" s="852"/>
      <c r="H4" s="852"/>
      <c r="I4" s="852"/>
      <c r="J4" s="738"/>
      <c r="K4" s="866"/>
      <c r="L4" s="866"/>
    </row>
    <row r="5" spans="1:17" s="282" customFormat="1" ht="15.75">
      <c r="A5" s="168" t="s">
        <v>990</v>
      </c>
      <c r="B5" s="283"/>
      <c r="C5" s="283"/>
      <c r="D5" s="283"/>
      <c r="E5" s="283"/>
      <c r="F5" s="283"/>
      <c r="G5" s="283"/>
      <c r="H5" s="283"/>
      <c r="I5" s="283"/>
      <c r="J5" s="177"/>
      <c r="K5" s="281"/>
      <c r="L5" s="281"/>
    </row>
    <row r="6" spans="1:17">
      <c r="L6" s="867" t="s">
        <v>254</v>
      </c>
    </row>
    <row r="7" spans="1:17" ht="28.5" customHeight="1">
      <c r="A7" s="4130" t="s">
        <v>2</v>
      </c>
      <c r="B7" s="4130" t="s">
        <v>3377</v>
      </c>
      <c r="C7" s="4130" t="s">
        <v>1191</v>
      </c>
      <c r="D7" s="4131" t="s">
        <v>255</v>
      </c>
      <c r="E7" s="4132"/>
      <c r="F7" s="4130" t="s">
        <v>3378</v>
      </c>
      <c r="G7" s="4130" t="s">
        <v>3379</v>
      </c>
      <c r="H7" s="4130" t="s">
        <v>3380</v>
      </c>
      <c r="I7" s="4130" t="s">
        <v>3381</v>
      </c>
      <c r="J7" s="4130" t="s">
        <v>345</v>
      </c>
      <c r="K7" s="4131" t="s">
        <v>255</v>
      </c>
      <c r="L7" s="4132"/>
    </row>
    <row r="8" spans="1:17" ht="38.25" customHeight="1">
      <c r="A8" s="4130"/>
      <c r="B8" s="4130"/>
      <c r="C8" s="4130"/>
      <c r="D8" s="261" t="s">
        <v>7</v>
      </c>
      <c r="E8" s="261" t="s">
        <v>8</v>
      </c>
      <c r="F8" s="4130"/>
      <c r="G8" s="4130"/>
      <c r="H8" s="4130"/>
      <c r="I8" s="4130"/>
      <c r="J8" s="4130"/>
      <c r="K8" s="261" t="s">
        <v>7</v>
      </c>
      <c r="L8" s="261" t="s">
        <v>8</v>
      </c>
    </row>
    <row r="9" spans="1:17" ht="15.75">
      <c r="A9" s="236"/>
      <c r="B9" s="268" t="s">
        <v>20</v>
      </c>
      <c r="C9" s="261">
        <f>D9+E9</f>
        <v>0</v>
      </c>
      <c r="D9" s="868"/>
      <c r="E9" s="868"/>
      <c r="F9" s="869"/>
      <c r="G9" s="869"/>
      <c r="H9" s="869"/>
      <c r="I9" s="869"/>
      <c r="J9" s="635">
        <f>SUM(J10:J11)</f>
        <v>3756311.2308</v>
      </c>
      <c r="K9" s="636" t="e">
        <f>J9*D9/C9</f>
        <v>#DIV/0!</v>
      </c>
      <c r="L9" s="637" t="e">
        <f>J9-K9</f>
        <v>#DIV/0!</v>
      </c>
      <c r="M9" t="s">
        <v>469</v>
      </c>
      <c r="N9" t="s">
        <v>1860</v>
      </c>
    </row>
    <row r="10" spans="1:17" ht="47.25">
      <c r="A10" s="236">
        <v>1</v>
      </c>
      <c r="B10" s="237" t="s">
        <v>3382</v>
      </c>
      <c r="C10" s="1213">
        <v>12100</v>
      </c>
      <c r="D10" s="236" t="s">
        <v>3383</v>
      </c>
      <c r="E10" s="236" t="s">
        <v>3383</v>
      </c>
      <c r="F10" s="870">
        <f>G10/C10</f>
        <v>1.949917355371901E-2</v>
      </c>
      <c r="G10" s="1330">
        <f>(B23+C23+D23+E23+F23+G23+H23+I23)/3.5</f>
        <v>235.94</v>
      </c>
      <c r="H10" s="870">
        <v>3.5</v>
      </c>
      <c r="I10" s="870">
        <v>2930.52</v>
      </c>
      <c r="J10" s="1503">
        <f>G10*H10*I10</f>
        <v>2419994.1107999999</v>
      </c>
      <c r="K10" s="871"/>
      <c r="L10" s="871">
        <f>J10</f>
        <v>2419994.1107999999</v>
      </c>
      <c r="M10" s="1504">
        <f>J10*0.45</f>
        <v>1088997.34986</v>
      </c>
      <c r="N10" s="1139">
        <f>J10-M10</f>
        <v>1330996.7609399999</v>
      </c>
      <c r="Q10" s="870" t="s">
        <v>3384</v>
      </c>
    </row>
    <row r="11" spans="1:17" ht="31.5">
      <c r="A11" s="236">
        <v>2</v>
      </c>
      <c r="B11" s="237" t="s">
        <v>3385</v>
      </c>
      <c r="C11" s="1386">
        <v>22739</v>
      </c>
      <c r="D11" s="236" t="s">
        <v>3383</v>
      </c>
      <c r="E11" s="236" t="s">
        <v>3383</v>
      </c>
      <c r="F11" s="870">
        <f>G11/C11</f>
        <v>8.0214609261621012E-3</v>
      </c>
      <c r="G11" s="1330">
        <f>(J23+K23+L23+M23)/2.5</f>
        <v>182.4</v>
      </c>
      <c r="H11" s="870">
        <v>2.5</v>
      </c>
      <c r="I11" s="870">
        <v>2930.52</v>
      </c>
      <c r="J11" s="634">
        <f>G11*H11*I11</f>
        <v>1336317.1199999999</v>
      </c>
      <c r="K11" s="871"/>
      <c r="L11" s="871">
        <f>J11</f>
        <v>1336317.1199999999</v>
      </c>
      <c r="Q11" s="870" t="s">
        <v>3386</v>
      </c>
    </row>
    <row r="12" spans="1:17" ht="15.75">
      <c r="A12" s="269"/>
      <c r="B12" s="270"/>
      <c r="C12" s="270"/>
      <c r="D12" s="270"/>
      <c r="E12" s="270"/>
      <c r="F12" s="271"/>
      <c r="G12" s="271"/>
      <c r="H12" s="271"/>
      <c r="I12" s="272"/>
      <c r="J12" s="271"/>
      <c r="K12" s="273"/>
      <c r="L12" s="273"/>
    </row>
    <row r="13" spans="1:17" ht="15.75">
      <c r="A13" s="274"/>
      <c r="B13" s="274"/>
      <c r="C13" s="274"/>
      <c r="D13" s="274"/>
      <c r="E13" s="274"/>
      <c r="F13" s="274"/>
      <c r="G13" s="274"/>
      <c r="H13" s="274"/>
      <c r="I13" s="275"/>
      <c r="J13" s="275"/>
      <c r="K13" s="274"/>
      <c r="L13" s="274"/>
    </row>
    <row r="14" spans="1:17" ht="15.75">
      <c r="A14" s="274"/>
      <c r="B14" s="300" t="s">
        <v>329</v>
      </c>
      <c r="C14" s="276"/>
      <c r="D14" s="276"/>
      <c r="E14" s="276"/>
      <c r="F14" s="872"/>
      <c r="G14" s="872"/>
      <c r="H14" s="872"/>
      <c r="I14" s="710"/>
      <c r="J14" s="873"/>
      <c r="K14" s="874"/>
      <c r="L14" s="717"/>
    </row>
    <row r="15" spans="1:17" ht="15.75">
      <c r="A15" s="274"/>
      <c r="B15" s="300"/>
      <c r="C15" s="279"/>
      <c r="D15" s="279"/>
      <c r="E15" s="279"/>
      <c r="F15" s="872"/>
      <c r="G15" s="872"/>
      <c r="H15" s="872"/>
      <c r="I15" s="710"/>
      <c r="J15" s="873"/>
      <c r="K15" s="875"/>
      <c r="L15" s="717"/>
    </row>
    <row r="16" spans="1:17" ht="15.75">
      <c r="A16" s="274"/>
      <c r="B16" s="345" t="s">
        <v>330</v>
      </c>
      <c r="C16" s="276"/>
      <c r="D16" s="276"/>
      <c r="E16" s="276"/>
      <c r="F16" s="872"/>
      <c r="G16" s="872"/>
      <c r="H16" s="872"/>
      <c r="I16" s="710"/>
      <c r="J16" s="873"/>
      <c r="K16" s="710"/>
      <c r="L16" s="717"/>
    </row>
    <row r="17" spans="1:18" ht="15.75">
      <c r="A17" s="274"/>
      <c r="B17" s="345" t="s">
        <v>332</v>
      </c>
      <c r="C17" s="276"/>
      <c r="D17" s="276"/>
      <c r="E17" s="276"/>
      <c r="F17" s="872"/>
      <c r="G17" s="872"/>
      <c r="H17" s="872"/>
      <c r="I17" s="710"/>
      <c r="J17" s="873"/>
      <c r="K17" s="874"/>
      <c r="L17" s="717"/>
    </row>
    <row r="18" spans="1:18" ht="15.75">
      <c r="A18" s="274"/>
      <c r="B18" s="346"/>
      <c r="C18" s="276"/>
      <c r="D18" s="276"/>
      <c r="E18" s="276"/>
      <c r="F18" s="872"/>
      <c r="G18" s="872"/>
      <c r="H18" s="872"/>
      <c r="I18" s="710"/>
      <c r="J18" s="873"/>
      <c r="K18" s="874"/>
      <c r="L18" s="865"/>
    </row>
    <row r="19" spans="1:18" ht="15.75">
      <c r="A19" s="274"/>
      <c r="B19" s="345" t="s">
        <v>333</v>
      </c>
      <c r="C19" s="276"/>
      <c r="D19" s="276"/>
      <c r="E19" s="276"/>
      <c r="F19" s="872"/>
      <c r="G19" s="872"/>
      <c r="H19" s="872"/>
      <c r="I19" s="710"/>
      <c r="J19" s="873"/>
      <c r="K19" s="874"/>
      <c r="L19" s="865"/>
    </row>
    <row r="22" spans="1:18" ht="15.75">
      <c r="B22" s="1209" t="s">
        <v>3387</v>
      </c>
      <c r="C22" s="1209" t="s">
        <v>3388</v>
      </c>
      <c r="D22" s="1209" t="s">
        <v>3389</v>
      </c>
      <c r="E22" s="1209" t="s">
        <v>3390</v>
      </c>
      <c r="F22" s="1209" t="s">
        <v>3391</v>
      </c>
      <c r="G22" s="1208" t="s">
        <v>3392</v>
      </c>
      <c r="H22" s="1209" t="s">
        <v>3393</v>
      </c>
      <c r="I22" s="1209" t="s">
        <v>3394</v>
      </c>
      <c r="J22" s="1209" t="s">
        <v>3395</v>
      </c>
      <c r="K22" s="1209" t="s">
        <v>3396</v>
      </c>
      <c r="L22" s="1209" t="s">
        <v>3397</v>
      </c>
      <c r="M22" s="1209" t="s">
        <v>3398</v>
      </c>
      <c r="O22" s="1208" t="s">
        <v>3399</v>
      </c>
    </row>
    <row r="23" spans="1:18" ht="15.75">
      <c r="B23" s="1210">
        <v>281.89</v>
      </c>
      <c r="C23" s="1210">
        <v>207.62</v>
      </c>
      <c r="D23" s="1210">
        <v>148.38999999999999</v>
      </c>
      <c r="E23" s="1210">
        <v>105.72</v>
      </c>
      <c r="F23" s="1210">
        <v>23.36</v>
      </c>
      <c r="G23" s="274">
        <v>11.85</v>
      </c>
      <c r="H23" s="1210">
        <v>6.27</v>
      </c>
      <c r="I23" s="1210">
        <v>40.69</v>
      </c>
      <c r="J23" s="1210">
        <v>15.01</v>
      </c>
      <c r="K23" s="1210">
        <v>92.67</v>
      </c>
      <c r="L23" s="1210">
        <v>155.28</v>
      </c>
      <c r="M23" s="1210">
        <v>193.04</v>
      </c>
      <c r="O23" s="274">
        <v>2445.36</v>
      </c>
      <c r="P23" s="274">
        <v>1.1200000000000001</v>
      </c>
      <c r="Q23" s="274">
        <v>1.07</v>
      </c>
      <c r="R23">
        <f>O23*P23*Q23</f>
        <v>2930.5194240000005</v>
      </c>
    </row>
    <row r="24" spans="1:18" ht="15.75">
      <c r="B24" s="274"/>
      <c r="C24" s="274"/>
      <c r="D24" s="274"/>
      <c r="E24" s="274"/>
      <c r="F24" s="274"/>
      <c r="G24" s="274"/>
    </row>
    <row r="25" spans="1:18">
      <c r="F25">
        <f>B23+C23+D23+E23+F23</f>
        <v>766.98</v>
      </c>
      <c r="G25">
        <f>F25/5</f>
        <v>153.39600000000002</v>
      </c>
    </row>
    <row r="26" spans="1:18">
      <c r="L26">
        <v>1858.61</v>
      </c>
    </row>
  </sheetData>
  <mergeCells count="10">
    <mergeCell ref="G7:G8"/>
    <mergeCell ref="H7:H8"/>
    <mergeCell ref="I7:I8"/>
    <mergeCell ref="J7:J8"/>
    <mergeCell ref="K7:L7"/>
    <mergeCell ref="A7:A8"/>
    <mergeCell ref="B7:B8"/>
    <mergeCell ref="C7:C8"/>
    <mergeCell ref="D7:E7"/>
    <mergeCell ref="F7:F8"/>
  </mergeCells>
  <pageMargins left="0" right="0" top="0" bottom="0" header="0" footer="0"/>
  <pageSetup paperSize="9" scale="65" fitToHeight="0" orientation="landscape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Лист12">
    <tabColor rgb="FF7030A0"/>
    <pageSetUpPr fitToPage="1"/>
  </sheetPr>
  <dimension ref="A1:BB20"/>
  <sheetViews>
    <sheetView topLeftCell="C1" zoomScale="120" zoomScaleNormal="120" workbookViewId="0">
      <selection activeCell="O11" sqref="O11"/>
    </sheetView>
  </sheetViews>
  <sheetFormatPr defaultColWidth="9.140625" defaultRowHeight="15"/>
  <cols>
    <col min="1" max="1" width="17.85546875" style="356" customWidth="1"/>
    <col min="2" max="2" width="11.28515625" style="356" customWidth="1"/>
    <col min="3" max="4" width="9.28515625" style="356" customWidth="1"/>
    <col min="5" max="5" width="10.7109375" style="356" customWidth="1"/>
    <col min="6" max="7" width="10.28515625" style="356" customWidth="1"/>
    <col min="8" max="8" width="14.28515625" style="356" bestFit="1" customWidth="1"/>
    <col min="9" max="9" width="13.140625" style="356" bestFit="1" customWidth="1"/>
    <col min="10" max="10" width="10.7109375" style="356" customWidth="1"/>
    <col min="11" max="11" width="10.42578125" style="356" customWidth="1"/>
    <col min="12" max="12" width="10" style="356" customWidth="1"/>
    <col min="13" max="14" width="9.28515625" style="356" bestFit="1" customWidth="1"/>
    <col min="15" max="15" width="14" style="356" bestFit="1" customWidth="1"/>
    <col min="16" max="17" width="9.28515625" style="356" bestFit="1" customWidth="1"/>
    <col min="18" max="18" width="14.28515625" style="356" bestFit="1" customWidth="1"/>
    <col min="19" max="22" width="9.28515625" style="356" bestFit="1" customWidth="1"/>
    <col min="23" max="54" width="9.140625" style="356"/>
  </cols>
  <sheetData>
    <row r="1" spans="1:54" ht="15.75">
      <c r="P1" s="916" t="s">
        <v>267</v>
      </c>
      <c r="Q1" s="762" t="s">
        <v>604</v>
      </c>
    </row>
    <row r="2" spans="1:54" s="683" customFormat="1" ht="15.75" customHeight="1">
      <c r="A2" s="4126" t="s">
        <v>3400</v>
      </c>
      <c r="B2" s="4126"/>
      <c r="C2" s="4126"/>
      <c r="D2" s="4126"/>
      <c r="E2" s="4126"/>
      <c r="F2" s="4126"/>
      <c r="G2" s="4126"/>
      <c r="H2" s="4126"/>
      <c r="I2" s="4126"/>
      <c r="J2" s="4126"/>
      <c r="K2" s="4126"/>
      <c r="L2" s="4126"/>
      <c r="M2" s="919"/>
      <c r="N2" s="919"/>
      <c r="O2" s="919"/>
      <c r="P2" s="919"/>
      <c r="Q2" s="919"/>
      <c r="R2" s="919"/>
      <c r="S2" s="919"/>
      <c r="T2" s="919"/>
      <c r="U2" s="919"/>
      <c r="V2" s="919"/>
      <c r="W2" s="919"/>
      <c r="X2" s="919"/>
      <c r="Y2" s="919"/>
      <c r="Z2" s="919"/>
      <c r="AA2" s="919"/>
      <c r="AB2" s="919"/>
      <c r="AC2" s="919"/>
      <c r="AD2" s="919"/>
      <c r="AE2" s="919"/>
      <c r="AF2" s="919"/>
      <c r="AG2" s="919"/>
      <c r="AH2" s="919"/>
      <c r="AI2" s="919"/>
      <c r="AJ2" s="919"/>
      <c r="AK2" s="919"/>
      <c r="AL2" s="919"/>
      <c r="AM2" s="919"/>
      <c r="AN2" s="919"/>
      <c r="AO2" s="919"/>
      <c r="AP2" s="919"/>
      <c r="AQ2" s="919"/>
      <c r="AR2" s="919"/>
      <c r="AS2" s="919"/>
      <c r="AT2" s="919"/>
      <c r="AU2" s="919"/>
      <c r="AV2" s="919"/>
      <c r="AW2" s="919"/>
      <c r="AX2" s="919"/>
      <c r="AY2" s="919"/>
      <c r="AZ2" s="919"/>
      <c r="BA2" s="919"/>
      <c r="BB2" s="919"/>
    </row>
    <row r="4" spans="1:54" s="683" customFormat="1">
      <c r="A4" s="920" t="s">
        <v>3401</v>
      </c>
      <c r="B4" s="921"/>
      <c r="C4" s="921"/>
      <c r="D4" s="921"/>
      <c r="E4" s="921"/>
      <c r="F4" s="921"/>
      <c r="G4" s="921"/>
      <c r="H4" s="921"/>
      <c r="I4" s="921"/>
      <c r="J4" s="921"/>
      <c r="K4" s="921"/>
      <c r="L4" s="921"/>
      <c r="M4" s="922"/>
      <c r="N4" s="922"/>
      <c r="O4" s="922"/>
      <c r="P4" s="922"/>
      <c r="Q4" s="922"/>
      <c r="R4" s="922"/>
      <c r="S4" s="922"/>
      <c r="T4" s="922"/>
      <c r="U4" s="922"/>
      <c r="V4" s="922"/>
      <c r="W4" s="923"/>
      <c r="X4" s="923"/>
      <c r="Y4" s="923"/>
      <c r="Z4" s="923"/>
      <c r="AA4" s="923"/>
      <c r="AB4" s="923"/>
      <c r="AC4" s="923"/>
      <c r="AD4" s="923"/>
      <c r="AE4" s="923"/>
      <c r="AF4" s="923"/>
      <c r="AG4" s="923"/>
      <c r="AH4" s="923"/>
      <c r="AI4" s="923"/>
      <c r="AJ4" s="923"/>
      <c r="AK4" s="923"/>
      <c r="AL4" s="923"/>
      <c r="AM4" s="923"/>
      <c r="AN4" s="923"/>
      <c r="AO4" s="923"/>
      <c r="AP4" s="923"/>
      <c r="AQ4" s="923"/>
      <c r="AR4" s="923"/>
      <c r="AS4" s="923"/>
      <c r="AT4" s="923"/>
      <c r="AU4" s="923"/>
      <c r="AV4" s="923"/>
      <c r="AW4" s="923"/>
      <c r="AX4" s="923"/>
      <c r="AY4" s="923"/>
      <c r="AZ4" s="923"/>
      <c r="BA4" s="923"/>
      <c r="BB4" s="923"/>
    </row>
    <row r="5" spans="1:54">
      <c r="A5" s="522" t="s">
        <v>990</v>
      </c>
      <c r="B5" s="523"/>
      <c r="C5" s="523"/>
      <c r="D5" s="523"/>
      <c r="E5" s="523"/>
      <c r="F5" s="523"/>
      <c r="G5" s="523"/>
      <c r="H5" s="523"/>
      <c r="I5" s="523"/>
      <c r="J5" s="523"/>
      <c r="K5" s="523"/>
      <c r="L5" s="523"/>
      <c r="M5" s="355"/>
      <c r="N5" s="355"/>
      <c r="O5" s="355"/>
      <c r="P5" s="355"/>
      <c r="Q5" s="355"/>
      <c r="R5" s="355"/>
      <c r="S5" s="355"/>
    </row>
    <row r="6" spans="1:54" ht="8.25" customHeight="1">
      <c r="A6" s="357"/>
      <c r="B6" s="357"/>
      <c r="C6" s="357"/>
      <c r="D6" s="357"/>
      <c r="E6" s="357"/>
      <c r="F6" s="357"/>
      <c r="G6" s="357"/>
      <c r="H6" s="358"/>
      <c r="I6" s="359"/>
      <c r="J6" s="359"/>
      <c r="K6" s="359"/>
      <c r="L6" s="360"/>
      <c r="M6" s="361"/>
      <c r="N6" s="362"/>
      <c r="O6" s="359"/>
      <c r="P6" s="363"/>
      <c r="Q6" s="359"/>
      <c r="R6" s="359"/>
      <c r="S6" s="359"/>
      <c r="T6" s="364"/>
      <c r="U6" s="364"/>
      <c r="V6" s="364"/>
      <c r="W6" s="364"/>
      <c r="X6" s="364"/>
      <c r="Y6" s="364"/>
      <c r="Z6" s="364"/>
      <c r="AA6" s="364"/>
      <c r="AB6" s="364"/>
      <c r="AC6" s="364"/>
      <c r="AD6" s="364"/>
      <c r="AE6" s="364"/>
      <c r="AF6" s="364"/>
      <c r="AG6" s="364"/>
      <c r="AH6" s="364"/>
      <c r="AI6" s="364"/>
      <c r="AJ6" s="364"/>
      <c r="AK6" s="364"/>
      <c r="AL6" s="364"/>
      <c r="AM6" s="364"/>
      <c r="AN6" s="364"/>
      <c r="AO6" s="364"/>
      <c r="AP6" s="364"/>
      <c r="AQ6" s="364"/>
      <c r="AR6" s="364"/>
      <c r="AS6" s="364"/>
      <c r="AT6" s="364"/>
      <c r="AU6" s="364"/>
      <c r="AV6" s="364"/>
      <c r="AW6" s="364"/>
      <c r="AX6" s="364"/>
      <c r="AY6" s="364"/>
      <c r="AZ6" s="364"/>
      <c r="BA6" s="364"/>
      <c r="BB6" s="364"/>
    </row>
    <row r="7" spans="1:54" ht="27" customHeight="1">
      <c r="A7" s="4009" t="s">
        <v>478</v>
      </c>
      <c r="B7" s="4009" t="s">
        <v>3350</v>
      </c>
      <c r="C7" s="4127" t="s">
        <v>255</v>
      </c>
      <c r="D7" s="4127"/>
      <c r="E7" s="4009" t="s">
        <v>3351</v>
      </c>
      <c r="F7" s="4009" t="s">
        <v>3352</v>
      </c>
      <c r="G7" s="4009"/>
      <c r="H7" s="4009" t="s">
        <v>3353</v>
      </c>
      <c r="I7" s="4009" t="s">
        <v>3354</v>
      </c>
      <c r="J7" s="4009" t="s">
        <v>3355</v>
      </c>
      <c r="K7" s="4009" t="s">
        <v>3356</v>
      </c>
      <c r="L7" s="4009" t="s">
        <v>3357</v>
      </c>
      <c r="M7" s="4128" t="s">
        <v>3358</v>
      </c>
      <c r="N7" s="4128" t="s">
        <v>3359</v>
      </c>
      <c r="O7" s="4129" t="s">
        <v>345</v>
      </c>
      <c r="P7" s="4124" t="s">
        <v>255</v>
      </c>
      <c r="Q7" s="4124"/>
      <c r="R7" s="359"/>
      <c r="S7" s="359"/>
      <c r="T7" s="364"/>
      <c r="U7" s="364"/>
      <c r="V7" s="364"/>
      <c r="W7" s="364"/>
      <c r="X7" s="364"/>
      <c r="Y7" s="364"/>
      <c r="Z7" s="364"/>
      <c r="AA7" s="364"/>
      <c r="AB7" s="364"/>
      <c r="AC7" s="364"/>
      <c r="AD7" s="364"/>
      <c r="AE7" s="364"/>
      <c r="AF7" s="364"/>
      <c r="AG7" s="364"/>
      <c r="AH7" s="364"/>
      <c r="AI7" s="364"/>
      <c r="AJ7" s="364"/>
      <c r="AK7" s="364"/>
      <c r="AL7" s="364"/>
      <c r="AM7" s="364"/>
      <c r="AN7" s="364"/>
      <c r="AO7" s="364"/>
      <c r="AP7" s="364"/>
      <c r="AQ7" s="364"/>
      <c r="AR7" s="364"/>
      <c r="AS7" s="364"/>
      <c r="AT7" s="364"/>
      <c r="AU7" s="364"/>
      <c r="AV7" s="364"/>
      <c r="AW7" s="364"/>
      <c r="AX7" s="364"/>
      <c r="AY7" s="364"/>
      <c r="AZ7" s="364"/>
      <c r="BA7" s="364"/>
      <c r="BB7" s="364"/>
    </row>
    <row r="8" spans="1:54" ht="90" customHeight="1">
      <c r="A8" s="4009"/>
      <c r="B8" s="4009"/>
      <c r="C8" s="521" t="s">
        <v>7</v>
      </c>
      <c r="D8" s="521" t="s">
        <v>8</v>
      </c>
      <c r="E8" s="4009"/>
      <c r="F8" s="627" t="s">
        <v>3360</v>
      </c>
      <c r="G8" s="627" t="s">
        <v>3361</v>
      </c>
      <c r="H8" s="4009"/>
      <c r="I8" s="4009"/>
      <c r="J8" s="4009"/>
      <c r="K8" s="4009"/>
      <c r="L8" s="4009"/>
      <c r="M8" s="4128"/>
      <c r="N8" s="4128"/>
      <c r="O8" s="4129"/>
      <c r="P8" s="520" t="s">
        <v>7</v>
      </c>
      <c r="Q8" s="519" t="s">
        <v>8</v>
      </c>
      <c r="R8" s="359"/>
      <c r="S8" s="359"/>
      <c r="T8" s="364"/>
      <c r="U8" s="364"/>
      <c r="V8" s="364"/>
      <c r="W8" s="364"/>
      <c r="X8" s="364"/>
      <c r="Y8" s="364"/>
      <c r="Z8" s="364"/>
      <c r="AA8" s="364"/>
      <c r="AB8" s="364"/>
      <c r="AC8" s="364"/>
      <c r="AD8" s="364"/>
      <c r="AE8" s="364"/>
      <c r="AF8" s="364"/>
      <c r="AG8" s="364"/>
      <c r="AH8" s="364"/>
      <c r="AI8" s="364"/>
      <c r="AJ8" s="364"/>
      <c r="AK8" s="364"/>
      <c r="AL8" s="364"/>
      <c r="AM8" s="364"/>
      <c r="AN8" s="364"/>
      <c r="AO8" s="364"/>
      <c r="AP8" s="364"/>
      <c r="AQ8" s="364"/>
      <c r="AR8" s="364"/>
      <c r="AS8" s="364"/>
      <c r="AT8" s="364"/>
      <c r="AU8" s="364"/>
      <c r="AV8" s="364"/>
      <c r="AW8" s="364"/>
      <c r="AX8" s="364"/>
      <c r="AY8" s="364"/>
      <c r="AZ8" s="364"/>
      <c r="BA8" s="364"/>
      <c r="BB8" s="364"/>
    </row>
    <row r="9" spans="1:54">
      <c r="A9" s="365">
        <v>1</v>
      </c>
      <c r="B9" s="365">
        <f t="shared" ref="B9:Q9" si="0">A9+1</f>
        <v>2</v>
      </c>
      <c r="C9" s="365">
        <f t="shared" si="0"/>
        <v>3</v>
      </c>
      <c r="D9" s="365">
        <f t="shared" si="0"/>
        <v>4</v>
      </c>
      <c r="E9" s="365">
        <f t="shared" si="0"/>
        <v>5</v>
      </c>
      <c r="F9" s="365">
        <f t="shared" si="0"/>
        <v>6</v>
      </c>
      <c r="G9" s="365">
        <f t="shared" si="0"/>
        <v>7</v>
      </c>
      <c r="H9" s="365">
        <f t="shared" si="0"/>
        <v>8</v>
      </c>
      <c r="I9" s="365">
        <f t="shared" si="0"/>
        <v>9</v>
      </c>
      <c r="J9" s="365">
        <f t="shared" si="0"/>
        <v>10</v>
      </c>
      <c r="K9" s="365">
        <f t="shared" si="0"/>
        <v>11</v>
      </c>
      <c r="L9" s="365">
        <f t="shared" si="0"/>
        <v>12</v>
      </c>
      <c r="M9" s="365">
        <f t="shared" si="0"/>
        <v>13</v>
      </c>
      <c r="N9" s="365">
        <f t="shared" si="0"/>
        <v>14</v>
      </c>
      <c r="O9" s="365">
        <f t="shared" si="0"/>
        <v>15</v>
      </c>
      <c r="P9" s="365">
        <f t="shared" si="0"/>
        <v>16</v>
      </c>
      <c r="Q9" s="365">
        <f t="shared" si="0"/>
        <v>17</v>
      </c>
      <c r="R9" s="359"/>
      <c r="S9" s="359"/>
      <c r="T9" s="364"/>
      <c r="U9" s="364"/>
      <c r="V9" s="364"/>
      <c r="W9" s="364"/>
      <c r="X9" s="364"/>
      <c r="Y9" s="364"/>
      <c r="Z9" s="364"/>
      <c r="AA9" s="364"/>
      <c r="AB9" s="364"/>
      <c r="AC9" s="364"/>
      <c r="AD9" s="364"/>
      <c r="AE9" s="364"/>
      <c r="AF9" s="364"/>
      <c r="AG9" s="364"/>
      <c r="AH9" s="364"/>
      <c r="AI9" s="364"/>
      <c r="AJ9" s="364"/>
      <c r="AK9" s="364"/>
      <c r="AL9" s="364"/>
      <c r="AM9" s="364"/>
      <c r="AN9" s="364"/>
      <c r="AO9" s="364"/>
      <c r="AP9" s="364"/>
      <c r="AQ9" s="364"/>
      <c r="AR9" s="364"/>
      <c r="AS9" s="364"/>
      <c r="AT9" s="364"/>
      <c r="AU9" s="364"/>
      <c r="AV9" s="364"/>
      <c r="AW9" s="364"/>
      <c r="AX9" s="364"/>
      <c r="AY9" s="364"/>
      <c r="AZ9" s="364"/>
      <c r="BA9" s="364"/>
      <c r="BB9" s="364"/>
    </row>
    <row r="10" spans="1:54">
      <c r="A10" s="369" t="s">
        <v>306</v>
      </c>
      <c r="B10" s="365"/>
      <c r="C10" s="365"/>
      <c r="D10" s="365"/>
      <c r="E10" s="365"/>
      <c r="F10" s="365"/>
      <c r="G10" s="365"/>
      <c r="H10" s="365"/>
      <c r="I10" s="365"/>
      <c r="J10" s="365"/>
      <c r="K10" s="369">
        <f>SUM(K11:K11)</f>
        <v>1683.01</v>
      </c>
      <c r="L10" s="369">
        <f>SUM(L11:L11)</f>
        <v>633.91</v>
      </c>
      <c r="M10" s="366"/>
      <c r="N10" s="366"/>
      <c r="O10" s="1505">
        <v>0</v>
      </c>
      <c r="P10" s="369">
        <f>SUM(P11:P11)</f>
        <v>0</v>
      </c>
      <c r="Q10" s="369">
        <f>SUM(Q11:Q11)</f>
        <v>66720179.526999995</v>
      </c>
      <c r="R10" s="359"/>
      <c r="S10" s="359"/>
      <c r="T10" s="364"/>
      <c r="U10" s="364"/>
      <c r="V10" s="364"/>
      <c r="W10" s="364"/>
      <c r="X10" s="364"/>
      <c r="Y10" s="364"/>
      <c r="Z10" s="364"/>
      <c r="AA10" s="364"/>
      <c r="AB10" s="364"/>
      <c r="AC10" s="364"/>
      <c r="AD10" s="364"/>
      <c r="AE10" s="364"/>
      <c r="AF10" s="364"/>
      <c r="AG10" s="364"/>
      <c r="AH10" s="364"/>
      <c r="AI10" s="364"/>
      <c r="AJ10" s="364"/>
      <c r="AK10" s="364"/>
      <c r="AL10" s="364"/>
      <c r="AM10" s="364"/>
      <c r="AN10" s="364"/>
      <c r="AO10" s="364"/>
      <c r="AP10" s="364"/>
      <c r="AQ10" s="364"/>
      <c r="AR10" s="364"/>
      <c r="AS10" s="364"/>
      <c r="AT10" s="364"/>
      <c r="AU10" s="364"/>
      <c r="AV10" s="364"/>
      <c r="AW10" s="364"/>
      <c r="AX10" s="364"/>
      <c r="AY10" s="364"/>
      <c r="AZ10" s="364"/>
      <c r="BA10" s="364"/>
      <c r="BB10" s="364"/>
    </row>
    <row r="11" spans="1:54">
      <c r="A11" s="917" t="s">
        <v>3402</v>
      </c>
      <c r="B11" s="365">
        <f>C11+D11</f>
        <v>13674.8</v>
      </c>
      <c r="C11" s="918"/>
      <c r="D11" s="1515">
        <v>13674.8</v>
      </c>
      <c r="E11" s="918">
        <v>3</v>
      </c>
      <c r="F11" s="918">
        <v>182</v>
      </c>
      <c r="G11" s="918">
        <v>183</v>
      </c>
      <c r="H11" s="918">
        <f>ROUND(306306.97/0.85/182,2)</f>
        <v>1980.01</v>
      </c>
      <c r="I11" s="918">
        <f>ROUND(116006.27/0.85/183,2)</f>
        <v>745.78</v>
      </c>
      <c r="J11" s="918">
        <v>0.85</v>
      </c>
      <c r="K11" s="365">
        <f>ROUND(H11*J11,2)</f>
        <v>1683.01</v>
      </c>
      <c r="L11" s="365">
        <f>ROUND(I11*J11,2)</f>
        <v>633.91</v>
      </c>
      <c r="M11" s="918">
        <f>ROUND(160*1.07,1)</f>
        <v>171.2</v>
      </c>
      <c r="N11" s="918">
        <f>ROUND(115*1.07,1)</f>
        <v>123.1</v>
      </c>
      <c r="O11" s="367">
        <f>F11*K11*M11+G11*L11*N11</f>
        <v>66720179.526999995</v>
      </c>
      <c r="P11" s="368">
        <f>O11*(C11/B11)</f>
        <v>0</v>
      </c>
      <c r="Q11" s="367">
        <f>O11-P11</f>
        <v>66720179.526999995</v>
      </c>
      <c r="R11" s="359"/>
      <c r="S11" s="359"/>
      <c r="T11" s="364"/>
      <c r="U11" s="364"/>
      <c r="V11" s="364"/>
      <c r="W11" s="364"/>
      <c r="X11" s="364"/>
      <c r="Y11" s="364"/>
      <c r="Z11" s="364"/>
      <c r="AA11" s="364"/>
      <c r="AB11" s="364"/>
      <c r="AC11" s="364"/>
      <c r="AD11" s="364"/>
      <c r="AE11" s="364"/>
      <c r="AF11" s="364"/>
      <c r="AG11" s="364"/>
      <c r="AH11" s="364"/>
      <c r="AI11" s="364"/>
      <c r="AJ11" s="364"/>
      <c r="AK11" s="364"/>
      <c r="AL11" s="364"/>
      <c r="AM11" s="364"/>
      <c r="AN11" s="364"/>
      <c r="AO11" s="364"/>
      <c r="AP11" s="364"/>
      <c r="AQ11" s="364"/>
      <c r="AR11" s="364"/>
      <c r="AS11" s="364"/>
      <c r="AT11" s="364"/>
      <c r="AU11" s="364"/>
      <c r="AV11" s="364"/>
      <c r="AW11" s="364"/>
      <c r="AX11" s="364"/>
      <c r="AY11" s="364"/>
      <c r="AZ11" s="364"/>
      <c r="BA11" s="364"/>
      <c r="BB11" s="364"/>
    </row>
    <row r="12" spans="1:54" ht="18" customHeight="1">
      <c r="A12" s="4133" t="s">
        <v>3372</v>
      </c>
      <c r="B12" s="4133"/>
      <c r="C12" s="4133"/>
      <c r="D12" s="4133"/>
      <c r="E12" s="4133"/>
      <c r="F12" s="4133"/>
      <c r="G12" s="4133"/>
      <c r="H12" s="4133"/>
      <c r="I12" s="359"/>
      <c r="J12" s="359"/>
      <c r="K12" s="359"/>
      <c r="L12" s="360"/>
      <c r="M12" s="361"/>
      <c r="N12" s="362"/>
      <c r="O12" s="359"/>
      <c r="P12" s="363"/>
      <c r="Q12" s="359"/>
      <c r="R12" s="359"/>
      <c r="S12" s="359"/>
      <c r="T12" s="364"/>
      <c r="U12" s="364"/>
      <c r="V12" s="364"/>
      <c r="W12" s="364"/>
      <c r="X12" s="364"/>
      <c r="Y12" s="364"/>
      <c r="Z12" s="364"/>
      <c r="AA12" s="364"/>
      <c r="AB12" s="364"/>
      <c r="AC12" s="364"/>
      <c r="AD12" s="364"/>
      <c r="AE12" s="364"/>
      <c r="AF12" s="364"/>
      <c r="AG12" s="364"/>
      <c r="AH12" s="364"/>
      <c r="AI12" s="364"/>
      <c r="AJ12" s="364"/>
      <c r="AK12" s="364"/>
      <c r="AL12" s="364"/>
      <c r="AM12" s="364"/>
      <c r="AN12" s="364"/>
      <c r="AO12" s="364"/>
      <c r="AP12" s="364"/>
      <c r="AQ12" s="364"/>
      <c r="AR12" s="364"/>
      <c r="AS12" s="364"/>
      <c r="AT12" s="364"/>
      <c r="AU12" s="364"/>
      <c r="AV12" s="364"/>
      <c r="AW12" s="364"/>
      <c r="AX12" s="364"/>
      <c r="AY12" s="364"/>
      <c r="AZ12" s="364"/>
      <c r="BA12" s="364"/>
      <c r="BB12" s="364"/>
    </row>
    <row r="13" spans="1:54" ht="18" customHeight="1">
      <c r="A13" s="4125" t="s">
        <v>3373</v>
      </c>
      <c r="B13" s="4125"/>
      <c r="C13" s="4125"/>
      <c r="D13" s="4125"/>
      <c r="E13" s="4125"/>
      <c r="F13" s="4125"/>
      <c r="G13" s="4125"/>
      <c r="H13" s="4125"/>
      <c r="I13" s="359"/>
      <c r="J13" s="359"/>
      <c r="K13" s="359"/>
      <c r="L13" s="360"/>
      <c r="M13" s="361"/>
      <c r="N13" s="362"/>
      <c r="O13" s="359"/>
      <c r="P13" s="363"/>
      <c r="Q13" s="359"/>
      <c r="R13" s="359"/>
      <c r="S13" s="359"/>
      <c r="T13" s="364"/>
      <c r="U13" s="364"/>
      <c r="V13" s="364"/>
      <c r="W13" s="364"/>
      <c r="X13" s="364"/>
      <c r="Y13" s="364"/>
      <c r="Z13" s="364"/>
      <c r="AA13" s="364"/>
      <c r="AB13" s="364"/>
      <c r="AC13" s="364"/>
      <c r="AD13" s="364"/>
      <c r="AE13" s="364"/>
      <c r="AF13" s="364"/>
      <c r="AG13" s="364"/>
      <c r="AH13" s="364"/>
      <c r="AI13" s="364"/>
      <c r="AJ13" s="364"/>
      <c r="AK13" s="364"/>
      <c r="AL13" s="364"/>
      <c r="AM13" s="364"/>
      <c r="AN13" s="364"/>
      <c r="AO13" s="364"/>
      <c r="AP13" s="364"/>
      <c r="AQ13" s="364"/>
      <c r="AR13" s="364"/>
      <c r="AS13" s="364"/>
      <c r="AT13" s="364"/>
      <c r="AU13" s="364"/>
      <c r="AV13" s="364"/>
      <c r="AW13" s="364"/>
      <c r="AX13" s="364"/>
      <c r="AY13" s="364"/>
      <c r="AZ13" s="364"/>
      <c r="BA13" s="364"/>
      <c r="BB13" s="364"/>
    </row>
    <row r="14" spans="1:54" ht="18" customHeight="1">
      <c r="A14" s="357"/>
      <c r="B14" s="357"/>
      <c r="C14" s="357"/>
      <c r="D14" s="357"/>
      <c r="E14" s="357"/>
      <c r="F14" s="357"/>
      <c r="G14" s="357"/>
      <c r="H14" s="358"/>
      <c r="I14" s="359"/>
      <c r="J14" s="359"/>
      <c r="K14" s="359"/>
      <c r="L14" s="360"/>
      <c r="M14" s="361"/>
      <c r="N14" s="362"/>
      <c r="O14" s="359"/>
      <c r="P14" s="363"/>
      <c r="Q14" s="359"/>
      <c r="R14" s="359"/>
      <c r="S14" s="359"/>
      <c r="T14" s="364"/>
      <c r="U14" s="364"/>
      <c r="V14" s="364"/>
      <c r="W14" s="364"/>
      <c r="X14" s="364"/>
      <c r="Y14" s="364"/>
      <c r="Z14" s="364"/>
      <c r="AA14" s="364"/>
      <c r="AB14" s="364"/>
      <c r="AC14" s="364"/>
      <c r="AD14" s="364"/>
      <c r="AE14" s="364"/>
      <c r="AF14" s="364"/>
      <c r="AG14" s="364"/>
      <c r="AH14" s="364"/>
      <c r="AI14" s="364"/>
      <c r="AJ14" s="364"/>
      <c r="AK14" s="364"/>
      <c r="AL14" s="364"/>
      <c r="AM14" s="364"/>
      <c r="AN14" s="364"/>
      <c r="AO14" s="364"/>
      <c r="AP14" s="364"/>
      <c r="AQ14" s="364"/>
      <c r="AR14" s="364"/>
      <c r="AS14" s="364"/>
      <c r="AT14" s="364"/>
      <c r="AU14" s="364"/>
      <c r="AV14" s="364"/>
      <c r="AW14" s="364"/>
      <c r="AX14" s="364"/>
      <c r="AY14" s="364"/>
      <c r="AZ14" s="364"/>
      <c r="BA14" s="364"/>
      <c r="BB14" s="364"/>
    </row>
    <row r="15" spans="1:54" ht="11.25" customHeight="1">
      <c r="A15" s="524" t="s">
        <v>329</v>
      </c>
      <c r="B15" s="357"/>
      <c r="C15" s="357"/>
      <c r="D15" s="357"/>
      <c r="E15" s="357"/>
      <c r="F15" s="924"/>
      <c r="G15" s="924"/>
      <c r="H15" s="925"/>
      <c r="I15" s="926"/>
      <c r="J15" s="926"/>
      <c r="K15" s="926"/>
      <c r="L15" s="927"/>
      <c r="M15" s="928"/>
      <c r="N15" s="929"/>
      <c r="O15" s="926"/>
      <c r="P15" s="930"/>
      <c r="Q15" s="926"/>
      <c r="R15" s="359"/>
      <c r="S15" s="359"/>
      <c r="T15" s="364"/>
      <c r="U15" s="364"/>
      <c r="V15" s="364"/>
      <c r="W15" s="364"/>
      <c r="X15" s="364"/>
      <c r="Y15" s="364"/>
      <c r="Z15" s="364"/>
      <c r="AA15" s="364"/>
      <c r="AB15" s="364"/>
      <c r="AC15" s="364"/>
      <c r="AD15" s="364"/>
      <c r="AE15" s="364"/>
      <c r="AF15" s="364"/>
      <c r="AG15" s="364"/>
      <c r="AH15" s="364"/>
      <c r="AI15" s="364"/>
      <c r="AJ15" s="364"/>
      <c r="AK15" s="364"/>
      <c r="AL15" s="364"/>
      <c r="AM15" s="364"/>
      <c r="AN15" s="364"/>
      <c r="AO15" s="364"/>
      <c r="AP15" s="364"/>
      <c r="AQ15" s="364"/>
      <c r="AR15" s="364"/>
      <c r="AS15" s="364"/>
      <c r="AT15" s="364"/>
      <c r="AU15" s="364"/>
      <c r="AV15" s="364"/>
      <c r="AW15" s="364"/>
      <c r="AX15" s="364"/>
      <c r="AY15" s="364"/>
      <c r="AZ15" s="364"/>
      <c r="BA15" s="364"/>
      <c r="BB15" s="364"/>
    </row>
    <row r="16" spans="1:54" ht="15.75">
      <c r="A16" s="300"/>
      <c r="F16" s="923"/>
      <c r="G16" s="923"/>
      <c r="H16" s="923"/>
      <c r="I16" s="923"/>
      <c r="J16" s="923"/>
      <c r="K16" s="923"/>
      <c r="L16" s="923"/>
      <c r="M16" s="923"/>
      <c r="N16" s="923"/>
      <c r="O16" s="923"/>
      <c r="P16" s="923"/>
      <c r="Q16" s="923"/>
    </row>
    <row r="17" spans="1:17">
      <c r="A17" s="525" t="s">
        <v>330</v>
      </c>
      <c r="F17" s="923"/>
      <c r="G17" s="923"/>
      <c r="H17" s="923"/>
      <c r="I17" s="923"/>
      <c r="J17" s="923"/>
      <c r="K17" s="923"/>
      <c r="L17" s="923"/>
      <c r="M17" s="923"/>
      <c r="N17" s="923"/>
      <c r="O17" s="923"/>
      <c r="P17" s="923"/>
      <c r="Q17" s="923"/>
    </row>
    <row r="18" spans="1:17">
      <c r="A18" s="525" t="s">
        <v>332</v>
      </c>
      <c r="F18" s="923"/>
      <c r="G18" s="923"/>
      <c r="H18" s="923"/>
      <c r="I18" s="923"/>
      <c r="J18" s="923"/>
      <c r="K18" s="923"/>
      <c r="L18" s="923"/>
      <c r="M18" s="923"/>
      <c r="N18" s="923"/>
      <c r="O18" s="923"/>
      <c r="P18" s="923"/>
      <c r="Q18" s="923"/>
    </row>
    <row r="19" spans="1:17">
      <c r="A19" s="526"/>
      <c r="F19" s="923"/>
      <c r="G19" s="923"/>
      <c r="H19" s="923"/>
      <c r="I19" s="923"/>
      <c r="J19" s="923"/>
      <c r="K19" s="923"/>
      <c r="L19" s="923"/>
      <c r="M19" s="923"/>
      <c r="N19" s="923"/>
      <c r="O19" s="923"/>
      <c r="P19" s="923"/>
      <c r="Q19" s="923"/>
    </row>
    <row r="20" spans="1:17">
      <c r="A20" s="525" t="s">
        <v>333</v>
      </c>
      <c r="F20" s="923"/>
      <c r="G20" s="923"/>
      <c r="H20" s="923"/>
      <c r="I20" s="923"/>
      <c r="J20" s="923"/>
      <c r="K20" s="923"/>
      <c r="L20" s="923"/>
      <c r="M20" s="923"/>
      <c r="N20" s="923"/>
      <c r="O20" s="923"/>
      <c r="P20" s="923"/>
      <c r="Q20" s="923"/>
    </row>
  </sheetData>
  <mergeCells count="17">
    <mergeCell ref="A12:H12"/>
    <mergeCell ref="A13:H13"/>
    <mergeCell ref="C7:D7"/>
    <mergeCell ref="A7:A8"/>
    <mergeCell ref="A2:L2"/>
    <mergeCell ref="K7:K8"/>
    <mergeCell ref="J7:J8"/>
    <mergeCell ref="I7:I8"/>
    <mergeCell ref="H7:H8"/>
    <mergeCell ref="B7:B8"/>
    <mergeCell ref="E7:E8"/>
    <mergeCell ref="F7:G7"/>
    <mergeCell ref="P7:Q7"/>
    <mergeCell ref="O7:O8"/>
    <mergeCell ref="N7:N8"/>
    <mergeCell ref="M7:M8"/>
    <mergeCell ref="L7:L8"/>
  </mergeCells>
  <pageMargins left="0" right="0" top="0" bottom="0" header="0" footer="0"/>
  <pageSetup paperSize="9" scale="76" fitToHeight="0" orientation="landscape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3:AC56"/>
  <sheetViews>
    <sheetView topLeftCell="A13" workbookViewId="0">
      <selection activeCell="M11" sqref="M11"/>
    </sheetView>
  </sheetViews>
  <sheetFormatPr defaultRowHeight="15"/>
  <cols>
    <col min="3" max="3" width="13.28515625" customWidth="1"/>
    <col min="4" max="5" width="12" customWidth="1"/>
    <col min="6" max="6" width="13.42578125" customWidth="1"/>
    <col min="9" max="9" width="15.5703125" customWidth="1"/>
    <col min="10" max="10" width="10.28515625" customWidth="1"/>
    <col min="11" max="11" width="10.5703125" customWidth="1"/>
    <col min="12" max="12" width="13.5703125" bestFit="1" customWidth="1"/>
    <col min="16" max="16" width="10" bestFit="1" customWidth="1"/>
  </cols>
  <sheetData>
    <row r="3" spans="1:19">
      <c r="A3" s="1417" t="s">
        <v>3403</v>
      </c>
      <c r="B3" s="1417"/>
      <c r="C3" s="1417"/>
      <c r="D3" s="1418"/>
      <c r="E3" s="1419"/>
      <c r="F3" s="1419"/>
      <c r="G3" s="1419"/>
      <c r="H3" s="1419"/>
      <c r="I3" s="1420"/>
      <c r="J3" s="1420"/>
      <c r="K3" s="1421"/>
      <c r="L3" s="1421"/>
      <c r="M3" s="1421"/>
      <c r="N3" s="1421"/>
      <c r="O3" s="1421"/>
      <c r="P3" s="1421"/>
      <c r="Q3" s="1421"/>
      <c r="R3" s="1421"/>
      <c r="S3" s="1421"/>
    </row>
    <row r="4" spans="1:19">
      <c r="A4" s="4145" t="s">
        <v>3404</v>
      </c>
      <c r="B4" s="4145"/>
      <c r="C4" s="4145"/>
      <c r="D4" s="4145"/>
      <c r="E4" s="4145"/>
      <c r="F4" s="4145"/>
      <c r="G4" s="4145"/>
      <c r="H4" s="4145"/>
      <c r="I4" s="4145"/>
      <c r="J4" s="4145"/>
      <c r="K4" s="4145"/>
      <c r="L4" s="4145"/>
      <c r="M4" s="4145"/>
      <c r="N4" s="4145"/>
      <c r="O4" s="4145"/>
      <c r="P4" s="4145"/>
      <c r="Q4" s="4145"/>
      <c r="R4" s="4145"/>
      <c r="S4" s="4145"/>
    </row>
    <row r="5" spans="1:19">
      <c r="A5" s="1422"/>
      <c r="B5" s="1423"/>
      <c r="C5" s="1423"/>
      <c r="D5" s="1423"/>
      <c r="E5" s="1423"/>
      <c r="F5" s="1423"/>
      <c r="G5" s="1423"/>
      <c r="H5" s="1423"/>
      <c r="I5" s="1423"/>
      <c r="J5" s="1423"/>
      <c r="K5" s="1423"/>
      <c r="L5" s="1423"/>
      <c r="M5" s="1423"/>
      <c r="N5" s="1423"/>
      <c r="O5" s="1423"/>
      <c r="P5" s="1423"/>
      <c r="Q5" s="1424"/>
      <c r="R5" s="1424"/>
      <c r="S5" s="1424"/>
    </row>
    <row r="6" spans="1:19">
      <c r="A6" s="1422"/>
      <c r="B6" s="1423"/>
      <c r="C6" s="1423"/>
      <c r="D6" s="1423"/>
      <c r="E6" s="1423"/>
      <c r="F6" s="1423"/>
      <c r="G6" s="1423"/>
      <c r="H6" s="1423"/>
      <c r="I6" s="1423"/>
      <c r="J6" s="1423"/>
      <c r="K6" s="1423"/>
      <c r="L6" s="1423"/>
      <c r="M6" s="1423"/>
      <c r="N6" s="1423"/>
      <c r="O6" s="1423"/>
      <c r="P6" s="1423"/>
      <c r="Q6" s="1424"/>
      <c r="R6" s="1424"/>
      <c r="S6" s="1424"/>
    </row>
    <row r="7" spans="1:19">
      <c r="A7" s="1425" t="s">
        <v>3405</v>
      </c>
      <c r="B7" s="1425"/>
      <c r="C7" s="1425"/>
      <c r="D7" s="1425"/>
      <c r="E7" s="1425"/>
      <c r="F7" s="1425"/>
      <c r="G7" s="1425"/>
      <c r="H7" s="1425"/>
      <c r="I7" s="1425"/>
      <c r="J7" s="1425"/>
      <c r="K7" s="1425"/>
      <c r="L7" s="1425"/>
      <c r="M7" s="1425"/>
      <c r="N7" s="1425"/>
      <c r="O7" s="1425"/>
      <c r="P7" s="1425"/>
      <c r="Q7" s="1425"/>
      <c r="R7" s="1425"/>
      <c r="S7" s="1425"/>
    </row>
    <row r="8" spans="1:19">
      <c r="A8" s="4146" t="s">
        <v>3406</v>
      </c>
      <c r="B8" s="4146"/>
      <c r="C8" s="4146"/>
      <c r="D8" s="4146"/>
      <c r="E8" s="1426">
        <v>3</v>
      </c>
      <c r="F8" s="1426"/>
      <c r="G8" s="1426"/>
      <c r="H8" s="1426"/>
      <c r="I8" s="1426"/>
      <c r="J8" s="1426"/>
      <c r="K8" s="1426"/>
      <c r="L8" s="1426"/>
      <c r="M8" s="1426"/>
      <c r="N8" s="1426"/>
      <c r="O8" s="1426"/>
      <c r="P8" s="1426"/>
      <c r="Q8" s="1427"/>
      <c r="R8" s="1427"/>
      <c r="S8" s="1427"/>
    </row>
    <row r="9" spans="1:19">
      <c r="A9" s="4146" t="s">
        <v>3407</v>
      </c>
      <c r="B9" s="4146"/>
      <c r="C9" s="4146"/>
      <c r="D9" s="4146"/>
      <c r="E9" s="1426">
        <v>7603</v>
      </c>
      <c r="F9" s="1426" t="s">
        <v>3408</v>
      </c>
      <c r="G9" s="1426"/>
      <c r="H9" s="1426"/>
      <c r="I9" s="1428">
        <f>E9</f>
        <v>7603</v>
      </c>
      <c r="J9" s="1429" t="s">
        <v>3383</v>
      </c>
      <c r="K9" s="1430">
        <f>E11</f>
        <v>0.85</v>
      </c>
      <c r="L9" s="1426" t="s">
        <v>981</v>
      </c>
      <c r="M9" s="1430">
        <f>ROUND(I9/K9,1)</f>
        <v>8944.7000000000007</v>
      </c>
      <c r="N9" s="1426" t="s">
        <v>3409</v>
      </c>
      <c r="O9" s="1426"/>
      <c r="P9" s="1426"/>
      <c r="Q9" s="1427"/>
      <c r="R9" s="1427"/>
      <c r="S9" s="1427"/>
    </row>
    <row r="10" spans="1:19">
      <c r="A10" s="4146" t="s">
        <v>3410</v>
      </c>
      <c r="B10" s="4146"/>
      <c r="C10" s="4146"/>
      <c r="D10" s="4146"/>
      <c r="E10" s="1426">
        <v>1088</v>
      </c>
      <c r="F10" s="1426" t="s">
        <v>3408</v>
      </c>
      <c r="G10" s="1426"/>
      <c r="H10" s="1426"/>
      <c r="I10" s="1428">
        <f>E10</f>
        <v>1088</v>
      </c>
      <c r="J10" s="1429" t="s">
        <v>3383</v>
      </c>
      <c r="K10" s="1430">
        <f>E11</f>
        <v>0.85</v>
      </c>
      <c r="L10" s="1426" t="s">
        <v>981</v>
      </c>
      <c r="M10" s="1430">
        <f>ROUND(I10/K10,1)</f>
        <v>1280</v>
      </c>
      <c r="N10" s="1426" t="s">
        <v>3409</v>
      </c>
      <c r="O10" s="1426"/>
      <c r="P10" s="1426"/>
      <c r="Q10" s="1427"/>
      <c r="R10" s="1427"/>
      <c r="S10" s="1427"/>
    </row>
    <row r="11" spans="1:19">
      <c r="A11" s="4146" t="s">
        <v>3411</v>
      </c>
      <c r="B11" s="4146"/>
      <c r="C11" s="4146"/>
      <c r="D11" s="4146"/>
      <c r="E11" s="1430">
        <v>0.85</v>
      </c>
      <c r="F11" s="1426" t="s">
        <v>3412</v>
      </c>
      <c r="G11" s="1426"/>
      <c r="H11" s="1426"/>
      <c r="I11" s="1428"/>
      <c r="J11" s="1429"/>
      <c r="K11" s="1430"/>
      <c r="L11" s="1426"/>
      <c r="M11" s="1426"/>
      <c r="N11" s="1426"/>
      <c r="O11" s="1426"/>
      <c r="P11" s="1426"/>
      <c r="Q11" s="1427"/>
      <c r="R11" s="1427"/>
      <c r="S11" s="1427"/>
    </row>
    <row r="12" spans="1:19">
      <c r="A12" s="1431"/>
      <c r="B12" s="1431"/>
      <c r="C12" s="1431"/>
      <c r="D12" s="1431"/>
      <c r="E12" s="1430"/>
      <c r="F12" s="1426"/>
      <c r="G12" s="1426"/>
      <c r="H12" s="1426"/>
      <c r="I12" s="1428"/>
      <c r="J12" s="1429"/>
      <c r="K12" s="1430"/>
      <c r="L12" s="1426"/>
      <c r="M12" s="1426"/>
      <c r="N12" s="1426"/>
      <c r="O12" s="1426"/>
      <c r="P12" s="1426"/>
      <c r="Q12" s="1427"/>
      <c r="R12" s="1427"/>
      <c r="S12" s="1427"/>
    </row>
    <row r="13" spans="1:19">
      <c r="A13" s="1431"/>
      <c r="B13" s="1431"/>
      <c r="C13" s="1431"/>
      <c r="D13" s="1431"/>
      <c r="E13" s="1430"/>
      <c r="F13" s="1426"/>
      <c r="G13" s="1426"/>
      <c r="H13" s="1426"/>
      <c r="I13" s="1428"/>
      <c r="J13" s="1429"/>
      <c r="K13" s="1430"/>
      <c r="L13" s="1426"/>
      <c r="M13" s="1426"/>
      <c r="N13" s="1426"/>
      <c r="O13" s="1426"/>
      <c r="P13" s="1426"/>
      <c r="Q13" s="1427"/>
      <c r="R13" s="1427"/>
      <c r="S13" s="1427"/>
    </row>
    <row r="14" spans="1:19">
      <c r="A14" s="4134"/>
      <c r="B14" s="4136" t="s">
        <v>3413</v>
      </c>
      <c r="C14" s="4137"/>
      <c r="D14" s="4138"/>
      <c r="E14" s="4136" t="s">
        <v>3414</v>
      </c>
      <c r="F14" s="4137"/>
      <c r="G14" s="4138"/>
      <c r="H14" s="4139" t="s">
        <v>3415</v>
      </c>
      <c r="I14" s="4140"/>
      <c r="J14" s="4141"/>
      <c r="K14" s="4142" t="s">
        <v>3416</v>
      </c>
      <c r="L14" s="4143"/>
      <c r="M14" s="4144"/>
      <c r="N14" s="4142" t="s">
        <v>3417</v>
      </c>
      <c r="O14" s="4143"/>
      <c r="P14" s="4144"/>
      <c r="Q14" s="4142" t="s">
        <v>3418</v>
      </c>
      <c r="R14" s="4143"/>
      <c r="S14" s="4144"/>
    </row>
    <row r="15" spans="1:19">
      <c r="A15" s="4135"/>
      <c r="B15" s="1432" t="s">
        <v>37</v>
      </c>
      <c r="C15" s="1432" t="s">
        <v>39</v>
      </c>
      <c r="D15" s="1432" t="s">
        <v>41</v>
      </c>
      <c r="E15" s="1432" t="str">
        <f>B15</f>
        <v>I</v>
      </c>
      <c r="F15" s="1432" t="str">
        <f>C15</f>
        <v>II</v>
      </c>
      <c r="G15" s="1432" t="str">
        <f>D15</f>
        <v>III</v>
      </c>
      <c r="H15" s="1432" t="str">
        <f>B15</f>
        <v>I</v>
      </c>
      <c r="I15" s="1432" t="str">
        <f>C15</f>
        <v>II</v>
      </c>
      <c r="J15" s="1432" t="str">
        <f>D15</f>
        <v>III</v>
      </c>
      <c r="K15" s="1432" t="str">
        <f>B15</f>
        <v>I</v>
      </c>
      <c r="L15" s="1432" t="str">
        <f>C15</f>
        <v>II</v>
      </c>
      <c r="M15" s="1432" t="str">
        <f>D15</f>
        <v>III</v>
      </c>
      <c r="N15" s="1432" t="str">
        <f t="shared" ref="N15:S15" si="0">B15</f>
        <v>I</v>
      </c>
      <c r="O15" s="1432" t="str">
        <f t="shared" si="0"/>
        <v>II</v>
      </c>
      <c r="P15" s="1432" t="str">
        <f t="shared" si="0"/>
        <v>III</v>
      </c>
      <c r="Q15" s="1432" t="str">
        <f t="shared" si="0"/>
        <v>I</v>
      </c>
      <c r="R15" s="1432" t="str">
        <f t="shared" si="0"/>
        <v>II</v>
      </c>
      <c r="S15" s="1432" t="str">
        <f t="shared" si="0"/>
        <v>III</v>
      </c>
    </row>
    <row r="16" spans="1:19">
      <c r="A16" s="1068" t="s">
        <v>3419</v>
      </c>
      <c r="B16" s="1433">
        <v>10</v>
      </c>
      <c r="C16" s="1433">
        <v>10</v>
      </c>
      <c r="D16" s="1433">
        <v>11</v>
      </c>
      <c r="E16" s="1433">
        <v>10</v>
      </c>
      <c r="F16" s="1433">
        <v>10</v>
      </c>
      <c r="G16" s="1433">
        <v>8</v>
      </c>
      <c r="H16" s="1433">
        <v>10</v>
      </c>
      <c r="I16" s="1433">
        <v>10</v>
      </c>
      <c r="J16" s="1433">
        <v>11</v>
      </c>
      <c r="K16" s="1433">
        <v>15</v>
      </c>
      <c r="L16" s="1433"/>
      <c r="M16" s="1433">
        <v>15</v>
      </c>
      <c r="N16" s="1433">
        <v>10</v>
      </c>
      <c r="O16" s="1433">
        <v>10</v>
      </c>
      <c r="P16" s="1433">
        <v>11</v>
      </c>
      <c r="Q16" s="1433">
        <v>10</v>
      </c>
      <c r="R16" s="1433">
        <v>10</v>
      </c>
      <c r="S16" s="1433">
        <v>10</v>
      </c>
    </row>
    <row r="17" spans="1:19" ht="25.5">
      <c r="A17" s="1068" t="s">
        <v>3420</v>
      </c>
      <c r="B17" s="1517">
        <f>M9*B16</f>
        <v>89447</v>
      </c>
      <c r="C17" s="1517">
        <f>M9*C16</f>
        <v>89447</v>
      </c>
      <c r="D17" s="1517">
        <f>M9*D16</f>
        <v>98391.700000000012</v>
      </c>
      <c r="E17" s="1517">
        <f>E16*M9</f>
        <v>89447</v>
      </c>
      <c r="F17" s="1517">
        <f>M9*F16</f>
        <v>89447</v>
      </c>
      <c r="G17" s="1517">
        <f>M9*G16</f>
        <v>71557.600000000006</v>
      </c>
      <c r="H17" s="1517">
        <f>H16*M9</f>
        <v>89447</v>
      </c>
      <c r="I17" s="1517">
        <f>I16*M9</f>
        <v>89447</v>
      </c>
      <c r="J17" s="1517">
        <f>M9*J16</f>
        <v>98391.700000000012</v>
      </c>
      <c r="K17" s="1517">
        <f>K16*M9</f>
        <v>134170.5</v>
      </c>
      <c r="L17" s="1517">
        <f>M9*L16</f>
        <v>0</v>
      </c>
      <c r="M17" s="1517">
        <f>M10*M16</f>
        <v>19200</v>
      </c>
      <c r="N17" s="1517">
        <f>M10*N16</f>
        <v>12800</v>
      </c>
      <c r="O17" s="1517">
        <f>M10*O16</f>
        <v>12800</v>
      </c>
      <c r="P17" s="1517">
        <f>P16*M10</f>
        <v>14080</v>
      </c>
      <c r="Q17" s="1517">
        <f>M10*Q16</f>
        <v>12800</v>
      </c>
      <c r="R17" s="1517">
        <f>R16*M10</f>
        <v>12800</v>
      </c>
      <c r="S17" s="1517">
        <f>S16*M10</f>
        <v>12800</v>
      </c>
    </row>
    <row r="18" spans="1:19">
      <c r="A18" s="1434"/>
      <c r="B18" s="4147">
        <f>B17+C17+D17</f>
        <v>277285.7</v>
      </c>
      <c r="C18" s="4148"/>
      <c r="D18" s="4149"/>
      <c r="E18" s="4147">
        <f>E17+F17+G17</f>
        <v>250451.6</v>
      </c>
      <c r="F18" s="4148"/>
      <c r="G18" s="4149"/>
      <c r="H18" s="4147">
        <f>H17+I17+J17</f>
        <v>277285.7</v>
      </c>
      <c r="I18" s="4148"/>
      <c r="J18" s="4149"/>
      <c r="K18" s="4147">
        <f>K17+L17+M17</f>
        <v>153370.5</v>
      </c>
      <c r="L18" s="4148"/>
      <c r="M18" s="4149"/>
      <c r="N18" s="4147">
        <f>N17+O17+P17</f>
        <v>39680</v>
      </c>
      <c r="O18" s="4148"/>
      <c r="P18" s="4149"/>
      <c r="Q18" s="4147">
        <f>Q17+R17+S17</f>
        <v>38400</v>
      </c>
      <c r="R18" s="4148"/>
      <c r="S18" s="4149"/>
    </row>
    <row r="19" spans="1:19">
      <c r="A19" s="1435"/>
      <c r="B19" s="1436"/>
      <c r="C19" s="1437"/>
      <c r="D19" s="1437"/>
      <c r="E19" s="1436"/>
      <c r="F19" s="1437"/>
      <c r="G19" s="1437"/>
      <c r="H19" s="1436"/>
      <c r="I19" s="1437"/>
      <c r="J19" s="1437"/>
      <c r="K19" s="1436"/>
      <c r="L19" s="1437"/>
      <c r="M19" s="1437"/>
      <c r="N19" s="1436"/>
      <c r="O19" s="1437"/>
      <c r="P19" s="1437"/>
      <c r="Q19" s="1436"/>
      <c r="R19" s="1437"/>
      <c r="S19" s="1437"/>
    </row>
    <row r="20" spans="1:19">
      <c r="A20" s="1435"/>
      <c r="B20" s="1436"/>
      <c r="C20" s="1437"/>
      <c r="D20" s="1437"/>
      <c r="E20" s="1436"/>
      <c r="F20" s="1437"/>
      <c r="G20" s="1437"/>
      <c r="H20" s="1436"/>
      <c r="I20" s="1437"/>
      <c r="J20" s="1437"/>
      <c r="K20" s="1436"/>
      <c r="L20" s="1437"/>
      <c r="M20" s="1437"/>
      <c r="N20" s="1436"/>
      <c r="O20" s="1437"/>
      <c r="P20" s="1437"/>
      <c r="Q20" s="1436"/>
      <c r="R20" s="1437"/>
      <c r="S20" s="1437"/>
    </row>
    <row r="21" spans="1:19">
      <c r="A21" s="4150"/>
      <c r="B21" s="4152" t="s">
        <v>3421</v>
      </c>
      <c r="C21" s="4152"/>
      <c r="D21" s="4152"/>
      <c r="E21" s="4152" t="s">
        <v>3422</v>
      </c>
      <c r="F21" s="4152"/>
      <c r="G21" s="4152"/>
      <c r="H21" s="4152" t="s">
        <v>3423</v>
      </c>
      <c r="I21" s="4152"/>
      <c r="J21" s="4152"/>
      <c r="K21" s="4152" t="s">
        <v>3424</v>
      </c>
      <c r="L21" s="4152"/>
      <c r="M21" s="4152"/>
      <c r="N21" s="4153" t="s">
        <v>3425</v>
      </c>
      <c r="O21" s="4153"/>
      <c r="P21" s="4153"/>
      <c r="Q21" s="4153" t="s">
        <v>3426</v>
      </c>
      <c r="R21" s="4153"/>
      <c r="S21" s="4153"/>
    </row>
    <row r="22" spans="1:19">
      <c r="A22" s="4151"/>
      <c r="B22" s="1438" t="str">
        <f t="shared" ref="B22:G22" si="1">H15</f>
        <v>I</v>
      </c>
      <c r="C22" s="1438" t="str">
        <f t="shared" si="1"/>
        <v>II</v>
      </c>
      <c r="D22" s="1438" t="str">
        <f t="shared" si="1"/>
        <v>III</v>
      </c>
      <c r="E22" s="1438" t="str">
        <f t="shared" si="1"/>
        <v>I</v>
      </c>
      <c r="F22" s="1438" t="str">
        <f t="shared" si="1"/>
        <v>II</v>
      </c>
      <c r="G22" s="1438" t="str">
        <f t="shared" si="1"/>
        <v>III</v>
      </c>
      <c r="H22" s="1438" t="str">
        <f t="shared" ref="H22:S22" si="2">B15</f>
        <v>I</v>
      </c>
      <c r="I22" s="1438" t="str">
        <f t="shared" si="2"/>
        <v>II</v>
      </c>
      <c r="J22" s="1438" t="str">
        <f t="shared" si="2"/>
        <v>III</v>
      </c>
      <c r="K22" s="1438" t="str">
        <f t="shared" si="2"/>
        <v>I</v>
      </c>
      <c r="L22" s="1438" t="str">
        <f t="shared" si="2"/>
        <v>II</v>
      </c>
      <c r="M22" s="1438" t="str">
        <f t="shared" si="2"/>
        <v>III</v>
      </c>
      <c r="N22" s="1438" t="str">
        <f t="shared" si="2"/>
        <v>I</v>
      </c>
      <c r="O22" s="1438" t="str">
        <f t="shared" si="2"/>
        <v>II</v>
      </c>
      <c r="P22" s="1438" t="str">
        <f t="shared" si="2"/>
        <v>III</v>
      </c>
      <c r="Q22" s="1438" t="str">
        <f t="shared" si="2"/>
        <v>I</v>
      </c>
      <c r="R22" s="1438" t="str">
        <f t="shared" si="2"/>
        <v>II</v>
      </c>
      <c r="S22" s="1438" t="str">
        <f t="shared" si="2"/>
        <v>III</v>
      </c>
    </row>
    <row r="23" spans="1:19">
      <c r="A23" s="1068" t="s">
        <v>3419</v>
      </c>
      <c r="B23" s="1433">
        <v>10</v>
      </c>
      <c r="C23" s="1433">
        <v>10</v>
      </c>
      <c r="D23" s="1433">
        <v>11</v>
      </c>
      <c r="E23" s="1433">
        <v>10</v>
      </c>
      <c r="F23" s="1433">
        <v>10</v>
      </c>
      <c r="G23" s="1433">
        <v>11</v>
      </c>
      <c r="H23" s="1433">
        <v>10</v>
      </c>
      <c r="I23" s="1433">
        <v>10</v>
      </c>
      <c r="J23" s="1433">
        <v>10</v>
      </c>
      <c r="K23" s="1433">
        <v>15</v>
      </c>
      <c r="L23" s="1433"/>
      <c r="M23" s="1433">
        <v>16</v>
      </c>
      <c r="N23" s="1433">
        <v>10</v>
      </c>
      <c r="O23" s="1433">
        <v>10</v>
      </c>
      <c r="P23" s="1433">
        <v>10</v>
      </c>
      <c r="Q23" s="1433">
        <v>10</v>
      </c>
      <c r="R23" s="1433">
        <v>10</v>
      </c>
      <c r="S23" s="1433">
        <v>11</v>
      </c>
    </row>
    <row r="24" spans="1:19" ht="25.5">
      <c r="A24" s="1068" t="s">
        <v>3420</v>
      </c>
      <c r="B24" s="1517">
        <f>B23*M10</f>
        <v>12800</v>
      </c>
      <c r="C24" s="1517">
        <f>M10*C23</f>
        <v>12800</v>
      </c>
      <c r="D24" s="1517">
        <f>D23*M10</f>
        <v>14080</v>
      </c>
      <c r="E24" s="1517">
        <f>M10*E23</f>
        <v>12800</v>
      </c>
      <c r="F24" s="1517">
        <f>M10*F23</f>
        <v>12800</v>
      </c>
      <c r="G24" s="1517">
        <f>M10*G23</f>
        <v>14080</v>
      </c>
      <c r="H24" s="1517">
        <f>M10*H23</f>
        <v>12800</v>
      </c>
      <c r="I24" s="1517">
        <f>M10*I23</f>
        <v>12800</v>
      </c>
      <c r="J24" s="1517">
        <f>M10*J23</f>
        <v>12800</v>
      </c>
      <c r="K24" s="1517">
        <f>M10*K23</f>
        <v>19200</v>
      </c>
      <c r="L24" s="1517">
        <f>L23*M9</f>
        <v>0</v>
      </c>
      <c r="M24" s="1517">
        <f>M23*M9</f>
        <v>143115.20000000001</v>
      </c>
      <c r="N24" s="1517">
        <f>N23*M9</f>
        <v>89447</v>
      </c>
      <c r="O24" s="1517">
        <f>M9*O23</f>
        <v>89447</v>
      </c>
      <c r="P24" s="1517">
        <f>M9*P23</f>
        <v>89447</v>
      </c>
      <c r="Q24" s="1517">
        <f>Q23*M9</f>
        <v>89447</v>
      </c>
      <c r="R24" s="1517">
        <f>R23*M9</f>
        <v>89447</v>
      </c>
      <c r="S24" s="1517">
        <f>S23*M9</f>
        <v>98391.700000000012</v>
      </c>
    </row>
    <row r="25" spans="1:19">
      <c r="A25" s="1434"/>
      <c r="B25" s="4154">
        <f>B24+C24+D24</f>
        <v>39680</v>
      </c>
      <c r="C25" s="4154"/>
      <c r="D25" s="4154"/>
      <c r="E25" s="4154">
        <f>E24+F24+G24</f>
        <v>39680</v>
      </c>
      <c r="F25" s="4154"/>
      <c r="G25" s="4154"/>
      <c r="H25" s="4154">
        <f>H24+I24+J24</f>
        <v>38400</v>
      </c>
      <c r="I25" s="4154"/>
      <c r="J25" s="4154"/>
      <c r="K25" s="4154">
        <f>K24+L24+M24</f>
        <v>162315.20000000001</v>
      </c>
      <c r="L25" s="4154"/>
      <c r="M25" s="4154"/>
      <c r="N25" s="4154">
        <f>N24+O24+P24</f>
        <v>268341</v>
      </c>
      <c r="O25" s="4154"/>
      <c r="P25" s="4154"/>
      <c r="Q25" s="4154">
        <f>Q24+R24+S24</f>
        <v>277285.7</v>
      </c>
      <c r="R25" s="4154"/>
      <c r="S25" s="4154"/>
    </row>
    <row r="26" spans="1:19">
      <c r="A26" s="1424"/>
      <c r="B26" s="1424"/>
      <c r="C26" s="1424"/>
      <c r="D26" s="1424"/>
      <c r="E26" s="1424"/>
      <c r="F26" s="1424"/>
      <c r="G26" s="1424"/>
      <c r="H26" s="1424"/>
      <c r="I26" s="1424"/>
      <c r="J26" s="1424"/>
      <c r="K26" s="1424"/>
      <c r="L26" s="1424"/>
      <c r="M26" s="1424"/>
      <c r="N26" s="1424"/>
      <c r="O26" s="1424"/>
      <c r="P26" s="1424"/>
      <c r="Q26" s="1424"/>
      <c r="R26" s="1424"/>
      <c r="S26" s="1424"/>
    </row>
    <row r="27" spans="1:19">
      <c r="A27" s="1439"/>
      <c r="B27" s="1435"/>
      <c r="C27" s="1436"/>
      <c r="D27" s="1439"/>
      <c r="E27" s="1435"/>
      <c r="F27" s="1435"/>
      <c r="G27" s="1435"/>
      <c r="H27" s="1435"/>
      <c r="I27" s="1435"/>
      <c r="J27" s="1435"/>
      <c r="K27" s="1435"/>
      <c r="L27" s="1435"/>
      <c r="M27" s="1435"/>
      <c r="N27" s="1435"/>
      <c r="O27" s="1435"/>
      <c r="P27" s="1435"/>
      <c r="Q27" s="1424"/>
      <c r="R27" s="1424"/>
      <c r="S27" s="1435"/>
    </row>
    <row r="28" spans="1:19">
      <c r="A28" s="1439" t="s">
        <v>3427</v>
      </c>
      <c r="B28" s="1435"/>
      <c r="C28" s="1435"/>
      <c r="D28" s="1440"/>
      <c r="E28" s="1435"/>
      <c r="F28" s="1441"/>
      <c r="G28" s="1435"/>
      <c r="H28" s="1435"/>
      <c r="I28" s="1442"/>
      <c r="J28" s="1435"/>
      <c r="K28" s="1435"/>
      <c r="L28" s="1443"/>
      <c r="M28" s="1444"/>
      <c r="N28" s="1444"/>
      <c r="O28" s="1445"/>
      <c r="P28" s="1444"/>
      <c r="Q28" s="1446"/>
      <c r="R28" s="1444"/>
      <c r="S28" s="1444"/>
    </row>
    <row r="29" spans="1:19">
      <c r="A29" s="1439" t="s">
        <v>3428</v>
      </c>
      <c r="B29" s="1435"/>
      <c r="C29" s="1518">
        <f>B18+E18+H18+N25+Q25</f>
        <v>1350649.7</v>
      </c>
      <c r="D29" s="1440" t="s">
        <v>1045</v>
      </c>
      <c r="E29" s="1440" t="s">
        <v>3383</v>
      </c>
      <c r="F29" s="1447">
        <f>ROUND(160*1.07,0)</f>
        <v>171</v>
      </c>
      <c r="G29" s="1440" t="s">
        <v>254</v>
      </c>
      <c r="H29" s="1440" t="s">
        <v>981</v>
      </c>
      <c r="I29" s="1518">
        <f>ROUND(C29*F29,0)</f>
        <v>230961099</v>
      </c>
      <c r="J29" s="1440" t="s">
        <v>254</v>
      </c>
      <c r="K29" s="1440"/>
      <c r="L29" s="1443"/>
      <c r="M29" s="1444"/>
      <c r="N29" s="1444"/>
      <c r="O29" s="1448"/>
      <c r="P29" s="1449"/>
      <c r="Q29" s="1445"/>
      <c r="R29" s="1445"/>
      <c r="S29" s="1450"/>
    </row>
    <row r="30" spans="1:19">
      <c r="A30" s="1439" t="s">
        <v>3429</v>
      </c>
      <c r="B30" s="1435"/>
      <c r="C30" s="1518">
        <f>K18+N18+Q18+B25+E25+H25+K25</f>
        <v>511525.7</v>
      </c>
      <c r="D30" s="1440" t="s">
        <v>1045</v>
      </c>
      <c r="E30" s="1440" t="s">
        <v>3383</v>
      </c>
      <c r="F30" s="1447">
        <f>ROUND(115*1.07,0)</f>
        <v>123</v>
      </c>
      <c r="G30" s="1440" t="s">
        <v>254</v>
      </c>
      <c r="H30" s="1440" t="s">
        <v>981</v>
      </c>
      <c r="I30" s="1518">
        <f>C30*F30</f>
        <v>62917661.100000001</v>
      </c>
      <c r="J30" s="1440" t="s">
        <v>254</v>
      </c>
      <c r="K30" s="1440"/>
      <c r="L30" s="1443"/>
      <c r="M30" s="1444"/>
      <c r="N30" s="4155"/>
      <c r="O30" s="4155"/>
      <c r="P30" s="4155"/>
      <c r="Q30" s="4155"/>
      <c r="R30" s="4155"/>
      <c r="S30" s="4155"/>
    </row>
    <row r="31" spans="1:19">
      <c r="A31" s="1451" t="s">
        <v>3430</v>
      </c>
      <c r="B31" s="1439"/>
      <c r="C31" s="1519">
        <f>SUM(C29:C30)</f>
        <v>1862175.4</v>
      </c>
      <c r="D31" s="1439"/>
      <c r="E31" s="1439"/>
      <c r="F31" s="1439"/>
      <c r="G31" s="1439"/>
      <c r="H31" s="1439"/>
      <c r="I31" s="1519">
        <f>SUM(I29:I30)</f>
        <v>293878760.10000002</v>
      </c>
      <c r="J31" s="1437" t="s">
        <v>254</v>
      </c>
      <c r="K31" s="1440"/>
      <c r="L31" s="1452"/>
      <c r="M31" s="1443"/>
      <c r="N31" s="4155"/>
      <c r="O31" s="4155"/>
      <c r="P31" s="4155"/>
      <c r="Q31" s="4155"/>
      <c r="R31" s="4155"/>
      <c r="S31" s="4155"/>
    </row>
    <row r="32" spans="1:19">
      <c r="A32" s="1453" t="s">
        <v>3431</v>
      </c>
      <c r="B32" s="1453"/>
      <c r="C32" s="1453"/>
      <c r="D32" s="1453"/>
      <c r="E32" s="1453"/>
      <c r="F32" s="1453"/>
      <c r="G32" s="1453"/>
      <c r="H32" s="1453"/>
      <c r="I32" s="1453"/>
      <c r="J32" s="1435"/>
      <c r="K32" s="1453"/>
      <c r="L32" s="1453"/>
      <c r="M32" s="1454"/>
      <c r="N32" s="4155"/>
      <c r="O32" s="4155"/>
      <c r="P32" s="4155"/>
      <c r="Q32" s="4155"/>
      <c r="R32" s="4155"/>
      <c r="S32" s="4155"/>
    </row>
    <row r="33" spans="1:19">
      <c r="A33" s="1435"/>
      <c r="B33" s="1435"/>
      <c r="C33" s="1435"/>
      <c r="D33" s="1435"/>
      <c r="E33" s="1435"/>
      <c r="F33" s="1435"/>
      <c r="G33" s="1435"/>
      <c r="H33" s="1435"/>
      <c r="I33" s="1435"/>
      <c r="J33" s="1435"/>
      <c r="K33" s="1435"/>
      <c r="L33" s="1435"/>
      <c r="M33" s="1455"/>
      <c r="N33" s="1455"/>
      <c r="O33" s="1455"/>
      <c r="P33" s="1435"/>
      <c r="Q33" s="1435"/>
      <c r="R33" s="1435"/>
      <c r="S33" s="1435"/>
    </row>
    <row r="34" spans="1:19">
      <c r="A34" s="4156" t="s">
        <v>3432</v>
      </c>
      <c r="B34" s="4156" t="s">
        <v>3433</v>
      </c>
      <c r="C34" s="4156" t="s">
        <v>3434</v>
      </c>
      <c r="D34" s="4156" t="s">
        <v>3435</v>
      </c>
      <c r="E34" s="4158" t="s">
        <v>3436</v>
      </c>
      <c r="F34" s="4159"/>
      <c r="G34" s="4158" t="s">
        <v>3437</v>
      </c>
      <c r="H34" s="4159"/>
      <c r="I34" s="4156" t="s">
        <v>3438</v>
      </c>
      <c r="J34" s="4158" t="s">
        <v>3436</v>
      </c>
      <c r="K34" s="4159"/>
      <c r="L34" s="1456"/>
      <c r="M34" s="1457"/>
      <c r="N34" s="1457"/>
      <c r="O34" s="1457"/>
      <c r="P34" s="1456"/>
      <c r="Q34" s="1456"/>
      <c r="R34" s="1456"/>
      <c r="S34" s="1456"/>
    </row>
    <row r="35" spans="1:19" ht="25.5">
      <c r="A35" s="4157"/>
      <c r="B35" s="4157"/>
      <c r="C35" s="4157"/>
      <c r="D35" s="4157"/>
      <c r="E35" s="1458" t="s">
        <v>3428</v>
      </c>
      <c r="F35" s="1458" t="s">
        <v>3429</v>
      </c>
      <c r="G35" s="1458" t="s">
        <v>3428</v>
      </c>
      <c r="H35" s="1458" t="s">
        <v>3429</v>
      </c>
      <c r="I35" s="4157"/>
      <c r="J35" s="1458" t="s">
        <v>3428</v>
      </c>
      <c r="K35" s="1458" t="s">
        <v>3429</v>
      </c>
      <c r="L35" s="1456"/>
      <c r="M35" s="1457"/>
      <c r="N35" s="1457"/>
      <c r="O35" s="1457"/>
      <c r="P35" s="1456"/>
      <c r="Q35" s="1456"/>
      <c r="R35" s="1456"/>
      <c r="S35" s="1456"/>
    </row>
    <row r="36" spans="1:19">
      <c r="A36" s="1459" t="s">
        <v>3363</v>
      </c>
      <c r="B36" s="1460">
        <v>8820</v>
      </c>
      <c r="C36" s="1462">
        <f>B36/$B$46%</f>
        <v>16.709925544209309</v>
      </c>
      <c r="D36" s="1460">
        <f>ROUND(I31*C36/100,2)</f>
        <v>49106922</v>
      </c>
      <c r="E36" s="1460">
        <f>I29*C36/100</f>
        <v>38593427.678987548</v>
      </c>
      <c r="F36" s="1460">
        <f>I30*C36/100</f>
        <v>10513494.323967945</v>
      </c>
      <c r="G36" s="1461">
        <f>$F$29</f>
        <v>171</v>
      </c>
      <c r="H36" s="1462">
        <f>$F$30</f>
        <v>123</v>
      </c>
      <c r="I36" s="1460">
        <f>ROUND(C31*C36/100,2)</f>
        <v>311168.12</v>
      </c>
      <c r="J36" s="1460">
        <f>ROUND(C29*C36/100,3)</f>
        <v>225692.55900000001</v>
      </c>
      <c r="K36" s="1460">
        <f>C30*C36/100</f>
        <v>85475.563609495483</v>
      </c>
      <c r="L36" s="1463"/>
      <c r="M36" s="1464"/>
      <c r="N36" s="1465"/>
      <c r="O36" s="1465"/>
      <c r="P36" s="1466"/>
      <c r="Q36" s="1467"/>
      <c r="R36" s="1467"/>
      <c r="S36" s="1467"/>
    </row>
    <row r="37" spans="1:19" ht="38.25">
      <c r="A37" s="1459" t="s">
        <v>3364</v>
      </c>
      <c r="B37" s="1460">
        <v>3787</v>
      </c>
      <c r="C37" s="1462">
        <f>ROUND(B37/$B$46%,1)</f>
        <v>7.2</v>
      </c>
      <c r="D37" s="1460">
        <f>ROUND(I31*C37/100,1)</f>
        <v>21159270.699999999</v>
      </c>
      <c r="E37" s="1460">
        <f>I29*C37/100</f>
        <v>16629199.127999999</v>
      </c>
      <c r="F37" s="1460">
        <f>I30*C37/100</f>
        <v>4530071.5992000001</v>
      </c>
      <c r="G37" s="1461">
        <f t="shared" ref="G37:G49" si="3">$F$29</f>
        <v>171</v>
      </c>
      <c r="H37" s="1462">
        <f t="shared" ref="H37:H49" si="4">$F$30</f>
        <v>123</v>
      </c>
      <c r="I37" s="1460">
        <f>C31*C37/100</f>
        <v>134076.62879999998</v>
      </c>
      <c r="J37" s="1460">
        <f>ROUND(C29*C37/100,3)</f>
        <v>97246.778000000006</v>
      </c>
      <c r="K37" s="1460">
        <f>C30*C37/100</f>
        <v>36829.850400000003</v>
      </c>
      <c r="L37" s="1463"/>
      <c r="M37" s="1464"/>
      <c r="N37" s="1465"/>
      <c r="O37" s="1465"/>
      <c r="P37" s="1463"/>
      <c r="Q37" s="1467"/>
      <c r="R37" s="1467"/>
      <c r="S37" s="1467"/>
    </row>
    <row r="38" spans="1:19">
      <c r="A38" s="1468" t="s">
        <v>3439</v>
      </c>
      <c r="B38" s="1469">
        <f>SUM(B36:B37)</f>
        <v>12607</v>
      </c>
      <c r="C38" s="1469">
        <f t="shared" ref="C38:K38" si="5">SUM(C36:C37)</f>
        <v>23.909925544209308</v>
      </c>
      <c r="D38" s="1469">
        <f t="shared" si="5"/>
        <v>70266192.700000003</v>
      </c>
      <c r="E38" s="1469">
        <f t="shared" si="5"/>
        <v>55222626.806987546</v>
      </c>
      <c r="F38" s="1469">
        <f t="shared" si="5"/>
        <v>15043565.923167944</v>
      </c>
      <c r="G38" s="1469"/>
      <c r="H38" s="1469"/>
      <c r="I38" s="1469">
        <f t="shared" si="5"/>
        <v>445244.74879999994</v>
      </c>
      <c r="J38" s="1469">
        <f t="shared" si="5"/>
        <v>322939.337</v>
      </c>
      <c r="K38" s="1469">
        <f t="shared" si="5"/>
        <v>122305.41400949549</v>
      </c>
      <c r="L38" s="1470"/>
      <c r="M38" s="1464"/>
      <c r="N38" s="1471"/>
      <c r="O38" s="1471"/>
      <c r="P38" s="1472"/>
      <c r="Q38" s="1473"/>
      <c r="R38" s="1473"/>
      <c r="S38" s="1473"/>
    </row>
    <row r="39" spans="1:19">
      <c r="A39" s="1459" t="s">
        <v>3365</v>
      </c>
      <c r="B39" s="1460">
        <v>1223</v>
      </c>
      <c r="C39" s="1462">
        <f>ROUND(B39/$B$46%,1)</f>
        <v>2.2999999999999998</v>
      </c>
      <c r="D39" s="1460">
        <f>ROUND(I31*C39/100,1)</f>
        <v>6759211.5</v>
      </c>
      <c r="E39" s="1460">
        <f>I29*C39/100</f>
        <v>5312105.2769999998</v>
      </c>
      <c r="F39" s="1460">
        <f>I30*C39/100</f>
        <v>1447106.2053</v>
      </c>
      <c r="G39" s="1461">
        <f t="shared" si="3"/>
        <v>171</v>
      </c>
      <c r="H39" s="1462">
        <f t="shared" si="4"/>
        <v>123</v>
      </c>
      <c r="I39" s="1460">
        <f>C31*C39/100</f>
        <v>42830.034199999987</v>
      </c>
      <c r="J39" s="1460">
        <f>ROUND(C29*C39/100,3)</f>
        <v>31064.942999999999</v>
      </c>
      <c r="K39" s="1460">
        <f>ROUND(C30*C39/100,1)</f>
        <v>11765.1</v>
      </c>
      <c r="L39" s="1463"/>
      <c r="M39" s="1464"/>
      <c r="N39" s="1465"/>
      <c r="O39" s="1465"/>
      <c r="P39" s="1466"/>
      <c r="Q39" s="1467"/>
      <c r="R39" s="1467"/>
      <c r="S39" s="1467"/>
    </row>
    <row r="40" spans="1:19">
      <c r="A40" s="1459" t="s">
        <v>3366</v>
      </c>
      <c r="B40" s="1460">
        <v>1503</v>
      </c>
      <c r="C40" s="1462">
        <f>ROUND(B40/$B$46%,1)</f>
        <v>2.8</v>
      </c>
      <c r="D40" s="1460">
        <f>ROUND(I31*C40/100,1)</f>
        <v>8228605.2999999998</v>
      </c>
      <c r="E40" s="1460">
        <f>I29*C40/100</f>
        <v>6466910.7719999989</v>
      </c>
      <c r="F40" s="1460">
        <f>I30*C40/100</f>
        <v>1761694.5107999998</v>
      </c>
      <c r="G40" s="1461">
        <f t="shared" si="3"/>
        <v>171</v>
      </c>
      <c r="H40" s="1462">
        <f t="shared" si="4"/>
        <v>123</v>
      </c>
      <c r="I40" s="1460">
        <f>C31*C40/100</f>
        <v>52140.911199999995</v>
      </c>
      <c r="J40" s="1460">
        <f>ROUND(C29*C40/100,3)</f>
        <v>37818.192000000003</v>
      </c>
      <c r="K40" s="1460">
        <f>C30*C40/100</f>
        <v>14322.7196</v>
      </c>
      <c r="L40" s="1463"/>
      <c r="M40" s="1464"/>
      <c r="N40" s="1465"/>
      <c r="O40" s="1465"/>
      <c r="P40" s="1466"/>
      <c r="Q40" s="1467"/>
      <c r="R40" s="1467"/>
      <c r="S40" s="1467"/>
    </row>
    <row r="41" spans="1:19">
      <c r="A41" s="1459" t="s">
        <v>3367</v>
      </c>
      <c r="B41" s="1460">
        <v>605</v>
      </c>
      <c r="C41" s="1462">
        <f>ROUND(B41/$B$46%,1)</f>
        <v>1.1000000000000001</v>
      </c>
      <c r="D41" s="1460">
        <f>ROUND(I31*C41/100,1)</f>
        <v>3232666.4</v>
      </c>
      <c r="E41" s="1460">
        <f>I29*C41/100</f>
        <v>2540572.0890000002</v>
      </c>
      <c r="F41" s="1460">
        <f>I30*C41/100</f>
        <v>692094.27210000006</v>
      </c>
      <c r="G41" s="1461">
        <f t="shared" si="3"/>
        <v>171</v>
      </c>
      <c r="H41" s="1462">
        <f t="shared" si="4"/>
        <v>123</v>
      </c>
      <c r="I41" s="1460">
        <f>C31*C41/100</f>
        <v>20483.929400000001</v>
      </c>
      <c r="J41" s="1460">
        <f>ROUND(C29*C41/100,3)</f>
        <v>14857.147000000001</v>
      </c>
      <c r="K41" s="1460">
        <f>C30*C41/100</f>
        <v>5626.7826999999997</v>
      </c>
      <c r="L41" s="1463"/>
      <c r="M41" s="1464"/>
      <c r="N41" s="1465"/>
      <c r="O41" s="1465"/>
      <c r="P41" s="1466"/>
      <c r="Q41" s="1467"/>
      <c r="R41" s="1467"/>
      <c r="S41" s="1467"/>
    </row>
    <row r="42" spans="1:19">
      <c r="A42" s="1459" t="s">
        <v>3368</v>
      </c>
      <c r="B42" s="1460">
        <v>630</v>
      </c>
      <c r="C42" s="1462">
        <f>ROUND(B42/$B$46%,1)</f>
        <v>1.2</v>
      </c>
      <c r="D42" s="1460">
        <f>ROUND(I31*C42/100,1)</f>
        <v>3526545.1</v>
      </c>
      <c r="E42" s="1460">
        <f>I29*C42/100</f>
        <v>2771533.1880000001</v>
      </c>
      <c r="F42" s="1460">
        <f>I30*C42/100</f>
        <v>755011.93319999997</v>
      </c>
      <c r="G42" s="1461">
        <f t="shared" si="3"/>
        <v>171</v>
      </c>
      <c r="H42" s="1462">
        <f t="shared" si="4"/>
        <v>123</v>
      </c>
      <c r="I42" s="1460">
        <f>C31*C42/100</f>
        <v>22346.104800000001</v>
      </c>
      <c r="J42" s="1460">
        <f>ROUND(C29*C42/100,3)</f>
        <v>16207.796</v>
      </c>
      <c r="K42" s="1460">
        <f>C30*C42/100</f>
        <v>6138.3083999999999</v>
      </c>
      <c r="L42" s="1463"/>
      <c r="M42" s="1464"/>
      <c r="N42" s="1465"/>
      <c r="O42" s="1465"/>
      <c r="P42" s="1466"/>
      <c r="Q42" s="1467"/>
      <c r="R42" s="1467"/>
      <c r="S42" s="1467"/>
    </row>
    <row r="43" spans="1:19" ht="25.5">
      <c r="A43" s="1459" t="s">
        <v>3440</v>
      </c>
      <c r="B43" s="1474">
        <v>15941</v>
      </c>
      <c r="C43" s="1462">
        <f>ROUND(B43/$B$46%,2)</f>
        <v>30.2</v>
      </c>
      <c r="D43" s="1460">
        <f>ROUND(I31*C43/100,1)</f>
        <v>88751385.599999994</v>
      </c>
      <c r="E43" s="1460">
        <f>I29*C43/100</f>
        <v>69750251.898000002</v>
      </c>
      <c r="F43" s="1460">
        <f>I30*C43/100</f>
        <v>19001133.652199998</v>
      </c>
      <c r="G43" s="1461">
        <f t="shared" si="3"/>
        <v>171</v>
      </c>
      <c r="H43" s="1462">
        <f t="shared" si="4"/>
        <v>123</v>
      </c>
      <c r="I43" s="1460">
        <f>C31*C43/100</f>
        <v>562376.97080000001</v>
      </c>
      <c r="J43" s="1460">
        <f>ROUND(C29*C43/100,3)</f>
        <v>407896.20899999997</v>
      </c>
      <c r="K43" s="1460">
        <f>C30*C43/100</f>
        <v>154480.76140000002</v>
      </c>
      <c r="L43" s="1463" t="s">
        <v>3441</v>
      </c>
      <c r="M43" s="1464"/>
      <c r="N43" s="1463" t="s">
        <v>1002</v>
      </c>
      <c r="O43" s="1475" t="s">
        <v>3442</v>
      </c>
      <c r="P43" s="1477" t="s">
        <v>3443</v>
      </c>
      <c r="Q43" s="1478"/>
      <c r="R43" s="1467"/>
      <c r="S43" s="1467"/>
    </row>
    <row r="44" spans="1:19">
      <c r="A44" s="1459" t="s">
        <v>3444</v>
      </c>
      <c r="B44" s="1474">
        <v>15941</v>
      </c>
      <c r="C44" s="1462">
        <f>ROUND(B44/$B$46%,1)</f>
        <v>30.2</v>
      </c>
      <c r="D44" s="1460">
        <f>ROUND(I31*C44/100,1)</f>
        <v>88751385.599999994</v>
      </c>
      <c r="E44" s="1460">
        <f>I29*C44/100</f>
        <v>69750251.898000002</v>
      </c>
      <c r="F44" s="1460">
        <f>I30*C44/100</f>
        <v>19001133.652199998</v>
      </c>
      <c r="G44" s="1461">
        <f t="shared" si="3"/>
        <v>171</v>
      </c>
      <c r="H44" s="1462">
        <f t="shared" si="4"/>
        <v>123</v>
      </c>
      <c r="I44" s="1460">
        <f>C31*C44/100</f>
        <v>562376.97080000001</v>
      </c>
      <c r="J44" s="1460">
        <f>ROUND(C29*C44/100,3)</f>
        <v>407896.20899999997</v>
      </c>
      <c r="K44" s="1460">
        <f>C30*C44/100</f>
        <v>154480.76140000002</v>
      </c>
      <c r="L44" s="1502">
        <v>64189498.280000001</v>
      </c>
      <c r="M44" s="1476">
        <v>294</v>
      </c>
      <c r="N44" s="1475">
        <f>D43/L44</f>
        <v>1.3826465072660168</v>
      </c>
      <c r="O44" s="1475">
        <f>D45/L44</f>
        <v>0.37542057417059471</v>
      </c>
      <c r="P44" s="1477">
        <f>D47/L44</f>
        <v>1.437128272805531</v>
      </c>
      <c r="Q44" s="1478"/>
      <c r="R44" s="1467"/>
      <c r="S44" s="1467"/>
    </row>
    <row r="45" spans="1:19">
      <c r="A45" s="1459" t="s">
        <v>22</v>
      </c>
      <c r="B45" s="1460">
        <v>4333</v>
      </c>
      <c r="C45" s="1462">
        <f>ROUND(B45/$B$46%,1)</f>
        <v>8.1999999999999993</v>
      </c>
      <c r="D45" s="1462">
        <f>ROUND(I31*C45/100,1)</f>
        <v>24098058.300000001</v>
      </c>
      <c r="E45" s="1460">
        <f>I29*C45/100</f>
        <v>18938810.118000001</v>
      </c>
      <c r="F45" s="1460">
        <f>I30*C45/100</f>
        <v>5159248.2101999996</v>
      </c>
      <c r="G45" s="1461">
        <f t="shared" si="3"/>
        <v>171</v>
      </c>
      <c r="H45" s="1462">
        <f t="shared" si="4"/>
        <v>123</v>
      </c>
      <c r="I45" s="1460">
        <f>C31*C45/100</f>
        <v>152698.38279999996</v>
      </c>
      <c r="J45" s="1460">
        <f>ROUND(C29*C45/100,3)</f>
        <v>110753.27499999999</v>
      </c>
      <c r="K45" s="1460">
        <f>C30*C45/100</f>
        <v>41945.107399999994</v>
      </c>
      <c r="L45" s="1502">
        <v>64189498.280000001</v>
      </c>
      <c r="M45" s="1464"/>
      <c r="N45" s="1479"/>
      <c r="O45" s="1479"/>
      <c r="P45" s="1466"/>
      <c r="Q45" s="1467"/>
      <c r="R45" s="1467"/>
      <c r="S45" s="1467"/>
    </row>
    <row r="46" spans="1:19">
      <c r="A46" s="1480" t="s">
        <v>3445</v>
      </c>
      <c r="B46" s="1481">
        <f>SUM(B38:B45)</f>
        <v>52783</v>
      </c>
      <c r="C46" s="1481">
        <v>100</v>
      </c>
      <c r="D46" s="1481">
        <f>SUM(D38:D45)</f>
        <v>293614050.5</v>
      </c>
      <c r="E46" s="1481">
        <f>SUM(E38:E45)</f>
        <v>230753062.04698756</v>
      </c>
      <c r="F46" s="1481">
        <f>SUM(F38:F45)</f>
        <v>62860988.359167941</v>
      </c>
      <c r="G46" s="1461">
        <f t="shared" si="3"/>
        <v>171</v>
      </c>
      <c r="H46" s="1462">
        <f t="shared" si="4"/>
        <v>123</v>
      </c>
      <c r="I46" s="1481">
        <f>SUM(I38:I45)</f>
        <v>1860498.0527999999</v>
      </c>
      <c r="J46" s="1481">
        <f>SUM(J38:J45)</f>
        <v>1349433.1079999998</v>
      </c>
      <c r="K46" s="1481">
        <f>SUM(K38:K45)</f>
        <v>511064.95490949554</v>
      </c>
      <c r="L46" s="1482"/>
      <c r="M46" s="1483"/>
      <c r="N46" s="1484"/>
      <c r="O46" s="1483"/>
      <c r="P46" s="1485"/>
      <c r="Q46" s="1486"/>
      <c r="R46" s="1486"/>
      <c r="S46" s="1486"/>
    </row>
    <row r="47" spans="1:19" ht="38.25">
      <c r="A47" s="1487" t="s">
        <v>3446</v>
      </c>
      <c r="B47" s="1481">
        <f>SUM(B38:B42)</f>
        <v>16568</v>
      </c>
      <c r="C47" s="1488">
        <f>ROUND(B47*C46/B46,2)</f>
        <v>31.39</v>
      </c>
      <c r="D47" s="1488">
        <f>I31*C47/100</f>
        <v>92248542.79539001</v>
      </c>
      <c r="E47" s="1488">
        <f>I29*C47/100</f>
        <v>72498688.976099998</v>
      </c>
      <c r="F47" s="1488">
        <f>I30*C47/100</f>
        <v>19749853.819290001</v>
      </c>
      <c r="G47" s="1461">
        <f t="shared" si="3"/>
        <v>171</v>
      </c>
      <c r="H47" s="1462">
        <f t="shared" si="4"/>
        <v>123</v>
      </c>
      <c r="I47" s="1488">
        <f>ROUND(C31*C47/100,1)</f>
        <v>584536.9</v>
      </c>
      <c r="J47" s="1488">
        <f>ROUND(C29*C47/100,2)</f>
        <v>423968.94</v>
      </c>
      <c r="K47" s="1488">
        <f>ROUND(C30*C47/100,2)</f>
        <v>160567.92000000001</v>
      </c>
      <c r="L47" s="1435"/>
      <c r="M47" s="1484"/>
      <c r="N47" s="1484"/>
      <c r="O47" s="1484"/>
      <c r="P47" s="1435"/>
      <c r="Q47" s="1435"/>
      <c r="R47" s="1435"/>
      <c r="S47" s="1435"/>
    </row>
    <row r="48" spans="1:19" ht="38.25">
      <c r="A48" s="1072" t="s">
        <v>3447</v>
      </c>
      <c r="B48" s="1489">
        <f>B45/2</f>
        <v>2166.5</v>
      </c>
      <c r="C48" s="1489">
        <f>ROUND(C45/2,1)</f>
        <v>4.0999999999999996</v>
      </c>
      <c r="D48" s="1488">
        <f>D45/2</f>
        <v>12049029.15</v>
      </c>
      <c r="E48" s="1488">
        <f>E45/2</f>
        <v>9469405.0590000004</v>
      </c>
      <c r="F48" s="1488">
        <f>F45/2</f>
        <v>2579624.1050999998</v>
      </c>
      <c r="G48" s="1461">
        <f t="shared" si="3"/>
        <v>171</v>
      </c>
      <c r="H48" s="1462">
        <f t="shared" si="4"/>
        <v>123</v>
      </c>
      <c r="I48" s="1488">
        <f>I45/2</f>
        <v>76349.191399999982</v>
      </c>
      <c r="J48" s="1488">
        <f>J45/2</f>
        <v>55376.637499999997</v>
      </c>
      <c r="K48" s="1488">
        <f>K45/2</f>
        <v>20972.553699999997</v>
      </c>
      <c r="L48" s="1490">
        <v>8723904.0399999991</v>
      </c>
      <c r="M48" s="1490"/>
      <c r="N48" s="1516">
        <f>J36+J37+J39+J40+J41+J42</f>
        <v>422887.41499999998</v>
      </c>
      <c r="O48" s="1516">
        <f>K36+K37+K39+K40+K41+K42</f>
        <v>160158.32470949553</v>
      </c>
      <c r="P48" s="1490"/>
      <c r="Q48" s="1490"/>
      <c r="R48" s="1490"/>
      <c r="S48" s="1490"/>
    </row>
    <row r="49" spans="1:29" ht="25.5">
      <c r="A49" s="1072" t="s">
        <v>3448</v>
      </c>
      <c r="B49" s="1489">
        <f>B45/2</f>
        <v>2166.5</v>
      </c>
      <c r="C49" s="1489">
        <f>ROUND(C45/2,1)</f>
        <v>4.0999999999999996</v>
      </c>
      <c r="D49" s="1488">
        <f>D45/2</f>
        <v>12049029.15</v>
      </c>
      <c r="E49" s="1488">
        <f>E45/2</f>
        <v>9469405.0590000004</v>
      </c>
      <c r="F49" s="1488">
        <f>F45/2</f>
        <v>2579624.1050999998</v>
      </c>
      <c r="G49" s="1461">
        <f t="shared" si="3"/>
        <v>171</v>
      </c>
      <c r="H49" s="1462">
        <f t="shared" si="4"/>
        <v>123</v>
      </c>
      <c r="I49" s="1488">
        <f>I45/2</f>
        <v>76349.191399999982</v>
      </c>
      <c r="J49" s="1488">
        <f>J45/2</f>
        <v>55376.637499999997</v>
      </c>
      <c r="K49" s="1488">
        <f>K45/2</f>
        <v>20972.553699999997</v>
      </c>
      <c r="L49" s="1490">
        <v>8723904.0399999991</v>
      </c>
      <c r="M49" s="1490"/>
      <c r="N49" s="1490"/>
      <c r="O49" s="1490"/>
      <c r="P49" s="1490"/>
      <c r="Q49" s="1490"/>
      <c r="R49" s="1490"/>
      <c r="S49" s="1490"/>
    </row>
    <row r="50" spans="1:29">
      <c r="L50" s="1139">
        <f>SUM(L44:L49)</f>
        <v>145826804.63999999</v>
      </c>
    </row>
    <row r="51" spans="1:29">
      <c r="B51" s="1491" t="s">
        <v>449</v>
      </c>
      <c r="C51" s="1492"/>
      <c r="D51" s="1492"/>
      <c r="E51" s="1493"/>
      <c r="F51" s="1492"/>
      <c r="G51" s="1494" t="s">
        <v>3449</v>
      </c>
      <c r="H51" s="1495"/>
      <c r="I51" s="1496"/>
      <c r="J51" s="1496"/>
      <c r="K51" s="1496"/>
      <c r="L51" s="1496">
        <f>D46-L50</f>
        <v>147787245.86000001</v>
      </c>
      <c r="M51" s="1496"/>
      <c r="N51" s="1496"/>
      <c r="O51" s="1496"/>
      <c r="P51" s="1496"/>
      <c r="Q51" s="1496"/>
      <c r="R51" s="1496"/>
      <c r="S51" s="1496"/>
      <c r="T51" s="1496"/>
      <c r="U51" s="1496"/>
      <c r="V51" s="1496"/>
      <c r="W51" s="1496"/>
      <c r="X51" s="1496"/>
      <c r="Y51" s="1496"/>
      <c r="Z51" s="1496"/>
      <c r="AA51" s="1496"/>
      <c r="AB51" s="1496"/>
      <c r="AC51" s="1494" t="s">
        <v>3449</v>
      </c>
    </row>
    <row r="52" spans="1:29">
      <c r="B52" s="1497"/>
      <c r="G52" s="1498"/>
      <c r="AC52" s="1498"/>
    </row>
    <row r="53" spans="1:29">
      <c r="B53" s="1333" t="s">
        <v>547</v>
      </c>
      <c r="G53" s="1499" t="s">
        <v>3450</v>
      </c>
      <c r="AC53" s="1499" t="s">
        <v>3450</v>
      </c>
    </row>
    <row r="54" spans="1:29">
      <c r="B54" s="1333" t="s">
        <v>3451</v>
      </c>
      <c r="G54" s="1500"/>
      <c r="AC54" s="1500"/>
    </row>
    <row r="55" spans="1:29">
      <c r="B55" s="1491"/>
      <c r="G55" s="1500"/>
      <c r="AC55" s="1500"/>
    </row>
    <row r="56" spans="1:29">
      <c r="B56" s="1491" t="s">
        <v>333</v>
      </c>
      <c r="G56" s="1501" t="s">
        <v>3452</v>
      </c>
      <c r="AC56" s="1501" t="s">
        <v>3452</v>
      </c>
    </row>
  </sheetData>
  <mergeCells count="40">
    <mergeCell ref="N30:S32"/>
    <mergeCell ref="A34:A35"/>
    <mergeCell ref="B34:B35"/>
    <mergeCell ref="C34:C35"/>
    <mergeCell ref="D34:D35"/>
    <mergeCell ref="E34:F34"/>
    <mergeCell ref="G34:H34"/>
    <mergeCell ref="I34:I35"/>
    <mergeCell ref="J34:K34"/>
    <mergeCell ref="Q21:S21"/>
    <mergeCell ref="B25:D25"/>
    <mergeCell ref="E25:G25"/>
    <mergeCell ref="H25:J25"/>
    <mergeCell ref="K25:M25"/>
    <mergeCell ref="N25:P25"/>
    <mergeCell ref="Q25:S25"/>
    <mergeCell ref="N21:P21"/>
    <mergeCell ref="A21:A22"/>
    <mergeCell ref="B21:D21"/>
    <mergeCell ref="E21:G21"/>
    <mergeCell ref="H21:J21"/>
    <mergeCell ref="K21:M21"/>
    <mergeCell ref="N14:P14"/>
    <mergeCell ref="Q14:S14"/>
    <mergeCell ref="B18:D18"/>
    <mergeCell ref="E18:G18"/>
    <mergeCell ref="H18:J18"/>
    <mergeCell ref="K18:M18"/>
    <mergeCell ref="N18:P18"/>
    <mergeCell ref="Q18:S18"/>
    <mergeCell ref="A4:S4"/>
    <mergeCell ref="A8:D8"/>
    <mergeCell ref="A9:D9"/>
    <mergeCell ref="A10:D10"/>
    <mergeCell ref="A11:D11"/>
    <mergeCell ref="A14:A15"/>
    <mergeCell ref="B14:D14"/>
    <mergeCell ref="E14:G14"/>
    <mergeCell ref="H14:J14"/>
    <mergeCell ref="K14:M14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Лист13">
    <tabColor rgb="FF7030A0"/>
    <pageSetUpPr fitToPage="1"/>
  </sheetPr>
  <dimension ref="A1:Z81"/>
  <sheetViews>
    <sheetView topLeftCell="A7" zoomScaleSheetLayoutView="100" workbookViewId="0">
      <selection activeCell="F16" sqref="F16"/>
    </sheetView>
  </sheetViews>
  <sheetFormatPr defaultColWidth="9.140625" defaultRowHeight="15.75"/>
  <cols>
    <col min="1" max="1" width="4.140625" style="274" customWidth="1"/>
    <col min="2" max="2" width="18.42578125" style="274" customWidth="1"/>
    <col min="3" max="5" width="15.7109375" style="274" customWidth="1"/>
    <col min="6" max="6" width="17.5703125" style="274" customWidth="1"/>
    <col min="7" max="7" width="18.28515625" style="274" customWidth="1"/>
    <col min="8" max="8" width="16.7109375" style="274" customWidth="1"/>
    <col min="9" max="9" width="12" style="274" customWidth="1"/>
    <col min="10" max="10" width="14.42578125" style="275" customWidth="1"/>
    <col min="11" max="11" width="14.7109375" style="275" customWidth="1"/>
    <col min="12" max="12" width="13.140625" style="274" customWidth="1"/>
    <col min="13" max="13" width="14" style="274" customWidth="1"/>
    <col min="14" max="14" width="13.7109375" style="274" customWidth="1"/>
    <col min="15" max="15" width="14.85546875" style="274" bestFit="1" customWidth="1"/>
    <col min="16" max="16" width="14.7109375" style="274" customWidth="1"/>
    <col min="17" max="17" width="15.5703125" style="274" customWidth="1"/>
    <col min="18" max="18" width="9.140625" style="274"/>
    <col min="19" max="19" width="12.28515625" style="274" customWidth="1"/>
    <col min="20" max="20" width="18.28515625" style="274" customWidth="1"/>
    <col min="21" max="21" width="14" style="274" customWidth="1"/>
    <col min="22" max="22" width="19.7109375" style="274" customWidth="1"/>
    <col min="23" max="16384" width="9.140625" style="274"/>
  </cols>
  <sheetData>
    <row r="1" spans="1:15">
      <c r="L1" s="275" t="s">
        <v>267</v>
      </c>
      <c r="M1" s="671" t="s">
        <v>605</v>
      </c>
    </row>
    <row r="2" spans="1:15" s="898" customFormat="1">
      <c r="A2" s="695" t="s">
        <v>3453</v>
      </c>
      <c r="B2" s="711"/>
      <c r="C2" s="711"/>
      <c r="D2" s="711"/>
      <c r="E2" s="711"/>
      <c r="F2" s="711"/>
      <c r="G2" s="711"/>
      <c r="H2" s="711"/>
      <c r="I2" s="711"/>
      <c r="J2" s="897"/>
      <c r="K2" s="897"/>
      <c r="L2" s="897"/>
      <c r="M2" s="3816" t="s">
        <v>3375</v>
      </c>
      <c r="N2" s="897"/>
    </row>
    <row r="3" spans="1:15">
      <c r="A3" s="45"/>
      <c r="B3" s="168"/>
      <c r="C3" s="168"/>
      <c r="D3" s="168"/>
      <c r="E3" s="168"/>
      <c r="F3" s="168"/>
      <c r="G3" s="168"/>
      <c r="H3" s="168"/>
      <c r="I3" s="168"/>
      <c r="J3" s="370"/>
      <c r="K3" s="370"/>
      <c r="L3" s="370"/>
      <c r="M3" s="3817"/>
      <c r="N3" s="370"/>
    </row>
    <row r="4" spans="1:15" s="898" customFormat="1">
      <c r="A4" s="656" t="s">
        <v>3454</v>
      </c>
      <c r="B4" s="899"/>
      <c r="C4" s="899"/>
      <c r="D4" s="899"/>
      <c r="E4" s="899"/>
      <c r="F4" s="899"/>
      <c r="G4" s="899"/>
      <c r="H4" s="899"/>
      <c r="I4" s="899"/>
      <c r="J4" s="897"/>
      <c r="K4" s="897"/>
      <c r="L4" s="897"/>
      <c r="M4" s="3816"/>
      <c r="N4" s="897"/>
    </row>
    <row r="5" spans="1:15">
      <c r="A5" s="168" t="s">
        <v>990</v>
      </c>
      <c r="B5" s="230"/>
      <c r="C5" s="230"/>
      <c r="D5" s="230"/>
      <c r="E5" s="230"/>
      <c r="F5" s="230"/>
      <c r="G5" s="230"/>
      <c r="H5" s="230"/>
      <c r="I5" s="230"/>
      <c r="J5" s="273"/>
      <c r="K5" s="273"/>
      <c r="L5" s="273"/>
      <c r="M5" s="273"/>
      <c r="N5" s="273"/>
    </row>
    <row r="6" spans="1:15">
      <c r="A6" s="82"/>
      <c r="B6" s="230"/>
      <c r="C6" s="230"/>
      <c r="D6" s="230"/>
      <c r="E6" s="230"/>
      <c r="F6" s="230"/>
      <c r="G6" s="230"/>
      <c r="H6" s="231"/>
      <c r="I6" s="230"/>
      <c r="J6" s="371"/>
      <c r="K6" s="273"/>
      <c r="L6" s="272"/>
      <c r="N6" s="273"/>
    </row>
    <row r="7" spans="1:15">
      <c r="A7" s="273"/>
      <c r="B7" s="273"/>
      <c r="C7" s="273"/>
      <c r="D7" s="273"/>
      <c r="E7" s="273"/>
      <c r="F7" s="273"/>
      <c r="G7" s="273"/>
      <c r="H7" s="273"/>
      <c r="I7" s="273"/>
      <c r="J7" s="371"/>
      <c r="K7" s="273"/>
      <c r="L7" s="272"/>
      <c r="M7" s="372" t="s">
        <v>254</v>
      </c>
      <c r="N7" s="273"/>
    </row>
    <row r="8" spans="1:15" ht="15.6" customHeight="1">
      <c r="A8" s="4160" t="s">
        <v>2</v>
      </c>
      <c r="B8" s="4160" t="s">
        <v>3377</v>
      </c>
      <c r="C8" s="4160" t="s">
        <v>1191</v>
      </c>
      <c r="D8" s="4162" t="s">
        <v>255</v>
      </c>
      <c r="E8" s="4163"/>
      <c r="F8" s="4160" t="s">
        <v>3455</v>
      </c>
      <c r="G8" s="4160" t="s">
        <v>3456</v>
      </c>
      <c r="H8" s="4160" t="s">
        <v>3457</v>
      </c>
      <c r="I8" s="4160" t="s">
        <v>3380</v>
      </c>
      <c r="J8" s="4160" t="s">
        <v>3381</v>
      </c>
      <c r="K8" s="4160" t="s">
        <v>3458</v>
      </c>
      <c r="L8" s="4162" t="s">
        <v>255</v>
      </c>
      <c r="M8" s="4163"/>
      <c r="N8" s="273"/>
    </row>
    <row r="9" spans="1:15" s="275" customFormat="1" ht="63.75" customHeight="1">
      <c r="A9" s="4160"/>
      <c r="B9" s="4160"/>
      <c r="C9" s="4160"/>
      <c r="D9" s="286" t="s">
        <v>7</v>
      </c>
      <c r="E9" s="286" t="s">
        <v>8</v>
      </c>
      <c r="F9" s="4160"/>
      <c r="G9" s="4160"/>
      <c r="H9" s="4160"/>
      <c r="I9" s="4160"/>
      <c r="J9" s="4160"/>
      <c r="K9" s="4160"/>
      <c r="L9" s="286" t="s">
        <v>7</v>
      </c>
      <c r="M9" s="286" t="s">
        <v>8</v>
      </c>
      <c r="N9" s="275" t="s">
        <v>469</v>
      </c>
      <c r="O9" s="275" t="s">
        <v>1860</v>
      </c>
    </row>
    <row r="10" spans="1:15">
      <c r="A10" s="373"/>
      <c r="B10" s="374" t="s">
        <v>20</v>
      </c>
      <c r="C10" s="286">
        <f>D10+E10</f>
        <v>0</v>
      </c>
      <c r="D10" s="896"/>
      <c r="E10" s="896"/>
      <c r="F10" s="933">
        <f>F11+F15+F19</f>
        <v>469751.11</v>
      </c>
      <c r="G10" s="933">
        <f>G11+G15+G19</f>
        <v>35.606453641775396</v>
      </c>
      <c r="H10" s="933">
        <f>H11+H15+H19</f>
        <v>469751.11</v>
      </c>
      <c r="I10" s="567">
        <f>I11+I15+I19</f>
        <v>12</v>
      </c>
      <c r="J10" s="892"/>
      <c r="K10" s="933">
        <f>K11+K15+K19</f>
        <v>28442986.247900002</v>
      </c>
      <c r="L10" s="935" t="e">
        <f>K10*D10/C10</f>
        <v>#DIV/0!</v>
      </c>
      <c r="M10" s="935" t="e">
        <f>K10-L10</f>
        <v>#DIV/0!</v>
      </c>
    </row>
    <row r="11" spans="1:15" s="566" customFormat="1">
      <c r="A11" s="286"/>
      <c r="B11" s="374" t="s">
        <v>3459</v>
      </c>
      <c r="C11" s="286" t="s">
        <v>3383</v>
      </c>
      <c r="D11" s="286" t="s">
        <v>3383</v>
      </c>
      <c r="E11" s="286" t="s">
        <v>3383</v>
      </c>
      <c r="F11" s="933">
        <f>SUM(F12:F14)</f>
        <v>339224.67</v>
      </c>
      <c r="G11" s="933">
        <f>SUM(G12:G14)</f>
        <v>28.035096694214879</v>
      </c>
      <c r="H11" s="933">
        <f>SUM(H12:H14)</f>
        <v>339224.67</v>
      </c>
      <c r="I11" s="4164">
        <v>3</v>
      </c>
      <c r="J11" s="893"/>
      <c r="K11" s="933">
        <f>SUM(K12:K14)</f>
        <v>16343867.353200002</v>
      </c>
      <c r="L11" s="894"/>
      <c r="M11" s="894"/>
    </row>
    <row r="12" spans="1:15">
      <c r="A12" s="373"/>
      <c r="B12" s="292" t="s">
        <v>3460</v>
      </c>
      <c r="C12" s="286">
        <v>12100</v>
      </c>
      <c r="D12" s="286" t="s">
        <v>3383</v>
      </c>
      <c r="E12" s="286">
        <v>12100</v>
      </c>
      <c r="F12" s="934">
        <f>ROUND(T33/3,2)</f>
        <v>179045</v>
      </c>
      <c r="G12" s="934">
        <f>F12/C12</f>
        <v>14.797107438016528</v>
      </c>
      <c r="H12" s="934">
        <f>ROUND(C12*G12,2)</f>
        <v>179045</v>
      </c>
      <c r="I12" s="4165"/>
      <c r="J12" s="934">
        <f>ROUND(13.64*1.12*1.07,2)</f>
        <v>16.350000000000001</v>
      </c>
      <c r="K12" s="936">
        <f>H12*I11*J12</f>
        <v>8782157.25</v>
      </c>
      <c r="L12" s="895"/>
      <c r="M12" s="895"/>
    </row>
    <row r="13" spans="1:15">
      <c r="A13" s="373"/>
      <c r="B13" s="292" t="s">
        <v>3461</v>
      </c>
      <c r="C13" s="286">
        <v>12100</v>
      </c>
      <c r="D13" s="286" t="s">
        <v>3383</v>
      </c>
      <c r="E13" s="286" t="s">
        <v>3383</v>
      </c>
      <c r="F13" s="934">
        <f>ROUND(T55/3,2)</f>
        <v>59815.67</v>
      </c>
      <c r="G13" s="934">
        <f>F13/C13</f>
        <v>4.9434438016528928</v>
      </c>
      <c r="H13" s="934">
        <f>ROUND(C13*G13,2)</f>
        <v>59815.67</v>
      </c>
      <c r="I13" s="4165"/>
      <c r="J13" s="934">
        <f>ROUND(28.64*1.12*1.07,2)</f>
        <v>34.32</v>
      </c>
      <c r="K13" s="936">
        <f>H13*I11*J13</f>
        <v>6158621.3832</v>
      </c>
      <c r="L13" s="895"/>
      <c r="M13" s="895"/>
    </row>
    <row r="14" spans="1:15">
      <c r="A14" s="373"/>
      <c r="B14" s="292" t="s">
        <v>3462</v>
      </c>
      <c r="C14" s="286">
        <v>12100</v>
      </c>
      <c r="D14" s="286" t="s">
        <v>3383</v>
      </c>
      <c r="E14" s="286" t="s">
        <v>3383</v>
      </c>
      <c r="F14" s="934">
        <f>ROUND(T56/3,2)</f>
        <v>100364</v>
      </c>
      <c r="G14" s="934">
        <f>F14/C14</f>
        <v>8.2945454545454549</v>
      </c>
      <c r="H14" s="934">
        <f>ROUND(C14*G14,2)</f>
        <v>100364</v>
      </c>
      <c r="I14" s="4166"/>
      <c r="J14" s="934">
        <f>ROUND(3.89*1.12*1.07,2)</f>
        <v>4.66</v>
      </c>
      <c r="K14" s="936">
        <f>H14*I11*J14</f>
        <v>1403088.72</v>
      </c>
      <c r="L14" s="895"/>
      <c r="M14" s="895"/>
    </row>
    <row r="15" spans="1:15" s="566" customFormat="1">
      <c r="A15" s="286"/>
      <c r="B15" s="374" t="s">
        <v>3463</v>
      </c>
      <c r="C15" s="286" t="s">
        <v>3383</v>
      </c>
      <c r="D15" s="286" t="s">
        <v>3383</v>
      </c>
      <c r="E15" s="286" t="s">
        <v>3383</v>
      </c>
      <c r="F15" s="933">
        <f>SUM(F16:F18)</f>
        <v>47356.67</v>
      </c>
      <c r="G15" s="933">
        <f>SUM(G16:G18)</f>
        <v>3.9137743801652896</v>
      </c>
      <c r="H15" s="933">
        <f>SUM(H16:H18)</f>
        <v>47356.67</v>
      </c>
      <c r="I15" s="4164">
        <v>5</v>
      </c>
      <c r="K15" s="933">
        <f>SUM(K16:K18)</f>
        <v>3800361.0814999999</v>
      </c>
      <c r="L15" s="894"/>
      <c r="M15" s="894"/>
    </row>
    <row r="16" spans="1:15">
      <c r="A16" s="373"/>
      <c r="B16" s="292" t="s">
        <v>3460</v>
      </c>
      <c r="C16" s="286">
        <v>12100</v>
      </c>
      <c r="D16" s="286" t="s">
        <v>3383</v>
      </c>
      <c r="E16" s="286" t="s">
        <v>3383</v>
      </c>
      <c r="F16" s="934">
        <f>ROUND(U33/5,2)</f>
        <v>32786.47</v>
      </c>
      <c r="G16" s="934">
        <f>F16/C16</f>
        <v>2.7096256198347106</v>
      </c>
      <c r="H16" s="934">
        <f>ROUND(C16*G16,2)</f>
        <v>32786.47</v>
      </c>
      <c r="I16" s="4165"/>
      <c r="J16" s="934">
        <f>ROUND(13.64*1.12*1.07,2)</f>
        <v>16.350000000000001</v>
      </c>
      <c r="K16" s="936">
        <f>H16*I15*J16</f>
        <v>2680293.9225000003</v>
      </c>
      <c r="L16" s="895"/>
      <c r="M16" s="895"/>
    </row>
    <row r="17" spans="1:26">
      <c r="A17" s="373"/>
      <c r="B17" s="292" t="s">
        <v>3461</v>
      </c>
      <c r="C17" s="286">
        <v>12100</v>
      </c>
      <c r="D17" s="286" t="s">
        <v>3383</v>
      </c>
      <c r="E17" s="286" t="s">
        <v>3383</v>
      </c>
      <c r="F17" s="934">
        <f>ROUND(U55/5,2)</f>
        <v>5263.53</v>
      </c>
      <c r="G17" s="934">
        <f>F17/C17</f>
        <v>0.43500247933884295</v>
      </c>
      <c r="H17" s="934">
        <f>ROUND(C17*G17,2)</f>
        <v>5263.53</v>
      </c>
      <c r="I17" s="4165"/>
      <c r="J17" s="934">
        <f>ROUND(28.64*1.12*1.07,2)</f>
        <v>34.32</v>
      </c>
      <c r="K17" s="936">
        <f>H17*I15*J17</f>
        <v>903221.74799999991</v>
      </c>
      <c r="L17" s="895"/>
      <c r="M17" s="895"/>
    </row>
    <row r="18" spans="1:26">
      <c r="A18" s="373"/>
      <c r="B18" s="292" t="s">
        <v>3462</v>
      </c>
      <c r="C18" s="286">
        <v>12100</v>
      </c>
      <c r="D18" s="286" t="s">
        <v>3383</v>
      </c>
      <c r="E18" s="286" t="s">
        <v>3383</v>
      </c>
      <c r="F18" s="934">
        <f>ROUND(U56/5,2)</f>
        <v>9306.67</v>
      </c>
      <c r="G18" s="934">
        <f>F18/C18</f>
        <v>0.76914628099173554</v>
      </c>
      <c r="H18" s="934">
        <f>ROUND(C18*G18,2)</f>
        <v>9306.67</v>
      </c>
      <c r="I18" s="4166"/>
      <c r="J18" s="934">
        <f>ROUND(3.89*1.12*1.07,2)</f>
        <v>4.66</v>
      </c>
      <c r="K18" s="936">
        <f>H18*I15*J18</f>
        <v>216845.41099999999</v>
      </c>
      <c r="L18" s="895"/>
      <c r="M18" s="895"/>
    </row>
    <row r="19" spans="1:26" s="566" customFormat="1">
      <c r="A19" s="286"/>
      <c r="B19" s="374" t="s">
        <v>3464</v>
      </c>
      <c r="C19" s="286" t="s">
        <v>3383</v>
      </c>
      <c r="D19" s="286" t="s">
        <v>3383</v>
      </c>
      <c r="E19" s="286" t="s">
        <v>3383</v>
      </c>
      <c r="F19" s="933">
        <f>SUM(F20:F22)</f>
        <v>83169.77</v>
      </c>
      <c r="G19" s="933">
        <f>SUM(G20:G22)</f>
        <v>3.6575825673952247</v>
      </c>
      <c r="H19" s="933">
        <f>SUM(H20:H22)</f>
        <v>83169.77</v>
      </c>
      <c r="I19" s="4164">
        <v>4</v>
      </c>
      <c r="K19" s="933">
        <f>SUM(K20:K22)</f>
        <v>8298757.8132000016</v>
      </c>
      <c r="L19" s="894"/>
      <c r="M19" s="894"/>
    </row>
    <row r="20" spans="1:26">
      <c r="A20" s="373"/>
      <c r="B20" s="292" t="s">
        <v>3460</v>
      </c>
      <c r="C20" s="604">
        <v>22739</v>
      </c>
      <c r="D20" s="286" t="s">
        <v>3383</v>
      </c>
      <c r="E20" s="286" t="s">
        <v>3383</v>
      </c>
      <c r="F20" s="934">
        <f>ROUND(V33/4,2)</f>
        <v>8224.09</v>
      </c>
      <c r="G20" s="934">
        <f>F20/C20</f>
        <v>0.36167333655833589</v>
      </c>
      <c r="H20" s="934">
        <f>ROUND(G20*C20,2)</f>
        <v>8224.09</v>
      </c>
      <c r="I20" s="4165"/>
      <c r="J20" s="934">
        <f>ROUND(13.64*1.12*1.07,2)</f>
        <v>16.350000000000001</v>
      </c>
      <c r="K20" s="936">
        <f>H20*I19*J20</f>
        <v>537855.48600000003</v>
      </c>
      <c r="L20" s="895"/>
      <c r="M20" s="895"/>
    </row>
    <row r="21" spans="1:26">
      <c r="A21" s="373"/>
      <c r="B21" s="292" t="s">
        <v>3461</v>
      </c>
      <c r="C21" s="604">
        <v>22739</v>
      </c>
      <c r="D21" s="286" t="s">
        <v>3383</v>
      </c>
      <c r="E21" s="286" t="s">
        <v>3383</v>
      </c>
      <c r="F21" s="934">
        <f>ROUND(V55/4,2)</f>
        <v>53640.55</v>
      </c>
      <c r="G21" s="934">
        <f>F21/C21</f>
        <v>2.3589669730419107</v>
      </c>
      <c r="H21" s="934">
        <f>ROUND(G21*C21,2)</f>
        <v>53640.55</v>
      </c>
      <c r="I21" s="4165"/>
      <c r="J21" s="934">
        <f>ROUND(28.64*1.12*1.07,2)</f>
        <v>34.32</v>
      </c>
      <c r="K21" s="936">
        <f>H21*I19*J21</f>
        <v>7363774.7040000008</v>
      </c>
      <c r="L21" s="895"/>
      <c r="M21" s="895"/>
    </row>
    <row r="22" spans="1:26">
      <c r="A22" s="373"/>
      <c r="B22" s="292" t="s">
        <v>3462</v>
      </c>
      <c r="C22" s="604">
        <v>22739</v>
      </c>
      <c r="D22" s="286" t="s">
        <v>3383</v>
      </c>
      <c r="E22" s="286" t="s">
        <v>3383</v>
      </c>
      <c r="F22" s="934">
        <f>ROUND(V56/4,2)</f>
        <v>21305.13</v>
      </c>
      <c r="G22" s="934">
        <f>F22/C22</f>
        <v>0.93694225779497786</v>
      </c>
      <c r="H22" s="934">
        <f>ROUND(G22*C22,2)</f>
        <v>21305.13</v>
      </c>
      <c r="I22" s="4166"/>
      <c r="J22" s="934">
        <f>ROUND(3.89*1.12*1.07,2)</f>
        <v>4.66</v>
      </c>
      <c r="K22" s="936">
        <f>H22*I19*J22</f>
        <v>397127.62320000003</v>
      </c>
      <c r="L22" s="895"/>
      <c r="M22" s="895"/>
    </row>
    <row r="23" spans="1:26">
      <c r="A23" s="269"/>
      <c r="B23" s="270"/>
      <c r="C23" s="270"/>
      <c r="D23" s="270"/>
      <c r="E23" s="270"/>
      <c r="F23" s="270"/>
      <c r="G23" s="271"/>
      <c r="H23" s="271"/>
      <c r="I23" s="271"/>
      <c r="J23" s="272"/>
      <c r="K23" s="271"/>
      <c r="L23" s="273"/>
      <c r="M23" s="273"/>
    </row>
    <row r="25" spans="1:26">
      <c r="B25" s="300" t="s">
        <v>329</v>
      </c>
      <c r="C25" s="276"/>
      <c r="D25" s="276"/>
      <c r="E25" s="276"/>
      <c r="F25" s="874"/>
      <c r="G25" s="872"/>
      <c r="H25" s="872"/>
      <c r="I25" s="872"/>
      <c r="J25" s="710"/>
      <c r="K25" s="873"/>
      <c r="L25" s="874"/>
      <c r="M25" s="717"/>
      <c r="N25" s="171"/>
      <c r="O25" s="276"/>
      <c r="P25" s="235"/>
    </row>
    <row r="26" spans="1:26">
      <c r="B26" s="300"/>
      <c r="C26" s="279"/>
      <c r="D26" s="279"/>
      <c r="E26" s="279"/>
      <c r="F26" s="875"/>
      <c r="G26" s="872"/>
      <c r="H26" s="872"/>
      <c r="I26" s="872"/>
      <c r="J26" s="710"/>
      <c r="K26" s="873"/>
      <c r="L26" s="875"/>
      <c r="M26" s="717"/>
      <c r="N26" s="171"/>
      <c r="O26" s="279"/>
      <c r="P26" s="235"/>
    </row>
    <row r="27" spans="1:26">
      <c r="B27" s="345" t="s">
        <v>330</v>
      </c>
      <c r="C27" s="276"/>
      <c r="D27" s="276"/>
      <c r="E27" s="276"/>
      <c r="F27" s="874"/>
      <c r="G27" s="872"/>
      <c r="H27" s="872"/>
      <c r="I27" s="872" t="s">
        <v>3465</v>
      </c>
      <c r="J27" s="710"/>
      <c r="K27" s="873"/>
      <c r="L27" s="710"/>
      <c r="M27" s="717"/>
      <c r="N27" s="171"/>
      <c r="O27" s="183"/>
      <c r="P27" s="235"/>
    </row>
    <row r="28" spans="1:26">
      <c r="B28" s="345" t="s">
        <v>332</v>
      </c>
      <c r="C28" s="276"/>
      <c r="D28" s="276"/>
      <c r="E28" s="276"/>
      <c r="F28" s="874"/>
      <c r="G28" s="872"/>
      <c r="H28" s="872"/>
      <c r="I28" s="872">
        <f>E33+F33</f>
        <v>75425</v>
      </c>
      <c r="J28" s="710"/>
      <c r="K28" s="873"/>
      <c r="L28" s="874"/>
      <c r="M28" s="717"/>
      <c r="N28" s="171"/>
      <c r="O28" s="276"/>
      <c r="P28" s="168"/>
    </row>
    <row r="29" spans="1:26">
      <c r="B29" s="346"/>
      <c r="C29" s="276"/>
      <c r="D29" s="276"/>
      <c r="E29" s="276"/>
      <c r="F29" s="874"/>
      <c r="G29" s="872"/>
      <c r="H29" s="872"/>
      <c r="I29" s="872">
        <f>E55+F55</f>
        <v>10733</v>
      </c>
      <c r="J29" s="710"/>
      <c r="K29" s="873"/>
      <c r="L29" s="874"/>
      <c r="M29" s="865"/>
      <c r="N29" s="171"/>
      <c r="O29" s="276"/>
      <c r="P29" s="168"/>
    </row>
    <row r="30" spans="1:26">
      <c r="B30" s="345" t="s">
        <v>333</v>
      </c>
      <c r="C30" s="276"/>
      <c r="D30" s="276"/>
      <c r="E30" s="276"/>
      <c r="F30" s="874"/>
      <c r="G30" s="872"/>
      <c r="H30" s="872"/>
      <c r="I30" s="872">
        <f>E56+F56</f>
        <v>22212</v>
      </c>
      <c r="J30" s="710"/>
      <c r="K30" s="873"/>
      <c r="L30" s="874"/>
      <c r="M30" s="865"/>
      <c r="N30" s="171"/>
      <c r="O30" s="276"/>
      <c r="P30" s="171"/>
    </row>
    <row r="31" spans="1:26">
      <c r="B31" s="345" t="s">
        <v>3466</v>
      </c>
      <c r="C31" s="276"/>
      <c r="D31" s="276"/>
      <c r="E31" s="276"/>
      <c r="F31" s="874"/>
      <c r="G31" s="872"/>
      <c r="H31" s="872"/>
      <c r="I31" s="872"/>
      <c r="J31" s="710"/>
      <c r="K31" s="873"/>
      <c r="L31" s="874"/>
      <c r="M31" s="865"/>
      <c r="N31" s="171"/>
      <c r="O31" s="276"/>
      <c r="P31" s="171"/>
      <c r="T31" s="274" t="s">
        <v>3467</v>
      </c>
      <c r="U31" s="274" t="s">
        <v>3468</v>
      </c>
      <c r="V31" s="274" t="s">
        <v>3464</v>
      </c>
      <c r="W31" s="275" t="s">
        <v>3469</v>
      </c>
      <c r="X31" s="275"/>
      <c r="Z31" s="274" t="s">
        <v>3470</v>
      </c>
    </row>
    <row r="32" spans="1:26">
      <c r="B32" s="1206" t="s">
        <v>3471</v>
      </c>
      <c r="C32" s="1206" t="s">
        <v>3472</v>
      </c>
      <c r="D32" s="1206" t="s">
        <v>3389</v>
      </c>
      <c r="E32" s="1206" t="s">
        <v>3390</v>
      </c>
      <c r="F32" s="1206" t="s">
        <v>3391</v>
      </c>
      <c r="G32" s="1206" t="s">
        <v>3392</v>
      </c>
      <c r="H32" s="1206" t="s">
        <v>3393</v>
      </c>
      <c r="J32" s="275" t="s">
        <v>3394</v>
      </c>
      <c r="K32" s="275" t="s">
        <v>3395</v>
      </c>
      <c r="L32" s="274" t="s">
        <v>3396</v>
      </c>
      <c r="M32" s="274" t="s">
        <v>3397</v>
      </c>
      <c r="N32" s="274" t="s">
        <v>3398</v>
      </c>
      <c r="P32" s="275" t="s">
        <v>3473</v>
      </c>
      <c r="Q32" s="274" t="s">
        <v>3474</v>
      </c>
      <c r="R32" s="274" t="s">
        <v>3399</v>
      </c>
      <c r="S32" s="274" t="s">
        <v>3475</v>
      </c>
      <c r="W32" s="1205">
        <v>13.64</v>
      </c>
      <c r="X32" s="275">
        <v>1.1200000000000001</v>
      </c>
      <c r="Y32" s="274">
        <v>1.07</v>
      </c>
      <c r="Z32" s="274">
        <f>W32*X32*Y32</f>
        <v>16.346176000000003</v>
      </c>
    </row>
    <row r="33" spans="1:26">
      <c r="B33" s="274">
        <v>4526</v>
      </c>
      <c r="C33" s="274">
        <v>157395</v>
      </c>
      <c r="D33" s="274">
        <v>56614</v>
      </c>
      <c r="E33" s="274">
        <v>45335</v>
      </c>
      <c r="F33" s="274">
        <v>30090</v>
      </c>
      <c r="G33" s="274">
        <v>22175</v>
      </c>
      <c r="H33" s="274">
        <v>22175</v>
      </c>
      <c r="I33" s="274">
        <f>(B33+C33+D33)/3</f>
        <v>72845</v>
      </c>
      <c r="J33" s="275">
        <v>2747</v>
      </c>
      <c r="K33" s="275">
        <v>1200</v>
      </c>
      <c r="L33" s="274">
        <v>5705</v>
      </c>
      <c r="M33" s="274">
        <v>6074</v>
      </c>
      <c r="N33" s="274">
        <v>4526</v>
      </c>
      <c r="O33" s="274" t="s">
        <v>3460</v>
      </c>
      <c r="P33" s="275">
        <f t="shared" ref="P33:P56" si="0">B33+C33+D33+E33+F33+G33+H33+J33</f>
        <v>341057</v>
      </c>
      <c r="Q33" s="274">
        <f>P33/12100*15941.2</f>
        <v>449327.09490909096</v>
      </c>
      <c r="R33" s="274">
        <v>16.350000000000001</v>
      </c>
      <c r="S33" s="274">
        <f>Q33*R33</f>
        <v>7346498.0017636381</v>
      </c>
      <c r="T33" s="274">
        <f>B33+C33+D33+318600</f>
        <v>537135</v>
      </c>
      <c r="U33" s="1215">
        <f>E33+F33+G65+H65+J65</f>
        <v>163932.32917355374</v>
      </c>
      <c r="V33" s="1215">
        <f>K65+L65+M65+N65</f>
        <v>32896.379752066117</v>
      </c>
      <c r="W33" s="547"/>
      <c r="X33" s="547"/>
      <c r="Y33" s="546"/>
      <c r="Z33" s="546"/>
    </row>
    <row r="34" spans="1:26" s="546" customFormat="1" hidden="1">
      <c r="A34" s="546" t="s">
        <v>3476</v>
      </c>
      <c r="J34" s="547"/>
      <c r="P34" s="275">
        <f t="shared" si="0"/>
        <v>0</v>
      </c>
      <c r="Q34" s="274">
        <f t="shared" ref="Q34:Q56" si="1">P34/12100*15941.2</f>
        <v>0</v>
      </c>
      <c r="S34" s="274">
        <f t="shared" ref="S34:S56" si="2">Q34*R34</f>
        <v>0</v>
      </c>
      <c r="W34" s="550"/>
      <c r="X34" s="550"/>
      <c r="Y34" s="550"/>
      <c r="Z34" s="550" t="s">
        <v>3375</v>
      </c>
    </row>
    <row r="35" spans="1:26" s="546" customFormat="1" hidden="1">
      <c r="A35" s="548" t="s">
        <v>3477</v>
      </c>
      <c r="B35" s="549"/>
      <c r="C35" s="549"/>
      <c r="D35" s="549"/>
      <c r="E35" s="549"/>
      <c r="F35" s="549"/>
      <c r="G35" s="549"/>
      <c r="H35" s="549"/>
      <c r="I35" s="549"/>
      <c r="J35" s="547"/>
      <c r="P35" s="275">
        <f t="shared" si="0"/>
        <v>0</v>
      </c>
      <c r="Q35" s="274">
        <f t="shared" si="1"/>
        <v>0</v>
      </c>
      <c r="S35" s="274">
        <f t="shared" si="2"/>
        <v>0</v>
      </c>
      <c r="W35" s="550"/>
      <c r="X35" s="550"/>
      <c r="Y35" s="550"/>
      <c r="Z35" s="550"/>
    </row>
    <row r="36" spans="1:26" s="546" customFormat="1" hidden="1">
      <c r="A36" s="551"/>
      <c r="B36" s="549"/>
      <c r="C36" s="549"/>
      <c r="D36" s="549"/>
      <c r="E36" s="549"/>
      <c r="F36" s="549"/>
      <c r="G36" s="549"/>
      <c r="H36" s="549"/>
      <c r="I36" s="549"/>
      <c r="J36" s="547"/>
      <c r="P36" s="275">
        <f t="shared" si="0"/>
        <v>0</v>
      </c>
      <c r="Q36" s="274">
        <f t="shared" si="1"/>
        <v>0</v>
      </c>
      <c r="S36" s="274">
        <f t="shared" si="2"/>
        <v>0</v>
      </c>
      <c r="W36" s="550"/>
      <c r="X36" s="550"/>
      <c r="Y36" s="550"/>
      <c r="Z36" s="550"/>
    </row>
    <row r="37" spans="1:26" s="546" customFormat="1" hidden="1">
      <c r="A37" s="552" t="s">
        <v>3401</v>
      </c>
      <c r="B37" s="553"/>
      <c r="C37" s="553"/>
      <c r="D37" s="553"/>
      <c r="E37" s="553"/>
      <c r="F37" s="553"/>
      <c r="G37" s="553"/>
      <c r="H37" s="553"/>
      <c r="I37" s="553"/>
      <c r="J37" s="547"/>
      <c r="P37" s="275">
        <f t="shared" si="0"/>
        <v>0</v>
      </c>
      <c r="Q37" s="274">
        <f t="shared" si="1"/>
        <v>0</v>
      </c>
      <c r="S37" s="274">
        <f t="shared" si="2"/>
        <v>0</v>
      </c>
      <c r="W37" s="554"/>
      <c r="X37" s="554"/>
      <c r="Y37" s="554"/>
      <c r="Z37" s="554"/>
    </row>
    <row r="38" spans="1:26" s="546" customFormat="1" hidden="1">
      <c r="A38" s="549" t="s">
        <v>990</v>
      </c>
      <c r="B38" s="553"/>
      <c r="C38" s="553"/>
      <c r="D38" s="553"/>
      <c r="E38" s="553"/>
      <c r="F38" s="553"/>
      <c r="G38" s="553"/>
      <c r="H38" s="553"/>
      <c r="I38" s="553"/>
      <c r="J38" s="547"/>
      <c r="P38" s="275">
        <f t="shared" si="0"/>
        <v>0</v>
      </c>
      <c r="Q38" s="274">
        <f t="shared" si="1"/>
        <v>0</v>
      </c>
      <c r="S38" s="274">
        <f t="shared" si="2"/>
        <v>0</v>
      </c>
      <c r="W38" s="554"/>
      <c r="X38" s="554"/>
      <c r="Y38" s="555"/>
      <c r="Z38" s="556" t="s">
        <v>254</v>
      </c>
    </row>
    <row r="39" spans="1:26" s="546" customFormat="1" hidden="1">
      <c r="A39" s="552"/>
      <c r="B39" s="553"/>
      <c r="C39" s="553"/>
      <c r="D39" s="553"/>
      <c r="E39" s="553"/>
      <c r="F39" s="553"/>
      <c r="G39" s="553"/>
      <c r="H39" s="553"/>
      <c r="I39" s="553"/>
      <c r="J39" s="547"/>
      <c r="P39" s="275">
        <f t="shared" si="0"/>
        <v>0</v>
      </c>
      <c r="Q39" s="274">
        <f t="shared" si="1"/>
        <v>0</v>
      </c>
      <c r="S39" s="274">
        <f t="shared" si="2"/>
        <v>0</v>
      </c>
      <c r="W39" s="554"/>
      <c r="X39" s="554"/>
      <c r="Y39" s="555"/>
      <c r="Z39" s="556"/>
    </row>
    <row r="40" spans="1:26" s="546" customFormat="1" hidden="1">
      <c r="A40" s="554"/>
      <c r="B40" s="554"/>
      <c r="C40" s="554"/>
      <c r="D40" s="554"/>
      <c r="E40" s="554"/>
      <c r="F40" s="554"/>
      <c r="G40" s="554"/>
      <c r="H40" s="554"/>
      <c r="I40" s="554"/>
      <c r="J40" s="547"/>
      <c r="P40" s="275">
        <f t="shared" si="0"/>
        <v>0</v>
      </c>
      <c r="Q40" s="274">
        <f t="shared" si="1"/>
        <v>0</v>
      </c>
      <c r="S40" s="274">
        <f t="shared" si="2"/>
        <v>0</v>
      </c>
      <c r="W40" s="4161" t="s">
        <v>3381</v>
      </c>
      <c r="X40" s="4161" t="s">
        <v>345</v>
      </c>
      <c r="Y40" s="4167" t="s">
        <v>255</v>
      </c>
      <c r="Z40" s="4168"/>
    </row>
    <row r="41" spans="1:26" s="546" customFormat="1" ht="15.75" hidden="1" customHeight="1">
      <c r="A41" s="4161" t="s">
        <v>2</v>
      </c>
      <c r="B41" s="4161" t="s">
        <v>3377</v>
      </c>
      <c r="C41" s="4161" t="s">
        <v>3478</v>
      </c>
      <c r="D41" s="4167" t="s">
        <v>255</v>
      </c>
      <c r="E41" s="4168"/>
      <c r="F41" s="1204"/>
      <c r="G41" s="4161" t="s">
        <v>3479</v>
      </c>
      <c r="H41" s="4161" t="s">
        <v>3457</v>
      </c>
      <c r="I41" s="4161" t="s">
        <v>3380</v>
      </c>
      <c r="J41" s="547"/>
      <c r="P41" s="275" t="e">
        <f t="shared" si="0"/>
        <v>#VALUE!</v>
      </c>
      <c r="Q41" s="274" t="e">
        <f t="shared" si="1"/>
        <v>#VALUE!</v>
      </c>
      <c r="S41" s="274" t="e">
        <f t="shared" si="2"/>
        <v>#VALUE!</v>
      </c>
      <c r="W41" s="4161"/>
      <c r="X41" s="4161"/>
      <c r="Y41" s="557" t="s">
        <v>7</v>
      </c>
      <c r="Z41" s="557" t="s">
        <v>8</v>
      </c>
    </row>
    <row r="42" spans="1:26" s="546" customFormat="1" hidden="1">
      <c r="A42" s="4161"/>
      <c r="B42" s="4161"/>
      <c r="C42" s="4161"/>
      <c r="D42" s="557" t="s">
        <v>7</v>
      </c>
      <c r="E42" s="557" t="s">
        <v>8</v>
      </c>
      <c r="F42" s="557"/>
      <c r="G42" s="4161"/>
      <c r="H42" s="4161"/>
      <c r="I42" s="4161"/>
      <c r="J42" s="547"/>
      <c r="P42" s="275" t="e">
        <f t="shared" si="0"/>
        <v>#VALUE!</v>
      </c>
      <c r="Q42" s="274" t="e">
        <f t="shared" si="1"/>
        <v>#VALUE!</v>
      </c>
      <c r="S42" s="274" t="e">
        <f t="shared" si="2"/>
        <v>#VALUE!</v>
      </c>
      <c r="W42" s="561"/>
      <c r="X42" s="561"/>
      <c r="Y42" s="562"/>
      <c r="Z42" s="562"/>
    </row>
    <row r="43" spans="1:26" s="546" customFormat="1" hidden="1">
      <c r="A43" s="558"/>
      <c r="B43" s="559" t="s">
        <v>20</v>
      </c>
      <c r="C43" s="560"/>
      <c r="D43" s="560"/>
      <c r="E43" s="560"/>
      <c r="F43" s="560"/>
      <c r="G43" s="561"/>
      <c r="H43" s="561"/>
      <c r="I43" s="561"/>
      <c r="J43" s="547"/>
      <c r="P43" s="275" t="e">
        <f t="shared" si="0"/>
        <v>#VALUE!</v>
      </c>
      <c r="Q43" s="274" t="e">
        <f t="shared" si="1"/>
        <v>#VALUE!</v>
      </c>
      <c r="S43" s="274" t="e">
        <f t="shared" si="2"/>
        <v>#VALUE!</v>
      </c>
      <c r="W43" s="561"/>
      <c r="X43" s="561"/>
      <c r="Y43" s="562"/>
      <c r="Z43" s="562"/>
    </row>
    <row r="44" spans="1:26" s="546" customFormat="1" hidden="1">
      <c r="A44" s="558"/>
      <c r="B44" s="560" t="s">
        <v>3480</v>
      </c>
      <c r="C44" s="558"/>
      <c r="D44" s="558"/>
      <c r="E44" s="558"/>
      <c r="F44" s="558"/>
      <c r="G44" s="561"/>
      <c r="H44" s="561"/>
      <c r="I44" s="561"/>
      <c r="J44" s="547"/>
      <c r="P44" s="275" t="e">
        <f t="shared" si="0"/>
        <v>#VALUE!</v>
      </c>
      <c r="Q44" s="274" t="e">
        <f t="shared" si="1"/>
        <v>#VALUE!</v>
      </c>
      <c r="S44" s="274" t="e">
        <f t="shared" si="2"/>
        <v>#VALUE!</v>
      </c>
      <c r="W44" s="561"/>
      <c r="X44" s="561"/>
      <c r="Y44" s="562"/>
      <c r="Z44" s="562"/>
    </row>
    <row r="45" spans="1:26" s="546" customFormat="1" hidden="1">
      <c r="A45" s="558"/>
      <c r="B45" s="560" t="s">
        <v>3211</v>
      </c>
      <c r="C45" s="558"/>
      <c r="D45" s="558"/>
      <c r="E45" s="558"/>
      <c r="F45" s="558"/>
      <c r="G45" s="561"/>
      <c r="H45" s="561"/>
      <c r="I45" s="561"/>
      <c r="J45" s="547"/>
      <c r="P45" s="275" t="e">
        <f t="shared" si="0"/>
        <v>#VALUE!</v>
      </c>
      <c r="Q45" s="274" t="e">
        <f t="shared" si="1"/>
        <v>#VALUE!</v>
      </c>
      <c r="S45" s="274" t="e">
        <f t="shared" si="2"/>
        <v>#VALUE!</v>
      </c>
      <c r="W45" s="561"/>
      <c r="X45" s="561"/>
      <c r="Y45" s="562"/>
      <c r="Z45" s="562"/>
    </row>
    <row r="46" spans="1:26" s="546" customFormat="1" hidden="1">
      <c r="A46" s="558"/>
      <c r="B46" s="560" t="s">
        <v>526</v>
      </c>
      <c r="C46" s="558"/>
      <c r="D46" s="558"/>
      <c r="E46" s="558"/>
      <c r="F46" s="558"/>
      <c r="G46" s="561"/>
      <c r="H46" s="561"/>
      <c r="I46" s="561"/>
      <c r="J46" s="547"/>
      <c r="P46" s="275" t="e">
        <f t="shared" si="0"/>
        <v>#VALUE!</v>
      </c>
      <c r="Q46" s="274" t="e">
        <f t="shared" si="1"/>
        <v>#VALUE!</v>
      </c>
      <c r="S46" s="274" t="e">
        <f t="shared" si="2"/>
        <v>#VALUE!</v>
      </c>
      <c r="W46" s="555"/>
      <c r="X46" s="565"/>
      <c r="Y46" s="554"/>
      <c r="Z46" s="554"/>
    </row>
    <row r="47" spans="1:26" s="546" customFormat="1" hidden="1">
      <c r="A47" s="563"/>
      <c r="B47" s="564"/>
      <c r="C47" s="564"/>
      <c r="D47" s="564"/>
      <c r="E47" s="564"/>
      <c r="F47" s="564"/>
      <c r="G47" s="565"/>
      <c r="H47" s="565"/>
      <c r="I47" s="565"/>
      <c r="J47" s="547"/>
      <c r="P47" s="275">
        <f t="shared" si="0"/>
        <v>0</v>
      </c>
      <c r="Q47" s="274">
        <f t="shared" si="1"/>
        <v>0</v>
      </c>
      <c r="S47" s="274">
        <f t="shared" si="2"/>
        <v>0</v>
      </c>
      <c r="W47" s="275"/>
      <c r="X47" s="275"/>
      <c r="Y47" s="274"/>
      <c r="Z47" s="274"/>
    </row>
    <row r="48" spans="1:26" hidden="1">
      <c r="P48" s="275">
        <f t="shared" si="0"/>
        <v>0</v>
      </c>
      <c r="Q48" s="274">
        <f t="shared" si="1"/>
        <v>0</v>
      </c>
      <c r="S48" s="274">
        <f t="shared" si="2"/>
        <v>0</v>
      </c>
      <c r="W48" s="183"/>
      <c r="X48" s="275"/>
      <c r="Y48" s="276"/>
      <c r="Z48" s="278"/>
    </row>
    <row r="49" spans="1:26" hidden="1">
      <c r="B49" s="300" t="s">
        <v>329</v>
      </c>
      <c r="C49" s="276"/>
      <c r="D49" s="276"/>
      <c r="E49" s="276"/>
      <c r="F49" s="276"/>
      <c r="G49" s="277"/>
      <c r="H49" s="277"/>
      <c r="I49" s="277"/>
      <c r="P49" s="275" t="e">
        <f t="shared" si="0"/>
        <v>#VALUE!</v>
      </c>
      <c r="Q49" s="274" t="e">
        <f t="shared" si="1"/>
        <v>#VALUE!</v>
      </c>
      <c r="S49" s="274" t="e">
        <f t="shared" si="2"/>
        <v>#VALUE!</v>
      </c>
      <c r="W49" s="183"/>
      <c r="X49" s="275"/>
      <c r="Y49" s="279"/>
      <c r="Z49" s="278"/>
    </row>
    <row r="50" spans="1:26" hidden="1">
      <c r="B50" s="300"/>
      <c r="C50" s="279"/>
      <c r="D50" s="279"/>
      <c r="E50" s="279"/>
      <c r="F50" s="279"/>
      <c r="G50" s="277"/>
      <c r="H50" s="277"/>
      <c r="I50" s="277"/>
      <c r="P50" s="275">
        <f t="shared" si="0"/>
        <v>0</v>
      </c>
      <c r="Q50" s="274">
        <f t="shared" si="1"/>
        <v>0</v>
      </c>
      <c r="S50" s="274">
        <f t="shared" si="2"/>
        <v>0</v>
      </c>
      <c r="W50" s="183"/>
      <c r="X50" s="275"/>
      <c r="Y50" s="183"/>
      <c r="Z50" s="278"/>
    </row>
    <row r="51" spans="1:26" hidden="1">
      <c r="B51" s="345" t="s">
        <v>330</v>
      </c>
      <c r="C51" s="276"/>
      <c r="D51" s="276"/>
      <c r="E51" s="276"/>
      <c r="F51" s="276"/>
      <c r="G51" s="277"/>
      <c r="H51" s="277"/>
      <c r="I51" s="277"/>
      <c r="P51" s="275" t="e">
        <f t="shared" si="0"/>
        <v>#VALUE!</v>
      </c>
      <c r="Q51" s="274" t="e">
        <f t="shared" si="1"/>
        <v>#VALUE!</v>
      </c>
      <c r="S51" s="274" t="e">
        <f t="shared" si="2"/>
        <v>#VALUE!</v>
      </c>
      <c r="W51" s="183"/>
      <c r="X51" s="275"/>
      <c r="Y51" s="276"/>
      <c r="Z51" s="278"/>
    </row>
    <row r="52" spans="1:26" hidden="1">
      <c r="B52" s="345" t="s">
        <v>332</v>
      </c>
      <c r="C52" s="276"/>
      <c r="D52" s="276"/>
      <c r="E52" s="276"/>
      <c r="F52" s="276"/>
      <c r="G52" s="277"/>
      <c r="H52" s="277"/>
      <c r="I52" s="277"/>
      <c r="P52" s="275" t="e">
        <f t="shared" si="0"/>
        <v>#VALUE!</v>
      </c>
      <c r="Q52" s="274" t="e">
        <f t="shared" si="1"/>
        <v>#VALUE!</v>
      </c>
      <c r="S52" s="274" t="e">
        <f t="shared" si="2"/>
        <v>#VALUE!</v>
      </c>
      <c r="W52" s="183"/>
      <c r="X52" s="275"/>
      <c r="Y52" s="276"/>
      <c r="Z52" s="171"/>
    </row>
    <row r="53" spans="1:26" hidden="1">
      <c r="B53" s="346"/>
      <c r="C53" s="276"/>
      <c r="D53" s="276"/>
      <c r="E53" s="276"/>
      <c r="F53" s="276"/>
      <c r="G53" s="277"/>
      <c r="H53" s="277"/>
      <c r="I53" s="277"/>
      <c r="P53" s="275">
        <f t="shared" si="0"/>
        <v>0</v>
      </c>
      <c r="Q53" s="274">
        <f t="shared" si="1"/>
        <v>0</v>
      </c>
      <c r="S53" s="274">
        <f t="shared" si="2"/>
        <v>0</v>
      </c>
      <c r="W53" s="183"/>
      <c r="X53" s="275"/>
      <c r="Y53" s="276"/>
      <c r="Z53" s="171"/>
    </row>
    <row r="54" spans="1:26" hidden="1">
      <c r="B54" s="345" t="s">
        <v>333</v>
      </c>
      <c r="C54" s="276"/>
      <c r="D54" s="276"/>
      <c r="E54" s="276"/>
      <c r="F54" s="276"/>
      <c r="G54" s="277"/>
      <c r="H54" s="277"/>
      <c r="I54" s="277"/>
      <c r="P54" s="275" t="e">
        <f t="shared" si="0"/>
        <v>#VALUE!</v>
      </c>
      <c r="Q54" s="274" t="e">
        <f t="shared" si="1"/>
        <v>#VALUE!</v>
      </c>
      <c r="S54" s="274" t="e">
        <f t="shared" si="2"/>
        <v>#VALUE!</v>
      </c>
      <c r="W54" s="275">
        <v>28.64</v>
      </c>
      <c r="X54" s="275">
        <v>1.1200000000000001</v>
      </c>
      <c r="Y54" s="274">
        <v>1.07</v>
      </c>
      <c r="Z54" s="274">
        <f>W54*X54*Y54</f>
        <v>34.322176000000006</v>
      </c>
    </row>
    <row r="55" spans="1:26">
      <c r="B55" s="274">
        <v>32435</v>
      </c>
      <c r="C55" s="274">
        <v>31458</v>
      </c>
      <c r="D55" s="274">
        <v>9354</v>
      </c>
      <c r="E55" s="274">
        <v>6612</v>
      </c>
      <c r="F55" s="274">
        <v>4121</v>
      </c>
      <c r="G55" s="274">
        <v>3183</v>
      </c>
      <c r="H55" s="274">
        <v>3183</v>
      </c>
      <c r="I55" s="274">
        <f>(B55+C55+D55)/3</f>
        <v>24415.666666666668</v>
      </c>
      <c r="J55" s="275">
        <v>1927</v>
      </c>
      <c r="K55" s="275">
        <v>4200</v>
      </c>
      <c r="L55" s="274">
        <v>36586</v>
      </c>
      <c r="M55" s="274">
        <v>41568</v>
      </c>
      <c r="N55" s="274">
        <v>31820</v>
      </c>
      <c r="O55" s="274" t="s">
        <v>3481</v>
      </c>
      <c r="P55" s="275">
        <f t="shared" si="0"/>
        <v>92273</v>
      </c>
      <c r="Q55" s="274">
        <f t="shared" si="1"/>
        <v>121565.48327272727</v>
      </c>
      <c r="R55" s="274">
        <v>34.32</v>
      </c>
      <c r="S55" s="274">
        <f t="shared" si="2"/>
        <v>4172127.3859200003</v>
      </c>
      <c r="T55" s="274">
        <f>B55+C55+D55+106200</f>
        <v>179447</v>
      </c>
      <c r="U55" s="1215">
        <f>E55+F55+G66+H66+J66</f>
        <v>26317.671652892561</v>
      </c>
      <c r="V55" s="1215">
        <f>K66+L66+M66+N66</f>
        <v>214562.19719008266</v>
      </c>
      <c r="W55" s="275">
        <v>3.89</v>
      </c>
      <c r="X55" s="275">
        <v>1.1200000000000001</v>
      </c>
      <c r="Y55" s="274">
        <v>1.07</v>
      </c>
      <c r="Z55" s="274">
        <f>W55*X55*Y55</f>
        <v>4.6617760000000006</v>
      </c>
    </row>
    <row r="56" spans="1:26">
      <c r="B56" s="274">
        <v>10037</v>
      </c>
      <c r="C56" s="274">
        <v>60899</v>
      </c>
      <c r="D56" s="274">
        <v>17756</v>
      </c>
      <c r="E56" s="274">
        <v>13405</v>
      </c>
      <c r="F56" s="274">
        <v>8807</v>
      </c>
      <c r="G56" s="274">
        <v>5018</v>
      </c>
      <c r="H56" s="274">
        <v>5018</v>
      </c>
      <c r="I56" s="274">
        <f>(B56+C56+D56)/3</f>
        <v>29564</v>
      </c>
      <c r="J56" s="275">
        <v>2906</v>
      </c>
      <c r="K56" s="275">
        <v>11000</v>
      </c>
      <c r="L56" s="274">
        <v>11422</v>
      </c>
      <c r="M56" s="274">
        <v>12889</v>
      </c>
      <c r="N56" s="274">
        <v>10037</v>
      </c>
      <c r="O56" s="274" t="s">
        <v>3462</v>
      </c>
      <c r="P56" s="275">
        <f t="shared" si="0"/>
        <v>123846</v>
      </c>
      <c r="Q56" s="274">
        <f t="shared" si="1"/>
        <v>163161.47563636364</v>
      </c>
      <c r="R56" s="274">
        <v>4.66</v>
      </c>
      <c r="S56" s="274">
        <f t="shared" si="2"/>
        <v>760332.47646545456</v>
      </c>
      <c r="T56" s="274">
        <f>B56+C56+D56+212400</f>
        <v>301092</v>
      </c>
      <c r="U56" s="1215">
        <f>E56+F56+G67+H67+J67</f>
        <v>46533.33371900826</v>
      </c>
      <c r="V56" s="1215">
        <f>K67+L67+M67+N67</f>
        <v>85220.510082644614</v>
      </c>
    </row>
    <row r="57" spans="1:26">
      <c r="B57" s="566">
        <f t="shared" ref="B57:H57" si="3">SUM(B33:B56)</f>
        <v>46998</v>
      </c>
      <c r="C57" s="566">
        <f t="shared" si="3"/>
        <v>249752</v>
      </c>
      <c r="D57" s="566">
        <f t="shared" si="3"/>
        <v>83724</v>
      </c>
      <c r="E57" s="566">
        <f t="shared" si="3"/>
        <v>65352</v>
      </c>
      <c r="F57" s="566">
        <f t="shared" si="3"/>
        <v>43018</v>
      </c>
      <c r="G57" s="566">
        <f t="shared" si="3"/>
        <v>30376</v>
      </c>
      <c r="H57" s="566">
        <f t="shared" si="3"/>
        <v>30376</v>
      </c>
      <c r="J57" s="566">
        <f>SUM(J33:J56)</f>
        <v>7580</v>
      </c>
      <c r="K57" s="1216">
        <f>SUM(K33:K56)</f>
        <v>16400</v>
      </c>
      <c r="L57" s="566">
        <f>SUM(L33:L56)</f>
        <v>53713</v>
      </c>
      <c r="M57" s="566">
        <f>SUM(M33:M56)</f>
        <v>60531</v>
      </c>
      <c r="N57" s="566">
        <f>SUM(N33:N56)</f>
        <v>46383</v>
      </c>
      <c r="P57" s="1216">
        <f>P33+P55+P56</f>
        <v>557176</v>
      </c>
      <c r="Q57" s="566">
        <f>Q33+Q55+Q56</f>
        <v>734054.05381818186</v>
      </c>
      <c r="S57" s="566">
        <f>S33+S55+S56</f>
        <v>12278957.864149092</v>
      </c>
    </row>
    <row r="58" spans="1:26">
      <c r="B58" s="274" t="s">
        <v>3482</v>
      </c>
      <c r="D58" s="566"/>
    </row>
    <row r="59" spans="1:26">
      <c r="B59" s="274">
        <v>281.89</v>
      </c>
      <c r="C59" s="274">
        <v>207.62</v>
      </c>
      <c r="D59" s="274">
        <v>148.38999999999999</v>
      </c>
      <c r="E59" s="274">
        <v>105.72</v>
      </c>
      <c r="F59" s="274">
        <v>23.36</v>
      </c>
      <c r="G59" s="274">
        <v>11.85</v>
      </c>
      <c r="K59" s="275">
        <v>12100</v>
      </c>
      <c r="L59" s="274" t="s">
        <v>1197</v>
      </c>
    </row>
    <row r="60" spans="1:26">
      <c r="K60" s="275">
        <v>15941.2</v>
      </c>
      <c r="L60" s="274" t="s">
        <v>3483</v>
      </c>
    </row>
    <row r="61" spans="1:26">
      <c r="B61" s="274" t="s">
        <v>3484</v>
      </c>
      <c r="K61" s="1214">
        <f>K60/K59</f>
        <v>1.3174545454545454</v>
      </c>
    </row>
    <row r="62" spans="1:26">
      <c r="A62" s="274" t="s">
        <v>3485</v>
      </c>
      <c r="B62" s="274">
        <v>1119</v>
      </c>
      <c r="C62" s="274">
        <v>1210</v>
      </c>
      <c r="D62" s="274">
        <v>970</v>
      </c>
      <c r="E62" s="274">
        <v>1836</v>
      </c>
      <c r="F62" s="274">
        <v>954</v>
      </c>
      <c r="G62" s="274">
        <v>970</v>
      </c>
      <c r="K62" s="275">
        <v>22739</v>
      </c>
      <c r="L62" s="274" t="s">
        <v>3486</v>
      </c>
    </row>
    <row r="63" spans="1:26">
      <c r="A63" s="274" t="s">
        <v>3487</v>
      </c>
      <c r="B63" s="274">
        <v>1119</v>
      </c>
      <c r="C63" s="274">
        <v>1210</v>
      </c>
      <c r="D63" s="274">
        <v>970</v>
      </c>
      <c r="E63" s="274">
        <v>1836</v>
      </c>
      <c r="F63" s="274">
        <v>954</v>
      </c>
      <c r="G63" s="274">
        <v>970</v>
      </c>
    </row>
    <row r="64" spans="1:26">
      <c r="G64" s="274" t="s">
        <v>3488</v>
      </c>
    </row>
    <row r="65" spans="2:14">
      <c r="G65" s="1215">
        <f>G33/K59*K62</f>
        <v>41672.50619834711</v>
      </c>
      <c r="H65" s="1215">
        <f>H33/K59*K62</f>
        <v>41672.50619834711</v>
      </c>
      <c r="I65" s="1215"/>
      <c r="J65" s="1214">
        <f>J33/K59*K62</f>
        <v>5162.316776859504</v>
      </c>
      <c r="K65" s="1214">
        <f>K33/K59*K62</f>
        <v>2255.1074380165292</v>
      </c>
      <c r="L65" s="1215">
        <f>L33/K59*K62</f>
        <v>10721.156611570248</v>
      </c>
      <c r="M65" s="1215">
        <f>M33/K59*K62</f>
        <v>11414.60214876033</v>
      </c>
      <c r="N65" s="1215">
        <f>N33/K59*K62</f>
        <v>8505.513553719009</v>
      </c>
    </row>
    <row r="66" spans="2:14">
      <c r="B66" s="274" t="s">
        <v>3489</v>
      </c>
      <c r="G66" s="1215">
        <f>G55/K59*K62</f>
        <v>5981.672479338843</v>
      </c>
      <c r="H66" s="1215">
        <f>H55/K59*K62</f>
        <v>5981.672479338843</v>
      </c>
      <c r="I66" s="1215"/>
      <c r="J66" s="1214">
        <f>J55/K59*K62</f>
        <v>3621.3266942148762</v>
      </c>
      <c r="K66" s="1214">
        <f>K55/K59*K62</f>
        <v>7892.8760330578516</v>
      </c>
      <c r="L66" s="1215">
        <f>L55/K59*K62</f>
        <v>68754.46727272727</v>
      </c>
      <c r="M66" s="1215">
        <f>M55/K59*K62</f>
        <v>78116.921652892561</v>
      </c>
      <c r="N66" s="1215">
        <f>N55/K59*K62</f>
        <v>59797.932231404957</v>
      </c>
    </row>
    <row r="67" spans="2:14">
      <c r="G67" s="1215">
        <f>G56/K59*K62</f>
        <v>9430.1076033057852</v>
      </c>
      <c r="H67" s="1215">
        <f>H56/K59*K62</f>
        <v>9430.1076033057852</v>
      </c>
      <c r="I67" s="1215"/>
      <c r="J67" s="1214">
        <f>J56/K59*K62</f>
        <v>5461.1185123966943</v>
      </c>
      <c r="K67" s="1214">
        <f>K56/K59*K62</f>
        <v>20671.81818181818</v>
      </c>
      <c r="L67" s="1215">
        <f>L56/K59*K62</f>
        <v>21464.86429752066</v>
      </c>
      <c r="M67" s="1215">
        <f>M56/K59*K62</f>
        <v>24221.733140495868</v>
      </c>
      <c r="N67" s="1215">
        <f>N56/K59*K62</f>
        <v>18862.094462809917</v>
      </c>
    </row>
    <row r="68" spans="2:14">
      <c r="B68" s="1215">
        <f>B33*K61</f>
        <v>5962.7992727272722</v>
      </c>
    </row>
    <row r="69" spans="2:14">
      <c r="B69" s="1215">
        <f>B55*K61</f>
        <v>42731.638181818184</v>
      </c>
    </row>
    <row r="70" spans="2:14">
      <c r="B70" s="1215">
        <f>B56*K61</f>
        <v>13223.291272727272</v>
      </c>
    </row>
    <row r="72" spans="2:14">
      <c r="B72" s="1206" t="s">
        <v>3471</v>
      </c>
      <c r="C72" s="1206" t="s">
        <v>3472</v>
      </c>
      <c r="D72" s="1206" t="s">
        <v>3389</v>
      </c>
      <c r="E72" s="1206" t="s">
        <v>3390</v>
      </c>
      <c r="F72" s="1206" t="s">
        <v>3391</v>
      </c>
      <c r="G72" s="1206" t="s">
        <v>3392</v>
      </c>
      <c r="H72" s="1206" t="s">
        <v>3393</v>
      </c>
      <c r="I72" s="275" t="s">
        <v>3394</v>
      </c>
    </row>
    <row r="73" spans="2:14">
      <c r="B73" s="274">
        <v>4526</v>
      </c>
      <c r="C73" s="274">
        <v>157395</v>
      </c>
      <c r="D73" s="274">
        <v>56614</v>
      </c>
      <c r="E73" s="274">
        <v>45335</v>
      </c>
      <c r="F73" s="274">
        <v>30090</v>
      </c>
      <c r="G73" s="274">
        <v>22175</v>
      </c>
      <c r="H73" s="274">
        <v>22175</v>
      </c>
      <c r="I73" s="275">
        <v>2747</v>
      </c>
      <c r="J73" s="275">
        <v>12100</v>
      </c>
      <c r="K73" s="275">
        <v>15941.2</v>
      </c>
    </row>
    <row r="74" spans="2:14">
      <c r="B74" s="274">
        <v>32435</v>
      </c>
      <c r="C74" s="274">
        <v>31458</v>
      </c>
      <c r="D74" s="274">
        <v>9354</v>
      </c>
      <c r="E74" s="274">
        <v>6612</v>
      </c>
      <c r="F74" s="274">
        <v>4121</v>
      </c>
      <c r="G74" s="274">
        <v>3183</v>
      </c>
      <c r="H74" s="274">
        <v>3183</v>
      </c>
      <c r="I74" s="275">
        <v>1927</v>
      </c>
    </row>
    <row r="75" spans="2:14">
      <c r="B75" s="274">
        <v>10037</v>
      </c>
      <c r="C75" s="274">
        <v>60899</v>
      </c>
      <c r="D75" s="274">
        <v>17756</v>
      </c>
      <c r="E75" s="274">
        <v>13405</v>
      </c>
      <c r="F75" s="274">
        <v>8807</v>
      </c>
      <c r="G75" s="274">
        <v>5018</v>
      </c>
      <c r="H75" s="274">
        <v>5018</v>
      </c>
      <c r="I75" s="275">
        <v>2906</v>
      </c>
    </row>
    <row r="76" spans="2:14">
      <c r="B76" s="566">
        <f t="shared" ref="B76:I76" si="4">SUM(B73:B75)</f>
        <v>46998</v>
      </c>
      <c r="C76" s="566">
        <f t="shared" si="4"/>
        <v>249752</v>
      </c>
      <c r="D76" s="566">
        <f t="shared" si="4"/>
        <v>83724</v>
      </c>
      <c r="E76" s="566">
        <f t="shared" si="4"/>
        <v>65352</v>
      </c>
      <c r="F76" s="566">
        <f t="shared" si="4"/>
        <v>43018</v>
      </c>
      <c r="G76" s="566">
        <f t="shared" si="4"/>
        <v>30376</v>
      </c>
      <c r="H76" s="566">
        <f t="shared" si="4"/>
        <v>30376</v>
      </c>
      <c r="I76" s="566">
        <f t="shared" si="4"/>
        <v>7580</v>
      </c>
    </row>
    <row r="78" spans="2:14">
      <c r="B78" s="1215">
        <f>B73/J73*K73</f>
        <v>5962.7992727272731</v>
      </c>
      <c r="C78" s="1215">
        <f t="shared" ref="C78:I78" si="5">C73/$J$73*$K$73</f>
        <v>207360.75818181818</v>
      </c>
      <c r="D78" s="1215">
        <f t="shared" si="5"/>
        <v>74586.371636363649</v>
      </c>
      <c r="E78" s="1215">
        <f t="shared" si="5"/>
        <v>59726.801818181826</v>
      </c>
      <c r="F78" s="1215">
        <f t="shared" si="5"/>
        <v>39642.207272727275</v>
      </c>
      <c r="G78" s="1215">
        <f t="shared" si="5"/>
        <v>29214.554545454546</v>
      </c>
      <c r="H78" s="1215">
        <f t="shared" si="5"/>
        <v>29214.554545454546</v>
      </c>
      <c r="I78" s="1215">
        <f t="shared" si="5"/>
        <v>3619.0476363636367</v>
      </c>
    </row>
    <row r="79" spans="2:14">
      <c r="B79" s="1215">
        <f>B74/J73*K73</f>
        <v>42731.638181818184</v>
      </c>
      <c r="C79" s="1215">
        <f t="shared" ref="C79:I80" si="6">C74/$J$73*$K$73</f>
        <v>41444.485090909089</v>
      </c>
      <c r="D79" s="1215">
        <f t="shared" si="6"/>
        <v>12323.469818181818</v>
      </c>
      <c r="E79" s="1215">
        <f t="shared" si="6"/>
        <v>8711.009454545454</v>
      </c>
      <c r="F79" s="1215">
        <f t="shared" si="6"/>
        <v>5429.2301818181822</v>
      </c>
      <c r="G79" s="1215">
        <f t="shared" si="6"/>
        <v>4193.4578181818179</v>
      </c>
      <c r="H79" s="1215">
        <f t="shared" si="6"/>
        <v>4193.4578181818179</v>
      </c>
      <c r="I79" s="1215">
        <f t="shared" si="6"/>
        <v>2538.7349090909092</v>
      </c>
    </row>
    <row r="80" spans="2:14">
      <c r="B80" s="1215">
        <f>B75/J73*K73</f>
        <v>13223.291272727274</v>
      </c>
      <c r="C80" s="1215">
        <f t="shared" si="6"/>
        <v>80231.664363636359</v>
      </c>
      <c r="D80" s="1215">
        <f t="shared" si="6"/>
        <v>23392.72290909091</v>
      </c>
      <c r="E80" s="1215">
        <f t="shared" si="6"/>
        <v>17660.478181818184</v>
      </c>
      <c r="F80" s="1215">
        <f t="shared" si="6"/>
        <v>11602.822181818181</v>
      </c>
      <c r="G80" s="1215">
        <f t="shared" si="6"/>
        <v>6610.9869090909096</v>
      </c>
      <c r="H80" s="1215">
        <f t="shared" si="6"/>
        <v>6610.9869090909096</v>
      </c>
      <c r="I80" s="1215">
        <f t="shared" si="6"/>
        <v>3828.5229090909093</v>
      </c>
    </row>
    <row r="81" spans="2:9">
      <c r="B81" s="1272">
        <f>B76/J73*K73</f>
        <v>61917.728727272734</v>
      </c>
      <c r="C81" s="1272">
        <f>C76/$J$73*$K$73</f>
        <v>329036.9076363637</v>
      </c>
      <c r="D81" s="1272">
        <f t="shared" ref="D81:I81" si="7">D76/$J$73*$K$73</f>
        <v>110302.56436363637</v>
      </c>
      <c r="E81" s="1272">
        <f t="shared" si="7"/>
        <v>86098.289454545447</v>
      </c>
      <c r="F81" s="1272">
        <f t="shared" si="7"/>
        <v>56674.25963636364</v>
      </c>
      <c r="G81" s="1272">
        <f t="shared" si="7"/>
        <v>40018.999272727277</v>
      </c>
      <c r="H81" s="1272">
        <f t="shared" si="7"/>
        <v>40018.999272727277</v>
      </c>
      <c r="I81" s="1272">
        <f t="shared" si="7"/>
        <v>9986.3054545454543</v>
      </c>
    </row>
  </sheetData>
  <mergeCells count="24">
    <mergeCell ref="Y40:Z40"/>
    <mergeCell ref="K8:K9"/>
    <mergeCell ref="H8:H9"/>
    <mergeCell ref="I8:I9"/>
    <mergeCell ref="L8:M8"/>
    <mergeCell ref="J8:J9"/>
    <mergeCell ref="W40:W41"/>
    <mergeCell ref="X40:X41"/>
    <mergeCell ref="A8:A9"/>
    <mergeCell ref="I41:I42"/>
    <mergeCell ref="C8:C9"/>
    <mergeCell ref="H41:H42"/>
    <mergeCell ref="D8:E8"/>
    <mergeCell ref="F8:F9"/>
    <mergeCell ref="B8:B9"/>
    <mergeCell ref="G8:G9"/>
    <mergeCell ref="A41:A42"/>
    <mergeCell ref="B41:B42"/>
    <mergeCell ref="C41:C42"/>
    <mergeCell ref="I11:I14"/>
    <mergeCell ref="I15:I18"/>
    <mergeCell ref="I19:I22"/>
    <mergeCell ref="G41:G42"/>
    <mergeCell ref="D41:E41"/>
  </mergeCells>
  <pageMargins left="0" right="0" top="0" bottom="0" header="0" footer="0"/>
  <pageSetup paperSize="9" scale="76" fitToHeight="0" orientation="landscape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tabColor rgb="FFFF0000"/>
    <pageSetUpPr fitToPage="1"/>
  </sheetPr>
  <dimension ref="A1:U94"/>
  <sheetViews>
    <sheetView zoomScaleSheetLayoutView="100" workbookViewId="0">
      <selection activeCell="F12" sqref="F12"/>
    </sheetView>
  </sheetViews>
  <sheetFormatPr defaultColWidth="9.140625" defaultRowHeight="15.75"/>
  <cols>
    <col min="1" max="1" width="4.140625" style="274" customWidth="1"/>
    <col min="2" max="2" width="18.42578125" style="274" customWidth="1"/>
    <col min="3" max="5" width="15.7109375" style="274" customWidth="1"/>
    <col min="6" max="6" width="17.5703125" style="274" customWidth="1"/>
    <col min="7" max="7" width="18.28515625" style="274" customWidth="1"/>
    <col min="8" max="8" width="16.7109375" style="274" customWidth="1"/>
    <col min="9" max="9" width="12" style="274" customWidth="1"/>
    <col min="10" max="10" width="14.42578125" style="275" customWidth="1"/>
    <col min="11" max="11" width="14.7109375" style="275" customWidth="1"/>
    <col min="12" max="12" width="13.140625" style="274" customWidth="1"/>
    <col min="13" max="13" width="14" style="274" customWidth="1"/>
    <col min="14" max="14" width="13.7109375" style="274" customWidth="1"/>
    <col min="15" max="15" width="15.42578125" style="274" bestFit="1" customWidth="1"/>
    <col min="16" max="16" width="14.7109375" style="274" customWidth="1"/>
    <col min="17" max="17" width="15.5703125" style="274" customWidth="1"/>
    <col min="18" max="18" width="10.7109375" style="274" bestFit="1" customWidth="1"/>
    <col min="19" max="19" width="12.28515625" style="274" customWidth="1"/>
    <col min="20" max="20" width="18.28515625" style="274" customWidth="1"/>
    <col min="21" max="21" width="14" style="274" customWidth="1"/>
    <col min="22" max="16384" width="9.140625" style="274"/>
  </cols>
  <sheetData>
    <row r="1" spans="1:14">
      <c r="L1" s="275" t="s">
        <v>267</v>
      </c>
      <c r="M1" s="671" t="s">
        <v>605</v>
      </c>
    </row>
    <row r="2" spans="1:14" s="898" customFormat="1">
      <c r="A2" s="695" t="s">
        <v>3453</v>
      </c>
      <c r="B2" s="711"/>
      <c r="C2" s="711"/>
      <c r="D2" s="711"/>
      <c r="E2" s="711"/>
      <c r="F2" s="711"/>
      <c r="G2" s="711"/>
      <c r="H2" s="711"/>
      <c r="I2" s="711"/>
      <c r="J2" s="897"/>
      <c r="K2" s="897"/>
      <c r="L2" s="897"/>
      <c r="M2" s="3816" t="s">
        <v>3375</v>
      </c>
      <c r="N2" s="897"/>
    </row>
    <row r="3" spans="1:14">
      <c r="A3" s="45"/>
      <c r="B3" s="168"/>
      <c r="C3" s="168"/>
      <c r="D3" s="168"/>
      <c r="E3" s="168"/>
      <c r="F3" s="168"/>
      <c r="G3" s="168"/>
      <c r="H3" s="168"/>
      <c r="I3" s="168"/>
      <c r="J3" s="370"/>
      <c r="K3" s="370"/>
      <c r="L3" s="370"/>
      <c r="M3" s="3817"/>
      <c r="N3" s="370"/>
    </row>
    <row r="4" spans="1:14" s="898" customFormat="1">
      <c r="A4" s="656" t="s">
        <v>3490</v>
      </c>
      <c r="B4" s="899"/>
      <c r="C4" s="899"/>
      <c r="D4" s="899"/>
      <c r="E4" s="899"/>
      <c r="F4" s="899"/>
      <c r="G4" s="899"/>
      <c r="H4" s="899"/>
      <c r="I4" s="899"/>
      <c r="J4" s="897"/>
      <c r="K4" s="897"/>
      <c r="L4" s="897"/>
      <c r="M4" s="3816"/>
      <c r="N4" s="897"/>
    </row>
    <row r="5" spans="1:14">
      <c r="A5" s="168" t="s">
        <v>990</v>
      </c>
      <c r="B5" s="230"/>
      <c r="C5" s="230"/>
      <c r="D5" s="230"/>
      <c r="E5" s="230"/>
      <c r="F5" s="230"/>
      <c r="G5" s="230"/>
      <c r="H5" s="230"/>
      <c r="I5" s="230"/>
      <c r="J5" s="273"/>
      <c r="K5" s="273"/>
      <c r="L5" s="273"/>
      <c r="M5" s="273"/>
      <c r="N5" s="273"/>
    </row>
    <row r="6" spans="1:14">
      <c r="A6" s="82"/>
      <c r="B6" s="230"/>
      <c r="C6" s="230"/>
      <c r="D6" s="230"/>
      <c r="E6" s="230"/>
      <c r="F6" s="230"/>
      <c r="G6" s="230"/>
      <c r="H6" s="231"/>
      <c r="I6" s="230"/>
      <c r="J6" s="371"/>
      <c r="K6" s="273"/>
      <c r="L6" s="272"/>
      <c r="N6" s="273"/>
    </row>
    <row r="7" spans="1:14">
      <c r="A7" s="273"/>
      <c r="B7" s="273"/>
      <c r="C7" s="273"/>
      <c r="D7" s="273"/>
      <c r="E7" s="273"/>
      <c r="F7" s="273"/>
      <c r="G7" s="273"/>
      <c r="H7" s="273"/>
      <c r="I7" s="273"/>
      <c r="J7" s="371"/>
      <c r="K7" s="273"/>
      <c r="L7" s="272"/>
      <c r="M7" s="372" t="s">
        <v>254</v>
      </c>
      <c r="N7" s="273"/>
    </row>
    <row r="8" spans="1:14" ht="15.6" customHeight="1">
      <c r="A8" s="4160" t="s">
        <v>2</v>
      </c>
      <c r="B8" s="4160" t="s">
        <v>3377</v>
      </c>
      <c r="C8" s="4160" t="s">
        <v>1191</v>
      </c>
      <c r="D8" s="4162" t="s">
        <v>255</v>
      </c>
      <c r="E8" s="4163"/>
      <c r="F8" s="4160" t="s">
        <v>3455</v>
      </c>
      <c r="G8" s="4160" t="s">
        <v>3456</v>
      </c>
      <c r="H8" s="4160" t="s">
        <v>3457</v>
      </c>
      <c r="I8" s="4160" t="s">
        <v>3380</v>
      </c>
      <c r="J8" s="4160" t="s">
        <v>3381</v>
      </c>
      <c r="K8" s="4160" t="s">
        <v>3458</v>
      </c>
      <c r="L8" s="4162" t="s">
        <v>255</v>
      </c>
      <c r="M8" s="4163"/>
      <c r="N8" s="273"/>
    </row>
    <row r="9" spans="1:14" s="275" customFormat="1" ht="63.75" customHeight="1">
      <c r="A9" s="4160"/>
      <c r="B9" s="4160"/>
      <c r="C9" s="4160"/>
      <c r="D9" s="286" t="s">
        <v>7</v>
      </c>
      <c r="E9" s="286" t="s">
        <v>8</v>
      </c>
      <c r="F9" s="4160"/>
      <c r="G9" s="4160"/>
      <c r="H9" s="4160"/>
      <c r="I9" s="4160"/>
      <c r="J9" s="4160"/>
      <c r="K9" s="4160"/>
      <c r="L9" s="286" t="s">
        <v>7</v>
      </c>
      <c r="M9" s="286" t="s">
        <v>8</v>
      </c>
    </row>
    <row r="10" spans="1:14">
      <c r="A10" s="373"/>
      <c r="B10" s="374" t="s">
        <v>20</v>
      </c>
      <c r="C10" s="286">
        <f>D10+E10</f>
        <v>0</v>
      </c>
      <c r="D10" s="896"/>
      <c r="E10" s="896"/>
      <c r="F10" s="933">
        <f>F11+F15+F19</f>
        <v>271951.36064848484</v>
      </c>
      <c r="G10" s="933">
        <f>G11+G15+G19</f>
        <v>17.059654269972452</v>
      </c>
      <c r="H10" s="933">
        <f>H11+H15+H19</f>
        <v>271951.36064848484</v>
      </c>
      <c r="I10" s="567">
        <f>I11+I15+I19</f>
        <v>12</v>
      </c>
      <c r="J10" s="892"/>
      <c r="K10" s="933">
        <f>K11+K15+K19</f>
        <v>16207018.811749093</v>
      </c>
      <c r="L10" s="935" t="e">
        <f>K10*D10/C10</f>
        <v>#DIV/0!</v>
      </c>
      <c r="M10" s="935" t="e">
        <f>K10-L10</f>
        <v>#DIV/0!</v>
      </c>
    </row>
    <row r="11" spans="1:14" s="566" customFormat="1">
      <c r="A11" s="286"/>
      <c r="B11" s="374" t="s">
        <v>3459</v>
      </c>
      <c r="C11" s="286" t="s">
        <v>3383</v>
      </c>
      <c r="D11" s="286" t="s">
        <v>3383</v>
      </c>
      <c r="E11" s="286" t="s">
        <v>3383</v>
      </c>
      <c r="F11" s="933">
        <f>SUM(F12:F14)</f>
        <v>167085.73357575756</v>
      </c>
      <c r="G11" s="933">
        <f>SUM(G12:G14)</f>
        <v>10.481377410468319</v>
      </c>
      <c r="H11" s="933">
        <f>SUM(H12:H14)</f>
        <v>167085.73357575756</v>
      </c>
      <c r="I11" s="4164">
        <v>3</v>
      </c>
      <c r="J11" s="893"/>
      <c r="K11" s="933">
        <f>SUM(K12:K14)</f>
        <v>8563703.5575381834</v>
      </c>
      <c r="L11" s="894"/>
      <c r="M11" s="894"/>
    </row>
    <row r="12" spans="1:14">
      <c r="A12" s="373"/>
      <c r="B12" s="292" t="s">
        <v>3460</v>
      </c>
      <c r="C12" s="286">
        <v>15941.2</v>
      </c>
      <c r="D12" s="286" t="s">
        <v>3383</v>
      </c>
      <c r="E12" s="286" t="s">
        <v>3383</v>
      </c>
      <c r="F12" s="934">
        <f>L78/3</f>
        <v>95969.976363636364</v>
      </c>
      <c r="G12" s="934">
        <f>F12/C12</f>
        <v>6.0202479338842974</v>
      </c>
      <c r="H12" s="934">
        <f>C12*G12</f>
        <v>95969.976363636364</v>
      </c>
      <c r="I12" s="4165"/>
      <c r="J12" s="934">
        <v>16.350000000000001</v>
      </c>
      <c r="K12" s="936">
        <f>H12*I11*J12</f>
        <v>4707327.3406363642</v>
      </c>
      <c r="L12" s="895"/>
      <c r="M12" s="895"/>
    </row>
    <row r="13" spans="1:14">
      <c r="A13" s="373"/>
      <c r="B13" s="292" t="s">
        <v>3461</v>
      </c>
      <c r="C13" s="286">
        <v>15941.2</v>
      </c>
      <c r="D13" s="286" t="s">
        <v>3383</v>
      </c>
      <c r="E13" s="286" t="s">
        <v>3383</v>
      </c>
      <c r="F13" s="934">
        <f>L79/3</f>
        <v>32166.531030303031</v>
      </c>
      <c r="G13" s="934">
        <f>F13/C13</f>
        <v>2.0178236914600549</v>
      </c>
      <c r="H13" s="934">
        <f>C13*G13</f>
        <v>32166.531030303027</v>
      </c>
      <c r="I13" s="4165"/>
      <c r="J13" s="934">
        <v>34.32</v>
      </c>
      <c r="K13" s="936">
        <f>H13*I11*J13</f>
        <v>3311866.0348799997</v>
      </c>
      <c r="L13" s="895"/>
      <c r="M13" s="895"/>
    </row>
    <row r="14" spans="1:14">
      <c r="A14" s="373"/>
      <c r="B14" s="292" t="s">
        <v>3462</v>
      </c>
      <c r="C14" s="286">
        <v>15941.2</v>
      </c>
      <c r="D14" s="286" t="s">
        <v>3383</v>
      </c>
      <c r="E14" s="286" t="s">
        <v>3383</v>
      </c>
      <c r="F14" s="934">
        <f>L80/3</f>
        <v>38949.22618181818</v>
      </c>
      <c r="G14" s="934">
        <f>F14/C14</f>
        <v>2.4433057851239668</v>
      </c>
      <c r="H14" s="934">
        <f>C14*G14</f>
        <v>38949.22618181818</v>
      </c>
      <c r="I14" s="4166"/>
      <c r="J14" s="934">
        <v>4.66</v>
      </c>
      <c r="K14" s="936">
        <f>H14*I11*J14</f>
        <v>544510.18202181824</v>
      </c>
      <c r="L14" s="895"/>
      <c r="M14" s="895"/>
    </row>
    <row r="15" spans="1:14" s="566" customFormat="1">
      <c r="A15" s="286"/>
      <c r="B15" s="374" t="s">
        <v>3463</v>
      </c>
      <c r="C15" s="286" t="s">
        <v>3383</v>
      </c>
      <c r="D15" s="286" t="s">
        <v>3383</v>
      </c>
      <c r="E15" s="286" t="s">
        <v>3383</v>
      </c>
      <c r="F15" s="933">
        <f>SUM(F16:F18)</f>
        <v>46559.37061818182</v>
      </c>
      <c r="G15" s="933">
        <f>SUM(G16:G18)</f>
        <v>2.9206942148760326</v>
      </c>
      <c r="H15" s="933">
        <f>SUM(H16:H18)</f>
        <v>46559.37061818182</v>
      </c>
      <c r="I15" s="4164">
        <v>5</v>
      </c>
      <c r="K15" s="933">
        <f>SUM(K16:K18)</f>
        <v>5872466.4735709094</v>
      </c>
      <c r="L15" s="894"/>
      <c r="M15" s="894"/>
    </row>
    <row r="16" spans="1:14">
      <c r="A16" s="373"/>
      <c r="B16" s="292" t="s">
        <v>3460</v>
      </c>
      <c r="C16" s="286">
        <v>15941.2</v>
      </c>
      <c r="D16" s="286" t="s">
        <v>3383</v>
      </c>
      <c r="E16" s="286" t="s">
        <v>3383</v>
      </c>
      <c r="F16" s="934">
        <f>M78/5</f>
        <v>32283.433163636364</v>
      </c>
      <c r="G16" s="934">
        <f>F16/C16</f>
        <v>2.0251570247933883</v>
      </c>
      <c r="H16" s="934">
        <f>C16*G16</f>
        <v>32283.433163636364</v>
      </c>
      <c r="I16" s="4165"/>
      <c r="J16" s="934">
        <v>16.350000000000001</v>
      </c>
      <c r="K16" s="936">
        <f>H16*I15*J17</f>
        <v>5539837.1308800001</v>
      </c>
      <c r="L16" s="895"/>
      <c r="M16" s="895"/>
    </row>
    <row r="17" spans="1:21">
      <c r="A17" s="373"/>
      <c r="B17" s="292" t="s">
        <v>3461</v>
      </c>
      <c r="C17" s="286">
        <v>15941.2</v>
      </c>
      <c r="D17" s="286" t="s">
        <v>3383</v>
      </c>
      <c r="E17" s="286" t="s">
        <v>3383</v>
      </c>
      <c r="F17" s="934">
        <f>M79/5</f>
        <v>5013.1780363636362</v>
      </c>
      <c r="G17" s="934">
        <f>F17/C17</f>
        <v>0.31447933884297519</v>
      </c>
      <c r="H17" s="934">
        <f>C17*G17</f>
        <v>5013.1780363636362</v>
      </c>
      <c r="I17" s="4165"/>
      <c r="J17" s="934">
        <v>34.32</v>
      </c>
      <c r="K17" s="936">
        <f>H17*I15*J18</f>
        <v>116807.04824727273</v>
      </c>
      <c r="L17" s="895"/>
      <c r="M17" s="895"/>
    </row>
    <row r="18" spans="1:21">
      <c r="A18" s="373"/>
      <c r="B18" s="292" t="s">
        <v>3462</v>
      </c>
      <c r="C18" s="286">
        <v>15941.2</v>
      </c>
      <c r="D18" s="286" t="s">
        <v>3383</v>
      </c>
      <c r="E18" s="286" t="s">
        <v>3383</v>
      </c>
      <c r="F18" s="934">
        <f>M80/5</f>
        <v>9262.7594181818204</v>
      </c>
      <c r="G18" s="934">
        <f>F18/C18</f>
        <v>0.58105785123966958</v>
      </c>
      <c r="H18" s="934">
        <f>C18*G18</f>
        <v>9262.7594181818204</v>
      </c>
      <c r="I18" s="4166"/>
      <c r="J18" s="934">
        <v>4.66</v>
      </c>
      <c r="K18" s="936">
        <f>H18*I15*J18</f>
        <v>215822.29444363643</v>
      </c>
      <c r="L18" s="895"/>
      <c r="M18" s="895"/>
    </row>
    <row r="19" spans="1:21" s="566" customFormat="1">
      <c r="A19" s="286"/>
      <c r="B19" s="374" t="s">
        <v>3464</v>
      </c>
      <c r="C19" s="286" t="s">
        <v>3383</v>
      </c>
      <c r="D19" s="286" t="s">
        <v>3383</v>
      </c>
      <c r="E19" s="286" t="s">
        <v>3383</v>
      </c>
      <c r="F19" s="933">
        <f>SUM(F20:F22)</f>
        <v>58306.256454545452</v>
      </c>
      <c r="G19" s="933">
        <f>SUM(G20:G22)</f>
        <v>3.657582644628099</v>
      </c>
      <c r="H19" s="933">
        <f>SUM(H20:H22)</f>
        <v>58306.256454545452</v>
      </c>
      <c r="I19" s="4164">
        <v>4</v>
      </c>
      <c r="K19" s="933">
        <f>SUM(K20:K22)</f>
        <v>1770848.78064</v>
      </c>
      <c r="L19" s="894"/>
      <c r="M19" s="894"/>
    </row>
    <row r="20" spans="1:21">
      <c r="A20" s="373"/>
      <c r="B20" s="292" t="s">
        <v>3460</v>
      </c>
      <c r="C20" s="286">
        <v>15941.2</v>
      </c>
      <c r="D20" s="286" t="s">
        <v>3383</v>
      </c>
      <c r="E20" s="286" t="s">
        <v>3383</v>
      </c>
      <c r="F20" s="934">
        <f>R78/4</f>
        <v>5765.5104545454542</v>
      </c>
      <c r="G20" s="934">
        <f>F20/C20</f>
        <v>0.36167355371900822</v>
      </c>
      <c r="H20" s="934">
        <f>C20*G20</f>
        <v>5765.5104545454542</v>
      </c>
      <c r="I20" s="4165"/>
      <c r="J20" s="934">
        <v>16.350000000000001</v>
      </c>
      <c r="K20" s="936">
        <f>H20*I19*J21</f>
        <v>791489.27519999992</v>
      </c>
      <c r="L20" s="895"/>
      <c r="M20" s="895"/>
    </row>
    <row r="21" spans="1:21">
      <c r="A21" s="373"/>
      <c r="B21" s="292" t="s">
        <v>3461</v>
      </c>
      <c r="C21" s="286">
        <v>15941.2</v>
      </c>
      <c r="D21" s="286" t="s">
        <v>3383</v>
      </c>
      <c r="E21" s="286" t="s">
        <v>3383</v>
      </c>
      <c r="F21" s="934">
        <f>R79/4</f>
        <v>37604.763818181818</v>
      </c>
      <c r="G21" s="934">
        <f>F21/C21</f>
        <v>2.35896694214876</v>
      </c>
      <c r="H21" s="934">
        <f>C21*G21</f>
        <v>37604.763818181818</v>
      </c>
      <c r="I21" s="4165"/>
      <c r="J21" s="934">
        <v>34.32</v>
      </c>
      <c r="K21" s="936">
        <f>H21*I19*J22</f>
        <v>700952.79757090914</v>
      </c>
      <c r="L21" s="895"/>
      <c r="M21" s="895"/>
    </row>
    <row r="22" spans="1:21">
      <c r="A22" s="373"/>
      <c r="B22" s="292" t="s">
        <v>3462</v>
      </c>
      <c r="C22" s="286">
        <v>15941.2</v>
      </c>
      <c r="D22" s="286" t="s">
        <v>3383</v>
      </c>
      <c r="E22" s="286" t="s">
        <v>3383</v>
      </c>
      <c r="F22" s="934">
        <f>R80/4</f>
        <v>14935.982181818184</v>
      </c>
      <c r="G22" s="934">
        <f>F22/C22</f>
        <v>0.93694214876033066</v>
      </c>
      <c r="H22" s="934">
        <f>C22*G22</f>
        <v>14935.982181818184</v>
      </c>
      <c r="I22" s="4166"/>
      <c r="J22" s="934">
        <v>4.66</v>
      </c>
      <c r="K22" s="936">
        <f>H22*I19*J22</f>
        <v>278406.70786909095</v>
      </c>
      <c r="L22" s="895"/>
      <c r="M22" s="895"/>
    </row>
    <row r="23" spans="1:21">
      <c r="A23" s="269"/>
      <c r="B23" s="270"/>
      <c r="C23" s="270"/>
      <c r="D23" s="270"/>
      <c r="E23" s="270"/>
      <c r="F23" s="270"/>
      <c r="G23" s="271"/>
      <c r="H23" s="271"/>
      <c r="I23" s="271"/>
      <c r="J23" s="272"/>
      <c r="K23" s="271"/>
      <c r="L23" s="273"/>
      <c r="M23" s="273"/>
    </row>
    <row r="24" spans="1:21">
      <c r="B24" s="1207" t="s">
        <v>3491</v>
      </c>
      <c r="C24" s="1207"/>
      <c r="D24" s="1207"/>
      <c r="E24" s="1207"/>
    </row>
    <row r="25" spans="1:21">
      <c r="B25" s="300" t="s">
        <v>329</v>
      </c>
      <c r="C25" s="276"/>
      <c r="D25" s="276"/>
      <c r="E25" s="276"/>
      <c r="F25" s="874"/>
      <c r="G25" s="872"/>
      <c r="H25" s="872"/>
      <c r="I25" s="872"/>
      <c r="J25" s="710"/>
      <c r="K25" s="873"/>
      <c r="L25" s="874"/>
      <c r="M25" s="717"/>
      <c r="N25" s="171"/>
      <c r="O25" s="276"/>
      <c r="P25" s="235"/>
    </row>
    <row r="26" spans="1:21">
      <c r="B26" s="300"/>
      <c r="C26" s="279"/>
      <c r="D26" s="279"/>
      <c r="E26" s="279"/>
      <c r="F26" s="875"/>
      <c r="G26" s="872"/>
      <c r="H26" s="872"/>
      <c r="I26" s="872"/>
      <c r="J26" s="710"/>
      <c r="K26" s="873"/>
      <c r="L26" s="875"/>
      <c r="M26" s="717"/>
      <c r="N26" s="171"/>
      <c r="O26" s="279"/>
      <c r="P26" s="235"/>
    </row>
    <row r="27" spans="1:21">
      <c r="B27" s="345" t="s">
        <v>330</v>
      </c>
      <c r="C27" s="276"/>
      <c r="D27" s="276"/>
      <c r="E27" s="276"/>
      <c r="F27" s="874"/>
      <c r="G27" s="872"/>
      <c r="H27" s="872"/>
      <c r="I27" s="872"/>
      <c r="J27" s="710"/>
      <c r="K27" s="873"/>
      <c r="L27" s="710"/>
      <c r="M27" s="717"/>
      <c r="N27" s="171"/>
      <c r="O27" s="183"/>
      <c r="P27" s="235"/>
    </row>
    <row r="28" spans="1:21">
      <c r="B28" s="345" t="s">
        <v>332</v>
      </c>
      <c r="C28" s="276"/>
      <c r="D28" s="276"/>
      <c r="E28" s="276"/>
      <c r="F28" s="874"/>
      <c r="G28" s="872"/>
      <c r="H28" s="872"/>
      <c r="I28" s="872"/>
      <c r="J28" s="710"/>
      <c r="K28" s="873"/>
      <c r="L28" s="874"/>
      <c r="M28" s="717"/>
      <c r="N28" s="171"/>
      <c r="O28" s="276"/>
      <c r="P28" s="168"/>
    </row>
    <row r="29" spans="1:21">
      <c r="B29" s="346"/>
      <c r="C29" s="276"/>
      <c r="D29" s="276"/>
      <c r="E29" s="276"/>
      <c r="F29" s="874"/>
      <c r="G29" s="872"/>
      <c r="H29" s="872"/>
      <c r="I29" s="872"/>
      <c r="J29" s="710"/>
      <c r="K29" s="873"/>
      <c r="L29" s="874"/>
      <c r="M29" s="865"/>
      <c r="N29" s="171"/>
      <c r="O29" s="276"/>
      <c r="P29" s="168"/>
    </row>
    <row r="30" spans="1:21">
      <c r="B30" s="345" t="s">
        <v>333</v>
      </c>
      <c r="C30" s="276"/>
      <c r="D30" s="276"/>
      <c r="E30" s="276"/>
      <c r="F30" s="874"/>
      <c r="G30" s="872"/>
      <c r="H30" s="872"/>
      <c r="I30" s="872"/>
      <c r="J30" s="710"/>
      <c r="K30" s="873"/>
      <c r="L30" s="874"/>
      <c r="M30" s="865"/>
      <c r="N30" s="171"/>
      <c r="O30" s="276"/>
      <c r="P30" s="171"/>
    </row>
    <row r="31" spans="1:21">
      <c r="B31" s="345"/>
      <c r="C31" s="276"/>
      <c r="D31" s="276"/>
      <c r="E31" s="276"/>
      <c r="F31" s="874"/>
      <c r="G31" s="872"/>
      <c r="H31" s="872"/>
      <c r="I31" s="872"/>
      <c r="J31" s="710"/>
      <c r="K31" s="873"/>
      <c r="L31" s="874"/>
      <c r="M31" s="865"/>
      <c r="N31" s="171"/>
      <c r="O31" s="276"/>
      <c r="P31" s="171"/>
      <c r="T31" s="274" t="s">
        <v>3467</v>
      </c>
      <c r="U31" s="274" t="s">
        <v>3468</v>
      </c>
    </row>
    <row r="32" spans="1:21">
      <c r="B32" s="1206" t="s">
        <v>3471</v>
      </c>
      <c r="C32" s="1206" t="s">
        <v>3472</v>
      </c>
      <c r="D32" s="1206" t="s">
        <v>3389</v>
      </c>
      <c r="E32" s="1206" t="s">
        <v>3390</v>
      </c>
      <c r="F32" s="1206" t="s">
        <v>3391</v>
      </c>
      <c r="G32" s="1206" t="s">
        <v>3392</v>
      </c>
      <c r="H32" s="1206" t="s">
        <v>3393</v>
      </c>
      <c r="J32" s="275" t="s">
        <v>3469</v>
      </c>
      <c r="M32" s="274" t="s">
        <v>3470</v>
      </c>
      <c r="N32" s="275" t="s">
        <v>3394</v>
      </c>
      <c r="P32" s="275" t="s">
        <v>3473</v>
      </c>
      <c r="Q32" s="274" t="s">
        <v>3474</v>
      </c>
      <c r="R32" s="274" t="s">
        <v>3399</v>
      </c>
      <c r="S32" s="274" t="s">
        <v>3475</v>
      </c>
    </row>
    <row r="33" spans="1:21">
      <c r="B33" s="274">
        <v>4526</v>
      </c>
      <c r="C33" s="274">
        <v>157395</v>
      </c>
      <c r="D33" s="274">
        <v>56614</v>
      </c>
      <c r="E33" s="274">
        <v>45335</v>
      </c>
      <c r="F33" s="274">
        <v>30090</v>
      </c>
      <c r="G33" s="274">
        <v>22175</v>
      </c>
      <c r="H33" s="274">
        <v>22175</v>
      </c>
      <c r="I33" s="274">
        <f>(B33+C33+D33)/3</f>
        <v>72845</v>
      </c>
      <c r="J33" s="1205">
        <v>13.64</v>
      </c>
      <c r="K33" s="275">
        <v>1.1200000000000001</v>
      </c>
      <c r="L33" s="274">
        <v>1.07</v>
      </c>
      <c r="M33" s="274">
        <f>J33*K33*L33</f>
        <v>16.346176000000003</v>
      </c>
      <c r="N33" s="275">
        <v>2747</v>
      </c>
      <c r="O33" s="274" t="s">
        <v>3460</v>
      </c>
      <c r="P33" s="275">
        <f>B33+C33+D33+E33+F33+G33+H33+N33</f>
        <v>341057</v>
      </c>
      <c r="Q33" s="274">
        <f>P33/12100*15941.2</f>
        <v>449327.09490909096</v>
      </c>
      <c r="R33" s="274">
        <v>16.350000000000001</v>
      </c>
      <c r="S33" s="274">
        <f>Q33*R33</f>
        <v>7346498.0017636381</v>
      </c>
      <c r="T33" s="274">
        <f>B33+C33+D33</f>
        <v>218535</v>
      </c>
      <c r="U33" s="274">
        <f>E33+F33+G33+H33+N33</f>
        <v>122522</v>
      </c>
    </row>
    <row r="34" spans="1:21" s="546" customFormat="1" hidden="1">
      <c r="A34" s="546" t="s">
        <v>3476</v>
      </c>
      <c r="J34" s="547"/>
      <c r="K34" s="547"/>
      <c r="N34" s="547"/>
      <c r="P34" s="275">
        <f t="shared" ref="P34:P56" si="0">B34+C34+D34+E34+F34+G34+H34+N34</f>
        <v>0</v>
      </c>
      <c r="Q34" s="274">
        <f t="shared" ref="Q34:Q56" si="1">P34/12100*15941.2</f>
        <v>0</v>
      </c>
      <c r="S34" s="274">
        <f t="shared" ref="S34:S56" si="2">Q34*R34</f>
        <v>0</v>
      </c>
    </row>
    <row r="35" spans="1:21" s="546" customFormat="1" hidden="1">
      <c r="A35" s="548" t="s">
        <v>3477</v>
      </c>
      <c r="B35" s="549"/>
      <c r="C35" s="549"/>
      <c r="D35" s="549"/>
      <c r="E35" s="549"/>
      <c r="F35" s="549"/>
      <c r="G35" s="549"/>
      <c r="H35" s="549"/>
      <c r="I35" s="549"/>
      <c r="J35" s="550"/>
      <c r="K35" s="550"/>
      <c r="L35" s="550"/>
      <c r="M35" s="550" t="s">
        <v>3375</v>
      </c>
      <c r="N35" s="547"/>
      <c r="P35" s="275">
        <f t="shared" si="0"/>
        <v>0</v>
      </c>
      <c r="Q35" s="274">
        <f t="shared" si="1"/>
        <v>0</v>
      </c>
      <c r="S35" s="274">
        <f t="shared" si="2"/>
        <v>0</v>
      </c>
    </row>
    <row r="36" spans="1:21" s="546" customFormat="1" hidden="1">
      <c r="A36" s="551"/>
      <c r="B36" s="549"/>
      <c r="C36" s="549"/>
      <c r="D36" s="549"/>
      <c r="E36" s="549"/>
      <c r="F36" s="549"/>
      <c r="G36" s="549"/>
      <c r="H36" s="549"/>
      <c r="I36" s="549"/>
      <c r="J36" s="550"/>
      <c r="K36" s="550"/>
      <c r="L36" s="550"/>
      <c r="M36" s="550"/>
      <c r="N36" s="547"/>
      <c r="P36" s="275">
        <f t="shared" si="0"/>
        <v>0</v>
      </c>
      <c r="Q36" s="274">
        <f t="shared" si="1"/>
        <v>0</v>
      </c>
      <c r="S36" s="274">
        <f t="shared" si="2"/>
        <v>0</v>
      </c>
    </row>
    <row r="37" spans="1:21" s="546" customFormat="1" hidden="1">
      <c r="A37" s="552" t="s">
        <v>3401</v>
      </c>
      <c r="B37" s="553"/>
      <c r="C37" s="553"/>
      <c r="D37" s="553"/>
      <c r="E37" s="553"/>
      <c r="F37" s="553"/>
      <c r="G37" s="553"/>
      <c r="H37" s="553"/>
      <c r="I37" s="553"/>
      <c r="J37" s="550"/>
      <c r="K37" s="550"/>
      <c r="L37" s="550"/>
      <c r="M37" s="550"/>
      <c r="N37" s="547"/>
      <c r="P37" s="275">
        <f t="shared" si="0"/>
        <v>0</v>
      </c>
      <c r="Q37" s="274">
        <f t="shared" si="1"/>
        <v>0</v>
      </c>
      <c r="S37" s="274">
        <f t="shared" si="2"/>
        <v>0</v>
      </c>
    </row>
    <row r="38" spans="1:21" s="546" customFormat="1" hidden="1">
      <c r="A38" s="549" t="s">
        <v>990</v>
      </c>
      <c r="B38" s="553"/>
      <c r="C38" s="553"/>
      <c r="D38" s="553"/>
      <c r="E38" s="553"/>
      <c r="F38" s="553"/>
      <c r="G38" s="553"/>
      <c r="H38" s="553"/>
      <c r="I38" s="553"/>
      <c r="J38" s="554"/>
      <c r="K38" s="554"/>
      <c r="L38" s="554"/>
      <c r="M38" s="554"/>
      <c r="N38" s="547"/>
      <c r="P38" s="275">
        <f t="shared" si="0"/>
        <v>0</v>
      </c>
      <c r="Q38" s="274">
        <f t="shared" si="1"/>
        <v>0</v>
      </c>
      <c r="S38" s="274">
        <f t="shared" si="2"/>
        <v>0</v>
      </c>
    </row>
    <row r="39" spans="1:21" s="546" customFormat="1" hidden="1">
      <c r="A39" s="552"/>
      <c r="B39" s="553"/>
      <c r="C39" s="553"/>
      <c r="D39" s="553"/>
      <c r="E39" s="553"/>
      <c r="F39" s="553"/>
      <c r="G39" s="553"/>
      <c r="H39" s="553"/>
      <c r="I39" s="553"/>
      <c r="J39" s="554"/>
      <c r="K39" s="554"/>
      <c r="L39" s="555"/>
      <c r="M39" s="556" t="s">
        <v>254</v>
      </c>
      <c r="N39" s="547"/>
      <c r="P39" s="275">
        <f t="shared" si="0"/>
        <v>0</v>
      </c>
      <c r="Q39" s="274">
        <f t="shared" si="1"/>
        <v>0</v>
      </c>
      <c r="S39" s="274">
        <f t="shared" si="2"/>
        <v>0</v>
      </c>
    </row>
    <row r="40" spans="1:21" s="546" customFormat="1" hidden="1">
      <c r="A40" s="554"/>
      <c r="B40" s="554"/>
      <c r="C40" s="554"/>
      <c r="D40" s="554"/>
      <c r="E40" s="554"/>
      <c r="F40" s="554"/>
      <c r="G40" s="554"/>
      <c r="H40" s="554"/>
      <c r="I40" s="554"/>
      <c r="J40" s="554"/>
      <c r="K40" s="554"/>
      <c r="L40" s="555"/>
      <c r="M40" s="556"/>
      <c r="N40" s="547"/>
      <c r="P40" s="275">
        <f t="shared" si="0"/>
        <v>0</v>
      </c>
      <c r="Q40" s="274">
        <f t="shared" si="1"/>
        <v>0</v>
      </c>
      <c r="S40" s="274">
        <f t="shared" si="2"/>
        <v>0</v>
      </c>
    </row>
    <row r="41" spans="1:21" s="546" customFormat="1" ht="15.75" hidden="1" customHeight="1">
      <c r="A41" s="4161" t="s">
        <v>2</v>
      </c>
      <c r="B41" s="4161" t="s">
        <v>3377</v>
      </c>
      <c r="C41" s="4161" t="s">
        <v>3478</v>
      </c>
      <c r="D41" s="4167" t="s">
        <v>255</v>
      </c>
      <c r="E41" s="4168"/>
      <c r="F41" s="1204"/>
      <c r="G41" s="4161" t="s">
        <v>3479</v>
      </c>
      <c r="H41" s="4161" t="s">
        <v>3457</v>
      </c>
      <c r="I41" s="4161" t="s">
        <v>3380</v>
      </c>
      <c r="J41" s="4161" t="s">
        <v>3381</v>
      </c>
      <c r="K41" s="4161" t="s">
        <v>345</v>
      </c>
      <c r="L41" s="4167" t="s">
        <v>255</v>
      </c>
      <c r="M41" s="4168"/>
      <c r="N41" s="547"/>
      <c r="P41" s="275" t="e">
        <f t="shared" si="0"/>
        <v>#VALUE!</v>
      </c>
      <c r="Q41" s="274" t="e">
        <f t="shared" si="1"/>
        <v>#VALUE!</v>
      </c>
      <c r="S41" s="274" t="e">
        <f t="shared" si="2"/>
        <v>#VALUE!</v>
      </c>
    </row>
    <row r="42" spans="1:21" s="546" customFormat="1" hidden="1">
      <c r="A42" s="4161"/>
      <c r="B42" s="4161"/>
      <c r="C42" s="4161"/>
      <c r="D42" s="557" t="s">
        <v>7</v>
      </c>
      <c r="E42" s="557" t="s">
        <v>8</v>
      </c>
      <c r="F42" s="557"/>
      <c r="G42" s="4161"/>
      <c r="H42" s="4161"/>
      <c r="I42" s="4161"/>
      <c r="J42" s="4161"/>
      <c r="K42" s="4161"/>
      <c r="L42" s="557" t="s">
        <v>7</v>
      </c>
      <c r="M42" s="557" t="s">
        <v>8</v>
      </c>
      <c r="N42" s="547"/>
      <c r="P42" s="275" t="e">
        <f t="shared" si="0"/>
        <v>#VALUE!</v>
      </c>
      <c r="Q42" s="274" t="e">
        <f t="shared" si="1"/>
        <v>#VALUE!</v>
      </c>
      <c r="S42" s="274" t="e">
        <f t="shared" si="2"/>
        <v>#VALUE!</v>
      </c>
    </row>
    <row r="43" spans="1:21" s="546" customFormat="1" hidden="1">
      <c r="A43" s="558"/>
      <c r="B43" s="559" t="s">
        <v>20</v>
      </c>
      <c r="C43" s="560"/>
      <c r="D43" s="560"/>
      <c r="E43" s="560"/>
      <c r="F43" s="560"/>
      <c r="G43" s="561"/>
      <c r="H43" s="561"/>
      <c r="I43" s="561"/>
      <c r="J43" s="561"/>
      <c r="K43" s="561"/>
      <c r="L43" s="562"/>
      <c r="M43" s="562"/>
      <c r="N43" s="547"/>
      <c r="P43" s="275" t="e">
        <f t="shared" si="0"/>
        <v>#VALUE!</v>
      </c>
      <c r="Q43" s="274" t="e">
        <f t="shared" si="1"/>
        <v>#VALUE!</v>
      </c>
      <c r="S43" s="274" t="e">
        <f t="shared" si="2"/>
        <v>#VALUE!</v>
      </c>
    </row>
    <row r="44" spans="1:21" s="546" customFormat="1" hidden="1">
      <c r="A44" s="558"/>
      <c r="B44" s="560" t="s">
        <v>3480</v>
      </c>
      <c r="C44" s="558"/>
      <c r="D44" s="558"/>
      <c r="E44" s="558"/>
      <c r="F44" s="558"/>
      <c r="G44" s="561"/>
      <c r="H44" s="561"/>
      <c r="I44" s="561"/>
      <c r="J44" s="561"/>
      <c r="K44" s="561"/>
      <c r="L44" s="562"/>
      <c r="M44" s="562"/>
      <c r="N44" s="547"/>
      <c r="P44" s="275" t="e">
        <f t="shared" si="0"/>
        <v>#VALUE!</v>
      </c>
      <c r="Q44" s="274" t="e">
        <f t="shared" si="1"/>
        <v>#VALUE!</v>
      </c>
      <c r="S44" s="274" t="e">
        <f t="shared" si="2"/>
        <v>#VALUE!</v>
      </c>
    </row>
    <row r="45" spans="1:21" s="546" customFormat="1" hidden="1">
      <c r="A45" s="558"/>
      <c r="B45" s="560" t="s">
        <v>3211</v>
      </c>
      <c r="C45" s="558"/>
      <c r="D45" s="558"/>
      <c r="E45" s="558"/>
      <c r="F45" s="558"/>
      <c r="G45" s="561"/>
      <c r="H45" s="561"/>
      <c r="I45" s="561"/>
      <c r="J45" s="561"/>
      <c r="K45" s="561"/>
      <c r="L45" s="562"/>
      <c r="M45" s="562"/>
      <c r="N45" s="547"/>
      <c r="P45" s="275" t="e">
        <f t="shared" si="0"/>
        <v>#VALUE!</v>
      </c>
      <c r="Q45" s="274" t="e">
        <f t="shared" si="1"/>
        <v>#VALUE!</v>
      </c>
      <c r="S45" s="274" t="e">
        <f t="shared" si="2"/>
        <v>#VALUE!</v>
      </c>
    </row>
    <row r="46" spans="1:21" s="546" customFormat="1" hidden="1">
      <c r="A46" s="558"/>
      <c r="B46" s="560" t="s">
        <v>526</v>
      </c>
      <c r="C46" s="558"/>
      <c r="D46" s="558"/>
      <c r="E46" s="558"/>
      <c r="F46" s="558"/>
      <c r="G46" s="561"/>
      <c r="H46" s="561"/>
      <c r="I46" s="561"/>
      <c r="J46" s="561"/>
      <c r="K46" s="561"/>
      <c r="L46" s="562"/>
      <c r="M46" s="562"/>
      <c r="N46" s="547"/>
      <c r="P46" s="275" t="e">
        <f t="shared" si="0"/>
        <v>#VALUE!</v>
      </c>
      <c r="Q46" s="274" t="e">
        <f t="shared" si="1"/>
        <v>#VALUE!</v>
      </c>
      <c r="S46" s="274" t="e">
        <f t="shared" si="2"/>
        <v>#VALUE!</v>
      </c>
    </row>
    <row r="47" spans="1:21" s="546" customFormat="1" hidden="1">
      <c r="A47" s="563"/>
      <c r="B47" s="564"/>
      <c r="C47" s="564"/>
      <c r="D47" s="564"/>
      <c r="E47" s="564"/>
      <c r="F47" s="564"/>
      <c r="G47" s="565"/>
      <c r="H47" s="565"/>
      <c r="I47" s="565"/>
      <c r="J47" s="555"/>
      <c r="K47" s="565"/>
      <c r="L47" s="554"/>
      <c r="M47" s="554"/>
      <c r="N47" s="547"/>
      <c r="P47" s="275">
        <f t="shared" si="0"/>
        <v>0</v>
      </c>
      <c r="Q47" s="274">
        <f t="shared" si="1"/>
        <v>0</v>
      </c>
      <c r="S47" s="274">
        <f t="shared" si="2"/>
        <v>0</v>
      </c>
    </row>
    <row r="48" spans="1:21" hidden="1">
      <c r="N48" s="275"/>
      <c r="P48" s="275">
        <f t="shared" si="0"/>
        <v>0</v>
      </c>
      <c r="Q48" s="274">
        <f t="shared" si="1"/>
        <v>0</v>
      </c>
      <c r="S48" s="274">
        <f t="shared" si="2"/>
        <v>0</v>
      </c>
    </row>
    <row r="49" spans="1:21" hidden="1">
      <c r="B49" s="300" t="s">
        <v>329</v>
      </c>
      <c r="C49" s="276"/>
      <c r="D49" s="276"/>
      <c r="E49" s="276"/>
      <c r="F49" s="276"/>
      <c r="G49" s="277"/>
      <c r="H49" s="277"/>
      <c r="I49" s="277"/>
      <c r="J49" s="183"/>
      <c r="L49" s="276"/>
      <c r="M49" s="278"/>
      <c r="N49" s="275"/>
      <c r="P49" s="275" t="e">
        <f t="shared" si="0"/>
        <v>#VALUE!</v>
      </c>
      <c r="Q49" s="274" t="e">
        <f t="shared" si="1"/>
        <v>#VALUE!</v>
      </c>
      <c r="S49" s="274" t="e">
        <f t="shared" si="2"/>
        <v>#VALUE!</v>
      </c>
    </row>
    <row r="50" spans="1:21" hidden="1">
      <c r="B50" s="300"/>
      <c r="C50" s="279"/>
      <c r="D50" s="279"/>
      <c r="E50" s="279"/>
      <c r="F50" s="279"/>
      <c r="G50" s="277"/>
      <c r="H50" s="277"/>
      <c r="I50" s="277"/>
      <c r="J50" s="183"/>
      <c r="L50" s="279"/>
      <c r="M50" s="278"/>
      <c r="N50" s="275"/>
      <c r="P50" s="275">
        <f t="shared" si="0"/>
        <v>0</v>
      </c>
      <c r="Q50" s="274">
        <f t="shared" si="1"/>
        <v>0</v>
      </c>
      <c r="S50" s="274">
        <f t="shared" si="2"/>
        <v>0</v>
      </c>
    </row>
    <row r="51" spans="1:21" hidden="1">
      <c r="B51" s="345" t="s">
        <v>330</v>
      </c>
      <c r="C51" s="276"/>
      <c r="D51" s="276"/>
      <c r="E51" s="276"/>
      <c r="F51" s="276"/>
      <c r="G51" s="277"/>
      <c r="H51" s="277"/>
      <c r="I51" s="277"/>
      <c r="J51" s="183"/>
      <c r="L51" s="183"/>
      <c r="M51" s="278"/>
      <c r="N51" s="275"/>
      <c r="P51" s="275" t="e">
        <f t="shared" si="0"/>
        <v>#VALUE!</v>
      </c>
      <c r="Q51" s="274" t="e">
        <f t="shared" si="1"/>
        <v>#VALUE!</v>
      </c>
      <c r="S51" s="274" t="e">
        <f t="shared" si="2"/>
        <v>#VALUE!</v>
      </c>
    </row>
    <row r="52" spans="1:21" hidden="1">
      <c r="B52" s="345" t="s">
        <v>332</v>
      </c>
      <c r="C52" s="276"/>
      <c r="D52" s="276"/>
      <c r="E52" s="276"/>
      <c r="F52" s="276"/>
      <c r="G52" s="277"/>
      <c r="H52" s="277"/>
      <c r="I52" s="277"/>
      <c r="J52" s="183"/>
      <c r="L52" s="276"/>
      <c r="M52" s="278"/>
      <c r="N52" s="275"/>
      <c r="P52" s="275" t="e">
        <f t="shared" si="0"/>
        <v>#VALUE!</v>
      </c>
      <c r="Q52" s="274" t="e">
        <f t="shared" si="1"/>
        <v>#VALUE!</v>
      </c>
      <c r="S52" s="274" t="e">
        <f t="shared" si="2"/>
        <v>#VALUE!</v>
      </c>
    </row>
    <row r="53" spans="1:21" hidden="1">
      <c r="B53" s="346"/>
      <c r="C53" s="276"/>
      <c r="D53" s="276"/>
      <c r="E53" s="276"/>
      <c r="F53" s="276"/>
      <c r="G53" s="277"/>
      <c r="H53" s="277"/>
      <c r="I53" s="277"/>
      <c r="J53" s="183"/>
      <c r="L53" s="276"/>
      <c r="M53" s="171"/>
      <c r="N53" s="275"/>
      <c r="P53" s="275">
        <f t="shared" si="0"/>
        <v>0</v>
      </c>
      <c r="Q53" s="274">
        <f t="shared" si="1"/>
        <v>0</v>
      </c>
      <c r="S53" s="274">
        <f t="shared" si="2"/>
        <v>0</v>
      </c>
    </row>
    <row r="54" spans="1:21" hidden="1">
      <c r="B54" s="345" t="s">
        <v>333</v>
      </c>
      <c r="C54" s="276"/>
      <c r="D54" s="276"/>
      <c r="E54" s="276"/>
      <c r="F54" s="276"/>
      <c r="G54" s="277"/>
      <c r="H54" s="277"/>
      <c r="I54" s="277"/>
      <c r="J54" s="183"/>
      <c r="L54" s="276"/>
      <c r="M54" s="171"/>
      <c r="N54" s="275"/>
      <c r="P54" s="275" t="e">
        <f t="shared" si="0"/>
        <v>#VALUE!</v>
      </c>
      <c r="Q54" s="274" t="e">
        <f t="shared" si="1"/>
        <v>#VALUE!</v>
      </c>
      <c r="S54" s="274" t="e">
        <f t="shared" si="2"/>
        <v>#VALUE!</v>
      </c>
    </row>
    <row r="55" spans="1:21">
      <c r="B55" s="274">
        <v>32435</v>
      </c>
      <c r="C55" s="274">
        <v>31458</v>
      </c>
      <c r="D55" s="274">
        <v>9354</v>
      </c>
      <c r="E55" s="274">
        <v>6612</v>
      </c>
      <c r="F55" s="274">
        <v>4121</v>
      </c>
      <c r="G55" s="274">
        <v>3183</v>
      </c>
      <c r="H55" s="274">
        <v>3183</v>
      </c>
      <c r="I55" s="274">
        <f>(B55+C55+D55)/3</f>
        <v>24415.666666666668</v>
      </c>
      <c r="J55" s="275">
        <v>28.64</v>
      </c>
      <c r="K55" s="275">
        <v>1.1200000000000001</v>
      </c>
      <c r="L55" s="274">
        <v>1.07</v>
      </c>
      <c r="M55" s="274">
        <f>J55*K55*L55</f>
        <v>34.322176000000006</v>
      </c>
      <c r="N55" s="275">
        <v>1927</v>
      </c>
      <c r="O55" s="274" t="s">
        <v>3481</v>
      </c>
      <c r="P55" s="275">
        <f t="shared" si="0"/>
        <v>92273</v>
      </c>
      <c r="Q55" s="274">
        <f t="shared" si="1"/>
        <v>121565.48327272727</v>
      </c>
      <c r="R55" s="274">
        <v>34.32</v>
      </c>
      <c r="S55" s="274">
        <f t="shared" si="2"/>
        <v>4172127.3859200003</v>
      </c>
      <c r="T55" s="274">
        <f>B55+C55+D55</f>
        <v>73247</v>
      </c>
      <c r="U55" s="274">
        <f>E55+F55+G55+H55+N55</f>
        <v>19026</v>
      </c>
    </row>
    <row r="56" spans="1:21">
      <c r="B56" s="274">
        <v>10037</v>
      </c>
      <c r="C56" s="274">
        <v>60899</v>
      </c>
      <c r="D56" s="274">
        <v>17756</v>
      </c>
      <c r="E56" s="274">
        <v>13405</v>
      </c>
      <c r="F56" s="274">
        <v>8807</v>
      </c>
      <c r="G56" s="274">
        <v>5018</v>
      </c>
      <c r="H56" s="274">
        <v>5018</v>
      </c>
      <c r="I56" s="274">
        <f>(B56+C56+D56)/3</f>
        <v>29564</v>
      </c>
      <c r="J56" s="275">
        <v>3.89</v>
      </c>
      <c r="K56" s="275">
        <v>1.1200000000000001</v>
      </c>
      <c r="L56" s="274">
        <v>1.07</v>
      </c>
      <c r="M56" s="274">
        <f>J56*K56*L56</f>
        <v>4.6617760000000006</v>
      </c>
      <c r="N56" s="275">
        <v>2906</v>
      </c>
      <c r="O56" s="274" t="s">
        <v>3462</v>
      </c>
      <c r="P56" s="275">
        <f t="shared" si="0"/>
        <v>123846</v>
      </c>
      <c r="Q56" s="274">
        <f t="shared" si="1"/>
        <v>163161.47563636364</v>
      </c>
      <c r="R56" s="274">
        <v>4.66</v>
      </c>
      <c r="S56" s="274">
        <f t="shared" si="2"/>
        <v>760332.47646545456</v>
      </c>
      <c r="T56" s="274">
        <f>B56+C56+D56</f>
        <v>88692</v>
      </c>
      <c r="U56" s="274">
        <f>E56+F56+G56+H56+N56</f>
        <v>35154</v>
      </c>
    </row>
    <row r="57" spans="1:21">
      <c r="B57" s="566">
        <f t="shared" ref="B57:H57" si="3">SUM(B33:B56)</f>
        <v>46998</v>
      </c>
      <c r="C57" s="566">
        <f t="shared" si="3"/>
        <v>249752</v>
      </c>
      <c r="D57" s="566">
        <f t="shared" si="3"/>
        <v>83724</v>
      </c>
      <c r="E57" s="566">
        <f t="shared" si="3"/>
        <v>65352</v>
      </c>
      <c r="F57" s="566">
        <f t="shared" si="3"/>
        <v>43018</v>
      </c>
      <c r="G57" s="566">
        <f t="shared" si="3"/>
        <v>30376</v>
      </c>
      <c r="H57" s="566">
        <f t="shared" si="3"/>
        <v>30376</v>
      </c>
      <c r="N57" s="566">
        <f>SUM(N33:N56)</f>
        <v>7580</v>
      </c>
      <c r="P57" s="1216">
        <f>P33+P55+P56</f>
        <v>557176</v>
      </c>
      <c r="Q57" s="566">
        <f>Q33+Q55+Q56</f>
        <v>734054.05381818186</v>
      </c>
      <c r="S57" s="566">
        <f>S33+S55+S56</f>
        <v>12278957.864149092</v>
      </c>
    </row>
    <row r="58" spans="1:21">
      <c r="B58" s="274" t="s">
        <v>3482</v>
      </c>
      <c r="D58" s="566"/>
    </row>
    <row r="59" spans="1:21">
      <c r="B59" s="274">
        <v>281.89</v>
      </c>
      <c r="C59" s="274">
        <v>207.62</v>
      </c>
      <c r="D59" s="274">
        <v>148.38999999999999</v>
      </c>
      <c r="E59" s="274">
        <v>105.72</v>
      </c>
      <c r="F59" s="274">
        <v>23.36</v>
      </c>
      <c r="G59" s="274">
        <v>11.85</v>
      </c>
      <c r="K59" s="275">
        <v>12100</v>
      </c>
      <c r="L59" s="274" t="s">
        <v>1197</v>
      </c>
    </row>
    <row r="60" spans="1:21">
      <c r="K60" s="275">
        <v>15941.2</v>
      </c>
      <c r="L60" s="274" t="s">
        <v>3483</v>
      </c>
    </row>
    <row r="61" spans="1:21">
      <c r="B61" s="274" t="s">
        <v>3484</v>
      </c>
      <c r="K61" s="1214">
        <f>K60/K59</f>
        <v>1.3174545454545454</v>
      </c>
    </row>
    <row r="62" spans="1:21">
      <c r="A62" s="274" t="s">
        <v>3485</v>
      </c>
      <c r="B62" s="274">
        <v>1119</v>
      </c>
      <c r="C62" s="274">
        <v>1210</v>
      </c>
      <c r="D62" s="274">
        <v>970</v>
      </c>
      <c r="E62" s="274">
        <v>1836</v>
      </c>
      <c r="F62" s="274">
        <v>954</v>
      </c>
      <c r="G62" s="274">
        <v>970</v>
      </c>
    </row>
    <row r="63" spans="1:21">
      <c r="A63" s="274" t="s">
        <v>3487</v>
      </c>
      <c r="B63" s="274">
        <v>1119</v>
      </c>
      <c r="C63" s="274">
        <v>1210</v>
      </c>
      <c r="D63" s="274">
        <v>970</v>
      </c>
      <c r="E63" s="274">
        <v>1836</v>
      </c>
      <c r="F63" s="274">
        <v>954</v>
      </c>
      <c r="G63" s="274">
        <v>970</v>
      </c>
    </row>
    <row r="66" spans="2:19">
      <c r="B66" s="274" t="s">
        <v>3489</v>
      </c>
    </row>
    <row r="68" spans="2:19">
      <c r="B68" s="1215">
        <f>B33*K61</f>
        <v>5962.7992727272722</v>
      </c>
    </row>
    <row r="69" spans="2:19">
      <c r="B69" s="1215">
        <f>B55*K61</f>
        <v>42731.638181818184</v>
      </c>
    </row>
    <row r="70" spans="2:19">
      <c r="B70" s="1215">
        <f>B56*K61</f>
        <v>13223.291272727272</v>
      </c>
    </row>
    <row r="72" spans="2:19">
      <c r="B72" s="1206" t="s">
        <v>3471</v>
      </c>
      <c r="C72" s="1206" t="s">
        <v>3472</v>
      </c>
      <c r="D72" s="1206" t="s">
        <v>3389</v>
      </c>
      <c r="E72" s="1206" t="s">
        <v>3390</v>
      </c>
      <c r="F72" s="1206" t="s">
        <v>3391</v>
      </c>
      <c r="G72" s="1206" t="s">
        <v>3392</v>
      </c>
      <c r="H72" s="1206" t="s">
        <v>3393</v>
      </c>
      <c r="I72" s="275" t="s">
        <v>3394</v>
      </c>
      <c r="L72" s="274" t="s">
        <v>3459</v>
      </c>
      <c r="M72" s="274" t="s">
        <v>3468</v>
      </c>
      <c r="N72" s="274" t="s">
        <v>3395</v>
      </c>
      <c r="O72" s="274" t="s">
        <v>3396</v>
      </c>
      <c r="P72" s="274" t="s">
        <v>3397</v>
      </c>
      <c r="Q72" s="274" t="s">
        <v>3398</v>
      </c>
    </row>
    <row r="73" spans="2:19">
      <c r="B73" s="274">
        <v>4526</v>
      </c>
      <c r="C73" s="274">
        <v>157395</v>
      </c>
      <c r="D73" s="274">
        <v>56614</v>
      </c>
      <c r="E73" s="274">
        <v>45335</v>
      </c>
      <c r="F73" s="274">
        <v>30090</v>
      </c>
      <c r="G73" s="274">
        <v>22175</v>
      </c>
      <c r="H73" s="274">
        <v>22175</v>
      </c>
      <c r="I73" s="275">
        <v>2747</v>
      </c>
      <c r="J73" s="275">
        <v>12100</v>
      </c>
      <c r="K73" s="275">
        <v>15941.2</v>
      </c>
      <c r="N73" s="275">
        <v>1200</v>
      </c>
      <c r="O73" s="274">
        <v>5705</v>
      </c>
      <c r="P73" s="274">
        <v>6074</v>
      </c>
      <c r="Q73" s="274">
        <v>4526</v>
      </c>
      <c r="R73" s="274">
        <f>N73+O73+P73+Q73</f>
        <v>17505</v>
      </c>
      <c r="S73" s="274">
        <f>R73/J73*K73</f>
        <v>23062.04181818182</v>
      </c>
    </row>
    <row r="74" spans="2:19">
      <c r="B74" s="274">
        <v>32435</v>
      </c>
      <c r="C74" s="274">
        <v>31458</v>
      </c>
      <c r="D74" s="274">
        <v>9354</v>
      </c>
      <c r="E74" s="274">
        <v>6612</v>
      </c>
      <c r="F74" s="274">
        <v>4121</v>
      </c>
      <c r="G74" s="274">
        <v>3183</v>
      </c>
      <c r="H74" s="274">
        <v>3183</v>
      </c>
      <c r="I74" s="275">
        <v>1927</v>
      </c>
      <c r="N74" s="275">
        <v>4200</v>
      </c>
      <c r="O74" s="274">
        <v>36586</v>
      </c>
      <c r="P74" s="274">
        <v>41568</v>
      </c>
      <c r="Q74" s="274">
        <v>31820</v>
      </c>
    </row>
    <row r="75" spans="2:19">
      <c r="B75" s="274">
        <v>10037</v>
      </c>
      <c r="C75" s="274">
        <v>60899</v>
      </c>
      <c r="D75" s="274">
        <v>17756</v>
      </c>
      <c r="E75" s="274">
        <v>13405</v>
      </c>
      <c r="F75" s="274">
        <v>8807</v>
      </c>
      <c r="G75" s="274">
        <v>5018</v>
      </c>
      <c r="H75" s="274">
        <v>5018</v>
      </c>
      <c r="I75" s="275">
        <v>2906</v>
      </c>
      <c r="N75" s="275">
        <v>11000</v>
      </c>
      <c r="O75" s="274">
        <v>11422</v>
      </c>
      <c r="P75" s="274">
        <v>12889</v>
      </c>
      <c r="Q75" s="274">
        <v>10037</v>
      </c>
    </row>
    <row r="76" spans="2:19">
      <c r="B76" s="566">
        <f t="shared" ref="B76:I76" si="4">SUM(B73:B75)</f>
        <v>46998</v>
      </c>
      <c r="C76" s="566">
        <f t="shared" si="4"/>
        <v>249752</v>
      </c>
      <c r="D76" s="566">
        <f t="shared" si="4"/>
        <v>83724</v>
      </c>
      <c r="E76" s="566">
        <f t="shared" si="4"/>
        <v>65352</v>
      </c>
      <c r="F76" s="566">
        <f t="shared" si="4"/>
        <v>43018</v>
      </c>
      <c r="G76" s="566">
        <f t="shared" si="4"/>
        <v>30376</v>
      </c>
      <c r="H76" s="566">
        <f t="shared" si="4"/>
        <v>30376</v>
      </c>
      <c r="I76" s="566">
        <f t="shared" si="4"/>
        <v>7580</v>
      </c>
      <c r="N76" s="546"/>
      <c r="O76" s="546"/>
      <c r="P76" s="546"/>
      <c r="Q76" s="546"/>
    </row>
    <row r="77" spans="2:19">
      <c r="B77" s="566" t="s">
        <v>3492</v>
      </c>
      <c r="N77" s="546"/>
      <c r="O77" s="546"/>
      <c r="P77" s="546"/>
      <c r="Q77" s="546"/>
    </row>
    <row r="78" spans="2:19">
      <c r="B78" s="1215">
        <f>B73/J73*K73</f>
        <v>5962.7992727272731</v>
      </c>
      <c r="C78" s="1215">
        <f t="shared" ref="C78:I78" si="5">C73/$J$73*$K$73</f>
        <v>207360.75818181818</v>
      </c>
      <c r="D78" s="1215">
        <f t="shared" si="5"/>
        <v>74586.371636363649</v>
      </c>
      <c r="E78" s="1215">
        <f t="shared" si="5"/>
        <v>59726.801818181826</v>
      </c>
      <c r="F78" s="1215">
        <f t="shared" si="5"/>
        <v>39642.207272727275</v>
      </c>
      <c r="G78" s="1215">
        <f t="shared" si="5"/>
        <v>29214.554545454546</v>
      </c>
      <c r="H78" s="1215">
        <f t="shared" si="5"/>
        <v>29214.554545454546</v>
      </c>
      <c r="I78" s="1215">
        <f t="shared" si="5"/>
        <v>3619.0476363636367</v>
      </c>
      <c r="L78" s="1215">
        <f>B78+C78+D78</f>
        <v>287909.92909090908</v>
      </c>
      <c r="M78" s="1215">
        <f>E78+F78+G78+H78+I78</f>
        <v>161417.16581818182</v>
      </c>
      <c r="N78" s="1215">
        <f>N73/$J$73*$K$73</f>
        <v>1580.9454545454546</v>
      </c>
      <c r="O78" s="1215">
        <f>O73/$J$73*$K$73</f>
        <v>7516.0781818181813</v>
      </c>
      <c r="P78" s="1215">
        <f>P73/$J$73*$K$73</f>
        <v>8002.2189090909087</v>
      </c>
      <c r="Q78" s="1215">
        <f>Q73/$J$73*$K$73</f>
        <v>5962.7992727272731</v>
      </c>
      <c r="R78" s="1215">
        <f>N78+O78+P78+Q78</f>
        <v>23062.041818181817</v>
      </c>
    </row>
    <row r="79" spans="2:19">
      <c r="B79" s="1215">
        <f>B74/J73*K73</f>
        <v>42731.638181818184</v>
      </c>
      <c r="C79" s="1215">
        <f t="shared" ref="C79:I81" si="6">C74/$J$73*$K$73</f>
        <v>41444.485090909089</v>
      </c>
      <c r="D79" s="1215">
        <f t="shared" si="6"/>
        <v>12323.469818181818</v>
      </c>
      <c r="E79" s="1215">
        <f t="shared" si="6"/>
        <v>8711.009454545454</v>
      </c>
      <c r="F79" s="1215">
        <f t="shared" si="6"/>
        <v>5429.2301818181822</v>
      </c>
      <c r="G79" s="1215">
        <f t="shared" si="6"/>
        <v>4193.4578181818179</v>
      </c>
      <c r="H79" s="1215">
        <f t="shared" si="6"/>
        <v>4193.4578181818179</v>
      </c>
      <c r="I79" s="1215">
        <f t="shared" si="6"/>
        <v>2538.7349090909092</v>
      </c>
      <c r="L79" s="1215">
        <f>B79+C79+D79</f>
        <v>96499.593090909097</v>
      </c>
      <c r="M79" s="1215">
        <f>E79+F79+G79+H79+I79</f>
        <v>25065.89018181818</v>
      </c>
      <c r="N79" s="1215">
        <f t="shared" ref="N79:Q80" si="7">N74/$J$73*$K$73</f>
        <v>5533.3090909090915</v>
      </c>
      <c r="O79" s="1215">
        <f t="shared" si="7"/>
        <v>48200.392</v>
      </c>
      <c r="P79" s="1215">
        <f t="shared" si="7"/>
        <v>54763.950545454551</v>
      </c>
      <c r="Q79" s="1215">
        <f t="shared" si="7"/>
        <v>41921.403636363641</v>
      </c>
      <c r="R79" s="1215">
        <f>N79+O79+P79+Q79</f>
        <v>150419.05527272727</v>
      </c>
    </row>
    <row r="80" spans="2:19">
      <c r="B80" s="1215">
        <f>B75/J73*K73</f>
        <v>13223.291272727274</v>
      </c>
      <c r="C80" s="1215">
        <f t="shared" si="6"/>
        <v>80231.664363636359</v>
      </c>
      <c r="D80" s="1215">
        <f t="shared" si="6"/>
        <v>23392.72290909091</v>
      </c>
      <c r="E80" s="1215">
        <f t="shared" si="6"/>
        <v>17660.478181818184</v>
      </c>
      <c r="F80" s="1215">
        <f t="shared" si="6"/>
        <v>11602.822181818181</v>
      </c>
      <c r="G80" s="1215">
        <f t="shared" si="6"/>
        <v>6610.9869090909096</v>
      </c>
      <c r="H80" s="1215">
        <f t="shared" si="6"/>
        <v>6610.9869090909096</v>
      </c>
      <c r="I80" s="1215">
        <f t="shared" si="6"/>
        <v>3828.5229090909093</v>
      </c>
      <c r="L80" s="1215">
        <f>B80+C80+D80</f>
        <v>116847.67854545455</v>
      </c>
      <c r="M80" s="1215">
        <f>E80+F80+G80+H80+I80</f>
        <v>46313.797090909102</v>
      </c>
      <c r="N80" s="1215">
        <f t="shared" si="7"/>
        <v>14492</v>
      </c>
      <c r="O80" s="1215">
        <f t="shared" si="7"/>
        <v>15047.965818181819</v>
      </c>
      <c r="P80" s="1215">
        <f t="shared" si="7"/>
        <v>16980.671636363637</v>
      </c>
      <c r="Q80" s="1215">
        <f t="shared" si="7"/>
        <v>13223.291272727274</v>
      </c>
      <c r="R80" s="1215">
        <f>N80+O80+P80+Q80</f>
        <v>59743.928727272738</v>
      </c>
    </row>
    <row r="81" spans="2:17">
      <c r="B81" s="1272">
        <f>B76/J73*K73</f>
        <v>61917.728727272734</v>
      </c>
      <c r="C81" s="1272">
        <f>C76/$J$73*$K$73</f>
        <v>329036.9076363637</v>
      </c>
      <c r="D81" s="1272">
        <f t="shared" si="6"/>
        <v>110302.56436363637</v>
      </c>
      <c r="E81" s="1272">
        <f t="shared" si="6"/>
        <v>86098.289454545447</v>
      </c>
      <c r="F81" s="1272">
        <f t="shared" si="6"/>
        <v>56674.25963636364</v>
      </c>
      <c r="G81" s="1272">
        <f t="shared" si="6"/>
        <v>40018.999272727277</v>
      </c>
      <c r="H81" s="1272">
        <f t="shared" si="6"/>
        <v>40018.999272727277</v>
      </c>
      <c r="I81" s="1272">
        <f t="shared" si="6"/>
        <v>9986.3054545454543</v>
      </c>
      <c r="J81" s="1273">
        <f>SUM(B81:I81)</f>
        <v>734054.05381818186</v>
      </c>
      <c r="N81" s="546"/>
      <c r="O81" s="546"/>
      <c r="P81" s="546"/>
      <c r="Q81" s="546"/>
    </row>
    <row r="82" spans="2:17">
      <c r="N82" s="546"/>
      <c r="O82" s="546"/>
      <c r="P82" s="546"/>
      <c r="Q82" s="546"/>
    </row>
    <row r="83" spans="2:17">
      <c r="B83" s="274">
        <v>68400</v>
      </c>
      <c r="C83" s="274">
        <v>72000</v>
      </c>
      <c r="D83" s="274">
        <v>64800</v>
      </c>
      <c r="E83" s="274">
        <v>79200</v>
      </c>
      <c r="F83" s="274">
        <v>48600</v>
      </c>
      <c r="G83" s="274">
        <v>59400</v>
      </c>
      <c r="H83" s="274">
        <v>59400</v>
      </c>
      <c r="I83" s="274">
        <v>54000</v>
      </c>
      <c r="J83" s="1273">
        <f>SUM(B83:I83)</f>
        <v>505800</v>
      </c>
      <c r="N83" s="546"/>
      <c r="O83" s="546"/>
      <c r="P83" s="546"/>
      <c r="Q83" s="546"/>
    </row>
    <row r="84" spans="2:17">
      <c r="N84" s="546"/>
      <c r="O84" s="546"/>
      <c r="P84" s="546"/>
      <c r="Q84" s="546"/>
    </row>
    <row r="85" spans="2:17">
      <c r="N85" s="546"/>
      <c r="O85" s="546"/>
      <c r="P85" s="546"/>
      <c r="Q85" s="546"/>
    </row>
    <row r="86" spans="2:17">
      <c r="N86" s="546"/>
      <c r="O86" s="546"/>
      <c r="P86" s="546"/>
      <c r="Q86" s="546"/>
    </row>
    <row r="87" spans="2:17">
      <c r="N87" s="546"/>
      <c r="O87" s="546"/>
      <c r="P87" s="546"/>
      <c r="Q87" s="546"/>
    </row>
    <row r="88" spans="2:17">
      <c r="N88" s="275"/>
    </row>
    <row r="89" spans="2:17">
      <c r="N89" s="275"/>
    </row>
    <row r="90" spans="2:17">
      <c r="N90" s="275"/>
    </row>
    <row r="91" spans="2:17">
      <c r="N91" s="275"/>
    </row>
    <row r="92" spans="2:17">
      <c r="N92" s="275"/>
    </row>
    <row r="93" spans="2:17">
      <c r="N93" s="275"/>
    </row>
    <row r="94" spans="2:17">
      <c r="N94" s="275"/>
    </row>
  </sheetData>
  <mergeCells count="24">
    <mergeCell ref="H8:H9"/>
    <mergeCell ref="I8:I9"/>
    <mergeCell ref="A8:A9"/>
    <mergeCell ref="B8:B9"/>
    <mergeCell ref="C8:C9"/>
    <mergeCell ref="D8:E8"/>
    <mergeCell ref="F8:F9"/>
    <mergeCell ref="G8:G9"/>
    <mergeCell ref="I15:I18"/>
    <mergeCell ref="I19:I22"/>
    <mergeCell ref="I41:I42"/>
    <mergeCell ref="L8:M8"/>
    <mergeCell ref="I11:I14"/>
    <mergeCell ref="J8:J9"/>
    <mergeCell ref="K8:K9"/>
    <mergeCell ref="J41:J42"/>
    <mergeCell ref="K41:K42"/>
    <mergeCell ref="L41:M41"/>
    <mergeCell ref="H41:H42"/>
    <mergeCell ref="A41:A42"/>
    <mergeCell ref="B41:B42"/>
    <mergeCell ref="C41:C42"/>
    <mergeCell ref="D41:E41"/>
    <mergeCell ref="G41:G42"/>
  </mergeCells>
  <pageMargins left="0" right="0" top="0" bottom="0" header="0" footer="0"/>
  <pageSetup paperSize="9" scale="76" fitToHeight="0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tabColor rgb="FF7030A0"/>
    <pageSetUpPr fitToPage="1"/>
  </sheetPr>
  <dimension ref="A1:S159"/>
  <sheetViews>
    <sheetView topLeftCell="A6" zoomScaleSheetLayoutView="100" workbookViewId="0">
      <selection activeCell="H10" sqref="H10"/>
    </sheetView>
  </sheetViews>
  <sheetFormatPr defaultColWidth="9.140625" defaultRowHeight="15.75"/>
  <cols>
    <col min="1" max="1" width="4.140625" style="274" customWidth="1"/>
    <col min="2" max="2" width="18.42578125" style="274" customWidth="1"/>
    <col min="3" max="5" width="15.7109375" style="274" customWidth="1"/>
    <col min="6" max="6" width="17.5703125" style="274" customWidth="1"/>
    <col min="7" max="7" width="18.28515625" style="274" customWidth="1"/>
    <col min="8" max="8" width="16.7109375" style="274" customWidth="1"/>
    <col min="9" max="9" width="12" style="1310" customWidth="1"/>
    <col min="10" max="10" width="14.42578125" style="275" customWidth="1"/>
    <col min="11" max="11" width="14.7109375" style="275" customWidth="1"/>
    <col min="12" max="12" width="17.5703125" style="274" customWidth="1"/>
    <col min="13" max="13" width="14" style="274" customWidth="1"/>
    <col min="14" max="14" width="13.7109375" style="274" customWidth="1"/>
    <col min="15" max="15" width="14.85546875" style="274" bestFit="1" customWidth="1"/>
    <col min="16" max="16" width="14.7109375" style="274" customWidth="1"/>
    <col min="17" max="17" width="15.5703125" style="274" customWidth="1"/>
    <col min="18" max="18" width="9.140625" style="274"/>
    <col min="19" max="19" width="12.28515625" style="274" customWidth="1"/>
    <col min="20" max="16384" width="9.140625" style="274"/>
  </cols>
  <sheetData>
    <row r="1" spans="1:14">
      <c r="L1" s="275" t="s">
        <v>267</v>
      </c>
      <c r="M1" s="671" t="s">
        <v>605</v>
      </c>
    </row>
    <row r="2" spans="1:14" s="898" customFormat="1">
      <c r="A2" s="695" t="s">
        <v>3493</v>
      </c>
      <c r="B2" s="711"/>
      <c r="C2" s="711"/>
      <c r="D2" s="711"/>
      <c r="E2" s="711"/>
      <c r="F2" s="711"/>
      <c r="G2" s="711"/>
      <c r="H2" s="711"/>
      <c r="I2" s="1311"/>
      <c r="J2" s="897"/>
      <c r="K2" s="897"/>
      <c r="L2" s="897"/>
      <c r="M2" s="3816" t="s">
        <v>3375</v>
      </c>
      <c r="N2" s="897"/>
    </row>
    <row r="3" spans="1:14">
      <c r="A3" s="45"/>
      <c r="B3" s="168"/>
      <c r="C3" s="168"/>
      <c r="D3" s="168"/>
      <c r="E3" s="168"/>
      <c r="F3" s="168"/>
      <c r="G3" s="168"/>
      <c r="H3" s="168"/>
      <c r="I3" s="522"/>
      <c r="J3" s="370"/>
      <c r="K3" s="370"/>
      <c r="L3" s="370"/>
      <c r="M3" s="3817"/>
      <c r="N3" s="370"/>
    </row>
    <row r="4" spans="1:14" s="898" customFormat="1">
      <c r="A4" s="656" t="s">
        <v>3494</v>
      </c>
      <c r="B4" s="899"/>
      <c r="C4" s="899"/>
      <c r="D4" s="899"/>
      <c r="E4" s="899"/>
      <c r="F4" s="899"/>
      <c r="G4" s="899"/>
      <c r="H4" s="899"/>
      <c r="I4" s="1312"/>
      <c r="J4" s="897"/>
      <c r="K4" s="897"/>
      <c r="L4" s="897"/>
      <c r="M4" s="3816"/>
      <c r="N4" s="897"/>
    </row>
    <row r="5" spans="1:14">
      <c r="A5" s="168" t="s">
        <v>990</v>
      </c>
      <c r="B5" s="230"/>
      <c r="C5" s="230"/>
      <c r="D5" s="230"/>
      <c r="E5" s="230"/>
      <c r="F5" s="230"/>
      <c r="G5" s="230"/>
      <c r="H5" s="230"/>
      <c r="I5" s="1313"/>
      <c r="J5" s="273"/>
      <c r="K5" s="273"/>
      <c r="L5" s="273"/>
      <c r="M5" s="273"/>
      <c r="N5" s="273"/>
    </row>
    <row r="6" spans="1:14">
      <c r="A6" s="82"/>
      <c r="B6" s="230"/>
      <c r="C6" s="230"/>
      <c r="D6" s="230"/>
      <c r="E6" s="230"/>
      <c r="F6" s="230"/>
      <c r="G6" s="230"/>
      <c r="H6" s="231"/>
      <c r="I6" s="1313"/>
      <c r="J6" s="371"/>
      <c r="K6" s="273"/>
      <c r="L6" s="272"/>
      <c r="N6" s="273"/>
    </row>
    <row r="7" spans="1:14">
      <c r="A7" s="273"/>
      <c r="B7" s="273"/>
      <c r="C7" s="273"/>
      <c r="D7" s="273"/>
      <c r="E7" s="273"/>
      <c r="F7" s="273"/>
      <c r="G7" s="273"/>
      <c r="H7" s="273"/>
      <c r="I7" s="1314"/>
      <c r="J7" s="371"/>
      <c r="K7" s="273"/>
      <c r="L7" s="272"/>
      <c r="M7" s="372" t="s">
        <v>254</v>
      </c>
      <c r="N7" s="273"/>
    </row>
    <row r="8" spans="1:14" ht="15.6" customHeight="1">
      <c r="A8" s="4160" t="s">
        <v>2</v>
      </c>
      <c r="B8" s="4160" t="s">
        <v>3377</v>
      </c>
      <c r="C8" s="4160" t="s">
        <v>1191</v>
      </c>
      <c r="D8" s="4162" t="s">
        <v>255</v>
      </c>
      <c r="E8" s="4163"/>
      <c r="F8" s="4160" t="s">
        <v>3455</v>
      </c>
      <c r="G8" s="4160" t="s">
        <v>3456</v>
      </c>
      <c r="H8" s="4160" t="s">
        <v>3457</v>
      </c>
      <c r="I8" s="4175" t="s">
        <v>3380</v>
      </c>
      <c r="J8" s="4160" t="s">
        <v>3381</v>
      </c>
      <c r="K8" s="4160" t="s">
        <v>3458</v>
      </c>
      <c r="L8" s="4162" t="s">
        <v>255</v>
      </c>
      <c r="M8" s="4163"/>
      <c r="N8" s="273"/>
    </row>
    <row r="9" spans="1:14" s="275" customFormat="1" ht="63.75" customHeight="1">
      <c r="A9" s="4160"/>
      <c r="B9" s="4160"/>
      <c r="C9" s="4160"/>
      <c r="D9" s="286" t="s">
        <v>7</v>
      </c>
      <c r="E9" s="286" t="s">
        <v>8</v>
      </c>
      <c r="F9" s="4160"/>
      <c r="G9" s="4160"/>
      <c r="H9" s="4160"/>
      <c r="I9" s="4175"/>
      <c r="J9" s="4160"/>
      <c r="K9" s="4160"/>
      <c r="L9" s="286" t="s">
        <v>7</v>
      </c>
      <c r="M9" s="286" t="s">
        <v>8</v>
      </c>
    </row>
    <row r="10" spans="1:14">
      <c r="A10" s="373"/>
      <c r="B10" s="374" t="s">
        <v>20</v>
      </c>
      <c r="C10" s="286">
        <f>D10+E10</f>
        <v>0</v>
      </c>
      <c r="D10" s="896"/>
      <c r="E10" s="896"/>
      <c r="F10" s="933">
        <f>F11+F15+F19</f>
        <v>0</v>
      </c>
      <c r="G10" s="933">
        <f>G11+G15+G19</f>
        <v>12.50815496951296</v>
      </c>
      <c r="H10" s="933">
        <f>H11+H15+H19</f>
        <v>199395</v>
      </c>
      <c r="I10" s="1315">
        <f>I11+I15+I19</f>
        <v>12</v>
      </c>
      <c r="J10" s="892"/>
      <c r="K10" s="933">
        <f>K11+K15+K19</f>
        <v>15469270.140000001</v>
      </c>
      <c r="L10" s="935" t="e">
        <f>K10*D10/C10</f>
        <v>#DIV/0!</v>
      </c>
      <c r="M10" s="935" t="e">
        <f>K10-L10</f>
        <v>#DIV/0!</v>
      </c>
    </row>
    <row r="11" spans="1:14" s="566" customFormat="1">
      <c r="A11" s="286"/>
      <c r="B11" s="374" t="s">
        <v>3459</v>
      </c>
      <c r="C11" s="286" t="s">
        <v>3383</v>
      </c>
      <c r="D11" s="286" t="s">
        <v>3383</v>
      </c>
      <c r="E11" s="286" t="s">
        <v>3383</v>
      </c>
      <c r="F11" s="933">
        <f>SUM(F12:F14)</f>
        <v>0</v>
      </c>
      <c r="G11" s="933">
        <f>SUM(G12:G14)</f>
        <v>4.2907685745113282</v>
      </c>
      <c r="H11" s="933">
        <f>SUM(H12:H14)</f>
        <v>68400</v>
      </c>
      <c r="I11" s="4171">
        <v>3</v>
      </c>
      <c r="J11" s="893"/>
      <c r="K11" s="933">
        <f>SUM(K12:K14)</f>
        <v>3959716.28</v>
      </c>
      <c r="L11" s="894"/>
      <c r="M11" s="894"/>
    </row>
    <row r="12" spans="1:14">
      <c r="A12" s="373"/>
      <c r="B12" s="292" t="s">
        <v>3460</v>
      </c>
      <c r="C12" s="286">
        <v>15941.2</v>
      </c>
      <c r="D12" s="286" t="s">
        <v>3383</v>
      </c>
      <c r="E12" s="286" t="s">
        <v>3383</v>
      </c>
      <c r="F12" s="934"/>
      <c r="G12" s="1530">
        <f>H12/C12</f>
        <v>2.0027657892755877</v>
      </c>
      <c r="H12" s="934">
        <v>31926.49</v>
      </c>
      <c r="I12" s="4172"/>
      <c r="J12" s="934">
        <f>ROUND(13.64*1.12*1.07,2)</f>
        <v>16.350000000000001</v>
      </c>
      <c r="K12" s="936">
        <f>ROUND(H12*I11*J12,2)</f>
        <v>1565994.33</v>
      </c>
      <c r="L12" s="895"/>
      <c r="M12" s="895"/>
    </row>
    <row r="13" spans="1:14">
      <c r="A13" s="373"/>
      <c r="B13" s="292" t="s">
        <v>3461</v>
      </c>
      <c r="C13" s="286">
        <v>15941.2</v>
      </c>
      <c r="D13" s="286" t="s">
        <v>3383</v>
      </c>
      <c r="E13" s="286" t="s">
        <v>3383</v>
      </c>
      <c r="F13" s="934"/>
      <c r="G13" s="1530">
        <f>H13/C13</f>
        <v>1.3280869696133288</v>
      </c>
      <c r="H13" s="934">
        <v>21171.3</v>
      </c>
      <c r="I13" s="4172"/>
      <c r="J13" s="934">
        <f>ROUND(28.64*1.12*1.07,2)</f>
        <v>34.32</v>
      </c>
      <c r="K13" s="936">
        <f>ROUND(H13*I11*J13,2)</f>
        <v>2179797.0499999998</v>
      </c>
      <c r="L13" s="895"/>
      <c r="M13" s="895"/>
    </row>
    <row r="14" spans="1:14">
      <c r="A14" s="373"/>
      <c r="B14" s="292" t="s">
        <v>3462</v>
      </c>
      <c r="C14" s="286">
        <v>15941.2</v>
      </c>
      <c r="D14" s="286" t="s">
        <v>3383</v>
      </c>
      <c r="E14" s="286" t="s">
        <v>3383</v>
      </c>
      <c r="F14" s="934"/>
      <c r="G14" s="1530">
        <f>H14/C14</f>
        <v>0.95991581562241224</v>
      </c>
      <c r="H14" s="934">
        <v>15302.21</v>
      </c>
      <c r="I14" s="4173"/>
      <c r="J14" s="934">
        <f>ROUND(3.89*1.12*1.07,2)</f>
        <v>4.66</v>
      </c>
      <c r="K14" s="936">
        <f>ROUND(H14*I11*J14,2)</f>
        <v>213924.9</v>
      </c>
      <c r="L14" s="895"/>
      <c r="M14" s="895"/>
    </row>
    <row r="15" spans="1:14" s="566" customFormat="1">
      <c r="A15" s="286"/>
      <c r="B15" s="374" t="s">
        <v>3463</v>
      </c>
      <c r="C15" s="286" t="s">
        <v>3383</v>
      </c>
      <c r="D15" s="286" t="s">
        <v>3383</v>
      </c>
      <c r="E15" s="286" t="s">
        <v>3383</v>
      </c>
      <c r="F15" s="933">
        <f>SUM(F16:F18)</f>
        <v>0</v>
      </c>
      <c r="G15" s="933">
        <f>SUM(G16:G18)</f>
        <v>3.771359747070484</v>
      </c>
      <c r="H15" s="933">
        <f>SUM(H16:H18)</f>
        <v>60120</v>
      </c>
      <c r="I15" s="4171">
        <v>5</v>
      </c>
      <c r="K15" s="933">
        <f>SUM(K16:K18)</f>
        <v>4835207.97</v>
      </c>
      <c r="L15" s="894"/>
      <c r="M15" s="894"/>
    </row>
    <row r="16" spans="1:14">
      <c r="A16" s="373"/>
      <c r="B16" s="292" t="s">
        <v>3460</v>
      </c>
      <c r="C16" s="286">
        <v>15941.2</v>
      </c>
      <c r="D16" s="286" t="s">
        <v>3383</v>
      </c>
      <c r="E16" s="286" t="s">
        <v>3383</v>
      </c>
      <c r="F16" s="934"/>
      <c r="G16" s="934">
        <f>H16/C16</f>
        <v>2.4493965322560407</v>
      </c>
      <c r="H16" s="934">
        <v>39046.32</v>
      </c>
      <c r="I16" s="4172"/>
      <c r="J16" s="934">
        <f>ROUND(13.64*1.12*1.07,2)</f>
        <v>16.350000000000001</v>
      </c>
      <c r="K16" s="936">
        <f>ROUND(H16*I15*J16,2)</f>
        <v>3192036.66</v>
      </c>
      <c r="L16" s="895"/>
      <c r="M16" s="895"/>
    </row>
    <row r="17" spans="1:19">
      <c r="A17" s="373"/>
      <c r="B17" s="292" t="s">
        <v>3461</v>
      </c>
      <c r="C17" s="286">
        <v>15941.2</v>
      </c>
      <c r="D17" s="286" t="s">
        <v>3383</v>
      </c>
      <c r="E17" s="286" t="s">
        <v>3383</v>
      </c>
      <c r="F17" s="934"/>
      <c r="G17" s="934">
        <f>H17/C17</f>
        <v>0.48735854264421746</v>
      </c>
      <c r="H17" s="934">
        <v>7769.08</v>
      </c>
      <c r="I17" s="4172"/>
      <c r="J17" s="934">
        <f>ROUND(28.64*1.12*1.07,2)</f>
        <v>34.32</v>
      </c>
      <c r="K17" s="936">
        <f>ROUND(H17*I15*J17,2)</f>
        <v>1333174.1299999999</v>
      </c>
      <c r="L17" s="895"/>
      <c r="M17" s="895"/>
    </row>
    <row r="18" spans="1:19">
      <c r="A18" s="373"/>
      <c r="B18" s="292" t="s">
        <v>3462</v>
      </c>
      <c r="C18" s="286">
        <v>15941.2</v>
      </c>
      <c r="D18" s="286" t="s">
        <v>3383</v>
      </c>
      <c r="E18" s="286" t="s">
        <v>3383</v>
      </c>
      <c r="F18" s="934"/>
      <c r="G18" s="934">
        <f>H18/C18</f>
        <v>0.8346046721702256</v>
      </c>
      <c r="H18" s="934">
        <v>13304.6</v>
      </c>
      <c r="I18" s="4173"/>
      <c r="J18" s="934">
        <f>ROUND(3.89*1.12*1.07,2)</f>
        <v>4.66</v>
      </c>
      <c r="K18" s="936">
        <f>ROUND(H18*I15*J18,2)</f>
        <v>309997.18</v>
      </c>
      <c r="L18" s="895"/>
      <c r="M18" s="895"/>
    </row>
    <row r="19" spans="1:19" s="566" customFormat="1">
      <c r="A19" s="286"/>
      <c r="B19" s="374" t="s">
        <v>3464</v>
      </c>
      <c r="C19" s="286" t="s">
        <v>3383</v>
      </c>
      <c r="D19" s="286" t="s">
        <v>3383</v>
      </c>
      <c r="E19" s="286" t="s">
        <v>3383</v>
      </c>
      <c r="F19" s="933">
        <f>SUM(F20:F22)</f>
        <v>0</v>
      </c>
      <c r="G19" s="933">
        <f>SUM(G20:G22)</f>
        <v>4.4460266479311468</v>
      </c>
      <c r="H19" s="933">
        <f>SUM(H20:H22)</f>
        <v>70875</v>
      </c>
      <c r="I19" s="4171">
        <v>4</v>
      </c>
      <c r="K19" s="933">
        <f>SUM(K20:K22)</f>
        <v>6674345.8899999997</v>
      </c>
      <c r="L19" s="894"/>
      <c r="M19" s="894"/>
    </row>
    <row r="20" spans="1:19">
      <c r="A20" s="373"/>
      <c r="B20" s="292" t="s">
        <v>3460</v>
      </c>
      <c r="C20" s="286">
        <v>15941.2</v>
      </c>
      <c r="D20" s="286" t="s">
        <v>3383</v>
      </c>
      <c r="E20" s="286" t="s">
        <v>3383</v>
      </c>
      <c r="F20" s="934"/>
      <c r="G20" s="934">
        <f>H20/C20</f>
        <v>0.42613793189973148</v>
      </c>
      <c r="H20" s="934">
        <v>6793.15</v>
      </c>
      <c r="I20" s="4172"/>
      <c r="J20" s="934">
        <f>ROUND(13.64*1.12*1.07,2)</f>
        <v>16.350000000000001</v>
      </c>
      <c r="K20" s="936">
        <f>ROUND(H20*I19*J20,2)</f>
        <v>444272.01</v>
      </c>
      <c r="L20" s="895"/>
      <c r="M20" s="895"/>
    </row>
    <row r="21" spans="1:19">
      <c r="A21" s="373"/>
      <c r="B21" s="292" t="s">
        <v>3461</v>
      </c>
      <c r="C21" s="286">
        <v>15941.2</v>
      </c>
      <c r="D21" s="286" t="s">
        <v>3383</v>
      </c>
      <c r="E21" s="286" t="s">
        <v>3383</v>
      </c>
      <c r="F21" s="934"/>
      <c r="G21" s="934">
        <f>H21/C21</f>
        <v>2.6625517526911398</v>
      </c>
      <c r="H21" s="934">
        <v>42444.27</v>
      </c>
      <c r="I21" s="4172"/>
      <c r="J21" s="934">
        <f>ROUND(28.64*1.12*1.07,2)</f>
        <v>34.32</v>
      </c>
      <c r="K21" s="936">
        <f>ROUND(H21*I19*J21,2)</f>
        <v>5826749.3899999997</v>
      </c>
      <c r="L21" s="895"/>
      <c r="M21" s="895"/>
    </row>
    <row r="22" spans="1:19">
      <c r="A22" s="373"/>
      <c r="B22" s="292" t="s">
        <v>3462</v>
      </c>
      <c r="C22" s="286">
        <v>15941.2</v>
      </c>
      <c r="D22" s="286" t="s">
        <v>3383</v>
      </c>
      <c r="E22" s="286" t="s">
        <v>3383</v>
      </c>
      <c r="F22" s="934"/>
      <c r="G22" s="934">
        <f>H22/C22</f>
        <v>1.3573369633402756</v>
      </c>
      <c r="H22" s="934">
        <v>21637.58</v>
      </c>
      <c r="I22" s="4173"/>
      <c r="J22" s="934">
        <f>ROUND(3.89*1.12*1.07,2)</f>
        <v>4.66</v>
      </c>
      <c r="K22" s="936">
        <f>ROUND(H22*I19*J22,2)</f>
        <v>403324.49</v>
      </c>
      <c r="L22" s="895"/>
      <c r="M22" s="895"/>
    </row>
    <row r="23" spans="1:19">
      <c r="A23" s="269"/>
      <c r="B23" s="270"/>
      <c r="C23" s="270"/>
      <c r="D23" s="270"/>
      <c r="E23" s="270"/>
      <c r="F23" s="270"/>
      <c r="G23" s="271"/>
      <c r="H23" s="271"/>
      <c r="I23" s="1316"/>
      <c r="J23" s="272"/>
      <c r="K23" s="271"/>
      <c r="L23" s="273"/>
      <c r="M23" s="273"/>
    </row>
    <row r="25" spans="1:19">
      <c r="B25" s="300" t="s">
        <v>329</v>
      </c>
      <c r="C25" s="276"/>
      <c r="D25" s="276"/>
      <c r="E25" s="276"/>
      <c r="F25" s="874"/>
      <c r="G25" s="872"/>
      <c r="H25" s="872"/>
      <c r="I25" s="1317"/>
      <c r="J25" s="710"/>
      <c r="K25" s="873"/>
      <c r="L25" s="874"/>
      <c r="M25" s="717"/>
      <c r="N25" s="171"/>
      <c r="O25" s="276"/>
      <c r="P25" s="235"/>
    </row>
    <row r="26" spans="1:19">
      <c r="B26" s="300"/>
      <c r="C26" s="279"/>
      <c r="D26" s="279"/>
      <c r="E26" s="279"/>
      <c r="F26" s="875"/>
      <c r="G26" s="872"/>
      <c r="H26" s="872"/>
      <c r="I26" s="1317"/>
      <c r="J26" s="710"/>
      <c r="K26" s="873"/>
      <c r="L26" s="875"/>
      <c r="M26" s="717"/>
      <c r="N26" s="171"/>
      <c r="O26" s="279"/>
      <c r="P26" s="235"/>
    </row>
    <row r="27" spans="1:19">
      <c r="B27" s="345" t="s">
        <v>330</v>
      </c>
      <c r="C27" s="276"/>
      <c r="D27" s="276"/>
      <c r="E27" s="276"/>
      <c r="F27" s="874"/>
      <c r="G27" s="872"/>
      <c r="H27" s="872"/>
      <c r="I27" s="1317"/>
      <c r="J27" s="710"/>
      <c r="K27" s="873"/>
      <c r="L27" s="710"/>
      <c r="M27" s="717"/>
      <c r="N27" s="171"/>
      <c r="O27" s="183"/>
      <c r="P27" s="235"/>
    </row>
    <row r="28" spans="1:19">
      <c r="B28" s="345" t="s">
        <v>332</v>
      </c>
      <c r="C28" s="276"/>
      <c r="D28" s="276"/>
      <c r="E28" s="276"/>
      <c r="F28" s="874"/>
      <c r="G28" s="872"/>
      <c r="H28" s="872"/>
      <c r="I28" s="1317"/>
      <c r="J28" s="710"/>
      <c r="K28" s="873"/>
      <c r="L28" s="874"/>
      <c r="M28" s="717"/>
      <c r="N28" s="171"/>
      <c r="O28" s="276"/>
      <c r="P28" s="168"/>
    </row>
    <row r="29" spans="1:19">
      <c r="B29" s="346"/>
      <c r="C29" s="276"/>
      <c r="D29" s="276"/>
      <c r="E29" s="276"/>
      <c r="F29" s="874"/>
      <c r="G29" s="872"/>
      <c r="H29" s="872"/>
      <c r="I29" s="1317"/>
      <c r="J29" s="710"/>
      <c r="K29" s="873"/>
      <c r="L29" s="874"/>
      <c r="M29" s="865"/>
      <c r="N29" s="171"/>
      <c r="O29" s="276"/>
      <c r="P29" s="168"/>
    </row>
    <row r="30" spans="1:19">
      <c r="B30" s="345" t="s">
        <v>333</v>
      </c>
      <c r="C30" s="276"/>
      <c r="D30" s="276"/>
      <c r="E30" s="276"/>
      <c r="F30" s="874"/>
      <c r="G30" s="872"/>
      <c r="H30" s="872"/>
      <c r="I30" s="1317"/>
      <c r="J30" s="710"/>
      <c r="K30" s="873"/>
      <c r="L30" s="874"/>
      <c r="M30" s="865"/>
      <c r="N30" s="171"/>
      <c r="O30" s="276"/>
      <c r="P30" s="171"/>
    </row>
    <row r="31" spans="1:19">
      <c r="B31" s="345"/>
      <c r="C31" s="276"/>
      <c r="D31" s="276"/>
      <c r="E31" s="276"/>
      <c r="F31" s="874"/>
      <c r="G31" s="872"/>
      <c r="H31" s="872"/>
      <c r="I31" s="1317"/>
      <c r="J31" s="710"/>
      <c r="K31" s="873"/>
      <c r="L31" s="874"/>
      <c r="M31" s="865"/>
      <c r="N31" s="171"/>
      <c r="O31" s="276"/>
      <c r="P31" s="171"/>
    </row>
    <row r="32" spans="1:19">
      <c r="B32" s="1206" t="s">
        <v>3471</v>
      </c>
      <c r="C32" s="1206" t="s">
        <v>3472</v>
      </c>
      <c r="D32" s="1206" t="s">
        <v>3389</v>
      </c>
      <c r="E32" s="1206" t="s">
        <v>3390</v>
      </c>
      <c r="F32" s="1206" t="s">
        <v>3391</v>
      </c>
      <c r="G32" s="1206" t="s">
        <v>3392</v>
      </c>
      <c r="H32" s="1206" t="s">
        <v>3393</v>
      </c>
      <c r="J32" s="275" t="s">
        <v>3469</v>
      </c>
      <c r="M32" s="274" t="s">
        <v>3470</v>
      </c>
      <c r="N32" s="275" t="s">
        <v>3394</v>
      </c>
      <c r="P32" s="275" t="s">
        <v>3473</v>
      </c>
      <c r="Q32" s="274" t="s">
        <v>3474</v>
      </c>
      <c r="R32" s="274" t="s">
        <v>3399</v>
      </c>
      <c r="S32" s="274" t="s">
        <v>3475</v>
      </c>
    </row>
    <row r="33" spans="1:19">
      <c r="B33" s="274">
        <v>4526</v>
      </c>
      <c r="C33" s="274">
        <v>157395</v>
      </c>
      <c r="D33" s="274">
        <v>56614</v>
      </c>
      <c r="E33" s="274">
        <v>45335</v>
      </c>
      <c r="F33" s="274">
        <v>30090</v>
      </c>
      <c r="G33" s="274">
        <v>22175</v>
      </c>
      <c r="H33" s="274">
        <v>22175</v>
      </c>
      <c r="I33" s="1310">
        <f>(B33+C33+D33)/3</f>
        <v>72845</v>
      </c>
      <c r="J33" s="1205">
        <v>13.64</v>
      </c>
      <c r="K33" s="275">
        <v>1.1200000000000001</v>
      </c>
      <c r="L33" s="274">
        <v>1.07</v>
      </c>
      <c r="M33" s="274">
        <f>J33*K33*L33</f>
        <v>16.346176000000003</v>
      </c>
      <c r="N33" s="275">
        <v>2747</v>
      </c>
      <c r="O33" s="274" t="s">
        <v>3460</v>
      </c>
      <c r="P33" s="275">
        <f>B33+C33+D33+E33+F33+G33+H33+N33</f>
        <v>341057</v>
      </c>
      <c r="Q33" s="274">
        <f>P33/12100*15941.2</f>
        <v>449327.09490909096</v>
      </c>
      <c r="R33" s="274">
        <v>16.350000000000001</v>
      </c>
      <c r="S33" s="274">
        <f>Q33*R33</f>
        <v>7346498.0017636381</v>
      </c>
    </row>
    <row r="34" spans="1:19" s="546" customFormat="1" hidden="1">
      <c r="A34" s="546" t="s">
        <v>3476</v>
      </c>
      <c r="I34" s="1318"/>
      <c r="J34" s="547"/>
      <c r="K34" s="547"/>
      <c r="N34" s="547"/>
      <c r="P34" s="275">
        <f t="shared" ref="P34:P56" si="0">B34+C34+D34+E34+F34+G34+H34+N34</f>
        <v>0</v>
      </c>
      <c r="Q34" s="274">
        <f t="shared" ref="Q34:Q56" si="1">P34/12100*15941.2</f>
        <v>0</v>
      </c>
      <c r="S34" s="274">
        <f t="shared" ref="S34:S56" si="2">Q34*R34</f>
        <v>0</v>
      </c>
    </row>
    <row r="35" spans="1:19" s="546" customFormat="1" hidden="1">
      <c r="A35" s="548" t="s">
        <v>3477</v>
      </c>
      <c r="B35" s="549"/>
      <c r="C35" s="549"/>
      <c r="D35" s="549"/>
      <c r="E35" s="549"/>
      <c r="F35" s="549"/>
      <c r="G35" s="549"/>
      <c r="H35" s="549"/>
      <c r="I35" s="1319"/>
      <c r="J35" s="550"/>
      <c r="K35" s="550"/>
      <c r="L35" s="550"/>
      <c r="M35" s="550" t="s">
        <v>3375</v>
      </c>
      <c r="N35" s="547"/>
      <c r="P35" s="275">
        <f t="shared" si="0"/>
        <v>0</v>
      </c>
      <c r="Q35" s="274">
        <f t="shared" si="1"/>
        <v>0</v>
      </c>
      <c r="S35" s="274">
        <f t="shared" si="2"/>
        <v>0</v>
      </c>
    </row>
    <row r="36" spans="1:19" s="546" customFormat="1" hidden="1">
      <c r="A36" s="551"/>
      <c r="B36" s="549"/>
      <c r="C36" s="549"/>
      <c r="D36" s="549"/>
      <c r="E36" s="549"/>
      <c r="F36" s="549"/>
      <c r="G36" s="549"/>
      <c r="H36" s="549"/>
      <c r="I36" s="1319"/>
      <c r="J36" s="550"/>
      <c r="K36" s="550"/>
      <c r="L36" s="550"/>
      <c r="M36" s="550"/>
      <c r="N36" s="547"/>
      <c r="P36" s="275">
        <f t="shared" si="0"/>
        <v>0</v>
      </c>
      <c r="Q36" s="274">
        <f t="shared" si="1"/>
        <v>0</v>
      </c>
      <c r="S36" s="274">
        <f t="shared" si="2"/>
        <v>0</v>
      </c>
    </row>
    <row r="37" spans="1:19" s="546" customFormat="1" hidden="1">
      <c r="A37" s="552" t="s">
        <v>3401</v>
      </c>
      <c r="B37" s="553"/>
      <c r="C37" s="553"/>
      <c r="D37" s="553"/>
      <c r="E37" s="553"/>
      <c r="F37" s="553"/>
      <c r="G37" s="553"/>
      <c r="H37" s="553"/>
      <c r="I37" s="1320"/>
      <c r="J37" s="550"/>
      <c r="K37" s="550"/>
      <c r="L37" s="550"/>
      <c r="M37" s="550"/>
      <c r="N37" s="547"/>
      <c r="P37" s="275">
        <f t="shared" si="0"/>
        <v>0</v>
      </c>
      <c r="Q37" s="274">
        <f t="shared" si="1"/>
        <v>0</v>
      </c>
      <c r="S37" s="274">
        <f t="shared" si="2"/>
        <v>0</v>
      </c>
    </row>
    <row r="38" spans="1:19" s="546" customFormat="1" hidden="1">
      <c r="A38" s="549" t="s">
        <v>990</v>
      </c>
      <c r="B38" s="553"/>
      <c r="C38" s="553"/>
      <c r="D38" s="553"/>
      <c r="E38" s="553"/>
      <c r="F38" s="553"/>
      <c r="G38" s="553"/>
      <c r="H38" s="553"/>
      <c r="I38" s="1320"/>
      <c r="J38" s="554"/>
      <c r="K38" s="554"/>
      <c r="L38" s="554"/>
      <c r="M38" s="554"/>
      <c r="N38" s="547"/>
      <c r="P38" s="275">
        <f t="shared" si="0"/>
        <v>0</v>
      </c>
      <c r="Q38" s="274">
        <f t="shared" si="1"/>
        <v>0</v>
      </c>
      <c r="S38" s="274">
        <f t="shared" si="2"/>
        <v>0</v>
      </c>
    </row>
    <row r="39" spans="1:19" s="546" customFormat="1" hidden="1">
      <c r="A39" s="552"/>
      <c r="B39" s="553"/>
      <c r="C39" s="553"/>
      <c r="D39" s="553"/>
      <c r="E39" s="553"/>
      <c r="F39" s="553"/>
      <c r="G39" s="553"/>
      <c r="H39" s="553"/>
      <c r="I39" s="1320"/>
      <c r="J39" s="554"/>
      <c r="K39" s="554"/>
      <c r="L39" s="555"/>
      <c r="M39" s="556" t="s">
        <v>254</v>
      </c>
      <c r="N39" s="547"/>
      <c r="P39" s="275">
        <f t="shared" si="0"/>
        <v>0</v>
      </c>
      <c r="Q39" s="274">
        <f t="shared" si="1"/>
        <v>0</v>
      </c>
      <c r="S39" s="274">
        <f t="shared" si="2"/>
        <v>0</v>
      </c>
    </row>
    <row r="40" spans="1:19" s="546" customFormat="1" hidden="1">
      <c r="A40" s="554"/>
      <c r="B40" s="554"/>
      <c r="C40" s="554"/>
      <c r="D40" s="554"/>
      <c r="E40" s="554"/>
      <c r="F40" s="554"/>
      <c r="G40" s="554"/>
      <c r="H40" s="554"/>
      <c r="I40" s="1321"/>
      <c r="J40" s="554"/>
      <c r="K40" s="554"/>
      <c r="L40" s="555"/>
      <c r="M40" s="556"/>
      <c r="N40" s="547"/>
      <c r="P40" s="275">
        <f t="shared" si="0"/>
        <v>0</v>
      </c>
      <c r="Q40" s="274">
        <f t="shared" si="1"/>
        <v>0</v>
      </c>
      <c r="S40" s="274">
        <f t="shared" si="2"/>
        <v>0</v>
      </c>
    </row>
    <row r="41" spans="1:19" s="546" customFormat="1" ht="15.75" hidden="1" customHeight="1">
      <c r="A41" s="4161" t="s">
        <v>2</v>
      </c>
      <c r="B41" s="4161" t="s">
        <v>3377</v>
      </c>
      <c r="C41" s="4161" t="s">
        <v>3478</v>
      </c>
      <c r="D41" s="4167" t="s">
        <v>255</v>
      </c>
      <c r="E41" s="4168"/>
      <c r="F41" s="1204"/>
      <c r="G41" s="4161" t="s">
        <v>3479</v>
      </c>
      <c r="H41" s="4161" t="s">
        <v>3457</v>
      </c>
      <c r="I41" s="4174" t="s">
        <v>3380</v>
      </c>
      <c r="J41" s="4161" t="s">
        <v>3381</v>
      </c>
      <c r="K41" s="4161" t="s">
        <v>345</v>
      </c>
      <c r="L41" s="4167" t="s">
        <v>255</v>
      </c>
      <c r="M41" s="4168"/>
      <c r="N41" s="547"/>
      <c r="P41" s="275" t="e">
        <f t="shared" si="0"/>
        <v>#VALUE!</v>
      </c>
      <c r="Q41" s="274" t="e">
        <f t="shared" si="1"/>
        <v>#VALUE!</v>
      </c>
      <c r="S41" s="274" t="e">
        <f t="shared" si="2"/>
        <v>#VALUE!</v>
      </c>
    </row>
    <row r="42" spans="1:19" s="546" customFormat="1" hidden="1">
      <c r="A42" s="4161"/>
      <c r="B42" s="4161"/>
      <c r="C42" s="4161"/>
      <c r="D42" s="557" t="s">
        <v>7</v>
      </c>
      <c r="E42" s="557" t="s">
        <v>8</v>
      </c>
      <c r="F42" s="557"/>
      <c r="G42" s="4161"/>
      <c r="H42" s="4161"/>
      <c r="I42" s="4174"/>
      <c r="J42" s="4161"/>
      <c r="K42" s="4161"/>
      <c r="L42" s="557" t="s">
        <v>7</v>
      </c>
      <c r="M42" s="557" t="s">
        <v>8</v>
      </c>
      <c r="N42" s="547"/>
      <c r="P42" s="275" t="e">
        <f t="shared" si="0"/>
        <v>#VALUE!</v>
      </c>
      <c r="Q42" s="274" t="e">
        <f t="shared" si="1"/>
        <v>#VALUE!</v>
      </c>
      <c r="S42" s="274" t="e">
        <f t="shared" si="2"/>
        <v>#VALUE!</v>
      </c>
    </row>
    <row r="43" spans="1:19" s="546" customFormat="1" hidden="1">
      <c r="A43" s="558"/>
      <c r="B43" s="559" t="s">
        <v>20</v>
      </c>
      <c r="C43" s="560"/>
      <c r="D43" s="560"/>
      <c r="E43" s="560"/>
      <c r="F43" s="560"/>
      <c r="G43" s="561"/>
      <c r="H43" s="561"/>
      <c r="I43" s="1322"/>
      <c r="J43" s="561"/>
      <c r="K43" s="561"/>
      <c r="L43" s="562"/>
      <c r="M43" s="562"/>
      <c r="N43" s="547"/>
      <c r="P43" s="275" t="e">
        <f t="shared" si="0"/>
        <v>#VALUE!</v>
      </c>
      <c r="Q43" s="274" t="e">
        <f t="shared" si="1"/>
        <v>#VALUE!</v>
      </c>
      <c r="S43" s="274" t="e">
        <f t="shared" si="2"/>
        <v>#VALUE!</v>
      </c>
    </row>
    <row r="44" spans="1:19" s="546" customFormat="1" hidden="1">
      <c r="A44" s="558"/>
      <c r="B44" s="560" t="s">
        <v>3480</v>
      </c>
      <c r="C44" s="558"/>
      <c r="D44" s="558"/>
      <c r="E44" s="558"/>
      <c r="F44" s="558"/>
      <c r="G44" s="561"/>
      <c r="H44" s="561"/>
      <c r="I44" s="1322"/>
      <c r="J44" s="561"/>
      <c r="K44" s="561"/>
      <c r="L44" s="562"/>
      <c r="M44" s="562"/>
      <c r="N44" s="547"/>
      <c r="P44" s="275" t="e">
        <f t="shared" si="0"/>
        <v>#VALUE!</v>
      </c>
      <c r="Q44" s="274" t="e">
        <f t="shared" si="1"/>
        <v>#VALUE!</v>
      </c>
      <c r="S44" s="274" t="e">
        <f t="shared" si="2"/>
        <v>#VALUE!</v>
      </c>
    </row>
    <row r="45" spans="1:19" s="546" customFormat="1" hidden="1">
      <c r="A45" s="558"/>
      <c r="B45" s="560" t="s">
        <v>3211</v>
      </c>
      <c r="C45" s="558"/>
      <c r="D45" s="558"/>
      <c r="E45" s="558"/>
      <c r="F45" s="558"/>
      <c r="G45" s="561"/>
      <c r="H45" s="561"/>
      <c r="I45" s="1322"/>
      <c r="J45" s="561"/>
      <c r="K45" s="561"/>
      <c r="L45" s="562"/>
      <c r="M45" s="562"/>
      <c r="N45" s="547"/>
      <c r="P45" s="275" t="e">
        <f t="shared" si="0"/>
        <v>#VALUE!</v>
      </c>
      <c r="Q45" s="274" t="e">
        <f t="shared" si="1"/>
        <v>#VALUE!</v>
      </c>
      <c r="S45" s="274" t="e">
        <f t="shared" si="2"/>
        <v>#VALUE!</v>
      </c>
    </row>
    <row r="46" spans="1:19" s="546" customFormat="1" hidden="1">
      <c r="A46" s="558"/>
      <c r="B46" s="560" t="s">
        <v>526</v>
      </c>
      <c r="C46" s="558"/>
      <c r="D46" s="558"/>
      <c r="E46" s="558"/>
      <c r="F46" s="558"/>
      <c r="G46" s="561"/>
      <c r="H46" s="561"/>
      <c r="I46" s="1322"/>
      <c r="J46" s="561"/>
      <c r="K46" s="561"/>
      <c r="L46" s="562"/>
      <c r="M46" s="562"/>
      <c r="N46" s="547"/>
      <c r="P46" s="275" t="e">
        <f t="shared" si="0"/>
        <v>#VALUE!</v>
      </c>
      <c r="Q46" s="274" t="e">
        <f t="shared" si="1"/>
        <v>#VALUE!</v>
      </c>
      <c r="S46" s="274" t="e">
        <f t="shared" si="2"/>
        <v>#VALUE!</v>
      </c>
    </row>
    <row r="47" spans="1:19" s="546" customFormat="1" hidden="1">
      <c r="A47" s="563"/>
      <c r="B47" s="564"/>
      <c r="C47" s="564"/>
      <c r="D47" s="564"/>
      <c r="E47" s="564"/>
      <c r="F47" s="564"/>
      <c r="G47" s="565"/>
      <c r="H47" s="565"/>
      <c r="I47" s="1323"/>
      <c r="J47" s="555"/>
      <c r="K47" s="565"/>
      <c r="L47" s="554"/>
      <c r="M47" s="554"/>
      <c r="N47" s="547"/>
      <c r="P47" s="275">
        <f t="shared" si="0"/>
        <v>0</v>
      </c>
      <c r="Q47" s="274">
        <f t="shared" si="1"/>
        <v>0</v>
      </c>
      <c r="S47" s="274">
        <f t="shared" si="2"/>
        <v>0</v>
      </c>
    </row>
    <row r="48" spans="1:19" hidden="1">
      <c r="N48" s="275"/>
      <c r="P48" s="275">
        <f t="shared" si="0"/>
        <v>0</v>
      </c>
      <c r="Q48" s="274">
        <f t="shared" si="1"/>
        <v>0</v>
      </c>
      <c r="S48" s="274">
        <f t="shared" si="2"/>
        <v>0</v>
      </c>
    </row>
    <row r="49" spans="1:19" hidden="1">
      <c r="B49" s="300" t="s">
        <v>329</v>
      </c>
      <c r="C49" s="276"/>
      <c r="D49" s="276"/>
      <c r="E49" s="276"/>
      <c r="F49" s="276"/>
      <c r="G49" s="277"/>
      <c r="H49" s="277"/>
      <c r="I49" s="1255"/>
      <c r="J49" s="183"/>
      <c r="L49" s="276"/>
      <c r="M49" s="278"/>
      <c r="N49" s="275"/>
      <c r="P49" s="275" t="e">
        <f t="shared" si="0"/>
        <v>#VALUE!</v>
      </c>
      <c r="Q49" s="274" t="e">
        <f t="shared" si="1"/>
        <v>#VALUE!</v>
      </c>
      <c r="S49" s="274" t="e">
        <f t="shared" si="2"/>
        <v>#VALUE!</v>
      </c>
    </row>
    <row r="50" spans="1:19" hidden="1">
      <c r="B50" s="300"/>
      <c r="C50" s="279"/>
      <c r="D50" s="279"/>
      <c r="E50" s="279"/>
      <c r="F50" s="279"/>
      <c r="G50" s="277"/>
      <c r="H50" s="277"/>
      <c r="I50" s="1255"/>
      <c r="J50" s="183"/>
      <c r="L50" s="279"/>
      <c r="M50" s="278"/>
      <c r="N50" s="275"/>
      <c r="P50" s="275">
        <f t="shared" si="0"/>
        <v>0</v>
      </c>
      <c r="Q50" s="274">
        <f t="shared" si="1"/>
        <v>0</v>
      </c>
      <c r="S50" s="274">
        <f t="shared" si="2"/>
        <v>0</v>
      </c>
    </row>
    <row r="51" spans="1:19" hidden="1">
      <c r="B51" s="345" t="s">
        <v>330</v>
      </c>
      <c r="C51" s="276"/>
      <c r="D51" s="276"/>
      <c r="E51" s="276"/>
      <c r="F51" s="276"/>
      <c r="G51" s="277"/>
      <c r="H51" s="277"/>
      <c r="I51" s="1255"/>
      <c r="J51" s="183"/>
      <c r="L51" s="183"/>
      <c r="M51" s="278"/>
      <c r="N51" s="275"/>
      <c r="P51" s="275" t="e">
        <f t="shared" si="0"/>
        <v>#VALUE!</v>
      </c>
      <c r="Q51" s="274" t="e">
        <f t="shared" si="1"/>
        <v>#VALUE!</v>
      </c>
      <c r="S51" s="274" t="e">
        <f t="shared" si="2"/>
        <v>#VALUE!</v>
      </c>
    </row>
    <row r="52" spans="1:19" hidden="1">
      <c r="B52" s="345" t="s">
        <v>332</v>
      </c>
      <c r="C52" s="276"/>
      <c r="D52" s="276"/>
      <c r="E52" s="276"/>
      <c r="F52" s="276"/>
      <c r="G52" s="277"/>
      <c r="H52" s="277"/>
      <c r="I52" s="1255"/>
      <c r="J52" s="183"/>
      <c r="L52" s="276"/>
      <c r="M52" s="278"/>
      <c r="N52" s="275"/>
      <c r="P52" s="275" t="e">
        <f t="shared" si="0"/>
        <v>#VALUE!</v>
      </c>
      <c r="Q52" s="274" t="e">
        <f t="shared" si="1"/>
        <v>#VALUE!</v>
      </c>
      <c r="S52" s="274" t="e">
        <f t="shared" si="2"/>
        <v>#VALUE!</v>
      </c>
    </row>
    <row r="53" spans="1:19" hidden="1">
      <c r="B53" s="346"/>
      <c r="C53" s="276"/>
      <c r="D53" s="276"/>
      <c r="E53" s="276"/>
      <c r="F53" s="276"/>
      <c r="G53" s="277"/>
      <c r="H53" s="277"/>
      <c r="I53" s="1255"/>
      <c r="J53" s="183"/>
      <c r="L53" s="276"/>
      <c r="M53" s="171"/>
      <c r="N53" s="275"/>
      <c r="P53" s="275">
        <f t="shared" si="0"/>
        <v>0</v>
      </c>
      <c r="Q53" s="274">
        <f t="shared" si="1"/>
        <v>0</v>
      </c>
      <c r="S53" s="274">
        <f t="shared" si="2"/>
        <v>0</v>
      </c>
    </row>
    <row r="54" spans="1:19" hidden="1">
      <c r="B54" s="345" t="s">
        <v>333</v>
      </c>
      <c r="C54" s="276"/>
      <c r="D54" s="276"/>
      <c r="E54" s="276"/>
      <c r="F54" s="276"/>
      <c r="G54" s="277"/>
      <c r="H54" s="277"/>
      <c r="I54" s="1255"/>
      <c r="J54" s="183"/>
      <c r="L54" s="276"/>
      <c r="M54" s="171"/>
      <c r="N54" s="275"/>
      <c r="P54" s="275" t="e">
        <f t="shared" si="0"/>
        <v>#VALUE!</v>
      </c>
      <c r="Q54" s="274" t="e">
        <f t="shared" si="1"/>
        <v>#VALUE!</v>
      </c>
      <c r="S54" s="274" t="e">
        <f t="shared" si="2"/>
        <v>#VALUE!</v>
      </c>
    </row>
    <row r="55" spans="1:19">
      <c r="B55" s="274">
        <v>32435</v>
      </c>
      <c r="C55" s="274">
        <v>31458</v>
      </c>
      <c r="D55" s="274">
        <v>9354</v>
      </c>
      <c r="E55" s="274">
        <v>6612</v>
      </c>
      <c r="F55" s="274">
        <v>4121</v>
      </c>
      <c r="G55" s="274">
        <v>3183</v>
      </c>
      <c r="H55" s="274">
        <v>3183</v>
      </c>
      <c r="I55" s="1310">
        <f>(B55+C55+D55)/3</f>
        <v>24415.666666666668</v>
      </c>
      <c r="J55" s="275">
        <v>28.64</v>
      </c>
      <c r="K55" s="275">
        <v>1.1200000000000001</v>
      </c>
      <c r="L55" s="274">
        <v>1.07</v>
      </c>
      <c r="M55" s="274">
        <f>J55*K55*L55</f>
        <v>34.322176000000006</v>
      </c>
      <c r="N55" s="275">
        <v>1927</v>
      </c>
      <c r="O55" s="274" t="s">
        <v>3481</v>
      </c>
      <c r="P55" s="275">
        <f t="shared" si="0"/>
        <v>92273</v>
      </c>
      <c r="Q55" s="274">
        <f t="shared" si="1"/>
        <v>121565.48327272727</v>
      </c>
      <c r="R55" s="274">
        <v>34.32</v>
      </c>
      <c r="S55" s="274">
        <f t="shared" si="2"/>
        <v>4172127.3859200003</v>
      </c>
    </row>
    <row r="56" spans="1:19">
      <c r="B56" s="274">
        <v>10037</v>
      </c>
      <c r="C56" s="274">
        <v>60899</v>
      </c>
      <c r="D56" s="274">
        <v>17756</v>
      </c>
      <c r="E56" s="274">
        <v>13405</v>
      </c>
      <c r="F56" s="274">
        <v>8807</v>
      </c>
      <c r="G56" s="274">
        <v>5018</v>
      </c>
      <c r="H56" s="274">
        <v>5018</v>
      </c>
      <c r="I56" s="1310">
        <f>(B56+C56+D56)/3</f>
        <v>29564</v>
      </c>
      <c r="J56" s="275">
        <v>3.89</v>
      </c>
      <c r="K56" s="275">
        <v>1.1200000000000001</v>
      </c>
      <c r="L56" s="274">
        <v>1.07</v>
      </c>
      <c r="M56" s="274">
        <f>J56*K56*L56</f>
        <v>4.6617760000000006</v>
      </c>
      <c r="N56" s="275">
        <v>2906</v>
      </c>
      <c r="O56" s="274" t="s">
        <v>3462</v>
      </c>
      <c r="P56" s="275">
        <f t="shared" si="0"/>
        <v>123846</v>
      </c>
      <c r="Q56" s="274">
        <f t="shared" si="1"/>
        <v>163161.47563636364</v>
      </c>
      <c r="R56" s="274">
        <v>4.66</v>
      </c>
      <c r="S56" s="274">
        <f t="shared" si="2"/>
        <v>760332.47646545456</v>
      </c>
    </row>
    <row r="57" spans="1:19">
      <c r="B57" s="566">
        <f t="shared" ref="B57:H57" si="3">SUM(B33:B56)</f>
        <v>46998</v>
      </c>
      <c r="C57" s="566">
        <f t="shared" si="3"/>
        <v>249752</v>
      </c>
      <c r="D57" s="566">
        <f t="shared" si="3"/>
        <v>83724</v>
      </c>
      <c r="E57" s="566">
        <f t="shared" si="3"/>
        <v>65352</v>
      </c>
      <c r="F57" s="566">
        <f t="shared" si="3"/>
        <v>43018</v>
      </c>
      <c r="G57" s="566">
        <f t="shared" si="3"/>
        <v>30376</v>
      </c>
      <c r="H57" s="566">
        <f t="shared" si="3"/>
        <v>30376</v>
      </c>
      <c r="N57" s="566">
        <f>SUM(N33:N56)</f>
        <v>7580</v>
      </c>
      <c r="P57" s="1216">
        <f>P33+P55+P56</f>
        <v>557176</v>
      </c>
      <c r="Q57" s="566">
        <f>Q33+Q55+Q56</f>
        <v>734054.05381818186</v>
      </c>
      <c r="S57" s="566">
        <f>S33+S55+S56</f>
        <v>12278957.864149092</v>
      </c>
    </row>
    <row r="58" spans="1:19">
      <c r="B58" s="274" t="s">
        <v>3482</v>
      </c>
      <c r="D58" s="566"/>
    </row>
    <row r="59" spans="1:19">
      <c r="B59" s="274">
        <v>281.89</v>
      </c>
      <c r="C59" s="274">
        <v>207.62</v>
      </c>
      <c r="D59" s="274">
        <v>148.38999999999999</v>
      </c>
      <c r="E59" s="274">
        <v>105.72</v>
      </c>
      <c r="F59" s="274">
        <v>23.36</v>
      </c>
      <c r="G59" s="274">
        <v>11.85</v>
      </c>
      <c r="K59" s="275">
        <v>12100</v>
      </c>
      <c r="L59" s="274" t="s">
        <v>1197</v>
      </c>
    </row>
    <row r="60" spans="1:19">
      <c r="K60" s="275">
        <v>15941.2</v>
      </c>
      <c r="L60" s="274" t="s">
        <v>3483</v>
      </c>
    </row>
    <row r="61" spans="1:19">
      <c r="B61" s="274" t="s">
        <v>3484</v>
      </c>
      <c r="K61" s="1214">
        <f>K60/K59</f>
        <v>1.3174545454545454</v>
      </c>
    </row>
    <row r="62" spans="1:19">
      <c r="A62" s="274" t="s">
        <v>3485</v>
      </c>
      <c r="B62" s="274">
        <v>1119</v>
      </c>
      <c r="C62" s="274">
        <v>1210</v>
      </c>
      <c r="D62" s="274">
        <v>970</v>
      </c>
      <c r="E62" s="274">
        <v>1836</v>
      </c>
      <c r="F62" s="274">
        <v>954</v>
      </c>
      <c r="G62" s="274">
        <v>970</v>
      </c>
    </row>
    <row r="63" spans="1:19">
      <c r="A63" s="274" t="s">
        <v>3487</v>
      </c>
      <c r="B63" s="274">
        <v>1119</v>
      </c>
      <c r="C63" s="274">
        <v>1210</v>
      </c>
      <c r="D63" s="274">
        <v>970</v>
      </c>
      <c r="E63" s="274">
        <v>1836</v>
      </c>
      <c r="F63" s="274">
        <v>954</v>
      </c>
      <c r="G63" s="274">
        <v>970</v>
      </c>
    </row>
    <row r="66" spans="1:10">
      <c r="B66" s="274" t="s">
        <v>3489</v>
      </c>
    </row>
    <row r="68" spans="1:10">
      <c r="B68" s="1215">
        <f>B33*K61</f>
        <v>5962.7992727272722</v>
      </c>
    </row>
    <row r="69" spans="1:10">
      <c r="B69" s="1215">
        <f>B55*K61</f>
        <v>42731.638181818184</v>
      </c>
    </row>
    <row r="70" spans="1:10">
      <c r="B70" s="1215">
        <f>B56*K61</f>
        <v>13223.291272727272</v>
      </c>
    </row>
    <row r="72" spans="1:10">
      <c r="A72" s="1217"/>
      <c r="B72" s="1217"/>
      <c r="C72" s="1217"/>
      <c r="D72" s="1217"/>
      <c r="E72" s="1217"/>
      <c r="F72" s="1217"/>
      <c r="G72" s="1217"/>
      <c r="H72" s="1217"/>
      <c r="I72" s="1324"/>
      <c r="J72"/>
    </row>
    <row r="73" spans="1:10">
      <c r="A73" s="4169" t="s">
        <v>3495</v>
      </c>
      <c r="B73" s="4170"/>
      <c r="C73" s="4170"/>
      <c r="D73" s="4170"/>
      <c r="E73" s="4170"/>
      <c r="F73" s="4170"/>
      <c r="G73" s="4170"/>
      <c r="H73" s="4170"/>
      <c r="I73" s="1324"/>
      <c r="J73"/>
    </row>
    <row r="74" spans="1:10">
      <c r="A74" s="1218"/>
      <c r="B74" s="1219"/>
      <c r="C74" s="1219"/>
      <c r="D74" s="1219"/>
      <c r="E74" s="1219"/>
      <c r="F74" s="1219"/>
      <c r="G74" s="1219"/>
      <c r="H74" s="1220"/>
      <c r="I74" s="1324"/>
      <c r="J74"/>
    </row>
    <row r="75" spans="1:10">
      <c r="A75" s="1221" t="s">
        <v>3496</v>
      </c>
      <c r="B75" s="1221"/>
      <c r="C75" s="1221"/>
      <c r="D75" s="1221"/>
      <c r="E75" s="1221"/>
      <c r="F75" s="1221"/>
      <c r="G75" s="1221"/>
      <c r="H75" s="1221"/>
      <c r="I75" s="1324"/>
      <c r="J75"/>
    </row>
    <row r="76" spans="1:10">
      <c r="A76" s="1221"/>
      <c r="B76" s="1221"/>
      <c r="C76" s="1221"/>
      <c r="D76" s="1221"/>
      <c r="E76" s="1221"/>
      <c r="F76" s="1221"/>
      <c r="G76" s="1221"/>
      <c r="H76" s="1221"/>
      <c r="I76" s="1324"/>
      <c r="J76"/>
    </row>
    <row r="77" spans="1:10">
      <c r="A77" s="1222"/>
      <c r="B77" s="1222" t="s">
        <v>3497</v>
      </c>
      <c r="C77" s="1222"/>
      <c r="D77" s="1222"/>
      <c r="E77" s="1222"/>
      <c r="F77" s="1222"/>
      <c r="G77" s="1222"/>
      <c r="H77" s="1222"/>
      <c r="I77" s="1324"/>
      <c r="J77"/>
    </row>
    <row r="78" spans="1:10">
      <c r="A78" s="1222"/>
      <c r="B78" s="1222" t="s">
        <v>3498</v>
      </c>
      <c r="C78" s="1222"/>
      <c r="D78" s="1222"/>
      <c r="E78" s="1222"/>
      <c r="F78" s="1222"/>
      <c r="G78" s="1222"/>
      <c r="H78" s="1222"/>
      <c r="I78" s="1324"/>
      <c r="J78"/>
    </row>
    <row r="79" spans="1:10">
      <c r="A79" s="1222"/>
      <c r="B79" s="1222" t="s">
        <v>3499</v>
      </c>
      <c r="C79" s="1222"/>
      <c r="D79" s="1223"/>
      <c r="E79" s="1224"/>
      <c r="F79" s="1225">
        <v>500</v>
      </c>
      <c r="G79" s="1222"/>
      <c r="H79" s="1222"/>
      <c r="I79" s="1324"/>
      <c r="J79"/>
    </row>
    <row r="80" spans="1:10">
      <c r="A80" s="1222"/>
      <c r="B80" s="1226" t="s">
        <v>3500</v>
      </c>
      <c r="C80" s="1222"/>
      <c r="D80" s="1222"/>
      <c r="E80" s="1225">
        <v>9</v>
      </c>
      <c r="F80" s="1222"/>
      <c r="G80" s="1222"/>
      <c r="H80" s="1222"/>
      <c r="I80" s="1324"/>
      <c r="J80"/>
    </row>
    <row r="81" spans="1:13">
      <c r="A81" s="1222"/>
      <c r="B81" s="1222" t="s">
        <v>3501</v>
      </c>
      <c r="C81" s="1222"/>
      <c r="D81" s="1222"/>
      <c r="E81" s="1222"/>
      <c r="F81" s="1222"/>
      <c r="G81" s="1222"/>
      <c r="H81" s="1222"/>
      <c r="I81" s="1324"/>
      <c r="J81"/>
    </row>
    <row r="82" spans="1:13">
      <c r="A82" s="1222"/>
      <c r="B82" s="1227" t="s">
        <v>3502</v>
      </c>
      <c r="C82" s="1224"/>
      <c r="D82" s="1225">
        <v>0.6</v>
      </c>
      <c r="E82" s="1222"/>
      <c r="F82" s="1222"/>
      <c r="G82" s="1222"/>
      <c r="H82" s="1222"/>
      <c r="I82" s="1324"/>
      <c r="J82"/>
    </row>
    <row r="83" spans="1:13">
      <c r="A83" s="1222"/>
      <c r="B83" s="1227" t="s">
        <v>3503</v>
      </c>
      <c r="C83" s="1224"/>
      <c r="D83" s="1225">
        <v>0.8</v>
      </c>
      <c r="E83" s="1222"/>
      <c r="F83" s="1222"/>
      <c r="G83" s="1222"/>
      <c r="H83" s="1222"/>
      <c r="I83" s="1324"/>
      <c r="J83"/>
    </row>
    <row r="84" spans="1:13">
      <c r="A84" s="1222"/>
      <c r="B84" s="1222"/>
      <c r="C84" s="1228"/>
      <c r="D84" s="1222"/>
      <c r="E84" s="1228"/>
      <c r="F84" s="1222"/>
      <c r="G84" s="1229"/>
      <c r="H84" s="1230" t="s">
        <v>254</v>
      </c>
      <c r="I84" s="1324"/>
      <c r="J84"/>
    </row>
    <row r="85" spans="1:13" ht="36">
      <c r="A85" s="1231" t="s">
        <v>2</v>
      </c>
      <c r="B85" s="1231" t="s">
        <v>3504</v>
      </c>
      <c r="C85" s="1231" t="s">
        <v>3505</v>
      </c>
      <c r="D85" s="1231" t="s">
        <v>3506</v>
      </c>
      <c r="E85" s="1231" t="s">
        <v>3507</v>
      </c>
      <c r="F85" s="1231" t="s">
        <v>3508</v>
      </c>
      <c r="G85" s="1232" t="s">
        <v>3509</v>
      </c>
      <c r="H85" s="1232" t="s">
        <v>3510</v>
      </c>
      <c r="I85" s="1263" t="s">
        <v>3511</v>
      </c>
      <c r="J85" s="1231" t="s">
        <v>3512</v>
      </c>
      <c r="K85" s="1533" t="s">
        <v>3459</v>
      </c>
    </row>
    <row r="86" spans="1:13">
      <c r="A86" s="1233" t="s">
        <v>3513</v>
      </c>
      <c r="B86" s="1234" t="s">
        <v>3514</v>
      </c>
      <c r="C86" s="1235">
        <v>19</v>
      </c>
      <c r="D86" s="1241">
        <f>F79*E80*C86*D83</f>
        <v>68400</v>
      </c>
      <c r="E86" s="1236">
        <f>$R$16</f>
        <v>0</v>
      </c>
      <c r="F86" s="1235">
        <f>D86*E86</f>
        <v>0</v>
      </c>
      <c r="G86" s="1237">
        <f>J86*10%</f>
        <v>179585.54331673688</v>
      </c>
      <c r="H86" s="1237">
        <f>J86-G86</f>
        <v>1616269.8898506318</v>
      </c>
      <c r="I86" s="1250">
        <f>$T$15</f>
        <v>0</v>
      </c>
      <c r="J86" s="1241">
        <f>SUM(J87:J89)</f>
        <v>1795855.4331673686</v>
      </c>
      <c r="K86" s="1531">
        <f>D87+D91+D95</f>
        <v>95779.455895477789</v>
      </c>
      <c r="L86" s="274">
        <f>(D86+D90+D94)/3</f>
        <v>68400</v>
      </c>
      <c r="M86" s="274">
        <f>ROUND(K86/3,2)</f>
        <v>31926.49</v>
      </c>
    </row>
    <row r="87" spans="1:13">
      <c r="A87" s="1233"/>
      <c r="B87" s="1234"/>
      <c r="C87" s="1235"/>
      <c r="D87" s="1235">
        <f>D86*B143/100</f>
        <v>6587.0547682880124</v>
      </c>
      <c r="E87" s="1236"/>
      <c r="F87" s="1235"/>
      <c r="G87" s="1237"/>
      <c r="H87" s="1237"/>
      <c r="I87" s="1247">
        <v>16.350000000000001</v>
      </c>
      <c r="J87" s="1235">
        <f>D87*I87</f>
        <v>107698.34546150902</v>
      </c>
      <c r="K87" s="1531">
        <f>D88+D92+D96</f>
        <v>63513.916223650456</v>
      </c>
      <c r="M87" s="1546">
        <f>ROUND(K87/3,2)</f>
        <v>21171.31</v>
      </c>
    </row>
    <row r="88" spans="1:13">
      <c r="A88" s="1233"/>
      <c r="B88" s="1234"/>
      <c r="C88" s="1235"/>
      <c r="D88" s="1235">
        <f>D86*B144/100</f>
        <v>47205.285331290688</v>
      </c>
      <c r="E88" s="1236"/>
      <c r="F88" s="1235"/>
      <c r="G88" s="1237"/>
      <c r="H88" s="1237"/>
      <c r="I88" s="1247">
        <v>34.32</v>
      </c>
      <c r="J88" s="1235">
        <f>D88*I88</f>
        <v>1620085.3925698965</v>
      </c>
      <c r="K88" s="1531">
        <f>D89+D93+D97</f>
        <v>45906.627880871747</v>
      </c>
      <c r="M88" s="274">
        <f>ROUND(K88/3,2)</f>
        <v>15302.21</v>
      </c>
    </row>
    <row r="89" spans="1:13">
      <c r="A89" s="1233"/>
      <c r="B89" s="1234"/>
      <c r="C89" s="1235"/>
      <c r="D89" s="1235">
        <f>D86*B145/100</f>
        <v>14607.659900421293</v>
      </c>
      <c r="E89" s="1236"/>
      <c r="F89" s="1235"/>
      <c r="G89" s="1237"/>
      <c r="H89" s="1237"/>
      <c r="I89" s="1247">
        <v>4.66</v>
      </c>
      <c r="J89" s="1235">
        <f>D89*I89</f>
        <v>68071.695135963222</v>
      </c>
      <c r="K89" s="1531">
        <f>K86+K87+K88</f>
        <v>205200</v>
      </c>
      <c r="L89" s="1245">
        <f>D86+D90+D94</f>
        <v>205200</v>
      </c>
    </row>
    <row r="90" spans="1:13">
      <c r="A90" s="1233" t="s">
        <v>3515</v>
      </c>
      <c r="B90" s="1234" t="s">
        <v>3516</v>
      </c>
      <c r="C90" s="1235">
        <v>20</v>
      </c>
      <c r="D90" s="1241">
        <f>F79*E80*C90*D83</f>
        <v>72000</v>
      </c>
      <c r="E90" s="1236">
        <f>$R$16</f>
        <v>0</v>
      </c>
      <c r="F90" s="1235">
        <f>D90*E90</f>
        <v>0</v>
      </c>
      <c r="G90" s="1237">
        <f>J90*10%</f>
        <v>113493.46663890581</v>
      </c>
      <c r="H90" s="1237">
        <f>J90-G90</f>
        <v>1021441.1997501523</v>
      </c>
      <c r="I90" s="1250">
        <f>$T$15</f>
        <v>0</v>
      </c>
      <c r="J90" s="1241">
        <f>SUM(J91:J93)</f>
        <v>1134934.6663890581</v>
      </c>
    </row>
    <row r="91" spans="1:13">
      <c r="A91" s="1233"/>
      <c r="B91" s="1234"/>
      <c r="C91" s="1235"/>
      <c r="D91" s="1235">
        <f>D90*C143/100</f>
        <v>45374.771773599408</v>
      </c>
      <c r="E91" s="1236"/>
      <c r="F91" s="1235"/>
      <c r="G91" s="1237"/>
      <c r="H91" s="1237"/>
      <c r="I91" s="1247">
        <v>16.350000000000001</v>
      </c>
      <c r="J91" s="1235">
        <f>D91*I91</f>
        <v>741877.5184983504</v>
      </c>
    </row>
    <row r="92" spans="1:13">
      <c r="A92" s="1233"/>
      <c r="B92" s="1234"/>
      <c r="C92" s="1235"/>
      <c r="D92" s="1235">
        <f>D90*C144/100</f>
        <v>9068.9003491463536</v>
      </c>
      <c r="E92" s="1236"/>
      <c r="F92" s="1235"/>
      <c r="G92" s="1237"/>
      <c r="H92" s="1237"/>
      <c r="I92" s="1247">
        <v>34.32</v>
      </c>
      <c r="J92" s="1235">
        <f>D92*I92</f>
        <v>311244.65998270287</v>
      </c>
    </row>
    <row r="93" spans="1:13">
      <c r="A93" s="1233"/>
      <c r="B93" s="1234"/>
      <c r="C93" s="1235"/>
      <c r="D93" s="1235">
        <f>D90*C145/100</f>
        <v>17556.327877254236</v>
      </c>
      <c r="E93" s="1236"/>
      <c r="F93" s="1235"/>
      <c r="G93" s="1237"/>
      <c r="H93" s="1237"/>
      <c r="I93" s="1247">
        <v>4.66</v>
      </c>
      <c r="J93" s="1235">
        <f>D93*I93</f>
        <v>81812.487908004739</v>
      </c>
    </row>
    <row r="94" spans="1:13">
      <c r="A94" s="1233" t="s">
        <v>3517</v>
      </c>
      <c r="B94" s="1234" t="s">
        <v>3389</v>
      </c>
      <c r="C94" s="1235">
        <v>18</v>
      </c>
      <c r="D94" s="1241">
        <f>F79*E80*D83*C94</f>
        <v>64800</v>
      </c>
      <c r="E94" s="1236">
        <f>$R$16</f>
        <v>0</v>
      </c>
      <c r="F94" s="1235">
        <f>D94*E94</f>
        <v>0</v>
      </c>
      <c r="G94" s="1237">
        <f>J94*10%</f>
        <v>102892.64950551816</v>
      </c>
      <c r="H94" s="1237">
        <f>J94-G94</f>
        <v>926033.84554966341</v>
      </c>
      <c r="I94" s="1250">
        <f>$T$15</f>
        <v>0</v>
      </c>
      <c r="J94" s="1241">
        <f>SUM(J95:J97)</f>
        <v>1028926.4950551816</v>
      </c>
      <c r="K94" s="1246">
        <f>J86+J90+J94</f>
        <v>3959716.594611608</v>
      </c>
    </row>
    <row r="95" spans="1:13">
      <c r="A95" s="1233"/>
      <c r="B95" s="1234"/>
      <c r="C95" s="1235"/>
      <c r="D95" s="1235">
        <f>D94*D143/100</f>
        <v>43817.629353590375</v>
      </c>
      <c r="E95" s="1236"/>
      <c r="F95" s="1235"/>
      <c r="G95" s="1237"/>
      <c r="H95" s="1237"/>
      <c r="I95" s="1247">
        <v>16.350000000000001</v>
      </c>
      <c r="J95" s="1235">
        <f>D95*I95</f>
        <v>716418.23993120273</v>
      </c>
    </row>
    <row r="96" spans="1:13">
      <c r="A96" s="1233"/>
      <c r="B96" s="1234"/>
      <c r="C96" s="1235"/>
      <c r="D96" s="1235">
        <f>D94*D144/100</f>
        <v>7239.7305432134153</v>
      </c>
      <c r="E96" s="1236"/>
      <c r="F96" s="1235"/>
      <c r="G96" s="1237"/>
      <c r="H96" s="1237"/>
      <c r="I96" s="1247">
        <v>34.32</v>
      </c>
      <c r="J96" s="1235">
        <f>D96*I96</f>
        <v>248467.55224308441</v>
      </c>
    </row>
    <row r="97" spans="1:13">
      <c r="A97" s="1233"/>
      <c r="B97" s="1234"/>
      <c r="C97" s="1235"/>
      <c r="D97" s="1235">
        <f>D94*D145/100</f>
        <v>13742.640103196216</v>
      </c>
      <c r="E97" s="1236"/>
      <c r="F97" s="1235"/>
      <c r="G97" s="1237"/>
      <c r="H97" s="1237"/>
      <c r="I97" s="1247">
        <v>4.66</v>
      </c>
      <c r="J97" s="1235">
        <f>D97*I97</f>
        <v>64040.702880894365</v>
      </c>
    </row>
    <row r="98" spans="1:13">
      <c r="A98" s="1233"/>
      <c r="B98" s="1234" t="s">
        <v>3459</v>
      </c>
      <c r="C98" s="1235"/>
      <c r="D98" s="1241">
        <f>SUM(D86:D94)</f>
        <v>345600</v>
      </c>
      <c r="E98" s="1236"/>
      <c r="F98" s="1235"/>
      <c r="G98" s="1237"/>
      <c r="H98" s="1237"/>
      <c r="I98" s="1248"/>
      <c r="J98" s="1235"/>
      <c r="L98" s="274" t="s">
        <v>3518</v>
      </c>
      <c r="M98" s="275" t="s">
        <v>3519</v>
      </c>
    </row>
    <row r="99" spans="1:13">
      <c r="A99" s="1233" t="s">
        <v>3520</v>
      </c>
      <c r="B99" s="1234" t="s">
        <v>3521</v>
      </c>
      <c r="C99" s="1235">
        <v>22</v>
      </c>
      <c r="D99" s="1241">
        <f>F79*E80*D83*C99</f>
        <v>79200</v>
      </c>
      <c r="E99" s="1236">
        <f>$R$16</f>
        <v>0</v>
      </c>
      <c r="F99" s="1235">
        <f>D99*E99</f>
        <v>0</v>
      </c>
      <c r="G99" s="1237">
        <f>J99*10%</f>
        <v>124900.50264414251</v>
      </c>
      <c r="H99" s="1237">
        <f>J99-G99</f>
        <v>1124104.5237972825</v>
      </c>
      <c r="I99" s="1248">
        <f>$T$15</f>
        <v>0</v>
      </c>
      <c r="J99" s="1241">
        <f>J100+J101+J102</f>
        <v>1249005.0264414251</v>
      </c>
      <c r="K99" s="275" t="s">
        <v>3468</v>
      </c>
      <c r="L99" s="1245">
        <f>D100+D104+D108+D112+D116</f>
        <v>195231.58303415487</v>
      </c>
      <c r="M99" s="1215">
        <f>ROUND(L99/5,2)</f>
        <v>39046.32</v>
      </c>
    </row>
    <row r="100" spans="1:13">
      <c r="A100" s="1233"/>
      <c r="B100" s="1239">
        <f>D99+D103+D107+D111+D115</f>
        <v>300600</v>
      </c>
      <c r="C100" s="1235"/>
      <c r="D100" s="1235">
        <f>D99*E143/100</f>
        <v>54941.424899008452</v>
      </c>
      <c r="E100" s="1236"/>
      <c r="F100" s="1235"/>
      <c r="G100" s="1237"/>
      <c r="H100" s="1237"/>
      <c r="I100" s="1247">
        <v>16.350000000000001</v>
      </c>
      <c r="J100" s="1235">
        <f>D100*I100</f>
        <v>898292.29709878832</v>
      </c>
      <c r="L100" s="1245">
        <f>D101+D105+D109+D113+D117</f>
        <v>38845.438445619628</v>
      </c>
      <c r="M100" s="1215">
        <f>ROUND(L100/5,2)</f>
        <v>7769.09</v>
      </c>
    </row>
    <row r="101" spans="1:13">
      <c r="A101" s="1233"/>
      <c r="B101" s="1234"/>
      <c r="C101" s="1235"/>
      <c r="D101" s="1235">
        <f>D99*E144/100</f>
        <v>8013.0738156445095</v>
      </c>
      <c r="E101" s="1236"/>
      <c r="F101" s="1235"/>
      <c r="G101" s="1237"/>
      <c r="H101" s="1237"/>
      <c r="I101" s="1247">
        <v>34.32</v>
      </c>
      <c r="J101" s="1235">
        <f>D101*I101</f>
        <v>275008.6933529196</v>
      </c>
      <c r="L101" s="1245">
        <f>D102+D106+D110+D114+D118</f>
        <v>66522.978520225486</v>
      </c>
      <c r="M101" s="1215">
        <f>ROUND(L101/5,2)</f>
        <v>13304.6</v>
      </c>
    </row>
    <row r="102" spans="1:13">
      <c r="A102" s="1233"/>
      <c r="B102" s="1234"/>
      <c r="C102" s="1235"/>
      <c r="D102" s="1235">
        <f>D99*E145/100</f>
        <v>16245.501285347045</v>
      </c>
      <c r="E102" s="1236"/>
      <c r="F102" s="1235"/>
      <c r="G102" s="1237"/>
      <c r="H102" s="1237"/>
      <c r="I102" s="1247">
        <v>4.66</v>
      </c>
      <c r="J102" s="1235">
        <f>D102*I102</f>
        <v>75704.035989717231</v>
      </c>
      <c r="L102" s="1245">
        <f>L99+L100+L101</f>
        <v>300600</v>
      </c>
      <c r="M102" s="274">
        <f>L102/5</f>
        <v>60120</v>
      </c>
    </row>
    <row r="103" spans="1:13">
      <c r="A103" s="1233" t="s">
        <v>3522</v>
      </c>
      <c r="B103" s="1234" t="s">
        <v>3391</v>
      </c>
      <c r="C103" s="1235">
        <v>18</v>
      </c>
      <c r="D103" s="1241">
        <f>F79*E80*D82*C103</f>
        <v>48600</v>
      </c>
      <c r="E103" s="1236">
        <f>$R$16</f>
        <v>0</v>
      </c>
      <c r="F103" s="1235">
        <f>D103*E103</f>
        <v>0</v>
      </c>
      <c r="G103" s="1237">
        <f>J103*10%</f>
        <v>76196.055660421247</v>
      </c>
      <c r="H103" s="1237">
        <f>J103-G103</f>
        <v>685764.50094379112</v>
      </c>
      <c r="I103" s="1248">
        <f>$T$15</f>
        <v>0</v>
      </c>
      <c r="J103" s="1241">
        <f>J104+J105+J106</f>
        <v>761960.55660421238</v>
      </c>
    </row>
    <row r="104" spans="1:13">
      <c r="A104" s="1233"/>
      <c r="B104" s="1234"/>
      <c r="C104" s="1235"/>
      <c r="D104" s="1235">
        <f>D103*F143/100</f>
        <v>33994.467432237674</v>
      </c>
      <c r="E104" s="1236"/>
      <c r="F104" s="1235"/>
      <c r="G104" s="1237"/>
      <c r="H104" s="1237"/>
      <c r="I104" s="1247">
        <v>16.350000000000001</v>
      </c>
      <c r="J104" s="1235">
        <f>D104*I104</f>
        <v>555809.54251708603</v>
      </c>
    </row>
    <row r="105" spans="1:13">
      <c r="A105" s="1233"/>
      <c r="B105" s="1234"/>
      <c r="C105" s="1235"/>
      <c r="D105" s="1235">
        <f>D103*F144/100</f>
        <v>4655.7394579013435</v>
      </c>
      <c r="E105" s="1236"/>
      <c r="F105" s="1235"/>
      <c r="G105" s="1237"/>
      <c r="H105" s="1237"/>
      <c r="I105" s="1247">
        <v>34.32</v>
      </c>
      <c r="J105" s="1235">
        <f>D105*I105</f>
        <v>159784.9781951741</v>
      </c>
    </row>
    <row r="106" spans="1:13">
      <c r="A106" s="1233"/>
      <c r="B106" s="1234"/>
      <c r="C106" s="1235"/>
      <c r="D106" s="1235">
        <f>D103*F145/100</f>
        <v>9949.7931098609879</v>
      </c>
      <c r="E106" s="1236"/>
      <c r="F106" s="1235"/>
      <c r="G106" s="1237"/>
      <c r="H106" s="1237"/>
      <c r="I106" s="1247">
        <v>4.66</v>
      </c>
      <c r="J106" s="1235">
        <f>D106*I106</f>
        <v>46366.035891952204</v>
      </c>
    </row>
    <row r="107" spans="1:13">
      <c r="A107" s="1233" t="s">
        <v>3523</v>
      </c>
      <c r="B107" s="1234" t="s">
        <v>3392</v>
      </c>
      <c r="C107" s="1235">
        <v>22</v>
      </c>
      <c r="D107" s="1241">
        <f>F79*E80*D82*C107</f>
        <v>59400</v>
      </c>
      <c r="E107" s="1236">
        <f>$R$16</f>
        <v>0</v>
      </c>
      <c r="F107" s="1235">
        <f>D107*E107</f>
        <v>0</v>
      </c>
      <c r="G107" s="1237">
        <f>J107*10%</f>
        <v>96833.12478930736</v>
      </c>
      <c r="H107" s="1237">
        <f>J107-G107</f>
        <v>871498.12310376612</v>
      </c>
      <c r="I107" s="1248">
        <f>$T$15</f>
        <v>0</v>
      </c>
      <c r="J107" s="1241">
        <f>J108+J109+J110</f>
        <v>968331.24789307348</v>
      </c>
    </row>
    <row r="108" spans="1:13">
      <c r="A108" s="1233"/>
      <c r="B108" s="1234"/>
      <c r="C108" s="1235"/>
      <c r="D108" s="1235">
        <f>D107*G143/100</f>
        <v>43363.016855412163</v>
      </c>
      <c r="E108" s="1236"/>
      <c r="F108" s="1235"/>
      <c r="G108" s="1237"/>
      <c r="H108" s="1237"/>
      <c r="I108" s="1247">
        <v>16.350000000000001</v>
      </c>
      <c r="J108" s="1235">
        <f>D108*I108</f>
        <v>708985.32558598893</v>
      </c>
    </row>
    <row r="109" spans="1:13">
      <c r="A109" s="1233"/>
      <c r="B109" s="1234"/>
      <c r="C109" s="1235"/>
      <c r="D109" s="1235">
        <f>D107*G144/100</f>
        <v>6224.3284171714513</v>
      </c>
      <c r="E109" s="1236"/>
      <c r="F109" s="1235"/>
      <c r="G109" s="1237"/>
      <c r="H109" s="1237"/>
      <c r="I109" s="1247">
        <v>34.32</v>
      </c>
      <c r="J109" s="1235">
        <f>D109*I109</f>
        <v>213618.9512773242</v>
      </c>
    </row>
    <row r="110" spans="1:13">
      <c r="A110" s="1233"/>
      <c r="B110" s="1234"/>
      <c r="C110" s="1235"/>
      <c r="D110" s="1235">
        <f>D107*G145/100</f>
        <v>9812.6547274163822</v>
      </c>
      <c r="E110" s="1236"/>
      <c r="F110" s="1235"/>
      <c r="G110" s="1237"/>
      <c r="H110" s="1237"/>
      <c r="I110" s="1247">
        <v>4.66</v>
      </c>
      <c r="J110" s="1235">
        <f>D110*I110</f>
        <v>45726.971029760345</v>
      </c>
    </row>
    <row r="111" spans="1:13">
      <c r="A111" s="1233" t="s">
        <v>3524</v>
      </c>
      <c r="B111" s="1234" t="s">
        <v>3393</v>
      </c>
      <c r="C111" s="1235">
        <v>22</v>
      </c>
      <c r="D111" s="1241">
        <f>F79*E80*D82*C111</f>
        <v>59400</v>
      </c>
      <c r="E111" s="1236">
        <f>$R$16</f>
        <v>0</v>
      </c>
      <c r="F111" s="1235">
        <f>D111*E111</f>
        <v>0</v>
      </c>
      <c r="G111" s="1237">
        <f>J111*10%</f>
        <v>96833.12478930736</v>
      </c>
      <c r="H111" s="1237">
        <f>J111-G111</f>
        <v>871498.12310376612</v>
      </c>
      <c r="I111" s="1248">
        <f>$T$15</f>
        <v>0</v>
      </c>
      <c r="J111" s="1241">
        <f>J112+J113+J114</f>
        <v>968331.24789307348</v>
      </c>
    </row>
    <row r="112" spans="1:13">
      <c r="A112" s="1233"/>
      <c r="B112" s="1234"/>
      <c r="C112" s="1235"/>
      <c r="D112" s="1235">
        <f>D111*H143/100</f>
        <v>43363.016855412163</v>
      </c>
      <c r="E112" s="1236"/>
      <c r="F112" s="1235"/>
      <c r="G112" s="1237"/>
      <c r="H112" s="1237"/>
      <c r="I112" s="1247">
        <v>16.350000000000001</v>
      </c>
      <c r="J112" s="1235">
        <f>D112*I112</f>
        <v>708985.32558598893</v>
      </c>
    </row>
    <row r="113" spans="1:12">
      <c r="A113" s="1233"/>
      <c r="B113" s="1234"/>
      <c r="C113" s="1235"/>
      <c r="D113" s="1235">
        <f>D111*H144/100</f>
        <v>6224.3284171714513</v>
      </c>
      <c r="E113" s="1236"/>
      <c r="F113" s="1235"/>
      <c r="G113" s="1237"/>
      <c r="H113" s="1237"/>
      <c r="I113" s="1247">
        <v>34.32</v>
      </c>
      <c r="J113" s="1235">
        <f>D113*I113</f>
        <v>213618.9512773242</v>
      </c>
    </row>
    <row r="114" spans="1:12">
      <c r="A114" s="1233"/>
      <c r="B114" s="1234"/>
      <c r="C114" s="1235"/>
      <c r="D114" s="1235">
        <f>D111*H145/100</f>
        <v>9812.6547274163822</v>
      </c>
      <c r="E114" s="1236"/>
      <c r="F114" s="1235"/>
      <c r="G114" s="1237"/>
      <c r="H114" s="1237"/>
      <c r="I114" s="1247">
        <v>4.66</v>
      </c>
      <c r="J114" s="1235">
        <f>D114*I114</f>
        <v>45726.971029760345</v>
      </c>
    </row>
    <row r="115" spans="1:12">
      <c r="A115" s="1233" t="s">
        <v>3525</v>
      </c>
      <c r="B115" s="1234" t="s">
        <v>3526</v>
      </c>
      <c r="C115" s="1235">
        <v>20</v>
      </c>
      <c r="D115" s="1241">
        <f>F79*E80*D82*C115</f>
        <v>54000</v>
      </c>
      <c r="E115" s="1236">
        <f>$R$16</f>
        <v>0</v>
      </c>
      <c r="F115" s="1235">
        <f>D115*E115</f>
        <v>0</v>
      </c>
      <c r="G115" s="1237">
        <f>J115*10%</f>
        <v>88758.08311345648</v>
      </c>
      <c r="H115" s="1237">
        <f>J115-G115</f>
        <v>798822.74802110821</v>
      </c>
      <c r="I115" s="1248">
        <f>$T$15</f>
        <v>0</v>
      </c>
      <c r="J115" s="1241">
        <f>J116+J117+J118</f>
        <v>887580.83113456471</v>
      </c>
    </row>
    <row r="116" spans="1:12">
      <c r="A116" s="1233"/>
      <c r="B116" s="1234"/>
      <c r="C116" s="1235"/>
      <c r="D116" s="1235">
        <f>D115*I143/100</f>
        <v>19569.656992084434</v>
      </c>
      <c r="E116" s="1236"/>
      <c r="F116" s="1235"/>
      <c r="G116" s="1237"/>
      <c r="H116" s="1237"/>
      <c r="I116" s="1247">
        <v>16.350000000000001</v>
      </c>
      <c r="J116" s="1235">
        <f>D116*I116</f>
        <v>319963.89182058052</v>
      </c>
    </row>
    <row r="117" spans="1:12">
      <c r="A117" s="1233"/>
      <c r="B117" s="1234"/>
      <c r="C117" s="1235"/>
      <c r="D117" s="1235">
        <f>D115*I144/100</f>
        <v>13727.96833773087</v>
      </c>
      <c r="E117" s="1236"/>
      <c r="F117" s="1235"/>
      <c r="G117" s="1237"/>
      <c r="H117" s="1237"/>
      <c r="I117" s="1247">
        <v>34.32</v>
      </c>
      <c r="J117" s="1235">
        <f>D117*I117</f>
        <v>471143.87335092347</v>
      </c>
    </row>
    <row r="118" spans="1:12">
      <c r="A118" s="1233"/>
      <c r="B118" s="1234"/>
      <c r="C118" s="1235"/>
      <c r="D118" s="1235">
        <f>D115*I145/100</f>
        <v>20702.374670184694</v>
      </c>
      <c r="E118" s="1236"/>
      <c r="F118" s="1235"/>
      <c r="G118" s="1237"/>
      <c r="H118" s="1237"/>
      <c r="I118" s="1247">
        <v>4.66</v>
      </c>
      <c r="J118" s="1235">
        <f>D118*I118</f>
        <v>96473.065963060682</v>
      </c>
    </row>
    <row r="119" spans="1:12">
      <c r="A119" s="1233" t="s">
        <v>3527</v>
      </c>
      <c r="B119" s="1234" t="s">
        <v>3528</v>
      </c>
      <c r="C119" s="1235">
        <v>21</v>
      </c>
      <c r="D119" s="1241">
        <f>F79*E80*D82*C119</f>
        <v>56700</v>
      </c>
      <c r="E119" s="1236">
        <f>$R$16</f>
        <v>0</v>
      </c>
      <c r="F119" s="1239">
        <f>D119*E119</f>
        <v>0</v>
      </c>
      <c r="G119" s="1237">
        <f>J119*10%</f>
        <v>74340.614634146332</v>
      </c>
      <c r="H119" s="1237">
        <f>J119-G119</f>
        <v>669065.53170731699</v>
      </c>
      <c r="I119" s="1248">
        <f>$T$15</f>
        <v>0</v>
      </c>
      <c r="J119" s="1329">
        <f>J120+J121+J122</f>
        <v>743406.14634146332</v>
      </c>
      <c r="K119" s="275" t="s">
        <v>3464</v>
      </c>
    </row>
    <row r="120" spans="1:12">
      <c r="A120" s="1233"/>
      <c r="B120" s="1234"/>
      <c r="C120" s="1235"/>
      <c r="D120" s="1235">
        <f>D119*J143/100</f>
        <v>4148.7804878048782</v>
      </c>
      <c r="E120" s="1236"/>
      <c r="F120" s="1239"/>
      <c r="G120" s="1237"/>
      <c r="H120" s="1237"/>
      <c r="I120" s="1247">
        <v>16.350000000000001</v>
      </c>
      <c r="J120" s="1239">
        <f>D120*I120</f>
        <v>67832.560975609769</v>
      </c>
      <c r="K120" s="1246">
        <f>D120+D124+D128+D132</f>
        <v>27172.602765109041</v>
      </c>
      <c r="L120" s="274">
        <f>ROUND(K120/4,2)</f>
        <v>6793.15</v>
      </c>
    </row>
    <row r="121" spans="1:12">
      <c r="A121" s="1233"/>
      <c r="B121" s="1234"/>
      <c r="C121" s="1235"/>
      <c r="D121" s="1235">
        <f>D119*J144/100</f>
        <v>14520.731707317073</v>
      </c>
      <c r="E121" s="1236"/>
      <c r="F121" s="1239"/>
      <c r="G121" s="1237"/>
      <c r="H121" s="1237"/>
      <c r="I121" s="1247">
        <v>34.32</v>
      </c>
      <c r="J121" s="1239">
        <f>D121*I121</f>
        <v>498351.5121951219</v>
      </c>
      <c r="K121" s="1246">
        <f>D121+D125+D129+D133</f>
        <v>169777.09276783155</v>
      </c>
      <c r="L121" s="274">
        <f>ROUND(K121/4,2)</f>
        <v>42444.27</v>
      </c>
    </row>
    <row r="122" spans="1:12">
      <c r="A122" s="1233"/>
      <c r="B122" s="1234"/>
      <c r="C122" s="1235"/>
      <c r="D122" s="1235">
        <f>D119*J145/100</f>
        <v>38030.487804878052</v>
      </c>
      <c r="E122" s="1236"/>
      <c r="F122" s="1239"/>
      <c r="G122" s="1237"/>
      <c r="H122" s="1237"/>
      <c r="I122" s="1247">
        <v>4.66</v>
      </c>
      <c r="J122" s="1239">
        <f>D122*I122</f>
        <v>177222.07317073172</v>
      </c>
      <c r="K122" s="1246">
        <f>D122+D126+D130+D134</f>
        <v>86550.304467059395</v>
      </c>
      <c r="L122" s="274">
        <f>ROUND(K122/4,2)</f>
        <v>21637.58</v>
      </c>
    </row>
    <row r="123" spans="1:12">
      <c r="A123" s="1233" t="s">
        <v>3529</v>
      </c>
      <c r="B123" s="1234" t="s">
        <v>3530</v>
      </c>
      <c r="C123" s="1235">
        <v>22</v>
      </c>
      <c r="D123" s="1241">
        <f>F79*E80*D83*C123</f>
        <v>79200</v>
      </c>
      <c r="E123" s="1236">
        <f>$R$16</f>
        <v>0</v>
      </c>
      <c r="F123" s="1239">
        <f>D123*E123</f>
        <v>0</v>
      </c>
      <c r="G123" s="1237">
        <f>J123*10%</f>
        <v>206745.24857669466</v>
      </c>
      <c r="H123" s="1237">
        <f>J123-G123</f>
        <v>1860707.2371902519</v>
      </c>
      <c r="I123" s="1248">
        <f>$T$15</f>
        <v>0</v>
      </c>
      <c r="J123" s="1329">
        <f>J124+J125+J126</f>
        <v>2067452.4857669466</v>
      </c>
    </row>
    <row r="124" spans="1:12">
      <c r="A124" s="1233"/>
      <c r="B124" s="1234"/>
      <c r="C124" s="1235"/>
      <c r="D124" s="1235">
        <f>D123*K143/100</f>
        <v>8412.0417775957394</v>
      </c>
      <c r="E124" s="1236"/>
      <c r="F124" s="1239"/>
      <c r="G124" s="1237"/>
      <c r="H124" s="1237"/>
      <c r="I124" s="1247">
        <v>16.350000000000001</v>
      </c>
      <c r="J124" s="1239">
        <f>D124*I124</f>
        <v>137536.88306369036</v>
      </c>
    </row>
    <row r="125" spans="1:12">
      <c r="A125" s="1233"/>
      <c r="B125" s="1234"/>
      <c r="C125" s="1235"/>
      <c r="D125" s="1235">
        <f>D123*K144/100</f>
        <v>53946.180626663932</v>
      </c>
      <c r="E125" s="1236"/>
      <c r="F125" s="1239"/>
      <c r="G125" s="1237"/>
      <c r="H125" s="1237"/>
      <c r="I125" s="1247">
        <v>34.32</v>
      </c>
      <c r="J125" s="1239">
        <f>D125*I125</f>
        <v>1851432.9191071063</v>
      </c>
    </row>
    <row r="126" spans="1:12">
      <c r="A126" s="1233"/>
      <c r="B126" s="1234"/>
      <c r="C126" s="1235"/>
      <c r="D126" s="1235">
        <f>D123*K145/100</f>
        <v>16841.777595740325</v>
      </c>
      <c r="E126" s="1236"/>
      <c r="F126" s="1239"/>
      <c r="G126" s="1237"/>
      <c r="H126" s="1237"/>
      <c r="I126" s="1247">
        <v>4.66</v>
      </c>
      <c r="J126" s="1239">
        <f>D126*I126</f>
        <v>78482.683596149916</v>
      </c>
    </row>
    <row r="127" spans="1:12">
      <c r="A127" s="1233" t="s">
        <v>3531</v>
      </c>
      <c r="B127" s="1234" t="s">
        <v>3532</v>
      </c>
      <c r="C127" s="1235">
        <v>21</v>
      </c>
      <c r="D127" s="1241">
        <f>F79*E80*D83*C127</f>
        <v>75600</v>
      </c>
      <c r="E127" s="1236">
        <f>$R$16</f>
        <v>0</v>
      </c>
      <c r="F127" s="1239">
        <f>D127*E127</f>
        <v>0</v>
      </c>
      <c r="G127" s="1237">
        <f>J127*10%</f>
        <v>198081.26718540915</v>
      </c>
      <c r="H127" s="1237">
        <f>J127-G127</f>
        <v>1782731.4046686823</v>
      </c>
      <c r="I127" s="1248">
        <f>$T$15</f>
        <v>0</v>
      </c>
      <c r="J127" s="1329">
        <f>J128+J129+J130</f>
        <v>1980812.6718540913</v>
      </c>
    </row>
    <row r="128" spans="1:12">
      <c r="A128" s="1233"/>
      <c r="B128" s="1234"/>
      <c r="C128" s="1235"/>
      <c r="D128" s="1235">
        <f>D127*L143/100</f>
        <v>7586.1029885513208</v>
      </c>
      <c r="E128" s="1236"/>
      <c r="F128" s="1239"/>
      <c r="G128" s="1237"/>
      <c r="H128" s="1237"/>
      <c r="I128" s="1247">
        <v>16.350000000000001</v>
      </c>
      <c r="J128" s="1239">
        <f>D128*I128</f>
        <v>124032.7838628141</v>
      </c>
    </row>
    <row r="129" spans="1:13">
      <c r="A129" s="1233"/>
      <c r="B129" s="1234"/>
      <c r="C129" s="1235"/>
      <c r="D129" s="1235">
        <f>D127*L144/100</f>
        <v>51916.22144025375</v>
      </c>
      <c r="E129" s="1236"/>
      <c r="F129" s="1239"/>
      <c r="G129" s="1237"/>
      <c r="H129" s="1237"/>
      <c r="I129" s="1247">
        <v>34.32</v>
      </c>
      <c r="J129" s="1239">
        <f>D129*I129</f>
        <v>1781764.7198295088</v>
      </c>
    </row>
    <row r="130" spans="1:13">
      <c r="A130" s="1233"/>
      <c r="B130" s="1234"/>
      <c r="C130" s="1235"/>
      <c r="D130" s="1235">
        <f>D127*L145/100</f>
        <v>16097.675571194924</v>
      </c>
      <c r="E130" s="1236"/>
      <c r="F130" s="1239"/>
      <c r="G130" s="1237"/>
      <c r="H130" s="1237"/>
      <c r="I130" s="1247">
        <v>4.66</v>
      </c>
      <c r="J130" s="1239">
        <f>D130*I130</f>
        <v>75015.16816176835</v>
      </c>
    </row>
    <row r="131" spans="1:13">
      <c r="A131" s="1233" t="s">
        <v>3533</v>
      </c>
      <c r="B131" s="1234" t="s">
        <v>3534</v>
      </c>
      <c r="C131" s="1235">
        <v>20</v>
      </c>
      <c r="D131" s="1241">
        <f>F79*E80*D83*C131</f>
        <v>72000</v>
      </c>
      <c r="E131" s="1236">
        <f>$R$16</f>
        <v>0</v>
      </c>
      <c r="F131" s="1239">
        <f>D131*E131</f>
        <v>0</v>
      </c>
      <c r="G131" s="1237">
        <f>J131*10%</f>
        <v>188267.49938555073</v>
      </c>
      <c r="H131" s="1237">
        <f>J131-G131</f>
        <v>1694407.4944699565</v>
      </c>
      <c r="I131" s="1248">
        <f>$T$15</f>
        <v>0</v>
      </c>
      <c r="J131" s="1329">
        <f>J132+J133+J134</f>
        <v>1882674.9938555073</v>
      </c>
    </row>
    <row r="132" spans="1:13">
      <c r="A132" s="1233"/>
      <c r="B132" s="1234"/>
      <c r="C132" s="1235"/>
      <c r="D132" s="1235">
        <f>D131*M143/100</f>
        <v>7025.6775111571051</v>
      </c>
      <c r="E132" s="1236"/>
      <c r="F132" s="1239"/>
      <c r="G132" s="1237"/>
      <c r="H132" s="1237"/>
      <c r="I132" s="1247">
        <v>16.350000000000001</v>
      </c>
      <c r="J132" s="1239">
        <f>D132*I132</f>
        <v>114869.82730741867</v>
      </c>
    </row>
    <row r="133" spans="1:13">
      <c r="A133" s="1233"/>
      <c r="B133" s="1234"/>
      <c r="C133" s="1235"/>
      <c r="D133" s="1235">
        <f>D131*M144/100</f>
        <v>49393.958993596789</v>
      </c>
      <c r="E133" s="1236"/>
      <c r="F133" s="1239"/>
      <c r="G133" s="1237"/>
      <c r="H133" s="1237"/>
      <c r="I133" s="1247">
        <v>34.32</v>
      </c>
      <c r="J133" s="1239">
        <f>D133*I133</f>
        <v>1695200.6726602418</v>
      </c>
    </row>
    <row r="134" spans="1:13">
      <c r="A134" s="1233"/>
      <c r="B134" s="1234"/>
      <c r="C134" s="1235"/>
      <c r="D134" s="1235">
        <f>D131*M145/100</f>
        <v>15580.363495246102</v>
      </c>
      <c r="E134" s="1236"/>
      <c r="F134" s="1239"/>
      <c r="G134" s="1237"/>
      <c r="H134" s="1237"/>
      <c r="I134" s="1247">
        <v>4.66</v>
      </c>
      <c r="J134" s="1239">
        <f>D134*I134</f>
        <v>72604.493887846838</v>
      </c>
    </row>
    <row r="135" spans="1:13">
      <c r="A135" s="1233"/>
      <c r="B135" s="1240" t="s">
        <v>3535</v>
      </c>
      <c r="C135" s="1241">
        <f>SUM(C86:C131)</f>
        <v>245</v>
      </c>
      <c r="D135" s="1241">
        <f>SUM(D86:D131)</f>
        <v>1852199.9999999998</v>
      </c>
      <c r="E135" s="376"/>
      <c r="F135" s="1241">
        <f>SUM(F86:F131)</f>
        <v>0</v>
      </c>
      <c r="G135" s="1242">
        <f>SUM(G86:G131)</f>
        <v>1546927.1802395969</v>
      </c>
      <c r="H135" s="1242">
        <f>SUM(H86:H131)</f>
        <v>13922344.622156367</v>
      </c>
      <c r="I135" s="1271"/>
      <c r="J135" s="1241">
        <f>J86+J90+J94+J99+J103+J107+J111+J115+J119+J123+J127+J131</f>
        <v>15469271.802395968</v>
      </c>
    </row>
    <row r="136" spans="1:13">
      <c r="A136" s="1243"/>
      <c r="B136" s="1243"/>
      <c r="C136" s="1244"/>
      <c r="D136" s="1243"/>
      <c r="E136" s="1244"/>
      <c r="F136" s="1244"/>
      <c r="G136" s="1243"/>
      <c r="H136" s="1243"/>
      <c r="I136" s="1324"/>
      <c r="J136"/>
    </row>
    <row r="137" spans="1:13">
      <c r="B137" s="1206" t="s">
        <v>3471</v>
      </c>
      <c r="C137" s="1206" t="s">
        <v>3472</v>
      </c>
      <c r="D137" s="1206" t="s">
        <v>3389</v>
      </c>
      <c r="E137" s="1206" t="s">
        <v>3390</v>
      </c>
      <c r="F137" s="1206" t="s">
        <v>3391</v>
      </c>
      <c r="G137" s="1206" t="s">
        <v>3392</v>
      </c>
      <c r="H137" s="1309" t="s">
        <v>3393</v>
      </c>
      <c r="I137" s="1325" t="s">
        <v>3394</v>
      </c>
      <c r="J137" s="275" t="s">
        <v>3395</v>
      </c>
      <c r="K137" s="275" t="s">
        <v>3396</v>
      </c>
      <c r="L137" s="275" t="s">
        <v>3397</v>
      </c>
      <c r="M137" s="275" t="s">
        <v>3398</v>
      </c>
    </row>
    <row r="138" spans="1:13">
      <c r="B138" s="274">
        <v>4526</v>
      </c>
      <c r="C138" s="274">
        <v>157395</v>
      </c>
      <c r="D138" s="274">
        <v>56614</v>
      </c>
      <c r="E138" s="274">
        <v>45335</v>
      </c>
      <c r="F138" s="274">
        <v>30090</v>
      </c>
      <c r="G138" s="274">
        <v>22175</v>
      </c>
      <c r="H138" s="274">
        <v>22175</v>
      </c>
      <c r="I138" s="1325">
        <v>2747</v>
      </c>
      <c r="J138" s="275">
        <v>1200</v>
      </c>
      <c r="K138" s="274">
        <v>5705</v>
      </c>
      <c r="L138" s="274">
        <v>6074</v>
      </c>
      <c r="M138" s="274">
        <v>4526</v>
      </c>
    </row>
    <row r="139" spans="1:13">
      <c r="B139" s="274">
        <v>32435</v>
      </c>
      <c r="C139" s="274">
        <v>31458</v>
      </c>
      <c r="D139" s="274">
        <v>9354</v>
      </c>
      <c r="E139" s="274">
        <v>6612</v>
      </c>
      <c r="F139" s="274">
        <v>4121</v>
      </c>
      <c r="G139" s="274">
        <v>3183</v>
      </c>
      <c r="H139" s="274">
        <v>3183</v>
      </c>
      <c r="I139" s="1325">
        <v>1927</v>
      </c>
      <c r="J139" s="275">
        <v>4200</v>
      </c>
      <c r="K139" s="274">
        <v>36586</v>
      </c>
      <c r="L139" s="274">
        <v>41568</v>
      </c>
      <c r="M139" s="274">
        <v>31820</v>
      </c>
    </row>
    <row r="140" spans="1:13">
      <c r="B140" s="274">
        <v>10037</v>
      </c>
      <c r="C140" s="274">
        <v>60899</v>
      </c>
      <c r="D140" s="274">
        <v>17756</v>
      </c>
      <c r="E140" s="274">
        <v>13405</v>
      </c>
      <c r="F140" s="274">
        <v>8807</v>
      </c>
      <c r="G140" s="274">
        <v>5018</v>
      </c>
      <c r="H140" s="274">
        <v>5018</v>
      </c>
      <c r="I140" s="1325">
        <v>2906</v>
      </c>
      <c r="J140" s="275">
        <v>11000</v>
      </c>
      <c r="K140" s="274">
        <v>11422</v>
      </c>
      <c r="L140" s="274">
        <v>12889</v>
      </c>
      <c r="M140" s="274">
        <v>10037</v>
      </c>
    </row>
    <row r="141" spans="1:13">
      <c r="B141" s="566">
        <f t="shared" ref="B141:M141" si="4">SUM(B138:B140)</f>
        <v>46998</v>
      </c>
      <c r="C141" s="566">
        <f t="shared" si="4"/>
        <v>249752</v>
      </c>
      <c r="D141" s="566">
        <f t="shared" si="4"/>
        <v>83724</v>
      </c>
      <c r="E141" s="566">
        <f t="shared" si="4"/>
        <v>65352</v>
      </c>
      <c r="F141" s="566">
        <f t="shared" si="4"/>
        <v>43018</v>
      </c>
      <c r="G141" s="566">
        <f t="shared" si="4"/>
        <v>30376</v>
      </c>
      <c r="H141" s="566">
        <f t="shared" si="4"/>
        <v>30376</v>
      </c>
      <c r="I141" s="1326">
        <f t="shared" si="4"/>
        <v>7580</v>
      </c>
      <c r="J141" s="1216">
        <f t="shared" si="4"/>
        <v>16400</v>
      </c>
      <c r="K141" s="1216">
        <f t="shared" si="4"/>
        <v>53713</v>
      </c>
      <c r="L141" s="1216">
        <f t="shared" si="4"/>
        <v>60531</v>
      </c>
      <c r="M141" s="1216">
        <f t="shared" si="4"/>
        <v>46383</v>
      </c>
    </row>
    <row r="142" spans="1:13">
      <c r="I142" s="1327"/>
    </row>
    <row r="143" spans="1:13">
      <c r="B143" s="1215">
        <f>B138/$B$141*100</f>
        <v>9.6301970296608363</v>
      </c>
      <c r="C143" s="1215">
        <f>C138/$C$141*100</f>
        <v>63.020516352221399</v>
      </c>
      <c r="D143" s="1215">
        <f>D138/$D$141*100</f>
        <v>67.619798385170327</v>
      </c>
      <c r="E143" s="1215">
        <f>E138/$E$141*100</f>
        <v>69.370485983596524</v>
      </c>
      <c r="F143" s="1215">
        <f>F138/$F$141*100</f>
        <v>69.947463852340888</v>
      </c>
      <c r="G143" s="1215">
        <f>G138/$G$141*100</f>
        <v>73.001711877798257</v>
      </c>
      <c r="H143" s="1215">
        <f>H138/$H$141*100</f>
        <v>73.001711877798257</v>
      </c>
      <c r="I143" s="1328">
        <f>I138/$I$141*100</f>
        <v>36.240105540897098</v>
      </c>
      <c r="J143" s="1214">
        <f>J138/$J$141*100</f>
        <v>7.3170731707317067</v>
      </c>
      <c r="K143" s="1214">
        <f>K138/$K$141*100</f>
        <v>10.621264870701692</v>
      </c>
      <c r="L143" s="1215">
        <f>L138/$L$141*100</f>
        <v>10.034527762634022</v>
      </c>
      <c r="M143" s="1215">
        <f>M138/$M$141*100</f>
        <v>9.7578854321626451</v>
      </c>
    </row>
    <row r="144" spans="1:13">
      <c r="B144" s="1215">
        <f>B139/$B$141*100</f>
        <v>69.01357504574662</v>
      </c>
      <c r="C144" s="1215">
        <f>C139/$C$141*100</f>
        <v>12.595694929369936</v>
      </c>
      <c r="D144" s="1215">
        <f>D139/$D$141*100</f>
        <v>11.172423677798481</v>
      </c>
      <c r="E144" s="1215">
        <f>E139/$E$141*100</f>
        <v>10.117517443995592</v>
      </c>
      <c r="F144" s="1215">
        <f>F139/$F$141*100</f>
        <v>9.5797108187270439</v>
      </c>
      <c r="G144" s="1215">
        <f>G139/$G$141*100</f>
        <v>10.478667368975508</v>
      </c>
      <c r="H144" s="1215">
        <f>H139/$H$141*100</f>
        <v>10.478667368975508</v>
      </c>
      <c r="I144" s="1328">
        <f>I139/$I$141*100</f>
        <v>25.4221635883905</v>
      </c>
      <c r="J144" s="1214">
        <f>J139/$J$141*100</f>
        <v>25.609756097560975</v>
      </c>
      <c r="K144" s="1214">
        <f>K139/$K$141*100</f>
        <v>68.113864427605975</v>
      </c>
      <c r="L144" s="1215">
        <f>L139/$L$141*100</f>
        <v>68.672250582346237</v>
      </c>
      <c r="M144" s="1215">
        <f>M139/$M$141*100</f>
        <v>68.602720824439984</v>
      </c>
    </row>
    <row r="145" spans="2:13">
      <c r="B145" s="1215">
        <f>B140/$B$141*100</f>
        <v>21.356227924592535</v>
      </c>
      <c r="C145" s="1215">
        <f>C140/$C$141*100</f>
        <v>24.38378871840866</v>
      </c>
      <c r="D145" s="1215">
        <f>D140/$D$141*100</f>
        <v>21.207777937031196</v>
      </c>
      <c r="E145" s="1215">
        <f>E140/$E$141*100</f>
        <v>20.511996572407885</v>
      </c>
      <c r="F145" s="1215">
        <f>F140/$F$141*100</f>
        <v>20.472825328932075</v>
      </c>
      <c r="G145" s="1215">
        <f>G140/$G$141*100</f>
        <v>16.519620753226231</v>
      </c>
      <c r="H145" s="1215">
        <f>H140/$H$141*100</f>
        <v>16.519620753226231</v>
      </c>
      <c r="I145" s="1328">
        <f>I140/$I$141*100</f>
        <v>38.337730870712399</v>
      </c>
      <c r="J145" s="1214">
        <f>J140/$J$141*100</f>
        <v>67.073170731707322</v>
      </c>
      <c r="K145" s="1214">
        <f>K140/$K$141*100</f>
        <v>21.264870701692328</v>
      </c>
      <c r="L145" s="1215">
        <f>L140/$L$141*100</f>
        <v>21.293221655019742</v>
      </c>
      <c r="M145" s="1215">
        <f>M140/$M$141*100</f>
        <v>21.639393743397363</v>
      </c>
    </row>
    <row r="146" spans="2:13">
      <c r="I146" s="1327"/>
    </row>
    <row r="147" spans="2:13">
      <c r="I147" s="1327"/>
    </row>
    <row r="148" spans="2:13">
      <c r="I148" s="1327"/>
    </row>
    <row r="149" spans="2:13">
      <c r="I149" s="1327"/>
    </row>
    <row r="150" spans="2:13">
      <c r="I150" s="1327"/>
    </row>
    <row r="151" spans="2:13">
      <c r="I151" s="1327"/>
    </row>
    <row r="152" spans="2:13">
      <c r="I152" s="1327"/>
    </row>
    <row r="153" spans="2:13">
      <c r="I153" s="1325"/>
    </row>
    <row r="154" spans="2:13">
      <c r="I154" s="1325"/>
    </row>
    <row r="155" spans="2:13">
      <c r="I155" s="1325"/>
    </row>
    <row r="156" spans="2:13">
      <c r="I156" s="1325"/>
    </row>
    <row r="157" spans="2:13">
      <c r="I157" s="1325"/>
    </row>
    <row r="158" spans="2:13">
      <c r="I158" s="1325"/>
    </row>
    <row r="159" spans="2:13">
      <c r="I159" s="1325"/>
    </row>
  </sheetData>
  <mergeCells count="25">
    <mergeCell ref="G8:G9"/>
    <mergeCell ref="H8:H9"/>
    <mergeCell ref="I8:I9"/>
    <mergeCell ref="J8:J9"/>
    <mergeCell ref="A8:A9"/>
    <mergeCell ref="B8:B9"/>
    <mergeCell ref="C8:C9"/>
    <mergeCell ref="D8:E8"/>
    <mergeCell ref="F8:F9"/>
    <mergeCell ref="J41:J42"/>
    <mergeCell ref="K8:K9"/>
    <mergeCell ref="K41:K42"/>
    <mergeCell ref="L41:M41"/>
    <mergeCell ref="A73:H73"/>
    <mergeCell ref="I15:I18"/>
    <mergeCell ref="I19:I22"/>
    <mergeCell ref="A41:A42"/>
    <mergeCell ref="B41:B42"/>
    <mergeCell ref="C41:C42"/>
    <mergeCell ref="D41:E41"/>
    <mergeCell ref="G41:G42"/>
    <mergeCell ref="H41:H42"/>
    <mergeCell ref="I41:I42"/>
    <mergeCell ref="L8:M8"/>
    <mergeCell ref="I11:I14"/>
  </mergeCells>
  <pageMargins left="0" right="0" top="0" bottom="0" header="0" footer="0"/>
  <pageSetup paperSize="9" scale="74" fitToHeight="0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tabColor rgb="FF7030A0"/>
    <pageSetUpPr fitToPage="1"/>
  </sheetPr>
  <dimension ref="A1:S158"/>
  <sheetViews>
    <sheetView topLeftCell="A7" zoomScaleSheetLayoutView="100" workbookViewId="0">
      <selection activeCell="C12" sqref="C12"/>
    </sheetView>
  </sheetViews>
  <sheetFormatPr defaultColWidth="9.140625" defaultRowHeight="15.75"/>
  <cols>
    <col min="1" max="1" width="4.140625" style="274" customWidth="1"/>
    <col min="2" max="2" width="18.42578125" style="274" customWidth="1"/>
    <col min="3" max="5" width="15.7109375" style="274" customWidth="1"/>
    <col min="6" max="6" width="17.5703125" style="274" customWidth="1"/>
    <col min="7" max="7" width="18.28515625" style="274" customWidth="1"/>
    <col min="8" max="8" width="16.7109375" style="274" customWidth="1"/>
    <col min="9" max="9" width="12" style="274" customWidth="1"/>
    <col min="10" max="10" width="14.42578125" style="275" customWidth="1"/>
    <col min="11" max="11" width="14.7109375" style="275" customWidth="1"/>
    <col min="12" max="12" width="17.5703125" style="274" customWidth="1"/>
    <col min="13" max="13" width="14" style="274" customWidth="1"/>
    <col min="14" max="14" width="13.7109375" style="274" customWidth="1"/>
    <col min="15" max="15" width="14.85546875" style="274" bestFit="1" customWidth="1"/>
    <col min="16" max="16" width="14.7109375" style="274" customWidth="1"/>
    <col min="17" max="17" width="15.5703125" style="274" customWidth="1"/>
    <col min="18" max="18" width="9.140625" style="274"/>
    <col min="19" max="19" width="12.28515625" style="274" customWidth="1"/>
    <col min="20" max="16384" width="9.140625" style="274"/>
  </cols>
  <sheetData>
    <row r="1" spans="1:14">
      <c r="L1" s="275" t="s">
        <v>267</v>
      </c>
      <c r="M1" s="671" t="s">
        <v>605</v>
      </c>
    </row>
    <row r="2" spans="1:14" s="898" customFormat="1">
      <c r="A2" s="695" t="s">
        <v>3453</v>
      </c>
      <c r="B2" s="711"/>
      <c r="C2" s="711"/>
      <c r="D2" s="711"/>
      <c r="E2" s="711"/>
      <c r="F2" s="711"/>
      <c r="G2" s="711"/>
      <c r="H2" s="711"/>
      <c r="I2" s="711"/>
      <c r="J2" s="897"/>
      <c r="K2" s="897"/>
      <c r="L2" s="897"/>
      <c r="M2" s="3816" t="s">
        <v>3375</v>
      </c>
      <c r="N2" s="897"/>
    </row>
    <row r="3" spans="1:14">
      <c r="A3" s="45"/>
      <c r="B3" s="168"/>
      <c r="C3" s="168"/>
      <c r="D3" s="168"/>
      <c r="E3" s="168"/>
      <c r="F3" s="168"/>
      <c r="G3" s="168"/>
      <c r="H3" s="168"/>
      <c r="I3" s="168"/>
      <c r="J3" s="370"/>
      <c r="K3" s="370"/>
      <c r="L3" s="370"/>
      <c r="M3" s="3817"/>
      <c r="N3" s="370"/>
    </row>
    <row r="4" spans="1:14" s="898" customFormat="1">
      <c r="A4" s="656" t="s">
        <v>3536</v>
      </c>
      <c r="B4" s="899"/>
      <c r="C4" s="899"/>
      <c r="D4" s="899"/>
      <c r="E4" s="899"/>
      <c r="F4" s="899"/>
      <c r="G4" s="899"/>
      <c r="H4" s="899"/>
      <c r="I4" s="899"/>
      <c r="J4" s="897"/>
      <c r="K4" s="897"/>
      <c r="L4" s="897"/>
      <c r="M4" s="3816"/>
      <c r="N4" s="897"/>
    </row>
    <row r="5" spans="1:14">
      <c r="A5" s="168" t="s">
        <v>990</v>
      </c>
      <c r="B5" s="230"/>
      <c r="C5" s="230"/>
      <c r="D5" s="230"/>
      <c r="E5" s="230"/>
      <c r="F5" s="230"/>
      <c r="G5" s="230"/>
      <c r="H5" s="230"/>
      <c r="I5" s="230"/>
      <c r="J5" s="273"/>
      <c r="K5" s="273"/>
      <c r="L5" s="273"/>
      <c r="M5" s="273"/>
      <c r="N5" s="273"/>
    </row>
    <row r="6" spans="1:14">
      <c r="A6" s="82"/>
      <c r="B6" s="230"/>
      <c r="C6" s="230"/>
      <c r="D6" s="230"/>
      <c r="E6" s="230"/>
      <c r="F6" s="230"/>
      <c r="G6" s="230"/>
      <c r="H6" s="231"/>
      <c r="I6" s="230"/>
      <c r="J6" s="371"/>
      <c r="K6" s="273"/>
      <c r="L6" s="272"/>
      <c r="N6" s="273"/>
    </row>
    <row r="7" spans="1:14">
      <c r="A7" s="273"/>
      <c r="B7" s="273"/>
      <c r="C7" s="273"/>
      <c r="D7" s="273"/>
      <c r="E7" s="273"/>
      <c r="F7" s="273"/>
      <c r="G7" s="273"/>
      <c r="H7" s="273"/>
      <c r="I7" s="273"/>
      <c r="J7" s="371"/>
      <c r="K7" s="273"/>
      <c r="L7" s="272"/>
      <c r="M7" s="372" t="s">
        <v>254</v>
      </c>
      <c r="N7" s="273"/>
    </row>
    <row r="8" spans="1:14" ht="15.6" customHeight="1">
      <c r="A8" s="4160" t="s">
        <v>2</v>
      </c>
      <c r="B8" s="4160" t="s">
        <v>3377</v>
      </c>
      <c r="C8" s="4160" t="s">
        <v>1191</v>
      </c>
      <c r="D8" s="4162" t="s">
        <v>255</v>
      </c>
      <c r="E8" s="4163"/>
      <c r="F8" s="4160" t="s">
        <v>3455</v>
      </c>
      <c r="G8" s="4160" t="s">
        <v>3456</v>
      </c>
      <c r="H8" s="4160" t="s">
        <v>3457</v>
      </c>
      <c r="I8" s="4160" t="s">
        <v>3380</v>
      </c>
      <c r="J8" s="4160" t="s">
        <v>3381</v>
      </c>
      <c r="K8" s="4160" t="s">
        <v>3458</v>
      </c>
      <c r="L8" s="4162" t="s">
        <v>255</v>
      </c>
      <c r="M8" s="4163"/>
      <c r="N8" s="273"/>
    </row>
    <row r="9" spans="1:14" s="275" customFormat="1" ht="63.75" customHeight="1">
      <c r="A9" s="4160"/>
      <c r="B9" s="4160"/>
      <c r="C9" s="4160"/>
      <c r="D9" s="286" t="s">
        <v>7</v>
      </c>
      <c r="E9" s="286" t="s">
        <v>8</v>
      </c>
      <c r="F9" s="4160"/>
      <c r="G9" s="4160"/>
      <c r="H9" s="4160"/>
      <c r="I9" s="4160"/>
      <c r="J9" s="4160"/>
      <c r="K9" s="4160"/>
      <c r="L9" s="286" t="s">
        <v>7</v>
      </c>
      <c r="M9" s="286" t="s">
        <v>8</v>
      </c>
    </row>
    <row r="10" spans="1:14">
      <c r="A10" s="373"/>
      <c r="B10" s="374" t="s">
        <v>20</v>
      </c>
      <c r="C10" s="286">
        <f>D10+E10</f>
        <v>0</v>
      </c>
      <c r="D10" s="896"/>
      <c r="E10" s="896"/>
      <c r="F10" s="933">
        <f>F11+F15+F19</f>
        <v>0</v>
      </c>
      <c r="G10" s="933">
        <f>G11+G15+G19</f>
        <v>16.939999999999998</v>
      </c>
      <c r="H10" s="933">
        <f>H11+H15+H19</f>
        <v>231577.36</v>
      </c>
      <c r="I10" s="567">
        <f>I11+I15+I19</f>
        <v>12</v>
      </c>
      <c r="J10" s="892"/>
      <c r="K10" s="933">
        <f>K11+K15+K19</f>
        <v>17966012.509999998</v>
      </c>
      <c r="L10" s="935" t="e">
        <f>K10*D10/C10</f>
        <v>#DIV/0!</v>
      </c>
      <c r="M10" s="935" t="e">
        <f>K10-L10</f>
        <v>#DIV/0!</v>
      </c>
    </row>
    <row r="11" spans="1:14" s="566" customFormat="1">
      <c r="A11" s="286"/>
      <c r="B11" s="374" t="s">
        <v>3459</v>
      </c>
      <c r="C11" s="286" t="s">
        <v>3383</v>
      </c>
      <c r="D11" s="286" t="s">
        <v>3383</v>
      </c>
      <c r="E11" s="286" t="s">
        <v>3383</v>
      </c>
      <c r="F11" s="933">
        <f>SUM(F12:F14)</f>
        <v>0</v>
      </c>
      <c r="G11" s="933">
        <f>SUM(G12:G14)</f>
        <v>5.81</v>
      </c>
      <c r="H11" s="933">
        <f>SUM(H12:H14)</f>
        <v>79439.759999999995</v>
      </c>
      <c r="I11" s="4164">
        <v>3</v>
      </c>
      <c r="J11" s="893"/>
      <c r="K11" s="933">
        <f>SUM(K12:K14)</f>
        <v>4598814.49</v>
      </c>
      <c r="L11" s="894"/>
      <c r="M11" s="894"/>
    </row>
    <row r="12" spans="1:14">
      <c r="A12" s="373"/>
      <c r="B12" s="292" t="s">
        <v>3460</v>
      </c>
      <c r="C12" s="286">
        <v>13674.8</v>
      </c>
      <c r="D12" s="286" t="s">
        <v>3383</v>
      </c>
      <c r="E12" s="286" t="s">
        <v>3383</v>
      </c>
      <c r="F12" s="934"/>
      <c r="G12" s="934">
        <f>ROUND(H12/C12,2)</f>
        <v>2.71</v>
      </c>
      <c r="H12" s="934">
        <v>37079.42</v>
      </c>
      <c r="I12" s="4165"/>
      <c r="J12" s="934">
        <f>ROUND(13.64*1.12*1.07,2)</f>
        <v>16.350000000000001</v>
      </c>
      <c r="K12" s="936">
        <f>ROUND(H12*I11*J12,2)</f>
        <v>1818745.55</v>
      </c>
      <c r="L12" s="895"/>
      <c r="M12" s="895"/>
    </row>
    <row r="13" spans="1:14">
      <c r="A13" s="373"/>
      <c r="B13" s="292" t="s">
        <v>3461</v>
      </c>
      <c r="C13" s="286">
        <v>13674.8</v>
      </c>
      <c r="D13" s="286" t="s">
        <v>3383</v>
      </c>
      <c r="E13" s="286" t="s">
        <v>3383</v>
      </c>
      <c r="F13" s="934"/>
      <c r="G13" s="934">
        <f>ROUND(H13/C13,2)</f>
        <v>1.8</v>
      </c>
      <c r="H13" s="934">
        <v>24588.35</v>
      </c>
      <c r="I13" s="4165"/>
      <c r="J13" s="934">
        <f>ROUND(28.64*1.12*1.07,2)</f>
        <v>34.32</v>
      </c>
      <c r="K13" s="936">
        <f>ROUND(H13*I11*J13,2)</f>
        <v>2531616.52</v>
      </c>
      <c r="L13" s="895"/>
      <c r="M13" s="895"/>
    </row>
    <row r="14" spans="1:14">
      <c r="A14" s="373"/>
      <c r="B14" s="292" t="s">
        <v>3462</v>
      </c>
      <c r="C14" s="286">
        <v>13674.8</v>
      </c>
      <c r="D14" s="286" t="s">
        <v>3383</v>
      </c>
      <c r="E14" s="286" t="s">
        <v>3383</v>
      </c>
      <c r="F14" s="934"/>
      <c r="G14" s="934">
        <f>ROUND(H14/C14,2)</f>
        <v>1.3</v>
      </c>
      <c r="H14" s="934">
        <v>17771.990000000002</v>
      </c>
      <c r="I14" s="4166"/>
      <c r="J14" s="934">
        <f>ROUND(3.89*1.12*1.07,2)</f>
        <v>4.66</v>
      </c>
      <c r="K14" s="936">
        <f>ROUND(H14*I11*J14,2)</f>
        <v>248452.42</v>
      </c>
      <c r="L14" s="895"/>
      <c r="M14" s="895"/>
    </row>
    <row r="15" spans="1:14" s="566" customFormat="1">
      <c r="A15" s="286"/>
      <c r="B15" s="374" t="s">
        <v>3463</v>
      </c>
      <c r="C15" s="286" t="s">
        <v>3383</v>
      </c>
      <c r="D15" s="286" t="s">
        <v>3383</v>
      </c>
      <c r="E15" s="286" t="s">
        <v>3383</v>
      </c>
      <c r="F15" s="933">
        <f>SUM(F16:F18)</f>
        <v>0</v>
      </c>
      <c r="G15" s="933">
        <f>SUM(G16:G18)</f>
        <v>5.1099999999999994</v>
      </c>
      <c r="H15" s="933">
        <f>SUM(H16:H18)</f>
        <v>69823.37</v>
      </c>
      <c r="I15" s="4164">
        <v>5</v>
      </c>
      <c r="K15" s="933">
        <f>SUM(K16:K18)</f>
        <v>5615611.7799999993</v>
      </c>
      <c r="L15" s="894"/>
      <c r="M15" s="894"/>
    </row>
    <row r="16" spans="1:14">
      <c r="A16" s="373"/>
      <c r="B16" s="292" t="s">
        <v>3460</v>
      </c>
      <c r="C16" s="286">
        <v>13674.8</v>
      </c>
      <c r="D16" s="286" t="s">
        <v>3383</v>
      </c>
      <c r="E16" s="286" t="s">
        <v>3383</v>
      </c>
      <c r="F16" s="934"/>
      <c r="G16" s="934">
        <f>ROUND(H16/C16,2)</f>
        <v>3.32</v>
      </c>
      <c r="H16" s="934">
        <v>45348.39</v>
      </c>
      <c r="I16" s="4165"/>
      <c r="J16" s="934">
        <f>ROUND(13.64*1.12*1.07,2)</f>
        <v>16.350000000000001</v>
      </c>
      <c r="K16" s="936">
        <f>ROUND(H16*I15*J16,2)</f>
        <v>3707230.88</v>
      </c>
      <c r="L16" s="895"/>
      <c r="M16" s="895"/>
    </row>
    <row r="17" spans="1:19">
      <c r="A17" s="373"/>
      <c r="B17" s="292" t="s">
        <v>3461</v>
      </c>
      <c r="C17" s="286">
        <v>13674.8</v>
      </c>
      <c r="D17" s="286" t="s">
        <v>3383</v>
      </c>
      <c r="E17" s="286" t="s">
        <v>3383</v>
      </c>
      <c r="F17" s="934"/>
      <c r="G17" s="934">
        <f>ROUND(H17/C17,2)</f>
        <v>0.66</v>
      </c>
      <c r="H17" s="934">
        <v>9023.02</v>
      </c>
      <c r="I17" s="4165"/>
      <c r="J17" s="934">
        <f>ROUND(28.64*1.12*1.07,2)</f>
        <v>34.32</v>
      </c>
      <c r="K17" s="936">
        <f>ROUND(H17*I15*J17,2)</f>
        <v>1548350.23</v>
      </c>
      <c r="L17" s="895"/>
      <c r="M17" s="895"/>
    </row>
    <row r="18" spans="1:19">
      <c r="A18" s="373"/>
      <c r="B18" s="292" t="s">
        <v>3462</v>
      </c>
      <c r="C18" s="286">
        <v>13674.8</v>
      </c>
      <c r="D18" s="286" t="s">
        <v>3383</v>
      </c>
      <c r="E18" s="286" t="s">
        <v>3383</v>
      </c>
      <c r="F18" s="934"/>
      <c r="G18" s="934">
        <f>ROUND(H18/C18,2)</f>
        <v>1.1299999999999999</v>
      </c>
      <c r="H18" s="934">
        <v>15451.96</v>
      </c>
      <c r="I18" s="4166"/>
      <c r="J18" s="934">
        <f>ROUND(3.89*1.12*1.07,2)</f>
        <v>4.66</v>
      </c>
      <c r="K18" s="936">
        <f>ROUND(H18*I15*J18,2)</f>
        <v>360030.67</v>
      </c>
      <c r="L18" s="895"/>
      <c r="M18" s="895"/>
    </row>
    <row r="19" spans="1:19" s="566" customFormat="1">
      <c r="A19" s="286"/>
      <c r="B19" s="374" t="s">
        <v>3464</v>
      </c>
      <c r="C19" s="286" t="s">
        <v>3383</v>
      </c>
      <c r="D19" s="286" t="s">
        <v>3383</v>
      </c>
      <c r="E19" s="286" t="s">
        <v>3383</v>
      </c>
      <c r="F19" s="933">
        <f>SUM(F20:F22)</f>
        <v>0</v>
      </c>
      <c r="G19" s="933">
        <f>SUM(G20:G22)</f>
        <v>6.02</v>
      </c>
      <c r="H19" s="933">
        <f>SUM(H20:H22)</f>
        <v>82314.23</v>
      </c>
      <c r="I19" s="4164">
        <v>4</v>
      </c>
      <c r="K19" s="933">
        <f>SUM(K20:K22)</f>
        <v>7751586.2400000002</v>
      </c>
      <c r="L19" s="894"/>
      <c r="M19" s="894"/>
    </row>
    <row r="20" spans="1:19">
      <c r="A20" s="373"/>
      <c r="B20" s="292" t="s">
        <v>3460</v>
      </c>
      <c r="C20" s="286">
        <v>13674.8</v>
      </c>
      <c r="D20" s="286" t="s">
        <v>3383</v>
      </c>
      <c r="E20" s="286" t="s">
        <v>3383</v>
      </c>
      <c r="F20" s="934"/>
      <c r="G20" s="934">
        <f>ROUND(H20/C20,2)</f>
        <v>0.57999999999999996</v>
      </c>
      <c r="H20" s="934">
        <v>7889.57</v>
      </c>
      <c r="I20" s="4165"/>
      <c r="J20" s="934">
        <f>ROUND(13.64*1.12*1.07,2)</f>
        <v>16.350000000000001</v>
      </c>
      <c r="K20" s="936">
        <f>ROUND(H20*I19*J20,2)</f>
        <v>515977.88</v>
      </c>
      <c r="L20" s="895"/>
      <c r="M20" s="895"/>
    </row>
    <row r="21" spans="1:19">
      <c r="A21" s="373"/>
      <c r="B21" s="292" t="s">
        <v>3461</v>
      </c>
      <c r="C21" s="286">
        <v>13674.8</v>
      </c>
      <c r="D21" s="286" t="s">
        <v>3383</v>
      </c>
      <c r="E21" s="286" t="s">
        <v>3383</v>
      </c>
      <c r="F21" s="934"/>
      <c r="G21" s="934">
        <f>ROUND(H21/C21,2)</f>
        <v>3.6</v>
      </c>
      <c r="H21" s="934">
        <v>49294.78</v>
      </c>
      <c r="I21" s="4165"/>
      <c r="J21" s="934">
        <f>ROUND(28.64*1.12*1.07,2)</f>
        <v>34.32</v>
      </c>
      <c r="K21" s="936">
        <f>ROUND(H21*I19*J21,2)</f>
        <v>6767187.4000000004</v>
      </c>
      <c r="L21" s="895"/>
      <c r="M21" s="895"/>
    </row>
    <row r="22" spans="1:19">
      <c r="A22" s="373"/>
      <c r="B22" s="292" t="s">
        <v>3462</v>
      </c>
      <c r="C22" s="286">
        <v>13674.8</v>
      </c>
      <c r="D22" s="286" t="s">
        <v>3383</v>
      </c>
      <c r="E22" s="286" t="s">
        <v>3383</v>
      </c>
      <c r="F22" s="934"/>
      <c r="G22" s="934">
        <f>ROUND(H22/C22,2)</f>
        <v>1.84</v>
      </c>
      <c r="H22" s="934">
        <v>25129.88</v>
      </c>
      <c r="I22" s="4166"/>
      <c r="J22" s="934">
        <f>ROUND(3.89*1.12*1.07,2)</f>
        <v>4.66</v>
      </c>
      <c r="K22" s="936">
        <f>ROUND(H22*I19*J22,2)</f>
        <v>468420.96</v>
      </c>
      <c r="L22" s="895"/>
      <c r="M22" s="895"/>
    </row>
    <row r="23" spans="1:19">
      <c r="A23" s="269"/>
      <c r="B23" s="270"/>
      <c r="C23" s="270"/>
      <c r="D23" s="270"/>
      <c r="E23" s="270"/>
      <c r="F23" s="270"/>
      <c r="G23" s="271"/>
      <c r="H23" s="271"/>
      <c r="I23" s="271"/>
      <c r="J23" s="272"/>
      <c r="K23" s="271"/>
      <c r="L23" s="273"/>
      <c r="M23" s="273"/>
    </row>
    <row r="25" spans="1:19">
      <c r="B25" s="300" t="s">
        <v>329</v>
      </c>
      <c r="C25" s="276"/>
      <c r="D25" s="276"/>
      <c r="E25" s="276"/>
      <c r="F25" s="874"/>
      <c r="G25" s="872"/>
      <c r="H25" s="872"/>
      <c r="I25" s="872"/>
      <c r="J25" s="710"/>
      <c r="K25" s="873"/>
      <c r="L25" s="874"/>
      <c r="M25" s="717"/>
      <c r="N25" s="171"/>
      <c r="O25" s="276"/>
      <c r="P25" s="235"/>
    </row>
    <row r="26" spans="1:19">
      <c r="B26" s="300"/>
      <c r="C26" s="279"/>
      <c r="D26" s="279"/>
      <c r="E26" s="279"/>
      <c r="F26" s="875"/>
      <c r="G26" s="872"/>
      <c r="H26" s="872"/>
      <c r="I26" s="872"/>
      <c r="J26" s="710"/>
      <c r="K26" s="873"/>
      <c r="L26" s="875"/>
      <c r="M26" s="717"/>
      <c r="N26" s="171"/>
      <c r="O26" s="279"/>
      <c r="P26" s="235"/>
    </row>
    <row r="27" spans="1:19">
      <c r="B27" s="345" t="s">
        <v>330</v>
      </c>
      <c r="C27" s="276"/>
      <c r="D27" s="276"/>
      <c r="E27" s="276"/>
      <c r="F27" s="874"/>
      <c r="G27" s="872"/>
      <c r="H27" s="872"/>
      <c r="I27" s="872"/>
      <c r="J27" s="710"/>
      <c r="K27" s="873"/>
      <c r="L27" s="710"/>
      <c r="M27" s="717"/>
      <c r="N27" s="171"/>
      <c r="O27" s="183"/>
      <c r="P27" s="235"/>
    </row>
    <row r="28" spans="1:19">
      <c r="B28" s="345" t="s">
        <v>332</v>
      </c>
      <c r="C28" s="276"/>
      <c r="D28" s="276"/>
      <c r="E28" s="276"/>
      <c r="F28" s="874"/>
      <c r="G28" s="872"/>
      <c r="H28" s="872"/>
      <c r="I28" s="872"/>
      <c r="J28" s="710"/>
      <c r="K28" s="873"/>
      <c r="L28" s="874"/>
      <c r="M28" s="717"/>
      <c r="N28" s="171"/>
      <c r="O28" s="276"/>
      <c r="P28" s="168"/>
    </row>
    <row r="29" spans="1:19">
      <c r="B29" s="346"/>
      <c r="C29" s="276"/>
      <c r="D29" s="276"/>
      <c r="E29" s="276"/>
      <c r="F29" s="874"/>
      <c r="G29" s="872"/>
      <c r="H29" s="872"/>
      <c r="I29" s="872"/>
      <c r="J29" s="710"/>
      <c r="K29" s="873"/>
      <c r="L29" s="874"/>
      <c r="M29" s="865"/>
      <c r="N29" s="171"/>
      <c r="O29" s="276"/>
      <c r="P29" s="168"/>
    </row>
    <row r="30" spans="1:19">
      <c r="B30" s="345" t="s">
        <v>333</v>
      </c>
      <c r="C30" s="276"/>
      <c r="D30" s="276"/>
      <c r="E30" s="276"/>
      <c r="F30" s="874"/>
      <c r="G30" s="872"/>
      <c r="H30" s="872"/>
      <c r="I30" s="872"/>
      <c r="J30" s="710"/>
      <c r="K30" s="873"/>
      <c r="L30" s="874"/>
      <c r="M30" s="865"/>
      <c r="N30" s="171"/>
      <c r="O30" s="276"/>
      <c r="P30" s="171"/>
    </row>
    <row r="31" spans="1:19">
      <c r="B31" s="345"/>
      <c r="C31" s="276"/>
      <c r="D31" s="276"/>
      <c r="E31" s="276"/>
      <c r="F31" s="874"/>
      <c r="G31" s="872"/>
      <c r="H31" s="872"/>
      <c r="I31" s="872"/>
      <c r="J31" s="710"/>
      <c r="K31" s="873"/>
      <c r="L31" s="874"/>
      <c r="M31" s="865"/>
      <c r="N31" s="171"/>
      <c r="O31" s="276"/>
      <c r="P31" s="171"/>
    </row>
    <row r="32" spans="1:19" hidden="1">
      <c r="B32" s="1206" t="s">
        <v>3471</v>
      </c>
      <c r="C32" s="1206" t="s">
        <v>3472</v>
      </c>
      <c r="D32" s="1206" t="s">
        <v>3389</v>
      </c>
      <c r="E32" s="1206" t="s">
        <v>3390</v>
      </c>
      <c r="F32" s="1206" t="s">
        <v>3391</v>
      </c>
      <c r="G32" s="1206" t="s">
        <v>3392</v>
      </c>
      <c r="H32" s="1206" t="s">
        <v>3393</v>
      </c>
      <c r="J32" s="275" t="s">
        <v>3469</v>
      </c>
      <c r="M32" s="274" t="s">
        <v>3470</v>
      </c>
      <c r="N32" s="275" t="s">
        <v>3394</v>
      </c>
      <c r="P32" s="275" t="s">
        <v>3473</v>
      </c>
      <c r="Q32" s="274" t="s">
        <v>3474</v>
      </c>
      <c r="R32" s="274" t="s">
        <v>3399</v>
      </c>
      <c r="S32" s="274" t="s">
        <v>3475</v>
      </c>
    </row>
    <row r="33" spans="1:19" hidden="1">
      <c r="B33" s="274">
        <v>4526</v>
      </c>
      <c r="C33" s="274">
        <v>157395</v>
      </c>
      <c r="D33" s="274">
        <v>56614</v>
      </c>
      <c r="E33" s="274">
        <v>45335</v>
      </c>
      <c r="F33" s="274">
        <v>30090</v>
      </c>
      <c r="G33" s="274">
        <v>22175</v>
      </c>
      <c r="H33" s="274">
        <v>22175</v>
      </c>
      <c r="I33" s="274">
        <f>(B33+C33+D33)/3</f>
        <v>72845</v>
      </c>
      <c r="J33" s="1205">
        <v>13.64</v>
      </c>
      <c r="K33" s="275">
        <v>1.1200000000000001</v>
      </c>
      <c r="L33" s="274">
        <v>1.07</v>
      </c>
      <c r="M33" s="274">
        <f>J33*K33*L33</f>
        <v>16.346176000000003</v>
      </c>
      <c r="N33" s="275">
        <v>2747</v>
      </c>
      <c r="O33" s="274" t="s">
        <v>3460</v>
      </c>
      <c r="P33" s="275">
        <f>B33+C33+D33+E33+F33+G33+H33+N33</f>
        <v>341057</v>
      </c>
      <c r="Q33" s="274">
        <f>P33/12100*15941.2</f>
        <v>449327.09490909096</v>
      </c>
      <c r="R33" s="274">
        <v>16.350000000000001</v>
      </c>
      <c r="S33" s="274">
        <f>Q33*R33</f>
        <v>7346498.0017636381</v>
      </c>
    </row>
    <row r="34" spans="1:19" s="546" customFormat="1" hidden="1">
      <c r="A34" s="546" t="s">
        <v>3476</v>
      </c>
      <c r="J34" s="547"/>
      <c r="K34" s="547"/>
      <c r="N34" s="547"/>
      <c r="P34" s="275">
        <f t="shared" ref="P34:P56" si="0">B34+C34+D34+E34+F34+G34+H34+N34</f>
        <v>0</v>
      </c>
      <c r="Q34" s="274">
        <f t="shared" ref="Q34:Q56" si="1">P34/12100*15941.2</f>
        <v>0</v>
      </c>
      <c r="S34" s="274">
        <f t="shared" ref="S34:S56" si="2">Q34*R34</f>
        <v>0</v>
      </c>
    </row>
    <row r="35" spans="1:19" s="546" customFormat="1" hidden="1">
      <c r="A35" s="548" t="s">
        <v>3477</v>
      </c>
      <c r="B35" s="549"/>
      <c r="C35" s="549"/>
      <c r="D35" s="549"/>
      <c r="E35" s="549"/>
      <c r="F35" s="549"/>
      <c r="G35" s="549"/>
      <c r="H35" s="549"/>
      <c r="I35" s="549"/>
      <c r="J35" s="550"/>
      <c r="K35" s="550"/>
      <c r="L35" s="550"/>
      <c r="M35" s="550" t="s">
        <v>3375</v>
      </c>
      <c r="N35" s="547"/>
      <c r="P35" s="275">
        <f t="shared" si="0"/>
        <v>0</v>
      </c>
      <c r="Q35" s="274">
        <f t="shared" si="1"/>
        <v>0</v>
      </c>
      <c r="S35" s="274">
        <f t="shared" si="2"/>
        <v>0</v>
      </c>
    </row>
    <row r="36" spans="1:19" s="546" customFormat="1" hidden="1">
      <c r="A36" s="551"/>
      <c r="B36" s="549"/>
      <c r="C36" s="549"/>
      <c r="D36" s="549"/>
      <c r="E36" s="549"/>
      <c r="F36" s="549"/>
      <c r="G36" s="549"/>
      <c r="H36" s="549"/>
      <c r="I36" s="549"/>
      <c r="J36" s="550"/>
      <c r="K36" s="550"/>
      <c r="L36" s="550"/>
      <c r="M36" s="550"/>
      <c r="N36" s="547"/>
      <c r="P36" s="275">
        <f t="shared" si="0"/>
        <v>0</v>
      </c>
      <c r="Q36" s="274">
        <f t="shared" si="1"/>
        <v>0</v>
      </c>
      <c r="S36" s="274">
        <f t="shared" si="2"/>
        <v>0</v>
      </c>
    </row>
    <row r="37" spans="1:19" s="546" customFormat="1" hidden="1">
      <c r="A37" s="552" t="s">
        <v>3401</v>
      </c>
      <c r="B37" s="553"/>
      <c r="C37" s="553"/>
      <c r="D37" s="553"/>
      <c r="E37" s="553"/>
      <c r="F37" s="553"/>
      <c r="G37" s="553"/>
      <c r="H37" s="553"/>
      <c r="I37" s="553"/>
      <c r="J37" s="550"/>
      <c r="K37" s="550"/>
      <c r="L37" s="550"/>
      <c r="M37" s="550"/>
      <c r="N37" s="547"/>
      <c r="P37" s="275">
        <f t="shared" si="0"/>
        <v>0</v>
      </c>
      <c r="Q37" s="274">
        <f t="shared" si="1"/>
        <v>0</v>
      </c>
      <c r="S37" s="274">
        <f t="shared" si="2"/>
        <v>0</v>
      </c>
    </row>
    <row r="38" spans="1:19" s="546" customFormat="1" hidden="1">
      <c r="A38" s="549" t="s">
        <v>990</v>
      </c>
      <c r="B38" s="553"/>
      <c r="C38" s="553"/>
      <c r="D38" s="553"/>
      <c r="E38" s="553"/>
      <c r="F38" s="553"/>
      <c r="G38" s="553"/>
      <c r="H38" s="553"/>
      <c r="I38" s="553"/>
      <c r="J38" s="554"/>
      <c r="K38" s="554"/>
      <c r="L38" s="554"/>
      <c r="M38" s="554"/>
      <c r="N38" s="547"/>
      <c r="P38" s="275">
        <f t="shared" si="0"/>
        <v>0</v>
      </c>
      <c r="Q38" s="274">
        <f t="shared" si="1"/>
        <v>0</v>
      </c>
      <c r="S38" s="274">
        <f t="shared" si="2"/>
        <v>0</v>
      </c>
    </row>
    <row r="39" spans="1:19" s="546" customFormat="1" hidden="1">
      <c r="A39" s="552"/>
      <c r="B39" s="553"/>
      <c r="C39" s="553"/>
      <c r="D39" s="553"/>
      <c r="E39" s="553"/>
      <c r="F39" s="553"/>
      <c r="G39" s="553"/>
      <c r="H39" s="553"/>
      <c r="I39" s="553"/>
      <c r="J39" s="554"/>
      <c r="K39" s="554"/>
      <c r="L39" s="555"/>
      <c r="M39" s="556" t="s">
        <v>254</v>
      </c>
      <c r="N39" s="547"/>
      <c r="P39" s="275">
        <f t="shared" si="0"/>
        <v>0</v>
      </c>
      <c r="Q39" s="274">
        <f t="shared" si="1"/>
        <v>0</v>
      </c>
      <c r="S39" s="274">
        <f t="shared" si="2"/>
        <v>0</v>
      </c>
    </row>
    <row r="40" spans="1:19" s="546" customFormat="1" hidden="1">
      <c r="A40" s="554"/>
      <c r="B40" s="554"/>
      <c r="C40" s="554"/>
      <c r="D40" s="554"/>
      <c r="E40" s="554"/>
      <c r="F40" s="554"/>
      <c r="G40" s="554"/>
      <c r="H40" s="554"/>
      <c r="I40" s="554"/>
      <c r="J40" s="554"/>
      <c r="K40" s="554"/>
      <c r="L40" s="555"/>
      <c r="M40" s="556"/>
      <c r="N40" s="547"/>
      <c r="P40" s="275">
        <f t="shared" si="0"/>
        <v>0</v>
      </c>
      <c r="Q40" s="274">
        <f t="shared" si="1"/>
        <v>0</v>
      </c>
      <c r="S40" s="274">
        <f t="shared" si="2"/>
        <v>0</v>
      </c>
    </row>
    <row r="41" spans="1:19" s="546" customFormat="1" ht="15.75" hidden="1" customHeight="1">
      <c r="A41" s="4161" t="s">
        <v>2</v>
      </c>
      <c r="B41" s="4161" t="s">
        <v>3377</v>
      </c>
      <c r="C41" s="4161" t="s">
        <v>3478</v>
      </c>
      <c r="D41" s="4167" t="s">
        <v>255</v>
      </c>
      <c r="E41" s="4168"/>
      <c r="F41" s="1204"/>
      <c r="G41" s="4161" t="s">
        <v>3479</v>
      </c>
      <c r="H41" s="4161" t="s">
        <v>3457</v>
      </c>
      <c r="I41" s="4161" t="s">
        <v>3380</v>
      </c>
      <c r="J41" s="4161" t="s">
        <v>3381</v>
      </c>
      <c r="K41" s="4161" t="s">
        <v>345</v>
      </c>
      <c r="L41" s="4167" t="s">
        <v>255</v>
      </c>
      <c r="M41" s="4168"/>
      <c r="N41" s="547"/>
      <c r="P41" s="275" t="e">
        <f t="shared" si="0"/>
        <v>#VALUE!</v>
      </c>
      <c r="Q41" s="274" t="e">
        <f t="shared" si="1"/>
        <v>#VALUE!</v>
      </c>
      <c r="S41" s="274" t="e">
        <f t="shared" si="2"/>
        <v>#VALUE!</v>
      </c>
    </row>
    <row r="42" spans="1:19" s="546" customFormat="1" hidden="1">
      <c r="A42" s="4161"/>
      <c r="B42" s="4161"/>
      <c r="C42" s="4161"/>
      <c r="D42" s="557" t="s">
        <v>7</v>
      </c>
      <c r="E42" s="557" t="s">
        <v>8</v>
      </c>
      <c r="F42" s="557"/>
      <c r="G42" s="4161"/>
      <c r="H42" s="4161"/>
      <c r="I42" s="4161"/>
      <c r="J42" s="4161"/>
      <c r="K42" s="4161"/>
      <c r="L42" s="557" t="s">
        <v>7</v>
      </c>
      <c r="M42" s="557" t="s">
        <v>8</v>
      </c>
      <c r="N42" s="547"/>
      <c r="P42" s="275" t="e">
        <f t="shared" si="0"/>
        <v>#VALUE!</v>
      </c>
      <c r="Q42" s="274" t="e">
        <f t="shared" si="1"/>
        <v>#VALUE!</v>
      </c>
      <c r="S42" s="274" t="e">
        <f t="shared" si="2"/>
        <v>#VALUE!</v>
      </c>
    </row>
    <row r="43" spans="1:19" s="546" customFormat="1" hidden="1">
      <c r="A43" s="558"/>
      <c r="B43" s="559" t="s">
        <v>20</v>
      </c>
      <c r="C43" s="560"/>
      <c r="D43" s="560"/>
      <c r="E43" s="560"/>
      <c r="F43" s="560"/>
      <c r="G43" s="561"/>
      <c r="H43" s="561"/>
      <c r="I43" s="561"/>
      <c r="J43" s="561"/>
      <c r="K43" s="561"/>
      <c r="L43" s="562"/>
      <c r="M43" s="562"/>
      <c r="N43" s="547"/>
      <c r="P43" s="275" t="e">
        <f t="shared" si="0"/>
        <v>#VALUE!</v>
      </c>
      <c r="Q43" s="274" t="e">
        <f t="shared" si="1"/>
        <v>#VALUE!</v>
      </c>
      <c r="S43" s="274" t="e">
        <f t="shared" si="2"/>
        <v>#VALUE!</v>
      </c>
    </row>
    <row r="44" spans="1:19" s="546" customFormat="1" hidden="1">
      <c r="A44" s="558"/>
      <c r="B44" s="560" t="s">
        <v>3480</v>
      </c>
      <c r="C44" s="558"/>
      <c r="D44" s="558"/>
      <c r="E44" s="558"/>
      <c r="F44" s="558"/>
      <c r="G44" s="561"/>
      <c r="H44" s="561"/>
      <c r="I44" s="561"/>
      <c r="J44" s="561"/>
      <c r="K44" s="561"/>
      <c r="L44" s="562"/>
      <c r="M44" s="562"/>
      <c r="N44" s="547"/>
      <c r="P44" s="275" t="e">
        <f t="shared" si="0"/>
        <v>#VALUE!</v>
      </c>
      <c r="Q44" s="274" t="e">
        <f t="shared" si="1"/>
        <v>#VALUE!</v>
      </c>
      <c r="S44" s="274" t="e">
        <f t="shared" si="2"/>
        <v>#VALUE!</v>
      </c>
    </row>
    <row r="45" spans="1:19" s="546" customFormat="1" hidden="1">
      <c r="A45" s="558"/>
      <c r="B45" s="560" t="s">
        <v>3211</v>
      </c>
      <c r="C45" s="558"/>
      <c r="D45" s="558"/>
      <c r="E45" s="558"/>
      <c r="F45" s="558"/>
      <c r="G45" s="561"/>
      <c r="H45" s="561"/>
      <c r="I45" s="561"/>
      <c r="J45" s="561"/>
      <c r="K45" s="561"/>
      <c r="L45" s="562"/>
      <c r="M45" s="562"/>
      <c r="N45" s="547"/>
      <c r="P45" s="275" t="e">
        <f t="shared" si="0"/>
        <v>#VALUE!</v>
      </c>
      <c r="Q45" s="274" t="e">
        <f t="shared" si="1"/>
        <v>#VALUE!</v>
      </c>
      <c r="S45" s="274" t="e">
        <f t="shared" si="2"/>
        <v>#VALUE!</v>
      </c>
    </row>
    <row r="46" spans="1:19" s="546" customFormat="1" hidden="1">
      <c r="A46" s="558"/>
      <c r="B46" s="560" t="s">
        <v>526</v>
      </c>
      <c r="C46" s="558"/>
      <c r="D46" s="558"/>
      <c r="E46" s="558"/>
      <c r="F46" s="558"/>
      <c r="G46" s="561"/>
      <c r="H46" s="561"/>
      <c r="I46" s="561"/>
      <c r="J46" s="561"/>
      <c r="K46" s="561"/>
      <c r="L46" s="562"/>
      <c r="M46" s="562"/>
      <c r="N46" s="547"/>
      <c r="P46" s="275" t="e">
        <f t="shared" si="0"/>
        <v>#VALUE!</v>
      </c>
      <c r="Q46" s="274" t="e">
        <f t="shared" si="1"/>
        <v>#VALUE!</v>
      </c>
      <c r="S46" s="274" t="e">
        <f t="shared" si="2"/>
        <v>#VALUE!</v>
      </c>
    </row>
    <row r="47" spans="1:19" s="546" customFormat="1" hidden="1">
      <c r="A47" s="563"/>
      <c r="B47" s="564"/>
      <c r="C47" s="564"/>
      <c r="D47" s="564"/>
      <c r="E47" s="564"/>
      <c r="F47" s="564"/>
      <c r="G47" s="565"/>
      <c r="H47" s="565"/>
      <c r="I47" s="565"/>
      <c r="J47" s="555"/>
      <c r="K47" s="565"/>
      <c r="L47" s="554"/>
      <c r="M47" s="554"/>
      <c r="N47" s="547"/>
      <c r="P47" s="275">
        <f t="shared" si="0"/>
        <v>0</v>
      </c>
      <c r="Q47" s="274">
        <f t="shared" si="1"/>
        <v>0</v>
      </c>
      <c r="S47" s="274">
        <f t="shared" si="2"/>
        <v>0</v>
      </c>
    </row>
    <row r="48" spans="1:19" hidden="1">
      <c r="N48" s="275"/>
      <c r="P48" s="275">
        <f t="shared" si="0"/>
        <v>0</v>
      </c>
      <c r="Q48" s="274">
        <f t="shared" si="1"/>
        <v>0</v>
      </c>
      <c r="S48" s="274">
        <f t="shared" si="2"/>
        <v>0</v>
      </c>
    </row>
    <row r="49" spans="1:19" hidden="1">
      <c r="B49" s="300" t="s">
        <v>329</v>
      </c>
      <c r="C49" s="276"/>
      <c r="D49" s="276"/>
      <c r="E49" s="276"/>
      <c r="F49" s="276"/>
      <c r="G49" s="277"/>
      <c r="H49" s="277"/>
      <c r="I49" s="277"/>
      <c r="J49" s="183"/>
      <c r="L49" s="276"/>
      <c r="M49" s="278"/>
      <c r="N49" s="275"/>
      <c r="P49" s="275" t="e">
        <f t="shared" si="0"/>
        <v>#VALUE!</v>
      </c>
      <c r="Q49" s="274" t="e">
        <f t="shared" si="1"/>
        <v>#VALUE!</v>
      </c>
      <c r="S49" s="274" t="e">
        <f t="shared" si="2"/>
        <v>#VALUE!</v>
      </c>
    </row>
    <row r="50" spans="1:19" hidden="1">
      <c r="B50" s="300"/>
      <c r="C50" s="279"/>
      <c r="D50" s="279"/>
      <c r="E50" s="279"/>
      <c r="F50" s="279"/>
      <c r="G50" s="277"/>
      <c r="H50" s="277"/>
      <c r="I50" s="277"/>
      <c r="J50" s="183"/>
      <c r="L50" s="279"/>
      <c r="M50" s="278"/>
      <c r="N50" s="275"/>
      <c r="P50" s="275">
        <f t="shared" si="0"/>
        <v>0</v>
      </c>
      <c r="Q50" s="274">
        <f t="shared" si="1"/>
        <v>0</v>
      </c>
      <c r="S50" s="274">
        <f t="shared" si="2"/>
        <v>0</v>
      </c>
    </row>
    <row r="51" spans="1:19" hidden="1">
      <c r="B51" s="345" t="s">
        <v>330</v>
      </c>
      <c r="C51" s="276"/>
      <c r="D51" s="276"/>
      <c r="E51" s="276"/>
      <c r="F51" s="276"/>
      <c r="G51" s="277"/>
      <c r="H51" s="277"/>
      <c r="I51" s="277"/>
      <c r="J51" s="183"/>
      <c r="L51" s="183"/>
      <c r="M51" s="278"/>
      <c r="N51" s="275"/>
      <c r="P51" s="275" t="e">
        <f t="shared" si="0"/>
        <v>#VALUE!</v>
      </c>
      <c r="Q51" s="274" t="e">
        <f t="shared" si="1"/>
        <v>#VALUE!</v>
      </c>
      <c r="S51" s="274" t="e">
        <f t="shared" si="2"/>
        <v>#VALUE!</v>
      </c>
    </row>
    <row r="52" spans="1:19" hidden="1">
      <c r="B52" s="345" t="s">
        <v>332</v>
      </c>
      <c r="C52" s="276"/>
      <c r="D52" s="276"/>
      <c r="E52" s="276"/>
      <c r="F52" s="276"/>
      <c r="G52" s="277"/>
      <c r="H52" s="277"/>
      <c r="I52" s="277"/>
      <c r="J52" s="183"/>
      <c r="L52" s="276"/>
      <c r="M52" s="278"/>
      <c r="N52" s="275"/>
      <c r="P52" s="275" t="e">
        <f t="shared" si="0"/>
        <v>#VALUE!</v>
      </c>
      <c r="Q52" s="274" t="e">
        <f t="shared" si="1"/>
        <v>#VALUE!</v>
      </c>
      <c r="S52" s="274" t="e">
        <f t="shared" si="2"/>
        <v>#VALUE!</v>
      </c>
    </row>
    <row r="53" spans="1:19" hidden="1">
      <c r="B53" s="346"/>
      <c r="C53" s="276"/>
      <c r="D53" s="276"/>
      <c r="E53" s="276"/>
      <c r="F53" s="276"/>
      <c r="G53" s="277"/>
      <c r="H53" s="277"/>
      <c r="I53" s="277"/>
      <c r="J53" s="183"/>
      <c r="L53" s="276"/>
      <c r="M53" s="171"/>
      <c r="N53" s="275"/>
      <c r="P53" s="275">
        <f t="shared" si="0"/>
        <v>0</v>
      </c>
      <c r="Q53" s="274">
        <f t="shared" si="1"/>
        <v>0</v>
      </c>
      <c r="S53" s="274">
        <f t="shared" si="2"/>
        <v>0</v>
      </c>
    </row>
    <row r="54" spans="1:19" hidden="1">
      <c r="B54" s="345" t="s">
        <v>333</v>
      </c>
      <c r="C54" s="276"/>
      <c r="D54" s="276"/>
      <c r="E54" s="276"/>
      <c r="F54" s="276"/>
      <c r="G54" s="277"/>
      <c r="H54" s="277"/>
      <c r="I54" s="277"/>
      <c r="J54" s="183"/>
      <c r="L54" s="276"/>
      <c r="M54" s="171"/>
      <c r="N54" s="275"/>
      <c r="P54" s="275" t="e">
        <f t="shared" si="0"/>
        <v>#VALUE!</v>
      </c>
      <c r="Q54" s="274" t="e">
        <f t="shared" si="1"/>
        <v>#VALUE!</v>
      </c>
      <c r="S54" s="274" t="e">
        <f t="shared" si="2"/>
        <v>#VALUE!</v>
      </c>
    </row>
    <row r="55" spans="1:19" hidden="1">
      <c r="B55" s="274">
        <v>32435</v>
      </c>
      <c r="C55" s="274">
        <v>31458</v>
      </c>
      <c r="D55" s="274">
        <v>9354</v>
      </c>
      <c r="E55" s="274">
        <v>6612</v>
      </c>
      <c r="F55" s="274">
        <v>4121</v>
      </c>
      <c r="G55" s="274">
        <v>3183</v>
      </c>
      <c r="H55" s="274">
        <v>3183</v>
      </c>
      <c r="I55" s="274">
        <f>(B55+C55+D55)/3</f>
        <v>24415.666666666668</v>
      </c>
      <c r="J55" s="275">
        <v>28.64</v>
      </c>
      <c r="K55" s="275">
        <v>1.1200000000000001</v>
      </c>
      <c r="L55" s="274">
        <v>1.07</v>
      </c>
      <c r="M55" s="274">
        <f>J55*K55*L55</f>
        <v>34.322176000000006</v>
      </c>
      <c r="N55" s="275">
        <v>1927</v>
      </c>
      <c r="O55" s="274" t="s">
        <v>3481</v>
      </c>
      <c r="P55" s="275">
        <f t="shared" si="0"/>
        <v>92273</v>
      </c>
      <c r="Q55" s="274">
        <f t="shared" si="1"/>
        <v>121565.48327272727</v>
      </c>
      <c r="R55" s="274">
        <v>34.32</v>
      </c>
      <c r="S55" s="274">
        <f t="shared" si="2"/>
        <v>4172127.3859200003</v>
      </c>
    </row>
    <row r="56" spans="1:19" hidden="1">
      <c r="B56" s="274">
        <v>10037</v>
      </c>
      <c r="C56" s="274">
        <v>60899</v>
      </c>
      <c r="D56" s="274">
        <v>17756</v>
      </c>
      <c r="E56" s="274">
        <v>13405</v>
      </c>
      <c r="F56" s="274">
        <v>8807</v>
      </c>
      <c r="G56" s="274">
        <v>5018</v>
      </c>
      <c r="H56" s="274">
        <v>5018</v>
      </c>
      <c r="I56" s="274">
        <f>(B56+C56+D56)/3</f>
        <v>29564</v>
      </c>
      <c r="J56" s="275">
        <v>3.89</v>
      </c>
      <c r="K56" s="275">
        <v>1.1200000000000001</v>
      </c>
      <c r="L56" s="274">
        <v>1.07</v>
      </c>
      <c r="M56" s="274">
        <f>J56*K56*L56</f>
        <v>4.6617760000000006</v>
      </c>
      <c r="N56" s="275">
        <v>2906</v>
      </c>
      <c r="O56" s="274" t="s">
        <v>3462</v>
      </c>
      <c r="P56" s="275">
        <f t="shared" si="0"/>
        <v>123846</v>
      </c>
      <c r="Q56" s="274">
        <f t="shared" si="1"/>
        <v>163161.47563636364</v>
      </c>
      <c r="R56" s="274">
        <v>4.66</v>
      </c>
      <c r="S56" s="274">
        <f t="shared" si="2"/>
        <v>760332.47646545456</v>
      </c>
    </row>
    <row r="57" spans="1:19" hidden="1">
      <c r="B57" s="566">
        <f t="shared" ref="B57:H57" si="3">SUM(B33:B56)</f>
        <v>46998</v>
      </c>
      <c r="C57" s="566">
        <f t="shared" si="3"/>
        <v>249752</v>
      </c>
      <c r="D57" s="566">
        <f t="shared" si="3"/>
        <v>83724</v>
      </c>
      <c r="E57" s="566">
        <f t="shared" si="3"/>
        <v>65352</v>
      </c>
      <c r="F57" s="566">
        <f t="shared" si="3"/>
        <v>43018</v>
      </c>
      <c r="G57" s="566">
        <f t="shared" si="3"/>
        <v>30376</v>
      </c>
      <c r="H57" s="566">
        <f t="shared" si="3"/>
        <v>30376</v>
      </c>
      <c r="N57" s="566">
        <f>SUM(N33:N56)</f>
        <v>7580</v>
      </c>
      <c r="P57" s="1216">
        <f>P33+P55+P56</f>
        <v>557176</v>
      </c>
      <c r="Q57" s="566">
        <f>Q33+Q55+Q56</f>
        <v>734054.05381818186</v>
      </c>
      <c r="S57" s="566">
        <f>S33+S55+S56</f>
        <v>12278957.864149092</v>
      </c>
    </row>
    <row r="58" spans="1:19" hidden="1">
      <c r="B58" s="274" t="s">
        <v>3482</v>
      </c>
      <c r="D58" s="566"/>
    </row>
    <row r="59" spans="1:19" hidden="1">
      <c r="B59" s="274">
        <v>281.89</v>
      </c>
      <c r="C59" s="274">
        <v>207.62</v>
      </c>
      <c r="D59" s="274">
        <v>148.38999999999999</v>
      </c>
      <c r="E59" s="274">
        <v>105.72</v>
      </c>
      <c r="F59" s="274">
        <v>23.36</v>
      </c>
      <c r="G59" s="274">
        <v>11.85</v>
      </c>
      <c r="K59" s="275">
        <v>12100</v>
      </c>
      <c r="L59" s="274" t="s">
        <v>1197</v>
      </c>
    </row>
    <row r="60" spans="1:19" hidden="1">
      <c r="K60" s="275">
        <v>15941.2</v>
      </c>
      <c r="L60" s="274" t="s">
        <v>3483</v>
      </c>
    </row>
    <row r="61" spans="1:19" hidden="1">
      <c r="B61" s="274" t="s">
        <v>3484</v>
      </c>
      <c r="K61" s="1214">
        <f>K60/K59</f>
        <v>1.3174545454545454</v>
      </c>
    </row>
    <row r="62" spans="1:19" hidden="1">
      <c r="A62" s="274" t="s">
        <v>3485</v>
      </c>
      <c r="B62" s="274">
        <v>1119</v>
      </c>
      <c r="C62" s="274">
        <v>1210</v>
      </c>
      <c r="D62" s="274">
        <v>970</v>
      </c>
      <c r="E62" s="274">
        <v>1836</v>
      </c>
      <c r="F62" s="274">
        <v>954</v>
      </c>
      <c r="G62" s="274">
        <v>970</v>
      </c>
    </row>
    <row r="63" spans="1:19" hidden="1">
      <c r="A63" s="274" t="s">
        <v>3487</v>
      </c>
      <c r="B63" s="274">
        <v>1119</v>
      </c>
      <c r="C63" s="274">
        <v>1210</v>
      </c>
      <c r="D63" s="274">
        <v>970</v>
      </c>
      <c r="E63" s="274">
        <v>1836</v>
      </c>
      <c r="F63" s="274">
        <v>954</v>
      </c>
      <c r="G63" s="274">
        <v>970</v>
      </c>
    </row>
    <row r="64" spans="1:19" hidden="1"/>
    <row r="65" spans="1:10" hidden="1"/>
    <row r="66" spans="1:10" hidden="1">
      <c r="B66" s="274" t="s">
        <v>3489</v>
      </c>
    </row>
    <row r="67" spans="1:10" hidden="1"/>
    <row r="68" spans="1:10" hidden="1">
      <c r="B68" s="1215">
        <f>B33*K61</f>
        <v>5962.7992727272722</v>
      </c>
    </row>
    <row r="69" spans="1:10" hidden="1">
      <c r="B69" s="1215">
        <f>B55*K61</f>
        <v>42731.638181818184</v>
      </c>
    </row>
    <row r="70" spans="1:10" hidden="1">
      <c r="B70" s="1215">
        <f>B56*K61</f>
        <v>13223.291272727272</v>
      </c>
    </row>
    <row r="72" spans="1:10">
      <c r="A72" s="1217"/>
      <c r="B72" s="1217"/>
      <c r="C72" s="1217"/>
      <c r="D72" s="1217"/>
      <c r="E72" s="1217"/>
      <c r="F72" s="1217"/>
      <c r="G72" s="1217"/>
      <c r="H72" s="1217"/>
      <c r="I72"/>
      <c r="J72"/>
    </row>
    <row r="73" spans="1:10">
      <c r="A73" s="1251" t="s">
        <v>3495</v>
      </c>
      <c r="B73" s="1252"/>
      <c r="C73" s="1252"/>
      <c r="D73" s="1252"/>
      <c r="E73" s="1252"/>
      <c r="F73" s="1252"/>
      <c r="G73" s="1252"/>
      <c r="H73" s="1253" t="s">
        <v>3375</v>
      </c>
      <c r="I73"/>
      <c r="J73"/>
    </row>
    <row r="74" spans="1:10">
      <c r="A74" s="1251"/>
      <c r="B74" s="1252"/>
      <c r="C74" s="1252"/>
      <c r="D74" s="1252"/>
      <c r="E74" s="1252"/>
      <c r="F74" s="1252"/>
      <c r="G74" s="1252"/>
      <c r="H74" s="1253"/>
      <c r="I74"/>
      <c r="J74"/>
    </row>
    <row r="75" spans="1:10">
      <c r="A75" s="1254" t="s">
        <v>3537</v>
      </c>
      <c r="B75" s="1254"/>
      <c r="C75" s="1254"/>
      <c r="D75" s="1254"/>
      <c r="E75" s="1254"/>
      <c r="F75" s="1254"/>
      <c r="G75" s="1254"/>
      <c r="H75" s="1254"/>
      <c r="I75"/>
      <c r="J75"/>
    </row>
    <row r="76" spans="1:10">
      <c r="A76" s="1254"/>
      <c r="B76" s="1254"/>
      <c r="C76" s="1254"/>
      <c r="D76" s="1254"/>
      <c r="E76" s="1254"/>
      <c r="F76" s="1254"/>
      <c r="G76" s="1254"/>
      <c r="H76" s="1254"/>
      <c r="I76"/>
      <c r="J76"/>
    </row>
    <row r="77" spans="1:10">
      <c r="A77" s="1254"/>
      <c r="B77" s="1254" t="s">
        <v>3497</v>
      </c>
      <c r="C77" s="1254"/>
      <c r="D77" s="1254"/>
      <c r="E77" s="1254"/>
      <c r="F77" s="1254"/>
      <c r="G77" s="1254"/>
      <c r="H77" s="1254"/>
      <c r="I77"/>
      <c r="J77"/>
    </row>
    <row r="78" spans="1:10">
      <c r="A78" s="1254"/>
      <c r="B78" s="1254" t="s">
        <v>3498</v>
      </c>
      <c r="C78" s="1254"/>
      <c r="D78" s="1254"/>
      <c r="E78" s="1254"/>
      <c r="F78" s="1254"/>
      <c r="G78" s="1254"/>
      <c r="H78" s="1254"/>
      <c r="I78"/>
      <c r="J78"/>
    </row>
    <row r="79" spans="1:10">
      <c r="A79" s="1254"/>
      <c r="B79" s="1254" t="s">
        <v>3499</v>
      </c>
      <c r="C79" s="1254"/>
      <c r="D79" s="1255"/>
      <c r="E79" s="1256"/>
      <c r="F79" s="580"/>
      <c r="G79" s="1257">
        <v>580.70000000000005</v>
      </c>
      <c r="H79" s="1254"/>
      <c r="I79"/>
      <c r="J79"/>
    </row>
    <row r="80" spans="1:10">
      <c r="A80" s="1254"/>
      <c r="B80" s="1258" t="s">
        <v>3500</v>
      </c>
      <c r="C80" s="1254"/>
      <c r="D80" s="1254"/>
      <c r="E80" s="1257">
        <v>9</v>
      </c>
      <c r="F80" s="1254"/>
      <c r="G80" s="1254"/>
      <c r="H80" s="1254"/>
      <c r="I80"/>
      <c r="J80"/>
    </row>
    <row r="81" spans="1:12">
      <c r="A81" s="1254"/>
      <c r="B81" s="1254" t="s">
        <v>3501</v>
      </c>
      <c r="C81" s="1254"/>
      <c r="D81" s="1254"/>
      <c r="E81" s="1254"/>
      <c r="F81" s="1254"/>
      <c r="G81" s="1254"/>
      <c r="H81" s="1254"/>
      <c r="I81"/>
      <c r="J81"/>
    </row>
    <row r="82" spans="1:12">
      <c r="A82" s="1254"/>
      <c r="B82" s="1259" t="s">
        <v>3502</v>
      </c>
      <c r="C82" s="1256"/>
      <c r="D82" s="1257">
        <v>0.6</v>
      </c>
      <c r="E82" s="1254"/>
      <c r="F82" s="1254"/>
      <c r="G82" s="1254"/>
      <c r="H82" s="1254"/>
      <c r="I82"/>
      <c r="J82"/>
    </row>
    <row r="83" spans="1:12">
      <c r="A83" s="1254"/>
      <c r="B83" s="1259" t="s">
        <v>3503</v>
      </c>
      <c r="C83" s="1256"/>
      <c r="D83" s="1257">
        <v>0.8</v>
      </c>
      <c r="E83" s="1254"/>
      <c r="F83" s="1254"/>
      <c r="G83" s="1254"/>
      <c r="H83" s="1254"/>
      <c r="I83"/>
      <c r="J83"/>
    </row>
    <row r="84" spans="1:12">
      <c r="A84" s="1254"/>
      <c r="B84" s="1254"/>
      <c r="C84" s="1260"/>
      <c r="D84" s="1254"/>
      <c r="E84" s="1260"/>
      <c r="F84" s="1254"/>
      <c r="G84" s="1261"/>
      <c r="H84" s="1262" t="s">
        <v>254</v>
      </c>
      <c r="I84"/>
      <c r="J84"/>
    </row>
    <row r="85" spans="1:12" ht="38.25">
      <c r="A85" s="1263" t="s">
        <v>2</v>
      </c>
      <c r="B85" s="1263" t="s">
        <v>3504</v>
      </c>
      <c r="C85" s="1263" t="s">
        <v>3538</v>
      </c>
      <c r="D85" s="1263" t="s">
        <v>3506</v>
      </c>
      <c r="E85" s="1263" t="s">
        <v>3507</v>
      </c>
      <c r="F85" s="1263" t="s">
        <v>3539</v>
      </c>
      <c r="G85" s="1263" t="s">
        <v>3511</v>
      </c>
      <c r="H85" s="1263" t="s">
        <v>3512</v>
      </c>
      <c r="I85" s="1231" t="s">
        <v>3511</v>
      </c>
      <c r="J85" s="1231" t="s">
        <v>3512</v>
      </c>
      <c r="K85" s="275" t="s">
        <v>3459</v>
      </c>
    </row>
    <row r="86" spans="1:12">
      <c r="A86" s="1264" t="s">
        <v>3513</v>
      </c>
      <c r="B86" s="1265" t="s">
        <v>3514</v>
      </c>
      <c r="C86" s="1266">
        <v>19</v>
      </c>
      <c r="D86" s="1270">
        <f>G79*E80*C86*D83</f>
        <v>79439.760000000009</v>
      </c>
      <c r="E86" s="1236"/>
      <c r="F86" s="1266">
        <f>D86*E86</f>
        <v>0</v>
      </c>
      <c r="G86" s="1248">
        <f>$N$15</f>
        <v>0</v>
      </c>
      <c r="H86" s="1267">
        <f>D86*G86</f>
        <v>0</v>
      </c>
      <c r="I86" s="1249"/>
      <c r="J86" s="1241">
        <f>SUM(J90:J98)</f>
        <v>0</v>
      </c>
      <c r="K86" s="1246">
        <f>D87+D91+D95</f>
        <v>111238.2600770079</v>
      </c>
      <c r="L86" s="274">
        <f>K86/3</f>
        <v>37079.4200256693</v>
      </c>
    </row>
    <row r="87" spans="1:12">
      <c r="A87" s="1264"/>
      <c r="B87" s="1265"/>
      <c r="C87" s="1266"/>
      <c r="D87" s="1266">
        <f>D86*B142/100</f>
        <v>7650.2054078896981</v>
      </c>
      <c r="E87" s="1236"/>
      <c r="F87" s="1266"/>
      <c r="G87" s="1248"/>
      <c r="H87" s="1267"/>
      <c r="I87" s="1249"/>
      <c r="J87" s="1241"/>
      <c r="K87" s="1246">
        <f>D88+D92+D96</f>
        <v>73765.062302147649</v>
      </c>
    </row>
    <row r="88" spans="1:12">
      <c r="A88" s="1264"/>
      <c r="B88" s="1265"/>
      <c r="C88" s="1266"/>
      <c r="D88" s="1266">
        <f>D86*B143/100</f>
        <v>54824.218383761014</v>
      </c>
      <c r="E88" s="1236"/>
      <c r="F88" s="1266"/>
      <c r="G88" s="1248"/>
      <c r="H88" s="1267"/>
      <c r="I88" s="1249"/>
      <c r="J88" s="1241"/>
      <c r="K88" s="1246">
        <f>D89+D93+D97</f>
        <v>53315.957620844449</v>
      </c>
    </row>
    <row r="89" spans="1:12">
      <c r="A89" s="1264"/>
      <c r="B89" s="1265"/>
      <c r="C89" s="1266"/>
      <c r="D89" s="1266">
        <f>D86*B144/100</f>
        <v>16965.33620834929</v>
      </c>
      <c r="E89" s="1236"/>
      <c r="F89" s="1266"/>
      <c r="G89" s="1248"/>
      <c r="H89" s="1267"/>
      <c r="I89" s="1249"/>
      <c r="J89" s="1241"/>
      <c r="K89" s="1246"/>
    </row>
    <row r="90" spans="1:12">
      <c r="A90" s="1264" t="s">
        <v>3515</v>
      </c>
      <c r="B90" s="1265" t="s">
        <v>3516</v>
      </c>
      <c r="C90" s="1266">
        <v>20</v>
      </c>
      <c r="D90" s="1270">
        <f>G79*E80*C90*D83</f>
        <v>83620.800000000003</v>
      </c>
      <c r="E90" s="1236"/>
      <c r="F90" s="1266">
        <f>D90*E90</f>
        <v>0</v>
      </c>
      <c r="G90" s="1248">
        <f>$N$15</f>
        <v>0</v>
      </c>
      <c r="H90" s="1267">
        <f>D90*G90</f>
        <v>0</v>
      </c>
      <c r="I90" s="1247"/>
      <c r="J90" s="1235">
        <f>D90*I90</f>
        <v>0</v>
      </c>
      <c r="K90" s="1246" t="s">
        <v>3468</v>
      </c>
    </row>
    <row r="91" spans="1:12">
      <c r="A91" s="1264"/>
      <c r="B91" s="1265"/>
      <c r="C91" s="1266"/>
      <c r="D91" s="1266">
        <f>D90*C142/100</f>
        <v>52698.259937858355</v>
      </c>
      <c r="E91" s="1236"/>
      <c r="F91" s="1266"/>
      <c r="G91" s="1248"/>
      <c r="H91" s="1267"/>
      <c r="I91" s="1247"/>
      <c r="J91" s="1235"/>
      <c r="K91" s="1246">
        <f>D99+D103+D107+D111+D115</f>
        <v>226741.96053586749</v>
      </c>
    </row>
    <row r="92" spans="1:12">
      <c r="A92" s="1264"/>
      <c r="B92" s="1265"/>
      <c r="C92" s="1266"/>
      <c r="D92" s="1266">
        <f>D90*C143/100</f>
        <v>10532.620865498577</v>
      </c>
      <c r="E92" s="1236"/>
      <c r="F92" s="1266"/>
      <c r="G92" s="1248"/>
      <c r="H92" s="1267"/>
      <c r="I92" s="1247"/>
      <c r="J92" s="1235"/>
      <c r="K92" s="1246">
        <f>D100+D104+D108+D112+D116</f>
        <v>45115.092210742638</v>
      </c>
    </row>
    <row r="93" spans="1:12">
      <c r="A93" s="1264"/>
      <c r="B93" s="1265"/>
      <c r="C93" s="1266"/>
      <c r="D93" s="1266">
        <f>D90*C144/100</f>
        <v>20389.91919664307</v>
      </c>
      <c r="E93" s="1236"/>
      <c r="F93" s="1266"/>
      <c r="G93" s="1248"/>
      <c r="H93" s="1267"/>
      <c r="I93" s="1247"/>
      <c r="J93" s="1235"/>
      <c r="K93" s="1246">
        <f>D101+D105+D109+D113+D117</f>
        <v>77259.787253389877</v>
      </c>
    </row>
    <row r="94" spans="1:12">
      <c r="A94" s="1264" t="s">
        <v>3517</v>
      </c>
      <c r="B94" s="1265" t="s">
        <v>3389</v>
      </c>
      <c r="C94" s="1266">
        <v>18</v>
      </c>
      <c r="D94" s="1270">
        <f>G79*E80*D83*C94</f>
        <v>75258.720000000001</v>
      </c>
      <c r="E94" s="1236"/>
      <c r="F94" s="1266">
        <f>D94*E94</f>
        <v>0</v>
      </c>
      <c r="G94" s="1248">
        <f>$N$15</f>
        <v>0</v>
      </c>
      <c r="H94" s="1267">
        <f>D94*G94</f>
        <v>0</v>
      </c>
      <c r="I94" s="1247"/>
      <c r="J94" s="1235">
        <f>D94*I94</f>
        <v>0</v>
      </c>
      <c r="K94" s="1246">
        <f>K91+K92+K93</f>
        <v>349116.84</v>
      </c>
    </row>
    <row r="95" spans="1:12">
      <c r="A95" s="1264"/>
      <c r="B95" s="1265"/>
      <c r="C95" s="1266"/>
      <c r="D95" s="1266">
        <f>D94*D142/100</f>
        <v>50889.794731259855</v>
      </c>
      <c r="E95" s="1236"/>
      <c r="F95" s="1266"/>
      <c r="G95" s="1248"/>
      <c r="H95" s="1267"/>
      <c r="I95" s="1247"/>
      <c r="J95" s="1235"/>
      <c r="K95" s="1246"/>
    </row>
    <row r="96" spans="1:12">
      <c r="A96" s="1264"/>
      <c r="B96" s="1265"/>
      <c r="C96" s="1266"/>
      <c r="D96" s="1266">
        <f>D94*D143/100</f>
        <v>8408.2230528880609</v>
      </c>
      <c r="E96" s="1236"/>
      <c r="F96" s="1266"/>
      <c r="G96" s="1248"/>
      <c r="H96" s="1267"/>
      <c r="I96" s="1247"/>
      <c r="J96" s="1235"/>
      <c r="K96" s="1246"/>
    </row>
    <row r="97" spans="1:12">
      <c r="A97" s="1264"/>
      <c r="B97" s="1265"/>
      <c r="C97" s="1266"/>
      <c r="D97" s="1266">
        <f>D94*D144/100</f>
        <v>15960.702215852083</v>
      </c>
      <c r="E97" s="1236"/>
      <c r="F97" s="1266"/>
      <c r="G97" s="1248"/>
      <c r="H97" s="1267"/>
      <c r="I97" s="1247"/>
      <c r="J97" s="1235"/>
      <c r="K97" s="1246"/>
    </row>
    <row r="98" spans="1:12">
      <c r="A98" s="1264" t="s">
        <v>3520</v>
      </c>
      <c r="B98" s="1265" t="s">
        <v>3521</v>
      </c>
      <c r="C98" s="1266">
        <v>22</v>
      </c>
      <c r="D98" s="1270">
        <f>G79*E80*D83*C98</f>
        <v>91982.88</v>
      </c>
      <c r="E98" s="1236"/>
      <c r="F98" s="1266">
        <f>D98*E98</f>
        <v>0</v>
      </c>
      <c r="G98" s="1248">
        <f>$N$15</f>
        <v>0</v>
      </c>
      <c r="H98" s="1267">
        <f>D98*G98</f>
        <v>0</v>
      </c>
      <c r="I98" s="1247"/>
      <c r="J98" s="1235">
        <f>D98*I98</f>
        <v>0</v>
      </c>
      <c r="K98" s="1246"/>
      <c r="L98" s="1245"/>
    </row>
    <row r="99" spans="1:12">
      <c r="A99" s="1264"/>
      <c r="B99" s="1265"/>
      <c r="C99" s="1266">
        <f>D98+D102+D106+D110+D114</f>
        <v>349116.83999999997</v>
      </c>
      <c r="D99" s="1266">
        <f>D98*E142/100</f>
        <v>63808.970877708409</v>
      </c>
      <c r="E99" s="1236"/>
      <c r="F99" s="1266"/>
      <c r="G99" s="1248"/>
      <c r="H99" s="1267"/>
      <c r="I99" s="1247"/>
      <c r="J99" s="1235"/>
      <c r="K99" s="1246"/>
      <c r="L99" s="1245"/>
    </row>
    <row r="100" spans="1:12">
      <c r="A100" s="1264"/>
      <c r="B100" s="1265"/>
      <c r="C100" s="1266"/>
      <c r="D100" s="1266">
        <f>D98*E143/100</f>
        <v>9306.3839294895333</v>
      </c>
      <c r="E100" s="1236"/>
      <c r="F100" s="1266"/>
      <c r="G100" s="1248"/>
      <c r="H100" s="1267"/>
      <c r="I100" s="1247"/>
      <c r="J100" s="1235"/>
      <c r="K100" s="1246"/>
      <c r="L100" s="1245"/>
    </row>
    <row r="101" spans="1:12">
      <c r="A101" s="1264"/>
      <c r="B101" s="1265"/>
      <c r="C101" s="1266"/>
      <c r="D101" s="1266">
        <f>D98*E144/100</f>
        <v>18867.525192802059</v>
      </c>
      <c r="E101" s="1236"/>
      <c r="F101" s="1266"/>
      <c r="G101" s="1248"/>
      <c r="H101" s="1267"/>
      <c r="I101" s="1247"/>
      <c r="J101" s="1235"/>
      <c r="K101" s="1246"/>
      <c r="L101" s="1245"/>
    </row>
    <row r="102" spans="1:12">
      <c r="A102" s="1264" t="s">
        <v>3522</v>
      </c>
      <c r="B102" s="1265" t="s">
        <v>3391</v>
      </c>
      <c r="C102" s="1266">
        <v>18</v>
      </c>
      <c r="D102" s="1270">
        <f>G79*E80*D82*C102</f>
        <v>56444.04</v>
      </c>
      <c r="E102" s="1236"/>
      <c r="F102" s="1266">
        <f>D102*E102</f>
        <v>0</v>
      </c>
      <c r="G102" s="1248">
        <f>$N$15</f>
        <v>0</v>
      </c>
      <c r="H102" s="1267">
        <f>D102*G102</f>
        <v>0</v>
      </c>
      <c r="I102" s="1250"/>
      <c r="J102" s="1241">
        <f>SUM(J106:J114)</f>
        <v>0</v>
      </c>
    </row>
    <row r="103" spans="1:12">
      <c r="A103" s="1264"/>
      <c r="B103" s="1265"/>
      <c r="C103" s="1266"/>
      <c r="D103" s="1266">
        <f>D102*F142/100</f>
        <v>39481.174475800835</v>
      </c>
      <c r="E103" s="1236"/>
      <c r="F103" s="1266"/>
      <c r="G103" s="1248"/>
      <c r="H103" s="1267"/>
      <c r="I103" s="1250"/>
      <c r="J103" s="1241"/>
    </row>
    <row r="104" spans="1:12">
      <c r="A104" s="1264"/>
      <c r="B104" s="1265"/>
      <c r="C104" s="1266"/>
      <c r="D104" s="1266">
        <f>D102*F143/100</f>
        <v>5407.1758064066198</v>
      </c>
      <c r="E104" s="1236"/>
      <c r="F104" s="1266"/>
      <c r="G104" s="1248"/>
      <c r="H104" s="1267"/>
      <c r="I104" s="1250"/>
      <c r="J104" s="1241"/>
    </row>
    <row r="105" spans="1:12">
      <c r="A105" s="1264"/>
      <c r="B105" s="1265"/>
      <c r="C105" s="1266"/>
      <c r="D105" s="1266">
        <f>D102*F144/100</f>
        <v>11555.689717792551</v>
      </c>
      <c r="E105" s="1236"/>
      <c r="F105" s="1266"/>
      <c r="G105" s="1248"/>
      <c r="H105" s="1267"/>
      <c r="I105" s="1250"/>
      <c r="J105" s="1241"/>
    </row>
    <row r="106" spans="1:12">
      <c r="A106" s="1264" t="s">
        <v>3523</v>
      </c>
      <c r="B106" s="1265" t="s">
        <v>3392</v>
      </c>
      <c r="C106" s="1266">
        <v>22</v>
      </c>
      <c r="D106" s="1270">
        <f>G79*E80*D82*C106</f>
        <v>68987.16</v>
      </c>
      <c r="E106" s="1236"/>
      <c r="F106" s="1266">
        <f>D106*E106</f>
        <v>0</v>
      </c>
      <c r="G106" s="1248">
        <f>$N$15</f>
        <v>0</v>
      </c>
      <c r="H106" s="1267">
        <f>D106*G106</f>
        <v>0</v>
      </c>
      <c r="I106" s="1247"/>
      <c r="J106" s="1235">
        <f>D106*I106</f>
        <v>0</v>
      </c>
    </row>
    <row r="107" spans="1:12">
      <c r="A107" s="1264"/>
      <c r="B107" s="1265"/>
      <c r="C107" s="1266"/>
      <c r="D107" s="1266">
        <f>D106*G142/100</f>
        <v>50361.807775875692</v>
      </c>
      <c r="E107" s="1236"/>
      <c r="F107" s="1266"/>
      <c r="G107" s="1248"/>
      <c r="H107" s="1267"/>
      <c r="I107" s="1247"/>
      <c r="J107" s="1235"/>
    </row>
    <row r="108" spans="1:12">
      <c r="A108" s="1264"/>
      <c r="B108" s="1265"/>
      <c r="C108" s="1266"/>
      <c r="D108" s="1266">
        <f>D106*G143/100</f>
        <v>7228.9350237029248</v>
      </c>
      <c r="E108" s="1236"/>
      <c r="F108" s="1266"/>
      <c r="G108" s="1248"/>
      <c r="H108" s="1267"/>
      <c r="I108" s="1247"/>
      <c r="J108" s="1235"/>
    </row>
    <row r="109" spans="1:12">
      <c r="A109" s="1264"/>
      <c r="B109" s="1265"/>
      <c r="C109" s="1266"/>
      <c r="D109" s="1266">
        <f>D106*G144/100</f>
        <v>11396.417200421385</v>
      </c>
      <c r="E109" s="1236"/>
      <c r="F109" s="1266"/>
      <c r="G109" s="1248"/>
      <c r="H109" s="1267"/>
      <c r="I109" s="1247"/>
      <c r="J109" s="1235"/>
    </row>
    <row r="110" spans="1:12">
      <c r="A110" s="1264" t="s">
        <v>3524</v>
      </c>
      <c r="B110" s="1265" t="s">
        <v>3393</v>
      </c>
      <c r="C110" s="1266">
        <v>22</v>
      </c>
      <c r="D110" s="1270">
        <f>G79*E80*D82*C110</f>
        <v>68987.16</v>
      </c>
      <c r="E110" s="1236"/>
      <c r="F110" s="1266">
        <f>D110*E110</f>
        <v>0</v>
      </c>
      <c r="G110" s="1248">
        <f>$N$15</f>
        <v>0</v>
      </c>
      <c r="H110" s="1267">
        <f>D110*G110</f>
        <v>0</v>
      </c>
      <c r="I110" s="1247"/>
      <c r="J110" s="1235">
        <f>D110*I110</f>
        <v>0</v>
      </c>
    </row>
    <row r="111" spans="1:12">
      <c r="A111" s="1264"/>
      <c r="B111" s="1265"/>
      <c r="C111" s="1266"/>
      <c r="D111" s="1266">
        <f>D110*H142/100</f>
        <v>50361.807775875692</v>
      </c>
      <c r="E111" s="1236"/>
      <c r="F111" s="1266"/>
      <c r="G111" s="1248"/>
      <c r="H111" s="1267"/>
      <c r="I111" s="1247"/>
      <c r="J111" s="1235"/>
    </row>
    <row r="112" spans="1:12">
      <c r="A112" s="1264"/>
      <c r="B112" s="1265"/>
      <c r="C112" s="1266"/>
      <c r="D112" s="1266">
        <f>D110*H143/100</f>
        <v>7228.9350237029248</v>
      </c>
      <c r="E112" s="1236"/>
      <c r="F112" s="1266"/>
      <c r="G112" s="1248"/>
      <c r="H112" s="1267"/>
      <c r="I112" s="1247"/>
      <c r="J112" s="1235"/>
    </row>
    <row r="113" spans="1:11">
      <c r="A113" s="1264"/>
      <c r="B113" s="1265"/>
      <c r="C113" s="1266"/>
      <c r="D113" s="1266">
        <f>D110*H144/100</f>
        <v>11396.417200421385</v>
      </c>
      <c r="E113" s="1236"/>
      <c r="F113" s="1266"/>
      <c r="G113" s="1248"/>
      <c r="H113" s="1267"/>
      <c r="I113" s="1247"/>
      <c r="J113" s="1235"/>
    </row>
    <row r="114" spans="1:11">
      <c r="A114" s="1264" t="s">
        <v>3525</v>
      </c>
      <c r="B114" s="1265" t="s">
        <v>3526</v>
      </c>
      <c r="C114" s="1266">
        <v>20</v>
      </c>
      <c r="D114" s="1270">
        <f>G79*E80*D82*C114</f>
        <v>62715.600000000006</v>
      </c>
      <c r="E114" s="1236"/>
      <c r="F114" s="1266">
        <f>D114*E114</f>
        <v>0</v>
      </c>
      <c r="G114" s="1248">
        <f>$N$15</f>
        <v>0</v>
      </c>
      <c r="H114" s="1267">
        <f>D114*G114</f>
        <v>0</v>
      </c>
      <c r="I114" s="1247"/>
      <c r="J114" s="1235">
        <f>D114*I114</f>
        <v>0</v>
      </c>
    </row>
    <row r="115" spans="1:11">
      <c r="A115" s="1264"/>
      <c r="B115" s="1265"/>
      <c r="C115" s="1266"/>
      <c r="D115" s="1266">
        <f>D114*I142/100</f>
        <v>22728.199630606865</v>
      </c>
      <c r="E115" s="1236"/>
      <c r="F115" s="1266"/>
      <c r="G115" s="1248"/>
      <c r="H115" s="1267"/>
      <c r="I115" s="1247"/>
      <c r="J115" s="1235"/>
    </row>
    <row r="116" spans="1:11">
      <c r="A116" s="1264"/>
      <c r="B116" s="1265"/>
      <c r="C116" s="1266"/>
      <c r="D116" s="1266">
        <f>D114*I143/100</f>
        <v>15943.662427440635</v>
      </c>
      <c r="E116" s="1236"/>
      <c r="F116" s="1266"/>
      <c r="G116" s="1248"/>
      <c r="H116" s="1267"/>
      <c r="I116" s="1247"/>
      <c r="J116" s="1235"/>
    </row>
    <row r="117" spans="1:11">
      <c r="A117" s="1264"/>
      <c r="B117" s="1265"/>
      <c r="C117" s="1266"/>
      <c r="D117" s="1266">
        <f>D114*I144/100</f>
        <v>24043.737941952506</v>
      </c>
      <c r="E117" s="1236"/>
      <c r="F117" s="1266"/>
      <c r="G117" s="1248"/>
      <c r="H117" s="1267"/>
      <c r="I117" s="1247"/>
      <c r="J117" s="1235"/>
    </row>
    <row r="118" spans="1:11">
      <c r="A118" s="1264" t="s">
        <v>3527</v>
      </c>
      <c r="B118" s="1265" t="s">
        <v>3528</v>
      </c>
      <c r="C118" s="1266">
        <v>21</v>
      </c>
      <c r="D118" s="1270">
        <f>G79*E80*D82*C118</f>
        <v>65851.38</v>
      </c>
      <c r="E118" s="1236"/>
      <c r="F118" s="1268">
        <f>SUM(D118*E118)</f>
        <v>0</v>
      </c>
      <c r="G118" s="1248">
        <f>$N$15</f>
        <v>0</v>
      </c>
      <c r="H118" s="1267">
        <f>D118*G118</f>
        <v>0</v>
      </c>
      <c r="I118" s="1250"/>
      <c r="J118" s="1241">
        <f>SUM(J122:J130)</f>
        <v>0</v>
      </c>
      <c r="K118" s="274" t="s">
        <v>3464</v>
      </c>
    </row>
    <row r="119" spans="1:11">
      <c r="A119" s="1264"/>
      <c r="B119" s="1265"/>
      <c r="C119" s="1266"/>
      <c r="D119" s="1266">
        <f>D118*J142/100</f>
        <v>4818.3936585365855</v>
      </c>
      <c r="E119" s="1236"/>
      <c r="F119" s="1268"/>
      <c r="G119" s="1248"/>
      <c r="H119" s="1267"/>
      <c r="I119" s="1250"/>
      <c r="J119" s="1241"/>
      <c r="K119" s="1246">
        <f>D119+D123+D127+D131</f>
        <v>31558.260851397641</v>
      </c>
    </row>
    <row r="120" spans="1:11">
      <c r="A120" s="1264"/>
      <c r="B120" s="1265"/>
      <c r="C120" s="1266"/>
      <c r="D120" s="1266">
        <f>D118*J143/100</f>
        <v>16864.377804878048</v>
      </c>
      <c r="E120" s="1236"/>
      <c r="F120" s="1268"/>
      <c r="G120" s="1248"/>
      <c r="H120" s="1267"/>
      <c r="I120" s="1250"/>
      <c r="J120" s="1241"/>
      <c r="K120" s="1246">
        <f>D120+D124+D128+D132</f>
        <v>197179.11554055955</v>
      </c>
    </row>
    <row r="121" spans="1:11">
      <c r="A121" s="1264"/>
      <c r="B121" s="1265"/>
      <c r="C121" s="1266"/>
      <c r="D121" s="1266">
        <f>D118*J144/100</f>
        <v>44168.608536585372</v>
      </c>
      <c r="E121" s="1236"/>
      <c r="F121" s="1268"/>
      <c r="G121" s="1248"/>
      <c r="H121" s="1267"/>
      <c r="I121" s="1250"/>
      <c r="J121" s="1241"/>
      <c r="K121" s="1246">
        <f>D121+D125+D129+D133</f>
        <v>100519.52360804279</v>
      </c>
    </row>
    <row r="122" spans="1:11">
      <c r="A122" s="1264" t="s">
        <v>3529</v>
      </c>
      <c r="B122" s="1265" t="s">
        <v>3530</v>
      </c>
      <c r="C122" s="1266">
        <v>22</v>
      </c>
      <c r="D122" s="1270">
        <f>G79*E80*D83*C122</f>
        <v>91982.88</v>
      </c>
      <c r="E122" s="1236"/>
      <c r="F122" s="1268">
        <f>SUM(D122*E122)</f>
        <v>0</v>
      </c>
      <c r="G122" s="1248">
        <f>$N$15</f>
        <v>0</v>
      </c>
      <c r="H122" s="1267">
        <f>D122*G122</f>
        <v>0</v>
      </c>
      <c r="I122" s="1247"/>
      <c r="J122" s="1235">
        <f>D122*I122</f>
        <v>0</v>
      </c>
    </row>
    <row r="123" spans="1:11">
      <c r="A123" s="1264"/>
      <c r="B123" s="1265"/>
      <c r="C123" s="1266"/>
      <c r="D123" s="1266">
        <f>D122*K142/100</f>
        <v>9769.7453204996928</v>
      </c>
      <c r="E123" s="1236"/>
      <c r="F123" s="1268"/>
      <c r="G123" s="1248"/>
      <c r="H123" s="1267"/>
      <c r="I123" s="1247"/>
      <c r="J123" s="1235"/>
    </row>
    <row r="124" spans="1:11">
      <c r="A124" s="1264"/>
      <c r="B124" s="1265"/>
      <c r="C124" s="1266"/>
      <c r="D124" s="1266">
        <f>D122*K143/100</f>
        <v>62653.094179807493</v>
      </c>
      <c r="E124" s="1236"/>
      <c r="F124" s="1268"/>
      <c r="G124" s="1248"/>
      <c r="H124" s="1267"/>
      <c r="I124" s="1247"/>
      <c r="J124" s="1235"/>
    </row>
    <row r="125" spans="1:11">
      <c r="A125" s="1264"/>
      <c r="B125" s="1265"/>
      <c r="C125" s="1266"/>
      <c r="D125" s="1266">
        <f>D122*K144/100</f>
        <v>19560.040499692812</v>
      </c>
      <c r="E125" s="1236"/>
      <c r="F125" s="1268"/>
      <c r="G125" s="1248"/>
      <c r="H125" s="1267"/>
      <c r="I125" s="1247"/>
      <c r="J125" s="1235"/>
    </row>
    <row r="126" spans="1:11">
      <c r="A126" s="1264" t="s">
        <v>3531</v>
      </c>
      <c r="B126" s="1265" t="s">
        <v>3532</v>
      </c>
      <c r="C126" s="1266">
        <v>21</v>
      </c>
      <c r="D126" s="1270">
        <f>G79*E80*D83*C126</f>
        <v>87801.84</v>
      </c>
      <c r="E126" s="1236"/>
      <c r="F126" s="1268">
        <f>SUM(D126*E126)</f>
        <v>0</v>
      </c>
      <c r="G126" s="1248">
        <f>$N$15</f>
        <v>0</v>
      </c>
      <c r="H126" s="1267">
        <f>D126*G126</f>
        <v>0</v>
      </c>
      <c r="I126" s="1247"/>
      <c r="J126" s="1235">
        <f>D126*I126</f>
        <v>0</v>
      </c>
    </row>
    <row r="127" spans="1:11">
      <c r="A127" s="1264"/>
      <c r="B127" s="1265"/>
      <c r="C127" s="1266"/>
      <c r="D127" s="1266">
        <f>D126*L142/100</f>
        <v>8810.5000109035027</v>
      </c>
      <c r="E127" s="1236"/>
      <c r="F127" s="1268"/>
      <c r="G127" s="1248"/>
      <c r="H127" s="1267"/>
      <c r="I127" s="1247"/>
      <c r="J127" s="1235"/>
    </row>
    <row r="128" spans="1:11">
      <c r="A128" s="1264"/>
      <c r="B128" s="1265"/>
      <c r="C128" s="1266"/>
      <c r="D128" s="1266">
        <f>D126*L143/100</f>
        <v>60295.499580710704</v>
      </c>
      <c r="E128" s="1236"/>
      <c r="F128" s="1268"/>
      <c r="G128" s="1248"/>
      <c r="H128" s="1267"/>
      <c r="I128" s="1247"/>
      <c r="J128" s="1235"/>
    </row>
    <row r="129" spans="1:19">
      <c r="A129" s="1264"/>
      <c r="B129" s="1265"/>
      <c r="C129" s="1266"/>
      <c r="D129" s="1266">
        <f>D126*L144/100</f>
        <v>18695.840408385786</v>
      </c>
      <c r="E129" s="1236"/>
      <c r="F129" s="1268"/>
      <c r="G129" s="1248"/>
      <c r="H129" s="1267"/>
      <c r="I129" s="1247"/>
      <c r="J129" s="1235"/>
    </row>
    <row r="130" spans="1:19">
      <c r="A130" s="1264" t="s">
        <v>3533</v>
      </c>
      <c r="B130" s="1265" t="s">
        <v>3534</v>
      </c>
      <c r="C130" s="1266">
        <v>20</v>
      </c>
      <c r="D130" s="1270">
        <f>G79*E80*D83*C130</f>
        <v>83620.800000000003</v>
      </c>
      <c r="E130" s="1236"/>
      <c r="F130" s="1268">
        <f>SUM(D130*E130)</f>
        <v>0</v>
      </c>
      <c r="G130" s="1248">
        <f>$N$15</f>
        <v>0</v>
      </c>
      <c r="H130" s="1267">
        <f>D130*G130</f>
        <v>0</v>
      </c>
      <c r="I130" s="1247"/>
      <c r="J130" s="1235">
        <f>D130*I130</f>
        <v>0</v>
      </c>
    </row>
    <row r="131" spans="1:19">
      <c r="A131" s="1264"/>
      <c r="B131" s="1265"/>
      <c r="C131" s="1266"/>
      <c r="D131" s="1266">
        <f>D130*M142/100</f>
        <v>8159.621861457862</v>
      </c>
      <c r="E131" s="1236"/>
      <c r="F131" s="1268"/>
      <c r="G131" s="1248"/>
      <c r="H131" s="1267"/>
      <c r="I131" s="1247"/>
      <c r="J131" s="1235"/>
    </row>
    <row r="132" spans="1:19">
      <c r="A132" s="1264"/>
      <c r="B132" s="1265"/>
      <c r="C132" s="1266"/>
      <c r="D132" s="1266">
        <f>D130*M143/100</f>
        <v>57366.143975163315</v>
      </c>
      <c r="E132" s="1236"/>
      <c r="F132" s="1268"/>
      <c r="G132" s="1248"/>
      <c r="H132" s="1267"/>
      <c r="I132" s="1247"/>
      <c r="J132" s="1235"/>
    </row>
    <row r="133" spans="1:19">
      <c r="A133" s="1264"/>
      <c r="B133" s="1265"/>
      <c r="C133" s="1266"/>
      <c r="D133" s="1266">
        <f>D130*M144/100</f>
        <v>18095.034163378823</v>
      </c>
      <c r="E133" s="1236"/>
      <c r="F133" s="1268"/>
      <c r="G133" s="1248"/>
      <c r="H133" s="1267"/>
      <c r="I133" s="1247"/>
      <c r="J133" s="1235"/>
    </row>
    <row r="134" spans="1:19">
      <c r="A134" s="1264"/>
      <c r="B134" s="1269" t="s">
        <v>3535</v>
      </c>
      <c r="C134" s="1270">
        <f>SUM(C86:C130)</f>
        <v>349361.83999999997</v>
      </c>
      <c r="D134" s="1270">
        <f>SUM(D86:D130)</f>
        <v>1749765.2399999998</v>
      </c>
      <c r="E134" s="1271"/>
      <c r="F134" s="1270">
        <f>SUM(F86:F130)</f>
        <v>0</v>
      </c>
      <c r="G134" s="1248">
        <f>$N$15</f>
        <v>0</v>
      </c>
      <c r="H134" s="1270">
        <f>SUM(H86:H130)</f>
        <v>0</v>
      </c>
      <c r="I134" s="1238"/>
      <c r="J134" s="1235"/>
      <c r="M134" s="275"/>
    </row>
    <row r="135" spans="1:19" s="275" customFormat="1">
      <c r="A135" s="1243"/>
      <c r="B135" s="1243"/>
      <c r="C135" s="1244"/>
      <c r="D135" s="1243"/>
      <c r="E135" s="1244"/>
      <c r="F135" s="1244"/>
      <c r="G135" s="1243"/>
      <c r="H135" s="1243"/>
      <c r="I135"/>
      <c r="J135"/>
      <c r="L135" s="274"/>
      <c r="M135" s="274"/>
      <c r="N135" s="274"/>
      <c r="O135" s="274"/>
      <c r="P135" s="274"/>
      <c r="Q135" s="274"/>
      <c r="R135" s="274"/>
      <c r="S135" s="274"/>
    </row>
    <row r="136" spans="1:19" s="275" customFormat="1">
      <c r="A136" s="274"/>
      <c r="B136" s="1206" t="s">
        <v>3471</v>
      </c>
      <c r="C136" s="1206" t="s">
        <v>3472</v>
      </c>
      <c r="D136" s="1206" t="s">
        <v>3389</v>
      </c>
      <c r="E136" s="1206" t="s">
        <v>3390</v>
      </c>
      <c r="F136" s="1206" t="s">
        <v>3391</v>
      </c>
      <c r="G136" s="1206" t="s">
        <v>3392</v>
      </c>
      <c r="H136" s="1206" t="s">
        <v>3393</v>
      </c>
      <c r="I136" s="275" t="s">
        <v>3394</v>
      </c>
      <c r="J136" s="275" t="s">
        <v>3395</v>
      </c>
      <c r="K136" s="275" t="s">
        <v>3396</v>
      </c>
      <c r="L136" s="275" t="s">
        <v>3397</v>
      </c>
      <c r="M136" s="275" t="s">
        <v>3398</v>
      </c>
      <c r="O136" s="274"/>
      <c r="P136" s="274"/>
      <c r="Q136" s="274"/>
      <c r="R136" s="274"/>
      <c r="S136" s="274"/>
    </row>
    <row r="137" spans="1:19" s="275" customFormat="1">
      <c r="A137" s="274"/>
      <c r="B137" s="274">
        <v>4526</v>
      </c>
      <c r="C137" s="274">
        <v>157395</v>
      </c>
      <c r="D137" s="274">
        <v>56614</v>
      </c>
      <c r="E137" s="274">
        <v>45335</v>
      </c>
      <c r="F137" s="274">
        <v>30090</v>
      </c>
      <c r="G137" s="274">
        <v>22175</v>
      </c>
      <c r="H137" s="274">
        <v>22175</v>
      </c>
      <c r="I137" s="275">
        <v>2747</v>
      </c>
      <c r="J137" s="275">
        <v>1200</v>
      </c>
      <c r="K137" s="274">
        <v>5705</v>
      </c>
      <c r="L137" s="274">
        <v>6074</v>
      </c>
      <c r="M137" s="274">
        <v>4526</v>
      </c>
      <c r="N137" s="274"/>
      <c r="O137" s="274"/>
      <c r="P137" s="274"/>
      <c r="Q137" s="274"/>
      <c r="R137" s="274"/>
      <c r="S137" s="274"/>
    </row>
    <row r="138" spans="1:19" s="275" customFormat="1">
      <c r="A138" s="274"/>
      <c r="B138" s="274">
        <v>32435</v>
      </c>
      <c r="C138" s="274">
        <v>31458</v>
      </c>
      <c r="D138" s="274">
        <v>9354</v>
      </c>
      <c r="E138" s="274">
        <v>6612</v>
      </c>
      <c r="F138" s="274">
        <v>4121</v>
      </c>
      <c r="G138" s="274">
        <v>3183</v>
      </c>
      <c r="H138" s="274">
        <v>3183</v>
      </c>
      <c r="I138" s="275">
        <v>1927</v>
      </c>
      <c r="J138" s="275">
        <v>4200</v>
      </c>
      <c r="K138" s="274">
        <v>36586</v>
      </c>
      <c r="L138" s="274">
        <v>41568</v>
      </c>
      <c r="M138" s="274">
        <v>31820</v>
      </c>
      <c r="N138" s="274"/>
      <c r="O138" s="274"/>
      <c r="P138" s="274"/>
      <c r="Q138" s="274"/>
      <c r="R138" s="274"/>
      <c r="S138" s="274"/>
    </row>
    <row r="139" spans="1:19" s="275" customFormat="1">
      <c r="A139" s="274"/>
      <c r="B139" s="274">
        <v>10037</v>
      </c>
      <c r="C139" s="274">
        <v>60899</v>
      </c>
      <c r="D139" s="274">
        <v>17756</v>
      </c>
      <c r="E139" s="274">
        <v>13405</v>
      </c>
      <c r="F139" s="274">
        <v>8807</v>
      </c>
      <c r="G139" s="274">
        <v>5018</v>
      </c>
      <c r="H139" s="274">
        <v>5018</v>
      </c>
      <c r="I139" s="275">
        <v>2906</v>
      </c>
      <c r="J139" s="275">
        <v>11000</v>
      </c>
      <c r="K139" s="274">
        <v>11422</v>
      </c>
      <c r="L139" s="274">
        <v>12889</v>
      </c>
      <c r="M139" s="274">
        <v>10037</v>
      </c>
      <c r="N139" s="274"/>
      <c r="O139" s="274"/>
      <c r="P139" s="274"/>
      <c r="Q139" s="274"/>
      <c r="R139" s="274"/>
      <c r="S139" s="274"/>
    </row>
    <row r="140" spans="1:19" s="275" customFormat="1">
      <c r="A140" s="274"/>
      <c r="B140" s="566">
        <f t="shared" ref="B140:M140" si="4">SUM(B137:B139)</f>
        <v>46998</v>
      </c>
      <c r="C140" s="566">
        <f t="shared" si="4"/>
        <v>249752</v>
      </c>
      <c r="D140" s="566">
        <f t="shared" si="4"/>
        <v>83724</v>
      </c>
      <c r="E140" s="566">
        <f t="shared" si="4"/>
        <v>65352</v>
      </c>
      <c r="F140" s="566">
        <f t="shared" si="4"/>
        <v>43018</v>
      </c>
      <c r="G140" s="566">
        <f t="shared" si="4"/>
        <v>30376</v>
      </c>
      <c r="H140" s="566">
        <f t="shared" si="4"/>
        <v>30376</v>
      </c>
      <c r="I140" s="1216">
        <f t="shared" si="4"/>
        <v>7580</v>
      </c>
      <c r="J140" s="1216">
        <f t="shared" si="4"/>
        <v>16400</v>
      </c>
      <c r="K140" s="1216">
        <f t="shared" si="4"/>
        <v>53713</v>
      </c>
      <c r="L140" s="1216">
        <f t="shared" si="4"/>
        <v>60531</v>
      </c>
      <c r="M140" s="1216">
        <f t="shared" si="4"/>
        <v>46383</v>
      </c>
      <c r="N140" s="274"/>
      <c r="O140" s="274"/>
      <c r="P140" s="274"/>
      <c r="Q140" s="274"/>
      <c r="R140" s="274"/>
      <c r="S140" s="274"/>
    </row>
    <row r="141" spans="1:19" s="275" customFormat="1">
      <c r="A141" s="274"/>
      <c r="B141" s="274"/>
      <c r="C141" s="274"/>
      <c r="D141" s="274"/>
      <c r="E141" s="274"/>
      <c r="F141" s="274"/>
      <c r="G141" s="274"/>
      <c r="H141" s="274"/>
      <c r="I141" s="547"/>
      <c r="L141" s="274"/>
      <c r="M141" s="274"/>
      <c r="N141" s="274"/>
      <c r="O141" s="274"/>
      <c r="P141" s="274"/>
      <c r="Q141" s="274"/>
      <c r="R141" s="274"/>
      <c r="S141" s="274"/>
    </row>
    <row r="142" spans="1:19" s="275" customFormat="1">
      <c r="A142" s="274"/>
      <c r="B142" s="1215">
        <f>B137/$B$140*100</f>
        <v>9.6301970296608363</v>
      </c>
      <c r="C142" s="1215">
        <f>C137/$C$140*100</f>
        <v>63.020516352221399</v>
      </c>
      <c r="D142" s="1215">
        <f>D137/$D$140*100</f>
        <v>67.619798385170327</v>
      </c>
      <c r="E142" s="1215">
        <f>E137/$E$140*100</f>
        <v>69.370485983596524</v>
      </c>
      <c r="F142" s="1215">
        <f>F137/$F$140*100</f>
        <v>69.947463852340888</v>
      </c>
      <c r="G142" s="1215">
        <f>G137/$G$140*100</f>
        <v>73.001711877798257</v>
      </c>
      <c r="H142" s="1215">
        <f>H137/$H$140*100</f>
        <v>73.001711877798257</v>
      </c>
      <c r="I142" s="1215">
        <f>I137/$I$140*100</f>
        <v>36.240105540897098</v>
      </c>
      <c r="J142" s="1214">
        <f>J137/$J$140*100</f>
        <v>7.3170731707317067</v>
      </c>
      <c r="K142" s="1214">
        <f>K137/$K$140*100</f>
        <v>10.621264870701692</v>
      </c>
      <c r="L142" s="1215">
        <f>L137/$L$140*100</f>
        <v>10.034527762634022</v>
      </c>
      <c r="M142" s="1215">
        <f>M137/$M$140*100</f>
        <v>9.7578854321626451</v>
      </c>
      <c r="N142" s="274"/>
      <c r="O142" s="274"/>
      <c r="P142" s="274"/>
      <c r="Q142" s="274"/>
      <c r="R142" s="274"/>
      <c r="S142" s="274"/>
    </row>
    <row r="143" spans="1:19" s="275" customFormat="1">
      <c r="A143" s="274"/>
      <c r="B143" s="1215">
        <f>B138/$B$140*100</f>
        <v>69.01357504574662</v>
      </c>
      <c r="C143" s="1215">
        <f>C138/$C$140*100</f>
        <v>12.595694929369936</v>
      </c>
      <c r="D143" s="1215">
        <f>D138/$D$140*100</f>
        <v>11.172423677798481</v>
      </c>
      <c r="E143" s="1215">
        <f>E138/$E$140*100</f>
        <v>10.117517443995592</v>
      </c>
      <c r="F143" s="1215">
        <f>F138/$F$140*100</f>
        <v>9.5797108187270439</v>
      </c>
      <c r="G143" s="1215">
        <f>G138/$G$140*100</f>
        <v>10.478667368975508</v>
      </c>
      <c r="H143" s="1215">
        <f>H138/$H$140*100</f>
        <v>10.478667368975508</v>
      </c>
      <c r="I143" s="1215">
        <f>I138/$I$140*100</f>
        <v>25.4221635883905</v>
      </c>
      <c r="J143" s="1214">
        <f>J138/$J$140*100</f>
        <v>25.609756097560975</v>
      </c>
      <c r="K143" s="1214">
        <f>K138/$K$140*100</f>
        <v>68.113864427605975</v>
      </c>
      <c r="L143" s="1215">
        <f>L138/$L$140*100</f>
        <v>68.672250582346237</v>
      </c>
      <c r="M143" s="1215">
        <f>M138/$M$140*100</f>
        <v>68.602720824439984</v>
      </c>
      <c r="N143" s="274"/>
      <c r="O143" s="274"/>
      <c r="P143" s="274"/>
      <c r="Q143" s="274"/>
      <c r="R143" s="274"/>
      <c r="S143" s="274"/>
    </row>
    <row r="144" spans="1:19" s="275" customFormat="1">
      <c r="A144" s="274"/>
      <c r="B144" s="1215">
        <f>B139/$B$140*100</f>
        <v>21.356227924592535</v>
      </c>
      <c r="C144" s="1215">
        <f>C139/$C$140*100</f>
        <v>24.38378871840866</v>
      </c>
      <c r="D144" s="1215">
        <f>D139/$D$140*100</f>
        <v>21.207777937031196</v>
      </c>
      <c r="E144" s="1215">
        <f>E139/$E$140*100</f>
        <v>20.511996572407885</v>
      </c>
      <c r="F144" s="1215">
        <f>F139/$F$140*100</f>
        <v>20.472825328932075</v>
      </c>
      <c r="G144" s="1215">
        <f>G139/$G$140*100</f>
        <v>16.519620753226231</v>
      </c>
      <c r="H144" s="1215">
        <f>H139/$H$140*100</f>
        <v>16.519620753226231</v>
      </c>
      <c r="I144" s="1215">
        <f>I139/$I$140*100</f>
        <v>38.337730870712399</v>
      </c>
      <c r="J144" s="1214">
        <f>J139/$J$140*100</f>
        <v>67.073170731707322</v>
      </c>
      <c r="K144" s="1214">
        <f>K139/$K$140*100</f>
        <v>21.264870701692328</v>
      </c>
      <c r="L144" s="1215">
        <f>L139/$L$140*100</f>
        <v>21.293221655019742</v>
      </c>
      <c r="M144" s="1215">
        <f>M139/$M$140*100</f>
        <v>21.639393743397363</v>
      </c>
      <c r="N144" s="274"/>
      <c r="O144" s="274"/>
      <c r="P144" s="274"/>
      <c r="Q144" s="274"/>
      <c r="R144" s="274"/>
      <c r="S144" s="274"/>
    </row>
    <row r="145" spans="1:19" s="275" customFormat="1">
      <c r="A145" s="274"/>
      <c r="B145" s="274"/>
      <c r="C145" s="274"/>
      <c r="D145" s="274"/>
      <c r="E145" s="274"/>
      <c r="F145" s="274"/>
      <c r="G145" s="274"/>
      <c r="H145" s="274"/>
      <c r="I145" s="547"/>
      <c r="L145" s="274"/>
      <c r="M145" s="274"/>
      <c r="N145" s="274"/>
      <c r="O145" s="274"/>
      <c r="P145" s="274"/>
      <c r="Q145" s="274"/>
      <c r="R145" s="274"/>
      <c r="S145" s="274"/>
    </row>
    <row r="146" spans="1:19" s="275" customFormat="1">
      <c r="A146" s="274"/>
      <c r="B146" s="274"/>
      <c r="C146" s="274"/>
      <c r="D146" s="274"/>
      <c r="E146" s="274"/>
      <c r="F146" s="274"/>
      <c r="G146" s="274"/>
      <c r="H146" s="274"/>
      <c r="I146" s="547"/>
      <c r="L146" s="274"/>
      <c r="M146" s="274"/>
      <c r="N146" s="274"/>
      <c r="O146" s="274"/>
      <c r="P146" s="274"/>
      <c r="Q146" s="274"/>
      <c r="R146" s="274"/>
      <c r="S146" s="274"/>
    </row>
    <row r="147" spans="1:19" s="275" customFormat="1">
      <c r="A147" s="274"/>
      <c r="B147" s="274"/>
      <c r="C147" s="274"/>
      <c r="D147" s="274"/>
      <c r="E147" s="274"/>
      <c r="F147" s="274"/>
      <c r="G147" s="274"/>
      <c r="H147" s="274"/>
      <c r="I147" s="547"/>
      <c r="L147" s="274"/>
      <c r="M147" s="274"/>
      <c r="N147" s="274"/>
      <c r="O147" s="274"/>
      <c r="P147" s="274"/>
      <c r="Q147" s="274"/>
      <c r="R147" s="274"/>
      <c r="S147" s="274"/>
    </row>
    <row r="148" spans="1:19" s="275" customFormat="1">
      <c r="A148" s="274"/>
      <c r="B148" s="274"/>
      <c r="C148" s="274"/>
      <c r="D148" s="274"/>
      <c r="E148" s="274"/>
      <c r="F148" s="274"/>
      <c r="G148" s="274"/>
      <c r="H148" s="274"/>
      <c r="I148" s="547"/>
      <c r="L148" s="274"/>
      <c r="M148" s="274"/>
      <c r="N148" s="274"/>
      <c r="O148" s="274"/>
      <c r="P148" s="274"/>
      <c r="Q148" s="274"/>
      <c r="R148" s="274"/>
      <c r="S148" s="274"/>
    </row>
    <row r="149" spans="1:19" s="275" customFormat="1">
      <c r="A149" s="274"/>
      <c r="B149" s="274"/>
      <c r="C149" s="274"/>
      <c r="D149" s="274"/>
      <c r="E149" s="274"/>
      <c r="F149" s="274"/>
      <c r="G149" s="274"/>
      <c r="H149" s="274"/>
      <c r="I149" s="547"/>
      <c r="L149" s="274"/>
      <c r="M149" s="274"/>
      <c r="N149" s="274"/>
      <c r="O149" s="274"/>
      <c r="P149" s="274"/>
      <c r="Q149" s="274"/>
      <c r="R149" s="274"/>
      <c r="S149" s="274"/>
    </row>
    <row r="150" spans="1:19" s="275" customFormat="1">
      <c r="A150" s="274"/>
      <c r="B150" s="274"/>
      <c r="C150" s="274"/>
      <c r="D150" s="274"/>
      <c r="E150" s="274"/>
      <c r="F150" s="274"/>
      <c r="G150" s="274"/>
      <c r="H150" s="274"/>
      <c r="I150" s="547"/>
      <c r="L150" s="274"/>
      <c r="M150" s="274"/>
      <c r="N150" s="274"/>
      <c r="O150" s="274"/>
      <c r="P150" s="274"/>
      <c r="Q150" s="274"/>
      <c r="R150" s="274"/>
      <c r="S150" s="274"/>
    </row>
    <row r="151" spans="1:19" s="275" customFormat="1">
      <c r="A151" s="274"/>
      <c r="B151" s="274"/>
      <c r="C151" s="274"/>
      <c r="D151" s="274"/>
      <c r="E151" s="274"/>
      <c r="F151" s="274"/>
      <c r="G151" s="274"/>
      <c r="H151" s="274"/>
      <c r="I151" s="547"/>
      <c r="L151" s="274"/>
      <c r="M151" s="274"/>
      <c r="N151" s="274"/>
      <c r="O151" s="274"/>
      <c r="P151" s="274"/>
      <c r="Q151" s="274"/>
      <c r="R151" s="274"/>
      <c r="S151" s="274"/>
    </row>
    <row r="152" spans="1:19" s="275" customFormat="1">
      <c r="A152" s="274"/>
      <c r="B152" s="274"/>
      <c r="C152" s="274"/>
      <c r="D152" s="274"/>
      <c r="E152" s="274"/>
      <c r="F152" s="274"/>
      <c r="G152" s="274"/>
      <c r="H152" s="274"/>
      <c r="L152" s="274"/>
      <c r="M152" s="274"/>
      <c r="N152" s="274"/>
      <c r="O152" s="274"/>
      <c r="P152" s="274"/>
      <c r="Q152" s="274"/>
      <c r="R152" s="274"/>
      <c r="S152" s="274"/>
    </row>
    <row r="153" spans="1:19" s="275" customFormat="1">
      <c r="A153" s="274"/>
      <c r="B153" s="274"/>
      <c r="C153" s="274"/>
      <c r="D153" s="274"/>
      <c r="E153" s="274"/>
      <c r="F153" s="274"/>
      <c r="G153" s="274"/>
      <c r="H153" s="274"/>
      <c r="L153" s="274"/>
      <c r="M153" s="274"/>
      <c r="N153" s="274"/>
      <c r="O153" s="274"/>
      <c r="P153" s="274"/>
      <c r="Q153" s="274"/>
      <c r="R153" s="274"/>
      <c r="S153" s="274"/>
    </row>
    <row r="154" spans="1:19" s="275" customFormat="1">
      <c r="A154" s="274"/>
      <c r="B154" s="274"/>
      <c r="C154" s="274"/>
      <c r="D154" s="274"/>
      <c r="E154" s="274"/>
      <c r="F154" s="274"/>
      <c r="G154" s="274"/>
      <c r="H154" s="274"/>
      <c r="L154" s="274"/>
      <c r="M154" s="274"/>
      <c r="N154" s="274"/>
      <c r="O154" s="274"/>
      <c r="P154" s="274"/>
      <c r="Q154" s="274"/>
      <c r="R154" s="274"/>
      <c r="S154" s="274"/>
    </row>
    <row r="155" spans="1:19" s="275" customFormat="1">
      <c r="A155" s="274"/>
      <c r="B155" s="274"/>
      <c r="C155" s="274"/>
      <c r="D155" s="274"/>
      <c r="E155" s="274"/>
      <c r="F155" s="274"/>
      <c r="G155" s="274"/>
      <c r="H155" s="274"/>
      <c r="L155" s="274"/>
      <c r="M155" s="274"/>
      <c r="N155" s="274"/>
      <c r="O155" s="274"/>
      <c r="P155" s="274"/>
      <c r="Q155" s="274"/>
      <c r="R155" s="274"/>
      <c r="S155" s="274"/>
    </row>
    <row r="156" spans="1:19" s="275" customFormat="1">
      <c r="A156" s="274"/>
      <c r="B156" s="274"/>
      <c r="C156" s="274"/>
      <c r="D156" s="274"/>
      <c r="E156" s="274"/>
      <c r="F156" s="274"/>
      <c r="G156" s="274"/>
      <c r="H156" s="274"/>
      <c r="L156" s="274"/>
      <c r="M156" s="274"/>
      <c r="N156" s="274"/>
      <c r="O156" s="274"/>
      <c r="P156" s="274"/>
      <c r="Q156" s="274"/>
      <c r="R156" s="274"/>
      <c r="S156" s="274"/>
    </row>
    <row r="157" spans="1:19" s="275" customFormat="1">
      <c r="A157" s="274"/>
      <c r="B157" s="274"/>
      <c r="C157" s="274"/>
      <c r="D157" s="274"/>
      <c r="E157" s="274"/>
      <c r="F157" s="274"/>
      <c r="G157" s="274"/>
      <c r="H157" s="274"/>
      <c r="L157" s="274"/>
      <c r="M157" s="274"/>
      <c r="N157" s="274"/>
      <c r="O157" s="274"/>
      <c r="P157" s="274"/>
      <c r="Q157" s="274"/>
      <c r="R157" s="274"/>
      <c r="S157" s="274"/>
    </row>
    <row r="158" spans="1:19" s="275" customFormat="1">
      <c r="A158" s="274"/>
      <c r="B158" s="274"/>
      <c r="C158" s="274"/>
      <c r="D158" s="274"/>
      <c r="E158" s="274"/>
      <c r="F158" s="274"/>
      <c r="G158" s="274"/>
      <c r="H158" s="274"/>
      <c r="L158" s="274"/>
      <c r="M158" s="274"/>
      <c r="N158" s="274"/>
      <c r="O158" s="274"/>
      <c r="P158" s="274"/>
      <c r="Q158" s="274"/>
      <c r="R158" s="274"/>
      <c r="S158" s="274"/>
    </row>
  </sheetData>
  <mergeCells count="24">
    <mergeCell ref="H8:H9"/>
    <mergeCell ref="I8:I9"/>
    <mergeCell ref="A8:A9"/>
    <mergeCell ref="B8:B9"/>
    <mergeCell ref="C8:C9"/>
    <mergeCell ref="D8:E8"/>
    <mergeCell ref="F8:F9"/>
    <mergeCell ref="G8:G9"/>
    <mergeCell ref="I15:I18"/>
    <mergeCell ref="I19:I22"/>
    <mergeCell ref="I41:I42"/>
    <mergeCell ref="L8:M8"/>
    <mergeCell ref="I11:I14"/>
    <mergeCell ref="J8:J9"/>
    <mergeCell ref="K8:K9"/>
    <mergeCell ref="J41:J42"/>
    <mergeCell ref="K41:K42"/>
    <mergeCell ref="L41:M41"/>
    <mergeCell ref="H41:H42"/>
    <mergeCell ref="A41:A42"/>
    <mergeCell ref="B41:B42"/>
    <mergeCell ref="C41:C42"/>
    <mergeCell ref="D41:E41"/>
    <mergeCell ref="G41:G42"/>
  </mergeCells>
  <pageMargins left="0" right="0" top="0" bottom="0" header="0" footer="0"/>
  <pageSetup paperSize="9" scale="74" fitToHeight="0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tabColor rgb="FFFF0000"/>
    <pageSetUpPr fitToPage="1"/>
  </sheetPr>
  <dimension ref="A1:Y47"/>
  <sheetViews>
    <sheetView topLeftCell="A10" zoomScaleSheetLayoutView="100" workbookViewId="0">
      <selection activeCell="T32" sqref="T32"/>
    </sheetView>
  </sheetViews>
  <sheetFormatPr defaultColWidth="9.140625" defaultRowHeight="15.75"/>
  <cols>
    <col min="1" max="1" width="4.140625" style="274" customWidth="1"/>
    <col min="2" max="2" width="18.42578125" style="274" customWidth="1"/>
    <col min="3" max="5" width="15.7109375" style="274" customWidth="1"/>
    <col min="6" max="6" width="17.5703125" style="274" customWidth="1"/>
    <col min="7" max="7" width="18.28515625" style="274" customWidth="1"/>
    <col min="8" max="8" width="16.7109375" style="274" customWidth="1"/>
    <col min="9" max="9" width="12" style="274" customWidth="1"/>
    <col min="10" max="10" width="14.42578125" style="275" customWidth="1"/>
    <col min="11" max="11" width="14.7109375" style="275" customWidth="1"/>
    <col min="12" max="12" width="17.5703125" style="274" customWidth="1"/>
    <col min="13" max="13" width="14" style="274" customWidth="1"/>
    <col min="14" max="14" width="13.7109375" style="274" customWidth="1"/>
    <col min="15" max="15" width="14.85546875" style="274" bestFit="1" customWidth="1"/>
    <col min="16" max="16" width="14.7109375" style="274" customWidth="1"/>
    <col min="17" max="17" width="15.5703125" style="274" customWidth="1"/>
    <col min="18" max="18" width="9.140625" style="274"/>
    <col min="19" max="19" width="12.28515625" style="274" customWidth="1"/>
    <col min="20" max="20" width="12.85546875" style="274" customWidth="1"/>
    <col min="21" max="21" width="22.42578125" style="274" customWidth="1"/>
    <col min="22" max="22" width="9.140625" style="274"/>
    <col min="23" max="23" width="28.85546875" style="274" customWidth="1"/>
    <col min="24" max="16384" width="9.140625" style="274"/>
  </cols>
  <sheetData>
    <row r="1" spans="1:25">
      <c r="L1" s="275" t="s">
        <v>267</v>
      </c>
      <c r="M1" s="671" t="s">
        <v>605</v>
      </c>
      <c r="T1" s="274" t="s">
        <v>3540</v>
      </c>
      <c r="Y1" s="275"/>
    </row>
    <row r="2" spans="1:25" s="898" customFormat="1">
      <c r="A2" s="695" t="s">
        <v>3453</v>
      </c>
      <c r="B2" s="711"/>
      <c r="C2" s="711"/>
      <c r="D2" s="711"/>
      <c r="E2" s="711"/>
      <c r="F2" s="711"/>
      <c r="G2" s="711"/>
      <c r="H2" s="711"/>
      <c r="I2" s="711"/>
      <c r="J2" s="897"/>
      <c r="K2" s="897"/>
      <c r="L2" s="897"/>
      <c r="M2" s="3816" t="s">
        <v>3375</v>
      </c>
      <c r="N2" s="897"/>
      <c r="T2" s="274"/>
      <c r="U2" s="274"/>
      <c r="V2" s="274"/>
      <c r="W2" s="274"/>
      <c r="X2" s="274"/>
      <c r="Y2" s="275"/>
    </row>
    <row r="3" spans="1:25" ht="31.5">
      <c r="A3" s="45"/>
      <c r="B3" s="168"/>
      <c r="C3" s="168"/>
      <c r="D3" s="168"/>
      <c r="E3" s="168"/>
      <c r="F3" s="168"/>
      <c r="G3" s="168"/>
      <c r="H3" s="168"/>
      <c r="I3" s="168"/>
      <c r="J3" s="370"/>
      <c r="K3" s="370"/>
      <c r="L3" s="370"/>
      <c r="M3" s="3817"/>
      <c r="N3" s="370"/>
      <c r="T3" s="1308" t="s">
        <v>3504</v>
      </c>
      <c r="U3" s="374" t="s">
        <v>3541</v>
      </c>
      <c r="V3" s="1308"/>
      <c r="W3" s="374" t="s">
        <v>3542</v>
      </c>
      <c r="Y3" s="275"/>
    </row>
    <row r="4" spans="1:25" s="898" customFormat="1">
      <c r="A4" s="656" t="s">
        <v>3376</v>
      </c>
      <c r="B4" s="899"/>
      <c r="C4" s="899"/>
      <c r="D4" s="899"/>
      <c r="E4" s="899"/>
      <c r="F4" s="899"/>
      <c r="G4" s="899"/>
      <c r="H4" s="899"/>
      <c r="I4" s="899"/>
      <c r="J4" s="897"/>
      <c r="K4" s="897"/>
      <c r="L4" s="897"/>
      <c r="M4" s="3816"/>
      <c r="N4" s="897"/>
      <c r="T4" s="633" t="s">
        <v>3514</v>
      </c>
      <c r="U4" s="633" t="s">
        <v>3543</v>
      </c>
      <c r="V4" s="633"/>
      <c r="W4" s="633">
        <v>4526</v>
      </c>
      <c r="X4" s="274"/>
      <c r="Y4" s="275"/>
    </row>
    <row r="5" spans="1:25">
      <c r="A5" s="168" t="s">
        <v>990</v>
      </c>
      <c r="B5" s="230"/>
      <c r="C5" s="230"/>
      <c r="D5" s="230"/>
      <c r="E5" s="230"/>
      <c r="F5" s="230"/>
      <c r="G5" s="230"/>
      <c r="H5" s="230"/>
      <c r="I5" s="230"/>
      <c r="J5" s="273"/>
      <c r="K5" s="273"/>
      <c r="L5" s="273"/>
      <c r="M5" s="273"/>
      <c r="N5" s="273"/>
      <c r="T5" s="633"/>
      <c r="U5" s="633"/>
      <c r="V5" s="633"/>
      <c r="W5" s="633">
        <v>32435</v>
      </c>
      <c r="Y5" s="275"/>
    </row>
    <row r="6" spans="1:25">
      <c r="A6" s="82"/>
      <c r="B6" s="230"/>
      <c r="C6" s="230"/>
      <c r="D6" s="230"/>
      <c r="E6" s="230"/>
      <c r="F6" s="230"/>
      <c r="G6" s="230"/>
      <c r="H6" s="231"/>
      <c r="I6" s="230"/>
      <c r="J6" s="371"/>
      <c r="K6" s="273"/>
      <c r="L6" s="272"/>
      <c r="N6" s="273"/>
      <c r="T6" s="633"/>
      <c r="U6" s="633"/>
      <c r="V6" s="633"/>
      <c r="W6" s="633">
        <v>10037</v>
      </c>
      <c r="Y6" s="275"/>
    </row>
    <row r="7" spans="1:25">
      <c r="A7" s="273"/>
      <c r="B7" s="273"/>
      <c r="C7" s="273"/>
      <c r="D7" s="273"/>
      <c r="E7" s="273"/>
      <c r="F7" s="273"/>
      <c r="G7" s="273"/>
      <c r="H7" s="273"/>
      <c r="I7" s="273"/>
      <c r="J7" s="371"/>
      <c r="K7" s="273"/>
      <c r="L7" s="272"/>
      <c r="M7" s="372" t="s">
        <v>254</v>
      </c>
      <c r="N7" s="273"/>
      <c r="T7" s="633" t="s">
        <v>3516</v>
      </c>
      <c r="U7" s="633" t="s">
        <v>3543</v>
      </c>
      <c r="V7" s="633"/>
      <c r="W7" s="633">
        <v>157395</v>
      </c>
    </row>
    <row r="8" spans="1:25" ht="15.6" customHeight="1">
      <c r="A8" s="4160" t="s">
        <v>2</v>
      </c>
      <c r="B8" s="4160" t="s">
        <v>3377</v>
      </c>
      <c r="C8" s="4160" t="s">
        <v>1191</v>
      </c>
      <c r="D8" s="4162" t="s">
        <v>255</v>
      </c>
      <c r="E8" s="4163"/>
      <c r="F8" s="4160" t="s">
        <v>3455</v>
      </c>
      <c r="G8" s="4160" t="s">
        <v>3456</v>
      </c>
      <c r="H8" s="4160" t="s">
        <v>3457</v>
      </c>
      <c r="I8" s="4160" t="s">
        <v>3380</v>
      </c>
      <c r="J8" s="4160" t="s">
        <v>3381</v>
      </c>
      <c r="K8" s="4160" t="s">
        <v>3458</v>
      </c>
      <c r="L8" s="4162" t="s">
        <v>255</v>
      </c>
      <c r="M8" s="4163"/>
      <c r="N8" s="273"/>
      <c r="T8" s="633"/>
      <c r="U8" s="633"/>
      <c r="V8" s="633"/>
      <c r="W8" s="633">
        <v>31458</v>
      </c>
    </row>
    <row r="9" spans="1:25" s="275" customFormat="1" ht="63.75" customHeight="1">
      <c r="A9" s="4160"/>
      <c r="B9" s="4160"/>
      <c r="C9" s="4160"/>
      <c r="D9" s="286" t="s">
        <v>7</v>
      </c>
      <c r="E9" s="286" t="s">
        <v>8</v>
      </c>
      <c r="F9" s="4160"/>
      <c r="G9" s="4160"/>
      <c r="H9" s="4160"/>
      <c r="I9" s="4160"/>
      <c r="J9" s="4160"/>
      <c r="K9" s="4160"/>
      <c r="L9" s="286" t="s">
        <v>7</v>
      </c>
      <c r="M9" s="286" t="s">
        <v>8</v>
      </c>
      <c r="T9" s="1392"/>
      <c r="U9" s="1392"/>
      <c r="V9" s="1392"/>
      <c r="W9" s="633">
        <v>60899</v>
      </c>
    </row>
    <row r="10" spans="1:25">
      <c r="A10" s="373"/>
      <c r="B10" s="374" t="s">
        <v>20</v>
      </c>
      <c r="C10" s="286">
        <f>D10+E10</f>
        <v>0</v>
      </c>
      <c r="D10" s="896"/>
      <c r="E10" s="896"/>
      <c r="F10" s="933">
        <f>F11+F15+F19</f>
        <v>233287.36021101929</v>
      </c>
      <c r="G10" s="933">
        <f>G11+G15+G19</f>
        <v>17.059654269972452</v>
      </c>
      <c r="H10" s="933">
        <f>H11+H15+H19</f>
        <v>233287.36021101929</v>
      </c>
      <c r="I10" s="567">
        <f>I11+I15+I19</f>
        <v>12</v>
      </c>
      <c r="J10" s="892"/>
      <c r="K10" s="933">
        <f>K11+K15+K19</f>
        <v>15523942.372127604</v>
      </c>
      <c r="L10" s="935" t="e">
        <f>K10*D10/C10</f>
        <v>#DIV/0!</v>
      </c>
      <c r="M10" s="935" t="e">
        <f>K10-L10</f>
        <v>#DIV/0!</v>
      </c>
      <c r="T10" s="633" t="s">
        <v>3544</v>
      </c>
      <c r="U10" s="633" t="s">
        <v>3543</v>
      </c>
      <c r="V10" s="633"/>
      <c r="W10" s="633">
        <v>56614</v>
      </c>
    </row>
    <row r="11" spans="1:25" s="566" customFormat="1">
      <c r="A11" s="286"/>
      <c r="B11" s="374" t="s">
        <v>3459</v>
      </c>
      <c r="C11" s="286" t="s">
        <v>3383</v>
      </c>
      <c r="D11" s="286" t="s">
        <v>3383</v>
      </c>
      <c r="E11" s="286" t="s">
        <v>3383</v>
      </c>
      <c r="F11" s="933">
        <f>SUM(F12:F14)</f>
        <v>143330.73981267217</v>
      </c>
      <c r="G11" s="933">
        <f>SUM(G12:G14)</f>
        <v>10.481377410468319</v>
      </c>
      <c r="H11" s="933">
        <f>SUM(H12:H14)</f>
        <v>143330.73981267217</v>
      </c>
      <c r="I11" s="4164">
        <v>3</v>
      </c>
      <c r="J11" s="893"/>
      <c r="K11" s="933">
        <f>SUM(K12:K14)</f>
        <v>7346180.5515659507</v>
      </c>
      <c r="L11" s="894"/>
      <c r="M11" s="894"/>
      <c r="T11" s="1308"/>
      <c r="U11" s="1308"/>
      <c r="V11" s="1308"/>
      <c r="W11" s="633">
        <v>9354</v>
      </c>
    </row>
    <row r="12" spans="1:25">
      <c r="A12" s="373"/>
      <c r="B12" s="292" t="s">
        <v>3460</v>
      </c>
      <c r="C12" s="286">
        <v>13674.8</v>
      </c>
      <c r="D12" s="286" t="s">
        <v>3383</v>
      </c>
      <c r="E12" s="286" t="s">
        <v>3383</v>
      </c>
      <c r="F12" s="934">
        <f>B45/3</f>
        <v>82325.68644628099</v>
      </c>
      <c r="G12" s="934">
        <f>F12/C12</f>
        <v>6.0202479338842974</v>
      </c>
      <c r="H12" s="934">
        <f>C12*G12</f>
        <v>82325.68644628099</v>
      </c>
      <c r="I12" s="4165"/>
      <c r="J12" s="934">
        <v>16.350000000000001</v>
      </c>
      <c r="K12" s="936">
        <f>H12*I11*J12</f>
        <v>4038074.9201900833</v>
      </c>
      <c r="L12" s="895"/>
      <c r="M12" s="895"/>
      <c r="T12" s="633"/>
      <c r="U12" s="633"/>
      <c r="V12" s="633"/>
      <c r="W12" s="633">
        <v>17756</v>
      </c>
    </row>
    <row r="13" spans="1:25">
      <c r="A13" s="373"/>
      <c r="B13" s="292" t="s">
        <v>3461</v>
      </c>
      <c r="C13" s="286">
        <v>13674.8</v>
      </c>
      <c r="D13" s="286" t="s">
        <v>3383</v>
      </c>
      <c r="E13" s="286" t="s">
        <v>3383</v>
      </c>
      <c r="F13" s="934">
        <f>B46/3</f>
        <v>27593.335415977959</v>
      </c>
      <c r="G13" s="934">
        <f>F13/C13</f>
        <v>2.0178236914600549</v>
      </c>
      <c r="H13" s="934">
        <f>C13*G13</f>
        <v>27593.335415977959</v>
      </c>
      <c r="I13" s="4165"/>
      <c r="J13" s="934">
        <v>34.32</v>
      </c>
      <c r="K13" s="936">
        <f>H13*I11*J13</f>
        <v>2841009.8144290908</v>
      </c>
      <c r="L13" s="895"/>
      <c r="M13" s="895"/>
      <c r="T13" s="633" t="s">
        <v>3521</v>
      </c>
      <c r="U13" s="633" t="s">
        <v>3543</v>
      </c>
      <c r="V13" s="633"/>
      <c r="W13" s="633">
        <v>45335</v>
      </c>
    </row>
    <row r="14" spans="1:25">
      <c r="A14" s="373"/>
      <c r="B14" s="292" t="s">
        <v>3462</v>
      </c>
      <c r="C14" s="286">
        <v>13674.8</v>
      </c>
      <c r="D14" s="286" t="s">
        <v>3383</v>
      </c>
      <c r="E14" s="286" t="s">
        <v>3383</v>
      </c>
      <c r="F14" s="934">
        <f>B47/3</f>
        <v>33411.717950413215</v>
      </c>
      <c r="G14" s="934">
        <f>F14/C14</f>
        <v>2.4433057851239663</v>
      </c>
      <c r="H14" s="934">
        <f>C14*G14</f>
        <v>33411.717950413215</v>
      </c>
      <c r="I14" s="4166"/>
      <c r="J14" s="934">
        <v>4.66</v>
      </c>
      <c r="K14" s="936">
        <f>H14*I11*J14</f>
        <v>467095.81694677682</v>
      </c>
      <c r="L14" s="895"/>
      <c r="M14" s="895"/>
      <c r="T14" s="633"/>
      <c r="U14" s="633"/>
      <c r="V14" s="633"/>
      <c r="W14" s="633">
        <v>6612</v>
      </c>
    </row>
    <row r="15" spans="1:25" s="566" customFormat="1">
      <c r="A15" s="286"/>
      <c r="B15" s="374" t="s">
        <v>3463</v>
      </c>
      <c r="C15" s="286" t="s">
        <v>3383</v>
      </c>
      <c r="D15" s="286" t="s">
        <v>3383</v>
      </c>
      <c r="E15" s="286" t="s">
        <v>3383</v>
      </c>
      <c r="F15" s="933">
        <f>SUM(F16:F18)</f>
        <v>39939.909249586774</v>
      </c>
      <c r="G15" s="933">
        <f>SUM(G16:G18)</f>
        <v>2.9206942148760331</v>
      </c>
      <c r="H15" s="933">
        <f>SUM(H16:H18)</f>
        <v>39939.909249586774</v>
      </c>
      <c r="I15" s="4164">
        <v>5</v>
      </c>
      <c r="K15" s="933">
        <f>SUM(K16:K18)</f>
        <v>3187047.3736006608</v>
      </c>
      <c r="L15" s="894"/>
      <c r="M15" s="894"/>
      <c r="T15" s="1308"/>
      <c r="U15" s="1308"/>
      <c r="V15" s="1308"/>
      <c r="W15" s="633">
        <v>13405</v>
      </c>
    </row>
    <row r="16" spans="1:25">
      <c r="A16" s="373"/>
      <c r="B16" s="292" t="s">
        <v>3460</v>
      </c>
      <c r="C16" s="286">
        <v>13674.8</v>
      </c>
      <c r="D16" s="286" t="s">
        <v>3383</v>
      </c>
      <c r="E16" s="286" t="s">
        <v>3383</v>
      </c>
      <c r="F16" s="934">
        <f>C45/5</f>
        <v>27693.617282644624</v>
      </c>
      <c r="G16" s="934">
        <f>F16/C16</f>
        <v>2.0251570247933883</v>
      </c>
      <c r="H16" s="934">
        <f>C16*G16</f>
        <v>27693.617282644624</v>
      </c>
      <c r="I16" s="4165"/>
      <c r="J16" s="934">
        <v>16.350000000000001</v>
      </c>
      <c r="K16" s="936">
        <f>H16*I15*J16</f>
        <v>2263953.2128561982</v>
      </c>
      <c r="L16" s="895"/>
      <c r="M16" s="895"/>
      <c r="T16" s="633" t="s">
        <v>3391</v>
      </c>
      <c r="U16" s="633" t="s">
        <v>3543</v>
      </c>
      <c r="V16" s="633"/>
      <c r="W16" s="633">
        <v>30090</v>
      </c>
    </row>
    <row r="17" spans="1:23">
      <c r="A17" s="373"/>
      <c r="B17" s="292" t="s">
        <v>3461</v>
      </c>
      <c r="C17" s="286">
        <v>13674.8</v>
      </c>
      <c r="D17" s="286" t="s">
        <v>3383</v>
      </c>
      <c r="E17" s="286" t="s">
        <v>3383</v>
      </c>
      <c r="F17" s="934">
        <f>C46/5</f>
        <v>4300.4420628099178</v>
      </c>
      <c r="G17" s="934">
        <f>F17/C17</f>
        <v>0.31447933884297524</v>
      </c>
      <c r="H17" s="934">
        <f>C17*G17</f>
        <v>4300.4420628099178</v>
      </c>
      <c r="I17" s="4165"/>
      <c r="J17" s="934">
        <v>34.32</v>
      </c>
      <c r="K17" s="936">
        <f>H17*I15*J17</f>
        <v>737955.85797818191</v>
      </c>
      <c r="L17" s="895"/>
      <c r="M17" s="895"/>
      <c r="T17" s="633"/>
      <c r="U17" s="633"/>
      <c r="V17" s="633"/>
      <c r="W17" s="633">
        <v>4121</v>
      </c>
    </row>
    <row r="18" spans="1:23">
      <c r="A18" s="373"/>
      <c r="B18" s="292" t="s">
        <v>3462</v>
      </c>
      <c r="C18" s="286">
        <v>13674.8</v>
      </c>
      <c r="D18" s="286" t="s">
        <v>3383</v>
      </c>
      <c r="E18" s="286" t="s">
        <v>3383</v>
      </c>
      <c r="F18" s="934">
        <f>C47/5</f>
        <v>7945.8499041322302</v>
      </c>
      <c r="G18" s="934">
        <f>F18/C18</f>
        <v>0.58105785123966935</v>
      </c>
      <c r="H18" s="934">
        <f>C18*G18</f>
        <v>7945.8499041322302</v>
      </c>
      <c r="I18" s="4166"/>
      <c r="J18" s="934">
        <v>4.66</v>
      </c>
      <c r="K18" s="936">
        <f>H18*I15*J18</f>
        <v>185138.30276628095</v>
      </c>
      <c r="L18" s="895"/>
      <c r="M18" s="895"/>
      <c r="T18" s="633"/>
      <c r="U18" s="633"/>
      <c r="V18" s="633"/>
      <c r="W18" s="633">
        <v>8807</v>
      </c>
    </row>
    <row r="19" spans="1:23" s="566" customFormat="1">
      <c r="A19" s="286"/>
      <c r="B19" s="374" t="s">
        <v>3464</v>
      </c>
      <c r="C19" s="286" t="s">
        <v>3383</v>
      </c>
      <c r="D19" s="286" t="s">
        <v>3383</v>
      </c>
      <c r="E19" s="286" t="s">
        <v>3383</v>
      </c>
      <c r="F19" s="933">
        <f>SUM(F20:F22)</f>
        <v>50016.711148760325</v>
      </c>
      <c r="G19" s="933">
        <f>SUM(G20:G22)</f>
        <v>3.657582644628099</v>
      </c>
      <c r="H19" s="933">
        <f>SUM(H20:H22)</f>
        <v>50016.711148760332</v>
      </c>
      <c r="I19" s="4164">
        <v>4</v>
      </c>
      <c r="K19" s="933">
        <f>SUM(K20:K22)</f>
        <v>4990714.4469609922</v>
      </c>
      <c r="L19" s="894"/>
      <c r="M19" s="894"/>
      <c r="T19" s="1308" t="s">
        <v>3392</v>
      </c>
      <c r="U19" s="633" t="s">
        <v>3543</v>
      </c>
      <c r="V19" s="1308"/>
      <c r="W19" s="633">
        <v>22175</v>
      </c>
    </row>
    <row r="20" spans="1:23">
      <c r="A20" s="373"/>
      <c r="B20" s="292" t="s">
        <v>3460</v>
      </c>
      <c r="C20" s="286">
        <v>13674.8</v>
      </c>
      <c r="D20" s="286" t="s">
        <v>3383</v>
      </c>
      <c r="E20" s="286" t="s">
        <v>3383</v>
      </c>
      <c r="F20" s="934">
        <f>D45/4</f>
        <v>4945.813512396694</v>
      </c>
      <c r="G20" s="934">
        <f>F20/C20</f>
        <v>0.36167355371900828</v>
      </c>
      <c r="H20" s="934">
        <f>C20*G20</f>
        <v>4945.813512396694</v>
      </c>
      <c r="I20" s="4165"/>
      <c r="J20" s="934">
        <v>16.350000000000001</v>
      </c>
      <c r="K20" s="936">
        <f>H20*I19*J20</f>
        <v>323456.20371074381</v>
      </c>
      <c r="L20" s="895"/>
      <c r="M20" s="895"/>
      <c r="T20" s="633"/>
      <c r="U20" s="633"/>
      <c r="V20" s="633"/>
      <c r="W20" s="633">
        <v>3183</v>
      </c>
    </row>
    <row r="21" spans="1:23">
      <c r="A21" s="373"/>
      <c r="B21" s="292" t="s">
        <v>3461</v>
      </c>
      <c r="C21" s="286">
        <v>13674.8</v>
      </c>
      <c r="D21" s="286" t="s">
        <v>3383</v>
      </c>
      <c r="E21" s="286" t="s">
        <v>3383</v>
      </c>
      <c r="F21" s="934">
        <f>D46/4</f>
        <v>32258.401140495866</v>
      </c>
      <c r="G21" s="934">
        <f>F21/C21</f>
        <v>2.3589669421487605</v>
      </c>
      <c r="H21" s="934">
        <f>C21*G21</f>
        <v>32258.401140495869</v>
      </c>
      <c r="I21" s="4165"/>
      <c r="J21" s="934">
        <v>34.32</v>
      </c>
      <c r="K21" s="936">
        <f>H21*I19*J21</f>
        <v>4428433.3085672725</v>
      </c>
      <c r="L21" s="895"/>
      <c r="M21" s="895"/>
      <c r="T21" s="633"/>
      <c r="U21" s="633"/>
      <c r="V21" s="633"/>
      <c r="W21" s="633">
        <v>5018</v>
      </c>
    </row>
    <row r="22" spans="1:23">
      <c r="A22" s="373"/>
      <c r="B22" s="292" t="s">
        <v>3462</v>
      </c>
      <c r="C22" s="286">
        <v>13674.8</v>
      </c>
      <c r="D22" s="286" t="s">
        <v>3383</v>
      </c>
      <c r="E22" s="286" t="s">
        <v>3383</v>
      </c>
      <c r="F22" s="934">
        <f>D47/4</f>
        <v>12812.496495867766</v>
      </c>
      <c r="G22" s="934">
        <f>F22/C22</f>
        <v>0.93694214876033044</v>
      </c>
      <c r="H22" s="934">
        <f>C22*G22</f>
        <v>12812.496495867766</v>
      </c>
      <c r="I22" s="4166"/>
      <c r="J22" s="934">
        <v>4.66</v>
      </c>
      <c r="K22" s="936">
        <f>H22*I19*J22</f>
        <v>238824.93468297517</v>
      </c>
      <c r="L22" s="895"/>
      <c r="M22" s="895"/>
      <c r="T22" s="633" t="s">
        <v>3393</v>
      </c>
      <c r="U22" s="633" t="s">
        <v>3543</v>
      </c>
      <c r="V22" s="633"/>
      <c r="W22" s="633">
        <v>22175</v>
      </c>
    </row>
    <row r="23" spans="1:23">
      <c r="A23" s="269"/>
      <c r="B23" s="270"/>
      <c r="C23" s="270"/>
      <c r="D23" s="270"/>
      <c r="E23" s="270"/>
      <c r="F23" s="270"/>
      <c r="G23" s="271"/>
      <c r="H23" s="271"/>
      <c r="I23" s="271"/>
      <c r="J23" s="272"/>
      <c r="K23" s="271"/>
      <c r="L23" s="273"/>
      <c r="M23" s="273"/>
      <c r="T23" s="633"/>
      <c r="U23" s="633"/>
      <c r="V23" s="633"/>
      <c r="W23" s="633">
        <v>3183</v>
      </c>
    </row>
    <row r="24" spans="1:23">
      <c r="T24" s="633"/>
      <c r="U24" s="633"/>
      <c r="V24" s="633"/>
      <c r="W24" s="633">
        <v>5018</v>
      </c>
    </row>
    <row r="25" spans="1:23">
      <c r="B25" s="300" t="s">
        <v>329</v>
      </c>
      <c r="C25" s="276"/>
      <c r="D25" s="276"/>
      <c r="E25" s="276"/>
      <c r="F25" s="874"/>
      <c r="G25" s="872"/>
      <c r="H25" s="872"/>
      <c r="I25" s="872"/>
      <c r="J25" s="710"/>
      <c r="K25" s="873"/>
      <c r="L25" s="874"/>
      <c r="M25" s="717"/>
      <c r="N25" s="171"/>
      <c r="O25" s="276"/>
      <c r="P25" s="235"/>
      <c r="T25" s="633" t="s">
        <v>3526</v>
      </c>
      <c r="U25" s="633" t="s">
        <v>3543</v>
      </c>
      <c r="V25" s="633"/>
      <c r="W25" s="1526">
        <v>2747</v>
      </c>
    </row>
    <row r="26" spans="1:23">
      <c r="B26" s="300"/>
      <c r="C26" s="279"/>
      <c r="D26" s="279"/>
      <c r="E26" s="279"/>
      <c r="F26" s="875"/>
      <c r="G26" s="872"/>
      <c r="H26" s="872"/>
      <c r="I26" s="872"/>
      <c r="J26" s="710"/>
      <c r="K26" s="873"/>
      <c r="L26" s="875"/>
      <c r="M26" s="717"/>
      <c r="N26" s="171"/>
      <c r="O26" s="279"/>
      <c r="P26" s="235"/>
      <c r="T26" s="633"/>
      <c r="U26" s="633"/>
      <c r="V26" s="633"/>
      <c r="W26" s="1526">
        <v>1927</v>
      </c>
    </row>
    <row r="27" spans="1:23">
      <c r="B27" s="345" t="s">
        <v>330</v>
      </c>
      <c r="C27" s="276"/>
      <c r="D27" s="276"/>
      <c r="E27" s="276"/>
      <c r="F27" s="874"/>
      <c r="G27" s="872"/>
      <c r="H27" s="872"/>
      <c r="I27" s="872"/>
      <c r="J27" s="710"/>
      <c r="K27" s="873"/>
      <c r="L27" s="710"/>
      <c r="M27" s="717"/>
      <c r="N27" s="171"/>
      <c r="O27" s="183"/>
      <c r="P27" s="235"/>
      <c r="T27" s="633"/>
      <c r="U27" s="633"/>
      <c r="V27" s="633"/>
      <c r="W27" s="1526">
        <v>2906</v>
      </c>
    </row>
    <row r="28" spans="1:23">
      <c r="B28" s="345" t="s">
        <v>332</v>
      </c>
      <c r="C28" s="276"/>
      <c r="D28" s="276"/>
      <c r="E28" s="276"/>
      <c r="F28" s="874"/>
      <c r="G28" s="872"/>
      <c r="H28" s="872"/>
      <c r="I28" s="872"/>
      <c r="J28" s="710"/>
      <c r="K28" s="873"/>
      <c r="L28" s="874"/>
      <c r="M28" s="717"/>
      <c r="N28" s="171"/>
      <c r="O28" s="276"/>
      <c r="P28" s="168"/>
      <c r="T28" s="633" t="s">
        <v>3528</v>
      </c>
      <c r="U28" s="633" t="s">
        <v>3543</v>
      </c>
      <c r="V28" s="633"/>
      <c r="W28" s="1526">
        <v>1200</v>
      </c>
    </row>
    <row r="29" spans="1:23">
      <c r="B29" s="346"/>
      <c r="C29" s="276"/>
      <c r="D29" s="276"/>
      <c r="E29" s="276"/>
      <c r="F29" s="874"/>
      <c r="G29" s="872"/>
      <c r="H29" s="872"/>
      <c r="I29" s="872"/>
      <c r="J29" s="710"/>
      <c r="K29" s="873"/>
      <c r="L29" s="874"/>
      <c r="M29" s="865"/>
      <c r="N29" s="171"/>
      <c r="O29" s="276"/>
      <c r="P29" s="168"/>
      <c r="T29" s="633"/>
      <c r="U29" s="633"/>
      <c r="V29" s="633"/>
      <c r="W29" s="1526">
        <v>4200</v>
      </c>
    </row>
    <row r="30" spans="1:23">
      <c r="B30" s="345" t="s">
        <v>333</v>
      </c>
      <c r="C30" s="276"/>
      <c r="D30" s="276"/>
      <c r="E30" s="276"/>
      <c r="F30" s="874"/>
      <c r="G30" s="872"/>
      <c r="H30" s="872"/>
      <c r="I30" s="872"/>
      <c r="J30" s="710"/>
      <c r="K30" s="873"/>
      <c r="L30" s="874"/>
      <c r="M30" s="865"/>
      <c r="N30" s="171"/>
      <c r="O30" s="276"/>
      <c r="P30" s="171"/>
      <c r="T30" s="633"/>
      <c r="U30" s="633"/>
      <c r="V30" s="633"/>
      <c r="W30" s="1526">
        <v>11000</v>
      </c>
    </row>
    <row r="31" spans="1:23">
      <c r="B31" s="345" t="s">
        <v>3545</v>
      </c>
      <c r="C31" s="276"/>
      <c r="D31" s="276"/>
      <c r="E31" s="276"/>
      <c r="F31" s="874"/>
      <c r="G31" s="872"/>
      <c r="H31" s="872"/>
      <c r="I31" s="872"/>
      <c r="J31" s="710"/>
      <c r="K31" s="873"/>
      <c r="L31" s="874"/>
      <c r="M31" s="865"/>
      <c r="N31" s="171"/>
      <c r="O31" s="276"/>
      <c r="P31" s="171"/>
      <c r="T31" s="633" t="s">
        <v>3530</v>
      </c>
      <c r="U31" s="633" t="s">
        <v>3543</v>
      </c>
      <c r="V31" s="633"/>
      <c r="W31" s="633">
        <v>5705</v>
      </c>
    </row>
    <row r="32" spans="1:23">
      <c r="B32" s="1206" t="s">
        <v>3471</v>
      </c>
      <c r="C32" s="1206" t="s">
        <v>3472</v>
      </c>
      <c r="D32" s="1206" t="s">
        <v>3389</v>
      </c>
      <c r="E32" s="1206" t="s">
        <v>3390</v>
      </c>
      <c r="F32" s="1206" t="s">
        <v>3391</v>
      </c>
      <c r="G32" s="1206" t="s">
        <v>3392</v>
      </c>
      <c r="H32" s="1206" t="s">
        <v>3393</v>
      </c>
      <c r="I32" s="275" t="s">
        <v>3394</v>
      </c>
      <c r="L32" s="274" t="s">
        <v>3459</v>
      </c>
      <c r="M32" s="274" t="s">
        <v>3468</v>
      </c>
      <c r="N32" s="274" t="s">
        <v>3395</v>
      </c>
      <c r="O32" s="274" t="s">
        <v>3396</v>
      </c>
      <c r="P32" s="274" t="s">
        <v>3397</v>
      </c>
      <c r="Q32" s="274" t="s">
        <v>3398</v>
      </c>
      <c r="R32" s="274" t="s">
        <v>3399</v>
      </c>
      <c r="S32" s="274" t="s">
        <v>3475</v>
      </c>
      <c r="T32" s="633"/>
      <c r="U32" s="633"/>
      <c r="V32" s="633"/>
      <c r="W32" s="633">
        <v>36586</v>
      </c>
    </row>
    <row r="33" spans="1:23">
      <c r="B33" s="274">
        <v>4526</v>
      </c>
      <c r="C33" s="274">
        <v>157395</v>
      </c>
      <c r="D33" s="274">
        <v>56614</v>
      </c>
      <c r="E33" s="274">
        <v>45335</v>
      </c>
      <c r="F33" s="274">
        <v>30090</v>
      </c>
      <c r="G33" s="274">
        <v>22175</v>
      </c>
      <c r="H33" s="274">
        <v>22175</v>
      </c>
      <c r="I33" s="275">
        <v>2747</v>
      </c>
      <c r="J33" s="275">
        <v>12100</v>
      </c>
      <c r="K33" s="275">
        <v>13674.8</v>
      </c>
      <c r="N33" s="275">
        <v>1200</v>
      </c>
      <c r="O33" s="274">
        <v>5705</v>
      </c>
      <c r="P33" s="274">
        <v>6074</v>
      </c>
      <c r="Q33" s="274">
        <v>4526</v>
      </c>
      <c r="R33" s="274">
        <v>16.350000000000001</v>
      </c>
      <c r="S33" s="274">
        <f>Q33*R33</f>
        <v>74000.100000000006</v>
      </c>
      <c r="T33" s="633"/>
      <c r="U33" s="633"/>
      <c r="V33" s="633"/>
      <c r="W33" s="633">
        <v>11422</v>
      </c>
    </row>
    <row r="34" spans="1:23" s="546" customFormat="1">
      <c r="A34" s="546" t="s">
        <v>3476</v>
      </c>
      <c r="B34" s="274">
        <v>32435</v>
      </c>
      <c r="C34" s="274">
        <v>31458</v>
      </c>
      <c r="D34" s="274">
        <v>9354</v>
      </c>
      <c r="E34" s="274">
        <v>6612</v>
      </c>
      <c r="F34" s="274">
        <v>4121</v>
      </c>
      <c r="G34" s="274">
        <v>3183</v>
      </c>
      <c r="H34" s="274">
        <v>3183</v>
      </c>
      <c r="I34" s="275">
        <v>1927</v>
      </c>
      <c r="J34" s="275"/>
      <c r="K34" s="275"/>
      <c r="L34" s="274"/>
      <c r="M34" s="274"/>
      <c r="N34" s="275">
        <v>4200</v>
      </c>
      <c r="O34" s="274">
        <v>36586</v>
      </c>
      <c r="P34" s="274">
        <v>41568</v>
      </c>
      <c r="Q34" s="274">
        <v>31820</v>
      </c>
      <c r="S34" s="274">
        <f>Q34*R34</f>
        <v>0</v>
      </c>
      <c r="T34" s="633" t="s">
        <v>3532</v>
      </c>
      <c r="U34" s="633" t="s">
        <v>3543</v>
      </c>
      <c r="V34" s="1527"/>
      <c r="W34" s="633">
        <v>6074</v>
      </c>
    </row>
    <row r="35" spans="1:23" s="546" customFormat="1">
      <c r="A35" s="548" t="s">
        <v>3477</v>
      </c>
      <c r="B35" s="274">
        <v>10037</v>
      </c>
      <c r="C35" s="274">
        <v>60899</v>
      </c>
      <c r="D35" s="274">
        <v>17756</v>
      </c>
      <c r="E35" s="274">
        <v>13405</v>
      </c>
      <c r="F35" s="274">
        <v>8807</v>
      </c>
      <c r="G35" s="274">
        <v>5018</v>
      </c>
      <c r="H35" s="274">
        <v>5018</v>
      </c>
      <c r="I35" s="275">
        <v>2906</v>
      </c>
      <c r="J35" s="275"/>
      <c r="K35" s="275"/>
      <c r="L35" s="274"/>
      <c r="M35" s="274"/>
      <c r="N35" s="275">
        <v>11000</v>
      </c>
      <c r="O35" s="274">
        <v>11422</v>
      </c>
      <c r="P35" s="274">
        <v>12889</v>
      </c>
      <c r="Q35" s="274">
        <v>10037</v>
      </c>
      <c r="S35" s="274">
        <f>Q35*R35</f>
        <v>0</v>
      </c>
      <c r="T35" s="1527"/>
      <c r="U35" s="1527"/>
      <c r="V35" s="1527"/>
      <c r="W35" s="633">
        <v>41568</v>
      </c>
    </row>
    <row r="36" spans="1:23" s="546" customFormat="1">
      <c r="A36" s="551"/>
      <c r="B36" s="566">
        <f t="shared" ref="B36:I36" si="0">SUM(B33:B35)</f>
        <v>46998</v>
      </c>
      <c r="C36" s="566">
        <f t="shared" si="0"/>
        <v>249752</v>
      </c>
      <c r="D36" s="566">
        <f t="shared" si="0"/>
        <v>83724</v>
      </c>
      <c r="E36" s="566">
        <f t="shared" si="0"/>
        <v>65352</v>
      </c>
      <c r="F36" s="566">
        <f t="shared" si="0"/>
        <v>43018</v>
      </c>
      <c r="G36" s="566">
        <f t="shared" si="0"/>
        <v>30376</v>
      </c>
      <c r="H36" s="566">
        <f t="shared" si="0"/>
        <v>30376</v>
      </c>
      <c r="I36" s="566">
        <f t="shared" si="0"/>
        <v>7580</v>
      </c>
      <c r="J36" s="275"/>
      <c r="K36" s="275"/>
      <c r="L36" s="274"/>
      <c r="M36" s="274"/>
      <c r="S36" s="274">
        <f>Q36*R36</f>
        <v>0</v>
      </c>
      <c r="T36" s="1527"/>
      <c r="U36" s="1527"/>
      <c r="V36" s="1527"/>
      <c r="W36" s="633">
        <v>12889</v>
      </c>
    </row>
    <row r="37" spans="1:23">
      <c r="D37" s="566"/>
      <c r="T37" s="633" t="s">
        <v>3534</v>
      </c>
      <c r="U37" s="633" t="s">
        <v>3543</v>
      </c>
      <c r="V37" s="633"/>
      <c r="W37" s="633">
        <v>4526</v>
      </c>
    </row>
    <row r="38" spans="1:23">
      <c r="B38" s="566" t="s">
        <v>3546</v>
      </c>
      <c r="T38" s="633"/>
      <c r="U38" s="633"/>
      <c r="V38" s="633"/>
      <c r="W38" s="633">
        <v>31820</v>
      </c>
    </row>
    <row r="39" spans="1:23">
      <c r="T39" s="633"/>
      <c r="U39" s="633"/>
      <c r="V39" s="633"/>
      <c r="W39" s="633">
        <v>10037</v>
      </c>
    </row>
    <row r="40" spans="1:23">
      <c r="B40" s="1215">
        <f t="shared" ref="B40:I40" si="1">B33/$J$33*$K$33</f>
        <v>5115.0532892561978</v>
      </c>
      <c r="C40" s="1215">
        <f t="shared" si="1"/>
        <v>177879.76413223139</v>
      </c>
      <c r="D40" s="1215">
        <f t="shared" si="1"/>
        <v>63982.241917355372</v>
      </c>
      <c r="E40" s="1215">
        <f t="shared" si="1"/>
        <v>51235.294049586773</v>
      </c>
      <c r="F40" s="1215">
        <f t="shared" si="1"/>
        <v>34006.176198347108</v>
      </c>
      <c r="G40" s="1215">
        <f t="shared" si="1"/>
        <v>25061.048760330577</v>
      </c>
      <c r="H40" s="1215">
        <f t="shared" si="1"/>
        <v>25061.048760330577</v>
      </c>
      <c r="I40" s="1215">
        <f t="shared" si="1"/>
        <v>3104.5186446280991</v>
      </c>
      <c r="K40" s="1214"/>
      <c r="N40" s="1215">
        <f>N33/$J$33*$K$33</f>
        <v>1356.1785123966943</v>
      </c>
      <c r="O40" s="1215">
        <f>O33/$J$33*$K$33</f>
        <v>6447.4986776859496</v>
      </c>
      <c r="P40" s="1215">
        <f>P33/$J$33*$K$33</f>
        <v>6864.5235702479331</v>
      </c>
      <c r="Q40" s="1215">
        <f>Q33/$J$33*$K$33</f>
        <v>5115.0532892561978</v>
      </c>
    </row>
    <row r="41" spans="1:23">
      <c r="B41" s="1215">
        <f t="shared" ref="B41:I42" si="2">B34/$J$33*$K$33</f>
        <v>36656.37504132231</v>
      </c>
      <c r="C41" s="1215">
        <f t="shared" si="2"/>
        <v>35552.219702479335</v>
      </c>
      <c r="D41" s="1215">
        <f t="shared" si="2"/>
        <v>10571.411504132231</v>
      </c>
      <c r="E41" s="1215">
        <f t="shared" si="2"/>
        <v>7472.5436033057849</v>
      </c>
      <c r="F41" s="1215">
        <f t="shared" si="2"/>
        <v>4657.3430413223141</v>
      </c>
      <c r="G41" s="1215">
        <f t="shared" si="2"/>
        <v>3597.263504132231</v>
      </c>
      <c r="H41" s="1215">
        <f t="shared" si="2"/>
        <v>3597.263504132231</v>
      </c>
      <c r="I41" s="1215">
        <f t="shared" si="2"/>
        <v>2177.7966611570246</v>
      </c>
      <c r="N41" s="1215">
        <f t="shared" ref="N41:Q42" si="3">N34/$J$33*$K$33</f>
        <v>4746.6247933884297</v>
      </c>
      <c r="O41" s="1215">
        <f t="shared" si="3"/>
        <v>41347.622545454542</v>
      </c>
      <c r="P41" s="1215">
        <f t="shared" si="3"/>
        <v>46978.023669421484</v>
      </c>
      <c r="Q41" s="1215">
        <f t="shared" si="3"/>
        <v>35961.333553719007</v>
      </c>
    </row>
    <row r="42" spans="1:23">
      <c r="B42" s="1215">
        <f t="shared" si="2"/>
        <v>11343.303107438016</v>
      </c>
      <c r="C42" s="1215">
        <f t="shared" si="2"/>
        <v>68824.929355371889</v>
      </c>
      <c r="D42" s="1215">
        <f t="shared" si="2"/>
        <v>20066.92138842975</v>
      </c>
      <c r="E42" s="1215">
        <f t="shared" si="2"/>
        <v>15149.644132231406</v>
      </c>
      <c r="F42" s="1215">
        <f t="shared" si="2"/>
        <v>9953.2201322314031</v>
      </c>
      <c r="G42" s="1215">
        <f t="shared" si="2"/>
        <v>5671.0864793388428</v>
      </c>
      <c r="H42" s="1215">
        <f t="shared" si="2"/>
        <v>5671.0864793388428</v>
      </c>
      <c r="I42" s="1215">
        <f t="shared" si="2"/>
        <v>3284.2122975206607</v>
      </c>
      <c r="N42" s="1215">
        <f t="shared" si="3"/>
        <v>12431.636363636362</v>
      </c>
      <c r="O42" s="1215">
        <f t="shared" si="3"/>
        <v>12908.559140495867</v>
      </c>
      <c r="P42" s="1215">
        <f t="shared" si="3"/>
        <v>14566.487371900825</v>
      </c>
      <c r="Q42" s="1215">
        <f t="shared" si="3"/>
        <v>11343.303107438016</v>
      </c>
    </row>
    <row r="44" spans="1:23">
      <c r="B44" s="274" t="s">
        <v>3459</v>
      </c>
      <c r="C44" s="274" t="s">
        <v>3468</v>
      </c>
      <c r="D44" s="274" t="s">
        <v>3464</v>
      </c>
    </row>
    <row r="45" spans="1:23" s="275" customFormat="1">
      <c r="A45" s="274"/>
      <c r="B45" s="1215">
        <f>B40+C40+D40</f>
        <v>246977.05933884296</v>
      </c>
      <c r="C45" s="1215">
        <f>E40+F40+G40+H40+I40</f>
        <v>138468.08641322312</v>
      </c>
      <c r="D45" s="1215">
        <f>N40+O40+P40+Q40</f>
        <v>19783.254049586776</v>
      </c>
      <c r="L45" s="274"/>
      <c r="M45" s="274"/>
      <c r="N45" s="274"/>
      <c r="O45" s="274"/>
      <c r="P45" s="274"/>
      <c r="Q45" s="274"/>
      <c r="R45" s="274"/>
      <c r="S45" s="274"/>
    </row>
    <row r="46" spans="1:23">
      <c r="B46" s="1215">
        <f>B41+C41+D41</f>
        <v>82780.006247933881</v>
      </c>
      <c r="C46" s="1215">
        <f>E41+F41+G41+H41+I41</f>
        <v>21502.210314049589</v>
      </c>
      <c r="D46" s="1215">
        <f>N41+O41+P41+Q41</f>
        <v>129033.60456198346</v>
      </c>
    </row>
    <row r="47" spans="1:23">
      <c r="B47" s="1215">
        <f>B42+C42+D42</f>
        <v>100235.15385123965</v>
      </c>
      <c r="C47" s="1215">
        <f>E42+F42+G42+H42+I42</f>
        <v>39729.249520661149</v>
      </c>
      <c r="D47" s="1215">
        <f>N42+O42+P42+Q42</f>
        <v>51249.985983471066</v>
      </c>
    </row>
  </sheetData>
  <mergeCells count="14">
    <mergeCell ref="L8:M8"/>
    <mergeCell ref="I11:I14"/>
    <mergeCell ref="A8:A9"/>
    <mergeCell ref="B8:B9"/>
    <mergeCell ref="C8:C9"/>
    <mergeCell ref="D8:E8"/>
    <mergeCell ref="F8:F9"/>
    <mergeCell ref="G8:G9"/>
    <mergeCell ref="K8:K9"/>
    <mergeCell ref="I15:I18"/>
    <mergeCell ref="I19:I22"/>
    <mergeCell ref="H8:H9"/>
    <mergeCell ref="I8:I9"/>
    <mergeCell ref="J8:J9"/>
  </mergeCells>
  <pageMargins left="0" right="0" top="0" bottom="0" header="0" footer="0"/>
  <pageSetup paperSize="9" scale="74" fitToHeight="0" orientation="landscape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tabColor rgb="FFFF0000"/>
    <pageSetUpPr fitToPage="1"/>
  </sheetPr>
  <dimension ref="A1:S96"/>
  <sheetViews>
    <sheetView zoomScaleSheetLayoutView="100" workbookViewId="0">
      <selection activeCell="K12" sqref="K12"/>
    </sheetView>
  </sheetViews>
  <sheetFormatPr defaultColWidth="9.140625" defaultRowHeight="15.75"/>
  <cols>
    <col min="1" max="1" width="10.85546875" style="293" customWidth="1"/>
    <col min="2" max="2" width="30.7109375" style="282" customWidth="1"/>
    <col min="3" max="3" width="14.7109375" style="282" customWidth="1"/>
    <col min="4" max="4" width="9.5703125" style="282" customWidth="1"/>
    <col min="5" max="5" width="9.5703125" style="293" customWidth="1"/>
    <col min="6" max="6" width="9.85546875" style="293" customWidth="1"/>
    <col min="7" max="7" width="11.5703125" style="293" customWidth="1"/>
    <col min="8" max="8" width="17.5703125" style="282" customWidth="1"/>
    <col min="9" max="9" width="14.85546875" style="282" bestFit="1" customWidth="1"/>
    <col min="10" max="10" width="12.42578125" style="282" customWidth="1"/>
    <col min="11" max="11" width="12.28515625" style="281" customWidth="1"/>
    <col min="12" max="12" width="15.7109375" style="281" customWidth="1"/>
    <col min="13" max="14" width="10.85546875" style="282" customWidth="1"/>
    <col min="15" max="15" width="9.5703125" style="282" bestFit="1" customWidth="1"/>
    <col min="16" max="16" width="14" style="282" customWidth="1"/>
    <col min="17" max="17" width="9.5703125" style="282" bestFit="1" customWidth="1"/>
    <col min="18" max="16384" width="9.140625" style="282"/>
  </cols>
  <sheetData>
    <row r="1" spans="1:14">
      <c r="M1" s="541" t="s">
        <v>267</v>
      </c>
      <c r="N1" s="671" t="s">
        <v>606</v>
      </c>
    </row>
    <row r="2" spans="1:14" s="744" customFormat="1">
      <c r="A2" s="695" t="s">
        <v>3547</v>
      </c>
      <c r="B2" s="849"/>
      <c r="C2" s="849"/>
      <c r="D2" s="849"/>
      <c r="E2" s="849"/>
      <c r="F2" s="849"/>
      <c r="G2" s="849"/>
      <c r="H2" s="849"/>
      <c r="I2" s="3814" t="s">
        <v>3375</v>
      </c>
      <c r="J2" s="849"/>
      <c r="K2" s="866"/>
      <c r="L2" s="866"/>
    </row>
    <row r="3" spans="1:14">
      <c r="A3" s="45"/>
      <c r="B3" s="280"/>
      <c r="C3" s="280"/>
      <c r="D3" s="280"/>
      <c r="E3" s="280"/>
      <c r="F3" s="280"/>
      <c r="G3" s="280"/>
      <c r="H3" s="280"/>
      <c r="I3" s="3815"/>
      <c r="J3" s="280"/>
    </row>
    <row r="4" spans="1:14" s="744" customFormat="1" ht="15.75" customHeight="1">
      <c r="A4" s="656" t="s">
        <v>3548</v>
      </c>
      <c r="B4" s="852"/>
      <c r="C4" s="852"/>
      <c r="D4" s="852"/>
      <c r="E4" s="852"/>
      <c r="F4" s="852"/>
      <c r="G4" s="852"/>
      <c r="H4" s="852"/>
      <c r="I4" s="852"/>
      <c r="J4" s="738"/>
      <c r="K4" s="866"/>
      <c r="L4" s="866"/>
    </row>
    <row r="5" spans="1:14">
      <c r="A5" s="168" t="s">
        <v>990</v>
      </c>
      <c r="B5" s="283"/>
      <c r="C5" s="283"/>
      <c r="D5" s="283"/>
      <c r="E5" s="283"/>
      <c r="F5" s="283"/>
      <c r="G5" s="283"/>
      <c r="H5" s="283"/>
      <c r="I5" s="283"/>
      <c r="J5" s="177"/>
    </row>
    <row r="6" spans="1:14" ht="21.75" customHeight="1">
      <c r="A6" s="284"/>
      <c r="B6" s="284"/>
      <c r="C6" s="284"/>
      <c r="D6" s="284"/>
      <c r="E6" s="284"/>
      <c r="F6" s="284"/>
      <c r="G6" s="285"/>
      <c r="H6" s="284"/>
      <c r="I6" s="177"/>
      <c r="N6" s="876" t="s">
        <v>254</v>
      </c>
    </row>
    <row r="7" spans="1:14" s="227" customFormat="1" ht="29.25" customHeight="1">
      <c r="A7" s="4178" t="s">
        <v>2</v>
      </c>
      <c r="B7" s="4178" t="s">
        <v>3377</v>
      </c>
      <c r="C7" s="4160" t="s">
        <v>3549</v>
      </c>
      <c r="D7" s="4180" t="s">
        <v>1092</v>
      </c>
      <c r="E7" s="4162" t="s">
        <v>255</v>
      </c>
      <c r="F7" s="4182"/>
      <c r="G7" s="4163"/>
      <c r="H7" s="4160" t="s">
        <v>3550</v>
      </c>
      <c r="I7" s="4160" t="s">
        <v>3551</v>
      </c>
      <c r="J7" s="4160" t="s">
        <v>3380</v>
      </c>
      <c r="K7" s="4160" t="s">
        <v>3381</v>
      </c>
      <c r="L7" s="4160" t="s">
        <v>345</v>
      </c>
      <c r="M7" s="4162" t="s">
        <v>255</v>
      </c>
      <c r="N7" s="4163"/>
    </row>
    <row r="8" spans="1:14" s="226" customFormat="1" ht="45.6" customHeight="1">
      <c r="A8" s="4179"/>
      <c r="B8" s="4179"/>
      <c r="C8" s="4160"/>
      <c r="D8" s="4181"/>
      <c r="E8" s="286" t="s">
        <v>7</v>
      </c>
      <c r="F8" s="286" t="s">
        <v>8</v>
      </c>
      <c r="G8" s="286" t="s">
        <v>3552</v>
      </c>
      <c r="H8" s="4160"/>
      <c r="I8" s="4160"/>
      <c r="J8" s="4160"/>
      <c r="K8" s="4160"/>
      <c r="L8" s="4160"/>
      <c r="M8" s="286" t="s">
        <v>7</v>
      </c>
      <c r="N8" s="286" t="s">
        <v>8</v>
      </c>
    </row>
    <row r="9" spans="1:14" s="226" customFormat="1" ht="20.25" customHeight="1">
      <c r="A9" s="239"/>
      <c r="B9" s="287" t="s">
        <v>3553</v>
      </c>
      <c r="C9" s="288"/>
      <c r="D9" s="288"/>
      <c r="E9" s="632"/>
      <c r="F9" s="632"/>
      <c r="G9" s="216"/>
      <c r="H9" s="216"/>
      <c r="I9" s="216"/>
      <c r="J9" s="216"/>
      <c r="K9" s="289"/>
      <c r="L9" s="289"/>
      <c r="M9" s="290"/>
      <c r="N9" s="290"/>
    </row>
    <row r="10" spans="1:14" s="226" customFormat="1" ht="20.25" customHeight="1">
      <c r="A10" s="291"/>
      <c r="B10" s="292" t="s">
        <v>3459</v>
      </c>
      <c r="C10" s="291" t="s">
        <v>3383</v>
      </c>
      <c r="D10" s="632">
        <f>E10+F10+G10</f>
        <v>221</v>
      </c>
      <c r="E10" s="720">
        <v>1</v>
      </c>
      <c r="F10" s="720">
        <v>20</v>
      </c>
      <c r="G10" s="877">
        <v>200</v>
      </c>
      <c r="H10" s="877">
        <f>E46/D10</f>
        <v>2.3366289592760179</v>
      </c>
      <c r="I10" s="216">
        <f>ROUND(D10*H10,2)</f>
        <v>516.4</v>
      </c>
      <c r="J10" s="632">
        <v>3</v>
      </c>
      <c r="K10" s="1212">
        <v>134.93</v>
      </c>
      <c r="L10" s="1568">
        <f>I10*J10*K10</f>
        <v>209033.55599999998</v>
      </c>
      <c r="M10" s="290">
        <f>L10*E10/D10</f>
        <v>945.85319457013566</v>
      </c>
      <c r="N10" s="633">
        <f>L10-M10</f>
        <v>208087.70280542984</v>
      </c>
    </row>
    <row r="11" spans="1:14" s="226" customFormat="1" ht="20.25" customHeight="1">
      <c r="A11" s="291"/>
      <c r="B11" s="292" t="s">
        <v>3463</v>
      </c>
      <c r="C11" s="291" t="s">
        <v>3383</v>
      </c>
      <c r="D11" s="632">
        <f>E11+F11+G11</f>
        <v>221</v>
      </c>
      <c r="E11" s="720">
        <v>1</v>
      </c>
      <c r="F11" s="720">
        <v>20</v>
      </c>
      <c r="G11" s="877">
        <v>200</v>
      </c>
      <c r="H11" s="877">
        <f>E46/D11</f>
        <v>2.3366289592760179</v>
      </c>
      <c r="I11" s="216">
        <f>ROUND(D11*H11,2)</f>
        <v>516.4</v>
      </c>
      <c r="J11" s="632">
        <v>5</v>
      </c>
      <c r="K11" s="1212">
        <v>134.93</v>
      </c>
      <c r="L11" s="1568">
        <f>I11*J11*K11</f>
        <v>348389.26</v>
      </c>
      <c r="M11" s="290">
        <f t="shared" ref="M11:M20" si="0">L11*E11/D11</f>
        <v>1576.4219909502262</v>
      </c>
      <c r="N11" s="633">
        <f t="shared" ref="N11:N20" si="1">L11-M11</f>
        <v>346812.83800904977</v>
      </c>
    </row>
    <row r="12" spans="1:14" s="226" customFormat="1" ht="20.25" customHeight="1">
      <c r="A12" s="291"/>
      <c r="B12" s="292" t="s">
        <v>3464</v>
      </c>
      <c r="C12" s="291" t="s">
        <v>3383</v>
      </c>
      <c r="D12" s="632">
        <f>E12+F12+G12</f>
        <v>221</v>
      </c>
      <c r="E12" s="720">
        <v>1</v>
      </c>
      <c r="F12" s="720">
        <v>20</v>
      </c>
      <c r="G12" s="877">
        <v>200</v>
      </c>
      <c r="H12" s="877">
        <f>E47/D12</f>
        <v>2.3366289592760179</v>
      </c>
      <c r="I12" s="216">
        <f>ROUND(D12*H12,2)</f>
        <v>516.4</v>
      </c>
      <c r="J12" s="632">
        <v>4</v>
      </c>
      <c r="K12" s="1212">
        <v>134.93</v>
      </c>
      <c r="L12" s="1568">
        <f>I12*J12*K12</f>
        <v>278711.408</v>
      </c>
      <c r="M12" s="290">
        <f t="shared" si="0"/>
        <v>1261.137592760181</v>
      </c>
      <c r="N12" s="633">
        <f t="shared" si="1"/>
        <v>277450.27040723979</v>
      </c>
    </row>
    <row r="13" spans="1:14" s="226" customFormat="1" ht="20.25" customHeight="1">
      <c r="A13" s="291"/>
      <c r="B13" s="238" t="s">
        <v>20</v>
      </c>
      <c r="C13" s="884"/>
      <c r="D13" s="884"/>
      <c r="E13" s="878"/>
      <c r="F13" s="878"/>
      <c r="G13" s="878"/>
      <c r="H13" s="879"/>
      <c r="I13" s="879"/>
      <c r="J13" s="879"/>
      <c r="K13" s="880"/>
      <c r="L13" s="1569">
        <f>SUM(L10:L12)</f>
        <v>836134.22399999993</v>
      </c>
      <c r="M13" s="630">
        <f>SUM(M10:M12)</f>
        <v>3783.4127782805426</v>
      </c>
      <c r="N13" s="630">
        <f>SUM(N10:N12)</f>
        <v>832350.81122171937</v>
      </c>
    </row>
    <row r="14" spans="1:14" s="226" customFormat="1" ht="20.25" customHeight="1">
      <c r="A14" s="239"/>
      <c r="B14" s="287" t="s">
        <v>3554</v>
      </c>
      <c r="C14" s="709"/>
      <c r="D14" s="709"/>
      <c r="E14" s="720"/>
      <c r="F14" s="720"/>
      <c r="G14" s="877"/>
      <c r="H14" s="877"/>
      <c r="I14" s="877"/>
      <c r="J14" s="877"/>
      <c r="K14" s="880"/>
      <c r="L14" s="1569">
        <f>L15+L16+L17</f>
        <v>800564.59199999995</v>
      </c>
      <c r="M14" s="287">
        <f>M15+M16+M17</f>
        <v>3622.4642171945702</v>
      </c>
      <c r="N14" s="1308">
        <f t="shared" si="1"/>
        <v>796942.12778280536</v>
      </c>
    </row>
    <row r="15" spans="1:14" s="226" customFormat="1" ht="20.25" customHeight="1">
      <c r="A15" s="291"/>
      <c r="B15" s="292" t="s">
        <v>3459</v>
      </c>
      <c r="C15" s="291" t="s">
        <v>3383</v>
      </c>
      <c r="D15" s="632">
        <f>E15+F15+G15</f>
        <v>221</v>
      </c>
      <c r="E15" s="720">
        <v>1</v>
      </c>
      <c r="F15" s="720">
        <v>20</v>
      </c>
      <c r="G15" s="877">
        <v>200</v>
      </c>
      <c r="H15" s="877">
        <f>$E$47/D15</f>
        <v>2.3366289592760179</v>
      </c>
      <c r="I15" s="216">
        <f>ROUND(D15*H15,2)</f>
        <v>516.4</v>
      </c>
      <c r="J15" s="632">
        <v>3</v>
      </c>
      <c r="K15" s="1212">
        <v>129.19</v>
      </c>
      <c r="L15" s="1568">
        <f>I15*J15*K15</f>
        <v>200141.14799999999</v>
      </c>
      <c r="M15" s="290">
        <f t="shared" si="0"/>
        <v>905.61605429864244</v>
      </c>
      <c r="N15" s="633">
        <f t="shared" si="1"/>
        <v>199235.53194570134</v>
      </c>
    </row>
    <row r="16" spans="1:14" s="226" customFormat="1" ht="20.25" customHeight="1">
      <c r="A16" s="291"/>
      <c r="B16" s="292" t="s">
        <v>3463</v>
      </c>
      <c r="C16" s="291" t="s">
        <v>3383</v>
      </c>
      <c r="D16" s="632">
        <f>E16+F16+G16</f>
        <v>221</v>
      </c>
      <c r="E16" s="720">
        <v>1</v>
      </c>
      <c r="F16" s="720">
        <v>20</v>
      </c>
      <c r="G16" s="877">
        <v>200</v>
      </c>
      <c r="H16" s="877">
        <f>$E$47/D16</f>
        <v>2.3366289592760179</v>
      </c>
      <c r="I16" s="216">
        <f>ROUND(D16*H16,2)</f>
        <v>516.4</v>
      </c>
      <c r="J16" s="632">
        <v>5</v>
      </c>
      <c r="K16" s="1212">
        <v>129.19</v>
      </c>
      <c r="L16" s="1568">
        <f>I16*J16*K16</f>
        <v>333568.58</v>
      </c>
      <c r="M16" s="290">
        <f t="shared" si="0"/>
        <v>1509.3600904977377</v>
      </c>
      <c r="N16" s="633">
        <f t="shared" si="1"/>
        <v>332059.21990950225</v>
      </c>
    </row>
    <row r="17" spans="1:14" s="226" customFormat="1" ht="20.25" customHeight="1">
      <c r="A17" s="291"/>
      <c r="B17" s="292" t="s">
        <v>3464</v>
      </c>
      <c r="C17" s="291" t="s">
        <v>3383</v>
      </c>
      <c r="D17" s="632">
        <f>E17+F17+G17</f>
        <v>221</v>
      </c>
      <c r="E17" s="720">
        <v>1</v>
      </c>
      <c r="F17" s="720">
        <v>20</v>
      </c>
      <c r="G17" s="877">
        <v>200</v>
      </c>
      <c r="H17" s="877">
        <f>$E$47/D17</f>
        <v>2.3366289592760179</v>
      </c>
      <c r="I17" s="216">
        <f>ROUND(D17*H17,2)</f>
        <v>516.4</v>
      </c>
      <c r="J17" s="632">
        <v>4</v>
      </c>
      <c r="K17" s="1212">
        <v>129.19</v>
      </c>
      <c r="L17" s="1568">
        <f>I17*J17*K17</f>
        <v>266854.864</v>
      </c>
      <c r="M17" s="290">
        <f t="shared" si="0"/>
        <v>1207.4880723981901</v>
      </c>
      <c r="N17" s="633">
        <f t="shared" si="1"/>
        <v>265647.37592760182</v>
      </c>
    </row>
    <row r="18" spans="1:14" s="226" customFormat="1" ht="20.25" customHeight="1">
      <c r="A18" s="291"/>
      <c r="B18" s="238" t="s">
        <v>20</v>
      </c>
      <c r="C18" s="709"/>
      <c r="D18" s="709"/>
      <c r="E18" s="720"/>
      <c r="F18" s="720"/>
      <c r="G18" s="877"/>
      <c r="H18" s="877"/>
      <c r="I18" s="877"/>
      <c r="J18" s="877"/>
      <c r="K18" s="880"/>
      <c r="L18" s="1569">
        <f>SUM(L15:L17)</f>
        <v>800564.59199999995</v>
      </c>
      <c r="M18" s="630">
        <f>SUM(M15:M17)</f>
        <v>3622.4642171945702</v>
      </c>
      <c r="N18" s="630">
        <f>SUM(N15:N17)</f>
        <v>796942.12778280547</v>
      </c>
    </row>
    <row r="19" spans="1:14" s="226" customFormat="1" ht="20.25" customHeight="1">
      <c r="A19" s="291"/>
      <c r="B19" s="238" t="s">
        <v>3555</v>
      </c>
      <c r="C19" s="709"/>
      <c r="D19" s="709"/>
      <c r="E19" s="720"/>
      <c r="F19" s="720"/>
      <c r="G19" s="877"/>
      <c r="H19" s="877"/>
      <c r="I19" s="216"/>
      <c r="J19" s="216"/>
      <c r="K19" s="880"/>
      <c r="L19" s="629"/>
      <c r="M19" s="290" t="e">
        <f t="shared" si="0"/>
        <v>#DIV/0!</v>
      </c>
      <c r="N19" s="633" t="e">
        <f t="shared" si="1"/>
        <v>#DIV/0!</v>
      </c>
    </row>
    <row r="20" spans="1:14" s="226" customFormat="1" ht="20.25" customHeight="1">
      <c r="A20" s="291"/>
      <c r="B20" s="288" t="s">
        <v>3556</v>
      </c>
      <c r="C20" s="709"/>
      <c r="D20" s="291" t="s">
        <v>3383</v>
      </c>
      <c r="E20" s="291" t="s">
        <v>3383</v>
      </c>
      <c r="F20" s="291" t="s">
        <v>3383</v>
      </c>
      <c r="G20" s="291" t="s">
        <v>3383</v>
      </c>
      <c r="H20" s="877"/>
      <c r="I20" s="720"/>
      <c r="J20" s="632">
        <v>5</v>
      </c>
      <c r="K20" s="880"/>
      <c r="L20" s="629">
        <f>I20*J20*K20</f>
        <v>0</v>
      </c>
      <c r="M20" s="290" t="e">
        <f t="shared" si="0"/>
        <v>#VALUE!</v>
      </c>
      <c r="N20" s="633" t="e">
        <f t="shared" si="1"/>
        <v>#VALUE!</v>
      </c>
    </row>
    <row r="21" spans="1:14" s="228" customFormat="1" ht="20.25" customHeight="1">
      <c r="A21" s="291"/>
      <c r="B21" s="238" t="s">
        <v>20</v>
      </c>
      <c r="C21" s="884"/>
      <c r="D21" s="884"/>
      <c r="E21" s="878"/>
      <c r="F21" s="878"/>
      <c r="G21" s="879"/>
      <c r="H21" s="879"/>
      <c r="I21" s="879"/>
      <c r="J21" s="879"/>
      <c r="K21" s="881"/>
      <c r="L21" s="630">
        <f>SUM(L20)</f>
        <v>0</v>
      </c>
      <c r="M21" s="630" t="e">
        <f>SUM(M20)</f>
        <v>#VALUE!</v>
      </c>
      <c r="N21" s="630" t="e">
        <f>SUM(N20)</f>
        <v>#VALUE!</v>
      </c>
    </row>
    <row r="22" spans="1:14" s="226" customFormat="1" ht="20.25" customHeight="1">
      <c r="A22" s="239"/>
      <c r="B22" s="238" t="s">
        <v>306</v>
      </c>
      <c r="C22" s="883"/>
      <c r="D22" s="883"/>
      <c r="E22" s="883"/>
      <c r="F22" s="883"/>
      <c r="G22" s="883"/>
      <c r="H22" s="883"/>
      <c r="I22" s="883"/>
      <c r="J22" s="883"/>
      <c r="K22" s="882"/>
      <c r="L22" s="1570">
        <f>L13+L18+L21</f>
        <v>1636698.8159999999</v>
      </c>
      <c r="M22" s="238" t="e">
        <f>M13+M19+M21</f>
        <v>#DIV/0!</v>
      </c>
      <c r="N22" s="631" t="e">
        <f>N13+N19+N21</f>
        <v>#DIV/0!</v>
      </c>
    </row>
    <row r="23" spans="1:14" ht="8.25" customHeight="1">
      <c r="C23" s="294"/>
      <c r="D23" s="294"/>
      <c r="E23" s="295"/>
      <c r="F23" s="295"/>
      <c r="H23" s="296"/>
      <c r="I23" s="297"/>
      <c r="J23" s="217"/>
      <c r="K23" s="296"/>
      <c r="L23" s="298"/>
    </row>
    <row r="24" spans="1:14">
      <c r="B24" s="300" t="s">
        <v>329</v>
      </c>
      <c r="C24" s="294"/>
      <c r="D24" s="294"/>
      <c r="E24" s="295"/>
      <c r="F24" s="745"/>
      <c r="G24" s="758"/>
      <c r="H24" s="885"/>
      <c r="I24" s="886"/>
      <c r="J24" s="739"/>
      <c r="K24" s="885"/>
      <c r="L24" s="887"/>
      <c r="M24" s="744"/>
      <c r="N24" s="744"/>
    </row>
    <row r="25" spans="1:14" ht="10.5" customHeight="1">
      <c r="B25" s="300"/>
      <c r="C25" s="294"/>
      <c r="D25" s="294"/>
      <c r="E25" s="295"/>
      <c r="F25" s="745"/>
      <c r="G25" s="758"/>
      <c r="H25" s="888"/>
      <c r="I25" s="886"/>
      <c r="J25" s="739"/>
      <c r="K25" s="888"/>
      <c r="L25" s="887"/>
      <c r="M25" s="744"/>
      <c r="N25" s="744"/>
    </row>
    <row r="26" spans="1:14">
      <c r="B26" s="345" t="s">
        <v>330</v>
      </c>
      <c r="C26" s="294"/>
      <c r="D26" s="294"/>
      <c r="E26" s="295"/>
      <c r="F26" s="745"/>
      <c r="G26" s="758"/>
      <c r="H26" s="889"/>
      <c r="I26" s="886"/>
      <c r="J26" s="739"/>
      <c r="K26" s="889"/>
      <c r="L26" s="890"/>
      <c r="M26" s="744"/>
      <c r="N26" s="744"/>
    </row>
    <row r="27" spans="1:14">
      <c r="B27" s="345" t="s">
        <v>332</v>
      </c>
      <c r="C27" s="294"/>
      <c r="D27" s="294"/>
      <c r="E27" s="295"/>
      <c r="F27" s="745"/>
      <c r="G27" s="758"/>
      <c r="H27" s="889"/>
      <c r="I27" s="739"/>
      <c r="J27" s="739"/>
      <c r="K27" s="889"/>
      <c r="L27" s="890"/>
      <c r="M27" s="744"/>
      <c r="N27" s="744"/>
    </row>
    <row r="28" spans="1:14" ht="10.5" customHeight="1">
      <c r="B28" s="346"/>
      <c r="C28" s="294"/>
      <c r="D28" s="294"/>
      <c r="E28" s="295"/>
      <c r="F28" s="745"/>
      <c r="G28" s="758"/>
      <c r="H28" s="889"/>
      <c r="I28" s="739"/>
      <c r="J28" s="739"/>
      <c r="K28" s="889"/>
      <c r="L28" s="891"/>
      <c r="M28" s="744"/>
      <c r="N28" s="744"/>
    </row>
    <row r="29" spans="1:14">
      <c r="B29" s="345" t="s">
        <v>333</v>
      </c>
      <c r="F29" s="758"/>
      <c r="G29" s="758"/>
      <c r="H29" s="744"/>
      <c r="I29" s="744"/>
      <c r="J29" s="744"/>
      <c r="K29" s="866"/>
      <c r="L29" s="866"/>
      <c r="M29" s="744"/>
      <c r="N29" s="744"/>
    </row>
    <row r="30" spans="1:14">
      <c r="B30" s="541"/>
      <c r="C30" s="541"/>
      <c r="D30" s="541"/>
      <c r="E30" s="541"/>
      <c r="F30" s="541"/>
      <c r="G30" s="541"/>
      <c r="L30" s="282"/>
    </row>
    <row r="31" spans="1:14">
      <c r="A31" s="274"/>
      <c r="B31" s="274"/>
      <c r="C31" s="274"/>
      <c r="D31" s="274"/>
      <c r="E31" s="274"/>
      <c r="F31" s="274"/>
      <c r="G31" s="274"/>
      <c r="L31" s="282"/>
    </row>
    <row r="32" spans="1:14">
      <c r="A32" s="274"/>
      <c r="B32" s="274"/>
      <c r="C32" s="274"/>
      <c r="D32" s="274"/>
      <c r="E32" s="274"/>
      <c r="F32" s="274"/>
      <c r="G32" s="274"/>
      <c r="I32" s="281"/>
      <c r="J32" s="1211"/>
      <c r="K32" s="1211"/>
      <c r="L32" s="282"/>
    </row>
    <row r="33" spans="1:19">
      <c r="A33" s="274"/>
      <c r="B33" s="274"/>
      <c r="C33" s="274"/>
      <c r="D33" s="274"/>
      <c r="E33" s="274"/>
      <c r="F33" s="274"/>
      <c r="G33" s="274"/>
    </row>
    <row r="38" spans="1:19">
      <c r="A38" s="1332" t="s">
        <v>3495</v>
      </c>
      <c r="B38" s="1274"/>
      <c r="C38" s="1275"/>
      <c r="D38" s="1276"/>
      <c r="E38" s="1275"/>
      <c r="F38" s="1277"/>
      <c r="G38" s="1277"/>
      <c r="H38" s="1278"/>
      <c r="I38" s="1278"/>
      <c r="J38" s="1278"/>
      <c r="K38"/>
      <c r="L38"/>
      <c r="M38"/>
      <c r="N38"/>
      <c r="O38"/>
      <c r="P38"/>
      <c r="Q38"/>
      <c r="R38"/>
      <c r="S38"/>
    </row>
    <row r="39" spans="1:19">
      <c r="A39" s="1279"/>
      <c r="B39" s="1275"/>
      <c r="C39" s="1275"/>
      <c r="D39" s="1276"/>
      <c r="E39" s="1275"/>
      <c r="F39" s="1277"/>
      <c r="G39" s="1277"/>
      <c r="H39" s="1278"/>
      <c r="I39" s="1278"/>
      <c r="J39" s="1278"/>
      <c r="K39"/>
      <c r="L39"/>
      <c r="M39"/>
      <c r="N39"/>
      <c r="O39"/>
      <c r="P39"/>
      <c r="Q39"/>
      <c r="R39"/>
      <c r="S39"/>
    </row>
    <row r="40" spans="1:19">
      <c r="A40" s="1280" t="s">
        <v>3557</v>
      </c>
      <c r="B40" s="1281"/>
      <c r="C40" s="1281"/>
      <c r="D40" s="1281"/>
      <c r="E40" s="580"/>
      <c r="F40" s="1277"/>
      <c r="G40" s="1277"/>
      <c r="H40" s="1278"/>
      <c r="I40" s="1278"/>
      <c r="J40" s="1278"/>
      <c r="K40"/>
      <c r="L40"/>
      <c r="M40"/>
      <c r="N40"/>
      <c r="O40"/>
      <c r="P40"/>
      <c r="Q40"/>
      <c r="R40"/>
      <c r="S40"/>
    </row>
    <row r="41" spans="1:19">
      <c r="A41" s="1282"/>
      <c r="B41" s="1282"/>
      <c r="C41" s="1282"/>
      <c r="D41" s="1282"/>
      <c r="E41" s="580"/>
      <c r="F41" s="1277"/>
      <c r="G41" s="1277"/>
      <c r="H41" s="1278"/>
      <c r="I41" s="1278"/>
      <c r="J41" s="1278"/>
      <c r="K41"/>
      <c r="L41"/>
      <c r="M41"/>
      <c r="N41"/>
      <c r="O41"/>
      <c r="P41"/>
      <c r="Q41"/>
      <c r="R41"/>
      <c r="S41"/>
    </row>
    <row r="42" spans="1:19">
      <c r="A42" s="1283"/>
      <c r="B42" s="1283"/>
      <c r="C42" s="1282"/>
      <c r="D42" s="580"/>
      <c r="E42" s="1277"/>
      <c r="F42" s="1277"/>
      <c r="G42" s="1277"/>
      <c r="H42" s="1278"/>
      <c r="I42" s="1278"/>
      <c r="J42" s="1397" t="s">
        <v>254</v>
      </c>
      <c r="K42"/>
      <c r="L42"/>
      <c r="M42"/>
      <c r="N42"/>
      <c r="O42"/>
      <c r="P42"/>
      <c r="Q42"/>
      <c r="R42"/>
      <c r="S42"/>
    </row>
    <row r="43" spans="1:19" ht="15.75" customHeight="1">
      <c r="A43" s="4176" t="s">
        <v>34</v>
      </c>
      <c r="B43" s="4176" t="s">
        <v>478</v>
      </c>
      <c r="C43" s="4177" t="s">
        <v>3558</v>
      </c>
      <c r="D43" s="4177" t="s">
        <v>3559</v>
      </c>
      <c r="E43" s="4177" t="s">
        <v>3560</v>
      </c>
      <c r="F43" s="4177" t="s">
        <v>3561</v>
      </c>
      <c r="G43" s="4177" t="s">
        <v>3562</v>
      </c>
      <c r="H43" s="4183" t="s">
        <v>3563</v>
      </c>
      <c r="I43" s="4183" t="s">
        <v>3564</v>
      </c>
      <c r="J43" s="4183"/>
      <c r="K43" s="4177" t="s">
        <v>3565</v>
      </c>
      <c r="L43" s="4184" t="s">
        <v>3566</v>
      </c>
      <c r="M43" s="4184" t="s">
        <v>3567</v>
      </c>
      <c r="N43"/>
      <c r="O43"/>
      <c r="P43"/>
      <c r="Q43"/>
      <c r="R43"/>
      <c r="S43"/>
    </row>
    <row r="44" spans="1:19">
      <c r="A44" s="4176"/>
      <c r="B44" s="4176"/>
      <c r="C44" s="4177"/>
      <c r="D44" s="4177"/>
      <c r="E44" s="4177"/>
      <c r="F44" s="4177"/>
      <c r="G44" s="4177"/>
      <c r="H44" s="4183"/>
      <c r="I44" s="4183" t="s">
        <v>7</v>
      </c>
      <c r="J44" s="4183" t="s">
        <v>3568</v>
      </c>
      <c r="K44" s="4177"/>
      <c r="L44" s="4184"/>
      <c r="M44" s="4184"/>
      <c r="N44"/>
      <c r="O44"/>
      <c r="P44"/>
      <c r="Q44"/>
      <c r="R44"/>
      <c r="S44"/>
    </row>
    <row r="45" spans="1:19" ht="26.25" customHeight="1">
      <c r="A45" s="4176"/>
      <c r="B45" s="4176"/>
      <c r="C45" s="4177"/>
      <c r="D45" s="4177"/>
      <c r="E45" s="4177"/>
      <c r="F45" s="4177"/>
      <c r="G45" s="4177"/>
      <c r="H45" s="4183"/>
      <c r="I45" s="4183"/>
      <c r="J45" s="4183"/>
      <c r="K45" s="4177"/>
      <c r="L45" s="4184"/>
      <c r="M45" s="4184"/>
      <c r="N45"/>
      <c r="O45" t="s">
        <v>3569</v>
      </c>
      <c r="P45"/>
      <c r="Q45"/>
      <c r="R45"/>
      <c r="S45"/>
    </row>
    <row r="46" spans="1:19">
      <c r="A46" s="1287">
        <v>1</v>
      </c>
      <c r="B46" s="1288" t="s">
        <v>3570</v>
      </c>
      <c r="C46" s="1289">
        <v>20.5</v>
      </c>
      <c r="D46" s="1290">
        <v>4333</v>
      </c>
      <c r="E46" s="1291">
        <v>516.39499999999998</v>
      </c>
      <c r="F46" s="1398">
        <f>S48</f>
        <v>120.4705357142857</v>
      </c>
      <c r="G46" s="1292">
        <f>E46*F46</f>
        <v>62210.382290178561</v>
      </c>
      <c r="H46" s="1292">
        <f>G46*12</f>
        <v>746524.58748214273</v>
      </c>
      <c r="I46" s="1293">
        <f>H46*10%</f>
        <v>74652.458748214282</v>
      </c>
      <c r="J46" s="1293">
        <f>H46-I46</f>
        <v>671872.12873392843</v>
      </c>
      <c r="K46" s="1399">
        <f>$Q$11</f>
        <v>0</v>
      </c>
      <c r="L46" s="1400">
        <f>K46*E46</f>
        <v>0</v>
      </c>
      <c r="M46" s="1400">
        <f>L46*12</f>
        <v>0</v>
      </c>
      <c r="N46"/>
      <c r="O46" t="s">
        <v>3571</v>
      </c>
      <c r="P46"/>
      <c r="Q46"/>
      <c r="R46"/>
      <c r="S46"/>
    </row>
    <row r="47" spans="1:19">
      <c r="A47" s="1296">
        <v>2</v>
      </c>
      <c r="B47" s="1288" t="s">
        <v>3554</v>
      </c>
      <c r="C47" s="1289">
        <v>20.5</v>
      </c>
      <c r="D47" s="1290">
        <v>4333</v>
      </c>
      <c r="E47" s="1291">
        <v>516.39499999999998</v>
      </c>
      <c r="F47" s="1398">
        <f>S49</f>
        <v>115.34982142857142</v>
      </c>
      <c r="G47" s="1292">
        <f>E47*F47</f>
        <v>59566.071036607136</v>
      </c>
      <c r="H47" s="1292">
        <f>G47*12</f>
        <v>714792.85243928561</v>
      </c>
      <c r="I47" s="1293">
        <v>287790</v>
      </c>
      <c r="J47" s="1293">
        <v>2590110</v>
      </c>
      <c r="K47" s="1399">
        <f>$Q$12</f>
        <v>0</v>
      </c>
      <c r="L47" s="1400">
        <f>K47*E47</f>
        <v>0</v>
      </c>
      <c r="M47" s="1400">
        <f>L47*12</f>
        <v>0</v>
      </c>
      <c r="N47"/>
      <c r="O47"/>
      <c r="P47"/>
      <c r="Q47"/>
      <c r="R47"/>
      <c r="S47"/>
    </row>
    <row r="48" spans="1:19">
      <c r="A48" s="1297"/>
      <c r="B48" s="1298" t="s">
        <v>3572</v>
      </c>
      <c r="C48" s="1299"/>
      <c r="D48" s="1299"/>
      <c r="E48" s="1299"/>
      <c r="F48" s="1299"/>
      <c r="G48" s="1301">
        <f>G46+G47</f>
        <v>121776.4533267857</v>
      </c>
      <c r="H48" s="1301">
        <f>H46+H47</f>
        <v>1461317.4399214284</v>
      </c>
      <c r="I48" s="1302">
        <f>I46+I47</f>
        <v>362442.4587482143</v>
      </c>
      <c r="J48" s="1302">
        <f>J46+J47</f>
        <v>3261982.1287339283</v>
      </c>
      <c r="K48" s="1401"/>
      <c r="L48" s="1402">
        <f>SUM(L46:L47)</f>
        <v>0</v>
      </c>
      <c r="M48" s="1402">
        <f>SUM(M46:M47)</f>
        <v>0</v>
      </c>
      <c r="N48"/>
      <c r="O48">
        <v>126.1</v>
      </c>
      <c r="P48">
        <v>1.07</v>
      </c>
      <c r="Q48">
        <f>O48*P48</f>
        <v>134.92699999999999</v>
      </c>
      <c r="R48">
        <v>1.1200000000000001</v>
      </c>
      <c r="S48">
        <f>Q48/R48</f>
        <v>120.4705357142857</v>
      </c>
    </row>
    <row r="49" spans="1:19">
      <c r="A49" s="1304"/>
      <c r="B49" s="1305"/>
      <c r="C49" s="1305"/>
      <c r="D49" s="1305"/>
      <c r="E49" s="1305"/>
      <c r="F49" s="1305"/>
      <c r="G49" s="1306"/>
      <c r="H49" s="1306"/>
      <c r="I49" s="1306"/>
      <c r="J49" s="1306"/>
      <c r="K49"/>
      <c r="L49"/>
      <c r="M49"/>
      <c r="N49"/>
      <c r="O49">
        <v>120.74</v>
      </c>
      <c r="P49">
        <v>1.07</v>
      </c>
      <c r="Q49">
        <f>O49*P49</f>
        <v>129.1918</v>
      </c>
      <c r="R49">
        <v>1.1200000000000001</v>
      </c>
      <c r="S49">
        <f>Q49/R49</f>
        <v>115.34982142857142</v>
      </c>
    </row>
    <row r="50" spans="1:19">
      <c r="A50" s="1403"/>
      <c r="B50" s="1404" t="s">
        <v>3573</v>
      </c>
      <c r="C50" s="1403"/>
      <c r="D50" s="1405"/>
      <c r="E50" s="1406"/>
      <c r="F50" s="1404"/>
      <c r="G50" s="1404"/>
      <c r="H50" s="1407"/>
      <c r="I50" s="1407"/>
      <c r="J50" s="1407"/>
      <c r="K50"/>
      <c r="L50"/>
      <c r="M50"/>
      <c r="N50"/>
      <c r="O50"/>
      <c r="P50"/>
      <c r="Q50"/>
      <c r="R50"/>
      <c r="S50"/>
    </row>
    <row r="51" spans="1:19">
      <c r="A51" s="1282"/>
      <c r="B51" s="1408" t="s">
        <v>3574</v>
      </c>
      <c r="C51" s="1282"/>
      <c r="D51" s="580"/>
      <c r="E51" s="1409"/>
      <c r="F51" s="1404"/>
      <c r="G51" s="1404"/>
      <c r="H51" s="1407"/>
      <c r="I51" s="1407"/>
      <c r="J51" s="1407"/>
      <c r="K51"/>
      <c r="L51"/>
      <c r="M51"/>
      <c r="N51"/>
      <c r="O51">
        <v>25.19</v>
      </c>
      <c r="P51" t="s">
        <v>3484</v>
      </c>
      <c r="Q51"/>
      <c r="R51"/>
      <c r="S51"/>
    </row>
    <row r="52" spans="1:19">
      <c r="A52" s="1282"/>
      <c r="B52" s="1408" t="s">
        <v>3575</v>
      </c>
      <c r="C52" s="1282"/>
      <c r="D52" s="580"/>
      <c r="E52" s="1409"/>
      <c r="F52" s="1404"/>
      <c r="G52" s="1404"/>
      <c r="H52" s="1407"/>
      <c r="I52" s="1407"/>
      <c r="J52" s="1407"/>
      <c r="K52"/>
      <c r="L52"/>
      <c r="M52"/>
      <c r="N52"/>
      <c r="O52" t="s">
        <v>3576</v>
      </c>
      <c r="P52"/>
      <c r="Q52"/>
      <c r="R52"/>
      <c r="S52"/>
    </row>
    <row r="53" spans="1:19">
      <c r="A53" s="1410"/>
      <c r="B53" s="1411"/>
      <c r="C53" s="1412"/>
      <c r="D53" s="1412"/>
      <c r="E53" s="1412"/>
      <c r="F53" s="1413"/>
      <c r="G53" s="1413"/>
      <c r="H53" s="1414"/>
      <c r="I53" s="1414"/>
      <c r="J53" s="1414"/>
      <c r="K53"/>
      <c r="L53"/>
      <c r="M53"/>
      <c r="N53"/>
      <c r="O53">
        <f>O51*C46</f>
        <v>516.39499999999998</v>
      </c>
      <c r="P53" t="s">
        <v>681</v>
      </c>
      <c r="Q53"/>
      <c r="R53"/>
      <c r="S53"/>
    </row>
    <row r="54" spans="1:19">
      <c r="A54" s="1410"/>
      <c r="B54" s="1411"/>
      <c r="C54" s="1412"/>
      <c r="D54" s="1412"/>
      <c r="E54" s="1412"/>
      <c r="F54" s="1413"/>
      <c r="G54" s="1413"/>
      <c r="H54" s="1414"/>
      <c r="I54" s="1414"/>
      <c r="J54" s="1414"/>
      <c r="K54"/>
      <c r="L54"/>
      <c r="M54"/>
      <c r="N54"/>
      <c r="O54"/>
      <c r="P54"/>
      <c r="Q54"/>
      <c r="R54"/>
      <c r="S54"/>
    </row>
    <row r="55" spans="1:19">
      <c r="A55" s="274"/>
      <c r="B55" s="274"/>
      <c r="C55" s="274"/>
      <c r="D55" s="274"/>
      <c r="E55" s="274"/>
      <c r="F55" s="274"/>
      <c r="G55" s="274"/>
      <c r="J55" s="275"/>
    </row>
    <row r="56" spans="1:19">
      <c r="A56" s="274"/>
      <c r="B56" s="274"/>
      <c r="C56" s="274"/>
      <c r="D56" s="274"/>
      <c r="E56" s="274"/>
      <c r="F56" s="274"/>
      <c r="G56" s="274"/>
    </row>
    <row r="58" spans="1:19">
      <c r="E58" s="282"/>
      <c r="F58" s="282"/>
      <c r="G58" s="282"/>
    </row>
    <row r="59" spans="1:19">
      <c r="E59" s="282"/>
      <c r="F59" s="282"/>
      <c r="G59" s="282"/>
    </row>
    <row r="61" spans="1:19">
      <c r="M61" s="541" t="s">
        <v>267</v>
      </c>
      <c r="N61" s="671" t="s">
        <v>606</v>
      </c>
    </row>
    <row r="62" spans="1:19">
      <c r="A62" s="695" t="s">
        <v>3577</v>
      </c>
      <c r="B62" s="849"/>
      <c r="C62" s="849"/>
      <c r="D62" s="849"/>
      <c r="E62" s="849"/>
      <c r="F62" s="849"/>
      <c r="G62" s="849"/>
      <c r="H62" s="849"/>
      <c r="I62" s="3814" t="s">
        <v>3375</v>
      </c>
      <c r="J62" s="849"/>
      <c r="K62" s="866"/>
      <c r="L62" s="866"/>
      <c r="M62" s="744"/>
      <c r="N62" s="744"/>
    </row>
    <row r="63" spans="1:19">
      <c r="A63" s="45"/>
      <c r="B63" s="280"/>
      <c r="C63" s="280"/>
      <c r="D63" s="280"/>
      <c r="E63" s="280"/>
      <c r="F63" s="280"/>
      <c r="G63" s="280"/>
      <c r="H63" s="280"/>
      <c r="I63" s="3815"/>
      <c r="J63" s="280"/>
    </row>
    <row r="64" spans="1:19">
      <c r="A64" s="656" t="s">
        <v>3376</v>
      </c>
      <c r="B64" s="852"/>
      <c r="C64" s="852"/>
      <c r="D64" s="852"/>
      <c r="E64" s="852"/>
      <c r="F64" s="852"/>
      <c r="G64" s="852"/>
      <c r="H64" s="852"/>
      <c r="I64" s="852"/>
      <c r="J64" s="738"/>
      <c r="K64" s="866"/>
      <c r="L64" s="866"/>
      <c r="M64" s="744"/>
      <c r="N64" s="744"/>
    </row>
    <row r="65" spans="1:14">
      <c r="A65" s="168" t="s">
        <v>990</v>
      </c>
      <c r="B65" s="283"/>
      <c r="C65" s="283"/>
      <c r="D65" s="283"/>
      <c r="E65" s="283"/>
      <c r="F65" s="283"/>
      <c r="G65" s="283"/>
      <c r="H65" s="283"/>
      <c r="I65" s="283"/>
      <c r="J65" s="177"/>
    </row>
    <row r="66" spans="1:14">
      <c r="A66" s="284"/>
      <c r="B66" s="284"/>
      <c r="C66" s="284"/>
      <c r="D66" s="284"/>
      <c r="E66" s="284"/>
      <c r="F66" s="284"/>
      <c r="G66" s="285"/>
      <c r="H66" s="284"/>
      <c r="I66" s="177"/>
      <c r="N66" s="876" t="s">
        <v>254</v>
      </c>
    </row>
    <row r="67" spans="1:14" ht="21.75" customHeight="1">
      <c r="A67" s="4178" t="s">
        <v>2</v>
      </c>
      <c r="B67" s="4178" t="s">
        <v>3377</v>
      </c>
      <c r="C67" s="4160" t="s">
        <v>3549</v>
      </c>
      <c r="D67" s="4180" t="s">
        <v>1092</v>
      </c>
      <c r="E67" s="4162" t="s">
        <v>255</v>
      </c>
      <c r="F67" s="4182"/>
      <c r="G67" s="4163"/>
      <c r="H67" s="4160" t="s">
        <v>3550</v>
      </c>
      <c r="I67" s="4160" t="s">
        <v>3551</v>
      </c>
      <c r="J67" s="4160" t="s">
        <v>3380</v>
      </c>
      <c r="K67" s="4160" t="s">
        <v>3381</v>
      </c>
      <c r="L67" s="4160" t="s">
        <v>345</v>
      </c>
      <c r="M67" s="4162" t="s">
        <v>255</v>
      </c>
      <c r="N67" s="4163"/>
    </row>
    <row r="68" spans="1:14" ht="29.25" customHeight="1">
      <c r="A68" s="4179"/>
      <c r="B68" s="4179"/>
      <c r="C68" s="4160"/>
      <c r="D68" s="4181"/>
      <c r="E68" s="286" t="s">
        <v>7</v>
      </c>
      <c r="F68" s="286" t="s">
        <v>8</v>
      </c>
      <c r="G68" s="286" t="s">
        <v>3552</v>
      </c>
      <c r="H68" s="4160"/>
      <c r="I68" s="4160"/>
      <c r="J68" s="4160"/>
      <c r="K68" s="4160"/>
      <c r="L68" s="4160"/>
      <c r="M68" s="286" t="s">
        <v>7</v>
      </c>
      <c r="N68" s="286" t="s">
        <v>8</v>
      </c>
    </row>
    <row r="69" spans="1:14">
      <c r="A69" s="239"/>
      <c r="B69" s="287" t="s">
        <v>3553</v>
      </c>
      <c r="C69" s="288"/>
      <c r="D69" s="288"/>
      <c r="E69" s="632"/>
      <c r="F69" s="632"/>
      <c r="G69" s="216"/>
      <c r="H69" s="216"/>
      <c r="I69" s="216"/>
      <c r="J69" s="216"/>
      <c r="K69" s="289"/>
      <c r="L69" s="289"/>
      <c r="M69" s="290"/>
      <c r="N69" s="290"/>
    </row>
    <row r="70" spans="1:14">
      <c r="A70" s="291"/>
      <c r="B70" s="292" t="s">
        <v>3459</v>
      </c>
      <c r="C70" s="291" t="s">
        <v>3383</v>
      </c>
      <c r="D70" s="632">
        <f>E70+F70+G70</f>
        <v>236</v>
      </c>
      <c r="E70" s="720">
        <v>15</v>
      </c>
      <c r="F70" s="720">
        <v>21</v>
      </c>
      <c r="G70" s="877">
        <v>200</v>
      </c>
      <c r="H70" s="877">
        <f>B94/3/D70</f>
        <v>2.9066860757741617</v>
      </c>
      <c r="I70" s="632">
        <f>D70*H70</f>
        <v>685.97791388270218</v>
      </c>
      <c r="J70" s="632">
        <v>3</v>
      </c>
      <c r="K70" s="1212">
        <v>134.93</v>
      </c>
      <c r="L70" s="629">
        <f>I70*J70*K70</f>
        <v>277676.99976057903</v>
      </c>
      <c r="M70" s="290">
        <f>L70*E70/D70</f>
        <v>17648.961849189345</v>
      </c>
      <c r="N70" s="633">
        <f>L70-M70</f>
        <v>260028.03791138969</v>
      </c>
    </row>
    <row r="71" spans="1:14">
      <c r="A71" s="291"/>
      <c r="B71" s="292" t="s">
        <v>3463</v>
      </c>
      <c r="C71" s="291" t="s">
        <v>3383</v>
      </c>
      <c r="D71" s="632">
        <f>E71+F71+G71</f>
        <v>236</v>
      </c>
      <c r="E71" s="720">
        <v>15</v>
      </c>
      <c r="F71" s="720">
        <v>21</v>
      </c>
      <c r="G71" s="877">
        <v>200</v>
      </c>
      <c r="H71" s="877">
        <f>C94/5/D71</f>
        <v>2.0302503680495261</v>
      </c>
      <c r="I71" s="632">
        <f>D71*H71</f>
        <v>479.13908685968818</v>
      </c>
      <c r="J71" s="632">
        <v>5</v>
      </c>
      <c r="K71" s="1212">
        <v>134.93</v>
      </c>
      <c r="L71" s="629">
        <f>I71*J71*K71</f>
        <v>323251.18494988867</v>
      </c>
      <c r="M71" s="290">
        <f>L71*E71/D71</f>
        <v>20545.626162069195</v>
      </c>
      <c r="N71" s="633">
        <f>L71-M71</f>
        <v>302705.55878781946</v>
      </c>
    </row>
    <row r="72" spans="1:14">
      <c r="A72" s="291"/>
      <c r="B72" s="292" t="s">
        <v>3464</v>
      </c>
      <c r="C72" s="291" t="s">
        <v>3383</v>
      </c>
      <c r="D72" s="632">
        <f>E72+F72+G72</f>
        <v>236</v>
      </c>
      <c r="E72" s="720">
        <v>15</v>
      </c>
      <c r="F72" s="720">
        <v>21</v>
      </c>
      <c r="G72" s="877">
        <v>200</v>
      </c>
      <c r="H72" s="877">
        <f>E94/4/D72</f>
        <v>2.3614694613264882</v>
      </c>
      <c r="I72" s="632">
        <f>D72*H72</f>
        <v>557.30679287305122</v>
      </c>
      <c r="J72" s="632">
        <v>4</v>
      </c>
      <c r="K72" s="1212">
        <v>134.93</v>
      </c>
      <c r="L72" s="629">
        <f>I72*J72*K72</f>
        <v>300789.6222494432</v>
      </c>
      <c r="M72" s="290">
        <f>L72*E72/D72</f>
        <v>19117.984465006983</v>
      </c>
      <c r="N72" s="633">
        <f>L72-M72</f>
        <v>281671.63778443623</v>
      </c>
    </row>
    <row r="73" spans="1:14">
      <c r="A73" s="291"/>
      <c r="B73" s="238" t="s">
        <v>20</v>
      </c>
      <c r="C73" s="884"/>
      <c r="D73" s="884"/>
      <c r="E73" s="878"/>
      <c r="F73" s="878"/>
      <c r="G73" s="878"/>
      <c r="H73" s="879"/>
      <c r="I73" s="879"/>
      <c r="J73" s="879"/>
      <c r="K73" s="880"/>
      <c r="L73" s="630">
        <f>SUM(L70:L72)</f>
        <v>901717.8069599109</v>
      </c>
      <c r="M73" s="630">
        <f>SUM(M70:M72)</f>
        <v>57312.57247626553</v>
      </c>
      <c r="N73" s="630">
        <f>SUM(N70:N72)</f>
        <v>844405.23448364541</v>
      </c>
    </row>
    <row r="74" spans="1:14">
      <c r="A74" s="239"/>
      <c r="B74" s="287" t="s">
        <v>3554</v>
      </c>
      <c r="C74" s="709"/>
      <c r="D74" s="709"/>
      <c r="E74" s="720"/>
      <c r="F74" s="720"/>
      <c r="G74" s="877"/>
      <c r="H74" s="877"/>
      <c r="I74" s="877"/>
      <c r="J74" s="877"/>
      <c r="K74" s="880"/>
      <c r="L74" s="630">
        <f>L75+L76+L77</f>
        <v>863358.21152561239</v>
      </c>
      <c r="M74" s="287">
        <f>M75+M76+M77</f>
        <v>54874.462596966885</v>
      </c>
      <c r="N74" s="1308">
        <f>L74-M74</f>
        <v>808483.74892864551</v>
      </c>
    </row>
    <row r="75" spans="1:14">
      <c r="A75" s="291"/>
      <c r="B75" s="292" t="s">
        <v>3459</v>
      </c>
      <c r="C75" s="291" t="s">
        <v>3383</v>
      </c>
      <c r="D75" s="632">
        <f>E75+F75+G75</f>
        <v>236</v>
      </c>
      <c r="E75" s="720">
        <v>15</v>
      </c>
      <c r="F75" s="720">
        <v>21</v>
      </c>
      <c r="G75" s="877">
        <v>200</v>
      </c>
      <c r="H75" s="877">
        <f>B94/3/D75</f>
        <v>2.9066860757741617</v>
      </c>
      <c r="I75" s="632">
        <f>D75*H75</f>
        <v>685.97791388270218</v>
      </c>
      <c r="J75" s="632">
        <v>3</v>
      </c>
      <c r="K75" s="1212">
        <v>129.19</v>
      </c>
      <c r="L75" s="629">
        <f>I75*J75*K75</f>
        <v>265864.46008351888</v>
      </c>
      <c r="M75" s="290">
        <f>L75*E75/D75</f>
        <v>16898.164835816875</v>
      </c>
      <c r="N75" s="633">
        <f>L75-M75</f>
        <v>248966.29524770199</v>
      </c>
    </row>
    <row r="76" spans="1:14">
      <c r="A76" s="291"/>
      <c r="B76" s="292" t="s">
        <v>3463</v>
      </c>
      <c r="C76" s="291" t="s">
        <v>3383</v>
      </c>
      <c r="D76" s="632">
        <f>E76+F76+G76</f>
        <v>236</v>
      </c>
      <c r="E76" s="720">
        <v>15</v>
      </c>
      <c r="F76" s="720">
        <v>21</v>
      </c>
      <c r="G76" s="877">
        <v>200</v>
      </c>
      <c r="H76" s="877">
        <f>C94/5/D76</f>
        <v>2.0302503680495261</v>
      </c>
      <c r="I76" s="632">
        <f>D76*H76</f>
        <v>479.13908685968818</v>
      </c>
      <c r="J76" s="632">
        <v>5</v>
      </c>
      <c r="K76" s="1212">
        <v>129.19</v>
      </c>
      <c r="L76" s="629">
        <f>I76*J76*K76</f>
        <v>309499.89315701555</v>
      </c>
      <c r="M76" s="290">
        <f>L76*E76/D76</f>
        <v>19671.60337862387</v>
      </c>
      <c r="N76" s="633">
        <f>L76-M76</f>
        <v>289828.28977839171</v>
      </c>
    </row>
    <row r="77" spans="1:14">
      <c r="A77" s="291"/>
      <c r="B77" s="292" t="s">
        <v>3464</v>
      </c>
      <c r="C77" s="291" t="s">
        <v>3383</v>
      </c>
      <c r="D77" s="632">
        <f>E77+F77+G77</f>
        <v>236</v>
      </c>
      <c r="E77" s="720">
        <v>15</v>
      </c>
      <c r="F77" s="720">
        <v>21</v>
      </c>
      <c r="G77" s="877">
        <v>200</v>
      </c>
      <c r="H77" s="877">
        <f>E94/4/D77</f>
        <v>2.3614694613264882</v>
      </c>
      <c r="I77" s="632">
        <f>D77*H77</f>
        <v>557.30679287305122</v>
      </c>
      <c r="J77" s="632">
        <v>4</v>
      </c>
      <c r="K77" s="1212">
        <v>129.19</v>
      </c>
      <c r="L77" s="629">
        <f>I77*J77*K77</f>
        <v>287993.85828507796</v>
      </c>
      <c r="M77" s="290">
        <f>L77*E77/D77</f>
        <v>18304.694382526141</v>
      </c>
      <c r="N77" s="633">
        <f>L77-M77</f>
        <v>269689.16390255181</v>
      </c>
    </row>
    <row r="78" spans="1:14">
      <c r="A78" s="291"/>
      <c r="B78" s="238" t="s">
        <v>20</v>
      </c>
      <c r="C78" s="709"/>
      <c r="D78" s="709"/>
      <c r="E78" s="720"/>
      <c r="F78" s="720"/>
      <c r="G78" s="877"/>
      <c r="H78" s="877"/>
      <c r="I78" s="877"/>
      <c r="J78" s="877"/>
      <c r="K78" s="880"/>
      <c r="L78" s="630">
        <f>SUM(L75:L77)</f>
        <v>863358.21152561239</v>
      </c>
      <c r="M78" s="630">
        <f>SUM(M75:M77)</f>
        <v>54874.462596966885</v>
      </c>
      <c r="N78" s="630">
        <f>SUM(N75:N77)</f>
        <v>808483.74892864563</v>
      </c>
    </row>
    <row r="79" spans="1:14">
      <c r="A79" s="291"/>
      <c r="B79" s="238" t="s">
        <v>3578</v>
      </c>
      <c r="C79" s="709"/>
      <c r="D79" s="709"/>
      <c r="E79" s="720"/>
      <c r="F79" s="720"/>
      <c r="G79" s="877"/>
      <c r="H79" s="877"/>
      <c r="I79" s="216"/>
      <c r="J79" s="216"/>
      <c r="K79" s="880"/>
      <c r="L79" s="629"/>
      <c r="M79" s="290" t="e">
        <f>L79*E79/D79</f>
        <v>#DIV/0!</v>
      </c>
      <c r="N79" s="633" t="e">
        <f>L79-M79</f>
        <v>#DIV/0!</v>
      </c>
    </row>
    <row r="80" spans="1:14">
      <c r="A80" s="291"/>
      <c r="B80" s="288" t="s">
        <v>3556</v>
      </c>
      <c r="C80" s="709"/>
      <c r="D80" s="291" t="s">
        <v>3383</v>
      </c>
      <c r="E80" s="291" t="s">
        <v>3383</v>
      </c>
      <c r="F80" s="291" t="s">
        <v>3383</v>
      </c>
      <c r="G80" s="291" t="s">
        <v>3383</v>
      </c>
      <c r="H80" s="877"/>
      <c r="I80" s="720"/>
      <c r="J80" s="632">
        <v>6</v>
      </c>
      <c r="K80" s="880"/>
      <c r="L80" s="629">
        <f>I80*J80*K80</f>
        <v>0</v>
      </c>
      <c r="M80" s="290" t="e">
        <f>L80*E80/D80</f>
        <v>#VALUE!</v>
      </c>
      <c r="N80" s="633" t="e">
        <f>L80-M80</f>
        <v>#VALUE!</v>
      </c>
    </row>
    <row r="81" spans="1:14">
      <c r="A81" s="291"/>
      <c r="B81" s="238" t="s">
        <v>20</v>
      </c>
      <c r="C81" s="884"/>
      <c r="D81" s="884"/>
      <c r="E81" s="878"/>
      <c r="F81" s="878"/>
      <c r="G81" s="879"/>
      <c r="H81" s="879"/>
      <c r="I81" s="879"/>
      <c r="J81" s="879"/>
      <c r="K81" s="881"/>
      <c r="L81" s="630">
        <f>SUM(L80)</f>
        <v>0</v>
      </c>
      <c r="M81" s="630" t="e">
        <f>SUM(M80)</f>
        <v>#VALUE!</v>
      </c>
      <c r="N81" s="630" t="e">
        <f>SUM(N80)</f>
        <v>#VALUE!</v>
      </c>
    </row>
    <row r="82" spans="1:14">
      <c r="A82" s="239"/>
      <c r="B82" s="238" t="s">
        <v>306</v>
      </c>
      <c r="C82" s="883"/>
      <c r="D82" s="883"/>
      <c r="E82" s="883"/>
      <c r="F82" s="883"/>
      <c r="G82" s="883"/>
      <c r="H82" s="883"/>
      <c r="I82" s="883"/>
      <c r="J82" s="883"/>
      <c r="K82" s="882"/>
      <c r="L82" s="631">
        <f>L73+L78+L81</f>
        <v>1765076.0184855233</v>
      </c>
      <c r="M82" s="238" t="e">
        <f>M73+M79+M81</f>
        <v>#DIV/0!</v>
      </c>
      <c r="N82" s="631" t="e">
        <f>N73+N79+N81</f>
        <v>#DIV/0!</v>
      </c>
    </row>
    <row r="84" spans="1:14">
      <c r="A84" s="4185" t="s">
        <v>3579</v>
      </c>
      <c r="B84" s="4186"/>
      <c r="C84" s="299"/>
      <c r="D84" s="299"/>
      <c r="E84" s="299"/>
      <c r="F84" s="299"/>
      <c r="G84" s="299"/>
      <c r="H84" s="299"/>
      <c r="I84" s="299"/>
      <c r="J84" s="299"/>
      <c r="K84" s="1391"/>
      <c r="L84" s="1391"/>
    </row>
    <row r="85" spans="1:14">
      <c r="A85" s="299" t="s">
        <v>3471</v>
      </c>
      <c r="B85" s="299" t="s">
        <v>3472</v>
      </c>
      <c r="C85" s="299" t="s">
        <v>3389</v>
      </c>
      <c r="D85" s="299" t="s">
        <v>3390</v>
      </c>
      <c r="E85" s="299" t="s">
        <v>3391</v>
      </c>
      <c r="F85" s="299" t="s">
        <v>3580</v>
      </c>
      <c r="G85" s="299" t="s">
        <v>3393</v>
      </c>
      <c r="H85" s="299" t="s">
        <v>3394</v>
      </c>
      <c r="I85" s="299" t="s">
        <v>3581</v>
      </c>
      <c r="J85" s="299" t="s">
        <v>3396</v>
      </c>
      <c r="K85" s="1391" t="s">
        <v>3397</v>
      </c>
      <c r="L85" s="1391" t="s">
        <v>3398</v>
      </c>
    </row>
    <row r="86" spans="1:14">
      <c r="A86" s="299">
        <v>172</v>
      </c>
      <c r="B86" s="299">
        <v>335</v>
      </c>
      <c r="C86" s="299">
        <v>346</v>
      </c>
      <c r="D86" s="299">
        <v>352</v>
      </c>
      <c r="E86" s="299">
        <v>348</v>
      </c>
      <c r="F86" s="299">
        <v>0</v>
      </c>
      <c r="G86" s="299">
        <v>201</v>
      </c>
      <c r="H86" s="299">
        <v>92</v>
      </c>
      <c r="I86" s="299">
        <v>231</v>
      </c>
      <c r="J86" s="299">
        <v>231</v>
      </c>
      <c r="K86" s="1391">
        <v>231</v>
      </c>
      <c r="L86" s="1391">
        <v>231</v>
      </c>
    </row>
    <row r="87" spans="1:14">
      <c r="A87" s="299">
        <v>172</v>
      </c>
      <c r="B87" s="299">
        <v>335</v>
      </c>
      <c r="C87" s="299">
        <v>346</v>
      </c>
      <c r="D87" s="299">
        <v>352</v>
      </c>
      <c r="E87" s="299">
        <v>348</v>
      </c>
      <c r="F87" s="299">
        <v>0</v>
      </c>
      <c r="G87" s="299">
        <v>201</v>
      </c>
      <c r="H87" s="299">
        <v>92</v>
      </c>
      <c r="I87" s="299">
        <v>231</v>
      </c>
      <c r="J87" s="299">
        <v>231</v>
      </c>
      <c r="K87" s="1391">
        <v>231</v>
      </c>
      <c r="L87" s="1391">
        <v>231</v>
      </c>
    </row>
    <row r="88" spans="1:14">
      <c r="A88" s="1392" t="s">
        <v>466</v>
      </c>
      <c r="B88" s="1392"/>
      <c r="C88" s="299"/>
      <c r="D88" s="299"/>
      <c r="E88" s="299"/>
      <c r="F88" s="299"/>
      <c r="G88" s="299"/>
      <c r="H88" s="299"/>
      <c r="I88" s="299"/>
      <c r="J88" s="299"/>
      <c r="K88" s="1391"/>
      <c r="L88" s="1391"/>
    </row>
    <row r="89" spans="1:14">
      <c r="A89" s="1392">
        <v>1796</v>
      </c>
      <c r="B89" s="1392" t="s">
        <v>3582</v>
      </c>
      <c r="C89" s="299"/>
      <c r="D89" s="299"/>
      <c r="E89" s="299"/>
      <c r="F89" s="299"/>
      <c r="G89" s="299"/>
      <c r="H89" s="299"/>
      <c r="I89" s="299"/>
      <c r="J89" s="299"/>
      <c r="K89" s="1391"/>
      <c r="L89" s="1391"/>
    </row>
    <row r="90" spans="1:14">
      <c r="A90" s="1392">
        <v>4333</v>
      </c>
      <c r="B90" s="1392" t="s">
        <v>3583</v>
      </c>
      <c r="C90" s="299"/>
      <c r="D90" s="299"/>
      <c r="E90" s="299"/>
      <c r="F90" s="299"/>
      <c r="G90" s="299"/>
      <c r="H90" s="299"/>
      <c r="I90" s="299"/>
      <c r="J90" s="299"/>
      <c r="K90" s="1391"/>
      <c r="L90" s="1391"/>
    </row>
    <row r="91" spans="1:14">
      <c r="A91" s="299">
        <f t="shared" ref="A91:L91" si="2">A86/$A$89*$A$90</f>
        <v>414.96436525612472</v>
      </c>
      <c r="B91" s="299">
        <f t="shared" si="2"/>
        <v>808.21547884187078</v>
      </c>
      <c r="C91" s="299">
        <f t="shared" si="2"/>
        <v>834.75389755011133</v>
      </c>
      <c r="D91" s="299">
        <f t="shared" si="2"/>
        <v>849.229398663697</v>
      </c>
      <c r="E91" s="299">
        <f t="shared" si="2"/>
        <v>839.57906458797322</v>
      </c>
      <c r="F91" s="299">
        <f t="shared" si="2"/>
        <v>0</v>
      </c>
      <c r="G91" s="299">
        <f t="shared" si="2"/>
        <v>484.9292873051225</v>
      </c>
      <c r="H91" s="299">
        <f t="shared" si="2"/>
        <v>221.95768374164811</v>
      </c>
      <c r="I91" s="299">
        <f t="shared" si="2"/>
        <v>557.30679287305122</v>
      </c>
      <c r="J91" s="299">
        <f t="shared" si="2"/>
        <v>557.30679287305122</v>
      </c>
      <c r="K91" s="299">
        <f t="shared" si="2"/>
        <v>557.30679287305122</v>
      </c>
      <c r="L91" s="299">
        <f t="shared" si="2"/>
        <v>557.30679287305122</v>
      </c>
    </row>
    <row r="92" spans="1:14">
      <c r="A92" s="299">
        <f t="shared" ref="A92:L92" si="3">A87/$A$89*$A$90</f>
        <v>414.96436525612472</v>
      </c>
      <c r="B92" s="299">
        <f t="shared" si="3"/>
        <v>808.21547884187078</v>
      </c>
      <c r="C92" s="299">
        <f t="shared" si="3"/>
        <v>834.75389755011133</v>
      </c>
      <c r="D92" s="299">
        <f t="shared" si="3"/>
        <v>849.229398663697</v>
      </c>
      <c r="E92" s="299">
        <f t="shared" si="3"/>
        <v>839.57906458797322</v>
      </c>
      <c r="F92" s="299">
        <f t="shared" si="3"/>
        <v>0</v>
      </c>
      <c r="G92" s="299">
        <f t="shared" si="3"/>
        <v>484.9292873051225</v>
      </c>
      <c r="H92" s="299">
        <f t="shared" si="3"/>
        <v>221.95768374164811</v>
      </c>
      <c r="I92" s="299">
        <f t="shared" si="3"/>
        <v>557.30679287305122</v>
      </c>
      <c r="J92" s="299">
        <f t="shared" si="3"/>
        <v>557.30679287305122</v>
      </c>
      <c r="K92" s="299">
        <f t="shared" si="3"/>
        <v>557.30679287305122</v>
      </c>
      <c r="L92" s="299">
        <f t="shared" si="3"/>
        <v>557.30679287305122</v>
      </c>
    </row>
    <row r="93" spans="1:14">
      <c r="A93" s="299"/>
      <c r="B93" s="299" t="s">
        <v>3584</v>
      </c>
      <c r="C93" s="299" t="s">
        <v>3468</v>
      </c>
      <c r="D93" s="299"/>
      <c r="E93" s="299" t="s">
        <v>3464</v>
      </c>
      <c r="F93" s="299"/>
      <c r="G93" s="299"/>
      <c r="H93" s="299"/>
      <c r="I93" s="299"/>
      <c r="J93" s="299"/>
      <c r="K93" s="1391"/>
      <c r="L93" s="1391"/>
    </row>
    <row r="94" spans="1:14">
      <c r="A94" s="299"/>
      <c r="B94" s="299">
        <f>A91+B91+C91</f>
        <v>2057.9337416481067</v>
      </c>
      <c r="C94" s="299">
        <f>D91+E91+F91+G91+H91</f>
        <v>2395.6954342984409</v>
      </c>
      <c r="D94" s="299"/>
      <c r="E94" s="299">
        <f>I91+J91+K91+L91</f>
        <v>2229.2271714922049</v>
      </c>
      <c r="F94" s="299"/>
      <c r="G94" s="299"/>
      <c r="H94" s="299"/>
      <c r="I94" s="299"/>
      <c r="J94" s="299"/>
      <c r="K94" s="1391"/>
      <c r="L94" s="1391"/>
    </row>
    <row r="96" spans="1:14">
      <c r="B96" s="293" t="s">
        <v>3585</v>
      </c>
    </row>
  </sheetData>
  <mergeCells count="37">
    <mergeCell ref="H7:H8"/>
    <mergeCell ref="K7:K8"/>
    <mergeCell ref="L7:L8"/>
    <mergeCell ref="A84:B84"/>
    <mergeCell ref="I67:I68"/>
    <mergeCell ref="A67:A68"/>
    <mergeCell ref="B67:B68"/>
    <mergeCell ref="D67:D68"/>
    <mergeCell ref="E67:G67"/>
    <mergeCell ref="H67:H68"/>
    <mergeCell ref="C67:C68"/>
    <mergeCell ref="K67:K68"/>
    <mergeCell ref="L67:L68"/>
    <mergeCell ref="M43:M45"/>
    <mergeCell ref="I44:I45"/>
    <mergeCell ref="J44:J45"/>
    <mergeCell ref="J67:J68"/>
    <mergeCell ref="I43:J43"/>
    <mergeCell ref="K43:K45"/>
    <mergeCell ref="L43:L45"/>
    <mergeCell ref="M67:N67"/>
    <mergeCell ref="M7:N7"/>
    <mergeCell ref="A43:A45"/>
    <mergeCell ref="B43:B45"/>
    <mergeCell ref="C43:C45"/>
    <mergeCell ref="D43:D45"/>
    <mergeCell ref="E43:E45"/>
    <mergeCell ref="F43:F45"/>
    <mergeCell ref="A7:A8"/>
    <mergeCell ref="B7:B8"/>
    <mergeCell ref="C7:C8"/>
    <mergeCell ref="D7:D8"/>
    <mergeCell ref="I7:I8"/>
    <mergeCell ref="J7:J8"/>
    <mergeCell ref="E7:G7"/>
    <mergeCell ref="G43:G45"/>
    <mergeCell ref="H43:H45"/>
  </mergeCells>
  <pageMargins left="0" right="0" top="0" bottom="0" header="0" footer="0"/>
  <pageSetup paperSize="9" scale="36" orientation="landscape" r:id="rId1"/>
  <rowBreaks count="1" manualBreakCount="1">
    <brk id="28" max="16383" man="1"/>
  </rowBreak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tabColor rgb="FFFF0000"/>
    <pageSetUpPr fitToPage="1"/>
  </sheetPr>
  <dimension ref="A1:S227"/>
  <sheetViews>
    <sheetView topLeftCell="B4" zoomScaleSheetLayoutView="100" workbookViewId="0">
      <selection activeCell="K12" sqref="K12"/>
    </sheetView>
  </sheetViews>
  <sheetFormatPr defaultColWidth="9.140625" defaultRowHeight="15.75"/>
  <cols>
    <col min="1" max="1" width="4.140625" style="274" customWidth="1"/>
    <col min="2" max="2" width="18.42578125" style="274" customWidth="1"/>
    <col min="3" max="5" width="15.7109375" style="274" customWidth="1"/>
    <col min="6" max="6" width="17.5703125" style="274" customWidth="1"/>
    <col min="7" max="7" width="18.28515625" style="274" customWidth="1"/>
    <col min="8" max="8" width="16.7109375" style="274" customWidth="1"/>
    <col min="9" max="9" width="12" style="274" customWidth="1"/>
    <col min="10" max="10" width="14.42578125" style="275" customWidth="1"/>
    <col min="11" max="11" width="14.7109375" style="275" customWidth="1"/>
    <col min="12" max="12" width="17.5703125" style="274" customWidth="1"/>
    <col min="13" max="13" width="14" style="274" customWidth="1"/>
    <col min="14" max="14" width="13.7109375" style="274" customWidth="1"/>
    <col min="15" max="15" width="14.85546875" style="274" bestFit="1" customWidth="1"/>
    <col min="16" max="16" width="14.7109375" style="274" customWidth="1"/>
    <col min="17" max="17" width="15.5703125" style="274" customWidth="1"/>
    <col min="18" max="18" width="9.140625" style="274"/>
    <col min="19" max="19" width="12.28515625" style="274" customWidth="1"/>
    <col min="20" max="16384" width="9.140625" style="274"/>
  </cols>
  <sheetData>
    <row r="1" spans="1:14">
      <c r="L1" s="275" t="s">
        <v>267</v>
      </c>
      <c r="M1" s="671" t="s">
        <v>605</v>
      </c>
    </row>
    <row r="2" spans="1:14" s="898" customFormat="1">
      <c r="A2" s="695" t="s">
        <v>3453</v>
      </c>
      <c r="B2" s="711"/>
      <c r="C2" s="711"/>
      <c r="D2" s="711"/>
      <c r="E2" s="711"/>
      <c r="F2" s="711"/>
      <c r="G2" s="711"/>
      <c r="H2" s="711"/>
      <c r="I2" s="711"/>
      <c r="J2" s="897"/>
      <c r="K2" s="897"/>
      <c r="L2" s="897"/>
      <c r="M2" s="3816" t="s">
        <v>3375</v>
      </c>
      <c r="N2" s="897"/>
    </row>
    <row r="3" spans="1:14">
      <c r="A3" s="45"/>
      <c r="B3" s="168"/>
      <c r="C3" s="168"/>
      <c r="D3" s="168"/>
      <c r="E3" s="168"/>
      <c r="F3" s="168"/>
      <c r="G3" s="168"/>
      <c r="H3" s="168"/>
      <c r="I3" s="168"/>
      <c r="J3" s="370"/>
      <c r="K3" s="370"/>
      <c r="L3" s="370"/>
      <c r="M3" s="3817"/>
      <c r="N3" s="370"/>
    </row>
    <row r="4" spans="1:14" s="898" customFormat="1">
      <c r="A4" s="656" t="s">
        <v>3586</v>
      </c>
      <c r="B4" s="899"/>
      <c r="C4" s="899"/>
      <c r="D4" s="899"/>
      <c r="E4" s="899"/>
      <c r="F4" s="899"/>
      <c r="G4" s="899"/>
      <c r="H4" s="899"/>
      <c r="I4" s="899"/>
      <c r="J4" s="897"/>
      <c r="K4" s="897"/>
      <c r="L4" s="897"/>
      <c r="M4" s="3816"/>
      <c r="N4" s="897"/>
    </row>
    <row r="5" spans="1:14">
      <c r="A5" s="168" t="s">
        <v>990</v>
      </c>
      <c r="B5" s="230"/>
      <c r="C5" s="230"/>
      <c r="D5" s="230"/>
      <c r="E5" s="230"/>
      <c r="F5" s="230"/>
      <c r="G5" s="230"/>
      <c r="H5" s="230"/>
      <c r="I5" s="230"/>
      <c r="J5" s="273"/>
      <c r="K5" s="273"/>
      <c r="L5" s="273"/>
      <c r="M5" s="273"/>
      <c r="N5" s="273"/>
    </row>
    <row r="6" spans="1:14">
      <c r="A6" s="82"/>
      <c r="B6" s="230"/>
      <c r="C6" s="230"/>
      <c r="D6" s="230"/>
      <c r="E6" s="230"/>
      <c r="F6" s="230"/>
      <c r="G6" s="230"/>
      <c r="H6" s="231"/>
      <c r="I6" s="230"/>
      <c r="J6" s="371"/>
      <c r="K6" s="273"/>
      <c r="L6" s="272"/>
      <c r="N6" s="273"/>
    </row>
    <row r="7" spans="1:14">
      <c r="A7" s="273"/>
      <c r="B7" s="273"/>
      <c r="C7" s="273"/>
      <c r="D7" s="273"/>
      <c r="E7" s="273"/>
      <c r="F7" s="273"/>
      <c r="G7" s="273"/>
      <c r="H7" s="273"/>
      <c r="I7" s="273"/>
      <c r="J7" s="371"/>
      <c r="K7" s="273"/>
      <c r="L7" s="272"/>
      <c r="M7" s="372" t="s">
        <v>254</v>
      </c>
      <c r="N7" s="273"/>
    </row>
    <row r="8" spans="1:14" ht="15.6" customHeight="1">
      <c r="A8" s="4160" t="s">
        <v>2</v>
      </c>
      <c r="B8" s="4160" t="s">
        <v>3377</v>
      </c>
      <c r="C8" s="4160" t="s">
        <v>1191</v>
      </c>
      <c r="D8" s="4162" t="s">
        <v>255</v>
      </c>
      <c r="E8" s="4163"/>
      <c r="F8" s="4160" t="s">
        <v>3455</v>
      </c>
      <c r="G8" s="4160" t="s">
        <v>3456</v>
      </c>
      <c r="H8" s="4160" t="s">
        <v>3457</v>
      </c>
      <c r="I8" s="4160" t="s">
        <v>3380</v>
      </c>
      <c r="J8" s="4160" t="s">
        <v>3381</v>
      </c>
      <c r="K8" s="4160" t="s">
        <v>3458</v>
      </c>
      <c r="L8" s="4162" t="s">
        <v>255</v>
      </c>
      <c r="M8" s="4163"/>
      <c r="N8" s="273"/>
    </row>
    <row r="9" spans="1:14" s="275" customFormat="1" ht="63.75" customHeight="1">
      <c r="A9" s="4160"/>
      <c r="B9" s="4160"/>
      <c r="C9" s="4160"/>
      <c r="D9" s="286" t="s">
        <v>7</v>
      </c>
      <c r="E9" s="286" t="s">
        <v>8</v>
      </c>
      <c r="F9" s="4160"/>
      <c r="G9" s="4160"/>
      <c r="H9" s="4160"/>
      <c r="I9" s="4160"/>
      <c r="J9" s="4160"/>
      <c r="K9" s="4160"/>
      <c r="L9" s="286" t="s">
        <v>7</v>
      </c>
      <c r="M9" s="286" t="s">
        <v>8</v>
      </c>
    </row>
    <row r="10" spans="1:14">
      <c r="A10" s="373"/>
      <c r="B10" s="374" t="s">
        <v>20</v>
      </c>
      <c r="C10" s="286">
        <f>D10+E10</f>
        <v>0</v>
      </c>
      <c r="D10" s="896"/>
      <c r="E10" s="896"/>
      <c r="F10" s="933">
        <f>F11+F15+F19</f>
        <v>0</v>
      </c>
      <c r="G10" s="933">
        <f>G11+G15+G19</f>
        <v>18.450000000000003</v>
      </c>
      <c r="H10" s="933">
        <f>H11+H15+H19</f>
        <v>79877.64</v>
      </c>
      <c r="I10" s="567">
        <f>I11+I15+I19</f>
        <v>12</v>
      </c>
      <c r="J10" s="892"/>
      <c r="K10" s="933">
        <f>ROUND(K11+K15+K19,2)</f>
        <v>7730080.0599999996</v>
      </c>
      <c r="L10" s="935" t="e">
        <f>K10*D10/C10</f>
        <v>#DIV/0!</v>
      </c>
      <c r="M10" s="935" t="e">
        <f>K10-L10</f>
        <v>#DIV/0!</v>
      </c>
    </row>
    <row r="11" spans="1:14" s="566" customFormat="1">
      <c r="A11" s="286"/>
      <c r="B11" s="374" t="s">
        <v>3459</v>
      </c>
      <c r="C11" s="286" t="s">
        <v>3383</v>
      </c>
      <c r="D11" s="286" t="s">
        <v>3383</v>
      </c>
      <c r="E11" s="286" t="s">
        <v>3383</v>
      </c>
      <c r="F11" s="933">
        <f>SUM(F12:F14)</f>
        <v>0</v>
      </c>
      <c r="G11" s="933">
        <f>SUM(G12:G14)</f>
        <v>6.33</v>
      </c>
      <c r="H11" s="933">
        <f>SUM(H12:H14)</f>
        <v>27401.040000000001</v>
      </c>
      <c r="I11" s="4164">
        <v>3</v>
      </c>
      <c r="J11" s="893"/>
      <c r="K11" s="933">
        <f>SUM(K12:K14)</f>
        <v>2109897.9700000002</v>
      </c>
      <c r="L11" s="894"/>
      <c r="M11" s="894"/>
    </row>
    <row r="12" spans="1:14">
      <c r="A12" s="373"/>
      <c r="B12" s="292" t="s">
        <v>3460</v>
      </c>
      <c r="C12" s="286">
        <v>4333</v>
      </c>
      <c r="D12" s="286" t="s">
        <v>3383</v>
      </c>
      <c r="E12" s="286" t="s">
        <v>3383</v>
      </c>
      <c r="F12" s="934"/>
      <c r="G12" s="934">
        <f>ROUND(H12/C12,2)</f>
        <v>1.68</v>
      </c>
      <c r="H12" s="934">
        <v>7266.78</v>
      </c>
      <c r="I12" s="4165"/>
      <c r="J12" s="934">
        <f>ROUND(13.64*1.12*1.07,2)</f>
        <v>16.350000000000001</v>
      </c>
      <c r="K12" s="936">
        <f>ROUND(H12*I11*J12,2)</f>
        <v>356435.56</v>
      </c>
      <c r="L12" s="895">
        <f>K12</f>
        <v>356435.56</v>
      </c>
      <c r="M12" s="895"/>
    </row>
    <row r="13" spans="1:14">
      <c r="A13" s="373"/>
      <c r="B13" s="292" t="s">
        <v>3461</v>
      </c>
      <c r="C13" s="286">
        <v>4333</v>
      </c>
      <c r="D13" s="286" t="s">
        <v>3383</v>
      </c>
      <c r="E13" s="286" t="s">
        <v>3383</v>
      </c>
      <c r="F13" s="934"/>
      <c r="G13" s="934">
        <f>ROUND(H13/C13,2)</f>
        <v>3.82</v>
      </c>
      <c r="H13" s="934">
        <v>16542.88</v>
      </c>
      <c r="I13" s="4165"/>
      <c r="J13" s="934">
        <f>ROUND(28.64*1.12*1.07,2)</f>
        <v>34.32</v>
      </c>
      <c r="K13" s="936">
        <f>ROUND(H13*I11*J13,2)</f>
        <v>1703254.92</v>
      </c>
      <c r="L13" s="895">
        <f>K13</f>
        <v>1703254.92</v>
      </c>
      <c r="M13" s="895"/>
    </row>
    <row r="14" spans="1:14">
      <c r="A14" s="373"/>
      <c r="B14" s="292" t="s">
        <v>3462</v>
      </c>
      <c r="C14" s="286">
        <v>4333</v>
      </c>
      <c r="D14" s="286" t="s">
        <v>3383</v>
      </c>
      <c r="E14" s="286" t="s">
        <v>3383</v>
      </c>
      <c r="F14" s="934"/>
      <c r="G14" s="934">
        <f>ROUND(H14/C14,2)</f>
        <v>0.83</v>
      </c>
      <c r="H14" s="934">
        <v>3591.38</v>
      </c>
      <c r="I14" s="4166"/>
      <c r="J14" s="934">
        <v>4.66</v>
      </c>
      <c r="K14" s="936">
        <f>ROUND(H14*I11*J14,2)</f>
        <v>50207.49</v>
      </c>
      <c r="L14" s="895">
        <f>K14</f>
        <v>50207.49</v>
      </c>
      <c r="M14" s="895"/>
    </row>
    <row r="15" spans="1:14" s="566" customFormat="1">
      <c r="A15" s="286"/>
      <c r="B15" s="374" t="s">
        <v>3463</v>
      </c>
      <c r="C15" s="286" t="s">
        <v>3383</v>
      </c>
      <c r="D15" s="286" t="s">
        <v>3383</v>
      </c>
      <c r="E15" s="286" t="s">
        <v>3383</v>
      </c>
      <c r="F15" s="933">
        <f>SUM(F16:F18)</f>
        <v>0</v>
      </c>
      <c r="G15" s="933">
        <f>SUM(G16:G18)</f>
        <v>5.5600000000000005</v>
      </c>
      <c r="H15" s="933">
        <f>SUM(H16:H18)</f>
        <v>24084.080000000002</v>
      </c>
      <c r="I15" s="4164">
        <v>5</v>
      </c>
      <c r="K15" s="933">
        <f>SUM(K16:K18)</f>
        <v>2671151.5100000002</v>
      </c>
      <c r="L15" s="894"/>
      <c r="M15" s="894"/>
    </row>
    <row r="16" spans="1:14">
      <c r="A16" s="373"/>
      <c r="B16" s="292" t="s">
        <v>3460</v>
      </c>
      <c r="C16" s="286">
        <v>4333</v>
      </c>
      <c r="D16" s="286" t="s">
        <v>3383</v>
      </c>
      <c r="E16" s="286" t="s">
        <v>3383</v>
      </c>
      <c r="F16" s="934"/>
      <c r="G16" s="934">
        <f>ROUND(H16/C16,2)</f>
        <v>1.51</v>
      </c>
      <c r="H16" s="934">
        <v>6550.18</v>
      </c>
      <c r="I16" s="4165"/>
      <c r="J16" s="934">
        <f>ROUND(13.64*1.12*1.07,2)</f>
        <v>16.350000000000001</v>
      </c>
      <c r="K16" s="936">
        <f>ROUND(H16*I15*J16,2)</f>
        <v>535477.22</v>
      </c>
      <c r="L16" s="895">
        <f>K16</f>
        <v>535477.22</v>
      </c>
      <c r="M16" s="895"/>
    </row>
    <row r="17" spans="1:19">
      <c r="A17" s="373"/>
      <c r="B17" s="292" t="s">
        <v>3461</v>
      </c>
      <c r="C17" s="286">
        <v>4333</v>
      </c>
      <c r="D17" s="286" t="s">
        <v>3383</v>
      </c>
      <c r="E17" s="286" t="s">
        <v>3383</v>
      </c>
      <c r="F17" s="934"/>
      <c r="G17" s="934">
        <f>ROUND(H17/C17,2)</f>
        <v>2.69</v>
      </c>
      <c r="H17" s="934">
        <v>11646.22</v>
      </c>
      <c r="I17" s="4165"/>
      <c r="J17" s="934">
        <f>ROUND(28.64*1.12*1.07,2)</f>
        <v>34.32</v>
      </c>
      <c r="K17" s="936">
        <f>ROUND(H17*I15*J17,2)</f>
        <v>1998491.35</v>
      </c>
      <c r="L17" s="895">
        <f>K17</f>
        <v>1998491.35</v>
      </c>
      <c r="M17" s="895"/>
    </row>
    <row r="18" spans="1:19">
      <c r="A18" s="373"/>
      <c r="B18" s="292" t="s">
        <v>3462</v>
      </c>
      <c r="C18" s="286">
        <v>4333</v>
      </c>
      <c r="D18" s="286" t="s">
        <v>3383</v>
      </c>
      <c r="E18" s="286" t="s">
        <v>3383</v>
      </c>
      <c r="F18" s="934"/>
      <c r="G18" s="934">
        <f>ROUND(H18/C18,2)</f>
        <v>1.36</v>
      </c>
      <c r="H18" s="934">
        <v>5887.68</v>
      </c>
      <c r="I18" s="4166"/>
      <c r="J18" s="934">
        <f>ROUND(3.89*1.12*1.07,2)</f>
        <v>4.66</v>
      </c>
      <c r="K18" s="936">
        <f>ROUND(H18*I15*J18,2)</f>
        <v>137182.94</v>
      </c>
      <c r="L18" s="895">
        <f>K18</f>
        <v>137182.94</v>
      </c>
      <c r="M18" s="895"/>
    </row>
    <row r="19" spans="1:19" s="566" customFormat="1">
      <c r="A19" s="286"/>
      <c r="B19" s="374" t="s">
        <v>3464</v>
      </c>
      <c r="C19" s="286" t="s">
        <v>3383</v>
      </c>
      <c r="D19" s="286" t="s">
        <v>3383</v>
      </c>
      <c r="E19" s="286" t="s">
        <v>3383</v>
      </c>
      <c r="F19" s="933">
        <f>SUM(F20:F22)</f>
        <v>0</v>
      </c>
      <c r="G19" s="933">
        <f>SUM(G20:G22)</f>
        <v>6.5600000000000005</v>
      </c>
      <c r="H19" s="933">
        <f>SUM(H20:H22)</f>
        <v>28392.52</v>
      </c>
      <c r="I19" s="4164">
        <v>4</v>
      </c>
      <c r="K19" s="933">
        <f>SUM(K20:K22)</f>
        <v>2949030.5800000005</v>
      </c>
      <c r="L19" s="894"/>
      <c r="M19" s="894"/>
    </row>
    <row r="20" spans="1:19">
      <c r="A20" s="373"/>
      <c r="B20" s="292" t="s">
        <v>3460</v>
      </c>
      <c r="C20" s="286">
        <v>4333</v>
      </c>
      <c r="D20" s="286" t="s">
        <v>3383</v>
      </c>
      <c r="E20" s="286" t="s">
        <v>3383</v>
      </c>
      <c r="F20" s="934"/>
      <c r="G20" s="934">
        <f>ROUND(H20/C20,2)</f>
        <v>1.32</v>
      </c>
      <c r="H20" s="934">
        <v>5718.94</v>
      </c>
      <c r="I20" s="4165"/>
      <c r="J20" s="934">
        <f>ROUND(13.64*1.12*1.07,2)</f>
        <v>16.350000000000001</v>
      </c>
      <c r="K20" s="936">
        <f>ROUND(H20*I19*J20,2)</f>
        <v>374018.68</v>
      </c>
      <c r="L20" s="895">
        <f>K20</f>
        <v>374018.68</v>
      </c>
      <c r="M20" s="895"/>
    </row>
    <row r="21" spans="1:19">
      <c r="A21" s="373"/>
      <c r="B21" s="292" t="s">
        <v>3461</v>
      </c>
      <c r="C21" s="286">
        <v>4333</v>
      </c>
      <c r="D21" s="286" t="s">
        <v>3383</v>
      </c>
      <c r="E21" s="286" t="s">
        <v>3383</v>
      </c>
      <c r="F21" s="934"/>
      <c r="G21" s="934">
        <f>ROUND(H21/C21,2)</f>
        <v>4.1900000000000004</v>
      </c>
      <c r="H21" s="934">
        <v>18142.080000000002</v>
      </c>
      <c r="I21" s="4165"/>
      <c r="J21" s="934">
        <f>ROUND(28.64*1.12*1.07,2)</f>
        <v>34.32</v>
      </c>
      <c r="K21" s="936">
        <f>ROUND(H21*I19*J21,2)</f>
        <v>2490544.7400000002</v>
      </c>
      <c r="L21" s="895">
        <f>K21</f>
        <v>2490544.7400000002</v>
      </c>
      <c r="M21" s="895"/>
    </row>
    <row r="22" spans="1:19">
      <c r="A22" s="373"/>
      <c r="B22" s="292" t="s">
        <v>3462</v>
      </c>
      <c r="C22" s="286">
        <v>4333</v>
      </c>
      <c r="D22" s="286" t="s">
        <v>3383</v>
      </c>
      <c r="E22" s="286" t="s">
        <v>3383</v>
      </c>
      <c r="F22" s="934"/>
      <c r="G22" s="934">
        <f>ROUND(H22/C22,2)</f>
        <v>1.05</v>
      </c>
      <c r="H22" s="934">
        <v>4531.5</v>
      </c>
      <c r="I22" s="4166"/>
      <c r="J22" s="934">
        <f>ROUND(3.89*1.12*1.07,2)</f>
        <v>4.66</v>
      </c>
      <c r="K22" s="936">
        <f>ROUND(H22*I19*J22,2)</f>
        <v>84467.16</v>
      </c>
      <c r="L22" s="895">
        <f>K22</f>
        <v>84467.16</v>
      </c>
      <c r="M22" s="895"/>
    </row>
    <row r="23" spans="1:19">
      <c r="A23" s="269"/>
      <c r="B23" s="270"/>
      <c r="C23" s="270"/>
      <c r="D23" s="270"/>
      <c r="E23" s="270"/>
      <c r="F23" s="270"/>
      <c r="G23" s="271"/>
      <c r="H23" s="271"/>
      <c r="I23" s="271"/>
      <c r="J23" s="272"/>
      <c r="K23" s="271"/>
      <c r="L23" s="273"/>
      <c r="M23" s="273"/>
    </row>
    <row r="25" spans="1:19">
      <c r="B25" s="300" t="s">
        <v>329</v>
      </c>
      <c r="C25" s="276"/>
      <c r="D25" s="276"/>
      <c r="E25" s="276"/>
      <c r="F25" s="874"/>
      <c r="G25" s="872"/>
      <c r="H25" s="872"/>
      <c r="I25" s="872"/>
      <c r="J25" s="710"/>
      <c r="K25" s="873"/>
      <c r="L25" s="874"/>
      <c r="M25" s="717"/>
      <c r="N25" s="171"/>
      <c r="O25" s="276"/>
      <c r="P25" s="235"/>
    </row>
    <row r="26" spans="1:19">
      <c r="B26" s="300"/>
      <c r="C26" s="279"/>
      <c r="D26" s="279"/>
      <c r="E26" s="279"/>
      <c r="F26" s="875"/>
      <c r="G26" s="872"/>
      <c r="H26" s="872"/>
      <c r="I26" s="872"/>
      <c r="J26" s="710"/>
      <c r="K26" s="873"/>
      <c r="L26" s="875"/>
      <c r="M26" s="717"/>
      <c r="N26" s="171"/>
      <c r="O26" s="279"/>
      <c r="P26" s="235"/>
    </row>
    <row r="27" spans="1:19">
      <c r="B27" s="345" t="s">
        <v>330</v>
      </c>
      <c r="C27" s="276"/>
      <c r="D27" s="276"/>
      <c r="E27" s="276"/>
      <c r="F27" s="874"/>
      <c r="G27" s="872"/>
      <c r="H27" s="872"/>
      <c r="I27" s="872"/>
      <c r="J27" s="710"/>
      <c r="K27" s="873"/>
      <c r="L27" s="710"/>
      <c r="M27" s="717"/>
      <c r="N27" s="171"/>
      <c r="O27" s="183"/>
      <c r="P27" s="235"/>
    </row>
    <row r="28" spans="1:19">
      <c r="B28" s="345" t="s">
        <v>332</v>
      </c>
      <c r="C28" s="276"/>
      <c r="D28" s="276"/>
      <c r="E28" s="276"/>
      <c r="F28" s="874"/>
      <c r="G28" s="872"/>
      <c r="H28" s="872"/>
      <c r="I28" s="872"/>
      <c r="J28" s="710"/>
      <c r="K28" s="873"/>
      <c r="L28" s="874"/>
      <c r="M28" s="717"/>
      <c r="N28" s="171"/>
      <c r="O28" s="276"/>
      <c r="P28" s="168"/>
    </row>
    <row r="29" spans="1:19">
      <c r="B29" s="346"/>
      <c r="C29" s="276"/>
      <c r="D29" s="276"/>
      <c r="E29" s="276"/>
      <c r="F29" s="874"/>
      <c r="G29" s="872"/>
      <c r="H29" s="872"/>
      <c r="I29" s="872"/>
      <c r="J29" s="710"/>
      <c r="K29" s="873"/>
      <c r="L29" s="874"/>
      <c r="M29" s="865"/>
      <c r="N29" s="171"/>
      <c r="O29" s="276"/>
      <c r="P29" s="168"/>
    </row>
    <row r="30" spans="1:19">
      <c r="B30" s="345" t="s">
        <v>333</v>
      </c>
      <c r="C30" s="276"/>
      <c r="D30" s="276"/>
      <c r="E30" s="276"/>
      <c r="F30" s="874"/>
      <c r="G30" s="872"/>
      <c r="H30" s="872"/>
      <c r="I30" s="872"/>
      <c r="J30" s="710"/>
      <c r="K30" s="873"/>
      <c r="L30" s="874"/>
      <c r="M30" s="865"/>
      <c r="N30" s="171"/>
      <c r="O30" s="276"/>
      <c r="P30" s="171"/>
    </row>
    <row r="31" spans="1:19">
      <c r="B31" s="345"/>
      <c r="C31" s="276"/>
      <c r="D31" s="276"/>
      <c r="E31" s="276"/>
      <c r="F31" s="874"/>
      <c r="G31" s="872"/>
      <c r="H31" s="872"/>
      <c r="I31" s="872"/>
      <c r="J31" s="710"/>
      <c r="K31" s="873"/>
      <c r="L31" s="874"/>
      <c r="M31" s="865"/>
      <c r="N31" s="171"/>
      <c r="O31" s="276"/>
      <c r="P31" s="171"/>
    </row>
    <row r="32" spans="1:19" hidden="1">
      <c r="B32" s="1206" t="s">
        <v>3471</v>
      </c>
      <c r="C32" s="1206" t="s">
        <v>3472</v>
      </c>
      <c r="D32" s="1206" t="s">
        <v>3389</v>
      </c>
      <c r="E32" s="1206" t="s">
        <v>3390</v>
      </c>
      <c r="F32" s="1206" t="s">
        <v>3391</v>
      </c>
      <c r="G32" s="1206" t="s">
        <v>3392</v>
      </c>
      <c r="H32" s="1206" t="s">
        <v>3393</v>
      </c>
      <c r="J32" s="275" t="s">
        <v>3469</v>
      </c>
      <c r="M32" s="274" t="s">
        <v>3470</v>
      </c>
      <c r="N32" s="275" t="s">
        <v>3394</v>
      </c>
      <c r="P32" s="275" t="s">
        <v>3473</v>
      </c>
      <c r="Q32" s="274" t="s">
        <v>3474</v>
      </c>
      <c r="R32" s="274" t="s">
        <v>3399</v>
      </c>
      <c r="S32" s="274" t="s">
        <v>3475</v>
      </c>
    </row>
    <row r="33" spans="1:19" hidden="1">
      <c r="B33" s="274">
        <v>4526</v>
      </c>
      <c r="C33" s="274">
        <v>157395</v>
      </c>
      <c r="D33" s="274">
        <v>56614</v>
      </c>
      <c r="E33" s="274">
        <v>45335</v>
      </c>
      <c r="F33" s="274">
        <v>30090</v>
      </c>
      <c r="G33" s="274">
        <v>22175</v>
      </c>
      <c r="H33" s="274">
        <v>22175</v>
      </c>
      <c r="I33" s="274">
        <f>(B33+C33+D33)/3</f>
        <v>72845</v>
      </c>
      <c r="J33" s="1205">
        <v>13.64</v>
      </c>
      <c r="K33" s="275">
        <v>1.1200000000000001</v>
      </c>
      <c r="L33" s="274">
        <v>1.07</v>
      </c>
      <c r="M33" s="274">
        <f>J33*K33*L33</f>
        <v>16.346176000000003</v>
      </c>
      <c r="N33" s="275">
        <v>2747</v>
      </c>
      <c r="O33" s="274" t="s">
        <v>3460</v>
      </c>
      <c r="P33" s="275">
        <f>B33+C33+D33+E33+F33+G33+H33+N33</f>
        <v>341057</v>
      </c>
      <c r="Q33" s="274">
        <f>P33/12100*15941.2</f>
        <v>449327.09490909096</v>
      </c>
      <c r="R33" s="274">
        <v>16.350000000000001</v>
      </c>
      <c r="S33" s="274">
        <f>Q33*R33</f>
        <v>7346498.0017636381</v>
      </c>
    </row>
    <row r="34" spans="1:19" s="546" customFormat="1" hidden="1">
      <c r="A34" s="546" t="s">
        <v>3476</v>
      </c>
      <c r="J34" s="547"/>
      <c r="K34" s="547"/>
      <c r="N34" s="547"/>
      <c r="P34" s="275">
        <f t="shared" ref="P34:P56" si="0">B34+C34+D34+E34+F34+G34+H34+N34</f>
        <v>0</v>
      </c>
      <c r="Q34" s="274">
        <f t="shared" ref="Q34:Q56" si="1">P34/12100*15941.2</f>
        <v>0</v>
      </c>
      <c r="S34" s="274">
        <f t="shared" ref="S34:S56" si="2">Q34*R34</f>
        <v>0</v>
      </c>
    </row>
    <row r="35" spans="1:19" s="546" customFormat="1" hidden="1">
      <c r="A35" s="548" t="s">
        <v>3477</v>
      </c>
      <c r="B35" s="549"/>
      <c r="C35" s="549"/>
      <c r="D35" s="549"/>
      <c r="E35" s="549"/>
      <c r="F35" s="549"/>
      <c r="G35" s="549"/>
      <c r="H35" s="549"/>
      <c r="I35" s="549"/>
      <c r="J35" s="550"/>
      <c r="K35" s="550"/>
      <c r="L35" s="550"/>
      <c r="M35" s="550" t="s">
        <v>3375</v>
      </c>
      <c r="N35" s="547"/>
      <c r="P35" s="275">
        <f t="shared" si="0"/>
        <v>0</v>
      </c>
      <c r="Q35" s="274">
        <f t="shared" si="1"/>
        <v>0</v>
      </c>
      <c r="S35" s="274">
        <f t="shared" si="2"/>
        <v>0</v>
      </c>
    </row>
    <row r="36" spans="1:19" s="546" customFormat="1" hidden="1">
      <c r="A36" s="551"/>
      <c r="B36" s="549"/>
      <c r="C36" s="549"/>
      <c r="D36" s="549"/>
      <c r="E36" s="549"/>
      <c r="F36" s="549"/>
      <c r="G36" s="549"/>
      <c r="H36" s="549"/>
      <c r="I36" s="549"/>
      <c r="J36" s="550"/>
      <c r="K36" s="550"/>
      <c r="L36" s="550"/>
      <c r="M36" s="550"/>
      <c r="N36" s="547"/>
      <c r="P36" s="275">
        <f t="shared" si="0"/>
        <v>0</v>
      </c>
      <c r="Q36" s="274">
        <f t="shared" si="1"/>
        <v>0</v>
      </c>
      <c r="S36" s="274">
        <f t="shared" si="2"/>
        <v>0</v>
      </c>
    </row>
    <row r="37" spans="1:19" s="546" customFormat="1" hidden="1">
      <c r="A37" s="552" t="s">
        <v>3401</v>
      </c>
      <c r="B37" s="553"/>
      <c r="C37" s="553"/>
      <c r="D37" s="553"/>
      <c r="E37" s="553"/>
      <c r="F37" s="553"/>
      <c r="G37" s="553"/>
      <c r="H37" s="553"/>
      <c r="I37" s="553"/>
      <c r="J37" s="550"/>
      <c r="K37" s="550"/>
      <c r="L37" s="550"/>
      <c r="M37" s="550"/>
      <c r="N37" s="547"/>
      <c r="P37" s="275">
        <f t="shared" si="0"/>
        <v>0</v>
      </c>
      <c r="Q37" s="274">
        <f t="shared" si="1"/>
        <v>0</v>
      </c>
      <c r="S37" s="274">
        <f t="shared" si="2"/>
        <v>0</v>
      </c>
    </row>
    <row r="38" spans="1:19" s="546" customFormat="1" hidden="1">
      <c r="A38" s="549" t="s">
        <v>990</v>
      </c>
      <c r="B38" s="553"/>
      <c r="C38" s="553"/>
      <c r="D38" s="553"/>
      <c r="E38" s="553"/>
      <c r="F38" s="553"/>
      <c r="G38" s="553"/>
      <c r="H38" s="553"/>
      <c r="I38" s="553"/>
      <c r="J38" s="554"/>
      <c r="K38" s="554"/>
      <c r="L38" s="554"/>
      <c r="M38" s="554"/>
      <c r="N38" s="547"/>
      <c r="P38" s="275">
        <f t="shared" si="0"/>
        <v>0</v>
      </c>
      <c r="Q38" s="274">
        <f t="shared" si="1"/>
        <v>0</v>
      </c>
      <c r="S38" s="274">
        <f t="shared" si="2"/>
        <v>0</v>
      </c>
    </row>
    <row r="39" spans="1:19" s="546" customFormat="1" hidden="1">
      <c r="A39" s="552"/>
      <c r="B39" s="553"/>
      <c r="C39" s="553"/>
      <c r="D39" s="553"/>
      <c r="E39" s="553"/>
      <c r="F39" s="553"/>
      <c r="G39" s="553"/>
      <c r="H39" s="553"/>
      <c r="I39" s="553"/>
      <c r="J39" s="554"/>
      <c r="K39" s="554"/>
      <c r="L39" s="555"/>
      <c r="M39" s="556" t="s">
        <v>254</v>
      </c>
      <c r="N39" s="547"/>
      <c r="P39" s="275">
        <f t="shared" si="0"/>
        <v>0</v>
      </c>
      <c r="Q39" s="274">
        <f t="shared" si="1"/>
        <v>0</v>
      </c>
      <c r="S39" s="274">
        <f t="shared" si="2"/>
        <v>0</v>
      </c>
    </row>
    <row r="40" spans="1:19" s="546" customFormat="1" hidden="1">
      <c r="A40" s="554"/>
      <c r="B40" s="554"/>
      <c r="C40" s="554"/>
      <c r="D40" s="554"/>
      <c r="E40" s="554"/>
      <c r="F40" s="554"/>
      <c r="G40" s="554"/>
      <c r="H40" s="554"/>
      <c r="I40" s="554"/>
      <c r="J40" s="554"/>
      <c r="K40" s="554"/>
      <c r="L40" s="555"/>
      <c r="M40" s="556"/>
      <c r="N40" s="547"/>
      <c r="P40" s="275">
        <f t="shared" si="0"/>
        <v>0</v>
      </c>
      <c r="Q40" s="274">
        <f t="shared" si="1"/>
        <v>0</v>
      </c>
      <c r="S40" s="274">
        <f t="shared" si="2"/>
        <v>0</v>
      </c>
    </row>
    <row r="41" spans="1:19" s="546" customFormat="1" ht="15.75" hidden="1" customHeight="1">
      <c r="A41" s="4161" t="s">
        <v>2</v>
      </c>
      <c r="B41" s="4161" t="s">
        <v>3377</v>
      </c>
      <c r="C41" s="4161" t="s">
        <v>3478</v>
      </c>
      <c r="D41" s="4167" t="s">
        <v>255</v>
      </c>
      <c r="E41" s="4168"/>
      <c r="F41" s="1204"/>
      <c r="G41" s="4161" t="s">
        <v>3479</v>
      </c>
      <c r="H41" s="4161" t="s">
        <v>3457</v>
      </c>
      <c r="I41" s="4161" t="s">
        <v>3380</v>
      </c>
      <c r="J41" s="4161" t="s">
        <v>3381</v>
      </c>
      <c r="K41" s="4161" t="s">
        <v>345</v>
      </c>
      <c r="L41" s="4167" t="s">
        <v>255</v>
      </c>
      <c r="M41" s="4168"/>
      <c r="N41" s="547"/>
      <c r="P41" s="275" t="e">
        <f t="shared" si="0"/>
        <v>#VALUE!</v>
      </c>
      <c r="Q41" s="274" t="e">
        <f t="shared" si="1"/>
        <v>#VALUE!</v>
      </c>
      <c r="S41" s="274" t="e">
        <f t="shared" si="2"/>
        <v>#VALUE!</v>
      </c>
    </row>
    <row r="42" spans="1:19" s="546" customFormat="1" hidden="1">
      <c r="A42" s="4161"/>
      <c r="B42" s="4161"/>
      <c r="C42" s="4161"/>
      <c r="D42" s="557" t="s">
        <v>7</v>
      </c>
      <c r="E42" s="557" t="s">
        <v>8</v>
      </c>
      <c r="F42" s="557"/>
      <c r="G42" s="4161"/>
      <c r="H42" s="4161"/>
      <c r="I42" s="4161"/>
      <c r="J42" s="4161"/>
      <c r="K42" s="4161"/>
      <c r="L42" s="557" t="s">
        <v>7</v>
      </c>
      <c r="M42" s="557" t="s">
        <v>8</v>
      </c>
      <c r="N42" s="547"/>
      <c r="P42" s="275" t="e">
        <f t="shared" si="0"/>
        <v>#VALUE!</v>
      </c>
      <c r="Q42" s="274" t="e">
        <f t="shared" si="1"/>
        <v>#VALUE!</v>
      </c>
      <c r="S42" s="274" t="e">
        <f t="shared" si="2"/>
        <v>#VALUE!</v>
      </c>
    </row>
    <row r="43" spans="1:19" s="546" customFormat="1" hidden="1">
      <c r="A43" s="558"/>
      <c r="B43" s="559" t="s">
        <v>20</v>
      </c>
      <c r="C43" s="560"/>
      <c r="D43" s="560"/>
      <c r="E43" s="560"/>
      <c r="F43" s="560"/>
      <c r="G43" s="561"/>
      <c r="H43" s="561"/>
      <c r="I43" s="561"/>
      <c r="J43" s="561"/>
      <c r="K43" s="561"/>
      <c r="L43" s="562"/>
      <c r="M43" s="562"/>
      <c r="N43" s="547"/>
      <c r="P43" s="275" t="e">
        <f t="shared" si="0"/>
        <v>#VALUE!</v>
      </c>
      <c r="Q43" s="274" t="e">
        <f t="shared" si="1"/>
        <v>#VALUE!</v>
      </c>
      <c r="S43" s="274" t="e">
        <f t="shared" si="2"/>
        <v>#VALUE!</v>
      </c>
    </row>
    <row r="44" spans="1:19" s="546" customFormat="1" hidden="1">
      <c r="A44" s="558"/>
      <c r="B44" s="560" t="s">
        <v>3480</v>
      </c>
      <c r="C44" s="558"/>
      <c r="D44" s="558"/>
      <c r="E44" s="558"/>
      <c r="F44" s="558"/>
      <c r="G44" s="561"/>
      <c r="H44" s="561"/>
      <c r="I44" s="561"/>
      <c r="J44" s="561"/>
      <c r="K44" s="561"/>
      <c r="L44" s="562"/>
      <c r="M44" s="562"/>
      <c r="N44" s="547"/>
      <c r="P44" s="275" t="e">
        <f t="shared" si="0"/>
        <v>#VALUE!</v>
      </c>
      <c r="Q44" s="274" t="e">
        <f t="shared" si="1"/>
        <v>#VALUE!</v>
      </c>
      <c r="S44" s="274" t="e">
        <f t="shared" si="2"/>
        <v>#VALUE!</v>
      </c>
    </row>
    <row r="45" spans="1:19" s="546" customFormat="1" hidden="1">
      <c r="A45" s="558"/>
      <c r="B45" s="560" t="s">
        <v>3211</v>
      </c>
      <c r="C45" s="558"/>
      <c r="D45" s="558"/>
      <c r="E45" s="558"/>
      <c r="F45" s="558"/>
      <c r="G45" s="561"/>
      <c r="H45" s="561"/>
      <c r="I45" s="561"/>
      <c r="J45" s="561"/>
      <c r="K45" s="561"/>
      <c r="L45" s="562"/>
      <c r="M45" s="562"/>
      <c r="N45" s="547"/>
      <c r="P45" s="275" t="e">
        <f t="shared" si="0"/>
        <v>#VALUE!</v>
      </c>
      <c r="Q45" s="274" t="e">
        <f t="shared" si="1"/>
        <v>#VALUE!</v>
      </c>
      <c r="S45" s="274" t="e">
        <f t="shared" si="2"/>
        <v>#VALUE!</v>
      </c>
    </row>
    <row r="46" spans="1:19" s="546" customFormat="1" hidden="1">
      <c r="A46" s="558"/>
      <c r="B46" s="560" t="s">
        <v>526</v>
      </c>
      <c r="C46" s="558"/>
      <c r="D46" s="558"/>
      <c r="E46" s="558"/>
      <c r="F46" s="558"/>
      <c r="G46" s="561"/>
      <c r="H46" s="561"/>
      <c r="I46" s="561"/>
      <c r="J46" s="561"/>
      <c r="K46" s="561"/>
      <c r="L46" s="562"/>
      <c r="M46" s="562"/>
      <c r="N46" s="547"/>
      <c r="P46" s="275" t="e">
        <f t="shared" si="0"/>
        <v>#VALUE!</v>
      </c>
      <c r="Q46" s="274" t="e">
        <f t="shared" si="1"/>
        <v>#VALUE!</v>
      </c>
      <c r="S46" s="274" t="e">
        <f t="shared" si="2"/>
        <v>#VALUE!</v>
      </c>
    </row>
    <row r="47" spans="1:19" s="546" customFormat="1" hidden="1">
      <c r="A47" s="563"/>
      <c r="B47" s="564"/>
      <c r="C47" s="564"/>
      <c r="D47" s="564"/>
      <c r="E47" s="564"/>
      <c r="F47" s="564"/>
      <c r="G47" s="565"/>
      <c r="H47" s="565"/>
      <c r="I47" s="565"/>
      <c r="J47" s="555"/>
      <c r="K47" s="565"/>
      <c r="L47" s="554"/>
      <c r="M47" s="554"/>
      <c r="N47" s="547"/>
      <c r="P47" s="275">
        <f t="shared" si="0"/>
        <v>0</v>
      </c>
      <c r="Q47" s="274">
        <f t="shared" si="1"/>
        <v>0</v>
      </c>
      <c r="S47" s="274">
        <f t="shared" si="2"/>
        <v>0</v>
      </c>
    </row>
    <row r="48" spans="1:19" hidden="1">
      <c r="N48" s="275"/>
      <c r="P48" s="275">
        <f t="shared" si="0"/>
        <v>0</v>
      </c>
      <c r="Q48" s="274">
        <f t="shared" si="1"/>
        <v>0</v>
      </c>
      <c r="S48" s="274">
        <f t="shared" si="2"/>
        <v>0</v>
      </c>
    </row>
    <row r="49" spans="1:19" hidden="1">
      <c r="B49" s="300" t="s">
        <v>329</v>
      </c>
      <c r="C49" s="276"/>
      <c r="D49" s="276"/>
      <c r="E49" s="276"/>
      <c r="F49" s="276"/>
      <c r="G49" s="277"/>
      <c r="H49" s="277"/>
      <c r="I49" s="277"/>
      <c r="J49" s="183"/>
      <c r="L49" s="276"/>
      <c r="M49" s="278"/>
      <c r="N49" s="275"/>
      <c r="P49" s="275" t="e">
        <f t="shared" si="0"/>
        <v>#VALUE!</v>
      </c>
      <c r="Q49" s="274" t="e">
        <f t="shared" si="1"/>
        <v>#VALUE!</v>
      </c>
      <c r="S49" s="274" t="e">
        <f t="shared" si="2"/>
        <v>#VALUE!</v>
      </c>
    </row>
    <row r="50" spans="1:19" hidden="1">
      <c r="B50" s="300"/>
      <c r="C50" s="279"/>
      <c r="D50" s="279"/>
      <c r="E50" s="279"/>
      <c r="F50" s="279"/>
      <c r="G50" s="277"/>
      <c r="H50" s="277"/>
      <c r="I50" s="277"/>
      <c r="J50" s="183"/>
      <c r="L50" s="279"/>
      <c r="M50" s="278"/>
      <c r="N50" s="275"/>
      <c r="P50" s="275">
        <f t="shared" si="0"/>
        <v>0</v>
      </c>
      <c r="Q50" s="274">
        <f t="shared" si="1"/>
        <v>0</v>
      </c>
      <c r="S50" s="274">
        <f t="shared" si="2"/>
        <v>0</v>
      </c>
    </row>
    <row r="51" spans="1:19" hidden="1">
      <c r="B51" s="345" t="s">
        <v>330</v>
      </c>
      <c r="C51" s="276"/>
      <c r="D51" s="276"/>
      <c r="E51" s="276"/>
      <c r="F51" s="276"/>
      <c r="G51" s="277"/>
      <c r="H51" s="277"/>
      <c r="I51" s="277"/>
      <c r="J51" s="183"/>
      <c r="L51" s="183"/>
      <c r="M51" s="278"/>
      <c r="N51" s="275"/>
      <c r="P51" s="275" t="e">
        <f t="shared" si="0"/>
        <v>#VALUE!</v>
      </c>
      <c r="Q51" s="274" t="e">
        <f t="shared" si="1"/>
        <v>#VALUE!</v>
      </c>
      <c r="S51" s="274" t="e">
        <f t="shared" si="2"/>
        <v>#VALUE!</v>
      </c>
    </row>
    <row r="52" spans="1:19" hidden="1">
      <c r="B52" s="345" t="s">
        <v>332</v>
      </c>
      <c r="C52" s="276"/>
      <c r="D52" s="276"/>
      <c r="E52" s="276"/>
      <c r="F52" s="276"/>
      <c r="G52" s="277"/>
      <c r="H52" s="277"/>
      <c r="I52" s="277"/>
      <c r="J52" s="183"/>
      <c r="L52" s="276"/>
      <c r="M52" s="278"/>
      <c r="N52" s="275"/>
      <c r="P52" s="275" t="e">
        <f t="shared" si="0"/>
        <v>#VALUE!</v>
      </c>
      <c r="Q52" s="274" t="e">
        <f t="shared" si="1"/>
        <v>#VALUE!</v>
      </c>
      <c r="S52" s="274" t="e">
        <f t="shared" si="2"/>
        <v>#VALUE!</v>
      </c>
    </row>
    <row r="53" spans="1:19" hidden="1">
      <c r="B53" s="346"/>
      <c r="C53" s="276"/>
      <c r="D53" s="276"/>
      <c r="E53" s="276"/>
      <c r="F53" s="276"/>
      <c r="G53" s="277"/>
      <c r="H53" s="277"/>
      <c r="I53" s="277"/>
      <c r="J53" s="183"/>
      <c r="L53" s="276"/>
      <c r="M53" s="171"/>
      <c r="N53" s="275"/>
      <c r="P53" s="275">
        <f t="shared" si="0"/>
        <v>0</v>
      </c>
      <c r="Q53" s="274">
        <f t="shared" si="1"/>
        <v>0</v>
      </c>
      <c r="S53" s="274">
        <f t="shared" si="2"/>
        <v>0</v>
      </c>
    </row>
    <row r="54" spans="1:19" hidden="1">
      <c r="B54" s="345" t="s">
        <v>333</v>
      </c>
      <c r="C54" s="276"/>
      <c r="D54" s="276"/>
      <c r="E54" s="276"/>
      <c r="F54" s="276"/>
      <c r="G54" s="277"/>
      <c r="H54" s="277"/>
      <c r="I54" s="277"/>
      <c r="J54" s="183"/>
      <c r="L54" s="276"/>
      <c r="M54" s="171"/>
      <c r="N54" s="275"/>
      <c r="P54" s="275" t="e">
        <f t="shared" si="0"/>
        <v>#VALUE!</v>
      </c>
      <c r="Q54" s="274" t="e">
        <f t="shared" si="1"/>
        <v>#VALUE!</v>
      </c>
      <c r="S54" s="274" t="e">
        <f t="shared" si="2"/>
        <v>#VALUE!</v>
      </c>
    </row>
    <row r="55" spans="1:19" hidden="1">
      <c r="B55" s="274">
        <v>32435</v>
      </c>
      <c r="C55" s="274">
        <v>31458</v>
      </c>
      <c r="D55" s="274">
        <v>9354</v>
      </c>
      <c r="E55" s="274">
        <v>6612</v>
      </c>
      <c r="F55" s="274">
        <v>4121</v>
      </c>
      <c r="G55" s="274">
        <v>3183</v>
      </c>
      <c r="H55" s="274">
        <v>3183</v>
      </c>
      <c r="I55" s="274">
        <f>(B55+C55+D55)/3</f>
        <v>24415.666666666668</v>
      </c>
      <c r="J55" s="275">
        <v>28.64</v>
      </c>
      <c r="K55" s="275">
        <v>1.1200000000000001</v>
      </c>
      <c r="L55" s="274">
        <v>1.07</v>
      </c>
      <c r="M55" s="274">
        <f>J55*K55*L55</f>
        <v>34.322176000000006</v>
      </c>
      <c r="N55" s="275">
        <v>1927</v>
      </c>
      <c r="O55" s="274" t="s">
        <v>3481</v>
      </c>
      <c r="P55" s="275">
        <f t="shared" si="0"/>
        <v>92273</v>
      </c>
      <c r="Q55" s="274">
        <f t="shared" si="1"/>
        <v>121565.48327272727</v>
      </c>
      <c r="R55" s="274">
        <v>34.32</v>
      </c>
      <c r="S55" s="274">
        <f t="shared" si="2"/>
        <v>4172127.3859200003</v>
      </c>
    </row>
    <row r="56" spans="1:19" hidden="1">
      <c r="B56" s="274">
        <v>10037</v>
      </c>
      <c r="C56" s="274">
        <v>60899</v>
      </c>
      <c r="D56" s="274">
        <v>17756</v>
      </c>
      <c r="E56" s="274">
        <v>13405</v>
      </c>
      <c r="F56" s="274">
        <v>8807</v>
      </c>
      <c r="G56" s="274">
        <v>5018</v>
      </c>
      <c r="H56" s="274">
        <v>5018</v>
      </c>
      <c r="I56" s="274">
        <f>(B56+C56+D56)/3</f>
        <v>29564</v>
      </c>
      <c r="J56" s="275">
        <v>3.89</v>
      </c>
      <c r="K56" s="275">
        <v>1.1200000000000001</v>
      </c>
      <c r="L56" s="274">
        <v>1.07</v>
      </c>
      <c r="M56" s="274">
        <f>J56*K56*L56</f>
        <v>4.6617760000000006</v>
      </c>
      <c r="N56" s="275">
        <v>2906</v>
      </c>
      <c r="O56" s="274" t="s">
        <v>3462</v>
      </c>
      <c r="P56" s="275">
        <f t="shared" si="0"/>
        <v>123846</v>
      </c>
      <c r="Q56" s="274">
        <f t="shared" si="1"/>
        <v>163161.47563636364</v>
      </c>
      <c r="R56" s="274">
        <v>4.66</v>
      </c>
      <c r="S56" s="274">
        <f t="shared" si="2"/>
        <v>760332.47646545456</v>
      </c>
    </row>
    <row r="57" spans="1:19" hidden="1">
      <c r="B57" s="566">
        <f t="shared" ref="B57:H57" si="3">SUM(B33:B56)</f>
        <v>46998</v>
      </c>
      <c r="C57" s="566">
        <f t="shared" si="3"/>
        <v>249752</v>
      </c>
      <c r="D57" s="566">
        <f t="shared" si="3"/>
        <v>83724</v>
      </c>
      <c r="E57" s="566">
        <f t="shared" si="3"/>
        <v>65352</v>
      </c>
      <c r="F57" s="566">
        <f t="shared" si="3"/>
        <v>43018</v>
      </c>
      <c r="G57" s="566">
        <f t="shared" si="3"/>
        <v>30376</v>
      </c>
      <c r="H57" s="566">
        <f t="shared" si="3"/>
        <v>30376</v>
      </c>
      <c r="N57" s="566">
        <f>SUM(N33:N56)</f>
        <v>7580</v>
      </c>
      <c r="P57" s="1216">
        <f>P33+P55+P56</f>
        <v>557176</v>
      </c>
      <c r="Q57" s="566">
        <f>Q33+Q55+Q56</f>
        <v>734054.05381818186</v>
      </c>
      <c r="S57" s="566">
        <f>S33+S55+S56</f>
        <v>12278957.864149092</v>
      </c>
    </row>
    <row r="58" spans="1:19" hidden="1">
      <c r="B58" s="274" t="s">
        <v>3482</v>
      </c>
      <c r="D58" s="566"/>
    </row>
    <row r="59" spans="1:19" hidden="1">
      <c r="B59" s="274">
        <v>281.89</v>
      </c>
      <c r="C59" s="274">
        <v>207.62</v>
      </c>
      <c r="D59" s="274">
        <v>148.38999999999999</v>
      </c>
      <c r="E59" s="274">
        <v>105.72</v>
      </c>
      <c r="F59" s="274">
        <v>23.36</v>
      </c>
      <c r="G59" s="274">
        <v>11.85</v>
      </c>
      <c r="K59" s="275">
        <v>12100</v>
      </c>
      <c r="L59" s="274" t="s">
        <v>1197</v>
      </c>
    </row>
    <row r="60" spans="1:19" hidden="1">
      <c r="K60" s="275">
        <v>15941.2</v>
      </c>
      <c r="L60" s="274" t="s">
        <v>3483</v>
      </c>
    </row>
    <row r="61" spans="1:19" hidden="1">
      <c r="B61" s="274" t="s">
        <v>3484</v>
      </c>
      <c r="K61" s="1214">
        <f>K60/K59</f>
        <v>1.3174545454545454</v>
      </c>
    </row>
    <row r="62" spans="1:19" hidden="1">
      <c r="A62" s="274" t="s">
        <v>3485</v>
      </c>
      <c r="B62" s="274">
        <v>1119</v>
      </c>
      <c r="C62" s="274">
        <v>1210</v>
      </c>
      <c r="D62" s="274">
        <v>970</v>
      </c>
      <c r="E62" s="274">
        <v>1836</v>
      </c>
      <c r="F62" s="274">
        <v>954</v>
      </c>
      <c r="G62" s="274">
        <v>970</v>
      </c>
    </row>
    <row r="63" spans="1:19" hidden="1">
      <c r="A63" s="274" t="s">
        <v>3487</v>
      </c>
      <c r="B63" s="274">
        <v>1119</v>
      </c>
      <c r="C63" s="274">
        <v>1210</v>
      </c>
      <c r="D63" s="274">
        <v>970</v>
      </c>
      <c r="E63" s="274">
        <v>1836</v>
      </c>
      <c r="F63" s="274">
        <v>954</v>
      </c>
      <c r="G63" s="274">
        <v>970</v>
      </c>
    </row>
    <row r="64" spans="1:19" hidden="1"/>
    <row r="65" spans="1:10" hidden="1"/>
    <row r="66" spans="1:10" hidden="1">
      <c r="B66" s="274" t="s">
        <v>3489</v>
      </c>
    </row>
    <row r="67" spans="1:10" hidden="1"/>
    <row r="68" spans="1:10" hidden="1">
      <c r="B68" s="1215">
        <f>B33*K61</f>
        <v>5962.7992727272722</v>
      </c>
    </row>
    <row r="69" spans="1:10" hidden="1">
      <c r="B69" s="1215">
        <f>B55*K61</f>
        <v>42731.638181818184</v>
      </c>
    </row>
    <row r="70" spans="1:10" hidden="1">
      <c r="B70" s="1215">
        <f>B56*K61</f>
        <v>13223.291272727272</v>
      </c>
    </row>
    <row r="72" spans="1:10">
      <c r="A72" s="1217"/>
      <c r="B72" s="1217"/>
      <c r="C72" s="1217"/>
      <c r="D72" s="1217"/>
      <c r="E72" s="1217"/>
      <c r="F72" s="1217"/>
      <c r="G72" s="1217"/>
      <c r="H72" s="1217"/>
      <c r="I72"/>
      <c r="J72"/>
    </row>
    <row r="73" spans="1:10">
      <c r="A73" s="1251" t="s">
        <v>3495</v>
      </c>
      <c r="B73" s="1252"/>
      <c r="C73" s="1252"/>
      <c r="D73" s="1252"/>
      <c r="E73" s="1252"/>
      <c r="F73" s="1252"/>
      <c r="G73" s="1252"/>
      <c r="H73" s="1253" t="s">
        <v>3375</v>
      </c>
      <c r="I73"/>
      <c r="J73"/>
    </row>
    <row r="74" spans="1:10">
      <c r="A74" s="1251"/>
      <c r="B74" s="1252"/>
      <c r="C74" s="1252"/>
      <c r="D74" s="1252"/>
      <c r="E74" s="1252"/>
      <c r="F74" s="1252"/>
      <c r="G74" s="1252"/>
      <c r="H74" s="1253"/>
      <c r="I74"/>
      <c r="J74"/>
    </row>
    <row r="75" spans="1:10">
      <c r="A75" s="1254" t="s">
        <v>3587</v>
      </c>
      <c r="B75" s="1254"/>
      <c r="C75" s="1254"/>
      <c r="D75" s="1254"/>
      <c r="E75" s="1254"/>
      <c r="F75" s="1254"/>
      <c r="G75" s="1254"/>
      <c r="H75" s="1254"/>
      <c r="I75"/>
      <c r="J75"/>
    </row>
    <row r="76" spans="1:10">
      <c r="A76" s="1254"/>
      <c r="B76" s="1254"/>
      <c r="C76" s="1254"/>
      <c r="D76" s="1254"/>
      <c r="E76" s="1254"/>
      <c r="F76" s="1254"/>
      <c r="G76" s="1254"/>
      <c r="H76" s="1254"/>
      <c r="I76"/>
      <c r="J76"/>
    </row>
    <row r="77" spans="1:10">
      <c r="A77" s="1254"/>
      <c r="B77" s="1254" t="s">
        <v>3497</v>
      </c>
      <c r="C77" s="1254"/>
      <c r="D77" s="1254"/>
      <c r="E77" s="1254"/>
      <c r="F77" s="1254"/>
      <c r="G77" s="1254"/>
      <c r="H77" s="1254"/>
      <c r="I77"/>
      <c r="J77"/>
    </row>
    <row r="78" spans="1:10">
      <c r="A78" s="1254"/>
      <c r="B78" s="1254" t="s">
        <v>3498</v>
      </c>
      <c r="C78" s="1254"/>
      <c r="D78" s="1254"/>
      <c r="E78" s="1254"/>
      <c r="F78" s="1254"/>
      <c r="G78" s="1254"/>
      <c r="H78" s="1254"/>
      <c r="I78"/>
      <c r="J78"/>
    </row>
    <row r="79" spans="1:10">
      <c r="A79" s="1254"/>
      <c r="B79" s="1254" t="s">
        <v>3499</v>
      </c>
      <c r="C79" s="1254"/>
      <c r="D79" s="1255"/>
      <c r="E79" s="1256"/>
      <c r="F79" s="580"/>
      <c r="G79" s="1257">
        <v>200.3</v>
      </c>
      <c r="H79" s="1254"/>
      <c r="I79"/>
      <c r="J79"/>
    </row>
    <row r="80" spans="1:10">
      <c r="A80" s="1254"/>
      <c r="B80" s="1258" t="s">
        <v>3500</v>
      </c>
      <c r="C80" s="1254"/>
      <c r="D80" s="1254"/>
      <c r="E80" s="1257">
        <v>9</v>
      </c>
      <c r="F80" s="1254"/>
      <c r="G80" s="1254"/>
      <c r="H80" s="1254"/>
      <c r="I80"/>
      <c r="J80"/>
    </row>
    <row r="81" spans="1:14">
      <c r="A81" s="1254"/>
      <c r="B81" s="1254" t="s">
        <v>3501</v>
      </c>
      <c r="C81" s="1254"/>
      <c r="D81" s="1254"/>
      <c r="E81" s="1254"/>
      <c r="F81" s="1254"/>
      <c r="G81" s="1254"/>
      <c r="H81" s="1254"/>
      <c r="I81"/>
      <c r="J81"/>
    </row>
    <row r="82" spans="1:14">
      <c r="A82" s="1254"/>
      <c r="B82" s="1259" t="s">
        <v>3502</v>
      </c>
      <c r="C82" s="1256"/>
      <c r="D82" s="1257">
        <v>0.6</v>
      </c>
      <c r="E82" s="1254"/>
      <c r="F82" s="1254"/>
      <c r="G82" s="1254"/>
      <c r="H82" s="1254"/>
      <c r="I82"/>
      <c r="J82"/>
    </row>
    <row r="83" spans="1:14">
      <c r="A83" s="1254"/>
      <c r="B83" s="1259" t="s">
        <v>3503</v>
      </c>
      <c r="C83" s="1256"/>
      <c r="D83" s="1257">
        <v>0.8</v>
      </c>
      <c r="E83" s="1254"/>
      <c r="F83" s="1254"/>
      <c r="G83" s="1254"/>
      <c r="H83" s="1254"/>
      <c r="I83"/>
      <c r="J83"/>
    </row>
    <row r="84" spans="1:14">
      <c r="A84" s="1254"/>
      <c r="B84" s="1254"/>
      <c r="C84" s="1260"/>
      <c r="D84" s="1254"/>
      <c r="E84" s="1260"/>
      <c r="F84" s="1254"/>
      <c r="G84" s="1261"/>
      <c r="H84" s="1262" t="s">
        <v>254</v>
      </c>
      <c r="I84"/>
      <c r="J84"/>
      <c r="M84" s="1207" t="s">
        <v>3588</v>
      </c>
    </row>
    <row r="85" spans="1:14" ht="38.25">
      <c r="A85" s="1263" t="s">
        <v>2</v>
      </c>
      <c r="B85" s="1263" t="s">
        <v>3504</v>
      </c>
      <c r="C85" s="1263" t="s">
        <v>3589</v>
      </c>
      <c r="D85" s="1263" t="s">
        <v>3590</v>
      </c>
      <c r="E85" s="1263" t="s">
        <v>3507</v>
      </c>
      <c r="F85" s="1263" t="s">
        <v>3539</v>
      </c>
      <c r="G85" s="1263" t="s">
        <v>3511</v>
      </c>
      <c r="H85" s="1263" t="s">
        <v>3512</v>
      </c>
      <c r="I85" s="1231" t="s">
        <v>3511</v>
      </c>
      <c r="J85" s="1231" t="s">
        <v>3512</v>
      </c>
      <c r="K85" s="275" t="s">
        <v>3459</v>
      </c>
      <c r="M85" s="1207" t="s">
        <v>3459</v>
      </c>
    </row>
    <row r="86" spans="1:14">
      <c r="A86" s="1264" t="s">
        <v>3513</v>
      </c>
      <c r="B86" s="1265" t="s">
        <v>3514</v>
      </c>
      <c r="C86" s="1266">
        <v>19</v>
      </c>
      <c r="D86" s="1266">
        <f>G79*E80*C86*D83</f>
        <v>27401.040000000005</v>
      </c>
      <c r="E86" s="1236">
        <f>$N$18</f>
        <v>0</v>
      </c>
      <c r="F86" s="1266">
        <f>D86*E86</f>
        <v>0</v>
      </c>
      <c r="G86" s="1248">
        <f>$N$17</f>
        <v>0</v>
      </c>
      <c r="H86" s="1267">
        <f>D86*G86</f>
        <v>0</v>
      </c>
      <c r="I86" s="1249">
        <f>$T$15</f>
        <v>0</v>
      </c>
      <c r="J86" s="1241">
        <f>SUM(J90:J98)</f>
        <v>1510345.3248000001</v>
      </c>
      <c r="K86" s="1246">
        <f>D90+D106+D122</f>
        <v>84366.36</v>
      </c>
      <c r="L86" s="274">
        <f>(D86+D102+D118)/3</f>
        <v>23194.74</v>
      </c>
      <c r="M86" s="1544">
        <f>D87+D91+D95</f>
        <v>21800.352731513587</v>
      </c>
      <c r="N86" s="274">
        <f>ROUND(M86/3,2)</f>
        <v>7266.78</v>
      </c>
    </row>
    <row r="87" spans="1:14">
      <c r="A87" s="1264"/>
      <c r="B87" s="1265"/>
      <c r="C87" s="1266"/>
      <c r="D87" s="1266">
        <f>D86*B225%</f>
        <v>10116.15909745186</v>
      </c>
      <c r="E87" s="1236"/>
      <c r="F87" s="1266"/>
      <c r="G87" s="1248"/>
      <c r="H87" s="1267"/>
      <c r="I87" s="1249"/>
      <c r="J87" s="1241"/>
      <c r="K87" s="1246"/>
      <c r="M87" s="1531">
        <f>D88+D92+D96</f>
        <v>49628.609454396137</v>
      </c>
    </row>
    <row r="88" spans="1:14">
      <c r="A88" s="1264"/>
      <c r="B88" s="1265"/>
      <c r="C88" s="1266"/>
      <c r="D88" s="1266">
        <f>B226*D86%</f>
        <v>16554.683960319009</v>
      </c>
      <c r="E88" s="1236"/>
      <c r="F88" s="1266"/>
      <c r="G88" s="1248"/>
      <c r="H88" s="1267"/>
      <c r="I88" s="1249"/>
      <c r="J88" s="1241"/>
      <c r="K88" s="1246"/>
      <c r="M88" s="1531">
        <f>D89+D93+D97</f>
        <v>10774.157814090282</v>
      </c>
    </row>
    <row r="89" spans="1:14">
      <c r="A89" s="1264"/>
      <c r="B89" s="1265"/>
      <c r="C89" s="1266"/>
      <c r="D89" s="1266">
        <f>D86*B227%</f>
        <v>730.19694222913847</v>
      </c>
      <c r="E89" s="1236"/>
      <c r="F89" s="1266"/>
      <c r="G89" s="1248"/>
      <c r="H89" s="1267"/>
      <c r="I89" s="1249"/>
      <c r="J89" s="1241"/>
      <c r="K89" s="1246"/>
      <c r="M89" s="1207" t="s">
        <v>3468</v>
      </c>
    </row>
    <row r="90" spans="1:14">
      <c r="A90" s="1264" t="s">
        <v>3515</v>
      </c>
      <c r="B90" s="1265" t="s">
        <v>3516</v>
      </c>
      <c r="C90" s="1266">
        <v>20</v>
      </c>
      <c r="D90" s="1266">
        <f>G79*E80*C90*D83</f>
        <v>28843.200000000001</v>
      </c>
      <c r="E90" s="1236">
        <f>$N$18</f>
        <v>0</v>
      </c>
      <c r="F90" s="1266">
        <f>D90*E90</f>
        <v>0</v>
      </c>
      <c r="G90" s="1248">
        <f>$N$17</f>
        <v>0</v>
      </c>
      <c r="H90" s="1267">
        <f>D90*G90</f>
        <v>0</v>
      </c>
      <c r="I90" s="1247">
        <v>16.350000000000001</v>
      </c>
      <c r="J90" s="1235">
        <f>D90*I90</f>
        <v>471586.32000000007</v>
      </c>
      <c r="K90" s="1246">
        <f>D94+D110+D126</f>
        <v>80039.88</v>
      </c>
      <c r="M90" s="1532">
        <f>D99+D103+D107+D111+D115</f>
        <v>32750.910807942797</v>
      </c>
    </row>
    <row r="91" spans="1:14">
      <c r="A91" s="1264"/>
      <c r="B91" s="1265"/>
      <c r="C91" s="1266"/>
      <c r="D91" s="1266">
        <f>D90*C225%</f>
        <v>7043.54401876466</v>
      </c>
      <c r="E91" s="1236"/>
      <c r="F91" s="1266"/>
      <c r="G91" s="1248"/>
      <c r="H91" s="1267"/>
      <c r="I91" s="1247"/>
      <c r="J91" s="1235"/>
      <c r="K91" s="1246"/>
      <c r="M91" s="1532">
        <f>D100+D104+D108+D112+D116</f>
        <v>58231.042267529105</v>
      </c>
    </row>
    <row r="92" spans="1:14">
      <c r="A92" s="1264"/>
      <c r="B92" s="1265"/>
      <c r="C92" s="1266"/>
      <c r="D92" s="1266">
        <f>D90*C226%</f>
        <v>18492.121970289285</v>
      </c>
      <c r="E92" s="1236"/>
      <c r="F92" s="1266"/>
      <c r="G92" s="1248"/>
      <c r="H92" s="1267"/>
      <c r="I92" s="1247"/>
      <c r="J92" s="1235"/>
      <c r="K92" s="1246"/>
      <c r="M92" s="1532">
        <f>D101+D105+D109+D113+D117</f>
        <v>29438.406924528092</v>
      </c>
    </row>
    <row r="93" spans="1:14">
      <c r="A93" s="1264"/>
      <c r="B93" s="1265"/>
      <c r="C93" s="1266"/>
      <c r="D93" s="1266">
        <f>D90*C227%</f>
        <v>3307.5340109460512</v>
      </c>
      <c r="E93" s="1236"/>
      <c r="F93" s="1266"/>
      <c r="G93" s="1248"/>
      <c r="H93" s="1267"/>
      <c r="I93" s="1247"/>
      <c r="J93" s="1235"/>
      <c r="K93" s="1246"/>
      <c r="M93" s="1207" t="s">
        <v>3464</v>
      </c>
    </row>
    <row r="94" spans="1:14">
      <c r="A94" s="1264" t="s">
        <v>3517</v>
      </c>
      <c r="B94" s="1265" t="s">
        <v>3389</v>
      </c>
      <c r="C94" s="1266">
        <v>18</v>
      </c>
      <c r="D94" s="1266">
        <f>G79*E80*D83*C94</f>
        <v>25958.880000000001</v>
      </c>
      <c r="E94" s="1236">
        <f>$N$18</f>
        <v>0</v>
      </c>
      <c r="F94" s="1266">
        <f>D94*E94</f>
        <v>0</v>
      </c>
      <c r="G94" s="1248">
        <f>$N$17</f>
        <v>0</v>
      </c>
      <c r="H94" s="1267">
        <f>D94*G94</f>
        <v>0</v>
      </c>
      <c r="I94" s="1247">
        <v>34.32</v>
      </c>
      <c r="J94" s="1235">
        <f>D94*I94</f>
        <v>890908.76160000009</v>
      </c>
      <c r="K94" s="1246">
        <f>D98+D114+D130</f>
        <v>82203.12</v>
      </c>
      <c r="M94" s="1532">
        <f>D119+D123+D127+D131</f>
        <v>22875.716347705194</v>
      </c>
    </row>
    <row r="95" spans="1:14">
      <c r="A95" s="1264"/>
      <c r="B95" s="1265"/>
      <c r="C95" s="1266"/>
      <c r="D95" s="1266">
        <f>D94*D225%</f>
        <v>4640.649615297064</v>
      </c>
      <c r="E95" s="1236"/>
      <c r="F95" s="1266"/>
      <c r="G95" s="1248"/>
      <c r="H95" s="1267"/>
      <c r="I95" s="1247"/>
      <c r="J95" s="1235"/>
      <c r="K95" s="1246"/>
      <c r="M95" s="1532">
        <f>D120+D124+D128+D132</f>
        <v>72568.339091338261</v>
      </c>
    </row>
    <row r="96" spans="1:14">
      <c r="A96" s="1264"/>
      <c r="B96" s="1265"/>
      <c r="C96" s="1266"/>
      <c r="D96" s="1266">
        <f>D94*D226%</f>
        <v>14581.803523787845</v>
      </c>
      <c r="E96" s="1236"/>
      <c r="F96" s="1266"/>
      <c r="G96" s="1248"/>
      <c r="H96" s="1267"/>
      <c r="I96" s="1247"/>
      <c r="J96" s="1235"/>
      <c r="K96" s="1246"/>
      <c r="M96" s="1532">
        <f>D121+D125+D129+D133</f>
        <v>18126.044560956525</v>
      </c>
    </row>
    <row r="97" spans="1:12">
      <c r="A97" s="1264"/>
      <c r="B97" s="1265"/>
      <c r="C97" s="1266"/>
      <c r="D97" s="1266">
        <f>D94*D227%</f>
        <v>6736.4268609150922</v>
      </c>
      <c r="E97" s="1236"/>
      <c r="F97" s="1266"/>
      <c r="G97" s="1248"/>
      <c r="H97" s="1267"/>
      <c r="I97" s="1247"/>
      <c r="J97" s="1235"/>
      <c r="K97" s="1246"/>
    </row>
    <row r="98" spans="1:12">
      <c r="A98" s="1264" t="s">
        <v>3520</v>
      </c>
      <c r="B98" s="1265" t="s">
        <v>3521</v>
      </c>
      <c r="C98" s="1266">
        <v>22</v>
      </c>
      <c r="D98" s="1266">
        <f>G79*E80*D83*C98</f>
        <v>31727.52</v>
      </c>
      <c r="E98" s="1236">
        <f>$N$18</f>
        <v>0</v>
      </c>
      <c r="F98" s="1266">
        <f>D98*E98</f>
        <v>0</v>
      </c>
      <c r="G98" s="1248">
        <f>$N$17</f>
        <v>0</v>
      </c>
      <c r="H98" s="1267">
        <f>D98*G98</f>
        <v>0</v>
      </c>
      <c r="I98" s="1247">
        <v>4.66</v>
      </c>
      <c r="J98" s="1235">
        <f>D98*I98</f>
        <v>147850.2432</v>
      </c>
      <c r="K98" s="1246">
        <f>K86+K90+K94</f>
        <v>246609.36</v>
      </c>
      <c r="L98" s="1245">
        <f>D86+D102+D118</f>
        <v>69584.22</v>
      </c>
    </row>
    <row r="99" spans="1:12">
      <c r="A99" s="1264"/>
      <c r="B99" s="1265"/>
      <c r="C99" s="1266"/>
      <c r="D99" s="1266">
        <f>D98*E225%</f>
        <v>5727.8146995484549</v>
      </c>
      <c r="E99" s="1236"/>
      <c r="F99" s="1266"/>
      <c r="G99" s="1248"/>
      <c r="H99" s="1267"/>
      <c r="I99" s="1247"/>
      <c r="J99" s="1235"/>
      <c r="K99" s="1246"/>
      <c r="L99" s="1245"/>
    </row>
    <row r="100" spans="1:12">
      <c r="A100" s="1264"/>
      <c r="B100" s="1265"/>
      <c r="C100" s="1266"/>
      <c r="D100" s="1266">
        <f>D98*E226%</f>
        <v>19577.610031260854</v>
      </c>
      <c r="E100" s="1236"/>
      <c r="F100" s="1266"/>
      <c r="G100" s="1248"/>
      <c r="H100" s="1267"/>
      <c r="I100" s="1247"/>
      <c r="J100" s="1235"/>
      <c r="K100" s="1246"/>
      <c r="L100" s="1245"/>
    </row>
    <row r="101" spans="1:12">
      <c r="A101" s="1264"/>
      <c r="B101" s="1265"/>
      <c r="C101" s="1266"/>
      <c r="D101" s="1266">
        <f>D98*E227%</f>
        <v>6422.0952691906905</v>
      </c>
      <c r="E101" s="1236"/>
      <c r="F101" s="1266"/>
      <c r="G101" s="1248"/>
      <c r="H101" s="1267"/>
      <c r="I101" s="1247"/>
      <c r="J101" s="1235"/>
      <c r="K101" s="1246"/>
      <c r="L101" s="1245"/>
    </row>
    <row r="102" spans="1:12">
      <c r="A102" s="1264" t="s">
        <v>3522</v>
      </c>
      <c r="B102" s="1265" t="s">
        <v>3391</v>
      </c>
      <c r="C102" s="1266">
        <v>18</v>
      </c>
      <c r="D102" s="1266">
        <f>G79*E80*D82*C102</f>
        <v>19469.159999999996</v>
      </c>
      <c r="E102" s="1236">
        <f>$N$18</f>
        <v>0</v>
      </c>
      <c r="F102" s="1266">
        <f>D102*E102</f>
        <v>0</v>
      </c>
      <c r="G102" s="1248">
        <f>$N$17</f>
        <v>0</v>
      </c>
      <c r="H102" s="1267">
        <f>D102*G102</f>
        <v>0</v>
      </c>
      <c r="I102" s="1250">
        <f>$T$15</f>
        <v>0</v>
      </c>
      <c r="J102" s="1241">
        <f>SUM(J106:J114)</f>
        <v>1306532.0628</v>
      </c>
    </row>
    <row r="103" spans="1:12">
      <c r="A103" s="1264"/>
      <c r="B103" s="1265"/>
      <c r="C103" s="1266"/>
      <c r="D103" s="1266">
        <f>D102*F225%</f>
        <v>3744.7273220338971</v>
      </c>
      <c r="E103" s="1236"/>
      <c r="F103" s="1266"/>
      <c r="G103" s="1248"/>
      <c r="H103" s="1267"/>
      <c r="I103" s="1250"/>
      <c r="J103" s="1241"/>
    </row>
    <row r="104" spans="1:12">
      <c r="A104" s="1264"/>
      <c r="B104" s="1265"/>
      <c r="C104" s="1266"/>
      <c r="D104" s="1266">
        <f>D102*F226%</f>
        <v>10654.873627118641</v>
      </c>
      <c r="E104" s="1236"/>
      <c r="F104" s="1266"/>
      <c r="G104" s="1248"/>
      <c r="H104" s="1267"/>
      <c r="I104" s="1250"/>
      <c r="J104" s="1241"/>
    </row>
    <row r="105" spans="1:12">
      <c r="A105" s="1264"/>
      <c r="B105" s="1265"/>
      <c r="C105" s="1266"/>
      <c r="D105" s="1266">
        <f>D102*F227%</f>
        <v>5069.5590508474561</v>
      </c>
      <c r="E105" s="1236"/>
      <c r="F105" s="1266"/>
      <c r="G105" s="1248"/>
      <c r="H105" s="1267"/>
      <c r="I105" s="1250"/>
      <c r="J105" s="1241"/>
    </row>
    <row r="106" spans="1:12">
      <c r="A106" s="1264" t="s">
        <v>3523</v>
      </c>
      <c r="B106" s="1265" t="s">
        <v>3392</v>
      </c>
      <c r="C106" s="1266">
        <v>22</v>
      </c>
      <c r="D106" s="1266">
        <f>G79*E80*D82*C106</f>
        <v>23795.64</v>
      </c>
      <c r="E106" s="1236">
        <f>$N$18</f>
        <v>0</v>
      </c>
      <c r="F106" s="1266">
        <f>D106*E106</f>
        <v>0</v>
      </c>
      <c r="G106" s="1248">
        <f>$N$17</f>
        <v>0</v>
      </c>
      <c r="H106" s="1267">
        <f>D106*G106</f>
        <v>0</v>
      </c>
      <c r="I106" s="1247">
        <v>16.350000000000001</v>
      </c>
      <c r="J106" s="1235">
        <f>D106*I106</f>
        <v>389058.71400000004</v>
      </c>
    </row>
    <row r="107" spans="1:12">
      <c r="A107" s="1264"/>
      <c r="B107" s="1265"/>
      <c r="C107" s="1266"/>
      <c r="D107" s="1266">
        <f>D106*G225%</f>
        <v>5567.281811320755</v>
      </c>
      <c r="E107" s="1236"/>
      <c r="F107" s="1266"/>
      <c r="G107" s="1248"/>
      <c r="H107" s="1267"/>
      <c r="I107" s="1247"/>
      <c r="J107" s="1235"/>
    </row>
    <row r="108" spans="1:12">
      <c r="A108" s="1264"/>
      <c r="B108" s="1265"/>
      <c r="C108" s="1266"/>
      <c r="D108" s="1266">
        <f>D106*G226%</f>
        <v>11332.11233207547</v>
      </c>
      <c r="E108" s="1236"/>
      <c r="F108" s="1266"/>
      <c r="G108" s="1248"/>
      <c r="H108" s="1267"/>
      <c r="I108" s="1247"/>
      <c r="J108" s="1235"/>
    </row>
    <row r="109" spans="1:12">
      <c r="A109" s="1264"/>
      <c r="B109" s="1265"/>
      <c r="C109" s="1266"/>
      <c r="D109" s="1266">
        <f>D106*G227%</f>
        <v>6896.245856603774</v>
      </c>
      <c r="E109" s="1236"/>
      <c r="F109" s="1266"/>
      <c r="G109" s="1248"/>
      <c r="H109" s="1267"/>
      <c r="I109" s="1247"/>
      <c r="J109" s="1235"/>
    </row>
    <row r="110" spans="1:12">
      <c r="A110" s="1264" t="s">
        <v>3524</v>
      </c>
      <c r="B110" s="1265" t="s">
        <v>3393</v>
      </c>
      <c r="C110" s="1266">
        <v>22</v>
      </c>
      <c r="D110" s="1266">
        <f>G79*E80*D82*C110</f>
        <v>23795.64</v>
      </c>
      <c r="E110" s="1236">
        <f>$N$18</f>
        <v>0</v>
      </c>
      <c r="F110" s="1266">
        <f>D110*E110</f>
        <v>0</v>
      </c>
      <c r="G110" s="1248">
        <f>$N$17</f>
        <v>0</v>
      </c>
      <c r="H110" s="1267">
        <f>D110*G110</f>
        <v>0</v>
      </c>
      <c r="I110" s="1247">
        <v>34.32</v>
      </c>
      <c r="J110" s="1235">
        <f>D110*I110</f>
        <v>816666.36479999998</v>
      </c>
    </row>
    <row r="111" spans="1:12">
      <c r="A111" s="1264"/>
      <c r="B111" s="1265"/>
      <c r="C111" s="1266"/>
      <c r="D111" s="1266">
        <f>D110*H225%</f>
        <v>9480.6602782071095</v>
      </c>
      <c r="E111" s="1236"/>
      <c r="F111" s="1266"/>
      <c r="G111" s="1248"/>
      <c r="H111" s="1267"/>
      <c r="I111" s="1247"/>
      <c r="J111" s="1235"/>
    </row>
    <row r="112" spans="1:12">
      <c r="A112" s="1264"/>
      <c r="B112" s="1265"/>
      <c r="C112" s="1266"/>
      <c r="D112" s="1266">
        <f>D110*H226%</f>
        <v>9202.7788562596597</v>
      </c>
      <c r="E112" s="1236"/>
      <c r="F112" s="1266"/>
      <c r="G112" s="1248"/>
      <c r="H112" s="1267"/>
      <c r="I112" s="1247"/>
      <c r="J112" s="1235"/>
    </row>
    <row r="113" spans="1:11">
      <c r="A113" s="1264"/>
      <c r="B113" s="1265"/>
      <c r="C113" s="1266"/>
      <c r="D113" s="1266">
        <f>D110*H227%</f>
        <v>5112.2008655332302</v>
      </c>
      <c r="E113" s="1236"/>
      <c r="F113" s="1266"/>
      <c r="G113" s="1248"/>
      <c r="H113" s="1267"/>
      <c r="I113" s="1247"/>
      <c r="J113" s="1235"/>
    </row>
    <row r="114" spans="1:11">
      <c r="A114" s="1264" t="s">
        <v>3525</v>
      </c>
      <c r="B114" s="1265" t="s">
        <v>3526</v>
      </c>
      <c r="C114" s="1266">
        <v>20</v>
      </c>
      <c r="D114" s="1266">
        <f>G79*E80*D82*C114</f>
        <v>21632.399999999998</v>
      </c>
      <c r="E114" s="1236">
        <f>$N$18</f>
        <v>0</v>
      </c>
      <c r="F114" s="1266">
        <f>D114*E114</f>
        <v>0</v>
      </c>
      <c r="G114" s="1248">
        <f>$N$17</f>
        <v>0</v>
      </c>
      <c r="H114" s="1267">
        <f>D114*G114</f>
        <v>0</v>
      </c>
      <c r="I114" s="1247">
        <v>4.66</v>
      </c>
      <c r="J114" s="1235">
        <f>D114*I114</f>
        <v>100806.984</v>
      </c>
    </row>
    <row r="115" spans="1:11">
      <c r="A115" s="1264"/>
      <c r="B115" s="1265"/>
      <c r="C115" s="1266"/>
      <c r="D115" s="1266">
        <f>D114*I225%</f>
        <v>8230.4266968325792</v>
      </c>
      <c r="E115" s="1236"/>
      <c r="F115" s="1266"/>
      <c r="G115" s="1248"/>
      <c r="H115" s="1267"/>
      <c r="I115" s="1247"/>
      <c r="J115" s="1235"/>
    </row>
    <row r="116" spans="1:11">
      <c r="A116" s="1264"/>
      <c r="B116" s="1265"/>
      <c r="C116" s="1266"/>
      <c r="D116" s="1266">
        <f>D114*I226%</f>
        <v>7463.6674208144786</v>
      </c>
      <c r="E116" s="1236"/>
      <c r="F116" s="1266"/>
      <c r="G116" s="1248"/>
      <c r="H116" s="1267"/>
      <c r="I116" s="1247"/>
      <c r="J116" s="1235"/>
    </row>
    <row r="117" spans="1:11">
      <c r="A117" s="1264"/>
      <c r="B117" s="1265"/>
      <c r="C117" s="1266"/>
      <c r="D117" s="1266">
        <f>D114*I227%</f>
        <v>5938.3058823529409</v>
      </c>
      <c r="E117" s="1236"/>
      <c r="F117" s="1266"/>
      <c r="G117" s="1248"/>
      <c r="H117" s="1267"/>
      <c r="I117" s="1247"/>
      <c r="J117" s="1235"/>
    </row>
    <row r="118" spans="1:11">
      <c r="A118" s="1264" t="s">
        <v>3527</v>
      </c>
      <c r="B118" s="1265" t="s">
        <v>3528</v>
      </c>
      <c r="C118" s="1266">
        <v>21</v>
      </c>
      <c r="D118" s="1266">
        <f>G79*E80*D82*C118</f>
        <v>22714.019999999997</v>
      </c>
      <c r="E118" s="1236">
        <f>$N$18</f>
        <v>0</v>
      </c>
      <c r="F118" s="1268">
        <f>SUM(D118*E118)</f>
        <v>0</v>
      </c>
      <c r="G118" s="1248">
        <f>$N$17</f>
        <v>0</v>
      </c>
      <c r="H118" s="1267">
        <f>D118*G118</f>
        <v>0</v>
      </c>
      <c r="I118" s="1250">
        <f>$T$15</f>
        <v>0</v>
      </c>
      <c r="J118" s="1241">
        <f>SUM(J122:J130)</f>
        <v>1692547.8192</v>
      </c>
      <c r="K118" s="1246">
        <f>J86+J102+J118</f>
        <v>4509425.2067999998</v>
      </c>
    </row>
    <row r="119" spans="1:11">
      <c r="A119" s="1264"/>
      <c r="B119" s="1265"/>
      <c r="C119" s="1266"/>
      <c r="D119" s="1266">
        <f>D118*J225%</f>
        <v>4847.3510934479928</v>
      </c>
      <c r="E119" s="1236"/>
      <c r="F119" s="1268"/>
      <c r="G119" s="1248"/>
      <c r="H119" s="1267"/>
      <c r="I119" s="1250"/>
      <c r="J119" s="1241"/>
      <c r="K119" s="1246"/>
    </row>
    <row r="120" spans="1:11">
      <c r="A120" s="1264"/>
      <c r="B120" s="1265"/>
      <c r="C120" s="1266"/>
      <c r="D120" s="1266">
        <f>D118*J226%</f>
        <v>14510.124198699723</v>
      </c>
      <c r="E120" s="1236"/>
      <c r="F120" s="1268"/>
      <c r="G120" s="1248"/>
      <c r="H120" s="1267"/>
      <c r="I120" s="1250"/>
      <c r="J120" s="1241"/>
      <c r="K120" s="1246"/>
    </row>
    <row r="121" spans="1:11">
      <c r="A121" s="1264"/>
      <c r="B121" s="1265"/>
      <c r="C121" s="1266"/>
      <c r="D121" s="1266">
        <f>D118*J227%</f>
        <v>3356.5447078522766</v>
      </c>
      <c r="E121" s="1236"/>
      <c r="F121" s="1268"/>
      <c r="G121" s="1248"/>
      <c r="H121" s="1267"/>
      <c r="I121" s="1250"/>
      <c r="J121" s="1241"/>
      <c r="K121" s="1246"/>
    </row>
    <row r="122" spans="1:11">
      <c r="A122" s="1264" t="s">
        <v>3529</v>
      </c>
      <c r="B122" s="1265" t="s">
        <v>3530</v>
      </c>
      <c r="C122" s="1266">
        <v>22</v>
      </c>
      <c r="D122" s="1266">
        <f>G79*E80*D83*C122</f>
        <v>31727.52</v>
      </c>
      <c r="E122" s="1236">
        <f>$N$18</f>
        <v>0</v>
      </c>
      <c r="F122" s="1268">
        <f>SUM(D122*E122)</f>
        <v>0</v>
      </c>
      <c r="G122" s="1248">
        <f>$N$17</f>
        <v>0</v>
      </c>
      <c r="H122" s="1267">
        <f>D122*G122</f>
        <v>0</v>
      </c>
      <c r="I122" s="1247">
        <v>16.350000000000001</v>
      </c>
      <c r="J122" s="1235">
        <f>D122*I122</f>
        <v>518744.95200000005</v>
      </c>
    </row>
    <row r="123" spans="1:11">
      <c r="A123" s="1264"/>
      <c r="B123" s="1265"/>
      <c r="C123" s="1266"/>
      <c r="D123" s="1266">
        <f>D122*K225%</f>
        <v>7179.8054108723136</v>
      </c>
      <c r="E123" s="1236"/>
      <c r="F123" s="1268"/>
      <c r="G123" s="1248"/>
      <c r="H123" s="1267"/>
      <c r="I123" s="1247"/>
      <c r="J123" s="1235"/>
    </row>
    <row r="124" spans="1:11">
      <c r="A124" s="1264"/>
      <c r="B124" s="1265"/>
      <c r="C124" s="1266"/>
      <c r="D124" s="1266">
        <f>D122*K226%</f>
        <v>19562.635873040734</v>
      </c>
      <c r="E124" s="1236"/>
      <c r="F124" s="1268"/>
      <c r="G124" s="1248"/>
      <c r="H124" s="1267"/>
      <c r="I124" s="1247"/>
      <c r="J124" s="1235"/>
    </row>
    <row r="125" spans="1:11">
      <c r="A125" s="1264"/>
      <c r="B125" s="1265"/>
      <c r="C125" s="1266"/>
      <c r="D125" s="1266">
        <f>D122*K227%</f>
        <v>4985.0787160869522</v>
      </c>
      <c r="E125" s="1236"/>
      <c r="F125" s="1268"/>
      <c r="G125" s="1248"/>
      <c r="H125" s="1267"/>
      <c r="I125" s="1247"/>
      <c r="J125" s="1235"/>
    </row>
    <row r="126" spans="1:11">
      <c r="A126" s="1264" t="s">
        <v>3531</v>
      </c>
      <c r="B126" s="1265" t="s">
        <v>3532</v>
      </c>
      <c r="C126" s="1266">
        <v>21</v>
      </c>
      <c r="D126" s="1266">
        <f>G79*E80*D83*C126</f>
        <v>30285.360000000001</v>
      </c>
      <c r="E126" s="1236">
        <f>$N$18</f>
        <v>0</v>
      </c>
      <c r="F126" s="1268">
        <f>SUM(D126*E126)</f>
        <v>0</v>
      </c>
      <c r="G126" s="1248">
        <f>$N$17</f>
        <v>0</v>
      </c>
      <c r="H126" s="1267">
        <f>D126*G126</f>
        <v>0</v>
      </c>
      <c r="I126" s="1247">
        <v>34.32</v>
      </c>
      <c r="J126" s="1235">
        <f>D126*I126</f>
        <v>1039393.5552000001</v>
      </c>
    </row>
    <row r="127" spans="1:11">
      <c r="A127" s="1264"/>
      <c r="B127" s="1265"/>
      <c r="C127" s="1266"/>
      <c r="D127" s="1266">
        <f>D126*L225%</f>
        <v>5972.568500775782</v>
      </c>
      <c r="E127" s="1236"/>
      <c r="F127" s="1268"/>
      <c r="G127" s="1248"/>
      <c r="H127" s="1267"/>
      <c r="I127" s="1247"/>
      <c r="J127" s="1235"/>
    </row>
    <row r="128" spans="1:11">
      <c r="A128" s="1264"/>
      <c r="B128" s="1265"/>
      <c r="C128" s="1266"/>
      <c r="D128" s="1266">
        <f>D126*L226%</f>
        <v>20506.039494485827</v>
      </c>
      <c r="E128" s="1236"/>
      <c r="F128" s="1268"/>
      <c r="G128" s="1248"/>
      <c r="H128" s="1267"/>
      <c r="I128" s="1247"/>
      <c r="J128" s="1235"/>
    </row>
    <row r="129" spans="1:13">
      <c r="A129" s="1264"/>
      <c r="B129" s="1265"/>
      <c r="C129" s="1266"/>
      <c r="D129" s="1266">
        <f>D126*L227%</f>
        <v>3806.752004738391</v>
      </c>
      <c r="E129" s="1236"/>
      <c r="F129" s="1268"/>
      <c r="G129" s="1248"/>
      <c r="H129" s="1267"/>
      <c r="I129" s="1247"/>
      <c r="J129" s="1235"/>
    </row>
    <row r="130" spans="1:13">
      <c r="A130" s="1264" t="s">
        <v>3533</v>
      </c>
      <c r="B130" s="1265" t="s">
        <v>3534</v>
      </c>
      <c r="C130" s="1266">
        <v>20</v>
      </c>
      <c r="D130" s="1266">
        <f>G79*E80*D83*C130</f>
        <v>28843.200000000001</v>
      </c>
      <c r="E130" s="1236">
        <f>$N$18</f>
        <v>0</v>
      </c>
      <c r="F130" s="1268">
        <f>SUM(D130*E130)</f>
        <v>0</v>
      </c>
      <c r="G130" s="1248">
        <f>$N$17</f>
        <v>0</v>
      </c>
      <c r="H130" s="1267">
        <f>D130*G130</f>
        <v>0</v>
      </c>
      <c r="I130" s="1247">
        <v>4.66</v>
      </c>
      <c r="J130" s="1235">
        <f>D130*I130</f>
        <v>134409.31200000001</v>
      </c>
    </row>
    <row r="131" spans="1:13">
      <c r="A131" s="1264"/>
      <c r="B131" s="1265"/>
      <c r="C131" s="1266"/>
      <c r="D131" s="1266">
        <f>D130*M225%</f>
        <v>4875.9913426091089</v>
      </c>
      <c r="E131" s="1236"/>
      <c r="F131" s="1268"/>
      <c r="G131" s="1248"/>
      <c r="H131" s="1267"/>
      <c r="I131" s="1247"/>
      <c r="J131" s="1235"/>
    </row>
    <row r="132" spans="1:13">
      <c r="A132" s="1264"/>
      <c r="B132" s="1265"/>
      <c r="C132" s="1266"/>
      <c r="D132" s="1266">
        <f>D130*M226%</f>
        <v>17989.539525111981</v>
      </c>
      <c r="E132" s="1236"/>
      <c r="F132" s="1268"/>
      <c r="G132" s="1248"/>
      <c r="H132" s="1267"/>
      <c r="I132" s="1247"/>
      <c r="J132" s="1235"/>
    </row>
    <row r="133" spans="1:13">
      <c r="A133" s="1264"/>
      <c r="B133" s="1265"/>
      <c r="C133" s="1266"/>
      <c r="D133" s="1266">
        <f>D130*M227%</f>
        <v>5977.6691322789056</v>
      </c>
      <c r="E133" s="1236"/>
      <c r="F133" s="1268"/>
      <c r="G133" s="1248"/>
      <c r="H133" s="1267"/>
      <c r="I133" s="1247"/>
      <c r="J133" s="1235"/>
    </row>
    <row r="134" spans="1:13">
      <c r="A134" s="1264"/>
      <c r="B134" s="1269" t="s">
        <v>3535</v>
      </c>
      <c r="C134" s="1270">
        <f>SUM(C86:C130)</f>
        <v>245</v>
      </c>
      <c r="D134" s="1270">
        <f>SUM(D86:D130)</f>
        <v>603543.96</v>
      </c>
      <c r="E134" s="1271"/>
      <c r="F134" s="1270">
        <f>SUM(F86:F130)</f>
        <v>0</v>
      </c>
      <c r="G134" s="1248">
        <f>$N$17</f>
        <v>0</v>
      </c>
      <c r="H134" s="1270">
        <f>SUM(H86:H130)</f>
        <v>0</v>
      </c>
      <c r="I134" s="1238"/>
      <c r="J134" s="1235"/>
      <c r="L134" s="274" t="s">
        <v>3518</v>
      </c>
      <c r="M134" s="275" t="s">
        <v>3519</v>
      </c>
    </row>
    <row r="135" spans="1:13">
      <c r="A135" s="1243"/>
      <c r="B135" s="1243"/>
      <c r="C135" s="1244"/>
      <c r="D135" s="1243"/>
      <c r="E135" s="1244"/>
      <c r="F135" s="1244"/>
      <c r="G135" s="1243"/>
      <c r="H135" s="1243"/>
      <c r="I135" s="1238">
        <f>$T$15</f>
        <v>0</v>
      </c>
      <c r="J135" s="1235">
        <f>D135*I135</f>
        <v>0</v>
      </c>
      <c r="K135" s="275" t="s">
        <v>3468</v>
      </c>
      <c r="L135" s="1245">
        <f>D136+D140+D144+D148+D152</f>
        <v>0</v>
      </c>
      <c r="M135" s="1215">
        <f>L135/5</f>
        <v>0</v>
      </c>
    </row>
    <row r="136" spans="1:13">
      <c r="A136" s="1233"/>
      <c r="B136" s="1239">
        <f>D135+D139+D143+D147+D151</f>
        <v>0</v>
      </c>
      <c r="C136" s="1235"/>
      <c r="D136" s="1235">
        <f>D135*E176/100</f>
        <v>0</v>
      </c>
      <c r="E136" s="1236"/>
      <c r="F136" s="1235"/>
      <c r="G136" s="1237"/>
      <c r="H136" s="1237"/>
      <c r="I136" s="1238"/>
      <c r="J136" s="1235"/>
      <c r="L136" s="1245">
        <f>D137+D141+D145+D149+D153</f>
        <v>0</v>
      </c>
      <c r="M136" s="1215">
        <f>L136/5</f>
        <v>0</v>
      </c>
    </row>
    <row r="137" spans="1:13">
      <c r="A137" s="1233"/>
      <c r="B137" s="1234"/>
      <c r="C137" s="1235"/>
      <c r="D137" s="1235">
        <f>D135*E177/100</f>
        <v>0</v>
      </c>
      <c r="E137" s="1236"/>
      <c r="F137" s="1235"/>
      <c r="G137" s="1237"/>
      <c r="H137" s="1237"/>
      <c r="I137" s="1238"/>
      <c r="J137" s="1235"/>
      <c r="L137" s="1245">
        <f>D138+D142+D146+D150+D154</f>
        <v>0</v>
      </c>
      <c r="M137" s="1215">
        <f>L137/5</f>
        <v>0</v>
      </c>
    </row>
    <row r="138" spans="1:13">
      <c r="A138" s="1233"/>
      <c r="B138" s="1234"/>
      <c r="C138" s="1235"/>
      <c r="D138" s="1235">
        <f>D135*E178/100</f>
        <v>0</v>
      </c>
      <c r="E138" s="1236"/>
      <c r="F138" s="1235"/>
      <c r="G138" s="1237"/>
      <c r="H138" s="1237"/>
      <c r="I138" s="1238"/>
      <c r="J138" s="1235"/>
      <c r="L138" s="1245">
        <f>L135+L136+L137</f>
        <v>0</v>
      </c>
      <c r="M138" s="274">
        <f>L138/5</f>
        <v>0</v>
      </c>
    </row>
    <row r="139" spans="1:13">
      <c r="A139" s="1233" t="s">
        <v>3522</v>
      </c>
      <c r="B139" s="1234" t="s">
        <v>3391</v>
      </c>
      <c r="C139" s="1235">
        <v>18</v>
      </c>
      <c r="D139" s="1241">
        <f>F79*E80*D82*C139</f>
        <v>0</v>
      </c>
      <c r="E139" s="1236">
        <f>$R$16</f>
        <v>0</v>
      </c>
      <c r="F139" s="1235">
        <f>D139*E139</f>
        <v>0</v>
      </c>
      <c r="G139" s="1237">
        <f>J139*10%</f>
        <v>0</v>
      </c>
      <c r="H139" s="1237">
        <f>J139-G139</f>
        <v>0</v>
      </c>
      <c r="I139" s="1238">
        <f>$T$15</f>
        <v>0</v>
      </c>
      <c r="J139" s="1235">
        <f>D139*I139</f>
        <v>0</v>
      </c>
    </row>
    <row r="140" spans="1:13">
      <c r="A140" s="1233"/>
      <c r="B140" s="1234"/>
      <c r="C140" s="1235"/>
      <c r="D140" s="1235">
        <f>D139*F176/100</f>
        <v>0</v>
      </c>
      <c r="E140" s="1236"/>
      <c r="F140" s="1235"/>
      <c r="G140" s="1237"/>
      <c r="H140" s="1237"/>
      <c r="I140" s="1238"/>
      <c r="J140" s="1235"/>
    </row>
    <row r="141" spans="1:13">
      <c r="A141" s="1233"/>
      <c r="B141" s="1234"/>
      <c r="C141" s="1235"/>
      <c r="D141" s="1235">
        <f>D139*F177/100</f>
        <v>0</v>
      </c>
      <c r="E141" s="1236"/>
      <c r="F141" s="1235"/>
      <c r="G141" s="1237"/>
      <c r="H141" s="1237"/>
      <c r="I141" s="1238"/>
      <c r="J141" s="1235"/>
    </row>
    <row r="142" spans="1:13">
      <c r="A142" s="1233"/>
      <c r="B142" s="1234"/>
      <c r="C142" s="1235"/>
      <c r="D142" s="1235">
        <f>D139*F178/100</f>
        <v>0</v>
      </c>
      <c r="E142" s="1236"/>
      <c r="F142" s="1235"/>
      <c r="G142" s="1237"/>
      <c r="H142" s="1237"/>
      <c r="I142" s="1238"/>
      <c r="J142" s="1235"/>
    </row>
    <row r="143" spans="1:13">
      <c r="A143" s="1233" t="s">
        <v>3523</v>
      </c>
      <c r="B143" s="1234" t="s">
        <v>3392</v>
      </c>
      <c r="C143" s="1235">
        <v>22</v>
      </c>
      <c r="D143" s="1241">
        <f>F79*E80*D82*C143</f>
        <v>0</v>
      </c>
      <c r="E143" s="1236">
        <f>$R$16</f>
        <v>0</v>
      </c>
      <c r="F143" s="1235">
        <f>D143*E143</f>
        <v>0</v>
      </c>
      <c r="G143" s="1237">
        <f>J143*10%</f>
        <v>0</v>
      </c>
      <c r="H143" s="1237">
        <f>J143-G143</f>
        <v>0</v>
      </c>
      <c r="I143" s="1238">
        <f>$T$15</f>
        <v>0</v>
      </c>
      <c r="J143" s="1235">
        <f>D143*I143</f>
        <v>0</v>
      </c>
    </row>
    <row r="144" spans="1:13">
      <c r="A144" s="1233"/>
      <c r="B144" s="1234"/>
      <c r="C144" s="1235"/>
      <c r="D144" s="1235">
        <f>D143*G176/100</f>
        <v>0</v>
      </c>
      <c r="E144" s="1236"/>
      <c r="F144" s="1235"/>
      <c r="G144" s="1237"/>
      <c r="H144" s="1237"/>
      <c r="I144" s="1238"/>
      <c r="J144" s="1235"/>
    </row>
    <row r="145" spans="1:19">
      <c r="A145" s="1233"/>
      <c r="B145" s="1234"/>
      <c r="C145" s="1235"/>
      <c r="D145" s="1235">
        <f>D143*G177/100</f>
        <v>0</v>
      </c>
      <c r="E145" s="1236"/>
      <c r="F145" s="1235"/>
      <c r="G145" s="1237"/>
      <c r="H145" s="1237"/>
      <c r="I145" s="1238"/>
      <c r="J145" s="1235"/>
    </row>
    <row r="146" spans="1:19">
      <c r="A146" s="1233"/>
      <c r="B146" s="1234"/>
      <c r="C146" s="1235"/>
      <c r="D146" s="1235">
        <f>D143*G178/100</f>
        <v>0</v>
      </c>
      <c r="E146" s="1236"/>
      <c r="F146" s="1235"/>
      <c r="G146" s="1237"/>
      <c r="H146" s="1237"/>
      <c r="I146" s="1238"/>
      <c r="J146" s="1235"/>
    </row>
    <row r="147" spans="1:19">
      <c r="A147" s="1233" t="s">
        <v>3524</v>
      </c>
      <c r="B147" s="1234" t="s">
        <v>3393</v>
      </c>
      <c r="C147" s="1235">
        <v>22</v>
      </c>
      <c r="D147" s="1241">
        <f>F79*E80*D82*C147</f>
        <v>0</v>
      </c>
      <c r="E147" s="1236">
        <f>$R$16</f>
        <v>0</v>
      </c>
      <c r="F147" s="1235">
        <f>D147*E147</f>
        <v>0</v>
      </c>
      <c r="G147" s="1237">
        <f>J147*10%</f>
        <v>0</v>
      </c>
      <c r="H147" s="1237">
        <f>J147-G147</f>
        <v>0</v>
      </c>
      <c r="I147" s="1238">
        <f>$T$15</f>
        <v>0</v>
      </c>
      <c r="J147" s="1235">
        <f>D147*I147</f>
        <v>0</v>
      </c>
    </row>
    <row r="148" spans="1:19">
      <c r="A148" s="1233"/>
      <c r="B148" s="1234"/>
      <c r="C148" s="1235"/>
      <c r="D148" s="1235">
        <f>D147*H176/100</f>
        <v>0</v>
      </c>
      <c r="E148" s="1236"/>
      <c r="F148" s="1235"/>
      <c r="G148" s="1237"/>
      <c r="H148" s="1237"/>
      <c r="I148" s="1238"/>
      <c r="J148" s="1235"/>
    </row>
    <row r="149" spans="1:19" s="275" customFormat="1">
      <c r="A149" s="1233"/>
      <c r="B149" s="1234"/>
      <c r="C149" s="1235"/>
      <c r="D149" s="1235">
        <f>D147*H177/100</f>
        <v>0</v>
      </c>
      <c r="E149" s="1236"/>
      <c r="F149" s="1235"/>
      <c r="G149" s="1237"/>
      <c r="H149" s="1237"/>
      <c r="I149" s="1238"/>
      <c r="J149" s="1235"/>
      <c r="L149" s="274"/>
      <c r="M149" s="274"/>
      <c r="N149" s="274"/>
      <c r="O149" s="274"/>
      <c r="P149" s="274"/>
      <c r="Q149" s="274"/>
      <c r="R149" s="274"/>
      <c r="S149" s="274"/>
    </row>
    <row r="150" spans="1:19" s="275" customFormat="1">
      <c r="A150" s="1233"/>
      <c r="B150" s="1234"/>
      <c r="C150" s="1235"/>
      <c r="D150" s="1235">
        <f>D147*H178/100</f>
        <v>0</v>
      </c>
      <c r="E150" s="1236"/>
      <c r="F150" s="1235"/>
      <c r="G150" s="1237"/>
      <c r="H150" s="1237"/>
      <c r="I150" s="1238"/>
      <c r="J150" s="1235"/>
      <c r="L150" s="274"/>
      <c r="M150" s="274"/>
      <c r="N150" s="274"/>
      <c r="O150" s="274"/>
      <c r="P150" s="274"/>
      <c r="Q150" s="274"/>
      <c r="R150" s="274"/>
      <c r="S150" s="274"/>
    </row>
    <row r="151" spans="1:19" s="275" customFormat="1">
      <c r="A151" s="1233" t="s">
        <v>3525</v>
      </c>
      <c r="B151" s="1234" t="s">
        <v>3526</v>
      </c>
      <c r="C151" s="1235">
        <v>20</v>
      </c>
      <c r="D151" s="1241">
        <f>F79*E80*D82*C151</f>
        <v>0</v>
      </c>
      <c r="E151" s="1236">
        <f>$R$16</f>
        <v>0</v>
      </c>
      <c r="F151" s="1235">
        <f>D151*E151</f>
        <v>0</v>
      </c>
      <c r="G151" s="1237">
        <f>J151*10%</f>
        <v>0</v>
      </c>
      <c r="H151" s="1237">
        <f>J151-G151</f>
        <v>0</v>
      </c>
      <c r="I151" s="1238">
        <f>$T$15</f>
        <v>0</v>
      </c>
      <c r="J151" s="1235">
        <f>D151*I151</f>
        <v>0</v>
      </c>
      <c r="L151" s="274"/>
      <c r="M151" s="274"/>
      <c r="N151" s="274"/>
      <c r="O151" s="274"/>
      <c r="P151" s="274"/>
      <c r="Q151" s="274"/>
      <c r="R151" s="274"/>
      <c r="S151" s="274"/>
    </row>
    <row r="152" spans="1:19" s="275" customFormat="1">
      <c r="A152" s="1233"/>
      <c r="B152" s="1234"/>
      <c r="C152" s="1235"/>
      <c r="D152" s="1235">
        <f>D151*I176/100</f>
        <v>0</v>
      </c>
      <c r="E152" s="1236"/>
      <c r="F152" s="1235"/>
      <c r="G152" s="1237"/>
      <c r="H152" s="1237"/>
      <c r="I152" s="1238"/>
      <c r="J152" s="1235"/>
      <c r="L152" s="274"/>
      <c r="M152" s="274"/>
      <c r="N152" s="274"/>
      <c r="O152" s="274"/>
      <c r="P152" s="274"/>
      <c r="Q152" s="274"/>
      <c r="R152" s="274"/>
      <c r="S152" s="274"/>
    </row>
    <row r="153" spans="1:19" s="275" customFormat="1">
      <c r="A153" s="1233"/>
      <c r="B153" s="1234"/>
      <c r="C153" s="1235"/>
      <c r="D153" s="1235">
        <f>D151*I177/100</f>
        <v>0</v>
      </c>
      <c r="E153" s="1236"/>
      <c r="F153" s="1235"/>
      <c r="G153" s="1237"/>
      <c r="H153" s="1237"/>
      <c r="I153" s="1238"/>
      <c r="J153" s="1235"/>
      <c r="L153" s="274"/>
      <c r="M153" s="274"/>
      <c r="N153" s="274"/>
      <c r="O153" s="274"/>
      <c r="P153" s="274"/>
      <c r="Q153" s="274"/>
      <c r="R153" s="274"/>
      <c r="S153" s="274"/>
    </row>
    <row r="154" spans="1:19" s="275" customFormat="1">
      <c r="A154" s="1233"/>
      <c r="B154" s="1234"/>
      <c r="C154" s="1235"/>
      <c r="D154" s="1235">
        <f>D151*I178/100</f>
        <v>0</v>
      </c>
      <c r="E154" s="1236"/>
      <c r="F154" s="1235"/>
      <c r="G154" s="1237"/>
      <c r="H154" s="1237"/>
      <c r="I154" s="1238"/>
      <c r="J154" s="1235"/>
      <c r="L154" s="274"/>
      <c r="M154" s="274"/>
      <c r="N154" s="274"/>
      <c r="O154" s="274"/>
      <c r="P154" s="274"/>
      <c r="Q154" s="274"/>
      <c r="R154" s="274"/>
      <c r="S154" s="274"/>
    </row>
    <row r="155" spans="1:19" s="275" customFormat="1">
      <c r="A155" s="1233" t="s">
        <v>3527</v>
      </c>
      <c r="B155" s="1234" t="s">
        <v>3528</v>
      </c>
      <c r="C155" s="1235">
        <v>21</v>
      </c>
      <c r="D155" s="1241">
        <f>F79*E80*D82*C155</f>
        <v>0</v>
      </c>
      <c r="E155" s="1236">
        <f>$R$16</f>
        <v>0</v>
      </c>
      <c r="F155" s="1239">
        <f>D155*E155</f>
        <v>0</v>
      </c>
      <c r="G155" s="1237">
        <f>J155*10%</f>
        <v>0</v>
      </c>
      <c r="H155" s="1237">
        <f>J155-G155</f>
        <v>0</v>
      </c>
      <c r="I155" s="1238">
        <f>$T$15</f>
        <v>0</v>
      </c>
      <c r="J155" s="1239">
        <f>SUM(D155*I155)</f>
        <v>0</v>
      </c>
      <c r="L155" s="274"/>
      <c r="M155" s="274"/>
      <c r="N155" s="274"/>
      <c r="O155" s="274"/>
      <c r="P155" s="274"/>
      <c r="Q155" s="274"/>
      <c r="R155" s="274"/>
      <c r="S155" s="274"/>
    </row>
    <row r="156" spans="1:19" s="275" customFormat="1">
      <c r="A156" s="1233"/>
      <c r="B156" s="1234"/>
      <c r="C156" s="1235"/>
      <c r="D156" s="1241"/>
      <c r="E156" s="1236"/>
      <c r="F156" s="1239"/>
      <c r="G156" s="1237"/>
      <c r="H156" s="1237"/>
      <c r="I156" s="1238"/>
      <c r="J156" s="1239"/>
      <c r="L156" s="274"/>
      <c r="M156" s="274"/>
      <c r="N156" s="274"/>
      <c r="O156" s="274"/>
      <c r="P156" s="274"/>
      <c r="Q156" s="274"/>
      <c r="R156" s="274"/>
      <c r="S156" s="274"/>
    </row>
    <row r="157" spans="1:19" s="275" customFormat="1">
      <c r="A157" s="1233"/>
      <c r="B157" s="1234"/>
      <c r="C157" s="1235"/>
      <c r="D157" s="1241"/>
      <c r="E157" s="1236"/>
      <c r="F157" s="1239"/>
      <c r="G157" s="1237"/>
      <c r="H157" s="1237"/>
      <c r="I157" s="1238"/>
      <c r="J157" s="1239"/>
      <c r="L157" s="274"/>
      <c r="M157" s="274"/>
      <c r="N157" s="274"/>
      <c r="O157" s="274"/>
      <c r="P157" s="274"/>
      <c r="Q157" s="274"/>
      <c r="R157" s="274"/>
      <c r="S157" s="274"/>
    </row>
    <row r="158" spans="1:19" s="275" customFormat="1">
      <c r="A158" s="1233"/>
      <c r="B158" s="1234"/>
      <c r="C158" s="1235"/>
      <c r="D158" s="1241"/>
      <c r="E158" s="1236"/>
      <c r="F158" s="1239"/>
      <c r="G158" s="1237"/>
      <c r="H158" s="1237"/>
      <c r="I158" s="1238"/>
      <c r="J158" s="1239"/>
      <c r="L158" s="274"/>
      <c r="M158" s="274"/>
      <c r="N158" s="274"/>
      <c r="O158" s="274"/>
      <c r="P158" s="274"/>
      <c r="Q158" s="274"/>
      <c r="R158" s="274"/>
      <c r="S158" s="274"/>
    </row>
    <row r="159" spans="1:19" s="275" customFormat="1">
      <c r="A159" s="1233" t="s">
        <v>3529</v>
      </c>
      <c r="B159" s="1234" t="s">
        <v>3530</v>
      </c>
      <c r="C159" s="1235">
        <v>22</v>
      </c>
      <c r="D159" s="1241">
        <f>F79*E80*D83*C159</f>
        <v>0</v>
      </c>
      <c r="E159" s="1236">
        <f>$R$16</f>
        <v>0</v>
      </c>
      <c r="F159" s="1239">
        <f>D159*E159</f>
        <v>0</v>
      </c>
      <c r="G159" s="1237">
        <f>J159*10%</f>
        <v>0</v>
      </c>
      <c r="H159" s="1237">
        <f>J159-G159</f>
        <v>0</v>
      </c>
      <c r="I159" s="1238">
        <f>$T$15</f>
        <v>0</v>
      </c>
      <c r="J159" s="1239">
        <f>SUM(D159*I159)</f>
        <v>0</v>
      </c>
      <c r="L159" s="274"/>
      <c r="M159" s="274"/>
      <c r="N159" s="274"/>
      <c r="O159" s="274"/>
      <c r="P159" s="274"/>
      <c r="Q159" s="274"/>
      <c r="R159" s="274"/>
      <c r="S159" s="274"/>
    </row>
    <row r="160" spans="1:19" s="275" customFormat="1">
      <c r="A160" s="1233"/>
      <c r="B160" s="1234"/>
      <c r="C160" s="1235"/>
      <c r="D160" s="1241"/>
      <c r="E160" s="1236"/>
      <c r="F160" s="1239"/>
      <c r="G160" s="1237"/>
      <c r="H160" s="1237"/>
      <c r="I160" s="1238"/>
      <c r="J160" s="1239"/>
      <c r="L160" s="274"/>
      <c r="M160" s="274"/>
      <c r="N160" s="274"/>
      <c r="O160" s="274"/>
      <c r="P160" s="274"/>
      <c r="Q160" s="274"/>
      <c r="R160" s="274"/>
      <c r="S160" s="274"/>
    </row>
    <row r="161" spans="1:19" s="275" customFormat="1">
      <c r="A161" s="1233"/>
      <c r="B161" s="1234"/>
      <c r="C161" s="1235"/>
      <c r="D161" s="1241"/>
      <c r="E161" s="1236"/>
      <c r="F161" s="1239"/>
      <c r="G161" s="1237"/>
      <c r="H161" s="1237"/>
      <c r="I161" s="1238"/>
      <c r="J161" s="1239"/>
      <c r="L161" s="274"/>
      <c r="M161" s="274"/>
      <c r="N161" s="274"/>
      <c r="O161" s="274"/>
      <c r="P161" s="274"/>
      <c r="Q161" s="274"/>
      <c r="R161" s="274"/>
      <c r="S161" s="274"/>
    </row>
    <row r="162" spans="1:19" s="275" customFormat="1">
      <c r="A162" s="1233"/>
      <c r="B162" s="1234"/>
      <c r="C162" s="1235"/>
      <c r="D162" s="1241"/>
      <c r="E162" s="1236"/>
      <c r="F162" s="1239"/>
      <c r="G162" s="1237"/>
      <c r="H162" s="1237"/>
      <c r="I162" s="1238"/>
      <c r="J162" s="1239"/>
      <c r="L162" s="274"/>
      <c r="M162" s="274"/>
      <c r="N162" s="274"/>
      <c r="O162" s="274"/>
      <c r="P162" s="274"/>
      <c r="Q162" s="274"/>
      <c r="R162" s="274"/>
      <c r="S162" s="274"/>
    </row>
    <row r="163" spans="1:19" s="275" customFormat="1">
      <c r="A163" s="1233" t="s">
        <v>3531</v>
      </c>
      <c r="B163" s="1234" t="s">
        <v>3532</v>
      </c>
      <c r="C163" s="1235">
        <v>21</v>
      </c>
      <c r="D163" s="1241">
        <f>F79*E80*D83*C163</f>
        <v>0</v>
      </c>
      <c r="E163" s="1236">
        <f>$R$16</f>
        <v>0</v>
      </c>
      <c r="F163" s="1239">
        <f>D163*E163</f>
        <v>0</v>
      </c>
      <c r="G163" s="1237">
        <f>J163*10%</f>
        <v>0</v>
      </c>
      <c r="H163" s="1237">
        <f>J163-G163</f>
        <v>0</v>
      </c>
      <c r="I163" s="1238">
        <f>$T$15</f>
        <v>0</v>
      </c>
      <c r="J163" s="1239">
        <f>SUM(D163*I163)</f>
        <v>0</v>
      </c>
      <c r="L163" s="274"/>
      <c r="M163" s="274"/>
      <c r="N163" s="274"/>
      <c r="O163" s="274"/>
      <c r="P163" s="274"/>
      <c r="Q163" s="274"/>
      <c r="R163" s="274"/>
      <c r="S163" s="274"/>
    </row>
    <row r="164" spans="1:19" s="275" customFormat="1">
      <c r="A164" s="1233"/>
      <c r="B164" s="1234"/>
      <c r="C164" s="1235"/>
      <c r="D164" s="1241"/>
      <c r="E164" s="1236"/>
      <c r="F164" s="1239"/>
      <c r="G164" s="1237"/>
      <c r="H164" s="1237"/>
      <c r="I164" s="1238"/>
      <c r="J164" s="1239"/>
      <c r="L164" s="274"/>
      <c r="M164" s="274"/>
      <c r="N164" s="274"/>
      <c r="O164" s="274"/>
      <c r="P164" s="274"/>
      <c r="Q164" s="274"/>
      <c r="R164" s="274"/>
      <c r="S164" s="274"/>
    </row>
    <row r="165" spans="1:19" s="275" customFormat="1">
      <c r="A165" s="1233"/>
      <c r="B165" s="1234"/>
      <c r="C165" s="1235"/>
      <c r="D165" s="1241"/>
      <c r="E165" s="1236"/>
      <c r="F165" s="1239"/>
      <c r="G165" s="1237"/>
      <c r="H165" s="1237"/>
      <c r="I165" s="1238"/>
      <c r="J165" s="1239"/>
      <c r="L165" s="274"/>
      <c r="M165" s="274"/>
      <c r="N165" s="274"/>
      <c r="O165" s="274"/>
      <c r="P165" s="274"/>
      <c r="Q165" s="274"/>
      <c r="R165" s="274"/>
      <c r="S165" s="274"/>
    </row>
    <row r="166" spans="1:19" s="275" customFormat="1">
      <c r="A166" s="1233"/>
      <c r="B166" s="1234"/>
      <c r="C166" s="1235"/>
      <c r="D166" s="1241"/>
      <c r="E166" s="1236"/>
      <c r="F166" s="1239"/>
      <c r="G166" s="1237"/>
      <c r="H166" s="1237"/>
      <c r="I166" s="1238"/>
      <c r="J166" s="1239"/>
      <c r="L166" s="274"/>
      <c r="M166" s="274"/>
      <c r="N166" s="274"/>
      <c r="O166" s="274"/>
      <c r="P166" s="274"/>
      <c r="Q166" s="274"/>
      <c r="R166" s="274"/>
      <c r="S166" s="274"/>
    </row>
    <row r="167" spans="1:19" s="275" customFormat="1">
      <c r="A167" s="1233" t="s">
        <v>3533</v>
      </c>
      <c r="B167" s="1234" t="s">
        <v>3534</v>
      </c>
      <c r="C167" s="1235">
        <v>20</v>
      </c>
      <c r="D167" s="1241">
        <f>F79*E80*D83*C167</f>
        <v>0</v>
      </c>
      <c r="E167" s="1236">
        <f>$R$16</f>
        <v>0</v>
      </c>
      <c r="F167" s="1239">
        <f>D167*E167</f>
        <v>0</v>
      </c>
      <c r="G167" s="1237">
        <f>J167*10%</f>
        <v>0</v>
      </c>
      <c r="H167" s="1237">
        <f>J167-G167</f>
        <v>0</v>
      </c>
      <c r="I167" s="1238">
        <f>$T$15</f>
        <v>0</v>
      </c>
      <c r="J167" s="1239">
        <f>SUM(D167*I167)</f>
        <v>0</v>
      </c>
      <c r="L167" s="274"/>
      <c r="M167" s="274"/>
      <c r="N167" s="274"/>
      <c r="O167" s="274"/>
      <c r="P167" s="274"/>
      <c r="Q167" s="274"/>
      <c r="R167" s="274"/>
      <c r="S167" s="274"/>
    </row>
    <row r="168" spans="1:19" s="275" customFormat="1">
      <c r="A168" s="1233"/>
      <c r="B168" s="1240" t="s">
        <v>3535</v>
      </c>
      <c r="C168" s="1241">
        <f>SUM(C86:C167)</f>
        <v>656</v>
      </c>
      <c r="D168" s="1241">
        <f>SUM(D86:D167)</f>
        <v>1235931.1200000001</v>
      </c>
      <c r="E168" s="376"/>
      <c r="F168" s="1241">
        <f>SUM(F86:F167)</f>
        <v>0</v>
      </c>
      <c r="G168" s="1242">
        <f>SUM(G86:G167)</f>
        <v>0</v>
      </c>
      <c r="H168" s="1242">
        <f>SUM(H86:H167)</f>
        <v>0</v>
      </c>
      <c r="I168" s="1242"/>
      <c r="J168" s="1241">
        <f>SUM(J86:J167)</f>
        <v>9018850.4135999996</v>
      </c>
      <c r="L168" s="274"/>
      <c r="M168" s="274"/>
      <c r="N168" s="274"/>
      <c r="O168" s="274"/>
      <c r="P168" s="274"/>
      <c r="Q168" s="274"/>
      <c r="R168" s="274"/>
      <c r="S168" s="274"/>
    </row>
    <row r="169" spans="1:19" s="275" customFormat="1">
      <c r="A169" s="1243"/>
      <c r="B169" s="1243"/>
      <c r="C169" s="1244"/>
      <c r="D169" s="1243"/>
      <c r="E169" s="1244"/>
      <c r="F169" s="1244"/>
      <c r="G169" s="1243"/>
      <c r="H169" s="1243"/>
      <c r="I169"/>
      <c r="J169"/>
      <c r="L169" s="274"/>
      <c r="M169" s="274"/>
      <c r="N169" s="274"/>
      <c r="O169" s="274"/>
      <c r="P169" s="274"/>
      <c r="Q169" s="274"/>
      <c r="R169" s="274"/>
      <c r="S169" s="274"/>
    </row>
    <row r="170" spans="1:19" s="275" customFormat="1">
      <c r="A170" s="274"/>
      <c r="B170" s="1206" t="s">
        <v>3471</v>
      </c>
      <c r="C170" s="1206" t="s">
        <v>3472</v>
      </c>
      <c r="D170" s="1206" t="s">
        <v>3389</v>
      </c>
      <c r="E170" s="1206" t="s">
        <v>3390</v>
      </c>
      <c r="F170" s="1206" t="s">
        <v>3391</v>
      </c>
      <c r="G170" s="1206" t="s">
        <v>3392</v>
      </c>
      <c r="H170" s="1206" t="s">
        <v>3393</v>
      </c>
      <c r="I170" s="275" t="s">
        <v>3394</v>
      </c>
      <c r="L170" s="274"/>
      <c r="M170" s="274"/>
      <c r="N170" s="274"/>
      <c r="O170" s="274"/>
      <c r="P170" s="274"/>
      <c r="Q170" s="274"/>
      <c r="R170" s="274"/>
      <c r="S170" s="274"/>
    </row>
    <row r="171" spans="1:19" s="275" customFormat="1">
      <c r="A171" s="274"/>
      <c r="B171" s="274">
        <v>4526</v>
      </c>
      <c r="C171" s="274">
        <v>157395</v>
      </c>
      <c r="D171" s="274">
        <v>56614</v>
      </c>
      <c r="E171" s="274">
        <v>45335</v>
      </c>
      <c r="F171" s="274">
        <v>30090</v>
      </c>
      <c r="G171" s="274">
        <v>22175</v>
      </c>
      <c r="H171" s="274">
        <v>22175</v>
      </c>
      <c r="I171" s="275">
        <v>2747</v>
      </c>
      <c r="L171" s="274"/>
      <c r="M171" s="274"/>
      <c r="N171" s="274"/>
      <c r="O171" s="274"/>
      <c r="P171" s="274"/>
      <c r="Q171" s="274"/>
      <c r="R171" s="274"/>
      <c r="S171" s="274"/>
    </row>
    <row r="172" spans="1:19" s="275" customFormat="1">
      <c r="A172" s="274"/>
      <c r="B172" s="274">
        <v>32435</v>
      </c>
      <c r="C172" s="274">
        <v>31458</v>
      </c>
      <c r="D172" s="274">
        <v>9354</v>
      </c>
      <c r="E172" s="274">
        <v>6612</v>
      </c>
      <c r="F172" s="274">
        <v>4121</v>
      </c>
      <c r="G172" s="274">
        <v>3183</v>
      </c>
      <c r="H172" s="274">
        <v>3183</v>
      </c>
      <c r="I172" s="275">
        <v>1927</v>
      </c>
      <c r="L172" s="274"/>
      <c r="M172" s="274"/>
      <c r="N172" s="274"/>
      <c r="O172" s="274"/>
      <c r="P172" s="274"/>
      <c r="Q172" s="274"/>
      <c r="R172" s="274"/>
      <c r="S172" s="274"/>
    </row>
    <row r="173" spans="1:19" s="275" customFormat="1">
      <c r="A173" s="274"/>
      <c r="B173" s="274">
        <v>10037</v>
      </c>
      <c r="C173" s="274">
        <v>60899</v>
      </c>
      <c r="D173" s="274">
        <v>17756</v>
      </c>
      <c r="E173" s="274">
        <v>13405</v>
      </c>
      <c r="F173" s="274">
        <v>8807</v>
      </c>
      <c r="G173" s="274">
        <v>5018</v>
      </c>
      <c r="H173" s="274">
        <v>5018</v>
      </c>
      <c r="I173" s="275">
        <v>2906</v>
      </c>
      <c r="L173" s="274"/>
      <c r="M173" s="274"/>
      <c r="N173" s="274"/>
      <c r="O173" s="274"/>
      <c r="P173" s="274"/>
      <c r="Q173" s="274"/>
      <c r="R173" s="274"/>
      <c r="S173" s="274"/>
    </row>
    <row r="174" spans="1:19" s="275" customFormat="1">
      <c r="A174" s="274"/>
      <c r="B174" s="566">
        <f t="shared" ref="B174:I174" si="4">SUM(B171:B173)</f>
        <v>46998</v>
      </c>
      <c r="C174" s="566">
        <f t="shared" si="4"/>
        <v>249752</v>
      </c>
      <c r="D174" s="566">
        <f t="shared" si="4"/>
        <v>83724</v>
      </c>
      <c r="E174" s="566">
        <f t="shared" si="4"/>
        <v>65352</v>
      </c>
      <c r="F174" s="566">
        <f t="shared" si="4"/>
        <v>43018</v>
      </c>
      <c r="G174" s="566">
        <f t="shared" si="4"/>
        <v>30376</v>
      </c>
      <c r="H174" s="566">
        <f t="shared" si="4"/>
        <v>30376</v>
      </c>
      <c r="I174" s="1216">
        <f t="shared" si="4"/>
        <v>7580</v>
      </c>
      <c r="L174" s="274"/>
      <c r="M174" s="274"/>
      <c r="N174" s="274"/>
      <c r="O174" s="274"/>
      <c r="P174" s="274"/>
      <c r="Q174" s="274"/>
      <c r="R174" s="274"/>
      <c r="S174" s="274"/>
    </row>
    <row r="175" spans="1:19" s="275" customFormat="1">
      <c r="A175" s="274"/>
      <c r="B175" s="274"/>
      <c r="C175" s="274"/>
      <c r="D175" s="274"/>
      <c r="E175" s="274"/>
      <c r="F175" s="274"/>
      <c r="G175" s="274"/>
      <c r="H175" s="274"/>
      <c r="I175" s="547"/>
      <c r="L175" s="274"/>
      <c r="M175" s="274"/>
      <c r="N175" s="274"/>
      <c r="O175" s="274"/>
      <c r="P175" s="274"/>
      <c r="Q175" s="274"/>
      <c r="R175" s="274"/>
      <c r="S175" s="274"/>
    </row>
    <row r="176" spans="1:19" s="275" customFormat="1">
      <c r="A176" s="274"/>
      <c r="B176" s="1215">
        <f>B171/$B$174*100</f>
        <v>9.6301970296608363</v>
      </c>
      <c r="C176" s="1215">
        <f>C171/$C$174*100</f>
        <v>63.020516352221399</v>
      </c>
      <c r="D176" s="1215">
        <f>D171/$D$174*100</f>
        <v>67.619798385170327</v>
      </c>
      <c r="E176" s="1215">
        <f>E171/$E$174*100</f>
        <v>69.370485983596524</v>
      </c>
      <c r="F176" s="1215">
        <f>F171/$F$174*100</f>
        <v>69.947463852340888</v>
      </c>
      <c r="G176" s="1215">
        <f>G171/$G$174*100</f>
        <v>73.001711877798257</v>
      </c>
      <c r="H176" s="1215">
        <f>H171/$H$174*100</f>
        <v>73.001711877798257</v>
      </c>
      <c r="I176" s="1215">
        <f>I171/$I$174*100</f>
        <v>36.240105540897098</v>
      </c>
      <c r="L176" s="274"/>
      <c r="M176" s="274"/>
      <c r="N176" s="274"/>
      <c r="O176" s="274"/>
      <c r="P176" s="274"/>
      <c r="Q176" s="274"/>
      <c r="R176" s="274"/>
      <c r="S176" s="274"/>
    </row>
    <row r="177" spans="1:19" s="275" customFormat="1">
      <c r="A177" s="274"/>
      <c r="B177" s="1215">
        <f>B172/$B$174*100</f>
        <v>69.01357504574662</v>
      </c>
      <c r="C177" s="1215">
        <f>C172/$C$174*100</f>
        <v>12.595694929369936</v>
      </c>
      <c r="D177" s="1215">
        <f>D172/$D$174*100</f>
        <v>11.172423677798481</v>
      </c>
      <c r="E177" s="1215">
        <f>E172/$E$174*100</f>
        <v>10.117517443995592</v>
      </c>
      <c r="F177" s="1215">
        <f>F172/$F$174*100</f>
        <v>9.5797108187270439</v>
      </c>
      <c r="G177" s="1215">
        <f>G172/$G$174*100</f>
        <v>10.478667368975508</v>
      </c>
      <c r="H177" s="1215">
        <f>H172/$H$174*100</f>
        <v>10.478667368975508</v>
      </c>
      <c r="I177" s="1215">
        <f>I172/$I$174*100</f>
        <v>25.4221635883905</v>
      </c>
      <c r="L177" s="274"/>
      <c r="M177" s="274"/>
      <c r="N177" s="274"/>
      <c r="O177" s="274"/>
      <c r="P177" s="274"/>
      <c r="Q177" s="274"/>
      <c r="R177" s="274"/>
      <c r="S177" s="274"/>
    </row>
    <row r="178" spans="1:19" s="275" customFormat="1">
      <c r="A178" s="274"/>
      <c r="B178" s="1215">
        <f>B173/$B$174*100</f>
        <v>21.356227924592535</v>
      </c>
      <c r="C178" s="1215">
        <f>C173/$C$174*100</f>
        <v>24.38378871840866</v>
      </c>
      <c r="D178" s="1215">
        <f>D173/$D$174*100</f>
        <v>21.207777937031196</v>
      </c>
      <c r="E178" s="1215">
        <f>E173/$E$174*100</f>
        <v>20.511996572407885</v>
      </c>
      <c r="F178" s="1215">
        <f>F173/$F$174*100</f>
        <v>20.472825328932075</v>
      </c>
      <c r="G178" s="1215">
        <f>G173/$G$174*100</f>
        <v>16.519620753226231</v>
      </c>
      <c r="H178" s="1215">
        <f>H173/$H$174*100</f>
        <v>16.519620753226231</v>
      </c>
      <c r="I178" s="1215">
        <f>I173/$I$174*100</f>
        <v>38.337730870712399</v>
      </c>
      <c r="L178" s="274"/>
      <c r="M178" s="274"/>
      <c r="N178" s="274"/>
      <c r="O178" s="274"/>
      <c r="P178" s="274"/>
      <c r="Q178" s="274"/>
      <c r="R178" s="274"/>
      <c r="S178" s="274"/>
    </row>
    <row r="179" spans="1:19" s="275" customFormat="1">
      <c r="A179" s="274"/>
      <c r="B179" s="274"/>
      <c r="C179" s="274"/>
      <c r="D179" s="274"/>
      <c r="E179" s="274"/>
      <c r="F179" s="274"/>
      <c r="G179" s="274"/>
      <c r="H179" s="274"/>
      <c r="I179" s="547"/>
      <c r="L179" s="274"/>
      <c r="M179" s="274"/>
      <c r="N179" s="274"/>
      <c r="O179" s="274"/>
      <c r="P179" s="274"/>
      <c r="Q179" s="274"/>
      <c r="R179" s="274"/>
      <c r="S179" s="274"/>
    </row>
    <row r="180" spans="1:19" s="275" customFormat="1">
      <c r="A180" s="274"/>
      <c r="B180" s="274"/>
      <c r="C180" s="274"/>
      <c r="D180" s="274"/>
      <c r="E180" s="274"/>
      <c r="F180" s="274"/>
      <c r="G180" s="274"/>
      <c r="H180" s="274"/>
      <c r="I180" s="547"/>
      <c r="L180" s="274"/>
      <c r="M180" s="274"/>
      <c r="N180" s="274"/>
      <c r="O180" s="274"/>
      <c r="P180" s="274"/>
      <c r="Q180" s="274"/>
      <c r="R180" s="274"/>
      <c r="S180" s="274"/>
    </row>
    <row r="181" spans="1:19" s="275" customFormat="1">
      <c r="A181" s="274"/>
      <c r="B181" s="274"/>
      <c r="C181" s="274"/>
      <c r="D181" s="274"/>
      <c r="E181" s="274"/>
      <c r="F181" s="274"/>
      <c r="G181" s="274"/>
      <c r="H181" s="274"/>
      <c r="I181" s="274"/>
      <c r="L181" s="275" t="s">
        <v>267</v>
      </c>
      <c r="M181" s="671" t="s">
        <v>605</v>
      </c>
      <c r="N181" s="274"/>
      <c r="O181" s="274"/>
      <c r="P181" s="274"/>
      <c r="Q181" s="274"/>
      <c r="R181" s="274"/>
      <c r="S181" s="274"/>
    </row>
    <row r="182" spans="1:19" s="275" customFormat="1">
      <c r="A182" s="695" t="s">
        <v>3591</v>
      </c>
      <c r="B182" s="711"/>
      <c r="C182" s="711"/>
      <c r="D182" s="711"/>
      <c r="E182" s="711"/>
      <c r="F182" s="711"/>
      <c r="G182" s="711"/>
      <c r="H182" s="711"/>
      <c r="I182" s="711"/>
      <c r="J182" s="897"/>
      <c r="K182" s="897"/>
      <c r="L182" s="897"/>
      <c r="M182" s="3816" t="s">
        <v>3375</v>
      </c>
      <c r="N182" s="274"/>
      <c r="O182" s="274"/>
      <c r="P182" s="274"/>
      <c r="Q182" s="274"/>
      <c r="R182" s="274"/>
      <c r="S182" s="274"/>
    </row>
    <row r="183" spans="1:19" s="275" customFormat="1">
      <c r="A183" s="45"/>
      <c r="B183" s="168"/>
      <c r="C183" s="168"/>
      <c r="D183" s="168"/>
      <c r="E183" s="168"/>
      <c r="F183" s="168"/>
      <c r="G183" s="168"/>
      <c r="H183" s="168"/>
      <c r="I183" s="168"/>
      <c r="J183" s="370"/>
      <c r="K183" s="370"/>
      <c r="L183" s="370"/>
      <c r="M183" s="3817"/>
      <c r="N183" s="274"/>
      <c r="O183" s="274"/>
      <c r="P183" s="274"/>
      <c r="Q183" s="274"/>
      <c r="R183" s="274"/>
      <c r="S183" s="274"/>
    </row>
    <row r="184" spans="1:19" s="275" customFormat="1">
      <c r="A184" s="656" t="s">
        <v>3376</v>
      </c>
      <c r="B184" s="899"/>
      <c r="C184" s="899"/>
      <c r="D184" s="899"/>
      <c r="E184" s="899"/>
      <c r="F184" s="899"/>
      <c r="G184" s="899"/>
      <c r="H184" s="899"/>
      <c r="I184" s="899"/>
      <c r="J184" s="897"/>
      <c r="K184" s="897"/>
      <c r="L184" s="897"/>
      <c r="M184" s="3816"/>
      <c r="N184" s="274"/>
      <c r="O184" s="274"/>
      <c r="P184" s="274"/>
      <c r="Q184" s="274"/>
      <c r="R184" s="274"/>
      <c r="S184" s="274"/>
    </row>
    <row r="185" spans="1:19" s="275" customFormat="1">
      <c r="A185" s="168" t="s">
        <v>990</v>
      </c>
      <c r="B185" s="230"/>
      <c r="C185" s="230"/>
      <c r="D185" s="230"/>
      <c r="E185" s="230"/>
      <c r="F185" s="230"/>
      <c r="G185" s="230"/>
      <c r="H185" s="230"/>
      <c r="I185" s="230"/>
      <c r="J185" s="273"/>
      <c r="K185" s="273"/>
      <c r="L185" s="273"/>
      <c r="M185" s="273"/>
      <c r="N185" s="274"/>
      <c r="O185" s="274"/>
      <c r="P185" s="274"/>
      <c r="Q185" s="274"/>
      <c r="R185" s="274"/>
      <c r="S185" s="274"/>
    </row>
    <row r="186" spans="1:19" s="275" customFormat="1">
      <c r="A186" s="82"/>
      <c r="B186" s="230"/>
      <c r="C186" s="230"/>
      <c r="D186" s="230"/>
      <c r="E186" s="230"/>
      <c r="F186" s="230"/>
      <c r="G186" s="230"/>
      <c r="H186" s="231"/>
      <c r="I186" s="230"/>
      <c r="J186" s="371"/>
      <c r="K186" s="273"/>
      <c r="L186" s="272"/>
      <c r="M186" s="274"/>
      <c r="N186" s="274"/>
      <c r="O186" s="274"/>
      <c r="P186" s="274"/>
      <c r="Q186" s="274"/>
      <c r="R186" s="274"/>
      <c r="S186" s="274"/>
    </row>
    <row r="187" spans="1:19" s="275" customFormat="1">
      <c r="A187" s="273"/>
      <c r="B187" s="273"/>
      <c r="C187" s="273"/>
      <c r="D187" s="273"/>
      <c r="E187" s="273"/>
      <c r="F187" s="273"/>
      <c r="G187" s="273"/>
      <c r="H187" s="273"/>
      <c r="I187" s="273"/>
      <c r="J187" s="371"/>
      <c r="K187" s="273"/>
      <c r="L187" s="272"/>
      <c r="M187" s="372" t="s">
        <v>254</v>
      </c>
      <c r="N187" s="274"/>
      <c r="O187" s="274"/>
      <c r="P187" s="274"/>
      <c r="Q187" s="274"/>
      <c r="R187" s="274"/>
      <c r="S187" s="274"/>
    </row>
    <row r="188" spans="1:19" s="275" customFormat="1" ht="40.5" customHeight="1">
      <c r="A188" s="4160" t="s">
        <v>2</v>
      </c>
      <c r="B188" s="4160" t="s">
        <v>3377</v>
      </c>
      <c r="C188" s="4160" t="s">
        <v>1191</v>
      </c>
      <c r="D188" s="4162" t="s">
        <v>255</v>
      </c>
      <c r="E188" s="4163"/>
      <c r="F188" s="4160" t="s">
        <v>3455</v>
      </c>
      <c r="G188" s="4160" t="s">
        <v>3456</v>
      </c>
      <c r="H188" s="4160" t="s">
        <v>3457</v>
      </c>
      <c r="I188" s="4160" t="s">
        <v>3380</v>
      </c>
      <c r="J188" s="4160" t="s">
        <v>3381</v>
      </c>
      <c r="K188" s="4160" t="s">
        <v>3458</v>
      </c>
      <c r="L188" s="4162" t="s">
        <v>255</v>
      </c>
      <c r="M188" s="4163"/>
      <c r="N188" s="274"/>
      <c r="O188" s="274"/>
      <c r="P188" s="274"/>
      <c r="Q188" s="274"/>
      <c r="R188" s="274"/>
      <c r="S188" s="274"/>
    </row>
    <row r="189" spans="1:19" s="275" customFormat="1" ht="42" customHeight="1">
      <c r="A189" s="4160"/>
      <c r="B189" s="4160"/>
      <c r="C189" s="4160"/>
      <c r="D189" s="286" t="s">
        <v>7</v>
      </c>
      <c r="E189" s="286" t="s">
        <v>8</v>
      </c>
      <c r="F189" s="4160"/>
      <c r="G189" s="4160"/>
      <c r="H189" s="4160"/>
      <c r="I189" s="4160"/>
      <c r="J189" s="4160"/>
      <c r="K189" s="4160"/>
      <c r="L189" s="286" t="s">
        <v>7</v>
      </c>
      <c r="M189" s="286" t="s">
        <v>8</v>
      </c>
      <c r="N189" s="274"/>
      <c r="O189" s="274"/>
      <c r="P189" s="274"/>
      <c r="Q189" s="274"/>
      <c r="R189" s="274"/>
      <c r="S189" s="274"/>
    </row>
    <row r="190" spans="1:19" s="275" customFormat="1">
      <c r="A190" s="373"/>
      <c r="B190" s="374" t="s">
        <v>20</v>
      </c>
      <c r="C190" s="286">
        <f>D190+E190</f>
        <v>0</v>
      </c>
      <c r="D190" s="896"/>
      <c r="E190" s="896"/>
      <c r="F190" s="933">
        <f>F191+F195+F199</f>
        <v>80995.233792687446</v>
      </c>
      <c r="G190" s="933">
        <f>G191+G195+G199</f>
        <v>18.692645694135116</v>
      </c>
      <c r="H190" s="933">
        <f>H191+H195+H199</f>
        <v>80995.233792687446</v>
      </c>
      <c r="I190" s="567">
        <f>I191+I195+I199</f>
        <v>12</v>
      </c>
      <c r="J190" s="892"/>
      <c r="K190" s="933">
        <f>K191+K195+K199</f>
        <v>7887995.6085194889</v>
      </c>
      <c r="L190" s="935" t="e">
        <f>K190*D190/C190</f>
        <v>#DIV/0!</v>
      </c>
      <c r="M190" s="935" t="e">
        <f>K190-L190</f>
        <v>#DIV/0!</v>
      </c>
      <c r="N190" s="274"/>
      <c r="O190" s="274"/>
      <c r="P190" s="274"/>
      <c r="Q190" s="274"/>
      <c r="R190" s="274"/>
      <c r="S190" s="274"/>
    </row>
    <row r="191" spans="1:19" s="275" customFormat="1">
      <c r="A191" s="286"/>
      <c r="B191" s="374" t="s">
        <v>3459</v>
      </c>
      <c r="C191" s="286" t="s">
        <v>3383</v>
      </c>
      <c r="D191" s="286" t="s">
        <v>3383</v>
      </c>
      <c r="E191" s="286" t="s">
        <v>3383</v>
      </c>
      <c r="F191" s="933">
        <f>SUM(F192:F194)</f>
        <v>23989.926317743131</v>
      </c>
      <c r="G191" s="933">
        <f>SUM(G192:G194)</f>
        <v>5.5365627319970301</v>
      </c>
      <c r="H191" s="933">
        <f>SUM(H192:H194)</f>
        <v>23989.926317743131</v>
      </c>
      <c r="I191" s="4164">
        <v>3</v>
      </c>
      <c r="J191" s="893"/>
      <c r="K191" s="933">
        <f>SUM(K192:K194)</f>
        <v>1814721.3177338531</v>
      </c>
      <c r="L191" s="894"/>
      <c r="M191" s="894"/>
      <c r="N191" s="274"/>
      <c r="O191" s="274"/>
      <c r="P191" s="274"/>
      <c r="Q191" s="274"/>
      <c r="R191" s="274"/>
      <c r="S191" s="274"/>
    </row>
    <row r="192" spans="1:19" s="275" customFormat="1">
      <c r="A192" s="373"/>
      <c r="B192" s="292" t="s">
        <v>3460</v>
      </c>
      <c r="C192" s="286">
        <v>4333</v>
      </c>
      <c r="D192" s="286" t="s">
        <v>3383</v>
      </c>
      <c r="E192" s="286" t="s">
        <v>3383</v>
      </c>
      <c r="F192" s="934">
        <f>B219/3</f>
        <v>5681.6341870824044</v>
      </c>
      <c r="G192" s="934">
        <f>F192/C192</f>
        <v>1.3112472160356345</v>
      </c>
      <c r="H192" s="934">
        <f>C192*G192</f>
        <v>5681.6341870824044</v>
      </c>
      <c r="I192" s="4165"/>
      <c r="J192" s="934">
        <v>16.350000000000001</v>
      </c>
      <c r="K192" s="936">
        <f>H192*I191*J192</f>
        <v>278684.15687639196</v>
      </c>
      <c r="L192" s="895"/>
      <c r="M192" s="895"/>
      <c r="N192" s="274"/>
      <c r="O192" s="274"/>
      <c r="P192" s="274"/>
      <c r="Q192" s="274"/>
      <c r="R192" s="274"/>
      <c r="S192" s="274"/>
    </row>
    <row r="193" spans="1:13">
      <c r="A193" s="373"/>
      <c r="B193" s="292" t="s">
        <v>3461</v>
      </c>
      <c r="C193" s="286">
        <v>4333</v>
      </c>
      <c r="D193" s="286" t="s">
        <v>3383</v>
      </c>
      <c r="E193" s="286" t="s">
        <v>3383</v>
      </c>
      <c r="F193" s="934">
        <f>B220/3</f>
        <v>14386.235523385301</v>
      </c>
      <c r="G193" s="934">
        <f>F193/C193</f>
        <v>3.3201559020044544</v>
      </c>
      <c r="H193" s="934">
        <f>C193*G193</f>
        <v>14386.235523385301</v>
      </c>
      <c r="I193" s="4165"/>
      <c r="J193" s="934">
        <v>34.32</v>
      </c>
      <c r="K193" s="936">
        <f>H193*I191*J193</f>
        <v>1481206.8094877508</v>
      </c>
      <c r="L193" s="895"/>
      <c r="M193" s="895"/>
    </row>
    <row r="194" spans="1:13">
      <c r="A194" s="373"/>
      <c r="B194" s="292" t="s">
        <v>3462</v>
      </c>
      <c r="C194" s="286">
        <v>4333</v>
      </c>
      <c r="D194" s="286" t="s">
        <v>3383</v>
      </c>
      <c r="E194" s="286" t="s">
        <v>3383</v>
      </c>
      <c r="F194" s="934">
        <f>B221/3</f>
        <v>3922.0566072754268</v>
      </c>
      <c r="G194" s="934">
        <f>F194/C194</f>
        <v>0.90515961395694133</v>
      </c>
      <c r="H194" s="934">
        <f>C194*G194</f>
        <v>3922.0566072754268</v>
      </c>
      <c r="I194" s="4166"/>
      <c r="J194" s="934">
        <v>4.66</v>
      </c>
      <c r="K194" s="936">
        <f>H194*I191*J194</f>
        <v>54830.351369710472</v>
      </c>
      <c r="L194" s="895"/>
      <c r="M194" s="895"/>
    </row>
    <row r="195" spans="1:13">
      <c r="A195" s="286"/>
      <c r="B195" s="374" t="s">
        <v>3463</v>
      </c>
      <c r="C195" s="286" t="s">
        <v>3383</v>
      </c>
      <c r="D195" s="286" t="s">
        <v>3383</v>
      </c>
      <c r="E195" s="286" t="s">
        <v>3383</v>
      </c>
      <c r="F195" s="933">
        <f>SUM(F196:F198)</f>
        <v>17325.244766146992</v>
      </c>
      <c r="G195" s="933">
        <f>SUM(G196:G198)</f>
        <v>3.9984409799554568</v>
      </c>
      <c r="H195" s="933">
        <f>SUM(H196:H198)</f>
        <v>17325.244766146992</v>
      </c>
      <c r="I195" s="4164">
        <v>5</v>
      </c>
      <c r="J195" s="566"/>
      <c r="K195" s="933">
        <f>SUM(K196:K198)</f>
        <v>1969806.5048552342</v>
      </c>
      <c r="L195" s="894"/>
      <c r="M195" s="894"/>
    </row>
    <row r="196" spans="1:13">
      <c r="A196" s="373"/>
      <c r="B196" s="292" t="s">
        <v>3460</v>
      </c>
      <c r="C196" s="286">
        <v>4333</v>
      </c>
      <c r="D196" s="286" t="s">
        <v>3383</v>
      </c>
      <c r="E196" s="286" t="s">
        <v>3383</v>
      </c>
      <c r="F196" s="934">
        <f>D219/5</f>
        <v>4246.1469933184862</v>
      </c>
      <c r="G196" s="934">
        <f>F196/C196</f>
        <v>0.97995545657015604</v>
      </c>
      <c r="H196" s="934">
        <f>C196*G196</f>
        <v>4246.1469933184862</v>
      </c>
      <c r="I196" s="4165"/>
      <c r="J196" s="934">
        <v>16.350000000000001</v>
      </c>
      <c r="K196" s="936">
        <f>H196*I195*J196</f>
        <v>347122.51670378627</v>
      </c>
      <c r="L196" s="895"/>
      <c r="M196" s="895"/>
    </row>
    <row r="197" spans="1:13">
      <c r="A197" s="373"/>
      <c r="B197" s="292" t="s">
        <v>3461</v>
      </c>
      <c r="C197" s="286">
        <v>4333</v>
      </c>
      <c r="D197" s="286" t="s">
        <v>3383</v>
      </c>
      <c r="E197" s="286" t="s">
        <v>3383</v>
      </c>
      <c r="F197" s="934">
        <f>D220/5</f>
        <v>8886.9926503340757</v>
      </c>
      <c r="G197" s="934">
        <f>F197/C197</f>
        <v>2.0510022271714923</v>
      </c>
      <c r="H197" s="934">
        <f>C197*G197</f>
        <v>8886.9926503340757</v>
      </c>
      <c r="I197" s="4165"/>
      <c r="J197" s="934">
        <v>34.32</v>
      </c>
      <c r="K197" s="936">
        <f>H197*I195*J197</f>
        <v>1525007.9387973275</v>
      </c>
      <c r="L197" s="895"/>
      <c r="M197" s="895"/>
    </row>
    <row r="198" spans="1:13">
      <c r="A198" s="373"/>
      <c r="B198" s="292" t="s">
        <v>3462</v>
      </c>
      <c r="C198" s="286">
        <v>4333</v>
      </c>
      <c r="D198" s="286" t="s">
        <v>3383</v>
      </c>
      <c r="E198" s="286" t="s">
        <v>3383</v>
      </c>
      <c r="F198" s="934">
        <f>D221/5</f>
        <v>4192.1051224944331</v>
      </c>
      <c r="G198" s="934">
        <f>F198/C198</f>
        <v>0.96748329621380869</v>
      </c>
      <c r="H198" s="934">
        <f>C198*G198</f>
        <v>4192.1051224944331</v>
      </c>
      <c r="I198" s="4166"/>
      <c r="J198" s="934">
        <v>4.66</v>
      </c>
      <c r="K198" s="936">
        <f>H198*I195*J198</f>
        <v>97676.049354120289</v>
      </c>
      <c r="L198" s="895"/>
      <c r="M198" s="895"/>
    </row>
    <row r="199" spans="1:13">
      <c r="A199" s="286"/>
      <c r="B199" s="374" t="s">
        <v>3464</v>
      </c>
      <c r="C199" s="286" t="s">
        <v>3383</v>
      </c>
      <c r="D199" s="286" t="s">
        <v>3383</v>
      </c>
      <c r="E199" s="286" t="s">
        <v>3383</v>
      </c>
      <c r="F199" s="933">
        <f>SUM(F200:F202)</f>
        <v>39680.062708797326</v>
      </c>
      <c r="G199" s="933">
        <f>SUM(G200:G202)</f>
        <v>9.1576419821826285</v>
      </c>
      <c r="H199" s="933">
        <f>SUM(H200:H202)</f>
        <v>39680.062708797326</v>
      </c>
      <c r="I199" s="4164">
        <v>4</v>
      </c>
      <c r="J199" s="566"/>
      <c r="K199" s="933">
        <f>SUM(K200:K202)</f>
        <v>4103467.7859304016</v>
      </c>
      <c r="L199" s="894"/>
      <c r="M199" s="894"/>
    </row>
    <row r="200" spans="1:13">
      <c r="A200" s="373"/>
      <c r="B200" s="292" t="s">
        <v>3460</v>
      </c>
      <c r="C200" s="286">
        <v>4333</v>
      </c>
      <c r="D200" s="286" t="s">
        <v>3383</v>
      </c>
      <c r="E200" s="286" t="s">
        <v>3383</v>
      </c>
      <c r="F200" s="934">
        <f>F219/4</f>
        <v>7847.8326141425387</v>
      </c>
      <c r="G200" s="934">
        <f>F200/C200</f>
        <v>1.8111776169265033</v>
      </c>
      <c r="H200" s="934">
        <f>C200*G200</f>
        <v>7847.8326141425387</v>
      </c>
      <c r="I200" s="4165"/>
      <c r="J200" s="934">
        <v>16.350000000000001</v>
      </c>
      <c r="K200" s="936">
        <f>H200*I199*J200</f>
        <v>513248.25296492205</v>
      </c>
      <c r="L200" s="895"/>
      <c r="M200" s="895"/>
    </row>
    <row r="201" spans="1:13">
      <c r="A201" s="373"/>
      <c r="B201" s="292" t="s">
        <v>3461</v>
      </c>
      <c r="C201" s="286">
        <v>4333</v>
      </c>
      <c r="D201" s="286" t="s">
        <v>3383</v>
      </c>
      <c r="E201" s="286" t="s">
        <v>3383</v>
      </c>
      <c r="F201" s="934">
        <f>F220/4</f>
        <v>25260.171645322942</v>
      </c>
      <c r="G201" s="934">
        <f>F201/C201</f>
        <v>5.8297188195991092</v>
      </c>
      <c r="H201" s="934">
        <f>C201*G201</f>
        <v>25260.171645322942</v>
      </c>
      <c r="I201" s="4165"/>
      <c r="J201" s="934">
        <v>34.32</v>
      </c>
      <c r="K201" s="936">
        <f>H201*I199*J201</f>
        <v>3467716.3634699336</v>
      </c>
      <c r="L201" s="895"/>
      <c r="M201" s="895"/>
    </row>
    <row r="202" spans="1:13">
      <c r="A202" s="373"/>
      <c r="B202" s="292" t="s">
        <v>3462</v>
      </c>
      <c r="C202" s="286">
        <v>4333</v>
      </c>
      <c r="D202" s="286" t="s">
        <v>3383</v>
      </c>
      <c r="E202" s="286" t="s">
        <v>3383</v>
      </c>
      <c r="F202" s="934">
        <f>F221/4</f>
        <v>6572.0584493318493</v>
      </c>
      <c r="G202" s="934">
        <f>F202/C202</f>
        <v>1.5167455456570158</v>
      </c>
      <c r="H202" s="934">
        <f>C202*G202</f>
        <v>6572.0584493318493</v>
      </c>
      <c r="I202" s="4166"/>
      <c r="J202" s="934">
        <v>4.66</v>
      </c>
      <c r="K202" s="936">
        <f>H202*I199*J202</f>
        <v>122503.16949554568</v>
      </c>
      <c r="L202" s="895"/>
      <c r="M202" s="895"/>
    </row>
    <row r="205" spans="1:13">
      <c r="A205" s="633"/>
      <c r="B205" s="633" t="s">
        <v>3592</v>
      </c>
      <c r="C205" s="633"/>
      <c r="D205" s="633"/>
      <c r="E205" s="633"/>
      <c r="F205" s="633"/>
      <c r="G205" s="633"/>
      <c r="H205" s="633"/>
      <c r="I205" s="633"/>
      <c r="J205" s="1392"/>
      <c r="K205" s="1392"/>
      <c r="L205" s="633"/>
      <c r="M205" s="633"/>
    </row>
    <row r="206" spans="1:13">
      <c r="A206" s="633"/>
      <c r="B206" s="1392" t="s">
        <v>3471</v>
      </c>
      <c r="C206" s="1392" t="s">
        <v>3472</v>
      </c>
      <c r="D206" s="1392" t="s">
        <v>3389</v>
      </c>
      <c r="E206" s="1392" t="s">
        <v>3390</v>
      </c>
      <c r="F206" s="1392" t="s">
        <v>3391</v>
      </c>
      <c r="G206" s="1392" t="s">
        <v>3392</v>
      </c>
      <c r="H206" s="1392" t="s">
        <v>3393</v>
      </c>
      <c r="I206" s="1392" t="s">
        <v>3394</v>
      </c>
      <c r="J206" s="1392" t="s">
        <v>3581</v>
      </c>
      <c r="K206" s="1392" t="s">
        <v>3396</v>
      </c>
      <c r="L206" s="1392" t="s">
        <v>3397</v>
      </c>
      <c r="M206" s="1392" t="s">
        <v>3398</v>
      </c>
    </row>
    <row r="207" spans="1:13">
      <c r="A207" s="633"/>
      <c r="B207" s="633">
        <v>1898</v>
      </c>
      <c r="C207" s="633">
        <v>2811</v>
      </c>
      <c r="D207" s="633">
        <v>2356</v>
      </c>
      <c r="E207" s="633">
        <v>2079</v>
      </c>
      <c r="F207" s="633">
        <v>1532</v>
      </c>
      <c r="G207" s="633">
        <v>1860</v>
      </c>
      <c r="H207" s="633">
        <v>2320</v>
      </c>
      <c r="I207" s="633">
        <v>1009</v>
      </c>
      <c r="J207" s="1392">
        <v>2064.6999999999998</v>
      </c>
      <c r="K207" s="1392">
        <v>4045.4</v>
      </c>
      <c r="L207" s="633">
        <v>3063.2</v>
      </c>
      <c r="M207" s="633">
        <v>3838.2</v>
      </c>
    </row>
    <row r="208" spans="1:13">
      <c r="A208" s="633"/>
      <c r="B208" s="633">
        <v>3106</v>
      </c>
      <c r="C208" s="633">
        <v>7380</v>
      </c>
      <c r="D208" s="633">
        <v>7403</v>
      </c>
      <c r="E208" s="633">
        <v>7106</v>
      </c>
      <c r="F208" s="633">
        <v>4359</v>
      </c>
      <c r="G208" s="633">
        <v>3786</v>
      </c>
      <c r="H208" s="633">
        <v>2252</v>
      </c>
      <c r="I208" s="633">
        <v>915</v>
      </c>
      <c r="J208" s="1392">
        <v>6180.5</v>
      </c>
      <c r="K208" s="1392">
        <v>11022.4</v>
      </c>
      <c r="L208" s="633">
        <v>10517.1</v>
      </c>
      <c r="M208" s="633">
        <v>14160.7</v>
      </c>
    </row>
    <row r="209" spans="1:13">
      <c r="A209" s="633"/>
      <c r="B209" s="633">
        <v>137</v>
      </c>
      <c r="C209" s="633">
        <v>1320</v>
      </c>
      <c r="D209" s="633">
        <v>3420</v>
      </c>
      <c r="E209" s="633">
        <v>2331</v>
      </c>
      <c r="F209" s="633">
        <v>2074</v>
      </c>
      <c r="G209" s="633">
        <v>2304</v>
      </c>
      <c r="H209" s="633">
        <v>1251</v>
      </c>
      <c r="I209" s="633">
        <v>728</v>
      </c>
      <c r="J209" s="1392">
        <v>1429.7</v>
      </c>
      <c r="K209" s="1392">
        <v>2808.8</v>
      </c>
      <c r="L209" s="633">
        <v>1952.4</v>
      </c>
      <c r="M209" s="633">
        <v>4705.3999999999996</v>
      </c>
    </row>
    <row r="210" spans="1:13">
      <c r="A210" s="1393"/>
      <c r="B210" s="1393">
        <f>SUM(B207:B209)</f>
        <v>5141</v>
      </c>
      <c r="C210" s="1393">
        <f t="shared" ref="C210:M210" si="5">SUM(C207:C209)</f>
        <v>11511</v>
      </c>
      <c r="D210" s="1393">
        <f t="shared" si="5"/>
        <v>13179</v>
      </c>
      <c r="E210" s="1393">
        <f t="shared" si="5"/>
        <v>11516</v>
      </c>
      <c r="F210" s="1393">
        <f t="shared" si="5"/>
        <v>7965</v>
      </c>
      <c r="G210" s="1393">
        <f t="shared" si="5"/>
        <v>7950</v>
      </c>
      <c r="H210" s="1393">
        <f t="shared" si="5"/>
        <v>5823</v>
      </c>
      <c r="I210" s="1393">
        <f t="shared" si="5"/>
        <v>2652</v>
      </c>
      <c r="J210" s="1393">
        <f t="shared" si="5"/>
        <v>9674.9000000000015</v>
      </c>
      <c r="K210" s="1393">
        <f t="shared" si="5"/>
        <v>17876.599999999999</v>
      </c>
      <c r="L210" s="1393">
        <f t="shared" si="5"/>
        <v>15532.699999999999</v>
      </c>
      <c r="M210" s="1393">
        <f t="shared" si="5"/>
        <v>22704.300000000003</v>
      </c>
    </row>
    <row r="211" spans="1:13">
      <c r="B211" s="1393" t="s">
        <v>466</v>
      </c>
      <c r="C211" s="1393"/>
    </row>
    <row r="212" spans="1:13">
      <c r="B212" s="1393">
        <v>1796</v>
      </c>
      <c r="C212" s="1393" t="s">
        <v>3582</v>
      </c>
    </row>
    <row r="213" spans="1:13">
      <c r="B213" s="1393">
        <v>4333</v>
      </c>
      <c r="C213" s="1393" t="s">
        <v>3583</v>
      </c>
      <c r="G213" s="274" t="s">
        <v>3593</v>
      </c>
    </row>
    <row r="214" spans="1:13">
      <c r="B214" s="633" t="s">
        <v>3471</v>
      </c>
      <c r="C214" s="633" t="s">
        <v>3472</v>
      </c>
      <c r="D214" s="633" t="s">
        <v>3389</v>
      </c>
      <c r="E214" s="633" t="s">
        <v>3390</v>
      </c>
      <c r="F214" s="633" t="s">
        <v>3391</v>
      </c>
      <c r="G214" s="633" t="s">
        <v>3392</v>
      </c>
      <c r="H214" s="633" t="s">
        <v>3393</v>
      </c>
      <c r="I214" s="633" t="s">
        <v>3394</v>
      </c>
      <c r="J214" s="1392" t="s">
        <v>3581</v>
      </c>
      <c r="K214" s="1392" t="s">
        <v>3396</v>
      </c>
      <c r="L214" s="633" t="s">
        <v>3397</v>
      </c>
      <c r="M214" s="633" t="s">
        <v>3398</v>
      </c>
    </row>
    <row r="215" spans="1:13">
      <c r="B215" s="1394">
        <f t="shared" ref="B215:M215" si="6">B207*$B$213/$B$212</f>
        <v>4579.0835189309573</v>
      </c>
      <c r="C215" s="1394">
        <f t="shared" si="6"/>
        <v>6781.7722717149218</v>
      </c>
      <c r="D215" s="1394">
        <f t="shared" si="6"/>
        <v>5684.046770601336</v>
      </c>
      <c r="E215" s="1394">
        <f t="shared" si="6"/>
        <v>5015.7611358574613</v>
      </c>
      <c r="F215" s="1394">
        <f t="shared" si="6"/>
        <v>3696.0779510022271</v>
      </c>
      <c r="G215" s="1394">
        <f t="shared" si="6"/>
        <v>4487.4053452115813</v>
      </c>
      <c r="H215" s="1394">
        <f t="shared" si="6"/>
        <v>5597.1937639198222</v>
      </c>
      <c r="I215" s="1394">
        <f t="shared" si="6"/>
        <v>2434.2967706013364</v>
      </c>
      <c r="J215" s="1395">
        <f t="shared" si="6"/>
        <v>4981.2611915367479</v>
      </c>
      <c r="K215" s="1395">
        <f t="shared" si="6"/>
        <v>9759.8653674832949</v>
      </c>
      <c r="L215" s="1394">
        <f t="shared" si="6"/>
        <v>7390.2258351893097</v>
      </c>
      <c r="M215" s="1394">
        <f t="shared" si="6"/>
        <v>9259.9780623608021</v>
      </c>
    </row>
    <row r="216" spans="1:13">
      <c r="B216" s="1394">
        <f t="shared" ref="B216:M217" si="7">B208*$B$213/$B$212</f>
        <v>7493.4844097995547</v>
      </c>
      <c r="C216" s="1394">
        <f t="shared" si="7"/>
        <v>17804.866369710468</v>
      </c>
      <c r="D216" s="1394">
        <f t="shared" si="7"/>
        <v>17860.355790645881</v>
      </c>
      <c r="E216" s="1394">
        <f t="shared" si="7"/>
        <v>17143.818485523385</v>
      </c>
      <c r="F216" s="1394">
        <f t="shared" si="7"/>
        <v>10516.451559020044</v>
      </c>
      <c r="G216" s="1394">
        <f t="shared" si="7"/>
        <v>9134.0412026726062</v>
      </c>
      <c r="H216" s="1394">
        <f t="shared" si="7"/>
        <v>5433.1380846325164</v>
      </c>
      <c r="I216" s="1394">
        <f t="shared" si="7"/>
        <v>2207.5139198218262</v>
      </c>
      <c r="J216" s="1395">
        <f t="shared" si="7"/>
        <v>14910.972438752784</v>
      </c>
      <c r="K216" s="1395">
        <f t="shared" si="7"/>
        <v>26592.460579064584</v>
      </c>
      <c r="L216" s="1394">
        <f t="shared" si="7"/>
        <v>25373.382126948778</v>
      </c>
      <c r="M216" s="1394">
        <f t="shared" si="7"/>
        <v>34163.871436525616</v>
      </c>
    </row>
    <row r="217" spans="1:13">
      <c r="B217" s="1394">
        <f t="shared" si="7"/>
        <v>330.52394209354122</v>
      </c>
      <c r="C217" s="1394">
        <f t="shared" si="7"/>
        <v>3184.610244988864</v>
      </c>
      <c r="D217" s="1394">
        <f t="shared" si="7"/>
        <v>8251.0356347438756</v>
      </c>
      <c r="E217" s="1394">
        <f t="shared" si="7"/>
        <v>5623.7321826280622</v>
      </c>
      <c r="F217" s="1394">
        <f t="shared" si="7"/>
        <v>5003.6982182628062</v>
      </c>
      <c r="G217" s="1394">
        <f t="shared" si="7"/>
        <v>5558.5924276169262</v>
      </c>
      <c r="H217" s="1394">
        <f t="shared" si="7"/>
        <v>3018.141982182628</v>
      </c>
      <c r="I217" s="1394">
        <f t="shared" si="7"/>
        <v>1756.3608017817371</v>
      </c>
      <c r="J217" s="1395">
        <f t="shared" si="7"/>
        <v>3449.2706570155906</v>
      </c>
      <c r="K217" s="1395">
        <f t="shared" si="7"/>
        <v>6776.4645879732743</v>
      </c>
      <c r="L217" s="1394">
        <f t="shared" si="7"/>
        <v>4710.3280623608025</v>
      </c>
      <c r="M217" s="1394">
        <f t="shared" si="7"/>
        <v>11352.170489977729</v>
      </c>
    </row>
    <row r="218" spans="1:13">
      <c r="B218" s="275" t="s">
        <v>3459</v>
      </c>
      <c r="D218" s="275" t="s">
        <v>3468</v>
      </c>
      <c r="F218" s="275" t="s">
        <v>3464</v>
      </c>
    </row>
    <row r="219" spans="1:13">
      <c r="B219" s="1214">
        <f>B215+C215+D215</f>
        <v>17044.902561247214</v>
      </c>
      <c r="D219" s="1214">
        <f>E215+F215+G215+H215+I215</f>
        <v>21230.73496659243</v>
      </c>
      <c r="F219" s="1214">
        <f>J215+K215+L215+M215</f>
        <v>31391.330456570155</v>
      </c>
    </row>
    <row r="220" spans="1:13">
      <c r="B220" s="1214">
        <f>B216+C216+D216</f>
        <v>43158.706570155904</v>
      </c>
      <c r="D220" s="1214">
        <f>E216+F216+G216+H216+I216</f>
        <v>44434.963251670379</v>
      </c>
      <c r="F220" s="1214">
        <f>J216+K216+L216+M216</f>
        <v>101040.68658129177</v>
      </c>
    </row>
    <row r="221" spans="1:13">
      <c r="B221" s="1214">
        <f>B217+C217+D217</f>
        <v>11766.169821826281</v>
      </c>
      <c r="D221" s="1214">
        <f>E217+F217+G217+H217+I217</f>
        <v>20960.525612472164</v>
      </c>
      <c r="F221" s="1214">
        <f>J217+K217+L217+M217</f>
        <v>26288.233797327397</v>
      </c>
    </row>
    <row r="223" spans="1:13">
      <c r="B223" s="274" t="s">
        <v>3594</v>
      </c>
    </row>
    <row r="224" spans="1:13">
      <c r="B224" s="274" t="s">
        <v>3471</v>
      </c>
      <c r="C224" s="274" t="s">
        <v>3472</v>
      </c>
      <c r="D224" s="274" t="s">
        <v>3595</v>
      </c>
      <c r="E224" s="274" t="s">
        <v>3390</v>
      </c>
      <c r="F224" s="274" t="s">
        <v>3391</v>
      </c>
      <c r="G224" s="274" t="s">
        <v>3392</v>
      </c>
      <c r="H224" s="274" t="s">
        <v>3393</v>
      </c>
      <c r="I224" s="274" t="s">
        <v>3394</v>
      </c>
      <c r="J224" s="275" t="s">
        <v>3581</v>
      </c>
      <c r="K224" s="275" t="s">
        <v>3396</v>
      </c>
      <c r="L224" s="274" t="s">
        <v>3397</v>
      </c>
      <c r="M224" s="274" t="s">
        <v>3398</v>
      </c>
    </row>
    <row r="225" spans="2:13">
      <c r="B225" s="1215">
        <f>B207/B210%</f>
        <v>36.918887375996889</v>
      </c>
      <c r="C225" s="1215">
        <f t="shared" ref="C225:M225" si="8">C207/C210%</f>
        <v>24.420119885327079</v>
      </c>
      <c r="D225" s="1215">
        <f t="shared" si="8"/>
        <v>17.876925411639732</v>
      </c>
      <c r="E225" s="1215">
        <f t="shared" si="8"/>
        <v>18.053143452587705</v>
      </c>
      <c r="F225" s="1215">
        <f t="shared" si="8"/>
        <v>19.234149403640927</v>
      </c>
      <c r="G225" s="1215">
        <f t="shared" si="8"/>
        <v>23.39622641509434</v>
      </c>
      <c r="H225" s="1215">
        <f t="shared" si="8"/>
        <v>39.842005838914652</v>
      </c>
      <c r="I225" s="1215">
        <f t="shared" si="8"/>
        <v>38.046757164404227</v>
      </c>
      <c r="J225" s="1215">
        <f t="shared" si="8"/>
        <v>21.34078905208322</v>
      </c>
      <c r="K225" s="1215">
        <f t="shared" si="8"/>
        <v>22.629582806573957</v>
      </c>
      <c r="L225" s="1215">
        <f t="shared" si="8"/>
        <v>19.720975747938219</v>
      </c>
      <c r="M225" s="1215">
        <f t="shared" si="8"/>
        <v>16.905167743555182</v>
      </c>
    </row>
    <row r="226" spans="2:13">
      <c r="B226" s="1215">
        <f>B208/B210%</f>
        <v>60.416261427737801</v>
      </c>
      <c r="C226" s="1215">
        <f t="shared" ref="C226:M226" si="9">C208/C210%</f>
        <v>64.11258795934323</v>
      </c>
      <c r="D226" s="1215">
        <f t="shared" si="9"/>
        <v>56.172698990818731</v>
      </c>
      <c r="E226" s="1215">
        <f t="shared" si="9"/>
        <v>61.705453282389719</v>
      </c>
      <c r="F226" s="1215">
        <f t="shared" si="9"/>
        <v>54.726930320150657</v>
      </c>
      <c r="G226" s="1215">
        <f t="shared" si="9"/>
        <v>47.622641509433961</v>
      </c>
      <c r="H226" s="1215">
        <f t="shared" si="9"/>
        <v>38.674222909153357</v>
      </c>
      <c r="I226" s="1215">
        <f t="shared" si="9"/>
        <v>34.502262443438916</v>
      </c>
      <c r="J226" s="1215">
        <f t="shared" si="9"/>
        <v>63.881797227878316</v>
      </c>
      <c r="K226" s="1215">
        <f t="shared" si="9"/>
        <v>61.658257162995199</v>
      </c>
      <c r="L226" s="1215">
        <f t="shared" si="9"/>
        <v>67.709413044737872</v>
      </c>
      <c r="M226" s="1215">
        <f t="shared" si="9"/>
        <v>62.37012372105724</v>
      </c>
    </row>
    <row r="227" spans="2:13">
      <c r="B227" s="1215">
        <f>B209/B210%</f>
        <v>2.6648511962653183</v>
      </c>
      <c r="C227" s="1215">
        <f t="shared" ref="C227:M227" si="10">C209/C210%</f>
        <v>11.467292155329684</v>
      </c>
      <c r="D227" s="1215">
        <f t="shared" si="10"/>
        <v>25.950375597541544</v>
      </c>
      <c r="E227" s="1215">
        <f t="shared" si="10"/>
        <v>20.241403265022576</v>
      </c>
      <c r="F227" s="1215">
        <f t="shared" si="10"/>
        <v>26.038920276208408</v>
      </c>
      <c r="G227" s="1215">
        <f t="shared" si="10"/>
        <v>28.981132075471699</v>
      </c>
      <c r="H227" s="1215">
        <f t="shared" si="10"/>
        <v>21.483771251931994</v>
      </c>
      <c r="I227" s="1215">
        <f t="shared" si="10"/>
        <v>27.450980392156865</v>
      </c>
      <c r="J227" s="1215">
        <f t="shared" si="10"/>
        <v>14.777413720038449</v>
      </c>
      <c r="K227" s="1215">
        <f t="shared" si="10"/>
        <v>15.712160030430844</v>
      </c>
      <c r="L227" s="1215">
        <f t="shared" si="10"/>
        <v>12.569611207323904</v>
      </c>
      <c r="M227" s="1215">
        <f t="shared" si="10"/>
        <v>20.724708535387563</v>
      </c>
    </row>
  </sheetData>
  <mergeCells count="38">
    <mergeCell ref="F188:F189"/>
    <mergeCell ref="K188:K189"/>
    <mergeCell ref="G188:G189"/>
    <mergeCell ref="J188:J189"/>
    <mergeCell ref="I191:I194"/>
    <mergeCell ref="L188:M188"/>
    <mergeCell ref="L41:M41"/>
    <mergeCell ref="L8:M8"/>
    <mergeCell ref="H41:H42"/>
    <mergeCell ref="I199:I202"/>
    <mergeCell ref="H188:H189"/>
    <mergeCell ref="I188:I189"/>
    <mergeCell ref="I41:I42"/>
    <mergeCell ref="I11:I14"/>
    <mergeCell ref="I195:I198"/>
    <mergeCell ref="G8:G9"/>
    <mergeCell ref="J8:J9"/>
    <mergeCell ref="K8:K9"/>
    <mergeCell ref="J41:J42"/>
    <mergeCell ref="K41:K42"/>
    <mergeCell ref="I15:I18"/>
    <mergeCell ref="I19:I22"/>
    <mergeCell ref="G41:G42"/>
    <mergeCell ref="H8:H9"/>
    <mergeCell ref="I8:I9"/>
    <mergeCell ref="A8:A9"/>
    <mergeCell ref="B8:B9"/>
    <mergeCell ref="C8:C9"/>
    <mergeCell ref="D8:E8"/>
    <mergeCell ref="F8:F9"/>
    <mergeCell ref="A188:A189"/>
    <mergeCell ref="B188:B189"/>
    <mergeCell ref="C188:C189"/>
    <mergeCell ref="D188:E188"/>
    <mergeCell ref="A41:A42"/>
    <mergeCell ref="B41:B42"/>
    <mergeCell ref="C41:C42"/>
    <mergeCell ref="D41:E41"/>
  </mergeCells>
  <pageMargins left="0" right="0" top="0" bottom="0" header="0" footer="0"/>
  <pageSetup paperSize="9" scale="74" fitToHeight="0"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Лист14">
    <tabColor rgb="FF7030A0"/>
    <pageSetUpPr fitToPage="1"/>
  </sheetPr>
  <dimension ref="A1:Q92"/>
  <sheetViews>
    <sheetView topLeftCell="A7" zoomScaleSheetLayoutView="100" workbookViewId="0">
      <selection activeCell="K12" sqref="K12"/>
    </sheetView>
  </sheetViews>
  <sheetFormatPr defaultColWidth="9.140625" defaultRowHeight="15.75"/>
  <cols>
    <col min="1" max="1" width="10.85546875" style="293" customWidth="1"/>
    <col min="2" max="2" width="30.7109375" style="282" customWidth="1"/>
    <col min="3" max="3" width="14.7109375" style="282" customWidth="1"/>
    <col min="4" max="4" width="9.5703125" style="282" customWidth="1"/>
    <col min="5" max="5" width="9.5703125" style="293" customWidth="1"/>
    <col min="6" max="6" width="9.85546875" style="293" customWidth="1"/>
    <col min="7" max="7" width="11.5703125" style="293" customWidth="1"/>
    <col min="8" max="8" width="17.5703125" style="282" customWidth="1"/>
    <col min="9" max="9" width="14.85546875" style="282" bestFit="1" customWidth="1"/>
    <col min="10" max="10" width="12.42578125" style="282" customWidth="1"/>
    <col min="11" max="11" width="12.28515625" style="281" customWidth="1"/>
    <col min="12" max="12" width="13.5703125" style="281" customWidth="1"/>
    <col min="13" max="14" width="10.85546875" style="282" customWidth="1"/>
    <col min="15" max="15" width="9.5703125" style="282" bestFit="1" customWidth="1"/>
    <col min="16" max="16" width="14" style="282" customWidth="1"/>
    <col min="17" max="17" width="9.5703125" style="282" bestFit="1" customWidth="1"/>
    <col min="18" max="16384" width="9.140625" style="282"/>
  </cols>
  <sheetData>
    <row r="1" spans="1:14">
      <c r="M1" s="541" t="s">
        <v>267</v>
      </c>
      <c r="N1" s="671" t="s">
        <v>606</v>
      </c>
    </row>
    <row r="2" spans="1:14" s="744" customFormat="1">
      <c r="A2" s="695" t="s">
        <v>3547</v>
      </c>
      <c r="B2" s="849"/>
      <c r="C2" s="849"/>
      <c r="D2" s="849"/>
      <c r="E2" s="849"/>
      <c r="F2" s="849"/>
      <c r="G2" s="849"/>
      <c r="H2" s="849"/>
      <c r="I2" s="3814" t="s">
        <v>3375</v>
      </c>
      <c r="J2" s="849"/>
      <c r="K2" s="866"/>
      <c r="L2" s="866"/>
    </row>
    <row r="3" spans="1:14">
      <c r="A3" s="45"/>
      <c r="B3" s="280"/>
      <c r="C3" s="280"/>
      <c r="D3" s="280"/>
      <c r="E3" s="280"/>
      <c r="F3" s="280"/>
      <c r="G3" s="280"/>
      <c r="H3" s="280"/>
      <c r="I3" s="3815"/>
      <c r="J3" s="280"/>
    </row>
    <row r="4" spans="1:14" s="744" customFormat="1" ht="15.75" customHeight="1">
      <c r="A4" s="656" t="s">
        <v>3376</v>
      </c>
      <c r="B4" s="852"/>
      <c r="C4" s="852"/>
      <c r="D4" s="852"/>
      <c r="E4" s="852"/>
      <c r="F4" s="852"/>
      <c r="G4" s="852"/>
      <c r="H4" s="852"/>
      <c r="I4" s="852"/>
      <c r="J4" s="738"/>
      <c r="K4" s="866"/>
      <c r="L4" s="866"/>
    </row>
    <row r="5" spans="1:14">
      <c r="A5" s="168" t="s">
        <v>990</v>
      </c>
      <c r="B5" s="283"/>
      <c r="C5" s="283"/>
      <c r="D5" s="283"/>
      <c r="E5" s="283"/>
      <c r="F5" s="283"/>
      <c r="G5" s="283"/>
      <c r="H5" s="283"/>
      <c r="I5" s="283"/>
      <c r="J5" s="177"/>
    </row>
    <row r="6" spans="1:14" ht="21.75" customHeight="1">
      <c r="A6" s="284"/>
      <c r="B6" s="284"/>
      <c r="C6" s="284"/>
      <c r="D6" s="284"/>
      <c r="E6" s="284"/>
      <c r="F6" s="284"/>
      <c r="G6" s="285"/>
      <c r="H6" s="284"/>
      <c r="I6" s="177"/>
      <c r="N6" s="876" t="s">
        <v>254</v>
      </c>
    </row>
    <row r="7" spans="1:14" s="227" customFormat="1" ht="29.25" customHeight="1">
      <c r="A7" s="4178" t="s">
        <v>2</v>
      </c>
      <c r="B7" s="4178" t="s">
        <v>3377</v>
      </c>
      <c r="C7" s="4160" t="s">
        <v>3549</v>
      </c>
      <c r="D7" s="4180" t="s">
        <v>1092</v>
      </c>
      <c r="E7" s="4162" t="s">
        <v>255</v>
      </c>
      <c r="F7" s="4182"/>
      <c r="G7" s="4163"/>
      <c r="H7" s="4160" t="s">
        <v>3550</v>
      </c>
      <c r="I7" s="4160" t="s">
        <v>3551</v>
      </c>
      <c r="J7" s="4160" t="s">
        <v>3380</v>
      </c>
      <c r="K7" s="4160" t="s">
        <v>3381</v>
      </c>
      <c r="L7" s="4160" t="s">
        <v>345</v>
      </c>
      <c r="M7" s="4162" t="s">
        <v>255</v>
      </c>
      <c r="N7" s="4163"/>
    </row>
    <row r="8" spans="1:14" s="226" customFormat="1" ht="45.6" customHeight="1">
      <c r="A8" s="4179"/>
      <c r="B8" s="4179"/>
      <c r="C8" s="4160"/>
      <c r="D8" s="4181"/>
      <c r="E8" s="286" t="s">
        <v>7</v>
      </c>
      <c r="F8" s="286" t="s">
        <v>8</v>
      </c>
      <c r="G8" s="286" t="s">
        <v>3552</v>
      </c>
      <c r="H8" s="4160"/>
      <c r="I8" s="4160"/>
      <c r="J8" s="4160"/>
      <c r="K8" s="4160"/>
      <c r="L8" s="4160"/>
      <c r="M8" s="286" t="s">
        <v>7</v>
      </c>
      <c r="N8" s="286" t="s">
        <v>8</v>
      </c>
    </row>
    <row r="9" spans="1:14" s="226" customFormat="1" ht="20.25" customHeight="1">
      <c r="A9" s="239"/>
      <c r="B9" s="287" t="s">
        <v>3553</v>
      </c>
      <c r="C9" s="288"/>
      <c r="D9" s="288"/>
      <c r="E9" s="632"/>
      <c r="F9" s="632"/>
      <c r="G9" s="216"/>
      <c r="H9" s="216"/>
      <c r="I9" s="216"/>
      <c r="J9" s="216"/>
      <c r="K9" s="289"/>
      <c r="L9" s="289"/>
      <c r="M9" s="290"/>
      <c r="N9" s="290"/>
    </row>
    <row r="10" spans="1:14" s="226" customFormat="1" ht="20.25" customHeight="1">
      <c r="A10" s="291"/>
      <c r="B10" s="292" t="s">
        <v>3459</v>
      </c>
      <c r="C10" s="291" t="s">
        <v>3383</v>
      </c>
      <c r="D10" s="632">
        <f>E10+F10+G10</f>
        <v>817</v>
      </c>
      <c r="E10" s="720">
        <v>24</v>
      </c>
      <c r="F10" s="720">
        <v>214</v>
      </c>
      <c r="G10" s="877">
        <v>579</v>
      </c>
      <c r="H10" s="877">
        <f>E48/D10</f>
        <v>2.5448102815177478</v>
      </c>
      <c r="I10" s="216">
        <f>ROUND(D10*H10,2)</f>
        <v>2079.11</v>
      </c>
      <c r="J10" s="632">
        <v>3</v>
      </c>
      <c r="K10" s="1212">
        <v>134.93</v>
      </c>
      <c r="L10" s="629">
        <f>I10*J10*K10</f>
        <v>841602.93690000009</v>
      </c>
      <c r="M10" s="290">
        <f>L10*E10/D10</f>
        <v>24722.730092533664</v>
      </c>
      <c r="N10" s="633">
        <f>L10-M10</f>
        <v>816880.20680746646</v>
      </c>
    </row>
    <row r="11" spans="1:14" s="226" customFormat="1" ht="20.25" customHeight="1">
      <c r="A11" s="291"/>
      <c r="B11" s="292" t="s">
        <v>3463</v>
      </c>
      <c r="C11" s="291" t="s">
        <v>3383</v>
      </c>
      <c r="D11" s="632">
        <f>E11+F11+G11</f>
        <v>800</v>
      </c>
      <c r="E11" s="720">
        <v>24</v>
      </c>
      <c r="F11" s="720">
        <v>214</v>
      </c>
      <c r="G11" s="877">
        <v>562</v>
      </c>
      <c r="H11" s="877">
        <f>$E$48/D11</f>
        <v>2.5988875</v>
      </c>
      <c r="I11" s="216">
        <f>ROUND(D11*H11,2)</f>
        <v>2079.11</v>
      </c>
      <c r="J11" s="632">
        <v>5</v>
      </c>
      <c r="K11" s="1212">
        <v>134.93</v>
      </c>
      <c r="L11" s="629">
        <f>I11*J11*K11</f>
        <v>1402671.5615000003</v>
      </c>
      <c r="M11" s="290">
        <f t="shared" ref="M11:M20" si="0">L11*E11/D11</f>
        <v>42080.14684500001</v>
      </c>
      <c r="N11" s="633">
        <f t="shared" ref="N11:N20" si="1">L11-M11</f>
        <v>1360591.4146550002</v>
      </c>
    </row>
    <row r="12" spans="1:14" s="226" customFormat="1" ht="20.25" customHeight="1">
      <c r="A12" s="291"/>
      <c r="B12" s="292" t="s">
        <v>3464</v>
      </c>
      <c r="C12" s="291" t="s">
        <v>3383</v>
      </c>
      <c r="D12" s="632">
        <f>E12+F12+G12</f>
        <v>895</v>
      </c>
      <c r="E12" s="720">
        <v>24</v>
      </c>
      <c r="F12" s="720">
        <v>214</v>
      </c>
      <c r="G12" s="877">
        <v>657</v>
      </c>
      <c r="H12" s="877">
        <f>$E$48/D12</f>
        <v>2.323027932960894</v>
      </c>
      <c r="I12" s="216">
        <f>ROUND(D12*H12,2)</f>
        <v>2079.11</v>
      </c>
      <c r="J12" s="632">
        <v>4</v>
      </c>
      <c r="K12" s="1212">
        <v>134.93</v>
      </c>
      <c r="L12" s="629">
        <f>I12*J12*K12</f>
        <v>1122137.2492000002</v>
      </c>
      <c r="M12" s="290">
        <f t="shared" si="0"/>
        <v>30090.83126346369</v>
      </c>
      <c r="N12" s="633">
        <f t="shared" si="1"/>
        <v>1092046.4179365365</v>
      </c>
    </row>
    <row r="13" spans="1:14" s="226" customFormat="1" ht="20.25" customHeight="1">
      <c r="A13" s="291"/>
      <c r="B13" s="238" t="s">
        <v>20</v>
      </c>
      <c r="C13" s="884"/>
      <c r="D13" s="884"/>
      <c r="E13" s="878"/>
      <c r="F13" s="878"/>
      <c r="G13" s="878"/>
      <c r="H13" s="879"/>
      <c r="I13" s="879"/>
      <c r="J13" s="879"/>
      <c r="K13" s="880"/>
      <c r="L13" s="630">
        <f>SUM(L10:L12)</f>
        <v>3366411.7476000004</v>
      </c>
      <c r="M13" s="630">
        <f>SUM(M10:M12)</f>
        <v>96893.708200997353</v>
      </c>
      <c r="N13" s="630">
        <f>SUM(N10:N12)</f>
        <v>3269518.0393990031</v>
      </c>
    </row>
    <row r="14" spans="1:14" s="226" customFormat="1" ht="20.25" customHeight="1">
      <c r="A14" s="239"/>
      <c r="B14" s="287" t="s">
        <v>3554</v>
      </c>
      <c r="C14" s="709"/>
      <c r="D14" s="709"/>
      <c r="E14" s="720"/>
      <c r="F14" s="720"/>
      <c r="G14" s="877"/>
      <c r="H14" s="877"/>
      <c r="I14" s="877"/>
      <c r="J14" s="877"/>
      <c r="K14" s="880"/>
      <c r="L14" s="630">
        <f>L15+L16+L17</f>
        <v>3210490.3547999994</v>
      </c>
      <c r="M14" s="287">
        <f>M15+M16+M17</f>
        <v>92405.902469263237</v>
      </c>
      <c r="N14" s="1308">
        <f t="shared" si="1"/>
        <v>3118084.452330736</v>
      </c>
    </row>
    <row r="15" spans="1:14" s="226" customFormat="1" ht="20.25" customHeight="1">
      <c r="A15" s="291"/>
      <c r="B15" s="292" t="s">
        <v>3459</v>
      </c>
      <c r="C15" s="291" t="s">
        <v>3383</v>
      </c>
      <c r="D15" s="632">
        <f>E15+F15+G15</f>
        <v>817</v>
      </c>
      <c r="E15" s="720">
        <v>24</v>
      </c>
      <c r="F15" s="720">
        <v>214</v>
      </c>
      <c r="G15" s="877">
        <v>579</v>
      </c>
      <c r="H15" s="877">
        <f>$E$49/D15</f>
        <v>2.5347735618115053</v>
      </c>
      <c r="I15" s="216">
        <f>D15*H15</f>
        <v>2070.91</v>
      </c>
      <c r="J15" s="632">
        <v>3</v>
      </c>
      <c r="K15" s="1212">
        <v>129.19</v>
      </c>
      <c r="L15" s="629">
        <f>I15*J15*K15</f>
        <v>802622.58869999996</v>
      </c>
      <c r="M15" s="290">
        <f t="shared" si="0"/>
        <v>23577.652544430843</v>
      </c>
      <c r="N15" s="633">
        <f t="shared" si="1"/>
        <v>779044.93615556916</v>
      </c>
    </row>
    <row r="16" spans="1:14" s="226" customFormat="1" ht="20.25" customHeight="1">
      <c r="A16" s="291"/>
      <c r="B16" s="292" t="s">
        <v>3463</v>
      </c>
      <c r="C16" s="291" t="s">
        <v>3383</v>
      </c>
      <c r="D16" s="632">
        <f>E16+F16+G16</f>
        <v>800</v>
      </c>
      <c r="E16" s="720">
        <v>24</v>
      </c>
      <c r="F16" s="720">
        <v>214</v>
      </c>
      <c r="G16" s="877">
        <v>562</v>
      </c>
      <c r="H16" s="877">
        <f>$E$49/D16</f>
        <v>2.5886374999999999</v>
      </c>
      <c r="I16" s="216">
        <f>D16*H16</f>
        <v>2070.91</v>
      </c>
      <c r="J16" s="632">
        <v>5</v>
      </c>
      <c r="K16" s="1212">
        <v>129.19</v>
      </c>
      <c r="L16" s="629">
        <f>I16*J16*K16</f>
        <v>1337704.3144999999</v>
      </c>
      <c r="M16" s="290">
        <f t="shared" si="0"/>
        <v>40131.129434999995</v>
      </c>
      <c r="N16" s="633">
        <f t="shared" si="1"/>
        <v>1297573.1850649999</v>
      </c>
    </row>
    <row r="17" spans="1:14" s="226" customFormat="1" ht="20.25" customHeight="1">
      <c r="A17" s="291"/>
      <c r="B17" s="292" t="s">
        <v>3464</v>
      </c>
      <c r="C17" s="291" t="s">
        <v>3383</v>
      </c>
      <c r="D17" s="632">
        <f>E17+F17+G17</f>
        <v>895</v>
      </c>
      <c r="E17" s="720">
        <v>24</v>
      </c>
      <c r="F17" s="720">
        <v>214</v>
      </c>
      <c r="G17" s="877">
        <v>657</v>
      </c>
      <c r="H17" s="877">
        <f>$E$49/D17</f>
        <v>2.3138659217877096</v>
      </c>
      <c r="I17" s="216">
        <f>D17*H17</f>
        <v>2070.91</v>
      </c>
      <c r="J17" s="632">
        <v>4</v>
      </c>
      <c r="K17" s="1212">
        <v>129.19</v>
      </c>
      <c r="L17" s="629">
        <f>I17*J17*K17</f>
        <v>1070163.4515999998</v>
      </c>
      <c r="M17" s="290">
        <f t="shared" si="0"/>
        <v>28697.120489832396</v>
      </c>
      <c r="N17" s="633">
        <f t="shared" si="1"/>
        <v>1041466.3311101674</v>
      </c>
    </row>
    <row r="18" spans="1:14" s="226" customFormat="1" ht="20.25" customHeight="1">
      <c r="A18" s="291"/>
      <c r="B18" s="238" t="s">
        <v>20</v>
      </c>
      <c r="C18" s="709"/>
      <c r="D18" s="709"/>
      <c r="E18" s="720"/>
      <c r="F18" s="720"/>
      <c r="G18" s="877"/>
      <c r="H18" s="877"/>
      <c r="I18" s="877"/>
      <c r="J18" s="877"/>
      <c r="K18" s="880"/>
      <c r="L18" s="630">
        <f>SUM(L15:L17)</f>
        <v>3210490.3547999994</v>
      </c>
      <c r="M18" s="630">
        <f>SUM(M15:M17)</f>
        <v>92405.902469263237</v>
      </c>
      <c r="N18" s="630">
        <f>SUM(N15:N17)</f>
        <v>3118084.4523307364</v>
      </c>
    </row>
    <row r="19" spans="1:14" s="226" customFormat="1" ht="20.25" customHeight="1">
      <c r="A19" s="291"/>
      <c r="B19" s="238" t="s">
        <v>3555</v>
      </c>
      <c r="C19" s="709"/>
      <c r="D19" s="709"/>
      <c r="E19" s="720"/>
      <c r="F19" s="720"/>
      <c r="G19" s="877"/>
      <c r="H19" s="877"/>
      <c r="I19" s="216"/>
      <c r="J19" s="216"/>
      <c r="K19" s="880"/>
      <c r="L19" s="629"/>
      <c r="M19" s="290" t="e">
        <f t="shared" si="0"/>
        <v>#DIV/0!</v>
      </c>
      <c r="N19" s="633" t="e">
        <f t="shared" si="1"/>
        <v>#DIV/0!</v>
      </c>
    </row>
    <row r="20" spans="1:14" s="226" customFormat="1" ht="20.25" customHeight="1">
      <c r="A20" s="291"/>
      <c r="B20" s="288" t="s">
        <v>3556</v>
      </c>
      <c r="C20" s="709">
        <v>11901.2</v>
      </c>
      <c r="D20" s="291">
        <f>G20</f>
        <v>581</v>
      </c>
      <c r="E20" s="291">
        <v>0</v>
      </c>
      <c r="F20" s="291"/>
      <c r="G20" s="291">
        <v>581</v>
      </c>
      <c r="H20" s="877">
        <f>I20/G20</f>
        <v>0.15141135972461273</v>
      </c>
      <c r="I20" s="877">
        <v>87.97</v>
      </c>
      <c r="J20" s="632">
        <v>5</v>
      </c>
      <c r="K20" s="1212">
        <v>134.93</v>
      </c>
      <c r="L20" s="1568">
        <f>I20*J20*K20</f>
        <v>59348.960500000008</v>
      </c>
      <c r="M20" s="290">
        <f t="shared" si="0"/>
        <v>0</v>
      </c>
      <c r="N20" s="633">
        <f t="shared" si="1"/>
        <v>59348.960500000008</v>
      </c>
    </row>
    <row r="21" spans="1:14" s="228" customFormat="1" ht="20.25" customHeight="1">
      <c r="A21" s="291"/>
      <c r="B21" s="238" t="s">
        <v>20</v>
      </c>
      <c r="C21" s="884"/>
      <c r="D21" s="884"/>
      <c r="E21" s="878"/>
      <c r="F21" s="878"/>
      <c r="G21" s="879"/>
      <c r="H21" s="879"/>
      <c r="I21" s="879"/>
      <c r="J21" s="879"/>
      <c r="K21" s="881"/>
      <c r="L21" s="1569">
        <f>SUM(L20)</f>
        <v>59348.960500000008</v>
      </c>
      <c r="M21" s="630">
        <f>SUM(M20)</f>
        <v>0</v>
      </c>
      <c r="N21" s="1569">
        <f>SUM(N20)</f>
        <v>59348.960500000008</v>
      </c>
    </row>
    <row r="22" spans="1:14" s="226" customFormat="1" ht="20.25" customHeight="1">
      <c r="A22" s="239"/>
      <c r="B22" s="238" t="s">
        <v>306</v>
      </c>
      <c r="C22" s="883"/>
      <c r="D22" s="883"/>
      <c r="E22" s="883"/>
      <c r="F22" s="883"/>
      <c r="G22" s="883"/>
      <c r="H22" s="883"/>
      <c r="I22" s="883"/>
      <c r="J22" s="883"/>
      <c r="K22" s="882"/>
      <c r="L22" s="1570">
        <f>L13+L18+L21</f>
        <v>6636251.0628999993</v>
      </c>
      <c r="M22" s="238" t="e">
        <f>M13+M19+M21</f>
        <v>#DIV/0!</v>
      </c>
      <c r="N22" s="631" t="e">
        <f>N13+N19+N21</f>
        <v>#DIV/0!</v>
      </c>
    </row>
    <row r="23" spans="1:14" s="226" customFormat="1" ht="20.25" customHeight="1">
      <c r="A23" s="518"/>
      <c r="B23" s="82"/>
      <c r="C23" s="1538"/>
      <c r="D23" s="1538"/>
      <c r="E23" s="1538"/>
      <c r="F23" s="1538"/>
      <c r="G23" s="1538"/>
      <c r="H23" s="1538"/>
      <c r="I23" s="1538"/>
      <c r="J23" s="1538"/>
      <c r="K23" s="1539"/>
      <c r="L23" s="1540"/>
      <c r="M23" s="82"/>
      <c r="N23" s="1540"/>
    </row>
    <row r="24" spans="1:14" ht="21" customHeight="1">
      <c r="A24" s="450"/>
      <c r="B24" s="1543" t="s">
        <v>3596</v>
      </c>
      <c r="C24" s="294"/>
      <c r="D24" s="294"/>
      <c r="E24" s="295"/>
      <c r="F24" s="295"/>
      <c r="H24" s="296"/>
      <c r="I24" s="297"/>
      <c r="J24" s="217"/>
      <c r="K24" s="296"/>
      <c r="L24" s="298"/>
    </row>
    <row r="25" spans="1:14" ht="15.75" customHeight="1">
      <c r="A25" s="450"/>
      <c r="B25" s="1541" t="s">
        <v>3597</v>
      </c>
      <c r="C25" s="1542"/>
      <c r="D25" s="294"/>
      <c r="E25" s="295"/>
      <c r="F25" s="745"/>
      <c r="G25" s="758"/>
      <c r="H25" s="885"/>
      <c r="I25" s="886"/>
      <c r="J25" s="739"/>
      <c r="K25" s="885"/>
      <c r="L25" s="887"/>
      <c r="M25" s="744"/>
      <c r="N25" s="744"/>
    </row>
    <row r="26" spans="1:14">
      <c r="B26" s="1537"/>
      <c r="C26" s="294"/>
      <c r="D26" s="294"/>
      <c r="E26" s="295"/>
      <c r="F26" s="745"/>
      <c r="G26" s="758"/>
      <c r="H26" s="885"/>
      <c r="I26" s="886"/>
      <c r="J26" s="739"/>
      <c r="K26" s="885"/>
      <c r="L26" s="887"/>
      <c r="M26" s="744"/>
      <c r="N26" s="744"/>
    </row>
    <row r="27" spans="1:14" ht="24" customHeight="1">
      <c r="B27" s="300"/>
      <c r="C27" s="294"/>
      <c r="D27" s="294"/>
      <c r="E27" s="295"/>
      <c r="F27" s="745"/>
      <c r="G27" s="758"/>
      <c r="H27" s="888"/>
      <c r="I27" s="886"/>
      <c r="J27" s="739"/>
      <c r="K27" s="888"/>
      <c r="L27" s="887"/>
      <c r="M27" s="744"/>
      <c r="N27" s="744"/>
    </row>
    <row r="28" spans="1:14">
      <c r="B28" s="345" t="s">
        <v>330</v>
      </c>
      <c r="C28" s="294"/>
      <c r="D28" s="294"/>
      <c r="E28" s="295"/>
      <c r="F28" s="745"/>
      <c r="G28" s="758"/>
      <c r="H28" s="889"/>
      <c r="I28" s="886"/>
      <c r="J28" s="739"/>
      <c r="K28" s="889"/>
      <c r="L28" s="890"/>
      <c r="M28" s="744"/>
      <c r="N28" s="744"/>
    </row>
    <row r="29" spans="1:14">
      <c r="B29" s="345" t="s">
        <v>332</v>
      </c>
      <c r="C29" s="294"/>
      <c r="D29" s="294"/>
      <c r="E29" s="295"/>
      <c r="F29" s="745"/>
      <c r="G29" s="758"/>
      <c r="H29" s="889"/>
      <c r="I29" s="739"/>
      <c r="J29" s="739"/>
      <c r="K29" s="889"/>
      <c r="L29" s="890"/>
      <c r="M29" s="744"/>
      <c r="N29" s="744"/>
    </row>
    <row r="30" spans="1:14" ht="10.5" customHeight="1">
      <c r="B30" s="346"/>
      <c r="C30" s="294"/>
      <c r="D30" s="294"/>
      <c r="E30" s="295"/>
      <c r="F30" s="745"/>
      <c r="G30" s="758"/>
      <c r="H30" s="889"/>
      <c r="I30" s="739"/>
      <c r="J30" s="739"/>
      <c r="K30" s="889"/>
      <c r="L30" s="891"/>
      <c r="M30" s="744"/>
      <c r="N30" s="744"/>
    </row>
    <row r="31" spans="1:14">
      <c r="B31" s="345" t="s">
        <v>333</v>
      </c>
      <c r="F31" s="758"/>
      <c r="G31" s="758"/>
      <c r="H31" s="744"/>
      <c r="I31" s="744"/>
      <c r="J31" s="744"/>
      <c r="K31" s="866"/>
      <c r="L31" s="866"/>
      <c r="M31" s="744"/>
      <c r="N31" s="744"/>
    </row>
    <row r="32" spans="1:14" hidden="1">
      <c r="B32" s="541" t="s">
        <v>3387</v>
      </c>
      <c r="C32" s="541" t="s">
        <v>3388</v>
      </c>
      <c r="D32" s="541" t="s">
        <v>1411</v>
      </c>
      <c r="E32" s="541" t="s">
        <v>3598</v>
      </c>
      <c r="F32" s="541" t="s">
        <v>3391</v>
      </c>
      <c r="G32" s="541" t="s">
        <v>3392</v>
      </c>
      <c r="H32" s="282" t="s">
        <v>3393</v>
      </c>
      <c r="I32" s="282" t="s">
        <v>3399</v>
      </c>
      <c r="L32" s="282" t="s">
        <v>3599</v>
      </c>
    </row>
    <row r="33" spans="1:13" hidden="1">
      <c r="A33" s="274"/>
      <c r="B33" s="274" t="s">
        <v>3484</v>
      </c>
      <c r="C33" s="274"/>
      <c r="D33" s="274"/>
      <c r="E33" s="274"/>
      <c r="F33" s="274"/>
      <c r="G33" s="274"/>
      <c r="L33" s="282"/>
    </row>
    <row r="34" spans="1:13" hidden="1">
      <c r="A34" s="274" t="s">
        <v>3485</v>
      </c>
      <c r="B34" s="274">
        <v>1119</v>
      </c>
      <c r="C34" s="274">
        <v>1210</v>
      </c>
      <c r="D34" s="274">
        <v>970</v>
      </c>
      <c r="E34" s="274">
        <v>1836</v>
      </c>
      <c r="F34" s="274">
        <v>954</v>
      </c>
      <c r="G34" s="274">
        <v>970</v>
      </c>
      <c r="H34" s="282">
        <v>841</v>
      </c>
      <c r="I34" s="281">
        <v>126.1</v>
      </c>
      <c r="J34" s="1211">
        <v>1.07</v>
      </c>
      <c r="K34" s="1211">
        <f>I34*J34</f>
        <v>134.92699999999999</v>
      </c>
      <c r="L34" s="282">
        <f>B34+C34+D34</f>
        <v>3299</v>
      </c>
    </row>
    <row r="35" spans="1:13" hidden="1">
      <c r="A35" s="274" t="s">
        <v>3487</v>
      </c>
      <c r="B35" s="274">
        <v>1119</v>
      </c>
      <c r="C35" s="274">
        <v>1210</v>
      </c>
      <c r="D35" s="274">
        <v>970</v>
      </c>
      <c r="E35" s="274">
        <v>1836</v>
      </c>
      <c r="F35" s="274">
        <v>954</v>
      </c>
      <c r="G35" s="274">
        <v>970</v>
      </c>
      <c r="H35" s="282">
        <v>841</v>
      </c>
    </row>
    <row r="36" spans="1:13" hidden="1"/>
    <row r="37" spans="1:13" hidden="1"/>
    <row r="38" spans="1:13" hidden="1">
      <c r="B38" s="282" t="s">
        <v>3600</v>
      </c>
    </row>
    <row r="39" spans="1:13" hidden="1"/>
    <row r="40" spans="1:13">
      <c r="A40" s="1145" t="s">
        <v>3495</v>
      </c>
      <c r="B40" s="1274"/>
      <c r="C40" s="1275"/>
      <c r="D40" s="1276"/>
      <c r="E40" s="1275"/>
      <c r="F40" s="1277"/>
      <c r="G40" s="1277"/>
      <c r="H40" s="1278"/>
      <c r="I40" s="1278"/>
      <c r="J40" s="1278"/>
      <c r="K40" s="580"/>
      <c r="L40" s="580"/>
      <c r="M40" s="580"/>
    </row>
    <row r="41" spans="1:13">
      <c r="A41" s="1279"/>
      <c r="B41" s="1275"/>
      <c r="C41" s="1275"/>
      <c r="D41" s="1276"/>
      <c r="E41" s="1275"/>
      <c r="F41" s="1277"/>
      <c r="G41" s="1277"/>
      <c r="H41" s="1278"/>
      <c r="I41" s="1278"/>
      <c r="J41" s="1278"/>
      <c r="K41" s="580"/>
      <c r="L41" s="580"/>
      <c r="M41" s="580"/>
    </row>
    <row r="42" spans="1:13">
      <c r="A42" s="1280" t="s">
        <v>3601</v>
      </c>
      <c r="B42" s="1281"/>
      <c r="C42" s="1281"/>
      <c r="D42" s="1281"/>
      <c r="E42" s="580"/>
      <c r="F42" s="1277"/>
      <c r="G42" s="1277"/>
      <c r="H42" s="1278"/>
      <c r="I42" s="1278"/>
      <c r="J42" s="1278"/>
      <c r="K42" s="580"/>
      <c r="L42" s="580"/>
      <c r="M42" s="580"/>
    </row>
    <row r="43" spans="1:13">
      <c r="A43" s="1282"/>
      <c r="B43" s="1282"/>
      <c r="C43" s="1282"/>
      <c r="D43" s="1282"/>
      <c r="E43" s="580"/>
      <c r="F43" s="1277"/>
      <c r="G43" s="1277"/>
      <c r="H43" s="1278"/>
      <c r="I43" s="1278"/>
      <c r="J43" s="1278"/>
      <c r="K43" s="580"/>
      <c r="L43" s="580"/>
      <c r="M43" s="580"/>
    </row>
    <row r="44" spans="1:13">
      <c r="A44" s="1283"/>
      <c r="B44" s="1283"/>
      <c r="C44" s="1282"/>
      <c r="D44" s="580"/>
      <c r="E44" s="1284"/>
      <c r="F44" s="1284"/>
      <c r="G44" s="1284"/>
      <c r="H44" s="1285"/>
      <c r="I44" s="1285"/>
      <c r="J44" s="1286" t="s">
        <v>254</v>
      </c>
      <c r="K44" s="580"/>
      <c r="L44" s="580"/>
      <c r="M44" s="580"/>
    </row>
    <row r="45" spans="1:13">
      <c r="A45" s="4176" t="s">
        <v>34</v>
      </c>
      <c r="B45" s="4176" t="s">
        <v>478</v>
      </c>
      <c r="C45" s="4177" t="s">
        <v>3558</v>
      </c>
      <c r="D45" s="4177" t="s">
        <v>3559</v>
      </c>
      <c r="E45" s="4177" t="s">
        <v>3560</v>
      </c>
      <c r="F45" s="4127" t="s">
        <v>3561</v>
      </c>
      <c r="G45" s="4177" t="s">
        <v>3602</v>
      </c>
      <c r="H45" s="4189" t="s">
        <v>3603</v>
      </c>
      <c r="I45" s="4183" t="s">
        <v>3564</v>
      </c>
      <c r="J45" s="4183"/>
      <c r="K45" s="4177" t="s">
        <v>3565</v>
      </c>
      <c r="L45" s="4127" t="s">
        <v>3566</v>
      </c>
      <c r="M45" s="4127" t="s">
        <v>3567</v>
      </c>
    </row>
    <row r="46" spans="1:13">
      <c r="A46" s="4176"/>
      <c r="B46" s="4176"/>
      <c r="C46" s="4177"/>
      <c r="D46" s="4177"/>
      <c r="E46" s="4177"/>
      <c r="F46" s="4127"/>
      <c r="G46" s="4177"/>
      <c r="H46" s="4190"/>
      <c r="I46" s="4183" t="s">
        <v>7</v>
      </c>
      <c r="J46" s="4183" t="s">
        <v>3568</v>
      </c>
      <c r="K46" s="4177"/>
      <c r="L46" s="4127"/>
      <c r="M46" s="4127"/>
    </row>
    <row r="47" spans="1:13" ht="26.25" customHeight="1">
      <c r="A47" s="4176"/>
      <c r="B47" s="4176"/>
      <c r="C47" s="4177"/>
      <c r="D47" s="4177"/>
      <c r="E47" s="4177"/>
      <c r="F47" s="4127"/>
      <c r="G47" s="4177"/>
      <c r="H47" s="4191"/>
      <c r="I47" s="4183"/>
      <c r="J47" s="4183"/>
      <c r="K47" s="4177"/>
      <c r="L47" s="4127"/>
      <c r="M47" s="4127"/>
    </row>
    <row r="48" spans="1:13">
      <c r="A48" s="1287">
        <v>1</v>
      </c>
      <c r="B48" s="1288" t="s">
        <v>3570</v>
      </c>
      <c r="C48" s="1289">
        <v>20.5</v>
      </c>
      <c r="D48" s="1290">
        <v>15941</v>
      </c>
      <c r="E48" s="1291">
        <v>2079.11</v>
      </c>
      <c r="F48" s="1236">
        <f>R46/1.12</f>
        <v>0</v>
      </c>
      <c r="G48" s="1292">
        <f>E48*F48</f>
        <v>0</v>
      </c>
      <c r="H48" s="1292">
        <f>G48*12</f>
        <v>0</v>
      </c>
      <c r="I48" s="1293">
        <f>H48*10%</f>
        <v>0</v>
      </c>
      <c r="J48" s="1293">
        <f>H48-I48</f>
        <v>0</v>
      </c>
      <c r="K48" s="1294">
        <f>R46</f>
        <v>0</v>
      </c>
      <c r="L48" s="1295">
        <f>K48*E48</f>
        <v>0</v>
      </c>
      <c r="M48" s="1295">
        <f>L48*12</f>
        <v>0</v>
      </c>
    </row>
    <row r="49" spans="1:17">
      <c r="A49" s="1296">
        <v>2</v>
      </c>
      <c r="B49" s="1288" t="s">
        <v>3554</v>
      </c>
      <c r="C49" s="1289">
        <v>20.5</v>
      </c>
      <c r="D49" s="1290">
        <v>15941</v>
      </c>
      <c r="E49" s="1291">
        <v>2070.91</v>
      </c>
      <c r="F49" s="1236">
        <f>R47/1.12</f>
        <v>0</v>
      </c>
      <c r="G49" s="1292">
        <f>E49*F49</f>
        <v>0</v>
      </c>
      <c r="H49" s="1292">
        <f>G49*12</f>
        <v>0</v>
      </c>
      <c r="I49" s="1293">
        <v>287790</v>
      </c>
      <c r="J49" s="1293">
        <v>2590110</v>
      </c>
      <c r="K49" s="1294">
        <f>R47</f>
        <v>0</v>
      </c>
      <c r="L49" s="1295">
        <f>K49*E49</f>
        <v>0</v>
      </c>
      <c r="M49" s="1295">
        <f>L49*12</f>
        <v>0</v>
      </c>
    </row>
    <row r="50" spans="1:17">
      <c r="A50" s="1297"/>
      <c r="B50" s="1298" t="s">
        <v>3572</v>
      </c>
      <c r="C50" s="1299"/>
      <c r="D50" s="1299"/>
      <c r="E50" s="1299"/>
      <c r="F50" s="1300"/>
      <c r="G50" s="1301">
        <f>G48+G49</f>
        <v>0</v>
      </c>
      <c r="H50" s="1301">
        <f>H48+H49</f>
        <v>0</v>
      </c>
      <c r="I50" s="1302">
        <f>I48+I49</f>
        <v>287790</v>
      </c>
      <c r="J50" s="1302">
        <f>J48+J49</f>
        <v>2590110</v>
      </c>
      <c r="K50" s="1299"/>
      <c r="L50" s="1303">
        <f>SUM(L48:L49)</f>
        <v>0</v>
      </c>
      <c r="M50" s="1303">
        <f>SUM(M48:M49)</f>
        <v>0</v>
      </c>
    </row>
    <row r="51" spans="1:17">
      <c r="A51" s="1304"/>
      <c r="B51" s="1305"/>
      <c r="C51" s="1305"/>
      <c r="D51" s="1305"/>
      <c r="E51" s="1305"/>
      <c r="F51" s="1305"/>
      <c r="G51" s="1306"/>
      <c r="H51" s="1306"/>
      <c r="I51" s="1306"/>
      <c r="J51" s="1306"/>
      <c r="K51" s="580"/>
      <c r="L51" s="580"/>
      <c r="M51" s="580"/>
    </row>
    <row r="52" spans="1:17">
      <c r="A52" s="1536">
        <v>101.42</v>
      </c>
      <c r="B52">
        <v>20.5</v>
      </c>
      <c r="C52">
        <f>A52*B52</f>
        <v>2079.11</v>
      </c>
      <c r="D52" t="s">
        <v>3604</v>
      </c>
    </row>
    <row r="53" spans="1:17">
      <c r="A53" s="1536">
        <v>101.42</v>
      </c>
      <c r="B53">
        <v>20.5</v>
      </c>
      <c r="C53">
        <f>A53*B53</f>
        <v>2079.11</v>
      </c>
      <c r="D53" t="s">
        <v>3484</v>
      </c>
    </row>
    <row r="54" spans="1:17" hidden="1"/>
    <row r="55" spans="1:17" hidden="1">
      <c r="A55" s="541" t="s">
        <v>3545</v>
      </c>
      <c r="B55" s="293" t="s">
        <v>3471</v>
      </c>
      <c r="C55" s="293" t="s">
        <v>3388</v>
      </c>
      <c r="D55" s="293" t="s">
        <v>1411</v>
      </c>
      <c r="E55" s="293" t="s">
        <v>3598</v>
      </c>
      <c r="F55" s="293" t="s">
        <v>3391</v>
      </c>
      <c r="G55" s="293" t="s">
        <v>3392</v>
      </c>
      <c r="H55" s="293" t="s">
        <v>3393</v>
      </c>
      <c r="I55" s="293"/>
      <c r="J55" s="293"/>
      <c r="K55" s="1331" t="s">
        <v>3394</v>
      </c>
      <c r="L55" s="1331" t="s">
        <v>3581</v>
      </c>
      <c r="M55" s="293" t="s">
        <v>3396</v>
      </c>
      <c r="N55" s="293" t="s">
        <v>3397</v>
      </c>
      <c r="O55" s="293" t="s">
        <v>3398</v>
      </c>
    </row>
    <row r="56" spans="1:17" hidden="1">
      <c r="A56" s="274"/>
      <c r="B56" s="274" t="s">
        <v>3484</v>
      </c>
      <c r="C56" s="274"/>
      <c r="D56" s="274"/>
      <c r="E56" s="274"/>
      <c r="F56" s="274"/>
      <c r="G56" s="274"/>
    </row>
    <row r="57" spans="1:17" hidden="1">
      <c r="A57" s="274" t="s">
        <v>3485</v>
      </c>
      <c r="B57" s="274">
        <v>1119</v>
      </c>
      <c r="C57" s="274">
        <v>1210</v>
      </c>
      <c r="D57" s="274">
        <v>970</v>
      </c>
      <c r="E57" s="274">
        <v>1836</v>
      </c>
      <c r="F57" s="274">
        <v>954</v>
      </c>
      <c r="G57" s="274">
        <v>970</v>
      </c>
      <c r="H57" s="282">
        <v>841</v>
      </c>
      <c r="I57" s="282">
        <v>12100</v>
      </c>
      <c r="J57" s="275">
        <v>15941.2</v>
      </c>
      <c r="K57" s="281">
        <v>841</v>
      </c>
      <c r="L57" s="281">
        <v>1093</v>
      </c>
      <c r="M57" s="282">
        <v>1102</v>
      </c>
      <c r="N57" s="282">
        <v>1125</v>
      </c>
      <c r="O57" s="282">
        <v>2979</v>
      </c>
    </row>
    <row r="58" spans="1:17" hidden="1">
      <c r="A58" s="274" t="s">
        <v>3487</v>
      </c>
      <c r="B58" s="274">
        <v>1119</v>
      </c>
      <c r="C58" s="274">
        <v>1210</v>
      </c>
      <c r="D58" s="274">
        <v>970</v>
      </c>
      <c r="E58" s="274">
        <v>1836</v>
      </c>
      <c r="F58" s="274">
        <v>954</v>
      </c>
      <c r="G58" s="274">
        <v>970</v>
      </c>
      <c r="H58" s="282">
        <v>841</v>
      </c>
      <c r="K58" s="281">
        <v>841</v>
      </c>
      <c r="L58" s="281">
        <v>1093</v>
      </c>
      <c r="M58" s="282">
        <v>1102</v>
      </c>
      <c r="N58" s="282">
        <v>1125</v>
      </c>
      <c r="O58" s="282">
        <v>2979</v>
      </c>
    </row>
    <row r="59" spans="1:17" hidden="1">
      <c r="B59" s="282" t="s">
        <v>3605</v>
      </c>
      <c r="I59" s="282" t="s">
        <v>3459</v>
      </c>
      <c r="J59" s="282" t="s">
        <v>681</v>
      </c>
      <c r="P59" s="282" t="s">
        <v>3468</v>
      </c>
      <c r="Q59" s="282" t="s">
        <v>3464</v>
      </c>
    </row>
    <row r="60" spans="1:17" hidden="1">
      <c r="B60" s="282">
        <f>B57/$I$57*$J$57</f>
        <v>1474.2316363636364</v>
      </c>
      <c r="C60" s="282">
        <f t="shared" ref="C60:H60" si="2">C57/$I$57*$J$57</f>
        <v>1594.1200000000001</v>
      </c>
      <c r="D60" s="282">
        <f t="shared" si="2"/>
        <v>1277.9309090909092</v>
      </c>
      <c r="E60" s="282">
        <f t="shared" si="2"/>
        <v>2418.8465454545458</v>
      </c>
      <c r="F60" s="282">
        <f t="shared" si="2"/>
        <v>1256.8516363636363</v>
      </c>
      <c r="G60" s="282">
        <f t="shared" si="2"/>
        <v>1277.9309090909092</v>
      </c>
      <c r="H60" s="282">
        <f t="shared" si="2"/>
        <v>1107.9792727272727</v>
      </c>
      <c r="I60" s="282">
        <f>B60+C60+D60</f>
        <v>4346.2825454545455</v>
      </c>
      <c r="J60" s="282">
        <f>I60/3</f>
        <v>1448.7608484848486</v>
      </c>
      <c r="K60" s="281">
        <f t="shared" ref="K60:O61" si="3">K57/$I$57*$J$57</f>
        <v>1107.9792727272727</v>
      </c>
      <c r="L60" s="281">
        <f t="shared" si="3"/>
        <v>1439.9778181818181</v>
      </c>
      <c r="M60" s="282">
        <f t="shared" si="3"/>
        <v>1451.8349090909092</v>
      </c>
      <c r="N60" s="282">
        <f t="shared" si="3"/>
        <v>1482.1363636363637</v>
      </c>
      <c r="O60" s="282">
        <f t="shared" si="3"/>
        <v>3924.697090909091</v>
      </c>
      <c r="P60" s="282">
        <f>E60+F60+G60+H60+K60</f>
        <v>7169.5876363636362</v>
      </c>
      <c r="Q60" s="282">
        <f>L60+M60+N60+O60</f>
        <v>8298.6461818181815</v>
      </c>
    </row>
    <row r="61" spans="1:17" hidden="1">
      <c r="B61" s="282">
        <f>B58/$I$57*$J$57</f>
        <v>1474.2316363636364</v>
      </c>
      <c r="C61" s="282">
        <f t="shared" ref="C61:H61" si="4">C58/$I$57*$J$57</f>
        <v>1594.1200000000001</v>
      </c>
      <c r="D61" s="282">
        <f t="shared" si="4"/>
        <v>1277.9309090909092</v>
      </c>
      <c r="E61" s="282">
        <f t="shared" si="4"/>
        <v>2418.8465454545458</v>
      </c>
      <c r="F61" s="282">
        <f t="shared" si="4"/>
        <v>1256.8516363636363</v>
      </c>
      <c r="G61" s="282">
        <f t="shared" si="4"/>
        <v>1277.9309090909092</v>
      </c>
      <c r="H61" s="282">
        <f t="shared" si="4"/>
        <v>1107.9792727272727</v>
      </c>
      <c r="I61" s="282">
        <f>B61+C61+D61</f>
        <v>4346.2825454545455</v>
      </c>
      <c r="J61" s="282">
        <f>I61/3</f>
        <v>1448.7608484848486</v>
      </c>
      <c r="K61" s="281">
        <f t="shared" si="3"/>
        <v>1107.9792727272727</v>
      </c>
      <c r="L61" s="281">
        <f t="shared" si="3"/>
        <v>1439.9778181818181</v>
      </c>
      <c r="M61" s="282">
        <f t="shared" si="3"/>
        <v>1451.8349090909092</v>
      </c>
      <c r="N61" s="282">
        <f t="shared" si="3"/>
        <v>1482.1363636363637</v>
      </c>
      <c r="O61" s="282">
        <f t="shared" si="3"/>
        <v>3924.697090909091</v>
      </c>
      <c r="P61" s="282">
        <f>E61+F61+G61+H61+K61</f>
        <v>7169.5876363636362</v>
      </c>
      <c r="Q61" s="282">
        <f>L61+M61+N61+O61</f>
        <v>8298.6461818181815</v>
      </c>
    </row>
    <row r="63" spans="1:17">
      <c r="M63" s="541" t="s">
        <v>267</v>
      </c>
      <c r="N63" s="671" t="s">
        <v>606</v>
      </c>
    </row>
    <row r="64" spans="1:17">
      <c r="A64" s="695" t="s">
        <v>3606</v>
      </c>
      <c r="B64" s="849"/>
      <c r="C64" s="849"/>
      <c r="D64" s="849"/>
      <c r="E64" s="849"/>
      <c r="F64" s="849"/>
      <c r="G64" s="849"/>
      <c r="H64" s="849"/>
      <c r="I64" s="3814" t="s">
        <v>3375</v>
      </c>
      <c r="J64" s="849"/>
      <c r="K64" s="866"/>
      <c r="L64" s="866"/>
      <c r="M64" s="744"/>
      <c r="N64" s="744"/>
    </row>
    <row r="65" spans="1:14">
      <c r="A65" s="45"/>
      <c r="B65" s="280"/>
      <c r="C65" s="280"/>
      <c r="D65" s="280"/>
      <c r="E65" s="280"/>
      <c r="F65" s="280"/>
      <c r="G65" s="280"/>
      <c r="H65" s="280"/>
      <c r="I65" s="3815"/>
      <c r="J65" s="280"/>
    </row>
    <row r="66" spans="1:14">
      <c r="A66" s="656" t="s">
        <v>3376</v>
      </c>
      <c r="B66" s="852"/>
      <c r="C66" s="852"/>
      <c r="D66" s="852"/>
      <c r="E66" s="852"/>
      <c r="F66" s="852"/>
      <c r="G66" s="852"/>
      <c r="H66" s="852"/>
      <c r="I66" s="852"/>
      <c r="J66" s="738"/>
      <c r="K66" s="866"/>
      <c r="L66" s="866"/>
      <c r="M66" s="744"/>
      <c r="N66" s="744"/>
    </row>
    <row r="67" spans="1:14">
      <c r="A67" s="168" t="s">
        <v>990</v>
      </c>
      <c r="B67" s="283"/>
      <c r="C67" s="283"/>
      <c r="D67" s="283"/>
      <c r="E67" s="283"/>
      <c r="F67" s="283"/>
      <c r="G67" s="283"/>
      <c r="H67" s="283"/>
      <c r="I67" s="283"/>
      <c r="J67" s="177"/>
    </row>
    <row r="68" spans="1:14">
      <c r="A68" s="284"/>
      <c r="B68" s="284"/>
      <c r="C68" s="284"/>
      <c r="D68" s="284"/>
      <c r="E68" s="284"/>
      <c r="F68" s="284"/>
      <c r="G68" s="285"/>
      <c r="H68" s="284"/>
      <c r="I68" s="177"/>
      <c r="N68" s="876" t="s">
        <v>254</v>
      </c>
    </row>
    <row r="69" spans="1:14">
      <c r="A69" s="4178" t="s">
        <v>2</v>
      </c>
      <c r="B69" s="4178" t="s">
        <v>3377</v>
      </c>
      <c r="C69" s="4160" t="s">
        <v>3549</v>
      </c>
      <c r="D69" s="4180" t="s">
        <v>1092</v>
      </c>
      <c r="E69" s="4162" t="s">
        <v>255</v>
      </c>
      <c r="F69" s="4182"/>
      <c r="G69" s="4163"/>
      <c r="H69" s="4160" t="s">
        <v>3550</v>
      </c>
      <c r="I69" s="4160" t="s">
        <v>3551</v>
      </c>
      <c r="J69" s="4160" t="s">
        <v>3380</v>
      </c>
      <c r="K69" s="4160" t="s">
        <v>3381</v>
      </c>
      <c r="L69" s="4160" t="s">
        <v>345</v>
      </c>
      <c r="M69" s="4162" t="s">
        <v>255</v>
      </c>
      <c r="N69" s="4163"/>
    </row>
    <row r="70" spans="1:14" ht="20.25" customHeight="1">
      <c r="A70" s="4179"/>
      <c r="B70" s="4179"/>
      <c r="C70" s="4160"/>
      <c r="D70" s="4181"/>
      <c r="E70" s="286" t="s">
        <v>7</v>
      </c>
      <c r="F70" s="286" t="s">
        <v>8</v>
      </c>
      <c r="G70" s="286" t="s">
        <v>3552</v>
      </c>
      <c r="H70" s="4160"/>
      <c r="I70" s="4160"/>
      <c r="J70" s="4160"/>
      <c r="K70" s="4160"/>
      <c r="L70" s="4160"/>
      <c r="M70" s="286" t="s">
        <v>7</v>
      </c>
      <c r="N70" s="286" t="s">
        <v>8</v>
      </c>
    </row>
    <row r="71" spans="1:14">
      <c r="A71" s="239"/>
      <c r="B71" s="287" t="s">
        <v>3553</v>
      </c>
      <c r="C71" s="288"/>
      <c r="D71" s="288"/>
      <c r="E71" s="632"/>
      <c r="F71" s="632"/>
      <c r="G71" s="216"/>
      <c r="H71" s="216"/>
      <c r="I71" s="216"/>
      <c r="J71" s="216"/>
      <c r="K71" s="289"/>
      <c r="L71" s="289"/>
      <c r="M71" s="290"/>
      <c r="N71" s="290"/>
    </row>
    <row r="72" spans="1:14">
      <c r="A72" s="291"/>
      <c r="B72" s="292" t="s">
        <v>3459</v>
      </c>
      <c r="C72" s="291" t="s">
        <v>3383</v>
      </c>
      <c r="D72" s="632">
        <f>E72+F72+G72</f>
        <v>831</v>
      </c>
      <c r="E72" s="720">
        <v>23</v>
      </c>
      <c r="F72" s="720">
        <v>229</v>
      </c>
      <c r="G72" s="877">
        <v>579</v>
      </c>
      <c r="H72" s="877">
        <f>$J$60/D72</f>
        <v>1.7433945228457866</v>
      </c>
      <c r="I72" s="632">
        <f>D72*H72</f>
        <v>1448.7608484848486</v>
      </c>
      <c r="J72" s="632">
        <v>3</v>
      </c>
      <c r="K72" s="1212">
        <v>134.93</v>
      </c>
      <c r="L72" s="629">
        <f>I72*J72*K72</f>
        <v>586443.9038581819</v>
      </c>
      <c r="M72" s="290">
        <f>L72*E72/D72</f>
        <v>16231.299384763157</v>
      </c>
      <c r="N72" s="633">
        <f>L72-M72</f>
        <v>570212.60447341879</v>
      </c>
    </row>
    <row r="73" spans="1:14">
      <c r="A73" s="291"/>
      <c r="B73" s="292" t="s">
        <v>3463</v>
      </c>
      <c r="C73" s="291" t="s">
        <v>3383</v>
      </c>
      <c r="D73" s="632">
        <f>E73+F73+G73</f>
        <v>831</v>
      </c>
      <c r="E73" s="720">
        <v>23</v>
      </c>
      <c r="F73" s="720">
        <v>229</v>
      </c>
      <c r="G73" s="877">
        <v>579</v>
      </c>
      <c r="H73" s="877">
        <f>P60/5/D73</f>
        <v>1.7255325237938957</v>
      </c>
      <c r="I73" s="632">
        <f>D73*H73</f>
        <v>1433.9175272727273</v>
      </c>
      <c r="J73" s="632">
        <v>5</v>
      </c>
      <c r="K73" s="1212">
        <v>134.93</v>
      </c>
      <c r="L73" s="629">
        <f>I73*J73*K73</f>
        <v>967392.45977454551</v>
      </c>
      <c r="M73" s="290">
        <f>L73*E73/D73</f>
        <v>26775.001895083689</v>
      </c>
      <c r="N73" s="633">
        <f>L73-M73</f>
        <v>940617.45787946181</v>
      </c>
    </row>
    <row r="74" spans="1:14">
      <c r="A74" s="291"/>
      <c r="B74" s="292" t="s">
        <v>3464</v>
      </c>
      <c r="C74" s="291" t="s">
        <v>3383</v>
      </c>
      <c r="D74" s="632">
        <f>E74+F74+G74</f>
        <v>909</v>
      </c>
      <c r="E74" s="720">
        <v>23</v>
      </c>
      <c r="F74" s="720">
        <v>229</v>
      </c>
      <c r="G74" s="877">
        <v>657</v>
      </c>
      <c r="H74" s="877">
        <f>Q60/4/D74</f>
        <v>2.2823559355935594</v>
      </c>
      <c r="I74" s="632">
        <f>D74*H74</f>
        <v>2074.6615454545454</v>
      </c>
      <c r="J74" s="632">
        <v>4</v>
      </c>
      <c r="K74" s="1212">
        <v>134.93</v>
      </c>
      <c r="L74" s="629">
        <f>I74*J74*K74</f>
        <v>1119736.3293127273</v>
      </c>
      <c r="M74" s="290">
        <f>L74*E74/D74</f>
        <v>28332.162347846788</v>
      </c>
      <c r="N74" s="633">
        <f>L74-M74</f>
        <v>1091404.1669648804</v>
      </c>
    </row>
    <row r="75" spans="1:14">
      <c r="A75" s="291"/>
      <c r="B75" s="238" t="s">
        <v>20</v>
      </c>
      <c r="C75" s="884"/>
      <c r="D75" s="884"/>
      <c r="E75" s="878"/>
      <c r="F75" s="878"/>
      <c r="G75" s="878"/>
      <c r="H75" s="879"/>
      <c r="I75" s="879"/>
      <c r="J75" s="879"/>
      <c r="K75" s="880"/>
      <c r="L75" s="630">
        <f>SUM(L72:L74)</f>
        <v>2673572.6929454547</v>
      </c>
      <c r="M75" s="630">
        <f>SUM(M72:M74)</f>
        <v>71338.463627693636</v>
      </c>
      <c r="N75" s="630">
        <f>SUM(N72:N74)</f>
        <v>2602234.229317761</v>
      </c>
    </row>
    <row r="76" spans="1:14">
      <c r="A76" s="239"/>
      <c r="B76" s="287" t="s">
        <v>3554</v>
      </c>
      <c r="C76" s="709"/>
      <c r="D76" s="709"/>
      <c r="E76" s="720"/>
      <c r="F76" s="720"/>
      <c r="G76" s="877"/>
      <c r="H76" s="877"/>
      <c r="I76" s="877"/>
      <c r="J76" s="877"/>
      <c r="K76" s="880"/>
      <c r="L76" s="630">
        <f>L77+L78+L79</f>
        <v>2559837.3690181817</v>
      </c>
      <c r="M76" s="287">
        <f>M77+M78+M79</f>
        <v>68303.684251550731</v>
      </c>
      <c r="N76" s="1308">
        <f>L76-M76</f>
        <v>2491533.6847666311</v>
      </c>
    </row>
    <row r="77" spans="1:14">
      <c r="A77" s="291"/>
      <c r="B77" s="292" t="s">
        <v>3459</v>
      </c>
      <c r="C77" s="291" t="s">
        <v>3383</v>
      </c>
      <c r="D77" s="632">
        <f>E77+F77+G77</f>
        <v>831</v>
      </c>
      <c r="E77" s="720">
        <v>23</v>
      </c>
      <c r="F77" s="720">
        <v>229</v>
      </c>
      <c r="G77" s="877">
        <v>579</v>
      </c>
      <c r="H77" s="877">
        <f>J61/D77</f>
        <v>1.7433945228457866</v>
      </c>
      <c r="I77" s="632">
        <f>D77*H77</f>
        <v>1448.7608484848486</v>
      </c>
      <c r="J77" s="632">
        <v>3</v>
      </c>
      <c r="K77" s="1212">
        <v>129.19</v>
      </c>
      <c r="L77" s="629">
        <f>I77*J77*K77</f>
        <v>561496.24204727274</v>
      </c>
      <c r="M77" s="290">
        <f>L77*E77/D77</f>
        <v>15540.810550044853</v>
      </c>
      <c r="N77" s="633">
        <f>L77-M77</f>
        <v>545955.43149722787</v>
      </c>
    </row>
    <row r="78" spans="1:14">
      <c r="A78" s="291"/>
      <c r="B78" s="292" t="s">
        <v>3463</v>
      </c>
      <c r="C78" s="291" t="s">
        <v>3383</v>
      </c>
      <c r="D78" s="632">
        <f>E78+F78+G78</f>
        <v>831</v>
      </c>
      <c r="E78" s="720">
        <v>23</v>
      </c>
      <c r="F78" s="720">
        <v>229</v>
      </c>
      <c r="G78" s="877">
        <v>579</v>
      </c>
      <c r="H78" s="877">
        <f>P61/5/D78</f>
        <v>1.7255325237938957</v>
      </c>
      <c r="I78" s="632">
        <f>D78*H78</f>
        <v>1433.9175272727273</v>
      </c>
      <c r="J78" s="632">
        <v>5</v>
      </c>
      <c r="K78" s="1212">
        <v>129.19</v>
      </c>
      <c r="L78" s="629">
        <f>I78*J78*K78</f>
        <v>926239.02674181818</v>
      </c>
      <c r="M78" s="290">
        <f>L78*E78/D78</f>
        <v>25635.977876127341</v>
      </c>
      <c r="N78" s="633">
        <f>L78-M78</f>
        <v>900603.04886569083</v>
      </c>
    </row>
    <row r="79" spans="1:14">
      <c r="A79" s="291"/>
      <c r="B79" s="292" t="s">
        <v>3464</v>
      </c>
      <c r="C79" s="291" t="s">
        <v>3383</v>
      </c>
      <c r="D79" s="632">
        <f>E79+F79+G79</f>
        <v>909</v>
      </c>
      <c r="E79" s="720">
        <v>23</v>
      </c>
      <c r="F79" s="720">
        <v>229</v>
      </c>
      <c r="G79" s="877">
        <v>657</v>
      </c>
      <c r="H79" s="877">
        <f>Q61/4/D79</f>
        <v>2.2823559355935594</v>
      </c>
      <c r="I79" s="632">
        <f>D79*H79</f>
        <v>2074.6615454545454</v>
      </c>
      <c r="J79" s="632">
        <v>4</v>
      </c>
      <c r="K79" s="1212">
        <v>129.19</v>
      </c>
      <c r="L79" s="629">
        <f>I79*J79*K79</f>
        <v>1072102.1002290908</v>
      </c>
      <c r="M79" s="290">
        <f>L79*E79/D79</f>
        <v>27126.895825378535</v>
      </c>
      <c r="N79" s="633">
        <f>L79-M79</f>
        <v>1044975.2044037123</v>
      </c>
    </row>
    <row r="80" spans="1:14">
      <c r="A80" s="291"/>
      <c r="B80" s="238" t="s">
        <v>20</v>
      </c>
      <c r="C80" s="709"/>
      <c r="D80" s="709"/>
      <c r="E80" s="720"/>
      <c r="F80" s="720"/>
      <c r="G80" s="877"/>
      <c r="H80" s="877"/>
      <c r="I80" s="877"/>
      <c r="J80" s="877"/>
      <c r="K80" s="880"/>
      <c r="L80" s="630">
        <f>SUM(L77:L79)</f>
        <v>2559837.3690181817</v>
      </c>
      <c r="M80" s="630">
        <f>SUM(M77:M79)</f>
        <v>68303.684251550731</v>
      </c>
      <c r="N80" s="630">
        <f>SUM(N77:N79)</f>
        <v>2491533.6847666311</v>
      </c>
    </row>
    <row r="81" spans="1:17">
      <c r="A81" s="291"/>
      <c r="B81" s="238" t="s">
        <v>3578</v>
      </c>
      <c r="C81" s="709"/>
      <c r="D81" s="709"/>
      <c r="E81" s="720"/>
      <c r="F81" s="720"/>
      <c r="G81" s="877"/>
      <c r="H81" s="877"/>
      <c r="I81" s="216"/>
      <c r="J81" s="216"/>
      <c r="K81" s="880"/>
      <c r="L81" s="629"/>
      <c r="M81" s="290" t="e">
        <f>L81*E81/D81</f>
        <v>#DIV/0!</v>
      </c>
      <c r="N81" s="633" t="e">
        <f>L81-M81</f>
        <v>#DIV/0!</v>
      </c>
    </row>
    <row r="82" spans="1:17">
      <c r="A82" s="291"/>
      <c r="B82" s="288" t="s">
        <v>3556</v>
      </c>
      <c r="C82" s="709"/>
      <c r="D82" s="291" t="s">
        <v>3383</v>
      </c>
      <c r="E82" s="291" t="s">
        <v>3383</v>
      </c>
      <c r="F82" s="291" t="s">
        <v>3383</v>
      </c>
      <c r="G82" s="291" t="s">
        <v>3383</v>
      </c>
      <c r="H82" s="877"/>
      <c r="I82" s="720"/>
      <c r="J82" s="632">
        <v>6</v>
      </c>
      <c r="K82" s="880"/>
      <c r="L82" s="629">
        <f>I82*J82*K82</f>
        <v>0</v>
      </c>
      <c r="M82" s="290" t="e">
        <f>L82*E82/D82</f>
        <v>#VALUE!</v>
      </c>
      <c r="N82" s="633" t="e">
        <f>L82-M82</f>
        <v>#VALUE!</v>
      </c>
    </row>
    <row r="83" spans="1:17">
      <c r="A83" s="291"/>
      <c r="B83" s="238" t="s">
        <v>20</v>
      </c>
      <c r="C83" s="884"/>
      <c r="D83" s="884"/>
      <c r="E83" s="878"/>
      <c r="F83" s="878"/>
      <c r="G83" s="879"/>
      <c r="H83" s="879"/>
      <c r="I83" s="879"/>
      <c r="J83" s="879"/>
      <c r="K83" s="881"/>
      <c r="L83" s="630">
        <f>SUM(L82)</f>
        <v>0</v>
      </c>
      <c r="M83" s="630" t="e">
        <f>SUM(M82)</f>
        <v>#VALUE!</v>
      </c>
      <c r="N83" s="630" t="e">
        <f>SUM(N82)</f>
        <v>#VALUE!</v>
      </c>
    </row>
    <row r="84" spans="1:17">
      <c r="A84" s="239"/>
      <c r="B84" s="238" t="s">
        <v>306</v>
      </c>
      <c r="C84" s="883"/>
      <c r="D84" s="883"/>
      <c r="E84" s="883"/>
      <c r="F84" s="883"/>
      <c r="G84" s="883"/>
      <c r="H84" s="883"/>
      <c r="I84" s="883"/>
      <c r="J84" s="883"/>
      <c r="K84" s="882"/>
      <c r="L84" s="631">
        <f>L75+L80+L83</f>
        <v>5233410.0619636364</v>
      </c>
      <c r="M84" s="238" t="e">
        <f>M75+M81+M83</f>
        <v>#DIV/0!</v>
      </c>
      <c r="N84" s="631" t="e">
        <f>N75+N81+N83</f>
        <v>#DIV/0!</v>
      </c>
    </row>
    <row r="86" spans="1:17">
      <c r="A86" s="1507" t="s">
        <v>3545</v>
      </c>
      <c r="B86" s="1389" t="s">
        <v>3471</v>
      </c>
      <c r="C86" s="1389" t="s">
        <v>3388</v>
      </c>
      <c r="D86" s="1389" t="s">
        <v>1411</v>
      </c>
      <c r="E86" s="1389" t="s">
        <v>3598</v>
      </c>
      <c r="F86" s="1389" t="s">
        <v>3391</v>
      </c>
      <c r="G86" s="1389" t="s">
        <v>3392</v>
      </c>
      <c r="H86" s="1389" t="s">
        <v>3393</v>
      </c>
      <c r="I86" s="4187" t="s">
        <v>3607</v>
      </c>
      <c r="J86" s="4188"/>
      <c r="K86" s="1416" t="s">
        <v>3394</v>
      </c>
      <c r="L86" s="1416" t="s">
        <v>3581</v>
      </c>
      <c r="M86" s="1389" t="s">
        <v>3396</v>
      </c>
      <c r="N86" s="1389" t="s">
        <v>3397</v>
      </c>
      <c r="O86" s="1389" t="s">
        <v>3398</v>
      </c>
    </row>
    <row r="87" spans="1:17">
      <c r="A87" s="274"/>
      <c r="B87" s="1308" t="s">
        <v>3484</v>
      </c>
      <c r="C87" s="633"/>
      <c r="D87" s="633"/>
      <c r="E87" s="633"/>
      <c r="F87" s="633"/>
      <c r="G87" s="633"/>
      <c r="H87" s="1388"/>
      <c r="I87" s="1388"/>
      <c r="J87" s="1388"/>
      <c r="K87" s="1390"/>
      <c r="L87" s="1390"/>
      <c r="M87" s="1388"/>
      <c r="N87" s="1388"/>
      <c r="O87" s="1388"/>
    </row>
    <row r="88" spans="1:17">
      <c r="A88" s="566" t="s">
        <v>3484</v>
      </c>
      <c r="B88" s="633">
        <v>1119</v>
      </c>
      <c r="C88" s="633">
        <v>1210</v>
      </c>
      <c r="D88" s="633">
        <v>970</v>
      </c>
      <c r="E88" s="633">
        <v>1836</v>
      </c>
      <c r="F88" s="633">
        <v>954</v>
      </c>
      <c r="G88" s="633">
        <v>970</v>
      </c>
      <c r="H88" s="1388">
        <v>841</v>
      </c>
      <c r="I88" s="1388">
        <v>12100</v>
      </c>
      <c r="J88" s="1392">
        <v>15941.2</v>
      </c>
      <c r="K88" s="1390">
        <v>841</v>
      </c>
      <c r="L88" s="1390">
        <v>1093</v>
      </c>
      <c r="M88" s="1388">
        <v>1102</v>
      </c>
      <c r="N88" s="1388">
        <v>1125</v>
      </c>
      <c r="O88" s="1388">
        <v>2979</v>
      </c>
    </row>
    <row r="89" spans="1:17">
      <c r="A89" s="566" t="s">
        <v>3608</v>
      </c>
      <c r="B89" s="633">
        <v>1119</v>
      </c>
      <c r="C89" s="633">
        <v>1210</v>
      </c>
      <c r="D89" s="633">
        <v>970</v>
      </c>
      <c r="E89" s="633">
        <v>1836</v>
      </c>
      <c r="F89" s="633">
        <v>954</v>
      </c>
      <c r="G89" s="633">
        <v>970</v>
      </c>
      <c r="H89" s="1388">
        <v>841</v>
      </c>
      <c r="I89" s="1388"/>
      <c r="J89" s="1388"/>
      <c r="K89" s="1390">
        <v>841</v>
      </c>
      <c r="L89" s="1390">
        <v>1093</v>
      </c>
      <c r="M89" s="1388">
        <v>1102</v>
      </c>
      <c r="N89" s="1388">
        <v>1125</v>
      </c>
      <c r="O89" s="1388">
        <v>2979</v>
      </c>
    </row>
    <row r="90" spans="1:17">
      <c r="B90" s="1396" t="s">
        <v>3605</v>
      </c>
      <c r="I90" s="282" t="s">
        <v>3459</v>
      </c>
      <c r="J90" s="282" t="s">
        <v>681</v>
      </c>
      <c r="P90" s="282" t="s">
        <v>3468</v>
      </c>
      <c r="Q90" s="282" t="s">
        <v>3464</v>
      </c>
    </row>
    <row r="91" spans="1:17">
      <c r="B91" s="282">
        <f>B88/$I$57*$J$57</f>
        <v>1474.2316363636364</v>
      </c>
      <c r="C91" s="282">
        <f t="shared" ref="C91:H91" si="5">C88/$I$57*$J$57</f>
        <v>1594.1200000000001</v>
      </c>
      <c r="D91" s="282">
        <f t="shared" si="5"/>
        <v>1277.9309090909092</v>
      </c>
      <c r="E91" s="282">
        <f t="shared" si="5"/>
        <v>2418.8465454545458</v>
      </c>
      <c r="F91" s="282">
        <f t="shared" si="5"/>
        <v>1256.8516363636363</v>
      </c>
      <c r="G91" s="282">
        <f t="shared" si="5"/>
        <v>1277.9309090909092</v>
      </c>
      <c r="H91" s="282">
        <f t="shared" si="5"/>
        <v>1107.9792727272727</v>
      </c>
      <c r="I91" s="282">
        <f>B91+C91+D91</f>
        <v>4346.2825454545455</v>
      </c>
      <c r="J91" s="282">
        <f>I91/3</f>
        <v>1448.7608484848486</v>
      </c>
      <c r="K91" s="281">
        <f t="shared" ref="K91:O92" si="6">K88/$I$57*$J$57</f>
        <v>1107.9792727272727</v>
      </c>
      <c r="L91" s="281">
        <f t="shared" si="6"/>
        <v>1439.9778181818181</v>
      </c>
      <c r="M91" s="282">
        <f t="shared" si="6"/>
        <v>1451.8349090909092</v>
      </c>
      <c r="N91" s="282">
        <f t="shared" si="6"/>
        <v>1482.1363636363637</v>
      </c>
      <c r="O91" s="282">
        <f t="shared" si="6"/>
        <v>3924.697090909091</v>
      </c>
      <c r="P91" s="282">
        <f>E91+F91+G91+H91+K91</f>
        <v>7169.5876363636362</v>
      </c>
      <c r="Q91" s="282">
        <f>L91+M91+N91+O91</f>
        <v>8298.6461818181815</v>
      </c>
    </row>
    <row r="92" spans="1:17">
      <c r="B92" s="282">
        <f>B89/$I$57*$J$57</f>
        <v>1474.2316363636364</v>
      </c>
      <c r="C92" s="282">
        <f t="shared" ref="C92:H92" si="7">C89/$I$57*$J$57</f>
        <v>1594.1200000000001</v>
      </c>
      <c r="D92" s="282">
        <f t="shared" si="7"/>
        <v>1277.9309090909092</v>
      </c>
      <c r="E92" s="282">
        <f t="shared" si="7"/>
        <v>2418.8465454545458</v>
      </c>
      <c r="F92" s="282">
        <f t="shared" si="7"/>
        <v>1256.8516363636363</v>
      </c>
      <c r="G92" s="282">
        <f t="shared" si="7"/>
        <v>1277.9309090909092</v>
      </c>
      <c r="H92" s="282">
        <f t="shared" si="7"/>
        <v>1107.9792727272727</v>
      </c>
      <c r="I92" s="282">
        <f>B92+C92+D92</f>
        <v>4346.2825454545455</v>
      </c>
      <c r="J92" s="282">
        <f>I92/3</f>
        <v>1448.7608484848486</v>
      </c>
      <c r="K92" s="281">
        <f t="shared" si="6"/>
        <v>1107.9792727272727</v>
      </c>
      <c r="L92" s="281">
        <f t="shared" si="6"/>
        <v>1439.9778181818181</v>
      </c>
      <c r="M92" s="282">
        <f t="shared" si="6"/>
        <v>1451.8349090909092</v>
      </c>
      <c r="N92" s="282">
        <f t="shared" si="6"/>
        <v>1482.1363636363637</v>
      </c>
      <c r="O92" s="282">
        <f t="shared" si="6"/>
        <v>3924.697090909091</v>
      </c>
      <c r="P92" s="282">
        <f>E92+F92+G92+H92+K92</f>
        <v>7169.5876363636362</v>
      </c>
      <c r="Q92" s="282">
        <f>L92+M92+N92+O92</f>
        <v>8298.6461818181815</v>
      </c>
    </row>
  </sheetData>
  <mergeCells count="37">
    <mergeCell ref="M7:N7"/>
    <mergeCell ref="A7:A8"/>
    <mergeCell ref="B7:B8"/>
    <mergeCell ref="D7:D8"/>
    <mergeCell ref="E7:G7"/>
    <mergeCell ref="C7:C8"/>
    <mergeCell ref="H7:H8"/>
    <mergeCell ref="I7:I8"/>
    <mergeCell ref="J7:J8"/>
    <mergeCell ref="K7:K8"/>
    <mergeCell ref="L7:L8"/>
    <mergeCell ref="A45:A47"/>
    <mergeCell ref="B45:B47"/>
    <mergeCell ref="C45:C47"/>
    <mergeCell ref="D45:D47"/>
    <mergeCell ref="E45:E47"/>
    <mergeCell ref="H69:H70"/>
    <mergeCell ref="F45:F47"/>
    <mergeCell ref="G45:G47"/>
    <mergeCell ref="H45:H47"/>
    <mergeCell ref="I45:J45"/>
    <mergeCell ref="A69:A70"/>
    <mergeCell ref="B69:B70"/>
    <mergeCell ref="C69:C70"/>
    <mergeCell ref="D69:D70"/>
    <mergeCell ref="E69:G69"/>
    <mergeCell ref="M45:M47"/>
    <mergeCell ref="I46:I47"/>
    <mergeCell ref="J46:J47"/>
    <mergeCell ref="I69:I70"/>
    <mergeCell ref="I86:J86"/>
    <mergeCell ref="J69:J70"/>
    <mergeCell ref="K69:K70"/>
    <mergeCell ref="L69:L70"/>
    <mergeCell ref="M69:N69"/>
    <mergeCell ref="L45:L47"/>
    <mergeCell ref="K45:K47"/>
  </mergeCells>
  <pageMargins left="0" right="0" top="0" bottom="0" header="0" footer="0"/>
  <pageSetup paperSize="9" scale="44" orientation="landscape" r:id="rId1"/>
  <rowBreaks count="1" manualBreakCount="1">
    <brk id="30" max="16383" man="1"/>
  </rowBreak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tabColor rgb="FF7030A0"/>
    <pageSetUpPr fitToPage="1"/>
  </sheetPr>
  <dimension ref="A1:Q92"/>
  <sheetViews>
    <sheetView topLeftCell="A7" zoomScaleSheetLayoutView="100" workbookViewId="0">
      <selection activeCell="K12" sqref="K12"/>
    </sheetView>
  </sheetViews>
  <sheetFormatPr defaultColWidth="9.140625" defaultRowHeight="15.75"/>
  <cols>
    <col min="1" max="1" width="10.85546875" style="293" customWidth="1"/>
    <col min="2" max="2" width="30.7109375" style="282" customWidth="1"/>
    <col min="3" max="3" width="14.7109375" style="282" customWidth="1"/>
    <col min="4" max="4" width="9.5703125" style="282" customWidth="1"/>
    <col min="5" max="5" width="9.5703125" style="293" customWidth="1"/>
    <col min="6" max="6" width="9.85546875" style="293" customWidth="1"/>
    <col min="7" max="7" width="11.5703125" style="293" customWidth="1"/>
    <col min="8" max="8" width="17.5703125" style="282" customWidth="1"/>
    <col min="9" max="9" width="14.85546875" style="282" bestFit="1" customWidth="1"/>
    <col min="10" max="10" width="12.42578125" style="282" customWidth="1"/>
    <col min="11" max="11" width="12.28515625" style="281" customWidth="1"/>
    <col min="12" max="12" width="13.5703125" style="281" customWidth="1"/>
    <col min="13" max="14" width="10.85546875" style="282" customWidth="1"/>
    <col min="15" max="15" width="9.5703125" style="282" bestFit="1" customWidth="1"/>
    <col min="16" max="16" width="14" style="282" customWidth="1"/>
    <col min="17" max="17" width="9.5703125" style="282" bestFit="1" customWidth="1"/>
    <col min="18" max="16384" width="9.140625" style="282"/>
  </cols>
  <sheetData>
    <row r="1" spans="1:14">
      <c r="M1" s="541" t="s">
        <v>267</v>
      </c>
      <c r="N1" s="671" t="s">
        <v>606</v>
      </c>
    </row>
    <row r="2" spans="1:14" s="744" customFormat="1">
      <c r="A2" s="695" t="s">
        <v>3547</v>
      </c>
      <c r="B2" s="849"/>
      <c r="C2" s="849"/>
      <c r="D2" s="849"/>
      <c r="E2" s="849"/>
      <c r="F2" s="849"/>
      <c r="G2" s="849"/>
      <c r="H2" s="849"/>
      <c r="I2" s="3814" t="s">
        <v>3375</v>
      </c>
      <c r="J2" s="849"/>
      <c r="K2" s="866"/>
      <c r="L2" s="866"/>
    </row>
    <row r="3" spans="1:14">
      <c r="A3" s="45"/>
      <c r="B3" s="280"/>
      <c r="C3" s="280"/>
      <c r="D3" s="280"/>
      <c r="E3" s="280"/>
      <c r="F3" s="280"/>
      <c r="G3" s="280"/>
      <c r="H3" s="280"/>
      <c r="I3" s="3815"/>
      <c r="J3" s="280"/>
    </row>
    <row r="4" spans="1:14" s="744" customFormat="1" ht="15.75" customHeight="1">
      <c r="A4" s="656" t="s">
        <v>3609</v>
      </c>
      <c r="B4" s="852"/>
      <c r="C4" s="852"/>
      <c r="D4" s="852"/>
      <c r="E4" s="852"/>
      <c r="F4" s="852"/>
      <c r="G4" s="852"/>
      <c r="H4" s="852"/>
      <c r="I4" s="852"/>
      <c r="J4" s="738"/>
      <c r="K4" s="866"/>
      <c r="L4" s="866"/>
    </row>
    <row r="5" spans="1:14">
      <c r="A5" s="168" t="s">
        <v>990</v>
      </c>
      <c r="B5" s="283"/>
      <c r="C5" s="283"/>
      <c r="D5" s="283"/>
      <c r="E5" s="283"/>
      <c r="F5" s="283"/>
      <c r="G5" s="283"/>
      <c r="H5" s="283"/>
      <c r="I5" s="283"/>
      <c r="J5" s="177"/>
    </row>
    <row r="6" spans="1:14" ht="21.75" customHeight="1">
      <c r="A6" s="284"/>
      <c r="B6" s="284"/>
      <c r="C6" s="284"/>
      <c r="D6" s="284"/>
      <c r="E6" s="284"/>
      <c r="F6" s="284"/>
      <c r="G6" s="285"/>
      <c r="H6" s="284"/>
      <c r="I6" s="177"/>
      <c r="N6" s="876" t="s">
        <v>254</v>
      </c>
    </row>
    <row r="7" spans="1:14" s="227" customFormat="1" ht="29.25" customHeight="1">
      <c r="A7" s="4178" t="s">
        <v>2</v>
      </c>
      <c r="B7" s="4178" t="s">
        <v>3377</v>
      </c>
      <c r="C7" s="4160" t="s">
        <v>3549</v>
      </c>
      <c r="D7" s="4180" t="s">
        <v>1092</v>
      </c>
      <c r="E7" s="4162" t="s">
        <v>255</v>
      </c>
      <c r="F7" s="4182"/>
      <c r="G7" s="4163"/>
      <c r="H7" s="4160" t="s">
        <v>3550</v>
      </c>
      <c r="I7" s="4160" t="s">
        <v>3551</v>
      </c>
      <c r="J7" s="4160" t="s">
        <v>3380</v>
      </c>
      <c r="K7" s="4160" t="s">
        <v>3381</v>
      </c>
      <c r="L7" s="4160" t="s">
        <v>345</v>
      </c>
      <c r="M7" s="4162" t="s">
        <v>255</v>
      </c>
      <c r="N7" s="4163"/>
    </row>
    <row r="8" spans="1:14" s="226" customFormat="1" ht="45.6" customHeight="1">
      <c r="A8" s="4179"/>
      <c r="B8" s="4179"/>
      <c r="C8" s="4160"/>
      <c r="D8" s="4181"/>
      <c r="E8" s="286" t="s">
        <v>7</v>
      </c>
      <c r="F8" s="286" t="s">
        <v>8</v>
      </c>
      <c r="G8" s="286" t="s">
        <v>3552</v>
      </c>
      <c r="H8" s="4160"/>
      <c r="I8" s="4160"/>
      <c r="J8" s="4160"/>
      <c r="K8" s="4160"/>
      <c r="L8" s="4160"/>
      <c r="M8" s="286" t="s">
        <v>7</v>
      </c>
      <c r="N8" s="286" t="s">
        <v>8</v>
      </c>
    </row>
    <row r="9" spans="1:14" s="226" customFormat="1" ht="20.25" customHeight="1">
      <c r="A9" s="239"/>
      <c r="B9" s="287" t="s">
        <v>3553</v>
      </c>
      <c r="C9" s="288"/>
      <c r="D9" s="288"/>
      <c r="E9" s="632"/>
      <c r="F9" s="632"/>
      <c r="G9" s="216"/>
      <c r="H9" s="216"/>
      <c r="I9" s="216"/>
      <c r="J9" s="216"/>
      <c r="K9" s="289"/>
      <c r="L9" s="289"/>
      <c r="M9" s="290"/>
      <c r="N9" s="290"/>
    </row>
    <row r="10" spans="1:14" s="226" customFormat="1" ht="20.25" customHeight="1">
      <c r="A10" s="291"/>
      <c r="B10" s="292" t="s">
        <v>3459</v>
      </c>
      <c r="C10" s="291" t="s">
        <v>3383</v>
      </c>
      <c r="D10" s="1528">
        <f>E10+F10+G10</f>
        <v>1347.5</v>
      </c>
      <c r="E10" s="720">
        <v>23</v>
      </c>
      <c r="F10" s="1529">
        <v>284.5</v>
      </c>
      <c r="G10" s="877">
        <v>1040</v>
      </c>
      <c r="H10" s="877">
        <f>E48/D10</f>
        <v>1.5429387755102042</v>
      </c>
      <c r="I10" s="216">
        <f>D10*H10</f>
        <v>2079.11</v>
      </c>
      <c r="J10" s="632">
        <v>3</v>
      </c>
      <c r="K10" s="1212">
        <v>134.93</v>
      </c>
      <c r="L10" s="1568">
        <f>ROUND(I10*J10*K10,2)</f>
        <v>841602.94</v>
      </c>
      <c r="M10" s="290">
        <f>L10*E10/D10</f>
        <v>14365.022352504637</v>
      </c>
      <c r="N10" s="633">
        <f>L10-M10</f>
        <v>827237.91764749528</v>
      </c>
    </row>
    <row r="11" spans="1:14" s="226" customFormat="1" ht="20.25" customHeight="1">
      <c r="A11" s="291"/>
      <c r="B11" s="292" t="s">
        <v>3463</v>
      </c>
      <c r="C11" s="291" t="s">
        <v>3383</v>
      </c>
      <c r="D11" s="1528">
        <f>E11+F11+G11</f>
        <v>1347.5</v>
      </c>
      <c r="E11" s="720">
        <v>23</v>
      </c>
      <c r="F11" s="1529">
        <v>284.5</v>
      </c>
      <c r="G11" s="877">
        <v>1040</v>
      </c>
      <c r="H11" s="877">
        <f>$E$48/D11</f>
        <v>1.5429387755102042</v>
      </c>
      <c r="I11" s="216">
        <f>D11*H11</f>
        <v>2079.11</v>
      </c>
      <c r="J11" s="632">
        <v>5</v>
      </c>
      <c r="K11" s="1212">
        <v>134.93</v>
      </c>
      <c r="L11" s="1568">
        <f>ROUND(I11*J11*K11,2)</f>
        <v>1402671.56</v>
      </c>
      <c r="M11" s="290">
        <f t="shared" ref="M11:M20" si="0">L11*E11/D11</f>
        <v>23941.703807050093</v>
      </c>
      <c r="N11" s="633">
        <f t="shared" ref="N11:N20" si="1">L11-M11</f>
        <v>1378729.8561929499</v>
      </c>
    </row>
    <row r="12" spans="1:14" s="226" customFormat="1" ht="20.25" customHeight="1">
      <c r="A12" s="291"/>
      <c r="B12" s="292" t="s">
        <v>3464</v>
      </c>
      <c r="C12" s="291" t="s">
        <v>3383</v>
      </c>
      <c r="D12" s="1528">
        <f>E12+F12+G12</f>
        <v>1222.5</v>
      </c>
      <c r="E12" s="720">
        <v>23</v>
      </c>
      <c r="F12" s="1529">
        <v>284.5</v>
      </c>
      <c r="G12" s="877">
        <v>915</v>
      </c>
      <c r="H12" s="877">
        <f>$E$48/D12</f>
        <v>1.7007034764826177</v>
      </c>
      <c r="I12" s="216">
        <f>D12*H12</f>
        <v>2079.11</v>
      </c>
      <c r="J12" s="632">
        <v>4</v>
      </c>
      <c r="K12" s="1212">
        <v>134.93</v>
      </c>
      <c r="L12" s="1568">
        <f>ROUND(I12*J12*K12,2)</f>
        <v>1122137.25</v>
      </c>
      <c r="M12" s="290">
        <f t="shared" si="0"/>
        <v>21111.784662576687</v>
      </c>
      <c r="N12" s="633">
        <f t="shared" si="1"/>
        <v>1101025.4653374234</v>
      </c>
    </row>
    <row r="13" spans="1:14" s="226" customFormat="1" ht="20.25" customHeight="1">
      <c r="A13" s="291"/>
      <c r="B13" s="238" t="s">
        <v>20</v>
      </c>
      <c r="C13" s="884"/>
      <c r="D13" s="884"/>
      <c r="E13" s="878"/>
      <c r="F13" s="878"/>
      <c r="G13" s="878"/>
      <c r="H13" s="879"/>
      <c r="I13" s="879"/>
      <c r="J13" s="879"/>
      <c r="K13" s="880"/>
      <c r="L13" s="1569">
        <f>ROUND(SUM(L10:L12),2)</f>
        <v>3366411.75</v>
      </c>
      <c r="M13" s="630">
        <f>SUM(M10:M12)</f>
        <v>59418.510822131415</v>
      </c>
      <c r="N13" s="630">
        <f>SUM(N10:N12)</f>
        <v>3306993.2391778687</v>
      </c>
    </row>
    <row r="14" spans="1:14" s="226" customFormat="1" ht="20.25" customHeight="1">
      <c r="A14" s="239"/>
      <c r="B14" s="287" t="s">
        <v>3554</v>
      </c>
      <c r="C14" s="709"/>
      <c r="D14" s="709"/>
      <c r="E14" s="720"/>
      <c r="F14" s="720"/>
      <c r="G14" s="877"/>
      <c r="H14" s="877"/>
      <c r="I14" s="877"/>
      <c r="J14" s="877"/>
      <c r="K14" s="880"/>
      <c r="L14" s="1569">
        <f>L15+L16+L17</f>
        <v>3210490.3499999996</v>
      </c>
      <c r="M14" s="287">
        <f>M15+M16+M17</f>
        <v>56666.435888546155</v>
      </c>
      <c r="N14" s="1308">
        <f t="shared" si="1"/>
        <v>3153823.9141114536</v>
      </c>
    </row>
    <row r="15" spans="1:14" s="226" customFormat="1" ht="20.25" customHeight="1">
      <c r="A15" s="291"/>
      <c r="B15" s="292" t="s">
        <v>3459</v>
      </c>
      <c r="C15" s="291" t="s">
        <v>3383</v>
      </c>
      <c r="D15" s="1528">
        <f>E15+F15+G15</f>
        <v>1347.5</v>
      </c>
      <c r="E15" s="720">
        <v>23</v>
      </c>
      <c r="F15" s="1529">
        <v>284.5</v>
      </c>
      <c r="G15" s="877">
        <v>1040</v>
      </c>
      <c r="H15" s="877">
        <f>$E$49/D15</f>
        <v>1.5368534322820036</v>
      </c>
      <c r="I15" s="216">
        <f>D15*H15</f>
        <v>2070.91</v>
      </c>
      <c r="J15" s="632">
        <v>3</v>
      </c>
      <c r="K15" s="1212">
        <v>129.19</v>
      </c>
      <c r="L15" s="1568">
        <f>ROUND(I15*J15*K15,2)</f>
        <v>802622.59</v>
      </c>
      <c r="M15" s="290">
        <f t="shared" si="0"/>
        <v>13699.680571428571</v>
      </c>
      <c r="N15" s="633">
        <f t="shared" si="1"/>
        <v>788922.90942857135</v>
      </c>
    </row>
    <row r="16" spans="1:14" s="226" customFormat="1" ht="20.25" customHeight="1">
      <c r="A16" s="291"/>
      <c r="B16" s="292" t="s">
        <v>3463</v>
      </c>
      <c r="C16" s="291" t="s">
        <v>3383</v>
      </c>
      <c r="D16" s="1528">
        <f>E16+F16+G16</f>
        <v>1347.5</v>
      </c>
      <c r="E16" s="720">
        <v>23</v>
      </c>
      <c r="F16" s="1529">
        <v>284.5</v>
      </c>
      <c r="G16" s="877">
        <v>1040</v>
      </c>
      <c r="H16" s="877">
        <f>$E$49/D16</f>
        <v>1.5368534322820036</v>
      </c>
      <c r="I16" s="216">
        <f>D16*H16</f>
        <v>2070.91</v>
      </c>
      <c r="J16" s="632">
        <v>5</v>
      </c>
      <c r="K16" s="1212">
        <v>129.19</v>
      </c>
      <c r="L16" s="1568">
        <f>ROUND(I16*J16*K16,2)</f>
        <v>1337704.31</v>
      </c>
      <c r="M16" s="290">
        <f t="shared" si="0"/>
        <v>22832.800838589985</v>
      </c>
      <c r="N16" s="633">
        <f t="shared" si="1"/>
        <v>1314871.5091614102</v>
      </c>
    </row>
    <row r="17" spans="1:14" s="226" customFormat="1" ht="20.25" customHeight="1">
      <c r="A17" s="291"/>
      <c r="B17" s="292" t="s">
        <v>3464</v>
      </c>
      <c r="C17" s="291" t="s">
        <v>3383</v>
      </c>
      <c r="D17" s="1528">
        <f>E17+F17+G17</f>
        <v>1222.5</v>
      </c>
      <c r="E17" s="720">
        <v>23</v>
      </c>
      <c r="F17" s="1529">
        <v>284.5</v>
      </c>
      <c r="G17" s="877">
        <v>915</v>
      </c>
      <c r="H17" s="877">
        <f>$E$49/D17</f>
        <v>1.6939959100204498</v>
      </c>
      <c r="I17" s="216">
        <f>ROUND(D17*H17,2)</f>
        <v>2070.91</v>
      </c>
      <c r="J17" s="632">
        <v>4</v>
      </c>
      <c r="K17" s="1212">
        <v>129.19</v>
      </c>
      <c r="L17" s="1568">
        <f>ROUND(I17*J17*K17,2)</f>
        <v>1070163.45</v>
      </c>
      <c r="M17" s="290">
        <f t="shared" si="0"/>
        <v>20133.954478527605</v>
      </c>
      <c r="N17" s="633">
        <f t="shared" si="1"/>
        <v>1050029.4955214723</v>
      </c>
    </row>
    <row r="18" spans="1:14" s="226" customFormat="1" ht="20.25" customHeight="1">
      <c r="A18" s="291"/>
      <c r="B18" s="238" t="s">
        <v>20</v>
      </c>
      <c r="C18" s="709"/>
      <c r="D18" s="709"/>
      <c r="E18" s="720"/>
      <c r="F18" s="720"/>
      <c r="G18" s="877"/>
      <c r="H18" s="877"/>
      <c r="I18" s="877"/>
      <c r="J18" s="877"/>
      <c r="K18" s="880"/>
      <c r="L18" s="1569">
        <f>ROUND(SUM(L15:L17),2)</f>
        <v>3210490.35</v>
      </c>
      <c r="M18" s="630">
        <f>SUM(M15:M17)</f>
        <v>56666.435888546155</v>
      </c>
      <c r="N18" s="630">
        <f>SUM(N15:N17)</f>
        <v>3153823.9141114536</v>
      </c>
    </row>
    <row r="19" spans="1:14" s="226" customFormat="1" ht="20.25" customHeight="1">
      <c r="A19" s="291"/>
      <c r="B19" s="238" t="s">
        <v>3555</v>
      </c>
      <c r="C19" s="709"/>
      <c r="D19" s="709"/>
      <c r="E19" s="720"/>
      <c r="F19" s="720"/>
      <c r="G19" s="877"/>
      <c r="H19" s="877"/>
      <c r="I19" s="216"/>
      <c r="J19" s="216"/>
      <c r="K19" s="880"/>
      <c r="L19" s="629"/>
      <c r="M19" s="290" t="e">
        <f t="shared" si="0"/>
        <v>#DIV/0!</v>
      </c>
      <c r="N19" s="633" t="e">
        <f t="shared" si="1"/>
        <v>#DIV/0!</v>
      </c>
    </row>
    <row r="20" spans="1:14" s="226" customFormat="1" ht="20.25" customHeight="1">
      <c r="A20" s="291"/>
      <c r="B20" s="288" t="s">
        <v>3556</v>
      </c>
      <c r="C20" s="709">
        <v>11901.2</v>
      </c>
      <c r="D20" s="291">
        <v>1015</v>
      </c>
      <c r="E20" s="291">
        <v>0</v>
      </c>
      <c r="F20" s="291"/>
      <c r="G20" s="291">
        <v>1015</v>
      </c>
      <c r="H20" s="877">
        <f>I20/G20</f>
        <v>8.6669950738916257E-2</v>
      </c>
      <c r="I20" s="877">
        <f>ROUND(G20*1.04/12,2)</f>
        <v>87.97</v>
      </c>
      <c r="J20" s="632">
        <v>5</v>
      </c>
      <c r="K20" s="1212">
        <v>134.93</v>
      </c>
      <c r="L20" s="1568">
        <f>ROUND(I20*J20*K20,2)</f>
        <v>59348.959999999999</v>
      </c>
      <c r="M20" s="290">
        <f t="shared" si="0"/>
        <v>0</v>
      </c>
      <c r="N20" s="633">
        <f t="shared" si="1"/>
        <v>59348.959999999999</v>
      </c>
    </row>
    <row r="21" spans="1:14" s="228" customFormat="1" ht="20.25" customHeight="1">
      <c r="A21" s="291"/>
      <c r="B21" s="238" t="s">
        <v>20</v>
      </c>
      <c r="C21" s="884"/>
      <c r="D21" s="884"/>
      <c r="E21" s="878"/>
      <c r="F21" s="878"/>
      <c r="G21" s="879"/>
      <c r="H21" s="879"/>
      <c r="I21" s="879"/>
      <c r="J21" s="879"/>
      <c r="K21" s="881"/>
      <c r="L21" s="1569">
        <f>SUM(L20)</f>
        <v>59348.959999999999</v>
      </c>
      <c r="M21" s="630">
        <f>SUM(M20)</f>
        <v>0</v>
      </c>
      <c r="N21" s="1569">
        <f>SUM(N20)</f>
        <v>59348.959999999999</v>
      </c>
    </row>
    <row r="22" spans="1:14" s="226" customFormat="1" ht="20.25" customHeight="1">
      <c r="A22" s="239"/>
      <c r="B22" s="238" t="s">
        <v>306</v>
      </c>
      <c r="C22" s="883"/>
      <c r="D22" s="883"/>
      <c r="E22" s="883"/>
      <c r="F22" s="883"/>
      <c r="G22" s="883"/>
      <c r="H22" s="883"/>
      <c r="I22" s="883"/>
      <c r="J22" s="883"/>
      <c r="K22" s="882"/>
      <c r="L22" s="1570">
        <f>L13+L18+L21</f>
        <v>6636251.0599999996</v>
      </c>
      <c r="M22" s="238" t="e">
        <f>M13+M19+M21</f>
        <v>#DIV/0!</v>
      </c>
      <c r="N22" s="631" t="e">
        <f>N13+N19+N21</f>
        <v>#DIV/0!</v>
      </c>
    </row>
    <row r="23" spans="1:14" s="226" customFormat="1" ht="20.25" customHeight="1">
      <c r="A23" s="518"/>
      <c r="B23" s="82"/>
      <c r="C23" s="1538"/>
      <c r="D23" s="1538"/>
      <c r="E23" s="1538"/>
      <c r="F23" s="1538"/>
      <c r="G23" s="1538"/>
      <c r="H23" s="1538"/>
      <c r="I23" s="1538"/>
      <c r="J23" s="1538"/>
      <c r="K23" s="1539"/>
      <c r="L23" s="1540"/>
      <c r="M23" s="82"/>
      <c r="N23" s="1540"/>
    </row>
    <row r="24" spans="1:14" ht="21" customHeight="1">
      <c r="A24" s="450"/>
      <c r="B24" s="1543" t="s">
        <v>3610</v>
      </c>
      <c r="C24" s="294"/>
      <c r="D24" s="294"/>
      <c r="E24" s="295"/>
      <c r="F24" s="295"/>
      <c r="H24" s="296"/>
      <c r="I24" s="297"/>
      <c r="J24" s="217"/>
      <c r="K24" s="296"/>
      <c r="L24" s="298"/>
    </row>
    <row r="25" spans="1:14" ht="15.75" customHeight="1">
      <c r="A25" s="450"/>
      <c r="B25" s="1541" t="s">
        <v>3597</v>
      </c>
      <c r="C25" s="1542"/>
      <c r="D25" s="294"/>
      <c r="E25" s="295"/>
      <c r="F25" s="745"/>
      <c r="G25" s="758"/>
      <c r="H25" s="885"/>
      <c r="I25" s="886"/>
      <c r="J25" s="739"/>
      <c r="K25" s="885"/>
      <c r="L25" s="887"/>
      <c r="M25" s="744"/>
      <c r="N25" s="744"/>
    </row>
    <row r="26" spans="1:14">
      <c r="B26" s="1537"/>
      <c r="C26" s="294"/>
      <c r="D26" s="294"/>
      <c r="E26" s="295"/>
      <c r="F26" s="745"/>
      <c r="G26" s="758"/>
      <c r="H26" s="885"/>
      <c r="I26" s="886"/>
      <c r="J26" s="739"/>
      <c r="K26" s="885"/>
      <c r="L26" s="887"/>
      <c r="M26" s="744"/>
      <c r="N26" s="744"/>
    </row>
    <row r="27" spans="1:14" ht="24" customHeight="1">
      <c r="B27" s="300"/>
      <c r="C27" s="294"/>
      <c r="D27" s="294"/>
      <c r="E27" s="295"/>
      <c r="F27" s="745"/>
      <c r="G27" s="758"/>
      <c r="H27" s="888"/>
      <c r="I27" s="886"/>
      <c r="J27" s="739"/>
      <c r="K27" s="888"/>
      <c r="L27" s="887"/>
      <c r="M27" s="744"/>
      <c r="N27" s="744"/>
    </row>
    <row r="28" spans="1:14">
      <c r="B28" s="345" t="s">
        <v>330</v>
      </c>
      <c r="C28" s="294"/>
      <c r="D28" s="294"/>
      <c r="E28" s="295"/>
      <c r="F28" s="745"/>
      <c r="G28" s="758"/>
      <c r="H28" s="889"/>
      <c r="I28" s="886"/>
      <c r="J28" s="739"/>
      <c r="K28" s="889"/>
      <c r="L28" s="890"/>
      <c r="M28" s="744"/>
      <c r="N28" s="744"/>
    </row>
    <row r="29" spans="1:14">
      <c r="B29" s="345" t="s">
        <v>332</v>
      </c>
      <c r="C29" s="294"/>
      <c r="D29" s="294"/>
      <c r="E29" s="295"/>
      <c r="F29" s="745"/>
      <c r="G29" s="758"/>
      <c r="H29" s="889"/>
      <c r="I29" s="739"/>
      <c r="J29" s="739"/>
      <c r="K29" s="889"/>
      <c r="L29" s="890"/>
      <c r="M29" s="744"/>
      <c r="N29" s="744"/>
    </row>
    <row r="30" spans="1:14" ht="10.5" customHeight="1">
      <c r="B30" s="346"/>
      <c r="C30" s="294"/>
      <c r="D30" s="294"/>
      <c r="E30" s="295"/>
      <c r="F30" s="745"/>
      <c r="G30" s="758"/>
      <c r="H30" s="889"/>
      <c r="I30" s="739"/>
      <c r="J30" s="739"/>
      <c r="K30" s="889"/>
      <c r="L30" s="891"/>
      <c r="M30" s="744"/>
      <c r="N30" s="744"/>
    </row>
    <row r="31" spans="1:14">
      <c r="B31" s="345" t="s">
        <v>333</v>
      </c>
      <c r="F31" s="758"/>
      <c r="G31" s="758"/>
      <c r="H31" s="744"/>
      <c r="I31" s="744"/>
      <c r="J31" s="744"/>
      <c r="K31" s="866"/>
      <c r="L31" s="866"/>
      <c r="M31" s="744"/>
      <c r="N31" s="744"/>
    </row>
    <row r="32" spans="1:14" hidden="1">
      <c r="B32" s="541" t="s">
        <v>3387</v>
      </c>
      <c r="C32" s="541" t="s">
        <v>3388</v>
      </c>
      <c r="D32" s="541" t="s">
        <v>1411</v>
      </c>
      <c r="E32" s="541" t="s">
        <v>3598</v>
      </c>
      <c r="F32" s="541" t="s">
        <v>3391</v>
      </c>
      <c r="G32" s="541" t="s">
        <v>3392</v>
      </c>
      <c r="H32" s="282" t="s">
        <v>3393</v>
      </c>
      <c r="I32" s="282" t="s">
        <v>3399</v>
      </c>
      <c r="L32" s="282" t="s">
        <v>3599</v>
      </c>
    </row>
    <row r="33" spans="1:13" hidden="1">
      <c r="A33" s="274"/>
      <c r="B33" s="274" t="s">
        <v>3484</v>
      </c>
      <c r="C33" s="274"/>
      <c r="D33" s="274"/>
      <c r="E33" s="274"/>
      <c r="F33" s="274"/>
      <c r="G33" s="274"/>
      <c r="L33" s="282"/>
    </row>
    <row r="34" spans="1:13" hidden="1">
      <c r="A34" s="274" t="s">
        <v>3485</v>
      </c>
      <c r="B34" s="274">
        <v>1119</v>
      </c>
      <c r="C34" s="274">
        <v>1210</v>
      </c>
      <c r="D34" s="274">
        <v>970</v>
      </c>
      <c r="E34" s="274">
        <v>1836</v>
      </c>
      <c r="F34" s="274">
        <v>954</v>
      </c>
      <c r="G34" s="274">
        <v>970</v>
      </c>
      <c r="H34" s="282">
        <v>841</v>
      </c>
      <c r="I34" s="281">
        <v>126.1</v>
      </c>
      <c r="J34" s="1211">
        <v>1.07</v>
      </c>
      <c r="K34" s="1211">
        <f>I34*J34</f>
        <v>134.92699999999999</v>
      </c>
      <c r="L34" s="282">
        <f>B34+C34+D34</f>
        <v>3299</v>
      </c>
    </row>
    <row r="35" spans="1:13" hidden="1">
      <c r="A35" s="274" t="s">
        <v>3487</v>
      </c>
      <c r="B35" s="274">
        <v>1119</v>
      </c>
      <c r="C35" s="274">
        <v>1210</v>
      </c>
      <c r="D35" s="274">
        <v>970</v>
      </c>
      <c r="E35" s="274">
        <v>1836</v>
      </c>
      <c r="F35" s="274">
        <v>954</v>
      </c>
      <c r="G35" s="274">
        <v>970</v>
      </c>
      <c r="H35" s="282">
        <v>841</v>
      </c>
    </row>
    <row r="38" spans="1:13" hidden="1">
      <c r="B38" s="282" t="s">
        <v>3600</v>
      </c>
    </row>
    <row r="40" spans="1:13">
      <c r="A40" s="1145" t="s">
        <v>3495</v>
      </c>
      <c r="B40" s="1274"/>
      <c r="C40" s="1275"/>
      <c r="D40" s="1276"/>
      <c r="E40" s="1275"/>
      <c r="F40" s="1277"/>
      <c r="G40" s="1277"/>
      <c r="H40" s="1278"/>
      <c r="I40" s="1278"/>
      <c r="J40" s="1278"/>
      <c r="K40" s="580"/>
      <c r="L40" s="580"/>
      <c r="M40" s="580"/>
    </row>
    <row r="41" spans="1:13">
      <c r="A41" s="1279"/>
      <c r="B41" s="1275"/>
      <c r="C41" s="1275"/>
      <c r="D41" s="1276"/>
      <c r="E41" s="1275"/>
      <c r="F41" s="1277"/>
      <c r="G41" s="1277"/>
      <c r="H41" s="1278"/>
      <c r="I41" s="1278"/>
      <c r="J41" s="1278"/>
      <c r="K41" s="580"/>
      <c r="L41" s="580"/>
      <c r="M41" s="580"/>
    </row>
    <row r="42" spans="1:13">
      <c r="A42" s="1280" t="s">
        <v>3601</v>
      </c>
      <c r="B42" s="1281"/>
      <c r="C42" s="1281"/>
      <c r="D42" s="1281"/>
      <c r="E42" s="580"/>
      <c r="F42" s="1277"/>
      <c r="G42" s="1277"/>
      <c r="H42" s="1278"/>
      <c r="I42" s="1278"/>
      <c r="J42" s="1278"/>
      <c r="K42" s="580"/>
      <c r="L42" s="580"/>
      <c r="M42" s="580"/>
    </row>
    <row r="43" spans="1:13">
      <c r="A43" s="1282"/>
      <c r="B43" s="1282"/>
      <c r="C43" s="1282"/>
      <c r="D43" s="1282"/>
      <c r="E43" s="580"/>
      <c r="F43" s="1277"/>
      <c r="G43" s="1277"/>
      <c r="H43" s="1278"/>
      <c r="I43" s="1278"/>
      <c r="J43" s="1278"/>
      <c r="K43" s="580"/>
      <c r="L43" s="580"/>
      <c r="M43" s="580"/>
    </row>
    <row r="44" spans="1:13">
      <c r="A44" s="1283"/>
      <c r="B44" s="1283"/>
      <c r="C44" s="1282"/>
      <c r="D44" s="580"/>
      <c r="E44" s="1284"/>
      <c r="F44" s="1284"/>
      <c r="G44" s="1284"/>
      <c r="H44" s="1285"/>
      <c r="I44" s="1285"/>
      <c r="J44" s="1286" t="s">
        <v>254</v>
      </c>
      <c r="K44" s="580"/>
      <c r="L44" s="580"/>
      <c r="M44" s="580"/>
    </row>
    <row r="45" spans="1:13">
      <c r="A45" s="4176" t="s">
        <v>34</v>
      </c>
      <c r="B45" s="4176" t="s">
        <v>478</v>
      </c>
      <c r="C45" s="4177" t="s">
        <v>3558</v>
      </c>
      <c r="D45" s="4177" t="s">
        <v>3559</v>
      </c>
      <c r="E45" s="4177" t="s">
        <v>3560</v>
      </c>
      <c r="F45" s="4127" t="s">
        <v>3561</v>
      </c>
      <c r="G45" s="4177" t="s">
        <v>3602</v>
      </c>
      <c r="H45" s="4189" t="s">
        <v>3603</v>
      </c>
      <c r="I45" s="4183" t="s">
        <v>3564</v>
      </c>
      <c r="J45" s="4183"/>
      <c r="K45" s="4177" t="s">
        <v>3565</v>
      </c>
      <c r="L45" s="4127" t="s">
        <v>3566</v>
      </c>
      <c r="M45" s="4127" t="s">
        <v>3567</v>
      </c>
    </row>
    <row r="46" spans="1:13">
      <c r="A46" s="4176"/>
      <c r="B46" s="4176"/>
      <c r="C46" s="4177"/>
      <c r="D46" s="4177"/>
      <c r="E46" s="4177"/>
      <c r="F46" s="4127"/>
      <c r="G46" s="4177"/>
      <c r="H46" s="4190"/>
      <c r="I46" s="4183" t="s">
        <v>7</v>
      </c>
      <c r="J46" s="4183" t="s">
        <v>3568</v>
      </c>
      <c r="K46" s="4177"/>
      <c r="L46" s="4127"/>
      <c r="M46" s="4127"/>
    </row>
    <row r="47" spans="1:13" ht="26.25" customHeight="1">
      <c r="A47" s="4176"/>
      <c r="B47" s="4176"/>
      <c r="C47" s="4177"/>
      <c r="D47" s="4177"/>
      <c r="E47" s="4177"/>
      <c r="F47" s="4127"/>
      <c r="G47" s="4177"/>
      <c r="H47" s="4191"/>
      <c r="I47" s="4183"/>
      <c r="J47" s="4183"/>
      <c r="K47" s="4177"/>
      <c r="L47" s="4127"/>
      <c r="M47" s="4127"/>
    </row>
    <row r="48" spans="1:13">
      <c r="A48" s="1287">
        <v>1</v>
      </c>
      <c r="B48" s="1288" t="s">
        <v>3570</v>
      </c>
      <c r="C48" s="1289">
        <v>20.5</v>
      </c>
      <c r="D48" s="1290">
        <v>15941</v>
      </c>
      <c r="E48" s="1291">
        <v>2079.11</v>
      </c>
      <c r="F48" s="1236">
        <f>R46/1.12</f>
        <v>0</v>
      </c>
      <c r="G48" s="1292">
        <f>E48*F48</f>
        <v>0</v>
      </c>
      <c r="H48" s="1292">
        <f>G48*12</f>
        <v>0</v>
      </c>
      <c r="I48" s="1293">
        <f>H48*10%</f>
        <v>0</v>
      </c>
      <c r="J48" s="1293">
        <f>H48-I48</f>
        <v>0</v>
      </c>
      <c r="K48" s="1294">
        <f>R46</f>
        <v>0</v>
      </c>
      <c r="L48" s="1295">
        <f>K48*E48</f>
        <v>0</v>
      </c>
      <c r="M48" s="1295">
        <f>L48*12</f>
        <v>0</v>
      </c>
    </row>
    <row r="49" spans="1:17">
      <c r="A49" s="1296">
        <v>2</v>
      </c>
      <c r="B49" s="1288" t="s">
        <v>3554</v>
      </c>
      <c r="C49" s="1289">
        <v>20.5</v>
      </c>
      <c r="D49" s="1290">
        <v>15941</v>
      </c>
      <c r="E49" s="1291">
        <v>2070.91</v>
      </c>
      <c r="F49" s="1236">
        <f>R47/1.12</f>
        <v>0</v>
      </c>
      <c r="G49" s="1292">
        <f>E49*F49</f>
        <v>0</v>
      </c>
      <c r="H49" s="1292">
        <f>G49*12</f>
        <v>0</v>
      </c>
      <c r="I49" s="1293">
        <v>287790</v>
      </c>
      <c r="J49" s="1293">
        <v>2590110</v>
      </c>
      <c r="K49" s="1294">
        <f>R47</f>
        <v>0</v>
      </c>
      <c r="L49" s="1295">
        <f>K49*E49</f>
        <v>0</v>
      </c>
      <c r="M49" s="1295">
        <f>L49*12</f>
        <v>0</v>
      </c>
    </row>
    <row r="50" spans="1:17">
      <c r="A50" s="1297"/>
      <c r="B50" s="1298" t="s">
        <v>3572</v>
      </c>
      <c r="C50" s="1299"/>
      <c r="D50" s="1299"/>
      <c r="E50" s="1299"/>
      <c r="F50" s="1300"/>
      <c r="G50" s="1301">
        <f>G48+G49</f>
        <v>0</v>
      </c>
      <c r="H50" s="1301">
        <f>H48+H49</f>
        <v>0</v>
      </c>
      <c r="I50" s="1302">
        <f>I48+I49</f>
        <v>287790</v>
      </c>
      <c r="J50" s="1302">
        <f>J48+J49</f>
        <v>2590110</v>
      </c>
      <c r="K50" s="1299"/>
      <c r="L50" s="1303">
        <f>SUM(L48:L49)</f>
        <v>0</v>
      </c>
      <c r="M50" s="1303">
        <f>SUM(M48:M49)</f>
        <v>0</v>
      </c>
    </row>
    <row r="51" spans="1:17">
      <c r="A51" s="1304"/>
      <c r="B51" s="1305"/>
      <c r="C51" s="1305"/>
      <c r="D51" s="1305"/>
      <c r="E51" s="1305"/>
      <c r="F51" s="1305"/>
      <c r="G51" s="1306"/>
      <c r="H51" s="1306"/>
      <c r="I51" s="1306"/>
      <c r="J51" s="1306"/>
      <c r="K51" s="580"/>
      <c r="L51" s="580"/>
      <c r="M51" s="580"/>
    </row>
    <row r="52" spans="1:17">
      <c r="A52" s="1536">
        <v>101.42</v>
      </c>
      <c r="B52">
        <v>20.5</v>
      </c>
      <c r="C52">
        <f>A52*B52</f>
        <v>2079.11</v>
      </c>
      <c r="D52" t="s">
        <v>3604</v>
      </c>
    </row>
    <row r="53" spans="1:17">
      <c r="A53" s="1536">
        <v>101.42</v>
      </c>
      <c r="B53">
        <v>20.5</v>
      </c>
      <c r="C53">
        <f>A53*B53</f>
        <v>2079.11</v>
      </c>
      <c r="D53" t="s">
        <v>3484</v>
      </c>
    </row>
    <row r="55" spans="1:17" hidden="1">
      <c r="A55" s="541" t="s">
        <v>3545</v>
      </c>
      <c r="B55" s="293" t="s">
        <v>3471</v>
      </c>
      <c r="C55" s="293" t="s">
        <v>3388</v>
      </c>
      <c r="D55" s="293" t="s">
        <v>1411</v>
      </c>
      <c r="E55" s="293" t="s">
        <v>3598</v>
      </c>
      <c r="F55" s="293" t="s">
        <v>3391</v>
      </c>
      <c r="G55" s="293" t="s">
        <v>3392</v>
      </c>
      <c r="H55" s="293" t="s">
        <v>3393</v>
      </c>
      <c r="I55" s="293"/>
      <c r="J55" s="293"/>
      <c r="K55" s="1331" t="s">
        <v>3394</v>
      </c>
      <c r="L55" s="1331" t="s">
        <v>3581</v>
      </c>
      <c r="M55" s="293" t="s">
        <v>3396</v>
      </c>
      <c r="N55" s="293" t="s">
        <v>3397</v>
      </c>
      <c r="O55" s="293" t="s">
        <v>3398</v>
      </c>
    </row>
    <row r="56" spans="1:17" hidden="1">
      <c r="A56" s="274"/>
      <c r="B56" s="274" t="s">
        <v>3484</v>
      </c>
      <c r="C56" s="274"/>
      <c r="D56" s="274"/>
      <c r="E56" s="274"/>
      <c r="F56" s="274"/>
      <c r="G56" s="274"/>
    </row>
    <row r="57" spans="1:17" hidden="1">
      <c r="A57" s="274" t="s">
        <v>3485</v>
      </c>
      <c r="B57" s="274">
        <v>1119</v>
      </c>
      <c r="C57" s="274">
        <v>1210</v>
      </c>
      <c r="D57" s="274">
        <v>970</v>
      </c>
      <c r="E57" s="274">
        <v>1836</v>
      </c>
      <c r="F57" s="274">
        <v>954</v>
      </c>
      <c r="G57" s="274">
        <v>970</v>
      </c>
      <c r="H57" s="282">
        <v>841</v>
      </c>
      <c r="I57" s="282">
        <v>12100</v>
      </c>
      <c r="J57" s="275">
        <v>15941.2</v>
      </c>
      <c r="K57" s="281">
        <v>841</v>
      </c>
      <c r="L57" s="281">
        <v>1093</v>
      </c>
      <c r="M57" s="282">
        <v>1102</v>
      </c>
      <c r="N57" s="282">
        <v>1125</v>
      </c>
      <c r="O57" s="282">
        <v>2979</v>
      </c>
    </row>
    <row r="58" spans="1:17" hidden="1">
      <c r="A58" s="274" t="s">
        <v>3487</v>
      </c>
      <c r="B58" s="274">
        <v>1119</v>
      </c>
      <c r="C58" s="274">
        <v>1210</v>
      </c>
      <c r="D58" s="274">
        <v>970</v>
      </c>
      <c r="E58" s="274">
        <v>1836</v>
      </c>
      <c r="F58" s="274">
        <v>954</v>
      </c>
      <c r="G58" s="274">
        <v>970</v>
      </c>
      <c r="H58" s="282">
        <v>841</v>
      </c>
      <c r="K58" s="281">
        <v>841</v>
      </c>
      <c r="L58" s="281">
        <v>1093</v>
      </c>
      <c r="M58" s="282">
        <v>1102</v>
      </c>
      <c r="N58" s="282">
        <v>1125</v>
      </c>
      <c r="O58" s="282">
        <v>2979</v>
      </c>
    </row>
    <row r="59" spans="1:17" hidden="1">
      <c r="B59" s="282" t="s">
        <v>3605</v>
      </c>
      <c r="I59" s="282" t="s">
        <v>3459</v>
      </c>
      <c r="J59" s="282" t="s">
        <v>681</v>
      </c>
      <c r="P59" s="282" t="s">
        <v>3468</v>
      </c>
      <c r="Q59" s="282" t="s">
        <v>3464</v>
      </c>
    </row>
    <row r="60" spans="1:17" hidden="1">
      <c r="B60" s="282">
        <f>B57/$I$57*$J$57</f>
        <v>1474.2316363636364</v>
      </c>
      <c r="C60" s="282">
        <f t="shared" ref="C60:H61" si="2">C57/$I$57*$J$57</f>
        <v>1594.1200000000001</v>
      </c>
      <c r="D60" s="282">
        <f t="shared" si="2"/>
        <v>1277.9309090909092</v>
      </c>
      <c r="E60" s="282">
        <f t="shared" si="2"/>
        <v>2418.8465454545458</v>
      </c>
      <c r="F60" s="282">
        <f t="shared" si="2"/>
        <v>1256.8516363636363</v>
      </c>
      <c r="G60" s="282">
        <f t="shared" si="2"/>
        <v>1277.9309090909092</v>
      </c>
      <c r="H60" s="282">
        <f t="shared" si="2"/>
        <v>1107.9792727272727</v>
      </c>
      <c r="I60" s="282">
        <f>B60+C60+D60</f>
        <v>4346.2825454545455</v>
      </c>
      <c r="J60" s="282">
        <f>I60/3</f>
        <v>1448.7608484848486</v>
      </c>
      <c r="K60" s="281">
        <f t="shared" ref="K60:O61" si="3">K57/$I$57*$J$57</f>
        <v>1107.9792727272727</v>
      </c>
      <c r="L60" s="281">
        <f t="shared" si="3"/>
        <v>1439.9778181818181</v>
      </c>
      <c r="M60" s="282">
        <f t="shared" si="3"/>
        <v>1451.8349090909092</v>
      </c>
      <c r="N60" s="282">
        <f t="shared" si="3"/>
        <v>1482.1363636363637</v>
      </c>
      <c r="O60" s="282">
        <f t="shared" si="3"/>
        <v>3924.697090909091</v>
      </c>
      <c r="P60" s="282">
        <f>E60+F60+G60+H60+K60</f>
        <v>7169.5876363636362</v>
      </c>
      <c r="Q60" s="282">
        <f>L60+M60+N60+O60</f>
        <v>8298.6461818181815</v>
      </c>
    </row>
    <row r="61" spans="1:17" hidden="1">
      <c r="B61" s="282">
        <f>B58/$I$57*$J$57</f>
        <v>1474.2316363636364</v>
      </c>
      <c r="C61" s="282">
        <f t="shared" si="2"/>
        <v>1594.1200000000001</v>
      </c>
      <c r="D61" s="282">
        <f t="shared" si="2"/>
        <v>1277.9309090909092</v>
      </c>
      <c r="E61" s="282">
        <f t="shared" si="2"/>
        <v>2418.8465454545458</v>
      </c>
      <c r="F61" s="282">
        <f t="shared" si="2"/>
        <v>1256.8516363636363</v>
      </c>
      <c r="G61" s="282">
        <f t="shared" si="2"/>
        <v>1277.9309090909092</v>
      </c>
      <c r="H61" s="282">
        <f t="shared" si="2"/>
        <v>1107.9792727272727</v>
      </c>
      <c r="I61" s="282">
        <f>B61+C61+D61</f>
        <v>4346.2825454545455</v>
      </c>
      <c r="J61" s="282">
        <f>I61/3</f>
        <v>1448.7608484848486</v>
      </c>
      <c r="K61" s="281">
        <f t="shared" si="3"/>
        <v>1107.9792727272727</v>
      </c>
      <c r="L61" s="281">
        <f t="shared" si="3"/>
        <v>1439.9778181818181</v>
      </c>
      <c r="M61" s="282">
        <f t="shared" si="3"/>
        <v>1451.8349090909092</v>
      </c>
      <c r="N61" s="282">
        <f t="shared" si="3"/>
        <v>1482.1363636363637</v>
      </c>
      <c r="O61" s="282">
        <f t="shared" si="3"/>
        <v>3924.697090909091</v>
      </c>
      <c r="P61" s="282">
        <f>E61+F61+G61+H61+K61</f>
        <v>7169.5876363636362</v>
      </c>
      <c r="Q61" s="282">
        <f>L61+M61+N61+O61</f>
        <v>8298.6461818181815</v>
      </c>
    </row>
    <row r="62" spans="1:17" hidden="1"/>
    <row r="63" spans="1:17">
      <c r="M63" s="541" t="s">
        <v>267</v>
      </c>
      <c r="N63" s="671" t="s">
        <v>606</v>
      </c>
    </row>
    <row r="64" spans="1:17">
      <c r="A64" s="695" t="s">
        <v>3606</v>
      </c>
      <c r="B64" s="849"/>
      <c r="C64" s="849"/>
      <c r="D64" s="849"/>
      <c r="E64" s="849"/>
      <c r="F64" s="849"/>
      <c r="G64" s="849"/>
      <c r="H64" s="849"/>
      <c r="I64" s="3814" t="s">
        <v>3375</v>
      </c>
      <c r="J64" s="849"/>
      <c r="K64" s="866"/>
      <c r="L64" s="866"/>
      <c r="M64" s="744"/>
      <c r="N64" s="744"/>
    </row>
    <row r="65" spans="1:14">
      <c r="A65" s="45"/>
      <c r="B65" s="280"/>
      <c r="C65" s="280"/>
      <c r="D65" s="280"/>
      <c r="E65" s="280"/>
      <c r="F65" s="280"/>
      <c r="G65" s="280"/>
      <c r="H65" s="280"/>
      <c r="I65" s="3815"/>
      <c r="J65" s="280"/>
    </row>
    <row r="66" spans="1:14">
      <c r="A66" s="656" t="s">
        <v>3376</v>
      </c>
      <c r="B66" s="852"/>
      <c r="C66" s="852"/>
      <c r="D66" s="852"/>
      <c r="E66" s="852"/>
      <c r="F66" s="852"/>
      <c r="G66" s="852"/>
      <c r="H66" s="852"/>
      <c r="I66" s="852"/>
      <c r="J66" s="738"/>
      <c r="K66" s="866"/>
      <c r="L66" s="866"/>
      <c r="M66" s="744"/>
      <c r="N66" s="744"/>
    </row>
    <row r="67" spans="1:14">
      <c r="A67" s="168" t="s">
        <v>990</v>
      </c>
      <c r="B67" s="283"/>
      <c r="C67" s="283"/>
      <c r="D67" s="283"/>
      <c r="E67" s="283"/>
      <c r="F67" s="283"/>
      <c r="G67" s="283"/>
      <c r="H67" s="283"/>
      <c r="I67" s="283"/>
      <c r="J67" s="177"/>
    </row>
    <row r="68" spans="1:14">
      <c r="A68" s="284"/>
      <c r="B68" s="284"/>
      <c r="C68" s="284"/>
      <c r="D68" s="284"/>
      <c r="E68" s="284"/>
      <c r="F68" s="284"/>
      <c r="G68" s="285"/>
      <c r="H68" s="284"/>
      <c r="I68" s="177"/>
      <c r="N68" s="876" t="s">
        <v>254</v>
      </c>
    </row>
    <row r="69" spans="1:14">
      <c r="A69" s="4178" t="s">
        <v>2</v>
      </c>
      <c r="B69" s="4178" t="s">
        <v>3377</v>
      </c>
      <c r="C69" s="4160" t="s">
        <v>3549</v>
      </c>
      <c r="D69" s="4180" t="s">
        <v>1092</v>
      </c>
      <c r="E69" s="4162" t="s">
        <v>255</v>
      </c>
      <c r="F69" s="4182"/>
      <c r="G69" s="4163"/>
      <c r="H69" s="4160" t="s">
        <v>3550</v>
      </c>
      <c r="I69" s="4160" t="s">
        <v>3551</v>
      </c>
      <c r="J69" s="4160" t="s">
        <v>3380</v>
      </c>
      <c r="K69" s="4160" t="s">
        <v>3381</v>
      </c>
      <c r="L69" s="4160" t="s">
        <v>345</v>
      </c>
      <c r="M69" s="4162" t="s">
        <v>255</v>
      </c>
      <c r="N69" s="4163"/>
    </row>
    <row r="70" spans="1:14" ht="20.25" customHeight="1">
      <c r="A70" s="4179"/>
      <c r="B70" s="4179"/>
      <c r="C70" s="4160"/>
      <c r="D70" s="4181"/>
      <c r="E70" s="286" t="s">
        <v>7</v>
      </c>
      <c r="F70" s="286" t="s">
        <v>8</v>
      </c>
      <c r="G70" s="286" t="s">
        <v>3552</v>
      </c>
      <c r="H70" s="4160"/>
      <c r="I70" s="4160"/>
      <c r="J70" s="4160"/>
      <c r="K70" s="4160"/>
      <c r="L70" s="4160"/>
      <c r="M70" s="286" t="s">
        <v>7</v>
      </c>
      <c r="N70" s="286" t="s">
        <v>8</v>
      </c>
    </row>
    <row r="71" spans="1:14">
      <c r="A71" s="239"/>
      <c r="B71" s="287" t="s">
        <v>3553</v>
      </c>
      <c r="C71" s="288"/>
      <c r="D71" s="288"/>
      <c r="E71" s="632"/>
      <c r="F71" s="632"/>
      <c r="G71" s="216"/>
      <c r="H71" s="216"/>
      <c r="I71" s="216"/>
      <c r="J71" s="216"/>
      <c r="K71" s="289"/>
      <c r="L71" s="289"/>
      <c r="M71" s="290"/>
      <c r="N71" s="290"/>
    </row>
    <row r="72" spans="1:14">
      <c r="A72" s="291"/>
      <c r="B72" s="292" t="s">
        <v>3459</v>
      </c>
      <c r="C72" s="291" t="s">
        <v>3383</v>
      </c>
      <c r="D72" s="632">
        <f>E72+F72+G72</f>
        <v>831</v>
      </c>
      <c r="E72" s="720">
        <v>23</v>
      </c>
      <c r="F72" s="720">
        <v>229</v>
      </c>
      <c r="G72" s="877">
        <v>579</v>
      </c>
      <c r="H72" s="877">
        <f>$J$60/D72</f>
        <v>1.7433945228457866</v>
      </c>
      <c r="I72" s="632">
        <f>D72*H72</f>
        <v>1448.7608484848486</v>
      </c>
      <c r="J72" s="632">
        <v>3</v>
      </c>
      <c r="K72" s="1212">
        <v>134.93</v>
      </c>
      <c r="L72" s="629">
        <f>I72*J72*K72</f>
        <v>586443.9038581819</v>
      </c>
      <c r="M72" s="290">
        <f>L72*E72/D72</f>
        <v>16231.299384763157</v>
      </c>
      <c r="N72" s="633">
        <f>L72-M72</f>
        <v>570212.60447341879</v>
      </c>
    </row>
    <row r="73" spans="1:14">
      <c r="A73" s="291"/>
      <c r="B73" s="292" t="s">
        <v>3463</v>
      </c>
      <c r="C73" s="291" t="s">
        <v>3383</v>
      </c>
      <c r="D73" s="632">
        <f>E73+F73+G73</f>
        <v>831</v>
      </c>
      <c r="E73" s="720">
        <v>23</v>
      </c>
      <c r="F73" s="720">
        <v>229</v>
      </c>
      <c r="G73" s="877">
        <v>579</v>
      </c>
      <c r="H73" s="877">
        <f>P60/5/D73</f>
        <v>1.7255325237938957</v>
      </c>
      <c r="I73" s="632">
        <f>D73*H73</f>
        <v>1433.9175272727273</v>
      </c>
      <c r="J73" s="632">
        <v>5</v>
      </c>
      <c r="K73" s="1212">
        <v>134.93</v>
      </c>
      <c r="L73" s="629">
        <f>I73*J73*K73</f>
        <v>967392.45977454551</v>
      </c>
      <c r="M73" s="290">
        <f>L73*E73/D73</f>
        <v>26775.001895083689</v>
      </c>
      <c r="N73" s="633">
        <f>L73-M73</f>
        <v>940617.45787946181</v>
      </c>
    </row>
    <row r="74" spans="1:14">
      <c r="A74" s="291"/>
      <c r="B74" s="292" t="s">
        <v>3464</v>
      </c>
      <c r="C74" s="291" t="s">
        <v>3383</v>
      </c>
      <c r="D74" s="632">
        <f>E74+F74+G74</f>
        <v>909</v>
      </c>
      <c r="E74" s="720">
        <v>23</v>
      </c>
      <c r="F74" s="720">
        <v>229</v>
      </c>
      <c r="G74" s="877">
        <v>657</v>
      </c>
      <c r="H74" s="877">
        <f>Q60/4/D74</f>
        <v>2.2823559355935594</v>
      </c>
      <c r="I74" s="632">
        <f>D74*H74</f>
        <v>2074.6615454545454</v>
      </c>
      <c r="J74" s="632">
        <v>4</v>
      </c>
      <c r="K74" s="1212">
        <v>134.93</v>
      </c>
      <c r="L74" s="629">
        <f>I74*J74*K74</f>
        <v>1119736.3293127273</v>
      </c>
      <c r="M74" s="290">
        <f>L74*E74/D74</f>
        <v>28332.162347846788</v>
      </c>
      <c r="N74" s="633">
        <f>L74-M74</f>
        <v>1091404.1669648804</v>
      </c>
    </row>
    <row r="75" spans="1:14">
      <c r="A75" s="291"/>
      <c r="B75" s="238" t="s">
        <v>20</v>
      </c>
      <c r="C75" s="884"/>
      <c r="D75" s="884"/>
      <c r="E75" s="878"/>
      <c r="F75" s="878"/>
      <c r="G75" s="878"/>
      <c r="H75" s="879"/>
      <c r="I75" s="879"/>
      <c r="J75" s="879"/>
      <c r="K75" s="880"/>
      <c r="L75" s="630">
        <f>SUM(L72:L74)</f>
        <v>2673572.6929454547</v>
      </c>
      <c r="M75" s="630">
        <f>SUM(M72:M74)</f>
        <v>71338.463627693636</v>
      </c>
      <c r="N75" s="630">
        <f>SUM(N72:N74)</f>
        <v>2602234.229317761</v>
      </c>
    </row>
    <row r="76" spans="1:14">
      <c r="A76" s="239"/>
      <c r="B76" s="287" t="s">
        <v>3554</v>
      </c>
      <c r="C76" s="709"/>
      <c r="D76" s="709"/>
      <c r="E76" s="720"/>
      <c r="F76" s="720"/>
      <c r="G76" s="877"/>
      <c r="H76" s="877"/>
      <c r="I76" s="877"/>
      <c r="J76" s="877"/>
      <c r="K76" s="880"/>
      <c r="L76" s="630">
        <f>L77+L78+L79</f>
        <v>2559837.3690181817</v>
      </c>
      <c r="M76" s="287">
        <f>M77+M78+M79</f>
        <v>68303.684251550731</v>
      </c>
      <c r="N76" s="1308">
        <f>L76-M76</f>
        <v>2491533.6847666311</v>
      </c>
    </row>
    <row r="77" spans="1:14">
      <c r="A77" s="291"/>
      <c r="B77" s="292" t="s">
        <v>3459</v>
      </c>
      <c r="C77" s="291" t="s">
        <v>3383</v>
      </c>
      <c r="D77" s="632">
        <f>E77+F77+G77</f>
        <v>831</v>
      </c>
      <c r="E77" s="720">
        <v>23</v>
      </c>
      <c r="F77" s="720">
        <v>229</v>
      </c>
      <c r="G77" s="877">
        <v>579</v>
      </c>
      <c r="H77" s="877">
        <f>J61/D77</f>
        <v>1.7433945228457866</v>
      </c>
      <c r="I77" s="632">
        <f>D77*H77</f>
        <v>1448.7608484848486</v>
      </c>
      <c r="J77" s="632">
        <v>3</v>
      </c>
      <c r="K77" s="1212">
        <v>129.19</v>
      </c>
      <c r="L77" s="629">
        <f>I77*J77*K77</f>
        <v>561496.24204727274</v>
      </c>
      <c r="M77" s="290">
        <f>L77*E77/D77</f>
        <v>15540.810550044853</v>
      </c>
      <c r="N77" s="633">
        <f>L77-M77</f>
        <v>545955.43149722787</v>
      </c>
    </row>
    <row r="78" spans="1:14">
      <c r="A78" s="291"/>
      <c r="B78" s="292" t="s">
        <v>3463</v>
      </c>
      <c r="C78" s="291" t="s">
        <v>3383</v>
      </c>
      <c r="D78" s="632">
        <f>E78+F78+G78</f>
        <v>831</v>
      </c>
      <c r="E78" s="720">
        <v>23</v>
      </c>
      <c r="F78" s="720">
        <v>229</v>
      </c>
      <c r="G78" s="877">
        <v>579</v>
      </c>
      <c r="H78" s="877">
        <f>P61/5/D78</f>
        <v>1.7255325237938957</v>
      </c>
      <c r="I78" s="632">
        <f>D78*H78</f>
        <v>1433.9175272727273</v>
      </c>
      <c r="J78" s="632">
        <v>5</v>
      </c>
      <c r="K78" s="1212">
        <v>129.19</v>
      </c>
      <c r="L78" s="629">
        <f>I78*J78*K78</f>
        <v>926239.02674181818</v>
      </c>
      <c r="M78" s="290">
        <f>L78*E78/D78</f>
        <v>25635.977876127341</v>
      </c>
      <c r="N78" s="633">
        <f>L78-M78</f>
        <v>900603.04886569083</v>
      </c>
    </row>
    <row r="79" spans="1:14">
      <c r="A79" s="291"/>
      <c r="B79" s="292" t="s">
        <v>3464</v>
      </c>
      <c r="C79" s="291" t="s">
        <v>3383</v>
      </c>
      <c r="D79" s="632">
        <f>E79+F79+G79</f>
        <v>909</v>
      </c>
      <c r="E79" s="720">
        <v>23</v>
      </c>
      <c r="F79" s="720">
        <v>229</v>
      </c>
      <c r="G79" s="877">
        <v>657</v>
      </c>
      <c r="H79" s="877">
        <f>Q61/4/D79</f>
        <v>2.2823559355935594</v>
      </c>
      <c r="I79" s="632">
        <f>D79*H79</f>
        <v>2074.6615454545454</v>
      </c>
      <c r="J79" s="632">
        <v>4</v>
      </c>
      <c r="K79" s="1212">
        <v>129.19</v>
      </c>
      <c r="L79" s="629">
        <f>I79*J79*K79</f>
        <v>1072102.1002290908</v>
      </c>
      <c r="M79" s="290">
        <f>L79*E79/D79</f>
        <v>27126.895825378535</v>
      </c>
      <c r="N79" s="633">
        <f>L79-M79</f>
        <v>1044975.2044037123</v>
      </c>
    </row>
    <row r="80" spans="1:14">
      <c r="A80" s="291"/>
      <c r="B80" s="238" t="s">
        <v>20</v>
      </c>
      <c r="C80" s="709"/>
      <c r="D80" s="709"/>
      <c r="E80" s="720"/>
      <c r="F80" s="720"/>
      <c r="G80" s="877"/>
      <c r="H80" s="877"/>
      <c r="I80" s="877"/>
      <c r="J80" s="877"/>
      <c r="K80" s="880"/>
      <c r="L80" s="630">
        <f>SUM(L77:L79)</f>
        <v>2559837.3690181817</v>
      </c>
      <c r="M80" s="630">
        <f>SUM(M77:M79)</f>
        <v>68303.684251550731</v>
      </c>
      <c r="N80" s="630">
        <f>SUM(N77:N79)</f>
        <v>2491533.6847666311</v>
      </c>
    </row>
    <row r="81" spans="1:17">
      <c r="A81" s="291"/>
      <c r="B81" s="238" t="s">
        <v>3578</v>
      </c>
      <c r="C81" s="709"/>
      <c r="D81" s="709"/>
      <c r="E81" s="720"/>
      <c r="F81" s="720"/>
      <c r="G81" s="877"/>
      <c r="H81" s="877"/>
      <c r="I81" s="216"/>
      <c r="J81" s="216"/>
      <c r="K81" s="880"/>
      <c r="L81" s="629"/>
      <c r="M81" s="290" t="e">
        <f>L81*E81/D81</f>
        <v>#DIV/0!</v>
      </c>
      <c r="N81" s="633" t="e">
        <f>L81-M81</f>
        <v>#DIV/0!</v>
      </c>
    </row>
    <row r="82" spans="1:17">
      <c r="A82" s="291"/>
      <c r="B82" s="288" t="s">
        <v>3556</v>
      </c>
      <c r="C82" s="709"/>
      <c r="D82" s="291" t="s">
        <v>3383</v>
      </c>
      <c r="E82" s="291" t="s">
        <v>3383</v>
      </c>
      <c r="F82" s="291" t="s">
        <v>3383</v>
      </c>
      <c r="G82" s="291" t="s">
        <v>3383</v>
      </c>
      <c r="H82" s="877"/>
      <c r="I82" s="720"/>
      <c r="J82" s="632">
        <v>6</v>
      </c>
      <c r="K82" s="880"/>
      <c r="L82" s="629">
        <f>I82*J82*K82</f>
        <v>0</v>
      </c>
      <c r="M82" s="290" t="e">
        <f>L82*E82/D82</f>
        <v>#VALUE!</v>
      </c>
      <c r="N82" s="633" t="e">
        <f>L82-M82</f>
        <v>#VALUE!</v>
      </c>
    </row>
    <row r="83" spans="1:17">
      <c r="A83" s="291"/>
      <c r="B83" s="238" t="s">
        <v>20</v>
      </c>
      <c r="C83" s="884"/>
      <c r="D83" s="884"/>
      <c r="E83" s="878"/>
      <c r="F83" s="878"/>
      <c r="G83" s="879"/>
      <c r="H83" s="879"/>
      <c r="I83" s="879"/>
      <c r="J83" s="879"/>
      <c r="K83" s="881"/>
      <c r="L83" s="630">
        <f>SUM(L82)</f>
        <v>0</v>
      </c>
      <c r="M83" s="630" t="e">
        <f>SUM(M82)</f>
        <v>#VALUE!</v>
      </c>
      <c r="N83" s="630" t="e">
        <f>SUM(N82)</f>
        <v>#VALUE!</v>
      </c>
    </row>
    <row r="84" spans="1:17">
      <c r="A84" s="239"/>
      <c r="B84" s="238" t="s">
        <v>306</v>
      </c>
      <c r="C84" s="883"/>
      <c r="D84" s="883"/>
      <c r="E84" s="883"/>
      <c r="F84" s="883"/>
      <c r="G84" s="883"/>
      <c r="H84" s="883"/>
      <c r="I84" s="883"/>
      <c r="J84" s="883"/>
      <c r="K84" s="882"/>
      <c r="L84" s="631">
        <f>L75+L80+L83</f>
        <v>5233410.0619636364</v>
      </c>
      <c r="M84" s="238" t="e">
        <f>M75+M81+M83</f>
        <v>#DIV/0!</v>
      </c>
      <c r="N84" s="631" t="e">
        <f>N75+N81+N83</f>
        <v>#DIV/0!</v>
      </c>
    </row>
    <row r="86" spans="1:17">
      <c r="A86" s="1507" t="s">
        <v>3545</v>
      </c>
      <c r="B86" s="1389" t="s">
        <v>3471</v>
      </c>
      <c r="C86" s="1389" t="s">
        <v>3388</v>
      </c>
      <c r="D86" s="1389" t="s">
        <v>1411</v>
      </c>
      <c r="E86" s="1389" t="s">
        <v>3598</v>
      </c>
      <c r="F86" s="1389" t="s">
        <v>3391</v>
      </c>
      <c r="G86" s="1389" t="s">
        <v>3392</v>
      </c>
      <c r="H86" s="1389" t="s">
        <v>3393</v>
      </c>
      <c r="I86" s="4187" t="s">
        <v>3607</v>
      </c>
      <c r="J86" s="4188"/>
      <c r="K86" s="1416" t="s">
        <v>3394</v>
      </c>
      <c r="L86" s="1416" t="s">
        <v>3581</v>
      </c>
      <c r="M86" s="1389" t="s">
        <v>3396</v>
      </c>
      <c r="N86" s="1389" t="s">
        <v>3397</v>
      </c>
      <c r="O86" s="1389" t="s">
        <v>3398</v>
      </c>
    </row>
    <row r="87" spans="1:17">
      <c r="A87" s="274"/>
      <c r="B87" s="1308" t="s">
        <v>3484</v>
      </c>
      <c r="C87" s="633"/>
      <c r="D87" s="633"/>
      <c r="E87" s="633"/>
      <c r="F87" s="633"/>
      <c r="G87" s="633"/>
      <c r="H87" s="1388"/>
      <c r="I87" s="1388"/>
      <c r="J87" s="1388"/>
      <c r="K87" s="1390"/>
      <c r="L87" s="1390"/>
      <c r="M87" s="1388"/>
      <c r="N87" s="1388"/>
      <c r="O87" s="1388"/>
    </row>
    <row r="88" spans="1:17">
      <c r="A88" s="566" t="s">
        <v>3484</v>
      </c>
      <c r="B88" s="633">
        <v>1119</v>
      </c>
      <c r="C88" s="633">
        <v>1210</v>
      </c>
      <c r="D88" s="633">
        <v>970</v>
      </c>
      <c r="E88" s="633">
        <v>1836</v>
      </c>
      <c r="F88" s="633">
        <v>954</v>
      </c>
      <c r="G88" s="633">
        <v>970</v>
      </c>
      <c r="H88" s="1388">
        <v>841</v>
      </c>
      <c r="I88" s="1388">
        <v>12100</v>
      </c>
      <c r="J88" s="1392">
        <v>15941.2</v>
      </c>
      <c r="K88" s="1390">
        <v>841</v>
      </c>
      <c r="L88" s="1390">
        <v>1093</v>
      </c>
      <c r="M88" s="1388">
        <v>1102</v>
      </c>
      <c r="N88" s="1388">
        <v>1125</v>
      </c>
      <c r="O88" s="1388">
        <v>2979</v>
      </c>
    </row>
    <row r="89" spans="1:17">
      <c r="A89" s="566" t="s">
        <v>3608</v>
      </c>
      <c r="B89" s="633">
        <v>1119</v>
      </c>
      <c r="C89" s="633">
        <v>1210</v>
      </c>
      <c r="D89" s="633">
        <v>970</v>
      </c>
      <c r="E89" s="633">
        <v>1836</v>
      </c>
      <c r="F89" s="633">
        <v>954</v>
      </c>
      <c r="G89" s="633">
        <v>970</v>
      </c>
      <c r="H89" s="1388">
        <v>841</v>
      </c>
      <c r="I89" s="1388"/>
      <c r="J89" s="1388"/>
      <c r="K89" s="1390">
        <v>841</v>
      </c>
      <c r="L89" s="1390">
        <v>1093</v>
      </c>
      <c r="M89" s="1388">
        <v>1102</v>
      </c>
      <c r="N89" s="1388">
        <v>1125</v>
      </c>
      <c r="O89" s="1388">
        <v>2979</v>
      </c>
    </row>
    <row r="90" spans="1:17">
      <c r="B90" s="1396" t="s">
        <v>3605</v>
      </c>
      <c r="I90" s="282" t="s">
        <v>3459</v>
      </c>
      <c r="J90" s="282" t="s">
        <v>681</v>
      </c>
      <c r="P90" s="282" t="s">
        <v>3468</v>
      </c>
      <c r="Q90" s="282" t="s">
        <v>3464</v>
      </c>
    </row>
    <row r="91" spans="1:17">
      <c r="B91" s="282">
        <f>B88/$I$57*$J$57</f>
        <v>1474.2316363636364</v>
      </c>
      <c r="C91" s="282">
        <f t="shared" ref="C91:H92" si="4">C88/$I$57*$J$57</f>
        <v>1594.1200000000001</v>
      </c>
      <c r="D91" s="282">
        <f t="shared" si="4"/>
        <v>1277.9309090909092</v>
      </c>
      <c r="E91" s="282">
        <f t="shared" si="4"/>
        <v>2418.8465454545458</v>
      </c>
      <c r="F91" s="282">
        <f t="shared" si="4"/>
        <v>1256.8516363636363</v>
      </c>
      <c r="G91" s="282">
        <f t="shared" si="4"/>
        <v>1277.9309090909092</v>
      </c>
      <c r="H91" s="282">
        <f t="shared" si="4"/>
        <v>1107.9792727272727</v>
      </c>
      <c r="I91" s="282">
        <f>B91+C91+D91</f>
        <v>4346.2825454545455</v>
      </c>
      <c r="J91" s="282">
        <f>I91/3</f>
        <v>1448.7608484848486</v>
      </c>
      <c r="K91" s="281">
        <f t="shared" ref="K91:O92" si="5">K88/$I$57*$J$57</f>
        <v>1107.9792727272727</v>
      </c>
      <c r="L91" s="281">
        <f t="shared" si="5"/>
        <v>1439.9778181818181</v>
      </c>
      <c r="M91" s="282">
        <f t="shared" si="5"/>
        <v>1451.8349090909092</v>
      </c>
      <c r="N91" s="282">
        <f t="shared" si="5"/>
        <v>1482.1363636363637</v>
      </c>
      <c r="O91" s="282">
        <f t="shared" si="5"/>
        <v>3924.697090909091</v>
      </c>
      <c r="P91" s="282">
        <f>E91+F91+G91+H91+K91</f>
        <v>7169.5876363636362</v>
      </c>
      <c r="Q91" s="282">
        <f>L91+M91+N91+O91</f>
        <v>8298.6461818181815</v>
      </c>
    </row>
    <row r="92" spans="1:17">
      <c r="B92" s="282">
        <f>B89/$I$57*$J$57</f>
        <v>1474.2316363636364</v>
      </c>
      <c r="C92" s="282">
        <f t="shared" si="4"/>
        <v>1594.1200000000001</v>
      </c>
      <c r="D92" s="282">
        <f t="shared" si="4"/>
        <v>1277.9309090909092</v>
      </c>
      <c r="E92" s="282">
        <f t="shared" si="4"/>
        <v>2418.8465454545458</v>
      </c>
      <c r="F92" s="282">
        <f t="shared" si="4"/>
        <v>1256.8516363636363</v>
      </c>
      <c r="G92" s="282">
        <f t="shared" si="4"/>
        <v>1277.9309090909092</v>
      </c>
      <c r="H92" s="282">
        <f t="shared" si="4"/>
        <v>1107.9792727272727</v>
      </c>
      <c r="I92" s="282">
        <f>B92+C92+D92</f>
        <v>4346.2825454545455</v>
      </c>
      <c r="J92" s="282">
        <f>I92/3</f>
        <v>1448.7608484848486</v>
      </c>
      <c r="K92" s="281">
        <f t="shared" si="5"/>
        <v>1107.9792727272727</v>
      </c>
      <c r="L92" s="281">
        <f t="shared" si="5"/>
        <v>1439.9778181818181</v>
      </c>
      <c r="M92" s="282">
        <f t="shared" si="5"/>
        <v>1451.8349090909092</v>
      </c>
      <c r="N92" s="282">
        <f t="shared" si="5"/>
        <v>1482.1363636363637</v>
      </c>
      <c r="O92" s="282">
        <f t="shared" si="5"/>
        <v>3924.697090909091</v>
      </c>
      <c r="P92" s="282">
        <f>E92+F92+G92+H92+K92</f>
        <v>7169.5876363636362</v>
      </c>
      <c r="Q92" s="282">
        <f>L92+M92+N92+O92</f>
        <v>8298.6461818181815</v>
      </c>
    </row>
  </sheetData>
  <mergeCells count="37">
    <mergeCell ref="J69:J70"/>
    <mergeCell ref="K69:K70"/>
    <mergeCell ref="L69:L70"/>
    <mergeCell ref="M69:N69"/>
    <mergeCell ref="I86:J86"/>
    <mergeCell ref="M45:M47"/>
    <mergeCell ref="I46:I47"/>
    <mergeCell ref="J46:J47"/>
    <mergeCell ref="I69:I70"/>
    <mergeCell ref="A69:A70"/>
    <mergeCell ref="B69:B70"/>
    <mergeCell ref="C69:C70"/>
    <mergeCell ref="D69:D70"/>
    <mergeCell ref="E69:G69"/>
    <mergeCell ref="H69:H70"/>
    <mergeCell ref="F45:F47"/>
    <mergeCell ref="G45:G47"/>
    <mergeCell ref="H45:H47"/>
    <mergeCell ref="I45:J45"/>
    <mergeCell ref="K45:K47"/>
    <mergeCell ref="L45:L47"/>
    <mergeCell ref="I7:I8"/>
    <mergeCell ref="J7:J8"/>
    <mergeCell ref="K7:K8"/>
    <mergeCell ref="L7:L8"/>
    <mergeCell ref="M7:N7"/>
    <mergeCell ref="A45:A47"/>
    <mergeCell ref="B45:B47"/>
    <mergeCell ref="C45:C47"/>
    <mergeCell ref="D45:D47"/>
    <mergeCell ref="E45:E47"/>
    <mergeCell ref="H7:H8"/>
    <mergeCell ref="A7:A8"/>
    <mergeCell ref="B7:B8"/>
    <mergeCell ref="C7:C8"/>
    <mergeCell ref="D7:D8"/>
    <mergeCell ref="E7:G7"/>
  </mergeCells>
  <pageMargins left="0" right="0" top="0" bottom="0" header="0" footer="0"/>
  <pageSetup paperSize="9" scale="42" orientation="landscape" r:id="rId1"/>
  <rowBreaks count="1" manualBreakCount="1">
    <brk id="30" max="1638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Лист15">
    <tabColor rgb="FF7030A0"/>
    <pageSetUpPr fitToPage="1"/>
  </sheetPr>
  <dimension ref="A1:S35"/>
  <sheetViews>
    <sheetView zoomScaleSheetLayoutView="100" workbookViewId="0">
      <selection activeCell="J5" sqref="J5:J7"/>
    </sheetView>
  </sheetViews>
  <sheetFormatPr defaultColWidth="9.140625" defaultRowHeight="15.75"/>
  <cols>
    <col min="1" max="1" width="4.140625" style="226" customWidth="1"/>
    <col min="2" max="2" width="22.140625" style="226" customWidth="1"/>
    <col min="3" max="3" width="14.42578125" style="226" customWidth="1"/>
    <col min="4" max="4" width="14.28515625" style="227" customWidth="1"/>
    <col min="5" max="5" width="16.7109375" style="226" customWidth="1"/>
    <col min="6" max="6" width="14.85546875" style="226" bestFit="1" customWidth="1"/>
    <col min="7" max="7" width="13.7109375" style="226" customWidth="1"/>
    <col min="8" max="8" width="14.85546875" style="226" bestFit="1" customWidth="1"/>
    <col min="9" max="16384" width="9.140625" style="226"/>
  </cols>
  <sheetData>
    <row r="1" spans="1:19">
      <c r="F1" s="226" t="s">
        <v>267</v>
      </c>
      <c r="G1" s="671" t="s">
        <v>609</v>
      </c>
    </row>
    <row r="2" spans="1:19">
      <c r="G2" s="671"/>
    </row>
    <row r="3" spans="1:19">
      <c r="G3" s="671"/>
    </row>
    <row r="4" spans="1:19">
      <c r="G4" s="671"/>
    </row>
    <row r="5" spans="1:19" s="744" customFormat="1">
      <c r="A5" s="695" t="s">
        <v>3611</v>
      </c>
      <c r="B5" s="849"/>
      <c r="C5" s="849"/>
      <c r="D5" s="849"/>
      <c r="E5" s="849"/>
      <c r="F5" s="849"/>
      <c r="G5" s="3814" t="s">
        <v>3375</v>
      </c>
      <c r="H5" s="849"/>
      <c r="I5" s="866"/>
      <c r="J5" s="1508"/>
      <c r="K5"/>
      <c r="L5"/>
      <c r="M5"/>
      <c r="N5"/>
      <c r="O5"/>
      <c r="P5"/>
      <c r="Q5"/>
      <c r="R5"/>
      <c r="S5"/>
    </row>
    <row r="6" spans="1:19" s="282" customFormat="1">
      <c r="A6" s="45"/>
      <c r="B6" s="280"/>
      <c r="C6" s="280"/>
      <c r="D6" s="280"/>
      <c r="E6" s="280"/>
      <c r="F6" s="280"/>
      <c r="G6" s="3815"/>
      <c r="H6" s="280"/>
      <c r="I6" s="281"/>
      <c r="J6"/>
      <c r="K6"/>
      <c r="L6"/>
      <c r="M6"/>
      <c r="N6"/>
      <c r="O6"/>
      <c r="P6"/>
      <c r="Q6"/>
      <c r="R6"/>
      <c r="S6"/>
    </row>
    <row r="7" spans="1:19" s="744" customFormat="1" ht="15.75" customHeight="1">
      <c r="A7" s="656" t="s">
        <v>3612</v>
      </c>
      <c r="B7" s="852"/>
      <c r="C7" s="852"/>
      <c r="D7" s="852"/>
      <c r="E7" s="852"/>
      <c r="F7" s="852"/>
      <c r="G7" s="852"/>
      <c r="H7" s="738"/>
      <c r="I7" s="866"/>
      <c r="J7"/>
      <c r="K7"/>
      <c r="L7"/>
      <c r="M7"/>
      <c r="N7"/>
      <c r="O7"/>
      <c r="P7"/>
      <c r="Q7"/>
      <c r="R7"/>
      <c r="S7"/>
    </row>
    <row r="8" spans="1:19" s="282" customFormat="1">
      <c r="A8" s="168" t="s">
        <v>990</v>
      </c>
      <c r="B8" s="283"/>
      <c r="C8" s="283"/>
      <c r="D8" s="283"/>
      <c r="E8" s="283"/>
      <c r="F8" s="283"/>
      <c r="G8" s="283"/>
      <c r="H8" s="177"/>
      <c r="I8" s="281"/>
      <c r="J8" s="281"/>
    </row>
    <row r="9" spans="1:19" ht="15.75" customHeight="1">
      <c r="A9" s="230"/>
      <c r="B9" s="230"/>
      <c r="C9" s="230"/>
      <c r="D9" s="230"/>
      <c r="E9" s="230"/>
      <c r="F9" s="230"/>
      <c r="G9" s="252" t="s">
        <v>254</v>
      </c>
    </row>
    <row r="10" spans="1:19" ht="15.75" customHeight="1">
      <c r="A10" s="4192" t="s">
        <v>1070</v>
      </c>
      <c r="B10" s="4192" t="s">
        <v>1071</v>
      </c>
      <c r="C10" s="4192" t="s">
        <v>3613</v>
      </c>
      <c r="D10" s="4192" t="s">
        <v>3614</v>
      </c>
      <c r="E10" s="4192" t="s">
        <v>20</v>
      </c>
      <c r="F10" s="4193" t="s">
        <v>255</v>
      </c>
      <c r="G10" s="4194"/>
    </row>
    <row r="11" spans="1:19" s="227" customFormat="1">
      <c r="A11" s="4192"/>
      <c r="B11" s="4192"/>
      <c r="C11" s="4192"/>
      <c r="D11" s="4192"/>
      <c r="E11" s="4192"/>
      <c r="F11" s="229" t="s">
        <v>7</v>
      </c>
      <c r="G11" s="229" t="s">
        <v>8</v>
      </c>
    </row>
    <row r="12" spans="1:19" ht="30" customHeight="1">
      <c r="A12" s="234"/>
      <c r="B12" s="234" t="s">
        <v>3615</v>
      </c>
      <c r="C12" s="229">
        <f>SUM(C13:C24)</f>
        <v>686.40000000000009</v>
      </c>
      <c r="D12" s="229"/>
      <c r="E12" s="537">
        <f>SUM(E13:E24)</f>
        <v>995280</v>
      </c>
      <c r="F12" s="537">
        <f>SUM(F13:F24)</f>
        <v>0</v>
      </c>
      <c r="G12" s="537">
        <f>SUM(G13:G24)</f>
        <v>995280</v>
      </c>
    </row>
    <row r="13" spans="1:19">
      <c r="A13" s="756">
        <v>1</v>
      </c>
      <c r="B13" s="257" t="s">
        <v>3514</v>
      </c>
      <c r="C13" s="756">
        <v>57.2</v>
      </c>
      <c r="D13" s="757">
        <v>1450</v>
      </c>
      <c r="E13" s="215">
        <f>C13*D13</f>
        <v>82940</v>
      </c>
      <c r="F13" s="215">
        <f>E13-G13</f>
        <v>0</v>
      </c>
      <c r="G13" s="215">
        <f>E13</f>
        <v>82940</v>
      </c>
    </row>
    <row r="14" spans="1:19">
      <c r="A14" s="214">
        <f>A13+1</f>
        <v>2</v>
      </c>
      <c r="B14" s="257" t="s">
        <v>3516</v>
      </c>
      <c r="C14" s="756">
        <v>57.2</v>
      </c>
      <c r="D14" s="757">
        <v>1450</v>
      </c>
      <c r="E14" s="215">
        <f t="shared" ref="E14:E24" si="0">C14*D14</f>
        <v>82940</v>
      </c>
      <c r="F14" s="215">
        <f t="shared" ref="F14:F24" si="1">E14-G14</f>
        <v>0</v>
      </c>
      <c r="G14" s="215">
        <f t="shared" ref="G14:G24" si="2">E14</f>
        <v>82940</v>
      </c>
    </row>
    <row r="15" spans="1:19">
      <c r="A15" s="214">
        <f t="shared" ref="A15:A24" si="3">A14+1</f>
        <v>3</v>
      </c>
      <c r="B15" s="257" t="s">
        <v>3389</v>
      </c>
      <c r="C15" s="756">
        <v>57.2</v>
      </c>
      <c r="D15" s="757">
        <v>1450</v>
      </c>
      <c r="E15" s="215">
        <f t="shared" si="0"/>
        <v>82940</v>
      </c>
      <c r="F15" s="215">
        <f t="shared" si="1"/>
        <v>0</v>
      </c>
      <c r="G15" s="215">
        <f t="shared" si="2"/>
        <v>82940</v>
      </c>
    </row>
    <row r="16" spans="1:19">
      <c r="A16" s="214">
        <f t="shared" si="3"/>
        <v>4</v>
      </c>
      <c r="B16" s="257" t="s">
        <v>3521</v>
      </c>
      <c r="C16" s="756">
        <v>57.2</v>
      </c>
      <c r="D16" s="757">
        <v>1450</v>
      </c>
      <c r="E16" s="215">
        <f t="shared" si="0"/>
        <v>82940</v>
      </c>
      <c r="F16" s="215">
        <f t="shared" si="1"/>
        <v>0</v>
      </c>
      <c r="G16" s="215">
        <f t="shared" si="2"/>
        <v>82940</v>
      </c>
    </row>
    <row r="17" spans="1:9">
      <c r="A17" s="214">
        <f t="shared" si="3"/>
        <v>5</v>
      </c>
      <c r="B17" s="257" t="s">
        <v>3391</v>
      </c>
      <c r="C17" s="756">
        <v>57.2</v>
      </c>
      <c r="D17" s="757">
        <v>1450</v>
      </c>
      <c r="E17" s="215">
        <f t="shared" si="0"/>
        <v>82940</v>
      </c>
      <c r="F17" s="215">
        <f t="shared" si="1"/>
        <v>0</v>
      </c>
      <c r="G17" s="215">
        <f t="shared" si="2"/>
        <v>82940</v>
      </c>
    </row>
    <row r="18" spans="1:9">
      <c r="A18" s="214">
        <f t="shared" si="3"/>
        <v>6</v>
      </c>
      <c r="B18" s="257" t="s">
        <v>3392</v>
      </c>
      <c r="C18" s="756">
        <v>57.2</v>
      </c>
      <c r="D18" s="757">
        <v>1450</v>
      </c>
      <c r="E18" s="215">
        <f t="shared" si="0"/>
        <v>82940</v>
      </c>
      <c r="F18" s="215">
        <f t="shared" si="1"/>
        <v>0</v>
      </c>
      <c r="G18" s="215">
        <f t="shared" si="2"/>
        <v>82940</v>
      </c>
    </row>
    <row r="19" spans="1:9">
      <c r="A19" s="214">
        <f t="shared" si="3"/>
        <v>7</v>
      </c>
      <c r="B19" s="257" t="s">
        <v>3393</v>
      </c>
      <c r="C19" s="756">
        <v>57.2</v>
      </c>
      <c r="D19" s="757">
        <v>1450</v>
      </c>
      <c r="E19" s="215">
        <f t="shared" si="0"/>
        <v>82940</v>
      </c>
      <c r="F19" s="215">
        <f t="shared" si="1"/>
        <v>0</v>
      </c>
      <c r="G19" s="215">
        <f t="shared" si="2"/>
        <v>82940</v>
      </c>
    </row>
    <row r="20" spans="1:9">
      <c r="A20" s="214">
        <f t="shared" si="3"/>
        <v>8</v>
      </c>
      <c r="B20" s="257" t="s">
        <v>3526</v>
      </c>
      <c r="C20" s="756">
        <v>57.2</v>
      </c>
      <c r="D20" s="757">
        <v>1450</v>
      </c>
      <c r="E20" s="215">
        <f t="shared" si="0"/>
        <v>82940</v>
      </c>
      <c r="F20" s="215">
        <f t="shared" si="1"/>
        <v>0</v>
      </c>
      <c r="G20" s="215">
        <f t="shared" si="2"/>
        <v>82940</v>
      </c>
    </row>
    <row r="21" spans="1:9">
      <c r="A21" s="214">
        <f t="shared" si="3"/>
        <v>9</v>
      </c>
      <c r="B21" s="257" t="s">
        <v>3528</v>
      </c>
      <c r="C21" s="756">
        <v>57.2</v>
      </c>
      <c r="D21" s="757">
        <v>1450</v>
      </c>
      <c r="E21" s="215">
        <f t="shared" si="0"/>
        <v>82940</v>
      </c>
      <c r="F21" s="215">
        <f t="shared" si="1"/>
        <v>0</v>
      </c>
      <c r="G21" s="215">
        <f t="shared" si="2"/>
        <v>82940</v>
      </c>
    </row>
    <row r="22" spans="1:9">
      <c r="A22" s="214">
        <f t="shared" si="3"/>
        <v>10</v>
      </c>
      <c r="B22" s="257" t="s">
        <v>3530</v>
      </c>
      <c r="C22" s="756">
        <v>57.2</v>
      </c>
      <c r="D22" s="757">
        <v>1450</v>
      </c>
      <c r="E22" s="215">
        <f t="shared" si="0"/>
        <v>82940</v>
      </c>
      <c r="F22" s="215">
        <f t="shared" si="1"/>
        <v>0</v>
      </c>
      <c r="G22" s="215">
        <f t="shared" si="2"/>
        <v>82940</v>
      </c>
    </row>
    <row r="23" spans="1:9">
      <c r="A23" s="214">
        <f t="shared" si="3"/>
        <v>11</v>
      </c>
      <c r="B23" s="257" t="s">
        <v>3532</v>
      </c>
      <c r="C23" s="756">
        <v>57.2</v>
      </c>
      <c r="D23" s="757">
        <v>1450</v>
      </c>
      <c r="E23" s="215">
        <f t="shared" si="0"/>
        <v>82940</v>
      </c>
      <c r="F23" s="215">
        <f t="shared" si="1"/>
        <v>0</v>
      </c>
      <c r="G23" s="215">
        <f t="shared" si="2"/>
        <v>82940</v>
      </c>
    </row>
    <row r="24" spans="1:9">
      <c r="A24" s="214">
        <f t="shared" si="3"/>
        <v>12</v>
      </c>
      <c r="B24" s="257" t="s">
        <v>3534</v>
      </c>
      <c r="C24" s="756">
        <v>57.2</v>
      </c>
      <c r="D24" s="757">
        <v>1450</v>
      </c>
      <c r="E24" s="215">
        <f t="shared" si="0"/>
        <v>82940</v>
      </c>
      <c r="F24" s="215">
        <f t="shared" si="1"/>
        <v>0</v>
      </c>
      <c r="G24" s="215">
        <f t="shared" si="2"/>
        <v>82940</v>
      </c>
    </row>
    <row r="25" spans="1:9">
      <c r="A25" s="1573"/>
      <c r="B25" s="186"/>
      <c r="C25" s="1574"/>
      <c r="D25" s="1575"/>
      <c r="E25" s="1576"/>
      <c r="F25" s="1576"/>
      <c r="G25" s="1576"/>
    </row>
    <row r="26" spans="1:9">
      <c r="B26" s="1572" t="s">
        <v>3616</v>
      </c>
      <c r="C26" s="1571" t="s">
        <v>3617</v>
      </c>
    </row>
    <row r="27" spans="1:9">
      <c r="B27" s="300" t="s">
        <v>329</v>
      </c>
      <c r="C27" s="301"/>
      <c r="E27" s="716"/>
      <c r="F27" s="1514" t="s">
        <v>448</v>
      </c>
      <c r="G27" s="865"/>
      <c r="H27" s="302"/>
      <c r="I27" s="235"/>
    </row>
    <row r="28" spans="1:9">
      <c r="B28" s="300"/>
      <c r="C28" s="301"/>
      <c r="E28" s="718"/>
      <c r="F28" s="1514"/>
      <c r="G28" s="865"/>
      <c r="H28" s="304"/>
      <c r="I28" s="235"/>
    </row>
    <row r="29" spans="1:9">
      <c r="B29" s="345" t="s">
        <v>330</v>
      </c>
      <c r="C29" s="301"/>
      <c r="E29" s="844"/>
      <c r="G29" s="865"/>
      <c r="H29" s="305"/>
      <c r="I29" s="235"/>
    </row>
    <row r="30" spans="1:9">
      <c r="B30" s="345" t="s">
        <v>332</v>
      </c>
      <c r="C30" s="301"/>
      <c r="E30" s="716"/>
      <c r="F30" s="1514" t="s">
        <v>369</v>
      </c>
      <c r="G30" s="865"/>
      <c r="H30" s="302"/>
      <c r="I30" s="168"/>
    </row>
    <row r="31" spans="1:9">
      <c r="B31" s="346"/>
      <c r="C31" s="301"/>
      <c r="E31" s="716"/>
      <c r="F31" s="865"/>
      <c r="G31" s="865"/>
      <c r="H31" s="302"/>
      <c r="I31" s="168"/>
    </row>
    <row r="32" spans="1:9">
      <c r="B32" s="1512" t="s">
        <v>547</v>
      </c>
      <c r="C32" s="1510"/>
      <c r="D32" s="1511"/>
      <c r="E32" s="1493"/>
      <c r="F32" s="1513" t="s">
        <v>374</v>
      </c>
      <c r="G32" s="865"/>
      <c r="H32" s="302"/>
      <c r="I32" s="171"/>
    </row>
    <row r="33" spans="2:6">
      <c r="B33" s="1512" t="s">
        <v>3451</v>
      </c>
      <c r="C33" s="1510"/>
      <c r="D33" s="1511"/>
      <c r="E33" s="1509"/>
      <c r="F33" s="1500"/>
    </row>
    <row r="35" spans="2:6">
      <c r="B35" s="228" t="s">
        <v>375</v>
      </c>
      <c r="C35" s="228"/>
      <c r="D35" s="1273"/>
      <c r="E35" s="228"/>
      <c r="F35" s="228" t="s">
        <v>377</v>
      </c>
    </row>
  </sheetData>
  <mergeCells count="6">
    <mergeCell ref="E10:E11"/>
    <mergeCell ref="F10:G10"/>
    <mergeCell ref="A10:A11"/>
    <mergeCell ref="B10:B11"/>
    <mergeCell ref="C10:C11"/>
    <mergeCell ref="D10:D11"/>
  </mergeCells>
  <pageMargins left="0" right="0" top="0" bottom="0" header="0" footer="0"/>
  <pageSetup paperSize="9" fitToHeight="0" orientation="landscape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Лист16">
    <tabColor rgb="FF7030A0"/>
    <pageSetUpPr fitToPage="1"/>
  </sheetPr>
  <dimension ref="A1:M33"/>
  <sheetViews>
    <sheetView workbookViewId="0">
      <selection activeCell="O18" sqref="O18"/>
    </sheetView>
  </sheetViews>
  <sheetFormatPr defaultColWidth="9.140625" defaultRowHeight="15.75"/>
  <cols>
    <col min="1" max="1" width="4.85546875" style="183" customWidth="1"/>
    <col min="2" max="2" width="31.28515625" style="183" customWidth="1"/>
    <col min="3" max="7" width="11.7109375" style="183" customWidth="1"/>
    <col min="8" max="9" width="12.85546875" style="183" customWidth="1"/>
    <col min="10" max="10" width="13.5703125" style="183" customWidth="1"/>
    <col min="11" max="12" width="13.28515625" style="183" customWidth="1"/>
    <col min="13" max="16384" width="9.140625" style="183"/>
  </cols>
  <sheetData>
    <row r="1" spans="1:12">
      <c r="K1" s="169" t="s">
        <v>267</v>
      </c>
      <c r="L1" s="671" t="s">
        <v>611</v>
      </c>
    </row>
    <row r="2" spans="1:12" s="710" customFormat="1">
      <c r="A2" s="695" t="s">
        <v>3618</v>
      </c>
      <c r="B2" s="849"/>
      <c r="C2" s="849"/>
      <c r="D2" s="849"/>
      <c r="E2" s="849"/>
      <c r="F2" s="849"/>
      <c r="G2" s="849"/>
    </row>
    <row r="3" spans="1:12">
      <c r="A3" s="45"/>
      <c r="B3" s="280"/>
      <c r="C3" s="280"/>
      <c r="D3" s="280"/>
      <c r="E3" s="280"/>
      <c r="F3" s="280"/>
      <c r="G3" s="280"/>
    </row>
    <row r="4" spans="1:12" s="710" customFormat="1" ht="15.75" customHeight="1">
      <c r="A4" s="656" t="s">
        <v>3401</v>
      </c>
      <c r="B4" s="852"/>
      <c r="C4" s="852"/>
      <c r="D4" s="852"/>
      <c r="E4" s="852"/>
      <c r="F4" s="852"/>
      <c r="G4" s="852"/>
    </row>
    <row r="5" spans="1:12">
      <c r="A5" s="168" t="s">
        <v>990</v>
      </c>
      <c r="B5" s="283"/>
      <c r="C5" s="283"/>
      <c r="D5" s="283"/>
      <c r="E5" s="283"/>
      <c r="F5" s="283"/>
      <c r="G5" s="283"/>
    </row>
    <row r="6" spans="1:12" ht="15.75" customHeight="1">
      <c r="A6" s="306"/>
      <c r="B6" s="306"/>
      <c r="C6" s="306"/>
      <c r="D6" s="306"/>
      <c r="E6" s="306"/>
      <c r="F6" s="306"/>
      <c r="G6" s="306"/>
      <c r="H6" s="306"/>
      <c r="I6" s="306"/>
      <c r="J6" s="168"/>
      <c r="K6" s="171"/>
      <c r="L6" s="307" t="s">
        <v>254</v>
      </c>
    </row>
    <row r="7" spans="1:12" ht="24.75" customHeight="1">
      <c r="A7" s="4192" t="s">
        <v>2</v>
      </c>
      <c r="B7" s="4192" t="s">
        <v>1071</v>
      </c>
      <c r="C7" s="4200" t="s">
        <v>3619</v>
      </c>
      <c r="D7" s="4195" t="s">
        <v>255</v>
      </c>
      <c r="E7" s="4195"/>
      <c r="F7" s="4198" t="s">
        <v>3620</v>
      </c>
      <c r="G7" s="4196" t="s">
        <v>3621</v>
      </c>
      <c r="H7" s="4192" t="s">
        <v>3622</v>
      </c>
      <c r="I7" s="4192" t="s">
        <v>3623</v>
      </c>
      <c r="J7" s="4192" t="s">
        <v>3624</v>
      </c>
      <c r="K7" s="4195" t="s">
        <v>255</v>
      </c>
      <c r="L7" s="4195"/>
    </row>
    <row r="8" spans="1:12" ht="26.25" customHeight="1">
      <c r="A8" s="4192"/>
      <c r="B8" s="4192"/>
      <c r="C8" s="4200"/>
      <c r="D8" s="239" t="s">
        <v>7</v>
      </c>
      <c r="E8" s="239" t="s">
        <v>8</v>
      </c>
      <c r="F8" s="4199"/>
      <c r="G8" s="4197"/>
      <c r="H8" s="4192"/>
      <c r="I8" s="4192"/>
      <c r="J8" s="4192"/>
      <c r="K8" s="239" t="s">
        <v>7</v>
      </c>
      <c r="L8" s="239" t="s">
        <v>8</v>
      </c>
    </row>
    <row r="9" spans="1:12" s="308" customFormat="1">
      <c r="A9" s="240"/>
      <c r="B9" s="241" t="s">
        <v>20</v>
      </c>
      <c r="C9" s="615">
        <f>C10+C11+C16+C24+C25+C26</f>
        <v>0</v>
      </c>
      <c r="D9" s="615">
        <f>D10+D11+D16+D24+D25+D26</f>
        <v>0</v>
      </c>
      <c r="E9" s="615">
        <f>E10+E11+E16+E24+E25+E26</f>
        <v>0</v>
      </c>
      <c r="F9" s="244"/>
      <c r="G9" s="244"/>
      <c r="H9" s="616">
        <f>H10+H11+H16+H24+H25+H26</f>
        <v>0</v>
      </c>
      <c r="I9" s="240"/>
      <c r="J9" s="616">
        <f>J10+J11+J16+J24+J25+J26</f>
        <v>0</v>
      </c>
      <c r="K9" s="616">
        <f>K10+K11+K16+K24+K25+K26</f>
        <v>0</v>
      </c>
      <c r="L9" s="444">
        <f>L10+L11+L16+L24+L25+L26</f>
        <v>0</v>
      </c>
    </row>
    <row r="10" spans="1:12">
      <c r="A10" s="214">
        <v>1</v>
      </c>
      <c r="B10" s="245" t="s">
        <v>3625</v>
      </c>
      <c r="C10" s="243">
        <f>E10+D10</f>
        <v>0</v>
      </c>
      <c r="D10" s="861"/>
      <c r="E10" s="861"/>
      <c r="F10" s="243" t="s">
        <v>3383</v>
      </c>
      <c r="G10" s="861"/>
      <c r="H10" s="242">
        <f>C10*G10</f>
        <v>0</v>
      </c>
      <c r="I10" s="721"/>
      <c r="J10" s="243">
        <f>K10+L10</f>
        <v>0</v>
      </c>
      <c r="K10" s="242">
        <f>D10*G10*I10</f>
        <v>0</v>
      </c>
      <c r="L10" s="242">
        <f>E10*G10*I10</f>
        <v>0</v>
      </c>
    </row>
    <row r="11" spans="1:12">
      <c r="A11" s="214">
        <v>2</v>
      </c>
      <c r="B11" s="245" t="s">
        <v>3626</v>
      </c>
      <c r="C11" s="243">
        <f t="shared" ref="C11:C26" si="0">E11+D11</f>
        <v>0</v>
      </c>
      <c r="D11" s="243">
        <f>D13+D14+D15</f>
        <v>0</v>
      </c>
      <c r="E11" s="243">
        <f>E13+E14+E15</f>
        <v>0</v>
      </c>
      <c r="F11" s="243" t="s">
        <v>3383</v>
      </c>
      <c r="G11" s="243" t="s">
        <v>3383</v>
      </c>
      <c r="H11" s="243">
        <f>H13+H14+H15</f>
        <v>0</v>
      </c>
      <c r="I11" s="721"/>
      <c r="J11" s="243">
        <f>J13+J14+J15</f>
        <v>0</v>
      </c>
      <c r="K11" s="243">
        <f>K13+K14+K15</f>
        <v>0</v>
      </c>
      <c r="L11" s="243">
        <f>L13+L14+L15</f>
        <v>0</v>
      </c>
    </row>
    <row r="12" spans="1:12" ht="17.25" customHeight="1">
      <c r="A12" s="214"/>
      <c r="B12" s="245" t="s">
        <v>255</v>
      </c>
      <c r="C12" s="243"/>
      <c r="D12" s="862"/>
      <c r="E12" s="862"/>
      <c r="F12" s="862"/>
      <c r="G12" s="243" t="s">
        <v>3383</v>
      </c>
      <c r="H12" s="242"/>
      <c r="I12" s="721"/>
      <c r="J12" s="246"/>
      <c r="K12" s="216"/>
      <c r="L12" s="216"/>
    </row>
    <row r="13" spans="1:12" ht="19.5" customHeight="1">
      <c r="A13" s="214"/>
      <c r="B13" s="245" t="s">
        <v>3627</v>
      </c>
      <c r="C13" s="243">
        <f t="shared" si="0"/>
        <v>0</v>
      </c>
      <c r="D13" s="862"/>
      <c r="E13" s="862"/>
      <c r="F13" s="862"/>
      <c r="G13" s="243" t="s">
        <v>3383</v>
      </c>
      <c r="H13" s="242">
        <f>C13*F13</f>
        <v>0</v>
      </c>
      <c r="I13" s="721"/>
      <c r="J13" s="243">
        <f>K13+L13</f>
        <v>0</v>
      </c>
      <c r="K13" s="242">
        <f>D13*F13*I13</f>
        <v>0</v>
      </c>
      <c r="L13" s="242">
        <f>E13*F13*I13</f>
        <v>0</v>
      </c>
    </row>
    <row r="14" spans="1:12">
      <c r="A14" s="214"/>
      <c r="B14" s="245" t="s">
        <v>3628</v>
      </c>
      <c r="C14" s="243">
        <f t="shared" si="0"/>
        <v>0</v>
      </c>
      <c r="D14" s="862"/>
      <c r="E14" s="862"/>
      <c r="F14" s="862"/>
      <c r="G14" s="243" t="s">
        <v>3383</v>
      </c>
      <c r="H14" s="242">
        <f>C14*F14</f>
        <v>0</v>
      </c>
      <c r="I14" s="721"/>
      <c r="J14" s="243">
        <f>K14+L14</f>
        <v>0</v>
      </c>
      <c r="K14" s="242">
        <f>D14*F14*I14</f>
        <v>0</v>
      </c>
      <c r="L14" s="242">
        <f>E14*F14*I14</f>
        <v>0</v>
      </c>
    </row>
    <row r="15" spans="1:12">
      <c r="A15" s="214"/>
      <c r="B15" s="245" t="s">
        <v>3629</v>
      </c>
      <c r="C15" s="243">
        <f t="shared" si="0"/>
        <v>0</v>
      </c>
      <c r="D15" s="862"/>
      <c r="E15" s="862"/>
      <c r="F15" s="862"/>
      <c r="G15" s="243" t="s">
        <v>3383</v>
      </c>
      <c r="H15" s="242">
        <f>C15*F15</f>
        <v>0</v>
      </c>
      <c r="I15" s="721"/>
      <c r="J15" s="243">
        <f>K15+L15</f>
        <v>0</v>
      </c>
      <c r="K15" s="242">
        <f>D15*F15*I15</f>
        <v>0</v>
      </c>
      <c r="L15" s="242">
        <f>E15*F15*I15</f>
        <v>0</v>
      </c>
    </row>
    <row r="16" spans="1:12">
      <c r="A16" s="214">
        <v>2</v>
      </c>
      <c r="B16" s="245" t="s">
        <v>3630</v>
      </c>
      <c r="C16" s="243">
        <f t="shared" si="0"/>
        <v>0</v>
      </c>
      <c r="D16" s="243">
        <f>D18+D19+D20+D21+D22+D23</f>
        <v>0</v>
      </c>
      <c r="E16" s="243">
        <f>E18+E19+E20+E21+E22+E23</f>
        <v>0</v>
      </c>
      <c r="F16" s="243" t="s">
        <v>3383</v>
      </c>
      <c r="G16" s="243" t="s">
        <v>3383</v>
      </c>
      <c r="H16" s="243">
        <f>H18+H19+H20+H21+H22+H23</f>
        <v>0</v>
      </c>
      <c r="I16" s="721"/>
      <c r="J16" s="243">
        <f>J18+J19+J20+J21+J22+J23</f>
        <v>0</v>
      </c>
      <c r="K16" s="243">
        <f>K18+K19+K20+K21+K22+K23</f>
        <v>0</v>
      </c>
      <c r="L16" s="243">
        <f>L18+L19+L20+L21+L22+L23</f>
        <v>0</v>
      </c>
    </row>
    <row r="17" spans="1:13" ht="17.25" customHeight="1">
      <c r="A17" s="214"/>
      <c r="B17" s="245" t="s">
        <v>255</v>
      </c>
      <c r="C17" s="243"/>
      <c r="D17" s="862"/>
      <c r="E17" s="862"/>
      <c r="F17" s="862"/>
      <c r="G17" s="243" t="s">
        <v>3383</v>
      </c>
      <c r="H17" s="242"/>
      <c r="I17" s="721"/>
      <c r="J17" s="246"/>
      <c r="K17" s="216"/>
      <c r="L17" s="216"/>
    </row>
    <row r="18" spans="1:13" ht="19.5" customHeight="1">
      <c r="A18" s="214"/>
      <c r="B18" s="245" t="s">
        <v>3627</v>
      </c>
      <c r="C18" s="243">
        <f t="shared" si="0"/>
        <v>0</v>
      </c>
      <c r="D18" s="862"/>
      <c r="E18" s="862"/>
      <c r="F18" s="862"/>
      <c r="G18" s="243" t="s">
        <v>3383</v>
      </c>
      <c r="H18" s="242">
        <f t="shared" ref="H18:H23" si="1">C18*F18</f>
        <v>0</v>
      </c>
      <c r="I18" s="721"/>
      <c r="J18" s="243">
        <f>K18+L18</f>
        <v>0</v>
      </c>
      <c r="K18" s="242">
        <f>D18*F18</f>
        <v>0</v>
      </c>
      <c r="L18" s="242">
        <f t="shared" ref="L18:L23" si="2">E18*F18*I18</f>
        <v>0</v>
      </c>
    </row>
    <row r="19" spans="1:13">
      <c r="A19" s="214"/>
      <c r="B19" s="245" t="s">
        <v>3628</v>
      </c>
      <c r="C19" s="243">
        <f t="shared" si="0"/>
        <v>0</v>
      </c>
      <c r="D19" s="862"/>
      <c r="E19" s="862"/>
      <c r="F19" s="862"/>
      <c r="G19" s="243" t="s">
        <v>3383</v>
      </c>
      <c r="H19" s="242">
        <f t="shared" si="1"/>
        <v>0</v>
      </c>
      <c r="I19" s="721"/>
      <c r="J19" s="243">
        <f t="shared" ref="J19:J26" si="3">K19+L19</f>
        <v>0</v>
      </c>
      <c r="K19" s="242">
        <f>D19*F19*I19</f>
        <v>0</v>
      </c>
      <c r="L19" s="242">
        <f t="shared" si="2"/>
        <v>0</v>
      </c>
    </row>
    <row r="20" spans="1:13">
      <c r="A20" s="214"/>
      <c r="B20" s="245" t="s">
        <v>3629</v>
      </c>
      <c r="C20" s="243">
        <f t="shared" si="0"/>
        <v>0</v>
      </c>
      <c r="D20" s="862"/>
      <c r="E20" s="862"/>
      <c r="F20" s="862"/>
      <c r="G20" s="243" t="s">
        <v>3383</v>
      </c>
      <c r="H20" s="242">
        <f t="shared" si="1"/>
        <v>0</v>
      </c>
      <c r="I20" s="721"/>
      <c r="J20" s="243">
        <f t="shared" si="3"/>
        <v>0</v>
      </c>
      <c r="K20" s="242">
        <f>D20*F20*I20</f>
        <v>0</v>
      </c>
      <c r="L20" s="242">
        <f t="shared" si="2"/>
        <v>0</v>
      </c>
    </row>
    <row r="21" spans="1:13" ht="33.75" customHeight="1">
      <c r="A21" s="214"/>
      <c r="B21" s="245" t="s">
        <v>3631</v>
      </c>
      <c r="C21" s="243">
        <f t="shared" si="0"/>
        <v>0</v>
      </c>
      <c r="D21" s="862"/>
      <c r="E21" s="862"/>
      <c r="F21" s="862"/>
      <c r="G21" s="243" t="s">
        <v>3383</v>
      </c>
      <c r="H21" s="242">
        <f t="shared" si="1"/>
        <v>0</v>
      </c>
      <c r="I21" s="721"/>
      <c r="J21" s="243">
        <f t="shared" si="3"/>
        <v>0</v>
      </c>
      <c r="K21" s="242">
        <f>D21*F21*I21</f>
        <v>0</v>
      </c>
      <c r="L21" s="242">
        <f t="shared" si="2"/>
        <v>0</v>
      </c>
    </row>
    <row r="22" spans="1:13" ht="33.75" customHeight="1">
      <c r="A22" s="214"/>
      <c r="B22" s="245" t="s">
        <v>3632</v>
      </c>
      <c r="C22" s="243">
        <f t="shared" si="0"/>
        <v>0</v>
      </c>
      <c r="D22" s="862"/>
      <c r="E22" s="862"/>
      <c r="F22" s="862"/>
      <c r="G22" s="243" t="s">
        <v>3383</v>
      </c>
      <c r="H22" s="242">
        <f t="shared" si="1"/>
        <v>0</v>
      </c>
      <c r="I22" s="721"/>
      <c r="J22" s="243">
        <f t="shared" si="3"/>
        <v>0</v>
      </c>
      <c r="K22" s="242">
        <f>D22*F22*I22</f>
        <v>0</v>
      </c>
      <c r="L22" s="242">
        <f t="shared" si="2"/>
        <v>0</v>
      </c>
    </row>
    <row r="23" spans="1:13">
      <c r="A23" s="214"/>
      <c r="B23" s="245" t="s">
        <v>3633</v>
      </c>
      <c r="C23" s="243">
        <f t="shared" si="0"/>
        <v>0</v>
      </c>
      <c r="D23" s="862"/>
      <c r="E23" s="862"/>
      <c r="F23" s="862"/>
      <c r="G23" s="862"/>
      <c r="H23" s="242">
        <f t="shared" si="1"/>
        <v>0</v>
      </c>
      <c r="I23" s="721"/>
      <c r="J23" s="243">
        <f t="shared" si="3"/>
        <v>0</v>
      </c>
      <c r="K23" s="242">
        <f>D23*F23*I23</f>
        <v>0</v>
      </c>
      <c r="L23" s="242">
        <f t="shared" si="2"/>
        <v>0</v>
      </c>
    </row>
    <row r="24" spans="1:13">
      <c r="A24" s="214">
        <v>3</v>
      </c>
      <c r="B24" s="245" t="s">
        <v>3634</v>
      </c>
      <c r="C24" s="243">
        <f t="shared" si="0"/>
        <v>0</v>
      </c>
      <c r="D24" s="863"/>
      <c r="E24" s="863"/>
      <c r="F24" s="247" t="s">
        <v>3383</v>
      </c>
      <c r="G24" s="862"/>
      <c r="H24" s="253">
        <f>C24*G24</f>
        <v>0</v>
      </c>
      <c r="I24" s="860"/>
      <c r="J24" s="243">
        <f t="shared" si="3"/>
        <v>0</v>
      </c>
      <c r="K24" s="242">
        <f>D24*G24*I24</f>
        <v>0</v>
      </c>
      <c r="L24" s="242">
        <f>E24*G24*I24</f>
        <v>0</v>
      </c>
    </row>
    <row r="25" spans="1:13">
      <c r="A25" s="214">
        <v>4</v>
      </c>
      <c r="B25" s="245" t="s">
        <v>3635</v>
      </c>
      <c r="C25" s="243">
        <f t="shared" si="0"/>
        <v>0</v>
      </c>
      <c r="D25" s="862"/>
      <c r="E25" s="862"/>
      <c r="F25" s="247" t="s">
        <v>3383</v>
      </c>
      <c r="G25" s="862"/>
      <c r="H25" s="253">
        <f>C25*G25</f>
        <v>0</v>
      </c>
      <c r="I25" s="860"/>
      <c r="J25" s="243">
        <f t="shared" si="3"/>
        <v>0</v>
      </c>
      <c r="K25" s="242">
        <f>D25*G25*I25</f>
        <v>0</v>
      </c>
      <c r="L25" s="242">
        <f>E25*G25*I25</f>
        <v>0</v>
      </c>
    </row>
    <row r="26" spans="1:13">
      <c r="A26" s="214">
        <v>5</v>
      </c>
      <c r="B26" s="245" t="s">
        <v>620</v>
      </c>
      <c r="C26" s="243">
        <f t="shared" si="0"/>
        <v>0</v>
      </c>
      <c r="D26" s="862"/>
      <c r="E26" s="862"/>
      <c r="F26" s="247" t="s">
        <v>3383</v>
      </c>
      <c r="G26" s="862"/>
      <c r="H26" s="253">
        <f>C26*G26</f>
        <v>0</v>
      </c>
      <c r="I26" s="721"/>
      <c r="J26" s="243">
        <f t="shared" si="3"/>
        <v>0</v>
      </c>
      <c r="K26" s="242">
        <f>D26*G26*I26</f>
        <v>0</v>
      </c>
      <c r="L26" s="242">
        <f>E26*G26*I26</f>
        <v>0</v>
      </c>
    </row>
    <row r="27" spans="1:13">
      <c r="B27" s="168"/>
      <c r="C27" s="168"/>
      <c r="D27" s="168"/>
      <c r="E27" s="168"/>
      <c r="F27" s="168"/>
      <c r="G27" s="168"/>
      <c r="H27" s="168"/>
      <c r="I27" s="168"/>
      <c r="J27" s="169"/>
    </row>
    <row r="28" spans="1:13" ht="15.75" customHeight="1">
      <c r="B28" s="300" t="s">
        <v>329</v>
      </c>
      <c r="C28" s="301"/>
      <c r="D28" s="301"/>
      <c r="E28" s="301"/>
      <c r="F28" s="864"/>
      <c r="G28" s="864"/>
      <c r="H28" s="710"/>
      <c r="I28" s="710"/>
      <c r="J28" s="712"/>
      <c r="K28" s="716"/>
      <c r="L28" s="717"/>
      <c r="M28" s="309"/>
    </row>
    <row r="29" spans="1:13">
      <c r="B29" s="300"/>
      <c r="C29" s="301"/>
      <c r="D29" s="301"/>
      <c r="E29" s="301"/>
      <c r="F29" s="864"/>
      <c r="G29" s="864"/>
      <c r="H29" s="710"/>
      <c r="I29" s="710"/>
      <c r="J29" s="712"/>
      <c r="K29" s="718"/>
      <c r="L29" s="717"/>
      <c r="M29" s="309"/>
    </row>
    <row r="30" spans="1:13" ht="15.75" customHeight="1">
      <c r="B30" s="345" t="s">
        <v>330</v>
      </c>
      <c r="C30" s="301"/>
      <c r="D30" s="301"/>
      <c r="E30" s="301"/>
      <c r="F30" s="864"/>
      <c r="G30" s="864"/>
      <c r="H30" s="710"/>
      <c r="I30" s="710"/>
      <c r="J30" s="712"/>
      <c r="K30" s="844"/>
      <c r="L30" s="717"/>
      <c r="M30" s="248"/>
    </row>
    <row r="31" spans="1:13">
      <c r="B31" s="345" t="s">
        <v>332</v>
      </c>
      <c r="C31" s="301"/>
      <c r="D31" s="301"/>
      <c r="E31" s="301"/>
      <c r="F31" s="864"/>
      <c r="G31" s="864"/>
      <c r="H31" s="710"/>
      <c r="I31" s="710"/>
      <c r="J31" s="712"/>
      <c r="K31" s="716"/>
      <c r="L31" s="717"/>
      <c r="M31" s="248"/>
    </row>
    <row r="32" spans="1:13" ht="15.75" customHeight="1">
      <c r="B32" s="346"/>
      <c r="C32" s="301"/>
      <c r="D32" s="301"/>
      <c r="E32" s="301"/>
      <c r="F32" s="864"/>
      <c r="G32" s="864"/>
      <c r="H32" s="710"/>
      <c r="I32" s="710"/>
      <c r="J32" s="712"/>
      <c r="K32" s="716"/>
      <c r="L32" s="865"/>
    </row>
    <row r="33" spans="2:12">
      <c r="B33" s="345" t="s">
        <v>333</v>
      </c>
      <c r="C33" s="301"/>
      <c r="D33" s="301"/>
      <c r="E33" s="301"/>
      <c r="F33" s="864"/>
      <c r="G33" s="864"/>
      <c r="H33" s="710"/>
      <c r="I33" s="710"/>
      <c r="J33" s="712"/>
      <c r="K33" s="716"/>
      <c r="L33" s="865"/>
    </row>
  </sheetData>
  <sheetProtection password="9690" sheet="1"/>
  <mergeCells count="10">
    <mergeCell ref="D7:E7"/>
    <mergeCell ref="B7:B8"/>
    <mergeCell ref="A7:A8"/>
    <mergeCell ref="K7:L7"/>
    <mergeCell ref="J7:J8"/>
    <mergeCell ref="H7:H8"/>
    <mergeCell ref="G7:G8"/>
    <mergeCell ref="F7:F8"/>
    <mergeCell ref="C7:C8"/>
    <mergeCell ref="I7:I8"/>
  </mergeCells>
  <pageMargins left="0" right="0" top="0" bottom="0" header="0" footer="0"/>
  <pageSetup paperSize="9" scale="90" orientation="landscape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Лист17">
    <tabColor rgb="FF7030A0"/>
    <pageSetUpPr fitToPage="1"/>
  </sheetPr>
  <dimension ref="A1:X49"/>
  <sheetViews>
    <sheetView workbookViewId="0">
      <selection activeCell="A14" sqref="A14"/>
    </sheetView>
  </sheetViews>
  <sheetFormatPr defaultColWidth="9.140625" defaultRowHeight="15.75"/>
  <cols>
    <col min="1" max="1" width="4.5703125" style="429" customWidth="1"/>
    <col min="2" max="2" width="37.28515625" style="429" customWidth="1"/>
    <col min="3" max="3" width="11" style="429" customWidth="1"/>
    <col min="4" max="6" width="10.7109375" style="429" customWidth="1"/>
    <col min="7" max="10" width="9.140625" style="429"/>
    <col min="11" max="11" width="9.140625" style="429" customWidth="1"/>
    <col min="12" max="12" width="10.42578125" style="429" customWidth="1"/>
    <col min="13" max="13" width="9.140625" style="429" customWidth="1"/>
    <col min="14" max="14" width="10.140625" style="429" customWidth="1"/>
    <col min="15" max="15" width="10.42578125" style="429" customWidth="1"/>
    <col min="16" max="16" width="10.85546875" style="429" customWidth="1"/>
    <col min="17" max="18" width="8.7109375" style="429" customWidth="1"/>
    <col min="19" max="20" width="8.140625" style="429" customWidth="1"/>
    <col min="21" max="21" width="9.140625" style="429"/>
    <col min="22" max="22" width="14" style="429" customWidth="1"/>
    <col min="23" max="24" width="11.5703125" style="429" customWidth="1"/>
    <col min="25" max="25" width="9.28515625" style="429" customWidth="1"/>
    <col min="26" max="26" width="11.7109375" style="429" customWidth="1"/>
    <col min="27" max="27" width="12" style="429" customWidth="1"/>
    <col min="28" max="28" width="44.85546875" style="429" customWidth="1"/>
    <col min="29" max="29" width="12.42578125" style="429" customWidth="1"/>
    <col min="30" max="16384" width="9.140625" style="429"/>
  </cols>
  <sheetData>
    <row r="1" spans="1:24">
      <c r="W1" s="691" t="s">
        <v>267</v>
      </c>
      <c r="X1" s="671" t="s">
        <v>3636</v>
      </c>
    </row>
    <row r="2" spans="1:24" s="787" customFormat="1">
      <c r="A2" s="695" t="s">
        <v>3637</v>
      </c>
    </row>
    <row r="3" spans="1:24">
      <c r="A3" s="430"/>
      <c r="B3" s="431"/>
      <c r="C3" s="431"/>
      <c r="D3" s="431"/>
      <c r="E3" s="431"/>
      <c r="F3" s="431"/>
      <c r="G3" s="431"/>
      <c r="H3" s="431"/>
      <c r="I3" s="431"/>
      <c r="J3" s="431"/>
      <c r="K3" s="431"/>
      <c r="L3" s="431"/>
      <c r="M3" s="431"/>
      <c r="N3" s="431"/>
      <c r="O3" s="431"/>
      <c r="P3" s="431"/>
      <c r="Q3" s="431"/>
      <c r="R3" s="431"/>
      <c r="S3" s="431"/>
      <c r="T3" s="431"/>
    </row>
    <row r="4" spans="1:24" s="787" customFormat="1">
      <c r="A4" s="656" t="s">
        <v>3401</v>
      </c>
      <c r="B4" s="788"/>
      <c r="C4" s="788"/>
      <c r="D4" s="788"/>
      <c r="E4" s="788"/>
      <c r="F4" s="788"/>
      <c r="G4" s="788"/>
      <c r="H4" s="788"/>
      <c r="I4" s="788"/>
      <c r="J4" s="788"/>
      <c r="K4" s="788"/>
      <c r="L4" s="788"/>
      <c r="M4" s="788"/>
      <c r="N4" s="788"/>
      <c r="O4" s="788"/>
      <c r="P4" s="788"/>
      <c r="Q4" s="788"/>
      <c r="R4" s="788"/>
      <c r="S4" s="788"/>
      <c r="T4" s="788"/>
    </row>
    <row r="5" spans="1:24">
      <c r="A5" s="168" t="s">
        <v>990</v>
      </c>
      <c r="B5" s="433"/>
      <c r="C5" s="434"/>
      <c r="D5" s="434"/>
      <c r="E5" s="434"/>
      <c r="F5" s="434"/>
      <c r="G5" s="434"/>
      <c r="H5" s="434"/>
      <c r="I5" s="434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</row>
    <row r="6" spans="1:24">
      <c r="A6" s="168"/>
      <c r="B6" s="433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4"/>
      <c r="R6" s="434"/>
      <c r="S6" s="434"/>
      <c r="T6" s="434"/>
    </row>
    <row r="7" spans="1:24">
      <c r="A7" s="431"/>
      <c r="B7" s="431"/>
      <c r="C7" s="432"/>
      <c r="D7" s="432"/>
      <c r="E7" s="432"/>
      <c r="F7" s="432"/>
      <c r="G7" s="432"/>
      <c r="H7" s="432"/>
      <c r="I7" s="432"/>
      <c r="J7" s="432"/>
      <c r="K7" s="432"/>
      <c r="L7" s="432"/>
      <c r="M7" s="432"/>
      <c r="N7" s="432"/>
      <c r="O7" s="432"/>
      <c r="P7" s="432"/>
      <c r="Q7" s="432"/>
      <c r="R7" s="432"/>
      <c r="S7" s="432"/>
      <c r="T7" s="432"/>
    </row>
    <row r="8" spans="1:24">
      <c r="A8" s="432" t="s">
        <v>3638</v>
      </c>
      <c r="B8" s="432"/>
      <c r="C8" s="432"/>
      <c r="D8" s="432"/>
      <c r="E8" s="432"/>
      <c r="F8" s="432"/>
      <c r="G8" s="432"/>
      <c r="H8" s="435"/>
      <c r="I8" s="435"/>
      <c r="J8" s="435"/>
      <c r="K8" s="435"/>
      <c r="L8" s="435"/>
      <c r="M8" s="435"/>
      <c r="N8" s="435"/>
      <c r="O8" s="435"/>
      <c r="P8" s="435"/>
      <c r="Q8" s="435"/>
      <c r="R8" s="435"/>
      <c r="S8" s="435"/>
      <c r="T8" s="435"/>
      <c r="X8" s="747" t="s">
        <v>254</v>
      </c>
    </row>
    <row r="9" spans="1:24" ht="13.5" customHeight="1">
      <c r="A9" s="4202"/>
      <c r="B9" s="4202" t="s">
        <v>3639</v>
      </c>
      <c r="C9" s="4202" t="s">
        <v>3640</v>
      </c>
      <c r="D9" s="4202" t="s">
        <v>3641</v>
      </c>
      <c r="E9" s="4202" t="s">
        <v>3642</v>
      </c>
      <c r="F9" s="4202"/>
      <c r="G9" s="4202"/>
      <c r="H9" s="4202"/>
      <c r="I9" s="4202"/>
      <c r="J9" s="4202"/>
      <c r="K9" s="4202" t="s">
        <v>3643</v>
      </c>
      <c r="L9" s="4202"/>
      <c r="M9" s="4202"/>
      <c r="N9" s="4202"/>
      <c r="O9" s="4202"/>
      <c r="P9" s="4202"/>
      <c r="Q9" s="4202"/>
      <c r="R9" s="4202"/>
      <c r="S9" s="4202"/>
      <c r="T9" s="4202"/>
      <c r="U9" s="4202" t="s">
        <v>3644</v>
      </c>
      <c r="V9" s="4202"/>
      <c r="W9" s="4202" t="s">
        <v>255</v>
      </c>
      <c r="X9" s="4202"/>
    </row>
    <row r="10" spans="1:24" ht="35.25" customHeight="1">
      <c r="A10" s="4202"/>
      <c r="B10" s="4202"/>
      <c r="C10" s="4202"/>
      <c r="D10" s="4202"/>
      <c r="E10" s="4202" t="s">
        <v>3645</v>
      </c>
      <c r="F10" s="4202" t="s">
        <v>3646</v>
      </c>
      <c r="G10" s="4202" t="s">
        <v>3647</v>
      </c>
      <c r="H10" s="4202" t="s">
        <v>1092</v>
      </c>
      <c r="I10" s="4202" t="s">
        <v>255</v>
      </c>
      <c r="J10" s="4202"/>
      <c r="K10" s="4202" t="s">
        <v>3648</v>
      </c>
      <c r="L10" s="4202"/>
      <c r="M10" s="4202" t="s">
        <v>3649</v>
      </c>
      <c r="N10" s="4202"/>
      <c r="O10" s="4202" t="s">
        <v>3650</v>
      </c>
      <c r="P10" s="4202"/>
      <c r="Q10" s="4202" t="s">
        <v>3651</v>
      </c>
      <c r="R10" s="4202"/>
      <c r="S10" s="4202" t="s">
        <v>3652</v>
      </c>
      <c r="T10" s="4202"/>
      <c r="U10" s="4202"/>
      <c r="V10" s="4202"/>
      <c r="W10" s="4208" t="s">
        <v>7</v>
      </c>
      <c r="X10" s="4208" t="s">
        <v>8</v>
      </c>
    </row>
    <row r="11" spans="1:24" ht="31.5">
      <c r="A11" s="4202"/>
      <c r="B11" s="4202"/>
      <c r="C11" s="4202"/>
      <c r="D11" s="436" t="s">
        <v>3653</v>
      </c>
      <c r="E11" s="4202"/>
      <c r="F11" s="4202"/>
      <c r="G11" s="4202"/>
      <c r="H11" s="4202"/>
      <c r="I11" s="436" t="s">
        <v>7</v>
      </c>
      <c r="J11" s="436" t="s">
        <v>8</v>
      </c>
      <c r="K11" s="436" t="s">
        <v>3654</v>
      </c>
      <c r="L11" s="436" t="s">
        <v>3655</v>
      </c>
      <c r="M11" s="436" t="s">
        <v>3654</v>
      </c>
      <c r="N11" s="436" t="s">
        <v>3655</v>
      </c>
      <c r="O11" s="436" t="s">
        <v>3654</v>
      </c>
      <c r="P11" s="436" t="s">
        <v>3655</v>
      </c>
      <c r="Q11" s="436" t="s">
        <v>3654</v>
      </c>
      <c r="R11" s="436" t="s">
        <v>3655</v>
      </c>
      <c r="S11" s="436" t="s">
        <v>3654</v>
      </c>
      <c r="T11" s="436" t="s">
        <v>3655</v>
      </c>
      <c r="U11" s="436" t="s">
        <v>3656</v>
      </c>
      <c r="V11" s="436" t="s">
        <v>2163</v>
      </c>
      <c r="W11" s="4209"/>
      <c r="X11" s="4209"/>
    </row>
    <row r="12" spans="1:24" ht="15" customHeight="1">
      <c r="A12" s="789">
        <v>1</v>
      </c>
      <c r="B12" s="790" t="s">
        <v>526</v>
      </c>
      <c r="C12" s="791"/>
      <c r="D12" s="792"/>
      <c r="E12" s="789"/>
      <c r="F12" s="789"/>
      <c r="G12" s="789"/>
      <c r="H12" s="437">
        <f>I12+J12</f>
        <v>0</v>
      </c>
      <c r="I12" s="789"/>
      <c r="J12" s="789"/>
      <c r="K12" s="789"/>
      <c r="L12" s="437">
        <f>K12*D12*H12*F12</f>
        <v>0</v>
      </c>
      <c r="M12" s="789"/>
      <c r="N12" s="437">
        <f>M12*D12*H12*(F12-G12)</f>
        <v>0</v>
      </c>
      <c r="O12" s="789"/>
      <c r="P12" s="437">
        <f>O12*D12*H12</f>
        <v>0</v>
      </c>
      <c r="Q12" s="789"/>
      <c r="R12" s="437">
        <f>Q12*D12*H12</f>
        <v>0</v>
      </c>
      <c r="S12" s="789"/>
      <c r="T12" s="437">
        <f>S12*D12*H12</f>
        <v>0</v>
      </c>
      <c r="U12" s="437" t="e">
        <f>V12/H12</f>
        <v>#DIV/0!</v>
      </c>
      <c r="V12" s="437">
        <f>L12+N12+P12+R12+T12</f>
        <v>0</v>
      </c>
      <c r="W12" s="438">
        <f>I12*D12*(K12*F12+M12*(F12-G12)+O12+Q12+S12)</f>
        <v>0</v>
      </c>
      <c r="X12" s="438">
        <f>J12*D12*(K12*F12+M12*(F12-G12)+O12+Q12+S12)</f>
        <v>0</v>
      </c>
    </row>
    <row r="13" spans="1:24">
      <c r="A13" s="793">
        <v>2</v>
      </c>
      <c r="B13" s="794" t="s">
        <v>327</v>
      </c>
      <c r="C13" s="791"/>
      <c r="D13" s="792"/>
      <c r="E13" s="789"/>
      <c r="F13" s="789"/>
      <c r="G13" s="789"/>
      <c r="H13" s="437">
        <f>I13+J13</f>
        <v>0</v>
      </c>
      <c r="I13" s="793"/>
      <c r="J13" s="793"/>
      <c r="K13" s="789"/>
      <c r="L13" s="437">
        <f>K13*D13*H13*F13</f>
        <v>0</v>
      </c>
      <c r="M13" s="789"/>
      <c r="N13" s="437">
        <f>M13*D13*H13*(F13-G13)</f>
        <v>0</v>
      </c>
      <c r="O13" s="789"/>
      <c r="P13" s="437">
        <f>O13*D13*H13</f>
        <v>0</v>
      </c>
      <c r="Q13" s="789"/>
      <c r="R13" s="437">
        <f>Q13*D13*H13</f>
        <v>0</v>
      </c>
      <c r="S13" s="789"/>
      <c r="T13" s="437">
        <f>S13*D13*H13</f>
        <v>0</v>
      </c>
      <c r="U13" s="437" t="e">
        <f>V13/H13</f>
        <v>#DIV/0!</v>
      </c>
      <c r="V13" s="437">
        <f>L13+N13+P13+R13+T13</f>
        <v>0</v>
      </c>
      <c r="W13" s="438">
        <f>I13*D13*(K13*F13+M13*(F13-G13)+O13+Q13+S13)</f>
        <v>0</v>
      </c>
      <c r="X13" s="438">
        <f>J13*D13*(K13*F13+M13*(F13-G13)+O13+Q13+S13)</f>
        <v>0</v>
      </c>
    </row>
    <row r="14" spans="1:24">
      <c r="A14" s="789">
        <v>3</v>
      </c>
      <c r="B14" s="794"/>
      <c r="C14" s="791"/>
      <c r="D14" s="792"/>
      <c r="E14" s="789"/>
      <c r="F14" s="789"/>
      <c r="G14" s="789"/>
      <c r="H14" s="437">
        <f t="shared" ref="H14:H20" si="0">I14+J14</f>
        <v>0</v>
      </c>
      <c r="I14" s="793"/>
      <c r="J14" s="793"/>
      <c r="K14" s="789"/>
      <c r="L14" s="437">
        <f t="shared" ref="L14:L20" si="1">K14*D14*H14*F14</f>
        <v>0</v>
      </c>
      <c r="M14" s="789"/>
      <c r="N14" s="437">
        <f t="shared" ref="N14:N20" si="2">M14*D14*H14*(F14-G14)</f>
        <v>0</v>
      </c>
      <c r="O14" s="789"/>
      <c r="P14" s="437">
        <f t="shared" ref="P14:P20" si="3">O14*D14*H14</f>
        <v>0</v>
      </c>
      <c r="Q14" s="789"/>
      <c r="R14" s="437">
        <f t="shared" ref="R14:R20" si="4">Q14*D14*H14</f>
        <v>0</v>
      </c>
      <c r="S14" s="789"/>
      <c r="T14" s="437">
        <f t="shared" ref="T14:T20" si="5">S14*D14*H14</f>
        <v>0</v>
      </c>
      <c r="U14" s="437" t="e">
        <f t="shared" ref="U14:U20" si="6">V14/H14</f>
        <v>#DIV/0!</v>
      </c>
      <c r="V14" s="437">
        <f t="shared" ref="V14:V20" si="7">L14+N14+P14+R14+T14</f>
        <v>0</v>
      </c>
      <c r="W14" s="438">
        <f t="shared" ref="W14:W20" si="8">I14*D14*(K14*F14+M14*(F14-G14)+O14+Q14+S14)</f>
        <v>0</v>
      </c>
      <c r="X14" s="438">
        <f t="shared" ref="X14:X20" si="9">J14*D14*(K14*F14+M14*(F14-G14)+O14+Q14+S14)</f>
        <v>0</v>
      </c>
    </row>
    <row r="15" spans="1:24">
      <c r="A15" s="793">
        <v>4</v>
      </c>
      <c r="B15" s="794"/>
      <c r="C15" s="791"/>
      <c r="D15" s="792"/>
      <c r="E15" s="789"/>
      <c r="F15" s="789"/>
      <c r="G15" s="789"/>
      <c r="H15" s="437">
        <f t="shared" si="0"/>
        <v>0</v>
      </c>
      <c r="I15" s="793"/>
      <c r="J15" s="793"/>
      <c r="K15" s="789"/>
      <c r="L15" s="437">
        <f t="shared" si="1"/>
        <v>0</v>
      </c>
      <c r="M15" s="789"/>
      <c r="N15" s="437">
        <f t="shared" si="2"/>
        <v>0</v>
      </c>
      <c r="O15" s="789"/>
      <c r="P15" s="437">
        <f t="shared" si="3"/>
        <v>0</v>
      </c>
      <c r="Q15" s="789"/>
      <c r="R15" s="437">
        <f t="shared" si="4"/>
        <v>0</v>
      </c>
      <c r="S15" s="789"/>
      <c r="T15" s="437">
        <f t="shared" si="5"/>
        <v>0</v>
      </c>
      <c r="U15" s="437" t="e">
        <f t="shared" si="6"/>
        <v>#DIV/0!</v>
      </c>
      <c r="V15" s="437">
        <f t="shared" si="7"/>
        <v>0</v>
      </c>
      <c r="W15" s="438">
        <f>I15*D15*(K15*F15+M15*(F15-G15)+O15+Q15+S15)</f>
        <v>0</v>
      </c>
      <c r="X15" s="438">
        <f>J15*D15*(K15*F15+M15*(F15-G15)+O15+Q15+S15)</f>
        <v>0</v>
      </c>
    </row>
    <row r="16" spans="1:24">
      <c r="A16" s="789">
        <v>5</v>
      </c>
      <c r="B16" s="794"/>
      <c r="C16" s="791"/>
      <c r="D16" s="792"/>
      <c r="E16" s="789"/>
      <c r="F16" s="789"/>
      <c r="G16" s="789"/>
      <c r="H16" s="437">
        <f t="shared" si="0"/>
        <v>0</v>
      </c>
      <c r="I16" s="793"/>
      <c r="J16" s="793"/>
      <c r="K16" s="789"/>
      <c r="L16" s="437">
        <f t="shared" si="1"/>
        <v>0</v>
      </c>
      <c r="M16" s="789"/>
      <c r="N16" s="437">
        <f t="shared" si="2"/>
        <v>0</v>
      </c>
      <c r="O16" s="789"/>
      <c r="P16" s="437">
        <f t="shared" si="3"/>
        <v>0</v>
      </c>
      <c r="Q16" s="789"/>
      <c r="R16" s="437">
        <f t="shared" si="4"/>
        <v>0</v>
      </c>
      <c r="S16" s="789"/>
      <c r="T16" s="437">
        <f t="shared" si="5"/>
        <v>0</v>
      </c>
      <c r="U16" s="437" t="e">
        <f t="shared" si="6"/>
        <v>#DIV/0!</v>
      </c>
      <c r="V16" s="437">
        <f t="shared" si="7"/>
        <v>0</v>
      </c>
      <c r="W16" s="438">
        <f t="shared" si="8"/>
        <v>0</v>
      </c>
      <c r="X16" s="438">
        <f>J16*D16*(K16*F16+M16*(F16-G16)+O16+Q16+S16)</f>
        <v>0</v>
      </c>
    </row>
    <row r="17" spans="1:24">
      <c r="A17" s="793">
        <v>6</v>
      </c>
      <c r="B17" s="794"/>
      <c r="C17" s="791"/>
      <c r="D17" s="792"/>
      <c r="E17" s="789"/>
      <c r="F17" s="789"/>
      <c r="G17" s="789"/>
      <c r="H17" s="437">
        <f t="shared" si="0"/>
        <v>0</v>
      </c>
      <c r="I17" s="793"/>
      <c r="J17" s="793"/>
      <c r="K17" s="789"/>
      <c r="L17" s="437">
        <f t="shared" si="1"/>
        <v>0</v>
      </c>
      <c r="M17" s="789"/>
      <c r="N17" s="437">
        <f t="shared" si="2"/>
        <v>0</v>
      </c>
      <c r="O17" s="789"/>
      <c r="P17" s="437">
        <f t="shared" si="3"/>
        <v>0</v>
      </c>
      <c r="Q17" s="789"/>
      <c r="R17" s="437">
        <f t="shared" si="4"/>
        <v>0</v>
      </c>
      <c r="S17" s="789"/>
      <c r="T17" s="437">
        <f t="shared" si="5"/>
        <v>0</v>
      </c>
      <c r="U17" s="437" t="e">
        <f t="shared" si="6"/>
        <v>#DIV/0!</v>
      </c>
      <c r="V17" s="437">
        <f t="shared" si="7"/>
        <v>0</v>
      </c>
      <c r="W17" s="438">
        <f t="shared" si="8"/>
        <v>0</v>
      </c>
      <c r="X17" s="438">
        <f t="shared" si="9"/>
        <v>0</v>
      </c>
    </row>
    <row r="18" spans="1:24">
      <c r="A18" s="789">
        <v>7</v>
      </c>
      <c r="B18" s="794"/>
      <c r="C18" s="791"/>
      <c r="D18" s="792"/>
      <c r="E18" s="789"/>
      <c r="F18" s="789"/>
      <c r="G18" s="789"/>
      <c r="H18" s="437">
        <f t="shared" si="0"/>
        <v>0</v>
      </c>
      <c r="I18" s="793"/>
      <c r="J18" s="793"/>
      <c r="K18" s="789"/>
      <c r="L18" s="437">
        <f t="shared" si="1"/>
        <v>0</v>
      </c>
      <c r="M18" s="789"/>
      <c r="N18" s="437">
        <f t="shared" si="2"/>
        <v>0</v>
      </c>
      <c r="O18" s="789"/>
      <c r="P18" s="437">
        <f t="shared" si="3"/>
        <v>0</v>
      </c>
      <c r="Q18" s="789"/>
      <c r="R18" s="437">
        <f t="shared" si="4"/>
        <v>0</v>
      </c>
      <c r="S18" s="789"/>
      <c r="T18" s="437">
        <f t="shared" si="5"/>
        <v>0</v>
      </c>
      <c r="U18" s="437" t="e">
        <f t="shared" si="6"/>
        <v>#DIV/0!</v>
      </c>
      <c r="V18" s="437">
        <f t="shared" si="7"/>
        <v>0</v>
      </c>
      <c r="W18" s="438">
        <f t="shared" si="8"/>
        <v>0</v>
      </c>
      <c r="X18" s="438">
        <f t="shared" si="9"/>
        <v>0</v>
      </c>
    </row>
    <row r="19" spans="1:24">
      <c r="A19" s="793">
        <v>8</v>
      </c>
      <c r="B19" s="794"/>
      <c r="C19" s="791"/>
      <c r="D19" s="792"/>
      <c r="E19" s="789"/>
      <c r="F19" s="789"/>
      <c r="G19" s="789"/>
      <c r="H19" s="437">
        <f t="shared" si="0"/>
        <v>0</v>
      </c>
      <c r="I19" s="793"/>
      <c r="J19" s="793"/>
      <c r="K19" s="789"/>
      <c r="L19" s="437">
        <f t="shared" si="1"/>
        <v>0</v>
      </c>
      <c r="M19" s="789"/>
      <c r="N19" s="437">
        <f t="shared" si="2"/>
        <v>0</v>
      </c>
      <c r="O19" s="789"/>
      <c r="P19" s="437">
        <f t="shared" si="3"/>
        <v>0</v>
      </c>
      <c r="Q19" s="789"/>
      <c r="R19" s="437">
        <f t="shared" si="4"/>
        <v>0</v>
      </c>
      <c r="S19" s="789"/>
      <c r="T19" s="437">
        <f t="shared" si="5"/>
        <v>0</v>
      </c>
      <c r="U19" s="437" t="e">
        <f t="shared" si="6"/>
        <v>#DIV/0!</v>
      </c>
      <c r="V19" s="437">
        <f t="shared" si="7"/>
        <v>0</v>
      </c>
      <c r="W19" s="438">
        <f t="shared" si="8"/>
        <v>0</v>
      </c>
      <c r="X19" s="438">
        <f t="shared" si="9"/>
        <v>0</v>
      </c>
    </row>
    <row r="20" spans="1:24">
      <c r="A20" s="789">
        <v>9</v>
      </c>
      <c r="B20" s="794"/>
      <c r="C20" s="791"/>
      <c r="D20" s="792"/>
      <c r="E20" s="789"/>
      <c r="F20" s="789"/>
      <c r="G20" s="789"/>
      <c r="H20" s="437">
        <f t="shared" si="0"/>
        <v>0</v>
      </c>
      <c r="I20" s="793"/>
      <c r="J20" s="793"/>
      <c r="K20" s="789"/>
      <c r="L20" s="437">
        <f t="shared" si="1"/>
        <v>0</v>
      </c>
      <c r="M20" s="789"/>
      <c r="N20" s="437">
        <f t="shared" si="2"/>
        <v>0</v>
      </c>
      <c r="O20" s="789"/>
      <c r="P20" s="437">
        <f t="shared" si="3"/>
        <v>0</v>
      </c>
      <c r="Q20" s="789"/>
      <c r="R20" s="437">
        <f t="shared" si="4"/>
        <v>0</v>
      </c>
      <c r="S20" s="789"/>
      <c r="T20" s="437">
        <f t="shared" si="5"/>
        <v>0</v>
      </c>
      <c r="U20" s="437" t="e">
        <f t="shared" si="6"/>
        <v>#DIV/0!</v>
      </c>
      <c r="V20" s="437">
        <f t="shared" si="7"/>
        <v>0</v>
      </c>
      <c r="W20" s="438">
        <f t="shared" si="8"/>
        <v>0</v>
      </c>
      <c r="X20" s="438">
        <f t="shared" si="9"/>
        <v>0</v>
      </c>
    </row>
    <row r="21" spans="1:24">
      <c r="A21" s="439"/>
      <c r="B21" s="440" t="s">
        <v>3657</v>
      </c>
      <c r="C21" s="440"/>
      <c r="D21" s="440"/>
      <c r="E21" s="440"/>
      <c r="F21" s="440"/>
      <c r="G21" s="439"/>
      <c r="H21" s="448">
        <f>SUM(H12:H20)</f>
        <v>0</v>
      </c>
      <c r="I21" s="439"/>
      <c r="J21" s="439"/>
      <c r="K21" s="439"/>
      <c r="L21" s="448">
        <f>SUM(L12:L20)</f>
        <v>0</v>
      </c>
      <c r="M21" s="439"/>
      <c r="N21" s="448">
        <f>SUM(N12:N20)</f>
        <v>0</v>
      </c>
      <c r="O21" s="439"/>
      <c r="P21" s="448">
        <f>SUM(P12:P20)</f>
        <v>0</v>
      </c>
      <c r="Q21" s="439"/>
      <c r="R21" s="448">
        <f>SUM(R12:R20)</f>
        <v>0</v>
      </c>
      <c r="S21" s="439"/>
      <c r="T21" s="448">
        <f>SUM(T12:T20)</f>
        <v>0</v>
      </c>
      <c r="U21" s="448" t="e">
        <f>SUM(U12:U20)</f>
        <v>#DIV/0!</v>
      </c>
      <c r="V21" s="448">
        <f>SUM(V12:V20)</f>
        <v>0</v>
      </c>
      <c r="W21" s="448">
        <f>SUM(W12:W20)</f>
        <v>0</v>
      </c>
      <c r="X21" s="448">
        <f>SUM(X12:X20)</f>
        <v>0</v>
      </c>
    </row>
    <row r="22" spans="1:24">
      <c r="A22" s="441"/>
      <c r="B22" s="442"/>
      <c r="C22" s="442"/>
      <c r="D22" s="442"/>
      <c r="E22" s="442"/>
      <c r="F22" s="442"/>
      <c r="G22" s="441"/>
      <c r="H22" s="441"/>
      <c r="I22" s="441"/>
      <c r="J22" s="441"/>
      <c r="K22" s="441"/>
      <c r="L22" s="441"/>
      <c r="M22" s="441"/>
      <c r="N22" s="441"/>
      <c r="O22" s="441"/>
      <c r="P22" s="441"/>
      <c r="Q22" s="441"/>
      <c r="R22" s="441"/>
      <c r="S22" s="441"/>
      <c r="T22" s="441"/>
    </row>
    <row r="23" spans="1:24">
      <c r="A23" s="443" t="s">
        <v>3658</v>
      </c>
      <c r="B23" s="442"/>
      <c r="C23" s="442"/>
      <c r="D23" s="442"/>
      <c r="E23" s="442"/>
      <c r="F23" s="442"/>
      <c r="G23" s="441"/>
      <c r="H23" s="441"/>
      <c r="I23" s="441"/>
      <c r="J23" s="441"/>
      <c r="K23" s="441"/>
      <c r="L23" s="441"/>
      <c r="M23" s="441"/>
      <c r="N23" s="441"/>
      <c r="O23" s="441"/>
      <c r="P23" s="441"/>
      <c r="Q23" s="441"/>
      <c r="R23" s="441"/>
      <c r="S23" s="441"/>
      <c r="T23" s="441"/>
    </row>
    <row r="24" spans="1:24" ht="15" customHeight="1">
      <c r="A24" s="4201"/>
      <c r="B24" s="4202" t="s">
        <v>3639</v>
      </c>
      <c r="C24" s="4202" t="s">
        <v>3640</v>
      </c>
      <c r="D24" s="4205" t="s">
        <v>3642</v>
      </c>
      <c r="E24" s="4206"/>
      <c r="F24" s="4206"/>
      <c r="G24" s="4206"/>
      <c r="H24" s="4206"/>
      <c r="I24" s="4207"/>
      <c r="J24" s="4201" t="s">
        <v>3659</v>
      </c>
      <c r="K24" s="4201"/>
      <c r="L24" s="4201"/>
      <c r="M24" s="4201"/>
      <c r="N24" s="4201"/>
      <c r="O24" s="4201"/>
      <c r="P24" s="4201" t="s">
        <v>3644</v>
      </c>
      <c r="Q24" s="4202" t="s">
        <v>255</v>
      </c>
      <c r="R24" s="4202"/>
      <c r="S24" s="445"/>
      <c r="T24" s="431"/>
      <c r="U24" s="431"/>
      <c r="V24" s="431"/>
    </row>
    <row r="25" spans="1:24" ht="30.75" customHeight="1">
      <c r="A25" s="4201"/>
      <c r="B25" s="4202"/>
      <c r="C25" s="4202"/>
      <c r="D25" s="4201" t="s">
        <v>3645</v>
      </c>
      <c r="E25" s="4202" t="s">
        <v>3646</v>
      </c>
      <c r="F25" s="4202" t="s">
        <v>3647</v>
      </c>
      <c r="G25" s="4202" t="s">
        <v>1092</v>
      </c>
      <c r="H25" s="4203" t="s">
        <v>255</v>
      </c>
      <c r="I25" s="4204"/>
      <c r="J25" s="4201" t="s">
        <v>3648</v>
      </c>
      <c r="K25" s="4201"/>
      <c r="L25" s="4201" t="s">
        <v>3650</v>
      </c>
      <c r="M25" s="4201"/>
      <c r="N25" s="4201" t="s">
        <v>3649</v>
      </c>
      <c r="O25" s="4201"/>
      <c r="P25" s="4201"/>
      <c r="Q25" s="4202" t="s">
        <v>7</v>
      </c>
      <c r="R25" s="4202" t="s">
        <v>8</v>
      </c>
      <c r="S25" s="445"/>
      <c r="T25" s="431"/>
      <c r="U25" s="431"/>
      <c r="V25" s="431"/>
    </row>
    <row r="26" spans="1:24" ht="31.5">
      <c r="A26" s="4201"/>
      <c r="B26" s="4202"/>
      <c r="C26" s="4202"/>
      <c r="D26" s="4201"/>
      <c r="E26" s="4202"/>
      <c r="F26" s="4202"/>
      <c r="G26" s="4202"/>
      <c r="H26" s="436" t="s">
        <v>7</v>
      </c>
      <c r="I26" s="436" t="s">
        <v>8</v>
      </c>
      <c r="J26" s="444" t="s">
        <v>3660</v>
      </c>
      <c r="K26" s="444" t="s">
        <v>2163</v>
      </c>
      <c r="L26" s="444" t="s">
        <v>3661</v>
      </c>
      <c r="M26" s="444" t="s">
        <v>2163</v>
      </c>
      <c r="N26" s="444" t="s">
        <v>3660</v>
      </c>
      <c r="O26" s="444" t="s">
        <v>2163</v>
      </c>
      <c r="P26" s="4201"/>
      <c r="Q26" s="4202"/>
      <c r="R26" s="4202"/>
      <c r="S26" s="445"/>
      <c r="T26" s="431"/>
      <c r="U26" s="431"/>
      <c r="V26" s="431"/>
    </row>
    <row r="27" spans="1:24">
      <c r="A27" s="795">
        <v>1</v>
      </c>
      <c r="B27" s="790" t="s">
        <v>327</v>
      </c>
      <c r="C27" s="796"/>
      <c r="D27" s="789"/>
      <c r="E27" s="795"/>
      <c r="F27" s="795"/>
      <c r="G27" s="446">
        <f>H27+I27</f>
        <v>0</v>
      </c>
      <c r="H27" s="795"/>
      <c r="I27" s="795"/>
      <c r="J27" s="795"/>
      <c r="K27" s="446">
        <f>J27*E27*D27*G27</f>
        <v>0</v>
      </c>
      <c r="L27" s="795"/>
      <c r="M27" s="446">
        <f>L27*G27</f>
        <v>0</v>
      </c>
      <c r="N27" s="795"/>
      <c r="O27" s="446">
        <f>N27*D27*G27*(E27-F27)</f>
        <v>0</v>
      </c>
      <c r="P27" s="446">
        <f>K27+M27+O27</f>
        <v>0</v>
      </c>
      <c r="Q27" s="446">
        <f>H27*(J27*D27*E27+L27+N27*D27*(E27-F27))</f>
        <v>0</v>
      </c>
      <c r="R27" s="446">
        <f>I27*(J27*D27*E27+L27+N27*D27*(E27-F27))</f>
        <v>0</v>
      </c>
      <c r="S27" s="447"/>
      <c r="T27" s="447"/>
      <c r="U27" s="447"/>
      <c r="V27" s="447"/>
    </row>
    <row r="28" spans="1:24">
      <c r="A28" s="797">
        <v>2</v>
      </c>
      <c r="B28" s="794" t="s">
        <v>327</v>
      </c>
      <c r="C28" s="796"/>
      <c r="D28" s="789"/>
      <c r="E28" s="795"/>
      <c r="F28" s="795"/>
      <c r="G28" s="446">
        <f t="shared" ref="G28:G35" si="10">H28+I28</f>
        <v>0</v>
      </c>
      <c r="H28" s="795"/>
      <c r="I28" s="795"/>
      <c r="J28" s="795"/>
      <c r="K28" s="446">
        <f t="shared" ref="K28:K35" si="11">J28*E28*D28*G28</f>
        <v>0</v>
      </c>
      <c r="L28" s="795"/>
      <c r="M28" s="446">
        <f t="shared" ref="M28:M35" si="12">L28*G28</f>
        <v>0</v>
      </c>
      <c r="N28" s="795"/>
      <c r="O28" s="446">
        <f t="shared" ref="O28:O35" si="13">N28*D28*G28*(E28-F28)</f>
        <v>0</v>
      </c>
      <c r="P28" s="446">
        <f t="shared" ref="P28:P35" si="14">K28+M28+O28</f>
        <v>0</v>
      </c>
      <c r="Q28" s="446">
        <f t="shared" ref="Q28:Q35" si="15">H28*(J28*D28*E28+L28+N28*D28*(E28-F28))</f>
        <v>0</v>
      </c>
      <c r="R28" s="446">
        <f t="shared" ref="R28:R35" si="16">I28*(J28*D28*E28+L28+N28*D28*(E28-F28))</f>
        <v>0</v>
      </c>
      <c r="S28" s="445"/>
      <c r="T28" s="431"/>
      <c r="U28" s="431"/>
      <c r="V28" s="431"/>
    </row>
    <row r="29" spans="1:24">
      <c r="A29" s="795">
        <v>3</v>
      </c>
      <c r="B29" s="794"/>
      <c r="C29" s="796"/>
      <c r="D29" s="789"/>
      <c r="E29" s="795"/>
      <c r="F29" s="795"/>
      <c r="G29" s="446">
        <f t="shared" si="10"/>
        <v>0</v>
      </c>
      <c r="H29" s="795"/>
      <c r="I29" s="795"/>
      <c r="J29" s="795"/>
      <c r="K29" s="446">
        <f t="shared" si="11"/>
        <v>0</v>
      </c>
      <c r="L29" s="795"/>
      <c r="M29" s="446">
        <f t="shared" si="12"/>
        <v>0</v>
      </c>
      <c r="N29" s="795"/>
      <c r="O29" s="446">
        <f t="shared" si="13"/>
        <v>0</v>
      </c>
      <c r="P29" s="446">
        <f t="shared" si="14"/>
        <v>0</v>
      </c>
      <c r="Q29" s="446">
        <f t="shared" si="15"/>
        <v>0</v>
      </c>
      <c r="R29" s="446">
        <f t="shared" si="16"/>
        <v>0</v>
      </c>
      <c r="S29" s="445"/>
      <c r="T29" s="431"/>
      <c r="U29" s="431"/>
      <c r="V29" s="431"/>
    </row>
    <row r="30" spans="1:24">
      <c r="A30" s="797">
        <v>4</v>
      </c>
      <c r="B30" s="794"/>
      <c r="C30" s="796"/>
      <c r="D30" s="789"/>
      <c r="E30" s="795"/>
      <c r="F30" s="795"/>
      <c r="G30" s="446">
        <f t="shared" si="10"/>
        <v>0</v>
      </c>
      <c r="H30" s="795"/>
      <c r="I30" s="795"/>
      <c r="J30" s="795"/>
      <c r="K30" s="446">
        <f t="shared" si="11"/>
        <v>0</v>
      </c>
      <c r="L30" s="795"/>
      <c r="M30" s="446">
        <f t="shared" si="12"/>
        <v>0</v>
      </c>
      <c r="N30" s="795"/>
      <c r="O30" s="446">
        <f t="shared" si="13"/>
        <v>0</v>
      </c>
      <c r="P30" s="446">
        <f t="shared" si="14"/>
        <v>0</v>
      </c>
      <c r="Q30" s="446">
        <f t="shared" si="15"/>
        <v>0</v>
      </c>
      <c r="R30" s="446">
        <f t="shared" si="16"/>
        <v>0</v>
      </c>
      <c r="S30" s="445"/>
      <c r="T30" s="431"/>
      <c r="U30" s="431"/>
      <c r="V30" s="431"/>
    </row>
    <row r="31" spans="1:24">
      <c r="A31" s="795">
        <v>5</v>
      </c>
      <c r="B31" s="794"/>
      <c r="C31" s="796"/>
      <c r="D31" s="789"/>
      <c r="E31" s="795"/>
      <c r="F31" s="795"/>
      <c r="G31" s="446">
        <f t="shared" si="10"/>
        <v>0</v>
      </c>
      <c r="H31" s="795"/>
      <c r="I31" s="795"/>
      <c r="J31" s="795"/>
      <c r="K31" s="446">
        <f t="shared" si="11"/>
        <v>0</v>
      </c>
      <c r="L31" s="795"/>
      <c r="M31" s="446">
        <f t="shared" si="12"/>
        <v>0</v>
      </c>
      <c r="N31" s="795"/>
      <c r="O31" s="446">
        <f t="shared" si="13"/>
        <v>0</v>
      </c>
      <c r="P31" s="446">
        <f t="shared" si="14"/>
        <v>0</v>
      </c>
      <c r="Q31" s="446">
        <f t="shared" si="15"/>
        <v>0</v>
      </c>
      <c r="R31" s="446">
        <f t="shared" si="16"/>
        <v>0</v>
      </c>
      <c r="S31" s="445"/>
      <c r="T31" s="431"/>
      <c r="U31" s="431"/>
      <c r="V31" s="431"/>
    </row>
    <row r="32" spans="1:24">
      <c r="A32" s="797">
        <v>6</v>
      </c>
      <c r="B32" s="794"/>
      <c r="C32" s="796"/>
      <c r="D32" s="789"/>
      <c r="E32" s="795"/>
      <c r="F32" s="795"/>
      <c r="G32" s="446">
        <f t="shared" si="10"/>
        <v>0</v>
      </c>
      <c r="H32" s="795"/>
      <c r="I32" s="795"/>
      <c r="J32" s="795"/>
      <c r="K32" s="446">
        <f t="shared" si="11"/>
        <v>0</v>
      </c>
      <c r="L32" s="795"/>
      <c r="M32" s="446">
        <f t="shared" si="12"/>
        <v>0</v>
      </c>
      <c r="N32" s="795"/>
      <c r="O32" s="446">
        <f t="shared" si="13"/>
        <v>0</v>
      </c>
      <c r="P32" s="446">
        <f t="shared" si="14"/>
        <v>0</v>
      </c>
      <c r="Q32" s="446">
        <f t="shared" si="15"/>
        <v>0</v>
      </c>
      <c r="R32" s="446">
        <f t="shared" si="16"/>
        <v>0</v>
      </c>
      <c r="S32" s="445"/>
      <c r="T32" s="431"/>
      <c r="U32" s="431"/>
      <c r="V32" s="431"/>
    </row>
    <row r="33" spans="1:22">
      <c r="A33" s="795">
        <v>7</v>
      </c>
      <c r="B33" s="794"/>
      <c r="C33" s="796"/>
      <c r="D33" s="789"/>
      <c r="E33" s="795"/>
      <c r="F33" s="795"/>
      <c r="G33" s="446">
        <f t="shared" si="10"/>
        <v>0</v>
      </c>
      <c r="H33" s="795"/>
      <c r="I33" s="795"/>
      <c r="J33" s="795"/>
      <c r="K33" s="446">
        <f t="shared" si="11"/>
        <v>0</v>
      </c>
      <c r="L33" s="795"/>
      <c r="M33" s="446">
        <f t="shared" si="12"/>
        <v>0</v>
      </c>
      <c r="N33" s="795"/>
      <c r="O33" s="446">
        <f t="shared" si="13"/>
        <v>0</v>
      </c>
      <c r="P33" s="446">
        <f t="shared" si="14"/>
        <v>0</v>
      </c>
      <c r="Q33" s="446">
        <f t="shared" si="15"/>
        <v>0</v>
      </c>
      <c r="R33" s="446">
        <f t="shared" si="16"/>
        <v>0</v>
      </c>
      <c r="S33" s="445"/>
      <c r="T33" s="431"/>
      <c r="U33" s="431"/>
      <c r="V33" s="431"/>
    </row>
    <row r="34" spans="1:22">
      <c r="A34" s="797">
        <v>8</v>
      </c>
      <c r="B34" s="794"/>
      <c r="C34" s="796"/>
      <c r="D34" s="789"/>
      <c r="E34" s="795"/>
      <c r="F34" s="795"/>
      <c r="G34" s="446">
        <f t="shared" si="10"/>
        <v>0</v>
      </c>
      <c r="H34" s="795"/>
      <c r="I34" s="795"/>
      <c r="J34" s="795"/>
      <c r="K34" s="446">
        <f t="shared" si="11"/>
        <v>0</v>
      </c>
      <c r="L34" s="795"/>
      <c r="M34" s="446">
        <f t="shared" si="12"/>
        <v>0</v>
      </c>
      <c r="N34" s="795"/>
      <c r="O34" s="446">
        <f t="shared" si="13"/>
        <v>0</v>
      </c>
      <c r="P34" s="446">
        <f t="shared" si="14"/>
        <v>0</v>
      </c>
      <c r="Q34" s="446">
        <f t="shared" si="15"/>
        <v>0</v>
      </c>
      <c r="R34" s="446">
        <f t="shared" si="16"/>
        <v>0</v>
      </c>
      <c r="S34" s="445"/>
      <c r="T34" s="431"/>
      <c r="U34" s="431"/>
      <c r="V34" s="431"/>
    </row>
    <row r="35" spans="1:22">
      <c r="A35" s="795">
        <v>9</v>
      </c>
      <c r="B35" s="794"/>
      <c r="C35" s="796"/>
      <c r="D35" s="789"/>
      <c r="E35" s="795"/>
      <c r="F35" s="795"/>
      <c r="G35" s="446">
        <f t="shared" si="10"/>
        <v>0</v>
      </c>
      <c r="H35" s="795"/>
      <c r="I35" s="795"/>
      <c r="J35" s="795"/>
      <c r="K35" s="446">
        <f t="shared" si="11"/>
        <v>0</v>
      </c>
      <c r="L35" s="795"/>
      <c r="M35" s="446">
        <f t="shared" si="12"/>
        <v>0</v>
      </c>
      <c r="N35" s="795"/>
      <c r="O35" s="446">
        <f t="shared" si="13"/>
        <v>0</v>
      </c>
      <c r="P35" s="446">
        <f t="shared" si="14"/>
        <v>0</v>
      </c>
      <c r="Q35" s="446">
        <f t="shared" si="15"/>
        <v>0</v>
      </c>
      <c r="R35" s="446">
        <f t="shared" si="16"/>
        <v>0</v>
      </c>
      <c r="S35" s="445"/>
      <c r="T35" s="431"/>
      <c r="U35" s="431"/>
      <c r="V35" s="431"/>
    </row>
    <row r="36" spans="1:22">
      <c r="A36" s="448"/>
      <c r="B36" s="449" t="s">
        <v>3657</v>
      </c>
      <c r="C36" s="449"/>
      <c r="D36" s="449"/>
      <c r="E36" s="448"/>
      <c r="F36" s="448"/>
      <c r="G36" s="448">
        <f>SUM(G27:G35)</f>
        <v>0</v>
      </c>
      <c r="H36" s="448"/>
      <c r="I36" s="448"/>
      <c r="J36" s="448"/>
      <c r="K36" s="448">
        <f>SUM(K27:K35)</f>
        <v>0</v>
      </c>
      <c r="L36" s="448"/>
      <c r="M36" s="448">
        <f>SUM(M27:M35)</f>
        <v>0</v>
      </c>
      <c r="N36" s="448"/>
      <c r="O36" s="448">
        <f>SUM(O27:O35)</f>
        <v>0</v>
      </c>
      <c r="P36" s="448">
        <f>SUM(P27:P35)</f>
        <v>0</v>
      </c>
      <c r="Q36" s="448">
        <f>SUM(Q27:Q35)</f>
        <v>0</v>
      </c>
      <c r="R36" s="448">
        <f>SUM(R27:R35)</f>
        <v>0</v>
      </c>
      <c r="S36" s="445"/>
      <c r="T36" s="431"/>
      <c r="U36" s="431"/>
      <c r="V36" s="431"/>
    </row>
    <row r="37" spans="1:22">
      <c r="A37" s="441"/>
      <c r="B37" s="442"/>
      <c r="C37" s="442"/>
      <c r="D37" s="442"/>
      <c r="E37" s="442"/>
      <c r="F37" s="442"/>
      <c r="G37" s="441"/>
      <c r="H37" s="441"/>
      <c r="I37" s="441"/>
      <c r="J37" s="441"/>
      <c r="K37" s="441"/>
      <c r="L37" s="441"/>
      <c r="M37" s="441"/>
      <c r="N37" s="441"/>
      <c r="O37" s="441"/>
      <c r="P37" s="441"/>
      <c r="Q37" s="441"/>
      <c r="R37" s="441"/>
      <c r="S37" s="441"/>
      <c r="T37" s="441"/>
    </row>
    <row r="38" spans="1:22">
      <c r="A38" s="431"/>
      <c r="B38" s="300" t="s">
        <v>329</v>
      </c>
      <c r="C38" s="450"/>
      <c r="D38" s="293"/>
      <c r="E38" s="798"/>
      <c r="F38" s="798"/>
      <c r="G38" s="799"/>
      <c r="H38" s="798"/>
      <c r="I38" s="798"/>
      <c r="J38" s="798"/>
      <c r="K38" s="798"/>
      <c r="L38" s="798"/>
      <c r="M38" s="798"/>
      <c r="N38" s="798"/>
      <c r="O38" s="798"/>
      <c r="P38" s="798"/>
      <c r="Q38" s="798"/>
      <c r="R38" s="798"/>
      <c r="S38" s="431"/>
      <c r="T38" s="431"/>
    </row>
    <row r="39" spans="1:22">
      <c r="A39" s="451"/>
      <c r="B39" s="300"/>
      <c r="C39" s="404"/>
      <c r="D39" s="293"/>
      <c r="E39" s="744"/>
      <c r="F39" s="744"/>
      <c r="G39" s="800"/>
      <c r="H39" s="754"/>
      <c r="I39" s="798"/>
      <c r="J39" s="798"/>
      <c r="K39" s="798"/>
      <c r="L39" s="798"/>
      <c r="M39" s="798"/>
      <c r="N39" s="798"/>
      <c r="O39" s="798"/>
      <c r="P39" s="798"/>
      <c r="Q39" s="798"/>
      <c r="R39" s="798"/>
      <c r="S39" s="431"/>
      <c r="T39" s="431"/>
    </row>
    <row r="40" spans="1:22">
      <c r="A40" s="451"/>
      <c r="B40" s="426" t="s">
        <v>330</v>
      </c>
      <c r="C40" s="452"/>
      <c r="D40" s="293"/>
      <c r="E40" s="744"/>
      <c r="F40" s="744"/>
      <c r="G40" s="799"/>
      <c r="H40" s="801"/>
      <c r="I40" s="798"/>
      <c r="J40" s="798"/>
      <c r="K40" s="798"/>
      <c r="L40" s="798"/>
      <c r="M40" s="798"/>
      <c r="N40" s="798"/>
      <c r="O40" s="798"/>
      <c r="P40" s="798"/>
      <c r="Q40" s="798"/>
      <c r="R40" s="798"/>
      <c r="S40" s="431"/>
      <c r="T40" s="431"/>
    </row>
    <row r="41" spans="1:22">
      <c r="A41" s="451"/>
      <c r="B41" s="426" t="s">
        <v>332</v>
      </c>
      <c r="C41" s="293"/>
      <c r="D41" s="293"/>
      <c r="E41" s="744"/>
      <c r="F41" s="744"/>
      <c r="G41" s="800"/>
      <c r="H41" s="801"/>
      <c r="I41" s="798"/>
      <c r="J41" s="798"/>
      <c r="K41" s="798"/>
      <c r="L41" s="798"/>
      <c r="M41" s="798"/>
      <c r="N41" s="798"/>
      <c r="O41" s="798"/>
      <c r="P41" s="798"/>
      <c r="Q41" s="798"/>
      <c r="R41" s="798"/>
      <c r="S41" s="431"/>
      <c r="T41" s="431"/>
    </row>
    <row r="42" spans="1:22">
      <c r="A42" s="451"/>
      <c r="B42" s="427"/>
      <c r="C42" s="454"/>
      <c r="D42" s="293"/>
      <c r="E42" s="744"/>
      <c r="F42" s="744"/>
      <c r="G42" s="799"/>
      <c r="H42" s="801"/>
      <c r="I42" s="798"/>
      <c r="J42" s="798"/>
      <c r="K42" s="798"/>
      <c r="L42" s="798"/>
      <c r="M42" s="798"/>
      <c r="N42" s="798"/>
      <c r="O42" s="798"/>
      <c r="P42" s="798"/>
      <c r="Q42" s="798"/>
      <c r="R42" s="798"/>
      <c r="S42" s="431"/>
      <c r="T42" s="431"/>
    </row>
    <row r="43" spans="1:22">
      <c r="A43" s="451"/>
      <c r="B43" s="426" t="s">
        <v>333</v>
      </c>
      <c r="C43" s="454"/>
      <c r="D43" s="293"/>
      <c r="E43" s="744"/>
      <c r="F43" s="744"/>
      <c r="G43" s="800"/>
      <c r="H43" s="801"/>
      <c r="I43" s="798"/>
      <c r="J43" s="798"/>
      <c r="K43" s="798"/>
      <c r="L43" s="798"/>
      <c r="M43" s="798"/>
      <c r="N43" s="798"/>
      <c r="O43" s="798"/>
      <c r="P43" s="798"/>
      <c r="Q43" s="798"/>
      <c r="R43" s="798"/>
      <c r="S43" s="431"/>
      <c r="T43" s="431"/>
    </row>
    <row r="44" spans="1:22">
      <c r="A44" s="451"/>
      <c r="B44" s="455"/>
      <c r="C44" s="454"/>
      <c r="D44" s="293"/>
      <c r="E44" s="282"/>
      <c r="F44" s="282"/>
      <c r="G44" s="450"/>
      <c r="H44" s="453"/>
      <c r="I44" s="431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</row>
    <row r="45" spans="1:22">
      <c r="A45" s="451"/>
      <c r="B45" s="456"/>
      <c r="C45" s="404"/>
      <c r="D45" s="453"/>
      <c r="E45" s="453"/>
      <c r="F45" s="453"/>
      <c r="G45" s="453"/>
      <c r="H45" s="453"/>
      <c r="I45" s="431"/>
      <c r="J45" s="431"/>
      <c r="K45" s="431"/>
      <c r="L45" s="431"/>
      <c r="M45" s="431"/>
      <c r="N45" s="431"/>
      <c r="O45" s="431"/>
      <c r="P45" s="431"/>
      <c r="Q45" s="431"/>
      <c r="R45" s="431"/>
      <c r="S45" s="431"/>
      <c r="T45" s="431"/>
    </row>
    <row r="46" spans="1:22">
      <c r="A46" s="431"/>
      <c r="B46" s="431"/>
      <c r="C46" s="431"/>
      <c r="D46" s="431"/>
      <c r="E46" s="457"/>
      <c r="F46" s="457"/>
      <c r="G46" s="457"/>
      <c r="H46" s="431"/>
      <c r="I46" s="457"/>
      <c r="J46" s="431"/>
      <c r="K46" s="457"/>
      <c r="L46" s="431"/>
      <c r="M46" s="431"/>
      <c r="N46" s="431"/>
      <c r="O46" s="431"/>
      <c r="P46" s="431"/>
      <c r="Q46" s="431"/>
      <c r="R46" s="431"/>
      <c r="S46" s="431"/>
      <c r="T46" s="431"/>
    </row>
    <row r="47" spans="1:22">
      <c r="A47" s="431"/>
      <c r="B47" s="431"/>
      <c r="C47" s="431"/>
      <c r="D47" s="431"/>
      <c r="E47" s="431"/>
      <c r="F47" s="431"/>
      <c r="G47" s="431"/>
      <c r="H47" s="431"/>
      <c r="I47" s="431"/>
      <c r="J47" s="431"/>
      <c r="K47" s="431"/>
      <c r="L47" s="431"/>
      <c r="M47" s="431"/>
      <c r="N47" s="431"/>
      <c r="O47" s="431"/>
      <c r="P47" s="431"/>
      <c r="Q47" s="431"/>
      <c r="R47" s="431"/>
      <c r="S47" s="431"/>
      <c r="T47" s="431"/>
    </row>
    <row r="48" spans="1:22">
      <c r="A48" s="431"/>
      <c r="B48" s="431"/>
      <c r="C48" s="431"/>
      <c r="D48" s="431"/>
      <c r="E48" s="431"/>
      <c r="F48" s="431"/>
      <c r="G48" s="431"/>
      <c r="H48" s="431"/>
      <c r="I48" s="431"/>
      <c r="J48" s="431"/>
      <c r="K48" s="431"/>
      <c r="L48" s="431"/>
      <c r="M48" s="431"/>
      <c r="N48" s="431"/>
      <c r="O48" s="431"/>
      <c r="P48" s="431"/>
      <c r="Q48" s="431"/>
      <c r="R48" s="431"/>
      <c r="S48" s="431"/>
      <c r="T48" s="431"/>
    </row>
    <row r="49" spans="1:20">
      <c r="A49" s="431"/>
      <c r="B49" s="431"/>
      <c r="C49" s="431"/>
      <c r="D49" s="431"/>
      <c r="E49" s="431"/>
      <c r="F49" s="431"/>
      <c r="G49" s="431"/>
      <c r="H49" s="431"/>
      <c r="I49" s="431"/>
      <c r="J49" s="431"/>
      <c r="K49" s="431"/>
      <c r="L49" s="431"/>
      <c r="M49" s="431"/>
      <c r="N49" s="431"/>
      <c r="O49" s="431"/>
      <c r="P49" s="431"/>
      <c r="Q49" s="431"/>
      <c r="R49" s="431"/>
      <c r="S49" s="431"/>
      <c r="T49" s="431"/>
    </row>
  </sheetData>
  <sheetProtection password="9690" sheet="1" formatColumns="0" insertRows="0" deleteRows="0"/>
  <mergeCells count="37">
    <mergeCell ref="W9:X9"/>
    <mergeCell ref="G25:G26"/>
    <mergeCell ref="J25:K25"/>
    <mergeCell ref="J24:O24"/>
    <mergeCell ref="W10:W11"/>
    <mergeCell ref="X10:X11"/>
    <mergeCell ref="Q24:R24"/>
    <mergeCell ref="Q25:Q26"/>
    <mergeCell ref="R25:R26"/>
    <mergeCell ref="U9:V10"/>
    <mergeCell ref="D25:D26"/>
    <mergeCell ref="I10:J10"/>
    <mergeCell ref="E10:E11"/>
    <mergeCell ref="S10:T10"/>
    <mergeCell ref="M10:N10"/>
    <mergeCell ref="E25:E26"/>
    <mergeCell ref="F10:F11"/>
    <mergeCell ref="F25:F26"/>
    <mergeCell ref="H25:I25"/>
    <mergeCell ref="D24:I24"/>
    <mergeCell ref="K10:L10"/>
    <mergeCell ref="A24:A26"/>
    <mergeCell ref="B24:B26"/>
    <mergeCell ref="N25:O25"/>
    <mergeCell ref="L25:M25"/>
    <mergeCell ref="A9:A11"/>
    <mergeCell ref="D9:D10"/>
    <mergeCell ref="K9:T9"/>
    <mergeCell ref="C24:C26"/>
    <mergeCell ref="G10:G11"/>
    <mergeCell ref="P24:P26"/>
    <mergeCell ref="E9:J9"/>
    <mergeCell ref="B9:B11"/>
    <mergeCell ref="C9:C11"/>
    <mergeCell ref="O10:P10"/>
    <mergeCell ref="Q10:R10"/>
    <mergeCell ref="H10:H11"/>
  </mergeCells>
  <pageMargins left="0.7" right="0.7" top="0.75" bottom="0.75" header="0.3" footer="0.3"/>
  <pageSetup paperSize="9" scale="50" fitToHeight="0" orientation="landscape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Лист19">
    <tabColor rgb="FF7030A0"/>
    <pageSetUpPr fitToPage="1"/>
  </sheetPr>
  <dimension ref="A1:N47"/>
  <sheetViews>
    <sheetView topLeftCell="A7" workbookViewId="0">
      <selection activeCell="A12" sqref="A12:IV12"/>
    </sheetView>
  </sheetViews>
  <sheetFormatPr defaultColWidth="9.140625" defaultRowHeight="15.75"/>
  <cols>
    <col min="1" max="1" width="4.5703125" style="419" customWidth="1"/>
    <col min="2" max="2" width="20" style="419" customWidth="1"/>
    <col min="3" max="3" width="22.28515625" style="419" customWidth="1"/>
    <col min="4" max="4" width="10.5703125" style="419" customWidth="1"/>
    <col min="5" max="5" width="10.85546875" style="419" hidden="1" customWidth="1"/>
    <col min="6" max="16384" width="9.140625" style="419"/>
  </cols>
  <sheetData>
    <row r="1" spans="1:14">
      <c r="L1" s="460" t="s">
        <v>267</v>
      </c>
      <c r="N1" s="761" t="s">
        <v>627</v>
      </c>
    </row>
    <row r="2" spans="1:14" s="657" customFormat="1">
      <c r="A2" s="695" t="s">
        <v>3662</v>
      </c>
    </row>
    <row r="3" spans="1:14">
      <c r="A3" s="420"/>
    </row>
    <row r="4" spans="1:14" s="657" customFormat="1">
      <c r="A4" s="656" t="s">
        <v>3401</v>
      </c>
    </row>
    <row r="5" spans="1:14">
      <c r="A5" s="168" t="s">
        <v>990</v>
      </c>
      <c r="B5" s="458"/>
      <c r="C5" s="459"/>
      <c r="D5" s="459"/>
    </row>
    <row r="6" spans="1:14">
      <c r="A6" s="460"/>
      <c r="B6" s="460"/>
      <c r="C6" s="460"/>
      <c r="D6" s="460"/>
      <c r="E6" s="460"/>
      <c r="F6" s="460"/>
      <c r="G6" s="460"/>
      <c r="H6" s="460"/>
      <c r="I6" s="460"/>
      <c r="N6" s="747" t="s">
        <v>254</v>
      </c>
    </row>
    <row r="7" spans="1:14">
      <c r="A7" s="4210" t="s">
        <v>34</v>
      </c>
      <c r="B7" s="4212" t="s">
        <v>478</v>
      </c>
      <c r="C7" s="4210" t="s">
        <v>3663</v>
      </c>
      <c r="D7" s="4210" t="s">
        <v>3664</v>
      </c>
      <c r="E7" s="4215" t="s">
        <v>3665</v>
      </c>
      <c r="F7" s="4217" t="s">
        <v>3666</v>
      </c>
      <c r="G7" s="4217"/>
      <c r="H7" s="4217"/>
      <c r="I7" s="4218" t="s">
        <v>3667</v>
      </c>
      <c r="J7" s="4219"/>
      <c r="K7" s="4220"/>
      <c r="L7" s="4215" t="s">
        <v>3668</v>
      </c>
      <c r="M7" s="4213" t="s">
        <v>255</v>
      </c>
      <c r="N7" s="4214"/>
    </row>
    <row r="8" spans="1:14" ht="29.25" customHeight="1">
      <c r="A8" s="4211"/>
      <c r="B8" s="4212"/>
      <c r="C8" s="4211"/>
      <c r="D8" s="4211"/>
      <c r="E8" s="4216"/>
      <c r="F8" s="256" t="s">
        <v>3669</v>
      </c>
      <c r="G8" s="256" t="s">
        <v>3670</v>
      </c>
      <c r="H8" s="256" t="s">
        <v>6</v>
      </c>
      <c r="I8" s="256" t="s">
        <v>5</v>
      </c>
      <c r="J8" s="256" t="s">
        <v>4</v>
      </c>
      <c r="K8" s="256" t="s">
        <v>6</v>
      </c>
      <c r="L8" s="4216"/>
      <c r="M8" s="220" t="s">
        <v>7</v>
      </c>
      <c r="N8" s="220" t="s">
        <v>3568</v>
      </c>
    </row>
    <row r="9" spans="1:14" s="476" customFormat="1">
      <c r="A9" s="763">
        <v>1</v>
      </c>
      <c r="B9" s="764" t="s">
        <v>3671</v>
      </c>
      <c r="C9" s="692"/>
      <c r="D9" s="692"/>
      <c r="E9" s="765" t="s">
        <v>3383</v>
      </c>
      <c r="F9" s="766"/>
      <c r="G9" s="767"/>
      <c r="H9" s="599">
        <f>F9*G9</f>
        <v>0</v>
      </c>
      <c r="I9" s="766"/>
      <c r="J9" s="767"/>
      <c r="K9" s="599">
        <f>I9*J9</f>
        <v>0</v>
      </c>
      <c r="L9" s="599">
        <f>H9+K9</f>
        <v>0</v>
      </c>
      <c r="M9" s="766"/>
      <c r="N9" s="773"/>
    </row>
    <row r="10" spans="1:14" s="476" customFormat="1" ht="31.5">
      <c r="A10" s="768">
        <v>2</v>
      </c>
      <c r="B10" s="764" t="s">
        <v>3672</v>
      </c>
      <c r="C10" s="692"/>
      <c r="D10" s="692"/>
      <c r="E10" s="765" t="s">
        <v>3383</v>
      </c>
      <c r="F10" s="766"/>
      <c r="G10" s="767"/>
      <c r="H10" s="599">
        <f t="shared" ref="H10:H38" si="0">F10*G10</f>
        <v>0</v>
      </c>
      <c r="I10" s="766"/>
      <c r="J10" s="767"/>
      <c r="K10" s="599">
        <f t="shared" ref="K10:K38" si="1">I10*J10</f>
        <v>0</v>
      </c>
      <c r="L10" s="599">
        <f t="shared" ref="L10:L38" si="2">H10+K10</f>
        <v>0</v>
      </c>
      <c r="M10" s="766"/>
      <c r="N10" s="773"/>
    </row>
    <row r="11" spans="1:14" s="476" customFormat="1">
      <c r="A11" s="763">
        <v>3</v>
      </c>
      <c r="B11" s="764" t="s">
        <v>3673</v>
      </c>
      <c r="C11" s="692"/>
      <c r="D11" s="692"/>
      <c r="E11" s="765" t="s">
        <v>3383</v>
      </c>
      <c r="F11" s="766"/>
      <c r="G11" s="767"/>
      <c r="H11" s="599">
        <f t="shared" si="0"/>
        <v>0</v>
      </c>
      <c r="I11" s="766"/>
      <c r="J11" s="767"/>
      <c r="K11" s="599">
        <f t="shared" si="1"/>
        <v>0</v>
      </c>
      <c r="L11" s="599">
        <f t="shared" si="2"/>
        <v>0</v>
      </c>
      <c r="M11" s="766"/>
      <c r="N11" s="773"/>
    </row>
    <row r="12" spans="1:14" s="762" customFormat="1" ht="63">
      <c r="A12" s="768">
        <v>4</v>
      </c>
      <c r="B12" s="769" t="s">
        <v>3674</v>
      </c>
      <c r="C12" s="693"/>
      <c r="D12" s="693"/>
      <c r="E12" s="693"/>
      <c r="F12" s="770"/>
      <c r="G12" s="768"/>
      <c r="H12" s="597">
        <f t="shared" si="0"/>
        <v>0</v>
      </c>
      <c r="I12" s="770"/>
      <c r="J12" s="768"/>
      <c r="K12" s="597">
        <f t="shared" si="1"/>
        <v>0</v>
      </c>
      <c r="L12" s="597">
        <f t="shared" si="2"/>
        <v>0</v>
      </c>
      <c r="M12" s="770"/>
      <c r="N12" s="693"/>
    </row>
    <row r="13" spans="1:14" s="476" customFormat="1">
      <c r="A13" s="768">
        <v>5</v>
      </c>
      <c r="B13" s="764" t="s">
        <v>3675</v>
      </c>
      <c r="C13" s="692"/>
      <c r="D13" s="692"/>
      <c r="E13" s="692"/>
      <c r="F13" s="766"/>
      <c r="G13" s="767"/>
      <c r="H13" s="599">
        <f t="shared" si="0"/>
        <v>0</v>
      </c>
      <c r="I13" s="766"/>
      <c r="J13" s="767"/>
      <c r="K13" s="599">
        <f t="shared" si="1"/>
        <v>0</v>
      </c>
      <c r="L13" s="599">
        <f t="shared" si="2"/>
        <v>0</v>
      </c>
      <c r="M13" s="766"/>
      <c r="N13" s="773"/>
    </row>
    <row r="14" spans="1:14" s="476" customFormat="1">
      <c r="A14" s="768">
        <v>6</v>
      </c>
      <c r="B14" s="764" t="s">
        <v>3676</v>
      </c>
      <c r="C14" s="692"/>
      <c r="D14" s="692"/>
      <c r="E14" s="692"/>
      <c r="F14" s="766"/>
      <c r="G14" s="767"/>
      <c r="H14" s="599">
        <f t="shared" si="0"/>
        <v>0</v>
      </c>
      <c r="I14" s="766"/>
      <c r="J14" s="767"/>
      <c r="K14" s="599">
        <f t="shared" si="1"/>
        <v>0</v>
      </c>
      <c r="L14" s="599">
        <f t="shared" si="2"/>
        <v>0</v>
      </c>
      <c r="M14" s="766"/>
      <c r="N14" s="773"/>
    </row>
    <row r="15" spans="1:14" s="476" customFormat="1" ht="31.5">
      <c r="A15" s="768">
        <v>7</v>
      </c>
      <c r="B15" s="764" t="s">
        <v>3677</v>
      </c>
      <c r="C15" s="692"/>
      <c r="D15" s="692"/>
      <c r="E15" s="692"/>
      <c r="F15" s="766"/>
      <c r="G15" s="767"/>
      <c r="H15" s="599">
        <f t="shared" si="0"/>
        <v>0</v>
      </c>
      <c r="I15" s="766"/>
      <c r="J15" s="767"/>
      <c r="K15" s="599">
        <f t="shared" si="1"/>
        <v>0</v>
      </c>
      <c r="L15" s="599">
        <f t="shared" si="2"/>
        <v>0</v>
      </c>
      <c r="M15" s="766"/>
      <c r="N15" s="773"/>
    </row>
    <row r="16" spans="1:14" s="476" customFormat="1" ht="31.5">
      <c r="A16" s="768">
        <v>8</v>
      </c>
      <c r="B16" s="764" t="s">
        <v>3678</v>
      </c>
      <c r="C16" s="692"/>
      <c r="D16" s="692"/>
      <c r="E16" s="692"/>
      <c r="F16" s="766"/>
      <c r="G16" s="767"/>
      <c r="H16" s="599">
        <f t="shared" si="0"/>
        <v>0</v>
      </c>
      <c r="I16" s="766"/>
      <c r="J16" s="767"/>
      <c r="K16" s="599">
        <f t="shared" si="1"/>
        <v>0</v>
      </c>
      <c r="L16" s="599">
        <f t="shared" si="2"/>
        <v>0</v>
      </c>
      <c r="M16" s="766"/>
      <c r="N16" s="773"/>
    </row>
    <row r="17" spans="1:14" s="476" customFormat="1">
      <c r="A17" s="768">
        <v>9</v>
      </c>
      <c r="B17" s="764" t="s">
        <v>3679</v>
      </c>
      <c r="C17" s="692"/>
      <c r="D17" s="692"/>
      <c r="E17" s="692"/>
      <c r="F17" s="766"/>
      <c r="G17" s="767"/>
      <c r="H17" s="599">
        <f t="shared" si="0"/>
        <v>0</v>
      </c>
      <c r="I17" s="766"/>
      <c r="J17" s="767"/>
      <c r="K17" s="599">
        <f t="shared" si="1"/>
        <v>0</v>
      </c>
      <c r="L17" s="599">
        <f t="shared" si="2"/>
        <v>0</v>
      </c>
      <c r="M17" s="766"/>
      <c r="N17" s="773"/>
    </row>
    <row r="18" spans="1:14" s="476" customFormat="1" ht="31.5">
      <c r="A18" s="768">
        <v>10</v>
      </c>
      <c r="B18" s="764" t="s">
        <v>3680</v>
      </c>
      <c r="C18" s="692"/>
      <c r="D18" s="692"/>
      <c r="E18" s="692"/>
      <c r="F18" s="766"/>
      <c r="G18" s="767"/>
      <c r="H18" s="599">
        <f t="shared" si="0"/>
        <v>0</v>
      </c>
      <c r="I18" s="766"/>
      <c r="J18" s="767"/>
      <c r="K18" s="599">
        <f t="shared" si="1"/>
        <v>0</v>
      </c>
      <c r="L18" s="599">
        <f t="shared" si="2"/>
        <v>0</v>
      </c>
      <c r="M18" s="766"/>
      <c r="N18" s="773"/>
    </row>
    <row r="19" spans="1:14" s="476" customFormat="1" ht="31.5">
      <c r="A19" s="768">
        <v>11</v>
      </c>
      <c r="B19" s="764" t="s">
        <v>3680</v>
      </c>
      <c r="C19" s="692"/>
      <c r="D19" s="692"/>
      <c r="E19" s="692"/>
      <c r="F19" s="766"/>
      <c r="G19" s="767"/>
      <c r="H19" s="599">
        <f t="shared" si="0"/>
        <v>0</v>
      </c>
      <c r="I19" s="766"/>
      <c r="J19" s="767"/>
      <c r="K19" s="599">
        <f t="shared" si="1"/>
        <v>0</v>
      </c>
      <c r="L19" s="599">
        <f t="shared" si="2"/>
        <v>0</v>
      </c>
      <c r="M19" s="766"/>
      <c r="N19" s="773"/>
    </row>
    <row r="20" spans="1:14" s="476" customFormat="1">
      <c r="A20" s="768">
        <v>12</v>
      </c>
      <c r="B20" s="771" t="s">
        <v>526</v>
      </c>
      <c r="C20" s="772"/>
      <c r="D20" s="772"/>
      <c r="E20" s="772"/>
      <c r="F20" s="772"/>
      <c r="G20" s="772"/>
      <c r="H20" s="599">
        <f t="shared" si="0"/>
        <v>0</v>
      </c>
      <c r="I20" s="772"/>
      <c r="J20" s="772"/>
      <c r="K20" s="599">
        <f t="shared" si="1"/>
        <v>0</v>
      </c>
      <c r="L20" s="599">
        <f t="shared" si="2"/>
        <v>0</v>
      </c>
      <c r="M20" s="772"/>
      <c r="N20" s="772"/>
    </row>
    <row r="21" spans="1:14" s="476" customFormat="1">
      <c r="A21" s="768">
        <v>13</v>
      </c>
      <c r="B21" s="771"/>
      <c r="C21" s="772"/>
      <c r="D21" s="772"/>
      <c r="E21" s="772"/>
      <c r="F21" s="772"/>
      <c r="G21" s="772"/>
      <c r="H21" s="599">
        <f t="shared" si="0"/>
        <v>0</v>
      </c>
      <c r="I21" s="772"/>
      <c r="J21" s="772"/>
      <c r="K21" s="599">
        <f t="shared" si="1"/>
        <v>0</v>
      </c>
      <c r="L21" s="599">
        <f t="shared" si="2"/>
        <v>0</v>
      </c>
      <c r="M21" s="772"/>
      <c r="N21" s="772"/>
    </row>
    <row r="22" spans="1:14" s="476" customFormat="1">
      <c r="A22" s="768">
        <v>14</v>
      </c>
      <c r="B22" s="771"/>
      <c r="C22" s="772"/>
      <c r="D22" s="772"/>
      <c r="E22" s="772"/>
      <c r="F22" s="772"/>
      <c r="G22" s="772"/>
      <c r="H22" s="599">
        <f t="shared" si="0"/>
        <v>0</v>
      </c>
      <c r="I22" s="772"/>
      <c r="J22" s="772"/>
      <c r="K22" s="599">
        <f t="shared" si="1"/>
        <v>0</v>
      </c>
      <c r="L22" s="599">
        <f t="shared" si="2"/>
        <v>0</v>
      </c>
      <c r="M22" s="772"/>
      <c r="N22" s="772"/>
    </row>
    <row r="23" spans="1:14" s="476" customFormat="1">
      <c r="A23" s="768">
        <v>15</v>
      </c>
      <c r="B23" s="771"/>
      <c r="C23" s="772"/>
      <c r="D23" s="772"/>
      <c r="E23" s="772"/>
      <c r="F23" s="772"/>
      <c r="G23" s="772"/>
      <c r="H23" s="599">
        <f t="shared" si="0"/>
        <v>0</v>
      </c>
      <c r="I23" s="772"/>
      <c r="J23" s="772"/>
      <c r="K23" s="599">
        <f t="shared" si="1"/>
        <v>0</v>
      </c>
      <c r="L23" s="599">
        <f t="shared" si="2"/>
        <v>0</v>
      </c>
      <c r="M23" s="772"/>
      <c r="N23" s="772"/>
    </row>
    <row r="24" spans="1:14" s="476" customFormat="1">
      <c r="A24" s="768">
        <v>16</v>
      </c>
      <c r="B24" s="771"/>
      <c r="C24" s="772"/>
      <c r="D24" s="772"/>
      <c r="E24" s="772"/>
      <c r="F24" s="772"/>
      <c r="G24" s="772"/>
      <c r="H24" s="599">
        <f t="shared" si="0"/>
        <v>0</v>
      </c>
      <c r="I24" s="772"/>
      <c r="J24" s="772"/>
      <c r="K24" s="599">
        <f t="shared" si="1"/>
        <v>0</v>
      </c>
      <c r="L24" s="599">
        <f t="shared" si="2"/>
        <v>0</v>
      </c>
      <c r="M24" s="772"/>
      <c r="N24" s="772"/>
    </row>
    <row r="25" spans="1:14" s="476" customFormat="1">
      <c r="A25" s="768">
        <v>17</v>
      </c>
      <c r="B25" s="771"/>
      <c r="C25" s="772"/>
      <c r="D25" s="772"/>
      <c r="E25" s="772"/>
      <c r="F25" s="772"/>
      <c r="G25" s="772"/>
      <c r="H25" s="599">
        <f t="shared" si="0"/>
        <v>0</v>
      </c>
      <c r="I25" s="772"/>
      <c r="J25" s="772"/>
      <c r="K25" s="599">
        <f t="shared" si="1"/>
        <v>0</v>
      </c>
      <c r="L25" s="599">
        <f t="shared" si="2"/>
        <v>0</v>
      </c>
      <c r="M25" s="772"/>
      <c r="N25" s="772"/>
    </row>
    <row r="26" spans="1:14" s="476" customFormat="1">
      <c r="A26" s="768">
        <v>18</v>
      </c>
      <c r="B26" s="771"/>
      <c r="C26" s="772"/>
      <c r="D26" s="772"/>
      <c r="E26" s="772"/>
      <c r="F26" s="772"/>
      <c r="G26" s="772"/>
      <c r="H26" s="599">
        <f t="shared" si="0"/>
        <v>0</v>
      </c>
      <c r="I26" s="772"/>
      <c r="J26" s="772"/>
      <c r="K26" s="599">
        <f t="shared" si="1"/>
        <v>0</v>
      </c>
      <c r="L26" s="599">
        <f t="shared" si="2"/>
        <v>0</v>
      </c>
      <c r="M26" s="772"/>
      <c r="N26" s="772"/>
    </row>
    <row r="27" spans="1:14" s="476" customFormat="1">
      <c r="A27" s="768">
        <v>19</v>
      </c>
      <c r="B27" s="771"/>
      <c r="C27" s="772"/>
      <c r="D27" s="772"/>
      <c r="E27" s="772"/>
      <c r="F27" s="772"/>
      <c r="G27" s="772"/>
      <c r="H27" s="599">
        <f t="shared" si="0"/>
        <v>0</v>
      </c>
      <c r="I27" s="772"/>
      <c r="J27" s="772"/>
      <c r="K27" s="599">
        <f t="shared" si="1"/>
        <v>0</v>
      </c>
      <c r="L27" s="599">
        <f t="shared" si="2"/>
        <v>0</v>
      </c>
      <c r="M27" s="772"/>
      <c r="N27" s="772"/>
    </row>
    <row r="28" spans="1:14" s="476" customFormat="1">
      <c r="A28" s="768">
        <v>20</v>
      </c>
      <c r="B28" s="771"/>
      <c r="C28" s="772"/>
      <c r="D28" s="772"/>
      <c r="E28" s="772"/>
      <c r="F28" s="772"/>
      <c r="G28" s="772"/>
      <c r="H28" s="599">
        <f t="shared" si="0"/>
        <v>0</v>
      </c>
      <c r="I28" s="772"/>
      <c r="J28" s="772"/>
      <c r="K28" s="599">
        <f t="shared" si="1"/>
        <v>0</v>
      </c>
      <c r="L28" s="599">
        <f t="shared" si="2"/>
        <v>0</v>
      </c>
      <c r="M28" s="772"/>
      <c r="N28" s="772"/>
    </row>
    <row r="29" spans="1:14" s="476" customFormat="1">
      <c r="A29" s="768">
        <v>21</v>
      </c>
      <c r="B29" s="771"/>
      <c r="C29" s="772"/>
      <c r="D29" s="772"/>
      <c r="E29" s="772"/>
      <c r="F29" s="772"/>
      <c r="G29" s="772"/>
      <c r="H29" s="599">
        <f t="shared" si="0"/>
        <v>0</v>
      </c>
      <c r="I29" s="772"/>
      <c r="J29" s="772"/>
      <c r="K29" s="599">
        <f t="shared" si="1"/>
        <v>0</v>
      </c>
      <c r="L29" s="599">
        <f t="shared" si="2"/>
        <v>0</v>
      </c>
      <c r="M29" s="772"/>
      <c r="N29" s="772"/>
    </row>
    <row r="30" spans="1:14" s="476" customFormat="1">
      <c r="A30" s="768">
        <v>22</v>
      </c>
      <c r="B30" s="771"/>
      <c r="C30" s="772"/>
      <c r="D30" s="772"/>
      <c r="E30" s="772"/>
      <c r="F30" s="772"/>
      <c r="G30" s="772"/>
      <c r="H30" s="599">
        <f t="shared" si="0"/>
        <v>0</v>
      </c>
      <c r="I30" s="772"/>
      <c r="J30" s="772"/>
      <c r="K30" s="599">
        <f t="shared" si="1"/>
        <v>0</v>
      </c>
      <c r="L30" s="599">
        <f t="shared" si="2"/>
        <v>0</v>
      </c>
      <c r="M30" s="772"/>
      <c r="N30" s="772"/>
    </row>
    <row r="31" spans="1:14" s="476" customFormat="1">
      <c r="A31" s="768">
        <v>23</v>
      </c>
      <c r="B31" s="771"/>
      <c r="C31" s="772"/>
      <c r="D31" s="772"/>
      <c r="E31" s="772"/>
      <c r="F31" s="772"/>
      <c r="G31" s="772"/>
      <c r="H31" s="599">
        <f t="shared" si="0"/>
        <v>0</v>
      </c>
      <c r="I31" s="772"/>
      <c r="J31" s="772"/>
      <c r="K31" s="599">
        <f t="shared" si="1"/>
        <v>0</v>
      </c>
      <c r="L31" s="599">
        <f t="shared" si="2"/>
        <v>0</v>
      </c>
      <c r="M31" s="772"/>
      <c r="N31" s="772"/>
    </row>
    <row r="32" spans="1:14" s="476" customFormat="1">
      <c r="A32" s="768">
        <v>24</v>
      </c>
      <c r="B32" s="771"/>
      <c r="C32" s="772"/>
      <c r="D32" s="772"/>
      <c r="E32" s="772"/>
      <c r="F32" s="772"/>
      <c r="G32" s="772"/>
      <c r="H32" s="599">
        <f t="shared" si="0"/>
        <v>0</v>
      </c>
      <c r="I32" s="772"/>
      <c r="J32" s="772"/>
      <c r="K32" s="599">
        <f t="shared" si="1"/>
        <v>0</v>
      </c>
      <c r="L32" s="599">
        <f t="shared" si="2"/>
        <v>0</v>
      </c>
      <c r="M32" s="772"/>
      <c r="N32" s="772"/>
    </row>
    <row r="33" spans="1:14" s="476" customFormat="1">
      <c r="A33" s="768">
        <v>25</v>
      </c>
      <c r="B33" s="771"/>
      <c r="C33" s="772"/>
      <c r="D33" s="772"/>
      <c r="E33" s="772"/>
      <c r="F33" s="772"/>
      <c r="G33" s="772"/>
      <c r="H33" s="599">
        <f t="shared" si="0"/>
        <v>0</v>
      </c>
      <c r="I33" s="772"/>
      <c r="J33" s="772"/>
      <c r="K33" s="599">
        <f t="shared" si="1"/>
        <v>0</v>
      </c>
      <c r="L33" s="599">
        <f t="shared" si="2"/>
        <v>0</v>
      </c>
      <c r="M33" s="772"/>
      <c r="N33" s="772"/>
    </row>
    <row r="34" spans="1:14" s="476" customFormat="1">
      <c r="A34" s="768">
        <v>26</v>
      </c>
      <c r="B34" s="771"/>
      <c r="C34" s="772"/>
      <c r="D34" s="772"/>
      <c r="E34" s="772"/>
      <c r="F34" s="772"/>
      <c r="G34" s="772"/>
      <c r="H34" s="599">
        <f t="shared" si="0"/>
        <v>0</v>
      </c>
      <c r="I34" s="772"/>
      <c r="J34" s="772"/>
      <c r="K34" s="599">
        <f t="shared" si="1"/>
        <v>0</v>
      </c>
      <c r="L34" s="599">
        <f t="shared" si="2"/>
        <v>0</v>
      </c>
      <c r="M34" s="772"/>
      <c r="N34" s="772"/>
    </row>
    <row r="35" spans="1:14" s="476" customFormat="1">
      <c r="A35" s="768">
        <v>27</v>
      </c>
      <c r="B35" s="771"/>
      <c r="C35" s="772"/>
      <c r="D35" s="772"/>
      <c r="E35" s="772"/>
      <c r="F35" s="772"/>
      <c r="G35" s="772"/>
      <c r="H35" s="599">
        <f t="shared" si="0"/>
        <v>0</v>
      </c>
      <c r="I35" s="772"/>
      <c r="J35" s="772"/>
      <c r="K35" s="599">
        <f t="shared" si="1"/>
        <v>0</v>
      </c>
      <c r="L35" s="599">
        <f t="shared" si="2"/>
        <v>0</v>
      </c>
      <c r="M35" s="772"/>
      <c r="N35" s="772"/>
    </row>
    <row r="36" spans="1:14" s="476" customFormat="1">
      <c r="A36" s="768">
        <v>28</v>
      </c>
      <c r="B36" s="771"/>
      <c r="C36" s="772"/>
      <c r="D36" s="772"/>
      <c r="E36" s="772"/>
      <c r="F36" s="772"/>
      <c r="G36" s="772"/>
      <c r="H36" s="599">
        <f t="shared" si="0"/>
        <v>0</v>
      </c>
      <c r="I36" s="772"/>
      <c r="J36" s="772"/>
      <c r="K36" s="599">
        <f t="shared" si="1"/>
        <v>0</v>
      </c>
      <c r="L36" s="599">
        <f t="shared" si="2"/>
        <v>0</v>
      </c>
      <c r="M36" s="772"/>
      <c r="N36" s="772"/>
    </row>
    <row r="37" spans="1:14" s="476" customFormat="1">
      <c r="A37" s="768">
        <v>29</v>
      </c>
      <c r="B37" s="771"/>
      <c r="C37" s="772"/>
      <c r="D37" s="772"/>
      <c r="E37" s="772"/>
      <c r="F37" s="772"/>
      <c r="G37" s="772"/>
      <c r="H37" s="599">
        <f t="shared" si="0"/>
        <v>0</v>
      </c>
      <c r="I37" s="772"/>
      <c r="J37" s="772"/>
      <c r="K37" s="599">
        <f t="shared" si="1"/>
        <v>0</v>
      </c>
      <c r="L37" s="599">
        <f t="shared" si="2"/>
        <v>0</v>
      </c>
      <c r="M37" s="772"/>
      <c r="N37" s="772"/>
    </row>
    <row r="38" spans="1:14" s="476" customFormat="1">
      <c r="A38" s="768">
        <v>30</v>
      </c>
      <c r="B38" s="771"/>
      <c r="C38" s="772"/>
      <c r="D38" s="772"/>
      <c r="E38" s="772"/>
      <c r="F38" s="772"/>
      <c r="G38" s="772"/>
      <c r="H38" s="599">
        <f t="shared" si="0"/>
        <v>0</v>
      </c>
      <c r="I38" s="772"/>
      <c r="J38" s="772"/>
      <c r="K38" s="599">
        <f t="shared" si="1"/>
        <v>0</v>
      </c>
      <c r="L38" s="599">
        <f t="shared" si="2"/>
        <v>0</v>
      </c>
      <c r="M38" s="772"/>
      <c r="N38" s="772"/>
    </row>
    <row r="39" spans="1:14" s="476" customFormat="1">
      <c r="A39" s="768">
        <v>31</v>
      </c>
      <c r="B39" s="771"/>
      <c r="C39" s="772"/>
      <c r="D39" s="772"/>
      <c r="E39" s="772"/>
      <c r="F39" s="772"/>
      <c r="G39" s="772"/>
      <c r="H39" s="599">
        <f>F39*G39</f>
        <v>0</v>
      </c>
      <c r="I39" s="772"/>
      <c r="J39" s="772"/>
      <c r="K39" s="599">
        <f>I39*J39</f>
        <v>0</v>
      </c>
      <c r="L39" s="599">
        <f>H39+K39</f>
        <v>0</v>
      </c>
      <c r="M39" s="772"/>
      <c r="N39" s="772"/>
    </row>
    <row r="40" spans="1:14" s="476" customFormat="1">
      <c r="A40" s="477"/>
      <c r="B40" s="477" t="s">
        <v>867</v>
      </c>
      <c r="C40" s="477"/>
      <c r="D40" s="477"/>
      <c r="E40" s="477"/>
      <c r="F40" s="477"/>
      <c r="G40" s="477"/>
      <c r="H40" s="600">
        <f>SUM(H9:H39)</f>
        <v>0</v>
      </c>
      <c r="I40" s="600"/>
      <c r="J40" s="600"/>
      <c r="K40" s="600">
        <f>SUM(K9:K39)</f>
        <v>0</v>
      </c>
      <c r="L40" s="600">
        <f>SUM(L9:L39)</f>
        <v>0</v>
      </c>
      <c r="M40" s="600">
        <f>SUM(M9:M39)</f>
        <v>0</v>
      </c>
      <c r="N40" s="600">
        <f>SUM(N9:N39)</f>
        <v>0</v>
      </c>
    </row>
    <row r="41" spans="1:14">
      <c r="A41" s="475"/>
      <c r="B41" s="475"/>
      <c r="C41" s="475"/>
      <c r="D41" s="475"/>
      <c r="E41" s="475"/>
      <c r="F41" s="475"/>
      <c r="G41" s="475"/>
      <c r="H41" s="475"/>
      <c r="I41" s="475"/>
      <c r="J41" s="475"/>
      <c r="K41" s="475"/>
      <c r="L41" s="475"/>
      <c r="M41" s="475"/>
      <c r="N41" s="475"/>
    </row>
    <row r="42" spans="1:14">
      <c r="A42" s="300" t="s">
        <v>329</v>
      </c>
      <c r="F42" s="657"/>
      <c r="G42" s="657"/>
      <c r="H42" s="657"/>
      <c r="I42" s="657"/>
      <c r="J42" s="657"/>
      <c r="K42" s="657"/>
      <c r="L42" s="657"/>
      <c r="M42" s="657"/>
      <c r="N42" s="657"/>
    </row>
    <row r="43" spans="1:14">
      <c r="A43" s="300"/>
      <c r="F43" s="657"/>
      <c r="G43" s="657"/>
      <c r="H43" s="657"/>
      <c r="I43" s="657"/>
      <c r="J43" s="657"/>
      <c r="K43" s="657"/>
      <c r="L43" s="657"/>
      <c r="M43" s="657"/>
      <c r="N43" s="657"/>
    </row>
    <row r="44" spans="1:14">
      <c r="A44" s="426" t="s">
        <v>330</v>
      </c>
      <c r="F44" s="657"/>
      <c r="G44" s="657"/>
      <c r="H44" s="657"/>
      <c r="I44" s="657"/>
      <c r="J44" s="657"/>
      <c r="K44" s="657"/>
      <c r="L44" s="657"/>
      <c r="M44" s="657"/>
      <c r="N44" s="657"/>
    </row>
    <row r="45" spans="1:14">
      <c r="A45" s="426" t="s">
        <v>332</v>
      </c>
      <c r="F45" s="657"/>
      <c r="G45" s="657"/>
      <c r="H45" s="657"/>
      <c r="I45" s="657"/>
      <c r="J45" s="657"/>
      <c r="K45" s="657"/>
      <c r="L45" s="657"/>
      <c r="M45" s="657"/>
      <c r="N45" s="657"/>
    </row>
    <row r="46" spans="1:14">
      <c r="A46" s="427"/>
      <c r="F46" s="657"/>
      <c r="G46" s="657"/>
      <c r="H46" s="657"/>
      <c r="I46" s="657"/>
      <c r="J46" s="657"/>
      <c r="K46" s="657"/>
      <c r="L46" s="657"/>
      <c r="M46" s="657"/>
      <c r="N46" s="657"/>
    </row>
    <row r="47" spans="1:14">
      <c r="A47" s="426" t="s">
        <v>333</v>
      </c>
      <c r="F47" s="657"/>
      <c r="G47" s="657"/>
      <c r="H47" s="657"/>
      <c r="I47" s="657"/>
      <c r="J47" s="657"/>
      <c r="K47" s="657"/>
      <c r="L47" s="657"/>
      <c r="M47" s="657"/>
      <c r="N47" s="657"/>
    </row>
  </sheetData>
  <sheetProtection password="9690" sheet="1" formatColumns="0" insertRows="0" deleteRows="0"/>
  <mergeCells count="9">
    <mergeCell ref="A7:A8"/>
    <mergeCell ref="B7:B8"/>
    <mergeCell ref="C7:C8"/>
    <mergeCell ref="M7:N7"/>
    <mergeCell ref="L7:L8"/>
    <mergeCell ref="D7:D8"/>
    <mergeCell ref="E7:E8"/>
    <mergeCell ref="F7:H7"/>
    <mergeCell ref="I7:K7"/>
  </mergeCells>
  <pageMargins left="0.7" right="0.7" top="0.75" bottom="0.75" header="0.3" footer="0.3"/>
  <pageSetup paperSize="9" scale="93" fitToHeight="0" orientation="landscape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Лист18">
    <tabColor rgb="FF7030A0"/>
    <pageSetUpPr fitToPage="1"/>
  </sheetPr>
  <dimension ref="A1:K27"/>
  <sheetViews>
    <sheetView workbookViewId="0">
      <selection activeCell="D40" sqref="D40"/>
    </sheetView>
  </sheetViews>
  <sheetFormatPr defaultColWidth="9.140625" defaultRowHeight="15" outlineLevelRow="1"/>
  <cols>
    <col min="1" max="1" width="5.28515625" style="313" customWidth="1"/>
    <col min="2" max="2" width="31.85546875" style="312" customWidth="1"/>
    <col min="3" max="3" width="9.85546875" style="313" customWidth="1"/>
    <col min="4" max="4" width="17.7109375" style="313" customWidth="1"/>
    <col min="5" max="5" width="10.140625" style="313" customWidth="1"/>
    <col min="6" max="6" width="11.140625" style="313" customWidth="1"/>
    <col min="7" max="7" width="10.28515625" style="313" customWidth="1"/>
    <col min="8" max="8" width="14.140625" style="313" customWidth="1"/>
    <col min="9" max="9" width="13.5703125" style="313" customWidth="1"/>
    <col min="10" max="10" width="13" style="313" customWidth="1"/>
    <col min="11" max="11" width="9.85546875" style="313" customWidth="1"/>
    <col min="12" max="13" width="9.42578125" style="313" customWidth="1"/>
    <col min="14" max="16384" width="9.140625" style="313"/>
  </cols>
  <sheetData>
    <row r="1" spans="1:11" ht="15.75">
      <c r="I1" s="834" t="s">
        <v>267</v>
      </c>
      <c r="J1" s="671" t="s">
        <v>628</v>
      </c>
    </row>
    <row r="2" spans="1:11" s="680" customFormat="1" ht="14.25" customHeight="1">
      <c r="A2" s="695" t="s">
        <v>3681</v>
      </c>
      <c r="B2" s="678"/>
      <c r="C2" s="678"/>
      <c r="D2" s="678"/>
      <c r="E2" s="678"/>
      <c r="F2" s="678"/>
      <c r="G2" s="678"/>
      <c r="H2" s="678"/>
      <c r="I2" s="678"/>
      <c r="J2" s="678"/>
      <c r="K2" s="679"/>
    </row>
    <row r="3" spans="1:11" ht="15.75">
      <c r="A3" s="45"/>
      <c r="B3" s="314"/>
      <c r="C3" s="315"/>
      <c r="D3" s="315"/>
      <c r="E3" s="315"/>
      <c r="F3" s="315"/>
      <c r="G3" s="315"/>
      <c r="H3" s="315"/>
      <c r="I3" s="315"/>
      <c r="J3" s="315"/>
    </row>
    <row r="4" spans="1:11" s="746" customFormat="1" ht="15.75">
      <c r="A4" s="656" t="s">
        <v>3401</v>
      </c>
      <c r="B4" s="826"/>
      <c r="C4" s="826"/>
      <c r="D4" s="826"/>
      <c r="E4" s="826"/>
      <c r="F4" s="826"/>
      <c r="G4" s="826"/>
      <c r="H4" s="826"/>
      <c r="I4" s="826"/>
      <c r="J4" s="835"/>
    </row>
    <row r="5" spans="1:11" ht="15.75">
      <c r="A5" s="168" t="s">
        <v>990</v>
      </c>
      <c r="B5" s="317"/>
      <c r="C5" s="317"/>
      <c r="D5" s="317"/>
      <c r="E5" s="317"/>
      <c r="F5" s="317"/>
      <c r="G5" s="317"/>
      <c r="H5" s="317"/>
      <c r="I5" s="316"/>
      <c r="J5" s="318" t="s">
        <v>254</v>
      </c>
    </row>
    <row r="6" spans="1:11" ht="15.75">
      <c r="A6" s="168"/>
      <c r="B6" s="317"/>
      <c r="C6" s="317"/>
      <c r="D6" s="317"/>
      <c r="E6" s="317"/>
      <c r="F6" s="317"/>
      <c r="G6" s="317"/>
      <c r="H6" s="317"/>
      <c r="I6" s="316"/>
      <c r="J6" s="318"/>
    </row>
    <row r="7" spans="1:11" ht="15" customHeight="1">
      <c r="A7" s="4195" t="s">
        <v>2</v>
      </c>
      <c r="B7" s="4195" t="s">
        <v>1071</v>
      </c>
      <c r="C7" s="4195" t="s">
        <v>3682</v>
      </c>
      <c r="D7" s="4196" t="s">
        <v>3683</v>
      </c>
      <c r="E7" s="4196" t="s">
        <v>3684</v>
      </c>
      <c r="F7" s="4196" t="s">
        <v>3685</v>
      </c>
      <c r="G7" s="4178" t="s">
        <v>999</v>
      </c>
      <c r="H7" s="4178" t="s">
        <v>345</v>
      </c>
      <c r="I7" s="4221" t="s">
        <v>255</v>
      </c>
      <c r="J7" s="4222"/>
    </row>
    <row r="8" spans="1:11" s="320" customFormat="1" ht="15" customHeight="1">
      <c r="A8" s="4195"/>
      <c r="B8" s="4195"/>
      <c r="C8" s="4195"/>
      <c r="D8" s="4197"/>
      <c r="E8" s="4197"/>
      <c r="F8" s="4197"/>
      <c r="G8" s="4223"/>
      <c r="H8" s="4223"/>
      <c r="I8" s="239" t="s">
        <v>7</v>
      </c>
      <c r="J8" s="319" t="s">
        <v>8</v>
      </c>
    </row>
    <row r="9" spans="1:11" s="320" customFormat="1" ht="15.75">
      <c r="A9" s="225"/>
      <c r="B9" s="224" t="s">
        <v>20</v>
      </c>
      <c r="C9" s="239"/>
      <c r="D9" s="239"/>
      <c r="E9" s="239"/>
      <c r="F9" s="239"/>
      <c r="G9" s="239"/>
      <c r="H9" s="529">
        <f>SUM(H10:H15)</f>
        <v>0</v>
      </c>
      <c r="I9" s="529">
        <f>SUM(I10:I15)</f>
        <v>0</v>
      </c>
      <c r="J9" s="529">
        <f>SUM(J10:J15)</f>
        <v>0</v>
      </c>
    </row>
    <row r="10" spans="1:11" s="248" customFormat="1" ht="15.75" outlineLevel="1">
      <c r="A10" s="836">
        <v>1</v>
      </c>
      <c r="B10" s="837" t="s">
        <v>3686</v>
      </c>
      <c r="C10" s="836"/>
      <c r="D10" s="836"/>
      <c r="E10" s="836"/>
      <c r="F10" s="828"/>
      <c r="G10" s="828"/>
      <c r="H10" s="222">
        <f t="shared" ref="H10:H15" si="0">E10*F10*G10</f>
        <v>0</v>
      </c>
      <c r="I10" s="841"/>
      <c r="J10" s="842"/>
    </row>
    <row r="11" spans="1:11" s="248" customFormat="1" ht="15.75" outlineLevel="1">
      <c r="A11" s="836">
        <v>2</v>
      </c>
      <c r="B11" s="837" t="s">
        <v>3687</v>
      </c>
      <c r="C11" s="836"/>
      <c r="D11" s="836"/>
      <c r="E11" s="836"/>
      <c r="F11" s="828"/>
      <c r="G11" s="828"/>
      <c r="H11" s="222">
        <f t="shared" si="0"/>
        <v>0</v>
      </c>
      <c r="I11" s="841"/>
      <c r="J11" s="842"/>
    </row>
    <row r="12" spans="1:11" s="248" customFormat="1" ht="15.75" outlineLevel="1">
      <c r="A12" s="836">
        <v>3</v>
      </c>
      <c r="B12" s="837" t="s">
        <v>3687</v>
      </c>
      <c r="C12" s="836"/>
      <c r="D12" s="836"/>
      <c r="E12" s="836"/>
      <c r="F12" s="828"/>
      <c r="G12" s="828"/>
      <c r="H12" s="222">
        <f t="shared" si="0"/>
        <v>0</v>
      </c>
      <c r="I12" s="841"/>
      <c r="J12" s="842"/>
    </row>
    <row r="13" spans="1:11" s="248" customFormat="1" ht="15.75" outlineLevel="1">
      <c r="A13" s="836">
        <v>4</v>
      </c>
      <c r="B13" s="837" t="s">
        <v>3688</v>
      </c>
      <c r="C13" s="836"/>
      <c r="D13" s="836"/>
      <c r="E13" s="836"/>
      <c r="F13" s="828"/>
      <c r="G13" s="828"/>
      <c r="H13" s="222">
        <f t="shared" si="0"/>
        <v>0</v>
      </c>
      <c r="I13" s="841"/>
      <c r="J13" s="842"/>
    </row>
    <row r="14" spans="1:11" ht="15.75">
      <c r="A14" s="836">
        <v>5</v>
      </c>
      <c r="B14" s="838" t="s">
        <v>3689</v>
      </c>
      <c r="C14" s="838"/>
      <c r="D14" s="838"/>
      <c r="E14" s="838"/>
      <c r="F14" s="838"/>
      <c r="G14" s="838"/>
      <c r="H14" s="222">
        <f t="shared" si="0"/>
        <v>0</v>
      </c>
      <c r="I14" s="838"/>
      <c r="J14" s="843"/>
    </row>
    <row r="15" spans="1:11" ht="15.75">
      <c r="A15" s="836">
        <v>6</v>
      </c>
      <c r="B15" s="839" t="s">
        <v>3689</v>
      </c>
      <c r="C15" s="840"/>
      <c r="D15" s="840"/>
      <c r="E15" s="840"/>
      <c r="F15" s="840"/>
      <c r="G15" s="840"/>
      <c r="H15" s="222">
        <f t="shared" si="0"/>
        <v>0</v>
      </c>
      <c r="I15" s="840"/>
      <c r="J15" s="840"/>
    </row>
    <row r="18" spans="1:11" ht="15.75">
      <c r="A18" s="315"/>
      <c r="B18" s="300" t="s">
        <v>329</v>
      </c>
      <c r="C18" s="301"/>
      <c r="D18" s="301"/>
      <c r="E18" s="301"/>
      <c r="F18" s="710"/>
      <c r="G18" s="758"/>
      <c r="H18" s="744"/>
      <c r="I18" s="716"/>
      <c r="J18" s="746"/>
      <c r="K18" s="312"/>
    </row>
    <row r="19" spans="1:11" ht="15.75">
      <c r="A19" s="315"/>
      <c r="B19" s="300"/>
      <c r="C19" s="301"/>
      <c r="D19" s="301"/>
      <c r="E19" s="301"/>
      <c r="F19" s="710"/>
      <c r="G19" s="758"/>
      <c r="H19" s="744"/>
      <c r="I19" s="718"/>
      <c r="J19" s="746"/>
      <c r="K19" s="312"/>
    </row>
    <row r="20" spans="1:11" ht="15.75">
      <c r="A20" s="315"/>
      <c r="B20" s="345" t="s">
        <v>330</v>
      </c>
      <c r="C20" s="301"/>
      <c r="D20" s="301"/>
      <c r="E20" s="301"/>
      <c r="F20" s="710"/>
      <c r="G20" s="758"/>
      <c r="H20" s="744"/>
      <c r="I20" s="844"/>
      <c r="J20" s="746"/>
    </row>
    <row r="21" spans="1:11" ht="15.75">
      <c r="A21" s="315"/>
      <c r="B21" s="345" t="s">
        <v>332</v>
      </c>
      <c r="C21" s="301"/>
      <c r="D21" s="301"/>
      <c r="E21" s="301"/>
      <c r="F21" s="710"/>
      <c r="G21" s="758"/>
      <c r="H21" s="744"/>
      <c r="I21" s="716"/>
      <c r="J21" s="746"/>
    </row>
    <row r="22" spans="1:11" ht="15.75">
      <c r="A22" s="315"/>
      <c r="B22" s="346"/>
      <c r="C22" s="301"/>
      <c r="D22" s="301"/>
      <c r="E22" s="301"/>
      <c r="F22" s="710"/>
      <c r="G22" s="758"/>
      <c r="H22" s="744"/>
      <c r="I22" s="716"/>
      <c r="J22" s="835"/>
    </row>
    <row r="23" spans="1:11" ht="15.75">
      <c r="A23" s="315"/>
      <c r="B23" s="345" t="s">
        <v>333</v>
      </c>
      <c r="C23" s="301"/>
      <c r="D23" s="301"/>
      <c r="E23" s="301"/>
      <c r="F23" s="710"/>
      <c r="G23" s="758"/>
      <c r="H23" s="744"/>
      <c r="I23" s="716"/>
      <c r="J23" s="835"/>
    </row>
    <row r="24" spans="1:11" ht="15.75">
      <c r="A24" s="315"/>
      <c r="B24" s="314"/>
      <c r="C24" s="315"/>
      <c r="D24" s="315"/>
      <c r="E24" s="315"/>
      <c r="F24" s="315"/>
      <c r="G24" s="315"/>
      <c r="H24" s="315"/>
      <c r="I24" s="315"/>
      <c r="J24" s="315"/>
    </row>
    <row r="25" spans="1:11" ht="15.75">
      <c r="A25" s="315"/>
      <c r="B25" s="314"/>
      <c r="C25" s="315"/>
      <c r="D25" s="315"/>
      <c r="E25" s="315"/>
      <c r="F25" s="315"/>
      <c r="G25" s="315"/>
      <c r="H25" s="315"/>
      <c r="I25" s="315"/>
      <c r="J25" s="315"/>
    </row>
    <row r="26" spans="1:11" ht="15.75">
      <c r="A26" s="315"/>
      <c r="B26" s="314"/>
      <c r="C26" s="315"/>
      <c r="D26" s="315"/>
      <c r="E26" s="315"/>
      <c r="F26" s="315"/>
      <c r="G26" s="315"/>
      <c r="H26" s="315"/>
      <c r="I26" s="315"/>
      <c r="J26" s="315"/>
    </row>
    <row r="27" spans="1:11" ht="15.75">
      <c r="A27" s="315"/>
      <c r="B27" s="314"/>
      <c r="C27" s="315"/>
      <c r="D27" s="315"/>
      <c r="E27" s="315"/>
      <c r="F27" s="315"/>
      <c r="G27" s="315"/>
      <c r="H27" s="315"/>
      <c r="I27" s="315"/>
      <c r="J27" s="315"/>
    </row>
  </sheetData>
  <sheetProtection password="9690" sheet="1" formatColumns="0" insertRows="0" deleteRows="0"/>
  <mergeCells count="9">
    <mergeCell ref="I7:J7"/>
    <mergeCell ref="A7:A8"/>
    <mergeCell ref="B7:B8"/>
    <mergeCell ref="C7:C8"/>
    <mergeCell ref="F7:F8"/>
    <mergeCell ref="G7:G8"/>
    <mergeCell ref="H7:H8"/>
    <mergeCell ref="D7:D8"/>
    <mergeCell ref="E7:E8"/>
  </mergeCells>
  <phoneticPr fontId="40" type="noConversion"/>
  <pageMargins left="0" right="0" top="0" bottom="0" header="0" footer="0"/>
  <pageSetup paperSize="9" fitToHeight="0" orientation="landscape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tabColor rgb="FFFF0000"/>
    <pageSetUpPr fitToPage="1"/>
  </sheetPr>
  <dimension ref="A1:T108"/>
  <sheetViews>
    <sheetView topLeftCell="A5" zoomScaleSheetLayoutView="100" workbookViewId="0">
      <selection activeCell="E10" sqref="E10"/>
    </sheetView>
  </sheetViews>
  <sheetFormatPr defaultColWidth="9.140625" defaultRowHeight="15.75"/>
  <cols>
    <col min="1" max="1" width="10.85546875" style="293" customWidth="1"/>
    <col min="2" max="2" width="30.7109375" style="282" customWidth="1"/>
    <col min="3" max="3" width="14.7109375" style="282" customWidth="1"/>
    <col min="4" max="4" width="11" style="282" customWidth="1"/>
    <col min="5" max="5" width="11.85546875" style="293" customWidth="1"/>
    <col min="6" max="6" width="11.28515625" style="293" customWidth="1"/>
    <col min="7" max="7" width="11.5703125" style="293" customWidth="1"/>
    <col min="8" max="8" width="17.5703125" style="282" customWidth="1"/>
    <col min="9" max="9" width="14.85546875" style="282" bestFit="1" customWidth="1"/>
    <col min="10" max="10" width="12.42578125" style="282" customWidth="1"/>
    <col min="11" max="11" width="12.28515625" style="281" customWidth="1"/>
    <col min="12" max="12" width="13.42578125" style="281" customWidth="1"/>
    <col min="13" max="13" width="16.140625" style="282" customWidth="1"/>
    <col min="14" max="14" width="12.28515625" style="282" customWidth="1"/>
    <col min="15" max="15" width="11.85546875" style="282" customWidth="1"/>
    <col min="16" max="16" width="14" style="282" customWidth="1"/>
    <col min="17" max="17" width="12.85546875" style="282" customWidth="1"/>
    <col min="18" max="18" width="9.5703125" style="282" bestFit="1" customWidth="1"/>
    <col min="19" max="16384" width="9.140625" style="282"/>
  </cols>
  <sheetData>
    <row r="1" spans="1:14" ht="20.25" customHeight="1">
      <c r="M1" s="541" t="s">
        <v>267</v>
      </c>
      <c r="N1" s="671" t="s">
        <v>606</v>
      </c>
    </row>
    <row r="2" spans="1:14" s="744" customFormat="1" ht="18" customHeight="1">
      <c r="A2" s="695" t="s">
        <v>3547</v>
      </c>
      <c r="B2" s="849"/>
      <c r="C2" s="849"/>
      <c r="D2" s="849"/>
      <c r="E2" s="849"/>
      <c r="F2" s="849"/>
      <c r="G2" s="849"/>
      <c r="H2" s="849"/>
      <c r="I2" s="3814" t="s">
        <v>3375</v>
      </c>
      <c r="J2" s="849"/>
      <c r="K2" s="866"/>
      <c r="L2" s="866"/>
    </row>
    <row r="3" spans="1:14" ht="18.75" customHeight="1">
      <c r="A3" s="45"/>
      <c r="B3" s="280"/>
      <c r="C3" s="280"/>
      <c r="D3" s="280"/>
      <c r="E3" s="280"/>
      <c r="F3" s="280"/>
      <c r="G3" s="280"/>
      <c r="H3" s="280"/>
      <c r="I3" s="3815"/>
      <c r="J3" s="280"/>
    </row>
    <row r="4" spans="1:14" s="744" customFormat="1" ht="18.75" customHeight="1">
      <c r="A4" s="656" t="s">
        <v>3376</v>
      </c>
      <c r="B4" s="852"/>
      <c r="C4" s="852"/>
      <c r="D4" s="852"/>
      <c r="E4" s="852"/>
      <c r="F4" s="852"/>
      <c r="G4" s="852"/>
      <c r="H4" s="852"/>
      <c r="I4" s="852"/>
      <c r="J4" s="738"/>
      <c r="K4" s="866"/>
      <c r="L4" s="866"/>
    </row>
    <row r="5" spans="1:14" ht="18" customHeight="1">
      <c r="A5" s="168" t="s">
        <v>990</v>
      </c>
      <c r="B5" s="283"/>
      <c r="C5" s="283"/>
      <c r="D5" s="283"/>
      <c r="E5" s="283"/>
      <c r="F5" s="283"/>
      <c r="G5" s="283"/>
      <c r="H5" s="283"/>
      <c r="I5" s="283"/>
      <c r="J5" s="177"/>
    </row>
    <row r="6" spans="1:14" ht="19.5" customHeight="1">
      <c r="A6" s="284"/>
      <c r="B6" s="284"/>
      <c r="C6" s="284"/>
      <c r="D6" s="284"/>
      <c r="E6" s="284"/>
      <c r="F6" s="284"/>
      <c r="G6" s="285"/>
      <c r="H6" s="284"/>
      <c r="I6" s="177"/>
      <c r="N6" s="876" t="s">
        <v>254</v>
      </c>
    </row>
    <row r="7" spans="1:14" s="227" customFormat="1" ht="36.75" customHeight="1">
      <c r="A7" s="4178" t="s">
        <v>2</v>
      </c>
      <c r="B7" s="4178" t="s">
        <v>3377</v>
      </c>
      <c r="C7" s="4160" t="s">
        <v>3549</v>
      </c>
      <c r="D7" s="4180" t="s">
        <v>1092</v>
      </c>
      <c r="E7" s="4162" t="s">
        <v>255</v>
      </c>
      <c r="F7" s="4182"/>
      <c r="G7" s="4163"/>
      <c r="H7" s="4160" t="s">
        <v>3550</v>
      </c>
      <c r="I7" s="4160" t="s">
        <v>3551</v>
      </c>
      <c r="J7" s="4160" t="s">
        <v>3380</v>
      </c>
      <c r="K7" s="4160" t="s">
        <v>3381</v>
      </c>
      <c r="L7" s="4160" t="s">
        <v>345</v>
      </c>
      <c r="M7" s="4162" t="s">
        <v>255</v>
      </c>
      <c r="N7" s="4163"/>
    </row>
    <row r="8" spans="1:14" s="226" customFormat="1" ht="37.5" customHeight="1">
      <c r="A8" s="4179"/>
      <c r="B8" s="4179"/>
      <c r="C8" s="4160"/>
      <c r="D8" s="4181"/>
      <c r="E8" s="286" t="s">
        <v>7</v>
      </c>
      <c r="F8" s="286" t="s">
        <v>8</v>
      </c>
      <c r="G8" s="286" t="s">
        <v>3552</v>
      </c>
      <c r="H8" s="4160"/>
      <c r="I8" s="4160"/>
      <c r="J8" s="4160"/>
      <c r="K8" s="4160"/>
      <c r="L8" s="4160"/>
      <c r="M8" s="286" t="s">
        <v>7</v>
      </c>
      <c r="N8" s="286" t="s">
        <v>8</v>
      </c>
    </row>
    <row r="9" spans="1:14" s="226" customFormat="1" ht="16.5" customHeight="1">
      <c r="A9" s="239"/>
      <c r="B9" s="287" t="s">
        <v>3553</v>
      </c>
      <c r="C9" s="288"/>
      <c r="D9" s="288"/>
      <c r="E9" s="632"/>
      <c r="F9" s="632"/>
      <c r="G9" s="216"/>
      <c r="H9" s="216"/>
      <c r="I9" s="216"/>
      <c r="J9" s="216"/>
      <c r="K9" s="289"/>
      <c r="L9" s="289"/>
      <c r="M9" s="290"/>
      <c r="N9" s="290"/>
    </row>
    <row r="10" spans="1:14" s="226" customFormat="1" ht="18.75" customHeight="1">
      <c r="A10" s="291"/>
      <c r="B10" s="292" t="s">
        <v>3459</v>
      </c>
      <c r="C10" s="291" t="s">
        <v>3383</v>
      </c>
      <c r="D10" s="632">
        <f>E10+F10+G10</f>
        <v>486</v>
      </c>
      <c r="E10" s="720">
        <v>486</v>
      </c>
      <c r="F10" s="720"/>
      <c r="G10" s="877"/>
      <c r="H10" s="877">
        <f>ROUND(E43/D10,2)</f>
        <v>4.0599999999999996</v>
      </c>
      <c r="I10" s="216">
        <f>ROUND(D10*H10,2)</f>
        <v>1973.16</v>
      </c>
      <c r="J10" s="632">
        <v>3</v>
      </c>
      <c r="K10" s="1212">
        <v>134.93</v>
      </c>
      <c r="L10" s="1568">
        <f>ROUND(I10*J10*K10,2)</f>
        <v>798715.44</v>
      </c>
      <c r="M10" s="289">
        <f>L10*E10/D10</f>
        <v>798715.44</v>
      </c>
      <c r="N10" s="633">
        <f>L10-M10</f>
        <v>0</v>
      </c>
    </row>
    <row r="11" spans="1:14" s="226" customFormat="1" ht="19.5" customHeight="1">
      <c r="A11" s="291"/>
      <c r="B11" s="292" t="s">
        <v>3463</v>
      </c>
      <c r="C11" s="291" t="s">
        <v>3383</v>
      </c>
      <c r="D11" s="632">
        <f>E11+F11+G11</f>
        <v>486</v>
      </c>
      <c r="E11" s="720">
        <v>486</v>
      </c>
      <c r="F11" s="720"/>
      <c r="G11" s="877"/>
      <c r="H11" s="877">
        <f>ROUND(E43/D11,2)</f>
        <v>4.0599999999999996</v>
      </c>
      <c r="I11" s="216">
        <f>ROUND(D11*H11,2)</f>
        <v>1973.16</v>
      </c>
      <c r="J11" s="632">
        <v>5</v>
      </c>
      <c r="K11" s="1212">
        <v>134.93</v>
      </c>
      <c r="L11" s="1568">
        <f>ROUND(I11*J11*K11,2)</f>
        <v>1331192.3899999999</v>
      </c>
      <c r="M11" s="289">
        <f t="shared" ref="M11:M20" si="0">L11*E11/D11</f>
        <v>1331192.3899999999</v>
      </c>
      <c r="N11" s="633">
        <f t="shared" ref="N11:N20" si="1">L11-M11</f>
        <v>0</v>
      </c>
    </row>
    <row r="12" spans="1:14" s="226" customFormat="1" ht="20.25" customHeight="1">
      <c r="A12" s="291"/>
      <c r="B12" s="292" t="s">
        <v>3464</v>
      </c>
      <c r="C12" s="291" t="s">
        <v>3383</v>
      </c>
      <c r="D12" s="632">
        <f>E12+F12+G12</f>
        <v>486</v>
      </c>
      <c r="E12" s="720">
        <v>486</v>
      </c>
      <c r="F12" s="720"/>
      <c r="G12" s="877"/>
      <c r="H12" s="877">
        <f>ROUND(E43/D12,2)</f>
        <v>4.0599999999999996</v>
      </c>
      <c r="I12" s="216">
        <f>ROUND(D12*H12,2)</f>
        <v>1973.16</v>
      </c>
      <c r="J12" s="632">
        <v>4</v>
      </c>
      <c r="K12" s="1212">
        <v>134.93</v>
      </c>
      <c r="L12" s="1568">
        <f>ROUND(I12*J12*K12,2)</f>
        <v>1064953.92</v>
      </c>
      <c r="M12" s="289">
        <f t="shared" si="0"/>
        <v>1064953.92</v>
      </c>
      <c r="N12" s="633">
        <f t="shared" si="1"/>
        <v>0</v>
      </c>
    </row>
    <row r="13" spans="1:14" s="226" customFormat="1" ht="23.25" customHeight="1">
      <c r="A13" s="291"/>
      <c r="B13" s="238" t="s">
        <v>20</v>
      </c>
      <c r="C13" s="884"/>
      <c r="D13" s="884"/>
      <c r="E13" s="878"/>
      <c r="F13" s="878"/>
      <c r="G13" s="878"/>
      <c r="H13" s="879"/>
      <c r="I13" s="879"/>
      <c r="J13" s="879"/>
      <c r="K13" s="880"/>
      <c r="L13" s="1569">
        <f>SUM(L10:L12)</f>
        <v>3194861.75</v>
      </c>
      <c r="M13" s="630">
        <f>SUM(M10:M12)</f>
        <v>3194861.75</v>
      </c>
      <c r="N13" s="630">
        <f>SUM(N10:N12)</f>
        <v>0</v>
      </c>
    </row>
    <row r="14" spans="1:14" s="226" customFormat="1" ht="19.5" customHeight="1">
      <c r="A14" s="239"/>
      <c r="B14" s="287" t="s">
        <v>3554</v>
      </c>
      <c r="C14" s="709"/>
      <c r="D14" s="709"/>
      <c r="E14" s="720"/>
      <c r="F14" s="720"/>
      <c r="G14" s="877"/>
      <c r="H14" s="877"/>
      <c r="I14" s="877"/>
      <c r="J14" s="877"/>
      <c r="K14" s="880"/>
      <c r="L14" s="1569">
        <f>L15+L16+L17</f>
        <v>3058950.48</v>
      </c>
      <c r="M14" s="287">
        <f>M15+M16+M17</f>
        <v>3058950.48</v>
      </c>
      <c r="N14" s="1308">
        <f t="shared" si="1"/>
        <v>0</v>
      </c>
    </row>
    <row r="15" spans="1:14" s="226" customFormat="1" ht="22.5" customHeight="1">
      <c r="A15" s="291"/>
      <c r="B15" s="292" t="s">
        <v>3459</v>
      </c>
      <c r="C15" s="291" t="s">
        <v>3383</v>
      </c>
      <c r="D15" s="632">
        <f>E15+F15+G15</f>
        <v>486</v>
      </c>
      <c r="E15" s="720">
        <v>486</v>
      </c>
      <c r="F15" s="720"/>
      <c r="G15" s="877"/>
      <c r="H15" s="877">
        <f>ROUND(E44/D15,2)</f>
        <v>4.0599999999999996</v>
      </c>
      <c r="I15" s="216">
        <f>ROUND(D15*H15,2)</f>
        <v>1973.16</v>
      </c>
      <c r="J15" s="632">
        <v>3</v>
      </c>
      <c r="K15" s="1212">
        <v>129.19</v>
      </c>
      <c r="L15" s="1568">
        <f>ROUND(I15*J15*K15,2)</f>
        <v>764737.62</v>
      </c>
      <c r="M15" s="290">
        <f t="shared" si="0"/>
        <v>764737.62</v>
      </c>
      <c r="N15" s="633">
        <f t="shared" si="1"/>
        <v>0</v>
      </c>
    </row>
    <row r="16" spans="1:14" s="226" customFormat="1" ht="22.5" customHeight="1">
      <c r="A16" s="291"/>
      <c r="B16" s="292" t="s">
        <v>3463</v>
      </c>
      <c r="C16" s="291" t="s">
        <v>3383</v>
      </c>
      <c r="D16" s="632">
        <f>E16+F16+G16</f>
        <v>486</v>
      </c>
      <c r="E16" s="720">
        <v>486</v>
      </c>
      <c r="F16" s="720"/>
      <c r="G16" s="877"/>
      <c r="H16" s="877">
        <f>ROUND(E44/D16,2)</f>
        <v>4.0599999999999996</v>
      </c>
      <c r="I16" s="216">
        <f>ROUND(D16*H16,2)</f>
        <v>1973.16</v>
      </c>
      <c r="J16" s="632">
        <v>5</v>
      </c>
      <c r="K16" s="1212">
        <v>129.19</v>
      </c>
      <c r="L16" s="1568">
        <f>ROUND(I16*J16*K16,2)</f>
        <v>1274562.7</v>
      </c>
      <c r="M16" s="290">
        <f t="shared" si="0"/>
        <v>1274562.7</v>
      </c>
      <c r="N16" s="633">
        <f t="shared" si="1"/>
        <v>0</v>
      </c>
    </row>
    <row r="17" spans="1:14" s="226" customFormat="1" ht="21.75" customHeight="1">
      <c r="A17" s="291"/>
      <c r="B17" s="292" t="s">
        <v>3464</v>
      </c>
      <c r="C17" s="291" t="s">
        <v>3383</v>
      </c>
      <c r="D17" s="632">
        <f>E17+F17+G17</f>
        <v>486</v>
      </c>
      <c r="E17" s="720">
        <v>486</v>
      </c>
      <c r="F17" s="720"/>
      <c r="G17" s="877"/>
      <c r="H17" s="877">
        <f>ROUND(E44/D16,2)</f>
        <v>4.0599999999999996</v>
      </c>
      <c r="I17" s="216">
        <f>ROUND(D17*H17,2)</f>
        <v>1973.16</v>
      </c>
      <c r="J17" s="632">
        <v>4</v>
      </c>
      <c r="K17" s="1212">
        <v>129.19</v>
      </c>
      <c r="L17" s="1568">
        <f>ROUND(I17*J17*K17,2)</f>
        <v>1019650.16</v>
      </c>
      <c r="M17" s="290">
        <f t="shared" si="0"/>
        <v>1019650.16</v>
      </c>
      <c r="N17" s="633">
        <f t="shared" si="1"/>
        <v>0</v>
      </c>
    </row>
    <row r="18" spans="1:14" s="226" customFormat="1" ht="18.75" customHeight="1">
      <c r="A18" s="291"/>
      <c r="B18" s="238" t="s">
        <v>20</v>
      </c>
      <c r="C18" s="709"/>
      <c r="D18" s="709"/>
      <c r="E18" s="720"/>
      <c r="F18" s="720"/>
      <c r="G18" s="877"/>
      <c r="H18" s="877"/>
      <c r="I18" s="877"/>
      <c r="J18" s="877"/>
      <c r="K18" s="880"/>
      <c r="L18" s="1569">
        <f>SUM(L15:L17)</f>
        <v>3058950.48</v>
      </c>
      <c r="M18" s="630">
        <f>SUM(M15:M17)</f>
        <v>3058950.48</v>
      </c>
      <c r="N18" s="630">
        <f>SUM(N15:N17)</f>
        <v>0</v>
      </c>
    </row>
    <row r="19" spans="1:14" s="226" customFormat="1" ht="24.75" customHeight="1">
      <c r="A19" s="291"/>
      <c r="B19" s="238" t="s">
        <v>3578</v>
      </c>
      <c r="C19" s="709"/>
      <c r="D19" s="709"/>
      <c r="E19" s="720"/>
      <c r="F19" s="720"/>
      <c r="G19" s="877"/>
      <c r="H19" s="877"/>
      <c r="I19" s="216"/>
      <c r="J19" s="216"/>
      <c r="K19" s="880"/>
      <c r="L19" s="629"/>
      <c r="M19" s="290" t="e">
        <f t="shared" si="0"/>
        <v>#DIV/0!</v>
      </c>
      <c r="N19" s="633" t="e">
        <f t="shared" si="1"/>
        <v>#DIV/0!</v>
      </c>
    </row>
    <row r="20" spans="1:14" s="226" customFormat="1" ht="25.5" customHeight="1">
      <c r="A20" s="291"/>
      <c r="B20" s="288" t="s">
        <v>3556</v>
      </c>
      <c r="C20" s="709"/>
      <c r="D20" s="291" t="s">
        <v>3383</v>
      </c>
      <c r="E20" s="291" t="s">
        <v>3383</v>
      </c>
      <c r="F20" s="291" t="s">
        <v>3383</v>
      </c>
      <c r="G20" s="291" t="s">
        <v>3383</v>
      </c>
      <c r="H20" s="877"/>
      <c r="I20" s="720"/>
      <c r="J20" s="632">
        <v>6</v>
      </c>
      <c r="K20" s="880"/>
      <c r="L20" s="629">
        <f>I20*J20*K20</f>
        <v>0</v>
      </c>
      <c r="M20" s="290" t="e">
        <f t="shared" si="0"/>
        <v>#VALUE!</v>
      </c>
      <c r="N20" s="633" t="e">
        <f t="shared" si="1"/>
        <v>#VALUE!</v>
      </c>
    </row>
    <row r="21" spans="1:14" s="228" customFormat="1" ht="25.5" customHeight="1">
      <c r="A21" s="291"/>
      <c r="B21" s="238" t="s">
        <v>20</v>
      </c>
      <c r="C21" s="884"/>
      <c r="D21" s="884"/>
      <c r="E21" s="878"/>
      <c r="F21" s="878"/>
      <c r="G21" s="879"/>
      <c r="H21" s="879"/>
      <c r="I21" s="879"/>
      <c r="J21" s="879"/>
      <c r="K21" s="881"/>
      <c r="L21" s="630">
        <f>SUM(L20)</f>
        <v>0</v>
      </c>
      <c r="M21" s="630" t="e">
        <f>SUM(M20)</f>
        <v>#VALUE!</v>
      </c>
      <c r="N21" s="630" t="e">
        <f>SUM(N20)</f>
        <v>#VALUE!</v>
      </c>
    </row>
    <row r="22" spans="1:14" s="226" customFormat="1" ht="21.75" customHeight="1">
      <c r="A22" s="239"/>
      <c r="B22" s="238" t="s">
        <v>306</v>
      </c>
      <c r="C22" s="883"/>
      <c r="D22" s="883"/>
      <c r="E22" s="883"/>
      <c r="F22" s="883"/>
      <c r="G22" s="883"/>
      <c r="H22" s="883"/>
      <c r="I22" s="883"/>
      <c r="J22" s="883"/>
      <c r="K22" s="882"/>
      <c r="L22" s="1570">
        <f>L13+L18+L21</f>
        <v>6253812.2300000004</v>
      </c>
      <c r="M22" s="238" t="e">
        <f>M13+M19+M21</f>
        <v>#DIV/0!</v>
      </c>
      <c r="N22" s="631" t="e">
        <f>N13+N19+N21</f>
        <v>#DIV/0!</v>
      </c>
    </row>
    <row r="23" spans="1:14" ht="16.5" customHeight="1">
      <c r="C23" s="294"/>
      <c r="D23" s="294"/>
      <c r="E23" s="295"/>
      <c r="F23" s="295"/>
      <c r="H23" s="296"/>
      <c r="I23" s="297"/>
      <c r="J23" s="217"/>
      <c r="K23" s="296"/>
      <c r="L23" s="298"/>
    </row>
    <row r="24" spans="1:14" ht="20.25" customHeight="1">
      <c r="B24" s="300" t="s">
        <v>329</v>
      </c>
      <c r="C24" s="294"/>
      <c r="D24" s="294"/>
      <c r="E24" s="295"/>
      <c r="F24" s="745"/>
      <c r="G24" s="758"/>
      <c r="H24" s="885"/>
      <c r="I24" s="886"/>
      <c r="J24" s="739"/>
      <c r="K24" s="885"/>
      <c r="L24" s="887"/>
      <c r="M24" s="744"/>
      <c r="N24" s="744"/>
    </row>
    <row r="25" spans="1:14" ht="17.25" customHeight="1">
      <c r="B25" s="300"/>
      <c r="C25" s="294"/>
      <c r="D25" s="294"/>
      <c r="E25" s="295"/>
      <c r="F25" s="745"/>
      <c r="G25" s="758"/>
      <c r="H25" s="888"/>
      <c r="I25" s="886"/>
      <c r="J25" s="739"/>
      <c r="K25" s="888"/>
      <c r="L25" s="887"/>
      <c r="M25" s="744"/>
      <c r="N25" s="744"/>
    </row>
    <row r="26" spans="1:14" ht="21" customHeight="1">
      <c r="B26" s="345" t="s">
        <v>330</v>
      </c>
      <c r="C26" s="294"/>
      <c r="D26" s="294"/>
      <c r="E26" s="295"/>
      <c r="F26" s="745"/>
      <c r="G26" s="758"/>
      <c r="H26" s="889"/>
      <c r="I26" s="886"/>
      <c r="J26" s="739"/>
      <c r="K26" s="889"/>
      <c r="L26" s="890"/>
      <c r="M26" s="744"/>
      <c r="N26" s="744"/>
    </row>
    <row r="27" spans="1:14" ht="21" customHeight="1">
      <c r="B27" s="345" t="s">
        <v>332</v>
      </c>
      <c r="C27" s="294"/>
      <c r="D27" s="294"/>
      <c r="E27" s="295"/>
      <c r="F27" s="745"/>
      <c r="G27" s="758"/>
      <c r="H27" s="889"/>
      <c r="I27" s="739"/>
      <c r="J27" s="739"/>
      <c r="K27" s="889"/>
      <c r="L27" s="890"/>
      <c r="M27" s="744"/>
      <c r="N27" s="744"/>
    </row>
    <row r="28" spans="1:14" ht="21.75" customHeight="1">
      <c r="B28" s="346"/>
      <c r="C28" s="294"/>
      <c r="D28" s="294"/>
      <c r="E28" s="295"/>
      <c r="F28" s="745"/>
      <c r="G28" s="758"/>
      <c r="H28" s="889"/>
      <c r="I28" s="739"/>
      <c r="J28" s="739"/>
      <c r="K28" s="889"/>
      <c r="L28" s="891"/>
      <c r="M28" s="744"/>
      <c r="N28" s="744"/>
    </row>
    <row r="29" spans="1:14" ht="21" customHeight="1">
      <c r="B29" s="345" t="s">
        <v>333</v>
      </c>
      <c r="F29" s="758"/>
      <c r="G29" s="758"/>
      <c r="H29" s="744"/>
      <c r="I29" s="744"/>
      <c r="J29" s="744"/>
      <c r="K29" s="866"/>
      <c r="L29" s="866"/>
      <c r="M29" s="744"/>
      <c r="N29" s="744"/>
    </row>
    <row r="30" spans="1:14" ht="21" hidden="1" customHeight="1">
      <c r="B30" s="541" t="s">
        <v>3387</v>
      </c>
      <c r="C30" s="541" t="s">
        <v>3388</v>
      </c>
      <c r="D30" s="541" t="s">
        <v>1411</v>
      </c>
      <c r="E30" s="541" t="s">
        <v>3598</v>
      </c>
      <c r="F30" s="541" t="s">
        <v>3391</v>
      </c>
      <c r="G30" s="541" t="s">
        <v>3392</v>
      </c>
      <c r="H30" s="282" t="s">
        <v>3393</v>
      </c>
      <c r="I30" s="282" t="s">
        <v>3399</v>
      </c>
      <c r="L30" s="282" t="s">
        <v>3599</v>
      </c>
    </row>
    <row r="31" spans="1:14" ht="23.25" hidden="1" customHeight="1">
      <c r="A31" s="274"/>
      <c r="B31" s="274" t="s">
        <v>3484</v>
      </c>
      <c r="C31" s="274"/>
      <c r="D31" s="274"/>
      <c r="E31" s="274"/>
      <c r="F31" s="274"/>
      <c r="G31" s="274"/>
      <c r="L31" s="282"/>
    </row>
    <row r="32" spans="1:14" ht="18.75" hidden="1" customHeight="1">
      <c r="A32" s="274" t="s">
        <v>3485</v>
      </c>
      <c r="B32" s="274">
        <v>1119</v>
      </c>
      <c r="C32" s="274">
        <v>1210</v>
      </c>
      <c r="D32" s="274">
        <v>970</v>
      </c>
      <c r="E32" s="274">
        <v>1836</v>
      </c>
      <c r="F32" s="274">
        <v>954</v>
      </c>
      <c r="G32" s="274">
        <v>970</v>
      </c>
      <c r="H32" s="282">
        <v>841</v>
      </c>
      <c r="I32" s="281">
        <v>126.1</v>
      </c>
      <c r="J32" s="1211">
        <v>1.07</v>
      </c>
      <c r="K32" s="1211">
        <f>I32*J32</f>
        <v>134.92699999999999</v>
      </c>
      <c r="L32" s="282">
        <f>B32+C32+D32</f>
        <v>3299</v>
      </c>
    </row>
    <row r="33" spans="1:20" ht="19.5" hidden="1" customHeight="1">
      <c r="A33" s="274" t="s">
        <v>3487</v>
      </c>
      <c r="B33" s="274">
        <v>1119</v>
      </c>
      <c r="C33" s="274">
        <v>1210</v>
      </c>
      <c r="D33" s="274">
        <v>970</v>
      </c>
      <c r="E33" s="274">
        <v>1836</v>
      </c>
      <c r="F33" s="274">
        <v>954</v>
      </c>
      <c r="G33" s="274">
        <v>970</v>
      </c>
      <c r="H33" s="282">
        <v>841</v>
      </c>
    </row>
    <row r="34" spans="1:20" ht="18.75" customHeight="1"/>
    <row r="35" spans="1:20" ht="21.75" customHeight="1">
      <c r="A35" s="1547" t="s">
        <v>3495</v>
      </c>
      <c r="B35" s="1274"/>
      <c r="C35" s="1275"/>
      <c r="D35" s="1276"/>
      <c r="E35" s="1275"/>
      <c r="F35" s="1277"/>
      <c r="G35" s="1277"/>
      <c r="H35" s="1278"/>
      <c r="I35" s="1278"/>
      <c r="J35" s="1278"/>
      <c r="K35"/>
      <c r="L35"/>
      <c r="M35"/>
      <c r="N35"/>
      <c r="O35"/>
      <c r="P35"/>
      <c r="Q35"/>
      <c r="R35"/>
      <c r="S35"/>
      <c r="T35"/>
    </row>
    <row r="36" spans="1:20" ht="18.75" customHeight="1">
      <c r="A36" s="1279"/>
      <c r="B36" s="1275"/>
      <c r="C36" s="1275"/>
      <c r="D36" s="1276"/>
      <c r="E36" s="1275"/>
      <c r="F36" s="1277"/>
      <c r="G36" s="1277"/>
      <c r="H36" s="1278"/>
      <c r="I36" s="1278"/>
      <c r="J36" s="1278"/>
      <c r="K36"/>
      <c r="L36"/>
      <c r="M36"/>
      <c r="N36"/>
      <c r="O36"/>
      <c r="P36"/>
      <c r="Q36"/>
      <c r="R36"/>
      <c r="S36"/>
      <c r="T36"/>
    </row>
    <row r="37" spans="1:20" ht="21" customHeight="1">
      <c r="A37" s="1280" t="s">
        <v>3690</v>
      </c>
      <c r="B37" s="1281"/>
      <c r="C37" s="1281"/>
      <c r="D37" s="1281"/>
      <c r="E37" s="580"/>
      <c r="F37" s="1277"/>
      <c r="G37" s="1277"/>
      <c r="H37" s="1278"/>
      <c r="I37" s="1278"/>
      <c r="J37" s="1278"/>
      <c r="K37"/>
      <c r="L37"/>
      <c r="M37"/>
      <c r="N37"/>
      <c r="O37"/>
      <c r="P37"/>
      <c r="Q37"/>
      <c r="R37"/>
      <c r="S37"/>
      <c r="T37"/>
    </row>
    <row r="38" spans="1:20" ht="18.75" customHeight="1">
      <c r="A38" s="1282"/>
      <c r="B38" s="1282"/>
      <c r="C38" s="1282"/>
      <c r="D38" s="1282"/>
      <c r="E38" s="580"/>
      <c r="F38" s="1277"/>
      <c r="G38" s="1277"/>
      <c r="H38" s="1278"/>
      <c r="I38" s="1278"/>
      <c r="J38" s="1278"/>
      <c r="K38"/>
      <c r="L38"/>
      <c r="M38"/>
      <c r="N38"/>
      <c r="O38"/>
      <c r="P38"/>
      <c r="Q38"/>
      <c r="R38"/>
      <c r="S38"/>
      <c r="T38"/>
    </row>
    <row r="39" spans="1:20" ht="16.5" customHeight="1">
      <c r="A39" s="1283"/>
      <c r="B39" s="1283"/>
      <c r="C39" s="1282"/>
      <c r="D39" s="580"/>
      <c r="E39" s="1277"/>
      <c r="F39" s="1277"/>
      <c r="G39" s="1277"/>
      <c r="H39" s="1278"/>
      <c r="I39" s="1278"/>
      <c r="J39" s="1397" t="s">
        <v>254</v>
      </c>
      <c r="K39"/>
      <c r="L39"/>
      <c r="M39"/>
      <c r="N39"/>
      <c r="O39"/>
      <c r="P39"/>
      <c r="Q39"/>
      <c r="R39"/>
      <c r="S39"/>
      <c r="T39"/>
    </row>
    <row r="40" spans="1:20" ht="26.25" customHeight="1">
      <c r="A40" s="4176" t="s">
        <v>34</v>
      </c>
      <c r="B40" s="4176" t="s">
        <v>478</v>
      </c>
      <c r="C40" s="4177" t="s">
        <v>3691</v>
      </c>
      <c r="D40" s="4177" t="s">
        <v>3559</v>
      </c>
      <c r="E40" s="4177" t="s">
        <v>3560</v>
      </c>
      <c r="F40" s="4177" t="s">
        <v>3561</v>
      </c>
      <c r="G40" s="4177" t="s">
        <v>3692</v>
      </c>
      <c r="H40" s="4189" t="s">
        <v>3693</v>
      </c>
      <c r="I40" s="4183" t="s">
        <v>3564</v>
      </c>
      <c r="J40" s="4183"/>
      <c r="K40" s="4177" t="s">
        <v>3565</v>
      </c>
      <c r="L40" s="4009" t="s">
        <v>3566</v>
      </c>
      <c r="M40" s="4009" t="s">
        <v>3567</v>
      </c>
      <c r="N40"/>
      <c r="O40"/>
      <c r="P40"/>
      <c r="Q40"/>
      <c r="R40"/>
      <c r="S40"/>
      <c r="T40"/>
    </row>
    <row r="41" spans="1:20" ht="24.75" customHeight="1">
      <c r="A41" s="4176"/>
      <c r="B41" s="4176"/>
      <c r="C41" s="4177"/>
      <c r="D41" s="4177"/>
      <c r="E41" s="4177"/>
      <c r="F41" s="4177"/>
      <c r="G41" s="4177"/>
      <c r="H41" s="4190"/>
      <c r="I41" s="4183" t="s">
        <v>7</v>
      </c>
      <c r="J41" s="4183" t="s">
        <v>3568</v>
      </c>
      <c r="K41" s="4177"/>
      <c r="L41" s="4009"/>
      <c r="M41" s="4009"/>
      <c r="N41"/>
      <c r="O41"/>
      <c r="P41" t="s">
        <v>3484</v>
      </c>
      <c r="Q41">
        <v>126.1</v>
      </c>
      <c r="R41">
        <v>1.07</v>
      </c>
      <c r="S41">
        <f>Q41*R41</f>
        <v>134.92699999999999</v>
      </c>
      <c r="T41"/>
    </row>
    <row r="42" spans="1:20" ht="21.75" customHeight="1">
      <c r="A42" s="4176"/>
      <c r="B42" s="4176"/>
      <c r="C42" s="4177"/>
      <c r="D42" s="4177"/>
      <c r="E42" s="4177"/>
      <c r="F42" s="4177"/>
      <c r="G42" s="4177"/>
      <c r="H42" s="4191"/>
      <c r="I42" s="4183"/>
      <c r="J42" s="4183"/>
      <c r="K42" s="4177"/>
      <c r="L42" s="4009"/>
      <c r="M42" s="4009"/>
      <c r="N42"/>
      <c r="O42"/>
      <c r="P42" t="s">
        <v>3608</v>
      </c>
      <c r="Q42">
        <v>120.74</v>
      </c>
      <c r="R42">
        <v>1.07</v>
      </c>
      <c r="S42">
        <f>Q42*R42</f>
        <v>129.1918</v>
      </c>
      <c r="T42"/>
    </row>
    <row r="43" spans="1:20" ht="18.75" customHeight="1">
      <c r="A43" s="1548">
        <v>1</v>
      </c>
      <c r="B43" s="1549" t="s">
        <v>3570</v>
      </c>
      <c r="C43" s="1550">
        <v>20.5</v>
      </c>
      <c r="D43" s="1551">
        <v>16567</v>
      </c>
      <c r="E43" s="1552">
        <v>1973.54</v>
      </c>
      <c r="F43" s="1553">
        <f>K43/1.12</f>
        <v>120.4705357142857</v>
      </c>
      <c r="G43" s="1554">
        <f>E43*F43</f>
        <v>237753.42105357139</v>
      </c>
      <c r="H43" s="1554">
        <f>G43*12</f>
        <v>2853041.0526428567</v>
      </c>
      <c r="I43" s="1555">
        <f>H43*10%</f>
        <v>285304.1052642857</v>
      </c>
      <c r="J43" s="1555">
        <f>H43-I43</f>
        <v>2567736.9473785711</v>
      </c>
      <c r="K43" s="1556">
        <f>S41</f>
        <v>134.92699999999999</v>
      </c>
      <c r="L43" s="1557">
        <f>E43*K43</f>
        <v>266283.83158</v>
      </c>
      <c r="M43" s="1557">
        <f>L43*12</f>
        <v>3195405.97896</v>
      </c>
      <c r="N43"/>
      <c r="O43"/>
      <c r="P43"/>
      <c r="Q43"/>
      <c r="R43"/>
      <c r="S43"/>
      <c r="T43"/>
    </row>
    <row r="44" spans="1:20" ht="22.5" customHeight="1">
      <c r="A44" s="1558">
        <v>2</v>
      </c>
      <c r="B44" s="1549" t="s">
        <v>3554</v>
      </c>
      <c r="C44" s="1550">
        <v>20.5</v>
      </c>
      <c r="D44" s="1551">
        <v>16567</v>
      </c>
      <c r="E44" s="1552">
        <v>1973.54</v>
      </c>
      <c r="F44" s="1553">
        <f>K44/1.12</f>
        <v>115.34982142857142</v>
      </c>
      <c r="G44" s="1554">
        <f>E44*F44</f>
        <v>227647.48658214282</v>
      </c>
      <c r="H44" s="1554">
        <f>G44*12</f>
        <v>2731769.8389857141</v>
      </c>
      <c r="I44" s="1555">
        <v>287790</v>
      </c>
      <c r="J44" s="1555">
        <v>2590110</v>
      </c>
      <c r="K44" s="1556">
        <f>S42</f>
        <v>129.1918</v>
      </c>
      <c r="L44" s="1557">
        <f>E44*K44</f>
        <v>254965.18497199999</v>
      </c>
      <c r="M44" s="1557">
        <f>L44*12</f>
        <v>3059582.219664</v>
      </c>
      <c r="N44"/>
      <c r="O44"/>
      <c r="P44"/>
      <c r="Q44"/>
      <c r="R44"/>
      <c r="S44"/>
      <c r="T44"/>
    </row>
    <row r="45" spans="1:20" ht="16.5" customHeight="1">
      <c r="A45" s="1559"/>
      <c r="B45" s="1560" t="s">
        <v>3572</v>
      </c>
      <c r="C45" s="1545"/>
      <c r="D45" s="1545"/>
      <c r="E45" s="1545"/>
      <c r="F45" s="1545"/>
      <c r="G45" s="1559">
        <f>G43+G44</f>
        <v>465400.90763571422</v>
      </c>
      <c r="H45" s="1561">
        <f>H43+H44</f>
        <v>5584810.8916285709</v>
      </c>
      <c r="I45" s="1562">
        <f>I43+I44</f>
        <v>573094.1052642857</v>
      </c>
      <c r="J45" s="1562">
        <f>J43+J44</f>
        <v>5157846.9473785711</v>
      </c>
      <c r="K45" s="1556"/>
      <c r="L45" s="1563">
        <f>SUM(L43:L44)</f>
        <v>521249.01655199996</v>
      </c>
      <c r="M45" s="1563">
        <f>SUM(M43:M44)</f>
        <v>6254988.198624</v>
      </c>
      <c r="N45"/>
      <c r="O45"/>
      <c r="P45"/>
      <c r="Q45"/>
      <c r="R45"/>
      <c r="S45"/>
      <c r="T45"/>
    </row>
    <row r="46" spans="1:20" ht="19.5" customHeight="1">
      <c r="A46" s="1304"/>
      <c r="B46" s="1305"/>
      <c r="C46" s="1305"/>
      <c r="D46" s="1305"/>
      <c r="E46" s="1305"/>
      <c r="F46" s="1305"/>
      <c r="G46" s="1306"/>
      <c r="H46" s="1306"/>
      <c r="I46" s="1306"/>
      <c r="J46" s="1306"/>
      <c r="K46"/>
      <c r="L46"/>
      <c r="M46"/>
      <c r="N46"/>
      <c r="O46"/>
      <c r="P46"/>
      <c r="Q46"/>
      <c r="R46"/>
      <c r="S46"/>
      <c r="T46"/>
    </row>
    <row r="47" spans="1:20" ht="26.25" customHeight="1">
      <c r="A47" s="1403"/>
      <c r="B47" s="1404" t="s">
        <v>3573</v>
      </c>
      <c r="C47" s="1403"/>
      <c r="D47" s="1405"/>
      <c r="E47" s="1406"/>
      <c r="F47" s="1404"/>
      <c r="G47" s="1404"/>
      <c r="H47" s="1407"/>
      <c r="I47" s="1407"/>
      <c r="J47" s="1407"/>
      <c r="K47"/>
      <c r="L47"/>
      <c r="M47"/>
      <c r="N47"/>
      <c r="O47"/>
      <c r="P47"/>
      <c r="Q47"/>
      <c r="R47"/>
      <c r="S47"/>
      <c r="T47"/>
    </row>
    <row r="48" spans="1:20" ht="20.25" customHeight="1">
      <c r="A48" s="1282"/>
      <c r="B48" s="1408" t="s">
        <v>3574</v>
      </c>
      <c r="C48" s="1282"/>
      <c r="D48" s="580"/>
      <c r="E48" s="1409"/>
      <c r="F48" s="1404"/>
      <c r="G48" s="1404"/>
      <c r="H48" s="1407"/>
      <c r="I48" s="1407"/>
      <c r="J48" s="1407"/>
      <c r="K48"/>
      <c r="L48"/>
      <c r="M48"/>
      <c r="N48"/>
      <c r="O48"/>
      <c r="P48"/>
      <c r="Q48">
        <v>96.27</v>
      </c>
      <c r="R48" t="s">
        <v>3484</v>
      </c>
      <c r="S48">
        <v>20.5</v>
      </c>
      <c r="T48">
        <f>Q48*S48</f>
        <v>1973.5349999999999</v>
      </c>
    </row>
    <row r="49" spans="1:20" ht="21" customHeight="1">
      <c r="A49" s="1282"/>
      <c r="B49" s="1408" t="s">
        <v>3575</v>
      </c>
      <c r="C49" s="1282"/>
      <c r="D49" s="580"/>
      <c r="E49" s="1409"/>
      <c r="F49" s="1404"/>
      <c r="G49" s="1404"/>
      <c r="H49" s="1407"/>
      <c r="I49" s="1407"/>
      <c r="J49" s="1407"/>
      <c r="K49"/>
      <c r="L49"/>
      <c r="M49"/>
      <c r="N49"/>
      <c r="O49"/>
      <c r="P49"/>
      <c r="Q49">
        <v>60.51</v>
      </c>
      <c r="R49" t="s">
        <v>3608</v>
      </c>
      <c r="S49"/>
      <c r="T49"/>
    </row>
    <row r="50" spans="1:20" ht="18" customHeight="1">
      <c r="A50" s="1410"/>
      <c r="B50" s="1411"/>
      <c r="C50" s="1412"/>
      <c r="D50" s="1412"/>
      <c r="E50" s="1412"/>
      <c r="F50" s="1413"/>
      <c r="G50" s="1413"/>
      <c r="H50" s="1414"/>
      <c r="I50" s="1414"/>
      <c r="J50" s="1414"/>
      <c r="K50"/>
      <c r="L50"/>
      <c r="M50"/>
      <c r="N50"/>
      <c r="O50"/>
      <c r="P50"/>
      <c r="Q50">
        <v>30.96</v>
      </c>
      <c r="R50"/>
      <c r="S50"/>
      <c r="T50"/>
    </row>
    <row r="51" spans="1:20" ht="17.25" customHeight="1">
      <c r="A51" s="1410"/>
      <c r="B51" s="1411"/>
      <c r="C51" s="1412"/>
      <c r="D51" s="1412"/>
      <c r="E51" s="1412"/>
      <c r="F51" s="1413"/>
      <c r="G51" s="1413"/>
      <c r="H51" s="1414"/>
      <c r="I51" s="1414"/>
      <c r="J51" s="1414"/>
      <c r="K51"/>
      <c r="L51"/>
      <c r="M51"/>
      <c r="N51"/>
      <c r="O51"/>
      <c r="P51"/>
      <c r="Q51" s="1536">
        <v>4.8</v>
      </c>
      <c r="R51"/>
      <c r="S51"/>
      <c r="T51"/>
    </row>
    <row r="52" spans="1:20" ht="18.75" customHeight="1">
      <c r="A52" s="1564"/>
      <c r="B52" s="1565"/>
      <c r="C52" s="1566"/>
      <c r="D52" s="1567"/>
      <c r="E52" s="57"/>
      <c r="F52" s="1494"/>
      <c r="G52" s="1277"/>
      <c r="H52" s="1278"/>
      <c r="I52" s="1278"/>
      <c r="J52" s="1278"/>
      <c r="K52"/>
      <c r="L52"/>
      <c r="M52"/>
      <c r="N52"/>
      <c r="O52"/>
      <c r="P52"/>
      <c r="Q52">
        <f>SUM(Q49:Q51)</f>
        <v>96.27</v>
      </c>
      <c r="R52"/>
      <c r="S52"/>
      <c r="T52"/>
    </row>
    <row r="53" spans="1:20" ht="15.75" customHeight="1"/>
    <row r="54" spans="1:20" ht="21.75" customHeight="1"/>
    <row r="55" spans="1:20" ht="16.5" customHeight="1"/>
    <row r="56" spans="1:20" ht="19.5" customHeight="1">
      <c r="A56" s="1145" t="s">
        <v>3495</v>
      </c>
      <c r="B56" s="1274"/>
      <c r="C56" s="1275"/>
      <c r="D56" s="1276"/>
      <c r="E56" s="1275"/>
      <c r="F56" s="1277"/>
      <c r="G56" s="1277"/>
      <c r="H56" s="1278"/>
      <c r="I56" s="1278"/>
      <c r="J56" s="1278"/>
      <c r="K56" s="580"/>
      <c r="L56" s="580"/>
      <c r="M56" s="580"/>
    </row>
    <row r="57" spans="1:20" ht="25.5" customHeight="1">
      <c r="A57" s="1279"/>
      <c r="B57" s="1275"/>
      <c r="C57" s="1275"/>
      <c r="D57" s="1276"/>
      <c r="E57" s="1275"/>
      <c r="F57" s="1277"/>
      <c r="G57" s="1277"/>
      <c r="H57" s="1278"/>
      <c r="I57" s="1278"/>
      <c r="J57" s="1278"/>
      <c r="K57" s="580"/>
      <c r="L57" s="580"/>
      <c r="M57" s="580"/>
    </row>
    <row r="58" spans="1:20" ht="16.5" customHeight="1">
      <c r="A58" s="1280" t="s">
        <v>3601</v>
      </c>
      <c r="B58" s="1281"/>
      <c r="C58" s="1281"/>
      <c r="D58" s="1281"/>
      <c r="E58" s="580"/>
      <c r="F58" s="1277"/>
      <c r="G58" s="1277"/>
      <c r="H58" s="1278"/>
      <c r="I58" s="1278"/>
      <c r="J58" s="1278"/>
      <c r="K58" s="580"/>
      <c r="L58" s="580"/>
      <c r="M58" s="580"/>
    </row>
    <row r="59" spans="1:20" ht="17.25" customHeight="1">
      <c r="A59" s="1282"/>
      <c r="B59" s="1282"/>
      <c r="C59" s="1282"/>
      <c r="D59" s="1282"/>
      <c r="E59" s="580"/>
      <c r="F59" s="1277"/>
      <c r="G59" s="1277"/>
      <c r="H59" s="1278"/>
      <c r="I59" s="1278"/>
      <c r="J59" s="1278"/>
      <c r="K59" s="580"/>
      <c r="L59" s="580"/>
      <c r="M59" s="580"/>
    </row>
    <row r="60" spans="1:20">
      <c r="A60" s="1283"/>
      <c r="B60" s="1283"/>
      <c r="C60" s="1282"/>
      <c r="D60" s="580"/>
      <c r="E60" s="1284"/>
      <c r="F60" s="1284"/>
      <c r="G60" s="1284"/>
      <c r="H60" s="1285"/>
      <c r="I60" s="1285"/>
      <c r="J60" s="1286" t="s">
        <v>254</v>
      </c>
      <c r="K60" s="580"/>
      <c r="L60" s="580"/>
      <c r="M60" s="580"/>
    </row>
    <row r="61" spans="1:20">
      <c r="A61" s="4176" t="s">
        <v>34</v>
      </c>
      <c r="B61" s="4176" t="s">
        <v>478</v>
      </c>
      <c r="C61" s="4177" t="s">
        <v>3558</v>
      </c>
      <c r="D61" s="4177" t="s">
        <v>3559</v>
      </c>
      <c r="E61" s="4177" t="s">
        <v>3560</v>
      </c>
      <c r="F61" s="4127" t="s">
        <v>3561</v>
      </c>
      <c r="G61" s="4177" t="s">
        <v>3602</v>
      </c>
      <c r="H61" s="4189" t="s">
        <v>3603</v>
      </c>
      <c r="I61" s="4183" t="s">
        <v>3564</v>
      </c>
      <c r="J61" s="4183"/>
      <c r="K61" s="4177" t="s">
        <v>3565</v>
      </c>
      <c r="L61" s="4127" t="s">
        <v>3566</v>
      </c>
      <c r="M61" s="4127" t="s">
        <v>3567</v>
      </c>
    </row>
    <row r="62" spans="1:20">
      <c r="A62" s="4176"/>
      <c r="B62" s="4176"/>
      <c r="C62" s="4177"/>
      <c r="D62" s="4177"/>
      <c r="E62" s="4177"/>
      <c r="F62" s="4127"/>
      <c r="G62" s="4177"/>
      <c r="H62" s="4190"/>
      <c r="I62" s="4183" t="s">
        <v>7</v>
      </c>
      <c r="J62" s="4183" t="s">
        <v>3568</v>
      </c>
      <c r="K62" s="4177"/>
      <c r="L62" s="4127"/>
      <c r="M62" s="4127"/>
    </row>
    <row r="63" spans="1:20">
      <c r="A63" s="4176"/>
      <c r="B63" s="4176"/>
      <c r="C63" s="4177"/>
      <c r="D63" s="4177"/>
      <c r="E63" s="4177"/>
      <c r="F63" s="4127"/>
      <c r="G63" s="4177"/>
      <c r="H63" s="4191"/>
      <c r="I63" s="4183"/>
      <c r="J63" s="4183"/>
      <c r="K63" s="4177"/>
      <c r="L63" s="4127"/>
      <c r="M63" s="4127"/>
    </row>
    <row r="64" spans="1:20">
      <c r="A64" s="1287">
        <v>1</v>
      </c>
      <c r="B64" s="1288" t="s">
        <v>3570</v>
      </c>
      <c r="C64" s="1289">
        <v>20.5</v>
      </c>
      <c r="D64" s="1290">
        <v>15941</v>
      </c>
      <c r="E64" s="1291">
        <v>2079.11</v>
      </c>
      <c r="F64" s="1236">
        <f>R62/1.12</f>
        <v>0</v>
      </c>
      <c r="G64" s="1292">
        <f>E64*F64</f>
        <v>0</v>
      </c>
      <c r="H64" s="1292">
        <f>G64*12</f>
        <v>0</v>
      </c>
      <c r="I64" s="1293">
        <f>H64*10%</f>
        <v>0</v>
      </c>
      <c r="J64" s="1293">
        <f>H64-I64</f>
        <v>0</v>
      </c>
      <c r="K64" s="1294">
        <f>R62</f>
        <v>0</v>
      </c>
      <c r="L64" s="1295">
        <f>K64*E64</f>
        <v>0</v>
      </c>
      <c r="M64" s="1295">
        <f>L64*12</f>
        <v>0</v>
      </c>
    </row>
    <row r="65" spans="1:17">
      <c r="A65" s="1296">
        <v>2</v>
      </c>
      <c r="B65" s="1288" t="s">
        <v>3554</v>
      </c>
      <c r="C65" s="1289">
        <v>20.5</v>
      </c>
      <c r="D65" s="1290">
        <v>15941</v>
      </c>
      <c r="E65" s="1291">
        <v>2070.91</v>
      </c>
      <c r="F65" s="1236">
        <f>R63/1.12</f>
        <v>0</v>
      </c>
      <c r="G65" s="1292">
        <f>E65*F65</f>
        <v>0</v>
      </c>
      <c r="H65" s="1292">
        <f>G65*12</f>
        <v>0</v>
      </c>
      <c r="I65" s="1293">
        <v>287790</v>
      </c>
      <c r="J65" s="1293">
        <v>2590110</v>
      </c>
      <c r="K65" s="1294">
        <f>R63</f>
        <v>0</v>
      </c>
      <c r="L65" s="1295">
        <f>K65*E65</f>
        <v>0</v>
      </c>
      <c r="M65" s="1295">
        <f>L65*12</f>
        <v>0</v>
      </c>
    </row>
    <row r="66" spans="1:17">
      <c r="A66" s="1297"/>
      <c r="B66" s="1298" t="s">
        <v>3572</v>
      </c>
      <c r="C66" s="1299"/>
      <c r="D66" s="1299"/>
      <c r="E66" s="1299"/>
      <c r="F66" s="1300"/>
      <c r="G66" s="1301">
        <f>G64+G65</f>
        <v>0</v>
      </c>
      <c r="H66" s="1301">
        <f>H64+H65</f>
        <v>0</v>
      </c>
      <c r="I66" s="1302">
        <f>I64+I65</f>
        <v>287790</v>
      </c>
      <c r="J66" s="1302">
        <f>J64+J65</f>
        <v>2590110</v>
      </c>
      <c r="K66" s="1299"/>
      <c r="L66" s="1303">
        <f>SUM(L64:L65)</f>
        <v>0</v>
      </c>
      <c r="M66" s="1303">
        <f>SUM(M64:M65)</f>
        <v>0</v>
      </c>
    </row>
    <row r="67" spans="1:17">
      <c r="A67" s="1304"/>
      <c r="B67" s="1305"/>
      <c r="C67" s="1305"/>
      <c r="D67" s="1305"/>
      <c r="E67" s="1305"/>
      <c r="F67" s="1305"/>
      <c r="G67" s="1306"/>
      <c r="H67" s="1306"/>
      <c r="I67" s="1306"/>
      <c r="J67" s="1306"/>
      <c r="K67" s="580"/>
      <c r="L67" s="580"/>
      <c r="M67" s="580"/>
    </row>
    <row r="68" spans="1:17" ht="20.25" customHeight="1">
      <c r="A68" s="1307">
        <v>101.42</v>
      </c>
      <c r="B68">
        <v>20.5</v>
      </c>
      <c r="C68">
        <f>A68*B68</f>
        <v>2079.11</v>
      </c>
      <c r="D68" t="s">
        <v>3604</v>
      </c>
    </row>
    <row r="69" spans="1:17">
      <c r="A69" s="1307">
        <v>101.42</v>
      </c>
      <c r="B69">
        <v>20.5</v>
      </c>
      <c r="C69">
        <f>A69*B69</f>
        <v>2079.11</v>
      </c>
      <c r="D69" t="s">
        <v>3484</v>
      </c>
    </row>
    <row r="71" spans="1:17">
      <c r="A71" s="541" t="s">
        <v>3545</v>
      </c>
      <c r="B71" s="293" t="s">
        <v>3471</v>
      </c>
      <c r="C71" s="293" t="s">
        <v>3388</v>
      </c>
      <c r="D71" s="293" t="s">
        <v>1411</v>
      </c>
      <c r="E71" s="293" t="s">
        <v>3598</v>
      </c>
      <c r="F71" s="293" t="s">
        <v>3391</v>
      </c>
      <c r="G71" s="293" t="s">
        <v>3392</v>
      </c>
      <c r="H71" s="293" t="s">
        <v>3393</v>
      </c>
      <c r="I71" s="293"/>
      <c r="J71" s="293"/>
      <c r="K71" s="1331" t="s">
        <v>3394</v>
      </c>
      <c r="L71" s="1331" t="s">
        <v>3581</v>
      </c>
      <c r="M71" s="293" t="s">
        <v>3396</v>
      </c>
      <c r="N71" s="293" t="s">
        <v>3397</v>
      </c>
      <c r="O71" s="293" t="s">
        <v>3398</v>
      </c>
    </row>
    <row r="72" spans="1:17">
      <c r="A72" s="274"/>
      <c r="B72" s="274" t="s">
        <v>3484</v>
      </c>
      <c r="C72" s="274"/>
      <c r="D72" s="274"/>
      <c r="E72" s="274"/>
      <c r="F72" s="274"/>
      <c r="G72" s="274"/>
    </row>
    <row r="73" spans="1:17">
      <c r="A73" s="274" t="s">
        <v>3485</v>
      </c>
      <c r="B73" s="274">
        <v>1119</v>
      </c>
      <c r="C73" s="274">
        <v>1210</v>
      </c>
      <c r="D73" s="274">
        <v>970</v>
      </c>
      <c r="E73" s="274">
        <v>1836</v>
      </c>
      <c r="F73" s="274">
        <v>954</v>
      </c>
      <c r="G73" s="274">
        <v>970</v>
      </c>
      <c r="H73" s="282">
        <v>841</v>
      </c>
      <c r="I73" s="282">
        <v>12100</v>
      </c>
      <c r="J73" s="275">
        <v>15941.2</v>
      </c>
      <c r="K73" s="281">
        <v>841</v>
      </c>
      <c r="L73" s="281">
        <v>1093</v>
      </c>
      <c r="M73" s="282">
        <v>1102</v>
      </c>
      <c r="N73" s="282">
        <v>1125</v>
      </c>
      <c r="O73" s="282">
        <v>2979</v>
      </c>
    </row>
    <row r="74" spans="1:17">
      <c r="A74" s="274" t="s">
        <v>3487</v>
      </c>
      <c r="B74" s="274">
        <v>1119</v>
      </c>
      <c r="C74" s="274">
        <v>1210</v>
      </c>
      <c r="D74" s="274">
        <v>970</v>
      </c>
      <c r="E74" s="274">
        <v>1836</v>
      </c>
      <c r="F74" s="274">
        <v>954</v>
      </c>
      <c r="G74" s="274">
        <v>970</v>
      </c>
      <c r="H74" s="282">
        <v>841</v>
      </c>
      <c r="K74" s="281">
        <v>841</v>
      </c>
      <c r="L74" s="281">
        <v>1093</v>
      </c>
      <c r="M74" s="282">
        <v>1102</v>
      </c>
      <c r="N74" s="282">
        <v>1125</v>
      </c>
      <c r="O74" s="282">
        <v>2979</v>
      </c>
    </row>
    <row r="75" spans="1:17">
      <c r="B75" s="282" t="s">
        <v>3605</v>
      </c>
      <c r="I75" s="282" t="s">
        <v>3459</v>
      </c>
      <c r="J75" s="282" t="s">
        <v>681</v>
      </c>
      <c r="P75" s="282" t="s">
        <v>3468</v>
      </c>
      <c r="Q75" s="282" t="s">
        <v>3464</v>
      </c>
    </row>
    <row r="76" spans="1:17">
      <c r="B76" s="282">
        <f>B73/$I$73*$J$73</f>
        <v>1474.2316363636364</v>
      </c>
      <c r="C76" s="282">
        <f t="shared" ref="C76:H77" si="2">C73/$I$73*$J$73</f>
        <v>1594.1200000000001</v>
      </c>
      <c r="D76" s="282">
        <f t="shared" si="2"/>
        <v>1277.9309090909092</v>
      </c>
      <c r="E76" s="282">
        <f t="shared" si="2"/>
        <v>2418.8465454545458</v>
      </c>
      <c r="F76" s="282">
        <f t="shared" si="2"/>
        <v>1256.8516363636363</v>
      </c>
      <c r="G76" s="282">
        <f t="shared" si="2"/>
        <v>1277.9309090909092</v>
      </c>
      <c r="H76" s="282">
        <f t="shared" si="2"/>
        <v>1107.9792727272727</v>
      </c>
      <c r="I76" s="282">
        <f>B76+C76+D76</f>
        <v>4346.2825454545455</v>
      </c>
      <c r="J76" s="282">
        <f>I76/3</f>
        <v>1448.7608484848486</v>
      </c>
      <c r="K76" s="281">
        <f t="shared" ref="K76:O77" si="3">K73/$I$73*$J$73</f>
        <v>1107.9792727272727</v>
      </c>
      <c r="L76" s="281">
        <f t="shared" si="3"/>
        <v>1439.9778181818181</v>
      </c>
      <c r="M76" s="282">
        <f t="shared" si="3"/>
        <v>1451.8349090909092</v>
      </c>
      <c r="N76" s="282">
        <f t="shared" si="3"/>
        <v>1482.1363636363637</v>
      </c>
      <c r="O76" s="282">
        <f t="shared" si="3"/>
        <v>3924.697090909091</v>
      </c>
      <c r="P76" s="282">
        <f>E76+F76+G76+H76+K76</f>
        <v>7169.5876363636362</v>
      </c>
      <c r="Q76" s="282">
        <f>L76+M76+N76+O76</f>
        <v>8298.6461818181815</v>
      </c>
    </row>
    <row r="77" spans="1:17">
      <c r="B77" s="282">
        <f>B74/$I$73*$J$73</f>
        <v>1474.2316363636364</v>
      </c>
      <c r="C77" s="282">
        <f t="shared" si="2"/>
        <v>1594.1200000000001</v>
      </c>
      <c r="D77" s="282">
        <f t="shared" si="2"/>
        <v>1277.9309090909092</v>
      </c>
      <c r="E77" s="282">
        <f t="shared" si="2"/>
        <v>2418.8465454545458</v>
      </c>
      <c r="F77" s="282">
        <f t="shared" si="2"/>
        <v>1256.8516363636363</v>
      </c>
      <c r="G77" s="282">
        <f t="shared" si="2"/>
        <v>1277.9309090909092</v>
      </c>
      <c r="H77" s="282">
        <f t="shared" si="2"/>
        <v>1107.9792727272727</v>
      </c>
      <c r="I77" s="282">
        <f>B77+C77+D77</f>
        <v>4346.2825454545455</v>
      </c>
      <c r="J77" s="282">
        <f>I77/3</f>
        <v>1448.7608484848486</v>
      </c>
      <c r="K77" s="281">
        <f t="shared" si="3"/>
        <v>1107.9792727272727</v>
      </c>
      <c r="L77" s="281">
        <f t="shared" si="3"/>
        <v>1439.9778181818181</v>
      </c>
      <c r="M77" s="282">
        <f t="shared" si="3"/>
        <v>1451.8349090909092</v>
      </c>
      <c r="N77" s="282">
        <f t="shared" si="3"/>
        <v>1482.1363636363637</v>
      </c>
      <c r="O77" s="282">
        <f t="shared" si="3"/>
        <v>3924.697090909091</v>
      </c>
      <c r="P77" s="282">
        <f>E77+F77+G77+H77+K77</f>
        <v>7169.5876363636362</v>
      </c>
      <c r="Q77" s="282">
        <f>L77+M77+N77+O77</f>
        <v>8298.6461818181815</v>
      </c>
    </row>
    <row r="79" spans="1:17">
      <c r="M79" s="541" t="s">
        <v>267</v>
      </c>
      <c r="N79" s="671" t="s">
        <v>606</v>
      </c>
    </row>
    <row r="80" spans="1:17">
      <c r="A80" s="695" t="s">
        <v>3694</v>
      </c>
      <c r="B80" s="849"/>
      <c r="C80" s="849"/>
      <c r="D80" s="849"/>
      <c r="E80" s="849"/>
      <c r="F80" s="849"/>
      <c r="G80" s="849"/>
      <c r="H80" s="849"/>
      <c r="I80" s="3814" t="s">
        <v>3375</v>
      </c>
      <c r="J80" s="849"/>
      <c r="K80" s="866"/>
      <c r="L80" s="866"/>
      <c r="M80" s="744"/>
      <c r="N80" s="744"/>
    </row>
    <row r="81" spans="1:14">
      <c r="A81" s="45"/>
      <c r="B81" s="280"/>
      <c r="C81" s="280"/>
      <c r="D81" s="280"/>
      <c r="E81" s="280"/>
      <c r="F81" s="280"/>
      <c r="G81" s="280"/>
      <c r="H81" s="280"/>
      <c r="I81" s="3815"/>
      <c r="J81" s="280"/>
    </row>
    <row r="82" spans="1:14">
      <c r="A82" s="656" t="s">
        <v>3695</v>
      </c>
      <c r="B82" s="852"/>
      <c r="C82" s="852"/>
      <c r="D82" s="852"/>
      <c r="E82" s="852"/>
      <c r="F82" s="852"/>
      <c r="G82" s="852"/>
      <c r="H82" s="852"/>
      <c r="I82" s="852"/>
      <c r="J82" s="738"/>
      <c r="K82" s="866"/>
      <c r="L82" s="866"/>
      <c r="M82" s="744"/>
      <c r="N82" s="744"/>
    </row>
    <row r="83" spans="1:14">
      <c r="A83" s="168" t="s">
        <v>990</v>
      </c>
      <c r="B83" s="283"/>
      <c r="C83" s="283"/>
      <c r="D83" s="283"/>
      <c r="E83" s="283"/>
      <c r="F83" s="283"/>
      <c r="G83" s="283"/>
      <c r="H83" s="283"/>
      <c r="I83" s="283"/>
      <c r="J83" s="177"/>
    </row>
    <row r="84" spans="1:14">
      <c r="A84" s="284"/>
      <c r="B84" s="284"/>
      <c r="C84" s="284"/>
      <c r="D84" s="284"/>
      <c r="E84" s="284"/>
      <c r="F84" s="284"/>
      <c r="G84" s="285"/>
      <c r="H84" s="284"/>
      <c r="I84" s="177"/>
      <c r="N84" s="876" t="s">
        <v>254</v>
      </c>
    </row>
    <row r="85" spans="1:14">
      <c r="A85" s="4178" t="s">
        <v>2</v>
      </c>
      <c r="B85" s="4178" t="s">
        <v>3377</v>
      </c>
      <c r="C85" s="4160" t="s">
        <v>3549</v>
      </c>
      <c r="D85" s="4180" t="s">
        <v>1092</v>
      </c>
      <c r="E85" s="4162" t="s">
        <v>255</v>
      </c>
      <c r="F85" s="4182"/>
      <c r="G85" s="4163"/>
      <c r="H85" s="4160" t="s">
        <v>3550</v>
      </c>
      <c r="I85" s="4160" t="s">
        <v>3551</v>
      </c>
      <c r="J85" s="4160" t="s">
        <v>3380</v>
      </c>
      <c r="K85" s="4160" t="s">
        <v>3381</v>
      </c>
      <c r="L85" s="4160" t="s">
        <v>345</v>
      </c>
      <c r="M85" s="4162" t="s">
        <v>255</v>
      </c>
      <c r="N85" s="4163"/>
    </row>
    <row r="86" spans="1:14">
      <c r="A86" s="4179"/>
      <c r="B86" s="4179"/>
      <c r="C86" s="4160"/>
      <c r="D86" s="4181"/>
      <c r="E86" s="286" t="s">
        <v>7</v>
      </c>
      <c r="F86" s="286" t="s">
        <v>8</v>
      </c>
      <c r="G86" s="286" t="s">
        <v>3552</v>
      </c>
      <c r="H86" s="4160"/>
      <c r="I86" s="4160"/>
      <c r="J86" s="4160"/>
      <c r="K86" s="4160"/>
      <c r="L86" s="4160"/>
      <c r="M86" s="286" t="s">
        <v>7</v>
      </c>
      <c r="N86" s="286" t="s">
        <v>8</v>
      </c>
    </row>
    <row r="87" spans="1:14">
      <c r="A87" s="239"/>
      <c r="B87" s="287" t="s">
        <v>3553</v>
      </c>
      <c r="C87" s="288"/>
      <c r="D87" s="288"/>
      <c r="E87" s="632"/>
      <c r="F87" s="632"/>
      <c r="G87" s="216"/>
      <c r="H87" s="216"/>
      <c r="I87" s="216"/>
      <c r="J87" s="216"/>
      <c r="K87" s="289"/>
      <c r="L87" s="289"/>
      <c r="M87" s="290"/>
      <c r="N87" s="290"/>
    </row>
    <row r="88" spans="1:14">
      <c r="A88" s="291"/>
      <c r="B88" s="292" t="s">
        <v>3459</v>
      </c>
      <c r="C88" s="291" t="s">
        <v>3383</v>
      </c>
      <c r="D88" s="632">
        <f>E88+F88+G88</f>
        <v>486</v>
      </c>
      <c r="E88" s="720">
        <v>486</v>
      </c>
      <c r="F88" s="720"/>
      <c r="G88" s="877"/>
      <c r="H88" s="877">
        <f>$J$76/D88</f>
        <v>2.9809894001745856</v>
      </c>
      <c r="I88" s="632">
        <f>D88*H88</f>
        <v>1448.7608484848486</v>
      </c>
      <c r="J88" s="632">
        <v>3</v>
      </c>
      <c r="K88" s="1212">
        <v>134.93</v>
      </c>
      <c r="L88" s="629">
        <f>I88*J88*K88</f>
        <v>586443.9038581819</v>
      </c>
      <c r="M88" s="290">
        <f>L88*E88/D88</f>
        <v>586443.9038581819</v>
      </c>
      <c r="N88" s="633">
        <f>L88-M88</f>
        <v>0</v>
      </c>
    </row>
    <row r="89" spans="1:14">
      <c r="A89" s="291"/>
      <c r="B89" s="292" t="s">
        <v>3463</v>
      </c>
      <c r="C89" s="291" t="s">
        <v>3383</v>
      </c>
      <c r="D89" s="632">
        <f>E89+F89+G89</f>
        <v>486</v>
      </c>
      <c r="E89" s="720">
        <v>486</v>
      </c>
      <c r="F89" s="720"/>
      <c r="G89" s="877"/>
      <c r="H89" s="877">
        <f>P76/5/D89</f>
        <v>2.9504475869809204</v>
      </c>
      <c r="I89" s="632">
        <f>D89*H89</f>
        <v>1433.9175272727273</v>
      </c>
      <c r="J89" s="632">
        <v>5</v>
      </c>
      <c r="K89" s="1212">
        <v>134.93</v>
      </c>
      <c r="L89" s="629">
        <f>I89*J89*K89</f>
        <v>967392.45977454551</v>
      </c>
      <c r="M89" s="290">
        <f>L89*E89/D89</f>
        <v>967392.45977454551</v>
      </c>
      <c r="N89" s="633">
        <f>L89-M89</f>
        <v>0</v>
      </c>
    </row>
    <row r="90" spans="1:14">
      <c r="A90" s="291"/>
      <c r="B90" s="292" t="s">
        <v>3464</v>
      </c>
      <c r="C90" s="291" t="s">
        <v>3383</v>
      </c>
      <c r="D90" s="632">
        <f>E90+F90+G90</f>
        <v>486</v>
      </c>
      <c r="E90" s="720">
        <v>486</v>
      </c>
      <c r="F90" s="720"/>
      <c r="G90" s="877"/>
      <c r="H90" s="877">
        <f>Q76/4/D90</f>
        <v>4.2688509165731388</v>
      </c>
      <c r="I90" s="632">
        <f>D90*H90</f>
        <v>2074.6615454545454</v>
      </c>
      <c r="J90" s="632">
        <v>4</v>
      </c>
      <c r="K90" s="1212">
        <v>134.93</v>
      </c>
      <c r="L90" s="629">
        <f>I90*J90*K90</f>
        <v>1119736.3293127273</v>
      </c>
      <c r="M90" s="290">
        <f>L90*E90/D90</f>
        <v>1119736.3293127273</v>
      </c>
      <c r="N90" s="633">
        <f>L90-M90</f>
        <v>0</v>
      </c>
    </row>
    <row r="91" spans="1:14">
      <c r="A91" s="291"/>
      <c r="B91" s="238" t="s">
        <v>20</v>
      </c>
      <c r="C91" s="884"/>
      <c r="D91" s="884"/>
      <c r="E91" s="878"/>
      <c r="F91" s="878"/>
      <c r="G91" s="878"/>
      <c r="H91" s="879"/>
      <c r="I91" s="879"/>
      <c r="J91" s="879"/>
      <c r="K91" s="880"/>
      <c r="L91" s="630">
        <f>SUM(L88:L90)</f>
        <v>2673572.6929454547</v>
      </c>
      <c r="M91" s="630">
        <f>SUM(M88:M90)</f>
        <v>2673572.6929454547</v>
      </c>
      <c r="N91" s="630">
        <f>SUM(N88:N90)</f>
        <v>0</v>
      </c>
    </row>
    <row r="92" spans="1:14">
      <c r="A92" s="239"/>
      <c r="B92" s="287" t="s">
        <v>3554</v>
      </c>
      <c r="C92" s="709"/>
      <c r="D92" s="709"/>
      <c r="E92" s="720"/>
      <c r="F92" s="720"/>
      <c r="G92" s="877"/>
      <c r="H92" s="877"/>
      <c r="I92" s="877"/>
      <c r="J92" s="877"/>
      <c r="K92" s="880"/>
      <c r="L92" s="630">
        <f>L93+L94+L95</f>
        <v>2559837.3690181817</v>
      </c>
      <c r="M92" s="287">
        <f>M93+M94+M95</f>
        <v>2559837.3690181817</v>
      </c>
      <c r="N92" s="1308">
        <f>L92-M92</f>
        <v>0</v>
      </c>
    </row>
    <row r="93" spans="1:14">
      <c r="A93" s="291"/>
      <c r="B93" s="292" t="s">
        <v>3459</v>
      </c>
      <c r="C93" s="291" t="s">
        <v>3383</v>
      </c>
      <c r="D93" s="632">
        <f>E93+F93+G93</f>
        <v>486</v>
      </c>
      <c r="E93" s="720">
        <v>486</v>
      </c>
      <c r="F93" s="720"/>
      <c r="G93" s="877"/>
      <c r="H93" s="877">
        <f>J77/D93</f>
        <v>2.9809894001745856</v>
      </c>
      <c r="I93" s="632">
        <f>D93*H93</f>
        <v>1448.7608484848486</v>
      </c>
      <c r="J93" s="632">
        <v>3</v>
      </c>
      <c r="K93" s="1212">
        <v>129.19</v>
      </c>
      <c r="L93" s="629">
        <f>I93*J93*K93</f>
        <v>561496.24204727274</v>
      </c>
      <c r="M93" s="290">
        <f>L93*E93/D93</f>
        <v>561496.24204727274</v>
      </c>
      <c r="N93" s="633">
        <f>L93-M93</f>
        <v>0</v>
      </c>
    </row>
    <row r="94" spans="1:14">
      <c r="A94" s="291"/>
      <c r="B94" s="292" t="s">
        <v>3463</v>
      </c>
      <c r="C94" s="291" t="s">
        <v>3383</v>
      </c>
      <c r="D94" s="632">
        <f>E94+F94+G94</f>
        <v>486</v>
      </c>
      <c r="E94" s="720">
        <v>486</v>
      </c>
      <c r="F94" s="720"/>
      <c r="G94" s="877"/>
      <c r="H94" s="877">
        <f>P77/5/D94</f>
        <v>2.9504475869809204</v>
      </c>
      <c r="I94" s="632">
        <f>D94*H94</f>
        <v>1433.9175272727273</v>
      </c>
      <c r="J94" s="632">
        <v>5</v>
      </c>
      <c r="K94" s="1212">
        <v>129.19</v>
      </c>
      <c r="L94" s="629">
        <f>I94*J94*K94</f>
        <v>926239.02674181818</v>
      </c>
      <c r="M94" s="290">
        <f>L94*E94/D94</f>
        <v>926239.02674181818</v>
      </c>
      <c r="N94" s="633">
        <f>L94-M94</f>
        <v>0</v>
      </c>
    </row>
    <row r="95" spans="1:14">
      <c r="A95" s="291"/>
      <c r="B95" s="292" t="s">
        <v>3464</v>
      </c>
      <c r="C95" s="291" t="s">
        <v>3383</v>
      </c>
      <c r="D95" s="632">
        <f>E95+F95+G95</f>
        <v>486</v>
      </c>
      <c r="E95" s="720">
        <v>486</v>
      </c>
      <c r="F95" s="720"/>
      <c r="G95" s="877"/>
      <c r="H95" s="877">
        <f>Q77/4/D95</f>
        <v>4.2688509165731388</v>
      </c>
      <c r="I95" s="632">
        <f>D95*H95</f>
        <v>2074.6615454545454</v>
      </c>
      <c r="J95" s="632">
        <v>4</v>
      </c>
      <c r="K95" s="1212">
        <v>129.19</v>
      </c>
      <c r="L95" s="629">
        <f>I95*J95*K95</f>
        <v>1072102.1002290908</v>
      </c>
      <c r="M95" s="290">
        <f>L95*E95/D95</f>
        <v>1072102.1002290908</v>
      </c>
      <c r="N95" s="633">
        <f>L95-M95</f>
        <v>0</v>
      </c>
    </row>
    <row r="96" spans="1:14">
      <c r="A96" s="291"/>
      <c r="B96" s="238" t="s">
        <v>20</v>
      </c>
      <c r="C96" s="709"/>
      <c r="D96" s="709"/>
      <c r="E96" s="720"/>
      <c r="F96" s="720"/>
      <c r="G96" s="877"/>
      <c r="H96" s="877"/>
      <c r="I96" s="877"/>
      <c r="J96" s="877"/>
      <c r="K96" s="880"/>
      <c r="L96" s="630">
        <f>SUM(L93:L95)</f>
        <v>2559837.3690181817</v>
      </c>
      <c r="M96" s="630">
        <f>SUM(M93:M95)</f>
        <v>2559837.3690181817</v>
      </c>
      <c r="N96" s="630">
        <f>SUM(N93:N95)</f>
        <v>0</v>
      </c>
    </row>
    <row r="97" spans="1:18">
      <c r="A97" s="291"/>
      <c r="B97" s="238" t="s">
        <v>3578</v>
      </c>
      <c r="C97" s="709"/>
      <c r="D97" s="709"/>
      <c r="E97" s="720"/>
      <c r="F97" s="720"/>
      <c r="G97" s="877"/>
      <c r="H97" s="877"/>
      <c r="I97" s="216"/>
      <c r="J97" s="216"/>
      <c r="K97" s="880"/>
      <c r="L97" s="629"/>
      <c r="M97" s="290" t="e">
        <f>L97*E97/D97</f>
        <v>#DIV/0!</v>
      </c>
      <c r="N97" s="633" t="e">
        <f>L97-M97</f>
        <v>#DIV/0!</v>
      </c>
    </row>
    <row r="98" spans="1:18">
      <c r="A98" s="291"/>
      <c r="B98" s="288" t="s">
        <v>3556</v>
      </c>
      <c r="C98" s="709"/>
      <c r="D98" s="291" t="s">
        <v>3383</v>
      </c>
      <c r="E98" s="291" t="s">
        <v>3383</v>
      </c>
      <c r="F98" s="291" t="s">
        <v>3383</v>
      </c>
      <c r="G98" s="291" t="s">
        <v>3383</v>
      </c>
      <c r="H98" s="877"/>
      <c r="I98" s="720"/>
      <c r="J98" s="632">
        <v>6</v>
      </c>
      <c r="K98" s="880"/>
      <c r="L98" s="629">
        <f>I98*J98*K98</f>
        <v>0</v>
      </c>
      <c r="M98" s="290" t="e">
        <f>L98*E98/D98</f>
        <v>#VALUE!</v>
      </c>
      <c r="N98" s="633" t="e">
        <f>L98-M98</f>
        <v>#VALUE!</v>
      </c>
    </row>
    <row r="99" spans="1:18">
      <c r="A99" s="291"/>
      <c r="B99" s="238" t="s">
        <v>20</v>
      </c>
      <c r="C99" s="884"/>
      <c r="D99" s="884"/>
      <c r="E99" s="878"/>
      <c r="F99" s="878"/>
      <c r="G99" s="879"/>
      <c r="H99" s="879"/>
      <c r="I99" s="879"/>
      <c r="J99" s="879"/>
      <c r="K99" s="881"/>
      <c r="L99" s="630">
        <f>SUM(L98)</f>
        <v>0</v>
      </c>
      <c r="M99" s="630" t="e">
        <f>SUM(M98)</f>
        <v>#VALUE!</v>
      </c>
      <c r="N99" s="630" t="e">
        <f>SUM(N98)</f>
        <v>#VALUE!</v>
      </c>
    </row>
    <row r="100" spans="1:18">
      <c r="A100" s="239"/>
      <c r="B100" s="238" t="s">
        <v>306</v>
      </c>
      <c r="C100" s="883"/>
      <c r="D100" s="883"/>
      <c r="E100" s="883"/>
      <c r="F100" s="883"/>
      <c r="G100" s="883"/>
      <c r="H100" s="883"/>
      <c r="I100" s="883"/>
      <c r="J100" s="883"/>
      <c r="K100" s="882"/>
      <c r="L100" s="631">
        <f>L91+L96+L99</f>
        <v>5233410.0619636364</v>
      </c>
      <c r="M100" s="238" t="e">
        <f>M91+M97+M99</f>
        <v>#DIV/0!</v>
      </c>
      <c r="N100" s="631" t="e">
        <f>N91+N97+N99</f>
        <v>#DIV/0!</v>
      </c>
    </row>
    <row r="102" spans="1:18">
      <c r="A102" s="1506" t="s">
        <v>3545</v>
      </c>
      <c r="B102" s="1389" t="s">
        <v>3471</v>
      </c>
      <c r="C102" s="1389" t="s">
        <v>3388</v>
      </c>
      <c r="D102" s="1389" t="s">
        <v>1411</v>
      </c>
      <c r="E102" s="1389" t="s">
        <v>3598</v>
      </c>
      <c r="F102" s="1389" t="s">
        <v>3391</v>
      </c>
      <c r="G102" s="1389" t="s">
        <v>3392</v>
      </c>
      <c r="H102" s="1389" t="s">
        <v>3393</v>
      </c>
      <c r="I102" s="4187" t="s">
        <v>3607</v>
      </c>
      <c r="J102" s="4188"/>
      <c r="K102" s="1416" t="s">
        <v>3394</v>
      </c>
      <c r="L102" s="1416" t="s">
        <v>3581</v>
      </c>
      <c r="M102" s="1389" t="s">
        <v>3396</v>
      </c>
      <c r="N102" s="1389" t="s">
        <v>3397</v>
      </c>
      <c r="O102" s="1389" t="s">
        <v>3398</v>
      </c>
    </row>
    <row r="103" spans="1:18">
      <c r="A103" s="274"/>
      <c r="B103" s="1308" t="s">
        <v>3484</v>
      </c>
      <c r="C103" s="633"/>
      <c r="D103" s="633"/>
      <c r="E103" s="633"/>
      <c r="F103" s="633"/>
      <c r="G103" s="633"/>
      <c r="H103" s="1388"/>
      <c r="I103" s="1388"/>
      <c r="J103" s="1388"/>
      <c r="K103" s="1390"/>
      <c r="L103" s="1390"/>
      <c r="M103" s="1388"/>
      <c r="N103" s="1388"/>
      <c r="O103" s="1388"/>
    </row>
    <row r="104" spans="1:18">
      <c r="A104" s="566" t="s">
        <v>3484</v>
      </c>
      <c r="B104" s="633">
        <v>1119</v>
      </c>
      <c r="C104" s="633">
        <v>1210</v>
      </c>
      <c r="D104" s="633">
        <v>970</v>
      </c>
      <c r="E104" s="633">
        <v>1836</v>
      </c>
      <c r="F104" s="633">
        <v>954</v>
      </c>
      <c r="G104" s="633">
        <v>970</v>
      </c>
      <c r="H104" s="1388">
        <v>841</v>
      </c>
      <c r="I104" s="1388">
        <v>12100</v>
      </c>
      <c r="J104" s="275">
        <v>13674.8</v>
      </c>
      <c r="K104" s="1390">
        <v>841</v>
      </c>
      <c r="L104" s="1390">
        <v>1093</v>
      </c>
      <c r="M104" s="1388">
        <v>1102</v>
      </c>
      <c r="N104" s="1388">
        <v>1125</v>
      </c>
      <c r="O104" s="1388">
        <v>2979</v>
      </c>
    </row>
    <row r="105" spans="1:18">
      <c r="A105" s="566" t="s">
        <v>3487</v>
      </c>
      <c r="B105" s="633">
        <v>1119</v>
      </c>
      <c r="C105" s="633">
        <v>1210</v>
      </c>
      <c r="D105" s="633">
        <v>970</v>
      </c>
      <c r="E105" s="633">
        <v>1836</v>
      </c>
      <c r="F105" s="633">
        <v>954</v>
      </c>
      <c r="G105" s="633">
        <v>970</v>
      </c>
      <c r="H105" s="1388">
        <v>841</v>
      </c>
      <c r="I105" s="1388"/>
      <c r="J105" s="1388"/>
      <c r="K105" s="1390">
        <v>841</v>
      </c>
      <c r="L105" s="1390">
        <v>1093</v>
      </c>
      <c r="M105" s="1388">
        <v>1102</v>
      </c>
      <c r="N105" s="1388">
        <v>1125</v>
      </c>
      <c r="O105" s="1388">
        <v>2979</v>
      </c>
    </row>
    <row r="106" spans="1:18">
      <c r="B106" s="1396" t="s">
        <v>3696</v>
      </c>
      <c r="P106" s="282" t="s">
        <v>3468</v>
      </c>
      <c r="Q106" s="282" t="s">
        <v>3464</v>
      </c>
      <c r="R106" s="282" t="s">
        <v>3459</v>
      </c>
    </row>
    <row r="107" spans="1:18">
      <c r="B107" s="1390">
        <f>B104/$I$104*$J$104</f>
        <v>1264.6364628099172</v>
      </c>
      <c r="C107" s="1390">
        <f t="shared" ref="C107:H108" si="4">C104/$I$104*$J$104</f>
        <v>1367.48</v>
      </c>
      <c r="D107" s="1390">
        <f t="shared" si="4"/>
        <v>1096.2442975206611</v>
      </c>
      <c r="E107" s="1390">
        <f t="shared" si="4"/>
        <v>2074.9531239669423</v>
      </c>
      <c r="F107" s="1390">
        <f t="shared" si="4"/>
        <v>1078.1619173553718</v>
      </c>
      <c r="G107" s="1390">
        <f t="shared" si="4"/>
        <v>1096.2442975206611</v>
      </c>
      <c r="H107" s="1390">
        <f t="shared" si="4"/>
        <v>950.45510743801651</v>
      </c>
      <c r="I107" s="1388"/>
      <c r="J107" s="1388"/>
      <c r="K107" s="1390">
        <f>K104/$I$104*$J$104</f>
        <v>950.45510743801651</v>
      </c>
      <c r="L107" s="1390">
        <f t="shared" ref="L107:O108" si="5">L104/$I$104*$J$104</f>
        <v>1235.2525950413221</v>
      </c>
      <c r="M107" s="1390">
        <f t="shared" si="5"/>
        <v>1245.4239338842974</v>
      </c>
      <c r="N107" s="1390">
        <f t="shared" si="5"/>
        <v>1271.4173553719006</v>
      </c>
      <c r="O107" s="1390">
        <f t="shared" si="5"/>
        <v>3366.713157024793</v>
      </c>
      <c r="P107" s="282">
        <f>E107+F107+G107+H107+K107</f>
        <v>6150.2695537190084</v>
      </c>
      <c r="Q107" s="282">
        <f>L107+M107+N107+O107</f>
        <v>7118.8070413223131</v>
      </c>
      <c r="R107" s="282">
        <f>B107+C107+D107</f>
        <v>3728.3607603305782</v>
      </c>
    </row>
    <row r="108" spans="1:18">
      <c r="B108" s="1390">
        <f>B105/$I$104*$J$104</f>
        <v>1264.6364628099172</v>
      </c>
      <c r="C108" s="1390">
        <f t="shared" si="4"/>
        <v>1367.48</v>
      </c>
      <c r="D108" s="1390">
        <f t="shared" si="4"/>
        <v>1096.2442975206611</v>
      </c>
      <c r="E108" s="1390">
        <f t="shared" si="4"/>
        <v>2074.9531239669423</v>
      </c>
      <c r="F108" s="1390">
        <f t="shared" si="4"/>
        <v>1078.1619173553718</v>
      </c>
      <c r="G108" s="1390">
        <f t="shared" si="4"/>
        <v>1096.2442975206611</v>
      </c>
      <c r="H108" s="1390">
        <f t="shared" si="4"/>
        <v>950.45510743801651</v>
      </c>
      <c r="I108" s="1388"/>
      <c r="J108" s="1388"/>
      <c r="K108" s="1390">
        <f>K105/$I$104*$J$104</f>
        <v>950.45510743801651</v>
      </c>
      <c r="L108" s="1390">
        <f t="shared" si="5"/>
        <v>1235.2525950413221</v>
      </c>
      <c r="M108" s="1390">
        <f t="shared" si="5"/>
        <v>1245.4239338842974</v>
      </c>
      <c r="N108" s="1390">
        <f t="shared" si="5"/>
        <v>1271.4173553719006</v>
      </c>
      <c r="O108" s="1390">
        <f t="shared" si="5"/>
        <v>3366.713157024793</v>
      </c>
      <c r="P108" s="282">
        <f>E108+F108+G108+H108+K108</f>
        <v>6150.2695537190084</v>
      </c>
      <c r="Q108" s="282">
        <f>L108+M108+N108+O108</f>
        <v>7118.8070413223131</v>
      </c>
      <c r="R108" s="282">
        <f>B108+C108+D108</f>
        <v>3728.3607603305782</v>
      </c>
    </row>
  </sheetData>
  <mergeCells count="51">
    <mergeCell ref="A7:A8"/>
    <mergeCell ref="B7:B8"/>
    <mergeCell ref="C7:C8"/>
    <mergeCell ref="D7:D8"/>
    <mergeCell ref="E7:G7"/>
    <mergeCell ref="H7:H8"/>
    <mergeCell ref="I7:I8"/>
    <mergeCell ref="J7:J8"/>
    <mergeCell ref="K7:K8"/>
    <mergeCell ref="L7:L8"/>
    <mergeCell ref="M7:N7"/>
    <mergeCell ref="A61:A63"/>
    <mergeCell ref="B61:B63"/>
    <mergeCell ref="C61:C63"/>
    <mergeCell ref="D61:D63"/>
    <mergeCell ref="E61:E63"/>
    <mergeCell ref="F61:F63"/>
    <mergeCell ref="G61:G63"/>
    <mergeCell ref="H61:H63"/>
    <mergeCell ref="I61:J61"/>
    <mergeCell ref="K61:K63"/>
    <mergeCell ref="L61:L63"/>
    <mergeCell ref="A40:A42"/>
    <mergeCell ref="B40:B42"/>
    <mergeCell ref="C40:C42"/>
    <mergeCell ref="D40:D42"/>
    <mergeCell ref="A85:A86"/>
    <mergeCell ref="B85:B86"/>
    <mergeCell ref="C85:C86"/>
    <mergeCell ref="D85:D86"/>
    <mergeCell ref="E85:G85"/>
    <mergeCell ref="H85:H86"/>
    <mergeCell ref="J85:J86"/>
    <mergeCell ref="K85:K86"/>
    <mergeCell ref="L85:L86"/>
    <mergeCell ref="M85:N85"/>
    <mergeCell ref="I102:J102"/>
    <mergeCell ref="M61:M63"/>
    <mergeCell ref="I62:I63"/>
    <mergeCell ref="J62:J63"/>
    <mergeCell ref="I85:I86"/>
    <mergeCell ref="E40:E42"/>
    <mergeCell ref="F40:F42"/>
    <mergeCell ref="G40:G42"/>
    <mergeCell ref="H40:H42"/>
    <mergeCell ref="I40:J40"/>
    <mergeCell ref="K40:K42"/>
    <mergeCell ref="L40:L42"/>
    <mergeCell ref="M40:M42"/>
    <mergeCell ref="I41:I42"/>
    <mergeCell ref="J41:J42"/>
  </mergeCells>
  <pageMargins left="0" right="0" top="0" bottom="0" header="0" footer="0"/>
  <pageSetup paperSize="9" scale="31" orientation="landscape" r:id="rId1"/>
  <rowBreaks count="1" manualBreakCount="1">
    <brk id="28" max="16383" man="1"/>
  </rowBreak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tabColor rgb="FF7030A0"/>
    <pageSetUpPr fitToPage="1"/>
  </sheetPr>
  <dimension ref="A1:Q73"/>
  <sheetViews>
    <sheetView topLeftCell="A4" zoomScaleSheetLayoutView="100" workbookViewId="0">
      <selection activeCell="I10" sqref="I10"/>
    </sheetView>
  </sheetViews>
  <sheetFormatPr defaultColWidth="9.140625" defaultRowHeight="15.75"/>
  <cols>
    <col min="1" max="1" width="11.7109375" style="293" customWidth="1"/>
    <col min="2" max="2" width="30.7109375" style="282" customWidth="1"/>
    <col min="3" max="3" width="14.7109375" style="282" customWidth="1"/>
    <col min="4" max="4" width="10.5703125" style="282" customWidth="1"/>
    <col min="5" max="5" width="9.5703125" style="293" customWidth="1"/>
    <col min="6" max="6" width="9.85546875" style="293" customWidth="1"/>
    <col min="7" max="7" width="11.5703125" style="293" customWidth="1"/>
    <col min="8" max="8" width="17.5703125" style="282" customWidth="1"/>
    <col min="9" max="9" width="14.85546875" style="282" bestFit="1" customWidth="1"/>
    <col min="10" max="10" width="10.85546875" style="282" customWidth="1"/>
    <col min="11" max="11" width="12.28515625" style="281" customWidth="1"/>
    <col min="12" max="12" width="11.140625" style="281" customWidth="1"/>
    <col min="13" max="13" width="11.85546875" style="282" customWidth="1"/>
    <col min="14" max="14" width="12.85546875" style="282" customWidth="1"/>
    <col min="15" max="15" width="11.85546875" style="282" customWidth="1"/>
    <col min="16" max="16" width="13.85546875" style="282" customWidth="1"/>
    <col min="17" max="17" width="10.85546875" style="282" customWidth="1"/>
    <col min="18" max="16384" width="9.140625" style="282"/>
  </cols>
  <sheetData>
    <row r="1" spans="1:14">
      <c r="M1" s="541" t="s">
        <v>267</v>
      </c>
      <c r="N1" s="671" t="s">
        <v>606</v>
      </c>
    </row>
    <row r="2" spans="1:14" s="744" customFormat="1">
      <c r="A2" s="695" t="s">
        <v>3697</v>
      </c>
      <c r="B2" s="849"/>
      <c r="C2" s="849"/>
      <c r="D2" s="849"/>
      <c r="E2" s="849"/>
      <c r="F2" s="849"/>
      <c r="G2" s="849"/>
      <c r="H2" s="849"/>
      <c r="I2" s="3814" t="s">
        <v>3375</v>
      </c>
      <c r="J2" s="849"/>
      <c r="K2" s="866"/>
      <c r="L2" s="866"/>
    </row>
    <row r="3" spans="1:14">
      <c r="A3" s="45"/>
      <c r="B3" s="280"/>
      <c r="C3" s="280"/>
      <c r="D3" s="280"/>
      <c r="E3" s="280"/>
      <c r="F3" s="280"/>
      <c r="G3" s="280"/>
      <c r="H3" s="280"/>
      <c r="I3" s="3815"/>
      <c r="J3" s="280"/>
    </row>
    <row r="4" spans="1:14" s="744" customFormat="1" ht="15.75" customHeight="1">
      <c r="A4" s="656" t="s">
        <v>3376</v>
      </c>
      <c r="B4" s="852"/>
      <c r="C4" s="852"/>
      <c r="D4" s="852"/>
      <c r="E4" s="852"/>
      <c r="F4" s="852"/>
      <c r="G4" s="852"/>
      <c r="H4" s="852"/>
      <c r="I4" s="852"/>
      <c r="J4" s="738"/>
      <c r="K4" s="866"/>
      <c r="L4" s="866"/>
    </row>
    <row r="5" spans="1:14">
      <c r="A5" s="168" t="s">
        <v>990</v>
      </c>
      <c r="B5" s="283"/>
      <c r="C5" s="283"/>
      <c r="D5" s="283"/>
      <c r="E5" s="283"/>
      <c r="F5" s="283"/>
      <c r="G5" s="283"/>
      <c r="H5" s="283"/>
      <c r="I5" s="283"/>
      <c r="J5" s="177"/>
    </row>
    <row r="6" spans="1:14" ht="21.75" customHeight="1">
      <c r="A6" s="284"/>
      <c r="B6" s="284"/>
      <c r="C6" s="284"/>
      <c r="D6" s="284"/>
      <c r="E6" s="284"/>
      <c r="F6" s="284"/>
      <c r="G6" s="285"/>
      <c r="H6" s="284"/>
      <c r="I6" s="177"/>
      <c r="N6" s="876" t="s">
        <v>254</v>
      </c>
    </row>
    <row r="7" spans="1:14" s="227" customFormat="1" ht="29.25" customHeight="1">
      <c r="A7" s="4178" t="s">
        <v>2</v>
      </c>
      <c r="B7" s="4178" t="s">
        <v>3377</v>
      </c>
      <c r="C7" s="4160" t="s">
        <v>3549</v>
      </c>
      <c r="D7" s="4180" t="s">
        <v>1092</v>
      </c>
      <c r="E7" s="4162" t="s">
        <v>255</v>
      </c>
      <c r="F7" s="4182"/>
      <c r="G7" s="4163"/>
      <c r="H7" s="4160" t="s">
        <v>3550</v>
      </c>
      <c r="I7" s="4160" t="s">
        <v>3551</v>
      </c>
      <c r="J7" s="4160" t="s">
        <v>3380</v>
      </c>
      <c r="K7" s="4160" t="s">
        <v>3381</v>
      </c>
      <c r="L7" s="4160" t="s">
        <v>345</v>
      </c>
      <c r="M7" s="4162" t="s">
        <v>255</v>
      </c>
      <c r="N7" s="4163"/>
    </row>
    <row r="8" spans="1:14" s="226" customFormat="1" ht="45.6" customHeight="1">
      <c r="A8" s="4179"/>
      <c r="B8" s="4179"/>
      <c r="C8" s="4160"/>
      <c r="D8" s="4181"/>
      <c r="E8" s="286" t="s">
        <v>7</v>
      </c>
      <c r="F8" s="286" t="s">
        <v>8</v>
      </c>
      <c r="G8" s="286" t="s">
        <v>3552</v>
      </c>
      <c r="H8" s="4160"/>
      <c r="I8" s="4160"/>
      <c r="J8" s="4160"/>
      <c r="K8" s="4160"/>
      <c r="L8" s="4160"/>
      <c r="M8" s="286" t="s">
        <v>7</v>
      </c>
      <c r="N8" s="286" t="s">
        <v>8</v>
      </c>
    </row>
    <row r="9" spans="1:14" s="226" customFormat="1" ht="20.25" customHeight="1">
      <c r="A9" s="239"/>
      <c r="B9" s="287" t="s">
        <v>3553</v>
      </c>
      <c r="C9" s="288"/>
      <c r="D9" s="288"/>
      <c r="E9" s="632"/>
      <c r="F9" s="632"/>
      <c r="G9" s="216"/>
      <c r="H9" s="216"/>
      <c r="I9" s="216"/>
      <c r="J9" s="216"/>
      <c r="K9" s="289"/>
      <c r="L9" s="289"/>
      <c r="M9" s="290"/>
      <c r="N9" s="290"/>
    </row>
    <row r="10" spans="1:14" s="226" customFormat="1" ht="20.25" customHeight="1">
      <c r="A10" s="291"/>
      <c r="B10" s="292" t="s">
        <v>3459</v>
      </c>
      <c r="C10" s="291" t="s">
        <v>3383</v>
      </c>
      <c r="D10" s="632">
        <f>E10+F10+G10</f>
        <v>1347.5</v>
      </c>
      <c r="E10" s="720">
        <v>23</v>
      </c>
      <c r="F10" s="1529">
        <v>284.5</v>
      </c>
      <c r="G10" s="877">
        <v>1040</v>
      </c>
      <c r="H10" s="877">
        <f>I43/3/D10</f>
        <v>1.0751471973913533</v>
      </c>
      <c r="I10" s="632">
        <f>D10*H10</f>
        <v>1448.7608484848486</v>
      </c>
      <c r="J10" s="632">
        <v>3</v>
      </c>
      <c r="K10" s="1212">
        <v>134.93</v>
      </c>
      <c r="L10" s="629">
        <f>I10*J10*K10</f>
        <v>586443.9038581819</v>
      </c>
      <c r="M10" s="290">
        <f>L10*E10/D10</f>
        <v>10009.803182737056</v>
      </c>
      <c r="N10" s="633">
        <f>L10-M10</f>
        <v>576434.10067544482</v>
      </c>
    </row>
    <row r="11" spans="1:14" s="226" customFormat="1" ht="20.25" customHeight="1">
      <c r="A11" s="291"/>
      <c r="B11" s="292" t="s">
        <v>3463</v>
      </c>
      <c r="C11" s="291" t="s">
        <v>3383</v>
      </c>
      <c r="D11" s="632">
        <f>E11+F11+G11</f>
        <v>1347.5</v>
      </c>
      <c r="E11" s="720">
        <v>23</v>
      </c>
      <c r="F11" s="1529">
        <v>284.5</v>
      </c>
      <c r="G11" s="877">
        <v>1040</v>
      </c>
      <c r="H11" s="877">
        <f>P43/5/D11</f>
        <v>1.0641317456569406</v>
      </c>
      <c r="I11" s="632">
        <f>D11*H11</f>
        <v>1433.9175272727275</v>
      </c>
      <c r="J11" s="632">
        <v>5</v>
      </c>
      <c r="K11" s="1212">
        <v>134.93</v>
      </c>
      <c r="L11" s="629">
        <f>I11*J11*K11</f>
        <v>967392.45977454574</v>
      </c>
      <c r="M11" s="290">
        <f t="shared" ref="M11:M20" si="0">L11*E11/D11</f>
        <v>16512.079090771465</v>
      </c>
      <c r="N11" s="633">
        <f t="shared" ref="N11:N20" si="1">L11-M11</f>
        <v>950880.38068377424</v>
      </c>
    </row>
    <row r="12" spans="1:14" s="226" customFormat="1" ht="20.25" customHeight="1">
      <c r="A12" s="291"/>
      <c r="B12" s="292" t="s">
        <v>3464</v>
      </c>
      <c r="C12" s="291" t="s">
        <v>3383</v>
      </c>
      <c r="D12" s="632">
        <f>E12+F12+G12</f>
        <v>1222.5</v>
      </c>
      <c r="E12" s="720">
        <v>23</v>
      </c>
      <c r="F12" s="1529">
        <v>284.5</v>
      </c>
      <c r="G12" s="877">
        <v>915</v>
      </c>
      <c r="H12" s="877">
        <f>Q43/4/D12</f>
        <v>1.6970646588585239</v>
      </c>
      <c r="I12" s="632">
        <f>D12*H12</f>
        <v>2074.6615454545454</v>
      </c>
      <c r="J12" s="632">
        <v>4</v>
      </c>
      <c r="K12" s="1212">
        <v>134.93</v>
      </c>
      <c r="L12" s="629">
        <f>I12*J12*K12</f>
        <v>1119736.3293127273</v>
      </c>
      <c r="M12" s="290">
        <f t="shared" si="0"/>
        <v>21066.613966619818</v>
      </c>
      <c r="N12" s="633">
        <f t="shared" si="1"/>
        <v>1098669.7153461075</v>
      </c>
    </row>
    <row r="13" spans="1:14" s="226" customFormat="1" ht="20.25" customHeight="1">
      <c r="A13" s="291"/>
      <c r="B13" s="238" t="s">
        <v>20</v>
      </c>
      <c r="C13" s="884"/>
      <c r="D13" s="884"/>
      <c r="E13" s="878"/>
      <c r="F13" s="878"/>
      <c r="G13" s="878"/>
      <c r="H13" s="879"/>
      <c r="I13" s="879"/>
      <c r="J13" s="879"/>
      <c r="K13" s="880"/>
      <c r="L13" s="630">
        <f>SUM(L10:L12)</f>
        <v>2673572.6929454552</v>
      </c>
      <c r="M13" s="630">
        <f>SUM(M10:M12)</f>
        <v>47588.496240128341</v>
      </c>
      <c r="N13" s="630">
        <f>SUM(N10:N12)</f>
        <v>2625984.1967053264</v>
      </c>
    </row>
    <row r="14" spans="1:14" s="226" customFormat="1" ht="20.25" customHeight="1">
      <c r="A14" s="239"/>
      <c r="B14" s="287" t="s">
        <v>3554</v>
      </c>
      <c r="C14" s="709"/>
      <c r="D14" s="709"/>
      <c r="E14" s="720"/>
      <c r="F14" s="720"/>
      <c r="G14" s="877"/>
      <c r="H14" s="877"/>
      <c r="I14" s="877"/>
      <c r="J14" s="877"/>
      <c r="K14" s="880"/>
      <c r="L14" s="629"/>
      <c r="M14" s="290" t="e">
        <f t="shared" si="0"/>
        <v>#DIV/0!</v>
      </c>
      <c r="N14" s="633" t="e">
        <f t="shared" si="1"/>
        <v>#DIV/0!</v>
      </c>
    </row>
    <row r="15" spans="1:14" s="226" customFormat="1" ht="20.25" customHeight="1">
      <c r="A15" s="291"/>
      <c r="B15" s="292" t="s">
        <v>3459</v>
      </c>
      <c r="C15" s="291" t="s">
        <v>3383</v>
      </c>
      <c r="D15" s="632">
        <f>E15+F15+G15</f>
        <v>1347.5</v>
      </c>
      <c r="E15" s="720">
        <v>23</v>
      </c>
      <c r="F15" s="1529">
        <v>284.5</v>
      </c>
      <c r="G15" s="877">
        <v>1040</v>
      </c>
      <c r="H15" s="877">
        <f>I44/3/D15</f>
        <v>1.0751471973913533</v>
      </c>
      <c r="I15" s="632">
        <f>D15*H15</f>
        <v>1448.7608484848486</v>
      </c>
      <c r="J15" s="632">
        <v>3</v>
      </c>
      <c r="K15" s="1212">
        <v>129.19</v>
      </c>
      <c r="L15" s="629">
        <f>I15*J15*K15</f>
        <v>561496.24204727274</v>
      </c>
      <c r="M15" s="290">
        <f t="shared" si="0"/>
        <v>9583.9803837382351</v>
      </c>
      <c r="N15" s="633">
        <f t="shared" si="1"/>
        <v>551912.26166353445</v>
      </c>
    </row>
    <row r="16" spans="1:14" s="226" customFormat="1" ht="20.25" customHeight="1">
      <c r="A16" s="291"/>
      <c r="B16" s="292" t="s">
        <v>3463</v>
      </c>
      <c r="C16" s="291" t="s">
        <v>3383</v>
      </c>
      <c r="D16" s="632">
        <f>E16+F16+G16</f>
        <v>1347.5</v>
      </c>
      <c r="E16" s="720">
        <v>23</v>
      </c>
      <c r="F16" s="1529">
        <v>284.5</v>
      </c>
      <c r="G16" s="877">
        <v>1040</v>
      </c>
      <c r="H16" s="877">
        <f>P44/5/D16</f>
        <v>1.0641317456569406</v>
      </c>
      <c r="I16" s="632">
        <f>D16*H16</f>
        <v>1433.9175272727275</v>
      </c>
      <c r="J16" s="632">
        <v>5</v>
      </c>
      <c r="K16" s="1212">
        <v>129.19</v>
      </c>
      <c r="L16" s="629">
        <f>I16*J16*K16</f>
        <v>926239.02674181841</v>
      </c>
      <c r="M16" s="290">
        <f t="shared" si="0"/>
        <v>15809.645725463321</v>
      </c>
      <c r="N16" s="633">
        <f t="shared" si="1"/>
        <v>910429.38101635512</v>
      </c>
    </row>
    <row r="17" spans="1:14" s="226" customFormat="1" ht="20.25" customHeight="1">
      <c r="A17" s="291"/>
      <c r="B17" s="292" t="s">
        <v>3464</v>
      </c>
      <c r="C17" s="291" t="s">
        <v>3383</v>
      </c>
      <c r="D17" s="632">
        <f>E17+F17+G17</f>
        <v>1222.5</v>
      </c>
      <c r="E17" s="720">
        <v>23</v>
      </c>
      <c r="F17" s="1529">
        <v>284.5</v>
      </c>
      <c r="G17" s="877">
        <v>915</v>
      </c>
      <c r="H17" s="877">
        <f>Q44/4/D17</f>
        <v>1.6970646588585239</v>
      </c>
      <c r="I17" s="632">
        <f>D17*H17</f>
        <v>2074.6615454545454</v>
      </c>
      <c r="J17" s="632">
        <v>4</v>
      </c>
      <c r="K17" s="1212">
        <v>129.19</v>
      </c>
      <c r="L17" s="629">
        <f>I17*J17*K17</f>
        <v>1072102.1002290908</v>
      </c>
      <c r="M17" s="290">
        <f t="shared" si="0"/>
        <v>20170.428061569808</v>
      </c>
      <c r="N17" s="633">
        <f t="shared" si="1"/>
        <v>1051931.672167521</v>
      </c>
    </row>
    <row r="18" spans="1:14" s="226" customFormat="1" ht="20.25" customHeight="1">
      <c r="A18" s="291"/>
      <c r="B18" s="238" t="s">
        <v>20</v>
      </c>
      <c r="C18" s="709"/>
      <c r="D18" s="709"/>
      <c r="E18" s="720"/>
      <c r="F18" s="720"/>
      <c r="G18" s="877"/>
      <c r="H18" s="877"/>
      <c r="I18" s="877"/>
      <c r="J18" s="877"/>
      <c r="K18" s="880"/>
      <c r="L18" s="630">
        <f>SUM(L15:L17)</f>
        <v>2559837.3690181822</v>
      </c>
      <c r="M18" s="630">
        <f>SUM(M15:M17)</f>
        <v>45564.054170771364</v>
      </c>
      <c r="N18" s="630">
        <f>SUM(N15:N17)</f>
        <v>2514273.3148474107</v>
      </c>
    </row>
    <row r="19" spans="1:14" s="226" customFormat="1" ht="20.25" customHeight="1">
      <c r="A19" s="291"/>
      <c r="B19" s="238" t="s">
        <v>3578</v>
      </c>
      <c r="C19" s="709"/>
      <c r="D19" s="709"/>
      <c r="E19" s="720"/>
      <c r="F19" s="720"/>
      <c r="G19" s="877"/>
      <c r="H19" s="877"/>
      <c r="I19" s="216"/>
      <c r="J19" s="216"/>
      <c r="K19" s="880"/>
      <c r="L19" s="629"/>
      <c r="M19" s="290" t="e">
        <f t="shared" si="0"/>
        <v>#DIV/0!</v>
      </c>
      <c r="N19" s="633" t="e">
        <f t="shared" si="1"/>
        <v>#DIV/0!</v>
      </c>
    </row>
    <row r="20" spans="1:14" s="226" customFormat="1" ht="20.25" customHeight="1">
      <c r="A20" s="291"/>
      <c r="B20" s="288" t="s">
        <v>3556</v>
      </c>
      <c r="C20" s="709">
        <v>11901.2</v>
      </c>
      <c r="D20" s="291" t="s">
        <v>3383</v>
      </c>
      <c r="E20" s="291" t="s">
        <v>3383</v>
      </c>
      <c r="F20" s="291" t="s">
        <v>3383</v>
      </c>
      <c r="G20" s="291" t="s">
        <v>3383</v>
      </c>
      <c r="H20" s="877"/>
      <c r="I20" s="720"/>
      <c r="J20" s="632">
        <v>6</v>
      </c>
      <c r="K20" s="880"/>
      <c r="L20" s="629">
        <f>I20*J20*K20</f>
        <v>0</v>
      </c>
      <c r="M20" s="290" t="e">
        <f t="shared" si="0"/>
        <v>#VALUE!</v>
      </c>
      <c r="N20" s="633" t="e">
        <f t="shared" si="1"/>
        <v>#VALUE!</v>
      </c>
    </row>
    <row r="21" spans="1:14" s="228" customFormat="1" ht="20.25" customHeight="1">
      <c r="A21" s="291"/>
      <c r="B21" s="238" t="s">
        <v>20</v>
      </c>
      <c r="C21" s="884"/>
      <c r="D21" s="884"/>
      <c r="E21" s="878"/>
      <c r="F21" s="878"/>
      <c r="G21" s="879"/>
      <c r="H21" s="879"/>
      <c r="I21" s="879"/>
      <c r="J21" s="879"/>
      <c r="K21" s="881"/>
      <c r="L21" s="630">
        <f>SUM(L20)</f>
        <v>0</v>
      </c>
      <c r="M21" s="630" t="e">
        <f>SUM(M20)</f>
        <v>#VALUE!</v>
      </c>
      <c r="N21" s="630" t="e">
        <f>SUM(N20)</f>
        <v>#VALUE!</v>
      </c>
    </row>
    <row r="22" spans="1:14" s="226" customFormat="1" ht="20.25" customHeight="1">
      <c r="A22" s="239"/>
      <c r="B22" s="238" t="s">
        <v>306</v>
      </c>
      <c r="C22" s="883"/>
      <c r="D22" s="883"/>
      <c r="E22" s="883"/>
      <c r="F22" s="883"/>
      <c r="G22" s="883"/>
      <c r="H22" s="883"/>
      <c r="I22" s="883"/>
      <c r="J22" s="883"/>
      <c r="K22" s="882"/>
      <c r="L22" s="631">
        <f>L13+L18+L21</f>
        <v>5233410.0619636374</v>
      </c>
      <c r="M22" s="238" t="e">
        <f>M13+M19+M21</f>
        <v>#DIV/0!</v>
      </c>
      <c r="N22" s="631" t="e">
        <f>N13+N19+N21</f>
        <v>#DIV/0!</v>
      </c>
    </row>
    <row r="23" spans="1:14" ht="8.25" customHeight="1">
      <c r="C23" s="294"/>
      <c r="D23" s="294"/>
      <c r="E23" s="295"/>
      <c r="F23" s="295"/>
      <c r="H23" s="296"/>
      <c r="I23" s="297"/>
      <c r="J23" s="217"/>
      <c r="K23" s="296"/>
      <c r="L23" s="298"/>
    </row>
    <row r="24" spans="1:14">
      <c r="B24" s="300" t="s">
        <v>329</v>
      </c>
      <c r="C24" s="294"/>
      <c r="D24" s="294"/>
      <c r="E24" s="295"/>
      <c r="F24" s="745"/>
      <c r="G24" s="758"/>
      <c r="H24" s="885"/>
      <c r="I24" s="886"/>
      <c r="J24" s="739"/>
      <c r="K24" s="885"/>
      <c r="L24" s="887"/>
      <c r="M24" s="744"/>
      <c r="N24" s="744"/>
    </row>
    <row r="25" spans="1:14" ht="10.5" customHeight="1">
      <c r="B25" s="300"/>
      <c r="C25" s="294"/>
      <c r="D25" s="294"/>
      <c r="E25" s="295"/>
      <c r="F25" s="745"/>
      <c r="G25" s="758"/>
      <c r="H25" s="888"/>
      <c r="I25" s="886"/>
      <c r="J25" s="739"/>
      <c r="K25" s="888"/>
      <c r="L25" s="887"/>
      <c r="M25" s="744"/>
      <c r="N25" s="744"/>
    </row>
    <row r="26" spans="1:14">
      <c r="B26" s="345" t="s">
        <v>330</v>
      </c>
      <c r="C26" s="294"/>
      <c r="D26" s="294"/>
      <c r="E26" s="295"/>
      <c r="F26" s="745"/>
      <c r="G26" s="758"/>
      <c r="H26" s="889"/>
      <c r="I26" s="886"/>
      <c r="J26" s="739"/>
      <c r="K26" s="889"/>
      <c r="L26" s="890"/>
      <c r="M26" s="744"/>
      <c r="N26" s="744"/>
    </row>
    <row r="27" spans="1:14">
      <c r="B27" s="345" t="s">
        <v>332</v>
      </c>
      <c r="C27" s="294"/>
      <c r="D27" s="294"/>
      <c r="E27" s="295"/>
      <c r="F27" s="745"/>
      <c r="G27" s="758"/>
      <c r="H27" s="889"/>
      <c r="I27" s="739"/>
      <c r="J27" s="739"/>
      <c r="K27" s="889"/>
      <c r="L27" s="890"/>
      <c r="M27" s="744"/>
      <c r="N27" s="744"/>
    </row>
    <row r="28" spans="1:14" ht="10.5" customHeight="1">
      <c r="B28" s="346"/>
      <c r="C28" s="294"/>
      <c r="D28" s="294"/>
      <c r="E28" s="295"/>
      <c r="F28" s="745"/>
      <c r="G28" s="758"/>
      <c r="H28" s="889"/>
      <c r="I28" s="739"/>
      <c r="J28" s="739"/>
      <c r="K28" s="889"/>
      <c r="L28" s="891"/>
      <c r="M28" s="744"/>
      <c r="N28" s="744"/>
    </row>
    <row r="29" spans="1:14">
      <c r="B29" s="345" t="s">
        <v>333</v>
      </c>
      <c r="F29" s="758"/>
      <c r="G29" s="758"/>
      <c r="H29" s="744"/>
      <c r="I29" s="744"/>
      <c r="J29" s="744"/>
      <c r="K29" s="866"/>
      <c r="L29" s="866"/>
      <c r="M29" s="744"/>
      <c r="N29" s="744"/>
    </row>
    <row r="30" spans="1:14">
      <c r="B30" s="541" t="s">
        <v>3387</v>
      </c>
      <c r="C30" s="541" t="s">
        <v>3388</v>
      </c>
      <c r="D30" s="541" t="s">
        <v>1411</v>
      </c>
      <c r="E30" s="541" t="s">
        <v>3598</v>
      </c>
      <c r="F30" s="541" t="s">
        <v>3391</v>
      </c>
      <c r="G30" s="541" t="s">
        <v>3392</v>
      </c>
      <c r="H30" s="282" t="s">
        <v>3393</v>
      </c>
      <c r="I30" s="282" t="s">
        <v>3399</v>
      </c>
      <c r="L30" s="282" t="s">
        <v>3599</v>
      </c>
    </row>
    <row r="31" spans="1:14">
      <c r="A31" s="274"/>
      <c r="B31" s="274" t="s">
        <v>3484</v>
      </c>
      <c r="C31" s="274"/>
      <c r="D31" s="274"/>
      <c r="E31" s="274"/>
      <c r="F31" s="274"/>
      <c r="G31" s="274"/>
      <c r="L31" s="282"/>
    </row>
    <row r="32" spans="1:14">
      <c r="A32" s="274" t="s">
        <v>3485</v>
      </c>
      <c r="B32" s="274">
        <v>1119</v>
      </c>
      <c r="C32" s="274">
        <v>1210</v>
      </c>
      <c r="D32" s="274">
        <v>970</v>
      </c>
      <c r="E32" s="274">
        <v>1836</v>
      </c>
      <c r="F32" s="274">
        <v>954</v>
      </c>
      <c r="G32" s="274">
        <v>970</v>
      </c>
      <c r="H32" s="282">
        <v>841</v>
      </c>
      <c r="I32" s="281">
        <v>126.1</v>
      </c>
      <c r="J32" s="1211">
        <v>1.07</v>
      </c>
      <c r="K32" s="1211">
        <f>I32*J32</f>
        <v>134.92699999999999</v>
      </c>
      <c r="L32" s="282">
        <f>B32+C32+D32</f>
        <v>3299</v>
      </c>
    </row>
    <row r="33" spans="1:17">
      <c r="A33" s="274" t="s">
        <v>3487</v>
      </c>
      <c r="B33" s="274">
        <v>1119</v>
      </c>
      <c r="C33" s="274">
        <v>1210</v>
      </c>
      <c r="D33" s="274">
        <v>970</v>
      </c>
      <c r="E33" s="274">
        <v>1836</v>
      </c>
      <c r="F33" s="274">
        <v>954</v>
      </c>
      <c r="G33" s="274">
        <v>970</v>
      </c>
      <c r="H33" s="282">
        <v>841</v>
      </c>
    </row>
    <row r="38" spans="1:17">
      <c r="A38" s="1415" t="s">
        <v>3545</v>
      </c>
      <c r="B38" s="1389" t="s">
        <v>3471</v>
      </c>
      <c r="C38" s="1389" t="s">
        <v>3388</v>
      </c>
      <c r="D38" s="1389" t="s">
        <v>1411</v>
      </c>
      <c r="E38" s="1389" t="s">
        <v>3598</v>
      </c>
      <c r="F38" s="1389" t="s">
        <v>3391</v>
      </c>
      <c r="G38" s="1389" t="s">
        <v>3392</v>
      </c>
      <c r="H38" s="1389" t="s">
        <v>3393</v>
      </c>
      <c r="I38" s="1389"/>
      <c r="J38" s="1389"/>
      <c r="K38" s="1416" t="s">
        <v>3394</v>
      </c>
      <c r="L38" s="1416" t="s">
        <v>3581</v>
      </c>
      <c r="M38" s="1389" t="s">
        <v>3396</v>
      </c>
      <c r="N38" s="1389" t="s">
        <v>3397</v>
      </c>
      <c r="O38" s="1389" t="s">
        <v>3398</v>
      </c>
    </row>
    <row r="39" spans="1:17">
      <c r="A39" s="633"/>
      <c r="B39" s="633"/>
      <c r="C39" s="633"/>
      <c r="D39" s="633"/>
      <c r="E39" s="633"/>
      <c r="F39" s="633"/>
      <c r="G39" s="633"/>
      <c r="H39" s="1388"/>
      <c r="I39" s="1388"/>
      <c r="J39" s="1388"/>
      <c r="K39" s="1390"/>
      <c r="L39" s="1390"/>
      <c r="M39" s="1388"/>
      <c r="N39" s="1388"/>
      <c r="O39" s="1388"/>
    </row>
    <row r="40" spans="1:17">
      <c r="A40" s="633" t="s">
        <v>3485</v>
      </c>
      <c r="B40" s="633">
        <v>1119</v>
      </c>
      <c r="C40" s="633">
        <v>1210</v>
      </c>
      <c r="D40" s="633">
        <v>970</v>
      </c>
      <c r="E40" s="633">
        <v>1836</v>
      </c>
      <c r="F40" s="633">
        <v>954</v>
      </c>
      <c r="G40" s="633">
        <v>970</v>
      </c>
      <c r="H40" s="1388">
        <v>841</v>
      </c>
      <c r="I40" s="1388">
        <v>12100</v>
      </c>
      <c r="J40" s="1392">
        <v>15941.2</v>
      </c>
      <c r="K40" s="1390">
        <v>841</v>
      </c>
      <c r="L40" s="1390">
        <v>1093</v>
      </c>
      <c r="M40" s="1388">
        <v>1102</v>
      </c>
      <c r="N40" s="1388">
        <v>1125</v>
      </c>
      <c r="O40" s="1388">
        <v>2979</v>
      </c>
      <c r="P40" s="282">
        <f>SUM(B40:O40)</f>
        <v>43081.2</v>
      </c>
    </row>
    <row r="41" spans="1:17">
      <c r="A41" s="633" t="s">
        <v>3487</v>
      </c>
      <c r="B41" s="633">
        <v>1119</v>
      </c>
      <c r="C41" s="633">
        <v>1210</v>
      </c>
      <c r="D41" s="633">
        <v>970</v>
      </c>
      <c r="E41" s="633">
        <v>1836</v>
      </c>
      <c r="F41" s="633">
        <v>954</v>
      </c>
      <c r="G41" s="633">
        <v>970</v>
      </c>
      <c r="H41" s="1388">
        <v>841</v>
      </c>
      <c r="I41" s="1388"/>
      <c r="J41" s="1388"/>
      <c r="K41" s="1390">
        <v>841</v>
      </c>
      <c r="L41" s="1390">
        <v>1093</v>
      </c>
      <c r="M41" s="1388">
        <v>1102</v>
      </c>
      <c r="N41" s="1388">
        <v>1125</v>
      </c>
      <c r="O41" s="1388">
        <v>2979</v>
      </c>
    </row>
    <row r="42" spans="1:17">
      <c r="B42" s="282" t="s">
        <v>3605</v>
      </c>
      <c r="I42" s="282" t="s">
        <v>3459</v>
      </c>
      <c r="J42" s="282" t="s">
        <v>681</v>
      </c>
      <c r="P42" s="282" t="s">
        <v>3468</v>
      </c>
      <c r="Q42" s="282" t="s">
        <v>3464</v>
      </c>
    </row>
    <row r="43" spans="1:17">
      <c r="B43" s="1388">
        <f t="shared" ref="B43:H44" si="2">B40/$I$40*$J$40</f>
        <v>1474.2316363636364</v>
      </c>
      <c r="C43" s="1388">
        <f t="shared" si="2"/>
        <v>1594.1200000000001</v>
      </c>
      <c r="D43" s="1388">
        <f t="shared" si="2"/>
        <v>1277.9309090909092</v>
      </c>
      <c r="E43" s="1388">
        <f t="shared" si="2"/>
        <v>2418.8465454545458</v>
      </c>
      <c r="F43" s="1388">
        <f t="shared" si="2"/>
        <v>1256.8516363636363</v>
      </c>
      <c r="G43" s="1388">
        <f t="shared" si="2"/>
        <v>1277.9309090909092</v>
      </c>
      <c r="H43" s="1388">
        <f t="shared" si="2"/>
        <v>1107.9792727272727</v>
      </c>
      <c r="I43" s="1388">
        <f>B43+C43+D43</f>
        <v>4346.2825454545455</v>
      </c>
      <c r="J43" s="1388">
        <f>I43/3</f>
        <v>1448.7608484848486</v>
      </c>
      <c r="K43" s="1390">
        <f t="shared" ref="K43:O44" si="3">K40/$I$40*$J$40</f>
        <v>1107.9792727272727</v>
      </c>
      <c r="L43" s="1390">
        <f t="shared" si="3"/>
        <v>1439.9778181818181</v>
      </c>
      <c r="M43" s="1388">
        <f t="shared" si="3"/>
        <v>1451.8349090909092</v>
      </c>
      <c r="N43" s="1388">
        <f t="shared" si="3"/>
        <v>1482.1363636363637</v>
      </c>
      <c r="O43" s="1388">
        <f t="shared" si="3"/>
        <v>3924.697090909091</v>
      </c>
      <c r="P43" s="282">
        <f>E43+F43+G43+H43+K43</f>
        <v>7169.5876363636362</v>
      </c>
      <c r="Q43" s="282">
        <f>L43+M43+N43+O43</f>
        <v>8298.6461818181815</v>
      </c>
    </row>
    <row r="44" spans="1:17">
      <c r="B44" s="1388">
        <f t="shared" si="2"/>
        <v>1474.2316363636364</v>
      </c>
      <c r="C44" s="1388">
        <f t="shared" si="2"/>
        <v>1594.1200000000001</v>
      </c>
      <c r="D44" s="1388">
        <f t="shared" si="2"/>
        <v>1277.9309090909092</v>
      </c>
      <c r="E44" s="1388">
        <f t="shared" si="2"/>
        <v>2418.8465454545458</v>
      </c>
      <c r="F44" s="1388">
        <f t="shared" si="2"/>
        <v>1256.8516363636363</v>
      </c>
      <c r="G44" s="1388">
        <f t="shared" si="2"/>
        <v>1277.9309090909092</v>
      </c>
      <c r="H44" s="1388">
        <f t="shared" si="2"/>
        <v>1107.9792727272727</v>
      </c>
      <c r="I44" s="1388">
        <f>B44+C44+D44</f>
        <v>4346.2825454545455</v>
      </c>
      <c r="J44" s="1388">
        <f>I44/3</f>
        <v>1448.7608484848486</v>
      </c>
      <c r="K44" s="1390">
        <f t="shared" si="3"/>
        <v>1107.9792727272727</v>
      </c>
      <c r="L44" s="1390">
        <f t="shared" si="3"/>
        <v>1439.9778181818181</v>
      </c>
      <c r="M44" s="1388">
        <f t="shared" si="3"/>
        <v>1451.8349090909092</v>
      </c>
      <c r="N44" s="1388">
        <f t="shared" si="3"/>
        <v>1482.1363636363637</v>
      </c>
      <c r="O44" s="1388">
        <f t="shared" si="3"/>
        <v>3924.697090909091</v>
      </c>
      <c r="P44" s="282">
        <f>E44+F44+G44+H44+K44</f>
        <v>7169.5876363636362</v>
      </c>
      <c r="Q44" s="282">
        <f>L44+M44+N44+O44</f>
        <v>8298.6461818181815</v>
      </c>
    </row>
    <row r="45" spans="1:17">
      <c r="B45" s="1396" t="s">
        <v>3698</v>
      </c>
    </row>
    <row r="47" spans="1:17" ht="35.25" customHeight="1">
      <c r="A47" s="4178" t="s">
        <v>2</v>
      </c>
      <c r="B47" s="4178" t="s">
        <v>3377</v>
      </c>
      <c r="C47" s="4160" t="s">
        <v>3549</v>
      </c>
      <c r="D47" s="4180" t="s">
        <v>1092</v>
      </c>
      <c r="E47" s="4162" t="s">
        <v>255</v>
      </c>
      <c r="F47" s="4182"/>
      <c r="G47" s="4163"/>
      <c r="H47" s="4160" t="s">
        <v>3550</v>
      </c>
      <c r="I47" s="4160" t="s">
        <v>3551</v>
      </c>
      <c r="J47" s="4160" t="s">
        <v>3380</v>
      </c>
      <c r="K47" s="4160" t="s">
        <v>3381</v>
      </c>
      <c r="L47" s="4160" t="s">
        <v>345</v>
      </c>
      <c r="M47" s="4162" t="s">
        <v>255</v>
      </c>
      <c r="N47" s="4163"/>
    </row>
    <row r="48" spans="1:17" ht="38.25" customHeight="1">
      <c r="A48" s="4179"/>
      <c r="B48" s="4179"/>
      <c r="C48" s="4160"/>
      <c r="D48" s="4181"/>
      <c r="E48" s="286" t="s">
        <v>7</v>
      </c>
      <c r="F48" s="286" t="s">
        <v>8</v>
      </c>
      <c r="G48" s="286" t="s">
        <v>3552</v>
      </c>
      <c r="H48" s="4160"/>
      <c r="I48" s="4160"/>
      <c r="J48" s="4160"/>
      <c r="K48" s="4160"/>
      <c r="L48" s="4160"/>
      <c r="M48" s="286" t="s">
        <v>7</v>
      </c>
      <c r="N48" s="286" t="s">
        <v>8</v>
      </c>
    </row>
    <row r="49" spans="1:14">
      <c r="A49" s="239"/>
      <c r="B49" s="287" t="s">
        <v>3553</v>
      </c>
      <c r="C49" s="288"/>
      <c r="D49" s="288"/>
      <c r="E49" s="632"/>
      <c r="F49" s="632"/>
      <c r="G49" s="216"/>
      <c r="H49" s="216"/>
      <c r="I49" s="216"/>
      <c r="J49" s="216"/>
      <c r="K49" s="289"/>
      <c r="L49" s="289"/>
      <c r="M49" s="290"/>
      <c r="N49" s="290"/>
    </row>
    <row r="50" spans="1:14">
      <c r="A50" s="291"/>
      <c r="B50" s="292" t="s">
        <v>3459</v>
      </c>
      <c r="C50" s="291" t="s">
        <v>3383</v>
      </c>
      <c r="D50" s="632">
        <f>E50+F50+G50</f>
        <v>1347.5</v>
      </c>
      <c r="E50" s="720">
        <v>23</v>
      </c>
      <c r="F50" s="1529">
        <v>284.5</v>
      </c>
      <c r="G50" s="877">
        <v>1040</v>
      </c>
      <c r="H50" s="877">
        <f>(I66+I71)/3/D50</f>
        <v>0.23412987012987019</v>
      </c>
      <c r="I50" s="632">
        <f>D50*H50</f>
        <v>315.49000000000007</v>
      </c>
      <c r="J50" s="632">
        <v>3</v>
      </c>
      <c r="K50" s="1212">
        <v>134.93</v>
      </c>
      <c r="L50" s="629">
        <f>I50*J50*K50</f>
        <v>127707.19710000003</v>
      </c>
      <c r="M50" s="290">
        <f>L50*E50/D50</f>
        <v>2179.7888929870137</v>
      </c>
      <c r="N50" s="633">
        <f>L50-M50</f>
        <v>125527.40820701302</v>
      </c>
    </row>
    <row r="51" spans="1:14">
      <c r="A51" s="291"/>
      <c r="B51" s="292" t="s">
        <v>3463</v>
      </c>
      <c r="C51" s="291" t="s">
        <v>3383</v>
      </c>
      <c r="D51" s="632">
        <f>E51+F51+G51</f>
        <v>1347.5</v>
      </c>
      <c r="E51" s="720">
        <v>23</v>
      </c>
      <c r="F51" s="1529">
        <v>284.5</v>
      </c>
      <c r="G51" s="877">
        <v>1040</v>
      </c>
      <c r="H51" s="877">
        <f>(I67+I72)/5/D51</f>
        <v>0.25286025974025977</v>
      </c>
      <c r="I51" s="632">
        <f>D51*H51</f>
        <v>340.72920000000005</v>
      </c>
      <c r="J51" s="632">
        <v>5</v>
      </c>
      <c r="K51" s="1212">
        <v>134.93</v>
      </c>
      <c r="L51" s="629">
        <f>I51*J51*K51</f>
        <v>229872.95478000003</v>
      </c>
      <c r="M51" s="290">
        <f>L51*E51/D51</f>
        <v>3923.6200073766236</v>
      </c>
      <c r="N51" s="633">
        <f>L51-M51</f>
        <v>225949.33477262341</v>
      </c>
    </row>
    <row r="52" spans="1:14">
      <c r="A52" s="291"/>
      <c r="B52" s="292" t="s">
        <v>3464</v>
      </c>
      <c r="C52" s="291" t="s">
        <v>3383</v>
      </c>
      <c r="D52" s="632">
        <f>E52+F52+G52</f>
        <v>1222.5</v>
      </c>
      <c r="E52" s="720">
        <v>23</v>
      </c>
      <c r="F52" s="1529">
        <v>284.5</v>
      </c>
      <c r="G52" s="877">
        <v>915</v>
      </c>
      <c r="H52" s="877">
        <f>(I68+I73)/4/D52</f>
        <v>0.2792680981595092</v>
      </c>
      <c r="I52" s="632">
        <f>D52*H52</f>
        <v>341.40525000000002</v>
      </c>
      <c r="J52" s="632">
        <v>4</v>
      </c>
      <c r="K52" s="1212">
        <v>134.93</v>
      </c>
      <c r="L52" s="629">
        <f>I52*J52*K52</f>
        <v>184263.24153000003</v>
      </c>
      <c r="M52" s="290">
        <f>L52*E52/D52</f>
        <v>3466.7112925889578</v>
      </c>
      <c r="N52" s="633">
        <f>L52-M52</f>
        <v>180796.53023741106</v>
      </c>
    </row>
    <row r="53" spans="1:14">
      <c r="A53" s="291"/>
      <c r="B53" s="238" t="s">
        <v>20</v>
      </c>
      <c r="C53" s="884"/>
      <c r="D53" s="884"/>
      <c r="E53" s="878"/>
      <c r="F53" s="878"/>
      <c r="G53" s="878"/>
      <c r="H53" s="879"/>
      <c r="I53" s="879"/>
      <c r="J53" s="879"/>
      <c r="K53" s="880"/>
      <c r="L53" s="630">
        <f>SUM(L50:L52)</f>
        <v>541843.39341000014</v>
      </c>
      <c r="M53" s="630">
        <f>SUM(M50:M52)</f>
        <v>9570.120192952596</v>
      </c>
      <c r="N53" s="630">
        <f>SUM(N50:N52)</f>
        <v>532273.27321704745</v>
      </c>
    </row>
    <row r="54" spans="1:14">
      <c r="A54" s="239"/>
      <c r="B54" s="287" t="s">
        <v>3554</v>
      </c>
      <c r="C54" s="709"/>
      <c r="D54" s="709"/>
      <c r="E54" s="720"/>
      <c r="F54" s="720"/>
      <c r="G54" s="877"/>
      <c r="H54" s="877"/>
      <c r="I54" s="877"/>
      <c r="J54" s="877"/>
      <c r="K54" s="880"/>
      <c r="L54" s="629"/>
      <c r="M54" s="290" t="e">
        <f>L54*E54/D54</f>
        <v>#DIV/0!</v>
      </c>
      <c r="N54" s="633" t="e">
        <f>L54-M54</f>
        <v>#DIV/0!</v>
      </c>
    </row>
    <row r="55" spans="1:14">
      <c r="A55" s="291"/>
      <c r="B55" s="292" t="s">
        <v>3459</v>
      </c>
      <c r="C55" s="291" t="s">
        <v>3383</v>
      </c>
      <c r="D55" s="632">
        <f>E55+F55+G55</f>
        <v>1347.5</v>
      </c>
      <c r="E55" s="720">
        <v>23</v>
      </c>
      <c r="F55" s="1529">
        <v>284.5</v>
      </c>
      <c r="G55" s="877">
        <v>1040</v>
      </c>
      <c r="H55" s="877">
        <f>(I66+I71)/3/D55</f>
        <v>0.23412987012987019</v>
      </c>
      <c r="I55" s="632">
        <f>D55*H55</f>
        <v>315.49000000000007</v>
      </c>
      <c r="J55" s="632">
        <v>3</v>
      </c>
      <c r="K55" s="1212">
        <v>129.19</v>
      </c>
      <c r="L55" s="629">
        <f>I55*J55*K55</f>
        <v>122274.45930000003</v>
      </c>
      <c r="M55" s="290">
        <f>L55*E55/D55</f>
        <v>2087.0594166233773</v>
      </c>
      <c r="N55" s="633">
        <f>L55-M55</f>
        <v>120187.39988337665</v>
      </c>
    </row>
    <row r="56" spans="1:14">
      <c r="A56" s="291"/>
      <c r="B56" s="292" t="s">
        <v>3463</v>
      </c>
      <c r="C56" s="291" t="s">
        <v>3383</v>
      </c>
      <c r="D56" s="632">
        <f>E56+F56+G56</f>
        <v>1347.5</v>
      </c>
      <c r="E56" s="720">
        <v>23</v>
      </c>
      <c r="F56" s="1529">
        <v>284.5</v>
      </c>
      <c r="G56" s="877">
        <v>1040</v>
      </c>
      <c r="H56" s="877">
        <f>(I67+I72)/5/D56</f>
        <v>0.25286025974025977</v>
      </c>
      <c r="I56" s="632">
        <f>D56*H56</f>
        <v>340.72920000000005</v>
      </c>
      <c r="J56" s="632">
        <v>5</v>
      </c>
      <c r="K56" s="1212">
        <v>129.19</v>
      </c>
      <c r="L56" s="629">
        <f>I56*J56*K56</f>
        <v>220094.02674000003</v>
      </c>
      <c r="M56" s="290">
        <f>L56*E56/D56</f>
        <v>3756.7069499220784</v>
      </c>
      <c r="N56" s="633">
        <f>L56-M56</f>
        <v>216337.31979007795</v>
      </c>
    </row>
    <row r="57" spans="1:14">
      <c r="A57" s="291"/>
      <c r="B57" s="292" t="s">
        <v>3464</v>
      </c>
      <c r="C57" s="291" t="s">
        <v>3383</v>
      </c>
      <c r="D57" s="632">
        <f>E57+F57+G57</f>
        <v>1222.5</v>
      </c>
      <c r="E57" s="720">
        <v>23</v>
      </c>
      <c r="F57" s="1529">
        <v>284.5</v>
      </c>
      <c r="G57" s="877">
        <v>915</v>
      </c>
      <c r="H57" s="877">
        <f>(I68+I73)/4/D57</f>
        <v>0.2792680981595092</v>
      </c>
      <c r="I57" s="632">
        <f>D57*H57</f>
        <v>341.40525000000002</v>
      </c>
      <c r="J57" s="632">
        <v>4</v>
      </c>
      <c r="K57" s="1212">
        <v>129.19</v>
      </c>
      <c r="L57" s="629">
        <f>I57*J57*K57</f>
        <v>176424.57699</v>
      </c>
      <c r="M57" s="290">
        <f>L57*E57/D57</f>
        <v>3319.2353953128832</v>
      </c>
      <c r="N57" s="633">
        <f>L57-M57</f>
        <v>173105.34159468711</v>
      </c>
    </row>
    <row r="58" spans="1:14">
      <c r="A58" s="291"/>
      <c r="B58" s="238" t="s">
        <v>20</v>
      </c>
      <c r="C58" s="709"/>
      <c r="D58" s="709"/>
      <c r="E58" s="720"/>
      <c r="F58" s="720"/>
      <c r="G58" s="877"/>
      <c r="H58" s="877"/>
      <c r="I58" s="877"/>
      <c r="J58" s="877"/>
      <c r="K58" s="880"/>
      <c r="L58" s="630">
        <f>SUM(L55:L57)</f>
        <v>518793.06303000008</v>
      </c>
      <c r="M58" s="630">
        <f>SUM(M55:M57)</f>
        <v>9163.0017618583388</v>
      </c>
      <c r="N58" s="630">
        <f>SUM(N55:N57)</f>
        <v>509630.06126814173</v>
      </c>
    </row>
    <row r="59" spans="1:14">
      <c r="A59" s="291"/>
      <c r="B59" s="238" t="s">
        <v>3578</v>
      </c>
      <c r="C59" s="709"/>
      <c r="D59" s="709"/>
      <c r="E59" s="720"/>
      <c r="F59" s="720"/>
      <c r="G59" s="877"/>
      <c r="H59" s="877"/>
      <c r="I59" s="216"/>
      <c r="J59" s="216"/>
      <c r="K59" s="880"/>
      <c r="L59" s="629"/>
      <c r="M59" s="290" t="e">
        <f>L59*E59/D59</f>
        <v>#DIV/0!</v>
      </c>
      <c r="N59" s="633" t="e">
        <f>L59-M59</f>
        <v>#DIV/0!</v>
      </c>
    </row>
    <row r="60" spans="1:14">
      <c r="A60" s="291"/>
      <c r="B60" s="288" t="s">
        <v>3556</v>
      </c>
      <c r="C60" s="709"/>
      <c r="D60" s="291" t="s">
        <v>3383</v>
      </c>
      <c r="E60" s="291" t="s">
        <v>3383</v>
      </c>
      <c r="F60" s="291" t="s">
        <v>3383</v>
      </c>
      <c r="G60" s="291" t="s">
        <v>3383</v>
      </c>
      <c r="H60" s="877"/>
      <c r="I60" s="720"/>
      <c r="J60" s="632">
        <v>6</v>
      </c>
      <c r="K60" s="880"/>
      <c r="L60" s="629">
        <f>I60*J60*K60</f>
        <v>0</v>
      </c>
      <c r="M60" s="290" t="e">
        <f>L60*E60/D60</f>
        <v>#VALUE!</v>
      </c>
      <c r="N60" s="633" t="e">
        <f>L60-M60</f>
        <v>#VALUE!</v>
      </c>
    </row>
    <row r="61" spans="1:14">
      <c r="A61" s="291"/>
      <c r="B61" s="238" t="s">
        <v>20</v>
      </c>
      <c r="C61" s="884"/>
      <c r="D61" s="884"/>
      <c r="E61" s="878"/>
      <c r="F61" s="878"/>
      <c r="G61" s="879"/>
      <c r="H61" s="879"/>
      <c r="I61" s="879"/>
      <c r="J61" s="879"/>
      <c r="K61" s="881"/>
      <c r="L61" s="630">
        <f>SUM(L60)</f>
        <v>0</v>
      </c>
      <c r="M61" s="630" t="e">
        <f>SUM(M60)</f>
        <v>#VALUE!</v>
      </c>
      <c r="N61" s="630" t="e">
        <f>SUM(N60)</f>
        <v>#VALUE!</v>
      </c>
    </row>
    <row r="62" spans="1:14">
      <c r="A62" s="239"/>
      <c r="B62" s="238" t="s">
        <v>306</v>
      </c>
      <c r="C62" s="883"/>
      <c r="D62" s="883"/>
      <c r="E62" s="883"/>
      <c r="F62" s="883"/>
      <c r="G62" s="883"/>
      <c r="H62" s="883"/>
      <c r="I62" s="883"/>
      <c r="J62" s="883"/>
      <c r="K62" s="882"/>
      <c r="L62" s="631">
        <f>L53+L58+L61</f>
        <v>1060636.4564400003</v>
      </c>
      <c r="M62" s="238" t="e">
        <f>M53+M59+M61</f>
        <v>#DIV/0!</v>
      </c>
      <c r="N62" s="631" t="e">
        <f>N53+N59+N61</f>
        <v>#DIV/0!</v>
      </c>
    </row>
    <row r="64" spans="1:14">
      <c r="B64" s="282" t="s">
        <v>3699</v>
      </c>
    </row>
    <row r="65" spans="2:9">
      <c r="B65" s="282" t="s">
        <v>3700</v>
      </c>
      <c r="E65" s="293" t="s">
        <v>3701</v>
      </c>
      <c r="H65" s="282" t="s">
        <v>3702</v>
      </c>
    </row>
    <row r="66" spans="2:9">
      <c r="B66" s="1384">
        <f>10*0.001</f>
        <v>0.01</v>
      </c>
      <c r="C66" s="282" t="s">
        <v>3703</v>
      </c>
      <c r="E66" s="293">
        <f>(1040+284.5)*B66</f>
        <v>13.245000000000001</v>
      </c>
      <c r="F66" s="293" t="s">
        <v>3704</v>
      </c>
      <c r="G66" s="293" t="s">
        <v>3459</v>
      </c>
      <c r="H66" s="282">
        <f>24+24+22</f>
        <v>70</v>
      </c>
      <c r="I66" s="282">
        <f>E66*H66</f>
        <v>927.15000000000009</v>
      </c>
    </row>
    <row r="67" spans="2:9">
      <c r="G67" s="293" t="s">
        <v>3468</v>
      </c>
      <c r="H67" s="282">
        <f>26+23+26+26+25</f>
        <v>126</v>
      </c>
      <c r="I67" s="282">
        <f>E66*H67</f>
        <v>1668.8700000000001</v>
      </c>
    </row>
    <row r="68" spans="2:9">
      <c r="G68" s="293" t="s">
        <v>3464</v>
      </c>
      <c r="H68" s="282">
        <f>25+27+25+24</f>
        <v>101</v>
      </c>
      <c r="I68" s="282">
        <f>E66*H68</f>
        <v>1337.7450000000001</v>
      </c>
    </row>
    <row r="70" spans="2:9">
      <c r="B70" s="282" t="s">
        <v>3705</v>
      </c>
      <c r="E70" s="293" t="s">
        <v>3706</v>
      </c>
    </row>
    <row r="71" spans="2:9">
      <c r="B71" s="1384">
        <f>12*0.001</f>
        <v>1.2E-2</v>
      </c>
      <c r="C71" s="282" t="s">
        <v>3707</v>
      </c>
      <c r="E71" s="1385">
        <f>B71*23</f>
        <v>0.27600000000000002</v>
      </c>
      <c r="G71" s="293" t="s">
        <v>3459</v>
      </c>
      <c r="H71" s="282">
        <f>24+24+22</f>
        <v>70</v>
      </c>
      <c r="I71" s="282">
        <f>E71*H71</f>
        <v>19.32</v>
      </c>
    </row>
    <row r="72" spans="2:9">
      <c r="G72" s="293" t="s">
        <v>3468</v>
      </c>
      <c r="H72" s="282">
        <f>26+23+26+26+25</f>
        <v>126</v>
      </c>
      <c r="I72" s="282">
        <f>E71*H72</f>
        <v>34.776000000000003</v>
      </c>
    </row>
    <row r="73" spans="2:9">
      <c r="G73" s="293" t="s">
        <v>3464</v>
      </c>
      <c r="H73" s="282">
        <f>25+27+25+24</f>
        <v>101</v>
      </c>
      <c r="I73" s="282">
        <f>E71*H73</f>
        <v>27.876000000000001</v>
      </c>
    </row>
  </sheetData>
  <mergeCells count="22">
    <mergeCell ref="M47:N47"/>
    <mergeCell ref="L7:L8"/>
    <mergeCell ref="I47:I48"/>
    <mergeCell ref="J47:J48"/>
    <mergeCell ref="K47:K48"/>
    <mergeCell ref="L47:L48"/>
    <mergeCell ref="H47:H48"/>
    <mergeCell ref="M7:N7"/>
    <mergeCell ref="A7:A8"/>
    <mergeCell ref="B7:B8"/>
    <mergeCell ref="C7:C8"/>
    <mergeCell ref="D7:D8"/>
    <mergeCell ref="E7:G7"/>
    <mergeCell ref="A47:A48"/>
    <mergeCell ref="B47:B48"/>
    <mergeCell ref="C47:C48"/>
    <mergeCell ref="D47:D48"/>
    <mergeCell ref="E47:G47"/>
    <mergeCell ref="H7:H8"/>
    <mergeCell ref="I7:I8"/>
    <mergeCell ref="J7:J8"/>
    <mergeCell ref="K7:K8"/>
  </mergeCells>
  <pageMargins left="0" right="0" top="0" bottom="0" header="0" footer="0"/>
  <pageSetup paperSize="9" scale="46" orientation="landscape" r:id="rId1"/>
  <rowBreaks count="1" manualBreakCount="1">
    <brk id="28" max="16383" man="1"/>
  </rowBreak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tabColor rgb="FF7030A0"/>
    <pageSetUpPr fitToPage="1"/>
  </sheetPr>
  <dimension ref="A1:Q41"/>
  <sheetViews>
    <sheetView topLeftCell="A7" zoomScaleSheetLayoutView="100" workbookViewId="0">
      <selection activeCell="G12" sqref="G12"/>
    </sheetView>
  </sheetViews>
  <sheetFormatPr defaultColWidth="9.140625" defaultRowHeight="15.75"/>
  <cols>
    <col min="1" max="1" width="4.140625" style="293" customWidth="1"/>
    <col min="2" max="2" width="30.7109375" style="282" customWidth="1"/>
    <col min="3" max="3" width="14.7109375" style="282" customWidth="1"/>
    <col min="4" max="4" width="9.5703125" style="282" customWidth="1"/>
    <col min="5" max="5" width="13.5703125" style="293" customWidth="1"/>
    <col min="6" max="6" width="9.85546875" style="293" customWidth="1"/>
    <col min="7" max="7" width="11.5703125" style="293" customWidth="1"/>
    <col min="8" max="8" width="17.5703125" style="282" customWidth="1"/>
    <col min="9" max="9" width="14.85546875" style="282" bestFit="1" customWidth="1"/>
    <col min="10" max="10" width="10.85546875" style="282" customWidth="1"/>
    <col min="11" max="11" width="12.28515625" style="281" customWidth="1"/>
    <col min="12" max="12" width="13.85546875" style="281" customWidth="1"/>
    <col min="13" max="13" width="10.42578125" style="282" customWidth="1"/>
    <col min="14" max="14" width="11.42578125" style="282" customWidth="1"/>
    <col min="15" max="15" width="10.42578125" style="282" customWidth="1"/>
    <col min="16" max="17" width="10.140625" style="282" customWidth="1"/>
    <col min="18" max="16384" width="9.140625" style="282"/>
  </cols>
  <sheetData>
    <row r="1" spans="1:14">
      <c r="M1" s="541" t="s">
        <v>267</v>
      </c>
      <c r="N1" s="671" t="s">
        <v>606</v>
      </c>
    </row>
    <row r="2" spans="1:14" s="744" customFormat="1">
      <c r="A2" s="695" t="s">
        <v>3708</v>
      </c>
      <c r="B2" s="849"/>
      <c r="C2" s="849"/>
      <c r="D2" s="849"/>
      <c r="E2" s="849"/>
      <c r="F2" s="849"/>
      <c r="G2" s="849"/>
      <c r="H2" s="849"/>
      <c r="I2" s="3814" t="s">
        <v>3375</v>
      </c>
      <c r="J2" s="849"/>
      <c r="K2" s="866"/>
      <c r="L2" s="866"/>
    </row>
    <row r="3" spans="1:14">
      <c r="A3" s="45"/>
      <c r="B3" s="280"/>
      <c r="C3" s="280"/>
      <c r="D3" s="280"/>
      <c r="E3" s="280"/>
      <c r="F3" s="280"/>
      <c r="G3" s="280"/>
      <c r="H3" s="280"/>
      <c r="I3" s="3815"/>
      <c r="J3" s="280"/>
    </row>
    <row r="4" spans="1:14" s="744" customFormat="1" ht="15.75" customHeight="1">
      <c r="A4" s="656" t="s">
        <v>3376</v>
      </c>
      <c r="B4" s="852"/>
      <c r="C4" s="852"/>
      <c r="D4" s="852"/>
      <c r="E4" s="852"/>
      <c r="F4" s="852"/>
      <c r="G4" s="852"/>
      <c r="H4" s="852"/>
      <c r="I4" s="852"/>
      <c r="J4" s="738"/>
      <c r="K4" s="866"/>
      <c r="L4" s="866"/>
    </row>
    <row r="5" spans="1:14">
      <c r="A5" s="168" t="s">
        <v>990</v>
      </c>
      <c r="B5" s="283"/>
      <c r="C5" s="283"/>
      <c r="D5" s="283"/>
      <c r="E5" s="283"/>
      <c r="F5" s="283"/>
      <c r="G5" s="283"/>
      <c r="H5" s="283"/>
      <c r="I5" s="283"/>
      <c r="J5" s="177"/>
    </row>
    <row r="6" spans="1:14" ht="21.75" customHeight="1">
      <c r="A6" s="284"/>
      <c r="B6" s="284"/>
      <c r="C6" s="284"/>
      <c r="D6" s="284"/>
      <c r="E6" s="284"/>
      <c r="F6" s="284"/>
      <c r="G6" s="285"/>
      <c r="H6" s="284"/>
      <c r="I6" s="177"/>
      <c r="N6" s="876" t="s">
        <v>254</v>
      </c>
    </row>
    <row r="7" spans="1:14" s="227" customFormat="1" ht="29.25" customHeight="1">
      <c r="A7" s="4178" t="s">
        <v>2</v>
      </c>
      <c r="B7" s="4178" t="s">
        <v>3377</v>
      </c>
      <c r="C7" s="4160" t="s">
        <v>3709</v>
      </c>
      <c r="D7" s="4180" t="s">
        <v>1092</v>
      </c>
      <c r="E7" s="4162" t="s">
        <v>255</v>
      </c>
      <c r="F7" s="4182"/>
      <c r="G7" s="4163"/>
      <c r="H7" s="4160" t="s">
        <v>3550</v>
      </c>
      <c r="I7" s="4160" t="s">
        <v>3551</v>
      </c>
      <c r="J7" s="4160" t="s">
        <v>3380</v>
      </c>
      <c r="K7" s="4160" t="s">
        <v>3381</v>
      </c>
      <c r="L7" s="4160" t="s">
        <v>345</v>
      </c>
      <c r="M7" s="4162" t="s">
        <v>255</v>
      </c>
      <c r="N7" s="4163"/>
    </row>
    <row r="8" spans="1:14" s="226" customFormat="1" ht="45.6" customHeight="1">
      <c r="A8" s="4179"/>
      <c r="B8" s="4179"/>
      <c r="C8" s="4160"/>
      <c r="D8" s="4181"/>
      <c r="E8" s="286" t="s">
        <v>7</v>
      </c>
      <c r="F8" s="286" t="s">
        <v>8</v>
      </c>
      <c r="G8" s="286" t="s">
        <v>3552</v>
      </c>
      <c r="H8" s="4160"/>
      <c r="I8" s="4160"/>
      <c r="J8" s="4160"/>
      <c r="K8" s="4160"/>
      <c r="L8" s="4160"/>
      <c r="M8" s="286" t="s">
        <v>7</v>
      </c>
      <c r="N8" s="286" t="s">
        <v>8</v>
      </c>
    </row>
    <row r="9" spans="1:14" s="226" customFormat="1" ht="20.25" customHeight="1">
      <c r="A9" s="239"/>
      <c r="B9" s="287" t="s">
        <v>3553</v>
      </c>
      <c r="C9" s="288"/>
      <c r="D9" s="288"/>
      <c r="E9" s="632"/>
      <c r="F9" s="632"/>
      <c r="G9" s="216"/>
      <c r="H9" s="216"/>
      <c r="I9" s="216"/>
      <c r="J9" s="216"/>
      <c r="K9" s="289"/>
      <c r="L9" s="289"/>
      <c r="M9" s="290"/>
      <c r="N9" s="290"/>
    </row>
    <row r="10" spans="1:14" s="226" customFormat="1" ht="20.25" customHeight="1">
      <c r="A10" s="291"/>
      <c r="B10" s="292" t="s">
        <v>3459</v>
      </c>
      <c r="C10" s="291" t="s">
        <v>3383</v>
      </c>
      <c r="D10" s="1528">
        <f>E10+F10+G10</f>
        <v>1086.5</v>
      </c>
      <c r="E10" s="720">
        <f>12+1</f>
        <v>13</v>
      </c>
      <c r="F10" s="1529">
        <f>78.5+46</f>
        <v>124.5</v>
      </c>
      <c r="G10" s="877">
        <f>540+144+265</f>
        <v>949</v>
      </c>
      <c r="H10" s="877">
        <f>ROUND(G35/D10,2)</f>
        <v>1.01</v>
      </c>
      <c r="I10" s="216">
        <f>ROUND(D10*H10,2)</f>
        <v>1097.3699999999999</v>
      </c>
      <c r="J10" s="632">
        <v>3</v>
      </c>
      <c r="K10" s="1212">
        <v>134.93</v>
      </c>
      <c r="L10" s="1568">
        <f>ROUND(I10*J10*K10,2)</f>
        <v>444204.4</v>
      </c>
      <c r="M10" s="290">
        <f>L10*E10/D10</f>
        <v>5314.9168890934197</v>
      </c>
      <c r="N10" s="633">
        <f>L10-M10</f>
        <v>438889.48311090661</v>
      </c>
    </row>
    <row r="11" spans="1:14" s="226" customFormat="1" ht="20.25" customHeight="1">
      <c r="A11" s="291"/>
      <c r="B11" s="292" t="s">
        <v>3463</v>
      </c>
      <c r="C11" s="291" t="s">
        <v>3383</v>
      </c>
      <c r="D11" s="1528">
        <f>E11+F11+G11</f>
        <v>1086.5</v>
      </c>
      <c r="E11" s="720">
        <f>12+1</f>
        <v>13</v>
      </c>
      <c r="F11" s="1529">
        <f>78.5+46</f>
        <v>124.5</v>
      </c>
      <c r="G11" s="877">
        <f>684+265</f>
        <v>949</v>
      </c>
      <c r="H11" s="877">
        <f>ROUND(G36/D11,2)</f>
        <v>1</v>
      </c>
      <c r="I11" s="216">
        <f>ROUND(D11*H11,2)</f>
        <v>1086.5</v>
      </c>
      <c r="J11" s="632">
        <v>5</v>
      </c>
      <c r="K11" s="1212">
        <v>134.93</v>
      </c>
      <c r="L11" s="1568">
        <f>ROUND(I11*J11*K11,2)</f>
        <v>733007.23</v>
      </c>
      <c r="M11" s="290">
        <f t="shared" ref="M11:M20" si="0">L11*E11/D11</f>
        <v>8770.450059825127</v>
      </c>
      <c r="N11" s="633">
        <f t="shared" ref="N11:N19" si="1">L11-M11</f>
        <v>724236.77994017489</v>
      </c>
    </row>
    <row r="12" spans="1:14" s="226" customFormat="1" ht="20.25" customHeight="1">
      <c r="A12" s="291"/>
      <c r="B12" s="292" t="s">
        <v>3464</v>
      </c>
      <c r="C12" s="291" t="s">
        <v>3383</v>
      </c>
      <c r="D12" s="1528">
        <f>E12+F12+G12</f>
        <v>774.5</v>
      </c>
      <c r="E12" s="720">
        <f>12</f>
        <v>12</v>
      </c>
      <c r="F12" s="1529">
        <v>78.5</v>
      </c>
      <c r="G12" s="877">
        <v>684</v>
      </c>
      <c r="H12" s="877">
        <f>ROUND(G37/D12,2)</f>
        <v>2.0299999999999998</v>
      </c>
      <c r="I12" s="216">
        <f>ROUND(D12*H12,2)</f>
        <v>1572.24</v>
      </c>
      <c r="J12" s="632">
        <v>4</v>
      </c>
      <c r="K12" s="1212">
        <v>134.93</v>
      </c>
      <c r="L12" s="1568">
        <f>ROUND(I12*J12*K12,2)</f>
        <v>848569.37</v>
      </c>
      <c r="M12" s="290">
        <f t="shared" si="0"/>
        <v>13147.620968366688</v>
      </c>
      <c r="N12" s="633">
        <f t="shared" si="1"/>
        <v>835421.74903163326</v>
      </c>
    </row>
    <row r="13" spans="1:14" s="226" customFormat="1" ht="20.25" customHeight="1">
      <c r="A13" s="291"/>
      <c r="B13" s="238" t="s">
        <v>20</v>
      </c>
      <c r="C13" s="884"/>
      <c r="D13" s="884"/>
      <c r="E13" s="878"/>
      <c r="F13" s="878"/>
      <c r="G13" s="878"/>
      <c r="H13" s="879"/>
      <c r="I13" s="879"/>
      <c r="J13" s="879"/>
      <c r="K13" s="880"/>
      <c r="L13" s="1569">
        <f>SUM(L10:L12)</f>
        <v>2025781</v>
      </c>
      <c r="M13" s="630">
        <f>SUM(M10:M12)</f>
        <v>27232.987917285234</v>
      </c>
      <c r="N13" s="630">
        <f>SUM(N10:N12)</f>
        <v>1998548.0120827146</v>
      </c>
    </row>
    <row r="14" spans="1:14" s="226" customFormat="1" ht="20.25" customHeight="1">
      <c r="A14" s="239"/>
      <c r="B14" s="287" t="s">
        <v>3554</v>
      </c>
      <c r="C14" s="709"/>
      <c r="D14" s="709"/>
      <c r="E14" s="720"/>
      <c r="F14" s="720"/>
      <c r="G14" s="877"/>
      <c r="H14" s="877"/>
      <c r="I14" s="877"/>
      <c r="J14" s="877"/>
      <c r="K14" s="880"/>
      <c r="L14" s="629"/>
      <c r="M14" s="290"/>
      <c r="N14" s="633"/>
    </row>
    <row r="15" spans="1:14" s="226" customFormat="1" ht="20.25" customHeight="1">
      <c r="A15" s="291"/>
      <c r="B15" s="292" t="s">
        <v>3459</v>
      </c>
      <c r="C15" s="291" t="s">
        <v>3383</v>
      </c>
      <c r="D15" s="1528">
        <f>E15+F15+G15</f>
        <v>1086.5</v>
      </c>
      <c r="E15" s="720">
        <v>13</v>
      </c>
      <c r="F15" s="1529">
        <f>78.5+46</f>
        <v>124.5</v>
      </c>
      <c r="G15" s="877">
        <f>540+144+265</f>
        <v>949</v>
      </c>
      <c r="H15" s="877">
        <f>ROUND(G35/D15,2)</f>
        <v>1.01</v>
      </c>
      <c r="I15" s="216">
        <f>ROUND(D15*H15,2)</f>
        <v>1097.3699999999999</v>
      </c>
      <c r="J15" s="632">
        <v>3</v>
      </c>
      <c r="K15" s="1212">
        <v>129.19</v>
      </c>
      <c r="L15" s="1568">
        <f>ROUND(I15*J15*K15,2)</f>
        <v>425307.69</v>
      </c>
      <c r="M15" s="290">
        <f t="shared" si="0"/>
        <v>5088.8172756557751</v>
      </c>
      <c r="N15" s="633">
        <f t="shared" si="1"/>
        <v>420218.87272434426</v>
      </c>
    </row>
    <row r="16" spans="1:14" s="226" customFormat="1" ht="20.25" customHeight="1">
      <c r="A16" s="291"/>
      <c r="B16" s="292" t="s">
        <v>3463</v>
      </c>
      <c r="C16" s="291" t="s">
        <v>3383</v>
      </c>
      <c r="D16" s="1528">
        <f>E16+F16+G16</f>
        <v>1086.5</v>
      </c>
      <c r="E16" s="720">
        <v>13</v>
      </c>
      <c r="F16" s="1529">
        <f>78.5+46</f>
        <v>124.5</v>
      </c>
      <c r="G16" s="877">
        <f>684+265</f>
        <v>949</v>
      </c>
      <c r="H16" s="877">
        <f>ROUND(G36/D16,2)</f>
        <v>1</v>
      </c>
      <c r="I16" s="216">
        <f>ROUND(D16*H16,2)</f>
        <v>1086.5</v>
      </c>
      <c r="J16" s="632">
        <v>5</v>
      </c>
      <c r="K16" s="1212">
        <v>129.19</v>
      </c>
      <c r="L16" s="1568">
        <f>ROUND(I16*J16*K16,2)</f>
        <v>701824.68</v>
      </c>
      <c r="M16" s="290">
        <f t="shared" si="0"/>
        <v>8397.3500598251267</v>
      </c>
      <c r="N16" s="633">
        <f t="shared" si="1"/>
        <v>693427.32994017494</v>
      </c>
    </row>
    <row r="17" spans="1:17" s="226" customFormat="1" ht="20.25" customHeight="1">
      <c r="A17" s="291"/>
      <c r="B17" s="292" t="s">
        <v>3464</v>
      </c>
      <c r="C17" s="291" t="s">
        <v>3383</v>
      </c>
      <c r="D17" s="1528">
        <f>E17+F17+G17</f>
        <v>775.5</v>
      </c>
      <c r="E17" s="720">
        <v>13</v>
      </c>
      <c r="F17" s="1529">
        <v>78.5</v>
      </c>
      <c r="G17" s="877">
        <v>684</v>
      </c>
      <c r="H17" s="877">
        <f>ROUND(G37/D17,2)</f>
        <v>2.0299999999999998</v>
      </c>
      <c r="I17" s="216">
        <f>D17*H17</f>
        <v>1574.2649999999999</v>
      </c>
      <c r="J17" s="632">
        <v>4</v>
      </c>
      <c r="K17" s="1212">
        <v>129.19</v>
      </c>
      <c r="L17" s="1568">
        <f>ROUND(I17*J17*K17,2)</f>
        <v>813517.18</v>
      </c>
      <c r="M17" s="290">
        <f t="shared" si="0"/>
        <v>13637.296376531271</v>
      </c>
      <c r="N17" s="633">
        <f t="shared" si="1"/>
        <v>799879.88362346881</v>
      </c>
    </row>
    <row r="18" spans="1:17" s="226" customFormat="1" ht="20.25" customHeight="1">
      <c r="A18" s="291"/>
      <c r="B18" s="238" t="s">
        <v>20</v>
      </c>
      <c r="C18" s="709"/>
      <c r="D18" s="1529"/>
      <c r="E18" s="720"/>
      <c r="F18" s="720"/>
      <c r="G18" s="877"/>
      <c r="H18" s="877"/>
      <c r="I18" s="877"/>
      <c r="J18" s="877"/>
      <c r="K18" s="880"/>
      <c r="L18" s="1569">
        <f>SUM(L15:L17)</f>
        <v>1940649.5500000003</v>
      </c>
      <c r="M18" s="630">
        <f>SUM(M15:M17)</f>
        <v>27123.463712012173</v>
      </c>
      <c r="N18" s="630">
        <f>SUM(N15:N17)</f>
        <v>1913526.0862879879</v>
      </c>
    </row>
    <row r="19" spans="1:17" s="226" customFormat="1" ht="23.25" customHeight="1">
      <c r="A19" s="291"/>
      <c r="B19" s="238" t="s">
        <v>3555</v>
      </c>
      <c r="C19" s="709"/>
      <c r="D19" s="709"/>
      <c r="E19" s="720"/>
      <c r="F19" s="720"/>
      <c r="G19" s="877"/>
      <c r="H19" s="877"/>
      <c r="I19" s="216"/>
      <c r="J19" s="216"/>
      <c r="K19" s="880"/>
      <c r="L19" s="629"/>
      <c r="M19" s="290"/>
      <c r="N19" s="633">
        <f t="shared" si="1"/>
        <v>0</v>
      </c>
    </row>
    <row r="20" spans="1:17" s="226" customFormat="1" ht="20.25" customHeight="1">
      <c r="A20" s="291"/>
      <c r="B20" s="288" t="s">
        <v>3556</v>
      </c>
      <c r="C20" s="709">
        <v>300</v>
      </c>
      <c r="D20" s="291" t="s">
        <v>3383</v>
      </c>
      <c r="E20" s="291" t="s">
        <v>3383</v>
      </c>
      <c r="F20" s="291" t="s">
        <v>3383</v>
      </c>
      <c r="G20" s="291">
        <v>949</v>
      </c>
      <c r="H20" s="877">
        <f>ROUND(I20/G20,2)</f>
        <v>0.09</v>
      </c>
      <c r="I20" s="877">
        <f>ROUND(G20*1.04/12,2)</f>
        <v>82.25</v>
      </c>
      <c r="J20" s="632">
        <v>5</v>
      </c>
      <c r="K20" s="1212">
        <v>134.93</v>
      </c>
      <c r="L20" s="1568">
        <f>ROUND(I20*J20*K20,2)</f>
        <v>55489.96</v>
      </c>
      <c r="M20" s="290" t="e">
        <f t="shared" si="0"/>
        <v>#VALUE!</v>
      </c>
      <c r="N20" s="1568">
        <f>L20</f>
        <v>55489.96</v>
      </c>
    </row>
    <row r="21" spans="1:17" s="228" customFormat="1" ht="20.25" customHeight="1">
      <c r="A21" s="291"/>
      <c r="B21" s="238" t="s">
        <v>20</v>
      </c>
      <c r="C21" s="884"/>
      <c r="D21" s="884"/>
      <c r="E21" s="878"/>
      <c r="F21" s="878"/>
      <c r="G21" s="879"/>
      <c r="H21" s="879"/>
      <c r="I21" s="879"/>
      <c r="J21" s="879"/>
      <c r="K21" s="881"/>
      <c r="L21" s="1569">
        <f>SUM(L20)</f>
        <v>55489.96</v>
      </c>
      <c r="M21" s="630" t="e">
        <f>SUM(M20)</f>
        <v>#VALUE!</v>
      </c>
      <c r="N21" s="1569">
        <f>SUM(N20)</f>
        <v>55489.96</v>
      </c>
    </row>
    <row r="22" spans="1:17" s="226" customFormat="1" ht="20.25" customHeight="1">
      <c r="A22" s="239"/>
      <c r="B22" s="238" t="s">
        <v>306</v>
      </c>
      <c r="C22" s="883"/>
      <c r="D22" s="883"/>
      <c r="E22" s="883"/>
      <c r="F22" s="883"/>
      <c r="G22" s="883"/>
      <c r="H22" s="883"/>
      <c r="I22" s="883"/>
      <c r="J22" s="883"/>
      <c r="K22" s="882"/>
      <c r="L22" s="1570">
        <f>L13+L18+L21</f>
        <v>4021920.5100000002</v>
      </c>
      <c r="M22" s="238" t="e">
        <f>M13+M19+M21</f>
        <v>#VALUE!</v>
      </c>
      <c r="N22" s="631">
        <f>N13+N19+N21</f>
        <v>2054037.9720827146</v>
      </c>
    </row>
    <row r="23" spans="1:17" ht="14.25" customHeight="1">
      <c r="C23" s="294"/>
      <c r="D23" s="294"/>
      <c r="E23" s="295"/>
      <c r="F23" s="295"/>
      <c r="H23" s="296"/>
      <c r="I23" s="297"/>
      <c r="J23" s="217"/>
      <c r="K23" s="296"/>
      <c r="L23" s="298"/>
    </row>
    <row r="24" spans="1:17">
      <c r="B24" s="300" t="s">
        <v>329</v>
      </c>
      <c r="C24" s="294"/>
      <c r="D24" s="294"/>
      <c r="E24" s="295"/>
      <c r="F24" s="745"/>
      <c r="G24" s="758"/>
      <c r="H24" s="885"/>
      <c r="I24" s="886"/>
      <c r="J24" s="739"/>
      <c r="K24" s="885"/>
      <c r="L24" s="887"/>
      <c r="M24" s="744"/>
      <c r="N24" s="744"/>
    </row>
    <row r="25" spans="1:17" ht="18.75" customHeight="1">
      <c r="B25" s="300"/>
      <c r="C25" s="294"/>
      <c r="D25" s="294"/>
      <c r="E25" s="295"/>
      <c r="F25" s="745"/>
      <c r="G25" s="758"/>
      <c r="H25" s="888"/>
      <c r="I25" s="886"/>
      <c r="J25" s="739"/>
      <c r="K25" s="888"/>
      <c r="L25" s="887"/>
      <c r="M25" s="744"/>
      <c r="N25" s="744"/>
    </row>
    <row r="26" spans="1:17">
      <c r="B26" s="345" t="s">
        <v>330</v>
      </c>
      <c r="C26" s="294"/>
      <c r="D26" s="294"/>
      <c r="E26" s="295"/>
      <c r="F26" s="745"/>
      <c r="G26" s="758"/>
      <c r="H26" s="889"/>
      <c r="I26" s="886"/>
      <c r="J26" s="739"/>
      <c r="K26" s="889"/>
      <c r="L26" s="890"/>
      <c r="M26" s="744"/>
      <c r="N26" s="744"/>
    </row>
    <row r="27" spans="1:17">
      <c r="B27" s="345" t="s">
        <v>332</v>
      </c>
      <c r="C27" s="294"/>
      <c r="D27" s="294"/>
      <c r="E27" s="295"/>
      <c r="F27" s="745"/>
      <c r="G27" s="758"/>
      <c r="H27" s="889"/>
      <c r="I27" s="739"/>
      <c r="J27" s="739"/>
      <c r="K27" s="889"/>
      <c r="L27" s="890"/>
      <c r="M27" s="744"/>
      <c r="N27" s="744"/>
    </row>
    <row r="28" spans="1:17" ht="18.75" customHeight="1">
      <c r="B28" s="346"/>
      <c r="C28" s="294"/>
      <c r="D28" s="294"/>
      <c r="E28" s="295"/>
      <c r="F28" s="745"/>
      <c r="G28" s="758"/>
      <c r="H28" s="889"/>
      <c r="I28" s="739"/>
      <c r="J28" s="739"/>
      <c r="K28" s="889"/>
      <c r="L28" s="891"/>
      <c r="M28" s="744"/>
      <c r="N28" s="744"/>
    </row>
    <row r="29" spans="1:17">
      <c r="B29" s="345" t="s">
        <v>333</v>
      </c>
      <c r="F29" s="758"/>
      <c r="G29" s="758"/>
      <c r="H29" s="744"/>
      <c r="I29" s="744"/>
      <c r="J29" s="744"/>
      <c r="K29" s="866"/>
      <c r="L29" s="866"/>
      <c r="M29" s="744"/>
      <c r="N29" s="744"/>
    </row>
    <row r="30" spans="1:17">
      <c r="B30" s="541" t="s">
        <v>3387</v>
      </c>
      <c r="C30" s="541" t="s">
        <v>3388</v>
      </c>
      <c r="D30" s="541" t="s">
        <v>1411</v>
      </c>
      <c r="E30" s="541" t="s">
        <v>3598</v>
      </c>
      <c r="F30" s="541" t="s">
        <v>3391</v>
      </c>
      <c r="G30" s="541" t="s">
        <v>3392</v>
      </c>
      <c r="H30" s="282" t="s">
        <v>3393</v>
      </c>
      <c r="I30" s="282" t="s">
        <v>3399</v>
      </c>
      <c r="L30" s="282" t="s">
        <v>3599</v>
      </c>
      <c r="M30" s="1331" t="s">
        <v>3394</v>
      </c>
      <c r="N30" s="1331" t="s">
        <v>3581</v>
      </c>
      <c r="O30" s="293" t="s">
        <v>3396</v>
      </c>
      <c r="P30" s="293" t="s">
        <v>3397</v>
      </c>
      <c r="Q30" s="293" t="s">
        <v>3398</v>
      </c>
    </row>
    <row r="31" spans="1:17">
      <c r="A31" s="274"/>
      <c r="B31" s="274" t="s">
        <v>3484</v>
      </c>
      <c r="C31" s="274"/>
      <c r="D31" s="274"/>
      <c r="E31" s="274"/>
      <c r="F31" s="274"/>
      <c r="G31" s="274"/>
      <c r="L31" s="282"/>
      <c r="M31" s="281"/>
      <c r="N31" s="281"/>
    </row>
    <row r="32" spans="1:17">
      <c r="A32" s="274" t="s">
        <v>3485</v>
      </c>
      <c r="B32" s="274">
        <v>1119</v>
      </c>
      <c r="C32" s="274">
        <v>1210</v>
      </c>
      <c r="D32" s="274">
        <v>970</v>
      </c>
      <c r="E32" s="274">
        <v>1836</v>
      </c>
      <c r="F32" s="274">
        <v>954</v>
      </c>
      <c r="G32" s="274">
        <v>970</v>
      </c>
      <c r="H32" s="282">
        <v>841</v>
      </c>
      <c r="I32" s="281">
        <v>126.1</v>
      </c>
      <c r="J32" s="1211">
        <v>1.07</v>
      </c>
      <c r="K32" s="1211">
        <f>I32*J32</f>
        <v>134.92699999999999</v>
      </c>
      <c r="L32" s="282">
        <f>B32+C32+D32</f>
        <v>3299</v>
      </c>
      <c r="M32" s="281">
        <v>841</v>
      </c>
      <c r="N32" s="281">
        <v>1093</v>
      </c>
      <c r="O32" s="282">
        <v>1102</v>
      </c>
      <c r="P32" s="282">
        <v>1125</v>
      </c>
      <c r="Q32" s="282">
        <v>2979</v>
      </c>
    </row>
    <row r="33" spans="1:17">
      <c r="A33" s="274" t="s">
        <v>3487</v>
      </c>
      <c r="B33" s="274">
        <v>1119</v>
      </c>
      <c r="C33" s="274">
        <v>1210</v>
      </c>
      <c r="D33" s="274">
        <v>970</v>
      </c>
      <c r="E33" s="274">
        <v>1836</v>
      </c>
      <c r="F33" s="274">
        <v>954</v>
      </c>
      <c r="G33" s="274">
        <v>970</v>
      </c>
      <c r="H33" s="282">
        <v>841</v>
      </c>
      <c r="M33" s="281">
        <v>841</v>
      </c>
      <c r="N33" s="281">
        <v>1093</v>
      </c>
      <c r="O33" s="282">
        <v>1102</v>
      </c>
      <c r="P33" s="282">
        <v>1125</v>
      </c>
      <c r="Q33" s="282">
        <v>2979</v>
      </c>
    </row>
    <row r="34" spans="1:17">
      <c r="G34" s="293" t="s">
        <v>681</v>
      </c>
    </row>
    <row r="35" spans="1:17">
      <c r="E35" s="293" t="s">
        <v>3710</v>
      </c>
      <c r="F35" s="293">
        <f>B32+C32+D32</f>
        <v>3299</v>
      </c>
      <c r="G35" s="293">
        <f>ROUND(F35/3,2)</f>
        <v>1099.67</v>
      </c>
    </row>
    <row r="36" spans="1:17">
      <c r="B36" s="282" t="s">
        <v>3600</v>
      </c>
      <c r="E36" s="293" t="s">
        <v>3468</v>
      </c>
      <c r="F36" s="293">
        <f>E32+F32+G32+H32+M32</f>
        <v>5442</v>
      </c>
      <c r="G36" s="293">
        <f>ROUND(F36/5,2)</f>
        <v>1088.4000000000001</v>
      </c>
    </row>
    <row r="37" spans="1:17">
      <c r="E37" s="293" t="s">
        <v>3464</v>
      </c>
      <c r="F37" s="293">
        <f>N32+O32+P32+Q32</f>
        <v>6299</v>
      </c>
      <c r="G37" s="293">
        <f>ROUND(F37/4,2)</f>
        <v>1574.75</v>
      </c>
    </row>
    <row r="41" spans="1:17">
      <c r="B41" s="1211"/>
    </row>
  </sheetData>
  <mergeCells count="11">
    <mergeCell ref="I7:I8"/>
    <mergeCell ref="J7:J8"/>
    <mergeCell ref="K7:K8"/>
    <mergeCell ref="L7:L8"/>
    <mergeCell ref="M7:N7"/>
    <mergeCell ref="H7:H8"/>
    <mergeCell ref="A7:A8"/>
    <mergeCell ref="B7:B8"/>
    <mergeCell ref="C7:C8"/>
    <mergeCell ref="D7:D8"/>
    <mergeCell ref="E7:G7"/>
  </mergeCells>
  <pageMargins left="0" right="0" top="0" bottom="0" header="0" footer="0"/>
  <pageSetup paperSize="9" scale="67" orientation="landscape" r:id="rId1"/>
  <rowBreaks count="1" manualBreakCount="1">
    <brk id="28" max="16383" man="1"/>
  </rowBreak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N33"/>
  <sheetViews>
    <sheetView topLeftCell="A7" workbookViewId="0">
      <selection activeCell="I10" sqref="I10"/>
    </sheetView>
  </sheetViews>
  <sheetFormatPr defaultColWidth="9.140625" defaultRowHeight="15.75"/>
  <cols>
    <col min="1" max="1" width="4.140625" style="293" customWidth="1"/>
    <col min="2" max="2" width="30.7109375" style="282" customWidth="1"/>
    <col min="3" max="3" width="14.7109375" style="282" customWidth="1"/>
    <col min="4" max="4" width="9.5703125" style="282" customWidth="1"/>
    <col min="5" max="5" width="9.5703125" style="293" customWidth="1"/>
    <col min="6" max="6" width="9.85546875" style="293" customWidth="1"/>
    <col min="7" max="7" width="11.5703125" style="293" customWidth="1"/>
    <col min="8" max="8" width="17.5703125" style="282" customWidth="1"/>
    <col min="9" max="9" width="14.85546875" style="282" bestFit="1" customWidth="1"/>
    <col min="10" max="10" width="10.85546875" style="282" customWidth="1"/>
    <col min="11" max="11" width="12.28515625" style="281" customWidth="1"/>
    <col min="12" max="12" width="11.140625" style="281" customWidth="1"/>
    <col min="13" max="16384" width="9.140625" style="282"/>
  </cols>
  <sheetData>
    <row r="1" spans="1:14">
      <c r="M1" s="541" t="s">
        <v>267</v>
      </c>
      <c r="N1" s="671" t="s">
        <v>606</v>
      </c>
    </row>
    <row r="2" spans="1:14" s="744" customFormat="1">
      <c r="A2" s="695" t="s">
        <v>3708</v>
      </c>
      <c r="B2" s="849"/>
      <c r="C2" s="849"/>
      <c r="D2" s="849"/>
      <c r="E2" s="849"/>
      <c r="F2" s="849"/>
      <c r="G2" s="849"/>
      <c r="H2" s="849"/>
      <c r="I2" s="3814" t="s">
        <v>3375</v>
      </c>
      <c r="J2" s="849"/>
      <c r="K2" s="866"/>
      <c r="L2" s="866"/>
    </row>
    <row r="3" spans="1:14">
      <c r="A3" s="45"/>
      <c r="B3" s="280"/>
      <c r="C3" s="280"/>
      <c r="D3" s="280"/>
      <c r="E3" s="280"/>
      <c r="F3" s="280"/>
      <c r="G3" s="280"/>
      <c r="H3" s="280"/>
      <c r="I3" s="3815"/>
      <c r="J3" s="280"/>
    </row>
    <row r="4" spans="1:14" s="744" customFormat="1" ht="15.75" customHeight="1">
      <c r="A4" s="656" t="s">
        <v>3376</v>
      </c>
      <c r="B4" s="852"/>
      <c r="C4" s="852"/>
      <c r="D4" s="852"/>
      <c r="E4" s="852"/>
      <c r="F4" s="852"/>
      <c r="G4" s="852"/>
      <c r="H4" s="852"/>
      <c r="I4" s="852"/>
      <c r="J4" s="738"/>
      <c r="K4" s="866"/>
      <c r="L4" s="866"/>
    </row>
    <row r="5" spans="1:14">
      <c r="A5" s="168" t="s">
        <v>990</v>
      </c>
      <c r="B5" s="283"/>
      <c r="C5" s="283"/>
      <c r="D5" s="283"/>
      <c r="E5" s="283"/>
      <c r="F5" s="283"/>
      <c r="G5" s="283"/>
      <c r="H5" s="283"/>
      <c r="I5" s="283"/>
      <c r="J5" s="177"/>
    </row>
    <row r="6" spans="1:14" ht="21.75" customHeight="1">
      <c r="A6" s="284"/>
      <c r="B6" s="284"/>
      <c r="C6" s="284"/>
      <c r="D6" s="284"/>
      <c r="E6" s="284"/>
      <c r="F6" s="284"/>
      <c r="G6" s="285"/>
      <c r="H6" s="284"/>
      <c r="I6" s="177"/>
      <c r="N6" s="876" t="s">
        <v>254</v>
      </c>
    </row>
    <row r="7" spans="1:14" s="227" customFormat="1" ht="29.25" customHeight="1">
      <c r="A7" s="4178" t="s">
        <v>2</v>
      </c>
      <c r="B7" s="4178" t="s">
        <v>3377</v>
      </c>
      <c r="C7" s="4160" t="s">
        <v>3549</v>
      </c>
      <c r="D7" s="4180" t="s">
        <v>1092</v>
      </c>
      <c r="E7" s="4162" t="s">
        <v>255</v>
      </c>
      <c r="F7" s="4182"/>
      <c r="G7" s="4163"/>
      <c r="H7" s="4160" t="s">
        <v>3550</v>
      </c>
      <c r="I7" s="4160" t="s">
        <v>3551</v>
      </c>
      <c r="J7" s="4160" t="s">
        <v>3380</v>
      </c>
      <c r="K7" s="4160" t="s">
        <v>3381</v>
      </c>
      <c r="L7" s="4160" t="s">
        <v>345</v>
      </c>
      <c r="M7" s="4162" t="s">
        <v>255</v>
      </c>
      <c r="N7" s="4163"/>
    </row>
    <row r="8" spans="1:14" s="226" customFormat="1" ht="45.6" customHeight="1">
      <c r="A8" s="4179"/>
      <c r="B8" s="4179"/>
      <c r="C8" s="4160"/>
      <c r="D8" s="4181"/>
      <c r="E8" s="286" t="s">
        <v>7</v>
      </c>
      <c r="F8" s="286" t="s">
        <v>8</v>
      </c>
      <c r="G8" s="286" t="s">
        <v>3552</v>
      </c>
      <c r="H8" s="4160"/>
      <c r="I8" s="4160"/>
      <c r="J8" s="4160"/>
      <c r="K8" s="4160"/>
      <c r="L8" s="4160"/>
      <c r="M8" s="286" t="s">
        <v>7</v>
      </c>
      <c r="N8" s="286" t="s">
        <v>8</v>
      </c>
    </row>
    <row r="9" spans="1:14" s="226" customFormat="1" ht="20.25" customHeight="1">
      <c r="A9" s="239"/>
      <c r="B9" s="287" t="s">
        <v>3553</v>
      </c>
      <c r="C9" s="288"/>
      <c r="D9" s="288"/>
      <c r="E9" s="632"/>
      <c r="F9" s="632"/>
      <c r="G9" s="216"/>
      <c r="H9" s="216"/>
      <c r="I9" s="216"/>
      <c r="J9" s="216"/>
      <c r="K9" s="289"/>
      <c r="L9" s="289"/>
      <c r="M9" s="290"/>
      <c r="N9" s="290"/>
    </row>
    <row r="10" spans="1:14" s="226" customFormat="1" ht="20.25" customHeight="1">
      <c r="A10" s="291"/>
      <c r="B10" s="292" t="s">
        <v>3459</v>
      </c>
      <c r="C10" s="291" t="s">
        <v>3383</v>
      </c>
      <c r="D10" s="632">
        <v>700</v>
      </c>
      <c r="E10" s="720"/>
      <c r="F10" s="720"/>
      <c r="G10" s="877"/>
      <c r="H10" s="877">
        <f>I10/D10</f>
        <v>0.7142857142857143</v>
      </c>
      <c r="I10" s="632">
        <v>500</v>
      </c>
      <c r="J10" s="632">
        <v>3</v>
      </c>
      <c r="K10" s="1212">
        <v>134.93</v>
      </c>
      <c r="L10" s="629">
        <f>I10*J10*K10</f>
        <v>202395</v>
      </c>
      <c r="M10" s="290">
        <f>L10*E10/D10</f>
        <v>0</v>
      </c>
      <c r="N10" s="633">
        <f>L10-M10</f>
        <v>202395</v>
      </c>
    </row>
    <row r="11" spans="1:14" s="226" customFormat="1" ht="20.25" customHeight="1">
      <c r="A11" s="291"/>
      <c r="B11" s="292" t="s">
        <v>3463</v>
      </c>
      <c r="C11" s="291" t="s">
        <v>3383</v>
      </c>
      <c r="D11" s="632">
        <f>E11+F11+G11</f>
        <v>0</v>
      </c>
      <c r="E11" s="720"/>
      <c r="F11" s="720"/>
      <c r="G11" s="877"/>
      <c r="H11" s="877" t="e">
        <f t="shared" ref="H11:H20" si="0">I11/D11</f>
        <v>#DIV/0!</v>
      </c>
      <c r="I11" s="632"/>
      <c r="J11" s="632">
        <v>5</v>
      </c>
      <c r="K11" s="1212">
        <v>134.93</v>
      </c>
      <c r="L11" s="629">
        <f>I11*J11*K11</f>
        <v>0</v>
      </c>
      <c r="M11" s="290" t="e">
        <f t="shared" ref="M11:M20" si="1">L11*E11/D11</f>
        <v>#DIV/0!</v>
      </c>
      <c r="N11" s="633" t="e">
        <f t="shared" ref="N11:N20" si="2">L11-M11</f>
        <v>#DIV/0!</v>
      </c>
    </row>
    <row r="12" spans="1:14" s="226" customFormat="1" ht="20.25" customHeight="1">
      <c r="A12" s="291"/>
      <c r="B12" s="292" t="s">
        <v>3464</v>
      </c>
      <c r="C12" s="291" t="s">
        <v>3383</v>
      </c>
      <c r="D12" s="632">
        <f>E12+F12+G12</f>
        <v>0</v>
      </c>
      <c r="E12" s="720"/>
      <c r="F12" s="720"/>
      <c r="G12" s="877"/>
      <c r="H12" s="877" t="e">
        <f t="shared" si="0"/>
        <v>#DIV/0!</v>
      </c>
      <c r="I12" s="632"/>
      <c r="J12" s="632">
        <v>4</v>
      </c>
      <c r="K12" s="1212">
        <v>134.93</v>
      </c>
      <c r="L12" s="629">
        <f>I12*J12*K12</f>
        <v>0</v>
      </c>
      <c r="M12" s="290" t="e">
        <f t="shared" si="1"/>
        <v>#DIV/0!</v>
      </c>
      <c r="N12" s="633" t="e">
        <f t="shared" si="2"/>
        <v>#DIV/0!</v>
      </c>
    </row>
    <row r="13" spans="1:14" s="226" customFormat="1" ht="20.25" customHeight="1">
      <c r="A13" s="291"/>
      <c r="B13" s="238" t="s">
        <v>20</v>
      </c>
      <c r="C13" s="884"/>
      <c r="D13" s="884"/>
      <c r="E13" s="878"/>
      <c r="F13" s="878"/>
      <c r="G13" s="878"/>
      <c r="H13" s="877" t="e">
        <f t="shared" si="0"/>
        <v>#DIV/0!</v>
      </c>
      <c r="I13" s="879"/>
      <c r="J13" s="879"/>
      <c r="K13" s="880"/>
      <c r="L13" s="630">
        <f>SUM(L10:L12)</f>
        <v>202395</v>
      </c>
      <c r="M13" s="630" t="e">
        <f>SUM(M10:M12)</f>
        <v>#DIV/0!</v>
      </c>
      <c r="N13" s="630" t="e">
        <f>SUM(N10:N12)</f>
        <v>#DIV/0!</v>
      </c>
    </row>
    <row r="14" spans="1:14" s="226" customFormat="1" ht="20.25" customHeight="1">
      <c r="A14" s="239"/>
      <c r="B14" s="287" t="s">
        <v>3554</v>
      </c>
      <c r="C14" s="709"/>
      <c r="D14" s="709"/>
      <c r="E14" s="720"/>
      <c r="F14" s="720"/>
      <c r="G14" s="877"/>
      <c r="H14" s="877" t="e">
        <f t="shared" si="0"/>
        <v>#DIV/0!</v>
      </c>
      <c r="I14" s="877"/>
      <c r="J14" s="877"/>
      <c r="K14" s="880"/>
      <c r="L14" s="629"/>
      <c r="M14" s="290" t="e">
        <f t="shared" si="1"/>
        <v>#DIV/0!</v>
      </c>
      <c r="N14" s="633" t="e">
        <f t="shared" si="2"/>
        <v>#DIV/0!</v>
      </c>
    </row>
    <row r="15" spans="1:14" s="226" customFormat="1" ht="20.25" customHeight="1">
      <c r="A15" s="291"/>
      <c r="B15" s="292" t="s">
        <v>3459</v>
      </c>
      <c r="C15" s="291" t="s">
        <v>3383</v>
      </c>
      <c r="D15" s="632">
        <f>E15+F15+G15</f>
        <v>0</v>
      </c>
      <c r="E15" s="720"/>
      <c r="F15" s="720"/>
      <c r="G15" s="877"/>
      <c r="H15" s="877" t="e">
        <f t="shared" si="0"/>
        <v>#DIV/0!</v>
      </c>
      <c r="I15" s="632"/>
      <c r="J15" s="632">
        <v>3</v>
      </c>
      <c r="K15" s="880"/>
      <c r="L15" s="629">
        <f>I15*J15*K15</f>
        <v>0</v>
      </c>
      <c r="M15" s="290" t="e">
        <f t="shared" si="1"/>
        <v>#DIV/0!</v>
      </c>
      <c r="N15" s="633" t="e">
        <f t="shared" si="2"/>
        <v>#DIV/0!</v>
      </c>
    </row>
    <row r="16" spans="1:14" s="226" customFormat="1" ht="20.25" customHeight="1">
      <c r="A16" s="291"/>
      <c r="B16" s="292" t="s">
        <v>3463</v>
      </c>
      <c r="C16" s="291" t="s">
        <v>3383</v>
      </c>
      <c r="D16" s="632">
        <f>E16+F16+G16</f>
        <v>0</v>
      </c>
      <c r="E16" s="720"/>
      <c r="F16" s="720"/>
      <c r="G16" s="877"/>
      <c r="H16" s="877" t="e">
        <f t="shared" si="0"/>
        <v>#DIV/0!</v>
      </c>
      <c r="I16" s="632"/>
      <c r="J16" s="632">
        <v>5</v>
      </c>
      <c r="K16" s="880"/>
      <c r="L16" s="629">
        <f>I16*J16*K16</f>
        <v>0</v>
      </c>
      <c r="M16" s="290" t="e">
        <f t="shared" si="1"/>
        <v>#DIV/0!</v>
      </c>
      <c r="N16" s="633" t="e">
        <f t="shared" si="2"/>
        <v>#DIV/0!</v>
      </c>
    </row>
    <row r="17" spans="1:14" s="226" customFormat="1" ht="20.25" customHeight="1">
      <c r="A17" s="291"/>
      <c r="B17" s="292" t="s">
        <v>3464</v>
      </c>
      <c r="C17" s="291" t="s">
        <v>3383</v>
      </c>
      <c r="D17" s="632">
        <f>E17+F17+G17</f>
        <v>0</v>
      </c>
      <c r="E17" s="720"/>
      <c r="F17" s="720"/>
      <c r="G17" s="877"/>
      <c r="H17" s="877" t="e">
        <f t="shared" si="0"/>
        <v>#DIV/0!</v>
      </c>
      <c r="I17" s="632"/>
      <c r="J17" s="632">
        <v>4</v>
      </c>
      <c r="K17" s="880"/>
      <c r="L17" s="629">
        <f>I17*J17*K17</f>
        <v>0</v>
      </c>
      <c r="M17" s="290" t="e">
        <f t="shared" si="1"/>
        <v>#DIV/0!</v>
      </c>
      <c r="N17" s="633" t="e">
        <f t="shared" si="2"/>
        <v>#DIV/0!</v>
      </c>
    </row>
    <row r="18" spans="1:14" s="226" customFormat="1" ht="20.25" customHeight="1">
      <c r="A18" s="291"/>
      <c r="B18" s="238" t="s">
        <v>20</v>
      </c>
      <c r="C18" s="709"/>
      <c r="D18" s="709"/>
      <c r="E18" s="720"/>
      <c r="F18" s="720"/>
      <c r="G18" s="877"/>
      <c r="H18" s="877" t="e">
        <f t="shared" si="0"/>
        <v>#DIV/0!</v>
      </c>
      <c r="I18" s="877"/>
      <c r="J18" s="877"/>
      <c r="K18" s="880"/>
      <c r="L18" s="630">
        <f>SUM(L15:L17)</f>
        <v>0</v>
      </c>
      <c r="M18" s="630" t="e">
        <f>SUM(M15:M17)</f>
        <v>#DIV/0!</v>
      </c>
      <c r="N18" s="630" t="e">
        <f>SUM(N15:N17)</f>
        <v>#DIV/0!</v>
      </c>
    </row>
    <row r="19" spans="1:14" s="226" customFormat="1" ht="20.25" customHeight="1">
      <c r="A19" s="291"/>
      <c r="B19" s="238" t="s">
        <v>3578</v>
      </c>
      <c r="C19" s="709"/>
      <c r="D19" s="709"/>
      <c r="E19" s="720"/>
      <c r="F19" s="720"/>
      <c r="G19" s="877"/>
      <c r="H19" s="877" t="e">
        <f t="shared" si="0"/>
        <v>#DIV/0!</v>
      </c>
      <c r="I19" s="216"/>
      <c r="J19" s="216"/>
      <c r="K19" s="880"/>
      <c r="L19" s="629"/>
      <c r="M19" s="290" t="e">
        <f t="shared" si="1"/>
        <v>#DIV/0!</v>
      </c>
      <c r="N19" s="633" t="e">
        <f t="shared" si="2"/>
        <v>#DIV/0!</v>
      </c>
    </row>
    <row r="20" spans="1:14" s="226" customFormat="1" ht="20.25" customHeight="1">
      <c r="A20" s="291"/>
      <c r="B20" s="288" t="s">
        <v>3556</v>
      </c>
      <c r="C20" s="709"/>
      <c r="D20" s="291" t="s">
        <v>3383</v>
      </c>
      <c r="E20" s="291" t="s">
        <v>3383</v>
      </c>
      <c r="F20" s="291" t="s">
        <v>3383</v>
      </c>
      <c r="G20" s="291" t="s">
        <v>3383</v>
      </c>
      <c r="H20" s="877" t="e">
        <f t="shared" si="0"/>
        <v>#VALUE!</v>
      </c>
      <c r="I20" s="720"/>
      <c r="J20" s="632">
        <v>6</v>
      </c>
      <c r="K20" s="880"/>
      <c r="L20" s="629">
        <f>I20*J20*K20</f>
        <v>0</v>
      </c>
      <c r="M20" s="290" t="e">
        <f t="shared" si="1"/>
        <v>#VALUE!</v>
      </c>
      <c r="N20" s="633" t="e">
        <f t="shared" si="2"/>
        <v>#VALUE!</v>
      </c>
    </row>
    <row r="21" spans="1:14" s="228" customFormat="1" ht="20.25" customHeight="1">
      <c r="A21" s="291"/>
      <c r="B21" s="238" t="s">
        <v>20</v>
      </c>
      <c r="C21" s="884"/>
      <c r="D21" s="884"/>
      <c r="E21" s="878"/>
      <c r="F21" s="878"/>
      <c r="G21" s="879"/>
      <c r="H21" s="879"/>
      <c r="I21" s="879"/>
      <c r="J21" s="879"/>
      <c r="K21" s="881"/>
      <c r="L21" s="630">
        <f>SUM(L20)</f>
        <v>0</v>
      </c>
      <c r="M21" s="630" t="e">
        <f>SUM(M20)</f>
        <v>#VALUE!</v>
      </c>
      <c r="N21" s="630" t="e">
        <f>SUM(N20)</f>
        <v>#VALUE!</v>
      </c>
    </row>
    <row r="22" spans="1:14" s="226" customFormat="1" ht="20.25" customHeight="1">
      <c r="A22" s="239"/>
      <c r="B22" s="238" t="s">
        <v>306</v>
      </c>
      <c r="C22" s="883"/>
      <c r="D22" s="883"/>
      <c r="E22" s="883"/>
      <c r="F22" s="883"/>
      <c r="G22" s="883"/>
      <c r="H22" s="883"/>
      <c r="I22" s="883"/>
      <c r="J22" s="883"/>
      <c r="K22" s="882"/>
      <c r="L22" s="631">
        <f>L13+L19+L21</f>
        <v>202395</v>
      </c>
      <c r="M22" s="238" t="e">
        <f>M13+M19+M21</f>
        <v>#DIV/0!</v>
      </c>
      <c r="N22" s="631" t="e">
        <f>N13+N19+N21</f>
        <v>#DIV/0!</v>
      </c>
    </row>
    <row r="23" spans="1:14" ht="8.25" customHeight="1">
      <c r="C23" s="294"/>
      <c r="D23" s="294"/>
      <c r="E23" s="295"/>
      <c r="F23" s="295"/>
      <c r="H23" s="296"/>
      <c r="I23" s="297"/>
      <c r="J23" s="217"/>
      <c r="K23" s="296"/>
      <c r="L23" s="298"/>
    </row>
    <row r="24" spans="1:14">
      <c r="B24" s="300" t="s">
        <v>329</v>
      </c>
      <c r="C24" s="294"/>
      <c r="D24" s="294"/>
      <c r="E24" s="295"/>
      <c r="F24" s="745"/>
      <c r="G24" s="758"/>
      <c r="H24" s="885"/>
      <c r="I24" s="886"/>
      <c r="J24" s="739"/>
      <c r="K24" s="885"/>
      <c r="L24" s="887"/>
      <c r="M24" s="744"/>
      <c r="N24" s="744"/>
    </row>
    <row r="25" spans="1:14" ht="10.5" customHeight="1">
      <c r="B25" s="300"/>
      <c r="C25" s="294"/>
      <c r="D25" s="294"/>
      <c r="E25" s="295"/>
      <c r="F25" s="745"/>
      <c r="G25" s="758"/>
      <c r="H25" s="888"/>
      <c r="I25" s="886"/>
      <c r="J25" s="739"/>
      <c r="K25" s="888"/>
      <c r="L25" s="887"/>
      <c r="M25" s="744"/>
      <c r="N25" s="744"/>
    </row>
    <row r="26" spans="1:14">
      <c r="B26" s="345" t="s">
        <v>330</v>
      </c>
      <c r="C26" s="294"/>
      <c r="D26" s="294"/>
      <c r="E26" s="295"/>
      <c r="F26" s="745"/>
      <c r="G26" s="758"/>
      <c r="H26" s="889"/>
      <c r="I26" s="886"/>
      <c r="J26" s="739"/>
      <c r="K26" s="889"/>
      <c r="L26" s="890"/>
      <c r="M26" s="744"/>
      <c r="N26" s="744"/>
    </row>
    <row r="27" spans="1:14">
      <c r="B27" s="345" t="s">
        <v>332</v>
      </c>
      <c r="C27" s="294"/>
      <c r="D27" s="294"/>
      <c r="E27" s="295"/>
      <c r="F27" s="745"/>
      <c r="G27" s="758"/>
      <c r="H27" s="889"/>
      <c r="I27" s="739"/>
      <c r="J27" s="739"/>
      <c r="K27" s="889"/>
      <c r="L27" s="890"/>
      <c r="M27" s="744"/>
      <c r="N27" s="744"/>
    </row>
    <row r="28" spans="1:14" ht="10.5" customHeight="1">
      <c r="B28" s="346"/>
      <c r="C28" s="294"/>
      <c r="D28" s="294"/>
      <c r="E28" s="295"/>
      <c r="F28" s="745"/>
      <c r="G28" s="758"/>
      <c r="H28" s="889"/>
      <c r="I28" s="739"/>
      <c r="J28" s="739"/>
      <c r="K28" s="889"/>
      <c r="L28" s="891"/>
      <c r="M28" s="744"/>
      <c r="N28" s="744"/>
    </row>
    <row r="29" spans="1:14">
      <c r="B29" s="345" t="s">
        <v>333</v>
      </c>
      <c r="F29" s="758"/>
      <c r="G29" s="758"/>
      <c r="H29" s="744"/>
      <c r="I29" s="744"/>
      <c r="J29" s="744"/>
      <c r="K29" s="866"/>
      <c r="L29" s="866"/>
      <c r="M29" s="744"/>
      <c r="N29" s="744"/>
    </row>
    <row r="30" spans="1:14">
      <c r="B30" s="541" t="s">
        <v>3387</v>
      </c>
      <c r="C30" s="541" t="s">
        <v>3388</v>
      </c>
      <c r="D30" s="541" t="s">
        <v>1411</v>
      </c>
      <c r="E30" s="541" t="s">
        <v>3598</v>
      </c>
      <c r="F30" s="541" t="s">
        <v>3391</v>
      </c>
      <c r="G30" s="541" t="s">
        <v>3392</v>
      </c>
      <c r="I30" s="282" t="s">
        <v>3399</v>
      </c>
      <c r="L30" s="282" t="s">
        <v>3599</v>
      </c>
    </row>
    <row r="31" spans="1:14">
      <c r="A31" s="274"/>
      <c r="B31" s="274" t="s">
        <v>3484</v>
      </c>
      <c r="C31" s="274"/>
      <c r="D31" s="274"/>
      <c r="E31" s="274"/>
      <c r="F31" s="274"/>
      <c r="G31" s="274"/>
      <c r="L31" s="282"/>
    </row>
    <row r="32" spans="1:14">
      <c r="A32" s="274" t="s">
        <v>3485</v>
      </c>
      <c r="B32" s="274">
        <v>1119</v>
      </c>
      <c r="C32" s="274">
        <v>1210</v>
      </c>
      <c r="D32" s="274">
        <v>970</v>
      </c>
      <c r="E32" s="274">
        <v>1836</v>
      </c>
      <c r="F32" s="274">
        <v>954</v>
      </c>
      <c r="G32" s="274">
        <v>970</v>
      </c>
      <c r="I32" s="281">
        <v>126.1</v>
      </c>
      <c r="J32" s="1211">
        <v>1.07</v>
      </c>
      <c r="K32" s="1211">
        <f>I32*J32</f>
        <v>134.92699999999999</v>
      </c>
      <c r="L32" s="282">
        <f>B32+C32+D32</f>
        <v>3299</v>
      </c>
    </row>
    <row r="33" spans="1:7">
      <c r="A33" s="274" t="s">
        <v>3487</v>
      </c>
      <c r="B33" s="274">
        <v>1119</v>
      </c>
      <c r="C33" s="274">
        <v>1210</v>
      </c>
      <c r="D33" s="274">
        <v>970</v>
      </c>
      <c r="E33" s="274">
        <v>1836</v>
      </c>
      <c r="F33" s="274">
        <v>954</v>
      </c>
      <c r="G33" s="274">
        <v>970</v>
      </c>
    </row>
  </sheetData>
  <mergeCells count="11">
    <mergeCell ref="I7:I8"/>
    <mergeCell ref="J7:J8"/>
    <mergeCell ref="K7:K8"/>
    <mergeCell ref="L7:L8"/>
    <mergeCell ref="M7:N7"/>
    <mergeCell ref="H7:H8"/>
    <mergeCell ref="A7:A8"/>
    <mergeCell ref="B7:B8"/>
    <mergeCell ref="C7:C8"/>
    <mergeCell ref="D7:D8"/>
    <mergeCell ref="E7:G7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tabColor rgb="FFFF0000"/>
    <pageSetUpPr fitToPage="1"/>
  </sheetPr>
  <dimension ref="A1:X426"/>
  <sheetViews>
    <sheetView topLeftCell="A11" workbookViewId="0">
      <selection activeCell="B30" sqref="B30"/>
    </sheetView>
  </sheetViews>
  <sheetFormatPr defaultColWidth="9.140625" defaultRowHeight="15"/>
  <cols>
    <col min="1" max="1" width="5.5703125" style="406" customWidth="1"/>
    <col min="2" max="2" width="26" style="406" customWidth="1"/>
    <col min="3" max="3" width="30.28515625" style="1057" customWidth="1"/>
    <col min="4" max="4" width="7.42578125" style="406" customWidth="1"/>
    <col min="5" max="5" width="10.42578125" style="406" customWidth="1"/>
    <col min="6" max="6" width="6.140625" style="406" customWidth="1"/>
    <col min="7" max="7" width="7.5703125" style="406" customWidth="1"/>
    <col min="8" max="8" width="13.7109375" style="406" customWidth="1"/>
    <col min="9" max="9" width="9.140625" style="406" customWidth="1"/>
    <col min="10" max="10" width="9.85546875" style="406" customWidth="1"/>
    <col min="11" max="11" width="13.7109375" style="406" customWidth="1"/>
    <col min="12" max="12" width="16" style="406" customWidth="1"/>
    <col min="13" max="13" width="14.28515625" style="406" customWidth="1"/>
    <col min="14" max="14" width="15.140625" style="406" customWidth="1"/>
    <col min="15" max="15" width="13" style="406" customWidth="1"/>
    <col min="16" max="16" width="10.42578125" style="406" customWidth="1"/>
    <col min="17" max="17" width="14.85546875" style="406" customWidth="1"/>
    <col min="18" max="20" width="21" style="406" customWidth="1"/>
    <col min="21" max="21" width="9.5703125" style="406" customWidth="1"/>
    <col min="22" max="16384" width="9.140625" style="406"/>
  </cols>
  <sheetData>
    <row r="1" spans="1:24" ht="15.75">
      <c r="S1" s="915" t="s">
        <v>267</v>
      </c>
      <c r="T1" s="671" t="s">
        <v>596</v>
      </c>
    </row>
    <row r="2" spans="1:24" s="909" customFormat="1" ht="15.75">
      <c r="A2" s="908" t="s">
        <v>1188</v>
      </c>
      <c r="C2" s="1058"/>
    </row>
    <row r="3" spans="1:24">
      <c r="A3" s="49"/>
      <c r="D3" s="406" t="s">
        <v>1189</v>
      </c>
    </row>
    <row r="4" spans="1:24" s="909" customFormat="1" ht="15.75">
      <c r="A4" s="656" t="s">
        <v>1190</v>
      </c>
      <c r="C4" s="1059"/>
      <c r="D4" s="910"/>
      <c r="E4" s="910"/>
    </row>
    <row r="5" spans="1:24" ht="15.75">
      <c r="A5" s="168" t="s">
        <v>990</v>
      </c>
      <c r="C5" s="1060"/>
      <c r="D5" s="407"/>
      <c r="E5" s="407"/>
    </row>
    <row r="7" spans="1:24" ht="30" customHeight="1">
      <c r="A7" s="4224" t="s">
        <v>2</v>
      </c>
      <c r="B7" s="4224" t="s">
        <v>478</v>
      </c>
      <c r="C7" s="4224" t="s">
        <v>995</v>
      </c>
      <c r="D7" s="4224" t="s">
        <v>996</v>
      </c>
      <c r="E7" s="4224" t="s">
        <v>1191</v>
      </c>
      <c r="F7" s="4224" t="s">
        <v>255</v>
      </c>
      <c r="G7" s="4224"/>
      <c r="H7" s="4227" t="s">
        <v>1192</v>
      </c>
      <c r="I7" s="4225" t="s">
        <v>1193</v>
      </c>
      <c r="J7" s="4229"/>
      <c r="K7" s="4226"/>
      <c r="L7" s="4225" t="s">
        <v>922</v>
      </c>
      <c r="M7" s="4229"/>
      <c r="N7" s="4229"/>
      <c r="O7" s="4229"/>
      <c r="P7" s="4226"/>
      <c r="Q7" s="4224" t="s">
        <v>999</v>
      </c>
      <c r="R7" s="4224" t="s">
        <v>345</v>
      </c>
      <c r="S7" s="4225" t="s">
        <v>1001</v>
      </c>
      <c r="T7" s="4226"/>
    </row>
    <row r="8" spans="1:24" ht="71.25">
      <c r="A8" s="4224"/>
      <c r="B8" s="4224"/>
      <c r="C8" s="4224"/>
      <c r="D8" s="4224"/>
      <c r="E8" s="4224"/>
      <c r="F8" s="1081" t="s">
        <v>7</v>
      </c>
      <c r="G8" s="1081" t="s">
        <v>8</v>
      </c>
      <c r="H8" s="4228"/>
      <c r="I8" s="1081" t="s">
        <v>7</v>
      </c>
      <c r="J8" s="1081" t="s">
        <v>8</v>
      </c>
      <c r="K8" s="1081" t="s">
        <v>1096</v>
      </c>
      <c r="L8" s="1081" t="s">
        <v>1099</v>
      </c>
      <c r="M8" s="1081" t="s">
        <v>1194</v>
      </c>
      <c r="N8" s="1081" t="s">
        <v>1011</v>
      </c>
      <c r="O8" s="1081" t="s">
        <v>1012</v>
      </c>
      <c r="P8" s="1081" t="s">
        <v>1013</v>
      </c>
      <c r="Q8" s="4224"/>
      <c r="R8" s="4224"/>
      <c r="S8" s="1082" t="s">
        <v>7</v>
      </c>
      <c r="T8" s="1082" t="s">
        <v>8</v>
      </c>
      <c r="W8" s="406">
        <v>211</v>
      </c>
      <c r="X8" s="406">
        <v>100</v>
      </c>
    </row>
    <row r="9" spans="1:24">
      <c r="A9" s="1083"/>
      <c r="B9" s="1084" t="s">
        <v>306</v>
      </c>
      <c r="C9" s="1085"/>
      <c r="D9" s="1083"/>
      <c r="E9" s="1086">
        <f t="shared" ref="E9:Q9" si="0">SUM(E11:E135)</f>
        <v>0</v>
      </c>
      <c r="F9" s="1086">
        <f t="shared" si="0"/>
        <v>0</v>
      </c>
      <c r="G9" s="1086">
        <f t="shared" si="0"/>
        <v>0</v>
      </c>
      <c r="H9" s="1086">
        <f t="shared" si="0"/>
        <v>0</v>
      </c>
      <c r="I9" s="1086">
        <f t="shared" si="0"/>
        <v>648</v>
      </c>
      <c r="J9" s="1086">
        <f t="shared" si="0"/>
        <v>22140</v>
      </c>
      <c r="K9" s="1086">
        <f t="shared" si="0"/>
        <v>0</v>
      </c>
      <c r="L9" s="1086">
        <f t="shared" si="0"/>
        <v>76602</v>
      </c>
      <c r="M9" s="1086">
        <f t="shared" si="0"/>
        <v>77339</v>
      </c>
      <c r="N9" s="1086">
        <f t="shared" si="0"/>
        <v>0</v>
      </c>
      <c r="O9" s="1086">
        <f t="shared" si="0"/>
        <v>0</v>
      </c>
      <c r="P9" s="1086">
        <f t="shared" si="0"/>
        <v>76602</v>
      </c>
      <c r="Q9" s="1086">
        <f t="shared" si="0"/>
        <v>282692.42</v>
      </c>
      <c r="R9" s="1087">
        <f>R10+R45+R357</f>
        <v>81782711.539999992</v>
      </c>
      <c r="S9" s="1087">
        <f>S10+S45+S357</f>
        <v>2325574.7357345973</v>
      </c>
      <c r="T9" s="1087">
        <f>T10+T45+T357</f>
        <v>79457136.80426541</v>
      </c>
      <c r="W9" s="406">
        <v>6</v>
      </c>
    </row>
    <row r="10" spans="1:24">
      <c r="A10" s="1083"/>
      <c r="B10" s="1084" t="s">
        <v>1195</v>
      </c>
      <c r="C10" s="1085"/>
      <c r="D10" s="1083"/>
      <c r="E10" s="1086"/>
      <c r="F10" s="1086"/>
      <c r="G10" s="1086"/>
      <c r="H10" s="1086"/>
      <c r="I10" s="1086"/>
      <c r="J10" s="1086"/>
      <c r="K10" s="1086"/>
      <c r="L10" s="1086"/>
      <c r="M10" s="1086"/>
      <c r="N10" s="1086"/>
      <c r="O10" s="1086"/>
      <c r="P10" s="1086"/>
      <c r="Q10" s="1086"/>
      <c r="R10" s="1087">
        <f>SUM(R11:R38)</f>
        <v>15529898.689999999</v>
      </c>
      <c r="S10" s="1087">
        <f>SUM(S11:S38)</f>
        <v>441608.49355450232</v>
      </c>
      <c r="T10" s="1087">
        <f>SUM(T11:T38)</f>
        <v>15088290.196445499</v>
      </c>
    </row>
    <row r="11" spans="1:24">
      <c r="A11" s="1088">
        <v>12</v>
      </c>
      <c r="B11" s="1100" t="s">
        <v>1199</v>
      </c>
      <c r="C11" s="1089" t="s">
        <v>1200</v>
      </c>
      <c r="D11" s="1088" t="s">
        <v>1022</v>
      </c>
      <c r="E11" s="1090">
        <f>F11+G11</f>
        <v>0</v>
      </c>
      <c r="F11" s="1088"/>
      <c r="G11" s="1088"/>
      <c r="H11" s="1088"/>
      <c r="I11" s="1088">
        <v>6</v>
      </c>
      <c r="J11" s="1088">
        <v>205</v>
      </c>
      <c r="K11" s="1088"/>
      <c r="L11" s="1090">
        <v>1940</v>
      </c>
      <c r="M11" s="1090">
        <v>1940</v>
      </c>
      <c r="N11" s="1088"/>
      <c r="O11" s="1088"/>
      <c r="P11" s="1090">
        <f t="shared" ref="P11:P19" si="1">L11-O11</f>
        <v>1940</v>
      </c>
      <c r="Q11" s="1099">
        <v>239.68</v>
      </c>
      <c r="R11" s="1091">
        <f t="shared" ref="R11:R19" si="2">P11*Q11</f>
        <v>464979.20000000001</v>
      </c>
      <c r="S11" s="1091">
        <f t="shared" ref="S11:S19" si="3">R11*(I11/(I11+J11+K11))</f>
        <v>13222.157345971564</v>
      </c>
      <c r="T11" s="1091">
        <f t="shared" ref="T11:T19" si="4">R11-S11</f>
        <v>451757.04265402845</v>
      </c>
    </row>
    <row r="12" spans="1:24" ht="90">
      <c r="A12" s="1088">
        <v>22</v>
      </c>
      <c r="B12" s="1157" t="s">
        <v>1201</v>
      </c>
      <c r="C12" s="1162" t="s">
        <v>1202</v>
      </c>
      <c r="D12" s="1157" t="s">
        <v>1203</v>
      </c>
      <c r="E12" s="1090"/>
      <c r="F12" s="1088"/>
      <c r="G12" s="1088"/>
      <c r="H12" s="1088"/>
      <c r="I12" s="1088">
        <v>6</v>
      </c>
      <c r="J12" s="1088">
        <v>205</v>
      </c>
      <c r="K12" s="1088"/>
      <c r="L12" s="1102">
        <v>635</v>
      </c>
      <c r="M12" s="1102">
        <v>962</v>
      </c>
      <c r="N12" s="1088"/>
      <c r="O12" s="1088"/>
      <c r="P12" s="1090">
        <f t="shared" si="1"/>
        <v>635</v>
      </c>
      <c r="Q12" s="1099">
        <v>80.25</v>
      </c>
      <c r="R12" s="1091">
        <f t="shared" si="2"/>
        <v>50958.75</v>
      </c>
      <c r="S12" s="1091">
        <f t="shared" si="3"/>
        <v>1449.0639810426539</v>
      </c>
      <c r="T12" s="1091">
        <f t="shared" si="4"/>
        <v>49509.686018957349</v>
      </c>
    </row>
    <row r="13" spans="1:24">
      <c r="A13" s="1088">
        <v>24</v>
      </c>
      <c r="B13" s="1105" t="s">
        <v>3711</v>
      </c>
      <c r="C13" s="1089"/>
      <c r="D13" s="1104" t="s">
        <v>1203</v>
      </c>
      <c r="E13" s="1090"/>
      <c r="F13" s="1088"/>
      <c r="G13" s="1088"/>
      <c r="H13" s="1088"/>
      <c r="I13" s="1088">
        <v>6</v>
      </c>
      <c r="J13" s="1088">
        <v>205</v>
      </c>
      <c r="K13" s="1088"/>
      <c r="L13" s="1101">
        <v>30</v>
      </c>
      <c r="M13" s="1101">
        <v>30</v>
      </c>
      <c r="N13" s="1088"/>
      <c r="O13" s="1088"/>
      <c r="P13" s="1090">
        <f t="shared" si="1"/>
        <v>30</v>
      </c>
      <c r="Q13" s="1099">
        <v>4042.46</v>
      </c>
      <c r="R13" s="1091">
        <f t="shared" si="2"/>
        <v>121273.8</v>
      </c>
      <c r="S13" s="1091">
        <f t="shared" si="3"/>
        <v>3448.5440758293839</v>
      </c>
      <c r="T13" s="1091">
        <f t="shared" si="4"/>
        <v>117825.25592417062</v>
      </c>
    </row>
    <row r="14" spans="1:24">
      <c r="A14" s="1088">
        <v>26</v>
      </c>
      <c r="B14" s="1105" t="s">
        <v>3712</v>
      </c>
      <c r="C14" s="1089"/>
      <c r="D14" s="1104" t="s">
        <v>1203</v>
      </c>
      <c r="E14" s="1090"/>
      <c r="F14" s="1088"/>
      <c r="G14" s="1088"/>
      <c r="H14" s="1088"/>
      <c r="I14" s="1088">
        <v>6</v>
      </c>
      <c r="J14" s="1088">
        <v>205</v>
      </c>
      <c r="K14" s="1088"/>
      <c r="L14" s="1101">
        <v>30</v>
      </c>
      <c r="M14" s="1101">
        <v>30</v>
      </c>
      <c r="N14" s="1088"/>
      <c r="O14" s="1088"/>
      <c r="P14" s="1090">
        <f t="shared" si="1"/>
        <v>30</v>
      </c>
      <c r="Q14" s="1099">
        <v>5512.64</v>
      </c>
      <c r="R14" s="1142">
        <f t="shared" si="2"/>
        <v>165379.20000000001</v>
      </c>
      <c r="S14" s="1091">
        <f t="shared" si="3"/>
        <v>4702.7260663507113</v>
      </c>
      <c r="T14" s="1091">
        <f t="shared" si="4"/>
        <v>160676.47393364931</v>
      </c>
    </row>
    <row r="15" spans="1:24" ht="54" customHeight="1">
      <c r="A15" s="1088">
        <v>25</v>
      </c>
      <c r="B15" s="1105" t="s">
        <v>3713</v>
      </c>
      <c r="C15" s="1089"/>
      <c r="D15" s="1104" t="s">
        <v>1203</v>
      </c>
      <c r="E15" s="1090"/>
      <c r="F15" s="1088"/>
      <c r="G15" s="1088"/>
      <c r="H15" s="1088"/>
      <c r="I15" s="1088">
        <v>6</v>
      </c>
      <c r="J15" s="1088">
        <v>205</v>
      </c>
      <c r="K15" s="1088"/>
      <c r="L15" s="1101">
        <v>30</v>
      </c>
      <c r="M15" s="1101">
        <v>30</v>
      </c>
      <c r="N15" s="1088"/>
      <c r="O15" s="1088"/>
      <c r="P15" s="1090">
        <f t="shared" si="1"/>
        <v>30</v>
      </c>
      <c r="Q15" s="1099">
        <v>9800.130000000001</v>
      </c>
      <c r="R15" s="1091">
        <f t="shared" si="2"/>
        <v>294003.90000000002</v>
      </c>
      <c r="S15" s="1091">
        <f t="shared" si="3"/>
        <v>8360.3004739336502</v>
      </c>
      <c r="T15" s="1091">
        <f t="shared" si="4"/>
        <v>285643.59952606639</v>
      </c>
    </row>
    <row r="16" spans="1:24" ht="90">
      <c r="A16" s="1088">
        <v>14</v>
      </c>
      <c r="B16" s="1159" t="s">
        <v>1210</v>
      </c>
      <c r="C16" s="1162" t="s">
        <v>3714</v>
      </c>
      <c r="D16" s="1164" t="s">
        <v>1022</v>
      </c>
      <c r="E16" s="1090">
        <f>F16+G16</f>
        <v>0</v>
      </c>
      <c r="F16" s="1088"/>
      <c r="G16" s="1088"/>
      <c r="H16" s="1088"/>
      <c r="I16" s="1088">
        <v>6</v>
      </c>
      <c r="J16" s="1088">
        <v>205</v>
      </c>
      <c r="K16" s="1088"/>
      <c r="L16" s="1090">
        <v>1940</v>
      </c>
      <c r="M16" s="1090">
        <v>1940</v>
      </c>
      <c r="N16" s="1088"/>
      <c r="O16" s="1088"/>
      <c r="P16" s="1090">
        <f t="shared" si="1"/>
        <v>1940</v>
      </c>
      <c r="Q16" s="1099">
        <v>144.45000000000002</v>
      </c>
      <c r="R16" s="1091">
        <f t="shared" si="2"/>
        <v>280233.00000000006</v>
      </c>
      <c r="S16" s="1091">
        <f t="shared" si="3"/>
        <v>7968.710900473935</v>
      </c>
      <c r="T16" s="1091">
        <f t="shared" si="4"/>
        <v>272264.28909952613</v>
      </c>
    </row>
    <row r="17" spans="1:20" ht="45">
      <c r="A17" s="1088">
        <v>13</v>
      </c>
      <c r="B17" s="1103" t="s">
        <v>1212</v>
      </c>
      <c r="C17" s="1089" t="s">
        <v>1213</v>
      </c>
      <c r="D17" s="1088" t="s">
        <v>1022</v>
      </c>
      <c r="E17" s="1090">
        <f>F17+G17</f>
        <v>0</v>
      </c>
      <c r="F17" s="1088"/>
      <c r="G17" s="1088"/>
      <c r="H17" s="1088"/>
      <c r="I17" s="1088">
        <v>6</v>
      </c>
      <c r="J17" s="1088">
        <v>205</v>
      </c>
      <c r="K17" s="1088"/>
      <c r="L17" s="1090">
        <v>2440</v>
      </c>
      <c r="M17" s="1090">
        <v>2440</v>
      </c>
      <c r="N17" s="1088"/>
      <c r="O17" s="1088"/>
      <c r="P17" s="1090">
        <f t="shared" si="1"/>
        <v>2440</v>
      </c>
      <c r="Q17" s="1099">
        <v>487.92</v>
      </c>
      <c r="R17" s="1091">
        <f t="shared" si="2"/>
        <v>1190524.8</v>
      </c>
      <c r="S17" s="1091">
        <f t="shared" si="3"/>
        <v>33853.785781990518</v>
      </c>
      <c r="T17" s="1091">
        <f t="shared" si="4"/>
        <v>1156671.0142180095</v>
      </c>
    </row>
    <row r="18" spans="1:20" ht="30">
      <c r="A18" s="1088">
        <v>1</v>
      </c>
      <c r="B18" s="1160" t="s">
        <v>1214</v>
      </c>
      <c r="C18" s="1161" t="s">
        <v>1215</v>
      </c>
      <c r="D18" s="1088" t="s">
        <v>1022</v>
      </c>
      <c r="E18" s="1090">
        <f>F18+G18</f>
        <v>0</v>
      </c>
      <c r="F18" s="1088"/>
      <c r="G18" s="1088"/>
      <c r="H18" s="1088"/>
      <c r="I18" s="1088">
        <v>6</v>
      </c>
      <c r="J18" s="1088">
        <v>205</v>
      </c>
      <c r="K18" s="1088"/>
      <c r="L18" s="1090">
        <v>534</v>
      </c>
      <c r="M18" s="1088">
        <v>534</v>
      </c>
      <c r="N18" s="1088"/>
      <c r="O18" s="1088"/>
      <c r="P18" s="1090">
        <f t="shared" si="1"/>
        <v>534</v>
      </c>
      <c r="Q18" s="1099">
        <v>3745</v>
      </c>
      <c r="R18" s="1091">
        <f t="shared" si="2"/>
        <v>1999830</v>
      </c>
      <c r="S18" s="1091">
        <f t="shared" si="3"/>
        <v>56867.20379146919</v>
      </c>
      <c r="T18" s="1091">
        <f t="shared" si="4"/>
        <v>1942962.7962085309</v>
      </c>
    </row>
    <row r="19" spans="1:20" ht="60">
      <c r="A19" s="1088">
        <v>17</v>
      </c>
      <c r="B19" s="1157" t="s">
        <v>1216</v>
      </c>
      <c r="C19" s="1162" t="s">
        <v>1217</v>
      </c>
      <c r="D19" s="1157" t="s">
        <v>1218</v>
      </c>
      <c r="E19" s="1090"/>
      <c r="F19" s="1088"/>
      <c r="G19" s="1088"/>
      <c r="H19" s="1088"/>
      <c r="I19" s="1088">
        <v>6</v>
      </c>
      <c r="J19" s="1088">
        <v>205</v>
      </c>
      <c r="K19" s="1088"/>
      <c r="L19" s="1102">
        <v>750</v>
      </c>
      <c r="M19" s="1102">
        <v>750</v>
      </c>
      <c r="N19" s="1088"/>
      <c r="O19" s="1088"/>
      <c r="P19" s="1090">
        <f t="shared" si="1"/>
        <v>750</v>
      </c>
      <c r="Q19" s="1099">
        <v>299.60000000000002</v>
      </c>
      <c r="R19" s="1091">
        <f t="shared" si="2"/>
        <v>224700.00000000003</v>
      </c>
      <c r="S19" s="1091">
        <f t="shared" si="3"/>
        <v>6389.5734597156406</v>
      </c>
      <c r="T19" s="1091">
        <f t="shared" si="4"/>
        <v>218310.42654028439</v>
      </c>
    </row>
    <row r="20" spans="1:20">
      <c r="A20" s="1088">
        <v>20</v>
      </c>
      <c r="B20" s="1166" t="s">
        <v>1219</v>
      </c>
      <c r="C20" s="1089"/>
      <c r="D20" s="1102" t="s">
        <v>1203</v>
      </c>
      <c r="E20" s="1090"/>
      <c r="F20" s="1088"/>
      <c r="G20" s="1088"/>
      <c r="H20" s="1088"/>
      <c r="I20" s="1088"/>
      <c r="J20" s="1088"/>
      <c r="K20" s="1088"/>
      <c r="L20" s="1102"/>
      <c r="M20" s="1102"/>
      <c r="N20" s="1088"/>
      <c r="O20" s="1088"/>
      <c r="P20" s="1090"/>
      <c r="Q20" s="1099"/>
      <c r="R20" s="1091"/>
      <c r="S20" s="1091"/>
      <c r="T20" s="1091"/>
    </row>
    <row r="21" spans="1:20">
      <c r="A21" s="1088"/>
      <c r="B21" s="1159" t="s">
        <v>1220</v>
      </c>
      <c r="C21" s="1159" t="s">
        <v>1221</v>
      </c>
      <c r="D21" s="1157" t="s">
        <v>1022</v>
      </c>
      <c r="E21" s="1090"/>
      <c r="F21" s="1088"/>
      <c r="G21" s="1088"/>
      <c r="H21" s="1088"/>
      <c r="I21" s="1088"/>
      <c r="J21" s="1088"/>
      <c r="K21" s="1088"/>
      <c r="L21" s="1101"/>
      <c r="M21" s="1101"/>
      <c r="N21" s="1088"/>
      <c r="O21" s="1088"/>
      <c r="P21" s="1090"/>
      <c r="Q21" s="1099"/>
      <c r="R21" s="1142"/>
      <c r="S21" s="1091"/>
      <c r="T21" s="1091"/>
    </row>
    <row r="22" spans="1:20">
      <c r="A22" s="1088">
        <v>19</v>
      </c>
      <c r="B22" s="1166" t="s">
        <v>1222</v>
      </c>
      <c r="C22" s="1089"/>
      <c r="D22" s="1102" t="s">
        <v>1203</v>
      </c>
      <c r="E22" s="1090"/>
      <c r="F22" s="1088"/>
      <c r="G22" s="1088"/>
      <c r="H22" s="1088"/>
      <c r="I22" s="1088"/>
      <c r="J22" s="1088"/>
      <c r="K22" s="1088"/>
      <c r="L22" s="1102"/>
      <c r="M22" s="1102"/>
      <c r="N22" s="1088"/>
      <c r="O22" s="1088"/>
      <c r="P22" s="1090"/>
      <c r="Q22" s="1099"/>
      <c r="R22" s="1091"/>
      <c r="S22" s="1091"/>
      <c r="T22" s="1091"/>
    </row>
    <row r="23" spans="1:20" ht="45">
      <c r="A23" s="1088">
        <v>6</v>
      </c>
      <c r="B23" s="1160" t="s">
        <v>3715</v>
      </c>
      <c r="C23" s="1161" t="s">
        <v>1224</v>
      </c>
      <c r="D23" s="1088" t="s">
        <v>1022</v>
      </c>
      <c r="E23" s="1090">
        <f>F23+G23</f>
        <v>0</v>
      </c>
      <c r="F23" s="1088"/>
      <c r="G23" s="1088"/>
      <c r="H23" s="1088"/>
      <c r="I23" s="1088">
        <v>6</v>
      </c>
      <c r="J23" s="1088">
        <v>205</v>
      </c>
      <c r="K23" s="1088"/>
      <c r="L23" s="1090">
        <v>1122</v>
      </c>
      <c r="M23" s="1088">
        <v>635</v>
      </c>
      <c r="N23" s="1088"/>
      <c r="O23" s="1088"/>
      <c r="P23" s="1090">
        <f>L23-O23</f>
        <v>1122</v>
      </c>
      <c r="Q23" s="1099">
        <v>1605</v>
      </c>
      <c r="R23" s="1091">
        <f>P23*Q23</f>
        <v>1800810</v>
      </c>
      <c r="S23" s="1091">
        <f>R23*(I23/(I23+J23+K23))</f>
        <v>51207.867298578196</v>
      </c>
      <c r="T23" s="1091">
        <f>R23-S23</f>
        <v>1749602.1327014219</v>
      </c>
    </row>
    <row r="24" spans="1:20" ht="60">
      <c r="A24" s="1088">
        <v>18</v>
      </c>
      <c r="B24" s="1157" t="s">
        <v>1225</v>
      </c>
      <c r="C24" s="1162" t="s">
        <v>1226</v>
      </c>
      <c r="D24" s="1157" t="s">
        <v>1022</v>
      </c>
      <c r="E24" s="1090"/>
      <c r="F24" s="1088"/>
      <c r="G24" s="1088"/>
      <c r="H24" s="1088"/>
      <c r="I24" s="1088">
        <v>6</v>
      </c>
      <c r="J24" s="1088">
        <v>205</v>
      </c>
      <c r="K24" s="1088"/>
      <c r="L24" s="1102">
        <v>500</v>
      </c>
      <c r="M24" s="1102">
        <v>500</v>
      </c>
      <c r="N24" s="1088"/>
      <c r="O24" s="1088"/>
      <c r="P24" s="1090">
        <f>L24-O24</f>
        <v>500</v>
      </c>
      <c r="Q24" s="1099">
        <v>160.5</v>
      </c>
      <c r="R24" s="1091">
        <f>P24*Q24</f>
        <v>80250</v>
      </c>
      <c r="S24" s="1091">
        <f>R24*(I24/(I24+J24+K24))</f>
        <v>2281.990521327014</v>
      </c>
      <c r="T24" s="1091">
        <f>R24-S24</f>
        <v>77968.00947867299</v>
      </c>
    </row>
    <row r="25" spans="1:20" ht="75">
      <c r="A25" s="1088">
        <v>5</v>
      </c>
      <c r="B25" s="1160" t="s">
        <v>1227</v>
      </c>
      <c r="C25" s="1188" t="s">
        <v>1228</v>
      </c>
      <c r="D25" s="1088" t="s">
        <v>1022</v>
      </c>
      <c r="E25" s="1090">
        <f>F25+G25</f>
        <v>0</v>
      </c>
      <c r="F25" s="1088"/>
      <c r="G25" s="1088"/>
      <c r="H25" s="1088"/>
      <c r="I25" s="1088">
        <v>6</v>
      </c>
      <c r="J25" s="1088">
        <v>205</v>
      </c>
      <c r="K25" s="1088"/>
      <c r="L25" s="1090">
        <v>635</v>
      </c>
      <c r="M25" s="1088">
        <v>962</v>
      </c>
      <c r="N25" s="1088"/>
      <c r="O25" s="1088"/>
      <c r="P25" s="1090">
        <f>L25-O25</f>
        <v>635</v>
      </c>
      <c r="Q25" s="1099">
        <v>80.25</v>
      </c>
      <c r="R25" s="1091">
        <f>P25*Q25</f>
        <v>50958.75</v>
      </c>
      <c r="S25" s="1091">
        <f>R25*(I25/(I25+J25+K25))</f>
        <v>1449.0639810426539</v>
      </c>
      <c r="T25" s="1091">
        <f>R25-S25</f>
        <v>49509.686018957349</v>
      </c>
    </row>
    <row r="26" spans="1:20" ht="30">
      <c r="A26" s="1088">
        <v>15</v>
      </c>
      <c r="B26" s="1167" t="s">
        <v>1229</v>
      </c>
      <c r="C26" s="1092"/>
      <c r="D26" s="1088" t="s">
        <v>1022</v>
      </c>
      <c r="E26" s="1090"/>
      <c r="F26" s="1088"/>
      <c r="G26" s="1088"/>
      <c r="H26" s="1088"/>
      <c r="I26" s="1088"/>
      <c r="J26" s="1088"/>
      <c r="K26" s="1088"/>
      <c r="L26" s="1090"/>
      <c r="M26" s="1090"/>
      <c r="N26" s="1088"/>
      <c r="O26" s="1088"/>
      <c r="P26" s="1090"/>
      <c r="Q26" s="1099"/>
      <c r="R26" s="1091"/>
      <c r="S26" s="1091"/>
      <c r="T26" s="1091"/>
    </row>
    <row r="27" spans="1:20" ht="30">
      <c r="A27" s="1088">
        <v>23</v>
      </c>
      <c r="B27" s="1098" t="s">
        <v>3716</v>
      </c>
      <c r="C27" s="1092"/>
      <c r="D27" s="1104" t="s">
        <v>1203</v>
      </c>
      <c r="E27" s="1090"/>
      <c r="F27" s="1088"/>
      <c r="G27" s="1088"/>
      <c r="H27" s="1088"/>
      <c r="I27" s="1088">
        <v>6</v>
      </c>
      <c r="J27" s="1088">
        <v>205</v>
      </c>
      <c r="K27" s="1088"/>
      <c r="L27" s="1101">
        <v>120</v>
      </c>
      <c r="M27" s="1101">
        <v>120</v>
      </c>
      <c r="N27" s="1088"/>
      <c r="O27" s="1088"/>
      <c r="P27" s="1090">
        <f>L27-O27</f>
        <v>120</v>
      </c>
      <c r="Q27" s="1099">
        <v>924.48</v>
      </c>
      <c r="R27" s="1091">
        <f>P27*Q27</f>
        <v>110937.60000000001</v>
      </c>
      <c r="S27" s="1091">
        <f>R27*(I27/(I27+J27+K27))</f>
        <v>3154.6236966824645</v>
      </c>
      <c r="T27" s="1091">
        <f>R27-S27</f>
        <v>107782.97630331754</v>
      </c>
    </row>
    <row r="28" spans="1:20">
      <c r="A28" s="1088">
        <v>7</v>
      </c>
      <c r="B28" s="1157" t="s">
        <v>1231</v>
      </c>
      <c r="C28" s="1158" t="s">
        <v>1232</v>
      </c>
      <c r="D28" s="1164" t="s">
        <v>1022</v>
      </c>
      <c r="E28" s="1090">
        <f>F28+G28</f>
        <v>0</v>
      </c>
      <c r="F28" s="1088"/>
      <c r="G28" s="1088"/>
      <c r="H28" s="1088"/>
      <c r="I28" s="1088">
        <v>6</v>
      </c>
      <c r="J28" s="1088">
        <v>205</v>
      </c>
      <c r="K28" s="1088"/>
      <c r="L28" s="1090">
        <v>124</v>
      </c>
      <c r="M28" s="1088">
        <v>1122</v>
      </c>
      <c r="N28" s="1088"/>
      <c r="O28" s="1088"/>
      <c r="P28" s="1090">
        <f>L28-O28</f>
        <v>124</v>
      </c>
      <c r="Q28" s="1099">
        <v>4487.58</v>
      </c>
      <c r="R28" s="1091">
        <f>P28*Q28</f>
        <v>556459.92000000004</v>
      </c>
      <c r="S28" s="1091">
        <f>R28*(I28/(I28+J28+K28))</f>
        <v>15823.504834123223</v>
      </c>
      <c r="T28" s="1091">
        <f>R28-S28</f>
        <v>540636.41516587685</v>
      </c>
    </row>
    <row r="29" spans="1:20" ht="30">
      <c r="A29" s="1088"/>
      <c r="B29" s="1159" t="s">
        <v>1233</v>
      </c>
      <c r="C29" s="1165" t="s">
        <v>1234</v>
      </c>
      <c r="D29" s="1157" t="s">
        <v>1022</v>
      </c>
      <c r="E29" s="1090"/>
      <c r="F29" s="1088"/>
      <c r="G29" s="1088"/>
      <c r="H29" s="1088"/>
      <c r="I29" s="1088"/>
      <c r="J29" s="1088"/>
      <c r="K29" s="1088"/>
      <c r="L29" s="1101"/>
      <c r="M29" s="1101"/>
      <c r="N29" s="1088"/>
      <c r="O29" s="1088"/>
      <c r="P29" s="1090"/>
      <c r="Q29" s="1099"/>
      <c r="R29" s="1142"/>
      <c r="S29" s="1091"/>
      <c r="T29" s="1091"/>
    </row>
    <row r="30" spans="1:20" ht="30">
      <c r="A30" s="1088">
        <v>9</v>
      </c>
      <c r="B30" s="1166" t="s">
        <v>3717</v>
      </c>
      <c r="C30" s="1202" t="s">
        <v>1236</v>
      </c>
      <c r="D30" s="1088" t="s">
        <v>1022</v>
      </c>
      <c r="E30" s="1090">
        <f>F30+G30</f>
        <v>0</v>
      </c>
      <c r="F30" s="1088"/>
      <c r="G30" s="1088"/>
      <c r="H30" s="1088"/>
      <c r="I30" s="1088">
        <v>6</v>
      </c>
      <c r="J30" s="1088">
        <v>205</v>
      </c>
      <c r="K30" s="1088"/>
      <c r="L30" s="1090">
        <v>317</v>
      </c>
      <c r="M30" s="1090">
        <v>317</v>
      </c>
      <c r="N30" s="1088"/>
      <c r="O30" s="1088"/>
      <c r="P30" s="1090">
        <f>L30-O30</f>
        <v>317</v>
      </c>
      <c r="Q30" s="1099">
        <v>160.5</v>
      </c>
      <c r="R30" s="1091">
        <f>P30*Q30</f>
        <v>50878.5</v>
      </c>
      <c r="S30" s="1091">
        <f>R30*(I30/(I30+J30+K30))</f>
        <v>1446.7819905213269</v>
      </c>
      <c r="T30" s="1091">
        <f>R30-S30</f>
        <v>49431.718009478675</v>
      </c>
    </row>
    <row r="31" spans="1:20">
      <c r="A31" s="1088">
        <v>8</v>
      </c>
      <c r="B31" s="1157" t="s">
        <v>1237</v>
      </c>
      <c r="C31" s="1158" t="s">
        <v>1238</v>
      </c>
      <c r="D31" s="1164" t="s">
        <v>1119</v>
      </c>
      <c r="E31" s="1090">
        <f>F31+G31</f>
        <v>0</v>
      </c>
      <c r="F31" s="1088"/>
      <c r="G31" s="1088"/>
      <c r="H31" s="1088"/>
      <c r="I31" s="1088">
        <v>6</v>
      </c>
      <c r="J31" s="1088">
        <v>205</v>
      </c>
      <c r="K31" s="1088"/>
      <c r="L31" s="1090">
        <v>24</v>
      </c>
      <c r="M31" s="1090">
        <v>24</v>
      </c>
      <c r="N31" s="1088"/>
      <c r="O31" s="1088"/>
      <c r="P31" s="1090">
        <f>L31-O31</f>
        <v>24</v>
      </c>
      <c r="Q31" s="1099">
        <v>107</v>
      </c>
      <c r="R31" s="1091">
        <f>P31*Q31</f>
        <v>2568</v>
      </c>
      <c r="S31" s="1091">
        <f>R31*(I31/(I31+J31+K31))</f>
        <v>73.023696682464447</v>
      </c>
      <c r="T31" s="1091">
        <f>R31-S31</f>
        <v>2494.9763033175354</v>
      </c>
    </row>
    <row r="32" spans="1:20" ht="30">
      <c r="A32" s="1088">
        <v>2</v>
      </c>
      <c r="B32" s="1157" t="s">
        <v>1239</v>
      </c>
      <c r="C32" s="1188" t="s">
        <v>1240</v>
      </c>
      <c r="D32" s="1088" t="s">
        <v>1119</v>
      </c>
      <c r="E32" s="1090">
        <f>F32+G32</f>
        <v>0</v>
      </c>
      <c r="F32" s="1088"/>
      <c r="G32" s="1088"/>
      <c r="H32" s="1088"/>
      <c r="I32" s="1088">
        <v>6</v>
      </c>
      <c r="J32" s="1088">
        <v>205</v>
      </c>
      <c r="K32" s="1088"/>
      <c r="L32" s="1090">
        <v>14485</v>
      </c>
      <c r="M32" s="1101">
        <v>534</v>
      </c>
      <c r="N32" s="1088"/>
      <c r="O32" s="1088"/>
      <c r="P32" s="1090">
        <f>L32-O32</f>
        <v>14485</v>
      </c>
      <c r="Q32" s="1099">
        <v>478.29</v>
      </c>
      <c r="R32" s="1091">
        <f>P32*Q32</f>
        <v>6928030.6500000004</v>
      </c>
      <c r="S32" s="1091">
        <f>R32*(I32/(I32+J32+K32))</f>
        <v>197005.61090047393</v>
      </c>
      <c r="T32" s="1091">
        <f>R32-S32</f>
        <v>6731025.0390995266</v>
      </c>
    </row>
    <row r="33" spans="1:20" ht="60">
      <c r="A33" s="1088"/>
      <c r="B33" s="1157" t="s">
        <v>1239</v>
      </c>
      <c r="C33" s="1158" t="s">
        <v>3718</v>
      </c>
      <c r="D33" s="1088" t="s">
        <v>1022</v>
      </c>
      <c r="E33" s="1090"/>
      <c r="F33" s="1088"/>
      <c r="G33" s="1088"/>
      <c r="H33" s="1088"/>
      <c r="I33" s="1088"/>
      <c r="J33" s="1088"/>
      <c r="K33" s="1088"/>
      <c r="L33" s="1090"/>
      <c r="M33" s="1101"/>
      <c r="N33" s="1088"/>
      <c r="O33" s="1088"/>
      <c r="P33" s="1090"/>
      <c r="Q33" s="1099"/>
      <c r="R33" s="1091"/>
      <c r="S33" s="1091"/>
      <c r="T33" s="1091"/>
    </row>
    <row r="34" spans="1:20" ht="45">
      <c r="A34" s="1088">
        <v>10</v>
      </c>
      <c r="B34" s="1157" t="s">
        <v>1244</v>
      </c>
      <c r="C34" s="1158" t="s">
        <v>1245</v>
      </c>
      <c r="D34" s="1164" t="s">
        <v>1119</v>
      </c>
      <c r="E34" s="1090">
        <f>F34+G34</f>
        <v>0</v>
      </c>
      <c r="F34" s="1088"/>
      <c r="G34" s="1088"/>
      <c r="H34" s="1088"/>
      <c r="I34" s="1088">
        <v>6</v>
      </c>
      <c r="J34" s="1088">
        <v>205</v>
      </c>
      <c r="K34" s="1088"/>
      <c r="L34" s="1090">
        <v>54</v>
      </c>
      <c r="M34" s="1090">
        <v>54</v>
      </c>
      <c r="N34" s="1088"/>
      <c r="O34" s="1088"/>
      <c r="P34" s="1090">
        <f>L34-O34</f>
        <v>54</v>
      </c>
      <c r="Q34" s="1099">
        <v>1261.53</v>
      </c>
      <c r="R34" s="1091">
        <f>P34*Q34</f>
        <v>68122.62</v>
      </c>
      <c r="S34" s="1091">
        <f>R34*(I34/(I34+J34+K34))</f>
        <v>1937.1361137440756</v>
      </c>
      <c r="T34" s="1091">
        <f>R34-S34</f>
        <v>66185.483886255926</v>
      </c>
    </row>
    <row r="35" spans="1:20" ht="30">
      <c r="A35" s="1088"/>
      <c r="B35" s="1167" t="s">
        <v>3719</v>
      </c>
      <c r="C35" s="1203" t="s">
        <v>3720</v>
      </c>
      <c r="D35" s="1104" t="s">
        <v>1022</v>
      </c>
      <c r="E35" s="1090"/>
      <c r="F35" s="1088"/>
      <c r="G35" s="1088"/>
      <c r="H35" s="1088"/>
      <c r="I35" s="1088">
        <v>6</v>
      </c>
      <c r="J35" s="1088">
        <v>205</v>
      </c>
      <c r="K35" s="1088"/>
      <c r="L35" s="1101">
        <v>66</v>
      </c>
      <c r="M35" s="1101">
        <v>66</v>
      </c>
      <c r="N35" s="1088"/>
      <c r="O35" s="1088"/>
      <c r="P35" s="1090">
        <f>L35-O35</f>
        <v>66</v>
      </c>
      <c r="Q35" s="1099">
        <v>16500</v>
      </c>
      <c r="R35" s="1142">
        <f>P35*Q35</f>
        <v>1089000</v>
      </c>
      <c r="S35" s="1091">
        <f>R35*(I35/(I35+J35+K35))</f>
        <v>30966.824644549761</v>
      </c>
      <c r="T35" s="1091">
        <f>R35-S35</f>
        <v>1058033.1753554503</v>
      </c>
    </row>
    <row r="36" spans="1:20">
      <c r="A36" s="1088"/>
      <c r="B36" s="1167"/>
      <c r="C36" s="1165"/>
      <c r="D36" s="1157"/>
      <c r="E36" s="1090"/>
      <c r="F36" s="1088"/>
      <c r="G36" s="1088"/>
      <c r="H36" s="1088"/>
      <c r="I36" s="1088"/>
      <c r="J36" s="1088"/>
      <c r="K36" s="1088"/>
      <c r="L36" s="1101"/>
      <c r="M36" s="1101"/>
      <c r="N36" s="1088"/>
      <c r="O36" s="1088"/>
      <c r="P36" s="1090"/>
      <c r="Q36" s="1099"/>
      <c r="R36" s="1142"/>
      <c r="S36" s="1091"/>
      <c r="T36" s="1091"/>
    </row>
    <row r="37" spans="1:20" ht="30">
      <c r="A37" s="1088"/>
      <c r="B37" s="1159" t="s">
        <v>1247</v>
      </c>
      <c r="C37" s="1165" t="s">
        <v>1248</v>
      </c>
      <c r="D37" s="1157" t="s">
        <v>1022</v>
      </c>
      <c r="E37" s="1090"/>
      <c r="F37" s="1088"/>
      <c r="G37" s="1088"/>
      <c r="H37" s="1088"/>
      <c r="I37" s="1088"/>
      <c r="J37" s="1088"/>
      <c r="K37" s="1088"/>
      <c r="L37" s="1101"/>
      <c r="M37" s="1101"/>
      <c r="N37" s="1088"/>
      <c r="O37" s="1088"/>
      <c r="P37" s="1090"/>
      <c r="Q37" s="1099"/>
      <c r="R37" s="1142"/>
      <c r="S37" s="1091"/>
      <c r="T37" s="1091"/>
    </row>
    <row r="38" spans="1:20" ht="75">
      <c r="A38" s="1088"/>
      <c r="B38" s="1159" t="s">
        <v>1249</v>
      </c>
      <c r="C38" s="1159" t="s">
        <v>1250</v>
      </c>
      <c r="D38" s="1157" t="s">
        <v>1022</v>
      </c>
      <c r="E38" s="1090"/>
      <c r="F38" s="1088"/>
      <c r="G38" s="1088"/>
      <c r="H38" s="1088"/>
      <c r="I38" s="1088"/>
      <c r="J38" s="1088"/>
      <c r="K38" s="1088"/>
      <c r="L38" s="1101"/>
      <c r="M38" s="1101"/>
      <c r="N38" s="1088"/>
      <c r="O38" s="1088"/>
      <c r="P38" s="1090"/>
      <c r="Q38" s="1099"/>
      <c r="R38" s="1142"/>
      <c r="S38" s="1091"/>
      <c r="T38" s="1091"/>
    </row>
    <row r="39" spans="1:20" ht="60">
      <c r="A39" s="1088">
        <v>4</v>
      </c>
      <c r="B39" s="1157" t="s">
        <v>1251</v>
      </c>
      <c r="C39" s="1158" t="s">
        <v>1252</v>
      </c>
      <c r="D39" s="1088" t="s">
        <v>1022</v>
      </c>
      <c r="E39" s="1090">
        <f>F39+G39</f>
        <v>0</v>
      </c>
      <c r="F39" s="1088"/>
      <c r="G39" s="1088"/>
      <c r="H39" s="1088"/>
      <c r="I39" s="1088">
        <v>6</v>
      </c>
      <c r="J39" s="1088">
        <v>205</v>
      </c>
      <c r="K39" s="1088"/>
      <c r="L39" s="1090">
        <v>962</v>
      </c>
      <c r="M39" s="1088">
        <v>965</v>
      </c>
      <c r="N39" s="1088"/>
      <c r="O39" s="1088"/>
      <c r="P39" s="1090">
        <f>L39-O39</f>
        <v>962</v>
      </c>
      <c r="Q39" s="1099">
        <v>250.38000000000002</v>
      </c>
      <c r="R39" s="1091">
        <f>P39*Q39</f>
        <v>240865.56000000003</v>
      </c>
      <c r="S39" s="1091">
        <f>R39*(I39/(I39+J39+K39))</f>
        <v>6849.2576303317537</v>
      </c>
      <c r="T39" s="1091">
        <f>R39-S39</f>
        <v>234016.30236966826</v>
      </c>
    </row>
    <row r="40" spans="1:20" ht="45">
      <c r="A40" s="1088">
        <v>11</v>
      </c>
      <c r="B40" s="1163" t="s">
        <v>1253</v>
      </c>
      <c r="C40" s="1158" t="s">
        <v>1254</v>
      </c>
      <c r="D40" s="1164" t="s">
        <v>1022</v>
      </c>
      <c r="E40" s="1090">
        <f>F40+G40</f>
        <v>0</v>
      </c>
      <c r="F40" s="1088"/>
      <c r="G40" s="1088"/>
      <c r="H40" s="1088"/>
      <c r="I40" s="1088">
        <v>6</v>
      </c>
      <c r="J40" s="1088">
        <v>205</v>
      </c>
      <c r="K40" s="1088"/>
      <c r="L40" s="1090">
        <v>1940</v>
      </c>
      <c r="M40" s="1090">
        <v>1940</v>
      </c>
      <c r="N40" s="1088"/>
      <c r="O40" s="1088"/>
      <c r="P40" s="1090">
        <f>L40-O40</f>
        <v>1940</v>
      </c>
      <c r="Q40" s="1099">
        <v>592.78000000000009</v>
      </c>
      <c r="R40" s="1091">
        <f>P40*Q40</f>
        <v>1149993.2000000002</v>
      </c>
      <c r="S40" s="1091">
        <f>R40*(I40/(I40+J40+K40))</f>
        <v>32701.228436018962</v>
      </c>
      <c r="T40" s="1091">
        <f>R40-S40</f>
        <v>1117291.9715639811</v>
      </c>
    </row>
    <row r="41" spans="1:20" ht="30">
      <c r="A41" s="1088">
        <v>3</v>
      </c>
      <c r="B41" s="1160" t="s">
        <v>1255</v>
      </c>
      <c r="C41" s="1188" t="s">
        <v>1256</v>
      </c>
      <c r="D41" s="1088" t="s">
        <v>1022</v>
      </c>
      <c r="E41" s="1090">
        <f>F41+G41</f>
        <v>0</v>
      </c>
      <c r="F41" s="1088"/>
      <c r="G41" s="1088"/>
      <c r="H41" s="1088"/>
      <c r="I41" s="1088">
        <v>6</v>
      </c>
      <c r="J41" s="1088">
        <v>205</v>
      </c>
      <c r="K41" s="1088"/>
      <c r="L41" s="1090">
        <v>965</v>
      </c>
      <c r="M41" s="1088">
        <v>14485</v>
      </c>
      <c r="N41" s="1088"/>
      <c r="O41" s="1088"/>
      <c r="P41" s="1090">
        <f>L41-O41</f>
        <v>965</v>
      </c>
      <c r="Q41" s="1099">
        <v>671.96</v>
      </c>
      <c r="R41" s="1091">
        <f>P41*Q41</f>
        <v>648441.4</v>
      </c>
      <c r="S41" s="1091">
        <f>R41*(I41/(I41+J41+K41))</f>
        <v>18439.091943127962</v>
      </c>
      <c r="T41" s="1091">
        <f>R41-S41</f>
        <v>630002.30805687211</v>
      </c>
    </row>
    <row r="42" spans="1:20" ht="30">
      <c r="A42" s="1088">
        <v>16</v>
      </c>
      <c r="B42" s="1168" t="s">
        <v>1257</v>
      </c>
      <c r="C42" s="1092"/>
      <c r="D42" s="1186"/>
      <c r="E42" s="1186"/>
      <c r="F42" s="1186"/>
      <c r="G42" s="1186"/>
      <c r="H42" s="1186"/>
      <c r="I42" s="1186"/>
      <c r="J42" s="1186"/>
      <c r="K42" s="1186"/>
      <c r="L42" s="1186"/>
      <c r="M42" s="1186"/>
      <c r="N42" s="1186"/>
      <c r="O42" s="1186"/>
      <c r="P42" s="1186"/>
      <c r="Q42" s="1186"/>
      <c r="R42" s="1186"/>
      <c r="S42" s="1186"/>
      <c r="T42" s="1186"/>
    </row>
    <row r="43" spans="1:20" ht="30">
      <c r="A43" s="1088">
        <v>21</v>
      </c>
      <c r="B43" s="1157" t="s">
        <v>1258</v>
      </c>
      <c r="C43" s="1158" t="s">
        <v>1259</v>
      </c>
      <c r="D43" s="1157" t="s">
        <v>1203</v>
      </c>
      <c r="E43" s="1090"/>
      <c r="F43" s="1088"/>
      <c r="G43" s="1088"/>
      <c r="H43" s="1088"/>
      <c r="I43" s="1088">
        <v>6</v>
      </c>
      <c r="J43" s="1088">
        <v>205</v>
      </c>
      <c r="K43" s="1088"/>
      <c r="L43" s="1102">
        <v>1250</v>
      </c>
      <c r="M43" s="1102">
        <v>1250</v>
      </c>
      <c r="N43" s="1088"/>
      <c r="O43" s="1088"/>
      <c r="P43" s="1090">
        <f>L43-O43</f>
        <v>1250</v>
      </c>
      <c r="Q43" s="1099">
        <v>556.4</v>
      </c>
      <c r="R43" s="1091">
        <f>P43*Q43</f>
        <v>695500</v>
      </c>
      <c r="S43" s="1091">
        <f>R43*(I43/(I43+J43+K43))</f>
        <v>19777.251184834124</v>
      </c>
      <c r="T43" s="1091">
        <f>R43-S43</f>
        <v>675722.74881516583</v>
      </c>
    </row>
    <row r="44" spans="1:20">
      <c r="A44" s="1088"/>
      <c r="B44" s="1167"/>
      <c r="C44" s="1165"/>
      <c r="D44" s="1157"/>
      <c r="E44" s="1090"/>
      <c r="F44" s="1088"/>
      <c r="G44" s="1088"/>
      <c r="H44" s="1088"/>
      <c r="I44" s="1088"/>
      <c r="J44" s="1088"/>
      <c r="K44" s="1088"/>
      <c r="L44" s="1101"/>
      <c r="M44" s="1101"/>
      <c r="N44" s="1088"/>
      <c r="O44" s="1088"/>
      <c r="P44" s="1090"/>
      <c r="Q44" s="1099"/>
      <c r="R44" s="1142"/>
      <c r="S44" s="1091"/>
      <c r="T44" s="1091"/>
    </row>
    <row r="45" spans="1:20">
      <c r="A45" s="1088"/>
      <c r="B45" s="1140" t="s">
        <v>1260</v>
      </c>
      <c r="C45" s="1092"/>
      <c r="D45" s="1104"/>
      <c r="E45" s="1090"/>
      <c r="F45" s="1088"/>
      <c r="G45" s="1088"/>
      <c r="H45" s="1088"/>
      <c r="I45" s="1088"/>
      <c r="J45" s="1088"/>
      <c r="K45" s="1088"/>
      <c r="L45" s="1101"/>
      <c r="M45" s="1101"/>
      <c r="N45" s="1088"/>
      <c r="O45" s="1088"/>
      <c r="P45" s="1090"/>
      <c r="Q45" s="1099"/>
      <c r="R45" s="1143">
        <f>SUM(R46:R345)</f>
        <v>38853876.350000001</v>
      </c>
      <c r="S45" s="1143">
        <f>SUM(S46:S345)</f>
        <v>1104849.5644549765</v>
      </c>
      <c r="T45" s="1143">
        <f>SUM(T46:T345)</f>
        <v>37749026.785545029</v>
      </c>
    </row>
    <row r="46" spans="1:20" ht="30">
      <c r="A46" s="1088">
        <v>264</v>
      </c>
      <c r="B46" s="1170" t="s">
        <v>1261</v>
      </c>
      <c r="C46" s="1190" t="s">
        <v>1262</v>
      </c>
      <c r="D46" s="1114" t="s">
        <v>1022</v>
      </c>
      <c r="E46" s="1090"/>
      <c r="F46" s="1090"/>
      <c r="G46" s="1090"/>
      <c r="H46" s="1090"/>
      <c r="I46" s="1088">
        <v>6</v>
      </c>
      <c r="J46" s="1088">
        <v>205</v>
      </c>
      <c r="K46" s="1090"/>
      <c r="L46" s="1114">
        <v>4199</v>
      </c>
      <c r="M46" s="1114">
        <v>4199</v>
      </c>
      <c r="N46" s="1090"/>
      <c r="O46" s="1090"/>
      <c r="P46" s="1090">
        <f t="shared" ref="P46:P79" si="5">L46-O46</f>
        <v>4199</v>
      </c>
      <c r="Q46" s="1090">
        <v>430</v>
      </c>
      <c r="R46" s="1091">
        <f t="shared" ref="R46:R79" si="6">P46*Q46</f>
        <v>1805570</v>
      </c>
      <c r="S46" s="1091">
        <f t="shared" ref="S46:S79" si="7">R46*(I46/(I46+J46+K46))</f>
        <v>51343.222748815162</v>
      </c>
      <c r="T46" s="1091">
        <f t="shared" ref="T46:T79" si="8">R46-S46</f>
        <v>1754226.7772511849</v>
      </c>
    </row>
    <row r="47" spans="1:20" ht="30">
      <c r="A47" s="1088">
        <v>286</v>
      </c>
      <c r="B47" s="1106" t="s">
        <v>1264</v>
      </c>
      <c r="C47" s="1189" t="s">
        <v>1265</v>
      </c>
      <c r="D47" s="1106" t="s">
        <v>1022</v>
      </c>
      <c r="E47" s="1090"/>
      <c r="F47" s="1090"/>
      <c r="G47" s="1090"/>
      <c r="H47" s="1090"/>
      <c r="I47" s="1088">
        <v>6</v>
      </c>
      <c r="J47" s="1088">
        <v>205</v>
      </c>
      <c r="K47" s="1090"/>
      <c r="L47" s="1109">
        <v>3</v>
      </c>
      <c r="M47" s="1109">
        <v>3</v>
      </c>
      <c r="N47" s="1090"/>
      <c r="O47" s="1090"/>
      <c r="P47" s="1090">
        <f t="shared" si="5"/>
        <v>3</v>
      </c>
      <c r="Q47" s="1090">
        <v>49000</v>
      </c>
      <c r="R47" s="1091">
        <f t="shared" si="6"/>
        <v>147000</v>
      </c>
      <c r="S47" s="1091">
        <f t="shared" si="7"/>
        <v>4180.0947867298573</v>
      </c>
      <c r="T47" s="1091">
        <f t="shared" si="8"/>
        <v>142819.90521327013</v>
      </c>
    </row>
    <row r="48" spans="1:20" ht="30">
      <c r="A48" s="1088">
        <v>38</v>
      </c>
      <c r="B48" s="1106" t="s">
        <v>1266</v>
      </c>
      <c r="C48" s="1092" t="s">
        <v>1267</v>
      </c>
      <c r="D48" s="1107" t="s">
        <v>1268</v>
      </c>
      <c r="E48" s="1090"/>
      <c r="F48" s="1088"/>
      <c r="G48" s="1088"/>
      <c r="H48" s="1088"/>
      <c r="I48" s="1088">
        <v>6</v>
      </c>
      <c r="J48" s="1088">
        <v>205</v>
      </c>
      <c r="K48" s="1088"/>
      <c r="L48" s="1108">
        <v>3</v>
      </c>
      <c r="M48" s="1108">
        <v>3</v>
      </c>
      <c r="N48" s="1088"/>
      <c r="O48" s="1088"/>
      <c r="P48" s="1090">
        <f t="shared" si="5"/>
        <v>3</v>
      </c>
      <c r="Q48" s="1099">
        <v>14000</v>
      </c>
      <c r="R48" s="1091">
        <f t="shared" si="6"/>
        <v>42000</v>
      </c>
      <c r="S48" s="1091">
        <f t="shared" si="7"/>
        <v>1194.3127962085307</v>
      </c>
      <c r="T48" s="1091">
        <f t="shared" si="8"/>
        <v>40805.687203791473</v>
      </c>
    </row>
    <row r="49" spans="1:20" ht="30">
      <c r="A49" s="1088">
        <v>39</v>
      </c>
      <c r="B49" s="1106" t="s">
        <v>1266</v>
      </c>
      <c r="C49" s="1092" t="s">
        <v>1269</v>
      </c>
      <c r="D49" s="1107" t="s">
        <v>1268</v>
      </c>
      <c r="E49" s="1090"/>
      <c r="F49" s="1088"/>
      <c r="G49" s="1088"/>
      <c r="H49" s="1088"/>
      <c r="I49" s="1088">
        <v>6</v>
      </c>
      <c r="J49" s="1088">
        <v>205</v>
      </c>
      <c r="K49" s="1088"/>
      <c r="L49" s="1108">
        <v>4</v>
      </c>
      <c r="M49" s="1108">
        <v>4</v>
      </c>
      <c r="N49" s="1088"/>
      <c r="O49" s="1088"/>
      <c r="P49" s="1090">
        <f t="shared" si="5"/>
        <v>4</v>
      </c>
      <c r="Q49" s="1099">
        <v>12000</v>
      </c>
      <c r="R49" s="1091">
        <f t="shared" si="6"/>
        <v>48000</v>
      </c>
      <c r="S49" s="1091">
        <f t="shared" si="7"/>
        <v>1364.9289099526065</v>
      </c>
      <c r="T49" s="1091">
        <f t="shared" si="8"/>
        <v>46635.071090047393</v>
      </c>
    </row>
    <row r="50" spans="1:20" ht="30">
      <c r="A50" s="1088">
        <v>40</v>
      </c>
      <c r="B50" s="1106" t="s">
        <v>1266</v>
      </c>
      <c r="C50" s="1092" t="s">
        <v>1270</v>
      </c>
      <c r="D50" s="1107" t="s">
        <v>1268</v>
      </c>
      <c r="E50" s="1090"/>
      <c r="F50" s="1088"/>
      <c r="G50" s="1088"/>
      <c r="H50" s="1088"/>
      <c r="I50" s="1088">
        <v>6</v>
      </c>
      <c r="J50" s="1088">
        <v>205</v>
      </c>
      <c r="K50" s="1088"/>
      <c r="L50" s="1108">
        <v>3</v>
      </c>
      <c r="M50" s="1108">
        <v>3</v>
      </c>
      <c r="N50" s="1088"/>
      <c r="O50" s="1088"/>
      <c r="P50" s="1090">
        <f t="shared" si="5"/>
        <v>3</v>
      </c>
      <c r="Q50" s="1099">
        <v>11000</v>
      </c>
      <c r="R50" s="1091">
        <f t="shared" si="6"/>
        <v>33000</v>
      </c>
      <c r="S50" s="1091">
        <f t="shared" si="7"/>
        <v>938.38862559241704</v>
      </c>
      <c r="T50" s="1091">
        <f t="shared" si="8"/>
        <v>32061.611374407585</v>
      </c>
    </row>
    <row r="51" spans="1:20" ht="30">
      <c r="A51" s="1088">
        <v>41</v>
      </c>
      <c r="B51" s="1106" t="s">
        <v>1266</v>
      </c>
      <c r="C51" s="1092" t="s">
        <v>1271</v>
      </c>
      <c r="D51" s="1107" t="s">
        <v>1268</v>
      </c>
      <c r="E51" s="1090"/>
      <c r="F51" s="1088"/>
      <c r="G51" s="1088"/>
      <c r="H51" s="1088"/>
      <c r="I51" s="1088">
        <v>6</v>
      </c>
      <c r="J51" s="1088">
        <v>205</v>
      </c>
      <c r="K51" s="1088"/>
      <c r="L51" s="1108">
        <v>3</v>
      </c>
      <c r="M51" s="1108">
        <v>3</v>
      </c>
      <c r="N51" s="1088"/>
      <c r="O51" s="1088"/>
      <c r="P51" s="1090">
        <f t="shared" si="5"/>
        <v>3</v>
      </c>
      <c r="Q51" s="1099">
        <v>10000</v>
      </c>
      <c r="R51" s="1091">
        <f t="shared" si="6"/>
        <v>30000</v>
      </c>
      <c r="S51" s="1091">
        <f t="shared" si="7"/>
        <v>853.08056872037912</v>
      </c>
      <c r="T51" s="1091">
        <f t="shared" si="8"/>
        <v>29146.919431279621</v>
      </c>
    </row>
    <row r="52" spans="1:20" ht="30">
      <c r="A52" s="1088">
        <v>42</v>
      </c>
      <c r="B52" s="1106" t="s">
        <v>1266</v>
      </c>
      <c r="C52" s="1092" t="s">
        <v>1272</v>
      </c>
      <c r="D52" s="1107" t="s">
        <v>1268</v>
      </c>
      <c r="E52" s="1090"/>
      <c r="F52" s="1088"/>
      <c r="G52" s="1088"/>
      <c r="H52" s="1088"/>
      <c r="I52" s="1088">
        <v>6</v>
      </c>
      <c r="J52" s="1088">
        <v>205</v>
      </c>
      <c r="K52" s="1088"/>
      <c r="L52" s="1107">
        <v>25</v>
      </c>
      <c r="M52" s="1107">
        <v>25</v>
      </c>
      <c r="N52" s="1088"/>
      <c r="O52" s="1088"/>
      <c r="P52" s="1090">
        <f t="shared" si="5"/>
        <v>25</v>
      </c>
      <c r="Q52" s="1099">
        <v>1210</v>
      </c>
      <c r="R52" s="1091">
        <f t="shared" si="6"/>
        <v>30250</v>
      </c>
      <c r="S52" s="1091">
        <f t="shared" si="7"/>
        <v>860.18957345971558</v>
      </c>
      <c r="T52" s="1091">
        <f t="shared" si="8"/>
        <v>29389.810426540284</v>
      </c>
    </row>
    <row r="53" spans="1:20" ht="30">
      <c r="A53" s="1088">
        <v>43</v>
      </c>
      <c r="B53" s="1106" t="s">
        <v>1266</v>
      </c>
      <c r="C53" s="1092" t="s">
        <v>3721</v>
      </c>
      <c r="D53" s="1107" t="s">
        <v>1268</v>
      </c>
      <c r="E53" s="1090"/>
      <c r="F53" s="1088"/>
      <c r="G53" s="1088"/>
      <c r="H53" s="1088"/>
      <c r="I53" s="1088">
        <v>6</v>
      </c>
      <c r="J53" s="1088">
        <v>205</v>
      </c>
      <c r="K53" s="1088"/>
      <c r="L53" s="1107">
        <v>45</v>
      </c>
      <c r="M53" s="1107">
        <v>45</v>
      </c>
      <c r="N53" s="1088"/>
      <c r="O53" s="1088"/>
      <c r="P53" s="1090">
        <f t="shared" si="5"/>
        <v>45</v>
      </c>
      <c r="Q53" s="1099">
        <v>1210</v>
      </c>
      <c r="R53" s="1091">
        <f t="shared" si="6"/>
        <v>54450</v>
      </c>
      <c r="S53" s="1091">
        <f t="shared" si="7"/>
        <v>1548.341232227488</v>
      </c>
      <c r="T53" s="1091">
        <f t="shared" si="8"/>
        <v>52901.658767772511</v>
      </c>
    </row>
    <row r="54" spans="1:20" ht="30">
      <c r="A54" s="1088">
        <v>44</v>
      </c>
      <c r="B54" s="1106" t="s">
        <v>1266</v>
      </c>
      <c r="C54" s="1092" t="s">
        <v>1275</v>
      </c>
      <c r="D54" s="1107" t="s">
        <v>1268</v>
      </c>
      <c r="E54" s="1090"/>
      <c r="F54" s="1088"/>
      <c r="G54" s="1088"/>
      <c r="H54" s="1088"/>
      <c r="I54" s="1088">
        <v>6</v>
      </c>
      <c r="J54" s="1088">
        <v>205</v>
      </c>
      <c r="K54" s="1088"/>
      <c r="L54" s="1107">
        <v>45</v>
      </c>
      <c r="M54" s="1107">
        <v>45</v>
      </c>
      <c r="N54" s="1088"/>
      <c r="O54" s="1088"/>
      <c r="P54" s="1090">
        <f t="shared" si="5"/>
        <v>45</v>
      </c>
      <c r="Q54" s="1099">
        <v>1360</v>
      </c>
      <c r="R54" s="1091">
        <f t="shared" si="6"/>
        <v>61200</v>
      </c>
      <c r="S54" s="1091">
        <f t="shared" si="7"/>
        <v>1740.2843601895734</v>
      </c>
      <c r="T54" s="1091">
        <f t="shared" si="8"/>
        <v>59459.715639810427</v>
      </c>
    </row>
    <row r="55" spans="1:20" ht="30">
      <c r="A55" s="1088">
        <v>45</v>
      </c>
      <c r="B55" s="1106" t="s">
        <v>1266</v>
      </c>
      <c r="C55" s="1092" t="s">
        <v>1276</v>
      </c>
      <c r="D55" s="1107" t="s">
        <v>1268</v>
      </c>
      <c r="E55" s="1090"/>
      <c r="F55" s="1088"/>
      <c r="G55" s="1088"/>
      <c r="H55" s="1088"/>
      <c r="I55" s="1088">
        <v>6</v>
      </c>
      <c r="J55" s="1088">
        <v>205</v>
      </c>
      <c r="K55" s="1088"/>
      <c r="L55" s="1107">
        <v>45</v>
      </c>
      <c r="M55" s="1107">
        <v>45</v>
      </c>
      <c r="N55" s="1088"/>
      <c r="O55" s="1088"/>
      <c r="P55" s="1090">
        <f t="shared" si="5"/>
        <v>45</v>
      </c>
      <c r="Q55" s="1099">
        <v>1360</v>
      </c>
      <c r="R55" s="1091">
        <f t="shared" si="6"/>
        <v>61200</v>
      </c>
      <c r="S55" s="1091">
        <f t="shared" si="7"/>
        <v>1740.2843601895734</v>
      </c>
      <c r="T55" s="1091">
        <f t="shared" si="8"/>
        <v>59459.715639810427</v>
      </c>
    </row>
    <row r="56" spans="1:20" ht="30">
      <c r="A56" s="1088">
        <v>46</v>
      </c>
      <c r="B56" s="1106" t="s">
        <v>1266</v>
      </c>
      <c r="C56" s="1092" t="s">
        <v>1277</v>
      </c>
      <c r="D56" s="1107" t="s">
        <v>1268</v>
      </c>
      <c r="E56" s="1090"/>
      <c r="F56" s="1088"/>
      <c r="G56" s="1088"/>
      <c r="H56" s="1088"/>
      <c r="I56" s="1088">
        <v>6</v>
      </c>
      <c r="J56" s="1088">
        <v>205</v>
      </c>
      <c r="K56" s="1088"/>
      <c r="L56" s="1107">
        <v>45</v>
      </c>
      <c r="M56" s="1107">
        <v>45</v>
      </c>
      <c r="N56" s="1088"/>
      <c r="O56" s="1088"/>
      <c r="P56" s="1090">
        <f t="shared" si="5"/>
        <v>45</v>
      </c>
      <c r="Q56" s="1099">
        <v>1590</v>
      </c>
      <c r="R56" s="1091">
        <f t="shared" si="6"/>
        <v>71550</v>
      </c>
      <c r="S56" s="1091">
        <f t="shared" si="7"/>
        <v>2034.5971563981041</v>
      </c>
      <c r="T56" s="1091">
        <f t="shared" si="8"/>
        <v>69515.4028436019</v>
      </c>
    </row>
    <row r="57" spans="1:20" ht="30">
      <c r="A57" s="1088">
        <v>47</v>
      </c>
      <c r="B57" s="1106" t="s">
        <v>1266</v>
      </c>
      <c r="C57" s="1092" t="s">
        <v>1278</v>
      </c>
      <c r="D57" s="1107" t="s">
        <v>1268</v>
      </c>
      <c r="E57" s="1090"/>
      <c r="F57" s="1088"/>
      <c r="G57" s="1088"/>
      <c r="H57" s="1088"/>
      <c r="I57" s="1088">
        <v>6</v>
      </c>
      <c r="J57" s="1088">
        <v>205</v>
      </c>
      <c r="K57" s="1088"/>
      <c r="L57" s="1107">
        <v>45</v>
      </c>
      <c r="M57" s="1107">
        <v>45</v>
      </c>
      <c r="N57" s="1088"/>
      <c r="O57" s="1088"/>
      <c r="P57" s="1090">
        <f t="shared" si="5"/>
        <v>45</v>
      </c>
      <c r="Q57" s="1099">
        <v>490</v>
      </c>
      <c r="R57" s="1091">
        <f t="shared" si="6"/>
        <v>22050</v>
      </c>
      <c r="S57" s="1091">
        <f t="shared" si="7"/>
        <v>627.01421800947867</v>
      </c>
      <c r="T57" s="1091">
        <f t="shared" si="8"/>
        <v>21422.985781990523</v>
      </c>
    </row>
    <row r="58" spans="1:20" ht="30">
      <c r="A58" s="1088">
        <v>48</v>
      </c>
      <c r="B58" s="1106" t="s">
        <v>1266</v>
      </c>
      <c r="C58" s="1092" t="s">
        <v>1279</v>
      </c>
      <c r="D58" s="1107" t="s">
        <v>1268</v>
      </c>
      <c r="E58" s="1090"/>
      <c r="F58" s="1088"/>
      <c r="G58" s="1088"/>
      <c r="H58" s="1088"/>
      <c r="I58" s="1088">
        <v>6</v>
      </c>
      <c r="J58" s="1088">
        <v>205</v>
      </c>
      <c r="K58" s="1088"/>
      <c r="L58" s="1107">
        <v>45</v>
      </c>
      <c r="M58" s="1107">
        <v>45</v>
      </c>
      <c r="N58" s="1088"/>
      <c r="O58" s="1088"/>
      <c r="P58" s="1090">
        <f t="shared" si="5"/>
        <v>45</v>
      </c>
      <c r="Q58" s="1099">
        <v>540</v>
      </c>
      <c r="R58" s="1091">
        <f t="shared" si="6"/>
        <v>24300</v>
      </c>
      <c r="S58" s="1091">
        <f t="shared" si="7"/>
        <v>690.99526066350711</v>
      </c>
      <c r="T58" s="1091">
        <f t="shared" si="8"/>
        <v>23609.004739336491</v>
      </c>
    </row>
    <row r="59" spans="1:20" ht="30">
      <c r="A59" s="1088">
        <v>49</v>
      </c>
      <c r="B59" s="1106" t="s">
        <v>1266</v>
      </c>
      <c r="C59" s="1092" t="s">
        <v>1280</v>
      </c>
      <c r="D59" s="1107" t="s">
        <v>1268</v>
      </c>
      <c r="E59" s="1090"/>
      <c r="F59" s="1088"/>
      <c r="G59" s="1088"/>
      <c r="H59" s="1088"/>
      <c r="I59" s="1088">
        <v>6</v>
      </c>
      <c r="J59" s="1088">
        <v>205</v>
      </c>
      <c r="K59" s="1088"/>
      <c r="L59" s="1107">
        <v>45</v>
      </c>
      <c r="M59" s="1107">
        <v>45</v>
      </c>
      <c r="N59" s="1088"/>
      <c r="O59" s="1088"/>
      <c r="P59" s="1090">
        <f t="shared" si="5"/>
        <v>45</v>
      </c>
      <c r="Q59" s="1099">
        <v>560</v>
      </c>
      <c r="R59" s="1091">
        <f t="shared" si="6"/>
        <v>25200</v>
      </c>
      <c r="S59" s="1091">
        <f t="shared" si="7"/>
        <v>716.5876777251184</v>
      </c>
      <c r="T59" s="1091">
        <f t="shared" si="8"/>
        <v>24483.412322274882</v>
      </c>
    </row>
    <row r="60" spans="1:20" ht="30">
      <c r="A60" s="1088">
        <v>50</v>
      </c>
      <c r="B60" s="1106" t="s">
        <v>1266</v>
      </c>
      <c r="C60" s="1092" t="s">
        <v>1281</v>
      </c>
      <c r="D60" s="1107" t="s">
        <v>1268</v>
      </c>
      <c r="E60" s="1090"/>
      <c r="F60" s="1088"/>
      <c r="G60" s="1088"/>
      <c r="H60" s="1088"/>
      <c r="I60" s="1088">
        <v>6</v>
      </c>
      <c r="J60" s="1088">
        <v>205</v>
      </c>
      <c r="K60" s="1088"/>
      <c r="L60" s="1107">
        <v>45</v>
      </c>
      <c r="M60" s="1107">
        <v>45</v>
      </c>
      <c r="N60" s="1088"/>
      <c r="O60" s="1088"/>
      <c r="P60" s="1090">
        <f t="shared" si="5"/>
        <v>45</v>
      </c>
      <c r="Q60" s="1099">
        <v>620</v>
      </c>
      <c r="R60" s="1091">
        <f t="shared" si="6"/>
        <v>27900</v>
      </c>
      <c r="S60" s="1091">
        <f t="shared" si="7"/>
        <v>793.3649289099526</v>
      </c>
      <c r="T60" s="1091">
        <f t="shared" si="8"/>
        <v>27106.635071090048</v>
      </c>
    </row>
    <row r="61" spans="1:20" ht="30">
      <c r="A61" s="1088">
        <v>51</v>
      </c>
      <c r="B61" s="1106" t="s">
        <v>1266</v>
      </c>
      <c r="C61" s="1092" t="s">
        <v>3722</v>
      </c>
      <c r="D61" s="1107" t="s">
        <v>1268</v>
      </c>
      <c r="E61" s="1090"/>
      <c r="F61" s="1088"/>
      <c r="G61" s="1088"/>
      <c r="H61" s="1088"/>
      <c r="I61" s="1088">
        <v>6</v>
      </c>
      <c r="J61" s="1088">
        <v>205</v>
      </c>
      <c r="K61" s="1088"/>
      <c r="L61" s="1107">
        <v>25</v>
      </c>
      <c r="M61" s="1107">
        <v>25</v>
      </c>
      <c r="N61" s="1088"/>
      <c r="O61" s="1088"/>
      <c r="P61" s="1090">
        <f t="shared" si="5"/>
        <v>25</v>
      </c>
      <c r="Q61" s="1099">
        <v>620</v>
      </c>
      <c r="R61" s="1091">
        <f t="shared" si="6"/>
        <v>15500</v>
      </c>
      <c r="S61" s="1091">
        <f t="shared" si="7"/>
        <v>440.75829383886253</v>
      </c>
      <c r="T61" s="1091">
        <f t="shared" si="8"/>
        <v>15059.241706161138</v>
      </c>
    </row>
    <row r="62" spans="1:20" ht="30">
      <c r="A62" s="1088">
        <v>52</v>
      </c>
      <c r="B62" s="1106" t="s">
        <v>1266</v>
      </c>
      <c r="C62" s="1092" t="s">
        <v>1284</v>
      </c>
      <c r="D62" s="1107" t="s">
        <v>1268</v>
      </c>
      <c r="E62" s="1090"/>
      <c r="F62" s="1088"/>
      <c r="G62" s="1088"/>
      <c r="H62" s="1088"/>
      <c r="I62" s="1088">
        <v>6</v>
      </c>
      <c r="J62" s="1088">
        <v>205</v>
      </c>
      <c r="K62" s="1088"/>
      <c r="L62" s="1107">
        <v>25</v>
      </c>
      <c r="M62" s="1107">
        <v>25</v>
      </c>
      <c r="N62" s="1088"/>
      <c r="O62" s="1088"/>
      <c r="P62" s="1090">
        <f t="shared" si="5"/>
        <v>25</v>
      </c>
      <c r="Q62" s="1099">
        <v>710</v>
      </c>
      <c r="R62" s="1091">
        <f t="shared" si="6"/>
        <v>17750</v>
      </c>
      <c r="S62" s="1091">
        <f t="shared" si="7"/>
        <v>504.73933649289097</v>
      </c>
      <c r="T62" s="1091">
        <f t="shared" si="8"/>
        <v>17245.26066350711</v>
      </c>
    </row>
    <row r="63" spans="1:20">
      <c r="A63" s="1088">
        <v>202</v>
      </c>
      <c r="B63" s="1110" t="s">
        <v>3723</v>
      </c>
      <c r="C63" s="1189" t="s">
        <v>3724</v>
      </c>
      <c r="D63" s="1110" t="s">
        <v>1022</v>
      </c>
      <c r="E63" s="1090"/>
      <c r="F63" s="1090"/>
      <c r="G63" s="1090"/>
      <c r="H63" s="1090"/>
      <c r="I63" s="1088">
        <v>6</v>
      </c>
      <c r="J63" s="1088">
        <v>205</v>
      </c>
      <c r="K63" s="1090"/>
      <c r="L63" s="1110">
        <v>10</v>
      </c>
      <c r="M63" s="1110">
        <v>10</v>
      </c>
      <c r="N63" s="1090"/>
      <c r="O63" s="1090"/>
      <c r="P63" s="1090">
        <f t="shared" si="5"/>
        <v>10</v>
      </c>
      <c r="Q63" s="1090">
        <v>160.5</v>
      </c>
      <c r="R63" s="1091">
        <f t="shared" si="6"/>
        <v>1605</v>
      </c>
      <c r="S63" s="1091">
        <f t="shared" si="7"/>
        <v>45.639810426540279</v>
      </c>
      <c r="T63" s="1091">
        <f t="shared" si="8"/>
        <v>1559.3601895734598</v>
      </c>
    </row>
    <row r="64" spans="1:20">
      <c r="A64" s="1088">
        <v>203</v>
      </c>
      <c r="B64" s="1110" t="s">
        <v>3723</v>
      </c>
      <c r="C64" s="1189" t="s">
        <v>3725</v>
      </c>
      <c r="D64" s="1110" t="s">
        <v>1022</v>
      </c>
      <c r="E64" s="1090"/>
      <c r="F64" s="1090"/>
      <c r="G64" s="1090"/>
      <c r="H64" s="1090"/>
      <c r="I64" s="1088">
        <v>6</v>
      </c>
      <c r="J64" s="1088">
        <v>205</v>
      </c>
      <c r="K64" s="1090"/>
      <c r="L64" s="1110">
        <v>10</v>
      </c>
      <c r="M64" s="1110">
        <v>10</v>
      </c>
      <c r="N64" s="1090"/>
      <c r="O64" s="1090"/>
      <c r="P64" s="1090">
        <f t="shared" si="5"/>
        <v>10</v>
      </c>
      <c r="Q64" s="1090">
        <v>160.5</v>
      </c>
      <c r="R64" s="1091">
        <f t="shared" si="6"/>
        <v>1605</v>
      </c>
      <c r="S64" s="1091">
        <f t="shared" si="7"/>
        <v>45.639810426540279</v>
      </c>
      <c r="T64" s="1091">
        <f t="shared" si="8"/>
        <v>1559.3601895734598</v>
      </c>
    </row>
    <row r="65" spans="1:20">
      <c r="A65" s="1088">
        <v>231</v>
      </c>
      <c r="B65" s="1109" t="s">
        <v>3726</v>
      </c>
      <c r="C65" s="1189" t="s">
        <v>3727</v>
      </c>
      <c r="D65" s="1109" t="s">
        <v>1290</v>
      </c>
      <c r="E65" s="1090"/>
      <c r="F65" s="1090"/>
      <c r="G65" s="1090"/>
      <c r="H65" s="1090"/>
      <c r="I65" s="1088">
        <v>6</v>
      </c>
      <c r="J65" s="1088">
        <v>205</v>
      </c>
      <c r="K65" s="1090"/>
      <c r="L65" s="1112">
        <v>6</v>
      </c>
      <c r="M65" s="1112">
        <v>6</v>
      </c>
      <c r="N65" s="1090"/>
      <c r="O65" s="1090"/>
      <c r="P65" s="1090">
        <f t="shared" si="5"/>
        <v>6</v>
      </c>
      <c r="Q65" s="1090">
        <v>2675</v>
      </c>
      <c r="R65" s="1091">
        <f t="shared" si="6"/>
        <v>16050</v>
      </c>
      <c r="S65" s="1091">
        <f t="shared" si="7"/>
        <v>456.39810426540282</v>
      </c>
      <c r="T65" s="1091">
        <f t="shared" si="8"/>
        <v>15593.601895734597</v>
      </c>
    </row>
    <row r="66" spans="1:20">
      <c r="A66" s="1088">
        <v>232</v>
      </c>
      <c r="B66" s="1109" t="s">
        <v>3726</v>
      </c>
      <c r="C66" s="1189" t="s">
        <v>3728</v>
      </c>
      <c r="D66" s="1109" t="s">
        <v>1290</v>
      </c>
      <c r="E66" s="1090"/>
      <c r="F66" s="1090"/>
      <c r="G66" s="1090"/>
      <c r="H66" s="1090"/>
      <c r="I66" s="1088">
        <v>6</v>
      </c>
      <c r="J66" s="1088">
        <v>205</v>
      </c>
      <c r="K66" s="1090"/>
      <c r="L66" s="1112">
        <v>4</v>
      </c>
      <c r="M66" s="1112">
        <v>4</v>
      </c>
      <c r="N66" s="1090"/>
      <c r="O66" s="1090"/>
      <c r="P66" s="1090">
        <f t="shared" si="5"/>
        <v>4</v>
      </c>
      <c r="Q66" s="1090">
        <v>6420</v>
      </c>
      <c r="R66" s="1091">
        <f t="shared" si="6"/>
        <v>25680</v>
      </c>
      <c r="S66" s="1091">
        <f t="shared" si="7"/>
        <v>730.23696682464447</v>
      </c>
      <c r="T66" s="1091">
        <f t="shared" si="8"/>
        <v>24949.763033175357</v>
      </c>
    </row>
    <row r="67" spans="1:20">
      <c r="A67" s="1088">
        <v>222</v>
      </c>
      <c r="B67" s="1110" t="s">
        <v>3729</v>
      </c>
      <c r="C67" s="1189" t="s">
        <v>3730</v>
      </c>
      <c r="D67" s="1110" t="s">
        <v>1022</v>
      </c>
      <c r="E67" s="1090"/>
      <c r="F67" s="1090"/>
      <c r="G67" s="1090"/>
      <c r="H67" s="1090"/>
      <c r="I67" s="1088">
        <v>6</v>
      </c>
      <c r="J67" s="1088">
        <v>205</v>
      </c>
      <c r="K67" s="1090"/>
      <c r="L67" s="1110">
        <v>50</v>
      </c>
      <c r="M67" s="1110">
        <v>50</v>
      </c>
      <c r="N67" s="1090"/>
      <c r="O67" s="1090"/>
      <c r="P67" s="1090">
        <f t="shared" si="5"/>
        <v>50</v>
      </c>
      <c r="Q67" s="1090">
        <v>149.80000000000001</v>
      </c>
      <c r="R67" s="1091">
        <f t="shared" si="6"/>
        <v>7490.0000000000009</v>
      </c>
      <c r="S67" s="1091">
        <f t="shared" si="7"/>
        <v>212.98578199052133</v>
      </c>
      <c r="T67" s="1091">
        <f t="shared" si="8"/>
        <v>7277.0142180094799</v>
      </c>
    </row>
    <row r="68" spans="1:20">
      <c r="A68" s="1088">
        <v>221</v>
      </c>
      <c r="B68" s="1110" t="s">
        <v>3731</v>
      </c>
      <c r="C68" s="1189" t="s">
        <v>3732</v>
      </c>
      <c r="D68" s="1110" t="s">
        <v>1022</v>
      </c>
      <c r="E68" s="1090"/>
      <c r="F68" s="1090"/>
      <c r="G68" s="1090"/>
      <c r="H68" s="1090"/>
      <c r="I68" s="1088">
        <v>6</v>
      </c>
      <c r="J68" s="1088">
        <v>205</v>
      </c>
      <c r="K68" s="1090"/>
      <c r="L68" s="1110">
        <v>50</v>
      </c>
      <c r="M68" s="1110">
        <v>50</v>
      </c>
      <c r="N68" s="1090"/>
      <c r="O68" s="1090"/>
      <c r="P68" s="1090">
        <f t="shared" si="5"/>
        <v>50</v>
      </c>
      <c r="Q68" s="1090">
        <v>53.5</v>
      </c>
      <c r="R68" s="1091">
        <f t="shared" si="6"/>
        <v>2675</v>
      </c>
      <c r="S68" s="1091">
        <f t="shared" si="7"/>
        <v>76.066350710900466</v>
      </c>
      <c r="T68" s="1091">
        <f t="shared" si="8"/>
        <v>2598.9336492890993</v>
      </c>
    </row>
    <row r="69" spans="1:20">
      <c r="A69" s="1088">
        <v>36</v>
      </c>
      <c r="B69" s="1106" t="s">
        <v>1294</v>
      </c>
      <c r="C69" s="1092" t="s">
        <v>3278</v>
      </c>
      <c r="D69" s="1107" t="s">
        <v>1268</v>
      </c>
      <c r="E69" s="1090"/>
      <c r="F69" s="1088"/>
      <c r="G69" s="1088"/>
      <c r="H69" s="1088"/>
      <c r="I69" s="1088">
        <v>6</v>
      </c>
      <c r="J69" s="1088">
        <v>205</v>
      </c>
      <c r="K69" s="1088"/>
      <c r="L69" s="1108">
        <v>60</v>
      </c>
      <c r="M69" s="1108">
        <v>60</v>
      </c>
      <c r="N69" s="1088"/>
      <c r="O69" s="1088"/>
      <c r="P69" s="1090">
        <f t="shared" si="5"/>
        <v>60</v>
      </c>
      <c r="Q69" s="1099">
        <v>600</v>
      </c>
      <c r="R69" s="1091">
        <f t="shared" si="6"/>
        <v>36000</v>
      </c>
      <c r="S69" s="1091">
        <f t="shared" si="7"/>
        <v>1023.696682464455</v>
      </c>
      <c r="T69" s="1091">
        <f t="shared" si="8"/>
        <v>34976.303317535545</v>
      </c>
    </row>
    <row r="70" spans="1:20" ht="30">
      <c r="A70" s="1088">
        <v>37</v>
      </c>
      <c r="B70" s="1106" t="s">
        <v>1294</v>
      </c>
      <c r="C70" s="1092" t="s">
        <v>3279</v>
      </c>
      <c r="D70" s="1107" t="s">
        <v>1268</v>
      </c>
      <c r="E70" s="1090"/>
      <c r="F70" s="1088"/>
      <c r="G70" s="1088"/>
      <c r="H70" s="1088"/>
      <c r="I70" s="1088">
        <v>6</v>
      </c>
      <c r="J70" s="1088">
        <v>205</v>
      </c>
      <c r="K70" s="1088"/>
      <c r="L70" s="1108">
        <v>60</v>
      </c>
      <c r="M70" s="1108">
        <v>60</v>
      </c>
      <c r="N70" s="1088"/>
      <c r="O70" s="1088"/>
      <c r="P70" s="1090">
        <f t="shared" si="5"/>
        <v>60</v>
      </c>
      <c r="Q70" s="1099">
        <v>107</v>
      </c>
      <c r="R70" s="1091">
        <f t="shared" si="6"/>
        <v>6420</v>
      </c>
      <c r="S70" s="1091">
        <f t="shared" si="7"/>
        <v>182.55924170616112</v>
      </c>
      <c r="T70" s="1091">
        <f t="shared" si="8"/>
        <v>6237.4407582938393</v>
      </c>
    </row>
    <row r="71" spans="1:20" ht="30">
      <c r="A71" s="1088">
        <v>34</v>
      </c>
      <c r="B71" s="1106" t="s">
        <v>3733</v>
      </c>
      <c r="C71" s="1092" t="s">
        <v>1298</v>
      </c>
      <c r="D71" s="1107" t="s">
        <v>1268</v>
      </c>
      <c r="E71" s="1090"/>
      <c r="F71" s="1088"/>
      <c r="G71" s="1088"/>
      <c r="H71" s="1088"/>
      <c r="I71" s="1088">
        <v>6</v>
      </c>
      <c r="J71" s="1088">
        <v>205</v>
      </c>
      <c r="K71" s="1088"/>
      <c r="L71" s="1108">
        <v>60</v>
      </c>
      <c r="M71" s="1108">
        <v>60</v>
      </c>
      <c r="N71" s="1088"/>
      <c r="O71" s="1088"/>
      <c r="P71" s="1090">
        <f t="shared" si="5"/>
        <v>60</v>
      </c>
      <c r="Q71" s="1099">
        <v>390</v>
      </c>
      <c r="R71" s="1091">
        <f t="shared" si="6"/>
        <v>23400</v>
      </c>
      <c r="S71" s="1091">
        <f t="shared" si="7"/>
        <v>665.40284360189571</v>
      </c>
      <c r="T71" s="1091">
        <f t="shared" si="8"/>
        <v>22734.597156398104</v>
      </c>
    </row>
    <row r="72" spans="1:20">
      <c r="A72" s="1088">
        <v>35</v>
      </c>
      <c r="B72" s="1106" t="s">
        <v>3734</v>
      </c>
      <c r="C72" s="1092" t="s">
        <v>3735</v>
      </c>
      <c r="D72" s="1107" t="s">
        <v>1268</v>
      </c>
      <c r="E72" s="1090"/>
      <c r="F72" s="1088"/>
      <c r="G72" s="1088"/>
      <c r="H72" s="1088"/>
      <c r="I72" s="1088">
        <v>6</v>
      </c>
      <c r="J72" s="1088">
        <v>205</v>
      </c>
      <c r="K72" s="1088"/>
      <c r="L72" s="1108">
        <v>60</v>
      </c>
      <c r="M72" s="1108">
        <v>60</v>
      </c>
      <c r="N72" s="1088"/>
      <c r="O72" s="1088"/>
      <c r="P72" s="1090">
        <f t="shared" si="5"/>
        <v>60</v>
      </c>
      <c r="Q72" s="1099">
        <v>400</v>
      </c>
      <c r="R72" s="1091">
        <f t="shared" si="6"/>
        <v>24000</v>
      </c>
      <c r="S72" s="1091">
        <f t="shared" si="7"/>
        <v>682.46445497630327</v>
      </c>
      <c r="T72" s="1091">
        <f t="shared" si="8"/>
        <v>23317.535545023697</v>
      </c>
    </row>
    <row r="73" spans="1:20">
      <c r="A73" s="1088">
        <v>209</v>
      </c>
      <c r="B73" s="1110" t="s">
        <v>3736</v>
      </c>
      <c r="C73" s="1189" t="s">
        <v>3737</v>
      </c>
      <c r="D73" s="1110" t="s">
        <v>1022</v>
      </c>
      <c r="E73" s="1090"/>
      <c r="F73" s="1090"/>
      <c r="G73" s="1090"/>
      <c r="H73" s="1090"/>
      <c r="I73" s="1088">
        <v>6</v>
      </c>
      <c r="J73" s="1088">
        <v>205</v>
      </c>
      <c r="K73" s="1090"/>
      <c r="L73" s="1110">
        <v>5</v>
      </c>
      <c r="M73" s="1110">
        <v>5</v>
      </c>
      <c r="N73" s="1090"/>
      <c r="O73" s="1090"/>
      <c r="P73" s="1090">
        <f t="shared" si="5"/>
        <v>5</v>
      </c>
      <c r="Q73" s="1090">
        <v>203.3</v>
      </c>
      <c r="R73" s="1091">
        <f t="shared" si="6"/>
        <v>1016.5</v>
      </c>
      <c r="S73" s="1091">
        <f t="shared" si="7"/>
        <v>28.90521327014218</v>
      </c>
      <c r="T73" s="1091">
        <f t="shared" si="8"/>
        <v>987.59478672985779</v>
      </c>
    </row>
    <row r="74" spans="1:20" ht="60">
      <c r="A74" s="1088">
        <v>175</v>
      </c>
      <c r="B74" s="1169" t="s">
        <v>1303</v>
      </c>
      <c r="C74" s="1190" t="s">
        <v>3738</v>
      </c>
      <c r="D74" s="1172" t="s">
        <v>1022</v>
      </c>
      <c r="E74" s="1090"/>
      <c r="F74" s="1090"/>
      <c r="G74" s="1090"/>
      <c r="H74" s="1090"/>
      <c r="I74" s="1088">
        <v>6</v>
      </c>
      <c r="J74" s="1088">
        <v>205</v>
      </c>
      <c r="K74" s="1090"/>
      <c r="L74" s="1109">
        <v>35029</v>
      </c>
      <c r="M74" s="1109">
        <v>35029</v>
      </c>
      <c r="N74" s="1090"/>
      <c r="O74" s="1090"/>
      <c r="P74" s="1090">
        <f t="shared" si="5"/>
        <v>35029</v>
      </c>
      <c r="Q74" s="1090">
        <v>40</v>
      </c>
      <c r="R74" s="1091">
        <f t="shared" si="6"/>
        <v>1401160</v>
      </c>
      <c r="S74" s="1091">
        <f t="shared" si="7"/>
        <v>39843.412322274882</v>
      </c>
      <c r="T74" s="1091">
        <f t="shared" si="8"/>
        <v>1361316.5876777251</v>
      </c>
    </row>
    <row r="75" spans="1:20">
      <c r="A75" s="1088">
        <v>210</v>
      </c>
      <c r="B75" s="1110" t="s">
        <v>3739</v>
      </c>
      <c r="C75" s="1189" t="s">
        <v>3740</v>
      </c>
      <c r="D75" s="1110" t="s">
        <v>1268</v>
      </c>
      <c r="E75" s="1090"/>
      <c r="F75" s="1090"/>
      <c r="G75" s="1090"/>
      <c r="H75" s="1090"/>
      <c r="I75" s="1088">
        <v>6</v>
      </c>
      <c r="J75" s="1088">
        <v>205</v>
      </c>
      <c r="K75" s="1090"/>
      <c r="L75" s="1110">
        <v>5</v>
      </c>
      <c r="M75" s="1110">
        <v>5</v>
      </c>
      <c r="N75" s="1090"/>
      <c r="O75" s="1090"/>
      <c r="P75" s="1090">
        <f t="shared" si="5"/>
        <v>5</v>
      </c>
      <c r="Q75" s="1090">
        <v>588.5</v>
      </c>
      <c r="R75" s="1091">
        <f t="shared" si="6"/>
        <v>2942.5</v>
      </c>
      <c r="S75" s="1091">
        <f t="shared" si="7"/>
        <v>83.672985781990519</v>
      </c>
      <c r="T75" s="1091">
        <f t="shared" si="8"/>
        <v>2858.8270142180095</v>
      </c>
    </row>
    <row r="76" spans="1:20">
      <c r="A76" s="1088">
        <v>211</v>
      </c>
      <c r="B76" s="1110" t="s">
        <v>3741</v>
      </c>
      <c r="C76" s="1189" t="s">
        <v>3742</v>
      </c>
      <c r="D76" s="1110" t="s">
        <v>1268</v>
      </c>
      <c r="E76" s="1090"/>
      <c r="F76" s="1090"/>
      <c r="G76" s="1090"/>
      <c r="H76" s="1090"/>
      <c r="I76" s="1088">
        <v>6</v>
      </c>
      <c r="J76" s="1088">
        <v>205</v>
      </c>
      <c r="K76" s="1090"/>
      <c r="L76" s="1110">
        <v>5</v>
      </c>
      <c r="M76" s="1110">
        <v>5</v>
      </c>
      <c r="N76" s="1090"/>
      <c r="O76" s="1090"/>
      <c r="P76" s="1090">
        <f t="shared" si="5"/>
        <v>5</v>
      </c>
      <c r="Q76" s="1090">
        <v>695.5</v>
      </c>
      <c r="R76" s="1091">
        <f t="shared" si="6"/>
        <v>3477.5</v>
      </c>
      <c r="S76" s="1091">
        <f t="shared" si="7"/>
        <v>98.886255924170612</v>
      </c>
      <c r="T76" s="1091">
        <f t="shared" si="8"/>
        <v>3378.6137440758293</v>
      </c>
    </row>
    <row r="77" spans="1:20">
      <c r="A77" s="1088">
        <v>212</v>
      </c>
      <c r="B77" s="1110" t="s">
        <v>3741</v>
      </c>
      <c r="C77" s="1189" t="s">
        <v>3743</v>
      </c>
      <c r="D77" s="1110" t="s">
        <v>1268</v>
      </c>
      <c r="E77" s="1090"/>
      <c r="F77" s="1090"/>
      <c r="G77" s="1090"/>
      <c r="H77" s="1090"/>
      <c r="I77" s="1088">
        <v>6</v>
      </c>
      <c r="J77" s="1088">
        <v>205</v>
      </c>
      <c r="K77" s="1090"/>
      <c r="L77" s="1110">
        <v>5</v>
      </c>
      <c r="M77" s="1110">
        <v>5</v>
      </c>
      <c r="N77" s="1090"/>
      <c r="O77" s="1090"/>
      <c r="P77" s="1090">
        <f t="shared" si="5"/>
        <v>5</v>
      </c>
      <c r="Q77" s="1090">
        <v>909.5</v>
      </c>
      <c r="R77" s="1091">
        <f t="shared" si="6"/>
        <v>4547.5</v>
      </c>
      <c r="S77" s="1091">
        <f t="shared" si="7"/>
        <v>129.31279620853081</v>
      </c>
      <c r="T77" s="1091">
        <f t="shared" si="8"/>
        <v>4418.1872037914691</v>
      </c>
    </row>
    <row r="78" spans="1:20">
      <c r="A78" s="1088">
        <v>144</v>
      </c>
      <c r="B78" s="1106" t="s">
        <v>3744</v>
      </c>
      <c r="C78" s="1189"/>
      <c r="D78" s="1106" t="s">
        <v>1022</v>
      </c>
      <c r="E78" s="1090"/>
      <c r="F78" s="1090"/>
      <c r="G78" s="1090"/>
      <c r="H78" s="1090"/>
      <c r="I78" s="1088">
        <v>6</v>
      </c>
      <c r="J78" s="1088">
        <v>205</v>
      </c>
      <c r="K78" s="1090"/>
      <c r="L78" s="1106">
        <v>8</v>
      </c>
      <c r="M78" s="1106">
        <v>8</v>
      </c>
      <c r="N78" s="1090"/>
      <c r="O78" s="1090"/>
      <c r="P78" s="1090">
        <f t="shared" si="5"/>
        <v>8</v>
      </c>
      <c r="Q78" s="1090">
        <v>2000</v>
      </c>
      <c r="R78" s="1091">
        <f t="shared" si="6"/>
        <v>16000</v>
      </c>
      <c r="S78" s="1091">
        <f t="shared" si="7"/>
        <v>454.9763033175355</v>
      </c>
      <c r="T78" s="1091">
        <f t="shared" si="8"/>
        <v>15545.023696682465</v>
      </c>
    </row>
    <row r="79" spans="1:20">
      <c r="A79" s="1088">
        <v>180</v>
      </c>
      <c r="B79" s="1169" t="s">
        <v>1314</v>
      </c>
      <c r="C79" s="1190" t="s">
        <v>3745</v>
      </c>
      <c r="D79" s="1169" t="s">
        <v>1022</v>
      </c>
      <c r="E79" s="1090"/>
      <c r="F79" s="1090"/>
      <c r="G79" s="1090"/>
      <c r="H79" s="1090"/>
      <c r="I79" s="1088">
        <v>6</v>
      </c>
      <c r="J79" s="1088">
        <v>205</v>
      </c>
      <c r="K79" s="1090"/>
      <c r="L79" s="1109">
        <v>70</v>
      </c>
      <c r="M79" s="1109">
        <v>70</v>
      </c>
      <c r="N79" s="1090"/>
      <c r="O79" s="1090"/>
      <c r="P79" s="1090">
        <f t="shared" si="5"/>
        <v>70</v>
      </c>
      <c r="Q79" s="1090">
        <v>716.90000000000009</v>
      </c>
      <c r="R79" s="1091">
        <f t="shared" si="6"/>
        <v>50183.000000000007</v>
      </c>
      <c r="S79" s="1091">
        <f t="shared" si="7"/>
        <v>1427.004739336493</v>
      </c>
      <c r="T79" s="1091">
        <f t="shared" si="8"/>
        <v>48755.995260663512</v>
      </c>
    </row>
    <row r="80" spans="1:20">
      <c r="A80" s="1088"/>
      <c r="B80" s="1180" t="s">
        <v>1314</v>
      </c>
      <c r="C80" s="1195" t="s">
        <v>1316</v>
      </c>
      <c r="D80" s="1180" t="s">
        <v>1022</v>
      </c>
      <c r="E80" s="1090"/>
      <c r="F80" s="1090"/>
      <c r="G80" s="1090"/>
      <c r="H80" s="1090"/>
      <c r="I80" s="1088"/>
      <c r="J80" s="1088"/>
      <c r="K80" s="1090"/>
      <c r="L80" s="1109"/>
      <c r="M80" s="1109"/>
      <c r="N80" s="1090"/>
      <c r="O80" s="1090"/>
      <c r="P80" s="1090"/>
      <c r="Q80" s="1090"/>
      <c r="R80" s="1091"/>
      <c r="S80" s="1091"/>
      <c r="T80" s="1091"/>
    </row>
    <row r="81" spans="1:20">
      <c r="A81" s="1088"/>
      <c r="B81" s="1180" t="s">
        <v>1314</v>
      </c>
      <c r="C81" s="1195" t="s">
        <v>1317</v>
      </c>
      <c r="D81" s="1180" t="s">
        <v>1022</v>
      </c>
      <c r="E81" s="1090"/>
      <c r="F81" s="1090"/>
      <c r="G81" s="1090"/>
      <c r="H81" s="1090"/>
      <c r="I81" s="1088"/>
      <c r="J81" s="1088"/>
      <c r="K81" s="1090"/>
      <c r="L81" s="1109"/>
      <c r="M81" s="1109"/>
      <c r="N81" s="1090"/>
      <c r="O81" s="1090"/>
      <c r="P81" s="1090"/>
      <c r="Q81" s="1090"/>
      <c r="R81" s="1091"/>
      <c r="S81" s="1091"/>
      <c r="T81" s="1091"/>
    </row>
    <row r="82" spans="1:20">
      <c r="A82" s="1090"/>
      <c r="B82" s="1159" t="s">
        <v>1318</v>
      </c>
      <c r="C82" s="1197" t="s">
        <v>3746</v>
      </c>
      <c r="D82" s="1164" t="s">
        <v>1022</v>
      </c>
      <c r="E82" s="1090"/>
      <c r="F82" s="1088"/>
      <c r="G82" s="1088"/>
      <c r="H82" s="1088"/>
      <c r="I82" s="1088"/>
      <c r="J82" s="1088"/>
      <c r="K82" s="1088"/>
      <c r="L82" s="1090"/>
      <c r="M82" s="1090"/>
      <c r="N82" s="1088"/>
      <c r="O82" s="1088"/>
      <c r="P82" s="1090"/>
      <c r="Q82" s="1099"/>
      <c r="R82" s="1091"/>
      <c r="S82" s="1091"/>
      <c r="T82" s="1091"/>
    </row>
    <row r="83" spans="1:20">
      <c r="A83" s="1088">
        <v>181</v>
      </c>
      <c r="B83" s="1106" t="s">
        <v>3747</v>
      </c>
      <c r="C83" s="1189" t="s">
        <v>1321</v>
      </c>
      <c r="D83" s="1106" t="s">
        <v>1022</v>
      </c>
      <c r="E83" s="1090"/>
      <c r="F83" s="1090"/>
      <c r="G83" s="1090"/>
      <c r="H83" s="1090"/>
      <c r="I83" s="1088">
        <v>6</v>
      </c>
      <c r="J83" s="1088">
        <v>205</v>
      </c>
      <c r="K83" s="1090"/>
      <c r="L83" s="1109">
        <v>20</v>
      </c>
      <c r="M83" s="1109">
        <v>20</v>
      </c>
      <c r="N83" s="1090"/>
      <c r="O83" s="1090"/>
      <c r="P83" s="1090">
        <f t="shared" ref="P83:P100" si="9">L83-O83</f>
        <v>20</v>
      </c>
      <c r="Q83" s="1090">
        <v>1155.6000000000001</v>
      </c>
      <c r="R83" s="1091">
        <f t="shared" ref="R83:R100" si="10">P83*Q83</f>
        <v>23112.000000000004</v>
      </c>
      <c r="S83" s="1091">
        <f t="shared" ref="S83:S100" si="11">R83*(I83/(I83+J83+K83))</f>
        <v>657.21327014218014</v>
      </c>
      <c r="T83" s="1091">
        <f t="shared" ref="T83:T100" si="12">R83-S83</f>
        <v>22454.786729857824</v>
      </c>
    </row>
    <row r="84" spans="1:20">
      <c r="A84" s="1088">
        <v>182</v>
      </c>
      <c r="B84" s="1106" t="s">
        <v>3748</v>
      </c>
      <c r="C84" s="1189" t="s">
        <v>1323</v>
      </c>
      <c r="D84" s="1106" t="s">
        <v>1022</v>
      </c>
      <c r="E84" s="1090"/>
      <c r="F84" s="1090"/>
      <c r="G84" s="1090"/>
      <c r="H84" s="1090"/>
      <c r="I84" s="1088">
        <v>6</v>
      </c>
      <c r="J84" s="1088">
        <v>205</v>
      </c>
      <c r="K84" s="1090"/>
      <c r="L84" s="1109">
        <v>20</v>
      </c>
      <c r="M84" s="1109">
        <v>20</v>
      </c>
      <c r="N84" s="1090"/>
      <c r="O84" s="1090"/>
      <c r="P84" s="1090">
        <f t="shared" si="9"/>
        <v>20</v>
      </c>
      <c r="Q84" s="1090">
        <v>1048.6000000000001</v>
      </c>
      <c r="R84" s="1091">
        <f t="shared" si="10"/>
        <v>20972.000000000004</v>
      </c>
      <c r="S84" s="1091">
        <f t="shared" si="11"/>
        <v>596.36018957345982</v>
      </c>
      <c r="T84" s="1091">
        <f t="shared" si="12"/>
        <v>20375.639810426543</v>
      </c>
    </row>
    <row r="85" spans="1:20" ht="30">
      <c r="A85" s="1088">
        <v>141</v>
      </c>
      <c r="B85" s="1106" t="s">
        <v>1324</v>
      </c>
      <c r="C85" s="1189"/>
      <c r="D85" s="1106" t="s">
        <v>1325</v>
      </c>
      <c r="E85" s="1090"/>
      <c r="F85" s="1090"/>
      <c r="G85" s="1090"/>
      <c r="H85" s="1090"/>
      <c r="I85" s="1088">
        <v>6</v>
      </c>
      <c r="J85" s="1088">
        <v>205</v>
      </c>
      <c r="K85" s="1090"/>
      <c r="L85" s="1106">
        <v>5</v>
      </c>
      <c r="M85" s="1106">
        <v>5</v>
      </c>
      <c r="N85" s="1090"/>
      <c r="O85" s="1090"/>
      <c r="P85" s="1090">
        <f t="shared" si="9"/>
        <v>5</v>
      </c>
      <c r="Q85" s="1090">
        <v>10000</v>
      </c>
      <c r="R85" s="1091">
        <f t="shared" si="10"/>
        <v>50000</v>
      </c>
      <c r="S85" s="1091">
        <f t="shared" si="11"/>
        <v>1421.8009478672984</v>
      </c>
      <c r="T85" s="1091">
        <f t="shared" si="12"/>
        <v>48578.199052132702</v>
      </c>
    </row>
    <row r="86" spans="1:20">
      <c r="A86" s="1088">
        <v>234</v>
      </c>
      <c r="B86" s="1109" t="s">
        <v>3287</v>
      </c>
      <c r="C86" s="1189" t="s">
        <v>3288</v>
      </c>
      <c r="D86" s="1109" t="s">
        <v>1351</v>
      </c>
      <c r="E86" s="1090"/>
      <c r="F86" s="1090"/>
      <c r="G86" s="1090"/>
      <c r="H86" s="1090"/>
      <c r="I86" s="1088">
        <v>6</v>
      </c>
      <c r="J86" s="1088">
        <v>205</v>
      </c>
      <c r="K86" s="1090"/>
      <c r="L86" s="1112">
        <v>5</v>
      </c>
      <c r="M86" s="1112">
        <v>5</v>
      </c>
      <c r="N86" s="1090"/>
      <c r="O86" s="1090"/>
      <c r="P86" s="1090">
        <f t="shared" si="9"/>
        <v>5</v>
      </c>
      <c r="Q86" s="1090">
        <v>2140</v>
      </c>
      <c r="R86" s="1091">
        <f t="shared" si="10"/>
        <v>10700</v>
      </c>
      <c r="S86" s="1091">
        <f t="shared" si="11"/>
        <v>304.26540284360186</v>
      </c>
      <c r="T86" s="1091">
        <f t="shared" si="12"/>
        <v>10395.734597156397</v>
      </c>
    </row>
    <row r="87" spans="1:20" ht="45">
      <c r="A87" s="1088">
        <v>176</v>
      </c>
      <c r="B87" s="1169" t="s">
        <v>1328</v>
      </c>
      <c r="C87" s="1190" t="s">
        <v>1329</v>
      </c>
      <c r="D87" s="1172" t="s">
        <v>1263</v>
      </c>
      <c r="E87" s="1090"/>
      <c r="F87" s="1090"/>
      <c r="G87" s="1090"/>
      <c r="H87" s="1090"/>
      <c r="I87" s="1088">
        <v>6</v>
      </c>
      <c r="J87" s="1088">
        <v>205</v>
      </c>
      <c r="K87" s="1090"/>
      <c r="L87" s="1106">
        <v>226</v>
      </c>
      <c r="M87" s="1106">
        <v>226</v>
      </c>
      <c r="N87" s="1090"/>
      <c r="O87" s="1090"/>
      <c r="P87" s="1090">
        <f t="shared" si="9"/>
        <v>226</v>
      </c>
      <c r="Q87" s="1090">
        <v>10000</v>
      </c>
      <c r="R87" s="1091">
        <f t="shared" si="10"/>
        <v>2260000</v>
      </c>
      <c r="S87" s="1091">
        <f t="shared" si="11"/>
        <v>64265.402843601893</v>
      </c>
      <c r="T87" s="1091">
        <f t="shared" si="12"/>
        <v>2195734.597156398</v>
      </c>
    </row>
    <row r="88" spans="1:20">
      <c r="A88" s="1088">
        <v>281</v>
      </c>
      <c r="B88" s="1106" t="s">
        <v>3749</v>
      </c>
      <c r="C88" s="1189" t="s">
        <v>3750</v>
      </c>
      <c r="D88" s="1106" t="s">
        <v>1022</v>
      </c>
      <c r="E88" s="1090"/>
      <c r="F88" s="1090"/>
      <c r="G88" s="1090"/>
      <c r="H88" s="1090"/>
      <c r="I88" s="1088">
        <v>6</v>
      </c>
      <c r="J88" s="1088">
        <v>205</v>
      </c>
      <c r="K88" s="1090"/>
      <c r="L88" s="1109">
        <v>50</v>
      </c>
      <c r="M88" s="1109">
        <v>50</v>
      </c>
      <c r="N88" s="1090"/>
      <c r="O88" s="1090"/>
      <c r="P88" s="1090">
        <f t="shared" si="9"/>
        <v>50</v>
      </c>
      <c r="Q88" s="1090">
        <v>400</v>
      </c>
      <c r="R88" s="1091">
        <f t="shared" si="10"/>
        <v>20000</v>
      </c>
      <c r="S88" s="1091">
        <f t="shared" si="11"/>
        <v>568.72037914691941</v>
      </c>
      <c r="T88" s="1091">
        <f t="shared" si="12"/>
        <v>19431.279620853082</v>
      </c>
    </row>
    <row r="89" spans="1:20" ht="30">
      <c r="A89" s="1088">
        <v>86</v>
      </c>
      <c r="B89" s="1107" t="s">
        <v>3751</v>
      </c>
      <c r="C89" s="1092" t="s">
        <v>3752</v>
      </c>
      <c r="D89" s="1107" t="s">
        <v>1268</v>
      </c>
      <c r="E89" s="1090"/>
      <c r="F89" s="1088"/>
      <c r="G89" s="1088"/>
      <c r="H89" s="1088"/>
      <c r="I89" s="1088">
        <v>6</v>
      </c>
      <c r="J89" s="1088">
        <v>205</v>
      </c>
      <c r="K89" s="1088"/>
      <c r="L89" s="1107">
        <v>200</v>
      </c>
      <c r="M89" s="1107">
        <v>200</v>
      </c>
      <c r="N89" s="1088"/>
      <c r="O89" s="1088"/>
      <c r="P89" s="1090">
        <f t="shared" si="9"/>
        <v>200</v>
      </c>
      <c r="Q89" s="1099">
        <v>580</v>
      </c>
      <c r="R89" s="1091">
        <f t="shared" si="10"/>
        <v>116000</v>
      </c>
      <c r="S89" s="1091">
        <f t="shared" si="11"/>
        <v>3298.5781990521327</v>
      </c>
      <c r="T89" s="1091">
        <f t="shared" si="12"/>
        <v>112701.42180094786</v>
      </c>
    </row>
    <row r="90" spans="1:20">
      <c r="A90" s="1088">
        <v>142</v>
      </c>
      <c r="B90" s="1106" t="s">
        <v>3753</v>
      </c>
      <c r="C90" s="1189" t="s">
        <v>3754</v>
      </c>
      <c r="D90" s="1106" t="s">
        <v>1335</v>
      </c>
      <c r="E90" s="1090"/>
      <c r="F90" s="1090"/>
      <c r="G90" s="1090"/>
      <c r="H90" s="1090"/>
      <c r="I90" s="1088">
        <v>6</v>
      </c>
      <c r="J90" s="1088">
        <v>205</v>
      </c>
      <c r="K90" s="1090"/>
      <c r="L90" s="1106">
        <v>24</v>
      </c>
      <c r="M90" s="1106">
        <v>24</v>
      </c>
      <c r="N90" s="1090"/>
      <c r="O90" s="1090"/>
      <c r="P90" s="1090">
        <f t="shared" si="9"/>
        <v>24</v>
      </c>
      <c r="Q90" s="1090">
        <v>12000</v>
      </c>
      <c r="R90" s="1091">
        <f t="shared" si="10"/>
        <v>288000</v>
      </c>
      <c r="S90" s="1091">
        <f t="shared" si="11"/>
        <v>8189.5734597156397</v>
      </c>
      <c r="T90" s="1091">
        <f t="shared" si="12"/>
        <v>279810.42654028436</v>
      </c>
    </row>
    <row r="91" spans="1:20">
      <c r="A91" s="1088">
        <v>287</v>
      </c>
      <c r="B91" s="1106" t="s">
        <v>1339</v>
      </c>
      <c r="C91" s="1189" t="s">
        <v>3755</v>
      </c>
      <c r="D91" s="1106" t="s">
        <v>1022</v>
      </c>
      <c r="E91" s="1090"/>
      <c r="F91" s="1090"/>
      <c r="G91" s="1090"/>
      <c r="H91" s="1090"/>
      <c r="I91" s="1088">
        <v>6</v>
      </c>
      <c r="J91" s="1088">
        <v>205</v>
      </c>
      <c r="K91" s="1090"/>
      <c r="L91" s="1109">
        <v>30</v>
      </c>
      <c r="M91" s="1109">
        <v>30</v>
      </c>
      <c r="N91" s="1090"/>
      <c r="O91" s="1090"/>
      <c r="P91" s="1090">
        <f t="shared" si="9"/>
        <v>30</v>
      </c>
      <c r="Q91" s="1090">
        <v>265</v>
      </c>
      <c r="R91" s="1091">
        <f t="shared" si="10"/>
        <v>7950</v>
      </c>
      <c r="S91" s="1091">
        <f t="shared" si="11"/>
        <v>226.06635071090045</v>
      </c>
      <c r="T91" s="1091">
        <f t="shared" si="12"/>
        <v>7723.9336492890998</v>
      </c>
    </row>
    <row r="92" spans="1:20">
      <c r="A92" s="1088">
        <v>279</v>
      </c>
      <c r="B92" s="1106" t="s">
        <v>3756</v>
      </c>
      <c r="C92" s="1189" t="s">
        <v>3757</v>
      </c>
      <c r="D92" s="1106" t="s">
        <v>1022</v>
      </c>
      <c r="E92" s="1090"/>
      <c r="F92" s="1090"/>
      <c r="G92" s="1090"/>
      <c r="H92" s="1090"/>
      <c r="I92" s="1088">
        <v>6</v>
      </c>
      <c r="J92" s="1088">
        <v>205</v>
      </c>
      <c r="K92" s="1090"/>
      <c r="L92" s="1109">
        <v>100</v>
      </c>
      <c r="M92" s="1109">
        <v>100</v>
      </c>
      <c r="N92" s="1090"/>
      <c r="O92" s="1090"/>
      <c r="P92" s="1090">
        <f t="shared" si="9"/>
        <v>100</v>
      </c>
      <c r="Q92" s="1090">
        <v>450</v>
      </c>
      <c r="R92" s="1091">
        <f t="shared" si="10"/>
        <v>45000</v>
      </c>
      <c r="S92" s="1091">
        <f t="shared" si="11"/>
        <v>1279.6208530805686</v>
      </c>
      <c r="T92" s="1091">
        <f t="shared" si="12"/>
        <v>43720.379146919433</v>
      </c>
    </row>
    <row r="93" spans="1:20" ht="45">
      <c r="A93" s="1088">
        <v>55</v>
      </c>
      <c r="B93" s="1107" t="s">
        <v>3758</v>
      </c>
      <c r="C93" s="1092" t="s">
        <v>3759</v>
      </c>
      <c r="D93" s="1107" t="s">
        <v>1268</v>
      </c>
      <c r="E93" s="1090"/>
      <c r="F93" s="1088"/>
      <c r="G93" s="1088"/>
      <c r="H93" s="1088"/>
      <c r="I93" s="1088">
        <v>6</v>
      </c>
      <c r="J93" s="1088">
        <v>205</v>
      </c>
      <c r="K93" s="1088"/>
      <c r="L93" s="1107">
        <v>65</v>
      </c>
      <c r="M93" s="1107">
        <v>65</v>
      </c>
      <c r="N93" s="1088"/>
      <c r="O93" s="1088"/>
      <c r="P93" s="1090">
        <f t="shared" si="9"/>
        <v>65</v>
      </c>
      <c r="Q93" s="1099">
        <v>400</v>
      </c>
      <c r="R93" s="1091">
        <f t="shared" si="10"/>
        <v>26000</v>
      </c>
      <c r="S93" s="1091">
        <f t="shared" si="11"/>
        <v>739.33649289099526</v>
      </c>
      <c r="T93" s="1091">
        <f t="shared" si="12"/>
        <v>25260.663507109006</v>
      </c>
    </row>
    <row r="94" spans="1:20" ht="45">
      <c r="A94" s="1088">
        <v>56</v>
      </c>
      <c r="B94" s="1107" t="s">
        <v>3758</v>
      </c>
      <c r="C94" s="1092" t="s">
        <v>3760</v>
      </c>
      <c r="D94" s="1107" t="s">
        <v>1268</v>
      </c>
      <c r="E94" s="1090"/>
      <c r="F94" s="1088"/>
      <c r="G94" s="1088"/>
      <c r="H94" s="1088"/>
      <c r="I94" s="1088">
        <v>6</v>
      </c>
      <c r="J94" s="1088">
        <v>205</v>
      </c>
      <c r="K94" s="1088"/>
      <c r="L94" s="1107">
        <v>65</v>
      </c>
      <c r="M94" s="1107">
        <v>65</v>
      </c>
      <c r="N94" s="1088"/>
      <c r="O94" s="1088"/>
      <c r="P94" s="1090">
        <f t="shared" si="9"/>
        <v>65</v>
      </c>
      <c r="Q94" s="1099">
        <v>480</v>
      </c>
      <c r="R94" s="1091">
        <f t="shared" si="10"/>
        <v>31200</v>
      </c>
      <c r="S94" s="1091">
        <f t="shared" si="11"/>
        <v>887.20379146919424</v>
      </c>
      <c r="T94" s="1091">
        <f t="shared" si="12"/>
        <v>30312.796208530806</v>
      </c>
    </row>
    <row r="95" spans="1:20" ht="45">
      <c r="A95" s="1088">
        <v>53</v>
      </c>
      <c r="B95" s="1107" t="s">
        <v>3761</v>
      </c>
      <c r="C95" s="1092" t="s">
        <v>3759</v>
      </c>
      <c r="D95" s="1107" t="s">
        <v>1268</v>
      </c>
      <c r="E95" s="1090"/>
      <c r="F95" s="1088"/>
      <c r="G95" s="1088"/>
      <c r="H95" s="1088"/>
      <c r="I95" s="1088">
        <v>6</v>
      </c>
      <c r="J95" s="1088">
        <v>205</v>
      </c>
      <c r="K95" s="1088"/>
      <c r="L95" s="1107">
        <v>65</v>
      </c>
      <c r="M95" s="1107">
        <v>65</v>
      </c>
      <c r="N95" s="1088"/>
      <c r="O95" s="1088"/>
      <c r="P95" s="1090">
        <f t="shared" si="9"/>
        <v>65</v>
      </c>
      <c r="Q95" s="1099">
        <v>380</v>
      </c>
      <c r="R95" s="1091">
        <f t="shared" si="10"/>
        <v>24700</v>
      </c>
      <c r="S95" s="1091">
        <f t="shared" si="11"/>
        <v>702.36966824644549</v>
      </c>
      <c r="T95" s="1091">
        <f t="shared" si="12"/>
        <v>23997.630331753553</v>
      </c>
    </row>
    <row r="96" spans="1:20" ht="45">
      <c r="A96" s="1088">
        <v>54</v>
      </c>
      <c r="B96" s="1107" t="s">
        <v>3761</v>
      </c>
      <c r="C96" s="1092" t="s">
        <v>3760</v>
      </c>
      <c r="D96" s="1107" t="s">
        <v>1268</v>
      </c>
      <c r="E96" s="1090"/>
      <c r="F96" s="1088"/>
      <c r="G96" s="1088"/>
      <c r="H96" s="1088"/>
      <c r="I96" s="1088">
        <v>6</v>
      </c>
      <c r="J96" s="1088">
        <v>205</v>
      </c>
      <c r="K96" s="1088"/>
      <c r="L96" s="1107">
        <v>65</v>
      </c>
      <c r="M96" s="1107">
        <v>65</v>
      </c>
      <c r="N96" s="1088"/>
      <c r="O96" s="1088"/>
      <c r="P96" s="1090">
        <f t="shared" si="9"/>
        <v>65</v>
      </c>
      <c r="Q96" s="1099">
        <v>450</v>
      </c>
      <c r="R96" s="1091">
        <f t="shared" si="10"/>
        <v>29250</v>
      </c>
      <c r="S96" s="1091">
        <f t="shared" si="11"/>
        <v>831.75355450236964</v>
      </c>
      <c r="T96" s="1091">
        <f t="shared" si="12"/>
        <v>28418.246445497629</v>
      </c>
    </row>
    <row r="97" spans="1:20" ht="30">
      <c r="A97" s="1088">
        <v>186</v>
      </c>
      <c r="B97" s="1110" t="s">
        <v>1349</v>
      </c>
      <c r="C97" s="1189" t="s">
        <v>1350</v>
      </c>
      <c r="D97" s="1110" t="s">
        <v>1351</v>
      </c>
      <c r="E97" s="1090"/>
      <c r="F97" s="1090"/>
      <c r="G97" s="1090"/>
      <c r="H97" s="1090"/>
      <c r="I97" s="1088">
        <v>6</v>
      </c>
      <c r="J97" s="1088">
        <v>205</v>
      </c>
      <c r="K97" s="1090"/>
      <c r="L97" s="1110">
        <v>10</v>
      </c>
      <c r="M97" s="1110">
        <v>10</v>
      </c>
      <c r="N97" s="1090"/>
      <c r="O97" s="1090"/>
      <c r="P97" s="1090">
        <f t="shared" si="9"/>
        <v>10</v>
      </c>
      <c r="Q97" s="1090">
        <v>1712</v>
      </c>
      <c r="R97" s="1091">
        <f t="shared" si="10"/>
        <v>17120</v>
      </c>
      <c r="S97" s="1091">
        <f t="shared" si="11"/>
        <v>486.82464454976304</v>
      </c>
      <c r="T97" s="1091">
        <f t="shared" si="12"/>
        <v>16633.175355450236</v>
      </c>
    </row>
    <row r="98" spans="1:20">
      <c r="A98" s="1088">
        <v>233</v>
      </c>
      <c r="B98" s="1109" t="s">
        <v>1349</v>
      </c>
      <c r="C98" s="1189" t="s">
        <v>1352</v>
      </c>
      <c r="D98" s="1109" t="s">
        <v>1351</v>
      </c>
      <c r="E98" s="1090"/>
      <c r="F98" s="1090"/>
      <c r="G98" s="1090"/>
      <c r="H98" s="1090"/>
      <c r="I98" s="1088">
        <v>6</v>
      </c>
      <c r="J98" s="1088">
        <v>205</v>
      </c>
      <c r="K98" s="1090"/>
      <c r="L98" s="1112">
        <v>5</v>
      </c>
      <c r="M98" s="1112">
        <v>5</v>
      </c>
      <c r="N98" s="1090"/>
      <c r="O98" s="1090"/>
      <c r="P98" s="1090">
        <f t="shared" si="9"/>
        <v>5</v>
      </c>
      <c r="Q98" s="1090">
        <v>1712</v>
      </c>
      <c r="R98" s="1091">
        <f t="shared" si="10"/>
        <v>8560</v>
      </c>
      <c r="S98" s="1091">
        <f t="shared" si="11"/>
        <v>243.41232227488152</v>
      </c>
      <c r="T98" s="1091">
        <f t="shared" si="12"/>
        <v>8316.5876777251178</v>
      </c>
    </row>
    <row r="99" spans="1:20">
      <c r="A99" s="1088">
        <v>156</v>
      </c>
      <c r="B99" s="1106" t="s">
        <v>3762</v>
      </c>
      <c r="C99" s="1189" t="s">
        <v>3763</v>
      </c>
      <c r="D99" s="1106" t="s">
        <v>1022</v>
      </c>
      <c r="E99" s="1090"/>
      <c r="F99" s="1090"/>
      <c r="G99" s="1090"/>
      <c r="H99" s="1090"/>
      <c r="I99" s="1088">
        <v>6</v>
      </c>
      <c r="J99" s="1088">
        <v>205</v>
      </c>
      <c r="K99" s="1090"/>
      <c r="L99" s="1106">
        <v>120</v>
      </c>
      <c r="M99" s="1106">
        <v>120</v>
      </c>
      <c r="N99" s="1090"/>
      <c r="O99" s="1090"/>
      <c r="P99" s="1090">
        <f t="shared" si="9"/>
        <v>120</v>
      </c>
      <c r="Q99" s="1090">
        <v>1500</v>
      </c>
      <c r="R99" s="1091">
        <f t="shared" si="10"/>
        <v>180000</v>
      </c>
      <c r="S99" s="1091">
        <f t="shared" si="11"/>
        <v>5118.4834123222745</v>
      </c>
      <c r="T99" s="1091">
        <f t="shared" si="12"/>
        <v>174881.51658767773</v>
      </c>
    </row>
    <row r="100" spans="1:20">
      <c r="A100" s="1088">
        <v>251</v>
      </c>
      <c r="B100" s="1109" t="s">
        <v>3764</v>
      </c>
      <c r="C100" s="1189"/>
      <c r="D100" s="1109" t="s">
        <v>1022</v>
      </c>
      <c r="E100" s="1090"/>
      <c r="F100" s="1090"/>
      <c r="G100" s="1090"/>
      <c r="H100" s="1090"/>
      <c r="I100" s="1088">
        <v>6</v>
      </c>
      <c r="J100" s="1088">
        <v>205</v>
      </c>
      <c r="K100" s="1090"/>
      <c r="L100" s="1112">
        <v>50</v>
      </c>
      <c r="M100" s="1112">
        <v>50</v>
      </c>
      <c r="N100" s="1090"/>
      <c r="O100" s="1090"/>
      <c r="P100" s="1090">
        <f t="shared" si="9"/>
        <v>50</v>
      </c>
      <c r="Q100" s="1090">
        <v>2996</v>
      </c>
      <c r="R100" s="1091">
        <f t="shared" si="10"/>
        <v>149800</v>
      </c>
      <c r="S100" s="1091">
        <f t="shared" si="11"/>
        <v>4259.7156398104262</v>
      </c>
      <c r="T100" s="1091">
        <f t="shared" si="12"/>
        <v>145540.28436018957</v>
      </c>
    </row>
    <row r="101" spans="1:20" ht="45">
      <c r="A101" s="1090"/>
      <c r="B101" s="1166" t="s">
        <v>1357</v>
      </c>
      <c r="C101" s="1158" t="s">
        <v>3765</v>
      </c>
      <c r="D101" s="1157" t="s">
        <v>1022</v>
      </c>
      <c r="E101" s="1090"/>
      <c r="F101" s="1088"/>
      <c r="G101" s="1088"/>
      <c r="H101" s="1088"/>
      <c r="I101" s="1088"/>
      <c r="J101" s="1088"/>
      <c r="K101" s="1088"/>
      <c r="L101" s="1102"/>
      <c r="M101" s="1102"/>
      <c r="N101" s="1088"/>
      <c r="O101" s="1088"/>
      <c r="P101" s="1090"/>
      <c r="Q101" s="1099"/>
      <c r="R101" s="1091"/>
      <c r="S101" s="1091"/>
      <c r="T101" s="1091"/>
    </row>
    <row r="102" spans="1:20">
      <c r="A102" s="1088">
        <v>216</v>
      </c>
      <c r="B102" s="1110" t="s">
        <v>1359</v>
      </c>
      <c r="C102" s="1189" t="s">
        <v>3766</v>
      </c>
      <c r="D102" s="1110" t="s">
        <v>1022</v>
      </c>
      <c r="E102" s="1090"/>
      <c r="F102" s="1090"/>
      <c r="G102" s="1090"/>
      <c r="H102" s="1090"/>
      <c r="I102" s="1088">
        <v>6</v>
      </c>
      <c r="J102" s="1088">
        <v>205</v>
      </c>
      <c r="K102" s="1090"/>
      <c r="L102" s="1110">
        <v>5</v>
      </c>
      <c r="M102" s="1110">
        <v>5</v>
      </c>
      <c r="N102" s="1090"/>
      <c r="O102" s="1090"/>
      <c r="P102" s="1090">
        <f t="shared" ref="P102:P110" si="13">L102-O102</f>
        <v>5</v>
      </c>
      <c r="Q102" s="1090">
        <v>107</v>
      </c>
      <c r="R102" s="1091">
        <f t="shared" ref="R102:R110" si="14">P102*Q102</f>
        <v>535</v>
      </c>
      <c r="S102" s="1091">
        <f t="shared" ref="S102:S110" si="15">R102*(I102/(I102+J102+K102))</f>
        <v>15.213270142180095</v>
      </c>
      <c r="T102" s="1091">
        <f t="shared" ref="T102:T110" si="16">R102-S102</f>
        <v>519.78672985781986</v>
      </c>
    </row>
    <row r="103" spans="1:20" ht="30">
      <c r="A103" s="1088">
        <v>217</v>
      </c>
      <c r="B103" s="1110" t="s">
        <v>1359</v>
      </c>
      <c r="C103" s="1189" t="s">
        <v>3767</v>
      </c>
      <c r="D103" s="1110" t="s">
        <v>1022</v>
      </c>
      <c r="E103" s="1090"/>
      <c r="F103" s="1090"/>
      <c r="G103" s="1090"/>
      <c r="H103" s="1090"/>
      <c r="I103" s="1088">
        <v>6</v>
      </c>
      <c r="J103" s="1088">
        <v>205</v>
      </c>
      <c r="K103" s="1090"/>
      <c r="L103" s="1110">
        <v>5</v>
      </c>
      <c r="M103" s="1110">
        <v>5</v>
      </c>
      <c r="N103" s="1090"/>
      <c r="O103" s="1090"/>
      <c r="P103" s="1090">
        <f t="shared" si="13"/>
        <v>5</v>
      </c>
      <c r="Q103" s="1090">
        <v>1690.6000000000001</v>
      </c>
      <c r="R103" s="1091">
        <f t="shared" si="14"/>
        <v>8453</v>
      </c>
      <c r="S103" s="1091">
        <f t="shared" si="15"/>
        <v>240.36966824644549</v>
      </c>
      <c r="T103" s="1091">
        <f t="shared" si="16"/>
        <v>8212.6303317535549</v>
      </c>
    </row>
    <row r="104" spans="1:20">
      <c r="A104" s="1088">
        <v>130</v>
      </c>
      <c r="B104" s="1106" t="s">
        <v>3768</v>
      </c>
      <c r="C104" s="1189"/>
      <c r="D104" s="1106" t="s">
        <v>1268</v>
      </c>
      <c r="E104" s="1090"/>
      <c r="F104" s="1090"/>
      <c r="G104" s="1090"/>
      <c r="H104" s="1090"/>
      <c r="I104" s="1088">
        <v>6</v>
      </c>
      <c r="J104" s="1088">
        <v>205</v>
      </c>
      <c r="K104" s="1090"/>
      <c r="L104" s="1106">
        <v>130</v>
      </c>
      <c r="M104" s="1106">
        <v>130</v>
      </c>
      <c r="N104" s="1090"/>
      <c r="O104" s="1090"/>
      <c r="P104" s="1090">
        <f t="shared" si="13"/>
        <v>130</v>
      </c>
      <c r="Q104" s="1090">
        <v>1900</v>
      </c>
      <c r="R104" s="1091">
        <f t="shared" si="14"/>
        <v>247000</v>
      </c>
      <c r="S104" s="1091">
        <f t="shared" si="15"/>
        <v>7023.6966824644551</v>
      </c>
      <c r="T104" s="1091">
        <f t="shared" si="16"/>
        <v>239976.30331753555</v>
      </c>
    </row>
    <row r="105" spans="1:20">
      <c r="A105" s="1088">
        <v>166</v>
      </c>
      <c r="B105" s="1106" t="s">
        <v>3769</v>
      </c>
      <c r="C105" s="1189"/>
      <c r="D105" s="1106" t="s">
        <v>1022</v>
      </c>
      <c r="E105" s="1090"/>
      <c r="F105" s="1090"/>
      <c r="G105" s="1090"/>
      <c r="H105" s="1090"/>
      <c r="I105" s="1088">
        <v>6</v>
      </c>
      <c r="J105" s="1088">
        <v>205</v>
      </c>
      <c r="K105" s="1090"/>
      <c r="L105" s="1106">
        <v>3</v>
      </c>
      <c r="M105" s="1106">
        <v>3</v>
      </c>
      <c r="N105" s="1090"/>
      <c r="O105" s="1090"/>
      <c r="P105" s="1090">
        <f t="shared" si="13"/>
        <v>3</v>
      </c>
      <c r="Q105" s="1090">
        <v>25000</v>
      </c>
      <c r="R105" s="1091">
        <f t="shared" si="14"/>
        <v>75000</v>
      </c>
      <c r="S105" s="1091">
        <f t="shared" si="15"/>
        <v>2132.7014218009476</v>
      </c>
      <c r="T105" s="1091">
        <f t="shared" si="16"/>
        <v>72867.298578199057</v>
      </c>
    </row>
    <row r="106" spans="1:20">
      <c r="A106" s="1088">
        <v>270</v>
      </c>
      <c r="B106" s="1106" t="s">
        <v>1364</v>
      </c>
      <c r="C106" s="1189" t="s">
        <v>1365</v>
      </c>
      <c r="D106" s="1106" t="s">
        <v>1022</v>
      </c>
      <c r="E106" s="1090"/>
      <c r="F106" s="1090"/>
      <c r="G106" s="1090"/>
      <c r="H106" s="1090"/>
      <c r="I106" s="1088">
        <v>6</v>
      </c>
      <c r="J106" s="1088">
        <v>205</v>
      </c>
      <c r="K106" s="1090"/>
      <c r="L106" s="1109">
        <v>100</v>
      </c>
      <c r="M106" s="1109">
        <v>100</v>
      </c>
      <c r="N106" s="1090"/>
      <c r="O106" s="1090"/>
      <c r="P106" s="1090">
        <f t="shared" si="13"/>
        <v>100</v>
      </c>
      <c r="Q106" s="1090">
        <v>1800</v>
      </c>
      <c r="R106" s="1091">
        <f t="shared" si="14"/>
        <v>180000</v>
      </c>
      <c r="S106" s="1091">
        <f t="shared" si="15"/>
        <v>5118.4834123222745</v>
      </c>
      <c r="T106" s="1091">
        <f t="shared" si="16"/>
        <v>174881.51658767773</v>
      </c>
    </row>
    <row r="107" spans="1:20">
      <c r="A107" s="1088">
        <v>271</v>
      </c>
      <c r="B107" s="1106" t="s">
        <v>1366</v>
      </c>
      <c r="C107" s="1189" t="s">
        <v>1367</v>
      </c>
      <c r="D107" s="1106" t="s">
        <v>1022</v>
      </c>
      <c r="E107" s="1090"/>
      <c r="F107" s="1090"/>
      <c r="G107" s="1090"/>
      <c r="H107" s="1090"/>
      <c r="I107" s="1088">
        <v>6</v>
      </c>
      <c r="J107" s="1088">
        <v>205</v>
      </c>
      <c r="K107" s="1090"/>
      <c r="L107" s="1109">
        <v>150</v>
      </c>
      <c r="M107" s="1109">
        <v>150</v>
      </c>
      <c r="N107" s="1090"/>
      <c r="O107" s="1090"/>
      <c r="P107" s="1090">
        <f t="shared" si="13"/>
        <v>150</v>
      </c>
      <c r="Q107" s="1090">
        <v>1800</v>
      </c>
      <c r="R107" s="1091">
        <f t="shared" si="14"/>
        <v>270000</v>
      </c>
      <c r="S107" s="1091">
        <f t="shared" si="15"/>
        <v>7677.7251184834122</v>
      </c>
      <c r="T107" s="1091">
        <f t="shared" si="16"/>
        <v>262322.27488151658</v>
      </c>
    </row>
    <row r="108" spans="1:20">
      <c r="A108" s="1088">
        <v>89</v>
      </c>
      <c r="B108" s="1107" t="s">
        <v>1368</v>
      </c>
      <c r="C108" s="1092" t="s">
        <v>1369</v>
      </c>
      <c r="D108" s="1107" t="s">
        <v>1268</v>
      </c>
      <c r="E108" s="1090"/>
      <c r="F108" s="1088"/>
      <c r="G108" s="1088"/>
      <c r="H108" s="1088"/>
      <c r="I108" s="1088">
        <v>6</v>
      </c>
      <c r="J108" s="1088">
        <v>205</v>
      </c>
      <c r="K108" s="1088"/>
      <c r="L108" s="1107">
        <v>100</v>
      </c>
      <c r="M108" s="1107">
        <v>100</v>
      </c>
      <c r="N108" s="1088"/>
      <c r="O108" s="1088"/>
      <c r="P108" s="1090">
        <f t="shared" si="13"/>
        <v>100</v>
      </c>
      <c r="Q108" s="1099">
        <v>1200</v>
      </c>
      <c r="R108" s="1091">
        <f t="shared" si="14"/>
        <v>120000</v>
      </c>
      <c r="S108" s="1091">
        <f t="shared" si="15"/>
        <v>3412.3222748815165</v>
      </c>
      <c r="T108" s="1091">
        <f t="shared" si="16"/>
        <v>116587.67772511848</v>
      </c>
    </row>
    <row r="109" spans="1:20">
      <c r="A109" s="1088">
        <v>90</v>
      </c>
      <c r="B109" s="1107" t="s">
        <v>1368</v>
      </c>
      <c r="C109" s="1092" t="s">
        <v>1370</v>
      </c>
      <c r="D109" s="1107" t="s">
        <v>1268</v>
      </c>
      <c r="E109" s="1090"/>
      <c r="F109" s="1088"/>
      <c r="G109" s="1088"/>
      <c r="H109" s="1088"/>
      <c r="I109" s="1088">
        <v>6</v>
      </c>
      <c r="J109" s="1088">
        <v>205</v>
      </c>
      <c r="K109" s="1088"/>
      <c r="L109" s="1107">
        <v>100</v>
      </c>
      <c r="M109" s="1107">
        <v>100</v>
      </c>
      <c r="N109" s="1088"/>
      <c r="O109" s="1088"/>
      <c r="P109" s="1090">
        <f t="shared" si="13"/>
        <v>100</v>
      </c>
      <c r="Q109" s="1099">
        <v>1200</v>
      </c>
      <c r="R109" s="1091">
        <f t="shared" si="14"/>
        <v>120000</v>
      </c>
      <c r="S109" s="1091">
        <f t="shared" si="15"/>
        <v>3412.3222748815165</v>
      </c>
      <c r="T109" s="1091">
        <f t="shared" si="16"/>
        <v>116587.67772511848</v>
      </c>
    </row>
    <row r="110" spans="1:20">
      <c r="A110" s="1088">
        <v>118</v>
      </c>
      <c r="B110" s="1107" t="s">
        <v>3770</v>
      </c>
      <c r="C110" s="1189" t="s">
        <v>3771</v>
      </c>
      <c r="D110" s="1107" t="s">
        <v>1268</v>
      </c>
      <c r="E110" s="1090"/>
      <c r="F110" s="1090"/>
      <c r="G110" s="1090"/>
      <c r="H110" s="1088"/>
      <c r="I110" s="1088">
        <v>6</v>
      </c>
      <c r="J110" s="1088">
        <v>205</v>
      </c>
      <c r="K110" s="1088"/>
      <c r="L110" s="1107">
        <v>2700</v>
      </c>
      <c r="M110" s="1107">
        <v>2700</v>
      </c>
      <c r="N110" s="1088"/>
      <c r="O110" s="1088"/>
      <c r="P110" s="1090">
        <f t="shared" si="13"/>
        <v>2700</v>
      </c>
      <c r="Q110" s="1088">
        <v>50</v>
      </c>
      <c r="R110" s="1091">
        <f t="shared" si="14"/>
        <v>135000</v>
      </c>
      <c r="S110" s="1091">
        <f t="shared" si="15"/>
        <v>3838.8625592417061</v>
      </c>
      <c r="T110" s="1091">
        <f t="shared" si="16"/>
        <v>131161.13744075829</v>
      </c>
    </row>
    <row r="111" spans="1:20" ht="30">
      <c r="A111" s="1088"/>
      <c r="B111" s="1180" t="s">
        <v>1373</v>
      </c>
      <c r="C111" s="1195" t="s">
        <v>1374</v>
      </c>
      <c r="D111" s="1180" t="s">
        <v>1022</v>
      </c>
      <c r="E111" s="1090"/>
      <c r="F111" s="1090"/>
      <c r="G111" s="1090"/>
      <c r="H111" s="1090"/>
      <c r="I111" s="1088"/>
      <c r="J111" s="1088"/>
      <c r="K111" s="1090"/>
      <c r="L111" s="1109"/>
      <c r="M111" s="1109"/>
      <c r="N111" s="1090"/>
      <c r="O111" s="1090"/>
      <c r="P111" s="1090"/>
      <c r="Q111" s="1090"/>
      <c r="R111" s="1091"/>
      <c r="S111" s="1091"/>
      <c r="T111" s="1091"/>
    </row>
    <row r="112" spans="1:20" ht="30">
      <c r="A112" s="1088">
        <v>188</v>
      </c>
      <c r="B112" s="1110" t="s">
        <v>3772</v>
      </c>
      <c r="C112" s="1189" t="s">
        <v>3773</v>
      </c>
      <c r="D112" s="1110" t="s">
        <v>1351</v>
      </c>
      <c r="E112" s="1090"/>
      <c r="F112" s="1090"/>
      <c r="G112" s="1090"/>
      <c r="H112" s="1090"/>
      <c r="I112" s="1088">
        <v>6</v>
      </c>
      <c r="J112" s="1088">
        <v>205</v>
      </c>
      <c r="K112" s="1090"/>
      <c r="L112" s="1110">
        <v>30</v>
      </c>
      <c r="M112" s="1110">
        <v>30</v>
      </c>
      <c r="N112" s="1090"/>
      <c r="O112" s="1090"/>
      <c r="P112" s="1090">
        <f t="shared" ref="P112:P175" si="17">L112-O112</f>
        <v>30</v>
      </c>
      <c r="Q112" s="1090">
        <v>1070</v>
      </c>
      <c r="R112" s="1091">
        <f t="shared" ref="R112:R175" si="18">P112*Q112</f>
        <v>32100</v>
      </c>
      <c r="S112" s="1091">
        <f t="shared" ref="S112:S175" si="19">R112*(I112/(I112+J112+K112))</f>
        <v>912.79620853080564</v>
      </c>
      <c r="T112" s="1091">
        <f t="shared" ref="T112:T175" si="20">R112-S112</f>
        <v>31187.203791469194</v>
      </c>
    </row>
    <row r="113" spans="1:20">
      <c r="A113" s="1088">
        <v>219</v>
      </c>
      <c r="B113" s="1110" t="s">
        <v>1377</v>
      </c>
      <c r="C113" s="1189"/>
      <c r="D113" s="1110" t="s">
        <v>1022</v>
      </c>
      <c r="E113" s="1090"/>
      <c r="F113" s="1090"/>
      <c r="G113" s="1090"/>
      <c r="H113" s="1090"/>
      <c r="I113" s="1088">
        <v>6</v>
      </c>
      <c r="J113" s="1088">
        <v>205</v>
      </c>
      <c r="K113" s="1090"/>
      <c r="L113" s="1110">
        <v>20</v>
      </c>
      <c r="M113" s="1110">
        <v>20</v>
      </c>
      <c r="N113" s="1090"/>
      <c r="O113" s="1090"/>
      <c r="P113" s="1090">
        <f t="shared" si="17"/>
        <v>20</v>
      </c>
      <c r="Q113" s="1090">
        <v>663.40000000000009</v>
      </c>
      <c r="R113" s="1091">
        <f t="shared" si="18"/>
        <v>13268.000000000002</v>
      </c>
      <c r="S113" s="1091">
        <f t="shared" si="19"/>
        <v>377.28909952606637</v>
      </c>
      <c r="T113" s="1091">
        <f t="shared" si="20"/>
        <v>12890.710900473936</v>
      </c>
    </row>
    <row r="114" spans="1:20">
      <c r="A114" s="1088">
        <v>253</v>
      </c>
      <c r="B114" s="1112" t="s">
        <v>3774</v>
      </c>
      <c r="C114" s="1189"/>
      <c r="D114" s="1112" t="s">
        <v>1022</v>
      </c>
      <c r="E114" s="1090"/>
      <c r="F114" s="1090"/>
      <c r="G114" s="1090"/>
      <c r="H114" s="1090"/>
      <c r="I114" s="1088">
        <v>6</v>
      </c>
      <c r="J114" s="1088">
        <v>205</v>
      </c>
      <c r="K114" s="1090"/>
      <c r="L114" s="1112">
        <v>40</v>
      </c>
      <c r="M114" s="1112">
        <v>40</v>
      </c>
      <c r="N114" s="1090"/>
      <c r="O114" s="1090"/>
      <c r="P114" s="1090">
        <f t="shared" si="17"/>
        <v>40</v>
      </c>
      <c r="Q114" s="1090">
        <v>2675</v>
      </c>
      <c r="R114" s="1091">
        <f t="shared" si="18"/>
        <v>107000</v>
      </c>
      <c r="S114" s="1091">
        <f t="shared" si="19"/>
        <v>3042.654028436019</v>
      </c>
      <c r="T114" s="1091">
        <f t="shared" si="20"/>
        <v>103957.34597156398</v>
      </c>
    </row>
    <row r="115" spans="1:20">
      <c r="A115" s="1088">
        <v>159</v>
      </c>
      <c r="B115" s="1106" t="s">
        <v>3775</v>
      </c>
      <c r="C115" s="1189"/>
      <c r="D115" s="1106" t="s">
        <v>1022</v>
      </c>
      <c r="E115" s="1090"/>
      <c r="F115" s="1090"/>
      <c r="G115" s="1090"/>
      <c r="H115" s="1090"/>
      <c r="I115" s="1088">
        <v>6</v>
      </c>
      <c r="J115" s="1088">
        <v>205</v>
      </c>
      <c r="K115" s="1090"/>
      <c r="L115" s="1106">
        <v>40</v>
      </c>
      <c r="M115" s="1106">
        <v>40</v>
      </c>
      <c r="N115" s="1090"/>
      <c r="O115" s="1090"/>
      <c r="P115" s="1090">
        <f t="shared" si="17"/>
        <v>40</v>
      </c>
      <c r="Q115" s="1090">
        <v>4000</v>
      </c>
      <c r="R115" s="1091">
        <f t="shared" si="18"/>
        <v>160000</v>
      </c>
      <c r="S115" s="1091">
        <f t="shared" si="19"/>
        <v>4549.7630331753553</v>
      </c>
      <c r="T115" s="1091">
        <f t="shared" si="20"/>
        <v>155450.23696682465</v>
      </c>
    </row>
    <row r="116" spans="1:20">
      <c r="A116" s="1088">
        <v>189</v>
      </c>
      <c r="B116" s="1110" t="s">
        <v>3776</v>
      </c>
      <c r="C116" s="1189"/>
      <c r="D116" s="1110" t="s">
        <v>1022</v>
      </c>
      <c r="E116" s="1090"/>
      <c r="F116" s="1090"/>
      <c r="G116" s="1090"/>
      <c r="H116" s="1090"/>
      <c r="I116" s="1088">
        <v>6</v>
      </c>
      <c r="J116" s="1088">
        <v>205</v>
      </c>
      <c r="K116" s="1090"/>
      <c r="L116" s="1110">
        <v>10</v>
      </c>
      <c r="M116" s="1110">
        <v>10</v>
      </c>
      <c r="N116" s="1090"/>
      <c r="O116" s="1090"/>
      <c r="P116" s="1090">
        <f t="shared" si="17"/>
        <v>10</v>
      </c>
      <c r="Q116" s="1090">
        <v>377.71000000000004</v>
      </c>
      <c r="R116" s="1091">
        <f t="shared" si="18"/>
        <v>3777.1000000000004</v>
      </c>
      <c r="S116" s="1091">
        <f t="shared" si="19"/>
        <v>107.40568720379147</v>
      </c>
      <c r="T116" s="1091">
        <f t="shared" si="20"/>
        <v>3669.694312796209</v>
      </c>
    </row>
    <row r="117" spans="1:20">
      <c r="A117" s="1088">
        <v>255</v>
      </c>
      <c r="B117" s="1109" t="s">
        <v>3776</v>
      </c>
      <c r="C117" s="1189"/>
      <c r="D117" s="1109" t="s">
        <v>1022</v>
      </c>
      <c r="E117" s="1090"/>
      <c r="F117" s="1090"/>
      <c r="G117" s="1090"/>
      <c r="H117" s="1090"/>
      <c r="I117" s="1088">
        <v>6</v>
      </c>
      <c r="J117" s="1088">
        <v>205</v>
      </c>
      <c r="K117" s="1090"/>
      <c r="L117" s="1109">
        <v>10</v>
      </c>
      <c r="M117" s="1109">
        <v>10</v>
      </c>
      <c r="N117" s="1090"/>
      <c r="O117" s="1090"/>
      <c r="P117" s="1090">
        <f t="shared" si="17"/>
        <v>10</v>
      </c>
      <c r="Q117" s="1090">
        <v>749</v>
      </c>
      <c r="R117" s="1091">
        <f t="shared" si="18"/>
        <v>7490</v>
      </c>
      <c r="S117" s="1091">
        <f t="shared" si="19"/>
        <v>212.9857819905213</v>
      </c>
      <c r="T117" s="1091">
        <f t="shared" si="20"/>
        <v>7277.014218009479</v>
      </c>
    </row>
    <row r="118" spans="1:20">
      <c r="A118" s="1088">
        <v>190</v>
      </c>
      <c r="B118" s="1110" t="s">
        <v>3777</v>
      </c>
      <c r="C118" s="1189" t="s">
        <v>3778</v>
      </c>
      <c r="D118" s="1110" t="s">
        <v>1022</v>
      </c>
      <c r="E118" s="1090"/>
      <c r="F118" s="1090"/>
      <c r="G118" s="1090"/>
      <c r="H118" s="1090"/>
      <c r="I118" s="1088">
        <v>6</v>
      </c>
      <c r="J118" s="1088">
        <v>205</v>
      </c>
      <c r="K118" s="1090"/>
      <c r="L118" s="1110">
        <v>10</v>
      </c>
      <c r="M118" s="1110">
        <v>10</v>
      </c>
      <c r="N118" s="1090"/>
      <c r="O118" s="1090"/>
      <c r="P118" s="1090">
        <f t="shared" si="17"/>
        <v>10</v>
      </c>
      <c r="Q118" s="1090">
        <v>2675</v>
      </c>
      <c r="R118" s="1091">
        <f t="shared" si="18"/>
        <v>26750</v>
      </c>
      <c r="S118" s="1091">
        <f t="shared" si="19"/>
        <v>760.66350710900474</v>
      </c>
      <c r="T118" s="1091">
        <f t="shared" si="20"/>
        <v>25989.336492890994</v>
      </c>
    </row>
    <row r="119" spans="1:20">
      <c r="A119" s="1088">
        <v>254</v>
      </c>
      <c r="B119" s="1112" t="s">
        <v>3299</v>
      </c>
      <c r="C119" s="1189"/>
      <c r="D119" s="1112" t="s">
        <v>1022</v>
      </c>
      <c r="E119" s="1090"/>
      <c r="F119" s="1090"/>
      <c r="G119" s="1090"/>
      <c r="H119" s="1090"/>
      <c r="I119" s="1088">
        <v>6</v>
      </c>
      <c r="J119" s="1088">
        <v>205</v>
      </c>
      <c r="K119" s="1090"/>
      <c r="L119" s="1112">
        <v>50</v>
      </c>
      <c r="M119" s="1112">
        <v>50</v>
      </c>
      <c r="N119" s="1090"/>
      <c r="O119" s="1090"/>
      <c r="P119" s="1090">
        <f t="shared" si="17"/>
        <v>50</v>
      </c>
      <c r="Q119" s="1090">
        <v>535</v>
      </c>
      <c r="R119" s="1091">
        <f t="shared" si="18"/>
        <v>26750</v>
      </c>
      <c r="S119" s="1091">
        <f t="shared" si="19"/>
        <v>760.66350710900474</v>
      </c>
      <c r="T119" s="1091">
        <f t="shared" si="20"/>
        <v>25989.336492890994</v>
      </c>
    </row>
    <row r="120" spans="1:20" ht="45">
      <c r="A120" s="1088">
        <v>218</v>
      </c>
      <c r="B120" s="1110" t="s">
        <v>3779</v>
      </c>
      <c r="C120" s="1189" t="s">
        <v>3780</v>
      </c>
      <c r="D120" s="1110" t="s">
        <v>1022</v>
      </c>
      <c r="E120" s="1090"/>
      <c r="F120" s="1090"/>
      <c r="G120" s="1090"/>
      <c r="H120" s="1090"/>
      <c r="I120" s="1088">
        <v>6</v>
      </c>
      <c r="J120" s="1088">
        <v>205</v>
      </c>
      <c r="K120" s="1090"/>
      <c r="L120" s="1110">
        <v>200</v>
      </c>
      <c r="M120" s="1110">
        <v>200</v>
      </c>
      <c r="N120" s="1090"/>
      <c r="O120" s="1090"/>
      <c r="P120" s="1090">
        <f t="shared" si="17"/>
        <v>200</v>
      </c>
      <c r="Q120" s="1090">
        <v>321</v>
      </c>
      <c r="R120" s="1091">
        <f t="shared" si="18"/>
        <v>64200</v>
      </c>
      <c r="S120" s="1091">
        <f t="shared" si="19"/>
        <v>1825.5924170616113</v>
      </c>
      <c r="T120" s="1091">
        <f t="shared" si="20"/>
        <v>62374.407582938387</v>
      </c>
    </row>
    <row r="121" spans="1:20">
      <c r="A121" s="1088">
        <v>145</v>
      </c>
      <c r="B121" s="1106" t="s">
        <v>1386</v>
      </c>
      <c r="C121" s="1189"/>
      <c r="D121" s="1106" t="s">
        <v>1022</v>
      </c>
      <c r="E121" s="1090"/>
      <c r="F121" s="1090"/>
      <c r="G121" s="1090"/>
      <c r="H121" s="1090"/>
      <c r="I121" s="1088">
        <v>6</v>
      </c>
      <c r="J121" s="1088">
        <v>205</v>
      </c>
      <c r="K121" s="1090"/>
      <c r="L121" s="1106">
        <v>40</v>
      </c>
      <c r="M121" s="1106">
        <v>40</v>
      </c>
      <c r="N121" s="1090"/>
      <c r="O121" s="1090"/>
      <c r="P121" s="1090">
        <f t="shared" si="17"/>
        <v>40</v>
      </c>
      <c r="Q121" s="1090">
        <v>1000</v>
      </c>
      <c r="R121" s="1091">
        <f t="shared" si="18"/>
        <v>40000</v>
      </c>
      <c r="S121" s="1091">
        <f t="shared" si="19"/>
        <v>1137.4407582938388</v>
      </c>
      <c r="T121" s="1091">
        <f t="shared" si="20"/>
        <v>38862.559241706163</v>
      </c>
    </row>
    <row r="122" spans="1:20" ht="30">
      <c r="A122" s="1183">
        <v>197</v>
      </c>
      <c r="B122" s="1184" t="s">
        <v>1387</v>
      </c>
      <c r="C122" s="1196" t="s">
        <v>1388</v>
      </c>
      <c r="D122" s="1106" t="s">
        <v>1268</v>
      </c>
      <c r="E122" s="1090"/>
      <c r="F122" s="1090"/>
      <c r="G122" s="1090"/>
      <c r="H122" s="1090"/>
      <c r="I122" s="1088">
        <v>6</v>
      </c>
      <c r="J122" s="1088">
        <v>205</v>
      </c>
      <c r="K122" s="1090"/>
      <c r="L122" s="1110">
        <v>132</v>
      </c>
      <c r="M122" s="1110">
        <v>132</v>
      </c>
      <c r="N122" s="1090"/>
      <c r="O122" s="1090"/>
      <c r="P122" s="1090">
        <f t="shared" si="17"/>
        <v>132</v>
      </c>
      <c r="Q122" s="1090">
        <v>642</v>
      </c>
      <c r="R122" s="1091">
        <f t="shared" si="18"/>
        <v>84744</v>
      </c>
      <c r="S122" s="1091">
        <f t="shared" si="19"/>
        <v>2409.7819905213269</v>
      </c>
      <c r="T122" s="1091">
        <f t="shared" si="20"/>
        <v>82334.218009478675</v>
      </c>
    </row>
    <row r="123" spans="1:20">
      <c r="A123" s="1088">
        <v>236</v>
      </c>
      <c r="B123" s="1109" t="s">
        <v>3781</v>
      </c>
      <c r="C123" s="1189"/>
      <c r="D123" s="1109" t="s">
        <v>1351</v>
      </c>
      <c r="E123" s="1090"/>
      <c r="F123" s="1090"/>
      <c r="G123" s="1090"/>
      <c r="H123" s="1090"/>
      <c r="I123" s="1088">
        <v>6</v>
      </c>
      <c r="J123" s="1088">
        <v>205</v>
      </c>
      <c r="K123" s="1090"/>
      <c r="L123" s="1112">
        <v>50</v>
      </c>
      <c r="M123" s="1112">
        <v>50</v>
      </c>
      <c r="N123" s="1090"/>
      <c r="O123" s="1090"/>
      <c r="P123" s="1090">
        <f t="shared" si="17"/>
        <v>50</v>
      </c>
      <c r="Q123" s="1090">
        <v>1070</v>
      </c>
      <c r="R123" s="1091">
        <f t="shared" si="18"/>
        <v>53500</v>
      </c>
      <c r="S123" s="1091">
        <f t="shared" si="19"/>
        <v>1521.3270142180095</v>
      </c>
      <c r="T123" s="1091">
        <f t="shared" si="20"/>
        <v>51978.672985781988</v>
      </c>
    </row>
    <row r="124" spans="1:20">
      <c r="A124" s="1088">
        <v>153</v>
      </c>
      <c r="B124" s="1106" t="s">
        <v>1389</v>
      </c>
      <c r="C124" s="1189"/>
      <c r="D124" s="1106" t="s">
        <v>1022</v>
      </c>
      <c r="E124" s="1090"/>
      <c r="F124" s="1090"/>
      <c r="G124" s="1090"/>
      <c r="H124" s="1090"/>
      <c r="I124" s="1088">
        <v>6</v>
      </c>
      <c r="J124" s="1088">
        <v>205</v>
      </c>
      <c r="K124" s="1090"/>
      <c r="L124" s="1106">
        <v>16</v>
      </c>
      <c r="M124" s="1106">
        <v>16</v>
      </c>
      <c r="N124" s="1090"/>
      <c r="O124" s="1090"/>
      <c r="P124" s="1090">
        <f t="shared" si="17"/>
        <v>16</v>
      </c>
      <c r="Q124" s="1090">
        <v>1000</v>
      </c>
      <c r="R124" s="1091">
        <f t="shared" si="18"/>
        <v>16000</v>
      </c>
      <c r="S124" s="1091">
        <f t="shared" si="19"/>
        <v>454.9763033175355</v>
      </c>
      <c r="T124" s="1091">
        <f t="shared" si="20"/>
        <v>15545.023696682465</v>
      </c>
    </row>
    <row r="125" spans="1:20" ht="60">
      <c r="A125" s="1090"/>
      <c r="B125" s="1157" t="s">
        <v>1390</v>
      </c>
      <c r="C125" s="1158" t="s">
        <v>1391</v>
      </c>
      <c r="D125" s="1157" t="s">
        <v>1203</v>
      </c>
      <c r="E125" s="1090"/>
      <c r="F125" s="1088"/>
      <c r="G125" s="1088"/>
      <c r="H125" s="1088"/>
      <c r="I125" s="1088">
        <v>6</v>
      </c>
      <c r="J125" s="1088">
        <v>205</v>
      </c>
      <c r="K125" s="1088"/>
      <c r="L125" s="1102">
        <v>100</v>
      </c>
      <c r="M125" s="1102">
        <v>100</v>
      </c>
      <c r="N125" s="1088"/>
      <c r="O125" s="1088"/>
      <c r="P125" s="1090">
        <f t="shared" si="17"/>
        <v>100</v>
      </c>
      <c r="Q125" s="1099">
        <v>149.80000000000001</v>
      </c>
      <c r="R125" s="1091">
        <f t="shared" si="18"/>
        <v>14980.000000000002</v>
      </c>
      <c r="S125" s="1091">
        <f t="shared" si="19"/>
        <v>425.97156398104266</v>
      </c>
      <c r="T125" s="1091">
        <f t="shared" si="20"/>
        <v>14554.02843601896</v>
      </c>
    </row>
    <row r="126" spans="1:20">
      <c r="A126" s="1088">
        <v>249</v>
      </c>
      <c r="B126" s="1109" t="s">
        <v>1392</v>
      </c>
      <c r="C126" s="1189"/>
      <c r="D126" s="1109" t="s">
        <v>1022</v>
      </c>
      <c r="E126" s="1090"/>
      <c r="F126" s="1090"/>
      <c r="G126" s="1090"/>
      <c r="H126" s="1090"/>
      <c r="I126" s="1088">
        <v>6</v>
      </c>
      <c r="J126" s="1088">
        <v>205</v>
      </c>
      <c r="K126" s="1090"/>
      <c r="L126" s="1112">
        <v>5</v>
      </c>
      <c r="M126" s="1112">
        <v>5</v>
      </c>
      <c r="N126" s="1090"/>
      <c r="O126" s="1090"/>
      <c r="P126" s="1090">
        <f t="shared" si="17"/>
        <v>5</v>
      </c>
      <c r="Q126" s="1090">
        <v>267.5</v>
      </c>
      <c r="R126" s="1091">
        <f t="shared" si="18"/>
        <v>1337.5</v>
      </c>
      <c r="S126" s="1091">
        <f t="shared" si="19"/>
        <v>38.033175355450233</v>
      </c>
      <c r="T126" s="1091">
        <f t="shared" si="20"/>
        <v>1299.4668246445497</v>
      </c>
    </row>
    <row r="127" spans="1:20">
      <c r="A127" s="1088">
        <v>250</v>
      </c>
      <c r="B127" s="1109" t="s">
        <v>3782</v>
      </c>
      <c r="C127" s="1189"/>
      <c r="D127" s="1109" t="s">
        <v>1395</v>
      </c>
      <c r="E127" s="1090"/>
      <c r="F127" s="1090"/>
      <c r="G127" s="1090"/>
      <c r="H127" s="1090"/>
      <c r="I127" s="1088">
        <v>6</v>
      </c>
      <c r="J127" s="1088">
        <v>205</v>
      </c>
      <c r="K127" s="1090"/>
      <c r="L127" s="1112">
        <v>20</v>
      </c>
      <c r="M127" s="1112">
        <v>20</v>
      </c>
      <c r="N127" s="1090"/>
      <c r="O127" s="1090"/>
      <c r="P127" s="1090">
        <f t="shared" si="17"/>
        <v>20</v>
      </c>
      <c r="Q127" s="1090">
        <v>32.1</v>
      </c>
      <c r="R127" s="1091">
        <f t="shared" si="18"/>
        <v>642</v>
      </c>
      <c r="S127" s="1091">
        <f t="shared" si="19"/>
        <v>18.255924170616112</v>
      </c>
      <c r="T127" s="1091">
        <f t="shared" si="20"/>
        <v>623.74407582938386</v>
      </c>
    </row>
    <row r="128" spans="1:20">
      <c r="A128" s="1088">
        <v>108</v>
      </c>
      <c r="B128" s="1107" t="s">
        <v>1396</v>
      </c>
      <c r="C128" s="1092" t="s">
        <v>3783</v>
      </c>
      <c r="D128" s="1107" t="s">
        <v>1263</v>
      </c>
      <c r="E128" s="1090"/>
      <c r="F128" s="1088"/>
      <c r="G128" s="1088"/>
      <c r="H128" s="1088"/>
      <c r="I128" s="1088">
        <v>6</v>
      </c>
      <c r="J128" s="1088">
        <v>205</v>
      </c>
      <c r="K128" s="1088"/>
      <c r="L128" s="1107">
        <v>80</v>
      </c>
      <c r="M128" s="1107">
        <v>80</v>
      </c>
      <c r="N128" s="1088"/>
      <c r="O128" s="1088"/>
      <c r="P128" s="1090">
        <f t="shared" si="17"/>
        <v>80</v>
      </c>
      <c r="Q128" s="1088">
        <v>250</v>
      </c>
      <c r="R128" s="1091">
        <f t="shared" si="18"/>
        <v>20000</v>
      </c>
      <c r="S128" s="1091">
        <f t="shared" si="19"/>
        <v>568.72037914691941</v>
      </c>
      <c r="T128" s="1091">
        <f t="shared" si="20"/>
        <v>19431.279620853082</v>
      </c>
    </row>
    <row r="129" spans="1:20">
      <c r="A129" s="1088">
        <v>109</v>
      </c>
      <c r="B129" s="1107" t="s">
        <v>1396</v>
      </c>
      <c r="C129" s="1092" t="s">
        <v>3784</v>
      </c>
      <c r="D129" s="1107" t="s">
        <v>1263</v>
      </c>
      <c r="E129" s="1090"/>
      <c r="F129" s="1088"/>
      <c r="G129" s="1088"/>
      <c r="H129" s="1088"/>
      <c r="I129" s="1088">
        <v>6</v>
      </c>
      <c r="J129" s="1088">
        <v>205</v>
      </c>
      <c r="K129" s="1088"/>
      <c r="L129" s="1107">
        <v>210</v>
      </c>
      <c r="M129" s="1107">
        <v>210</v>
      </c>
      <c r="N129" s="1088"/>
      <c r="O129" s="1088"/>
      <c r="P129" s="1090">
        <f t="shared" si="17"/>
        <v>210</v>
      </c>
      <c r="Q129" s="1088">
        <v>320</v>
      </c>
      <c r="R129" s="1091">
        <f t="shared" si="18"/>
        <v>67200</v>
      </c>
      <c r="S129" s="1091">
        <f t="shared" si="19"/>
        <v>1910.9004739336492</v>
      </c>
      <c r="T129" s="1091">
        <f t="shared" si="20"/>
        <v>65289.099526066348</v>
      </c>
    </row>
    <row r="130" spans="1:20">
      <c r="A130" s="1088">
        <v>276</v>
      </c>
      <c r="B130" s="1106" t="s">
        <v>2213</v>
      </c>
      <c r="C130" s="1189" t="s">
        <v>2214</v>
      </c>
      <c r="D130" s="1106" t="s">
        <v>1022</v>
      </c>
      <c r="E130" s="1090"/>
      <c r="F130" s="1090"/>
      <c r="G130" s="1090"/>
      <c r="H130" s="1090"/>
      <c r="I130" s="1088">
        <v>6</v>
      </c>
      <c r="J130" s="1088">
        <v>205</v>
      </c>
      <c r="K130" s="1090"/>
      <c r="L130" s="1109">
        <v>60</v>
      </c>
      <c r="M130" s="1109">
        <v>60</v>
      </c>
      <c r="N130" s="1090"/>
      <c r="O130" s="1090"/>
      <c r="P130" s="1090">
        <f t="shared" si="17"/>
        <v>60</v>
      </c>
      <c r="Q130" s="1090">
        <v>250</v>
      </c>
      <c r="R130" s="1091">
        <f t="shared" si="18"/>
        <v>15000</v>
      </c>
      <c r="S130" s="1091">
        <f t="shared" si="19"/>
        <v>426.54028436018956</v>
      </c>
      <c r="T130" s="1091">
        <f t="shared" si="20"/>
        <v>14573.45971563981</v>
      </c>
    </row>
    <row r="131" spans="1:20" ht="75">
      <c r="A131" s="1088">
        <v>94</v>
      </c>
      <c r="B131" s="1107" t="s">
        <v>3785</v>
      </c>
      <c r="C131" s="1092" t="s">
        <v>3786</v>
      </c>
      <c r="D131" s="1107" t="s">
        <v>1268</v>
      </c>
      <c r="E131" s="1090"/>
      <c r="F131" s="1088"/>
      <c r="G131" s="1088"/>
      <c r="H131" s="1088"/>
      <c r="I131" s="1088">
        <v>6</v>
      </c>
      <c r="J131" s="1088">
        <v>205</v>
      </c>
      <c r="K131" s="1088"/>
      <c r="L131" s="1107">
        <v>13</v>
      </c>
      <c r="M131" s="1107">
        <v>13</v>
      </c>
      <c r="N131" s="1088"/>
      <c r="O131" s="1088"/>
      <c r="P131" s="1090">
        <f t="shared" si="17"/>
        <v>13</v>
      </c>
      <c r="Q131" s="1099">
        <v>3000</v>
      </c>
      <c r="R131" s="1091">
        <f t="shared" si="18"/>
        <v>39000</v>
      </c>
      <c r="S131" s="1091">
        <f t="shared" si="19"/>
        <v>1109.0047393364928</v>
      </c>
      <c r="T131" s="1091">
        <f t="shared" si="20"/>
        <v>37890.995260663505</v>
      </c>
    </row>
    <row r="132" spans="1:20" ht="30">
      <c r="A132" s="1088">
        <v>191</v>
      </c>
      <c r="B132" s="1110" t="s">
        <v>1401</v>
      </c>
      <c r="C132" s="1189" t="s">
        <v>1402</v>
      </c>
      <c r="D132" s="1110" t="s">
        <v>1022</v>
      </c>
      <c r="E132" s="1090"/>
      <c r="F132" s="1090"/>
      <c r="G132" s="1090"/>
      <c r="H132" s="1090"/>
      <c r="I132" s="1088">
        <v>6</v>
      </c>
      <c r="J132" s="1088">
        <v>205</v>
      </c>
      <c r="K132" s="1090"/>
      <c r="L132" s="1110">
        <v>5</v>
      </c>
      <c r="M132" s="1110">
        <v>5</v>
      </c>
      <c r="N132" s="1090"/>
      <c r="O132" s="1090"/>
      <c r="P132" s="1090">
        <f t="shared" si="17"/>
        <v>5</v>
      </c>
      <c r="Q132" s="1090">
        <v>769.33</v>
      </c>
      <c r="R132" s="1091">
        <f t="shared" si="18"/>
        <v>3846.65</v>
      </c>
      <c r="S132" s="1091">
        <f t="shared" si="19"/>
        <v>109.38341232227488</v>
      </c>
      <c r="T132" s="1091">
        <f t="shared" si="20"/>
        <v>3737.2665876777251</v>
      </c>
    </row>
    <row r="133" spans="1:20" ht="30">
      <c r="A133" s="1088">
        <v>296</v>
      </c>
      <c r="B133" s="1106" t="s">
        <v>1403</v>
      </c>
      <c r="C133" s="1189" t="s">
        <v>1404</v>
      </c>
      <c r="D133" s="1106" t="s">
        <v>1022</v>
      </c>
      <c r="E133" s="1090"/>
      <c r="F133" s="1090"/>
      <c r="G133" s="1090"/>
      <c r="H133" s="1090"/>
      <c r="I133" s="1088">
        <v>6</v>
      </c>
      <c r="J133" s="1088">
        <v>205</v>
      </c>
      <c r="K133" s="1090"/>
      <c r="L133" s="1109">
        <v>1</v>
      </c>
      <c r="M133" s="1109">
        <v>1</v>
      </c>
      <c r="N133" s="1090"/>
      <c r="O133" s="1090"/>
      <c r="P133" s="1090">
        <f t="shared" si="17"/>
        <v>1</v>
      </c>
      <c r="Q133" s="1090">
        <v>1300</v>
      </c>
      <c r="R133" s="1091">
        <f t="shared" si="18"/>
        <v>1300</v>
      </c>
      <c r="S133" s="1091">
        <f t="shared" si="19"/>
        <v>36.96682464454976</v>
      </c>
      <c r="T133" s="1091">
        <f t="shared" si="20"/>
        <v>1263.0331753554503</v>
      </c>
    </row>
    <row r="134" spans="1:20">
      <c r="A134" s="1088">
        <v>302</v>
      </c>
      <c r="B134" s="1106" t="s">
        <v>1405</v>
      </c>
      <c r="C134" s="1189" t="s">
        <v>1406</v>
      </c>
      <c r="D134" s="1106" t="s">
        <v>1022</v>
      </c>
      <c r="E134" s="1090"/>
      <c r="F134" s="1090"/>
      <c r="G134" s="1090"/>
      <c r="H134" s="1090"/>
      <c r="I134" s="1088">
        <v>6</v>
      </c>
      <c r="J134" s="1088">
        <v>205</v>
      </c>
      <c r="K134" s="1090"/>
      <c r="L134" s="1109">
        <v>1</v>
      </c>
      <c r="M134" s="1109">
        <v>1</v>
      </c>
      <c r="N134" s="1090"/>
      <c r="O134" s="1090"/>
      <c r="P134" s="1090">
        <f t="shared" si="17"/>
        <v>1</v>
      </c>
      <c r="Q134" s="1090">
        <v>900</v>
      </c>
      <c r="R134" s="1091">
        <f t="shared" si="18"/>
        <v>900</v>
      </c>
      <c r="S134" s="1091">
        <f t="shared" si="19"/>
        <v>25.592417061611375</v>
      </c>
      <c r="T134" s="1091">
        <f t="shared" si="20"/>
        <v>874.4075829383886</v>
      </c>
    </row>
    <row r="135" spans="1:20">
      <c r="A135" s="1088">
        <v>301</v>
      </c>
      <c r="B135" s="1106" t="s">
        <v>1407</v>
      </c>
      <c r="C135" s="1189" t="s">
        <v>1408</v>
      </c>
      <c r="D135" s="1106" t="s">
        <v>1022</v>
      </c>
      <c r="E135" s="1090"/>
      <c r="F135" s="1090"/>
      <c r="G135" s="1090"/>
      <c r="H135" s="1090"/>
      <c r="I135" s="1088">
        <v>6</v>
      </c>
      <c r="J135" s="1088">
        <v>205</v>
      </c>
      <c r="K135" s="1090"/>
      <c r="L135" s="1109">
        <v>1</v>
      </c>
      <c r="M135" s="1109">
        <v>1</v>
      </c>
      <c r="N135" s="1090"/>
      <c r="O135" s="1090"/>
      <c r="P135" s="1090">
        <f t="shared" si="17"/>
        <v>1</v>
      </c>
      <c r="Q135" s="1090">
        <v>1100</v>
      </c>
      <c r="R135" s="1091">
        <f t="shared" si="18"/>
        <v>1100</v>
      </c>
      <c r="S135" s="1091">
        <f t="shared" si="19"/>
        <v>31.279620853080566</v>
      </c>
      <c r="T135" s="1091">
        <f t="shared" si="20"/>
        <v>1068.7203791469194</v>
      </c>
    </row>
    <row r="136" spans="1:20">
      <c r="A136" s="1088">
        <v>103</v>
      </c>
      <c r="B136" s="1107" t="s">
        <v>1409</v>
      </c>
      <c r="C136" s="1089" t="s">
        <v>3787</v>
      </c>
      <c r="D136" s="1107" t="s">
        <v>1411</v>
      </c>
      <c r="E136" s="1090"/>
      <c r="F136" s="1088"/>
      <c r="G136" s="1088"/>
      <c r="H136" s="1088"/>
      <c r="I136" s="1088">
        <v>6</v>
      </c>
      <c r="J136" s="1088">
        <v>205</v>
      </c>
      <c r="K136" s="1088"/>
      <c r="L136" s="1107">
        <v>700</v>
      </c>
      <c r="M136" s="1107">
        <v>700</v>
      </c>
      <c r="N136" s="1088"/>
      <c r="O136" s="1088"/>
      <c r="P136" s="1090">
        <f t="shared" si="17"/>
        <v>700</v>
      </c>
      <c r="Q136" s="1088">
        <v>650</v>
      </c>
      <c r="R136" s="1091">
        <f t="shared" si="18"/>
        <v>455000</v>
      </c>
      <c r="S136" s="1091">
        <f t="shared" si="19"/>
        <v>12938.388625592417</v>
      </c>
      <c r="T136" s="1091">
        <f t="shared" si="20"/>
        <v>442061.6113744076</v>
      </c>
    </row>
    <row r="137" spans="1:20">
      <c r="A137" s="1088">
        <v>104</v>
      </c>
      <c r="B137" s="1107" t="s">
        <v>1409</v>
      </c>
      <c r="C137" s="1089" t="s">
        <v>3788</v>
      </c>
      <c r="D137" s="1107" t="s">
        <v>1411</v>
      </c>
      <c r="E137" s="1090"/>
      <c r="F137" s="1088"/>
      <c r="G137" s="1088"/>
      <c r="H137" s="1088"/>
      <c r="I137" s="1088">
        <v>6</v>
      </c>
      <c r="J137" s="1088">
        <v>205</v>
      </c>
      <c r="K137" s="1088"/>
      <c r="L137" s="1107">
        <v>700</v>
      </c>
      <c r="M137" s="1107">
        <v>700</v>
      </c>
      <c r="N137" s="1088"/>
      <c r="O137" s="1088"/>
      <c r="P137" s="1090">
        <f t="shared" si="17"/>
        <v>700</v>
      </c>
      <c r="Q137" s="1088">
        <v>750</v>
      </c>
      <c r="R137" s="1091">
        <f t="shared" si="18"/>
        <v>525000</v>
      </c>
      <c r="S137" s="1091">
        <f t="shared" si="19"/>
        <v>14928.909952606635</v>
      </c>
      <c r="T137" s="1091">
        <f t="shared" si="20"/>
        <v>510071.09004739334</v>
      </c>
    </row>
    <row r="138" spans="1:20">
      <c r="A138" s="1088">
        <v>155</v>
      </c>
      <c r="B138" s="1106" t="s">
        <v>1413</v>
      </c>
      <c r="C138" s="1093" t="s">
        <v>3789</v>
      </c>
      <c r="D138" s="1106" t="s">
        <v>1415</v>
      </c>
      <c r="E138" s="1090"/>
      <c r="F138" s="1090"/>
      <c r="G138" s="1090"/>
      <c r="H138" s="1090"/>
      <c r="I138" s="1088">
        <v>6</v>
      </c>
      <c r="J138" s="1088">
        <v>205</v>
      </c>
      <c r="K138" s="1090"/>
      <c r="L138" s="1106">
        <v>700</v>
      </c>
      <c r="M138" s="1106">
        <v>700</v>
      </c>
      <c r="N138" s="1090"/>
      <c r="O138" s="1090"/>
      <c r="P138" s="1090">
        <f t="shared" si="17"/>
        <v>700</v>
      </c>
      <c r="Q138" s="1090">
        <v>450</v>
      </c>
      <c r="R138" s="1091">
        <f t="shared" si="18"/>
        <v>315000</v>
      </c>
      <c r="S138" s="1091">
        <f t="shared" si="19"/>
        <v>8957.3459715639801</v>
      </c>
      <c r="T138" s="1091">
        <f t="shared" si="20"/>
        <v>306042.65402843599</v>
      </c>
    </row>
    <row r="139" spans="1:20">
      <c r="A139" s="1088">
        <v>105</v>
      </c>
      <c r="B139" s="1107" t="s">
        <v>1416</v>
      </c>
      <c r="C139" s="1089" t="s">
        <v>3790</v>
      </c>
      <c r="D139" s="1107" t="s">
        <v>1411</v>
      </c>
      <c r="E139" s="1090"/>
      <c r="F139" s="1088"/>
      <c r="G139" s="1088"/>
      <c r="H139" s="1088"/>
      <c r="I139" s="1088">
        <v>6</v>
      </c>
      <c r="J139" s="1088">
        <v>205</v>
      </c>
      <c r="K139" s="1088"/>
      <c r="L139" s="1107">
        <v>700</v>
      </c>
      <c r="M139" s="1107">
        <v>700</v>
      </c>
      <c r="N139" s="1088"/>
      <c r="O139" s="1088"/>
      <c r="P139" s="1090">
        <f t="shared" si="17"/>
        <v>700</v>
      </c>
      <c r="Q139" s="1088">
        <v>600</v>
      </c>
      <c r="R139" s="1091">
        <f t="shared" si="18"/>
        <v>420000</v>
      </c>
      <c r="S139" s="1091">
        <f t="shared" si="19"/>
        <v>11943.127962085307</v>
      </c>
      <c r="T139" s="1091">
        <f t="shared" si="20"/>
        <v>408056.8720379147</v>
      </c>
    </row>
    <row r="140" spans="1:20">
      <c r="A140" s="1088">
        <v>106</v>
      </c>
      <c r="B140" s="1107" t="s">
        <v>1416</v>
      </c>
      <c r="C140" s="1089" t="s">
        <v>1418</v>
      </c>
      <c r="D140" s="1107" t="s">
        <v>1415</v>
      </c>
      <c r="E140" s="1090"/>
      <c r="F140" s="1088"/>
      <c r="G140" s="1088"/>
      <c r="H140" s="1088"/>
      <c r="I140" s="1088">
        <v>6</v>
      </c>
      <c r="J140" s="1088">
        <v>205</v>
      </c>
      <c r="K140" s="1088"/>
      <c r="L140" s="1107">
        <v>600</v>
      </c>
      <c r="M140" s="1107">
        <v>600</v>
      </c>
      <c r="N140" s="1088"/>
      <c r="O140" s="1088"/>
      <c r="P140" s="1090">
        <f t="shared" si="17"/>
        <v>600</v>
      </c>
      <c r="Q140" s="1088">
        <v>800</v>
      </c>
      <c r="R140" s="1091">
        <f t="shared" si="18"/>
        <v>480000</v>
      </c>
      <c r="S140" s="1091">
        <f t="shared" si="19"/>
        <v>13649.289099526066</v>
      </c>
      <c r="T140" s="1091">
        <f t="shared" si="20"/>
        <v>466350.71090047393</v>
      </c>
    </row>
    <row r="141" spans="1:20">
      <c r="A141" s="1088">
        <v>263</v>
      </c>
      <c r="B141" s="1114" t="s">
        <v>1419</v>
      </c>
      <c r="C141" s="1093" t="s">
        <v>3791</v>
      </c>
      <c r="D141" s="1114" t="s">
        <v>1415</v>
      </c>
      <c r="E141" s="1090"/>
      <c r="F141" s="1090"/>
      <c r="G141" s="1090"/>
      <c r="H141" s="1090"/>
      <c r="I141" s="1088">
        <v>6</v>
      </c>
      <c r="J141" s="1088">
        <v>205</v>
      </c>
      <c r="K141" s="1090"/>
      <c r="L141" s="1114">
        <v>300</v>
      </c>
      <c r="M141" s="1114">
        <v>300</v>
      </c>
      <c r="N141" s="1090"/>
      <c r="O141" s="1090"/>
      <c r="P141" s="1090">
        <f t="shared" si="17"/>
        <v>300</v>
      </c>
      <c r="Q141" s="1090">
        <v>350</v>
      </c>
      <c r="R141" s="1091">
        <f t="shared" si="18"/>
        <v>105000</v>
      </c>
      <c r="S141" s="1091">
        <f t="shared" si="19"/>
        <v>2985.7819905213269</v>
      </c>
      <c r="T141" s="1091">
        <f t="shared" si="20"/>
        <v>102014.21800947867</v>
      </c>
    </row>
    <row r="142" spans="1:20">
      <c r="A142" s="1088">
        <v>275</v>
      </c>
      <c r="B142" s="1106" t="s">
        <v>1421</v>
      </c>
      <c r="C142" s="1093" t="s">
        <v>3792</v>
      </c>
      <c r="D142" s="1106" t="s">
        <v>1022</v>
      </c>
      <c r="E142" s="1090"/>
      <c r="F142" s="1090"/>
      <c r="G142" s="1090"/>
      <c r="H142" s="1090"/>
      <c r="I142" s="1088">
        <v>6</v>
      </c>
      <c r="J142" s="1088">
        <v>205</v>
      </c>
      <c r="K142" s="1090"/>
      <c r="L142" s="1109">
        <v>50</v>
      </c>
      <c r="M142" s="1109">
        <v>50</v>
      </c>
      <c r="N142" s="1090"/>
      <c r="O142" s="1090"/>
      <c r="P142" s="1090">
        <f t="shared" si="17"/>
        <v>50</v>
      </c>
      <c r="Q142" s="1090">
        <v>140</v>
      </c>
      <c r="R142" s="1091">
        <f t="shared" si="18"/>
        <v>7000</v>
      </c>
      <c r="S142" s="1091">
        <f t="shared" si="19"/>
        <v>199.05213270142178</v>
      </c>
      <c r="T142" s="1091">
        <f t="shared" si="20"/>
        <v>6800.9478672985779</v>
      </c>
    </row>
    <row r="143" spans="1:20">
      <c r="A143" s="1088">
        <v>274</v>
      </c>
      <c r="B143" s="1106" t="s">
        <v>1423</v>
      </c>
      <c r="C143" s="1093" t="s">
        <v>3793</v>
      </c>
      <c r="D143" s="1106" t="s">
        <v>1022</v>
      </c>
      <c r="E143" s="1090"/>
      <c r="F143" s="1090"/>
      <c r="G143" s="1090"/>
      <c r="H143" s="1090"/>
      <c r="I143" s="1088">
        <v>6</v>
      </c>
      <c r="J143" s="1088">
        <v>205</v>
      </c>
      <c r="K143" s="1090"/>
      <c r="L143" s="1109">
        <v>50</v>
      </c>
      <c r="M143" s="1109">
        <v>50</v>
      </c>
      <c r="N143" s="1090"/>
      <c r="O143" s="1090"/>
      <c r="P143" s="1090">
        <f t="shared" si="17"/>
        <v>50</v>
      </c>
      <c r="Q143" s="1090">
        <v>153</v>
      </c>
      <c r="R143" s="1091">
        <f t="shared" si="18"/>
        <v>7650</v>
      </c>
      <c r="S143" s="1091">
        <f t="shared" si="19"/>
        <v>217.53554502369667</v>
      </c>
      <c r="T143" s="1091">
        <f t="shared" si="20"/>
        <v>7432.4644549763034</v>
      </c>
    </row>
    <row r="144" spans="1:20">
      <c r="A144" s="1088">
        <v>102</v>
      </c>
      <c r="B144" s="1107" t="s">
        <v>1425</v>
      </c>
      <c r="C144" s="1089" t="s">
        <v>3794</v>
      </c>
      <c r="D144" s="1107" t="s">
        <v>1411</v>
      </c>
      <c r="E144" s="1090"/>
      <c r="F144" s="1088"/>
      <c r="G144" s="1088"/>
      <c r="H144" s="1088"/>
      <c r="I144" s="1088">
        <v>6</v>
      </c>
      <c r="J144" s="1088">
        <v>205</v>
      </c>
      <c r="K144" s="1088"/>
      <c r="L144" s="1107">
        <v>300</v>
      </c>
      <c r="M144" s="1107">
        <v>300</v>
      </c>
      <c r="N144" s="1088"/>
      <c r="O144" s="1088"/>
      <c r="P144" s="1090">
        <f t="shared" si="17"/>
        <v>300</v>
      </c>
      <c r="Q144" s="1088">
        <v>1000</v>
      </c>
      <c r="R144" s="1091">
        <f t="shared" si="18"/>
        <v>300000</v>
      </c>
      <c r="S144" s="1091">
        <f t="shared" si="19"/>
        <v>8530.8056872037905</v>
      </c>
      <c r="T144" s="1091">
        <f t="shared" si="20"/>
        <v>291469.19431279623</v>
      </c>
    </row>
    <row r="145" spans="1:20">
      <c r="A145" s="1088">
        <v>101</v>
      </c>
      <c r="B145" s="1107" t="s">
        <v>1427</v>
      </c>
      <c r="C145" s="1089" t="s">
        <v>3795</v>
      </c>
      <c r="D145" s="1107" t="s">
        <v>1411</v>
      </c>
      <c r="E145" s="1090"/>
      <c r="F145" s="1088"/>
      <c r="G145" s="1088"/>
      <c r="H145" s="1088"/>
      <c r="I145" s="1088">
        <v>6</v>
      </c>
      <c r="J145" s="1088">
        <v>205</v>
      </c>
      <c r="K145" s="1088"/>
      <c r="L145" s="1107">
        <v>300</v>
      </c>
      <c r="M145" s="1107">
        <v>300</v>
      </c>
      <c r="N145" s="1088"/>
      <c r="O145" s="1088"/>
      <c r="P145" s="1090">
        <f t="shared" si="17"/>
        <v>300</v>
      </c>
      <c r="Q145" s="1099">
        <v>1900</v>
      </c>
      <c r="R145" s="1091">
        <f t="shared" si="18"/>
        <v>570000</v>
      </c>
      <c r="S145" s="1091">
        <f t="shared" si="19"/>
        <v>16208.530805687204</v>
      </c>
      <c r="T145" s="1091">
        <f t="shared" si="20"/>
        <v>553791.46919431281</v>
      </c>
    </row>
    <row r="146" spans="1:20">
      <c r="A146" s="1088">
        <v>206</v>
      </c>
      <c r="B146" s="1110" t="s">
        <v>3796</v>
      </c>
      <c r="C146" s="1093" t="s">
        <v>3797</v>
      </c>
      <c r="D146" s="1110" t="s">
        <v>1022</v>
      </c>
      <c r="E146" s="1090"/>
      <c r="F146" s="1090"/>
      <c r="G146" s="1090"/>
      <c r="H146" s="1090"/>
      <c r="I146" s="1088">
        <v>6</v>
      </c>
      <c r="J146" s="1088">
        <v>205</v>
      </c>
      <c r="K146" s="1090"/>
      <c r="L146" s="1110">
        <v>3</v>
      </c>
      <c r="M146" s="1110">
        <v>3</v>
      </c>
      <c r="N146" s="1090"/>
      <c r="O146" s="1090"/>
      <c r="P146" s="1090">
        <f t="shared" si="17"/>
        <v>3</v>
      </c>
      <c r="Q146" s="1090">
        <v>535</v>
      </c>
      <c r="R146" s="1091">
        <f t="shared" si="18"/>
        <v>1605</v>
      </c>
      <c r="S146" s="1091">
        <f t="shared" si="19"/>
        <v>45.639810426540279</v>
      </c>
      <c r="T146" s="1091">
        <f t="shared" si="20"/>
        <v>1559.3601895734598</v>
      </c>
    </row>
    <row r="147" spans="1:20">
      <c r="A147" s="1088">
        <v>298</v>
      </c>
      <c r="B147" s="1106" t="s">
        <v>1433</v>
      </c>
      <c r="C147" s="1093" t="s">
        <v>1432</v>
      </c>
      <c r="D147" s="1106" t="s">
        <v>1022</v>
      </c>
      <c r="E147" s="1090"/>
      <c r="F147" s="1090"/>
      <c r="G147" s="1090"/>
      <c r="H147" s="1090"/>
      <c r="I147" s="1088">
        <v>6</v>
      </c>
      <c r="J147" s="1088">
        <v>205</v>
      </c>
      <c r="K147" s="1090"/>
      <c r="L147" s="1109">
        <v>1</v>
      </c>
      <c r="M147" s="1109">
        <v>1</v>
      </c>
      <c r="N147" s="1090"/>
      <c r="O147" s="1090"/>
      <c r="P147" s="1090">
        <f t="shared" si="17"/>
        <v>1</v>
      </c>
      <c r="Q147" s="1090">
        <v>250</v>
      </c>
      <c r="R147" s="1091">
        <f t="shared" si="18"/>
        <v>250</v>
      </c>
      <c r="S147" s="1091">
        <f t="shared" si="19"/>
        <v>7.1090047393364921</v>
      </c>
      <c r="T147" s="1091">
        <f t="shared" si="20"/>
        <v>242.89099526066352</v>
      </c>
    </row>
    <row r="148" spans="1:20">
      <c r="A148" s="1088">
        <v>299</v>
      </c>
      <c r="B148" s="1106" t="s">
        <v>1433</v>
      </c>
      <c r="C148" s="1093" t="s">
        <v>1434</v>
      </c>
      <c r="D148" s="1106" t="s">
        <v>1022</v>
      </c>
      <c r="E148" s="1090"/>
      <c r="F148" s="1090"/>
      <c r="G148" s="1090"/>
      <c r="H148" s="1090"/>
      <c r="I148" s="1088">
        <v>6</v>
      </c>
      <c r="J148" s="1088">
        <v>205</v>
      </c>
      <c r="K148" s="1090"/>
      <c r="L148" s="1109">
        <v>1</v>
      </c>
      <c r="M148" s="1109">
        <v>1</v>
      </c>
      <c r="N148" s="1090"/>
      <c r="O148" s="1090"/>
      <c r="P148" s="1090">
        <f t="shared" si="17"/>
        <v>1</v>
      </c>
      <c r="Q148" s="1090">
        <v>450</v>
      </c>
      <c r="R148" s="1091">
        <f t="shared" si="18"/>
        <v>450</v>
      </c>
      <c r="S148" s="1091">
        <f t="shared" si="19"/>
        <v>12.796208530805687</v>
      </c>
      <c r="T148" s="1091">
        <f t="shared" si="20"/>
        <v>437.2037914691943</v>
      </c>
    </row>
    <row r="149" spans="1:20">
      <c r="A149" s="1088">
        <v>280</v>
      </c>
      <c r="B149" s="1106" t="s">
        <v>3798</v>
      </c>
      <c r="C149" s="1093" t="s">
        <v>3799</v>
      </c>
      <c r="D149" s="1106" t="s">
        <v>1022</v>
      </c>
      <c r="E149" s="1090"/>
      <c r="F149" s="1090"/>
      <c r="G149" s="1090"/>
      <c r="H149" s="1090"/>
      <c r="I149" s="1088">
        <v>6</v>
      </c>
      <c r="J149" s="1088">
        <v>205</v>
      </c>
      <c r="K149" s="1090"/>
      <c r="L149" s="1109">
        <v>10</v>
      </c>
      <c r="M149" s="1109">
        <v>10</v>
      </c>
      <c r="N149" s="1090"/>
      <c r="O149" s="1090"/>
      <c r="P149" s="1090">
        <f t="shared" si="17"/>
        <v>10</v>
      </c>
      <c r="Q149" s="1090">
        <v>7000</v>
      </c>
      <c r="R149" s="1091">
        <f t="shared" si="18"/>
        <v>70000</v>
      </c>
      <c r="S149" s="1091">
        <f t="shared" si="19"/>
        <v>1990.5213270142178</v>
      </c>
      <c r="T149" s="1091">
        <f t="shared" si="20"/>
        <v>68009.478672985788</v>
      </c>
    </row>
    <row r="150" spans="1:20">
      <c r="A150" s="1088">
        <v>143</v>
      </c>
      <c r="B150" s="1106" t="s">
        <v>3800</v>
      </c>
      <c r="C150" s="1093"/>
      <c r="D150" s="1106" t="s">
        <v>1022</v>
      </c>
      <c r="E150" s="1090"/>
      <c r="F150" s="1090"/>
      <c r="G150" s="1090"/>
      <c r="H150" s="1090"/>
      <c r="I150" s="1088">
        <v>6</v>
      </c>
      <c r="J150" s="1088">
        <v>205</v>
      </c>
      <c r="K150" s="1090"/>
      <c r="L150" s="1106">
        <v>35</v>
      </c>
      <c r="M150" s="1106">
        <v>35</v>
      </c>
      <c r="N150" s="1090"/>
      <c r="O150" s="1090"/>
      <c r="P150" s="1090">
        <f t="shared" si="17"/>
        <v>35</v>
      </c>
      <c r="Q150" s="1090">
        <v>214</v>
      </c>
      <c r="R150" s="1091">
        <f t="shared" si="18"/>
        <v>7490</v>
      </c>
      <c r="S150" s="1091">
        <f t="shared" si="19"/>
        <v>212.9857819905213</v>
      </c>
      <c r="T150" s="1091">
        <f t="shared" si="20"/>
        <v>7277.014218009479</v>
      </c>
    </row>
    <row r="151" spans="1:20">
      <c r="A151" s="1088">
        <v>165</v>
      </c>
      <c r="B151" s="1106" t="s">
        <v>3801</v>
      </c>
      <c r="C151" s="1093"/>
      <c r="D151" s="1106" t="s">
        <v>1022</v>
      </c>
      <c r="E151" s="1090"/>
      <c r="F151" s="1090"/>
      <c r="G151" s="1090"/>
      <c r="H151" s="1090"/>
      <c r="I151" s="1088">
        <v>6</v>
      </c>
      <c r="J151" s="1088">
        <v>205</v>
      </c>
      <c r="K151" s="1090"/>
      <c r="L151" s="1106">
        <v>18</v>
      </c>
      <c r="M151" s="1106">
        <v>18</v>
      </c>
      <c r="N151" s="1090"/>
      <c r="O151" s="1090"/>
      <c r="P151" s="1090">
        <f t="shared" si="17"/>
        <v>18</v>
      </c>
      <c r="Q151" s="1090">
        <v>1500</v>
      </c>
      <c r="R151" s="1091">
        <f t="shared" si="18"/>
        <v>27000</v>
      </c>
      <c r="S151" s="1091">
        <f t="shared" si="19"/>
        <v>767.7725118483412</v>
      </c>
      <c r="T151" s="1091">
        <f t="shared" si="20"/>
        <v>26232.227488151661</v>
      </c>
    </row>
    <row r="152" spans="1:20">
      <c r="A152" s="1088">
        <v>173</v>
      </c>
      <c r="B152" s="1106" t="s">
        <v>3802</v>
      </c>
      <c r="C152" s="1093"/>
      <c r="D152" s="1106" t="s">
        <v>1022</v>
      </c>
      <c r="E152" s="1090"/>
      <c r="F152" s="1090"/>
      <c r="G152" s="1090"/>
      <c r="H152" s="1090"/>
      <c r="I152" s="1088">
        <v>6</v>
      </c>
      <c r="J152" s="1088">
        <v>205</v>
      </c>
      <c r="K152" s="1090"/>
      <c r="L152" s="1106">
        <v>15</v>
      </c>
      <c r="M152" s="1106">
        <v>15</v>
      </c>
      <c r="N152" s="1090"/>
      <c r="O152" s="1090"/>
      <c r="P152" s="1090">
        <f t="shared" si="17"/>
        <v>15</v>
      </c>
      <c r="Q152" s="1090">
        <v>7000</v>
      </c>
      <c r="R152" s="1091">
        <f t="shared" si="18"/>
        <v>105000</v>
      </c>
      <c r="S152" s="1091">
        <f t="shared" si="19"/>
        <v>2985.7819905213269</v>
      </c>
      <c r="T152" s="1091">
        <f t="shared" si="20"/>
        <v>102014.21800947867</v>
      </c>
    </row>
    <row r="153" spans="1:20" ht="30">
      <c r="A153" s="1088">
        <v>192</v>
      </c>
      <c r="B153" s="1110" t="s">
        <v>2394</v>
      </c>
      <c r="C153" s="1093" t="s">
        <v>3803</v>
      </c>
      <c r="D153" s="1110" t="s">
        <v>1351</v>
      </c>
      <c r="E153" s="1090"/>
      <c r="F153" s="1090"/>
      <c r="G153" s="1090"/>
      <c r="H153" s="1090"/>
      <c r="I153" s="1088">
        <v>6</v>
      </c>
      <c r="J153" s="1088">
        <v>205</v>
      </c>
      <c r="K153" s="1090"/>
      <c r="L153" s="1110">
        <v>10</v>
      </c>
      <c r="M153" s="1110">
        <v>10</v>
      </c>
      <c r="N153" s="1090"/>
      <c r="O153" s="1090"/>
      <c r="P153" s="1090">
        <f t="shared" si="17"/>
        <v>10</v>
      </c>
      <c r="Q153" s="1090">
        <v>3210</v>
      </c>
      <c r="R153" s="1091">
        <f t="shared" si="18"/>
        <v>32100</v>
      </c>
      <c r="S153" s="1091">
        <f t="shared" si="19"/>
        <v>912.79620853080564</v>
      </c>
      <c r="T153" s="1091">
        <f t="shared" si="20"/>
        <v>31187.203791469194</v>
      </c>
    </row>
    <row r="154" spans="1:20">
      <c r="A154" s="1088">
        <v>239</v>
      </c>
      <c r="B154" s="1109" t="s">
        <v>2394</v>
      </c>
      <c r="C154" s="1093" t="s">
        <v>3804</v>
      </c>
      <c r="D154" s="1109" t="s">
        <v>1351</v>
      </c>
      <c r="E154" s="1090"/>
      <c r="F154" s="1090"/>
      <c r="G154" s="1090"/>
      <c r="H154" s="1090"/>
      <c r="I154" s="1088">
        <v>6</v>
      </c>
      <c r="J154" s="1088">
        <v>205</v>
      </c>
      <c r="K154" s="1090"/>
      <c r="L154" s="1112">
        <v>5</v>
      </c>
      <c r="M154" s="1112">
        <v>5</v>
      </c>
      <c r="N154" s="1090"/>
      <c r="O154" s="1090"/>
      <c r="P154" s="1090">
        <f t="shared" si="17"/>
        <v>5</v>
      </c>
      <c r="Q154" s="1090">
        <v>3210</v>
      </c>
      <c r="R154" s="1091">
        <f t="shared" si="18"/>
        <v>16050</v>
      </c>
      <c r="S154" s="1091">
        <f t="shared" si="19"/>
        <v>456.39810426540282</v>
      </c>
      <c r="T154" s="1091">
        <f t="shared" si="20"/>
        <v>15593.601895734597</v>
      </c>
    </row>
    <row r="155" spans="1:20" ht="60">
      <c r="A155" s="1088">
        <v>32</v>
      </c>
      <c r="B155" s="1106" t="s">
        <v>1446</v>
      </c>
      <c r="C155" s="1089" t="s">
        <v>3305</v>
      </c>
      <c r="D155" s="1107" t="s">
        <v>1268</v>
      </c>
      <c r="E155" s="1090"/>
      <c r="F155" s="1088"/>
      <c r="G155" s="1088"/>
      <c r="H155" s="1088"/>
      <c r="I155" s="1088">
        <v>6</v>
      </c>
      <c r="J155" s="1088">
        <v>205</v>
      </c>
      <c r="K155" s="1088"/>
      <c r="L155" s="1108">
        <v>270</v>
      </c>
      <c r="M155" s="1108">
        <v>270</v>
      </c>
      <c r="N155" s="1088"/>
      <c r="O155" s="1088"/>
      <c r="P155" s="1090">
        <f t="shared" si="17"/>
        <v>270</v>
      </c>
      <c r="Q155" s="1099">
        <v>250</v>
      </c>
      <c r="R155" s="1091">
        <f t="shared" si="18"/>
        <v>67500</v>
      </c>
      <c r="S155" s="1091">
        <f t="shared" si="19"/>
        <v>1919.431279620853</v>
      </c>
      <c r="T155" s="1091">
        <f t="shared" si="20"/>
        <v>65580.568720379146</v>
      </c>
    </row>
    <row r="156" spans="1:20" ht="60">
      <c r="A156" s="1088">
        <v>33</v>
      </c>
      <c r="B156" s="1106" t="s">
        <v>1446</v>
      </c>
      <c r="C156" s="1089" t="s">
        <v>3306</v>
      </c>
      <c r="D156" s="1107" t="s">
        <v>1268</v>
      </c>
      <c r="E156" s="1090"/>
      <c r="F156" s="1088"/>
      <c r="G156" s="1088"/>
      <c r="H156" s="1088"/>
      <c r="I156" s="1088">
        <v>6</v>
      </c>
      <c r="J156" s="1088">
        <v>205</v>
      </c>
      <c r="K156" s="1088"/>
      <c r="L156" s="1108">
        <v>270</v>
      </c>
      <c r="M156" s="1108">
        <v>270</v>
      </c>
      <c r="N156" s="1088"/>
      <c r="O156" s="1088"/>
      <c r="P156" s="1090">
        <f t="shared" si="17"/>
        <v>270</v>
      </c>
      <c r="Q156" s="1099">
        <v>300</v>
      </c>
      <c r="R156" s="1091">
        <f t="shared" si="18"/>
        <v>81000</v>
      </c>
      <c r="S156" s="1091">
        <f t="shared" si="19"/>
        <v>2303.3175355450235</v>
      </c>
      <c r="T156" s="1091">
        <f t="shared" si="20"/>
        <v>78696.682464454978</v>
      </c>
    </row>
    <row r="157" spans="1:20">
      <c r="A157" s="1090">
        <v>303</v>
      </c>
      <c r="B157" s="1106" t="s">
        <v>3805</v>
      </c>
      <c r="C157" s="1093" t="s">
        <v>2216</v>
      </c>
      <c r="D157" s="1106" t="s">
        <v>1022</v>
      </c>
      <c r="E157" s="1090"/>
      <c r="F157" s="1090"/>
      <c r="G157" s="1090"/>
      <c r="H157" s="1090"/>
      <c r="I157" s="1088">
        <v>6</v>
      </c>
      <c r="J157" s="1088">
        <v>205</v>
      </c>
      <c r="K157" s="1090"/>
      <c r="L157" s="1109">
        <v>1</v>
      </c>
      <c r="M157" s="1109">
        <v>1</v>
      </c>
      <c r="N157" s="1090"/>
      <c r="O157" s="1090"/>
      <c r="P157" s="1090">
        <f t="shared" si="17"/>
        <v>1</v>
      </c>
      <c r="Q157" s="1090">
        <v>5000</v>
      </c>
      <c r="R157" s="1091">
        <f t="shared" si="18"/>
        <v>5000</v>
      </c>
      <c r="S157" s="1091">
        <f t="shared" si="19"/>
        <v>142.18009478672985</v>
      </c>
      <c r="T157" s="1091">
        <f t="shared" si="20"/>
        <v>4857.8199052132704</v>
      </c>
    </row>
    <row r="158" spans="1:20" ht="30">
      <c r="A158" s="1088">
        <v>97</v>
      </c>
      <c r="B158" s="1107" t="s">
        <v>3806</v>
      </c>
      <c r="C158" s="1089" t="s">
        <v>3807</v>
      </c>
      <c r="D158" s="1107" t="s">
        <v>1268</v>
      </c>
      <c r="E158" s="1090"/>
      <c r="F158" s="1088"/>
      <c r="G158" s="1088"/>
      <c r="H158" s="1088"/>
      <c r="I158" s="1088">
        <v>6</v>
      </c>
      <c r="J158" s="1088">
        <v>205</v>
      </c>
      <c r="K158" s="1088"/>
      <c r="L158" s="1107">
        <v>7</v>
      </c>
      <c r="M158" s="1107">
        <v>7</v>
      </c>
      <c r="N158" s="1088"/>
      <c r="O158" s="1088"/>
      <c r="P158" s="1090">
        <f t="shared" si="17"/>
        <v>7</v>
      </c>
      <c r="Q158" s="1099">
        <v>10000</v>
      </c>
      <c r="R158" s="1091">
        <f t="shared" si="18"/>
        <v>70000</v>
      </c>
      <c r="S158" s="1091">
        <f t="shared" si="19"/>
        <v>1990.5213270142178</v>
      </c>
      <c r="T158" s="1091">
        <f t="shared" si="20"/>
        <v>68009.478672985788</v>
      </c>
    </row>
    <row r="159" spans="1:20" ht="60">
      <c r="A159" s="1088">
        <v>92</v>
      </c>
      <c r="B159" s="1107" t="s">
        <v>1452</v>
      </c>
      <c r="C159" s="1089" t="s">
        <v>1453</v>
      </c>
      <c r="D159" s="1107" t="s">
        <v>1268</v>
      </c>
      <c r="E159" s="1090"/>
      <c r="F159" s="1088"/>
      <c r="G159" s="1088"/>
      <c r="H159" s="1088"/>
      <c r="I159" s="1088">
        <v>6</v>
      </c>
      <c r="J159" s="1088">
        <v>205</v>
      </c>
      <c r="K159" s="1088"/>
      <c r="L159" s="1107">
        <v>4</v>
      </c>
      <c r="M159" s="1107">
        <v>4</v>
      </c>
      <c r="N159" s="1088"/>
      <c r="O159" s="1088"/>
      <c r="P159" s="1090">
        <f t="shared" si="17"/>
        <v>4</v>
      </c>
      <c r="Q159" s="1099">
        <v>4000</v>
      </c>
      <c r="R159" s="1091">
        <f t="shared" si="18"/>
        <v>16000</v>
      </c>
      <c r="S159" s="1091">
        <f t="shared" si="19"/>
        <v>454.9763033175355</v>
      </c>
      <c r="T159" s="1091">
        <f t="shared" si="20"/>
        <v>15545.023696682465</v>
      </c>
    </row>
    <row r="160" spans="1:20">
      <c r="A160" s="1088">
        <v>125</v>
      </c>
      <c r="B160" s="1106" t="s">
        <v>1454</v>
      </c>
      <c r="C160" s="1093" t="s">
        <v>1455</v>
      </c>
      <c r="D160" s="1106" t="s">
        <v>1268</v>
      </c>
      <c r="E160" s="1090"/>
      <c r="F160" s="1090"/>
      <c r="G160" s="1090"/>
      <c r="H160" s="1090"/>
      <c r="I160" s="1088">
        <v>6</v>
      </c>
      <c r="J160" s="1088">
        <v>205</v>
      </c>
      <c r="K160" s="1090"/>
      <c r="L160" s="1106">
        <v>24</v>
      </c>
      <c r="M160" s="1106">
        <v>24</v>
      </c>
      <c r="N160" s="1090"/>
      <c r="O160" s="1090"/>
      <c r="P160" s="1090">
        <f t="shared" si="17"/>
        <v>24</v>
      </c>
      <c r="Q160" s="1090">
        <v>2600</v>
      </c>
      <c r="R160" s="1091">
        <f t="shared" si="18"/>
        <v>62400</v>
      </c>
      <c r="S160" s="1091">
        <f t="shared" si="19"/>
        <v>1774.4075829383885</v>
      </c>
      <c r="T160" s="1091">
        <f t="shared" si="20"/>
        <v>60625.592417061613</v>
      </c>
    </row>
    <row r="161" spans="1:20">
      <c r="A161" s="1088">
        <v>126</v>
      </c>
      <c r="B161" s="1106" t="s">
        <v>1456</v>
      </c>
      <c r="C161" s="1093" t="s">
        <v>1457</v>
      </c>
      <c r="D161" s="1106" t="s">
        <v>1268</v>
      </c>
      <c r="E161" s="1090"/>
      <c r="F161" s="1090"/>
      <c r="G161" s="1090"/>
      <c r="H161" s="1090"/>
      <c r="I161" s="1088">
        <v>6</v>
      </c>
      <c r="J161" s="1088">
        <v>205</v>
      </c>
      <c r="K161" s="1090"/>
      <c r="L161" s="1106">
        <v>24</v>
      </c>
      <c r="M161" s="1106">
        <v>24</v>
      </c>
      <c r="N161" s="1090"/>
      <c r="O161" s="1090"/>
      <c r="P161" s="1090">
        <f t="shared" si="17"/>
        <v>24</v>
      </c>
      <c r="Q161" s="1090">
        <v>3900</v>
      </c>
      <c r="R161" s="1091">
        <f t="shared" si="18"/>
        <v>93600</v>
      </c>
      <c r="S161" s="1091">
        <f t="shared" si="19"/>
        <v>2661.6113744075828</v>
      </c>
      <c r="T161" s="1091">
        <f t="shared" si="20"/>
        <v>90938.388625592415</v>
      </c>
    </row>
    <row r="162" spans="1:20">
      <c r="A162" s="1088">
        <v>127</v>
      </c>
      <c r="B162" s="1106" t="s">
        <v>1458</v>
      </c>
      <c r="C162" s="1093" t="s">
        <v>1457</v>
      </c>
      <c r="D162" s="1106" t="s">
        <v>1268</v>
      </c>
      <c r="E162" s="1090"/>
      <c r="F162" s="1090"/>
      <c r="G162" s="1090"/>
      <c r="H162" s="1090"/>
      <c r="I162" s="1088">
        <v>6</v>
      </c>
      <c r="J162" s="1088">
        <v>205</v>
      </c>
      <c r="K162" s="1090"/>
      <c r="L162" s="1106">
        <v>8</v>
      </c>
      <c r="M162" s="1106">
        <v>8</v>
      </c>
      <c r="N162" s="1090"/>
      <c r="O162" s="1090"/>
      <c r="P162" s="1090">
        <f t="shared" si="17"/>
        <v>8</v>
      </c>
      <c r="Q162" s="1090">
        <v>4700</v>
      </c>
      <c r="R162" s="1091">
        <f t="shared" si="18"/>
        <v>37600</v>
      </c>
      <c r="S162" s="1091">
        <f t="shared" si="19"/>
        <v>1069.1943127962086</v>
      </c>
      <c r="T162" s="1091">
        <f t="shared" si="20"/>
        <v>36530.805687203792</v>
      </c>
    </row>
    <row r="163" spans="1:20">
      <c r="A163" s="1088">
        <v>128</v>
      </c>
      <c r="B163" s="1106" t="s">
        <v>1459</v>
      </c>
      <c r="C163" s="1093" t="s">
        <v>1457</v>
      </c>
      <c r="D163" s="1106" t="s">
        <v>1268</v>
      </c>
      <c r="E163" s="1090"/>
      <c r="F163" s="1090"/>
      <c r="G163" s="1090"/>
      <c r="H163" s="1090"/>
      <c r="I163" s="1088">
        <v>6</v>
      </c>
      <c r="J163" s="1088">
        <v>205</v>
      </c>
      <c r="K163" s="1090"/>
      <c r="L163" s="1106">
        <v>4</v>
      </c>
      <c r="M163" s="1106">
        <v>4</v>
      </c>
      <c r="N163" s="1090"/>
      <c r="O163" s="1090"/>
      <c r="P163" s="1090">
        <f t="shared" si="17"/>
        <v>4</v>
      </c>
      <c r="Q163" s="1090">
        <v>6100</v>
      </c>
      <c r="R163" s="1091">
        <f t="shared" si="18"/>
        <v>24400</v>
      </c>
      <c r="S163" s="1091">
        <f t="shared" si="19"/>
        <v>693.83886255924165</v>
      </c>
      <c r="T163" s="1091">
        <f t="shared" si="20"/>
        <v>23706.161137440758</v>
      </c>
    </row>
    <row r="164" spans="1:20">
      <c r="A164" s="1088">
        <v>122</v>
      </c>
      <c r="B164" s="1107" t="s">
        <v>3808</v>
      </c>
      <c r="C164" s="1093" t="s">
        <v>3809</v>
      </c>
      <c r="D164" s="1107" t="s">
        <v>1268</v>
      </c>
      <c r="E164" s="1090"/>
      <c r="F164" s="1090"/>
      <c r="G164" s="1090"/>
      <c r="H164" s="1088"/>
      <c r="I164" s="1088">
        <v>6</v>
      </c>
      <c r="J164" s="1088">
        <v>205</v>
      </c>
      <c r="K164" s="1088"/>
      <c r="L164" s="1107">
        <v>90</v>
      </c>
      <c r="M164" s="1107">
        <v>90</v>
      </c>
      <c r="N164" s="1088"/>
      <c r="O164" s="1088"/>
      <c r="P164" s="1090">
        <f t="shared" si="17"/>
        <v>90</v>
      </c>
      <c r="Q164" s="1088">
        <v>5000</v>
      </c>
      <c r="R164" s="1091">
        <f t="shared" si="18"/>
        <v>450000</v>
      </c>
      <c r="S164" s="1091">
        <f t="shared" si="19"/>
        <v>12796.208530805687</v>
      </c>
      <c r="T164" s="1091">
        <f t="shared" si="20"/>
        <v>437203.79146919429</v>
      </c>
    </row>
    <row r="165" spans="1:20" ht="30">
      <c r="A165" s="1088">
        <v>227</v>
      </c>
      <c r="B165" s="1110" t="s">
        <v>3810</v>
      </c>
      <c r="C165" s="1093" t="s">
        <v>3811</v>
      </c>
      <c r="D165" s="1110" t="s">
        <v>1268</v>
      </c>
      <c r="E165" s="1090"/>
      <c r="F165" s="1090"/>
      <c r="G165" s="1090"/>
      <c r="H165" s="1090"/>
      <c r="I165" s="1088">
        <v>6</v>
      </c>
      <c r="J165" s="1088">
        <v>205</v>
      </c>
      <c r="K165" s="1090"/>
      <c r="L165" s="1110">
        <v>50</v>
      </c>
      <c r="M165" s="1110">
        <v>50</v>
      </c>
      <c r="N165" s="1090"/>
      <c r="O165" s="1090"/>
      <c r="P165" s="1090">
        <f t="shared" si="17"/>
        <v>50</v>
      </c>
      <c r="Q165" s="1090">
        <v>588.5</v>
      </c>
      <c r="R165" s="1091">
        <f t="shared" si="18"/>
        <v>29425</v>
      </c>
      <c r="S165" s="1091">
        <f t="shared" si="19"/>
        <v>836.72985781990519</v>
      </c>
      <c r="T165" s="1091">
        <f t="shared" si="20"/>
        <v>28588.270142180096</v>
      </c>
    </row>
    <row r="166" spans="1:20" ht="30">
      <c r="A166" s="1090">
        <v>309</v>
      </c>
      <c r="B166" s="1116" t="s">
        <v>1464</v>
      </c>
      <c r="C166" s="1093" t="s">
        <v>1465</v>
      </c>
      <c r="D166" s="1116" t="s">
        <v>1268</v>
      </c>
      <c r="E166" s="1090"/>
      <c r="F166" s="1090"/>
      <c r="G166" s="1090"/>
      <c r="H166" s="1090"/>
      <c r="I166" s="1088">
        <v>6</v>
      </c>
      <c r="J166" s="1088">
        <v>205</v>
      </c>
      <c r="K166" s="1090"/>
      <c r="L166" s="1116">
        <v>100</v>
      </c>
      <c r="M166" s="1116">
        <v>100</v>
      </c>
      <c r="N166" s="1090"/>
      <c r="O166" s="1090"/>
      <c r="P166" s="1090">
        <f t="shared" si="17"/>
        <v>100</v>
      </c>
      <c r="Q166" s="1090">
        <v>800</v>
      </c>
      <c r="R166" s="1091">
        <f t="shared" si="18"/>
        <v>80000</v>
      </c>
      <c r="S166" s="1091">
        <f t="shared" si="19"/>
        <v>2274.8815165876777</v>
      </c>
      <c r="T166" s="1091">
        <f t="shared" si="20"/>
        <v>77725.118483412327</v>
      </c>
    </row>
    <row r="167" spans="1:20" ht="30">
      <c r="A167" s="1090">
        <v>310</v>
      </c>
      <c r="B167" s="1116" t="s">
        <v>1464</v>
      </c>
      <c r="C167" s="1093" t="s">
        <v>1466</v>
      </c>
      <c r="D167" s="1116" t="s">
        <v>1268</v>
      </c>
      <c r="E167" s="1090"/>
      <c r="F167" s="1090"/>
      <c r="G167" s="1090"/>
      <c r="H167" s="1090"/>
      <c r="I167" s="1088">
        <v>6</v>
      </c>
      <c r="J167" s="1088">
        <v>205</v>
      </c>
      <c r="K167" s="1090"/>
      <c r="L167" s="1116">
        <v>100</v>
      </c>
      <c r="M167" s="1116">
        <v>100</v>
      </c>
      <c r="N167" s="1090"/>
      <c r="O167" s="1090"/>
      <c r="P167" s="1090">
        <f t="shared" si="17"/>
        <v>100</v>
      </c>
      <c r="Q167" s="1090">
        <v>680</v>
      </c>
      <c r="R167" s="1091">
        <f t="shared" si="18"/>
        <v>68000</v>
      </c>
      <c r="S167" s="1091">
        <f t="shared" si="19"/>
        <v>1933.649289099526</v>
      </c>
      <c r="T167" s="1091">
        <f t="shared" si="20"/>
        <v>66066.350710900471</v>
      </c>
    </row>
    <row r="168" spans="1:20" ht="30">
      <c r="A168" s="1090">
        <v>311</v>
      </c>
      <c r="B168" s="1116" t="s">
        <v>1464</v>
      </c>
      <c r="C168" s="1093" t="s">
        <v>1467</v>
      </c>
      <c r="D168" s="1116" t="s">
        <v>1268</v>
      </c>
      <c r="E168" s="1090"/>
      <c r="F168" s="1090"/>
      <c r="G168" s="1090"/>
      <c r="H168" s="1090"/>
      <c r="I168" s="1088">
        <v>6</v>
      </c>
      <c r="J168" s="1088">
        <v>205</v>
      </c>
      <c r="K168" s="1090"/>
      <c r="L168" s="1116">
        <v>100</v>
      </c>
      <c r="M168" s="1116">
        <v>100</v>
      </c>
      <c r="N168" s="1090"/>
      <c r="O168" s="1090"/>
      <c r="P168" s="1090">
        <f t="shared" si="17"/>
        <v>100</v>
      </c>
      <c r="Q168" s="1090">
        <v>1120</v>
      </c>
      <c r="R168" s="1091">
        <f t="shared" si="18"/>
        <v>112000</v>
      </c>
      <c r="S168" s="1091">
        <f t="shared" si="19"/>
        <v>3184.8341232227485</v>
      </c>
      <c r="T168" s="1091">
        <f t="shared" si="20"/>
        <v>108815.16587677725</v>
      </c>
    </row>
    <row r="169" spans="1:20">
      <c r="A169" s="1088">
        <v>161</v>
      </c>
      <c r="B169" s="1106" t="s">
        <v>1468</v>
      </c>
      <c r="C169" s="1093"/>
      <c r="D169" s="1106" t="s">
        <v>1022</v>
      </c>
      <c r="E169" s="1090"/>
      <c r="F169" s="1090"/>
      <c r="G169" s="1090"/>
      <c r="H169" s="1090"/>
      <c r="I169" s="1088">
        <v>6</v>
      </c>
      <c r="J169" s="1088">
        <v>205</v>
      </c>
      <c r="K169" s="1090"/>
      <c r="L169" s="1106">
        <v>1</v>
      </c>
      <c r="M169" s="1106">
        <v>1</v>
      </c>
      <c r="N169" s="1090"/>
      <c r="O169" s="1090"/>
      <c r="P169" s="1090">
        <f t="shared" si="17"/>
        <v>1</v>
      </c>
      <c r="Q169" s="1090">
        <v>50000</v>
      </c>
      <c r="R169" s="1091">
        <f t="shared" si="18"/>
        <v>50000</v>
      </c>
      <c r="S169" s="1091">
        <f t="shared" si="19"/>
        <v>1421.8009478672984</v>
      </c>
      <c r="T169" s="1091">
        <f t="shared" si="20"/>
        <v>48578.199052132702</v>
      </c>
    </row>
    <row r="170" spans="1:20" ht="30">
      <c r="A170" s="1088">
        <v>187</v>
      </c>
      <c r="B170" s="1106" t="s">
        <v>3812</v>
      </c>
      <c r="C170" s="1093"/>
      <c r="D170" s="1106" t="s">
        <v>1268</v>
      </c>
      <c r="E170" s="1090"/>
      <c r="F170" s="1090"/>
      <c r="G170" s="1090"/>
      <c r="H170" s="1090"/>
      <c r="I170" s="1088">
        <v>6</v>
      </c>
      <c r="J170" s="1088">
        <v>205</v>
      </c>
      <c r="K170" s="1090"/>
      <c r="L170" s="1110">
        <v>50</v>
      </c>
      <c r="M170" s="1110">
        <v>50</v>
      </c>
      <c r="N170" s="1090"/>
      <c r="O170" s="1090"/>
      <c r="P170" s="1090">
        <f t="shared" si="17"/>
        <v>50</v>
      </c>
      <c r="Q170" s="1090">
        <v>759.7</v>
      </c>
      <c r="R170" s="1091">
        <f t="shared" si="18"/>
        <v>37985</v>
      </c>
      <c r="S170" s="1091">
        <f t="shared" si="19"/>
        <v>1080.1421800947867</v>
      </c>
      <c r="T170" s="1091">
        <f t="shared" si="20"/>
        <v>36904.857819905214</v>
      </c>
    </row>
    <row r="171" spans="1:20">
      <c r="A171" s="1088">
        <v>193</v>
      </c>
      <c r="B171" s="1106" t="s">
        <v>3813</v>
      </c>
      <c r="C171" s="1093"/>
      <c r="D171" s="1106" t="s">
        <v>1022</v>
      </c>
      <c r="E171" s="1090"/>
      <c r="F171" s="1090"/>
      <c r="G171" s="1090"/>
      <c r="H171" s="1090"/>
      <c r="I171" s="1088">
        <v>6</v>
      </c>
      <c r="J171" s="1088">
        <v>205</v>
      </c>
      <c r="K171" s="1090"/>
      <c r="L171" s="1110">
        <v>50</v>
      </c>
      <c r="M171" s="1110">
        <v>50</v>
      </c>
      <c r="N171" s="1090"/>
      <c r="O171" s="1090"/>
      <c r="P171" s="1090">
        <f t="shared" si="17"/>
        <v>50</v>
      </c>
      <c r="Q171" s="1090">
        <v>406.6</v>
      </c>
      <c r="R171" s="1091">
        <f t="shared" si="18"/>
        <v>20330</v>
      </c>
      <c r="S171" s="1091">
        <f t="shared" si="19"/>
        <v>578.10426540284357</v>
      </c>
      <c r="T171" s="1091">
        <f t="shared" si="20"/>
        <v>19751.895734597158</v>
      </c>
    </row>
    <row r="172" spans="1:20">
      <c r="A172" s="1088">
        <v>238</v>
      </c>
      <c r="B172" s="1109" t="s">
        <v>1471</v>
      </c>
      <c r="C172" s="1093"/>
      <c r="D172" s="1109" t="s">
        <v>1022</v>
      </c>
      <c r="E172" s="1090"/>
      <c r="F172" s="1090"/>
      <c r="G172" s="1090"/>
      <c r="H172" s="1090"/>
      <c r="I172" s="1088">
        <v>6</v>
      </c>
      <c r="J172" s="1088">
        <v>205</v>
      </c>
      <c r="K172" s="1090"/>
      <c r="L172" s="1112">
        <v>50</v>
      </c>
      <c r="M172" s="1112">
        <v>50</v>
      </c>
      <c r="N172" s="1090"/>
      <c r="O172" s="1090"/>
      <c r="P172" s="1090">
        <f t="shared" si="17"/>
        <v>50</v>
      </c>
      <c r="Q172" s="1090">
        <v>406.6</v>
      </c>
      <c r="R172" s="1091">
        <f t="shared" si="18"/>
        <v>20330</v>
      </c>
      <c r="S172" s="1091">
        <f t="shared" si="19"/>
        <v>578.10426540284357</v>
      </c>
      <c r="T172" s="1091">
        <f t="shared" si="20"/>
        <v>19751.895734597158</v>
      </c>
    </row>
    <row r="173" spans="1:20">
      <c r="A173" s="1088">
        <v>204</v>
      </c>
      <c r="B173" s="1110" t="s">
        <v>1473</v>
      </c>
      <c r="C173" s="1093" t="s">
        <v>1474</v>
      </c>
      <c r="D173" s="1110" t="s">
        <v>1022</v>
      </c>
      <c r="E173" s="1090"/>
      <c r="F173" s="1090"/>
      <c r="G173" s="1090"/>
      <c r="H173" s="1090"/>
      <c r="I173" s="1088">
        <v>6</v>
      </c>
      <c r="J173" s="1088">
        <v>205</v>
      </c>
      <c r="K173" s="1090"/>
      <c r="L173" s="1110">
        <v>10</v>
      </c>
      <c r="M173" s="1110">
        <v>10</v>
      </c>
      <c r="N173" s="1090"/>
      <c r="O173" s="1090"/>
      <c r="P173" s="1090">
        <f t="shared" si="17"/>
        <v>10</v>
      </c>
      <c r="Q173" s="1090">
        <v>321</v>
      </c>
      <c r="R173" s="1091">
        <f t="shared" si="18"/>
        <v>3210</v>
      </c>
      <c r="S173" s="1091">
        <f t="shared" si="19"/>
        <v>91.279620853080559</v>
      </c>
      <c r="T173" s="1091">
        <f t="shared" si="20"/>
        <v>3118.7203791469196</v>
      </c>
    </row>
    <row r="174" spans="1:20">
      <c r="A174" s="1088">
        <v>167</v>
      </c>
      <c r="B174" s="1106" t="s">
        <v>1476</v>
      </c>
      <c r="C174" s="1093" t="s">
        <v>1477</v>
      </c>
      <c r="D174" s="1106" t="s">
        <v>1022</v>
      </c>
      <c r="E174" s="1090"/>
      <c r="F174" s="1090"/>
      <c r="G174" s="1090"/>
      <c r="H174" s="1090"/>
      <c r="I174" s="1088">
        <v>6</v>
      </c>
      <c r="J174" s="1088">
        <v>205</v>
      </c>
      <c r="K174" s="1090"/>
      <c r="L174" s="1106">
        <v>50</v>
      </c>
      <c r="M174" s="1106">
        <v>50</v>
      </c>
      <c r="N174" s="1090"/>
      <c r="O174" s="1090"/>
      <c r="P174" s="1090">
        <f t="shared" si="17"/>
        <v>50</v>
      </c>
      <c r="Q174" s="1090">
        <v>1100</v>
      </c>
      <c r="R174" s="1091">
        <f t="shared" si="18"/>
        <v>55000</v>
      </c>
      <c r="S174" s="1091">
        <f t="shared" si="19"/>
        <v>1563.9810426540284</v>
      </c>
      <c r="T174" s="1091">
        <f t="shared" si="20"/>
        <v>53436.018957345972</v>
      </c>
    </row>
    <row r="175" spans="1:20">
      <c r="A175" s="1088">
        <v>168</v>
      </c>
      <c r="B175" s="1106" t="s">
        <v>1476</v>
      </c>
      <c r="C175" s="1093" t="s">
        <v>1478</v>
      </c>
      <c r="D175" s="1106" t="s">
        <v>1022</v>
      </c>
      <c r="E175" s="1090"/>
      <c r="F175" s="1090"/>
      <c r="G175" s="1090"/>
      <c r="H175" s="1090"/>
      <c r="I175" s="1088">
        <v>6</v>
      </c>
      <c r="J175" s="1088">
        <v>205</v>
      </c>
      <c r="K175" s="1090"/>
      <c r="L175" s="1106">
        <v>50</v>
      </c>
      <c r="M175" s="1106">
        <v>50</v>
      </c>
      <c r="N175" s="1090"/>
      <c r="O175" s="1090"/>
      <c r="P175" s="1090">
        <f t="shared" si="17"/>
        <v>50</v>
      </c>
      <c r="Q175" s="1090">
        <v>1300</v>
      </c>
      <c r="R175" s="1091">
        <f t="shared" si="18"/>
        <v>65000</v>
      </c>
      <c r="S175" s="1091">
        <f t="shared" si="19"/>
        <v>1848.341232227488</v>
      </c>
      <c r="T175" s="1091">
        <f t="shared" si="20"/>
        <v>63151.658767772511</v>
      </c>
    </row>
    <row r="176" spans="1:20">
      <c r="A176" s="1088">
        <v>169</v>
      </c>
      <c r="B176" s="1106" t="s">
        <v>1476</v>
      </c>
      <c r="C176" s="1093" t="s">
        <v>1479</v>
      </c>
      <c r="D176" s="1106" t="s">
        <v>1022</v>
      </c>
      <c r="E176" s="1090"/>
      <c r="F176" s="1090"/>
      <c r="G176" s="1090"/>
      <c r="H176" s="1090"/>
      <c r="I176" s="1088">
        <v>6</v>
      </c>
      <c r="J176" s="1088">
        <v>205</v>
      </c>
      <c r="K176" s="1090"/>
      <c r="L176" s="1106">
        <v>25</v>
      </c>
      <c r="M176" s="1106">
        <v>25</v>
      </c>
      <c r="N176" s="1090"/>
      <c r="O176" s="1090"/>
      <c r="P176" s="1090">
        <f t="shared" ref="P176:P226" si="21">L176-O176</f>
        <v>25</v>
      </c>
      <c r="Q176" s="1090">
        <v>1900</v>
      </c>
      <c r="R176" s="1091">
        <f t="shared" ref="R176:R226" si="22">P176*Q176</f>
        <v>47500</v>
      </c>
      <c r="S176" s="1091">
        <f t="shared" ref="S176:S226" si="23">R176*(I176/(I176+J176+K176))</f>
        <v>1350.7109004739336</v>
      </c>
      <c r="T176" s="1091">
        <f t="shared" ref="T176:T226" si="24">R176-S176</f>
        <v>46149.289099526068</v>
      </c>
    </row>
    <row r="177" spans="1:20">
      <c r="A177" s="1088">
        <v>172</v>
      </c>
      <c r="B177" s="1106" t="s">
        <v>1476</v>
      </c>
      <c r="C177" s="1093" t="s">
        <v>1480</v>
      </c>
      <c r="D177" s="1106" t="s">
        <v>1022</v>
      </c>
      <c r="E177" s="1090"/>
      <c r="F177" s="1090"/>
      <c r="G177" s="1090"/>
      <c r="H177" s="1090"/>
      <c r="I177" s="1088">
        <v>6</v>
      </c>
      <c r="J177" s="1088">
        <v>205</v>
      </c>
      <c r="K177" s="1090"/>
      <c r="L177" s="1106">
        <v>15</v>
      </c>
      <c r="M177" s="1106">
        <v>15</v>
      </c>
      <c r="N177" s="1090"/>
      <c r="O177" s="1090"/>
      <c r="P177" s="1090">
        <f t="shared" si="21"/>
        <v>15</v>
      </c>
      <c r="Q177" s="1090">
        <v>7000</v>
      </c>
      <c r="R177" s="1091">
        <f t="shared" si="22"/>
        <v>105000</v>
      </c>
      <c r="S177" s="1091">
        <f t="shared" si="23"/>
        <v>2985.7819905213269</v>
      </c>
      <c r="T177" s="1091">
        <f t="shared" si="24"/>
        <v>102014.21800947867</v>
      </c>
    </row>
    <row r="178" spans="1:20">
      <c r="A178" s="1088">
        <v>170</v>
      </c>
      <c r="B178" s="1106" t="s">
        <v>1481</v>
      </c>
      <c r="C178" s="1093" t="s">
        <v>1482</v>
      </c>
      <c r="D178" s="1106" t="s">
        <v>1022</v>
      </c>
      <c r="E178" s="1090"/>
      <c r="F178" s="1090"/>
      <c r="G178" s="1090"/>
      <c r="H178" s="1090"/>
      <c r="I178" s="1088">
        <v>6</v>
      </c>
      <c r="J178" s="1088">
        <v>205</v>
      </c>
      <c r="K178" s="1090"/>
      <c r="L178" s="1106">
        <v>25</v>
      </c>
      <c r="M178" s="1106">
        <v>25</v>
      </c>
      <c r="N178" s="1090"/>
      <c r="O178" s="1090"/>
      <c r="P178" s="1090">
        <f t="shared" si="21"/>
        <v>25</v>
      </c>
      <c r="Q178" s="1090">
        <v>3600</v>
      </c>
      <c r="R178" s="1091">
        <f t="shared" si="22"/>
        <v>90000</v>
      </c>
      <c r="S178" s="1091">
        <f t="shared" si="23"/>
        <v>2559.2417061611372</v>
      </c>
      <c r="T178" s="1091">
        <f t="shared" si="24"/>
        <v>87440.758293838866</v>
      </c>
    </row>
    <row r="179" spans="1:20">
      <c r="A179" s="1088">
        <v>171</v>
      </c>
      <c r="B179" s="1106" t="s">
        <v>1481</v>
      </c>
      <c r="C179" s="1093" t="s">
        <v>1483</v>
      </c>
      <c r="D179" s="1106" t="s">
        <v>1022</v>
      </c>
      <c r="E179" s="1090"/>
      <c r="F179" s="1090"/>
      <c r="G179" s="1090"/>
      <c r="H179" s="1090"/>
      <c r="I179" s="1088">
        <v>6</v>
      </c>
      <c r="J179" s="1088">
        <v>205</v>
      </c>
      <c r="K179" s="1090"/>
      <c r="L179" s="1106">
        <v>15</v>
      </c>
      <c r="M179" s="1106">
        <v>15</v>
      </c>
      <c r="N179" s="1090"/>
      <c r="O179" s="1090"/>
      <c r="P179" s="1090">
        <f t="shared" si="21"/>
        <v>15</v>
      </c>
      <c r="Q179" s="1090">
        <v>5600</v>
      </c>
      <c r="R179" s="1091">
        <f t="shared" si="22"/>
        <v>84000</v>
      </c>
      <c r="S179" s="1091">
        <f t="shared" si="23"/>
        <v>2388.6255924170614</v>
      </c>
      <c r="T179" s="1091">
        <f t="shared" si="24"/>
        <v>81611.374407582945</v>
      </c>
    </row>
    <row r="180" spans="1:20">
      <c r="A180" s="1088">
        <v>205</v>
      </c>
      <c r="B180" s="1110" t="s">
        <v>3814</v>
      </c>
      <c r="C180" s="1093" t="s">
        <v>3815</v>
      </c>
      <c r="D180" s="1110" t="s">
        <v>1022</v>
      </c>
      <c r="E180" s="1090"/>
      <c r="F180" s="1090"/>
      <c r="G180" s="1090"/>
      <c r="H180" s="1090"/>
      <c r="I180" s="1088">
        <v>6</v>
      </c>
      <c r="J180" s="1088">
        <v>205</v>
      </c>
      <c r="K180" s="1090"/>
      <c r="L180" s="1110">
        <v>100</v>
      </c>
      <c r="M180" s="1110">
        <v>100</v>
      </c>
      <c r="N180" s="1090"/>
      <c r="O180" s="1090"/>
      <c r="P180" s="1090">
        <f t="shared" si="21"/>
        <v>100</v>
      </c>
      <c r="Q180" s="1090">
        <v>214</v>
      </c>
      <c r="R180" s="1091">
        <f t="shared" si="22"/>
        <v>21400</v>
      </c>
      <c r="S180" s="1091">
        <f t="shared" si="23"/>
        <v>608.53080568720372</v>
      </c>
      <c r="T180" s="1091">
        <f t="shared" si="24"/>
        <v>20791.469194312795</v>
      </c>
    </row>
    <row r="181" spans="1:20">
      <c r="A181" s="1088">
        <v>207</v>
      </c>
      <c r="B181" s="1110" t="s">
        <v>3816</v>
      </c>
      <c r="C181" s="1093">
        <v>100</v>
      </c>
      <c r="D181" s="1110" t="s">
        <v>1022</v>
      </c>
      <c r="E181" s="1090"/>
      <c r="F181" s="1090"/>
      <c r="G181" s="1090"/>
      <c r="H181" s="1090"/>
      <c r="I181" s="1088">
        <v>6</v>
      </c>
      <c r="J181" s="1088">
        <v>205</v>
      </c>
      <c r="K181" s="1090"/>
      <c r="L181" s="1110">
        <v>10</v>
      </c>
      <c r="M181" s="1110">
        <v>10</v>
      </c>
      <c r="N181" s="1090"/>
      <c r="O181" s="1090"/>
      <c r="P181" s="1090">
        <f t="shared" si="21"/>
        <v>10</v>
      </c>
      <c r="Q181" s="1090">
        <v>535</v>
      </c>
      <c r="R181" s="1091">
        <f t="shared" si="22"/>
        <v>5350</v>
      </c>
      <c r="S181" s="1091">
        <f t="shared" si="23"/>
        <v>152.13270142180093</v>
      </c>
      <c r="T181" s="1091">
        <f t="shared" si="24"/>
        <v>5197.8672985781986</v>
      </c>
    </row>
    <row r="182" spans="1:20">
      <c r="A182" s="1088">
        <v>208</v>
      </c>
      <c r="B182" s="1110" t="s">
        <v>3817</v>
      </c>
      <c r="C182" s="1093">
        <v>50</v>
      </c>
      <c r="D182" s="1110" t="s">
        <v>1022</v>
      </c>
      <c r="E182" s="1090"/>
      <c r="F182" s="1090"/>
      <c r="G182" s="1090"/>
      <c r="H182" s="1090"/>
      <c r="I182" s="1088">
        <v>6</v>
      </c>
      <c r="J182" s="1088">
        <v>205</v>
      </c>
      <c r="K182" s="1090"/>
      <c r="L182" s="1110">
        <v>10</v>
      </c>
      <c r="M182" s="1110">
        <v>10</v>
      </c>
      <c r="N182" s="1090"/>
      <c r="O182" s="1090"/>
      <c r="P182" s="1090">
        <f t="shared" si="21"/>
        <v>10</v>
      </c>
      <c r="Q182" s="1090">
        <v>535</v>
      </c>
      <c r="R182" s="1091">
        <f t="shared" si="22"/>
        <v>5350</v>
      </c>
      <c r="S182" s="1091">
        <f t="shared" si="23"/>
        <v>152.13270142180093</v>
      </c>
      <c r="T182" s="1091">
        <f t="shared" si="24"/>
        <v>5197.8672985781986</v>
      </c>
    </row>
    <row r="183" spans="1:20">
      <c r="A183" s="1088">
        <v>149</v>
      </c>
      <c r="B183" s="1106" t="s">
        <v>3818</v>
      </c>
      <c r="C183" s="1093"/>
      <c r="D183" s="1106" t="s">
        <v>1022</v>
      </c>
      <c r="E183" s="1090"/>
      <c r="F183" s="1090"/>
      <c r="G183" s="1090"/>
      <c r="H183" s="1090"/>
      <c r="I183" s="1088">
        <v>6</v>
      </c>
      <c r="J183" s="1088">
        <v>205</v>
      </c>
      <c r="K183" s="1090"/>
      <c r="L183" s="1106">
        <v>4</v>
      </c>
      <c r="M183" s="1106">
        <v>4</v>
      </c>
      <c r="N183" s="1090"/>
      <c r="O183" s="1090"/>
      <c r="P183" s="1090">
        <f t="shared" si="21"/>
        <v>4</v>
      </c>
      <c r="Q183" s="1090">
        <v>5000</v>
      </c>
      <c r="R183" s="1091">
        <f t="shared" si="22"/>
        <v>20000</v>
      </c>
      <c r="S183" s="1091">
        <f t="shared" si="23"/>
        <v>568.72037914691941</v>
      </c>
      <c r="T183" s="1091">
        <f t="shared" si="24"/>
        <v>19431.279620853082</v>
      </c>
    </row>
    <row r="184" spans="1:20">
      <c r="A184" s="1088">
        <v>282</v>
      </c>
      <c r="B184" s="1106" t="s">
        <v>3819</v>
      </c>
      <c r="C184" s="1093" t="s">
        <v>3316</v>
      </c>
      <c r="D184" s="1106" t="s">
        <v>1022</v>
      </c>
      <c r="E184" s="1090"/>
      <c r="F184" s="1090"/>
      <c r="G184" s="1090"/>
      <c r="H184" s="1090"/>
      <c r="I184" s="1088">
        <v>6</v>
      </c>
      <c r="J184" s="1088">
        <v>205</v>
      </c>
      <c r="K184" s="1090"/>
      <c r="L184" s="1109">
        <v>1000</v>
      </c>
      <c r="M184" s="1109">
        <v>1000</v>
      </c>
      <c r="N184" s="1090"/>
      <c r="O184" s="1090"/>
      <c r="P184" s="1090">
        <f t="shared" si="21"/>
        <v>1000</v>
      </c>
      <c r="Q184" s="1090">
        <v>150</v>
      </c>
      <c r="R184" s="1091">
        <f t="shared" si="22"/>
        <v>150000</v>
      </c>
      <c r="S184" s="1091">
        <f t="shared" si="23"/>
        <v>4265.4028436018953</v>
      </c>
      <c r="T184" s="1091">
        <f t="shared" si="24"/>
        <v>145734.59715639811</v>
      </c>
    </row>
    <row r="185" spans="1:20">
      <c r="A185" s="1088">
        <v>283</v>
      </c>
      <c r="B185" s="1106" t="s">
        <v>3819</v>
      </c>
      <c r="C185" s="1093" t="s">
        <v>3317</v>
      </c>
      <c r="D185" s="1106" t="s">
        <v>1022</v>
      </c>
      <c r="E185" s="1090"/>
      <c r="F185" s="1090"/>
      <c r="G185" s="1090"/>
      <c r="H185" s="1090"/>
      <c r="I185" s="1088">
        <v>6</v>
      </c>
      <c r="J185" s="1088">
        <v>205</v>
      </c>
      <c r="K185" s="1090"/>
      <c r="L185" s="1109">
        <v>500</v>
      </c>
      <c r="M185" s="1109">
        <v>500</v>
      </c>
      <c r="N185" s="1090"/>
      <c r="O185" s="1090"/>
      <c r="P185" s="1090">
        <f t="shared" si="21"/>
        <v>500</v>
      </c>
      <c r="Q185" s="1090">
        <v>170</v>
      </c>
      <c r="R185" s="1091">
        <f t="shared" si="22"/>
        <v>85000</v>
      </c>
      <c r="S185" s="1091">
        <f t="shared" si="23"/>
        <v>2417.0616113744077</v>
      </c>
      <c r="T185" s="1091">
        <f t="shared" si="24"/>
        <v>82582.938388625596</v>
      </c>
    </row>
    <row r="186" spans="1:20">
      <c r="A186" s="1090">
        <v>305</v>
      </c>
      <c r="B186" s="1106" t="s">
        <v>1493</v>
      </c>
      <c r="C186" s="1093" t="s">
        <v>3318</v>
      </c>
      <c r="D186" s="1106" t="s">
        <v>1022</v>
      </c>
      <c r="E186" s="1090"/>
      <c r="F186" s="1090"/>
      <c r="G186" s="1090"/>
      <c r="H186" s="1090"/>
      <c r="I186" s="1088">
        <v>6</v>
      </c>
      <c r="J186" s="1088">
        <v>205</v>
      </c>
      <c r="K186" s="1090"/>
      <c r="L186" s="1112">
        <v>200</v>
      </c>
      <c r="M186" s="1112">
        <v>200</v>
      </c>
      <c r="N186" s="1090"/>
      <c r="O186" s="1090"/>
      <c r="P186" s="1090">
        <f t="shared" si="21"/>
        <v>200</v>
      </c>
      <c r="Q186" s="1090">
        <v>50</v>
      </c>
      <c r="R186" s="1091">
        <f t="shared" si="22"/>
        <v>10000</v>
      </c>
      <c r="S186" s="1091">
        <f t="shared" si="23"/>
        <v>284.36018957345971</v>
      </c>
      <c r="T186" s="1091">
        <f t="shared" si="24"/>
        <v>9715.6398104265409</v>
      </c>
    </row>
    <row r="187" spans="1:20" ht="30">
      <c r="A187" s="1088">
        <v>81</v>
      </c>
      <c r="B187" s="1107" t="s">
        <v>3820</v>
      </c>
      <c r="C187" s="1089" t="s">
        <v>3821</v>
      </c>
      <c r="D187" s="1107" t="s">
        <v>1268</v>
      </c>
      <c r="E187" s="1090"/>
      <c r="F187" s="1088"/>
      <c r="G187" s="1088"/>
      <c r="H187" s="1088"/>
      <c r="I187" s="1088">
        <v>6</v>
      </c>
      <c r="J187" s="1088">
        <v>205</v>
      </c>
      <c r="K187" s="1088"/>
      <c r="L187" s="1107">
        <v>1200</v>
      </c>
      <c r="M187" s="1107">
        <v>1200</v>
      </c>
      <c r="N187" s="1088"/>
      <c r="O187" s="1088"/>
      <c r="P187" s="1090">
        <f t="shared" si="21"/>
        <v>1200</v>
      </c>
      <c r="Q187" s="1099">
        <v>1300</v>
      </c>
      <c r="R187" s="1091">
        <f t="shared" si="22"/>
        <v>1560000</v>
      </c>
      <c r="S187" s="1091">
        <f t="shared" si="23"/>
        <v>44360.189573459713</v>
      </c>
      <c r="T187" s="1091">
        <f t="shared" si="24"/>
        <v>1515639.8104265402</v>
      </c>
    </row>
    <row r="188" spans="1:20" ht="30">
      <c r="A188" s="1090">
        <v>312</v>
      </c>
      <c r="B188" s="1116" t="s">
        <v>3822</v>
      </c>
      <c r="C188" s="1093" t="s">
        <v>3823</v>
      </c>
      <c r="D188" s="1116" t="s">
        <v>1268</v>
      </c>
      <c r="E188" s="1090"/>
      <c r="F188" s="1090"/>
      <c r="G188" s="1090"/>
      <c r="H188" s="1090"/>
      <c r="I188" s="1088">
        <v>6</v>
      </c>
      <c r="J188" s="1088">
        <v>205</v>
      </c>
      <c r="K188" s="1090"/>
      <c r="L188" s="1116">
        <v>100</v>
      </c>
      <c r="M188" s="1116">
        <v>100</v>
      </c>
      <c r="N188" s="1090"/>
      <c r="O188" s="1090"/>
      <c r="P188" s="1090">
        <f t="shared" si="21"/>
        <v>100</v>
      </c>
      <c r="Q188" s="1090">
        <v>1300</v>
      </c>
      <c r="R188" s="1091">
        <f t="shared" si="22"/>
        <v>130000</v>
      </c>
      <c r="S188" s="1091">
        <f t="shared" si="23"/>
        <v>3696.6824644549761</v>
      </c>
      <c r="T188" s="1091">
        <f t="shared" si="24"/>
        <v>126303.31753554502</v>
      </c>
    </row>
    <row r="189" spans="1:20" ht="30">
      <c r="A189" s="1088">
        <v>84</v>
      </c>
      <c r="B189" s="1107" t="s">
        <v>3824</v>
      </c>
      <c r="C189" s="1089" t="s">
        <v>3825</v>
      </c>
      <c r="D189" s="1107" t="s">
        <v>1268</v>
      </c>
      <c r="E189" s="1090"/>
      <c r="F189" s="1088"/>
      <c r="G189" s="1088"/>
      <c r="H189" s="1088"/>
      <c r="I189" s="1088">
        <v>6</v>
      </c>
      <c r="J189" s="1088">
        <v>205</v>
      </c>
      <c r="K189" s="1088"/>
      <c r="L189" s="1107">
        <v>20</v>
      </c>
      <c r="M189" s="1107">
        <v>20</v>
      </c>
      <c r="N189" s="1088"/>
      <c r="O189" s="1088"/>
      <c r="P189" s="1090">
        <f t="shared" si="21"/>
        <v>20</v>
      </c>
      <c r="Q189" s="1099">
        <v>5460</v>
      </c>
      <c r="R189" s="1091">
        <f t="shared" si="22"/>
        <v>109200</v>
      </c>
      <c r="S189" s="1091">
        <f t="shared" si="23"/>
        <v>3105.2132701421801</v>
      </c>
      <c r="T189" s="1091">
        <f t="shared" si="24"/>
        <v>106094.78672985782</v>
      </c>
    </row>
    <row r="190" spans="1:20" ht="30">
      <c r="A190" s="1088">
        <v>83</v>
      </c>
      <c r="B190" s="1107" t="s">
        <v>3826</v>
      </c>
      <c r="C190" s="1089" t="s">
        <v>3827</v>
      </c>
      <c r="D190" s="1107" t="s">
        <v>1268</v>
      </c>
      <c r="E190" s="1090"/>
      <c r="F190" s="1088"/>
      <c r="G190" s="1088"/>
      <c r="H190" s="1088"/>
      <c r="I190" s="1088">
        <v>6</v>
      </c>
      <c r="J190" s="1088">
        <v>205</v>
      </c>
      <c r="K190" s="1088"/>
      <c r="L190" s="1107">
        <v>60</v>
      </c>
      <c r="M190" s="1107">
        <v>60</v>
      </c>
      <c r="N190" s="1088"/>
      <c r="O190" s="1088"/>
      <c r="P190" s="1090">
        <f t="shared" si="21"/>
        <v>60</v>
      </c>
      <c r="Q190" s="1099">
        <v>1400</v>
      </c>
      <c r="R190" s="1091">
        <f t="shared" si="22"/>
        <v>84000</v>
      </c>
      <c r="S190" s="1091">
        <f t="shared" si="23"/>
        <v>2388.6255924170614</v>
      </c>
      <c r="T190" s="1091">
        <f t="shared" si="24"/>
        <v>81611.374407582945</v>
      </c>
    </row>
    <row r="191" spans="1:20" ht="30">
      <c r="A191" s="1088">
        <v>82</v>
      </c>
      <c r="B191" s="1107" t="s">
        <v>3828</v>
      </c>
      <c r="C191" s="1089" t="s">
        <v>3829</v>
      </c>
      <c r="D191" s="1107" t="s">
        <v>1268</v>
      </c>
      <c r="E191" s="1090"/>
      <c r="F191" s="1088"/>
      <c r="G191" s="1088"/>
      <c r="H191" s="1088"/>
      <c r="I191" s="1088">
        <v>6</v>
      </c>
      <c r="J191" s="1088">
        <v>205</v>
      </c>
      <c r="K191" s="1088"/>
      <c r="L191" s="1107">
        <v>190</v>
      </c>
      <c r="M191" s="1107">
        <v>190</v>
      </c>
      <c r="N191" s="1088"/>
      <c r="O191" s="1088"/>
      <c r="P191" s="1090">
        <f t="shared" si="21"/>
        <v>190</v>
      </c>
      <c r="Q191" s="1099">
        <v>1890</v>
      </c>
      <c r="R191" s="1091">
        <f t="shared" si="22"/>
        <v>359100</v>
      </c>
      <c r="S191" s="1091">
        <f t="shared" si="23"/>
        <v>10211.374407582938</v>
      </c>
      <c r="T191" s="1091">
        <f t="shared" si="24"/>
        <v>348888.62559241708</v>
      </c>
    </row>
    <row r="192" spans="1:20">
      <c r="A192" s="1088">
        <v>79</v>
      </c>
      <c r="B192" s="1107" t="s">
        <v>3830</v>
      </c>
      <c r="C192" s="1089" t="s">
        <v>3831</v>
      </c>
      <c r="D192" s="1107" t="s">
        <v>1268</v>
      </c>
      <c r="E192" s="1090"/>
      <c r="F192" s="1088"/>
      <c r="G192" s="1088"/>
      <c r="H192" s="1088"/>
      <c r="I192" s="1088">
        <v>6</v>
      </c>
      <c r="J192" s="1088">
        <v>205</v>
      </c>
      <c r="K192" s="1088"/>
      <c r="L192" s="1107">
        <v>2600</v>
      </c>
      <c r="M192" s="1107">
        <v>2600</v>
      </c>
      <c r="N192" s="1088"/>
      <c r="O192" s="1088"/>
      <c r="P192" s="1090">
        <f t="shared" si="21"/>
        <v>2600</v>
      </c>
      <c r="Q192" s="1099">
        <v>260</v>
      </c>
      <c r="R192" s="1091">
        <f t="shared" si="22"/>
        <v>676000</v>
      </c>
      <c r="S192" s="1091">
        <f t="shared" si="23"/>
        <v>19222.748815165876</v>
      </c>
      <c r="T192" s="1091">
        <f t="shared" si="24"/>
        <v>656777.25118483417</v>
      </c>
    </row>
    <row r="193" spans="1:20">
      <c r="A193" s="1088">
        <v>80</v>
      </c>
      <c r="B193" s="1107" t="s">
        <v>3832</v>
      </c>
      <c r="C193" s="1089" t="s">
        <v>3833</v>
      </c>
      <c r="D193" s="1107" t="s">
        <v>1268</v>
      </c>
      <c r="E193" s="1090"/>
      <c r="F193" s="1088"/>
      <c r="G193" s="1088"/>
      <c r="H193" s="1088"/>
      <c r="I193" s="1088">
        <v>6</v>
      </c>
      <c r="J193" s="1088">
        <v>205</v>
      </c>
      <c r="K193" s="1088"/>
      <c r="L193" s="1107">
        <v>1800</v>
      </c>
      <c r="M193" s="1107">
        <v>1800</v>
      </c>
      <c r="N193" s="1088"/>
      <c r="O193" s="1088"/>
      <c r="P193" s="1090">
        <f t="shared" si="21"/>
        <v>1800</v>
      </c>
      <c r="Q193" s="1099">
        <v>680</v>
      </c>
      <c r="R193" s="1091">
        <f t="shared" si="22"/>
        <v>1224000</v>
      </c>
      <c r="S193" s="1091">
        <f t="shared" si="23"/>
        <v>34805.687203791465</v>
      </c>
      <c r="T193" s="1091">
        <f t="shared" si="24"/>
        <v>1189194.3127962085</v>
      </c>
    </row>
    <row r="194" spans="1:20">
      <c r="A194" s="1090">
        <v>304</v>
      </c>
      <c r="B194" s="1106" t="s">
        <v>3834</v>
      </c>
      <c r="C194" s="1093" t="s">
        <v>3835</v>
      </c>
      <c r="D194" s="1106" t="s">
        <v>1022</v>
      </c>
      <c r="E194" s="1090"/>
      <c r="F194" s="1090"/>
      <c r="G194" s="1090"/>
      <c r="H194" s="1090"/>
      <c r="I194" s="1088">
        <v>6</v>
      </c>
      <c r="J194" s="1088">
        <v>205</v>
      </c>
      <c r="K194" s="1090"/>
      <c r="L194" s="1112">
        <v>50</v>
      </c>
      <c r="M194" s="1112">
        <v>50</v>
      </c>
      <c r="N194" s="1090"/>
      <c r="O194" s="1090"/>
      <c r="P194" s="1090">
        <f t="shared" si="21"/>
        <v>50</v>
      </c>
      <c r="Q194" s="1090">
        <v>1000</v>
      </c>
      <c r="R194" s="1091">
        <f t="shared" si="22"/>
        <v>50000</v>
      </c>
      <c r="S194" s="1091">
        <f t="shared" si="23"/>
        <v>1421.8009478672984</v>
      </c>
      <c r="T194" s="1091">
        <f t="shared" si="24"/>
        <v>48578.199052132702</v>
      </c>
    </row>
    <row r="195" spans="1:20">
      <c r="A195" s="1088">
        <v>85</v>
      </c>
      <c r="B195" s="1107" t="s">
        <v>3836</v>
      </c>
      <c r="C195" s="1089" t="s">
        <v>3837</v>
      </c>
      <c r="D195" s="1107" t="s">
        <v>1268</v>
      </c>
      <c r="E195" s="1090"/>
      <c r="F195" s="1088"/>
      <c r="G195" s="1088"/>
      <c r="H195" s="1088"/>
      <c r="I195" s="1088">
        <v>6</v>
      </c>
      <c r="J195" s="1088">
        <v>205</v>
      </c>
      <c r="K195" s="1088"/>
      <c r="L195" s="1107">
        <v>40</v>
      </c>
      <c r="M195" s="1107">
        <v>40</v>
      </c>
      <c r="N195" s="1088"/>
      <c r="O195" s="1088"/>
      <c r="P195" s="1090">
        <f t="shared" si="21"/>
        <v>40</v>
      </c>
      <c r="Q195" s="1099">
        <v>7620</v>
      </c>
      <c r="R195" s="1091">
        <f t="shared" si="22"/>
        <v>304800</v>
      </c>
      <c r="S195" s="1091">
        <f t="shared" si="23"/>
        <v>8667.2985781990519</v>
      </c>
      <c r="T195" s="1091">
        <f t="shared" si="24"/>
        <v>296132.70142180094</v>
      </c>
    </row>
    <row r="196" spans="1:20">
      <c r="A196" s="1088">
        <v>258</v>
      </c>
      <c r="B196" s="1114" t="s">
        <v>3838</v>
      </c>
      <c r="C196" s="1093"/>
      <c r="D196" s="1114" t="s">
        <v>1022</v>
      </c>
      <c r="E196" s="1090"/>
      <c r="F196" s="1090"/>
      <c r="G196" s="1090"/>
      <c r="H196" s="1090"/>
      <c r="I196" s="1088">
        <v>6</v>
      </c>
      <c r="J196" s="1088">
        <v>205</v>
      </c>
      <c r="K196" s="1090"/>
      <c r="L196" s="1114">
        <v>60</v>
      </c>
      <c r="M196" s="1114">
        <v>60</v>
      </c>
      <c r="N196" s="1090"/>
      <c r="O196" s="1090"/>
      <c r="P196" s="1090">
        <f t="shared" si="21"/>
        <v>60</v>
      </c>
      <c r="Q196" s="1090">
        <v>400</v>
      </c>
      <c r="R196" s="1091">
        <f t="shared" si="22"/>
        <v>24000</v>
      </c>
      <c r="S196" s="1091">
        <f t="shared" si="23"/>
        <v>682.46445497630327</v>
      </c>
      <c r="T196" s="1091">
        <f t="shared" si="24"/>
        <v>23317.535545023697</v>
      </c>
    </row>
    <row r="197" spans="1:20">
      <c r="A197" s="1088">
        <v>261</v>
      </c>
      <c r="B197" s="1114" t="s">
        <v>1509</v>
      </c>
      <c r="C197" s="1093" t="s">
        <v>3839</v>
      </c>
      <c r="D197" s="1114" t="s">
        <v>1022</v>
      </c>
      <c r="E197" s="1090"/>
      <c r="F197" s="1090"/>
      <c r="G197" s="1090"/>
      <c r="H197" s="1090"/>
      <c r="I197" s="1088">
        <v>6</v>
      </c>
      <c r="J197" s="1088">
        <v>205</v>
      </c>
      <c r="K197" s="1090"/>
      <c r="L197" s="1114">
        <v>1000</v>
      </c>
      <c r="M197" s="1114">
        <v>1000</v>
      </c>
      <c r="N197" s="1090"/>
      <c r="O197" s="1090"/>
      <c r="P197" s="1090">
        <f t="shared" si="21"/>
        <v>1000</v>
      </c>
      <c r="Q197" s="1090">
        <v>560</v>
      </c>
      <c r="R197" s="1091">
        <f t="shared" si="22"/>
        <v>560000</v>
      </c>
      <c r="S197" s="1091">
        <f t="shared" si="23"/>
        <v>15924.170616113743</v>
      </c>
      <c r="T197" s="1091">
        <f t="shared" si="24"/>
        <v>544075.8293838863</v>
      </c>
    </row>
    <row r="198" spans="1:20">
      <c r="A198" s="1088">
        <v>224</v>
      </c>
      <c r="B198" s="1110" t="s">
        <v>1511</v>
      </c>
      <c r="C198" s="1093"/>
      <c r="D198" s="1110" t="s">
        <v>1268</v>
      </c>
      <c r="E198" s="1090"/>
      <c r="F198" s="1090"/>
      <c r="G198" s="1090"/>
      <c r="H198" s="1090"/>
      <c r="I198" s="1088">
        <v>6</v>
      </c>
      <c r="J198" s="1088">
        <v>205</v>
      </c>
      <c r="K198" s="1090"/>
      <c r="L198" s="1110">
        <v>2</v>
      </c>
      <c r="M198" s="1110">
        <v>2</v>
      </c>
      <c r="N198" s="1090"/>
      <c r="O198" s="1090"/>
      <c r="P198" s="1090">
        <f t="shared" si="21"/>
        <v>2</v>
      </c>
      <c r="Q198" s="1090">
        <v>1498</v>
      </c>
      <c r="R198" s="1091">
        <f t="shared" si="22"/>
        <v>2996</v>
      </c>
      <c r="S198" s="1091">
        <f t="shared" si="23"/>
        <v>85.194312796208521</v>
      </c>
      <c r="T198" s="1091">
        <f t="shared" si="24"/>
        <v>2910.8056872037914</v>
      </c>
    </row>
    <row r="199" spans="1:20">
      <c r="A199" s="1088">
        <v>151</v>
      </c>
      <c r="B199" s="1106" t="s">
        <v>2281</v>
      </c>
      <c r="C199" s="1093"/>
      <c r="D199" s="1106" t="s">
        <v>2218</v>
      </c>
      <c r="E199" s="1090"/>
      <c r="F199" s="1090"/>
      <c r="G199" s="1090"/>
      <c r="H199" s="1090"/>
      <c r="I199" s="1088">
        <v>6</v>
      </c>
      <c r="J199" s="1088">
        <v>205</v>
      </c>
      <c r="K199" s="1090"/>
      <c r="L199" s="1106">
        <v>40</v>
      </c>
      <c r="M199" s="1106">
        <v>40</v>
      </c>
      <c r="N199" s="1090"/>
      <c r="O199" s="1090"/>
      <c r="P199" s="1090">
        <f t="shared" si="21"/>
        <v>40</v>
      </c>
      <c r="Q199" s="1090">
        <v>500</v>
      </c>
      <c r="R199" s="1091">
        <f t="shared" si="22"/>
        <v>20000</v>
      </c>
      <c r="S199" s="1091">
        <f t="shared" si="23"/>
        <v>568.72037914691941</v>
      </c>
      <c r="T199" s="1091">
        <f t="shared" si="24"/>
        <v>19431.279620853082</v>
      </c>
    </row>
    <row r="200" spans="1:20" ht="120">
      <c r="A200" s="1088">
        <v>111</v>
      </c>
      <c r="B200" s="1107" t="s">
        <v>3840</v>
      </c>
      <c r="C200" s="1089" t="s">
        <v>3841</v>
      </c>
      <c r="D200" s="1107" t="s">
        <v>1268</v>
      </c>
      <c r="E200" s="1090"/>
      <c r="F200" s="1088"/>
      <c r="G200" s="1088"/>
      <c r="H200" s="1088"/>
      <c r="I200" s="1088">
        <v>6</v>
      </c>
      <c r="J200" s="1088">
        <v>205</v>
      </c>
      <c r="K200" s="1088"/>
      <c r="L200" s="1107">
        <v>4</v>
      </c>
      <c r="M200" s="1107">
        <v>4</v>
      </c>
      <c r="N200" s="1088"/>
      <c r="O200" s="1088"/>
      <c r="P200" s="1090">
        <f t="shared" si="21"/>
        <v>4</v>
      </c>
      <c r="Q200" s="1088">
        <v>80000</v>
      </c>
      <c r="R200" s="1091">
        <f t="shared" si="22"/>
        <v>320000</v>
      </c>
      <c r="S200" s="1091">
        <f t="shared" si="23"/>
        <v>9099.5260663507106</v>
      </c>
      <c r="T200" s="1091">
        <f t="shared" si="24"/>
        <v>310900.47393364931</v>
      </c>
    </row>
    <row r="201" spans="1:20">
      <c r="A201" s="1088">
        <v>223</v>
      </c>
      <c r="B201" s="1110" t="s">
        <v>3842</v>
      </c>
      <c r="C201" s="1093"/>
      <c r="D201" s="1110" t="s">
        <v>1268</v>
      </c>
      <c r="E201" s="1090"/>
      <c r="F201" s="1090"/>
      <c r="G201" s="1090"/>
      <c r="H201" s="1090"/>
      <c r="I201" s="1088">
        <v>6</v>
      </c>
      <c r="J201" s="1088">
        <v>205</v>
      </c>
      <c r="K201" s="1090"/>
      <c r="L201" s="1110">
        <v>2</v>
      </c>
      <c r="M201" s="1110">
        <v>2</v>
      </c>
      <c r="N201" s="1090"/>
      <c r="O201" s="1090"/>
      <c r="P201" s="1090">
        <f t="shared" si="21"/>
        <v>2</v>
      </c>
      <c r="Q201" s="1090">
        <v>1605</v>
      </c>
      <c r="R201" s="1091">
        <f t="shared" si="22"/>
        <v>3210</v>
      </c>
      <c r="S201" s="1091">
        <f t="shared" si="23"/>
        <v>91.279620853080559</v>
      </c>
      <c r="T201" s="1091">
        <f t="shared" si="24"/>
        <v>3118.7203791469196</v>
      </c>
    </row>
    <row r="202" spans="1:20">
      <c r="A202" s="1088">
        <v>150</v>
      </c>
      <c r="B202" s="1106" t="s">
        <v>3843</v>
      </c>
      <c r="C202" s="1093"/>
      <c r="D202" s="1106" t="s">
        <v>1022</v>
      </c>
      <c r="E202" s="1090"/>
      <c r="F202" s="1090"/>
      <c r="G202" s="1090"/>
      <c r="H202" s="1090"/>
      <c r="I202" s="1088">
        <v>6</v>
      </c>
      <c r="J202" s="1088">
        <v>205</v>
      </c>
      <c r="K202" s="1090"/>
      <c r="L202" s="1106">
        <v>33</v>
      </c>
      <c r="M202" s="1106">
        <v>33</v>
      </c>
      <c r="N202" s="1090"/>
      <c r="O202" s="1090"/>
      <c r="P202" s="1090">
        <f t="shared" si="21"/>
        <v>33</v>
      </c>
      <c r="Q202" s="1090">
        <v>2500</v>
      </c>
      <c r="R202" s="1091">
        <f t="shared" si="22"/>
        <v>82500</v>
      </c>
      <c r="S202" s="1091">
        <f t="shared" si="23"/>
        <v>2345.9715639810424</v>
      </c>
      <c r="T202" s="1091">
        <f t="shared" si="24"/>
        <v>80154.028436018954</v>
      </c>
    </row>
    <row r="203" spans="1:20" ht="30">
      <c r="A203" s="1090"/>
      <c r="B203" s="1157" t="s">
        <v>1519</v>
      </c>
      <c r="C203" s="1162" t="s">
        <v>1520</v>
      </c>
      <c r="D203" s="1157" t="s">
        <v>1203</v>
      </c>
      <c r="E203" s="1090"/>
      <c r="F203" s="1088"/>
      <c r="G203" s="1088"/>
      <c r="H203" s="1088"/>
      <c r="I203" s="1088">
        <v>6</v>
      </c>
      <c r="J203" s="1088">
        <v>205</v>
      </c>
      <c r="K203" s="1088"/>
      <c r="L203" s="1102">
        <v>100</v>
      </c>
      <c r="M203" s="1102">
        <v>100</v>
      </c>
      <c r="N203" s="1088"/>
      <c r="O203" s="1088"/>
      <c r="P203" s="1090">
        <f t="shared" si="21"/>
        <v>100</v>
      </c>
      <c r="Q203" s="1099">
        <v>428</v>
      </c>
      <c r="R203" s="1091">
        <f t="shared" si="22"/>
        <v>42800</v>
      </c>
      <c r="S203" s="1091">
        <f t="shared" si="23"/>
        <v>1217.0616113744074</v>
      </c>
      <c r="T203" s="1091">
        <f t="shared" si="24"/>
        <v>41582.938388625589</v>
      </c>
    </row>
    <row r="204" spans="1:20">
      <c r="A204" s="1088">
        <v>288</v>
      </c>
      <c r="B204" s="1106" t="s">
        <v>1521</v>
      </c>
      <c r="C204" s="1093" t="s">
        <v>1522</v>
      </c>
      <c r="D204" s="1106" t="s">
        <v>1022</v>
      </c>
      <c r="E204" s="1090"/>
      <c r="F204" s="1090"/>
      <c r="G204" s="1090"/>
      <c r="H204" s="1090"/>
      <c r="I204" s="1088">
        <v>6</v>
      </c>
      <c r="J204" s="1088">
        <v>205</v>
      </c>
      <c r="K204" s="1090"/>
      <c r="L204" s="1109">
        <v>1</v>
      </c>
      <c r="M204" s="1109">
        <v>1</v>
      </c>
      <c r="N204" s="1090"/>
      <c r="O204" s="1090"/>
      <c r="P204" s="1090">
        <f t="shared" si="21"/>
        <v>1</v>
      </c>
      <c r="Q204" s="1090">
        <v>6600</v>
      </c>
      <c r="R204" s="1091">
        <f t="shared" si="22"/>
        <v>6600</v>
      </c>
      <c r="S204" s="1091">
        <f t="shared" si="23"/>
        <v>187.67772511848341</v>
      </c>
      <c r="T204" s="1091">
        <f t="shared" si="24"/>
        <v>6412.3222748815169</v>
      </c>
    </row>
    <row r="205" spans="1:20" ht="30">
      <c r="A205" s="1088">
        <v>129</v>
      </c>
      <c r="B205" s="1106" t="s">
        <v>3844</v>
      </c>
      <c r="C205" s="1093" t="s">
        <v>3321</v>
      </c>
      <c r="D205" s="1106" t="s">
        <v>1325</v>
      </c>
      <c r="E205" s="1090"/>
      <c r="F205" s="1090"/>
      <c r="G205" s="1090"/>
      <c r="H205" s="1090"/>
      <c r="I205" s="1088">
        <v>6</v>
      </c>
      <c r="J205" s="1088">
        <v>205</v>
      </c>
      <c r="K205" s="1090"/>
      <c r="L205" s="1106">
        <v>4</v>
      </c>
      <c r="M205" s="1106">
        <v>4</v>
      </c>
      <c r="N205" s="1090"/>
      <c r="O205" s="1090"/>
      <c r="P205" s="1090">
        <f t="shared" si="21"/>
        <v>4</v>
      </c>
      <c r="Q205" s="1090">
        <v>18000</v>
      </c>
      <c r="R205" s="1091">
        <f t="shared" si="22"/>
        <v>72000</v>
      </c>
      <c r="S205" s="1091">
        <f t="shared" si="23"/>
        <v>2047.3933649289099</v>
      </c>
      <c r="T205" s="1091">
        <f t="shared" si="24"/>
        <v>69952.60663507109</v>
      </c>
    </row>
    <row r="206" spans="1:20">
      <c r="A206" s="1088">
        <v>290</v>
      </c>
      <c r="B206" s="1106" t="s">
        <v>1526</v>
      </c>
      <c r="C206" s="1093" t="s">
        <v>3845</v>
      </c>
      <c r="D206" s="1106" t="s">
        <v>1022</v>
      </c>
      <c r="E206" s="1090"/>
      <c r="F206" s="1090"/>
      <c r="G206" s="1090"/>
      <c r="H206" s="1090"/>
      <c r="I206" s="1088">
        <v>6</v>
      </c>
      <c r="J206" s="1088">
        <v>205</v>
      </c>
      <c r="K206" s="1090"/>
      <c r="L206" s="1109">
        <v>10</v>
      </c>
      <c r="M206" s="1109">
        <v>10</v>
      </c>
      <c r="N206" s="1090"/>
      <c r="O206" s="1090"/>
      <c r="P206" s="1090">
        <f t="shared" si="21"/>
        <v>10</v>
      </c>
      <c r="Q206" s="1090">
        <v>1200</v>
      </c>
      <c r="R206" s="1091">
        <f t="shared" si="22"/>
        <v>12000</v>
      </c>
      <c r="S206" s="1091">
        <f t="shared" si="23"/>
        <v>341.23222748815164</v>
      </c>
      <c r="T206" s="1091">
        <f t="shared" si="24"/>
        <v>11658.767772511848</v>
      </c>
    </row>
    <row r="207" spans="1:20" ht="30">
      <c r="A207" s="1088">
        <v>289</v>
      </c>
      <c r="B207" s="1106" t="s">
        <v>2220</v>
      </c>
      <c r="C207" s="1093" t="s">
        <v>3846</v>
      </c>
      <c r="D207" s="1106" t="s">
        <v>1022</v>
      </c>
      <c r="E207" s="1090"/>
      <c r="F207" s="1090"/>
      <c r="G207" s="1090"/>
      <c r="H207" s="1090"/>
      <c r="I207" s="1088">
        <v>6</v>
      </c>
      <c r="J207" s="1088">
        <v>205</v>
      </c>
      <c r="K207" s="1090"/>
      <c r="L207" s="1109">
        <v>6</v>
      </c>
      <c r="M207" s="1109">
        <v>6</v>
      </c>
      <c r="N207" s="1090"/>
      <c r="O207" s="1090"/>
      <c r="P207" s="1090">
        <f t="shared" si="21"/>
        <v>6</v>
      </c>
      <c r="Q207" s="1090">
        <v>2000</v>
      </c>
      <c r="R207" s="1091">
        <f t="shared" si="22"/>
        <v>12000</v>
      </c>
      <c r="S207" s="1091">
        <f t="shared" si="23"/>
        <v>341.23222748815164</v>
      </c>
      <c r="T207" s="1091">
        <f t="shared" si="24"/>
        <v>11658.767772511848</v>
      </c>
    </row>
    <row r="208" spans="1:20" ht="30">
      <c r="A208" s="1088">
        <v>132</v>
      </c>
      <c r="B208" s="1106" t="s">
        <v>3847</v>
      </c>
      <c r="C208" s="1093"/>
      <c r="D208" s="1106" t="s">
        <v>1325</v>
      </c>
      <c r="E208" s="1090"/>
      <c r="F208" s="1090"/>
      <c r="G208" s="1090"/>
      <c r="H208" s="1090"/>
      <c r="I208" s="1088">
        <v>6</v>
      </c>
      <c r="J208" s="1088">
        <v>205</v>
      </c>
      <c r="K208" s="1090"/>
      <c r="L208" s="1106">
        <v>4</v>
      </c>
      <c r="M208" s="1106">
        <v>4</v>
      </c>
      <c r="N208" s="1090"/>
      <c r="O208" s="1090"/>
      <c r="P208" s="1090">
        <f t="shared" si="21"/>
        <v>4</v>
      </c>
      <c r="Q208" s="1090">
        <v>60000</v>
      </c>
      <c r="R208" s="1091">
        <f t="shared" si="22"/>
        <v>240000</v>
      </c>
      <c r="S208" s="1091">
        <f t="shared" si="23"/>
        <v>6824.644549763033</v>
      </c>
      <c r="T208" s="1091">
        <f t="shared" si="24"/>
        <v>233175.35545023697</v>
      </c>
    </row>
    <row r="209" spans="1:20" ht="30">
      <c r="A209" s="1088">
        <v>295</v>
      </c>
      <c r="B209" s="1106" t="s">
        <v>1532</v>
      </c>
      <c r="C209" s="1093" t="s">
        <v>3848</v>
      </c>
      <c r="D209" s="1106" t="s">
        <v>1022</v>
      </c>
      <c r="E209" s="1090"/>
      <c r="F209" s="1090"/>
      <c r="G209" s="1090"/>
      <c r="H209" s="1090"/>
      <c r="I209" s="1088">
        <v>6</v>
      </c>
      <c r="J209" s="1088">
        <v>205</v>
      </c>
      <c r="K209" s="1090"/>
      <c r="L209" s="1109">
        <v>1</v>
      </c>
      <c r="M209" s="1109">
        <v>1</v>
      </c>
      <c r="N209" s="1090"/>
      <c r="O209" s="1090"/>
      <c r="P209" s="1090">
        <f t="shared" si="21"/>
        <v>1</v>
      </c>
      <c r="Q209" s="1090">
        <v>4500</v>
      </c>
      <c r="R209" s="1091">
        <f t="shared" si="22"/>
        <v>4500</v>
      </c>
      <c r="S209" s="1091">
        <f t="shared" si="23"/>
        <v>127.96208530805687</v>
      </c>
      <c r="T209" s="1091">
        <f t="shared" si="24"/>
        <v>4372.0379146919431</v>
      </c>
    </row>
    <row r="210" spans="1:20">
      <c r="A210" s="1088">
        <v>300</v>
      </c>
      <c r="B210" s="1106" t="s">
        <v>3324</v>
      </c>
      <c r="C210" s="1093" t="s">
        <v>3849</v>
      </c>
      <c r="D210" s="1106" t="s">
        <v>1022</v>
      </c>
      <c r="E210" s="1090"/>
      <c r="F210" s="1090"/>
      <c r="G210" s="1090"/>
      <c r="H210" s="1090"/>
      <c r="I210" s="1088">
        <v>6</v>
      </c>
      <c r="J210" s="1088">
        <v>205</v>
      </c>
      <c r="K210" s="1090"/>
      <c r="L210" s="1109">
        <v>1</v>
      </c>
      <c r="M210" s="1109">
        <v>1</v>
      </c>
      <c r="N210" s="1090"/>
      <c r="O210" s="1090"/>
      <c r="P210" s="1090">
        <f t="shared" si="21"/>
        <v>1</v>
      </c>
      <c r="Q210" s="1090">
        <v>150</v>
      </c>
      <c r="R210" s="1091">
        <f t="shared" si="22"/>
        <v>150</v>
      </c>
      <c r="S210" s="1091">
        <f t="shared" si="23"/>
        <v>4.2654028436018958</v>
      </c>
      <c r="T210" s="1091">
        <f t="shared" si="24"/>
        <v>145.73459715639811</v>
      </c>
    </row>
    <row r="211" spans="1:20" ht="30">
      <c r="A211" s="1088">
        <v>131</v>
      </c>
      <c r="B211" s="1106" t="s">
        <v>3850</v>
      </c>
      <c r="C211" s="1093"/>
      <c r="D211" s="1106" t="s">
        <v>1325</v>
      </c>
      <c r="E211" s="1090"/>
      <c r="F211" s="1090"/>
      <c r="G211" s="1090"/>
      <c r="H211" s="1090"/>
      <c r="I211" s="1088">
        <v>6</v>
      </c>
      <c r="J211" s="1088">
        <v>205</v>
      </c>
      <c r="K211" s="1090"/>
      <c r="L211" s="1106">
        <v>4</v>
      </c>
      <c r="M211" s="1106">
        <v>4</v>
      </c>
      <c r="N211" s="1090"/>
      <c r="O211" s="1090"/>
      <c r="P211" s="1090">
        <f t="shared" si="21"/>
        <v>4</v>
      </c>
      <c r="Q211" s="1090">
        <v>30000</v>
      </c>
      <c r="R211" s="1091">
        <f t="shared" si="22"/>
        <v>120000</v>
      </c>
      <c r="S211" s="1091">
        <f t="shared" si="23"/>
        <v>3412.3222748815165</v>
      </c>
      <c r="T211" s="1091">
        <f t="shared" si="24"/>
        <v>116587.67772511848</v>
      </c>
    </row>
    <row r="212" spans="1:20" ht="30">
      <c r="A212" s="1088">
        <v>93</v>
      </c>
      <c r="B212" s="1107" t="s">
        <v>1538</v>
      </c>
      <c r="C212" s="1089" t="s">
        <v>3851</v>
      </c>
      <c r="D212" s="1107" t="s">
        <v>1268</v>
      </c>
      <c r="E212" s="1090"/>
      <c r="F212" s="1088"/>
      <c r="G212" s="1088"/>
      <c r="H212" s="1088"/>
      <c r="I212" s="1088">
        <v>6</v>
      </c>
      <c r="J212" s="1088">
        <v>205</v>
      </c>
      <c r="K212" s="1088"/>
      <c r="L212" s="1107">
        <v>4</v>
      </c>
      <c r="M212" s="1107">
        <v>4</v>
      </c>
      <c r="N212" s="1088"/>
      <c r="O212" s="1088"/>
      <c r="P212" s="1090">
        <f t="shared" si="21"/>
        <v>4</v>
      </c>
      <c r="Q212" s="1099">
        <v>40000</v>
      </c>
      <c r="R212" s="1091">
        <f t="shared" si="22"/>
        <v>160000</v>
      </c>
      <c r="S212" s="1091">
        <f t="shared" si="23"/>
        <v>4549.7630331753553</v>
      </c>
      <c r="T212" s="1091">
        <f t="shared" si="24"/>
        <v>155450.23696682465</v>
      </c>
    </row>
    <row r="213" spans="1:20">
      <c r="A213" s="1088">
        <v>259</v>
      </c>
      <c r="B213" s="1114" t="s">
        <v>3852</v>
      </c>
      <c r="C213" s="1093"/>
      <c r="D213" s="1114" t="s">
        <v>1022</v>
      </c>
      <c r="E213" s="1090"/>
      <c r="F213" s="1090"/>
      <c r="G213" s="1090"/>
      <c r="H213" s="1090"/>
      <c r="I213" s="1088">
        <v>6</v>
      </c>
      <c r="J213" s="1088">
        <v>205</v>
      </c>
      <c r="K213" s="1090"/>
      <c r="L213" s="1114">
        <v>20</v>
      </c>
      <c r="M213" s="1114">
        <v>20</v>
      </c>
      <c r="N213" s="1090"/>
      <c r="O213" s="1090"/>
      <c r="P213" s="1090">
        <f t="shared" si="21"/>
        <v>20</v>
      </c>
      <c r="Q213" s="1090">
        <v>380</v>
      </c>
      <c r="R213" s="1091">
        <f t="shared" si="22"/>
        <v>7600</v>
      </c>
      <c r="S213" s="1091">
        <f t="shared" si="23"/>
        <v>216.11374407582937</v>
      </c>
      <c r="T213" s="1091">
        <f t="shared" si="24"/>
        <v>7383.8862559241707</v>
      </c>
    </row>
    <row r="214" spans="1:20">
      <c r="A214" s="1088">
        <v>297</v>
      </c>
      <c r="B214" s="1106" t="s">
        <v>3853</v>
      </c>
      <c r="C214" s="1093" t="s">
        <v>3854</v>
      </c>
      <c r="D214" s="1106" t="s">
        <v>1022</v>
      </c>
      <c r="E214" s="1090"/>
      <c r="F214" s="1090"/>
      <c r="G214" s="1090"/>
      <c r="H214" s="1090"/>
      <c r="I214" s="1088">
        <v>6</v>
      </c>
      <c r="J214" s="1088">
        <v>205</v>
      </c>
      <c r="K214" s="1090"/>
      <c r="L214" s="1109">
        <v>1</v>
      </c>
      <c r="M214" s="1109">
        <v>1</v>
      </c>
      <c r="N214" s="1090"/>
      <c r="O214" s="1090"/>
      <c r="P214" s="1090">
        <f t="shared" si="21"/>
        <v>1</v>
      </c>
      <c r="Q214" s="1090">
        <v>750</v>
      </c>
      <c r="R214" s="1091">
        <f t="shared" si="22"/>
        <v>750</v>
      </c>
      <c r="S214" s="1091">
        <f t="shared" si="23"/>
        <v>21.327014218009477</v>
      </c>
      <c r="T214" s="1091">
        <f t="shared" si="24"/>
        <v>728.67298578199052</v>
      </c>
    </row>
    <row r="215" spans="1:20" ht="30">
      <c r="A215" s="1088">
        <v>225</v>
      </c>
      <c r="B215" s="1110" t="s">
        <v>3855</v>
      </c>
      <c r="C215" s="1093"/>
      <c r="D215" s="1110" t="s">
        <v>1268</v>
      </c>
      <c r="E215" s="1090"/>
      <c r="F215" s="1090"/>
      <c r="G215" s="1090"/>
      <c r="H215" s="1090"/>
      <c r="I215" s="1088">
        <v>6</v>
      </c>
      <c r="J215" s="1088">
        <v>205</v>
      </c>
      <c r="K215" s="1090"/>
      <c r="L215" s="1110">
        <v>1</v>
      </c>
      <c r="M215" s="1110">
        <v>1</v>
      </c>
      <c r="N215" s="1090"/>
      <c r="O215" s="1090"/>
      <c r="P215" s="1090">
        <f t="shared" si="21"/>
        <v>1</v>
      </c>
      <c r="Q215" s="1090">
        <v>802.5</v>
      </c>
      <c r="R215" s="1091">
        <f t="shared" si="22"/>
        <v>802.5</v>
      </c>
      <c r="S215" s="1091">
        <f t="shared" si="23"/>
        <v>22.81990521327014</v>
      </c>
      <c r="T215" s="1091">
        <f t="shared" si="24"/>
        <v>779.68009478672991</v>
      </c>
    </row>
    <row r="216" spans="1:20">
      <c r="A216" s="1088">
        <v>242</v>
      </c>
      <c r="B216" s="1109" t="s">
        <v>3856</v>
      </c>
      <c r="C216" s="1093"/>
      <c r="D216" s="1109" t="s">
        <v>1022</v>
      </c>
      <c r="E216" s="1090"/>
      <c r="F216" s="1090"/>
      <c r="G216" s="1090"/>
      <c r="H216" s="1090"/>
      <c r="I216" s="1088">
        <v>6</v>
      </c>
      <c r="J216" s="1088">
        <v>205</v>
      </c>
      <c r="K216" s="1090"/>
      <c r="L216" s="1112">
        <v>51</v>
      </c>
      <c r="M216" s="1112">
        <v>51</v>
      </c>
      <c r="N216" s="1090"/>
      <c r="O216" s="1090"/>
      <c r="P216" s="1090">
        <f t="shared" si="21"/>
        <v>51</v>
      </c>
      <c r="Q216" s="1090">
        <v>1177</v>
      </c>
      <c r="R216" s="1091">
        <f t="shared" si="22"/>
        <v>60027</v>
      </c>
      <c r="S216" s="1091">
        <f t="shared" si="23"/>
        <v>1706.9289099526065</v>
      </c>
      <c r="T216" s="1091">
        <f t="shared" si="24"/>
        <v>58320.071090047393</v>
      </c>
    </row>
    <row r="217" spans="1:20">
      <c r="A217" s="1088">
        <v>243</v>
      </c>
      <c r="B217" s="1109" t="s">
        <v>3327</v>
      </c>
      <c r="C217" s="1093" t="s">
        <v>3328</v>
      </c>
      <c r="D217" s="1109" t="s">
        <v>1022</v>
      </c>
      <c r="E217" s="1090"/>
      <c r="F217" s="1090"/>
      <c r="G217" s="1090"/>
      <c r="H217" s="1090"/>
      <c r="I217" s="1088">
        <v>6</v>
      </c>
      <c r="J217" s="1088">
        <v>205</v>
      </c>
      <c r="K217" s="1090"/>
      <c r="L217" s="1112">
        <v>800</v>
      </c>
      <c r="M217" s="1112">
        <v>800</v>
      </c>
      <c r="N217" s="1090"/>
      <c r="O217" s="1090"/>
      <c r="P217" s="1090">
        <f t="shared" si="21"/>
        <v>800</v>
      </c>
      <c r="Q217" s="1090">
        <v>21.400000000000002</v>
      </c>
      <c r="R217" s="1091">
        <f t="shared" si="22"/>
        <v>17120</v>
      </c>
      <c r="S217" s="1091">
        <f t="shared" si="23"/>
        <v>486.82464454976304</v>
      </c>
      <c r="T217" s="1091">
        <f t="shared" si="24"/>
        <v>16633.175355450236</v>
      </c>
    </row>
    <row r="218" spans="1:20">
      <c r="A218" s="1088">
        <v>226</v>
      </c>
      <c r="B218" s="1110" t="s">
        <v>1549</v>
      </c>
      <c r="C218" s="1093" t="s">
        <v>1550</v>
      </c>
      <c r="D218" s="1110" t="s">
        <v>1268</v>
      </c>
      <c r="E218" s="1090"/>
      <c r="F218" s="1090"/>
      <c r="G218" s="1090"/>
      <c r="H218" s="1090"/>
      <c r="I218" s="1088">
        <v>6</v>
      </c>
      <c r="J218" s="1088">
        <v>205</v>
      </c>
      <c r="K218" s="1090"/>
      <c r="L218" s="1110">
        <v>25</v>
      </c>
      <c r="M218" s="1110">
        <v>25</v>
      </c>
      <c r="N218" s="1090"/>
      <c r="O218" s="1090"/>
      <c r="P218" s="1090">
        <f t="shared" si="21"/>
        <v>25</v>
      </c>
      <c r="Q218" s="1090">
        <v>791.80000000000007</v>
      </c>
      <c r="R218" s="1091">
        <f t="shared" si="22"/>
        <v>19795</v>
      </c>
      <c r="S218" s="1091">
        <f t="shared" si="23"/>
        <v>562.89099526066343</v>
      </c>
      <c r="T218" s="1091">
        <f t="shared" si="24"/>
        <v>19232.109004739337</v>
      </c>
    </row>
    <row r="219" spans="1:20">
      <c r="A219" s="1090"/>
      <c r="B219" s="1159" t="s">
        <v>1551</v>
      </c>
      <c r="C219" s="1162" t="s">
        <v>1552</v>
      </c>
      <c r="D219" s="1164" t="s">
        <v>1022</v>
      </c>
      <c r="E219" s="1090"/>
      <c r="F219" s="1088"/>
      <c r="G219" s="1088"/>
      <c r="H219" s="1088"/>
      <c r="I219" s="1088">
        <v>6</v>
      </c>
      <c r="J219" s="1088">
        <v>205</v>
      </c>
      <c r="K219" s="1088"/>
      <c r="L219" s="1090">
        <v>952</v>
      </c>
      <c r="M219" s="1090">
        <v>952</v>
      </c>
      <c r="N219" s="1088"/>
      <c r="O219" s="1088"/>
      <c r="P219" s="1090">
        <f t="shared" si="21"/>
        <v>952</v>
      </c>
      <c r="Q219" s="1099">
        <v>390.55</v>
      </c>
      <c r="R219" s="1091">
        <f t="shared" si="22"/>
        <v>371803.60000000003</v>
      </c>
      <c r="S219" s="1091">
        <f t="shared" si="23"/>
        <v>10572.614218009479</v>
      </c>
      <c r="T219" s="1091">
        <f t="shared" si="24"/>
        <v>361230.98578199057</v>
      </c>
    </row>
    <row r="220" spans="1:20">
      <c r="A220" s="1088">
        <v>200</v>
      </c>
      <c r="B220" s="1110" t="s">
        <v>3857</v>
      </c>
      <c r="C220" s="1093" t="s">
        <v>3858</v>
      </c>
      <c r="D220" s="1110" t="s">
        <v>1022</v>
      </c>
      <c r="E220" s="1090"/>
      <c r="F220" s="1090"/>
      <c r="G220" s="1090"/>
      <c r="H220" s="1090"/>
      <c r="I220" s="1088">
        <v>6</v>
      </c>
      <c r="J220" s="1088">
        <v>205</v>
      </c>
      <c r="K220" s="1090"/>
      <c r="L220" s="1110">
        <v>20</v>
      </c>
      <c r="M220" s="1110">
        <v>20</v>
      </c>
      <c r="N220" s="1090"/>
      <c r="O220" s="1090"/>
      <c r="P220" s="1090">
        <f t="shared" si="21"/>
        <v>20</v>
      </c>
      <c r="Q220" s="1090">
        <v>26.75</v>
      </c>
      <c r="R220" s="1091">
        <f t="shared" si="22"/>
        <v>535</v>
      </c>
      <c r="S220" s="1091">
        <f t="shared" si="23"/>
        <v>15.213270142180095</v>
      </c>
      <c r="T220" s="1091">
        <f t="shared" si="24"/>
        <v>519.78672985781986</v>
      </c>
    </row>
    <row r="221" spans="1:20">
      <c r="A221" s="1088">
        <v>265</v>
      </c>
      <c r="B221" s="1173" t="s">
        <v>1555</v>
      </c>
      <c r="C221" s="1171" t="s">
        <v>1556</v>
      </c>
      <c r="D221" s="1114" t="s">
        <v>1587</v>
      </c>
      <c r="E221" s="1090"/>
      <c r="F221" s="1090"/>
      <c r="G221" s="1090"/>
      <c r="H221" s="1090"/>
      <c r="I221" s="1088">
        <v>6</v>
      </c>
      <c r="J221" s="1088">
        <v>205</v>
      </c>
      <c r="K221" s="1090"/>
      <c r="L221" s="1114">
        <v>1730</v>
      </c>
      <c r="M221" s="1114">
        <v>1730</v>
      </c>
      <c r="N221" s="1090"/>
      <c r="O221" s="1090"/>
      <c r="P221" s="1090">
        <f t="shared" si="21"/>
        <v>1730</v>
      </c>
      <c r="Q221" s="1090">
        <v>260</v>
      </c>
      <c r="R221" s="1091">
        <f t="shared" si="22"/>
        <v>449800</v>
      </c>
      <c r="S221" s="1091">
        <f t="shared" si="23"/>
        <v>12790.521327014218</v>
      </c>
      <c r="T221" s="1091">
        <f t="shared" si="24"/>
        <v>437009.4786729858</v>
      </c>
    </row>
    <row r="222" spans="1:20">
      <c r="A222" s="1088">
        <v>266</v>
      </c>
      <c r="B222" s="1173" t="s">
        <v>1555</v>
      </c>
      <c r="C222" s="1171" t="s">
        <v>1557</v>
      </c>
      <c r="D222" s="1114" t="s">
        <v>1587</v>
      </c>
      <c r="E222" s="1090"/>
      <c r="F222" s="1090"/>
      <c r="G222" s="1090"/>
      <c r="H222" s="1090"/>
      <c r="I222" s="1088">
        <v>6</v>
      </c>
      <c r="J222" s="1088">
        <v>205</v>
      </c>
      <c r="K222" s="1090"/>
      <c r="L222" s="1114">
        <v>8310</v>
      </c>
      <c r="M222" s="1114">
        <v>8310</v>
      </c>
      <c r="N222" s="1090"/>
      <c r="O222" s="1090"/>
      <c r="P222" s="1090">
        <f t="shared" si="21"/>
        <v>8310</v>
      </c>
      <c r="Q222" s="1090">
        <v>250</v>
      </c>
      <c r="R222" s="1091">
        <f t="shared" si="22"/>
        <v>2077500</v>
      </c>
      <c r="S222" s="1091">
        <f t="shared" si="23"/>
        <v>59075.829383886252</v>
      </c>
      <c r="T222" s="1091">
        <f t="shared" si="24"/>
        <v>2018424.1706161138</v>
      </c>
    </row>
    <row r="223" spans="1:20">
      <c r="A223" s="1088">
        <v>285</v>
      </c>
      <c r="B223" s="1106" t="s">
        <v>3859</v>
      </c>
      <c r="C223" s="1093" t="s">
        <v>3860</v>
      </c>
      <c r="D223" s="1106" t="s">
        <v>1022</v>
      </c>
      <c r="E223" s="1090"/>
      <c r="F223" s="1090"/>
      <c r="G223" s="1090"/>
      <c r="H223" s="1090"/>
      <c r="I223" s="1088">
        <v>6</v>
      </c>
      <c r="J223" s="1088">
        <v>205</v>
      </c>
      <c r="K223" s="1090"/>
      <c r="L223" s="1109">
        <v>100</v>
      </c>
      <c r="M223" s="1109">
        <v>100</v>
      </c>
      <c r="N223" s="1090"/>
      <c r="O223" s="1090"/>
      <c r="P223" s="1090">
        <f t="shared" si="21"/>
        <v>100</v>
      </c>
      <c r="Q223" s="1090">
        <v>150</v>
      </c>
      <c r="R223" s="1091">
        <f t="shared" si="22"/>
        <v>15000</v>
      </c>
      <c r="S223" s="1091">
        <f t="shared" si="23"/>
        <v>426.54028436018956</v>
      </c>
      <c r="T223" s="1091">
        <f t="shared" si="24"/>
        <v>14573.45971563981</v>
      </c>
    </row>
    <row r="224" spans="1:20">
      <c r="A224" s="1088">
        <v>158</v>
      </c>
      <c r="B224" s="1106" t="s">
        <v>3861</v>
      </c>
      <c r="C224" s="1093"/>
      <c r="D224" s="1106" t="s">
        <v>1338</v>
      </c>
      <c r="E224" s="1090"/>
      <c r="F224" s="1090"/>
      <c r="G224" s="1090"/>
      <c r="H224" s="1090"/>
      <c r="I224" s="1088">
        <v>6</v>
      </c>
      <c r="J224" s="1088">
        <v>205</v>
      </c>
      <c r="K224" s="1090"/>
      <c r="L224" s="1106">
        <v>100</v>
      </c>
      <c r="M224" s="1106">
        <v>100</v>
      </c>
      <c r="N224" s="1090"/>
      <c r="O224" s="1090"/>
      <c r="P224" s="1090">
        <f t="shared" si="21"/>
        <v>100</v>
      </c>
      <c r="Q224" s="1090">
        <v>1500</v>
      </c>
      <c r="R224" s="1091">
        <f t="shared" si="22"/>
        <v>150000</v>
      </c>
      <c r="S224" s="1091">
        <f t="shared" si="23"/>
        <v>4265.4028436018953</v>
      </c>
      <c r="T224" s="1091">
        <f t="shared" si="24"/>
        <v>145734.59715639811</v>
      </c>
    </row>
    <row r="225" spans="1:20">
      <c r="A225" s="1088">
        <v>112</v>
      </c>
      <c r="B225" s="1107" t="s">
        <v>3862</v>
      </c>
      <c r="C225" s="1089" t="s">
        <v>3863</v>
      </c>
      <c r="D225" s="1107" t="s">
        <v>1022</v>
      </c>
      <c r="E225" s="1090"/>
      <c r="F225" s="1088"/>
      <c r="G225" s="1088"/>
      <c r="H225" s="1088"/>
      <c r="I225" s="1088">
        <v>6</v>
      </c>
      <c r="J225" s="1088">
        <v>205</v>
      </c>
      <c r="K225" s="1088"/>
      <c r="L225" s="1107">
        <v>4</v>
      </c>
      <c r="M225" s="1107">
        <v>4</v>
      </c>
      <c r="N225" s="1088"/>
      <c r="O225" s="1088"/>
      <c r="P225" s="1090">
        <f t="shared" si="21"/>
        <v>4</v>
      </c>
      <c r="Q225" s="1088">
        <v>50000</v>
      </c>
      <c r="R225" s="1091">
        <f t="shared" si="22"/>
        <v>200000</v>
      </c>
      <c r="S225" s="1091">
        <f t="shared" si="23"/>
        <v>5687.2037914691937</v>
      </c>
      <c r="T225" s="1091">
        <f t="shared" si="24"/>
        <v>194312.79620853081</v>
      </c>
    </row>
    <row r="226" spans="1:20">
      <c r="A226" s="1088">
        <v>179</v>
      </c>
      <c r="B226" s="1169" t="s">
        <v>1562</v>
      </c>
      <c r="C226" s="1171" t="s">
        <v>1563</v>
      </c>
      <c r="D226" s="1169" t="s">
        <v>1564</v>
      </c>
      <c r="E226" s="1090"/>
      <c r="F226" s="1090"/>
      <c r="G226" s="1090"/>
      <c r="H226" s="1090"/>
      <c r="I226" s="1088">
        <v>6</v>
      </c>
      <c r="J226" s="1088">
        <v>205</v>
      </c>
      <c r="K226" s="1090"/>
      <c r="L226" s="1109">
        <v>2520</v>
      </c>
      <c r="M226" s="1109">
        <v>2520</v>
      </c>
      <c r="N226" s="1090"/>
      <c r="O226" s="1090"/>
      <c r="P226" s="1090">
        <f t="shared" si="21"/>
        <v>2520</v>
      </c>
      <c r="Q226" s="1090">
        <v>60</v>
      </c>
      <c r="R226" s="1091">
        <f t="shared" si="22"/>
        <v>151200</v>
      </c>
      <c r="S226" s="1091">
        <f t="shared" si="23"/>
        <v>4299.5260663507106</v>
      </c>
      <c r="T226" s="1091">
        <f t="shared" si="24"/>
        <v>146900.47393364928</v>
      </c>
    </row>
    <row r="227" spans="1:20" ht="60">
      <c r="A227" s="1088"/>
      <c r="B227" s="1169" t="s">
        <v>1562</v>
      </c>
      <c r="C227" s="1171" t="s">
        <v>3864</v>
      </c>
      <c r="D227" s="1169"/>
      <c r="E227" s="1090"/>
      <c r="F227" s="1090"/>
      <c r="G227" s="1090"/>
      <c r="H227" s="1090"/>
      <c r="I227" s="1088"/>
      <c r="J227" s="1088"/>
      <c r="K227" s="1090"/>
      <c r="L227" s="1109"/>
      <c r="M227" s="1109"/>
      <c r="N227" s="1090"/>
      <c r="O227" s="1090"/>
      <c r="P227" s="1090"/>
      <c r="Q227" s="1090"/>
      <c r="R227" s="1091"/>
      <c r="S227" s="1091"/>
      <c r="T227" s="1091"/>
    </row>
    <row r="228" spans="1:20" ht="30">
      <c r="A228" s="1088">
        <v>121</v>
      </c>
      <c r="B228" s="1177" t="s">
        <v>1566</v>
      </c>
      <c r="C228" s="1171" t="s">
        <v>1567</v>
      </c>
      <c r="D228" s="1177" t="s">
        <v>1565</v>
      </c>
      <c r="E228" s="1090"/>
      <c r="F228" s="1090"/>
      <c r="G228" s="1090"/>
      <c r="H228" s="1088"/>
      <c r="I228" s="1088">
        <v>6</v>
      </c>
      <c r="J228" s="1088">
        <v>205</v>
      </c>
      <c r="K228" s="1088"/>
      <c r="L228" s="1107">
        <v>35</v>
      </c>
      <c r="M228" s="1107">
        <v>35</v>
      </c>
      <c r="N228" s="1088"/>
      <c r="O228" s="1088"/>
      <c r="P228" s="1090">
        <f>L228-O228</f>
        <v>35</v>
      </c>
      <c r="Q228" s="1088">
        <v>3000</v>
      </c>
      <c r="R228" s="1091">
        <f>P228*Q228</f>
        <v>105000</v>
      </c>
      <c r="S228" s="1091">
        <f>R228*(I228/(I228+J228+K228))</f>
        <v>2985.7819905213269</v>
      </c>
      <c r="T228" s="1091">
        <f>R228-S228</f>
        <v>102014.21800947867</v>
      </c>
    </row>
    <row r="229" spans="1:20" ht="30">
      <c r="A229" s="1088">
        <v>178</v>
      </c>
      <c r="B229" s="1169" t="s">
        <v>1568</v>
      </c>
      <c r="C229" s="1171" t="s">
        <v>3865</v>
      </c>
      <c r="D229" s="1169" t="s">
        <v>1564</v>
      </c>
      <c r="E229" s="1090"/>
      <c r="F229" s="1090"/>
      <c r="G229" s="1090"/>
      <c r="H229" s="1090"/>
      <c r="I229" s="1088">
        <v>6</v>
      </c>
      <c r="J229" s="1088">
        <v>205</v>
      </c>
      <c r="K229" s="1090"/>
      <c r="L229" s="1109">
        <v>5520</v>
      </c>
      <c r="M229" s="1109">
        <v>5520</v>
      </c>
      <c r="N229" s="1090"/>
      <c r="O229" s="1090"/>
      <c r="P229" s="1090">
        <f>L229-O229</f>
        <v>5520</v>
      </c>
      <c r="Q229" s="1090">
        <v>60</v>
      </c>
      <c r="R229" s="1091">
        <f>P229*Q229</f>
        <v>331200</v>
      </c>
      <c r="S229" s="1091">
        <f>R229*(I229/(I229+J229+K229))</f>
        <v>9418.009478672986</v>
      </c>
      <c r="T229" s="1091">
        <f>R229-S229</f>
        <v>321781.99052132701</v>
      </c>
    </row>
    <row r="230" spans="1:20" ht="30">
      <c r="A230" s="1088">
        <v>267</v>
      </c>
      <c r="B230" s="1178" t="s">
        <v>3866</v>
      </c>
      <c r="C230" s="1093"/>
      <c r="D230" s="1114" t="s">
        <v>1564</v>
      </c>
      <c r="E230" s="1090"/>
      <c r="F230" s="1090"/>
      <c r="G230" s="1090"/>
      <c r="H230" s="1090"/>
      <c r="I230" s="1088">
        <v>6</v>
      </c>
      <c r="J230" s="1088">
        <v>205</v>
      </c>
      <c r="K230" s="1090"/>
      <c r="L230" s="1114">
        <v>1680</v>
      </c>
      <c r="M230" s="1114">
        <v>1680</v>
      </c>
      <c r="N230" s="1090"/>
      <c r="O230" s="1090"/>
      <c r="P230" s="1090">
        <f>L230-O230</f>
        <v>1680</v>
      </c>
      <c r="Q230" s="1090">
        <v>220</v>
      </c>
      <c r="R230" s="1091">
        <f>P230*Q230</f>
        <v>369600</v>
      </c>
      <c r="S230" s="1091">
        <f>R230*(I230/(I230+J230+K230))</f>
        <v>10509.95260663507</v>
      </c>
      <c r="T230" s="1091">
        <f>R230-S230</f>
        <v>359090.04739336495</v>
      </c>
    </row>
    <row r="231" spans="1:20" ht="30">
      <c r="A231" s="1090"/>
      <c r="B231" s="1159" t="s">
        <v>1571</v>
      </c>
      <c r="C231" s="1162" t="s">
        <v>1572</v>
      </c>
      <c r="D231" s="1164" t="s">
        <v>1022</v>
      </c>
      <c r="E231" s="1090"/>
      <c r="F231" s="1088"/>
      <c r="G231" s="1088"/>
      <c r="H231" s="1088"/>
      <c r="I231" s="1088"/>
      <c r="J231" s="1088"/>
      <c r="K231" s="1088"/>
      <c r="L231" s="1090"/>
      <c r="M231" s="1090"/>
      <c r="N231" s="1088"/>
      <c r="O231" s="1088"/>
      <c r="P231" s="1090"/>
      <c r="Q231" s="1099"/>
      <c r="R231" s="1091"/>
      <c r="S231" s="1091"/>
      <c r="T231" s="1091"/>
    </row>
    <row r="232" spans="1:20" ht="45">
      <c r="A232" s="1088">
        <v>98</v>
      </c>
      <c r="B232" s="1107" t="s">
        <v>1573</v>
      </c>
      <c r="C232" s="1089" t="s">
        <v>1574</v>
      </c>
      <c r="D232" s="1107" t="s">
        <v>1268</v>
      </c>
      <c r="E232" s="1090"/>
      <c r="F232" s="1088"/>
      <c r="G232" s="1088"/>
      <c r="H232" s="1088"/>
      <c r="I232" s="1088">
        <v>6</v>
      </c>
      <c r="J232" s="1088">
        <v>205</v>
      </c>
      <c r="K232" s="1088"/>
      <c r="L232" s="1107">
        <v>40</v>
      </c>
      <c r="M232" s="1107">
        <v>40</v>
      </c>
      <c r="N232" s="1088"/>
      <c r="O232" s="1088"/>
      <c r="P232" s="1090">
        <f t="shared" ref="P232:P250" si="25">L232-O232</f>
        <v>40</v>
      </c>
      <c r="Q232" s="1099">
        <v>1000</v>
      </c>
      <c r="R232" s="1091">
        <f t="shared" ref="R232:R250" si="26">P232*Q232</f>
        <v>40000</v>
      </c>
      <c r="S232" s="1091">
        <f t="shared" ref="S232:S250" si="27">R232*(I232/(I232+J232+K232))</f>
        <v>1137.4407582938388</v>
      </c>
      <c r="T232" s="1091">
        <f t="shared" ref="T232:T250" si="28">R232-S232</f>
        <v>38862.559241706163</v>
      </c>
    </row>
    <row r="233" spans="1:20" ht="45">
      <c r="A233" s="1088">
        <v>99</v>
      </c>
      <c r="B233" s="1107" t="s">
        <v>1573</v>
      </c>
      <c r="C233" s="1089" t="s">
        <v>1575</v>
      </c>
      <c r="D233" s="1107" t="s">
        <v>1268</v>
      </c>
      <c r="E233" s="1090"/>
      <c r="F233" s="1088"/>
      <c r="G233" s="1088"/>
      <c r="H233" s="1088"/>
      <c r="I233" s="1088">
        <v>6</v>
      </c>
      <c r="J233" s="1088">
        <v>205</v>
      </c>
      <c r="K233" s="1088"/>
      <c r="L233" s="1107">
        <v>80</v>
      </c>
      <c r="M233" s="1107">
        <v>80</v>
      </c>
      <c r="N233" s="1088"/>
      <c r="O233" s="1088"/>
      <c r="P233" s="1090">
        <f t="shared" si="25"/>
        <v>80</v>
      </c>
      <c r="Q233" s="1099">
        <v>1000</v>
      </c>
      <c r="R233" s="1091">
        <f t="shared" si="26"/>
        <v>80000</v>
      </c>
      <c r="S233" s="1091">
        <f t="shared" si="27"/>
        <v>2274.8815165876777</v>
      </c>
      <c r="T233" s="1091">
        <f t="shared" si="28"/>
        <v>77725.118483412327</v>
      </c>
    </row>
    <row r="234" spans="1:20" ht="30">
      <c r="A234" s="1088">
        <v>100</v>
      </c>
      <c r="B234" s="1107" t="s">
        <v>1573</v>
      </c>
      <c r="C234" s="1089" t="s">
        <v>1576</v>
      </c>
      <c r="D234" s="1107" t="s">
        <v>1268</v>
      </c>
      <c r="E234" s="1090"/>
      <c r="F234" s="1088"/>
      <c r="G234" s="1088"/>
      <c r="H234" s="1088"/>
      <c r="I234" s="1088">
        <v>6</v>
      </c>
      <c r="J234" s="1088">
        <v>205</v>
      </c>
      <c r="K234" s="1088"/>
      <c r="L234" s="1107">
        <v>20</v>
      </c>
      <c r="M234" s="1107">
        <v>20</v>
      </c>
      <c r="N234" s="1088"/>
      <c r="O234" s="1088"/>
      <c r="P234" s="1090">
        <f t="shared" si="25"/>
        <v>20</v>
      </c>
      <c r="Q234" s="1099">
        <v>1000</v>
      </c>
      <c r="R234" s="1091">
        <f t="shared" si="26"/>
        <v>20000</v>
      </c>
      <c r="S234" s="1091">
        <f t="shared" si="27"/>
        <v>568.72037914691941</v>
      </c>
      <c r="T234" s="1091">
        <f t="shared" si="28"/>
        <v>19431.279620853082</v>
      </c>
    </row>
    <row r="235" spans="1:20">
      <c r="A235" s="1088">
        <v>230</v>
      </c>
      <c r="B235" s="1111" t="s">
        <v>3867</v>
      </c>
      <c r="C235" s="1093"/>
      <c r="D235" s="1112" t="s">
        <v>1022</v>
      </c>
      <c r="E235" s="1090"/>
      <c r="F235" s="1090"/>
      <c r="G235" s="1090"/>
      <c r="H235" s="1090"/>
      <c r="I235" s="1088">
        <v>6</v>
      </c>
      <c r="J235" s="1088">
        <v>205</v>
      </c>
      <c r="K235" s="1090"/>
      <c r="L235" s="1113">
        <v>80</v>
      </c>
      <c r="M235" s="1113">
        <v>80</v>
      </c>
      <c r="N235" s="1090"/>
      <c r="O235" s="1090"/>
      <c r="P235" s="1090">
        <f t="shared" si="25"/>
        <v>80</v>
      </c>
      <c r="Q235" s="1090">
        <v>267.5</v>
      </c>
      <c r="R235" s="1091">
        <f t="shared" si="26"/>
        <v>21400</v>
      </c>
      <c r="S235" s="1091">
        <f t="shared" si="27"/>
        <v>608.53080568720372</v>
      </c>
      <c r="T235" s="1091">
        <f t="shared" si="28"/>
        <v>20791.469194312795</v>
      </c>
    </row>
    <row r="236" spans="1:20">
      <c r="A236" s="1088">
        <v>235</v>
      </c>
      <c r="B236" s="1109" t="s">
        <v>3868</v>
      </c>
      <c r="C236" s="1093"/>
      <c r="D236" s="1109" t="s">
        <v>1579</v>
      </c>
      <c r="E236" s="1090"/>
      <c r="F236" s="1090"/>
      <c r="G236" s="1090"/>
      <c r="H236" s="1090"/>
      <c r="I236" s="1088">
        <v>6</v>
      </c>
      <c r="J236" s="1088">
        <v>205</v>
      </c>
      <c r="K236" s="1090"/>
      <c r="L236" s="1112">
        <v>60</v>
      </c>
      <c r="M236" s="1112">
        <v>60</v>
      </c>
      <c r="N236" s="1090"/>
      <c r="O236" s="1090"/>
      <c r="P236" s="1090">
        <f t="shared" si="25"/>
        <v>60</v>
      </c>
      <c r="Q236" s="1090">
        <v>1391</v>
      </c>
      <c r="R236" s="1091">
        <f t="shared" si="26"/>
        <v>83460</v>
      </c>
      <c r="S236" s="1091">
        <f t="shared" si="27"/>
        <v>2373.2701421800948</v>
      </c>
      <c r="T236" s="1091">
        <f t="shared" si="28"/>
        <v>81086.729857819912</v>
      </c>
    </row>
    <row r="237" spans="1:20" ht="30">
      <c r="A237" s="1088">
        <v>291</v>
      </c>
      <c r="B237" s="1106" t="s">
        <v>1580</v>
      </c>
      <c r="C237" s="1093" t="s">
        <v>3869</v>
      </c>
      <c r="D237" s="1106" t="s">
        <v>1022</v>
      </c>
      <c r="E237" s="1090"/>
      <c r="F237" s="1090"/>
      <c r="G237" s="1090"/>
      <c r="H237" s="1090"/>
      <c r="I237" s="1088">
        <v>6</v>
      </c>
      <c r="J237" s="1088">
        <v>205</v>
      </c>
      <c r="K237" s="1090"/>
      <c r="L237" s="1109">
        <v>1</v>
      </c>
      <c r="M237" s="1109">
        <v>1</v>
      </c>
      <c r="N237" s="1090"/>
      <c r="O237" s="1090"/>
      <c r="P237" s="1090">
        <f t="shared" si="25"/>
        <v>1</v>
      </c>
      <c r="Q237" s="1090">
        <v>650</v>
      </c>
      <c r="R237" s="1091">
        <f t="shared" si="26"/>
        <v>650</v>
      </c>
      <c r="S237" s="1091">
        <f t="shared" si="27"/>
        <v>18.48341232227488</v>
      </c>
      <c r="T237" s="1091">
        <f t="shared" si="28"/>
        <v>631.51658767772517</v>
      </c>
    </row>
    <row r="238" spans="1:20" ht="30">
      <c r="A238" s="1088">
        <v>292</v>
      </c>
      <c r="B238" s="1106" t="s">
        <v>3330</v>
      </c>
      <c r="C238" s="1093" t="s">
        <v>3870</v>
      </c>
      <c r="D238" s="1106" t="s">
        <v>1022</v>
      </c>
      <c r="E238" s="1090"/>
      <c r="F238" s="1090"/>
      <c r="G238" s="1090"/>
      <c r="H238" s="1090"/>
      <c r="I238" s="1088">
        <v>6</v>
      </c>
      <c r="J238" s="1088">
        <v>205</v>
      </c>
      <c r="K238" s="1090"/>
      <c r="L238" s="1109">
        <v>3</v>
      </c>
      <c r="M238" s="1109">
        <v>3</v>
      </c>
      <c r="N238" s="1090"/>
      <c r="O238" s="1090"/>
      <c r="P238" s="1090">
        <f t="shared" si="25"/>
        <v>3</v>
      </c>
      <c r="Q238" s="1090">
        <v>1000</v>
      </c>
      <c r="R238" s="1091">
        <f t="shared" si="26"/>
        <v>3000</v>
      </c>
      <c r="S238" s="1091">
        <f t="shared" si="27"/>
        <v>85.308056872037909</v>
      </c>
      <c r="T238" s="1091">
        <f t="shared" si="28"/>
        <v>2914.6919431279621</v>
      </c>
    </row>
    <row r="239" spans="1:20" ht="30">
      <c r="A239" s="1088">
        <v>293</v>
      </c>
      <c r="B239" s="1106" t="s">
        <v>3331</v>
      </c>
      <c r="C239" s="1093" t="s">
        <v>3871</v>
      </c>
      <c r="D239" s="1106" t="s">
        <v>1022</v>
      </c>
      <c r="E239" s="1090"/>
      <c r="F239" s="1090"/>
      <c r="G239" s="1090"/>
      <c r="H239" s="1090"/>
      <c r="I239" s="1088">
        <v>6</v>
      </c>
      <c r="J239" s="1088">
        <v>205</v>
      </c>
      <c r="K239" s="1090"/>
      <c r="L239" s="1109">
        <v>1</v>
      </c>
      <c r="M239" s="1109">
        <v>1</v>
      </c>
      <c r="N239" s="1090"/>
      <c r="O239" s="1090"/>
      <c r="P239" s="1090">
        <f t="shared" si="25"/>
        <v>1</v>
      </c>
      <c r="Q239" s="1090">
        <v>650</v>
      </c>
      <c r="R239" s="1091">
        <f t="shared" si="26"/>
        <v>650</v>
      </c>
      <c r="S239" s="1091">
        <f t="shared" si="27"/>
        <v>18.48341232227488</v>
      </c>
      <c r="T239" s="1091">
        <f t="shared" si="28"/>
        <v>631.51658767772517</v>
      </c>
    </row>
    <row r="240" spans="1:20">
      <c r="A240" s="1088">
        <v>148</v>
      </c>
      <c r="B240" s="1106" t="s">
        <v>3872</v>
      </c>
      <c r="C240" s="1093"/>
      <c r="D240" s="1106" t="s">
        <v>1587</v>
      </c>
      <c r="E240" s="1090"/>
      <c r="F240" s="1090"/>
      <c r="G240" s="1090"/>
      <c r="H240" s="1090"/>
      <c r="I240" s="1088">
        <v>6</v>
      </c>
      <c r="J240" s="1088">
        <v>205</v>
      </c>
      <c r="K240" s="1090"/>
      <c r="L240" s="1106">
        <v>7</v>
      </c>
      <c r="M240" s="1106">
        <v>7</v>
      </c>
      <c r="N240" s="1090"/>
      <c r="O240" s="1090"/>
      <c r="P240" s="1090">
        <f t="shared" si="25"/>
        <v>7</v>
      </c>
      <c r="Q240" s="1090">
        <v>18000</v>
      </c>
      <c r="R240" s="1091">
        <f t="shared" si="26"/>
        <v>126000</v>
      </c>
      <c r="S240" s="1091">
        <f t="shared" si="27"/>
        <v>3582.9383886255923</v>
      </c>
      <c r="T240" s="1091">
        <f t="shared" si="28"/>
        <v>122417.0616113744</v>
      </c>
    </row>
    <row r="241" spans="1:21" ht="30">
      <c r="A241" s="1088">
        <v>177</v>
      </c>
      <c r="B241" s="1169" t="s">
        <v>1588</v>
      </c>
      <c r="C241" s="1171" t="s">
        <v>1589</v>
      </c>
      <c r="D241" s="1172" t="s">
        <v>1590</v>
      </c>
      <c r="E241" s="1090"/>
      <c r="F241" s="1090"/>
      <c r="G241" s="1090"/>
      <c r="H241" s="1090"/>
      <c r="I241" s="1088">
        <v>6</v>
      </c>
      <c r="J241" s="1088">
        <v>205</v>
      </c>
      <c r="K241" s="1090"/>
      <c r="L241" s="1106">
        <v>26</v>
      </c>
      <c r="M241" s="1106">
        <v>26</v>
      </c>
      <c r="N241" s="1090"/>
      <c r="O241" s="1090"/>
      <c r="P241" s="1090">
        <f t="shared" si="25"/>
        <v>26</v>
      </c>
      <c r="Q241" s="1090">
        <v>15000</v>
      </c>
      <c r="R241" s="1091">
        <f t="shared" si="26"/>
        <v>390000</v>
      </c>
      <c r="S241" s="1091">
        <f t="shared" si="27"/>
        <v>11090.047393364928</v>
      </c>
      <c r="T241" s="1091">
        <f t="shared" si="28"/>
        <v>378909.95260663505</v>
      </c>
    </row>
    <row r="242" spans="1:21" ht="30">
      <c r="A242" s="1088">
        <v>247</v>
      </c>
      <c r="B242" s="1172" t="s">
        <v>1591</v>
      </c>
      <c r="C242" s="1171" t="s">
        <v>1592</v>
      </c>
      <c r="D242" s="1172" t="s">
        <v>1290</v>
      </c>
      <c r="E242" s="1090"/>
      <c r="F242" s="1090"/>
      <c r="G242" s="1090"/>
      <c r="H242" s="1090"/>
      <c r="I242" s="1088">
        <v>6</v>
      </c>
      <c r="J242" s="1088">
        <v>205</v>
      </c>
      <c r="K242" s="1090"/>
      <c r="L242" s="1112">
        <v>20</v>
      </c>
      <c r="M242" s="1112">
        <v>20</v>
      </c>
      <c r="N242" s="1090"/>
      <c r="O242" s="1090"/>
      <c r="P242" s="1090">
        <f t="shared" si="25"/>
        <v>20</v>
      </c>
      <c r="Q242" s="1090">
        <v>749</v>
      </c>
      <c r="R242" s="1091">
        <f t="shared" si="26"/>
        <v>14980</v>
      </c>
      <c r="S242" s="1091">
        <f t="shared" si="27"/>
        <v>425.97156398104261</v>
      </c>
      <c r="T242" s="1091">
        <f t="shared" si="28"/>
        <v>14554.028436018958</v>
      </c>
      <c r="U242" s="406" t="s">
        <v>1593</v>
      </c>
    </row>
    <row r="243" spans="1:21">
      <c r="A243" s="1088">
        <v>113</v>
      </c>
      <c r="B243" s="1107" t="s">
        <v>3873</v>
      </c>
      <c r="C243" s="1089"/>
      <c r="D243" s="1107" t="s">
        <v>1022</v>
      </c>
      <c r="E243" s="1090"/>
      <c r="F243" s="1088"/>
      <c r="G243" s="1088"/>
      <c r="H243" s="1088"/>
      <c r="I243" s="1088">
        <v>6</v>
      </c>
      <c r="J243" s="1088">
        <v>205</v>
      </c>
      <c r="K243" s="1088"/>
      <c r="L243" s="1107">
        <v>4</v>
      </c>
      <c r="M243" s="1107">
        <v>4</v>
      </c>
      <c r="N243" s="1088"/>
      <c r="O243" s="1088"/>
      <c r="P243" s="1090">
        <f t="shared" si="25"/>
        <v>4</v>
      </c>
      <c r="Q243" s="1088">
        <v>25000</v>
      </c>
      <c r="R243" s="1091">
        <f t="shared" si="26"/>
        <v>100000</v>
      </c>
      <c r="S243" s="1091">
        <f t="shared" si="27"/>
        <v>2843.6018957345968</v>
      </c>
      <c r="T243" s="1091">
        <f t="shared" si="28"/>
        <v>97156.398104265405</v>
      </c>
    </row>
    <row r="244" spans="1:21">
      <c r="A244" s="1088">
        <v>241</v>
      </c>
      <c r="B244" s="1109" t="s">
        <v>3874</v>
      </c>
      <c r="C244" s="1093"/>
      <c r="D244" s="1109" t="s">
        <v>1022</v>
      </c>
      <c r="E244" s="1090"/>
      <c r="F244" s="1090"/>
      <c r="G244" s="1090"/>
      <c r="H244" s="1090"/>
      <c r="I244" s="1088">
        <v>6</v>
      </c>
      <c r="J244" s="1088">
        <v>205</v>
      </c>
      <c r="K244" s="1090"/>
      <c r="L244" s="1112">
        <v>5</v>
      </c>
      <c r="M244" s="1112">
        <v>5</v>
      </c>
      <c r="N244" s="1090"/>
      <c r="O244" s="1090"/>
      <c r="P244" s="1090">
        <f t="shared" si="25"/>
        <v>5</v>
      </c>
      <c r="Q244" s="1090">
        <v>9630</v>
      </c>
      <c r="R244" s="1091">
        <f t="shared" si="26"/>
        <v>48150</v>
      </c>
      <c r="S244" s="1091">
        <f t="shared" si="27"/>
        <v>1369.1943127962086</v>
      </c>
      <c r="T244" s="1091">
        <f t="shared" si="28"/>
        <v>46780.805687203792</v>
      </c>
    </row>
    <row r="245" spans="1:21">
      <c r="A245" s="1088">
        <v>137</v>
      </c>
      <c r="B245" s="1106" t="s">
        <v>3875</v>
      </c>
      <c r="C245" s="1093"/>
      <c r="D245" s="1106" t="s">
        <v>1268</v>
      </c>
      <c r="E245" s="1090"/>
      <c r="F245" s="1090"/>
      <c r="G245" s="1090"/>
      <c r="H245" s="1090"/>
      <c r="I245" s="1088">
        <v>6</v>
      </c>
      <c r="J245" s="1088">
        <v>205</v>
      </c>
      <c r="K245" s="1090"/>
      <c r="L245" s="1106">
        <v>6</v>
      </c>
      <c r="M245" s="1106">
        <v>6</v>
      </c>
      <c r="N245" s="1090"/>
      <c r="O245" s="1090"/>
      <c r="P245" s="1090">
        <f t="shared" si="25"/>
        <v>6</v>
      </c>
      <c r="Q245" s="1090">
        <v>50000</v>
      </c>
      <c r="R245" s="1091">
        <f t="shared" si="26"/>
        <v>300000</v>
      </c>
      <c r="S245" s="1091">
        <f t="shared" si="27"/>
        <v>8530.8056872037905</v>
      </c>
      <c r="T245" s="1091">
        <f t="shared" si="28"/>
        <v>291469.19431279623</v>
      </c>
    </row>
    <row r="246" spans="1:21">
      <c r="A246" s="1088">
        <v>124</v>
      </c>
      <c r="B246" s="1106" t="s">
        <v>3334</v>
      </c>
      <c r="C246" s="1093"/>
      <c r="D246" s="1106" t="s">
        <v>1268</v>
      </c>
      <c r="E246" s="1090"/>
      <c r="F246" s="1090"/>
      <c r="G246" s="1090"/>
      <c r="H246" s="1090"/>
      <c r="I246" s="1088">
        <v>6</v>
      </c>
      <c r="J246" s="1088">
        <v>205</v>
      </c>
      <c r="K246" s="1090"/>
      <c r="L246" s="1106">
        <v>470</v>
      </c>
      <c r="M246" s="1106">
        <v>470</v>
      </c>
      <c r="N246" s="1090"/>
      <c r="O246" s="1090"/>
      <c r="P246" s="1090">
        <f t="shared" si="25"/>
        <v>470</v>
      </c>
      <c r="Q246" s="1090">
        <v>1000</v>
      </c>
      <c r="R246" s="1091">
        <f t="shared" si="26"/>
        <v>470000</v>
      </c>
      <c r="S246" s="1091">
        <f t="shared" si="27"/>
        <v>13364.928909952607</v>
      </c>
      <c r="T246" s="1091">
        <f t="shared" si="28"/>
        <v>456635.07109004736</v>
      </c>
    </row>
    <row r="247" spans="1:21">
      <c r="A247" s="1088">
        <v>262</v>
      </c>
      <c r="B247" s="1114" t="s">
        <v>3876</v>
      </c>
      <c r="C247" s="1093" t="s">
        <v>3335</v>
      </c>
      <c r="D247" s="1114" t="s">
        <v>1022</v>
      </c>
      <c r="E247" s="1090"/>
      <c r="F247" s="1090"/>
      <c r="G247" s="1090"/>
      <c r="H247" s="1090"/>
      <c r="I247" s="1088">
        <v>6</v>
      </c>
      <c r="J247" s="1088">
        <v>205</v>
      </c>
      <c r="K247" s="1090"/>
      <c r="L247" s="1114">
        <v>1</v>
      </c>
      <c r="M247" s="1114">
        <v>1</v>
      </c>
      <c r="N247" s="1090"/>
      <c r="O247" s="1090"/>
      <c r="P247" s="1090">
        <f t="shared" si="25"/>
        <v>1</v>
      </c>
      <c r="Q247" s="1090">
        <v>7000</v>
      </c>
      <c r="R247" s="1091">
        <f t="shared" si="26"/>
        <v>7000</v>
      </c>
      <c r="S247" s="1091">
        <f t="shared" si="27"/>
        <v>199.05213270142178</v>
      </c>
      <c r="T247" s="1091">
        <f t="shared" si="28"/>
        <v>6800.9478672985779</v>
      </c>
    </row>
    <row r="248" spans="1:21">
      <c r="A248" s="1088">
        <v>277</v>
      </c>
      <c r="B248" s="1106" t="s">
        <v>3877</v>
      </c>
      <c r="C248" s="1093" t="s">
        <v>3878</v>
      </c>
      <c r="D248" s="1106" t="s">
        <v>1022</v>
      </c>
      <c r="E248" s="1090"/>
      <c r="F248" s="1090"/>
      <c r="G248" s="1090"/>
      <c r="H248" s="1090"/>
      <c r="I248" s="1088">
        <v>6</v>
      </c>
      <c r="J248" s="1088">
        <v>205</v>
      </c>
      <c r="K248" s="1090"/>
      <c r="L248" s="1109">
        <v>50</v>
      </c>
      <c r="M248" s="1109">
        <v>50</v>
      </c>
      <c r="N248" s="1090"/>
      <c r="O248" s="1090"/>
      <c r="P248" s="1090">
        <f t="shared" si="25"/>
        <v>50</v>
      </c>
      <c r="Q248" s="1090">
        <v>250</v>
      </c>
      <c r="R248" s="1091">
        <f t="shared" si="26"/>
        <v>12500</v>
      </c>
      <c r="S248" s="1091">
        <f t="shared" si="27"/>
        <v>355.4502369668246</v>
      </c>
      <c r="T248" s="1091">
        <f t="shared" si="28"/>
        <v>12144.549763033176</v>
      </c>
    </row>
    <row r="249" spans="1:21">
      <c r="A249" s="1088">
        <v>278</v>
      </c>
      <c r="B249" s="1106" t="s">
        <v>3877</v>
      </c>
      <c r="C249" s="1093" t="s">
        <v>1602</v>
      </c>
      <c r="D249" s="1106" t="s">
        <v>1022</v>
      </c>
      <c r="E249" s="1090"/>
      <c r="F249" s="1090"/>
      <c r="G249" s="1090"/>
      <c r="H249" s="1090"/>
      <c r="I249" s="1088">
        <v>6</v>
      </c>
      <c r="J249" s="1088">
        <v>205</v>
      </c>
      <c r="K249" s="1090"/>
      <c r="L249" s="1109">
        <v>50</v>
      </c>
      <c r="M249" s="1109">
        <v>50</v>
      </c>
      <c r="N249" s="1090"/>
      <c r="O249" s="1090"/>
      <c r="P249" s="1090">
        <f t="shared" si="25"/>
        <v>50</v>
      </c>
      <c r="Q249" s="1090">
        <v>1000</v>
      </c>
      <c r="R249" s="1091">
        <f t="shared" si="26"/>
        <v>50000</v>
      </c>
      <c r="S249" s="1091">
        <f t="shared" si="27"/>
        <v>1421.8009478672984</v>
      </c>
      <c r="T249" s="1091">
        <f t="shared" si="28"/>
        <v>48578.199052132702</v>
      </c>
    </row>
    <row r="250" spans="1:21">
      <c r="A250" s="1088">
        <v>154</v>
      </c>
      <c r="B250" s="1106" t="s">
        <v>3879</v>
      </c>
      <c r="C250" s="1093" t="s">
        <v>3880</v>
      </c>
      <c r="D250" s="1106" t="s">
        <v>1022</v>
      </c>
      <c r="E250" s="1090"/>
      <c r="F250" s="1090"/>
      <c r="G250" s="1090"/>
      <c r="H250" s="1090"/>
      <c r="I250" s="1088">
        <v>6</v>
      </c>
      <c r="J250" s="1088">
        <v>205</v>
      </c>
      <c r="K250" s="1090"/>
      <c r="L250" s="1106">
        <v>40</v>
      </c>
      <c r="M250" s="1106">
        <v>40</v>
      </c>
      <c r="N250" s="1090"/>
      <c r="O250" s="1090"/>
      <c r="P250" s="1090">
        <f t="shared" si="25"/>
        <v>40</v>
      </c>
      <c r="Q250" s="1090">
        <v>2000</v>
      </c>
      <c r="R250" s="1091">
        <f t="shared" si="26"/>
        <v>80000</v>
      </c>
      <c r="S250" s="1091">
        <f t="shared" si="27"/>
        <v>2274.8815165876777</v>
      </c>
      <c r="T250" s="1091">
        <f t="shared" si="28"/>
        <v>77725.118483412327</v>
      </c>
    </row>
    <row r="251" spans="1:21" hidden="1">
      <c r="A251" s="1088">
        <v>227</v>
      </c>
      <c r="B251" s="1110"/>
      <c r="C251" s="1093"/>
      <c r="D251" s="1110"/>
      <c r="E251" s="1090"/>
      <c r="F251" s="1090"/>
      <c r="G251" s="1090"/>
      <c r="H251" s="1090"/>
      <c r="I251" s="1088"/>
      <c r="J251" s="1088"/>
      <c r="K251" s="1090"/>
      <c r="L251" s="1110"/>
      <c r="M251" s="1110"/>
      <c r="N251" s="1090"/>
      <c r="O251" s="1090"/>
      <c r="P251" s="1090"/>
      <c r="Q251" s="1090"/>
      <c r="R251" s="1091"/>
      <c r="S251" s="1091"/>
      <c r="T251" s="1091"/>
    </row>
    <row r="252" spans="1:21" hidden="1">
      <c r="A252" s="1088">
        <v>228</v>
      </c>
      <c r="B252" s="1110"/>
      <c r="C252" s="1093"/>
      <c r="D252" s="1110"/>
      <c r="E252" s="1090"/>
      <c r="F252" s="1090"/>
      <c r="G252" s="1090"/>
      <c r="H252" s="1090"/>
      <c r="I252" s="1088"/>
      <c r="J252" s="1088"/>
      <c r="K252" s="1090"/>
      <c r="L252" s="1110"/>
      <c r="M252" s="1110"/>
      <c r="N252" s="1090"/>
      <c r="O252" s="1090"/>
      <c r="P252" s="1090"/>
      <c r="Q252" s="1090"/>
      <c r="R252" s="1091"/>
      <c r="S252" s="1091"/>
      <c r="T252" s="1091"/>
    </row>
    <row r="253" spans="1:21" ht="75">
      <c r="A253" s="1088">
        <v>59</v>
      </c>
      <c r="B253" s="1107" t="s">
        <v>1604</v>
      </c>
      <c r="C253" s="1089" t="s">
        <v>1605</v>
      </c>
      <c r="D253" s="1107" t="s">
        <v>1268</v>
      </c>
      <c r="E253" s="1090"/>
      <c r="F253" s="1088"/>
      <c r="G253" s="1088"/>
      <c r="H253" s="1088"/>
      <c r="I253" s="1088">
        <v>6</v>
      </c>
      <c r="J253" s="1088">
        <v>205</v>
      </c>
      <c r="K253" s="1088"/>
      <c r="L253" s="1107">
        <v>45</v>
      </c>
      <c r="M253" s="1107">
        <v>45</v>
      </c>
      <c r="N253" s="1088"/>
      <c r="O253" s="1088"/>
      <c r="P253" s="1090">
        <f t="shared" ref="P253:P298" si="29">L253-O253</f>
        <v>45</v>
      </c>
      <c r="Q253" s="1099">
        <v>470</v>
      </c>
      <c r="R253" s="1091">
        <f t="shared" ref="R253:R298" si="30">P253*Q253</f>
        <v>21150</v>
      </c>
      <c r="S253" s="1091">
        <f t="shared" ref="S253:S298" si="31">R253*(I253/(I253+J253+K253))</f>
        <v>601.42180094786727</v>
      </c>
      <c r="T253" s="1091">
        <f t="shared" ref="T253:T298" si="32">R253-S253</f>
        <v>20548.578199052132</v>
      </c>
    </row>
    <row r="254" spans="1:21" ht="75">
      <c r="A254" s="1088">
        <v>61</v>
      </c>
      <c r="B254" s="1107" t="s">
        <v>1604</v>
      </c>
      <c r="C254" s="1089" t="s">
        <v>1606</v>
      </c>
      <c r="D254" s="1107" t="s">
        <v>1268</v>
      </c>
      <c r="E254" s="1090"/>
      <c r="F254" s="1088"/>
      <c r="G254" s="1088"/>
      <c r="H254" s="1088"/>
      <c r="I254" s="1088">
        <v>6</v>
      </c>
      <c r="J254" s="1088">
        <v>205</v>
      </c>
      <c r="K254" s="1088"/>
      <c r="L254" s="1107">
        <v>70</v>
      </c>
      <c r="M254" s="1107">
        <v>70</v>
      </c>
      <c r="N254" s="1088"/>
      <c r="O254" s="1088"/>
      <c r="P254" s="1090">
        <f t="shared" si="29"/>
        <v>70</v>
      </c>
      <c r="Q254" s="1099">
        <v>670</v>
      </c>
      <c r="R254" s="1091">
        <f t="shared" si="30"/>
        <v>46900</v>
      </c>
      <c r="S254" s="1091">
        <f t="shared" si="31"/>
        <v>1333.649289099526</v>
      </c>
      <c r="T254" s="1091">
        <f t="shared" si="32"/>
        <v>45566.350710900471</v>
      </c>
    </row>
    <row r="255" spans="1:21" ht="45">
      <c r="A255" s="1088">
        <v>57</v>
      </c>
      <c r="B255" s="1107" t="s">
        <v>3881</v>
      </c>
      <c r="C255" s="1089" t="s">
        <v>3882</v>
      </c>
      <c r="D255" s="1107" t="s">
        <v>1268</v>
      </c>
      <c r="E255" s="1090"/>
      <c r="F255" s="1088"/>
      <c r="G255" s="1088"/>
      <c r="H255" s="1088"/>
      <c r="I255" s="1088">
        <v>6</v>
      </c>
      <c r="J255" s="1088">
        <v>205</v>
      </c>
      <c r="K255" s="1088"/>
      <c r="L255" s="1107">
        <v>50</v>
      </c>
      <c r="M255" s="1107">
        <v>50</v>
      </c>
      <c r="N255" s="1088"/>
      <c r="O255" s="1088"/>
      <c r="P255" s="1090">
        <f t="shared" si="29"/>
        <v>50</v>
      </c>
      <c r="Q255" s="1099">
        <v>1860</v>
      </c>
      <c r="R255" s="1091">
        <f t="shared" si="30"/>
        <v>93000</v>
      </c>
      <c r="S255" s="1091">
        <f t="shared" si="31"/>
        <v>2644.5497630331752</v>
      </c>
      <c r="T255" s="1091">
        <f t="shared" si="32"/>
        <v>90355.450236966819</v>
      </c>
    </row>
    <row r="256" spans="1:21" ht="75">
      <c r="A256" s="1088">
        <v>58</v>
      </c>
      <c r="B256" s="1107" t="s">
        <v>1609</v>
      </c>
      <c r="C256" s="1089" t="s">
        <v>1605</v>
      </c>
      <c r="D256" s="1107" t="s">
        <v>1268</v>
      </c>
      <c r="E256" s="1090"/>
      <c r="F256" s="1088"/>
      <c r="G256" s="1088"/>
      <c r="H256" s="1088"/>
      <c r="I256" s="1088">
        <v>6</v>
      </c>
      <c r="J256" s="1088">
        <v>205</v>
      </c>
      <c r="K256" s="1088"/>
      <c r="L256" s="1107">
        <v>70</v>
      </c>
      <c r="M256" s="1107">
        <v>70</v>
      </c>
      <c r="N256" s="1088"/>
      <c r="O256" s="1088"/>
      <c r="P256" s="1090">
        <f t="shared" si="29"/>
        <v>70</v>
      </c>
      <c r="Q256" s="1099">
        <v>460</v>
      </c>
      <c r="R256" s="1091">
        <f t="shared" si="30"/>
        <v>32200</v>
      </c>
      <c r="S256" s="1091">
        <f t="shared" si="31"/>
        <v>915.63981042654029</v>
      </c>
      <c r="T256" s="1091">
        <f t="shared" si="32"/>
        <v>31284.360189573461</v>
      </c>
    </row>
    <row r="257" spans="1:20" ht="75">
      <c r="A257" s="1088">
        <v>60</v>
      </c>
      <c r="B257" s="1107" t="s">
        <v>1609</v>
      </c>
      <c r="C257" s="1089" t="s">
        <v>1606</v>
      </c>
      <c r="D257" s="1107" t="s">
        <v>1268</v>
      </c>
      <c r="E257" s="1090"/>
      <c r="F257" s="1088"/>
      <c r="G257" s="1088"/>
      <c r="H257" s="1088"/>
      <c r="I257" s="1088">
        <v>6</v>
      </c>
      <c r="J257" s="1088">
        <v>205</v>
      </c>
      <c r="K257" s="1088"/>
      <c r="L257" s="1107">
        <v>45</v>
      </c>
      <c r="M257" s="1107">
        <v>45</v>
      </c>
      <c r="N257" s="1088"/>
      <c r="O257" s="1088"/>
      <c r="P257" s="1090">
        <f t="shared" si="29"/>
        <v>45</v>
      </c>
      <c r="Q257" s="1099">
        <v>670</v>
      </c>
      <c r="R257" s="1091">
        <f t="shared" si="30"/>
        <v>30150</v>
      </c>
      <c r="S257" s="1091">
        <f t="shared" si="31"/>
        <v>857.34597156398104</v>
      </c>
      <c r="T257" s="1091">
        <f t="shared" si="32"/>
        <v>29292.65402843602</v>
      </c>
    </row>
    <row r="258" spans="1:20">
      <c r="A258" s="1088">
        <v>245</v>
      </c>
      <c r="B258" s="1109" t="s">
        <v>1610</v>
      </c>
      <c r="C258" s="1093" t="s">
        <v>3883</v>
      </c>
      <c r="D258" s="1109" t="s">
        <v>1022</v>
      </c>
      <c r="E258" s="1090"/>
      <c r="F258" s="1090"/>
      <c r="G258" s="1090"/>
      <c r="H258" s="1090"/>
      <c r="I258" s="1088">
        <v>6</v>
      </c>
      <c r="J258" s="1088">
        <v>205</v>
      </c>
      <c r="K258" s="1090"/>
      <c r="L258" s="1112">
        <v>3</v>
      </c>
      <c r="M258" s="1112">
        <v>3</v>
      </c>
      <c r="N258" s="1090"/>
      <c r="O258" s="1090"/>
      <c r="P258" s="1090">
        <f t="shared" si="29"/>
        <v>3</v>
      </c>
      <c r="Q258" s="1090">
        <v>1284</v>
      </c>
      <c r="R258" s="1091">
        <f t="shared" si="30"/>
        <v>3852</v>
      </c>
      <c r="S258" s="1091">
        <f t="shared" si="31"/>
        <v>109.53554502369668</v>
      </c>
      <c r="T258" s="1091">
        <f t="shared" si="32"/>
        <v>3742.4644549763034</v>
      </c>
    </row>
    <row r="259" spans="1:20">
      <c r="A259" s="1088">
        <v>294</v>
      </c>
      <c r="B259" s="1106" t="s">
        <v>1612</v>
      </c>
      <c r="C259" s="1093" t="s">
        <v>1613</v>
      </c>
      <c r="D259" s="1106" t="s">
        <v>1022</v>
      </c>
      <c r="E259" s="1090"/>
      <c r="F259" s="1090"/>
      <c r="G259" s="1090"/>
      <c r="H259" s="1090"/>
      <c r="I259" s="1088">
        <v>6</v>
      </c>
      <c r="J259" s="1088">
        <v>205</v>
      </c>
      <c r="K259" s="1090"/>
      <c r="L259" s="1109">
        <v>1</v>
      </c>
      <c r="M259" s="1109">
        <v>1</v>
      </c>
      <c r="N259" s="1090"/>
      <c r="O259" s="1090"/>
      <c r="P259" s="1090">
        <f t="shared" si="29"/>
        <v>1</v>
      </c>
      <c r="Q259" s="1090">
        <v>750</v>
      </c>
      <c r="R259" s="1091">
        <f t="shared" si="30"/>
        <v>750</v>
      </c>
      <c r="S259" s="1091">
        <f t="shared" si="31"/>
        <v>21.327014218009477</v>
      </c>
      <c r="T259" s="1091">
        <f t="shared" si="32"/>
        <v>728.67298578199052</v>
      </c>
    </row>
    <row r="260" spans="1:20">
      <c r="A260" s="1088">
        <v>194</v>
      </c>
      <c r="B260" s="1106" t="s">
        <v>1614</v>
      </c>
      <c r="C260" s="1093" t="s">
        <v>1615</v>
      </c>
      <c r="D260" s="1106" t="s">
        <v>1022</v>
      </c>
      <c r="E260" s="1090"/>
      <c r="F260" s="1090"/>
      <c r="G260" s="1090"/>
      <c r="H260" s="1090"/>
      <c r="I260" s="1088">
        <v>6</v>
      </c>
      <c r="J260" s="1088">
        <v>205</v>
      </c>
      <c r="K260" s="1090"/>
      <c r="L260" s="1110">
        <v>31</v>
      </c>
      <c r="M260" s="1110">
        <v>31</v>
      </c>
      <c r="N260" s="1090"/>
      <c r="O260" s="1090"/>
      <c r="P260" s="1090">
        <f t="shared" si="29"/>
        <v>31</v>
      </c>
      <c r="Q260" s="1090">
        <v>2354</v>
      </c>
      <c r="R260" s="1091">
        <f t="shared" si="30"/>
        <v>72974</v>
      </c>
      <c r="S260" s="1091">
        <f t="shared" si="31"/>
        <v>2075.0900473933648</v>
      </c>
      <c r="T260" s="1091">
        <f t="shared" si="32"/>
        <v>70898.909952606642</v>
      </c>
    </row>
    <row r="261" spans="1:20">
      <c r="A261" s="1088">
        <v>119</v>
      </c>
      <c r="B261" s="1107" t="s">
        <v>3884</v>
      </c>
      <c r="C261" s="1093" t="s">
        <v>3885</v>
      </c>
      <c r="D261" s="1107" t="s">
        <v>1268</v>
      </c>
      <c r="E261" s="1090"/>
      <c r="F261" s="1090"/>
      <c r="G261" s="1090"/>
      <c r="H261" s="1088"/>
      <c r="I261" s="1088">
        <v>6</v>
      </c>
      <c r="J261" s="1088">
        <v>205</v>
      </c>
      <c r="K261" s="1088"/>
      <c r="L261" s="1107">
        <v>2700</v>
      </c>
      <c r="M261" s="1107">
        <v>2700</v>
      </c>
      <c r="N261" s="1088"/>
      <c r="O261" s="1088"/>
      <c r="P261" s="1090">
        <f t="shared" si="29"/>
        <v>2700</v>
      </c>
      <c r="Q261" s="1088">
        <v>20</v>
      </c>
      <c r="R261" s="1091">
        <f t="shared" si="30"/>
        <v>54000</v>
      </c>
      <c r="S261" s="1091">
        <f t="shared" si="31"/>
        <v>1535.5450236966824</v>
      </c>
      <c r="T261" s="1091">
        <f t="shared" si="32"/>
        <v>52464.454976303321</v>
      </c>
    </row>
    <row r="262" spans="1:20">
      <c r="A262" s="1088">
        <v>162</v>
      </c>
      <c r="B262" s="1106" t="s">
        <v>3886</v>
      </c>
      <c r="C262" s="1093" t="s">
        <v>3887</v>
      </c>
      <c r="D262" s="1106" t="s">
        <v>1565</v>
      </c>
      <c r="E262" s="1090"/>
      <c r="F262" s="1090"/>
      <c r="G262" s="1090"/>
      <c r="H262" s="1090"/>
      <c r="I262" s="1088">
        <v>6</v>
      </c>
      <c r="J262" s="1088">
        <v>205</v>
      </c>
      <c r="K262" s="1090"/>
      <c r="L262" s="1106">
        <v>6</v>
      </c>
      <c r="M262" s="1106">
        <v>6</v>
      </c>
      <c r="N262" s="1090"/>
      <c r="O262" s="1090"/>
      <c r="P262" s="1090">
        <f t="shared" si="29"/>
        <v>6</v>
      </c>
      <c r="Q262" s="1090">
        <v>4500</v>
      </c>
      <c r="R262" s="1091">
        <f t="shared" si="30"/>
        <v>27000</v>
      </c>
      <c r="S262" s="1091">
        <f t="shared" si="31"/>
        <v>767.7725118483412</v>
      </c>
      <c r="T262" s="1091">
        <f t="shared" si="32"/>
        <v>26232.227488151661</v>
      </c>
    </row>
    <row r="263" spans="1:20" ht="30">
      <c r="A263" s="1088">
        <v>136</v>
      </c>
      <c r="B263" s="1106" t="s">
        <v>3888</v>
      </c>
      <c r="C263" s="1093" t="s">
        <v>3889</v>
      </c>
      <c r="D263" s="1106" t="s">
        <v>1268</v>
      </c>
      <c r="E263" s="1090"/>
      <c r="F263" s="1090"/>
      <c r="G263" s="1090"/>
      <c r="H263" s="1090"/>
      <c r="I263" s="1088">
        <v>6</v>
      </c>
      <c r="J263" s="1088">
        <v>205</v>
      </c>
      <c r="K263" s="1090"/>
      <c r="L263" s="1106">
        <v>100</v>
      </c>
      <c r="M263" s="1106">
        <v>100</v>
      </c>
      <c r="N263" s="1090"/>
      <c r="O263" s="1090"/>
      <c r="P263" s="1090">
        <f t="shared" si="29"/>
        <v>100</v>
      </c>
      <c r="Q263" s="1090">
        <v>2000</v>
      </c>
      <c r="R263" s="1091">
        <f t="shared" si="30"/>
        <v>200000</v>
      </c>
      <c r="S263" s="1091">
        <f t="shared" si="31"/>
        <v>5687.2037914691937</v>
      </c>
      <c r="T263" s="1091">
        <f t="shared" si="32"/>
        <v>194312.79620853081</v>
      </c>
    </row>
    <row r="264" spans="1:20">
      <c r="A264" s="1088">
        <v>135</v>
      </c>
      <c r="B264" s="1106" t="s">
        <v>3890</v>
      </c>
      <c r="C264" s="1093"/>
      <c r="D264" s="1106" t="s">
        <v>1268</v>
      </c>
      <c r="E264" s="1090"/>
      <c r="F264" s="1090"/>
      <c r="G264" s="1090"/>
      <c r="H264" s="1090"/>
      <c r="I264" s="1088">
        <v>6</v>
      </c>
      <c r="J264" s="1088">
        <v>205</v>
      </c>
      <c r="K264" s="1090"/>
      <c r="L264" s="1106">
        <v>120</v>
      </c>
      <c r="M264" s="1106">
        <v>120</v>
      </c>
      <c r="N264" s="1090"/>
      <c r="O264" s="1090"/>
      <c r="P264" s="1090">
        <f t="shared" si="29"/>
        <v>120</v>
      </c>
      <c r="Q264" s="1090">
        <v>2200</v>
      </c>
      <c r="R264" s="1091">
        <f t="shared" si="30"/>
        <v>264000</v>
      </c>
      <c r="S264" s="1091">
        <f t="shared" si="31"/>
        <v>7507.1090047393363</v>
      </c>
      <c r="T264" s="1091">
        <f t="shared" si="32"/>
        <v>256492.89099526068</v>
      </c>
    </row>
    <row r="265" spans="1:20">
      <c r="A265" s="1088">
        <v>256</v>
      </c>
      <c r="B265" s="1109" t="s">
        <v>3891</v>
      </c>
      <c r="C265" s="1093"/>
      <c r="D265" s="1109" t="s">
        <v>1022</v>
      </c>
      <c r="E265" s="1090"/>
      <c r="F265" s="1090"/>
      <c r="G265" s="1090"/>
      <c r="H265" s="1090"/>
      <c r="I265" s="1088">
        <v>6</v>
      </c>
      <c r="J265" s="1088">
        <v>205</v>
      </c>
      <c r="K265" s="1090"/>
      <c r="L265" s="1109">
        <v>30</v>
      </c>
      <c r="M265" s="1109">
        <v>30</v>
      </c>
      <c r="N265" s="1090"/>
      <c r="O265" s="1090"/>
      <c r="P265" s="1090">
        <f t="shared" si="29"/>
        <v>30</v>
      </c>
      <c r="Q265" s="1090">
        <v>642</v>
      </c>
      <c r="R265" s="1091">
        <f t="shared" si="30"/>
        <v>19260</v>
      </c>
      <c r="S265" s="1091">
        <f t="shared" si="31"/>
        <v>547.67772511848341</v>
      </c>
      <c r="T265" s="1091">
        <f t="shared" si="32"/>
        <v>18712.322274881517</v>
      </c>
    </row>
    <row r="266" spans="1:20" ht="30">
      <c r="A266" s="1088">
        <v>213</v>
      </c>
      <c r="B266" s="1110" t="s">
        <v>1624</v>
      </c>
      <c r="C266" s="1093" t="s">
        <v>3892</v>
      </c>
      <c r="D266" s="1110" t="s">
        <v>1022</v>
      </c>
      <c r="E266" s="1090"/>
      <c r="F266" s="1090"/>
      <c r="G266" s="1090"/>
      <c r="H266" s="1090"/>
      <c r="I266" s="1088">
        <v>6</v>
      </c>
      <c r="J266" s="1088">
        <v>205</v>
      </c>
      <c r="K266" s="1090"/>
      <c r="L266" s="1110">
        <v>5</v>
      </c>
      <c r="M266" s="1110">
        <v>5</v>
      </c>
      <c r="N266" s="1090"/>
      <c r="O266" s="1090"/>
      <c r="P266" s="1090">
        <f t="shared" si="29"/>
        <v>5</v>
      </c>
      <c r="Q266" s="1090">
        <v>417.3</v>
      </c>
      <c r="R266" s="1091">
        <f t="shared" si="30"/>
        <v>2086.5</v>
      </c>
      <c r="S266" s="1091">
        <f t="shared" si="31"/>
        <v>59.33175355450237</v>
      </c>
      <c r="T266" s="1091">
        <f t="shared" si="32"/>
        <v>2027.1682464454975</v>
      </c>
    </row>
    <row r="267" spans="1:20" ht="30">
      <c r="A267" s="1088">
        <v>214</v>
      </c>
      <c r="B267" s="1110" t="s">
        <v>1624</v>
      </c>
      <c r="C267" s="1093" t="s">
        <v>3893</v>
      </c>
      <c r="D267" s="1110" t="s">
        <v>1022</v>
      </c>
      <c r="E267" s="1090"/>
      <c r="F267" s="1090"/>
      <c r="G267" s="1090"/>
      <c r="H267" s="1090"/>
      <c r="I267" s="1088">
        <v>6</v>
      </c>
      <c r="J267" s="1088">
        <v>205</v>
      </c>
      <c r="K267" s="1090"/>
      <c r="L267" s="1110">
        <v>5</v>
      </c>
      <c r="M267" s="1110">
        <v>5</v>
      </c>
      <c r="N267" s="1090"/>
      <c r="O267" s="1090"/>
      <c r="P267" s="1090">
        <f t="shared" si="29"/>
        <v>5</v>
      </c>
      <c r="Q267" s="1090">
        <v>556.4</v>
      </c>
      <c r="R267" s="1091">
        <f t="shared" si="30"/>
        <v>2782</v>
      </c>
      <c r="S267" s="1091">
        <f t="shared" si="31"/>
        <v>79.109004739336484</v>
      </c>
      <c r="T267" s="1091">
        <f t="shared" si="32"/>
        <v>2702.8909952606637</v>
      </c>
    </row>
    <row r="268" spans="1:20" ht="30">
      <c r="A268" s="1088">
        <v>215</v>
      </c>
      <c r="B268" s="1110" t="s">
        <v>1624</v>
      </c>
      <c r="C268" s="1093" t="s">
        <v>3894</v>
      </c>
      <c r="D268" s="1110" t="s">
        <v>1022</v>
      </c>
      <c r="E268" s="1090"/>
      <c r="F268" s="1090"/>
      <c r="G268" s="1090"/>
      <c r="H268" s="1090"/>
      <c r="I268" s="1088">
        <v>6</v>
      </c>
      <c r="J268" s="1088">
        <v>205</v>
      </c>
      <c r="K268" s="1090"/>
      <c r="L268" s="1110">
        <v>5</v>
      </c>
      <c r="M268" s="1110">
        <v>5</v>
      </c>
      <c r="N268" s="1090"/>
      <c r="O268" s="1090"/>
      <c r="P268" s="1090">
        <f t="shared" si="29"/>
        <v>5</v>
      </c>
      <c r="Q268" s="1090">
        <v>652.70000000000005</v>
      </c>
      <c r="R268" s="1091">
        <f t="shared" si="30"/>
        <v>3263.5</v>
      </c>
      <c r="S268" s="1091">
        <f t="shared" si="31"/>
        <v>92.800947867298575</v>
      </c>
      <c r="T268" s="1091">
        <f t="shared" si="32"/>
        <v>3170.6990521327016</v>
      </c>
    </row>
    <row r="269" spans="1:20">
      <c r="A269" s="1088">
        <v>268</v>
      </c>
      <c r="B269" s="1106" t="s">
        <v>1628</v>
      </c>
      <c r="C269" s="1093" t="s">
        <v>3895</v>
      </c>
      <c r="D269" s="1106" t="s">
        <v>1022</v>
      </c>
      <c r="E269" s="1090"/>
      <c r="F269" s="1090"/>
      <c r="G269" s="1090"/>
      <c r="H269" s="1090"/>
      <c r="I269" s="1088">
        <v>6</v>
      </c>
      <c r="J269" s="1088">
        <v>205</v>
      </c>
      <c r="K269" s="1090"/>
      <c r="L269" s="1109">
        <v>78</v>
      </c>
      <c r="M269" s="1109">
        <v>78</v>
      </c>
      <c r="N269" s="1090"/>
      <c r="O269" s="1090"/>
      <c r="P269" s="1090">
        <f t="shared" si="29"/>
        <v>78</v>
      </c>
      <c r="Q269" s="1090">
        <v>6000</v>
      </c>
      <c r="R269" s="1091">
        <f t="shared" si="30"/>
        <v>468000</v>
      </c>
      <c r="S269" s="1091">
        <f t="shared" si="31"/>
        <v>13308.056872037914</v>
      </c>
      <c r="T269" s="1091">
        <f t="shared" si="32"/>
        <v>454691.94312796206</v>
      </c>
    </row>
    <row r="270" spans="1:20">
      <c r="A270" s="1088">
        <v>269</v>
      </c>
      <c r="B270" s="1106" t="s">
        <v>1630</v>
      </c>
      <c r="C270" s="1093" t="s">
        <v>1631</v>
      </c>
      <c r="D270" s="1106" t="s">
        <v>1022</v>
      </c>
      <c r="E270" s="1090"/>
      <c r="F270" s="1090"/>
      <c r="G270" s="1090"/>
      <c r="H270" s="1090"/>
      <c r="I270" s="1088">
        <v>6</v>
      </c>
      <c r="J270" s="1088">
        <v>205</v>
      </c>
      <c r="K270" s="1090"/>
      <c r="L270" s="1109">
        <v>50</v>
      </c>
      <c r="M270" s="1109">
        <v>50</v>
      </c>
      <c r="N270" s="1090"/>
      <c r="O270" s="1090"/>
      <c r="P270" s="1090">
        <f t="shared" si="29"/>
        <v>50</v>
      </c>
      <c r="Q270" s="1090">
        <v>5000</v>
      </c>
      <c r="R270" s="1091">
        <f t="shared" si="30"/>
        <v>250000</v>
      </c>
      <c r="S270" s="1091">
        <f t="shared" si="31"/>
        <v>7109.004739336493</v>
      </c>
      <c r="T270" s="1091">
        <f t="shared" si="32"/>
        <v>242890.99526066351</v>
      </c>
    </row>
    <row r="271" spans="1:20">
      <c r="A271" s="1088">
        <v>260</v>
      </c>
      <c r="B271" s="1115" t="s">
        <v>1632</v>
      </c>
      <c r="C271" s="1093" t="s">
        <v>1633</v>
      </c>
      <c r="D271" s="1114" t="s">
        <v>1022</v>
      </c>
      <c r="E271" s="1090"/>
      <c r="F271" s="1090"/>
      <c r="G271" s="1090"/>
      <c r="H271" s="1090"/>
      <c r="I271" s="1088">
        <v>6</v>
      </c>
      <c r="J271" s="1088">
        <v>205</v>
      </c>
      <c r="K271" s="1090"/>
      <c r="L271" s="1114">
        <v>2</v>
      </c>
      <c r="M271" s="1114">
        <v>2</v>
      </c>
      <c r="N271" s="1090"/>
      <c r="O271" s="1090"/>
      <c r="P271" s="1090">
        <f t="shared" si="29"/>
        <v>2</v>
      </c>
      <c r="Q271" s="1090">
        <v>4800</v>
      </c>
      <c r="R271" s="1091">
        <f t="shared" si="30"/>
        <v>9600</v>
      </c>
      <c r="S271" s="1091">
        <f t="shared" si="31"/>
        <v>272.98578199052133</v>
      </c>
      <c r="T271" s="1091">
        <f t="shared" si="32"/>
        <v>9327.014218009479</v>
      </c>
    </row>
    <row r="272" spans="1:20" ht="60">
      <c r="A272" s="1088">
        <v>68</v>
      </c>
      <c r="B272" s="1107" t="s">
        <v>1634</v>
      </c>
      <c r="C272" s="1089" t="s">
        <v>1635</v>
      </c>
      <c r="D272" s="1107" t="s">
        <v>1268</v>
      </c>
      <c r="E272" s="1090"/>
      <c r="F272" s="1088"/>
      <c r="G272" s="1088"/>
      <c r="H272" s="1088"/>
      <c r="I272" s="1088">
        <v>6</v>
      </c>
      <c r="J272" s="1088">
        <v>205</v>
      </c>
      <c r="K272" s="1088"/>
      <c r="L272" s="1107">
        <v>15</v>
      </c>
      <c r="M272" s="1107">
        <v>15</v>
      </c>
      <c r="N272" s="1088"/>
      <c r="O272" s="1088"/>
      <c r="P272" s="1090">
        <f t="shared" si="29"/>
        <v>15</v>
      </c>
      <c r="Q272" s="1099">
        <v>6500</v>
      </c>
      <c r="R272" s="1091">
        <f t="shared" si="30"/>
        <v>97500</v>
      </c>
      <c r="S272" s="1091">
        <f t="shared" si="31"/>
        <v>2772.5118483412321</v>
      </c>
      <c r="T272" s="1091">
        <f t="shared" si="32"/>
        <v>94727.488151658763</v>
      </c>
    </row>
    <row r="273" spans="1:20" ht="45">
      <c r="A273" s="1088">
        <v>66</v>
      </c>
      <c r="B273" s="1107" t="s">
        <v>1636</v>
      </c>
      <c r="C273" s="1089" t="s">
        <v>1637</v>
      </c>
      <c r="D273" s="1107" t="s">
        <v>1268</v>
      </c>
      <c r="E273" s="1090"/>
      <c r="F273" s="1088"/>
      <c r="G273" s="1088"/>
      <c r="H273" s="1088"/>
      <c r="I273" s="1088">
        <v>6</v>
      </c>
      <c r="J273" s="1088">
        <v>205</v>
      </c>
      <c r="K273" s="1088"/>
      <c r="L273" s="1107">
        <v>29</v>
      </c>
      <c r="M273" s="1107">
        <v>29</v>
      </c>
      <c r="N273" s="1088"/>
      <c r="O273" s="1088"/>
      <c r="P273" s="1090">
        <f t="shared" si="29"/>
        <v>29</v>
      </c>
      <c r="Q273" s="1099">
        <v>12000</v>
      </c>
      <c r="R273" s="1091">
        <f t="shared" si="30"/>
        <v>348000</v>
      </c>
      <c r="S273" s="1091">
        <f t="shared" si="31"/>
        <v>9895.7345971563973</v>
      </c>
      <c r="T273" s="1091">
        <f t="shared" si="32"/>
        <v>338104.26540284359</v>
      </c>
    </row>
    <row r="274" spans="1:20" ht="30">
      <c r="A274" s="1088">
        <v>284</v>
      </c>
      <c r="B274" s="1106" t="s">
        <v>1638</v>
      </c>
      <c r="C274" s="1093" t="s">
        <v>1639</v>
      </c>
      <c r="D274" s="1106" t="s">
        <v>1022</v>
      </c>
      <c r="E274" s="1090"/>
      <c r="F274" s="1090"/>
      <c r="G274" s="1090"/>
      <c r="H274" s="1090"/>
      <c r="I274" s="1088">
        <v>6</v>
      </c>
      <c r="J274" s="1088">
        <v>205</v>
      </c>
      <c r="K274" s="1090"/>
      <c r="L274" s="1109">
        <v>50</v>
      </c>
      <c r="M274" s="1109">
        <v>50</v>
      </c>
      <c r="N274" s="1090"/>
      <c r="O274" s="1090"/>
      <c r="P274" s="1090">
        <f t="shared" si="29"/>
        <v>50</v>
      </c>
      <c r="Q274" s="1090">
        <v>4500</v>
      </c>
      <c r="R274" s="1091">
        <f t="shared" si="30"/>
        <v>225000</v>
      </c>
      <c r="S274" s="1091">
        <f t="shared" si="31"/>
        <v>6398.1042654028433</v>
      </c>
      <c r="T274" s="1091">
        <f t="shared" si="32"/>
        <v>218601.89573459714</v>
      </c>
    </row>
    <row r="275" spans="1:20" ht="30">
      <c r="A275" s="1088">
        <v>62</v>
      </c>
      <c r="B275" s="1107" t="s">
        <v>1640</v>
      </c>
      <c r="C275" s="1089" t="s">
        <v>1641</v>
      </c>
      <c r="D275" s="1107" t="s">
        <v>1268</v>
      </c>
      <c r="E275" s="1090"/>
      <c r="F275" s="1088"/>
      <c r="G275" s="1088"/>
      <c r="H275" s="1088"/>
      <c r="I275" s="1088">
        <v>6</v>
      </c>
      <c r="J275" s="1088">
        <v>205</v>
      </c>
      <c r="K275" s="1088"/>
      <c r="L275" s="1107">
        <v>35</v>
      </c>
      <c r="M275" s="1107">
        <v>35</v>
      </c>
      <c r="N275" s="1088"/>
      <c r="O275" s="1088"/>
      <c r="P275" s="1090">
        <f t="shared" si="29"/>
        <v>35</v>
      </c>
      <c r="Q275" s="1099">
        <v>6000</v>
      </c>
      <c r="R275" s="1091">
        <f t="shared" si="30"/>
        <v>210000</v>
      </c>
      <c r="S275" s="1091">
        <f t="shared" si="31"/>
        <v>5971.5639810426537</v>
      </c>
      <c r="T275" s="1091">
        <f t="shared" si="32"/>
        <v>204028.43601895735</v>
      </c>
    </row>
    <row r="276" spans="1:20" ht="60">
      <c r="A276" s="1088">
        <v>67</v>
      </c>
      <c r="B276" s="1107" t="s">
        <v>1640</v>
      </c>
      <c r="C276" s="1089" t="s">
        <v>1642</v>
      </c>
      <c r="D276" s="1107" t="s">
        <v>1268</v>
      </c>
      <c r="E276" s="1090"/>
      <c r="F276" s="1088"/>
      <c r="G276" s="1088"/>
      <c r="H276" s="1088"/>
      <c r="I276" s="1088">
        <v>6</v>
      </c>
      <c r="J276" s="1088">
        <v>205</v>
      </c>
      <c r="K276" s="1088"/>
      <c r="L276" s="1107">
        <v>25</v>
      </c>
      <c r="M276" s="1107">
        <v>25</v>
      </c>
      <c r="N276" s="1088"/>
      <c r="O276" s="1088"/>
      <c r="P276" s="1090">
        <f t="shared" si="29"/>
        <v>25</v>
      </c>
      <c r="Q276" s="1099">
        <v>6000</v>
      </c>
      <c r="R276" s="1091">
        <f t="shared" si="30"/>
        <v>150000</v>
      </c>
      <c r="S276" s="1091">
        <f t="shared" si="31"/>
        <v>4265.4028436018953</v>
      </c>
      <c r="T276" s="1091">
        <f t="shared" si="32"/>
        <v>145734.59715639811</v>
      </c>
    </row>
    <row r="277" spans="1:20" ht="30">
      <c r="A277" s="1088">
        <v>78</v>
      </c>
      <c r="B277" s="1107" t="s">
        <v>1643</v>
      </c>
      <c r="C277" s="1089" t="s">
        <v>1644</v>
      </c>
      <c r="D277" s="1107" t="s">
        <v>1268</v>
      </c>
      <c r="E277" s="1090"/>
      <c r="F277" s="1088"/>
      <c r="G277" s="1088"/>
      <c r="H277" s="1088"/>
      <c r="I277" s="1088">
        <v>6</v>
      </c>
      <c r="J277" s="1088">
        <v>205</v>
      </c>
      <c r="K277" s="1088"/>
      <c r="L277" s="1107">
        <v>9</v>
      </c>
      <c r="M277" s="1107">
        <v>9</v>
      </c>
      <c r="N277" s="1088"/>
      <c r="O277" s="1088"/>
      <c r="P277" s="1090">
        <f t="shared" si="29"/>
        <v>9</v>
      </c>
      <c r="Q277" s="1099">
        <v>4000</v>
      </c>
      <c r="R277" s="1091">
        <f t="shared" si="30"/>
        <v>36000</v>
      </c>
      <c r="S277" s="1091">
        <f t="shared" si="31"/>
        <v>1023.696682464455</v>
      </c>
      <c r="T277" s="1091">
        <f t="shared" si="32"/>
        <v>34976.303317535545</v>
      </c>
    </row>
    <row r="278" spans="1:20" ht="45">
      <c r="A278" s="1088">
        <v>77</v>
      </c>
      <c r="B278" s="1107" t="s">
        <v>1645</v>
      </c>
      <c r="C278" s="1092" t="s">
        <v>1646</v>
      </c>
      <c r="D278" s="1107" t="s">
        <v>1268</v>
      </c>
      <c r="E278" s="1090"/>
      <c r="F278" s="1088"/>
      <c r="G278" s="1088"/>
      <c r="H278" s="1088"/>
      <c r="I278" s="1088">
        <v>6</v>
      </c>
      <c r="J278" s="1088">
        <v>205</v>
      </c>
      <c r="K278" s="1088"/>
      <c r="L278" s="1107">
        <v>15</v>
      </c>
      <c r="M278" s="1107">
        <v>15</v>
      </c>
      <c r="N278" s="1088"/>
      <c r="O278" s="1088"/>
      <c r="P278" s="1090">
        <f t="shared" si="29"/>
        <v>15</v>
      </c>
      <c r="Q278" s="1099">
        <v>6000</v>
      </c>
      <c r="R278" s="1091">
        <f t="shared" si="30"/>
        <v>90000</v>
      </c>
      <c r="S278" s="1091">
        <f t="shared" si="31"/>
        <v>2559.2417061611372</v>
      </c>
      <c r="T278" s="1091">
        <f t="shared" si="32"/>
        <v>87440.758293838866</v>
      </c>
    </row>
    <row r="279" spans="1:20" ht="45">
      <c r="A279" s="1088">
        <v>76</v>
      </c>
      <c r="B279" s="1107" t="s">
        <v>1647</v>
      </c>
      <c r="C279" s="1089" t="s">
        <v>1648</v>
      </c>
      <c r="D279" s="1107" t="s">
        <v>1268</v>
      </c>
      <c r="E279" s="1090"/>
      <c r="F279" s="1088"/>
      <c r="G279" s="1088"/>
      <c r="H279" s="1088"/>
      <c r="I279" s="1088">
        <v>6</v>
      </c>
      <c r="J279" s="1088">
        <v>205</v>
      </c>
      <c r="K279" s="1088"/>
      <c r="L279" s="1107">
        <v>15</v>
      </c>
      <c r="M279" s="1107">
        <v>15</v>
      </c>
      <c r="N279" s="1088"/>
      <c r="O279" s="1088"/>
      <c r="P279" s="1090">
        <f t="shared" si="29"/>
        <v>15</v>
      </c>
      <c r="Q279" s="1099">
        <v>6000</v>
      </c>
      <c r="R279" s="1091">
        <f t="shared" si="30"/>
        <v>90000</v>
      </c>
      <c r="S279" s="1091">
        <f t="shared" si="31"/>
        <v>2559.2417061611372</v>
      </c>
      <c r="T279" s="1091">
        <f t="shared" si="32"/>
        <v>87440.758293838866</v>
      </c>
    </row>
    <row r="280" spans="1:20" ht="75">
      <c r="A280" s="1088">
        <v>75</v>
      </c>
      <c r="B280" s="1107" t="s">
        <v>1649</v>
      </c>
      <c r="C280" s="1089" t="s">
        <v>1650</v>
      </c>
      <c r="D280" s="1107" t="s">
        <v>1268</v>
      </c>
      <c r="E280" s="1090"/>
      <c r="F280" s="1088"/>
      <c r="G280" s="1088"/>
      <c r="H280" s="1088"/>
      <c r="I280" s="1088">
        <v>6</v>
      </c>
      <c r="J280" s="1088">
        <v>205</v>
      </c>
      <c r="K280" s="1088"/>
      <c r="L280" s="1107">
        <v>15</v>
      </c>
      <c r="M280" s="1107">
        <v>15</v>
      </c>
      <c r="N280" s="1088"/>
      <c r="O280" s="1088"/>
      <c r="P280" s="1090">
        <f t="shared" si="29"/>
        <v>15</v>
      </c>
      <c r="Q280" s="1099">
        <v>4000</v>
      </c>
      <c r="R280" s="1091">
        <f t="shared" si="30"/>
        <v>60000</v>
      </c>
      <c r="S280" s="1091">
        <f t="shared" si="31"/>
        <v>1706.1611374407582</v>
      </c>
      <c r="T280" s="1091">
        <f t="shared" si="32"/>
        <v>58293.838862559242</v>
      </c>
    </row>
    <row r="281" spans="1:20" ht="60">
      <c r="A281" s="1088">
        <v>74</v>
      </c>
      <c r="B281" s="1107" t="s">
        <v>1651</v>
      </c>
      <c r="C281" s="1089" t="s">
        <v>1652</v>
      </c>
      <c r="D281" s="1107" t="s">
        <v>1268</v>
      </c>
      <c r="E281" s="1090"/>
      <c r="F281" s="1088"/>
      <c r="G281" s="1088"/>
      <c r="H281" s="1088"/>
      <c r="I281" s="1088">
        <v>6</v>
      </c>
      <c r="J281" s="1088">
        <v>205</v>
      </c>
      <c r="K281" s="1088"/>
      <c r="L281" s="1107">
        <v>25</v>
      </c>
      <c r="M281" s="1107">
        <v>25</v>
      </c>
      <c r="N281" s="1088"/>
      <c r="O281" s="1088"/>
      <c r="P281" s="1090">
        <f t="shared" si="29"/>
        <v>25</v>
      </c>
      <c r="Q281" s="1099">
        <v>6500</v>
      </c>
      <c r="R281" s="1091">
        <f t="shared" si="30"/>
        <v>162500</v>
      </c>
      <c r="S281" s="1091">
        <f t="shared" si="31"/>
        <v>4620.8530805687205</v>
      </c>
      <c r="T281" s="1091">
        <f t="shared" si="32"/>
        <v>157879.14691943128</v>
      </c>
    </row>
    <row r="282" spans="1:20" ht="45">
      <c r="A282" s="1088">
        <v>64</v>
      </c>
      <c r="B282" s="1107" t="s">
        <v>1653</v>
      </c>
      <c r="C282" s="1089" t="s">
        <v>1654</v>
      </c>
      <c r="D282" s="1107" t="s">
        <v>1268</v>
      </c>
      <c r="E282" s="1090"/>
      <c r="F282" s="1088"/>
      <c r="G282" s="1088"/>
      <c r="H282" s="1088"/>
      <c r="I282" s="1088">
        <v>6</v>
      </c>
      <c r="J282" s="1088">
        <v>205</v>
      </c>
      <c r="K282" s="1088"/>
      <c r="L282" s="1107">
        <v>20</v>
      </c>
      <c r="M282" s="1107">
        <v>20</v>
      </c>
      <c r="N282" s="1088"/>
      <c r="O282" s="1088"/>
      <c r="P282" s="1090">
        <f t="shared" si="29"/>
        <v>20</v>
      </c>
      <c r="Q282" s="1099">
        <v>4000</v>
      </c>
      <c r="R282" s="1091">
        <f t="shared" si="30"/>
        <v>80000</v>
      </c>
      <c r="S282" s="1091">
        <f t="shared" si="31"/>
        <v>2274.8815165876777</v>
      </c>
      <c r="T282" s="1091">
        <f t="shared" si="32"/>
        <v>77725.118483412327</v>
      </c>
    </row>
    <row r="283" spans="1:20" ht="30">
      <c r="A283" s="1088">
        <v>63</v>
      </c>
      <c r="B283" s="1107" t="s">
        <v>1655</v>
      </c>
      <c r="C283" s="1089" t="s">
        <v>1641</v>
      </c>
      <c r="D283" s="1107" t="s">
        <v>1268</v>
      </c>
      <c r="E283" s="1090"/>
      <c r="F283" s="1088"/>
      <c r="G283" s="1088"/>
      <c r="H283" s="1088"/>
      <c r="I283" s="1088">
        <v>6</v>
      </c>
      <c r="J283" s="1088">
        <v>205</v>
      </c>
      <c r="K283" s="1088"/>
      <c r="L283" s="1107">
        <v>50</v>
      </c>
      <c r="M283" s="1107">
        <v>50</v>
      </c>
      <c r="N283" s="1088"/>
      <c r="O283" s="1088"/>
      <c r="P283" s="1090">
        <f t="shared" si="29"/>
        <v>50</v>
      </c>
      <c r="Q283" s="1099">
        <v>6000</v>
      </c>
      <c r="R283" s="1091">
        <f t="shared" si="30"/>
        <v>300000</v>
      </c>
      <c r="S283" s="1091">
        <f t="shared" si="31"/>
        <v>8530.8056872037905</v>
      </c>
      <c r="T283" s="1091">
        <f t="shared" si="32"/>
        <v>291469.19431279623</v>
      </c>
    </row>
    <row r="284" spans="1:20" ht="45">
      <c r="A284" s="1088">
        <v>69</v>
      </c>
      <c r="B284" s="1107" t="s">
        <v>1655</v>
      </c>
      <c r="C284" s="1089" t="s">
        <v>1656</v>
      </c>
      <c r="D284" s="1107" t="s">
        <v>1268</v>
      </c>
      <c r="E284" s="1090"/>
      <c r="F284" s="1088"/>
      <c r="G284" s="1088"/>
      <c r="H284" s="1088"/>
      <c r="I284" s="1088">
        <v>6</v>
      </c>
      <c r="J284" s="1088">
        <v>205</v>
      </c>
      <c r="K284" s="1088"/>
      <c r="L284" s="1107">
        <v>15</v>
      </c>
      <c r="M284" s="1107">
        <v>15</v>
      </c>
      <c r="N284" s="1088"/>
      <c r="O284" s="1088"/>
      <c r="P284" s="1090">
        <f t="shared" si="29"/>
        <v>15</v>
      </c>
      <c r="Q284" s="1099">
        <v>6000</v>
      </c>
      <c r="R284" s="1091">
        <f t="shared" si="30"/>
        <v>90000</v>
      </c>
      <c r="S284" s="1091">
        <f t="shared" si="31"/>
        <v>2559.2417061611372</v>
      </c>
      <c r="T284" s="1091">
        <f t="shared" si="32"/>
        <v>87440.758293838866</v>
      </c>
    </row>
    <row r="285" spans="1:20" ht="60">
      <c r="A285" s="1088">
        <v>70</v>
      </c>
      <c r="B285" s="1107" t="s">
        <v>1655</v>
      </c>
      <c r="C285" s="1089" t="s">
        <v>1657</v>
      </c>
      <c r="D285" s="1107" t="s">
        <v>1268</v>
      </c>
      <c r="E285" s="1090"/>
      <c r="F285" s="1088"/>
      <c r="G285" s="1088"/>
      <c r="H285" s="1088"/>
      <c r="I285" s="1088">
        <v>6</v>
      </c>
      <c r="J285" s="1088">
        <v>205</v>
      </c>
      <c r="K285" s="1088"/>
      <c r="L285" s="1107">
        <v>15</v>
      </c>
      <c r="M285" s="1107">
        <v>15</v>
      </c>
      <c r="N285" s="1088"/>
      <c r="O285" s="1088"/>
      <c r="P285" s="1090">
        <f t="shared" si="29"/>
        <v>15</v>
      </c>
      <c r="Q285" s="1099">
        <v>6000</v>
      </c>
      <c r="R285" s="1091">
        <f t="shared" si="30"/>
        <v>90000</v>
      </c>
      <c r="S285" s="1091">
        <f t="shared" si="31"/>
        <v>2559.2417061611372</v>
      </c>
      <c r="T285" s="1091">
        <f t="shared" si="32"/>
        <v>87440.758293838866</v>
      </c>
    </row>
    <row r="286" spans="1:20" ht="60">
      <c r="A286" s="1088">
        <v>71</v>
      </c>
      <c r="B286" s="1107" t="s">
        <v>1655</v>
      </c>
      <c r="C286" s="1089" t="s">
        <v>1652</v>
      </c>
      <c r="D286" s="1107" t="s">
        <v>1268</v>
      </c>
      <c r="E286" s="1090"/>
      <c r="F286" s="1088"/>
      <c r="G286" s="1088"/>
      <c r="H286" s="1088"/>
      <c r="I286" s="1088">
        <v>6</v>
      </c>
      <c r="J286" s="1088">
        <v>205</v>
      </c>
      <c r="K286" s="1088"/>
      <c r="L286" s="1107">
        <v>25</v>
      </c>
      <c r="M286" s="1107">
        <v>25</v>
      </c>
      <c r="N286" s="1088"/>
      <c r="O286" s="1088"/>
      <c r="P286" s="1090">
        <f t="shared" si="29"/>
        <v>25</v>
      </c>
      <c r="Q286" s="1099">
        <v>6500</v>
      </c>
      <c r="R286" s="1091">
        <f t="shared" si="30"/>
        <v>162500</v>
      </c>
      <c r="S286" s="1091">
        <f t="shared" si="31"/>
        <v>4620.8530805687205</v>
      </c>
      <c r="T286" s="1091">
        <f t="shared" si="32"/>
        <v>157879.14691943128</v>
      </c>
    </row>
    <row r="287" spans="1:20" ht="60">
      <c r="A287" s="1088">
        <v>72</v>
      </c>
      <c r="B287" s="1107" t="s">
        <v>1655</v>
      </c>
      <c r="C287" s="1089" t="s">
        <v>1658</v>
      </c>
      <c r="D287" s="1107" t="s">
        <v>1268</v>
      </c>
      <c r="E287" s="1090"/>
      <c r="F287" s="1088"/>
      <c r="G287" s="1088"/>
      <c r="H287" s="1088"/>
      <c r="I287" s="1088">
        <v>6</v>
      </c>
      <c r="J287" s="1088">
        <v>205</v>
      </c>
      <c r="K287" s="1088"/>
      <c r="L287" s="1107">
        <v>25</v>
      </c>
      <c r="M287" s="1107">
        <v>25</v>
      </c>
      <c r="N287" s="1088"/>
      <c r="O287" s="1088"/>
      <c r="P287" s="1090">
        <f t="shared" si="29"/>
        <v>25</v>
      </c>
      <c r="Q287" s="1099">
        <v>6000</v>
      </c>
      <c r="R287" s="1091">
        <f t="shared" si="30"/>
        <v>150000</v>
      </c>
      <c r="S287" s="1091">
        <f t="shared" si="31"/>
        <v>4265.4028436018953</v>
      </c>
      <c r="T287" s="1091">
        <f t="shared" si="32"/>
        <v>145734.59715639811</v>
      </c>
    </row>
    <row r="288" spans="1:20" ht="60">
      <c r="A288" s="1088">
        <v>73</v>
      </c>
      <c r="B288" s="1107" t="s">
        <v>1655</v>
      </c>
      <c r="C288" s="1089" t="s">
        <v>1659</v>
      </c>
      <c r="D288" s="1107" t="s">
        <v>1268</v>
      </c>
      <c r="E288" s="1090"/>
      <c r="F288" s="1088"/>
      <c r="G288" s="1088"/>
      <c r="H288" s="1088"/>
      <c r="I288" s="1088">
        <v>6</v>
      </c>
      <c r="J288" s="1088">
        <v>205</v>
      </c>
      <c r="K288" s="1088"/>
      <c r="L288" s="1107">
        <v>15</v>
      </c>
      <c r="M288" s="1107">
        <v>15</v>
      </c>
      <c r="N288" s="1088"/>
      <c r="O288" s="1088"/>
      <c r="P288" s="1090">
        <f t="shared" si="29"/>
        <v>15</v>
      </c>
      <c r="Q288" s="1099">
        <v>6000</v>
      </c>
      <c r="R288" s="1091">
        <f t="shared" si="30"/>
        <v>90000</v>
      </c>
      <c r="S288" s="1091">
        <f t="shared" si="31"/>
        <v>2559.2417061611372</v>
      </c>
      <c r="T288" s="1091">
        <f t="shared" si="32"/>
        <v>87440.758293838866</v>
      </c>
    </row>
    <row r="289" spans="1:21" ht="60">
      <c r="A289" s="1090">
        <v>306</v>
      </c>
      <c r="B289" s="1116" t="s">
        <v>1655</v>
      </c>
      <c r="C289" s="1093" t="s">
        <v>1660</v>
      </c>
      <c r="D289" s="1116" t="s">
        <v>1268</v>
      </c>
      <c r="E289" s="1090"/>
      <c r="F289" s="1090"/>
      <c r="G289" s="1090"/>
      <c r="H289" s="1090"/>
      <c r="I289" s="1088">
        <v>6</v>
      </c>
      <c r="J289" s="1088">
        <v>205</v>
      </c>
      <c r="K289" s="1090"/>
      <c r="L289" s="1116">
        <v>10</v>
      </c>
      <c r="M289" s="1116">
        <v>10</v>
      </c>
      <c r="N289" s="1090"/>
      <c r="O289" s="1090"/>
      <c r="P289" s="1090">
        <f t="shared" si="29"/>
        <v>10</v>
      </c>
      <c r="Q289" s="1090">
        <v>6000</v>
      </c>
      <c r="R289" s="1091">
        <f t="shared" si="30"/>
        <v>60000</v>
      </c>
      <c r="S289" s="1091">
        <f t="shared" si="31"/>
        <v>1706.1611374407582</v>
      </c>
      <c r="T289" s="1091">
        <f t="shared" si="32"/>
        <v>58293.838862559242</v>
      </c>
    </row>
    <row r="290" spans="1:21" ht="60">
      <c r="A290" s="1090">
        <v>307</v>
      </c>
      <c r="B290" s="1116" t="s">
        <v>1655</v>
      </c>
      <c r="C290" s="1093" t="s">
        <v>1661</v>
      </c>
      <c r="D290" s="1116" t="s">
        <v>1268</v>
      </c>
      <c r="E290" s="1090"/>
      <c r="F290" s="1090"/>
      <c r="G290" s="1090"/>
      <c r="H290" s="1090"/>
      <c r="I290" s="1088">
        <v>6</v>
      </c>
      <c r="J290" s="1088">
        <v>205</v>
      </c>
      <c r="K290" s="1090"/>
      <c r="L290" s="1116">
        <v>10</v>
      </c>
      <c r="M290" s="1116">
        <v>10</v>
      </c>
      <c r="N290" s="1090"/>
      <c r="O290" s="1090"/>
      <c r="P290" s="1090">
        <f t="shared" si="29"/>
        <v>10</v>
      </c>
      <c r="Q290" s="1090">
        <v>6500</v>
      </c>
      <c r="R290" s="1091">
        <f t="shared" si="30"/>
        <v>65000</v>
      </c>
      <c r="S290" s="1091">
        <f t="shared" si="31"/>
        <v>1848.341232227488</v>
      </c>
      <c r="T290" s="1091">
        <f t="shared" si="32"/>
        <v>63151.658767772511</v>
      </c>
    </row>
    <row r="291" spans="1:21" ht="60">
      <c r="A291" s="1090">
        <v>308</v>
      </c>
      <c r="B291" s="1116" t="s">
        <v>1655</v>
      </c>
      <c r="C291" s="1093" t="s">
        <v>1662</v>
      </c>
      <c r="D291" s="1116" t="s">
        <v>1268</v>
      </c>
      <c r="E291" s="1090"/>
      <c r="F291" s="1090"/>
      <c r="G291" s="1090"/>
      <c r="H291" s="1090"/>
      <c r="I291" s="1088">
        <v>6</v>
      </c>
      <c r="J291" s="1088">
        <v>205</v>
      </c>
      <c r="K291" s="1090"/>
      <c r="L291" s="1116">
        <v>10</v>
      </c>
      <c r="M291" s="1116">
        <v>10</v>
      </c>
      <c r="N291" s="1090"/>
      <c r="O291" s="1090"/>
      <c r="P291" s="1090">
        <f t="shared" si="29"/>
        <v>10</v>
      </c>
      <c r="Q291" s="1090">
        <v>8500</v>
      </c>
      <c r="R291" s="1091">
        <f t="shared" si="30"/>
        <v>85000</v>
      </c>
      <c r="S291" s="1091">
        <f t="shared" si="31"/>
        <v>2417.0616113744077</v>
      </c>
      <c r="T291" s="1091">
        <f t="shared" si="32"/>
        <v>82582.938388625596</v>
      </c>
    </row>
    <row r="292" spans="1:21" ht="60">
      <c r="A292" s="1088">
        <v>65</v>
      </c>
      <c r="B292" s="1107" t="s">
        <v>1663</v>
      </c>
      <c r="C292" s="1089" t="s">
        <v>1664</v>
      </c>
      <c r="D292" s="1107" t="s">
        <v>1268</v>
      </c>
      <c r="E292" s="1090"/>
      <c r="F292" s="1088"/>
      <c r="G292" s="1088"/>
      <c r="H292" s="1088"/>
      <c r="I292" s="1088">
        <v>6</v>
      </c>
      <c r="J292" s="1088">
        <v>205</v>
      </c>
      <c r="K292" s="1088"/>
      <c r="L292" s="1107">
        <v>25</v>
      </c>
      <c r="M292" s="1107">
        <v>25</v>
      </c>
      <c r="N292" s="1088"/>
      <c r="O292" s="1088"/>
      <c r="P292" s="1090">
        <f t="shared" si="29"/>
        <v>25</v>
      </c>
      <c r="Q292" s="1099">
        <v>6000</v>
      </c>
      <c r="R292" s="1091">
        <f t="shared" si="30"/>
        <v>150000</v>
      </c>
      <c r="S292" s="1091">
        <f t="shared" si="31"/>
        <v>4265.4028436018953</v>
      </c>
      <c r="T292" s="1091">
        <f t="shared" si="32"/>
        <v>145734.59715639811</v>
      </c>
    </row>
    <row r="293" spans="1:21">
      <c r="A293" s="1088">
        <v>220</v>
      </c>
      <c r="B293" s="1110" t="s">
        <v>3896</v>
      </c>
      <c r="C293" s="1093" t="s">
        <v>3897</v>
      </c>
      <c r="D293" s="1110" t="s">
        <v>1022</v>
      </c>
      <c r="E293" s="1090"/>
      <c r="F293" s="1090"/>
      <c r="G293" s="1090"/>
      <c r="H293" s="1090"/>
      <c r="I293" s="1088">
        <v>6</v>
      </c>
      <c r="J293" s="1088">
        <v>205</v>
      </c>
      <c r="K293" s="1090"/>
      <c r="L293" s="1110">
        <v>15</v>
      </c>
      <c r="M293" s="1110">
        <v>15</v>
      </c>
      <c r="N293" s="1090"/>
      <c r="O293" s="1090"/>
      <c r="P293" s="1090">
        <f t="shared" si="29"/>
        <v>15</v>
      </c>
      <c r="Q293" s="1090">
        <v>1712</v>
      </c>
      <c r="R293" s="1091">
        <f t="shared" si="30"/>
        <v>25680</v>
      </c>
      <c r="S293" s="1091">
        <f t="shared" si="31"/>
        <v>730.23696682464447</v>
      </c>
      <c r="T293" s="1091">
        <f t="shared" si="32"/>
        <v>24949.763033175357</v>
      </c>
    </row>
    <row r="294" spans="1:21">
      <c r="A294" s="1088">
        <v>160</v>
      </c>
      <c r="B294" s="1106" t="s">
        <v>3898</v>
      </c>
      <c r="C294" s="1093"/>
      <c r="D294" s="1106" t="s">
        <v>1022</v>
      </c>
      <c r="E294" s="1090"/>
      <c r="F294" s="1090"/>
      <c r="G294" s="1090"/>
      <c r="H294" s="1090"/>
      <c r="I294" s="1088">
        <v>6</v>
      </c>
      <c r="J294" s="1088">
        <v>205</v>
      </c>
      <c r="K294" s="1090"/>
      <c r="L294" s="1106">
        <v>80</v>
      </c>
      <c r="M294" s="1106">
        <v>80</v>
      </c>
      <c r="N294" s="1090"/>
      <c r="O294" s="1090"/>
      <c r="P294" s="1090">
        <f t="shared" si="29"/>
        <v>80</v>
      </c>
      <c r="Q294" s="1090">
        <v>2000</v>
      </c>
      <c r="R294" s="1091">
        <f t="shared" si="30"/>
        <v>160000</v>
      </c>
      <c r="S294" s="1091">
        <f t="shared" si="31"/>
        <v>4549.7630331753553</v>
      </c>
      <c r="T294" s="1091">
        <f t="shared" si="32"/>
        <v>155450.23696682465</v>
      </c>
    </row>
    <row r="295" spans="1:21">
      <c r="A295" s="1088">
        <v>157</v>
      </c>
      <c r="B295" s="1106" t="s">
        <v>3899</v>
      </c>
      <c r="C295" s="1093" t="s">
        <v>3900</v>
      </c>
      <c r="D295" s="1106" t="s">
        <v>1022</v>
      </c>
      <c r="E295" s="1090"/>
      <c r="F295" s="1090"/>
      <c r="G295" s="1090"/>
      <c r="H295" s="1090"/>
      <c r="I295" s="1088">
        <v>6</v>
      </c>
      <c r="J295" s="1088">
        <v>205</v>
      </c>
      <c r="K295" s="1090"/>
      <c r="L295" s="1106">
        <v>140</v>
      </c>
      <c r="M295" s="1106">
        <v>140</v>
      </c>
      <c r="N295" s="1090"/>
      <c r="O295" s="1090"/>
      <c r="P295" s="1090">
        <f t="shared" si="29"/>
        <v>140</v>
      </c>
      <c r="Q295" s="1090">
        <v>500</v>
      </c>
      <c r="R295" s="1091">
        <f t="shared" si="30"/>
        <v>70000</v>
      </c>
      <c r="S295" s="1091">
        <f t="shared" si="31"/>
        <v>1990.5213270142178</v>
      </c>
      <c r="T295" s="1091">
        <f t="shared" si="32"/>
        <v>68009.478672985788</v>
      </c>
    </row>
    <row r="296" spans="1:21">
      <c r="A296" s="1088">
        <v>257</v>
      </c>
      <c r="B296" s="1114" t="s">
        <v>3901</v>
      </c>
      <c r="C296" s="1093"/>
      <c r="D296" s="1114" t="s">
        <v>1672</v>
      </c>
      <c r="E296" s="1090"/>
      <c r="F296" s="1090"/>
      <c r="G296" s="1090"/>
      <c r="H296" s="1090"/>
      <c r="I296" s="1088">
        <v>6</v>
      </c>
      <c r="J296" s="1088">
        <v>205</v>
      </c>
      <c r="K296" s="1090"/>
      <c r="L296" s="1114">
        <v>20</v>
      </c>
      <c r="M296" s="1114">
        <v>20</v>
      </c>
      <c r="N296" s="1090"/>
      <c r="O296" s="1090"/>
      <c r="P296" s="1090">
        <f t="shared" si="29"/>
        <v>20</v>
      </c>
      <c r="Q296" s="1090">
        <v>400</v>
      </c>
      <c r="R296" s="1091">
        <f t="shared" si="30"/>
        <v>8000</v>
      </c>
      <c r="S296" s="1091">
        <f t="shared" si="31"/>
        <v>227.48815165876775</v>
      </c>
      <c r="T296" s="1091">
        <f t="shared" si="32"/>
        <v>7772.5118483412325</v>
      </c>
    </row>
    <row r="297" spans="1:21" ht="30">
      <c r="A297" s="1090">
        <v>314</v>
      </c>
      <c r="B297" s="1117" t="s">
        <v>3902</v>
      </c>
      <c r="C297" s="1093" t="s">
        <v>1674</v>
      </c>
      <c r="D297" s="1116" t="s">
        <v>1268</v>
      </c>
      <c r="E297" s="1090"/>
      <c r="F297" s="1090"/>
      <c r="G297" s="1090"/>
      <c r="H297" s="1090"/>
      <c r="I297" s="1088">
        <v>6</v>
      </c>
      <c r="J297" s="1088">
        <v>205</v>
      </c>
      <c r="K297" s="1090"/>
      <c r="L297" s="1116">
        <v>190</v>
      </c>
      <c r="M297" s="1116">
        <v>190</v>
      </c>
      <c r="N297" s="1090"/>
      <c r="O297" s="1090"/>
      <c r="P297" s="1090">
        <f t="shared" si="29"/>
        <v>190</v>
      </c>
      <c r="Q297" s="1090">
        <v>1500</v>
      </c>
      <c r="R297" s="1091">
        <f t="shared" si="30"/>
        <v>285000</v>
      </c>
      <c r="S297" s="1091">
        <f t="shared" si="31"/>
        <v>8104.2654028436018</v>
      </c>
      <c r="T297" s="1091">
        <f t="shared" si="32"/>
        <v>276895.73459715641</v>
      </c>
    </row>
    <row r="298" spans="1:21" ht="30">
      <c r="A298" s="1088">
        <v>198</v>
      </c>
      <c r="B298" s="1110" t="s">
        <v>3903</v>
      </c>
      <c r="C298" s="1093"/>
      <c r="D298" s="1110" t="s">
        <v>1022</v>
      </c>
      <c r="E298" s="1090"/>
      <c r="F298" s="1090"/>
      <c r="G298" s="1090"/>
      <c r="H298" s="1090"/>
      <c r="I298" s="1088">
        <v>6</v>
      </c>
      <c r="J298" s="1088">
        <v>205</v>
      </c>
      <c r="K298" s="1090"/>
      <c r="L298" s="1110">
        <v>3</v>
      </c>
      <c r="M298" s="1110">
        <v>3</v>
      </c>
      <c r="N298" s="1090"/>
      <c r="O298" s="1090"/>
      <c r="P298" s="1090">
        <f t="shared" si="29"/>
        <v>3</v>
      </c>
      <c r="Q298" s="1090">
        <v>8025.0000000000009</v>
      </c>
      <c r="R298" s="1091">
        <f t="shared" si="30"/>
        <v>24075.000000000004</v>
      </c>
      <c r="S298" s="1091">
        <f t="shared" si="31"/>
        <v>684.59715639810429</v>
      </c>
      <c r="T298" s="1091">
        <f t="shared" si="32"/>
        <v>23390.4028436019</v>
      </c>
    </row>
    <row r="299" spans="1:21" ht="45">
      <c r="A299" s="1090"/>
      <c r="B299" s="1159" t="s">
        <v>1677</v>
      </c>
      <c r="C299" s="1162" t="s">
        <v>1678</v>
      </c>
      <c r="D299" s="1164" t="s">
        <v>1022</v>
      </c>
      <c r="E299" s="1090"/>
      <c r="F299" s="1088"/>
      <c r="G299" s="1088"/>
      <c r="H299" s="1088"/>
      <c r="I299" s="1088"/>
      <c r="J299" s="1088"/>
      <c r="K299" s="1088"/>
      <c r="L299" s="1090"/>
      <c r="M299" s="1090"/>
      <c r="N299" s="1088"/>
      <c r="O299" s="1088"/>
      <c r="P299" s="1090"/>
      <c r="Q299" s="1099"/>
      <c r="R299" s="1091"/>
      <c r="S299" s="1091"/>
      <c r="T299" s="1091"/>
      <c r="U299" s="406" t="s">
        <v>1679</v>
      </c>
    </row>
    <row r="300" spans="1:21">
      <c r="A300" s="1088">
        <v>147</v>
      </c>
      <c r="B300" s="1106" t="s">
        <v>3904</v>
      </c>
      <c r="C300" s="1093"/>
      <c r="D300" s="1106" t="s">
        <v>1022</v>
      </c>
      <c r="E300" s="1090"/>
      <c r="F300" s="1090"/>
      <c r="G300" s="1090"/>
      <c r="H300" s="1090"/>
      <c r="I300" s="1088">
        <v>6</v>
      </c>
      <c r="J300" s="1088">
        <v>205</v>
      </c>
      <c r="K300" s="1090"/>
      <c r="L300" s="1106">
        <v>35</v>
      </c>
      <c r="M300" s="1106">
        <v>35</v>
      </c>
      <c r="N300" s="1090"/>
      <c r="O300" s="1090"/>
      <c r="P300" s="1090">
        <f t="shared" ref="P300:P307" si="33">L300-O300</f>
        <v>35</v>
      </c>
      <c r="Q300" s="1090">
        <v>10000</v>
      </c>
      <c r="R300" s="1091">
        <f t="shared" ref="R300:R307" si="34">P300*Q300</f>
        <v>350000</v>
      </c>
      <c r="S300" s="1091">
        <f t="shared" ref="S300:S307" si="35">R300*(I300/(I300+J300+K300))</f>
        <v>9952.6066350710898</v>
      </c>
      <c r="T300" s="1091">
        <f t="shared" ref="T300:T307" si="36">R300-S300</f>
        <v>340047.3933649289</v>
      </c>
    </row>
    <row r="301" spans="1:21" ht="30">
      <c r="A301" s="1088">
        <v>28</v>
      </c>
      <c r="B301" s="1106" t="s">
        <v>1682</v>
      </c>
      <c r="C301" s="1089" t="s">
        <v>1683</v>
      </c>
      <c r="D301" s="1107" t="s">
        <v>1268</v>
      </c>
      <c r="E301" s="1090"/>
      <c r="F301" s="1088"/>
      <c r="G301" s="1088"/>
      <c r="H301" s="1088"/>
      <c r="I301" s="1088">
        <v>6</v>
      </c>
      <c r="J301" s="1088">
        <v>205</v>
      </c>
      <c r="K301" s="1088"/>
      <c r="L301" s="1108">
        <v>250</v>
      </c>
      <c r="M301" s="1108">
        <v>250</v>
      </c>
      <c r="N301" s="1088"/>
      <c r="O301" s="1088"/>
      <c r="P301" s="1090">
        <f t="shared" si="33"/>
        <v>250</v>
      </c>
      <c r="Q301" s="1099">
        <v>20</v>
      </c>
      <c r="R301" s="1091">
        <f t="shared" si="34"/>
        <v>5000</v>
      </c>
      <c r="S301" s="1091">
        <f t="shared" si="35"/>
        <v>142.18009478672985</v>
      </c>
      <c r="T301" s="1091">
        <f t="shared" si="36"/>
        <v>4857.8199052132704</v>
      </c>
    </row>
    <row r="302" spans="1:21" ht="30">
      <c r="A302" s="1088">
        <v>29</v>
      </c>
      <c r="B302" s="1106" t="s">
        <v>1682</v>
      </c>
      <c r="C302" s="1089" t="s">
        <v>1684</v>
      </c>
      <c r="D302" s="1107" t="s">
        <v>1268</v>
      </c>
      <c r="E302" s="1090"/>
      <c r="F302" s="1088"/>
      <c r="G302" s="1088"/>
      <c r="H302" s="1088"/>
      <c r="I302" s="1088">
        <v>6</v>
      </c>
      <c r="J302" s="1088">
        <v>205</v>
      </c>
      <c r="K302" s="1088"/>
      <c r="L302" s="1108">
        <v>250</v>
      </c>
      <c r="M302" s="1108">
        <v>250</v>
      </c>
      <c r="N302" s="1088"/>
      <c r="O302" s="1088"/>
      <c r="P302" s="1090">
        <f t="shared" si="33"/>
        <v>250</v>
      </c>
      <c r="Q302" s="1099">
        <v>20</v>
      </c>
      <c r="R302" s="1091">
        <f t="shared" si="34"/>
        <v>5000</v>
      </c>
      <c r="S302" s="1091">
        <f t="shared" si="35"/>
        <v>142.18009478672985</v>
      </c>
      <c r="T302" s="1091">
        <f t="shared" si="36"/>
        <v>4857.8199052132704</v>
      </c>
    </row>
    <row r="303" spans="1:21" ht="30">
      <c r="A303" s="1088">
        <v>30</v>
      </c>
      <c r="B303" s="1106" t="s">
        <v>1682</v>
      </c>
      <c r="C303" s="1089" t="s">
        <v>1685</v>
      </c>
      <c r="D303" s="1107" t="s">
        <v>1268</v>
      </c>
      <c r="E303" s="1090"/>
      <c r="F303" s="1088"/>
      <c r="G303" s="1088"/>
      <c r="H303" s="1088"/>
      <c r="I303" s="1088">
        <v>6</v>
      </c>
      <c r="J303" s="1088">
        <v>205</v>
      </c>
      <c r="K303" s="1088"/>
      <c r="L303" s="1108">
        <v>250</v>
      </c>
      <c r="M303" s="1108">
        <v>250</v>
      </c>
      <c r="N303" s="1088"/>
      <c r="O303" s="1088"/>
      <c r="P303" s="1090">
        <f t="shared" si="33"/>
        <v>250</v>
      </c>
      <c r="Q303" s="1099">
        <v>20</v>
      </c>
      <c r="R303" s="1091">
        <f t="shared" si="34"/>
        <v>5000</v>
      </c>
      <c r="S303" s="1091">
        <f t="shared" si="35"/>
        <v>142.18009478672985</v>
      </c>
      <c r="T303" s="1091">
        <f t="shared" si="36"/>
        <v>4857.8199052132704</v>
      </c>
    </row>
    <row r="304" spans="1:21" ht="30">
      <c r="A304" s="1088">
        <v>31</v>
      </c>
      <c r="B304" s="1106" t="s">
        <v>1682</v>
      </c>
      <c r="C304" s="1089" t="s">
        <v>1686</v>
      </c>
      <c r="D304" s="1107" t="s">
        <v>1268</v>
      </c>
      <c r="E304" s="1090"/>
      <c r="F304" s="1088"/>
      <c r="G304" s="1088"/>
      <c r="H304" s="1088"/>
      <c r="I304" s="1088">
        <v>6</v>
      </c>
      <c r="J304" s="1088">
        <v>205</v>
      </c>
      <c r="K304" s="1088"/>
      <c r="L304" s="1108">
        <v>250</v>
      </c>
      <c r="M304" s="1108">
        <v>250</v>
      </c>
      <c r="N304" s="1088"/>
      <c r="O304" s="1088"/>
      <c r="P304" s="1090">
        <f t="shared" si="33"/>
        <v>250</v>
      </c>
      <c r="Q304" s="1099">
        <v>20</v>
      </c>
      <c r="R304" s="1091">
        <f t="shared" si="34"/>
        <v>5000</v>
      </c>
      <c r="S304" s="1091">
        <f t="shared" si="35"/>
        <v>142.18009478672985</v>
      </c>
      <c r="T304" s="1091">
        <f t="shared" si="36"/>
        <v>4857.8199052132704</v>
      </c>
    </row>
    <row r="305" spans="1:21" ht="30">
      <c r="A305" s="1088">
        <v>174</v>
      </c>
      <c r="B305" s="1106" t="s">
        <v>3905</v>
      </c>
      <c r="C305" s="1093"/>
      <c r="D305" s="1106" t="s">
        <v>1022</v>
      </c>
      <c r="E305" s="1090"/>
      <c r="F305" s="1090"/>
      <c r="G305" s="1090"/>
      <c r="H305" s="1090"/>
      <c r="I305" s="1088">
        <v>6</v>
      </c>
      <c r="J305" s="1088">
        <v>205</v>
      </c>
      <c r="K305" s="1090"/>
      <c r="L305" s="1106">
        <v>600</v>
      </c>
      <c r="M305" s="1106">
        <v>600</v>
      </c>
      <c r="N305" s="1090"/>
      <c r="O305" s="1090"/>
      <c r="P305" s="1090">
        <f t="shared" si="33"/>
        <v>600</v>
      </c>
      <c r="Q305" s="1090">
        <v>140</v>
      </c>
      <c r="R305" s="1091">
        <f t="shared" si="34"/>
        <v>84000</v>
      </c>
      <c r="S305" s="1091">
        <f t="shared" si="35"/>
        <v>2388.6255924170614</v>
      </c>
      <c r="T305" s="1091">
        <f t="shared" si="36"/>
        <v>81611.374407582945</v>
      </c>
    </row>
    <row r="306" spans="1:21">
      <c r="A306" s="1088">
        <v>228</v>
      </c>
      <c r="B306" s="1110" t="s">
        <v>1689</v>
      </c>
      <c r="C306" s="1093" t="s">
        <v>3906</v>
      </c>
      <c r="D306" s="1110" t="s">
        <v>1395</v>
      </c>
      <c r="E306" s="1090"/>
      <c r="F306" s="1090"/>
      <c r="G306" s="1090"/>
      <c r="H306" s="1090"/>
      <c r="I306" s="1088">
        <v>6</v>
      </c>
      <c r="J306" s="1088">
        <v>205</v>
      </c>
      <c r="K306" s="1090"/>
      <c r="L306" s="1110">
        <v>200</v>
      </c>
      <c r="M306" s="1110">
        <v>200</v>
      </c>
      <c r="N306" s="1090"/>
      <c r="O306" s="1090"/>
      <c r="P306" s="1090">
        <f t="shared" si="33"/>
        <v>200</v>
      </c>
      <c r="Q306" s="1090">
        <v>160.5</v>
      </c>
      <c r="R306" s="1091">
        <f t="shared" si="34"/>
        <v>32100</v>
      </c>
      <c r="S306" s="1091">
        <f t="shared" si="35"/>
        <v>912.79620853080564</v>
      </c>
      <c r="T306" s="1091">
        <f t="shared" si="36"/>
        <v>31187.203791469194</v>
      </c>
    </row>
    <row r="307" spans="1:21" ht="60">
      <c r="A307" s="1090"/>
      <c r="B307" s="1163" t="s">
        <v>1691</v>
      </c>
      <c r="C307" s="1162" t="s">
        <v>1692</v>
      </c>
      <c r="D307" s="1164" t="s">
        <v>1022</v>
      </c>
      <c r="E307" s="1090"/>
      <c r="F307" s="1088"/>
      <c r="G307" s="1088"/>
      <c r="H307" s="1088"/>
      <c r="I307" s="1088">
        <v>6</v>
      </c>
      <c r="J307" s="1088">
        <v>205</v>
      </c>
      <c r="K307" s="1088"/>
      <c r="L307" s="1090">
        <v>900</v>
      </c>
      <c r="M307" s="1090">
        <v>900</v>
      </c>
      <c r="N307" s="1088"/>
      <c r="O307" s="1088"/>
      <c r="P307" s="1090">
        <f t="shared" si="33"/>
        <v>900</v>
      </c>
      <c r="Q307" s="1099">
        <v>642</v>
      </c>
      <c r="R307" s="1091">
        <f t="shared" si="34"/>
        <v>577800</v>
      </c>
      <c r="S307" s="1091">
        <f t="shared" si="35"/>
        <v>16430.331753554503</v>
      </c>
      <c r="T307" s="1091">
        <f t="shared" si="36"/>
        <v>561369.66824644548</v>
      </c>
      <c r="U307" s="406" t="s">
        <v>1693</v>
      </c>
    </row>
    <row r="308" spans="1:21" ht="30">
      <c r="A308" s="1090"/>
      <c r="B308" s="1163" t="s">
        <v>1694</v>
      </c>
      <c r="C308" s="1162" t="s">
        <v>1695</v>
      </c>
      <c r="D308" s="1164" t="s">
        <v>1022</v>
      </c>
      <c r="E308" s="1090"/>
      <c r="F308" s="1088"/>
      <c r="G308" s="1088"/>
      <c r="H308" s="1088"/>
      <c r="I308" s="1088"/>
      <c r="J308" s="1088"/>
      <c r="K308" s="1088"/>
      <c r="L308" s="1090"/>
      <c r="M308" s="1090"/>
      <c r="N308" s="1088"/>
      <c r="O308" s="1088"/>
      <c r="P308" s="1090"/>
      <c r="Q308" s="1099"/>
      <c r="R308" s="1091"/>
      <c r="S308" s="1091"/>
      <c r="T308" s="1091"/>
    </row>
    <row r="309" spans="1:21">
      <c r="A309" s="1088">
        <v>195</v>
      </c>
      <c r="B309" s="1106" t="s">
        <v>3907</v>
      </c>
      <c r="C309" s="1093" t="s">
        <v>1697</v>
      </c>
      <c r="D309" s="1106"/>
      <c r="E309" s="1090"/>
      <c r="F309" s="1090"/>
      <c r="G309" s="1090"/>
      <c r="H309" s="1090"/>
      <c r="I309" s="1088">
        <v>6</v>
      </c>
      <c r="J309" s="1088">
        <v>205</v>
      </c>
      <c r="K309" s="1090"/>
      <c r="L309" s="1110">
        <v>100000</v>
      </c>
      <c r="M309" s="1110">
        <v>100000</v>
      </c>
      <c r="N309" s="1090"/>
      <c r="O309" s="1090"/>
      <c r="P309" s="1090">
        <f t="shared" ref="P309:P321" si="37">L309-O309</f>
        <v>100000</v>
      </c>
      <c r="Q309" s="1090">
        <v>2.09</v>
      </c>
      <c r="R309" s="1091">
        <f t="shared" ref="R309:R321" si="38">P309*Q309</f>
        <v>209000</v>
      </c>
      <c r="S309" s="1091">
        <f t="shared" ref="S309:S321" si="39">R309*(I309/(I309+J309+K309))</f>
        <v>5943.1279620853074</v>
      </c>
      <c r="T309" s="1091">
        <f t="shared" ref="T309:T321" si="40">R309-S309</f>
        <v>203056.8720379147</v>
      </c>
    </row>
    <row r="310" spans="1:21" ht="30">
      <c r="A310" s="1088">
        <v>273</v>
      </c>
      <c r="B310" s="1106" t="s">
        <v>1698</v>
      </c>
      <c r="C310" s="1093" t="s">
        <v>1699</v>
      </c>
      <c r="D310" s="1106" t="s">
        <v>1022</v>
      </c>
      <c r="E310" s="1090"/>
      <c r="F310" s="1090"/>
      <c r="G310" s="1090"/>
      <c r="H310" s="1090"/>
      <c r="I310" s="1088">
        <v>6</v>
      </c>
      <c r="J310" s="1088">
        <v>205</v>
      </c>
      <c r="K310" s="1090"/>
      <c r="L310" s="1109">
        <v>50</v>
      </c>
      <c r="M310" s="1109">
        <v>50</v>
      </c>
      <c r="N310" s="1090"/>
      <c r="O310" s="1090"/>
      <c r="P310" s="1090">
        <f t="shared" si="37"/>
        <v>50</v>
      </c>
      <c r="Q310" s="1090">
        <v>1200</v>
      </c>
      <c r="R310" s="1091">
        <f t="shared" si="38"/>
        <v>60000</v>
      </c>
      <c r="S310" s="1091">
        <f t="shared" si="39"/>
        <v>1706.1611374407582</v>
      </c>
      <c r="T310" s="1091">
        <f t="shared" si="40"/>
        <v>58293.838862559242</v>
      </c>
    </row>
    <row r="311" spans="1:21" ht="30">
      <c r="A311" s="1088">
        <v>272</v>
      </c>
      <c r="B311" s="1106" t="s">
        <v>1700</v>
      </c>
      <c r="C311" s="1093" t="s">
        <v>1701</v>
      </c>
      <c r="D311" s="1106" t="s">
        <v>1022</v>
      </c>
      <c r="E311" s="1090"/>
      <c r="F311" s="1090"/>
      <c r="G311" s="1090"/>
      <c r="H311" s="1090"/>
      <c r="I311" s="1088">
        <v>6</v>
      </c>
      <c r="J311" s="1088">
        <v>205</v>
      </c>
      <c r="K311" s="1090"/>
      <c r="L311" s="1109">
        <v>50</v>
      </c>
      <c r="M311" s="1109">
        <v>50</v>
      </c>
      <c r="N311" s="1090"/>
      <c r="O311" s="1090"/>
      <c r="P311" s="1090">
        <f t="shared" si="37"/>
        <v>50</v>
      </c>
      <c r="Q311" s="1090">
        <v>1200</v>
      </c>
      <c r="R311" s="1091">
        <f t="shared" si="38"/>
        <v>60000</v>
      </c>
      <c r="S311" s="1091">
        <f t="shared" si="39"/>
        <v>1706.1611374407582</v>
      </c>
      <c r="T311" s="1091">
        <f t="shared" si="40"/>
        <v>58293.838862559242</v>
      </c>
    </row>
    <row r="312" spans="1:21">
      <c r="A312" s="1088">
        <v>91</v>
      </c>
      <c r="B312" s="1107" t="s">
        <v>3908</v>
      </c>
      <c r="C312" s="1089" t="s">
        <v>3909</v>
      </c>
      <c r="D312" s="1107" t="s">
        <v>1268</v>
      </c>
      <c r="E312" s="1090"/>
      <c r="F312" s="1088"/>
      <c r="G312" s="1088"/>
      <c r="H312" s="1088"/>
      <c r="I312" s="1088">
        <v>6</v>
      </c>
      <c r="J312" s="1088">
        <v>205</v>
      </c>
      <c r="K312" s="1088"/>
      <c r="L312" s="1107">
        <v>1000</v>
      </c>
      <c r="M312" s="1107">
        <v>1000</v>
      </c>
      <c r="N312" s="1088"/>
      <c r="O312" s="1088"/>
      <c r="P312" s="1090">
        <f t="shared" si="37"/>
        <v>1000</v>
      </c>
      <c r="Q312" s="1099">
        <v>100</v>
      </c>
      <c r="R312" s="1091">
        <f t="shared" si="38"/>
        <v>100000</v>
      </c>
      <c r="S312" s="1091">
        <f t="shared" si="39"/>
        <v>2843.6018957345968</v>
      </c>
      <c r="T312" s="1091">
        <f t="shared" si="40"/>
        <v>97156.398104265405</v>
      </c>
    </row>
    <row r="313" spans="1:21">
      <c r="A313" s="1088">
        <v>110</v>
      </c>
      <c r="B313" s="1107" t="s">
        <v>1815</v>
      </c>
      <c r="C313" s="1089" t="s">
        <v>3910</v>
      </c>
      <c r="D313" s="1107" t="s">
        <v>1268</v>
      </c>
      <c r="E313" s="1090"/>
      <c r="F313" s="1088"/>
      <c r="G313" s="1088"/>
      <c r="H313" s="1088"/>
      <c r="I313" s="1088">
        <v>6</v>
      </c>
      <c r="J313" s="1088">
        <v>205</v>
      </c>
      <c r="K313" s="1088"/>
      <c r="L313" s="1107">
        <v>7</v>
      </c>
      <c r="M313" s="1107">
        <v>7</v>
      </c>
      <c r="N313" s="1088"/>
      <c r="O313" s="1088"/>
      <c r="P313" s="1090">
        <f t="shared" si="37"/>
        <v>7</v>
      </c>
      <c r="Q313" s="1088">
        <v>27000</v>
      </c>
      <c r="R313" s="1091">
        <f t="shared" si="38"/>
        <v>189000</v>
      </c>
      <c r="S313" s="1091">
        <f t="shared" si="39"/>
        <v>5374.4075829383883</v>
      </c>
      <c r="T313" s="1091">
        <f t="shared" si="40"/>
        <v>183625.59241706162</v>
      </c>
    </row>
    <row r="314" spans="1:21">
      <c r="A314" s="1090">
        <v>315</v>
      </c>
      <c r="B314" s="1117" t="s">
        <v>1806</v>
      </c>
      <c r="C314" s="1093"/>
      <c r="D314" s="1116" t="s">
        <v>1022</v>
      </c>
      <c r="E314" s="1090"/>
      <c r="F314" s="1090"/>
      <c r="G314" s="1090"/>
      <c r="H314" s="1090"/>
      <c r="I314" s="1088">
        <v>6</v>
      </c>
      <c r="J314" s="1088">
        <v>205</v>
      </c>
      <c r="K314" s="1090"/>
      <c r="L314" s="1116">
        <v>111</v>
      </c>
      <c r="M314" s="1116">
        <v>111</v>
      </c>
      <c r="N314" s="1090"/>
      <c r="O314" s="1090"/>
      <c r="P314" s="1090">
        <f t="shared" si="37"/>
        <v>111</v>
      </c>
      <c r="Q314" s="1090">
        <v>20500</v>
      </c>
      <c r="R314" s="1091">
        <f t="shared" si="38"/>
        <v>2275500</v>
      </c>
      <c r="S314" s="1091">
        <f t="shared" si="39"/>
        <v>64706.161137440758</v>
      </c>
      <c r="T314" s="1091">
        <f t="shared" si="40"/>
        <v>2210793.8388625593</v>
      </c>
    </row>
    <row r="315" spans="1:21">
      <c r="A315" s="1088">
        <v>95</v>
      </c>
      <c r="B315" s="1107" t="s">
        <v>1704</v>
      </c>
      <c r="C315" s="1089" t="s">
        <v>3911</v>
      </c>
      <c r="D315" s="1107" t="s">
        <v>1268</v>
      </c>
      <c r="E315" s="1090"/>
      <c r="F315" s="1088"/>
      <c r="G315" s="1088"/>
      <c r="H315" s="1088"/>
      <c r="I315" s="1088">
        <v>6</v>
      </c>
      <c r="J315" s="1088">
        <v>205</v>
      </c>
      <c r="K315" s="1088"/>
      <c r="L315" s="1107">
        <v>6</v>
      </c>
      <c r="M315" s="1107">
        <v>6</v>
      </c>
      <c r="N315" s="1088"/>
      <c r="O315" s="1088"/>
      <c r="P315" s="1090">
        <f t="shared" si="37"/>
        <v>6</v>
      </c>
      <c r="Q315" s="1099">
        <v>2500</v>
      </c>
      <c r="R315" s="1091">
        <f t="shared" si="38"/>
        <v>15000</v>
      </c>
      <c r="S315" s="1091">
        <f t="shared" si="39"/>
        <v>426.54028436018956</v>
      </c>
      <c r="T315" s="1091">
        <f t="shared" si="40"/>
        <v>14573.45971563981</v>
      </c>
    </row>
    <row r="316" spans="1:21">
      <c r="A316" s="1088">
        <v>201</v>
      </c>
      <c r="B316" s="1110" t="s">
        <v>3912</v>
      </c>
      <c r="C316" s="1093" t="s">
        <v>3913</v>
      </c>
      <c r="D316" s="1110" t="s">
        <v>1022</v>
      </c>
      <c r="E316" s="1090"/>
      <c r="F316" s="1090"/>
      <c r="G316" s="1090"/>
      <c r="H316" s="1090"/>
      <c r="I316" s="1088">
        <v>6</v>
      </c>
      <c r="J316" s="1088">
        <v>205</v>
      </c>
      <c r="K316" s="1090"/>
      <c r="L316" s="1110">
        <v>10</v>
      </c>
      <c r="M316" s="1110">
        <v>10</v>
      </c>
      <c r="N316" s="1090"/>
      <c r="O316" s="1090"/>
      <c r="P316" s="1090">
        <f t="shared" si="37"/>
        <v>10</v>
      </c>
      <c r="Q316" s="1090">
        <v>160.5</v>
      </c>
      <c r="R316" s="1091">
        <f t="shared" si="38"/>
        <v>1605</v>
      </c>
      <c r="S316" s="1091">
        <f t="shared" si="39"/>
        <v>45.639810426540279</v>
      </c>
      <c r="T316" s="1091">
        <f t="shared" si="40"/>
        <v>1559.3601895734598</v>
      </c>
    </row>
    <row r="317" spans="1:21">
      <c r="A317" s="1088">
        <v>164</v>
      </c>
      <c r="B317" s="1106" t="s">
        <v>3914</v>
      </c>
      <c r="C317" s="1093" t="s">
        <v>3915</v>
      </c>
      <c r="D317" s="1106" t="s">
        <v>1022</v>
      </c>
      <c r="E317" s="1090"/>
      <c r="F317" s="1090"/>
      <c r="G317" s="1090"/>
      <c r="H317" s="1090"/>
      <c r="I317" s="1088">
        <v>6</v>
      </c>
      <c r="J317" s="1088">
        <v>205</v>
      </c>
      <c r="K317" s="1090"/>
      <c r="L317" s="1106">
        <v>6</v>
      </c>
      <c r="M317" s="1106">
        <v>6</v>
      </c>
      <c r="N317" s="1090"/>
      <c r="O317" s="1090"/>
      <c r="P317" s="1090">
        <f t="shared" si="37"/>
        <v>6</v>
      </c>
      <c r="Q317" s="1090">
        <v>18000</v>
      </c>
      <c r="R317" s="1091">
        <f t="shared" si="38"/>
        <v>108000</v>
      </c>
      <c r="S317" s="1091">
        <f t="shared" si="39"/>
        <v>3071.0900473933648</v>
      </c>
      <c r="T317" s="1091">
        <f t="shared" si="40"/>
        <v>104928.90995260664</v>
      </c>
    </row>
    <row r="318" spans="1:21">
      <c r="A318" s="1088">
        <v>163</v>
      </c>
      <c r="B318" s="1106" t="s">
        <v>3916</v>
      </c>
      <c r="C318" s="1093" t="s">
        <v>3917</v>
      </c>
      <c r="D318" s="1106" t="s">
        <v>1022</v>
      </c>
      <c r="E318" s="1090"/>
      <c r="F318" s="1090"/>
      <c r="G318" s="1090"/>
      <c r="H318" s="1090"/>
      <c r="I318" s="1088">
        <v>6</v>
      </c>
      <c r="J318" s="1088">
        <v>205</v>
      </c>
      <c r="K318" s="1090"/>
      <c r="L318" s="1106">
        <v>3</v>
      </c>
      <c r="M318" s="1106">
        <v>3</v>
      </c>
      <c r="N318" s="1090"/>
      <c r="O318" s="1090"/>
      <c r="P318" s="1090">
        <f t="shared" si="37"/>
        <v>3</v>
      </c>
      <c r="Q318" s="1090">
        <v>25000</v>
      </c>
      <c r="R318" s="1091">
        <f t="shared" si="38"/>
        <v>75000</v>
      </c>
      <c r="S318" s="1091">
        <f t="shared" si="39"/>
        <v>2132.7014218009476</v>
      </c>
      <c r="T318" s="1091">
        <f t="shared" si="40"/>
        <v>72867.298578199057</v>
      </c>
    </row>
    <row r="319" spans="1:21">
      <c r="A319" s="1088">
        <v>107</v>
      </c>
      <c r="B319" s="1107" t="s">
        <v>3918</v>
      </c>
      <c r="C319" s="1089" t="s">
        <v>3919</v>
      </c>
      <c r="D319" s="1107" t="s">
        <v>1411</v>
      </c>
      <c r="E319" s="1090"/>
      <c r="F319" s="1088"/>
      <c r="G319" s="1088"/>
      <c r="H319" s="1088"/>
      <c r="I319" s="1088">
        <v>6</v>
      </c>
      <c r="J319" s="1088">
        <v>205</v>
      </c>
      <c r="K319" s="1088"/>
      <c r="L319" s="1107">
        <v>800</v>
      </c>
      <c r="M319" s="1107">
        <v>800</v>
      </c>
      <c r="N319" s="1088"/>
      <c r="O319" s="1088"/>
      <c r="P319" s="1090">
        <f t="shared" si="37"/>
        <v>800</v>
      </c>
      <c r="Q319" s="1088">
        <v>250</v>
      </c>
      <c r="R319" s="1091">
        <f t="shared" si="38"/>
        <v>200000</v>
      </c>
      <c r="S319" s="1091">
        <f t="shared" si="39"/>
        <v>5687.2037914691937</v>
      </c>
      <c r="T319" s="1091">
        <f t="shared" si="40"/>
        <v>194312.79620853081</v>
      </c>
    </row>
    <row r="320" spans="1:21">
      <c r="A320" s="1088">
        <v>123</v>
      </c>
      <c r="B320" s="1106" t="s">
        <v>3920</v>
      </c>
      <c r="C320" s="1093" t="s">
        <v>3921</v>
      </c>
      <c r="D320" s="1106" t="s">
        <v>1415</v>
      </c>
      <c r="E320" s="1090"/>
      <c r="F320" s="1090"/>
      <c r="G320" s="1090"/>
      <c r="H320" s="1088"/>
      <c r="I320" s="1088">
        <v>6</v>
      </c>
      <c r="J320" s="1088">
        <v>205</v>
      </c>
      <c r="K320" s="1088"/>
      <c r="L320" s="1106">
        <v>550</v>
      </c>
      <c r="M320" s="1106">
        <v>550</v>
      </c>
      <c r="N320" s="1088"/>
      <c r="O320" s="1088"/>
      <c r="P320" s="1090">
        <f t="shared" si="37"/>
        <v>550</v>
      </c>
      <c r="Q320" s="1088">
        <v>1000</v>
      </c>
      <c r="R320" s="1091">
        <f t="shared" si="38"/>
        <v>550000</v>
      </c>
      <c r="S320" s="1091">
        <f t="shared" si="39"/>
        <v>15639.810426540284</v>
      </c>
      <c r="T320" s="1091">
        <f t="shared" si="40"/>
        <v>534360.18957345968</v>
      </c>
    </row>
    <row r="321" spans="1:21" ht="45">
      <c r="A321" s="1090">
        <v>313</v>
      </c>
      <c r="B321" s="1174" t="s">
        <v>1712</v>
      </c>
      <c r="C321" s="1171" t="s">
        <v>1713</v>
      </c>
      <c r="D321" s="1175" t="s">
        <v>1268</v>
      </c>
      <c r="E321" s="1090"/>
      <c r="F321" s="1090"/>
      <c r="G321" s="1090"/>
      <c r="H321" s="1090"/>
      <c r="I321" s="1088">
        <v>6</v>
      </c>
      <c r="J321" s="1088">
        <v>205</v>
      </c>
      <c r="K321" s="1090"/>
      <c r="L321" s="1116">
        <v>190</v>
      </c>
      <c r="M321" s="1116">
        <v>190</v>
      </c>
      <c r="N321" s="1090"/>
      <c r="O321" s="1090"/>
      <c r="P321" s="1090">
        <f t="shared" si="37"/>
        <v>190</v>
      </c>
      <c r="Q321" s="1090">
        <v>450</v>
      </c>
      <c r="R321" s="1091">
        <f t="shared" si="38"/>
        <v>85500</v>
      </c>
      <c r="S321" s="1091">
        <f t="shared" si="39"/>
        <v>2431.2796208530804</v>
      </c>
      <c r="T321" s="1091">
        <f t="shared" si="40"/>
        <v>83068.720379146922</v>
      </c>
      <c r="U321" s="406" t="s">
        <v>1714</v>
      </c>
    </row>
    <row r="322" spans="1:21" ht="30">
      <c r="A322" s="1090"/>
      <c r="B322" s="1174" t="s">
        <v>1712</v>
      </c>
      <c r="C322" s="1171" t="s">
        <v>1715</v>
      </c>
      <c r="D322" s="1175" t="s">
        <v>1290</v>
      </c>
      <c r="E322" s="1090"/>
      <c r="F322" s="1090"/>
      <c r="G322" s="1090"/>
      <c r="H322" s="1090"/>
      <c r="I322" s="1088"/>
      <c r="J322" s="1088"/>
      <c r="K322" s="1090"/>
      <c r="L322" s="1116"/>
      <c r="M322" s="1116"/>
      <c r="N322" s="1090"/>
      <c r="O322" s="1090"/>
      <c r="P322" s="1090"/>
      <c r="Q322" s="1090"/>
      <c r="R322" s="1091"/>
      <c r="S322" s="1091"/>
      <c r="T322" s="1091"/>
      <c r="U322" s="406" t="s">
        <v>1716</v>
      </c>
    </row>
    <row r="323" spans="1:21">
      <c r="A323" s="1088">
        <v>120</v>
      </c>
      <c r="B323" s="1107" t="s">
        <v>3922</v>
      </c>
      <c r="C323" s="1093" t="s">
        <v>3923</v>
      </c>
      <c r="D323" s="1107" t="s">
        <v>1268</v>
      </c>
      <c r="E323" s="1090"/>
      <c r="F323" s="1090"/>
      <c r="G323" s="1090"/>
      <c r="H323" s="1088"/>
      <c r="I323" s="1088">
        <v>6</v>
      </c>
      <c r="J323" s="1088">
        <v>205</v>
      </c>
      <c r="K323" s="1088"/>
      <c r="L323" s="1107">
        <v>9</v>
      </c>
      <c r="M323" s="1107">
        <v>9</v>
      </c>
      <c r="N323" s="1088"/>
      <c r="O323" s="1088"/>
      <c r="P323" s="1090">
        <f t="shared" ref="P323:P338" si="41">L323-O323</f>
        <v>9</v>
      </c>
      <c r="Q323" s="1088">
        <v>12000</v>
      </c>
      <c r="R323" s="1091">
        <f t="shared" ref="R323:R338" si="42">P323*Q323</f>
        <v>108000</v>
      </c>
      <c r="S323" s="1091">
        <f t="shared" ref="S323:S338" si="43">R323*(I323/(I323+J323+K323))</f>
        <v>3071.0900473933648</v>
      </c>
      <c r="T323" s="1091">
        <f t="shared" ref="T323:T338" si="44">R323-S323</f>
        <v>104928.90995260664</v>
      </c>
    </row>
    <row r="324" spans="1:21" ht="30">
      <c r="A324" s="1088">
        <v>96</v>
      </c>
      <c r="B324" s="1107" t="s">
        <v>1718</v>
      </c>
      <c r="C324" s="1089" t="s">
        <v>3924</v>
      </c>
      <c r="D324" s="1107" t="s">
        <v>1268</v>
      </c>
      <c r="E324" s="1090"/>
      <c r="F324" s="1088"/>
      <c r="G324" s="1088"/>
      <c r="H324" s="1088"/>
      <c r="I324" s="1088">
        <v>6</v>
      </c>
      <c r="J324" s="1088">
        <v>205</v>
      </c>
      <c r="K324" s="1088"/>
      <c r="L324" s="1107">
        <v>4</v>
      </c>
      <c r="M324" s="1107">
        <v>4</v>
      </c>
      <c r="N324" s="1088"/>
      <c r="O324" s="1088"/>
      <c r="P324" s="1090">
        <f t="shared" si="41"/>
        <v>4</v>
      </c>
      <c r="Q324" s="1099">
        <v>5100</v>
      </c>
      <c r="R324" s="1091">
        <f t="shared" si="42"/>
        <v>20400</v>
      </c>
      <c r="S324" s="1091">
        <f t="shared" si="43"/>
        <v>580.09478672985779</v>
      </c>
      <c r="T324" s="1091">
        <f t="shared" si="44"/>
        <v>19819.905213270144</v>
      </c>
    </row>
    <row r="325" spans="1:21">
      <c r="A325" s="1088">
        <v>240</v>
      </c>
      <c r="B325" s="1109" t="s">
        <v>3925</v>
      </c>
      <c r="C325" s="1093"/>
      <c r="D325" s="1109" t="s">
        <v>1022</v>
      </c>
      <c r="E325" s="1090"/>
      <c r="F325" s="1090"/>
      <c r="G325" s="1090"/>
      <c r="H325" s="1090"/>
      <c r="I325" s="1088">
        <v>6</v>
      </c>
      <c r="J325" s="1088">
        <v>205</v>
      </c>
      <c r="K325" s="1090"/>
      <c r="L325" s="1112">
        <v>5</v>
      </c>
      <c r="M325" s="1112">
        <v>5</v>
      </c>
      <c r="N325" s="1090"/>
      <c r="O325" s="1090"/>
      <c r="P325" s="1090">
        <f t="shared" si="41"/>
        <v>5</v>
      </c>
      <c r="Q325" s="1090">
        <v>23540</v>
      </c>
      <c r="R325" s="1091">
        <f t="shared" si="42"/>
        <v>117700</v>
      </c>
      <c r="S325" s="1091">
        <f t="shared" si="43"/>
        <v>3346.9194312796208</v>
      </c>
      <c r="T325" s="1091">
        <f t="shared" si="44"/>
        <v>114353.08056872038</v>
      </c>
    </row>
    <row r="326" spans="1:21">
      <c r="A326" s="1088">
        <v>244</v>
      </c>
      <c r="B326" s="1109" t="s">
        <v>1810</v>
      </c>
      <c r="C326" s="1093"/>
      <c r="D326" s="1109" t="s">
        <v>1022</v>
      </c>
      <c r="E326" s="1090"/>
      <c r="F326" s="1090"/>
      <c r="G326" s="1090"/>
      <c r="H326" s="1090"/>
      <c r="I326" s="1088">
        <v>6</v>
      </c>
      <c r="J326" s="1088">
        <v>205</v>
      </c>
      <c r="K326" s="1090"/>
      <c r="L326" s="1112">
        <v>2</v>
      </c>
      <c r="M326" s="1112">
        <v>2</v>
      </c>
      <c r="N326" s="1090"/>
      <c r="O326" s="1090"/>
      <c r="P326" s="1090">
        <f t="shared" si="41"/>
        <v>2</v>
      </c>
      <c r="Q326" s="1090">
        <v>4815</v>
      </c>
      <c r="R326" s="1091">
        <f t="shared" si="42"/>
        <v>9630</v>
      </c>
      <c r="S326" s="1091">
        <f t="shared" si="43"/>
        <v>273.8388625592417</v>
      </c>
      <c r="T326" s="1091">
        <f t="shared" si="44"/>
        <v>9356.1611374407585</v>
      </c>
    </row>
    <row r="327" spans="1:21">
      <c r="A327" s="1088">
        <v>134</v>
      </c>
      <c r="B327" s="1106" t="s">
        <v>3926</v>
      </c>
      <c r="C327" s="1093"/>
      <c r="D327" s="1106" t="s">
        <v>1268</v>
      </c>
      <c r="E327" s="1090"/>
      <c r="F327" s="1090"/>
      <c r="G327" s="1090"/>
      <c r="H327" s="1090"/>
      <c r="I327" s="1088">
        <v>6</v>
      </c>
      <c r="J327" s="1088">
        <v>205</v>
      </c>
      <c r="K327" s="1090"/>
      <c r="L327" s="1106">
        <v>6</v>
      </c>
      <c r="M327" s="1106">
        <v>6</v>
      </c>
      <c r="N327" s="1090"/>
      <c r="O327" s="1090"/>
      <c r="P327" s="1090">
        <f t="shared" si="41"/>
        <v>6</v>
      </c>
      <c r="Q327" s="1090">
        <v>25000</v>
      </c>
      <c r="R327" s="1091">
        <f t="shared" si="42"/>
        <v>150000</v>
      </c>
      <c r="S327" s="1091">
        <f t="shared" si="43"/>
        <v>4265.4028436018953</v>
      </c>
      <c r="T327" s="1091">
        <f t="shared" si="44"/>
        <v>145734.59715639811</v>
      </c>
    </row>
    <row r="328" spans="1:21">
      <c r="A328" s="1088">
        <v>140</v>
      </c>
      <c r="B328" s="1106" t="s">
        <v>3927</v>
      </c>
      <c r="C328" s="1093" t="s">
        <v>3928</v>
      </c>
      <c r="D328" s="1106" t="s">
        <v>1022</v>
      </c>
      <c r="E328" s="1090"/>
      <c r="F328" s="1090"/>
      <c r="G328" s="1090"/>
      <c r="H328" s="1090"/>
      <c r="I328" s="1088">
        <v>6</v>
      </c>
      <c r="J328" s="1088">
        <v>205</v>
      </c>
      <c r="K328" s="1090"/>
      <c r="L328" s="1106">
        <v>36</v>
      </c>
      <c r="M328" s="1106">
        <v>36</v>
      </c>
      <c r="N328" s="1090"/>
      <c r="O328" s="1090"/>
      <c r="P328" s="1090">
        <f t="shared" si="41"/>
        <v>36</v>
      </c>
      <c r="Q328" s="1090">
        <v>12000</v>
      </c>
      <c r="R328" s="1091">
        <f t="shared" si="42"/>
        <v>432000</v>
      </c>
      <c r="S328" s="1091">
        <f t="shared" si="43"/>
        <v>12284.360189573459</v>
      </c>
      <c r="T328" s="1091">
        <f t="shared" si="44"/>
        <v>419715.63981042657</v>
      </c>
    </row>
    <row r="329" spans="1:21" hidden="1">
      <c r="A329" s="1090"/>
      <c r="B329" s="1106"/>
      <c r="C329" s="1093"/>
      <c r="D329" s="1106" t="s">
        <v>1022</v>
      </c>
      <c r="E329" s="1090"/>
      <c r="F329" s="1090"/>
      <c r="G329" s="1090"/>
      <c r="H329" s="1090"/>
      <c r="I329" s="1088">
        <v>6</v>
      </c>
      <c r="J329" s="1088">
        <v>205</v>
      </c>
      <c r="K329" s="1090"/>
      <c r="L329" s="1109"/>
      <c r="M329" s="1109"/>
      <c r="N329" s="1090"/>
      <c r="O329" s="1090"/>
      <c r="P329" s="1090">
        <f t="shared" si="41"/>
        <v>0</v>
      </c>
      <c r="Q329" s="1090"/>
      <c r="R329" s="1091">
        <f t="shared" si="42"/>
        <v>0</v>
      </c>
      <c r="S329" s="1091">
        <f t="shared" si="43"/>
        <v>0</v>
      </c>
      <c r="T329" s="1091">
        <f t="shared" si="44"/>
        <v>0</v>
      </c>
    </row>
    <row r="330" spans="1:21" ht="30">
      <c r="A330" s="1088">
        <v>115</v>
      </c>
      <c r="B330" s="1107" t="s">
        <v>3929</v>
      </c>
      <c r="C330" s="1089" t="s">
        <v>3930</v>
      </c>
      <c r="D330" s="1107" t="s">
        <v>1268</v>
      </c>
      <c r="E330" s="1090"/>
      <c r="F330" s="1088"/>
      <c r="G330" s="1088"/>
      <c r="H330" s="1088"/>
      <c r="I330" s="1088">
        <v>6</v>
      </c>
      <c r="J330" s="1088">
        <v>205</v>
      </c>
      <c r="K330" s="1088"/>
      <c r="L330" s="1107">
        <v>16</v>
      </c>
      <c r="M330" s="1107">
        <v>16</v>
      </c>
      <c r="N330" s="1088"/>
      <c r="O330" s="1088"/>
      <c r="P330" s="1090">
        <f t="shared" si="41"/>
        <v>16</v>
      </c>
      <c r="Q330" s="1088">
        <v>5000</v>
      </c>
      <c r="R330" s="1091">
        <f t="shared" si="42"/>
        <v>80000</v>
      </c>
      <c r="S330" s="1091">
        <f t="shared" si="43"/>
        <v>2274.8815165876777</v>
      </c>
      <c r="T330" s="1091">
        <f t="shared" si="44"/>
        <v>77725.118483412327</v>
      </c>
    </row>
    <row r="331" spans="1:21" ht="45" hidden="1">
      <c r="A331" s="1090">
        <v>308</v>
      </c>
      <c r="B331" s="1106" t="s">
        <v>1726</v>
      </c>
      <c r="C331" s="1093"/>
      <c r="D331" s="1106" t="s">
        <v>1022</v>
      </c>
      <c r="E331" s="1090"/>
      <c r="F331" s="1090"/>
      <c r="G331" s="1090"/>
      <c r="H331" s="1090"/>
      <c r="I331" s="1088">
        <v>6</v>
      </c>
      <c r="J331" s="1088">
        <v>205</v>
      </c>
      <c r="K331" s="1090"/>
      <c r="L331" s="1109"/>
      <c r="M331" s="1109"/>
      <c r="N331" s="1090"/>
      <c r="O331" s="1090"/>
      <c r="P331" s="1090">
        <f t="shared" si="41"/>
        <v>0</v>
      </c>
      <c r="Q331" s="1090"/>
      <c r="R331" s="1091">
        <f t="shared" si="42"/>
        <v>0</v>
      </c>
      <c r="S331" s="1091">
        <f t="shared" si="43"/>
        <v>0</v>
      </c>
      <c r="T331" s="1091">
        <f t="shared" si="44"/>
        <v>0</v>
      </c>
    </row>
    <row r="332" spans="1:21" ht="30" hidden="1">
      <c r="A332" s="1090"/>
      <c r="B332" s="1106" t="s">
        <v>1727</v>
      </c>
      <c r="C332" s="1093"/>
      <c r="D332" s="1106" t="s">
        <v>1022</v>
      </c>
      <c r="E332" s="1090"/>
      <c r="F332" s="1090"/>
      <c r="G332" s="1090"/>
      <c r="H332" s="1090"/>
      <c r="I332" s="1088">
        <v>6</v>
      </c>
      <c r="J332" s="1088">
        <v>205</v>
      </c>
      <c r="K332" s="1090"/>
      <c r="L332" s="1112">
        <v>1</v>
      </c>
      <c r="M332" s="1112">
        <v>1</v>
      </c>
      <c r="N332" s="1090"/>
      <c r="O332" s="1090"/>
      <c r="P332" s="1090">
        <f t="shared" si="41"/>
        <v>1</v>
      </c>
      <c r="Q332" s="1090"/>
      <c r="R332" s="1091">
        <f t="shared" si="42"/>
        <v>0</v>
      </c>
      <c r="S332" s="1091">
        <f t="shared" si="43"/>
        <v>0</v>
      </c>
      <c r="T332" s="1091">
        <f t="shared" si="44"/>
        <v>0</v>
      </c>
    </row>
    <row r="333" spans="1:21">
      <c r="A333" s="1088">
        <v>152</v>
      </c>
      <c r="B333" s="1106" t="s">
        <v>3931</v>
      </c>
      <c r="C333" s="1093"/>
      <c r="D333" s="1106" t="s">
        <v>1587</v>
      </c>
      <c r="E333" s="1090"/>
      <c r="F333" s="1090"/>
      <c r="G333" s="1090"/>
      <c r="H333" s="1090"/>
      <c r="I333" s="1088">
        <v>6</v>
      </c>
      <c r="J333" s="1088">
        <v>205</v>
      </c>
      <c r="K333" s="1090"/>
      <c r="L333" s="1106">
        <v>120</v>
      </c>
      <c r="M333" s="1106">
        <v>120</v>
      </c>
      <c r="N333" s="1090"/>
      <c r="O333" s="1090"/>
      <c r="P333" s="1090">
        <f t="shared" si="41"/>
        <v>120</v>
      </c>
      <c r="Q333" s="1090">
        <v>400</v>
      </c>
      <c r="R333" s="1091">
        <f t="shared" si="42"/>
        <v>48000</v>
      </c>
      <c r="S333" s="1091">
        <f t="shared" si="43"/>
        <v>1364.9289099526065</v>
      </c>
      <c r="T333" s="1091">
        <f t="shared" si="44"/>
        <v>46635.071090047393</v>
      </c>
    </row>
    <row r="334" spans="1:21" ht="30">
      <c r="A334" s="1088">
        <v>27</v>
      </c>
      <c r="B334" s="1106" t="s">
        <v>3932</v>
      </c>
      <c r="C334" s="1089" t="s">
        <v>3933</v>
      </c>
      <c r="D334" s="1107" t="s">
        <v>1268</v>
      </c>
      <c r="E334" s="1090"/>
      <c r="F334" s="1088"/>
      <c r="G334" s="1088"/>
      <c r="H334" s="1088"/>
      <c r="I334" s="1088">
        <v>6</v>
      </c>
      <c r="J334" s="1088">
        <v>205</v>
      </c>
      <c r="K334" s="1088"/>
      <c r="L334" s="1108">
        <v>2000</v>
      </c>
      <c r="M334" s="1108">
        <v>2000</v>
      </c>
      <c r="N334" s="1088"/>
      <c r="O334" s="1088"/>
      <c r="P334" s="1090">
        <f t="shared" si="41"/>
        <v>2000</v>
      </c>
      <c r="Q334" s="1099">
        <v>20</v>
      </c>
      <c r="R334" s="1091">
        <f t="shared" si="42"/>
        <v>40000</v>
      </c>
      <c r="S334" s="1091">
        <f t="shared" si="43"/>
        <v>1137.4407582938388</v>
      </c>
      <c r="T334" s="1091">
        <f t="shared" si="44"/>
        <v>38862.559241706163</v>
      </c>
    </row>
    <row r="335" spans="1:21" ht="30">
      <c r="A335" s="1088">
        <v>185</v>
      </c>
      <c r="B335" s="1110" t="s">
        <v>3934</v>
      </c>
      <c r="C335" s="1093" t="s">
        <v>3935</v>
      </c>
      <c r="D335" s="1110" t="s">
        <v>1022</v>
      </c>
      <c r="E335" s="1090"/>
      <c r="F335" s="1090"/>
      <c r="G335" s="1090"/>
      <c r="H335" s="1090"/>
      <c r="I335" s="1088">
        <v>6</v>
      </c>
      <c r="J335" s="1088">
        <v>205</v>
      </c>
      <c r="K335" s="1090"/>
      <c r="L335" s="1110">
        <v>50</v>
      </c>
      <c r="M335" s="1110">
        <v>50</v>
      </c>
      <c r="N335" s="1090"/>
      <c r="O335" s="1090"/>
      <c r="P335" s="1090">
        <f t="shared" si="41"/>
        <v>50</v>
      </c>
      <c r="Q335" s="1090">
        <v>535</v>
      </c>
      <c r="R335" s="1091">
        <f t="shared" si="42"/>
        <v>26750</v>
      </c>
      <c r="S335" s="1091">
        <f t="shared" si="43"/>
        <v>760.66350710900474</v>
      </c>
      <c r="T335" s="1091">
        <f t="shared" si="44"/>
        <v>25989.336492890994</v>
      </c>
    </row>
    <row r="336" spans="1:21" ht="30">
      <c r="A336" s="1088">
        <v>183</v>
      </c>
      <c r="B336" s="1110" t="s">
        <v>3936</v>
      </c>
      <c r="C336" s="1093" t="s">
        <v>3937</v>
      </c>
      <c r="D336" s="1110" t="s">
        <v>1022</v>
      </c>
      <c r="E336" s="1090"/>
      <c r="F336" s="1090"/>
      <c r="G336" s="1090"/>
      <c r="H336" s="1090"/>
      <c r="I336" s="1088">
        <v>6</v>
      </c>
      <c r="J336" s="1088">
        <v>205</v>
      </c>
      <c r="K336" s="1090"/>
      <c r="L336" s="1110">
        <v>50</v>
      </c>
      <c r="M336" s="1110">
        <v>50</v>
      </c>
      <c r="N336" s="1090"/>
      <c r="O336" s="1090"/>
      <c r="P336" s="1090">
        <f t="shared" si="41"/>
        <v>50</v>
      </c>
      <c r="Q336" s="1090">
        <v>2675</v>
      </c>
      <c r="R336" s="1091">
        <f t="shared" si="42"/>
        <v>133750</v>
      </c>
      <c r="S336" s="1091">
        <f t="shared" si="43"/>
        <v>3803.3175355450235</v>
      </c>
      <c r="T336" s="1091">
        <f t="shared" si="44"/>
        <v>129946.68246445498</v>
      </c>
    </row>
    <row r="337" spans="1:20" ht="30">
      <c r="A337" s="1088">
        <v>184</v>
      </c>
      <c r="B337" s="1110" t="s">
        <v>3936</v>
      </c>
      <c r="C337" s="1093" t="s">
        <v>3938</v>
      </c>
      <c r="D337" s="1110" t="s">
        <v>1022</v>
      </c>
      <c r="E337" s="1090"/>
      <c r="F337" s="1090"/>
      <c r="G337" s="1090"/>
      <c r="H337" s="1090"/>
      <c r="I337" s="1088">
        <v>6</v>
      </c>
      <c r="J337" s="1088">
        <v>205</v>
      </c>
      <c r="K337" s="1090"/>
      <c r="L337" s="1110">
        <v>50</v>
      </c>
      <c r="M337" s="1110">
        <v>50</v>
      </c>
      <c r="N337" s="1090"/>
      <c r="O337" s="1090"/>
      <c r="P337" s="1090">
        <f t="shared" si="41"/>
        <v>50</v>
      </c>
      <c r="Q337" s="1090">
        <v>1070</v>
      </c>
      <c r="R337" s="1091">
        <f t="shared" si="42"/>
        <v>53500</v>
      </c>
      <c r="S337" s="1091">
        <f t="shared" si="43"/>
        <v>1521.3270142180095</v>
      </c>
      <c r="T337" s="1091">
        <f t="shared" si="44"/>
        <v>51978.672985781988</v>
      </c>
    </row>
    <row r="338" spans="1:20" ht="45">
      <c r="A338" s="1183">
        <v>196</v>
      </c>
      <c r="B338" s="1184" t="s">
        <v>1732</v>
      </c>
      <c r="C338" s="1185" t="s">
        <v>1733</v>
      </c>
      <c r="D338" s="1106" t="s">
        <v>1268</v>
      </c>
      <c r="E338" s="1090"/>
      <c r="F338" s="1090"/>
      <c r="G338" s="1090"/>
      <c r="H338" s="1090"/>
      <c r="I338" s="1088">
        <v>6</v>
      </c>
      <c r="J338" s="1088">
        <v>205</v>
      </c>
      <c r="K338" s="1090"/>
      <c r="L338" s="1110">
        <v>33</v>
      </c>
      <c r="M338" s="1110">
        <v>33</v>
      </c>
      <c r="N338" s="1090"/>
      <c r="O338" s="1090"/>
      <c r="P338" s="1090">
        <f t="shared" si="41"/>
        <v>33</v>
      </c>
      <c r="Q338" s="1090">
        <v>2140</v>
      </c>
      <c r="R338" s="1091">
        <f t="shared" si="42"/>
        <v>70620</v>
      </c>
      <c r="S338" s="1091">
        <f t="shared" si="43"/>
        <v>2008.1516587677725</v>
      </c>
      <c r="T338" s="1091">
        <f t="shared" si="44"/>
        <v>68611.848341232224</v>
      </c>
    </row>
    <row r="339" spans="1:20" ht="60">
      <c r="A339" s="1182"/>
      <c r="B339" s="1180" t="s">
        <v>1732</v>
      </c>
      <c r="C339" s="1181" t="s">
        <v>1734</v>
      </c>
      <c r="D339" s="1106"/>
      <c r="E339" s="1090"/>
      <c r="F339" s="1090"/>
      <c r="G339" s="1090"/>
      <c r="H339" s="1090"/>
      <c r="I339" s="1088"/>
      <c r="J339" s="1088"/>
      <c r="K339" s="1090"/>
      <c r="L339" s="1110"/>
      <c r="M339" s="1110"/>
      <c r="N339" s="1090"/>
      <c r="O339" s="1090"/>
      <c r="P339" s="1090"/>
      <c r="Q339" s="1090"/>
      <c r="R339" s="1091"/>
      <c r="S339" s="1091"/>
      <c r="T339" s="1091"/>
    </row>
    <row r="340" spans="1:20" ht="30">
      <c r="A340" s="1088">
        <v>246</v>
      </c>
      <c r="B340" s="1172" t="s">
        <v>1732</v>
      </c>
      <c r="C340" s="1171" t="s">
        <v>1735</v>
      </c>
      <c r="D340" s="1172" t="s">
        <v>1022</v>
      </c>
      <c r="E340" s="1090"/>
      <c r="F340" s="1090"/>
      <c r="G340" s="1090"/>
      <c r="H340" s="1090"/>
      <c r="I340" s="1088">
        <v>6</v>
      </c>
      <c r="J340" s="1088">
        <v>205</v>
      </c>
      <c r="K340" s="1090"/>
      <c r="L340" s="1112">
        <v>20</v>
      </c>
      <c r="M340" s="1112">
        <v>20</v>
      </c>
      <c r="N340" s="1090"/>
      <c r="O340" s="1090"/>
      <c r="P340" s="1090">
        <f t="shared" ref="P340:P350" si="45">L340-O340</f>
        <v>20</v>
      </c>
      <c r="Q340" s="1090">
        <v>1819</v>
      </c>
      <c r="R340" s="1091">
        <f t="shared" ref="R340:R350" si="46">P340*Q340</f>
        <v>36380</v>
      </c>
      <c r="S340" s="1091">
        <f t="shared" ref="S340:S350" si="47">R340*(I340/(I340+J340+K340))</f>
        <v>1034.5023696682465</v>
      </c>
      <c r="T340" s="1091">
        <f t="shared" ref="T340:T350" si="48">R340-S340</f>
        <v>35345.497630331753</v>
      </c>
    </row>
    <row r="341" spans="1:20" ht="30">
      <c r="A341" s="1088">
        <v>248</v>
      </c>
      <c r="B341" s="1109" t="s">
        <v>3939</v>
      </c>
      <c r="C341" s="1093" t="s">
        <v>3940</v>
      </c>
      <c r="D341" s="1109" t="s">
        <v>1022</v>
      </c>
      <c r="E341" s="1090"/>
      <c r="F341" s="1090"/>
      <c r="G341" s="1090"/>
      <c r="H341" s="1090"/>
      <c r="I341" s="1088">
        <v>6</v>
      </c>
      <c r="J341" s="1088">
        <v>205</v>
      </c>
      <c r="K341" s="1090"/>
      <c r="L341" s="1112">
        <v>10</v>
      </c>
      <c r="M341" s="1112">
        <v>10</v>
      </c>
      <c r="N341" s="1090"/>
      <c r="O341" s="1090"/>
      <c r="P341" s="1090">
        <f t="shared" si="45"/>
        <v>10</v>
      </c>
      <c r="Q341" s="1090">
        <v>749</v>
      </c>
      <c r="R341" s="1091">
        <f t="shared" si="46"/>
        <v>7490</v>
      </c>
      <c r="S341" s="1091">
        <f t="shared" si="47"/>
        <v>212.9857819905213</v>
      </c>
      <c r="T341" s="1091">
        <f t="shared" si="48"/>
        <v>7277.014218009479</v>
      </c>
    </row>
    <row r="342" spans="1:20">
      <c r="A342" s="1088">
        <v>138</v>
      </c>
      <c r="B342" s="1106" t="s">
        <v>3941</v>
      </c>
      <c r="C342" s="1093" t="s">
        <v>3942</v>
      </c>
      <c r="D342" s="1106" t="s">
        <v>1022</v>
      </c>
      <c r="E342" s="1090"/>
      <c r="F342" s="1090"/>
      <c r="G342" s="1090"/>
      <c r="H342" s="1090"/>
      <c r="I342" s="1088">
        <v>6</v>
      </c>
      <c r="J342" s="1088">
        <v>205</v>
      </c>
      <c r="K342" s="1090"/>
      <c r="L342" s="1106">
        <v>70</v>
      </c>
      <c r="M342" s="1106">
        <v>70</v>
      </c>
      <c r="N342" s="1090"/>
      <c r="O342" s="1090"/>
      <c r="P342" s="1090">
        <f t="shared" si="45"/>
        <v>70</v>
      </c>
      <c r="Q342" s="1090">
        <v>1500</v>
      </c>
      <c r="R342" s="1091">
        <f t="shared" si="46"/>
        <v>105000</v>
      </c>
      <c r="S342" s="1091">
        <f t="shared" si="47"/>
        <v>2985.7819905213269</v>
      </c>
      <c r="T342" s="1091">
        <f t="shared" si="48"/>
        <v>102014.21800947867</v>
      </c>
    </row>
    <row r="343" spans="1:20">
      <c r="A343" s="1088">
        <v>139</v>
      </c>
      <c r="B343" s="1106" t="s">
        <v>3943</v>
      </c>
      <c r="C343" s="1093" t="s">
        <v>3944</v>
      </c>
      <c r="D343" s="1106" t="s">
        <v>1022</v>
      </c>
      <c r="E343" s="1090"/>
      <c r="F343" s="1090"/>
      <c r="G343" s="1090"/>
      <c r="H343" s="1090"/>
      <c r="I343" s="1088">
        <v>6</v>
      </c>
      <c r="J343" s="1088">
        <v>205</v>
      </c>
      <c r="K343" s="1090"/>
      <c r="L343" s="1106">
        <v>140</v>
      </c>
      <c r="M343" s="1106">
        <v>140</v>
      </c>
      <c r="N343" s="1090"/>
      <c r="O343" s="1090"/>
      <c r="P343" s="1090">
        <f t="shared" si="45"/>
        <v>140</v>
      </c>
      <c r="Q343" s="1090">
        <v>1200</v>
      </c>
      <c r="R343" s="1091">
        <f t="shared" si="46"/>
        <v>168000</v>
      </c>
      <c r="S343" s="1091">
        <f t="shared" si="47"/>
        <v>4777.2511848341228</v>
      </c>
      <c r="T343" s="1091">
        <f t="shared" si="48"/>
        <v>163222.74881516589</v>
      </c>
    </row>
    <row r="344" spans="1:20">
      <c r="A344" s="1088">
        <v>237</v>
      </c>
      <c r="B344" s="1109" t="s">
        <v>1740</v>
      </c>
      <c r="C344" s="1093"/>
      <c r="D344" s="1109" t="s">
        <v>1587</v>
      </c>
      <c r="E344" s="1090"/>
      <c r="F344" s="1090"/>
      <c r="G344" s="1090"/>
      <c r="H344" s="1090"/>
      <c r="I344" s="1088">
        <v>6</v>
      </c>
      <c r="J344" s="1088">
        <v>205</v>
      </c>
      <c r="K344" s="1090"/>
      <c r="L344" s="1112">
        <v>3</v>
      </c>
      <c r="M344" s="1112">
        <v>3</v>
      </c>
      <c r="N344" s="1090"/>
      <c r="O344" s="1090"/>
      <c r="P344" s="1090">
        <f t="shared" si="45"/>
        <v>3</v>
      </c>
      <c r="Q344" s="1090">
        <v>535</v>
      </c>
      <c r="R344" s="1091">
        <f t="shared" si="46"/>
        <v>1605</v>
      </c>
      <c r="S344" s="1091">
        <f t="shared" si="47"/>
        <v>45.639810426540279</v>
      </c>
      <c r="T344" s="1091">
        <f t="shared" si="48"/>
        <v>1559.3601895734598</v>
      </c>
    </row>
    <row r="345" spans="1:20">
      <c r="A345" s="1088">
        <v>146</v>
      </c>
      <c r="B345" s="1106" t="s">
        <v>3945</v>
      </c>
      <c r="C345" s="1093"/>
      <c r="D345" s="1106" t="s">
        <v>1022</v>
      </c>
      <c r="E345" s="1090"/>
      <c r="F345" s="1090"/>
      <c r="G345" s="1090"/>
      <c r="H345" s="1090"/>
      <c r="I345" s="1088">
        <v>6</v>
      </c>
      <c r="J345" s="1088">
        <v>205</v>
      </c>
      <c r="K345" s="1090"/>
      <c r="L345" s="1106">
        <v>20</v>
      </c>
      <c r="M345" s="1106">
        <v>20</v>
      </c>
      <c r="N345" s="1090"/>
      <c r="O345" s="1090"/>
      <c r="P345" s="1090">
        <f t="shared" si="45"/>
        <v>20</v>
      </c>
      <c r="Q345" s="1090">
        <v>428</v>
      </c>
      <c r="R345" s="1091">
        <f t="shared" si="46"/>
        <v>8560</v>
      </c>
      <c r="S345" s="1091">
        <f t="shared" si="47"/>
        <v>243.41232227488152</v>
      </c>
      <c r="T345" s="1091">
        <f t="shared" si="48"/>
        <v>8316.5876777251178</v>
      </c>
    </row>
    <row r="346" spans="1:20">
      <c r="A346" s="1088">
        <v>114</v>
      </c>
      <c r="B346" s="1107" t="s">
        <v>1819</v>
      </c>
      <c r="C346" s="1092"/>
      <c r="D346" s="1107" t="s">
        <v>1268</v>
      </c>
      <c r="E346" s="1090"/>
      <c r="F346" s="1088"/>
      <c r="G346" s="1088"/>
      <c r="H346" s="1088"/>
      <c r="I346" s="1088">
        <v>6</v>
      </c>
      <c r="J346" s="1088">
        <v>205</v>
      </c>
      <c r="K346" s="1088"/>
      <c r="L346" s="1107">
        <v>4</v>
      </c>
      <c r="M346" s="1107">
        <v>4</v>
      </c>
      <c r="N346" s="1088"/>
      <c r="O346" s="1088"/>
      <c r="P346" s="1090">
        <f t="shared" si="45"/>
        <v>4</v>
      </c>
      <c r="Q346" s="1088">
        <v>20000</v>
      </c>
      <c r="R346" s="1091">
        <f t="shared" si="46"/>
        <v>80000</v>
      </c>
      <c r="S346" s="1091">
        <f t="shared" si="47"/>
        <v>2274.8815165876777</v>
      </c>
      <c r="T346" s="1091">
        <f t="shared" si="48"/>
        <v>77725.118483412327</v>
      </c>
    </row>
    <row r="347" spans="1:20">
      <c r="A347" s="1088">
        <v>116</v>
      </c>
      <c r="B347" s="1107" t="s">
        <v>1744</v>
      </c>
      <c r="C347" s="1092" t="s">
        <v>3946</v>
      </c>
      <c r="D347" s="1107" t="s">
        <v>1268</v>
      </c>
      <c r="E347" s="1090">
        <f>F347+G347</f>
        <v>0</v>
      </c>
      <c r="F347" s="1088"/>
      <c r="G347" s="1088"/>
      <c r="H347" s="1088"/>
      <c r="I347" s="1088">
        <v>6</v>
      </c>
      <c r="J347" s="1088">
        <v>205</v>
      </c>
      <c r="K347" s="1088"/>
      <c r="L347" s="1107">
        <v>2700</v>
      </c>
      <c r="M347" s="1107">
        <v>2700</v>
      </c>
      <c r="N347" s="1088"/>
      <c r="O347" s="1088"/>
      <c r="P347" s="1090">
        <f t="shared" si="45"/>
        <v>2700</v>
      </c>
      <c r="Q347" s="1088">
        <v>20</v>
      </c>
      <c r="R347" s="1091">
        <f t="shared" si="46"/>
        <v>54000</v>
      </c>
      <c r="S347" s="1091">
        <f t="shared" si="47"/>
        <v>1535.5450236966824</v>
      </c>
      <c r="T347" s="1091">
        <f t="shared" si="48"/>
        <v>52464.454976303321</v>
      </c>
    </row>
    <row r="348" spans="1:20">
      <c r="A348" s="1088">
        <v>117</v>
      </c>
      <c r="B348" s="1192" t="s">
        <v>1744</v>
      </c>
      <c r="C348" s="1189" t="s">
        <v>3947</v>
      </c>
      <c r="D348" s="1107" t="s">
        <v>1268</v>
      </c>
      <c r="E348" s="1090"/>
      <c r="F348" s="1090"/>
      <c r="G348" s="1090"/>
      <c r="H348" s="1090"/>
      <c r="I348" s="1088">
        <v>6</v>
      </c>
      <c r="J348" s="1088">
        <v>205</v>
      </c>
      <c r="K348" s="1090"/>
      <c r="L348" s="1107">
        <v>2700</v>
      </c>
      <c r="M348" s="1107">
        <v>2700</v>
      </c>
      <c r="N348" s="1090"/>
      <c r="O348" s="1090"/>
      <c r="P348" s="1090">
        <f t="shared" si="45"/>
        <v>2700</v>
      </c>
      <c r="Q348" s="1090">
        <v>20</v>
      </c>
      <c r="R348" s="1091">
        <f t="shared" si="46"/>
        <v>54000</v>
      </c>
      <c r="S348" s="1091">
        <f t="shared" si="47"/>
        <v>1535.5450236966824</v>
      </c>
      <c r="T348" s="1091">
        <f t="shared" si="48"/>
        <v>52464.454976303321</v>
      </c>
    </row>
    <row r="349" spans="1:20" ht="30">
      <c r="A349" s="1088">
        <v>199</v>
      </c>
      <c r="B349" s="1179" t="s">
        <v>1747</v>
      </c>
      <c r="C349" s="1190" t="s">
        <v>1748</v>
      </c>
      <c r="D349" s="1110" t="s">
        <v>1022</v>
      </c>
      <c r="E349" s="1090"/>
      <c r="F349" s="1090"/>
      <c r="G349" s="1090"/>
      <c r="H349" s="1090"/>
      <c r="I349" s="1088">
        <v>6</v>
      </c>
      <c r="J349" s="1088">
        <v>205</v>
      </c>
      <c r="K349" s="1090"/>
      <c r="L349" s="1110">
        <v>60</v>
      </c>
      <c r="M349" s="1110">
        <v>60</v>
      </c>
      <c r="N349" s="1090"/>
      <c r="O349" s="1090"/>
      <c r="P349" s="1090">
        <f t="shared" si="45"/>
        <v>60</v>
      </c>
      <c r="Q349" s="1090">
        <v>349.89000000000004</v>
      </c>
      <c r="R349" s="1091">
        <f t="shared" si="46"/>
        <v>20993.4</v>
      </c>
      <c r="S349" s="1091">
        <f t="shared" si="47"/>
        <v>596.96872037914693</v>
      </c>
      <c r="T349" s="1091">
        <f t="shared" si="48"/>
        <v>20396.431279620854</v>
      </c>
    </row>
    <row r="350" spans="1:20" ht="45">
      <c r="A350" s="1088">
        <v>252</v>
      </c>
      <c r="B350" s="1198" t="s">
        <v>1747</v>
      </c>
      <c r="C350" s="1158" t="s">
        <v>1749</v>
      </c>
      <c r="D350" s="1109" t="s">
        <v>1022</v>
      </c>
      <c r="E350" s="1090"/>
      <c r="F350" s="1090"/>
      <c r="G350" s="1090"/>
      <c r="H350" s="1090"/>
      <c r="I350" s="1088">
        <v>6</v>
      </c>
      <c r="J350" s="1088">
        <v>205</v>
      </c>
      <c r="K350" s="1090"/>
      <c r="L350" s="1112">
        <v>50</v>
      </c>
      <c r="M350" s="1112">
        <v>50</v>
      </c>
      <c r="N350" s="1090"/>
      <c r="O350" s="1090"/>
      <c r="P350" s="1090">
        <f t="shared" si="45"/>
        <v>50</v>
      </c>
      <c r="Q350" s="1090">
        <v>1337.5</v>
      </c>
      <c r="R350" s="1091">
        <f t="shared" si="46"/>
        <v>66875</v>
      </c>
      <c r="S350" s="1091">
        <f t="shared" si="47"/>
        <v>1901.6587677725117</v>
      </c>
      <c r="T350" s="1091">
        <f t="shared" si="48"/>
        <v>64973.341232227489</v>
      </c>
    </row>
    <row r="351" spans="1:20">
      <c r="A351" s="1090"/>
      <c r="B351" s="1176" t="s">
        <v>3948</v>
      </c>
      <c r="C351" s="1158" t="s">
        <v>3949</v>
      </c>
      <c r="D351" s="1164" t="s">
        <v>1022</v>
      </c>
      <c r="E351" s="1090"/>
      <c r="F351" s="1088"/>
      <c r="G351" s="1088"/>
      <c r="H351" s="1088"/>
      <c r="I351" s="1088"/>
      <c r="J351" s="1088"/>
      <c r="K351" s="1088"/>
      <c r="L351" s="1090"/>
      <c r="M351" s="1090"/>
      <c r="N351" s="1088"/>
      <c r="O351" s="1088"/>
      <c r="P351" s="1090"/>
      <c r="Q351" s="1099"/>
      <c r="R351" s="1091"/>
      <c r="S351" s="1091"/>
      <c r="T351" s="1091"/>
    </row>
    <row r="352" spans="1:20" ht="30">
      <c r="A352" s="1088">
        <v>229</v>
      </c>
      <c r="B352" s="1199" t="s">
        <v>3950</v>
      </c>
      <c r="C352" s="1189" t="s">
        <v>3951</v>
      </c>
      <c r="D352" s="1110" t="s">
        <v>1022</v>
      </c>
      <c r="E352" s="1090"/>
      <c r="F352" s="1090"/>
      <c r="G352" s="1090"/>
      <c r="H352" s="1090"/>
      <c r="I352" s="1088">
        <v>6</v>
      </c>
      <c r="J352" s="1088">
        <v>205</v>
      </c>
      <c r="K352" s="1090"/>
      <c r="L352" s="1110">
        <v>3</v>
      </c>
      <c r="M352" s="1110">
        <v>3</v>
      </c>
      <c r="N352" s="1090"/>
      <c r="O352" s="1090"/>
      <c r="P352" s="1090">
        <f>L352-O352</f>
        <v>3</v>
      </c>
      <c r="Q352" s="1090">
        <v>2675</v>
      </c>
      <c r="R352" s="1091">
        <f>P352*Q352</f>
        <v>8025</v>
      </c>
      <c r="S352" s="1091">
        <f>R352*(I352/(I352+J352+K352))</f>
        <v>228.19905213270141</v>
      </c>
      <c r="T352" s="1091">
        <f>R352-S352</f>
        <v>7796.8009478672984</v>
      </c>
    </row>
    <row r="353" spans="1:20">
      <c r="A353" s="1088">
        <v>133</v>
      </c>
      <c r="B353" s="1194" t="s">
        <v>3952</v>
      </c>
      <c r="C353" s="1200" t="s">
        <v>3953</v>
      </c>
      <c r="D353" s="1106" t="s">
        <v>1119</v>
      </c>
      <c r="E353" s="1090"/>
      <c r="F353" s="1090"/>
      <c r="G353" s="1090"/>
      <c r="H353" s="1090"/>
      <c r="I353" s="1088">
        <v>6</v>
      </c>
      <c r="J353" s="1088">
        <v>205</v>
      </c>
      <c r="K353" s="1090"/>
      <c r="L353" s="1106">
        <v>20</v>
      </c>
      <c r="M353" s="1106">
        <v>20</v>
      </c>
      <c r="N353" s="1090"/>
      <c r="O353" s="1090"/>
      <c r="P353" s="1090">
        <f>L353-O353</f>
        <v>20</v>
      </c>
      <c r="Q353" s="1090">
        <v>10000</v>
      </c>
      <c r="R353" s="1091">
        <f>P353*Q353</f>
        <v>200000</v>
      </c>
      <c r="S353" s="1091">
        <f>R353*(I353/(I353+J353+K353))</f>
        <v>5687.2037914691937</v>
      </c>
      <c r="T353" s="1091">
        <f>R353-S353</f>
        <v>194312.79620853081</v>
      </c>
    </row>
    <row r="354" spans="1:20">
      <c r="A354" s="1088">
        <v>87</v>
      </c>
      <c r="B354" s="1107" t="s">
        <v>3344</v>
      </c>
      <c r="C354" s="1092" t="s">
        <v>1369</v>
      </c>
      <c r="D354" s="1107" t="s">
        <v>1268</v>
      </c>
      <c r="E354" s="1090"/>
      <c r="F354" s="1088"/>
      <c r="G354" s="1088"/>
      <c r="H354" s="1088"/>
      <c r="I354" s="1088">
        <v>6</v>
      </c>
      <c r="J354" s="1088">
        <v>205</v>
      </c>
      <c r="K354" s="1088"/>
      <c r="L354" s="1107">
        <v>95</v>
      </c>
      <c r="M354" s="1107">
        <v>95</v>
      </c>
      <c r="N354" s="1088"/>
      <c r="O354" s="1088"/>
      <c r="P354" s="1090">
        <f>L354-O354</f>
        <v>95</v>
      </c>
      <c r="Q354" s="1099">
        <v>3900</v>
      </c>
      <c r="R354" s="1091">
        <f>P354*Q354</f>
        <v>370500</v>
      </c>
      <c r="S354" s="1091">
        <f>R354*(I354/(I354+J354+K354))</f>
        <v>10535.545023696683</v>
      </c>
      <c r="T354" s="1091">
        <f>R354-S354</f>
        <v>359964.45497630333</v>
      </c>
    </row>
    <row r="355" spans="1:20">
      <c r="A355" s="1088">
        <v>88</v>
      </c>
      <c r="B355" s="1192" t="s">
        <v>3344</v>
      </c>
      <c r="C355" s="1092" t="s">
        <v>1370</v>
      </c>
      <c r="D355" s="1107" t="s">
        <v>1268</v>
      </c>
      <c r="E355" s="1090"/>
      <c r="F355" s="1088"/>
      <c r="G355" s="1088"/>
      <c r="H355" s="1088"/>
      <c r="I355" s="1088">
        <v>6</v>
      </c>
      <c r="J355" s="1088">
        <v>205</v>
      </c>
      <c r="K355" s="1088"/>
      <c r="L355" s="1107">
        <v>95</v>
      </c>
      <c r="M355" s="1107">
        <v>95</v>
      </c>
      <c r="N355" s="1088"/>
      <c r="O355" s="1088"/>
      <c r="P355" s="1090">
        <f>L355-O355</f>
        <v>95</v>
      </c>
      <c r="Q355" s="1099">
        <v>3900</v>
      </c>
      <c r="R355" s="1091">
        <f>P355*Q355</f>
        <v>370500</v>
      </c>
      <c r="S355" s="1091">
        <f>R355*(I355/(I355+J355+K355))</f>
        <v>10535.545023696683</v>
      </c>
      <c r="T355" s="1091">
        <f>R355-S355</f>
        <v>359964.45497630333</v>
      </c>
    </row>
    <row r="356" spans="1:20">
      <c r="A356" s="1090"/>
      <c r="B356" s="1187"/>
      <c r="C356" s="1158"/>
      <c r="D356" s="1164"/>
      <c r="E356" s="1090"/>
      <c r="F356" s="1088"/>
      <c r="G356" s="1088"/>
      <c r="H356" s="1088"/>
      <c r="I356" s="1088"/>
      <c r="J356" s="1088"/>
      <c r="K356" s="1088"/>
      <c r="L356" s="1090"/>
      <c r="M356" s="1090"/>
      <c r="N356" s="1088"/>
      <c r="O356" s="1088"/>
      <c r="P356" s="1090"/>
      <c r="Q356" s="1099"/>
      <c r="R356" s="1091"/>
      <c r="S356" s="1091"/>
      <c r="T356" s="1091"/>
    </row>
    <row r="357" spans="1:20">
      <c r="A357" s="1090"/>
      <c r="B357" s="1141" t="s">
        <v>1766</v>
      </c>
      <c r="C357" s="1093"/>
      <c r="D357" s="1116"/>
      <c r="E357" s="1090"/>
      <c r="F357" s="1090"/>
      <c r="G357" s="1090"/>
      <c r="H357" s="1090"/>
      <c r="I357" s="1088"/>
      <c r="J357" s="1088"/>
      <c r="K357" s="1090"/>
      <c r="L357" s="1116"/>
      <c r="M357" s="1116"/>
      <c r="N357" s="1090"/>
      <c r="O357" s="1090"/>
      <c r="P357" s="1090"/>
      <c r="Q357" s="1090"/>
      <c r="R357" s="1144">
        <f>SUM(R358:R382)</f>
        <v>27398936.5</v>
      </c>
      <c r="S357" s="1144">
        <f>SUM(S358:S382)</f>
        <v>779116.67772511858</v>
      </c>
      <c r="T357" s="1144">
        <f t="shared" ref="T357:T382" si="49">R357-S357</f>
        <v>26619819.822274882</v>
      </c>
    </row>
    <row r="358" spans="1:20">
      <c r="A358" s="1090">
        <v>325</v>
      </c>
      <c r="B358" s="1191" t="s">
        <v>3954</v>
      </c>
      <c r="C358" s="1093" t="s">
        <v>3955</v>
      </c>
      <c r="D358" s="1116" t="s">
        <v>1022</v>
      </c>
      <c r="E358" s="1090"/>
      <c r="F358" s="1090"/>
      <c r="G358" s="1090"/>
      <c r="H358" s="1090"/>
      <c r="I358" s="1088">
        <v>6</v>
      </c>
      <c r="J358" s="1088">
        <v>205</v>
      </c>
      <c r="K358" s="1090"/>
      <c r="L358" s="1116">
        <v>24</v>
      </c>
      <c r="M358" s="1116">
        <v>24</v>
      </c>
      <c r="N358" s="1090"/>
      <c r="O358" s="1090"/>
      <c r="P358" s="1090">
        <f t="shared" ref="P358:P382" si="50">L358-O358</f>
        <v>24</v>
      </c>
      <c r="Q358" s="1090">
        <v>5243</v>
      </c>
      <c r="R358" s="1091">
        <f t="shared" ref="R358:R382" si="51">P358*Q358</f>
        <v>125832</v>
      </c>
      <c r="S358" s="1091">
        <f t="shared" ref="S358:S382" si="52">R358*(I358/(I358+J358+K358))</f>
        <v>3578.161137440758</v>
      </c>
      <c r="T358" s="1091">
        <f t="shared" si="49"/>
        <v>122253.83886255925</v>
      </c>
    </row>
    <row r="359" spans="1:20">
      <c r="A359" s="1090">
        <v>321</v>
      </c>
      <c r="B359" s="1098" t="s">
        <v>1865</v>
      </c>
      <c r="C359" s="1093"/>
      <c r="D359" s="1116" t="s">
        <v>1022</v>
      </c>
      <c r="E359" s="1090"/>
      <c r="F359" s="1090"/>
      <c r="G359" s="1090"/>
      <c r="H359" s="1090"/>
      <c r="I359" s="1088">
        <v>6</v>
      </c>
      <c r="J359" s="1088">
        <v>205</v>
      </c>
      <c r="K359" s="1090"/>
      <c r="L359" s="1116">
        <v>125</v>
      </c>
      <c r="M359" s="1116">
        <v>125</v>
      </c>
      <c r="N359" s="1090"/>
      <c r="O359" s="1090"/>
      <c r="P359" s="1090">
        <f t="shared" si="50"/>
        <v>125</v>
      </c>
      <c r="Q359" s="1098">
        <v>2500</v>
      </c>
      <c r="R359" s="1091">
        <f t="shared" si="51"/>
        <v>312500</v>
      </c>
      <c r="S359" s="1091">
        <f t="shared" si="52"/>
        <v>8886.2559241706149</v>
      </c>
      <c r="T359" s="1091">
        <f t="shared" si="49"/>
        <v>303613.7440758294</v>
      </c>
    </row>
    <row r="360" spans="1:20" ht="30">
      <c r="A360" s="1090">
        <v>323</v>
      </c>
      <c r="B360" s="1098" t="s">
        <v>1866</v>
      </c>
      <c r="C360" s="1093"/>
      <c r="D360" s="1116" t="s">
        <v>1022</v>
      </c>
      <c r="E360" s="1090"/>
      <c r="F360" s="1090"/>
      <c r="G360" s="1090"/>
      <c r="H360" s="1090"/>
      <c r="I360" s="1088">
        <v>6</v>
      </c>
      <c r="J360" s="1088">
        <v>205</v>
      </c>
      <c r="K360" s="1090"/>
      <c r="L360" s="1116">
        <v>195</v>
      </c>
      <c r="M360" s="1116">
        <v>195</v>
      </c>
      <c r="N360" s="1090"/>
      <c r="O360" s="1090"/>
      <c r="P360" s="1090">
        <f t="shared" si="50"/>
        <v>195</v>
      </c>
      <c r="Q360" s="1098">
        <v>3500</v>
      </c>
      <c r="R360" s="1091">
        <f t="shared" si="51"/>
        <v>682500</v>
      </c>
      <c r="S360" s="1091">
        <f t="shared" si="52"/>
        <v>19407.582938388623</v>
      </c>
      <c r="T360" s="1091">
        <f t="shared" si="49"/>
        <v>663092.41706161143</v>
      </c>
    </row>
    <row r="361" spans="1:20">
      <c r="A361" s="1090">
        <v>322</v>
      </c>
      <c r="B361" s="1098" t="s">
        <v>3956</v>
      </c>
      <c r="C361" s="1093"/>
      <c r="D361" s="1116" t="s">
        <v>1022</v>
      </c>
      <c r="E361" s="1090"/>
      <c r="F361" s="1090"/>
      <c r="G361" s="1090"/>
      <c r="H361" s="1090"/>
      <c r="I361" s="1088">
        <v>6</v>
      </c>
      <c r="J361" s="1088">
        <v>205</v>
      </c>
      <c r="K361" s="1090"/>
      <c r="L361" s="1116">
        <v>20</v>
      </c>
      <c r="M361" s="1116">
        <v>20</v>
      </c>
      <c r="N361" s="1090"/>
      <c r="O361" s="1090"/>
      <c r="P361" s="1090">
        <f t="shared" si="50"/>
        <v>20</v>
      </c>
      <c r="Q361" s="1098">
        <v>7500</v>
      </c>
      <c r="R361" s="1091">
        <f t="shared" si="51"/>
        <v>150000</v>
      </c>
      <c r="S361" s="1091">
        <f t="shared" si="52"/>
        <v>4265.4028436018953</v>
      </c>
      <c r="T361" s="1091">
        <f t="shared" si="49"/>
        <v>145734.59715639811</v>
      </c>
    </row>
    <row r="362" spans="1:20" ht="30">
      <c r="A362" s="1090">
        <v>326</v>
      </c>
      <c r="B362" s="1118" t="s">
        <v>1769</v>
      </c>
      <c r="C362" s="1093" t="s">
        <v>1770</v>
      </c>
      <c r="D362" s="1116" t="s">
        <v>1022</v>
      </c>
      <c r="E362" s="1090"/>
      <c r="F362" s="1090"/>
      <c r="G362" s="1090"/>
      <c r="H362" s="1090"/>
      <c r="I362" s="1088">
        <v>6</v>
      </c>
      <c r="J362" s="1088">
        <v>205</v>
      </c>
      <c r="K362" s="1090"/>
      <c r="L362" s="1116">
        <v>3</v>
      </c>
      <c r="M362" s="1116">
        <v>3</v>
      </c>
      <c r="N362" s="1090"/>
      <c r="O362" s="1090"/>
      <c r="P362" s="1090">
        <f t="shared" si="50"/>
        <v>3</v>
      </c>
      <c r="Q362" s="1090">
        <v>27820</v>
      </c>
      <c r="R362" s="1091">
        <f t="shared" si="51"/>
        <v>83460</v>
      </c>
      <c r="S362" s="1091">
        <f t="shared" si="52"/>
        <v>2373.2701421800948</v>
      </c>
      <c r="T362" s="1091">
        <f t="shared" si="49"/>
        <v>81086.729857819912</v>
      </c>
    </row>
    <row r="363" spans="1:20" ht="30">
      <c r="A363" s="1090">
        <v>333</v>
      </c>
      <c r="B363" s="1118" t="s">
        <v>1771</v>
      </c>
      <c r="C363" s="1093" t="s">
        <v>1772</v>
      </c>
      <c r="D363" s="1116" t="s">
        <v>1022</v>
      </c>
      <c r="E363" s="1090"/>
      <c r="F363" s="1090"/>
      <c r="G363" s="1090"/>
      <c r="H363" s="1090"/>
      <c r="I363" s="1088">
        <v>6</v>
      </c>
      <c r="J363" s="1088">
        <v>205</v>
      </c>
      <c r="K363" s="1090"/>
      <c r="L363" s="1093">
        <v>1</v>
      </c>
      <c r="M363" s="1093">
        <v>1</v>
      </c>
      <c r="N363" s="1090"/>
      <c r="O363" s="1090"/>
      <c r="P363" s="1090">
        <f t="shared" si="50"/>
        <v>1</v>
      </c>
      <c r="Q363" s="1090">
        <v>23540</v>
      </c>
      <c r="R363" s="1091">
        <f t="shared" si="51"/>
        <v>23540</v>
      </c>
      <c r="S363" s="1091">
        <f t="shared" si="52"/>
        <v>669.38388625592415</v>
      </c>
      <c r="T363" s="1091">
        <f t="shared" si="49"/>
        <v>22870.616113744076</v>
      </c>
    </row>
    <row r="364" spans="1:20" ht="30">
      <c r="A364" s="1090">
        <v>319</v>
      </c>
      <c r="B364" s="1098" t="s">
        <v>1863</v>
      </c>
      <c r="C364" s="1093"/>
      <c r="D364" s="1116" t="s">
        <v>1022</v>
      </c>
      <c r="E364" s="1090"/>
      <c r="F364" s="1090"/>
      <c r="G364" s="1090"/>
      <c r="H364" s="1090"/>
      <c r="I364" s="1088">
        <v>6</v>
      </c>
      <c r="J364" s="1088">
        <v>205</v>
      </c>
      <c r="K364" s="1090"/>
      <c r="L364" s="1116">
        <v>331</v>
      </c>
      <c r="M364" s="1116">
        <v>331</v>
      </c>
      <c r="N364" s="1090"/>
      <c r="O364" s="1090"/>
      <c r="P364" s="1090">
        <f t="shared" si="50"/>
        <v>331</v>
      </c>
      <c r="Q364" s="1098">
        <v>8500</v>
      </c>
      <c r="R364" s="1091">
        <f t="shared" si="51"/>
        <v>2813500</v>
      </c>
      <c r="S364" s="1091">
        <f t="shared" si="52"/>
        <v>80004.739336492887</v>
      </c>
      <c r="T364" s="1091">
        <f t="shared" si="49"/>
        <v>2733495.260663507</v>
      </c>
    </row>
    <row r="365" spans="1:20" ht="30">
      <c r="A365" s="1090">
        <v>318</v>
      </c>
      <c r="B365" s="1098" t="s">
        <v>1862</v>
      </c>
      <c r="C365" s="1093"/>
      <c r="D365" s="1116" t="s">
        <v>1022</v>
      </c>
      <c r="E365" s="1090"/>
      <c r="F365" s="1090"/>
      <c r="G365" s="1090"/>
      <c r="H365" s="1090"/>
      <c r="I365" s="1088">
        <v>6</v>
      </c>
      <c r="J365" s="1088">
        <v>205</v>
      </c>
      <c r="K365" s="1090"/>
      <c r="L365" s="1116">
        <v>93</v>
      </c>
      <c r="M365" s="1116">
        <v>93</v>
      </c>
      <c r="N365" s="1090"/>
      <c r="O365" s="1090"/>
      <c r="P365" s="1090">
        <f t="shared" si="50"/>
        <v>93</v>
      </c>
      <c r="Q365" s="1098">
        <v>60000</v>
      </c>
      <c r="R365" s="1091">
        <f t="shared" si="51"/>
        <v>5580000</v>
      </c>
      <c r="S365" s="1091">
        <f t="shared" si="52"/>
        <v>158672.98578199052</v>
      </c>
      <c r="T365" s="1091">
        <f t="shared" si="49"/>
        <v>5421327.0142180091</v>
      </c>
    </row>
    <row r="366" spans="1:20">
      <c r="A366" s="1090">
        <v>324</v>
      </c>
      <c r="B366" s="1103" t="s">
        <v>1776</v>
      </c>
      <c r="C366" s="1093"/>
      <c r="D366" s="1116" t="s">
        <v>1022</v>
      </c>
      <c r="E366" s="1090"/>
      <c r="F366" s="1090"/>
      <c r="G366" s="1090"/>
      <c r="H366" s="1090"/>
      <c r="I366" s="1088">
        <v>6</v>
      </c>
      <c r="J366" s="1088">
        <v>205</v>
      </c>
      <c r="K366" s="1090"/>
      <c r="L366" s="1116">
        <v>7</v>
      </c>
      <c r="M366" s="1116">
        <v>7</v>
      </c>
      <c r="N366" s="1090"/>
      <c r="O366" s="1090"/>
      <c r="P366" s="1090">
        <f t="shared" si="50"/>
        <v>7</v>
      </c>
      <c r="Q366" s="1098">
        <v>27400</v>
      </c>
      <c r="R366" s="1091">
        <f t="shared" si="51"/>
        <v>191800</v>
      </c>
      <c r="S366" s="1091">
        <f t="shared" si="52"/>
        <v>5454.0284360189571</v>
      </c>
      <c r="T366" s="1091">
        <f t="shared" si="49"/>
        <v>186345.97156398103</v>
      </c>
    </row>
    <row r="367" spans="1:20">
      <c r="A367" s="1090">
        <v>339</v>
      </c>
      <c r="B367" s="1193" t="s">
        <v>1728</v>
      </c>
      <c r="C367" s="1093"/>
      <c r="D367" s="1116" t="s">
        <v>1022</v>
      </c>
      <c r="E367" s="1090"/>
      <c r="F367" s="1090"/>
      <c r="G367" s="1090"/>
      <c r="H367" s="1090"/>
      <c r="I367" s="1088">
        <v>6</v>
      </c>
      <c r="J367" s="1088">
        <v>205</v>
      </c>
      <c r="K367" s="1090"/>
      <c r="L367" s="1120">
        <v>600</v>
      </c>
      <c r="M367" s="1120">
        <v>600</v>
      </c>
      <c r="N367" s="1090"/>
      <c r="O367" s="1090"/>
      <c r="P367" s="1090">
        <f t="shared" si="50"/>
        <v>600</v>
      </c>
      <c r="Q367" s="1090">
        <v>5842.2000000000007</v>
      </c>
      <c r="R367" s="1091">
        <f t="shared" si="51"/>
        <v>3505320.0000000005</v>
      </c>
      <c r="S367" s="1091">
        <f t="shared" si="52"/>
        <v>99677.345971563991</v>
      </c>
      <c r="T367" s="1091">
        <f t="shared" si="49"/>
        <v>3405642.6540284366</v>
      </c>
    </row>
    <row r="368" spans="1:20">
      <c r="A368" s="1090">
        <v>338</v>
      </c>
      <c r="B368" s="1093" t="s">
        <v>1779</v>
      </c>
      <c r="C368" s="1093"/>
      <c r="D368" s="1116" t="s">
        <v>1022</v>
      </c>
      <c r="E368" s="1090"/>
      <c r="F368" s="1090"/>
      <c r="G368" s="1090"/>
      <c r="H368" s="1090"/>
      <c r="I368" s="1088">
        <v>6</v>
      </c>
      <c r="J368" s="1088">
        <v>205</v>
      </c>
      <c r="K368" s="1090"/>
      <c r="L368" s="1120">
        <v>1</v>
      </c>
      <c r="M368" s="1120">
        <v>1</v>
      </c>
      <c r="N368" s="1090"/>
      <c r="O368" s="1090"/>
      <c r="P368" s="1090">
        <f t="shared" si="50"/>
        <v>1</v>
      </c>
      <c r="Q368" s="1090">
        <v>47689.9</v>
      </c>
      <c r="R368" s="1091">
        <f t="shared" si="51"/>
        <v>47689.9</v>
      </c>
      <c r="S368" s="1091">
        <f t="shared" si="52"/>
        <v>1356.1109004739337</v>
      </c>
      <c r="T368" s="1091">
        <f t="shared" si="49"/>
        <v>46333.789099526068</v>
      </c>
    </row>
    <row r="369" spans="1:20">
      <c r="A369" s="1090">
        <v>317</v>
      </c>
      <c r="B369" s="1098" t="s">
        <v>1781</v>
      </c>
      <c r="C369" s="1093"/>
      <c r="D369" s="1116" t="s">
        <v>1022</v>
      </c>
      <c r="E369" s="1090"/>
      <c r="F369" s="1090"/>
      <c r="G369" s="1090"/>
      <c r="H369" s="1090"/>
      <c r="I369" s="1088">
        <v>6</v>
      </c>
      <c r="J369" s="1088">
        <v>205</v>
      </c>
      <c r="K369" s="1090"/>
      <c r="L369" s="1116">
        <v>2850</v>
      </c>
      <c r="M369" s="1116">
        <v>2850</v>
      </c>
      <c r="N369" s="1090"/>
      <c r="O369" s="1090"/>
      <c r="P369" s="1090">
        <f t="shared" si="50"/>
        <v>2850</v>
      </c>
      <c r="Q369" s="1098">
        <v>3500</v>
      </c>
      <c r="R369" s="1091">
        <f t="shared" si="51"/>
        <v>9975000</v>
      </c>
      <c r="S369" s="1091">
        <f t="shared" si="52"/>
        <v>283649.28909952607</v>
      </c>
      <c r="T369" s="1091">
        <f t="shared" si="49"/>
        <v>9691350.7109004743</v>
      </c>
    </row>
    <row r="370" spans="1:20" ht="30">
      <c r="A370" s="1090">
        <v>316</v>
      </c>
      <c r="B370" s="1102" t="s">
        <v>3957</v>
      </c>
      <c r="C370" s="1093" t="s">
        <v>3247</v>
      </c>
      <c r="D370" s="1116" t="s">
        <v>1022</v>
      </c>
      <c r="E370" s="1090"/>
      <c r="F370" s="1090"/>
      <c r="G370" s="1090"/>
      <c r="H370" s="1090"/>
      <c r="I370" s="1088">
        <v>6</v>
      </c>
      <c r="J370" s="1088">
        <v>205</v>
      </c>
      <c r="K370" s="1090"/>
      <c r="L370" s="1116">
        <v>200</v>
      </c>
      <c r="M370" s="1116">
        <v>200</v>
      </c>
      <c r="N370" s="1090"/>
      <c r="O370" s="1090"/>
      <c r="P370" s="1090">
        <f t="shared" si="50"/>
        <v>200</v>
      </c>
      <c r="Q370" s="1101">
        <v>5823</v>
      </c>
      <c r="R370" s="1142">
        <f t="shared" si="51"/>
        <v>1164600</v>
      </c>
      <c r="S370" s="1091">
        <f t="shared" si="52"/>
        <v>33116.587677725118</v>
      </c>
      <c r="T370" s="1091">
        <f t="shared" si="49"/>
        <v>1131483.4123222749</v>
      </c>
    </row>
    <row r="371" spans="1:20" ht="30">
      <c r="A371" s="1090">
        <v>331</v>
      </c>
      <c r="B371" s="1118" t="s">
        <v>1785</v>
      </c>
      <c r="C371" s="1093" t="s">
        <v>1786</v>
      </c>
      <c r="D371" s="1116" t="s">
        <v>1022</v>
      </c>
      <c r="E371" s="1090"/>
      <c r="F371" s="1090"/>
      <c r="G371" s="1090"/>
      <c r="H371" s="1090"/>
      <c r="I371" s="1088">
        <v>6</v>
      </c>
      <c r="J371" s="1088">
        <v>205</v>
      </c>
      <c r="K371" s="1090"/>
      <c r="L371" s="1093">
        <v>48</v>
      </c>
      <c r="M371" s="1093">
        <v>48</v>
      </c>
      <c r="N371" s="1090"/>
      <c r="O371" s="1090"/>
      <c r="P371" s="1090">
        <f t="shared" si="50"/>
        <v>48</v>
      </c>
      <c r="Q371" s="1090">
        <v>267.5</v>
      </c>
      <c r="R371" s="1091">
        <f t="shared" si="51"/>
        <v>12840</v>
      </c>
      <c r="S371" s="1091">
        <f t="shared" si="52"/>
        <v>365.11848341232223</v>
      </c>
      <c r="T371" s="1091">
        <f t="shared" si="49"/>
        <v>12474.881516587679</v>
      </c>
    </row>
    <row r="372" spans="1:20" ht="30">
      <c r="A372" s="1090">
        <v>332</v>
      </c>
      <c r="B372" s="1118" t="s">
        <v>1787</v>
      </c>
      <c r="C372" s="1093" t="s">
        <v>1788</v>
      </c>
      <c r="D372" s="1116" t="s">
        <v>1022</v>
      </c>
      <c r="E372" s="1090"/>
      <c r="F372" s="1090"/>
      <c r="G372" s="1090"/>
      <c r="H372" s="1090"/>
      <c r="I372" s="1088">
        <v>6</v>
      </c>
      <c r="J372" s="1088">
        <v>205</v>
      </c>
      <c r="K372" s="1090"/>
      <c r="L372" s="1093">
        <v>1</v>
      </c>
      <c r="M372" s="1093">
        <v>1</v>
      </c>
      <c r="N372" s="1090"/>
      <c r="O372" s="1090"/>
      <c r="P372" s="1090">
        <f t="shared" si="50"/>
        <v>1</v>
      </c>
      <c r="Q372" s="1090">
        <v>19260</v>
      </c>
      <c r="R372" s="1091">
        <f t="shared" si="51"/>
        <v>19260</v>
      </c>
      <c r="S372" s="1091">
        <f t="shared" si="52"/>
        <v>547.67772511848341</v>
      </c>
      <c r="T372" s="1091">
        <f t="shared" si="49"/>
        <v>18712.322274881517</v>
      </c>
    </row>
    <row r="373" spans="1:20">
      <c r="A373" s="1090">
        <v>320</v>
      </c>
      <c r="B373" s="1101" t="s">
        <v>3958</v>
      </c>
      <c r="C373" s="1093" t="s">
        <v>3959</v>
      </c>
      <c r="D373" s="1116" t="s">
        <v>1022</v>
      </c>
      <c r="E373" s="1090"/>
      <c r="F373" s="1090"/>
      <c r="G373" s="1090"/>
      <c r="H373" s="1090"/>
      <c r="I373" s="1088">
        <v>6</v>
      </c>
      <c r="J373" s="1088">
        <v>205</v>
      </c>
      <c r="K373" s="1090"/>
      <c r="L373" s="1116">
        <v>8</v>
      </c>
      <c r="M373" s="1116">
        <v>8</v>
      </c>
      <c r="N373" s="1090"/>
      <c r="O373" s="1090"/>
      <c r="P373" s="1090">
        <f t="shared" si="50"/>
        <v>8</v>
      </c>
      <c r="Q373" s="1098">
        <v>20000</v>
      </c>
      <c r="R373" s="1091">
        <f t="shared" si="51"/>
        <v>160000</v>
      </c>
      <c r="S373" s="1091">
        <f t="shared" si="52"/>
        <v>4549.7630331753553</v>
      </c>
      <c r="T373" s="1091">
        <f t="shared" si="49"/>
        <v>155450.23696682465</v>
      </c>
    </row>
    <row r="374" spans="1:20">
      <c r="A374" s="1090">
        <v>337</v>
      </c>
      <c r="B374" s="1093" t="s">
        <v>1791</v>
      </c>
      <c r="C374" s="1093" t="s">
        <v>3960</v>
      </c>
      <c r="D374" s="1116" t="s">
        <v>1022</v>
      </c>
      <c r="E374" s="1090"/>
      <c r="F374" s="1090"/>
      <c r="G374" s="1090"/>
      <c r="H374" s="1090"/>
      <c r="I374" s="1088">
        <v>6</v>
      </c>
      <c r="J374" s="1088">
        <v>205</v>
      </c>
      <c r="K374" s="1090"/>
      <c r="L374" s="1120">
        <v>1</v>
      </c>
      <c r="M374" s="1120">
        <v>1</v>
      </c>
      <c r="N374" s="1090"/>
      <c r="O374" s="1090"/>
      <c r="P374" s="1090">
        <f t="shared" si="50"/>
        <v>1</v>
      </c>
      <c r="Q374" s="1090">
        <v>167112.6</v>
      </c>
      <c r="R374" s="1091">
        <f t="shared" si="51"/>
        <v>167112.6</v>
      </c>
      <c r="S374" s="1091">
        <f t="shared" si="52"/>
        <v>4752.0170616113746</v>
      </c>
      <c r="T374" s="1091">
        <f t="shared" si="49"/>
        <v>162360.58293838863</v>
      </c>
    </row>
    <row r="375" spans="1:20">
      <c r="A375" s="1090">
        <v>336</v>
      </c>
      <c r="B375" s="1119" t="s">
        <v>1879</v>
      </c>
      <c r="C375" s="1093"/>
      <c r="D375" s="1116" t="s">
        <v>1022</v>
      </c>
      <c r="E375" s="1090"/>
      <c r="F375" s="1090"/>
      <c r="G375" s="1090"/>
      <c r="H375" s="1090"/>
      <c r="I375" s="1088">
        <v>6</v>
      </c>
      <c r="J375" s="1088">
        <v>205</v>
      </c>
      <c r="K375" s="1090"/>
      <c r="L375" s="1090">
        <v>36</v>
      </c>
      <c r="M375" s="1090">
        <v>36</v>
      </c>
      <c r="N375" s="1090"/>
      <c r="O375" s="1090"/>
      <c r="P375" s="1090">
        <f t="shared" si="50"/>
        <v>36</v>
      </c>
      <c r="Q375" s="1090">
        <v>23400</v>
      </c>
      <c r="R375" s="1091">
        <f t="shared" si="51"/>
        <v>842400</v>
      </c>
      <c r="S375" s="1091">
        <f t="shared" si="52"/>
        <v>23954.502369668244</v>
      </c>
      <c r="T375" s="1091">
        <f t="shared" si="49"/>
        <v>818445.49763033178</v>
      </c>
    </row>
    <row r="376" spans="1:20">
      <c r="A376" s="1090">
        <v>335</v>
      </c>
      <c r="B376" s="1118" t="s">
        <v>3961</v>
      </c>
      <c r="C376" s="1093" t="s">
        <v>3962</v>
      </c>
      <c r="D376" s="1116" t="s">
        <v>1022</v>
      </c>
      <c r="E376" s="1090"/>
      <c r="F376" s="1090"/>
      <c r="G376" s="1090"/>
      <c r="H376" s="1090"/>
      <c r="I376" s="1088">
        <v>6</v>
      </c>
      <c r="J376" s="1088">
        <v>205</v>
      </c>
      <c r="K376" s="1090"/>
      <c r="L376" s="1090">
        <v>120</v>
      </c>
      <c r="M376" s="1090">
        <v>120</v>
      </c>
      <c r="N376" s="1090"/>
      <c r="O376" s="1090"/>
      <c r="P376" s="1090">
        <f t="shared" si="50"/>
        <v>120</v>
      </c>
      <c r="Q376" s="1090">
        <v>3210</v>
      </c>
      <c r="R376" s="1091">
        <f t="shared" si="51"/>
        <v>385200</v>
      </c>
      <c r="S376" s="1091">
        <f t="shared" si="52"/>
        <v>10953.554502369669</v>
      </c>
      <c r="T376" s="1091">
        <f t="shared" si="49"/>
        <v>374246.44549763034</v>
      </c>
    </row>
    <row r="377" spans="1:20">
      <c r="A377" s="1090">
        <v>334</v>
      </c>
      <c r="B377" s="1118" t="s">
        <v>3963</v>
      </c>
      <c r="C377" s="1093" t="s">
        <v>3964</v>
      </c>
      <c r="D377" s="1116" t="s">
        <v>1022</v>
      </c>
      <c r="E377" s="1090"/>
      <c r="F377" s="1090"/>
      <c r="G377" s="1090"/>
      <c r="H377" s="1090"/>
      <c r="I377" s="1088">
        <v>6</v>
      </c>
      <c r="J377" s="1088">
        <v>205</v>
      </c>
      <c r="K377" s="1090"/>
      <c r="L377" s="1090">
        <v>120</v>
      </c>
      <c r="M377" s="1090">
        <v>120</v>
      </c>
      <c r="N377" s="1090"/>
      <c r="O377" s="1090"/>
      <c r="P377" s="1090">
        <f t="shared" si="50"/>
        <v>120</v>
      </c>
      <c r="Q377" s="1090">
        <v>3210</v>
      </c>
      <c r="R377" s="1091">
        <f t="shared" si="51"/>
        <v>385200</v>
      </c>
      <c r="S377" s="1091">
        <f t="shared" si="52"/>
        <v>10953.554502369669</v>
      </c>
      <c r="T377" s="1091">
        <f t="shared" si="49"/>
        <v>374246.44549763034</v>
      </c>
    </row>
    <row r="378" spans="1:20">
      <c r="A378" s="1090">
        <v>328</v>
      </c>
      <c r="B378" s="1118" t="s">
        <v>1797</v>
      </c>
      <c r="C378" s="1093" t="s">
        <v>1798</v>
      </c>
      <c r="D378" s="1116" t="s">
        <v>1022</v>
      </c>
      <c r="E378" s="1090"/>
      <c r="F378" s="1090"/>
      <c r="G378" s="1090"/>
      <c r="H378" s="1090"/>
      <c r="I378" s="1088">
        <v>6</v>
      </c>
      <c r="J378" s="1088">
        <v>205</v>
      </c>
      <c r="K378" s="1090"/>
      <c r="L378" s="1093">
        <v>12</v>
      </c>
      <c r="M378" s="1093">
        <v>12</v>
      </c>
      <c r="N378" s="1090"/>
      <c r="O378" s="1090"/>
      <c r="P378" s="1090">
        <f t="shared" si="50"/>
        <v>12</v>
      </c>
      <c r="Q378" s="1090">
        <v>2461</v>
      </c>
      <c r="R378" s="1091">
        <f t="shared" si="51"/>
        <v>29532</v>
      </c>
      <c r="S378" s="1091">
        <f t="shared" si="52"/>
        <v>839.7725118483412</v>
      </c>
      <c r="T378" s="1091">
        <f t="shared" si="49"/>
        <v>28692.227488151661</v>
      </c>
    </row>
    <row r="379" spans="1:20">
      <c r="A379" s="1090">
        <v>329</v>
      </c>
      <c r="B379" s="1118" t="s">
        <v>1797</v>
      </c>
      <c r="C379" s="1093" t="s">
        <v>1799</v>
      </c>
      <c r="D379" s="1116" t="s">
        <v>1022</v>
      </c>
      <c r="E379" s="1090"/>
      <c r="F379" s="1090"/>
      <c r="G379" s="1090"/>
      <c r="H379" s="1090"/>
      <c r="I379" s="1088">
        <v>6</v>
      </c>
      <c r="J379" s="1088">
        <v>205</v>
      </c>
      <c r="K379" s="1090"/>
      <c r="L379" s="1093">
        <v>12</v>
      </c>
      <c r="M379" s="1093">
        <v>12</v>
      </c>
      <c r="N379" s="1090"/>
      <c r="O379" s="1090"/>
      <c r="P379" s="1090">
        <f t="shared" si="50"/>
        <v>12</v>
      </c>
      <c r="Q379" s="1090">
        <v>2675</v>
      </c>
      <c r="R379" s="1091">
        <f t="shared" si="51"/>
        <v>32100</v>
      </c>
      <c r="S379" s="1091">
        <f t="shared" si="52"/>
        <v>912.79620853080564</v>
      </c>
      <c r="T379" s="1091">
        <f t="shared" si="49"/>
        <v>31187.203791469194</v>
      </c>
    </row>
    <row r="380" spans="1:20">
      <c r="A380" s="1090">
        <v>330</v>
      </c>
      <c r="B380" s="1118" t="s">
        <v>1800</v>
      </c>
      <c r="C380" s="1093" t="s">
        <v>1801</v>
      </c>
      <c r="D380" s="1116" t="s">
        <v>1022</v>
      </c>
      <c r="E380" s="1090"/>
      <c r="F380" s="1090"/>
      <c r="G380" s="1090"/>
      <c r="H380" s="1090"/>
      <c r="I380" s="1088">
        <v>6</v>
      </c>
      <c r="J380" s="1088">
        <v>205</v>
      </c>
      <c r="K380" s="1090"/>
      <c r="L380" s="1093">
        <v>14</v>
      </c>
      <c r="M380" s="1093">
        <v>14</v>
      </c>
      <c r="N380" s="1090"/>
      <c r="O380" s="1090"/>
      <c r="P380" s="1090">
        <f t="shared" si="50"/>
        <v>14</v>
      </c>
      <c r="Q380" s="1090">
        <v>2675</v>
      </c>
      <c r="R380" s="1091">
        <f t="shared" si="51"/>
        <v>37450</v>
      </c>
      <c r="S380" s="1091">
        <f t="shared" si="52"/>
        <v>1064.9289099526065</v>
      </c>
      <c r="T380" s="1091">
        <f t="shared" si="49"/>
        <v>36385.071090047393</v>
      </c>
    </row>
    <row r="381" spans="1:20">
      <c r="A381" s="1090">
        <v>340</v>
      </c>
      <c r="B381" s="1201" t="s">
        <v>3965</v>
      </c>
      <c r="C381" s="1094"/>
      <c r="D381" s="1090" t="s">
        <v>1022</v>
      </c>
      <c r="E381" s="1095"/>
      <c r="F381" s="1095"/>
      <c r="G381" s="1095"/>
      <c r="H381" s="1095"/>
      <c r="I381" s="1096">
        <v>6</v>
      </c>
      <c r="J381" s="1096">
        <v>205</v>
      </c>
      <c r="K381" s="1095"/>
      <c r="L381" s="1095">
        <v>4</v>
      </c>
      <c r="M381" s="1095">
        <v>4</v>
      </c>
      <c r="N381" s="1095"/>
      <c r="O381" s="1095"/>
      <c r="P381" s="1095">
        <f t="shared" si="50"/>
        <v>4</v>
      </c>
      <c r="Q381" s="1095">
        <v>160000</v>
      </c>
      <c r="R381" s="1095">
        <f t="shared" si="51"/>
        <v>640000</v>
      </c>
      <c r="S381" s="1097">
        <f t="shared" si="52"/>
        <v>18199.052132701421</v>
      </c>
      <c r="T381" s="1091">
        <f t="shared" si="49"/>
        <v>621800.94786729862</v>
      </c>
    </row>
    <row r="382" spans="1:20">
      <c r="A382" s="1090">
        <v>327</v>
      </c>
      <c r="B382" s="1118" t="s">
        <v>1804</v>
      </c>
      <c r="C382" s="1093" t="s">
        <v>1805</v>
      </c>
      <c r="D382" s="1116" t="s">
        <v>1022</v>
      </c>
      <c r="E382" s="1090"/>
      <c r="F382" s="1090"/>
      <c r="G382" s="1090"/>
      <c r="H382" s="1090"/>
      <c r="I382" s="1088">
        <v>6</v>
      </c>
      <c r="J382" s="1088">
        <v>205</v>
      </c>
      <c r="K382" s="1090"/>
      <c r="L382" s="1090">
        <v>3000</v>
      </c>
      <c r="M382" s="1090">
        <v>3000</v>
      </c>
      <c r="N382" s="1090"/>
      <c r="O382" s="1090"/>
      <c r="P382" s="1090">
        <f t="shared" si="50"/>
        <v>3000</v>
      </c>
      <c r="Q382" s="1090">
        <v>10.700000000000001</v>
      </c>
      <c r="R382" s="1091">
        <f t="shared" si="51"/>
        <v>32100.000000000004</v>
      </c>
      <c r="S382" s="1091">
        <f t="shared" si="52"/>
        <v>912.79620853080576</v>
      </c>
      <c r="T382" s="1091">
        <f t="shared" si="49"/>
        <v>31187.203791469197</v>
      </c>
    </row>
    <row r="384" spans="1:20" ht="15.75">
      <c r="B384" s="300" t="s">
        <v>329</v>
      </c>
      <c r="C384" s="514"/>
      <c r="D384" s="514"/>
      <c r="E384" s="1075"/>
      <c r="F384" s="419"/>
      <c r="G384" s="1075" t="s">
        <v>448</v>
      </c>
    </row>
    <row r="385" spans="2:7" ht="15.75">
      <c r="B385" s="300"/>
      <c r="C385" s="514"/>
      <c r="D385" s="514"/>
      <c r="E385" s="1075"/>
      <c r="F385" s="419"/>
      <c r="G385" s="1075"/>
    </row>
    <row r="386" spans="2:7" ht="15.75">
      <c r="B386" s="426" t="s">
        <v>330</v>
      </c>
      <c r="C386" s="514"/>
      <c r="D386" s="514"/>
      <c r="E386" s="1075"/>
      <c r="F386" s="419"/>
      <c r="G386" s="1075" t="s">
        <v>369</v>
      </c>
    </row>
    <row r="387" spans="2:7" ht="15.75">
      <c r="B387" s="426"/>
      <c r="C387" s="514"/>
      <c r="D387" s="514"/>
      <c r="E387" s="1075"/>
      <c r="F387" s="419"/>
      <c r="G387" s="1075"/>
    </row>
    <row r="388" spans="2:7" ht="15.75">
      <c r="B388" s="1073" t="s">
        <v>547</v>
      </c>
      <c r="C388" s="1076"/>
      <c r="D388" s="475"/>
      <c r="E388" s="1077"/>
      <c r="F388" s="419"/>
      <c r="G388" s="1074" t="s">
        <v>374</v>
      </c>
    </row>
    <row r="389" spans="2:7" ht="15.75">
      <c r="B389" s="1073" t="s">
        <v>548</v>
      </c>
      <c r="C389" s="1076"/>
      <c r="D389" s="475"/>
      <c r="E389" s="1077"/>
      <c r="F389" s="419"/>
      <c r="G389" s="1074"/>
    </row>
    <row r="390" spans="2:7" ht="15.75">
      <c r="B390" s="1073"/>
      <c r="C390" s="1076"/>
      <c r="D390" s="475"/>
      <c r="E390" s="1077"/>
      <c r="F390" s="580"/>
      <c r="G390" s="1078"/>
    </row>
    <row r="391" spans="2:7" ht="15.75">
      <c r="B391" s="1073" t="s">
        <v>375</v>
      </c>
      <c r="C391" s="1078"/>
      <c r="D391" s="1078"/>
      <c r="E391" s="1078"/>
      <c r="F391" s="580"/>
      <c r="G391" s="1074" t="s">
        <v>376</v>
      </c>
    </row>
    <row r="405" spans="2:8" hidden="1">
      <c r="C405" s="1057" t="s">
        <v>1859</v>
      </c>
      <c r="D405" s="406" t="s">
        <v>1860</v>
      </c>
      <c r="E405" s="406" t="s">
        <v>469</v>
      </c>
      <c r="F405" s="406" t="s">
        <v>1861</v>
      </c>
      <c r="G405" s="406" t="s">
        <v>1196</v>
      </c>
    </row>
    <row r="406" spans="2:8" hidden="1">
      <c r="B406" s="1054" t="s">
        <v>1781</v>
      </c>
      <c r="C406" s="1064">
        <v>330</v>
      </c>
      <c r="D406" s="1067">
        <v>1050</v>
      </c>
      <c r="E406" s="1067">
        <v>1050</v>
      </c>
      <c r="G406" s="1037">
        <v>420</v>
      </c>
      <c r="H406" s="1071">
        <f>C406+D406+E406+F406+G406</f>
        <v>2850</v>
      </c>
    </row>
    <row r="407" spans="2:8" hidden="1">
      <c r="B407" s="1061" t="s">
        <v>1862</v>
      </c>
      <c r="C407" s="1065">
        <v>5</v>
      </c>
      <c r="D407" s="1038">
        <v>24</v>
      </c>
      <c r="E407" s="1038">
        <v>31</v>
      </c>
      <c r="G407" s="1037">
        <v>33</v>
      </c>
      <c r="H407" s="1071">
        <f t="shared" ref="H407:H412" si="53">C407+D407+E407+F407+G407</f>
        <v>93</v>
      </c>
    </row>
    <row r="408" spans="2:8" hidden="1">
      <c r="B408" s="1054" t="s">
        <v>1863</v>
      </c>
      <c r="C408" s="1066">
        <v>45</v>
      </c>
      <c r="D408" s="1068">
        <v>65</v>
      </c>
      <c r="E408" s="1037">
        <v>65</v>
      </c>
      <c r="F408" s="1070">
        <v>65</v>
      </c>
      <c r="G408" s="1037">
        <v>91</v>
      </c>
      <c r="H408" s="1071">
        <f t="shared" si="53"/>
        <v>331</v>
      </c>
    </row>
    <row r="409" spans="2:8" hidden="1">
      <c r="B409" s="1055" t="s">
        <v>1864</v>
      </c>
      <c r="C409" s="1065">
        <v>2</v>
      </c>
      <c r="D409" s="1038">
        <v>2</v>
      </c>
      <c r="E409" s="1038">
        <v>2</v>
      </c>
      <c r="G409" s="1037">
        <v>2</v>
      </c>
      <c r="H409" s="1071">
        <f t="shared" si="53"/>
        <v>8</v>
      </c>
    </row>
    <row r="410" spans="2:8" hidden="1">
      <c r="B410" s="1054" t="s">
        <v>1865</v>
      </c>
      <c r="C410" s="1065">
        <v>45</v>
      </c>
      <c r="D410" s="1037">
        <v>10</v>
      </c>
      <c r="E410" s="1038"/>
      <c r="G410" s="1037">
        <v>70</v>
      </c>
      <c r="H410" s="1071">
        <f t="shared" si="53"/>
        <v>125</v>
      </c>
    </row>
    <row r="411" spans="2:8" hidden="1">
      <c r="B411" s="1054" t="s">
        <v>1866</v>
      </c>
      <c r="C411" s="1066">
        <v>45</v>
      </c>
      <c r="D411" s="1038">
        <v>50</v>
      </c>
      <c r="E411" s="1037">
        <v>10</v>
      </c>
      <c r="F411" s="406">
        <v>10</v>
      </c>
      <c r="G411" s="1037">
        <v>80</v>
      </c>
      <c r="H411" s="1071">
        <f t="shared" si="53"/>
        <v>195</v>
      </c>
    </row>
    <row r="412" spans="2:8" hidden="1">
      <c r="B412" s="1056" t="s">
        <v>1776</v>
      </c>
      <c r="C412" s="1064">
        <v>1</v>
      </c>
      <c r="D412" s="1069">
        <v>2</v>
      </c>
      <c r="E412" s="1038">
        <v>2</v>
      </c>
      <c r="G412" s="1069">
        <v>2</v>
      </c>
      <c r="H412" s="1071">
        <f t="shared" si="53"/>
        <v>7</v>
      </c>
    </row>
    <row r="413" spans="2:8" hidden="1">
      <c r="B413" s="406" t="s">
        <v>1867</v>
      </c>
      <c r="E413" s="406">
        <v>10</v>
      </c>
      <c r="F413" s="406">
        <v>10</v>
      </c>
    </row>
    <row r="414" spans="2:8" ht="25.5" hidden="1">
      <c r="B414" s="1062" t="s">
        <v>1868</v>
      </c>
      <c r="C414" s="1072" t="s">
        <v>1022</v>
      </c>
      <c r="D414" s="1038">
        <v>14</v>
      </c>
      <c r="E414" s="406">
        <v>10</v>
      </c>
      <c r="F414" s="406">
        <f>D414+E414</f>
        <v>24</v>
      </c>
    </row>
    <row r="415" spans="2:8" ht="25.5" hidden="1">
      <c r="B415" s="1062" t="s">
        <v>1869</v>
      </c>
      <c r="C415" s="1072" t="s">
        <v>1022</v>
      </c>
      <c r="D415" s="1038">
        <v>3</v>
      </c>
      <c r="F415" s="406">
        <f t="shared" ref="F415:F425" si="54">D415+E415</f>
        <v>3</v>
      </c>
    </row>
    <row r="416" spans="2:8" hidden="1">
      <c r="B416" s="1062" t="s">
        <v>1870</v>
      </c>
      <c r="C416" s="1072" t="s">
        <v>1022</v>
      </c>
      <c r="D416" s="1038">
        <v>3000</v>
      </c>
      <c r="F416" s="406">
        <f t="shared" si="54"/>
        <v>3000</v>
      </c>
    </row>
    <row r="417" spans="2:6" ht="25.5" hidden="1">
      <c r="B417" s="1062" t="s">
        <v>1871</v>
      </c>
      <c r="C417" s="1072" t="s">
        <v>1022</v>
      </c>
      <c r="D417" s="1038">
        <v>12</v>
      </c>
      <c r="F417" s="406">
        <f t="shared" si="54"/>
        <v>12</v>
      </c>
    </row>
    <row r="418" spans="2:6" ht="25.5" hidden="1">
      <c r="B418" s="1062" t="s">
        <v>1872</v>
      </c>
      <c r="C418" s="1072" t="s">
        <v>1022</v>
      </c>
      <c r="D418" s="1038">
        <v>12</v>
      </c>
      <c r="F418" s="406">
        <f t="shared" si="54"/>
        <v>12</v>
      </c>
    </row>
    <row r="419" spans="2:6" ht="25.5" hidden="1">
      <c r="B419" s="1062" t="s">
        <v>1873</v>
      </c>
      <c r="C419" s="1072" t="s">
        <v>1022</v>
      </c>
      <c r="D419" s="1038">
        <v>14</v>
      </c>
      <c r="F419" s="406">
        <f t="shared" si="54"/>
        <v>14</v>
      </c>
    </row>
    <row r="420" spans="2:6" ht="25.5" hidden="1">
      <c r="B420" s="1062" t="s">
        <v>1874</v>
      </c>
      <c r="C420" s="1072" t="s">
        <v>1022</v>
      </c>
      <c r="D420" s="1038">
        <v>48</v>
      </c>
      <c r="F420" s="406">
        <f t="shared" si="54"/>
        <v>48</v>
      </c>
    </row>
    <row r="421" spans="2:6" ht="25.5" hidden="1">
      <c r="B421" s="1062" t="s">
        <v>1875</v>
      </c>
      <c r="C421" s="1072" t="s">
        <v>1022</v>
      </c>
      <c r="D421" s="1038">
        <v>1</v>
      </c>
      <c r="F421" s="406">
        <f t="shared" si="54"/>
        <v>1</v>
      </c>
    </row>
    <row r="422" spans="2:6" ht="25.5" hidden="1">
      <c r="B422" s="1062" t="s">
        <v>1876</v>
      </c>
      <c r="C422" s="1072" t="s">
        <v>1022</v>
      </c>
      <c r="D422" s="1038">
        <v>1</v>
      </c>
      <c r="F422" s="406">
        <f t="shared" si="54"/>
        <v>1</v>
      </c>
    </row>
    <row r="423" spans="2:6" ht="25.5" hidden="1">
      <c r="B423" s="1062" t="s">
        <v>1877</v>
      </c>
      <c r="C423" s="1072" t="s">
        <v>1022</v>
      </c>
      <c r="D423" s="1038">
        <v>60</v>
      </c>
      <c r="E423" s="406">
        <v>60</v>
      </c>
      <c r="F423" s="406">
        <f t="shared" si="54"/>
        <v>120</v>
      </c>
    </row>
    <row r="424" spans="2:6" ht="25.5" hidden="1">
      <c r="B424" s="1062" t="s">
        <v>1878</v>
      </c>
      <c r="C424" s="1072" t="s">
        <v>1022</v>
      </c>
      <c r="D424" s="1038">
        <v>60</v>
      </c>
      <c r="E424" s="406">
        <v>60</v>
      </c>
      <c r="F424" s="406">
        <f t="shared" si="54"/>
        <v>120</v>
      </c>
    </row>
    <row r="425" spans="2:6" hidden="1">
      <c r="B425" s="1063" t="s">
        <v>1879</v>
      </c>
      <c r="C425" s="1072" t="s">
        <v>1268</v>
      </c>
      <c r="D425" s="1037">
        <v>36</v>
      </c>
      <c r="F425" s="406">
        <f t="shared" si="54"/>
        <v>36</v>
      </c>
    </row>
    <row r="426" spans="2:6" hidden="1">
      <c r="B426" s="1063"/>
      <c r="C426" s="1072"/>
      <c r="D426" s="1037"/>
    </row>
  </sheetData>
  <sheetProtection formatColumns="0" insertRows="0" deleteRows="0"/>
  <autoFilter ref="A10:X10" xr:uid="{00000000-0009-0000-0000-000061000000}">
    <sortState xmlns:xlrd2="http://schemas.microsoft.com/office/spreadsheetml/2017/richdata2" ref="A11:X43">
      <sortCondition ref="B10"/>
    </sortState>
  </autoFilter>
  <mergeCells count="12">
    <mergeCell ref="A7:A8"/>
    <mergeCell ref="B7:B8"/>
    <mergeCell ref="C7:C8"/>
    <mergeCell ref="D7:D8"/>
    <mergeCell ref="E7:E8"/>
    <mergeCell ref="R7:R8"/>
    <mergeCell ref="S7:T7"/>
    <mergeCell ref="F7:G7"/>
    <mergeCell ref="H7:H8"/>
    <mergeCell ref="I7:K7"/>
    <mergeCell ref="L7:P7"/>
    <mergeCell ref="Q7:Q8"/>
  </mergeCells>
  <pageMargins left="0" right="0" top="0" bottom="0" header="0" footer="0"/>
  <pageSetup paperSize="9" scale="50" fitToHeight="0" orientation="landscape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tabColor rgb="FFFFFF00"/>
    <pageSetUpPr fitToPage="1"/>
  </sheetPr>
  <dimension ref="A1:AM41"/>
  <sheetViews>
    <sheetView zoomScale="90" zoomScaleNormal="90" workbookViewId="0">
      <selection activeCell="B31" sqref="B31"/>
    </sheetView>
  </sheetViews>
  <sheetFormatPr defaultColWidth="9.140625" defaultRowHeight="12.75"/>
  <cols>
    <col min="1" max="1" width="5.5703125" style="1578" customWidth="1"/>
    <col min="2" max="2" width="23.5703125" style="1578" customWidth="1"/>
    <col min="3" max="3" width="38.85546875" style="364" customWidth="1"/>
    <col min="4" max="4" width="8.28515625" style="1578" customWidth="1"/>
    <col min="5" max="5" width="8.85546875" style="1578" customWidth="1"/>
    <col min="6" max="6" width="6.140625" style="1578" customWidth="1"/>
    <col min="7" max="7" width="7.5703125" style="1578" customWidth="1"/>
    <col min="8" max="8" width="10.85546875" style="1578" customWidth="1"/>
    <col min="9" max="9" width="6.85546875" style="1578" customWidth="1"/>
    <col min="10" max="10" width="6.7109375" style="1578" customWidth="1"/>
    <col min="11" max="11" width="7.140625" style="1578" customWidth="1"/>
    <col min="12" max="12" width="11.85546875" style="1578" customWidth="1"/>
    <col min="13" max="13" width="8.5703125" style="1578" customWidth="1"/>
    <col min="14" max="14" width="11.7109375" style="1578" customWidth="1"/>
    <col min="15" max="15" width="9.7109375" style="1578" customWidth="1"/>
    <col min="16" max="16" width="10.42578125" style="2777" customWidth="1"/>
    <col min="17" max="17" width="11.28515625" style="1578" hidden="1" customWidth="1"/>
    <col min="18" max="18" width="13.85546875" style="1578" customWidth="1"/>
    <col min="19" max="19" width="7.85546875" style="1578" customWidth="1"/>
    <col min="20" max="20" width="14.28515625" style="1578" customWidth="1"/>
    <col min="21" max="21" width="10.85546875" style="1578" hidden="1" customWidth="1"/>
    <col min="22" max="22" width="11.42578125" style="1578" hidden="1" customWidth="1"/>
    <col min="23" max="23" width="6" style="1578" hidden="1" customWidth="1"/>
    <col min="24" max="24" width="11.42578125" style="1578" hidden="1" customWidth="1"/>
    <col min="25" max="25" width="10.5703125" style="1578" hidden="1" customWidth="1"/>
    <col min="26" max="26" width="11.5703125" style="1578" hidden="1" customWidth="1"/>
    <col min="27" max="27" width="6.140625" style="1578" hidden="1" customWidth="1"/>
    <col min="28" max="28" width="12.140625" style="1578" hidden="1" customWidth="1"/>
    <col min="29" max="29" width="11.5703125" style="1578" bestFit="1" customWidth="1"/>
    <col min="30" max="30" width="9.140625" style="1578" hidden="1" customWidth="1"/>
    <col min="31" max="32" width="9.140625" style="1578"/>
    <col min="33" max="33" width="10" style="1578" customWidth="1"/>
    <col min="34" max="34" width="10.140625" style="1578" customWidth="1"/>
    <col min="35" max="16384" width="9.140625" style="1578"/>
  </cols>
  <sheetData>
    <row r="1" spans="1:39">
      <c r="S1" s="916" t="s">
        <v>267</v>
      </c>
      <c r="T1" s="1879" t="s">
        <v>3966</v>
      </c>
    </row>
    <row r="2" spans="1:39" s="1596" customFormat="1">
      <c r="A2" s="1595" t="s">
        <v>3967</v>
      </c>
      <c r="C2" s="1597"/>
      <c r="P2" s="3388"/>
    </row>
    <row r="3" spans="1:39">
      <c r="A3" s="118"/>
      <c r="C3" s="1578" t="s">
        <v>3968</v>
      </c>
    </row>
    <row r="4" spans="1:39" s="1596" customFormat="1">
      <c r="A4" s="1763" t="s">
        <v>2917</v>
      </c>
      <c r="C4" s="928"/>
      <c r="D4" s="1599"/>
      <c r="E4" s="1599"/>
      <c r="P4" s="3388"/>
    </row>
    <row r="5" spans="1:39">
      <c r="A5" s="1578" t="s">
        <v>990</v>
      </c>
      <c r="C5" s="361"/>
      <c r="D5" s="1600"/>
      <c r="E5" s="1600"/>
      <c r="N5" s="2156"/>
    </row>
    <row r="7" spans="1:39" ht="30" customHeight="1">
      <c r="A7" s="4094" t="s">
        <v>2</v>
      </c>
      <c r="B7" s="4094" t="s">
        <v>478</v>
      </c>
      <c r="C7" s="4094" t="s">
        <v>995</v>
      </c>
      <c r="D7" s="4094" t="s">
        <v>996</v>
      </c>
      <c r="E7" s="4094" t="s">
        <v>1191</v>
      </c>
      <c r="F7" s="4094" t="s">
        <v>255</v>
      </c>
      <c r="G7" s="4094"/>
      <c r="H7" s="4095" t="s">
        <v>1192</v>
      </c>
      <c r="I7" s="4081" t="s">
        <v>1193</v>
      </c>
      <c r="J7" s="4083"/>
      <c r="K7" s="4082"/>
      <c r="L7" s="4081" t="s">
        <v>922</v>
      </c>
      <c r="M7" s="4083"/>
      <c r="N7" s="4083"/>
      <c r="O7" s="4083"/>
      <c r="P7" s="4082"/>
      <c r="Q7" s="4094" t="s">
        <v>999</v>
      </c>
      <c r="R7" s="4109" t="s">
        <v>3120</v>
      </c>
      <c r="S7" s="4081" t="s">
        <v>1001</v>
      </c>
      <c r="T7" s="4082"/>
      <c r="U7" s="4094" t="s">
        <v>999</v>
      </c>
      <c r="V7" s="4109" t="s">
        <v>380</v>
      </c>
      <c r="W7" s="4081" t="s">
        <v>1001</v>
      </c>
      <c r="X7" s="4082"/>
      <c r="Y7" s="4094" t="s">
        <v>999</v>
      </c>
      <c r="Z7" s="4109" t="s">
        <v>426</v>
      </c>
      <c r="AA7" s="4081" t="s">
        <v>1001</v>
      </c>
      <c r="AB7" s="4083"/>
      <c r="AC7" s="4084" t="s">
        <v>2265</v>
      </c>
      <c r="AD7" s="1683"/>
      <c r="AE7" s="1683"/>
      <c r="AF7" s="1683"/>
      <c r="AG7" s="1683"/>
      <c r="AH7" s="1683"/>
      <c r="AI7" s="1683"/>
      <c r="AJ7" s="1683"/>
      <c r="AK7" s="1683"/>
      <c r="AL7" s="1683"/>
      <c r="AM7" s="1683"/>
    </row>
    <row r="8" spans="1:39" ht="69.75" customHeight="1">
      <c r="A8" s="4094"/>
      <c r="B8" s="4094"/>
      <c r="C8" s="4094"/>
      <c r="D8" s="4094"/>
      <c r="E8" s="4094"/>
      <c r="F8" s="1682" t="s">
        <v>7</v>
      </c>
      <c r="G8" s="1682" t="s">
        <v>8</v>
      </c>
      <c r="H8" s="4096"/>
      <c r="I8" s="1682" t="s">
        <v>7</v>
      </c>
      <c r="J8" s="1682" t="s">
        <v>8</v>
      </c>
      <c r="K8" s="1682" t="s">
        <v>1096</v>
      </c>
      <c r="L8" s="1682" t="s">
        <v>1099</v>
      </c>
      <c r="M8" s="1682" t="s">
        <v>1194</v>
      </c>
      <c r="N8" s="1682" t="s">
        <v>1011</v>
      </c>
      <c r="O8" s="1682" t="s">
        <v>1012</v>
      </c>
      <c r="P8" s="3389" t="s">
        <v>1013</v>
      </c>
      <c r="Q8" s="4094"/>
      <c r="R8" s="4110"/>
      <c r="S8" s="1684" t="s">
        <v>7</v>
      </c>
      <c r="T8" s="1684" t="s">
        <v>8</v>
      </c>
      <c r="U8" s="4094"/>
      <c r="V8" s="4110"/>
      <c r="W8" s="1684" t="s">
        <v>7</v>
      </c>
      <c r="X8" s="1684" t="s">
        <v>8</v>
      </c>
      <c r="Y8" s="4094"/>
      <c r="Z8" s="4110"/>
      <c r="AA8" s="1684" t="s">
        <v>7</v>
      </c>
      <c r="AB8" s="3287" t="s">
        <v>8</v>
      </c>
      <c r="AC8" s="4084"/>
      <c r="AD8" s="1685"/>
      <c r="AE8" s="1685"/>
      <c r="AF8" s="1683"/>
      <c r="AG8" s="1685"/>
      <c r="AH8" s="1685"/>
      <c r="AI8" s="1685"/>
      <c r="AJ8" s="1685"/>
      <c r="AK8" s="1685"/>
      <c r="AL8" s="1685"/>
      <c r="AM8" s="1685"/>
    </row>
    <row r="9" spans="1:39">
      <c r="A9" s="1686"/>
      <c r="B9" s="1687" t="s">
        <v>306</v>
      </c>
      <c r="C9" s="1688"/>
      <c r="D9" s="1686"/>
      <c r="E9" s="1689"/>
      <c r="F9" s="1689"/>
      <c r="G9" s="1689"/>
      <c r="H9" s="1689"/>
      <c r="I9" s="1689"/>
      <c r="J9" s="1689"/>
      <c r="K9" s="1689"/>
      <c r="L9" s="1745"/>
      <c r="M9" s="1745"/>
      <c r="N9" s="1689"/>
      <c r="O9" s="1689"/>
      <c r="P9" s="2373"/>
      <c r="Q9" s="1819"/>
      <c r="R9" s="1819"/>
      <c r="S9" s="1819">
        <f t="shared" ref="S9" si="0">SUM(S12:S33)</f>
        <v>0</v>
      </c>
      <c r="T9" s="1819"/>
      <c r="U9" s="1819"/>
      <c r="V9" s="1819">
        <f>SUM(V10:V12)</f>
        <v>0</v>
      </c>
      <c r="W9" s="1819"/>
      <c r="X9" s="1819">
        <f>SUM(X10:X12)</f>
        <v>0</v>
      </c>
      <c r="Y9" s="1819"/>
      <c r="Z9" s="1819">
        <f>SUM(Z10:Z12)</f>
        <v>0</v>
      </c>
      <c r="AA9" s="1819"/>
      <c r="AB9" s="3288">
        <f>SUM(AB10:AB12)</f>
        <v>0</v>
      </c>
      <c r="AC9" s="3289"/>
      <c r="AD9" s="1683"/>
      <c r="AE9" s="1683"/>
      <c r="AF9" s="1683"/>
      <c r="AG9" s="1683"/>
      <c r="AH9" s="1683"/>
      <c r="AI9" s="1683"/>
      <c r="AJ9" s="1683"/>
      <c r="AK9" s="1683"/>
      <c r="AL9" s="1683"/>
      <c r="AM9" s="1683"/>
    </row>
    <row r="10" spans="1:39" ht="24" hidden="1">
      <c r="A10" s="1581">
        <v>2</v>
      </c>
      <c r="B10" s="1692" t="s">
        <v>3223</v>
      </c>
      <c r="C10" s="1765" t="s">
        <v>3224</v>
      </c>
      <c r="D10" s="1625" t="s">
        <v>1022</v>
      </c>
      <c r="E10" s="1736">
        <v>4080.2</v>
      </c>
      <c r="F10" s="1581"/>
      <c r="G10" s="1818">
        <f t="shared" ref="G10:G12" si="1">E10</f>
        <v>4080.2</v>
      </c>
      <c r="H10" s="1581"/>
      <c r="I10" s="1609"/>
      <c r="J10" s="1609"/>
      <c r="K10" s="1581"/>
      <c r="L10" s="1625">
        <v>2</v>
      </c>
      <c r="M10" s="1625"/>
      <c r="N10" s="1581"/>
      <c r="O10" s="1581"/>
      <c r="P10" s="3292">
        <v>0</v>
      </c>
      <c r="Q10" s="1625">
        <v>0</v>
      </c>
      <c r="R10" s="1610">
        <f t="shared" ref="R10:R12" si="2">P10*Q10</f>
        <v>0</v>
      </c>
      <c r="S10" s="1610"/>
      <c r="T10" s="1610">
        <f t="shared" ref="T10:T12" si="3">R10-S10</f>
        <v>0</v>
      </c>
      <c r="U10" s="1625">
        <f t="shared" ref="U10:U12" si="4">ROUND(Q10*1.07,2)</f>
        <v>0</v>
      </c>
      <c r="V10" s="1610"/>
      <c r="W10" s="1610"/>
      <c r="X10" s="1610">
        <f>V10-W10</f>
        <v>0</v>
      </c>
      <c r="Y10" s="1625">
        <f t="shared" ref="Y10:Y12" si="5">ROUND(U10*1.07,2)</f>
        <v>0</v>
      </c>
      <c r="Z10" s="1610"/>
      <c r="AA10" s="1610"/>
      <c r="AB10" s="3281">
        <f>Z10-AA10</f>
        <v>0</v>
      </c>
      <c r="AC10" s="1635"/>
    </row>
    <row r="11" spans="1:39" hidden="1">
      <c r="A11" s="1581">
        <v>3</v>
      </c>
      <c r="B11" s="1692" t="s">
        <v>3969</v>
      </c>
      <c r="C11" s="1765" t="s">
        <v>3226</v>
      </c>
      <c r="D11" s="1625" t="s">
        <v>1022</v>
      </c>
      <c r="E11" s="1736">
        <v>4080.2</v>
      </c>
      <c r="F11" s="1581"/>
      <c r="G11" s="1818">
        <f t="shared" si="1"/>
        <v>4080.2</v>
      </c>
      <c r="H11" s="1581"/>
      <c r="I11" s="1609"/>
      <c r="J11" s="1609"/>
      <c r="K11" s="1581"/>
      <c r="L11" s="1625">
        <v>10</v>
      </c>
      <c r="M11" s="1625"/>
      <c r="N11" s="1581"/>
      <c r="O11" s="1581"/>
      <c r="P11" s="3292">
        <v>0</v>
      </c>
      <c r="Q11" s="1625">
        <f>ROUND(1500*1.07,2)</f>
        <v>1605</v>
      </c>
      <c r="R11" s="1610">
        <f t="shared" si="2"/>
        <v>0</v>
      </c>
      <c r="S11" s="1610"/>
      <c r="T11" s="1610">
        <f t="shared" si="3"/>
        <v>0</v>
      </c>
      <c r="U11" s="1625">
        <f t="shared" si="4"/>
        <v>1717.35</v>
      </c>
      <c r="V11" s="1610"/>
      <c r="W11" s="1610"/>
      <c r="X11" s="1610">
        <f>V11-W11</f>
        <v>0</v>
      </c>
      <c r="Y11" s="1625">
        <f t="shared" si="5"/>
        <v>1837.56</v>
      </c>
      <c r="Z11" s="1610"/>
      <c r="AA11" s="1610"/>
      <c r="AB11" s="3281">
        <f>Z11-AA11</f>
        <v>0</v>
      </c>
      <c r="AC11" s="1635"/>
    </row>
    <row r="12" spans="1:39" ht="51" hidden="1">
      <c r="A12" s="1581">
        <v>4</v>
      </c>
      <c r="B12" s="1821" t="s">
        <v>3135</v>
      </c>
      <c r="C12" s="1821" t="s">
        <v>3136</v>
      </c>
      <c r="D12" s="1625" t="s">
        <v>2291</v>
      </c>
      <c r="E12" s="1736">
        <v>4080.2</v>
      </c>
      <c r="F12" s="1581"/>
      <c r="G12" s="1818">
        <f t="shared" si="1"/>
        <v>4080.2</v>
      </c>
      <c r="H12" s="1581"/>
      <c r="I12" s="1609"/>
      <c r="J12" s="1609"/>
      <c r="K12" s="1581"/>
      <c r="L12" s="1625">
        <f>'штатка спальн блок 2.01.'!D15</f>
        <v>2</v>
      </c>
      <c r="M12" s="1625"/>
      <c r="N12" s="1581"/>
      <c r="O12" s="1581"/>
      <c r="P12" s="3292">
        <v>0</v>
      </c>
      <c r="Q12" s="1625">
        <f>ROUND(5200*1.07,2)</f>
        <v>5564</v>
      </c>
      <c r="R12" s="1610">
        <f t="shared" si="2"/>
        <v>0</v>
      </c>
      <c r="S12" s="1610"/>
      <c r="T12" s="1610">
        <f t="shared" si="3"/>
        <v>0</v>
      </c>
      <c r="U12" s="1625">
        <f t="shared" si="4"/>
        <v>5953.48</v>
      </c>
      <c r="V12" s="1610"/>
      <c r="W12" s="1610"/>
      <c r="X12" s="1610">
        <f>V12-W12</f>
        <v>0</v>
      </c>
      <c r="Y12" s="1625">
        <f t="shared" si="5"/>
        <v>6370.22</v>
      </c>
      <c r="Z12" s="1610"/>
      <c r="AA12" s="1610"/>
      <c r="AB12" s="3281">
        <f>Z12-AA12</f>
        <v>0</v>
      </c>
      <c r="AC12" s="1635"/>
    </row>
    <row r="13" spans="1:39" ht="25.5">
      <c r="A13" s="3271">
        <v>1</v>
      </c>
      <c r="B13" s="3266" t="s">
        <v>3970</v>
      </c>
      <c r="C13" s="3266" t="s">
        <v>3971</v>
      </c>
      <c r="D13" s="3266" t="s">
        <v>1022</v>
      </c>
      <c r="E13" s="3268">
        <v>4080.2</v>
      </c>
      <c r="F13" s="3270"/>
      <c r="G13" s="3268">
        <f t="shared" ref="G13:G33" si="6">E13</f>
        <v>4080.2</v>
      </c>
      <c r="H13" s="3270"/>
      <c r="I13" s="3270"/>
      <c r="J13" s="3270"/>
      <c r="K13" s="3270"/>
      <c r="L13" s="3272">
        <v>4</v>
      </c>
      <c r="M13" s="3270"/>
      <c r="N13" s="3270"/>
      <c r="O13" s="3270"/>
      <c r="P13" s="3390">
        <v>4</v>
      </c>
      <c r="Q13" s="3270">
        <v>8600</v>
      </c>
      <c r="R13" s="3270">
        <f>ROUND(P13*AC13,2)</f>
        <v>38528</v>
      </c>
      <c r="S13" s="3270"/>
      <c r="T13" s="3270">
        <f t="shared" ref="T13:T33" si="7">R13-S13</f>
        <v>38528</v>
      </c>
      <c r="U13" s="2135"/>
      <c r="V13" s="2135"/>
      <c r="W13" s="2135"/>
      <c r="X13" s="2135"/>
      <c r="Y13" s="2135"/>
      <c r="Z13" s="2135"/>
      <c r="AA13" s="2135"/>
      <c r="AB13" s="2135"/>
      <c r="AC13" s="3290">
        <f>ROUND(Q13*AD13,2)</f>
        <v>9632</v>
      </c>
      <c r="AD13" s="1578">
        <v>1.1200000000000001</v>
      </c>
    </row>
    <row r="14" spans="1:39" s="2135" customFormat="1" ht="60">
      <c r="A14" s="3269">
        <v>2</v>
      </c>
      <c r="B14" s="3236" t="s">
        <v>2518</v>
      </c>
      <c r="C14" s="3236" t="s">
        <v>3972</v>
      </c>
      <c r="D14" s="3234" t="s">
        <v>1587</v>
      </c>
      <c r="E14" s="3268">
        <v>4080.2</v>
      </c>
      <c r="F14" s="1664"/>
      <c r="G14" s="3268">
        <f t="shared" si="6"/>
        <v>4080.2</v>
      </c>
      <c r="H14" s="2071"/>
      <c r="I14" s="2071"/>
      <c r="J14" s="2071"/>
      <c r="K14" s="1635"/>
      <c r="L14" s="3235">
        <v>933</v>
      </c>
      <c r="M14" s="1635"/>
      <c r="N14" s="1635"/>
      <c r="O14" s="1635"/>
      <c r="P14" s="3390">
        <f>L14-O14</f>
        <v>933</v>
      </c>
      <c r="Q14" s="3235">
        <v>460</v>
      </c>
      <c r="R14" s="3270">
        <f t="shared" ref="R14:R33" si="8">ROUND(P14*AC14,2)</f>
        <v>480681.6</v>
      </c>
      <c r="S14" s="1635"/>
      <c r="T14" s="3270">
        <f t="shared" si="7"/>
        <v>480681.6</v>
      </c>
      <c r="U14" s="1578"/>
      <c r="V14" s="1578"/>
      <c r="W14" s="1578"/>
      <c r="X14" s="1578"/>
      <c r="Y14" s="1578"/>
      <c r="Z14" s="1578"/>
      <c r="AA14" s="1578"/>
      <c r="AB14" s="1578"/>
      <c r="AC14" s="3290">
        <f t="shared" ref="AC14:AC33" si="9">ROUND(Q14*AD14,2)</f>
        <v>515.20000000000005</v>
      </c>
      <c r="AD14" s="1578">
        <v>1.1200000000000001</v>
      </c>
    </row>
    <row r="15" spans="1:39" s="2135" customFormat="1" ht="24">
      <c r="A15" s="3269">
        <v>3</v>
      </c>
      <c r="B15" s="3236" t="s">
        <v>3973</v>
      </c>
      <c r="C15" s="3232" t="s">
        <v>3974</v>
      </c>
      <c r="D15" s="3233" t="s">
        <v>2393</v>
      </c>
      <c r="E15" s="3268">
        <v>4080.2</v>
      </c>
      <c r="F15" s="1635"/>
      <c r="G15" s="3268">
        <f t="shared" si="6"/>
        <v>4080.2</v>
      </c>
      <c r="H15" s="1635"/>
      <c r="I15" s="1635"/>
      <c r="J15" s="1635"/>
      <c r="K15" s="1635"/>
      <c r="L15" s="3234">
        <v>400</v>
      </c>
      <c r="M15" s="1635"/>
      <c r="N15" s="1635"/>
      <c r="O15" s="1635"/>
      <c r="P15" s="3390">
        <f>L15-O15</f>
        <v>400</v>
      </c>
      <c r="Q15" s="3234">
        <v>430</v>
      </c>
      <c r="R15" s="3270">
        <f t="shared" si="8"/>
        <v>192640</v>
      </c>
      <c r="S15" s="1635"/>
      <c r="T15" s="3270">
        <f t="shared" si="7"/>
        <v>192640</v>
      </c>
      <c r="U15" s="1578"/>
      <c r="V15" s="1578"/>
      <c r="W15" s="1578"/>
      <c r="X15" s="1578"/>
      <c r="Y15" s="1578"/>
      <c r="Z15" s="1578"/>
      <c r="AA15" s="1578"/>
      <c r="AB15" s="1578"/>
      <c r="AC15" s="3290">
        <f t="shared" si="9"/>
        <v>481.6</v>
      </c>
      <c r="AD15" s="1578">
        <v>1.1200000000000001</v>
      </c>
    </row>
    <row r="16" spans="1:39" ht="51">
      <c r="A16" s="3265">
        <v>4</v>
      </c>
      <c r="B16" s="3266" t="s">
        <v>3975</v>
      </c>
      <c r="C16" s="3266" t="s">
        <v>3976</v>
      </c>
      <c r="D16" s="3266" t="s">
        <v>1525</v>
      </c>
      <c r="E16" s="3268">
        <v>4080.2</v>
      </c>
      <c r="F16" s="3271"/>
      <c r="G16" s="3268">
        <f t="shared" si="6"/>
        <v>4080.2</v>
      </c>
      <c r="H16" s="3271"/>
      <c r="I16" s="3271"/>
      <c r="J16" s="3271"/>
      <c r="K16" s="3271"/>
      <c r="L16" s="3272">
        <v>3</v>
      </c>
      <c r="M16" s="3273"/>
      <c r="N16" s="3271"/>
      <c r="O16" s="3271"/>
      <c r="P16" s="3390">
        <v>3</v>
      </c>
      <c r="Q16" s="3271">
        <v>3600</v>
      </c>
      <c r="R16" s="3270">
        <f t="shared" si="8"/>
        <v>12096</v>
      </c>
      <c r="S16" s="3274"/>
      <c r="T16" s="3270">
        <f t="shared" si="7"/>
        <v>12096</v>
      </c>
      <c r="AC16" s="3290">
        <f t="shared" si="9"/>
        <v>4032</v>
      </c>
      <c r="AD16" s="1578">
        <v>1.1200000000000001</v>
      </c>
    </row>
    <row r="17" spans="1:30">
      <c r="A17" s="3265">
        <v>5</v>
      </c>
      <c r="B17" s="3236" t="s">
        <v>3977</v>
      </c>
      <c r="C17" s="3236" t="s">
        <v>3978</v>
      </c>
      <c r="D17" s="3234" t="s">
        <v>1022</v>
      </c>
      <c r="E17" s="3268">
        <v>4080.2</v>
      </c>
      <c r="F17" s="1635"/>
      <c r="G17" s="3268">
        <f t="shared" si="6"/>
        <v>4080.2</v>
      </c>
      <c r="H17" s="1635"/>
      <c r="I17" s="1635"/>
      <c r="J17" s="1635"/>
      <c r="K17" s="1635"/>
      <c r="L17" s="3235">
        <v>50</v>
      </c>
      <c r="M17" s="1635"/>
      <c r="N17" s="1635"/>
      <c r="O17" s="1635"/>
      <c r="P17" s="3390">
        <f t="shared" ref="P17:P33" si="10">L17-O17</f>
        <v>50</v>
      </c>
      <c r="Q17" s="3235">
        <v>2250</v>
      </c>
      <c r="R17" s="3270">
        <f t="shared" si="8"/>
        <v>126000</v>
      </c>
      <c r="S17" s="1635"/>
      <c r="T17" s="3270">
        <f t="shared" si="7"/>
        <v>126000</v>
      </c>
      <c r="AC17" s="3290">
        <f t="shared" si="9"/>
        <v>2520</v>
      </c>
      <c r="AD17" s="1578">
        <v>1.1200000000000001</v>
      </c>
    </row>
    <row r="18" spans="1:30">
      <c r="A18" s="3265">
        <v>6</v>
      </c>
      <c r="B18" s="3236" t="s">
        <v>3058</v>
      </c>
      <c r="C18" s="3236" t="s">
        <v>3058</v>
      </c>
      <c r="D18" s="3234" t="s">
        <v>1022</v>
      </c>
      <c r="E18" s="3333">
        <v>4080.2</v>
      </c>
      <c r="F18" s="3376"/>
      <c r="G18" s="3333">
        <f t="shared" si="6"/>
        <v>4080.2</v>
      </c>
      <c r="H18" s="2070"/>
      <c r="I18" s="2070"/>
      <c r="J18" s="2070"/>
      <c r="K18" s="1662"/>
      <c r="L18" s="3377">
        <v>12</v>
      </c>
      <c r="M18" s="1662"/>
      <c r="N18" s="1662"/>
      <c r="O18" s="1662"/>
      <c r="P18" s="3391">
        <f t="shared" si="10"/>
        <v>12</v>
      </c>
      <c r="Q18" s="3377">
        <v>200</v>
      </c>
      <c r="R18" s="3270">
        <f t="shared" si="8"/>
        <v>2688</v>
      </c>
      <c r="S18" s="1662"/>
      <c r="T18" s="3334">
        <f t="shared" si="7"/>
        <v>2688</v>
      </c>
      <c r="AC18" s="3290">
        <f t="shared" si="9"/>
        <v>224</v>
      </c>
      <c r="AD18" s="1578">
        <v>1.1200000000000001</v>
      </c>
    </row>
    <row r="19" spans="1:30" ht="76.5">
      <c r="A19" s="3265">
        <v>7</v>
      </c>
      <c r="B19" s="3370" t="s">
        <v>3059</v>
      </c>
      <c r="C19" s="3370" t="s">
        <v>3979</v>
      </c>
      <c r="D19" s="3370" t="s">
        <v>1022</v>
      </c>
      <c r="E19" s="3373">
        <v>4080.2</v>
      </c>
      <c r="F19" s="3371"/>
      <c r="G19" s="3373">
        <f t="shared" si="6"/>
        <v>4080.2</v>
      </c>
      <c r="H19" s="3371"/>
      <c r="I19" s="3371"/>
      <c r="J19" s="3371"/>
      <c r="K19" s="3371"/>
      <c r="L19" s="3372">
        <v>6</v>
      </c>
      <c r="M19" s="3265"/>
      <c r="N19" s="3265"/>
      <c r="O19" s="3265"/>
      <c r="P19" s="3391">
        <f t="shared" si="10"/>
        <v>6</v>
      </c>
      <c r="Q19" s="3265">
        <v>2700</v>
      </c>
      <c r="R19" s="3270">
        <f t="shared" si="8"/>
        <v>18144</v>
      </c>
      <c r="S19" s="3265"/>
      <c r="T19" s="3334">
        <f t="shared" si="7"/>
        <v>18144</v>
      </c>
      <c r="U19" s="1635"/>
      <c r="V19" s="1635"/>
      <c r="W19" s="1635"/>
      <c r="X19" s="1635"/>
      <c r="Y19" s="1635"/>
      <c r="Z19" s="1635"/>
      <c r="AA19" s="1635"/>
      <c r="AB19" s="1635"/>
      <c r="AC19" s="3290">
        <f t="shared" si="9"/>
        <v>3024</v>
      </c>
      <c r="AD19" s="1578">
        <v>1.1200000000000001</v>
      </c>
    </row>
    <row r="20" spans="1:30" ht="25.5">
      <c r="A20" s="3265">
        <v>8</v>
      </c>
      <c r="B20" s="3267" t="s">
        <v>3050</v>
      </c>
      <c r="C20" s="3267" t="s">
        <v>3980</v>
      </c>
      <c r="D20" s="3267" t="s">
        <v>1022</v>
      </c>
      <c r="E20" s="3333">
        <v>4080.2</v>
      </c>
      <c r="F20" s="3270"/>
      <c r="G20" s="3333">
        <f t="shared" si="6"/>
        <v>4080.2</v>
      </c>
      <c r="H20" s="3270"/>
      <c r="I20" s="3270"/>
      <c r="J20" s="3270"/>
      <c r="K20" s="3270"/>
      <c r="L20" s="3272">
        <v>60</v>
      </c>
      <c r="M20" s="3270"/>
      <c r="N20" s="3270"/>
      <c r="O20" s="3270"/>
      <c r="P20" s="3391">
        <f t="shared" si="10"/>
        <v>60</v>
      </c>
      <c r="Q20" s="3270">
        <v>1500</v>
      </c>
      <c r="R20" s="3270">
        <f t="shared" si="8"/>
        <v>100800</v>
      </c>
      <c r="S20" s="3270"/>
      <c r="T20" s="3334">
        <f t="shared" si="7"/>
        <v>100800</v>
      </c>
      <c r="U20" s="2071"/>
      <c r="V20" s="2071"/>
      <c r="W20" s="2071"/>
      <c r="X20" s="2071"/>
      <c r="Y20" s="2071"/>
      <c r="Z20" s="2071"/>
      <c r="AA20" s="2071"/>
      <c r="AB20" s="2071"/>
      <c r="AC20" s="3290">
        <f t="shared" si="9"/>
        <v>1680</v>
      </c>
      <c r="AD20" s="1578">
        <v>1.1200000000000001</v>
      </c>
    </row>
    <row r="21" spans="1:30" ht="24">
      <c r="A21" s="3265">
        <v>9</v>
      </c>
      <c r="B21" s="3236" t="s">
        <v>3981</v>
      </c>
      <c r="C21" s="3236" t="s">
        <v>3060</v>
      </c>
      <c r="D21" s="3234" t="s">
        <v>1119</v>
      </c>
      <c r="E21" s="3333">
        <v>4080.2</v>
      </c>
      <c r="F21" s="1664"/>
      <c r="G21" s="3333">
        <f t="shared" si="6"/>
        <v>4080.2</v>
      </c>
      <c r="H21" s="2071"/>
      <c r="I21" s="2071"/>
      <c r="J21" s="2071"/>
      <c r="K21" s="1635"/>
      <c r="L21" s="3235">
        <v>10</v>
      </c>
      <c r="M21" s="1635"/>
      <c r="N21" s="1635"/>
      <c r="O21" s="1635"/>
      <c r="P21" s="3391">
        <f t="shared" si="10"/>
        <v>10</v>
      </c>
      <c r="Q21" s="3235">
        <v>475</v>
      </c>
      <c r="R21" s="3270">
        <f t="shared" si="8"/>
        <v>5320</v>
      </c>
      <c r="S21" s="1635"/>
      <c r="T21" s="3334">
        <f t="shared" si="7"/>
        <v>5320</v>
      </c>
      <c r="U21" s="1635"/>
      <c r="V21" s="1635"/>
      <c r="W21" s="1635"/>
      <c r="X21" s="1635"/>
      <c r="Y21" s="1635"/>
      <c r="Z21" s="1635"/>
      <c r="AA21" s="1635"/>
      <c r="AB21" s="1635"/>
      <c r="AC21" s="3290">
        <f t="shared" si="9"/>
        <v>532</v>
      </c>
      <c r="AD21" s="1578">
        <v>1.1200000000000001</v>
      </c>
    </row>
    <row r="22" spans="1:30">
      <c r="A22" s="3265">
        <v>10</v>
      </c>
      <c r="B22" s="3236" t="s">
        <v>1519</v>
      </c>
      <c r="C22" s="3232" t="s">
        <v>1519</v>
      </c>
      <c r="D22" s="3233" t="s">
        <v>1022</v>
      </c>
      <c r="E22" s="3373">
        <v>4080.2</v>
      </c>
      <c r="F22" s="3374"/>
      <c r="G22" s="3373">
        <f t="shared" si="6"/>
        <v>4080.2</v>
      </c>
      <c r="H22" s="3374"/>
      <c r="I22" s="3374"/>
      <c r="J22" s="3374"/>
      <c r="K22" s="3374"/>
      <c r="L22" s="3234">
        <v>200</v>
      </c>
      <c r="M22" s="1635"/>
      <c r="N22" s="1635"/>
      <c r="O22" s="1635"/>
      <c r="P22" s="3391">
        <v>0</v>
      </c>
      <c r="Q22" s="3234">
        <v>400</v>
      </c>
      <c r="R22" s="3270">
        <f t="shared" si="8"/>
        <v>0</v>
      </c>
      <c r="S22" s="1635"/>
      <c r="T22" s="3334">
        <f t="shared" si="7"/>
        <v>0</v>
      </c>
      <c r="U22" s="1635"/>
      <c r="V22" s="1635"/>
      <c r="W22" s="1635"/>
      <c r="X22" s="1635"/>
      <c r="Y22" s="1635"/>
      <c r="Z22" s="1635"/>
      <c r="AA22" s="1635"/>
      <c r="AB22" s="1635"/>
      <c r="AC22" s="3290">
        <f t="shared" si="9"/>
        <v>448</v>
      </c>
      <c r="AD22" s="1578">
        <v>1.1200000000000001</v>
      </c>
    </row>
    <row r="23" spans="1:30">
      <c r="A23" s="3265">
        <v>11</v>
      </c>
      <c r="B23" s="3236" t="s">
        <v>1551</v>
      </c>
      <c r="C23" s="3236" t="s">
        <v>3031</v>
      </c>
      <c r="D23" s="3234" t="s">
        <v>1022</v>
      </c>
      <c r="E23" s="3333">
        <v>4080.2</v>
      </c>
      <c r="F23" s="1635"/>
      <c r="G23" s="3333">
        <f t="shared" si="6"/>
        <v>4080.2</v>
      </c>
      <c r="H23" s="1635"/>
      <c r="I23" s="1635"/>
      <c r="J23" s="1635"/>
      <c r="K23" s="1635"/>
      <c r="L23" s="3235">
        <v>60</v>
      </c>
      <c r="M23" s="1635"/>
      <c r="N23" s="1635"/>
      <c r="O23" s="1635"/>
      <c r="P23" s="3391">
        <f t="shared" si="10"/>
        <v>60</v>
      </c>
      <c r="Q23" s="3235">
        <v>590</v>
      </c>
      <c r="R23" s="3270">
        <f t="shared" si="8"/>
        <v>39648</v>
      </c>
      <c r="S23" s="1635"/>
      <c r="T23" s="3334">
        <f t="shared" si="7"/>
        <v>39648</v>
      </c>
      <c r="U23" s="1635"/>
      <c r="V23" s="1635"/>
      <c r="W23" s="1635"/>
      <c r="X23" s="1635"/>
      <c r="Y23" s="1635"/>
      <c r="Z23" s="1635"/>
      <c r="AA23" s="1635"/>
      <c r="AB23" s="1635"/>
      <c r="AC23" s="3290">
        <f t="shared" si="9"/>
        <v>660.8</v>
      </c>
      <c r="AD23" s="1578">
        <v>1.1200000000000001</v>
      </c>
    </row>
    <row r="24" spans="1:30" ht="36">
      <c r="A24" s="3265">
        <v>12</v>
      </c>
      <c r="B24" s="3236" t="s">
        <v>3982</v>
      </c>
      <c r="C24" s="3236" t="s">
        <v>3071</v>
      </c>
      <c r="D24" s="3234" t="s">
        <v>2520</v>
      </c>
      <c r="E24" s="3333">
        <v>4080.2</v>
      </c>
      <c r="F24" s="1635"/>
      <c r="G24" s="3333">
        <f t="shared" si="6"/>
        <v>4080.2</v>
      </c>
      <c r="H24" s="1635"/>
      <c r="I24" s="1635"/>
      <c r="J24" s="1635"/>
      <c r="K24" s="1635"/>
      <c r="L24" s="3235">
        <v>320</v>
      </c>
      <c r="M24" s="1635"/>
      <c r="N24" s="1635"/>
      <c r="O24" s="1635"/>
      <c r="P24" s="3391">
        <f t="shared" si="10"/>
        <v>320</v>
      </c>
      <c r="Q24" s="3235">
        <v>350</v>
      </c>
      <c r="R24" s="3270">
        <f t="shared" si="8"/>
        <v>125440</v>
      </c>
      <c r="S24" s="1635"/>
      <c r="T24" s="3334">
        <f t="shared" si="7"/>
        <v>125440</v>
      </c>
      <c r="U24" s="1635"/>
      <c r="V24" s="1635"/>
      <c r="W24" s="1635"/>
      <c r="X24" s="1635"/>
      <c r="Y24" s="1635"/>
      <c r="Z24" s="1635"/>
      <c r="AA24" s="1635"/>
      <c r="AB24" s="1635"/>
      <c r="AC24" s="3290">
        <f t="shared" si="9"/>
        <v>392</v>
      </c>
      <c r="AD24" s="1578">
        <v>1.1200000000000001</v>
      </c>
    </row>
    <row r="25" spans="1:30">
      <c r="A25" s="3265">
        <v>13</v>
      </c>
      <c r="B25" s="3236" t="s">
        <v>3036</v>
      </c>
      <c r="C25" s="3232" t="s">
        <v>3073</v>
      </c>
      <c r="D25" s="3233" t="s">
        <v>1411</v>
      </c>
      <c r="E25" s="3333">
        <v>4080.2</v>
      </c>
      <c r="F25" s="1635"/>
      <c r="G25" s="3333">
        <f t="shared" si="6"/>
        <v>4080.2</v>
      </c>
      <c r="H25" s="1635"/>
      <c r="I25" s="1635"/>
      <c r="J25" s="1635"/>
      <c r="K25" s="1635"/>
      <c r="L25" s="3234">
        <v>18</v>
      </c>
      <c r="M25" s="1635"/>
      <c r="N25" s="1635"/>
      <c r="O25" s="1635"/>
      <c r="P25" s="3391">
        <f t="shared" si="10"/>
        <v>18</v>
      </c>
      <c r="Q25" s="3234">
        <v>285</v>
      </c>
      <c r="R25" s="3270">
        <f t="shared" si="8"/>
        <v>5745.6</v>
      </c>
      <c r="S25" s="1635"/>
      <c r="T25" s="3334">
        <f t="shared" si="7"/>
        <v>5745.6</v>
      </c>
      <c r="U25" s="1635"/>
      <c r="V25" s="1635"/>
      <c r="W25" s="1635"/>
      <c r="X25" s="1635"/>
      <c r="Y25" s="1635"/>
      <c r="Z25" s="1635"/>
      <c r="AA25" s="1635"/>
      <c r="AB25" s="1635"/>
      <c r="AC25" s="3290">
        <f t="shared" si="9"/>
        <v>319.2</v>
      </c>
      <c r="AD25" s="1578">
        <v>1.1200000000000001</v>
      </c>
    </row>
    <row r="26" spans="1:30" ht="38.25">
      <c r="A26" s="3265">
        <v>14</v>
      </c>
      <c r="B26" s="3370" t="s">
        <v>3077</v>
      </c>
      <c r="C26" s="3370" t="s">
        <v>3983</v>
      </c>
      <c r="D26" s="3370"/>
      <c r="E26" s="3373">
        <v>4080.2</v>
      </c>
      <c r="F26" s="3371"/>
      <c r="G26" s="3373">
        <f t="shared" si="6"/>
        <v>4080.2</v>
      </c>
      <c r="H26" s="3371"/>
      <c r="I26" s="3371"/>
      <c r="J26" s="3371"/>
      <c r="K26" s="3371"/>
      <c r="L26" s="3372">
        <v>6</v>
      </c>
      <c r="M26" s="3265"/>
      <c r="N26" s="3265"/>
      <c r="O26" s="3265"/>
      <c r="P26" s="3391">
        <f t="shared" si="10"/>
        <v>6</v>
      </c>
      <c r="Q26" s="3265">
        <v>1600</v>
      </c>
      <c r="R26" s="3270">
        <f t="shared" si="8"/>
        <v>10752</v>
      </c>
      <c r="S26" s="3265"/>
      <c r="T26" s="3334">
        <f t="shared" si="7"/>
        <v>10752</v>
      </c>
      <c r="U26" s="1635"/>
      <c r="V26" s="1635"/>
      <c r="W26" s="1635"/>
      <c r="X26" s="1635"/>
      <c r="Y26" s="1635"/>
      <c r="Z26" s="1635"/>
      <c r="AA26" s="1635"/>
      <c r="AB26" s="1635"/>
      <c r="AC26" s="3290">
        <f t="shared" si="9"/>
        <v>1792</v>
      </c>
      <c r="AD26" s="1578">
        <v>1.1200000000000001</v>
      </c>
    </row>
    <row r="27" spans="1:30" ht="36">
      <c r="A27" s="3265">
        <v>15</v>
      </c>
      <c r="B27" s="3236" t="s">
        <v>3038</v>
      </c>
      <c r="C27" s="3232" t="s">
        <v>3078</v>
      </c>
      <c r="D27" s="3233" t="s">
        <v>1022</v>
      </c>
      <c r="E27" s="3333">
        <v>4080.2</v>
      </c>
      <c r="F27" s="1664"/>
      <c r="G27" s="3333">
        <f t="shared" si="6"/>
        <v>4080.2</v>
      </c>
      <c r="H27" s="2071"/>
      <c r="I27" s="2071"/>
      <c r="J27" s="2071"/>
      <c r="K27" s="1635"/>
      <c r="L27" s="3234">
        <v>48</v>
      </c>
      <c r="M27" s="1635"/>
      <c r="N27" s="1635"/>
      <c r="O27" s="1635"/>
      <c r="P27" s="3391">
        <f t="shared" si="10"/>
        <v>48</v>
      </c>
      <c r="Q27" s="3234">
        <v>415</v>
      </c>
      <c r="R27" s="3270">
        <f t="shared" si="8"/>
        <v>22310.400000000001</v>
      </c>
      <c r="S27" s="1635"/>
      <c r="T27" s="3334">
        <f t="shared" si="7"/>
        <v>22310.400000000001</v>
      </c>
      <c r="U27" s="1635"/>
      <c r="V27" s="1635"/>
      <c r="W27" s="1635"/>
      <c r="X27" s="1635"/>
      <c r="Y27" s="1635"/>
      <c r="Z27" s="1635"/>
      <c r="AA27" s="1635"/>
      <c r="AB27" s="1635"/>
      <c r="AC27" s="3290">
        <f t="shared" si="9"/>
        <v>464.8</v>
      </c>
      <c r="AD27" s="1578">
        <v>1.1200000000000001</v>
      </c>
    </row>
    <row r="28" spans="1:30" ht="96">
      <c r="A28" s="3265">
        <v>16</v>
      </c>
      <c r="B28" s="3236" t="s">
        <v>3984</v>
      </c>
      <c r="C28" s="3231" t="s">
        <v>3083</v>
      </c>
      <c r="D28" s="3234" t="s">
        <v>1119</v>
      </c>
      <c r="E28" s="3333">
        <v>4080.2</v>
      </c>
      <c r="F28" s="1635"/>
      <c r="G28" s="3333">
        <f t="shared" si="6"/>
        <v>4080.2</v>
      </c>
      <c r="H28" s="1635"/>
      <c r="I28" s="1635"/>
      <c r="J28" s="1635"/>
      <c r="K28" s="1635"/>
      <c r="L28" s="3235">
        <v>30</v>
      </c>
      <c r="M28" s="1635"/>
      <c r="N28" s="1635"/>
      <c r="O28" s="1635"/>
      <c r="P28" s="3391">
        <f t="shared" si="10"/>
        <v>30</v>
      </c>
      <c r="Q28" s="3235">
        <v>700</v>
      </c>
      <c r="R28" s="3270">
        <f t="shared" si="8"/>
        <v>23520</v>
      </c>
      <c r="S28" s="1635"/>
      <c r="T28" s="3334">
        <f t="shared" si="7"/>
        <v>23520</v>
      </c>
      <c r="U28" s="1635"/>
      <c r="V28" s="1635"/>
      <c r="W28" s="1635"/>
      <c r="X28" s="1635"/>
      <c r="Y28" s="1635"/>
      <c r="Z28" s="1635"/>
      <c r="AA28" s="1635"/>
      <c r="AB28" s="1635"/>
      <c r="AC28" s="3290">
        <f t="shared" si="9"/>
        <v>784</v>
      </c>
      <c r="AD28" s="1578">
        <v>1.1200000000000001</v>
      </c>
    </row>
    <row r="29" spans="1:30" ht="48">
      <c r="A29" s="3265">
        <v>17</v>
      </c>
      <c r="B29" s="3236" t="s">
        <v>3985</v>
      </c>
      <c r="C29" s="3236" t="s">
        <v>3085</v>
      </c>
      <c r="D29" s="3234" t="s">
        <v>3086</v>
      </c>
      <c r="E29" s="3333">
        <v>4080.2</v>
      </c>
      <c r="F29" s="1635"/>
      <c r="G29" s="3333">
        <f t="shared" si="6"/>
        <v>4080.2</v>
      </c>
      <c r="H29" s="1635"/>
      <c r="I29" s="1635"/>
      <c r="J29" s="1635"/>
      <c r="K29" s="1635"/>
      <c r="L29" s="3235">
        <v>30</v>
      </c>
      <c r="M29" s="1635"/>
      <c r="N29" s="1635"/>
      <c r="O29" s="1635"/>
      <c r="P29" s="3391">
        <f t="shared" si="10"/>
        <v>30</v>
      </c>
      <c r="Q29" s="3235">
        <v>320</v>
      </c>
      <c r="R29" s="3270">
        <f t="shared" si="8"/>
        <v>10752</v>
      </c>
      <c r="S29" s="1635"/>
      <c r="T29" s="3334">
        <f t="shared" si="7"/>
        <v>10752</v>
      </c>
      <c r="U29" s="1635"/>
      <c r="V29" s="1635"/>
      <c r="W29" s="1635"/>
      <c r="X29" s="1635"/>
      <c r="Y29" s="1635"/>
      <c r="Z29" s="1635"/>
      <c r="AA29" s="1635"/>
      <c r="AB29" s="1635"/>
      <c r="AC29" s="3290">
        <f t="shared" si="9"/>
        <v>358.4</v>
      </c>
      <c r="AD29" s="1578">
        <v>1.1200000000000001</v>
      </c>
    </row>
    <row r="30" spans="1:30" ht="48">
      <c r="A30" s="3265">
        <v>19</v>
      </c>
      <c r="B30" s="3236" t="s">
        <v>3986</v>
      </c>
      <c r="C30" s="3232" t="s">
        <v>3088</v>
      </c>
      <c r="D30" s="3233" t="s">
        <v>1022</v>
      </c>
      <c r="E30" s="3333">
        <v>4080.2</v>
      </c>
      <c r="F30" s="1664"/>
      <c r="G30" s="3333">
        <f t="shared" si="6"/>
        <v>4080.2</v>
      </c>
      <c r="H30" s="2071"/>
      <c r="I30" s="2071"/>
      <c r="J30" s="2071"/>
      <c r="K30" s="1635"/>
      <c r="L30" s="3234">
        <v>36</v>
      </c>
      <c r="M30" s="1635"/>
      <c r="N30" s="1635"/>
      <c r="O30" s="1635"/>
      <c r="P30" s="3391">
        <f t="shared" si="10"/>
        <v>36</v>
      </c>
      <c r="Q30" s="3234">
        <v>1350</v>
      </c>
      <c r="R30" s="3270">
        <f t="shared" si="8"/>
        <v>54432</v>
      </c>
      <c r="S30" s="1635"/>
      <c r="T30" s="3334">
        <f t="shared" si="7"/>
        <v>54432</v>
      </c>
      <c r="U30" s="1635"/>
      <c r="V30" s="1635"/>
      <c r="W30" s="1635"/>
      <c r="X30" s="1635"/>
      <c r="Y30" s="1635"/>
      <c r="Z30" s="1635"/>
      <c r="AA30" s="1635"/>
      <c r="AB30" s="1635"/>
      <c r="AC30" s="3290">
        <f t="shared" si="9"/>
        <v>1512</v>
      </c>
      <c r="AD30" s="1578">
        <v>1.1200000000000001</v>
      </c>
    </row>
    <row r="31" spans="1:30" ht="48">
      <c r="A31" s="3265">
        <v>20</v>
      </c>
      <c r="B31" s="3236" t="s">
        <v>3987</v>
      </c>
      <c r="C31" s="3236" t="s">
        <v>3089</v>
      </c>
      <c r="D31" s="3234" t="s">
        <v>2254</v>
      </c>
      <c r="E31" s="3333">
        <v>4080.2</v>
      </c>
      <c r="F31" s="1635"/>
      <c r="G31" s="3333">
        <f t="shared" si="6"/>
        <v>4080.2</v>
      </c>
      <c r="H31" s="1635"/>
      <c r="I31" s="1635"/>
      <c r="J31" s="1635"/>
      <c r="K31" s="1635"/>
      <c r="L31" s="3235">
        <v>4000</v>
      </c>
      <c r="M31" s="1635"/>
      <c r="N31" s="1635"/>
      <c r="O31" s="1635"/>
      <c r="P31" s="3391">
        <f t="shared" si="10"/>
        <v>4000</v>
      </c>
      <c r="Q31" s="3235">
        <v>5.5</v>
      </c>
      <c r="R31" s="3270">
        <f t="shared" si="8"/>
        <v>24640</v>
      </c>
      <c r="S31" s="1635"/>
      <c r="T31" s="3334">
        <f t="shared" si="7"/>
        <v>24640</v>
      </c>
      <c r="U31" s="1635"/>
      <c r="V31" s="1635"/>
      <c r="W31" s="1635"/>
      <c r="X31" s="1635"/>
      <c r="Y31" s="1635"/>
      <c r="Z31" s="1635"/>
      <c r="AA31" s="1635"/>
      <c r="AB31" s="1635"/>
      <c r="AC31" s="3290">
        <f t="shared" si="9"/>
        <v>6.16</v>
      </c>
      <c r="AD31" s="1578">
        <v>1.1200000000000001</v>
      </c>
    </row>
    <row r="32" spans="1:30">
      <c r="A32" s="3265">
        <v>21</v>
      </c>
      <c r="B32" s="3370" t="s">
        <v>3090</v>
      </c>
      <c r="C32" s="3370" t="s">
        <v>3090</v>
      </c>
      <c r="D32" s="3370" t="s">
        <v>1022</v>
      </c>
      <c r="E32" s="3373">
        <v>4080.2</v>
      </c>
      <c r="F32" s="3371"/>
      <c r="G32" s="3373">
        <f t="shared" si="6"/>
        <v>4080.2</v>
      </c>
      <c r="H32" s="3371"/>
      <c r="I32" s="3371"/>
      <c r="J32" s="3371"/>
      <c r="K32" s="3371"/>
      <c r="L32" s="3372">
        <v>2</v>
      </c>
      <c r="M32" s="3265"/>
      <c r="N32" s="3265"/>
      <c r="O32" s="3265"/>
      <c r="P32" s="3391">
        <f t="shared" si="10"/>
        <v>2</v>
      </c>
      <c r="Q32" s="3265">
        <v>17000</v>
      </c>
      <c r="R32" s="3270">
        <f t="shared" si="8"/>
        <v>38080</v>
      </c>
      <c r="S32" s="3265"/>
      <c r="T32" s="3334">
        <f t="shared" si="7"/>
        <v>38080</v>
      </c>
      <c r="U32" s="1635"/>
      <c r="V32" s="1635"/>
      <c r="W32" s="1635"/>
      <c r="X32" s="1635"/>
      <c r="Y32" s="1635"/>
      <c r="Z32" s="1635"/>
      <c r="AA32" s="1635"/>
      <c r="AB32" s="1635"/>
      <c r="AC32" s="3290">
        <f t="shared" si="9"/>
        <v>19040</v>
      </c>
      <c r="AD32" s="1578">
        <v>1.1200000000000001</v>
      </c>
    </row>
    <row r="33" spans="1:30" ht="24">
      <c r="A33" s="3265">
        <v>22</v>
      </c>
      <c r="B33" s="3236" t="s">
        <v>3091</v>
      </c>
      <c r="C33" s="3236" t="s">
        <v>3091</v>
      </c>
      <c r="D33" s="3234" t="s">
        <v>1022</v>
      </c>
      <c r="E33" s="3333">
        <v>4080.2</v>
      </c>
      <c r="F33" s="1664"/>
      <c r="G33" s="3333">
        <f t="shared" si="6"/>
        <v>4080.2</v>
      </c>
      <c r="H33" s="2071"/>
      <c r="I33" s="2071"/>
      <c r="J33" s="2071"/>
      <c r="K33" s="1635"/>
      <c r="L33" s="3235">
        <v>10</v>
      </c>
      <c r="M33" s="1635"/>
      <c r="N33" s="1635"/>
      <c r="O33" s="1635"/>
      <c r="P33" s="3391">
        <f t="shared" si="10"/>
        <v>10</v>
      </c>
      <c r="Q33" s="3235">
        <v>1500</v>
      </c>
      <c r="R33" s="3270">
        <f t="shared" si="8"/>
        <v>16800</v>
      </c>
      <c r="S33" s="1635"/>
      <c r="T33" s="3334">
        <f t="shared" si="7"/>
        <v>16800</v>
      </c>
      <c r="U33" s="1635"/>
      <c r="V33" s="1635"/>
      <c r="W33" s="1635"/>
      <c r="X33" s="1635"/>
      <c r="Y33" s="1635"/>
      <c r="Z33" s="1635"/>
      <c r="AA33" s="1635"/>
      <c r="AB33" s="1635"/>
      <c r="AC33" s="3290">
        <f t="shared" si="9"/>
        <v>1680</v>
      </c>
      <c r="AD33" s="1578">
        <v>1.1200000000000001</v>
      </c>
    </row>
    <row r="36" spans="1:30" ht="15.75">
      <c r="B36" s="1970" t="s">
        <v>368</v>
      </c>
      <c r="C36" s="1963"/>
      <c r="D36" s="2001"/>
      <c r="E36" s="2151"/>
      <c r="F36" s="1925"/>
      <c r="G36" s="1968"/>
      <c r="H36" s="1925"/>
    </row>
    <row r="37" spans="1:30" ht="15.75">
      <c r="B37" s="1970" t="s">
        <v>370</v>
      </c>
      <c r="C37" s="1963"/>
      <c r="D37" s="2001"/>
      <c r="E37" s="2151"/>
      <c r="F37" s="1925"/>
      <c r="G37" s="1968" t="s">
        <v>371</v>
      </c>
      <c r="H37" s="1925"/>
    </row>
    <row r="38" spans="1:30" ht="15.75">
      <c r="B38" s="1970"/>
      <c r="C38" s="1963"/>
      <c r="D38" s="2001"/>
      <c r="E38" s="2001"/>
      <c r="F38" s="1925"/>
      <c r="G38" s="2152"/>
      <c r="H38" s="1925"/>
    </row>
    <row r="39" spans="1:30" ht="15.75">
      <c r="B39" s="1970" t="s">
        <v>451</v>
      </c>
      <c r="C39" s="1963"/>
      <c r="D39" s="2001"/>
      <c r="E39" s="2001"/>
      <c r="F39" s="1925"/>
      <c r="G39" s="1963" t="s">
        <v>452</v>
      </c>
      <c r="H39" s="1925"/>
    </row>
    <row r="40" spans="1:30" ht="15.75">
      <c r="B40" s="1970"/>
      <c r="C40" s="1963"/>
      <c r="D40" s="2001"/>
      <c r="E40" s="2001"/>
      <c r="F40" s="1925"/>
      <c r="G40" s="2153"/>
      <c r="H40" s="1925"/>
    </row>
    <row r="41" spans="1:30" ht="15.75">
      <c r="B41" s="1970" t="s">
        <v>375</v>
      </c>
      <c r="C41" s="2153"/>
      <c r="D41" s="2154"/>
      <c r="E41" s="2154"/>
      <c r="F41" s="1925"/>
      <c r="G41" s="1963" t="s">
        <v>453</v>
      </c>
      <c r="H41" s="2135"/>
    </row>
  </sheetData>
  <sheetProtection formatColumns="0" insertRows="0" deleteRows="0"/>
  <sortState xmlns:xlrd2="http://schemas.microsoft.com/office/spreadsheetml/2017/richdata2" ref="B13:AC33">
    <sortCondition ref="B13"/>
  </sortState>
  <mergeCells count="19">
    <mergeCell ref="A7:A8"/>
    <mergeCell ref="B7:B8"/>
    <mergeCell ref="C7:C8"/>
    <mergeCell ref="D7:D8"/>
    <mergeCell ref="E7:E8"/>
    <mergeCell ref="AC7:AC8"/>
    <mergeCell ref="Y7:Y8"/>
    <mergeCell ref="Z7:Z8"/>
    <mergeCell ref="AA7:AB7"/>
    <mergeCell ref="F7:G7"/>
    <mergeCell ref="H7:H8"/>
    <mergeCell ref="I7:K7"/>
    <mergeCell ref="L7:P7"/>
    <mergeCell ref="Q7:Q8"/>
    <mergeCell ref="R7:R8"/>
    <mergeCell ref="S7:T7"/>
    <mergeCell ref="U7:U8"/>
    <mergeCell ref="V7:V8"/>
    <mergeCell ref="W7:X7"/>
  </mergeCells>
  <pageMargins left="0" right="0" top="0.78740157480314965" bottom="0.78740157480314965" header="0" footer="0"/>
  <pageSetup paperSize="9" scale="59" fitToHeight="0" orientation="landscape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tabColor rgb="FF92D050"/>
    <pageSetUpPr fitToPage="1"/>
  </sheetPr>
  <dimension ref="A1:AO237"/>
  <sheetViews>
    <sheetView zoomScaleSheetLayoutView="70" workbookViewId="0">
      <pane xSplit="2" ySplit="7" topLeftCell="C218" activePane="bottomRight" state="frozen"/>
      <selection pane="topRight" activeCell="C1" sqref="C1"/>
      <selection pane="bottomLeft" activeCell="A10" sqref="A10"/>
      <selection pane="bottomRight" activeCell="T17" sqref="T17"/>
    </sheetView>
  </sheetViews>
  <sheetFormatPr defaultColWidth="9.140625" defaultRowHeight="12.75"/>
  <cols>
    <col min="1" max="1" width="4.140625" style="1645" customWidth="1"/>
    <col min="2" max="2" width="26" style="1580" customWidth="1"/>
    <col min="3" max="3" width="37.5703125" style="357" customWidth="1"/>
    <col min="4" max="4" width="8.28515625" style="1580" customWidth="1"/>
    <col min="5" max="5" width="10.42578125" style="1580" customWidth="1"/>
    <col min="6" max="6" width="3.7109375" style="1580" customWidth="1"/>
    <col min="7" max="7" width="11" style="1600" customWidth="1"/>
    <col min="8" max="8" width="9.28515625" style="1580" customWidth="1"/>
    <col min="9" max="9" width="6.140625" style="1580" customWidth="1"/>
    <col min="10" max="10" width="7" style="1580" customWidth="1"/>
    <col min="11" max="11" width="9.42578125" style="1580" customWidth="1"/>
    <col min="12" max="12" width="11" style="1580" customWidth="1"/>
    <col min="13" max="13" width="10.85546875" style="1580" customWidth="1"/>
    <col min="14" max="14" width="9.42578125" style="1580" customWidth="1"/>
    <col min="15" max="15" width="10.85546875" style="1580" customWidth="1"/>
    <col min="16" max="16" width="10.42578125" style="1580" customWidth="1"/>
    <col min="17" max="17" width="10.42578125" style="1580" hidden="1" customWidth="1"/>
    <col min="18" max="18" width="14.85546875" style="1580" hidden="1" customWidth="1"/>
    <col min="19" max="19" width="11.7109375" style="1580" customWidth="1"/>
    <col min="20" max="20" width="15.42578125" style="1580" customWidth="1"/>
    <col min="21" max="21" width="13.42578125" style="1580" bestFit="1" customWidth="1"/>
    <col min="22" max="22" width="15.28515625" style="1580" customWidth="1"/>
    <col min="23" max="23" width="12.7109375" style="1580" hidden="1" customWidth="1"/>
    <col min="24" max="24" width="14.85546875" style="1580" hidden="1" customWidth="1"/>
    <col min="25" max="25" width="6.28515625" style="1580" hidden="1" customWidth="1"/>
    <col min="26" max="26" width="15.42578125" style="1580" hidden="1" customWidth="1"/>
    <col min="27" max="27" width="11" style="1580" hidden="1" customWidth="1"/>
    <col min="28" max="28" width="16" style="1580" hidden="1" customWidth="1"/>
    <col min="29" max="29" width="7.85546875" style="1580" hidden="1" customWidth="1"/>
    <col min="30" max="30" width="15.5703125" style="1580" hidden="1" customWidth="1"/>
    <col min="31" max="34" width="9.140625" style="1580"/>
    <col min="35" max="35" width="10" style="1580" customWidth="1"/>
    <col min="36" max="36" width="10.140625" style="1580" customWidth="1"/>
    <col min="37" max="16384" width="9.140625" style="1580"/>
  </cols>
  <sheetData>
    <row r="1" spans="1:41" s="1636" customFormat="1">
      <c r="A1" s="2131" t="s">
        <v>3988</v>
      </c>
      <c r="B1" s="2093"/>
      <c r="C1" s="2094"/>
      <c r="D1" s="2093"/>
      <c r="E1" s="2093"/>
      <c r="F1" s="2093"/>
      <c r="G1" s="2095"/>
      <c r="H1" s="2093"/>
      <c r="I1" s="2093"/>
      <c r="J1" s="2093"/>
      <c r="K1" s="2093"/>
      <c r="L1" s="2093"/>
      <c r="M1" s="2093"/>
      <c r="N1" s="2093"/>
      <c r="O1" s="2093"/>
      <c r="P1" s="2093"/>
      <c r="Q1" s="2093"/>
      <c r="R1" s="2093"/>
      <c r="S1" s="2093"/>
      <c r="T1" s="2093"/>
      <c r="U1" s="1732" t="s">
        <v>267</v>
      </c>
      <c r="V1" s="2132" t="s">
        <v>2270</v>
      </c>
      <c r="W1" s="2093"/>
    </row>
    <row r="2" spans="1:41">
      <c r="A2" s="2133"/>
      <c r="B2" s="1732" t="s">
        <v>2693</v>
      </c>
      <c r="C2" s="2096"/>
      <c r="D2" s="1732"/>
      <c r="E2" s="1732"/>
      <c r="F2" s="1732"/>
      <c r="G2" s="2050"/>
      <c r="H2" s="1732"/>
      <c r="I2" s="1732"/>
      <c r="J2" s="1732"/>
      <c r="K2" s="1732"/>
      <c r="L2" s="1732"/>
      <c r="M2" s="1732"/>
      <c r="N2" s="1732"/>
      <c r="O2" s="1732"/>
      <c r="P2" s="1732"/>
      <c r="Q2" s="1732"/>
      <c r="R2" s="1732"/>
      <c r="S2" s="1732"/>
      <c r="T2" s="1732"/>
      <c r="U2" s="1732"/>
      <c r="V2" s="1732"/>
      <c r="W2" s="1732"/>
    </row>
    <row r="3" spans="1:41" s="1636" customFormat="1" ht="13.5">
      <c r="A3" s="2131" t="s">
        <v>2917</v>
      </c>
      <c r="B3" s="2093"/>
      <c r="C3" s="2094"/>
      <c r="D3" s="2093"/>
      <c r="E3" s="2093"/>
      <c r="F3" s="2093"/>
      <c r="G3" s="2095"/>
      <c r="H3" s="2093"/>
      <c r="I3" s="2093"/>
      <c r="J3" s="2093"/>
      <c r="K3" s="2093"/>
      <c r="L3" s="2093"/>
      <c r="M3" s="2093"/>
      <c r="N3" s="2093"/>
      <c r="O3" s="2093"/>
      <c r="P3" s="2093"/>
      <c r="Q3" s="2093"/>
      <c r="R3" s="2093"/>
      <c r="S3" s="2093"/>
      <c r="T3" s="2480"/>
      <c r="U3" s="2903">
        <f>T7+тмцИНТ!T9</f>
        <v>0</v>
      </c>
      <c r="V3" s="2093"/>
      <c r="W3" s="2093">
        <v>1.06</v>
      </c>
      <c r="AB3" s="1636">
        <v>1.05</v>
      </c>
    </row>
    <row r="4" spans="1:41">
      <c r="A4" s="2134" t="s">
        <v>990</v>
      </c>
      <c r="B4" s="1732"/>
      <c r="C4" s="2096"/>
      <c r="D4" s="1732"/>
      <c r="E4" s="1732"/>
      <c r="F4" s="1732"/>
      <c r="G4" s="2050"/>
      <c r="H4" s="1732"/>
      <c r="I4" s="1732"/>
      <c r="J4" s="1732"/>
      <c r="K4" s="1732"/>
      <c r="L4" s="1732"/>
      <c r="M4" s="1732"/>
      <c r="N4" s="1732"/>
      <c r="O4" s="1732"/>
      <c r="P4" s="1732"/>
      <c r="Q4" s="1732"/>
      <c r="R4" s="1732"/>
      <c r="S4" s="1732"/>
      <c r="T4" s="1732"/>
      <c r="U4" s="1732"/>
      <c r="V4" s="1732"/>
      <c r="W4" s="1732"/>
    </row>
    <row r="5" spans="1:41" ht="30" customHeight="1">
      <c r="A5" s="4230" t="s">
        <v>2</v>
      </c>
      <c r="B5" s="4078" t="s">
        <v>478</v>
      </c>
      <c r="C5" s="4078" t="s">
        <v>995</v>
      </c>
      <c r="D5" s="4078" t="s">
        <v>996</v>
      </c>
      <c r="E5" s="4078" t="s">
        <v>1191</v>
      </c>
      <c r="F5" s="4078" t="s">
        <v>255</v>
      </c>
      <c r="G5" s="4078"/>
      <c r="H5" s="4078" t="s">
        <v>1192</v>
      </c>
      <c r="I5" s="4078" t="s">
        <v>1193</v>
      </c>
      <c r="J5" s="4078"/>
      <c r="K5" s="4078"/>
      <c r="L5" s="4078" t="s">
        <v>922</v>
      </c>
      <c r="M5" s="4078"/>
      <c r="N5" s="4078"/>
      <c r="O5" s="4078"/>
      <c r="P5" s="4078"/>
      <c r="Q5" s="2081"/>
      <c r="R5" s="4078" t="s">
        <v>999</v>
      </c>
      <c r="S5" s="4078" t="s">
        <v>999</v>
      </c>
      <c r="T5" s="4078" t="s">
        <v>379</v>
      </c>
      <c r="U5" s="4078" t="s">
        <v>1001</v>
      </c>
      <c r="V5" s="4078"/>
      <c r="W5" s="4078" t="s">
        <v>999</v>
      </c>
      <c r="X5" s="4078" t="s">
        <v>380</v>
      </c>
      <c r="Y5" s="4078" t="s">
        <v>1001</v>
      </c>
      <c r="Z5" s="4078"/>
      <c r="AA5" s="4078" t="s">
        <v>999</v>
      </c>
      <c r="AB5" s="4078" t="s">
        <v>426</v>
      </c>
      <c r="AC5" s="4078" t="s">
        <v>1001</v>
      </c>
      <c r="AD5" s="4078"/>
      <c r="AE5" s="1755"/>
      <c r="AF5" s="1755"/>
      <c r="AG5" s="1755"/>
      <c r="AH5" s="1755"/>
      <c r="AI5" s="1755"/>
      <c r="AJ5" s="1755"/>
      <c r="AK5" s="1755"/>
      <c r="AL5" s="1755"/>
      <c r="AM5" s="1755"/>
      <c r="AN5" s="1755"/>
      <c r="AO5" s="1755"/>
    </row>
    <row r="6" spans="1:41" ht="70.5" customHeight="1">
      <c r="A6" s="4230"/>
      <c r="B6" s="4078"/>
      <c r="C6" s="4078"/>
      <c r="D6" s="4078"/>
      <c r="E6" s="4078"/>
      <c r="F6" s="2081" t="s">
        <v>7</v>
      </c>
      <c r="G6" s="2040" t="s">
        <v>8</v>
      </c>
      <c r="H6" s="4078"/>
      <c r="I6" s="2081" t="s">
        <v>7</v>
      </c>
      <c r="J6" s="2081" t="s">
        <v>8</v>
      </c>
      <c r="K6" s="2081" t="s">
        <v>1096</v>
      </c>
      <c r="L6" s="2081" t="s">
        <v>1099</v>
      </c>
      <c r="M6" s="2081" t="s">
        <v>1194</v>
      </c>
      <c r="N6" s="2081" t="s">
        <v>1011</v>
      </c>
      <c r="O6" s="2081" t="s">
        <v>1012</v>
      </c>
      <c r="P6" s="2081" t="s">
        <v>1013</v>
      </c>
      <c r="Q6" s="2081"/>
      <c r="R6" s="4078"/>
      <c r="S6" s="4078"/>
      <c r="T6" s="4078"/>
      <c r="U6" s="2081" t="s">
        <v>7</v>
      </c>
      <c r="V6" s="2081" t="s">
        <v>8</v>
      </c>
      <c r="W6" s="4078"/>
      <c r="X6" s="4078"/>
      <c r="Y6" s="2081" t="s">
        <v>7</v>
      </c>
      <c r="Z6" s="2081" t="s">
        <v>8</v>
      </c>
      <c r="AA6" s="4078"/>
      <c r="AB6" s="4078"/>
      <c r="AC6" s="2081" t="s">
        <v>7</v>
      </c>
      <c r="AD6" s="2081" t="s">
        <v>8</v>
      </c>
      <c r="AE6" s="1764"/>
      <c r="AF6" s="1764"/>
      <c r="AG6" s="1764"/>
      <c r="AH6" s="1755"/>
      <c r="AI6" s="1764"/>
      <c r="AJ6" s="1764"/>
      <c r="AK6" s="1764"/>
      <c r="AL6" s="1764"/>
      <c r="AM6" s="1764"/>
      <c r="AN6" s="1764"/>
      <c r="AO6" s="1764"/>
    </row>
    <row r="7" spans="1:41" ht="13.5">
      <c r="A7" s="2129"/>
      <c r="B7" s="2083" t="s">
        <v>306</v>
      </c>
      <c r="C7" s="2124"/>
      <c r="D7" s="2123"/>
      <c r="E7" s="2125"/>
      <c r="F7" s="2125"/>
      <c r="G7" s="2126"/>
      <c r="H7" s="2125">
        <f>SUM(H8:H33)</f>
        <v>0</v>
      </c>
      <c r="I7" s="2125">
        <f>SUM(I8:I33)</f>
        <v>0</v>
      </c>
      <c r="J7" s="2125">
        <f>SUM(J8:J33)</f>
        <v>0</v>
      </c>
      <c r="K7" s="2125"/>
      <c r="L7" s="2125"/>
      <c r="M7" s="2125"/>
      <c r="N7" s="2125">
        <f>SUM(N8:N33)</f>
        <v>1</v>
      </c>
      <c r="O7" s="2125"/>
      <c r="P7" s="2125"/>
      <c r="Q7" s="2125"/>
      <c r="R7" s="2125"/>
      <c r="S7" s="2125"/>
      <c r="T7" s="2125">
        <f>SUM(T8:T228)</f>
        <v>0</v>
      </c>
      <c r="U7" s="2125"/>
      <c r="V7" s="2125">
        <f>SUM(V8:V228)</f>
        <v>0</v>
      </c>
      <c r="W7" s="2125"/>
      <c r="X7" s="2125">
        <f>SUM(X8:X228)</f>
        <v>0</v>
      </c>
      <c r="Y7" s="2125"/>
      <c r="Z7" s="2125">
        <f>SUM(Z8:Z228)</f>
        <v>0</v>
      </c>
      <c r="AA7" s="2125"/>
      <c r="AB7" s="2125">
        <f>SUM(AB8:AB228)</f>
        <v>0</v>
      </c>
      <c r="AC7" s="2125"/>
      <c r="AD7" s="2125">
        <f>SUM(AD8:AD228)</f>
        <v>0</v>
      </c>
      <c r="AE7" s="1755"/>
      <c r="AF7" s="1755"/>
      <c r="AG7" s="1755"/>
      <c r="AH7" s="1755"/>
      <c r="AI7" s="1755"/>
      <c r="AJ7" s="1755"/>
      <c r="AK7" s="1755"/>
      <c r="AL7" s="1755"/>
      <c r="AM7" s="1755"/>
      <c r="AN7" s="1755"/>
      <c r="AO7" s="1755"/>
    </row>
    <row r="8" spans="1:41">
      <c r="A8" s="2130">
        <v>1</v>
      </c>
      <c r="B8" s="2894" t="s">
        <v>2274</v>
      </c>
      <c r="C8" s="2895" t="s">
        <v>2275</v>
      </c>
      <c r="D8" s="2896" t="s">
        <v>1268</v>
      </c>
      <c r="E8" s="2088">
        <v>4080.2</v>
      </c>
      <c r="F8" s="1820"/>
      <c r="G8" s="2127">
        <f>E8</f>
        <v>4080.2</v>
      </c>
      <c r="H8" s="1820"/>
      <c r="I8" s="1820"/>
      <c r="J8" s="1820"/>
      <c r="K8" s="1820"/>
      <c r="L8" s="2901"/>
      <c r="M8" s="1742"/>
      <c r="N8" s="2122"/>
      <c r="O8" s="2122">
        <v>15</v>
      </c>
      <c r="P8" s="1664"/>
      <c r="Q8" s="1664">
        <v>1.07</v>
      </c>
      <c r="R8" s="1664">
        <v>210</v>
      </c>
      <c r="S8" s="1664">
        <f>ROUND(Q8*R8,2)</f>
        <v>224.7</v>
      </c>
      <c r="T8" s="1664">
        <f>ROUND(P8*S8,0)</f>
        <v>0</v>
      </c>
      <c r="U8" s="1664"/>
      <c r="V8" s="1664">
        <f>T8-U8</f>
        <v>0</v>
      </c>
      <c r="W8" s="1664">
        <f>ROUND(S8*$W$3,2)</f>
        <v>238.18</v>
      </c>
      <c r="X8" s="1664">
        <f>ROUND(P8*W8,0)</f>
        <v>0</v>
      </c>
      <c r="Y8" s="1664"/>
      <c r="Z8" s="1664">
        <f>X8-Y8</f>
        <v>0</v>
      </c>
      <c r="AA8" s="1664">
        <f>ROUND(W8*$AB$3,2)</f>
        <v>250.09</v>
      </c>
      <c r="AB8" s="1664">
        <f>ROUND(P8*AA8,0)</f>
        <v>0</v>
      </c>
      <c r="AC8" s="1664"/>
      <c r="AD8" s="1664">
        <f>AB8-AC8</f>
        <v>0</v>
      </c>
      <c r="AE8" s="1755"/>
      <c r="AF8" s="1755"/>
      <c r="AG8" s="1755"/>
      <c r="AH8" s="1755"/>
      <c r="AI8" s="1755"/>
      <c r="AJ8" s="1755"/>
      <c r="AK8" s="1755"/>
      <c r="AL8" s="1755"/>
      <c r="AM8" s="1755"/>
      <c r="AN8" s="1755"/>
      <c r="AO8" s="1755"/>
    </row>
    <row r="9" spans="1:41">
      <c r="A9" s="2130">
        <v>2</v>
      </c>
      <c r="B9" s="2894" t="s">
        <v>2274</v>
      </c>
      <c r="C9" s="2895" t="s">
        <v>2276</v>
      </c>
      <c r="D9" s="2896" t="s">
        <v>1268</v>
      </c>
      <c r="E9" s="2127">
        <v>4080.2</v>
      </c>
      <c r="F9" s="1820"/>
      <c r="G9" s="2127">
        <f t="shared" ref="G9:G69" si="0">E9</f>
        <v>4080.2</v>
      </c>
      <c r="H9" s="1820"/>
      <c r="I9" s="1820"/>
      <c r="J9" s="1820"/>
      <c r="K9" s="1820"/>
      <c r="L9" s="2901"/>
      <c r="M9" s="1742"/>
      <c r="N9" s="2122"/>
      <c r="O9" s="2122">
        <v>15</v>
      </c>
      <c r="P9" s="1664"/>
      <c r="Q9" s="1664">
        <v>1.07</v>
      </c>
      <c r="R9" s="1664">
        <v>290</v>
      </c>
      <c r="S9" s="1664">
        <f t="shared" ref="S9:S72" si="1">ROUND(Q9*R9,2)</f>
        <v>310.3</v>
      </c>
      <c r="T9" s="1664">
        <f t="shared" ref="T9:T72" si="2">ROUND(P9*S9,0)</f>
        <v>0</v>
      </c>
      <c r="U9" s="1664"/>
      <c r="V9" s="1664">
        <f t="shared" ref="V9:V15" si="3">T9-U9</f>
        <v>0</v>
      </c>
      <c r="W9" s="1664">
        <f t="shared" ref="W9:W72" si="4">ROUND(S9*$W$3,2)</f>
        <v>328.92</v>
      </c>
      <c r="X9" s="1664">
        <f t="shared" ref="X9:X72" si="5">ROUND(P9*W9,0)</f>
        <v>0</v>
      </c>
      <c r="Y9" s="1664"/>
      <c r="Z9" s="1664">
        <f t="shared" ref="Z9:Z15" si="6">X9-Y9</f>
        <v>0</v>
      </c>
      <c r="AA9" s="1664">
        <f t="shared" ref="AA9:AA72" si="7">ROUND(W9*$AB$3,2)</f>
        <v>345.37</v>
      </c>
      <c r="AB9" s="1664">
        <f t="shared" ref="AB9:AB72" si="8">ROUND(P9*AA9,0)</f>
        <v>0</v>
      </c>
      <c r="AC9" s="1664"/>
      <c r="AD9" s="1664">
        <f t="shared" ref="AD9:AD15" si="9">AB9-AC9</f>
        <v>0</v>
      </c>
      <c r="AE9" s="1755"/>
      <c r="AF9" s="1755"/>
      <c r="AG9" s="1755"/>
      <c r="AH9" s="1755"/>
      <c r="AI9" s="1755"/>
      <c r="AJ9" s="1755"/>
      <c r="AK9" s="1755"/>
      <c r="AL9" s="1755"/>
      <c r="AM9" s="1755"/>
      <c r="AN9" s="1755"/>
      <c r="AO9" s="1755"/>
    </row>
    <row r="10" spans="1:41">
      <c r="A10" s="2130">
        <v>3</v>
      </c>
      <c r="B10" s="2894" t="s">
        <v>2274</v>
      </c>
      <c r="C10" s="2895" t="s">
        <v>2277</v>
      </c>
      <c r="D10" s="2896" t="s">
        <v>1268</v>
      </c>
      <c r="E10" s="2127">
        <v>4080.2</v>
      </c>
      <c r="F10" s="1820"/>
      <c r="G10" s="2127">
        <f t="shared" si="0"/>
        <v>4080.2</v>
      </c>
      <c r="H10" s="1820"/>
      <c r="I10" s="1820"/>
      <c r="J10" s="1820"/>
      <c r="K10" s="1820"/>
      <c r="L10" s="2901"/>
      <c r="M10" s="1742"/>
      <c r="N10" s="2122"/>
      <c r="O10" s="2122">
        <v>15</v>
      </c>
      <c r="P10" s="1664"/>
      <c r="Q10" s="1664">
        <v>1.07</v>
      </c>
      <c r="R10" s="1664">
        <v>335</v>
      </c>
      <c r="S10" s="1664">
        <f t="shared" si="1"/>
        <v>358.45</v>
      </c>
      <c r="T10" s="1664">
        <f t="shared" si="2"/>
        <v>0</v>
      </c>
      <c r="U10" s="1664"/>
      <c r="V10" s="1664">
        <f t="shared" si="3"/>
        <v>0</v>
      </c>
      <c r="W10" s="1664">
        <f t="shared" si="4"/>
        <v>379.96</v>
      </c>
      <c r="X10" s="1664">
        <f t="shared" si="5"/>
        <v>0</v>
      </c>
      <c r="Y10" s="1664"/>
      <c r="Z10" s="1664">
        <f t="shared" si="6"/>
        <v>0</v>
      </c>
      <c r="AA10" s="1664">
        <f t="shared" si="7"/>
        <v>398.96</v>
      </c>
      <c r="AB10" s="1664">
        <f t="shared" si="8"/>
        <v>0</v>
      </c>
      <c r="AC10" s="1664"/>
      <c r="AD10" s="1664">
        <f t="shared" si="9"/>
        <v>0</v>
      </c>
      <c r="AE10" s="1755"/>
      <c r="AF10" s="1755"/>
      <c r="AG10" s="1755"/>
      <c r="AH10" s="1755"/>
      <c r="AI10" s="1755"/>
      <c r="AJ10" s="1755"/>
      <c r="AK10" s="1755"/>
      <c r="AL10" s="1755"/>
      <c r="AM10" s="1755"/>
      <c r="AN10" s="1755"/>
      <c r="AO10" s="1755"/>
    </row>
    <row r="11" spans="1:41">
      <c r="A11" s="2130">
        <v>4</v>
      </c>
      <c r="B11" s="2894" t="s">
        <v>2274</v>
      </c>
      <c r="C11" s="2895" t="s">
        <v>2278</v>
      </c>
      <c r="D11" s="2896" t="s">
        <v>1268</v>
      </c>
      <c r="E11" s="2127">
        <v>4080.2</v>
      </c>
      <c r="F11" s="1820"/>
      <c r="G11" s="2127">
        <f t="shared" si="0"/>
        <v>4080.2</v>
      </c>
      <c r="H11" s="1820"/>
      <c r="I11" s="1820"/>
      <c r="J11" s="1820"/>
      <c r="K11" s="1820"/>
      <c r="L11" s="2901"/>
      <c r="M11" s="1742"/>
      <c r="N11" s="2122"/>
      <c r="O11" s="2122">
        <v>10</v>
      </c>
      <c r="P11" s="1664"/>
      <c r="Q11" s="1664">
        <v>1.07</v>
      </c>
      <c r="R11" s="1664">
        <v>405</v>
      </c>
      <c r="S11" s="1664">
        <f t="shared" si="1"/>
        <v>433.35</v>
      </c>
      <c r="T11" s="1664">
        <f t="shared" si="2"/>
        <v>0</v>
      </c>
      <c r="U11" s="1664"/>
      <c r="V11" s="1664">
        <f t="shared" si="3"/>
        <v>0</v>
      </c>
      <c r="W11" s="1664">
        <f t="shared" si="4"/>
        <v>459.35</v>
      </c>
      <c r="X11" s="1664">
        <f t="shared" si="5"/>
        <v>0</v>
      </c>
      <c r="Y11" s="1664"/>
      <c r="Z11" s="1664">
        <f t="shared" si="6"/>
        <v>0</v>
      </c>
      <c r="AA11" s="1664">
        <f t="shared" si="7"/>
        <v>482.32</v>
      </c>
      <c r="AB11" s="1664">
        <f t="shared" si="8"/>
        <v>0</v>
      </c>
      <c r="AC11" s="1664"/>
      <c r="AD11" s="1664">
        <f t="shared" si="9"/>
        <v>0</v>
      </c>
      <c r="AE11" s="1755"/>
      <c r="AF11" s="1755"/>
      <c r="AG11" s="1755"/>
      <c r="AH11" s="1755"/>
      <c r="AI11" s="1755"/>
      <c r="AJ11" s="1755"/>
      <c r="AK11" s="1755"/>
      <c r="AL11" s="1755"/>
      <c r="AM11" s="1755"/>
      <c r="AN11" s="1755"/>
      <c r="AO11" s="1755"/>
    </row>
    <row r="12" spans="1:41" ht="25.5">
      <c r="A12" s="2130">
        <v>5</v>
      </c>
      <c r="B12" s="2894" t="s">
        <v>2279</v>
      </c>
      <c r="C12" s="2895" t="s">
        <v>2280</v>
      </c>
      <c r="D12" s="2896" t="s">
        <v>1395</v>
      </c>
      <c r="E12" s="2127">
        <v>4080.2</v>
      </c>
      <c r="F12" s="1820"/>
      <c r="G12" s="2127">
        <f t="shared" si="0"/>
        <v>4080.2</v>
      </c>
      <c r="H12" s="1820"/>
      <c r="I12" s="1820"/>
      <c r="J12" s="1820"/>
      <c r="K12" s="1820"/>
      <c r="L12" s="2901"/>
      <c r="M12" s="1742"/>
      <c r="N12" s="2122"/>
      <c r="O12" s="2122"/>
      <c r="P12" s="1664"/>
      <c r="Q12" s="1664">
        <v>1.07</v>
      </c>
      <c r="R12" s="1664">
        <v>2990</v>
      </c>
      <c r="S12" s="1664">
        <f t="shared" si="1"/>
        <v>3199.3</v>
      </c>
      <c r="T12" s="1664">
        <f t="shared" si="2"/>
        <v>0</v>
      </c>
      <c r="U12" s="1664"/>
      <c r="V12" s="1664">
        <f t="shared" si="3"/>
        <v>0</v>
      </c>
      <c r="W12" s="1664">
        <f t="shared" si="4"/>
        <v>3391.26</v>
      </c>
      <c r="X12" s="1664">
        <f t="shared" si="5"/>
        <v>0</v>
      </c>
      <c r="Y12" s="1664"/>
      <c r="Z12" s="1664">
        <f t="shared" si="6"/>
        <v>0</v>
      </c>
      <c r="AA12" s="1664">
        <f t="shared" si="7"/>
        <v>3560.82</v>
      </c>
      <c r="AB12" s="1664">
        <f t="shared" si="8"/>
        <v>0</v>
      </c>
      <c r="AC12" s="1664"/>
      <c r="AD12" s="1664">
        <f t="shared" si="9"/>
        <v>0</v>
      </c>
      <c r="AE12" s="1755"/>
      <c r="AF12" s="1755"/>
      <c r="AG12" s="1755"/>
      <c r="AH12" s="1755"/>
      <c r="AI12" s="1755"/>
      <c r="AJ12" s="1755"/>
      <c r="AK12" s="1755"/>
      <c r="AL12" s="1755"/>
      <c r="AM12" s="1755"/>
      <c r="AN12" s="1755"/>
      <c r="AO12" s="1755"/>
    </row>
    <row r="13" spans="1:41">
      <c r="A13" s="2130">
        <v>6</v>
      </c>
      <c r="B13" s="2894" t="s">
        <v>3989</v>
      </c>
      <c r="C13" s="2895" t="s">
        <v>2282</v>
      </c>
      <c r="D13" s="2896" t="s">
        <v>1395</v>
      </c>
      <c r="E13" s="2127">
        <v>4080.2</v>
      </c>
      <c r="F13" s="1820"/>
      <c r="G13" s="2127">
        <f t="shared" si="0"/>
        <v>4080.2</v>
      </c>
      <c r="H13" s="1820"/>
      <c r="I13" s="1820"/>
      <c r="J13" s="1820"/>
      <c r="K13" s="1820"/>
      <c r="L13" s="2901"/>
      <c r="M13" s="1742"/>
      <c r="N13" s="2122"/>
      <c r="O13" s="2122">
        <v>2</v>
      </c>
      <c r="P13" s="1664"/>
      <c r="Q13" s="1664">
        <v>1.07</v>
      </c>
      <c r="R13" s="1664">
        <v>7010</v>
      </c>
      <c r="S13" s="1664">
        <f t="shared" si="1"/>
        <v>7500.7</v>
      </c>
      <c r="T13" s="1664">
        <f t="shared" si="2"/>
        <v>0</v>
      </c>
      <c r="U13" s="1664"/>
      <c r="V13" s="1664">
        <f t="shared" si="3"/>
        <v>0</v>
      </c>
      <c r="W13" s="1664">
        <f t="shared" si="4"/>
        <v>7950.74</v>
      </c>
      <c r="X13" s="1664">
        <f t="shared" si="5"/>
        <v>0</v>
      </c>
      <c r="Y13" s="1664"/>
      <c r="Z13" s="1664">
        <f t="shared" si="6"/>
        <v>0</v>
      </c>
      <c r="AA13" s="1664">
        <f t="shared" si="7"/>
        <v>8348.2800000000007</v>
      </c>
      <c r="AB13" s="1664">
        <f t="shared" si="8"/>
        <v>0</v>
      </c>
      <c r="AC13" s="1664"/>
      <c r="AD13" s="1664">
        <f t="shared" si="9"/>
        <v>0</v>
      </c>
      <c r="AE13" s="1755"/>
      <c r="AF13" s="1755"/>
      <c r="AG13" s="1755"/>
      <c r="AH13" s="1755"/>
      <c r="AI13" s="1755"/>
      <c r="AJ13" s="1755"/>
      <c r="AK13" s="1755"/>
      <c r="AL13" s="1755"/>
      <c r="AM13" s="1755"/>
      <c r="AN13" s="1755"/>
      <c r="AO13" s="1755"/>
    </row>
    <row r="14" spans="1:41" ht="38.25">
      <c r="A14" s="2130">
        <v>7</v>
      </c>
      <c r="B14" s="2894" t="s">
        <v>2283</v>
      </c>
      <c r="C14" s="2897" t="s">
        <v>2284</v>
      </c>
      <c r="D14" s="2898" t="s">
        <v>1268</v>
      </c>
      <c r="E14" s="2127">
        <v>4080.2</v>
      </c>
      <c r="F14" s="1820"/>
      <c r="G14" s="2127">
        <f t="shared" si="0"/>
        <v>4080.2</v>
      </c>
      <c r="H14" s="1820"/>
      <c r="I14" s="1820"/>
      <c r="J14" s="1820"/>
      <c r="K14" s="1820"/>
      <c r="L14" s="2901"/>
      <c r="M14" s="1742"/>
      <c r="N14" s="2122"/>
      <c r="O14" s="2122"/>
      <c r="P14" s="1664"/>
      <c r="Q14" s="1664">
        <v>1.07</v>
      </c>
      <c r="R14" s="1664">
        <v>3500</v>
      </c>
      <c r="S14" s="1664">
        <f t="shared" si="1"/>
        <v>3745</v>
      </c>
      <c r="T14" s="1664">
        <f t="shared" si="2"/>
        <v>0</v>
      </c>
      <c r="U14" s="1664"/>
      <c r="V14" s="1664">
        <f t="shared" si="3"/>
        <v>0</v>
      </c>
      <c r="W14" s="1664">
        <f t="shared" si="4"/>
        <v>3969.7</v>
      </c>
      <c r="X14" s="1664">
        <f t="shared" si="5"/>
        <v>0</v>
      </c>
      <c r="Y14" s="1664"/>
      <c r="Z14" s="1664">
        <f t="shared" si="6"/>
        <v>0</v>
      </c>
      <c r="AA14" s="1664">
        <f t="shared" si="7"/>
        <v>4168.1899999999996</v>
      </c>
      <c r="AB14" s="1664">
        <f t="shared" si="8"/>
        <v>0</v>
      </c>
      <c r="AC14" s="1664"/>
      <c r="AD14" s="1664">
        <f t="shared" si="9"/>
        <v>0</v>
      </c>
      <c r="AE14" s="1755"/>
      <c r="AF14" s="1755"/>
      <c r="AG14" s="1755"/>
      <c r="AH14" s="1755"/>
      <c r="AI14" s="1755"/>
      <c r="AJ14" s="1755"/>
      <c r="AK14" s="1755"/>
      <c r="AL14" s="1755"/>
      <c r="AM14" s="1755"/>
      <c r="AN14" s="1755"/>
      <c r="AO14" s="1755"/>
    </row>
    <row r="15" spans="1:41" ht="63.75">
      <c r="A15" s="2130">
        <v>8</v>
      </c>
      <c r="B15" s="2894" t="s">
        <v>2285</v>
      </c>
      <c r="C15" s="2897" t="s">
        <v>2286</v>
      </c>
      <c r="D15" s="2898" t="s">
        <v>1268</v>
      </c>
      <c r="E15" s="2127">
        <v>4080.2</v>
      </c>
      <c r="F15" s="1820"/>
      <c r="G15" s="2127">
        <f t="shared" si="0"/>
        <v>4080.2</v>
      </c>
      <c r="H15" s="1820"/>
      <c r="I15" s="1820"/>
      <c r="J15" s="1820"/>
      <c r="K15" s="1820"/>
      <c r="L15" s="2901"/>
      <c r="M15" s="1742"/>
      <c r="N15" s="2122"/>
      <c r="O15" s="2122"/>
      <c r="P15" s="1664"/>
      <c r="Q15" s="1664">
        <v>1.07</v>
      </c>
      <c r="R15" s="1664">
        <v>8370</v>
      </c>
      <c r="S15" s="1664">
        <f t="shared" si="1"/>
        <v>8955.9</v>
      </c>
      <c r="T15" s="1664">
        <f t="shared" si="2"/>
        <v>0</v>
      </c>
      <c r="U15" s="1664"/>
      <c r="V15" s="1664">
        <f t="shared" si="3"/>
        <v>0</v>
      </c>
      <c r="W15" s="1664">
        <f t="shared" si="4"/>
        <v>9493.25</v>
      </c>
      <c r="X15" s="1664">
        <f t="shared" si="5"/>
        <v>0</v>
      </c>
      <c r="Y15" s="1664"/>
      <c r="Z15" s="1664">
        <f t="shared" si="6"/>
        <v>0</v>
      </c>
      <c r="AA15" s="1664">
        <f t="shared" si="7"/>
        <v>9967.91</v>
      </c>
      <c r="AB15" s="1664">
        <f t="shared" si="8"/>
        <v>0</v>
      </c>
      <c r="AC15" s="1664"/>
      <c r="AD15" s="1664">
        <f t="shared" si="9"/>
        <v>0</v>
      </c>
      <c r="AE15" s="1755"/>
      <c r="AF15" s="1755"/>
      <c r="AG15" s="1755"/>
      <c r="AH15" s="1755"/>
      <c r="AI15" s="1755"/>
      <c r="AJ15" s="1755"/>
      <c r="AK15" s="1755"/>
      <c r="AL15" s="1755"/>
      <c r="AM15" s="1755"/>
      <c r="AN15" s="1755"/>
      <c r="AO15" s="1755"/>
    </row>
    <row r="16" spans="1:41" ht="25.5">
      <c r="A16" s="2130">
        <v>9</v>
      </c>
      <c r="B16" s="2894" t="s">
        <v>2287</v>
      </c>
      <c r="C16" s="2897" t="s">
        <v>2288</v>
      </c>
      <c r="D16" s="2898" t="s">
        <v>1268</v>
      </c>
      <c r="E16" s="2127">
        <v>4080.2</v>
      </c>
      <c r="F16" s="1610"/>
      <c r="G16" s="2127">
        <f t="shared" si="0"/>
        <v>4080.2</v>
      </c>
      <c r="H16" s="1610"/>
      <c r="I16" s="1820"/>
      <c r="J16" s="1820"/>
      <c r="K16" s="1610"/>
      <c r="L16" s="2901"/>
      <c r="M16" s="1664">
        <f>W16</f>
        <v>1700.17</v>
      </c>
      <c r="N16" s="1664">
        <v>1</v>
      </c>
      <c r="O16" s="1664">
        <v>1</v>
      </c>
      <c r="P16" s="1664"/>
      <c r="Q16" s="1664">
        <v>1.07</v>
      </c>
      <c r="R16" s="1664">
        <v>1499</v>
      </c>
      <c r="S16" s="1664">
        <f t="shared" si="1"/>
        <v>1603.93</v>
      </c>
      <c r="T16" s="1664">
        <f t="shared" si="2"/>
        <v>0</v>
      </c>
      <c r="U16" s="1664"/>
      <c r="V16" s="1664">
        <f>T16-U16</f>
        <v>0</v>
      </c>
      <c r="W16" s="1664">
        <f t="shared" si="4"/>
        <v>1700.17</v>
      </c>
      <c r="X16" s="1664">
        <f t="shared" si="5"/>
        <v>0</v>
      </c>
      <c r="Y16" s="1664"/>
      <c r="Z16" s="1664">
        <f>X16-Y16</f>
        <v>0</v>
      </c>
      <c r="AA16" s="1664">
        <f t="shared" si="7"/>
        <v>1785.18</v>
      </c>
      <c r="AB16" s="1664">
        <f t="shared" si="8"/>
        <v>0</v>
      </c>
      <c r="AC16" s="1664"/>
      <c r="AD16" s="1664">
        <f>AB16-AC16</f>
        <v>0</v>
      </c>
      <c r="AE16" s="1755"/>
      <c r="AF16" s="1755"/>
      <c r="AG16" s="1755"/>
      <c r="AH16" s="1755"/>
      <c r="AI16" s="1755"/>
      <c r="AJ16" s="1755"/>
      <c r="AK16" s="1755"/>
      <c r="AL16" s="1755"/>
      <c r="AM16" s="1755"/>
      <c r="AN16" s="1755"/>
      <c r="AO16" s="1755"/>
    </row>
    <row r="17" spans="1:41">
      <c r="A17" s="2130">
        <v>10</v>
      </c>
      <c r="B17" s="2894" t="s">
        <v>2289</v>
      </c>
      <c r="C17" s="2897" t="s">
        <v>2290</v>
      </c>
      <c r="D17" s="2898" t="s">
        <v>2291</v>
      </c>
      <c r="E17" s="2127">
        <v>4080.2</v>
      </c>
      <c r="F17" s="1610"/>
      <c r="G17" s="2127">
        <f t="shared" si="0"/>
        <v>4080.2</v>
      </c>
      <c r="H17" s="1610"/>
      <c r="I17" s="1820"/>
      <c r="J17" s="1820"/>
      <c r="K17" s="1610"/>
      <c r="L17" s="2901"/>
      <c r="M17" s="1742"/>
      <c r="N17" s="1664"/>
      <c r="O17" s="1664"/>
      <c r="P17" s="1664"/>
      <c r="Q17" s="1664">
        <v>1.07</v>
      </c>
      <c r="R17" s="1664">
        <v>1755</v>
      </c>
      <c r="S17" s="1664">
        <f t="shared" si="1"/>
        <v>1877.85</v>
      </c>
      <c r="T17" s="1664">
        <f t="shared" si="2"/>
        <v>0</v>
      </c>
      <c r="U17" s="1664"/>
      <c r="V17" s="1664">
        <f>T17-U17</f>
        <v>0</v>
      </c>
      <c r="W17" s="1664">
        <f t="shared" si="4"/>
        <v>1990.52</v>
      </c>
      <c r="X17" s="1664">
        <f t="shared" si="5"/>
        <v>0</v>
      </c>
      <c r="Y17" s="1664"/>
      <c r="Z17" s="1664">
        <f>X17-Y17</f>
        <v>0</v>
      </c>
      <c r="AA17" s="1664">
        <f t="shared" si="7"/>
        <v>2090.0500000000002</v>
      </c>
      <c r="AB17" s="1664">
        <f t="shared" si="8"/>
        <v>0</v>
      </c>
      <c r="AC17" s="1664"/>
      <c r="AD17" s="1664">
        <f>AB17-AC17</f>
        <v>0</v>
      </c>
      <c r="AE17" s="1755"/>
      <c r="AF17" s="1755"/>
      <c r="AG17" s="1755"/>
      <c r="AH17" s="1755"/>
      <c r="AI17" s="1755"/>
      <c r="AJ17" s="1755"/>
      <c r="AK17" s="1755"/>
      <c r="AL17" s="1755"/>
      <c r="AM17" s="1755"/>
      <c r="AN17" s="1755"/>
      <c r="AO17" s="1755"/>
    </row>
    <row r="18" spans="1:41">
      <c r="A18" s="2130">
        <v>11</v>
      </c>
      <c r="B18" s="2894" t="s">
        <v>2289</v>
      </c>
      <c r="C18" s="2897" t="s">
        <v>2292</v>
      </c>
      <c r="D18" s="2898" t="s">
        <v>2291</v>
      </c>
      <c r="E18" s="2127">
        <v>4080.2</v>
      </c>
      <c r="F18" s="1610"/>
      <c r="G18" s="2127">
        <f t="shared" si="0"/>
        <v>4080.2</v>
      </c>
      <c r="H18" s="1610"/>
      <c r="I18" s="1820"/>
      <c r="J18" s="1820"/>
      <c r="K18" s="1610"/>
      <c r="L18" s="2901"/>
      <c r="M18" s="1742"/>
      <c r="N18" s="1664"/>
      <c r="O18" s="1664"/>
      <c r="P18" s="1664"/>
      <c r="Q18" s="1664">
        <v>1.07</v>
      </c>
      <c r="R18" s="1664">
        <v>2365</v>
      </c>
      <c r="S18" s="1664">
        <f t="shared" si="1"/>
        <v>2530.5500000000002</v>
      </c>
      <c r="T18" s="1664">
        <f t="shared" si="2"/>
        <v>0</v>
      </c>
      <c r="U18" s="1664"/>
      <c r="V18" s="1664">
        <f t="shared" ref="V18:V24" si="10">T18-U18</f>
        <v>0</v>
      </c>
      <c r="W18" s="1664">
        <f t="shared" si="4"/>
        <v>2682.38</v>
      </c>
      <c r="X18" s="1664">
        <f t="shared" si="5"/>
        <v>0</v>
      </c>
      <c r="Y18" s="1664"/>
      <c r="Z18" s="1664">
        <f t="shared" ref="Z18:Z81" si="11">X18-Y18</f>
        <v>0</v>
      </c>
      <c r="AA18" s="1664">
        <f t="shared" si="7"/>
        <v>2816.5</v>
      </c>
      <c r="AB18" s="1664">
        <f t="shared" si="8"/>
        <v>0</v>
      </c>
      <c r="AC18" s="1664"/>
      <c r="AD18" s="1664">
        <f t="shared" ref="AD18:AD81" si="12">AB18-AC18</f>
        <v>0</v>
      </c>
      <c r="AE18" s="1755"/>
      <c r="AF18" s="1755"/>
      <c r="AG18" s="1755"/>
      <c r="AH18" s="1755"/>
      <c r="AI18" s="1755"/>
      <c r="AJ18" s="1755"/>
      <c r="AK18" s="1755"/>
      <c r="AL18" s="1755"/>
      <c r="AM18" s="1755"/>
      <c r="AN18" s="1755"/>
      <c r="AO18" s="1755"/>
    </row>
    <row r="19" spans="1:41">
      <c r="A19" s="2130">
        <v>12</v>
      </c>
      <c r="B19" s="2894" t="s">
        <v>2293</v>
      </c>
      <c r="C19" s="2897" t="s">
        <v>2294</v>
      </c>
      <c r="D19" s="2898" t="s">
        <v>2295</v>
      </c>
      <c r="E19" s="2127">
        <v>4080.2</v>
      </c>
      <c r="F19" s="1820"/>
      <c r="G19" s="2127">
        <f t="shared" si="0"/>
        <v>4080.2</v>
      </c>
      <c r="H19" s="1820"/>
      <c r="I19" s="1820"/>
      <c r="J19" s="1820"/>
      <c r="K19" s="1820"/>
      <c r="L19" s="2901"/>
      <c r="M19" s="1742"/>
      <c r="N19" s="2122"/>
      <c r="O19" s="2122"/>
      <c r="P19" s="1664"/>
      <c r="Q19" s="1664">
        <v>1.07</v>
      </c>
      <c r="R19" s="1664">
        <v>4230</v>
      </c>
      <c r="S19" s="1664">
        <f t="shared" si="1"/>
        <v>4526.1000000000004</v>
      </c>
      <c r="T19" s="1664">
        <f t="shared" si="2"/>
        <v>0</v>
      </c>
      <c r="U19" s="1664"/>
      <c r="V19" s="1664">
        <f t="shared" si="10"/>
        <v>0</v>
      </c>
      <c r="W19" s="1664">
        <f t="shared" si="4"/>
        <v>4797.67</v>
      </c>
      <c r="X19" s="1664">
        <f t="shared" si="5"/>
        <v>0</v>
      </c>
      <c r="Y19" s="1664"/>
      <c r="Z19" s="1664">
        <f t="shared" si="11"/>
        <v>0</v>
      </c>
      <c r="AA19" s="1664">
        <f t="shared" si="7"/>
        <v>5037.55</v>
      </c>
      <c r="AB19" s="1664">
        <f t="shared" si="8"/>
        <v>0</v>
      </c>
      <c r="AC19" s="1664"/>
      <c r="AD19" s="1664">
        <f t="shared" si="12"/>
        <v>0</v>
      </c>
      <c r="AE19" s="1755"/>
      <c r="AF19" s="1755"/>
      <c r="AG19" s="1755"/>
      <c r="AH19" s="1755"/>
      <c r="AI19" s="1755"/>
      <c r="AJ19" s="1755"/>
      <c r="AK19" s="1755"/>
      <c r="AL19" s="1755"/>
      <c r="AM19" s="1755"/>
      <c r="AN19" s="1755"/>
      <c r="AO19" s="1755"/>
    </row>
    <row r="20" spans="1:41">
      <c r="A20" s="2130">
        <v>13</v>
      </c>
      <c r="B20" s="2894" t="s">
        <v>2296</v>
      </c>
      <c r="C20" s="2897" t="s">
        <v>2297</v>
      </c>
      <c r="D20" s="2898" t="s">
        <v>1268</v>
      </c>
      <c r="E20" s="2127">
        <v>4080.2</v>
      </c>
      <c r="F20" s="1610"/>
      <c r="G20" s="2127">
        <f t="shared" si="0"/>
        <v>4080.2</v>
      </c>
      <c r="H20" s="1610"/>
      <c r="I20" s="1820"/>
      <c r="J20" s="1820"/>
      <c r="K20" s="1610"/>
      <c r="L20" s="2901"/>
      <c r="M20" s="1742"/>
      <c r="N20" s="1664"/>
      <c r="O20" s="1664"/>
      <c r="P20" s="1664"/>
      <c r="Q20" s="1664">
        <v>1.07</v>
      </c>
      <c r="R20" s="1664">
        <v>5670</v>
      </c>
      <c r="S20" s="1664">
        <f t="shared" si="1"/>
        <v>6066.9</v>
      </c>
      <c r="T20" s="1664">
        <f t="shared" si="2"/>
        <v>0</v>
      </c>
      <c r="U20" s="1664"/>
      <c r="V20" s="1664">
        <f t="shared" si="10"/>
        <v>0</v>
      </c>
      <c r="W20" s="1664">
        <f t="shared" si="4"/>
        <v>6430.91</v>
      </c>
      <c r="X20" s="1664">
        <f t="shared" si="5"/>
        <v>0</v>
      </c>
      <c r="Y20" s="1664"/>
      <c r="Z20" s="1664">
        <f t="shared" si="11"/>
        <v>0</v>
      </c>
      <c r="AA20" s="1664">
        <f t="shared" si="7"/>
        <v>6752.46</v>
      </c>
      <c r="AB20" s="1664">
        <f t="shared" si="8"/>
        <v>0</v>
      </c>
      <c r="AC20" s="1664"/>
      <c r="AD20" s="1664">
        <f t="shared" si="12"/>
        <v>0</v>
      </c>
      <c r="AE20" s="1755"/>
      <c r="AF20" s="1755"/>
      <c r="AG20" s="1755"/>
      <c r="AH20" s="1755"/>
      <c r="AI20" s="1755"/>
      <c r="AJ20" s="1755"/>
      <c r="AK20" s="1755"/>
      <c r="AL20" s="1755"/>
      <c r="AM20" s="1755"/>
      <c r="AN20" s="1755"/>
      <c r="AO20" s="1755"/>
    </row>
    <row r="21" spans="1:41">
      <c r="A21" s="2130">
        <v>14</v>
      </c>
      <c r="B21" s="2894" t="s">
        <v>3990</v>
      </c>
      <c r="C21" s="2897" t="s">
        <v>2298</v>
      </c>
      <c r="D21" s="2898" t="s">
        <v>2291</v>
      </c>
      <c r="E21" s="2127">
        <v>4080.2</v>
      </c>
      <c r="F21" s="1820"/>
      <c r="G21" s="2127">
        <f t="shared" si="0"/>
        <v>4080.2</v>
      </c>
      <c r="H21" s="1820"/>
      <c r="I21" s="1820"/>
      <c r="J21" s="1820"/>
      <c r="K21" s="1820"/>
      <c r="L21" s="2901"/>
      <c r="M21" s="1742"/>
      <c r="N21" s="2122"/>
      <c r="O21" s="2122"/>
      <c r="P21" s="1664"/>
      <c r="Q21" s="1664">
        <v>1.07</v>
      </c>
      <c r="R21" s="1664">
        <v>4110</v>
      </c>
      <c r="S21" s="1664">
        <f t="shared" si="1"/>
        <v>4397.7</v>
      </c>
      <c r="T21" s="1664">
        <f t="shared" si="2"/>
        <v>0</v>
      </c>
      <c r="U21" s="1664"/>
      <c r="V21" s="1664">
        <f t="shared" si="10"/>
        <v>0</v>
      </c>
      <c r="W21" s="1664">
        <f t="shared" si="4"/>
        <v>4661.5600000000004</v>
      </c>
      <c r="X21" s="1664">
        <f t="shared" si="5"/>
        <v>0</v>
      </c>
      <c r="Y21" s="1664"/>
      <c r="Z21" s="1664">
        <f t="shared" si="11"/>
        <v>0</v>
      </c>
      <c r="AA21" s="1664">
        <f t="shared" si="7"/>
        <v>4894.6400000000003</v>
      </c>
      <c r="AB21" s="1664">
        <f t="shared" si="8"/>
        <v>0</v>
      </c>
      <c r="AC21" s="1664"/>
      <c r="AD21" s="1664">
        <f t="shared" si="12"/>
        <v>0</v>
      </c>
    </row>
    <row r="22" spans="1:41">
      <c r="A22" s="2130">
        <v>15</v>
      </c>
      <c r="B22" s="2894" t="s">
        <v>2299</v>
      </c>
      <c r="C22" s="2897" t="s">
        <v>2300</v>
      </c>
      <c r="D22" s="2898" t="s">
        <v>1268</v>
      </c>
      <c r="E22" s="2127">
        <v>4080.2</v>
      </c>
      <c r="F22" s="1820"/>
      <c r="G22" s="2127">
        <f t="shared" si="0"/>
        <v>4080.2</v>
      </c>
      <c r="H22" s="1820"/>
      <c r="I22" s="1820"/>
      <c r="J22" s="1820"/>
      <c r="K22" s="1820"/>
      <c r="L22" s="2901"/>
      <c r="M22" s="1742"/>
      <c r="N22" s="2122"/>
      <c r="O22" s="2122"/>
      <c r="P22" s="1664"/>
      <c r="Q22" s="1664">
        <v>1.07</v>
      </c>
      <c r="R22" s="1664">
        <v>756</v>
      </c>
      <c r="S22" s="1664">
        <f t="shared" si="1"/>
        <v>808.92</v>
      </c>
      <c r="T22" s="1664">
        <f t="shared" si="2"/>
        <v>0</v>
      </c>
      <c r="U22" s="1664"/>
      <c r="V22" s="1664">
        <f t="shared" si="10"/>
        <v>0</v>
      </c>
      <c r="W22" s="1664">
        <f t="shared" si="4"/>
        <v>857.46</v>
      </c>
      <c r="X22" s="1664">
        <f t="shared" si="5"/>
        <v>0</v>
      </c>
      <c r="Y22" s="1664"/>
      <c r="Z22" s="1664">
        <f t="shared" si="11"/>
        <v>0</v>
      </c>
      <c r="AA22" s="1664">
        <f t="shared" si="7"/>
        <v>900.33</v>
      </c>
      <c r="AB22" s="1664">
        <f t="shared" si="8"/>
        <v>0</v>
      </c>
      <c r="AC22" s="1664"/>
      <c r="AD22" s="1664">
        <f t="shared" si="12"/>
        <v>0</v>
      </c>
    </row>
    <row r="23" spans="1:41">
      <c r="A23" s="2130">
        <v>16</v>
      </c>
      <c r="B23" s="2894" t="s">
        <v>2299</v>
      </c>
      <c r="C23" s="2897" t="s">
        <v>2301</v>
      </c>
      <c r="D23" s="2898" t="s">
        <v>1268</v>
      </c>
      <c r="E23" s="2127">
        <v>4080.2</v>
      </c>
      <c r="F23" s="1820"/>
      <c r="G23" s="2127">
        <f t="shared" si="0"/>
        <v>4080.2</v>
      </c>
      <c r="H23" s="1820"/>
      <c r="I23" s="1820"/>
      <c r="J23" s="1820"/>
      <c r="K23" s="1820"/>
      <c r="L23" s="2901"/>
      <c r="M23" s="1742"/>
      <c r="N23" s="2122"/>
      <c r="O23" s="2122"/>
      <c r="P23" s="1664"/>
      <c r="Q23" s="1664">
        <v>1.07</v>
      </c>
      <c r="R23" s="1664">
        <v>661.5</v>
      </c>
      <c r="S23" s="1664">
        <f t="shared" si="1"/>
        <v>707.81</v>
      </c>
      <c r="T23" s="1664">
        <f t="shared" si="2"/>
        <v>0</v>
      </c>
      <c r="U23" s="1664"/>
      <c r="V23" s="1664">
        <f t="shared" si="10"/>
        <v>0</v>
      </c>
      <c r="W23" s="1664">
        <f t="shared" si="4"/>
        <v>750.28</v>
      </c>
      <c r="X23" s="1664">
        <f t="shared" si="5"/>
        <v>0</v>
      </c>
      <c r="Y23" s="1664"/>
      <c r="Z23" s="1664">
        <f t="shared" si="11"/>
        <v>0</v>
      </c>
      <c r="AA23" s="1664">
        <f t="shared" si="7"/>
        <v>787.79</v>
      </c>
      <c r="AB23" s="1664">
        <f t="shared" si="8"/>
        <v>0</v>
      </c>
      <c r="AC23" s="1664"/>
      <c r="AD23" s="1664">
        <f t="shared" si="12"/>
        <v>0</v>
      </c>
    </row>
    <row r="24" spans="1:41">
      <c r="A24" s="2130">
        <v>17</v>
      </c>
      <c r="B24" s="2894" t="s">
        <v>2299</v>
      </c>
      <c r="C24" s="2897" t="s">
        <v>2302</v>
      </c>
      <c r="D24" s="2898" t="s">
        <v>1268</v>
      </c>
      <c r="E24" s="2127">
        <v>4080.2</v>
      </c>
      <c r="F24" s="1820"/>
      <c r="G24" s="2127">
        <f t="shared" si="0"/>
        <v>4080.2</v>
      </c>
      <c r="H24" s="1820"/>
      <c r="I24" s="1820"/>
      <c r="J24" s="1820"/>
      <c r="K24" s="1820"/>
      <c r="L24" s="2901"/>
      <c r="M24" s="1742"/>
      <c r="N24" s="2122"/>
      <c r="O24" s="2122"/>
      <c r="P24" s="1664"/>
      <c r="Q24" s="1664">
        <v>1.07</v>
      </c>
      <c r="R24" s="1664">
        <v>756</v>
      </c>
      <c r="S24" s="1664">
        <f t="shared" si="1"/>
        <v>808.92</v>
      </c>
      <c r="T24" s="1664">
        <f t="shared" si="2"/>
        <v>0</v>
      </c>
      <c r="U24" s="1664"/>
      <c r="V24" s="1664">
        <f t="shared" si="10"/>
        <v>0</v>
      </c>
      <c r="W24" s="1664">
        <f t="shared" si="4"/>
        <v>857.46</v>
      </c>
      <c r="X24" s="1664">
        <f t="shared" si="5"/>
        <v>0</v>
      </c>
      <c r="Y24" s="1664"/>
      <c r="Z24" s="1664">
        <f t="shared" si="11"/>
        <v>0</v>
      </c>
      <c r="AA24" s="1664">
        <f t="shared" si="7"/>
        <v>900.33</v>
      </c>
      <c r="AB24" s="1664">
        <f t="shared" si="8"/>
        <v>0</v>
      </c>
      <c r="AC24" s="1664"/>
      <c r="AD24" s="1664">
        <f t="shared" si="12"/>
        <v>0</v>
      </c>
    </row>
    <row r="25" spans="1:41">
      <c r="A25" s="2130">
        <v>18</v>
      </c>
      <c r="B25" s="2894" t="s">
        <v>2299</v>
      </c>
      <c r="C25" s="2897" t="s">
        <v>2303</v>
      </c>
      <c r="D25" s="2898" t="s">
        <v>1268</v>
      </c>
      <c r="E25" s="2127">
        <v>4080.2</v>
      </c>
      <c r="F25" s="1610"/>
      <c r="G25" s="2127">
        <f t="shared" si="0"/>
        <v>4080.2</v>
      </c>
      <c r="H25" s="1610"/>
      <c r="I25" s="1820"/>
      <c r="J25" s="1820"/>
      <c r="K25" s="1610"/>
      <c r="L25" s="2901"/>
      <c r="M25" s="1742"/>
      <c r="N25" s="1664"/>
      <c r="O25" s="1664"/>
      <c r="P25" s="1664"/>
      <c r="Q25" s="1664">
        <v>1.07</v>
      </c>
      <c r="R25" s="1664">
        <v>837</v>
      </c>
      <c r="S25" s="1664">
        <f t="shared" si="1"/>
        <v>895.59</v>
      </c>
      <c r="T25" s="1664">
        <f t="shared" si="2"/>
        <v>0</v>
      </c>
      <c r="U25" s="1664"/>
      <c r="V25" s="1664">
        <f t="shared" ref="V25:V56" si="13">T25-U25</f>
        <v>0</v>
      </c>
      <c r="W25" s="1664">
        <f t="shared" si="4"/>
        <v>949.33</v>
      </c>
      <c r="X25" s="1664">
        <f t="shared" si="5"/>
        <v>0</v>
      </c>
      <c r="Y25" s="1664"/>
      <c r="Z25" s="1664">
        <f t="shared" si="11"/>
        <v>0</v>
      </c>
      <c r="AA25" s="1664">
        <f t="shared" si="7"/>
        <v>996.8</v>
      </c>
      <c r="AB25" s="1664">
        <f t="shared" si="8"/>
        <v>0</v>
      </c>
      <c r="AC25" s="1664"/>
      <c r="AD25" s="1664">
        <f t="shared" si="12"/>
        <v>0</v>
      </c>
    </row>
    <row r="26" spans="1:41">
      <c r="A26" s="2130">
        <v>19</v>
      </c>
      <c r="B26" s="2894" t="s">
        <v>2304</v>
      </c>
      <c r="C26" s="2897" t="s">
        <v>2305</v>
      </c>
      <c r="D26" s="2898" t="s">
        <v>1268</v>
      </c>
      <c r="E26" s="2127">
        <v>4080.2</v>
      </c>
      <c r="F26" s="1820"/>
      <c r="G26" s="2127">
        <f t="shared" si="0"/>
        <v>4080.2</v>
      </c>
      <c r="H26" s="1820"/>
      <c r="I26" s="1820"/>
      <c r="J26" s="1820"/>
      <c r="K26" s="1820"/>
      <c r="L26" s="2901"/>
      <c r="M26" s="1742"/>
      <c r="N26" s="2122"/>
      <c r="O26" s="2122"/>
      <c r="P26" s="1664"/>
      <c r="Q26" s="1664">
        <v>1.07</v>
      </c>
      <c r="R26" s="1664">
        <v>297</v>
      </c>
      <c r="S26" s="1664">
        <f t="shared" si="1"/>
        <v>317.79000000000002</v>
      </c>
      <c r="T26" s="1664">
        <f t="shared" si="2"/>
        <v>0</v>
      </c>
      <c r="U26" s="1664"/>
      <c r="V26" s="1664">
        <f t="shared" si="13"/>
        <v>0</v>
      </c>
      <c r="W26" s="1664">
        <f t="shared" si="4"/>
        <v>336.86</v>
      </c>
      <c r="X26" s="1664">
        <f t="shared" si="5"/>
        <v>0</v>
      </c>
      <c r="Y26" s="1664"/>
      <c r="Z26" s="1664">
        <f t="shared" si="11"/>
        <v>0</v>
      </c>
      <c r="AA26" s="1664">
        <f t="shared" si="7"/>
        <v>353.7</v>
      </c>
      <c r="AB26" s="1664">
        <f t="shared" si="8"/>
        <v>0</v>
      </c>
      <c r="AC26" s="1664"/>
      <c r="AD26" s="1664">
        <f t="shared" si="12"/>
        <v>0</v>
      </c>
    </row>
    <row r="27" spans="1:41">
      <c r="A27" s="2130">
        <v>20</v>
      </c>
      <c r="B27" s="2894" t="s">
        <v>2304</v>
      </c>
      <c r="C27" s="2897" t="s">
        <v>2306</v>
      </c>
      <c r="D27" s="2898" t="s">
        <v>1268</v>
      </c>
      <c r="E27" s="2127">
        <v>4080.2</v>
      </c>
      <c r="F27" s="1820"/>
      <c r="G27" s="2127">
        <f t="shared" si="0"/>
        <v>4080.2</v>
      </c>
      <c r="H27" s="1820"/>
      <c r="I27" s="1820"/>
      <c r="J27" s="1820"/>
      <c r="K27" s="1820"/>
      <c r="L27" s="2901"/>
      <c r="M27" s="1742"/>
      <c r="N27" s="2122"/>
      <c r="O27" s="2122"/>
      <c r="P27" s="1664"/>
      <c r="Q27" s="1664">
        <v>1.07</v>
      </c>
      <c r="R27" s="1664">
        <v>285</v>
      </c>
      <c r="S27" s="1664">
        <f t="shared" si="1"/>
        <v>304.95</v>
      </c>
      <c r="T27" s="1664">
        <f t="shared" si="2"/>
        <v>0</v>
      </c>
      <c r="U27" s="1664"/>
      <c r="V27" s="1664">
        <f t="shared" si="13"/>
        <v>0</v>
      </c>
      <c r="W27" s="1664">
        <f t="shared" si="4"/>
        <v>323.25</v>
      </c>
      <c r="X27" s="1664">
        <f t="shared" si="5"/>
        <v>0</v>
      </c>
      <c r="Y27" s="1664"/>
      <c r="Z27" s="1664">
        <f t="shared" si="11"/>
        <v>0</v>
      </c>
      <c r="AA27" s="1664">
        <f t="shared" si="7"/>
        <v>339.41</v>
      </c>
      <c r="AB27" s="1664">
        <f t="shared" si="8"/>
        <v>0</v>
      </c>
      <c r="AC27" s="1664"/>
      <c r="AD27" s="1664">
        <f t="shared" si="12"/>
        <v>0</v>
      </c>
    </row>
    <row r="28" spans="1:41">
      <c r="A28" s="2130">
        <v>21</v>
      </c>
      <c r="B28" s="2894" t="s">
        <v>2304</v>
      </c>
      <c r="C28" s="2897" t="s">
        <v>2307</v>
      </c>
      <c r="D28" s="2898" t="s">
        <v>1268</v>
      </c>
      <c r="E28" s="2127">
        <v>4080.2</v>
      </c>
      <c r="F28" s="1610"/>
      <c r="G28" s="2127">
        <f t="shared" si="0"/>
        <v>4080.2</v>
      </c>
      <c r="H28" s="1820"/>
      <c r="I28" s="1820"/>
      <c r="J28" s="1820"/>
      <c r="K28" s="1820"/>
      <c r="L28" s="2901"/>
      <c r="M28" s="1742"/>
      <c r="N28" s="2122"/>
      <c r="O28" s="2122"/>
      <c r="P28" s="1664"/>
      <c r="Q28" s="1664">
        <v>1.07</v>
      </c>
      <c r="R28" s="2122">
        <v>351</v>
      </c>
      <c r="S28" s="1664">
        <f t="shared" si="1"/>
        <v>375.57</v>
      </c>
      <c r="T28" s="1664">
        <f t="shared" si="2"/>
        <v>0</v>
      </c>
      <c r="U28" s="1664"/>
      <c r="V28" s="1664">
        <f t="shared" si="13"/>
        <v>0</v>
      </c>
      <c r="W28" s="1664">
        <f t="shared" si="4"/>
        <v>398.1</v>
      </c>
      <c r="X28" s="1664">
        <f t="shared" si="5"/>
        <v>0</v>
      </c>
      <c r="Y28" s="1664"/>
      <c r="Z28" s="1664">
        <f t="shared" si="11"/>
        <v>0</v>
      </c>
      <c r="AA28" s="1664">
        <f t="shared" si="7"/>
        <v>418.01</v>
      </c>
      <c r="AB28" s="1664">
        <f t="shared" si="8"/>
        <v>0</v>
      </c>
      <c r="AC28" s="1664"/>
      <c r="AD28" s="1664">
        <f t="shared" si="12"/>
        <v>0</v>
      </c>
    </row>
    <row r="29" spans="1:41">
      <c r="A29" s="2130">
        <v>22</v>
      </c>
      <c r="B29" s="2894" t="s">
        <v>2304</v>
      </c>
      <c r="C29" s="2897" t="s">
        <v>2308</v>
      </c>
      <c r="D29" s="2898" t="s">
        <v>1268</v>
      </c>
      <c r="E29" s="2127">
        <v>4080.2</v>
      </c>
      <c r="F29" s="1610"/>
      <c r="G29" s="2127">
        <f t="shared" si="0"/>
        <v>4080.2</v>
      </c>
      <c r="H29" s="1610"/>
      <c r="I29" s="1820"/>
      <c r="J29" s="1820"/>
      <c r="K29" s="1610"/>
      <c r="L29" s="2901"/>
      <c r="M29" s="1742"/>
      <c r="N29" s="1664"/>
      <c r="O29" s="1664"/>
      <c r="P29" s="1664"/>
      <c r="Q29" s="1664">
        <v>1.07</v>
      </c>
      <c r="R29" s="1664">
        <v>420</v>
      </c>
      <c r="S29" s="1664">
        <f t="shared" si="1"/>
        <v>449.4</v>
      </c>
      <c r="T29" s="1664">
        <f t="shared" si="2"/>
        <v>0</v>
      </c>
      <c r="U29" s="1664"/>
      <c r="V29" s="1664">
        <f t="shared" si="13"/>
        <v>0</v>
      </c>
      <c r="W29" s="1664">
        <f t="shared" si="4"/>
        <v>476.36</v>
      </c>
      <c r="X29" s="1664">
        <f t="shared" si="5"/>
        <v>0</v>
      </c>
      <c r="Y29" s="1664"/>
      <c r="Z29" s="1664">
        <f t="shared" si="11"/>
        <v>0</v>
      </c>
      <c r="AA29" s="1664">
        <f t="shared" si="7"/>
        <v>500.18</v>
      </c>
      <c r="AB29" s="1664">
        <f t="shared" si="8"/>
        <v>0</v>
      </c>
      <c r="AC29" s="1664"/>
      <c r="AD29" s="1664">
        <f t="shared" si="12"/>
        <v>0</v>
      </c>
    </row>
    <row r="30" spans="1:41">
      <c r="A30" s="2130">
        <v>23</v>
      </c>
      <c r="B30" s="2894" t="s">
        <v>2309</v>
      </c>
      <c r="C30" s="2897" t="s">
        <v>2305</v>
      </c>
      <c r="D30" s="2898" t="s">
        <v>1268</v>
      </c>
      <c r="E30" s="2127">
        <v>4080.2</v>
      </c>
      <c r="F30" s="1820"/>
      <c r="G30" s="2127">
        <f t="shared" si="0"/>
        <v>4080.2</v>
      </c>
      <c r="H30" s="1820"/>
      <c r="I30" s="1820"/>
      <c r="J30" s="1820"/>
      <c r="K30" s="1820"/>
      <c r="L30" s="2901"/>
      <c r="M30" s="1742"/>
      <c r="N30" s="2122"/>
      <c r="O30" s="2122"/>
      <c r="P30" s="1664"/>
      <c r="Q30" s="1664">
        <v>1.07</v>
      </c>
      <c r="R30" s="1664">
        <v>459</v>
      </c>
      <c r="S30" s="1664">
        <f t="shared" si="1"/>
        <v>491.13</v>
      </c>
      <c r="T30" s="1664">
        <f t="shared" si="2"/>
        <v>0</v>
      </c>
      <c r="U30" s="1664"/>
      <c r="V30" s="1664">
        <f t="shared" si="13"/>
        <v>0</v>
      </c>
      <c r="W30" s="1664">
        <f t="shared" si="4"/>
        <v>520.6</v>
      </c>
      <c r="X30" s="1664">
        <f t="shared" si="5"/>
        <v>0</v>
      </c>
      <c r="Y30" s="1664"/>
      <c r="Z30" s="1664">
        <f t="shared" si="11"/>
        <v>0</v>
      </c>
      <c r="AA30" s="1664">
        <f t="shared" si="7"/>
        <v>546.63</v>
      </c>
      <c r="AB30" s="1664">
        <f t="shared" si="8"/>
        <v>0</v>
      </c>
      <c r="AC30" s="1664"/>
      <c r="AD30" s="1664">
        <f t="shared" si="12"/>
        <v>0</v>
      </c>
    </row>
    <row r="31" spans="1:41">
      <c r="A31" s="2130">
        <v>24</v>
      </c>
      <c r="B31" s="2894" t="s">
        <v>2309</v>
      </c>
      <c r="C31" s="2897" t="s">
        <v>2306</v>
      </c>
      <c r="D31" s="2898" t="s">
        <v>1268</v>
      </c>
      <c r="E31" s="2127">
        <v>4080.2</v>
      </c>
      <c r="F31" s="1820"/>
      <c r="G31" s="2127">
        <f t="shared" si="0"/>
        <v>4080.2</v>
      </c>
      <c r="H31" s="1820"/>
      <c r="I31" s="1820"/>
      <c r="J31" s="1820"/>
      <c r="K31" s="1820"/>
      <c r="L31" s="2901"/>
      <c r="M31" s="1742"/>
      <c r="N31" s="2122"/>
      <c r="O31" s="2122"/>
      <c r="P31" s="1664"/>
      <c r="Q31" s="1664">
        <v>1.07</v>
      </c>
      <c r="R31" s="2122">
        <v>420</v>
      </c>
      <c r="S31" s="1664">
        <f t="shared" si="1"/>
        <v>449.4</v>
      </c>
      <c r="T31" s="1664">
        <f t="shared" si="2"/>
        <v>0</v>
      </c>
      <c r="U31" s="1664"/>
      <c r="V31" s="1664">
        <f t="shared" si="13"/>
        <v>0</v>
      </c>
      <c r="W31" s="1664">
        <f t="shared" si="4"/>
        <v>476.36</v>
      </c>
      <c r="X31" s="1664">
        <f t="shared" si="5"/>
        <v>0</v>
      </c>
      <c r="Y31" s="1664"/>
      <c r="Z31" s="1664">
        <f t="shared" si="11"/>
        <v>0</v>
      </c>
      <c r="AA31" s="1664">
        <f t="shared" si="7"/>
        <v>500.18</v>
      </c>
      <c r="AB31" s="1664">
        <f t="shared" si="8"/>
        <v>0</v>
      </c>
      <c r="AC31" s="1664"/>
      <c r="AD31" s="1664">
        <f t="shared" si="12"/>
        <v>0</v>
      </c>
    </row>
    <row r="32" spans="1:41">
      <c r="A32" s="2130">
        <v>25</v>
      </c>
      <c r="B32" s="2894" t="s">
        <v>2309</v>
      </c>
      <c r="C32" s="2897" t="s">
        <v>2307</v>
      </c>
      <c r="D32" s="2898" t="s">
        <v>1268</v>
      </c>
      <c r="E32" s="2127">
        <v>4080.2</v>
      </c>
      <c r="F32" s="1820"/>
      <c r="G32" s="2127">
        <f t="shared" si="0"/>
        <v>4080.2</v>
      </c>
      <c r="H32" s="1820"/>
      <c r="I32" s="1820"/>
      <c r="J32" s="1820"/>
      <c r="K32" s="1820"/>
      <c r="L32" s="2901"/>
      <c r="M32" s="1742"/>
      <c r="N32" s="2122"/>
      <c r="O32" s="2122"/>
      <c r="P32" s="1664"/>
      <c r="Q32" s="1664">
        <v>1.07</v>
      </c>
      <c r="R32" s="2122">
        <v>528</v>
      </c>
      <c r="S32" s="1664">
        <f t="shared" si="1"/>
        <v>564.96</v>
      </c>
      <c r="T32" s="1664">
        <f t="shared" si="2"/>
        <v>0</v>
      </c>
      <c r="U32" s="1664"/>
      <c r="V32" s="1664">
        <f t="shared" si="13"/>
        <v>0</v>
      </c>
      <c r="W32" s="1664">
        <f t="shared" si="4"/>
        <v>598.86</v>
      </c>
      <c r="X32" s="1664">
        <f t="shared" si="5"/>
        <v>0</v>
      </c>
      <c r="Y32" s="1664"/>
      <c r="Z32" s="1664">
        <f t="shared" si="11"/>
        <v>0</v>
      </c>
      <c r="AA32" s="1664">
        <f t="shared" si="7"/>
        <v>628.79999999999995</v>
      </c>
      <c r="AB32" s="1664">
        <f t="shared" si="8"/>
        <v>0</v>
      </c>
      <c r="AC32" s="1664"/>
      <c r="AD32" s="1664">
        <f t="shared" si="12"/>
        <v>0</v>
      </c>
    </row>
    <row r="33" spans="1:30">
      <c r="A33" s="2130">
        <v>26</v>
      </c>
      <c r="B33" s="2894" t="s">
        <v>2309</v>
      </c>
      <c r="C33" s="2897" t="s">
        <v>2308</v>
      </c>
      <c r="D33" s="2898" t="s">
        <v>1268</v>
      </c>
      <c r="E33" s="2127">
        <v>4080.2</v>
      </c>
      <c r="F33" s="1820"/>
      <c r="G33" s="2127">
        <f t="shared" si="0"/>
        <v>4080.2</v>
      </c>
      <c r="H33" s="1820"/>
      <c r="I33" s="1820"/>
      <c r="J33" s="1820"/>
      <c r="K33" s="1820"/>
      <c r="L33" s="2901"/>
      <c r="M33" s="1742"/>
      <c r="N33" s="2122"/>
      <c r="O33" s="2122">
        <v>15</v>
      </c>
      <c r="P33" s="1664"/>
      <c r="Q33" s="1664">
        <v>1.07</v>
      </c>
      <c r="R33" s="1664">
        <v>621</v>
      </c>
      <c r="S33" s="1664">
        <f t="shared" si="1"/>
        <v>664.47</v>
      </c>
      <c r="T33" s="1664">
        <f t="shared" si="2"/>
        <v>0</v>
      </c>
      <c r="U33" s="1664"/>
      <c r="V33" s="1664">
        <f t="shared" si="13"/>
        <v>0</v>
      </c>
      <c r="W33" s="1664">
        <f t="shared" si="4"/>
        <v>704.34</v>
      </c>
      <c r="X33" s="1664">
        <f t="shared" si="5"/>
        <v>0</v>
      </c>
      <c r="Y33" s="1664"/>
      <c r="Z33" s="1664">
        <f t="shared" si="11"/>
        <v>0</v>
      </c>
      <c r="AA33" s="1664">
        <f t="shared" si="7"/>
        <v>739.56</v>
      </c>
      <c r="AB33" s="1664">
        <f t="shared" si="8"/>
        <v>0</v>
      </c>
      <c r="AC33" s="1664"/>
      <c r="AD33" s="1664">
        <f t="shared" si="12"/>
        <v>0</v>
      </c>
    </row>
    <row r="34" spans="1:30">
      <c r="A34" s="2130">
        <v>27</v>
      </c>
      <c r="B34" s="2894" t="s">
        <v>2310</v>
      </c>
      <c r="C34" s="2897" t="s">
        <v>2311</v>
      </c>
      <c r="D34" s="2898" t="s">
        <v>1268</v>
      </c>
      <c r="E34" s="2127">
        <v>4080.2</v>
      </c>
      <c r="F34" s="1820"/>
      <c r="G34" s="2127">
        <f t="shared" si="0"/>
        <v>4080.2</v>
      </c>
      <c r="H34" s="1820"/>
      <c r="I34" s="1820"/>
      <c r="J34" s="1820"/>
      <c r="K34" s="1820"/>
      <c r="L34" s="2901"/>
      <c r="M34" s="1742"/>
      <c r="N34" s="2122"/>
      <c r="O34" s="2122">
        <v>8</v>
      </c>
      <c r="P34" s="1664"/>
      <c r="Q34" s="1664">
        <v>1.07</v>
      </c>
      <c r="R34" s="2122">
        <v>528</v>
      </c>
      <c r="S34" s="1664">
        <f t="shared" si="1"/>
        <v>564.96</v>
      </c>
      <c r="T34" s="1664">
        <f t="shared" si="2"/>
        <v>0</v>
      </c>
      <c r="U34" s="1664"/>
      <c r="V34" s="1664">
        <f t="shared" si="13"/>
        <v>0</v>
      </c>
      <c r="W34" s="1664">
        <f t="shared" si="4"/>
        <v>598.86</v>
      </c>
      <c r="X34" s="1664">
        <f t="shared" si="5"/>
        <v>0</v>
      </c>
      <c r="Y34" s="1664"/>
      <c r="Z34" s="1664">
        <f t="shared" si="11"/>
        <v>0</v>
      </c>
      <c r="AA34" s="1664">
        <f t="shared" si="7"/>
        <v>628.79999999999995</v>
      </c>
      <c r="AB34" s="1664">
        <f t="shared" si="8"/>
        <v>0</v>
      </c>
      <c r="AC34" s="1664"/>
      <c r="AD34" s="1664">
        <f t="shared" si="12"/>
        <v>0</v>
      </c>
    </row>
    <row r="35" spans="1:30">
      <c r="A35" s="2130">
        <v>28</v>
      </c>
      <c r="B35" s="2894" t="s">
        <v>2310</v>
      </c>
      <c r="C35" s="2897" t="s">
        <v>2312</v>
      </c>
      <c r="D35" s="2898" t="s">
        <v>1268</v>
      </c>
      <c r="E35" s="2127">
        <v>4080.2</v>
      </c>
      <c r="F35" s="1820"/>
      <c r="G35" s="2127">
        <f t="shared" si="0"/>
        <v>4080.2</v>
      </c>
      <c r="H35" s="1820"/>
      <c r="I35" s="1820"/>
      <c r="J35" s="1820"/>
      <c r="K35" s="1820"/>
      <c r="L35" s="2901"/>
      <c r="M35" s="1742"/>
      <c r="N35" s="2122"/>
      <c r="O35" s="2122">
        <v>8</v>
      </c>
      <c r="P35" s="1664"/>
      <c r="Q35" s="1664">
        <v>1.07</v>
      </c>
      <c r="R35" s="2122">
        <v>621</v>
      </c>
      <c r="S35" s="1664">
        <f t="shared" si="1"/>
        <v>664.47</v>
      </c>
      <c r="T35" s="1664">
        <f t="shared" si="2"/>
        <v>0</v>
      </c>
      <c r="U35" s="1664"/>
      <c r="V35" s="1664">
        <f t="shared" si="13"/>
        <v>0</v>
      </c>
      <c r="W35" s="1664">
        <f t="shared" si="4"/>
        <v>704.34</v>
      </c>
      <c r="X35" s="1664">
        <f t="shared" si="5"/>
        <v>0</v>
      </c>
      <c r="Y35" s="1664"/>
      <c r="Z35" s="1664">
        <f t="shared" si="11"/>
        <v>0</v>
      </c>
      <c r="AA35" s="1664">
        <f t="shared" si="7"/>
        <v>739.56</v>
      </c>
      <c r="AB35" s="1664">
        <f t="shared" si="8"/>
        <v>0</v>
      </c>
      <c r="AC35" s="1664"/>
      <c r="AD35" s="1664">
        <f t="shared" si="12"/>
        <v>0</v>
      </c>
    </row>
    <row r="36" spans="1:30">
      <c r="A36" s="2130">
        <v>29</v>
      </c>
      <c r="B36" s="2894" t="s">
        <v>2310</v>
      </c>
      <c r="C36" s="2897" t="s">
        <v>2313</v>
      </c>
      <c r="D36" s="2898" t="s">
        <v>1268</v>
      </c>
      <c r="E36" s="2127">
        <v>4080.2</v>
      </c>
      <c r="F36" s="1610"/>
      <c r="G36" s="2127">
        <f t="shared" si="0"/>
        <v>4080.2</v>
      </c>
      <c r="H36" s="1610"/>
      <c r="I36" s="1820"/>
      <c r="J36" s="1820"/>
      <c r="K36" s="1610"/>
      <c r="L36" s="2901"/>
      <c r="M36" s="1742"/>
      <c r="N36" s="1664"/>
      <c r="O36" s="2122">
        <v>8</v>
      </c>
      <c r="P36" s="1664"/>
      <c r="Q36" s="1664">
        <v>1.07</v>
      </c>
      <c r="R36" s="1664">
        <v>555</v>
      </c>
      <c r="S36" s="1664">
        <f t="shared" si="1"/>
        <v>593.85</v>
      </c>
      <c r="T36" s="1664">
        <f t="shared" si="2"/>
        <v>0</v>
      </c>
      <c r="U36" s="1664"/>
      <c r="V36" s="1664">
        <f t="shared" si="13"/>
        <v>0</v>
      </c>
      <c r="W36" s="1664">
        <f t="shared" si="4"/>
        <v>629.48</v>
      </c>
      <c r="X36" s="1664">
        <f t="shared" si="5"/>
        <v>0</v>
      </c>
      <c r="Y36" s="1664"/>
      <c r="Z36" s="1664">
        <f t="shared" si="11"/>
        <v>0</v>
      </c>
      <c r="AA36" s="1664">
        <f t="shared" si="7"/>
        <v>660.95</v>
      </c>
      <c r="AB36" s="1664">
        <f t="shared" si="8"/>
        <v>0</v>
      </c>
      <c r="AC36" s="1664"/>
      <c r="AD36" s="1664">
        <f t="shared" si="12"/>
        <v>0</v>
      </c>
    </row>
    <row r="37" spans="1:30">
      <c r="A37" s="2130">
        <v>30</v>
      </c>
      <c r="B37" s="2894" t="s">
        <v>2310</v>
      </c>
      <c r="C37" s="2897" t="s">
        <v>2314</v>
      </c>
      <c r="D37" s="2898" t="s">
        <v>1268</v>
      </c>
      <c r="E37" s="2127">
        <v>4080.2</v>
      </c>
      <c r="F37" s="1820"/>
      <c r="G37" s="2127">
        <f t="shared" si="0"/>
        <v>4080.2</v>
      </c>
      <c r="H37" s="1820"/>
      <c r="I37" s="1820"/>
      <c r="J37" s="1820"/>
      <c r="K37" s="1820"/>
      <c r="L37" s="2901"/>
      <c r="M37" s="1742"/>
      <c r="N37" s="2122"/>
      <c r="O37" s="2122">
        <v>8</v>
      </c>
      <c r="P37" s="1664"/>
      <c r="Q37" s="1664">
        <v>1.07</v>
      </c>
      <c r="R37" s="2122">
        <v>663</v>
      </c>
      <c r="S37" s="1664">
        <f t="shared" si="1"/>
        <v>709.41</v>
      </c>
      <c r="T37" s="1664">
        <f t="shared" si="2"/>
        <v>0</v>
      </c>
      <c r="U37" s="1664"/>
      <c r="V37" s="1664">
        <f t="shared" si="13"/>
        <v>0</v>
      </c>
      <c r="W37" s="1664">
        <f t="shared" si="4"/>
        <v>751.97</v>
      </c>
      <c r="X37" s="1664">
        <f t="shared" si="5"/>
        <v>0</v>
      </c>
      <c r="Y37" s="1664"/>
      <c r="Z37" s="1664">
        <f t="shared" si="11"/>
        <v>0</v>
      </c>
      <c r="AA37" s="1664">
        <f t="shared" si="7"/>
        <v>789.57</v>
      </c>
      <c r="AB37" s="1664">
        <f t="shared" si="8"/>
        <v>0</v>
      </c>
      <c r="AC37" s="1664"/>
      <c r="AD37" s="1664">
        <f t="shared" si="12"/>
        <v>0</v>
      </c>
    </row>
    <row r="38" spans="1:30">
      <c r="A38" s="2130">
        <v>31</v>
      </c>
      <c r="B38" s="2894" t="s">
        <v>2315</v>
      </c>
      <c r="C38" s="2895" t="s">
        <v>2316</v>
      </c>
      <c r="D38" s="2898" t="s">
        <v>2317</v>
      </c>
      <c r="E38" s="2127">
        <v>4080.2</v>
      </c>
      <c r="F38" s="1820"/>
      <c r="G38" s="2127">
        <f t="shared" si="0"/>
        <v>4080.2</v>
      </c>
      <c r="H38" s="1820"/>
      <c r="I38" s="1820"/>
      <c r="J38" s="1820"/>
      <c r="K38" s="1820"/>
      <c r="L38" s="2901"/>
      <c r="M38" s="1742"/>
      <c r="N38" s="2122"/>
      <c r="O38" s="2122"/>
      <c r="P38" s="1664"/>
      <c r="Q38" s="1664">
        <v>1.07</v>
      </c>
      <c r="R38" s="2122">
        <v>590</v>
      </c>
      <c r="S38" s="1664">
        <f t="shared" si="1"/>
        <v>631.29999999999995</v>
      </c>
      <c r="T38" s="1664">
        <f t="shared" si="2"/>
        <v>0</v>
      </c>
      <c r="U38" s="1664"/>
      <c r="V38" s="1664">
        <f t="shared" si="13"/>
        <v>0</v>
      </c>
      <c r="W38" s="1664">
        <f t="shared" si="4"/>
        <v>669.18</v>
      </c>
      <c r="X38" s="1664">
        <f t="shared" si="5"/>
        <v>0</v>
      </c>
      <c r="Y38" s="1664"/>
      <c r="Z38" s="1664">
        <f t="shared" si="11"/>
        <v>0</v>
      </c>
      <c r="AA38" s="1664">
        <f t="shared" si="7"/>
        <v>702.64</v>
      </c>
      <c r="AB38" s="1664">
        <f t="shared" si="8"/>
        <v>0</v>
      </c>
      <c r="AC38" s="1664"/>
      <c r="AD38" s="1664">
        <f t="shared" si="12"/>
        <v>0</v>
      </c>
    </row>
    <row r="39" spans="1:30">
      <c r="A39" s="2130">
        <v>32</v>
      </c>
      <c r="B39" s="2894" t="s">
        <v>2315</v>
      </c>
      <c r="C39" s="2895" t="s">
        <v>2318</v>
      </c>
      <c r="D39" s="2898" t="s">
        <v>2317</v>
      </c>
      <c r="E39" s="2127">
        <v>4080.2</v>
      </c>
      <c r="F39" s="1820"/>
      <c r="G39" s="2127">
        <f t="shared" si="0"/>
        <v>4080.2</v>
      </c>
      <c r="H39" s="1820"/>
      <c r="I39" s="1820"/>
      <c r="J39" s="1820"/>
      <c r="K39" s="1820"/>
      <c r="L39" s="2901"/>
      <c r="M39" s="1742"/>
      <c r="N39" s="2122"/>
      <c r="O39" s="2122"/>
      <c r="P39" s="1664"/>
      <c r="Q39" s="1664">
        <v>1.07</v>
      </c>
      <c r="R39" s="2122">
        <v>955</v>
      </c>
      <c r="S39" s="1664">
        <f t="shared" si="1"/>
        <v>1021.85</v>
      </c>
      <c r="T39" s="1664">
        <f t="shared" si="2"/>
        <v>0</v>
      </c>
      <c r="U39" s="1664"/>
      <c r="V39" s="1664">
        <f t="shared" si="13"/>
        <v>0</v>
      </c>
      <c r="W39" s="1664">
        <f t="shared" si="4"/>
        <v>1083.1600000000001</v>
      </c>
      <c r="X39" s="1664">
        <f t="shared" si="5"/>
        <v>0</v>
      </c>
      <c r="Y39" s="1664"/>
      <c r="Z39" s="1664">
        <f t="shared" si="11"/>
        <v>0</v>
      </c>
      <c r="AA39" s="1664">
        <f t="shared" si="7"/>
        <v>1137.32</v>
      </c>
      <c r="AB39" s="1664">
        <f t="shared" si="8"/>
        <v>0</v>
      </c>
      <c r="AC39" s="1664"/>
      <c r="AD39" s="1664">
        <f t="shared" si="12"/>
        <v>0</v>
      </c>
    </row>
    <row r="40" spans="1:30">
      <c r="A40" s="2130">
        <v>33</v>
      </c>
      <c r="B40" s="2894" t="s">
        <v>2315</v>
      </c>
      <c r="C40" s="2895" t="s">
        <v>2319</v>
      </c>
      <c r="D40" s="2898" t="s">
        <v>2317</v>
      </c>
      <c r="E40" s="2127">
        <v>4080.2</v>
      </c>
      <c r="F40" s="1820"/>
      <c r="G40" s="2127">
        <f t="shared" si="0"/>
        <v>4080.2</v>
      </c>
      <c r="H40" s="1820"/>
      <c r="I40" s="1820"/>
      <c r="J40" s="1820"/>
      <c r="K40" s="1820"/>
      <c r="L40" s="2901"/>
      <c r="M40" s="1742"/>
      <c r="N40" s="2122"/>
      <c r="O40" s="2122">
        <v>25</v>
      </c>
      <c r="P40" s="1664"/>
      <c r="Q40" s="1664">
        <v>1.07</v>
      </c>
      <c r="R40" s="1664">
        <v>1053</v>
      </c>
      <c r="S40" s="1664">
        <f t="shared" si="1"/>
        <v>1126.71</v>
      </c>
      <c r="T40" s="1664">
        <f t="shared" si="2"/>
        <v>0</v>
      </c>
      <c r="U40" s="1664"/>
      <c r="V40" s="1664">
        <f t="shared" si="13"/>
        <v>0</v>
      </c>
      <c r="W40" s="1664">
        <f t="shared" si="4"/>
        <v>1194.31</v>
      </c>
      <c r="X40" s="1664">
        <f t="shared" si="5"/>
        <v>0</v>
      </c>
      <c r="Y40" s="1664"/>
      <c r="Z40" s="1664">
        <f t="shared" si="11"/>
        <v>0</v>
      </c>
      <c r="AA40" s="1664">
        <f t="shared" si="7"/>
        <v>1254.03</v>
      </c>
      <c r="AB40" s="1664">
        <f t="shared" si="8"/>
        <v>0</v>
      </c>
      <c r="AC40" s="1664"/>
      <c r="AD40" s="1664">
        <f t="shared" si="12"/>
        <v>0</v>
      </c>
    </row>
    <row r="41" spans="1:30">
      <c r="A41" s="2130">
        <v>34</v>
      </c>
      <c r="B41" s="2894" t="s">
        <v>2315</v>
      </c>
      <c r="C41" s="2895" t="s">
        <v>2320</v>
      </c>
      <c r="D41" s="2898" t="s">
        <v>2317</v>
      </c>
      <c r="E41" s="2127">
        <v>4080.2</v>
      </c>
      <c r="F41" s="1610"/>
      <c r="G41" s="2127">
        <f t="shared" si="0"/>
        <v>4080.2</v>
      </c>
      <c r="H41" s="1610"/>
      <c r="I41" s="1820"/>
      <c r="J41" s="1820"/>
      <c r="K41" s="1610"/>
      <c r="L41" s="2901"/>
      <c r="M41" s="1742"/>
      <c r="N41" s="1664"/>
      <c r="O41" s="1664"/>
      <c r="P41" s="1664"/>
      <c r="Q41" s="1664">
        <v>1.07</v>
      </c>
      <c r="R41" s="1664">
        <v>1260</v>
      </c>
      <c r="S41" s="1664">
        <f t="shared" si="1"/>
        <v>1348.2</v>
      </c>
      <c r="T41" s="1664">
        <f t="shared" si="2"/>
        <v>0</v>
      </c>
      <c r="U41" s="1664"/>
      <c r="V41" s="1664">
        <f t="shared" si="13"/>
        <v>0</v>
      </c>
      <c r="W41" s="1664">
        <f t="shared" si="4"/>
        <v>1429.09</v>
      </c>
      <c r="X41" s="1664">
        <f t="shared" si="5"/>
        <v>0</v>
      </c>
      <c r="Y41" s="1664"/>
      <c r="Z41" s="1664">
        <f t="shared" si="11"/>
        <v>0</v>
      </c>
      <c r="AA41" s="1664">
        <f t="shared" si="7"/>
        <v>1500.54</v>
      </c>
      <c r="AB41" s="1664">
        <f t="shared" si="8"/>
        <v>0</v>
      </c>
      <c r="AC41" s="1664"/>
      <c r="AD41" s="1664">
        <f t="shared" si="12"/>
        <v>0</v>
      </c>
    </row>
    <row r="42" spans="1:30">
      <c r="A42" s="2130">
        <v>35</v>
      </c>
      <c r="B42" s="2894" t="s">
        <v>1956</v>
      </c>
      <c r="C42" s="2895" t="s">
        <v>2321</v>
      </c>
      <c r="D42" s="2896" t="s">
        <v>1268</v>
      </c>
      <c r="E42" s="2127">
        <v>4080.2</v>
      </c>
      <c r="F42" s="1820"/>
      <c r="G42" s="2127">
        <f t="shared" si="0"/>
        <v>4080.2</v>
      </c>
      <c r="H42" s="1820"/>
      <c r="I42" s="1820"/>
      <c r="J42" s="1820"/>
      <c r="K42" s="1820"/>
      <c r="L42" s="2901"/>
      <c r="M42" s="1742"/>
      <c r="N42" s="2122"/>
      <c r="O42" s="2122"/>
      <c r="P42" s="1664"/>
      <c r="Q42" s="1664">
        <v>1.07</v>
      </c>
      <c r="R42" s="1664">
        <v>2900</v>
      </c>
      <c r="S42" s="1664">
        <f t="shared" si="1"/>
        <v>3103</v>
      </c>
      <c r="T42" s="1664">
        <f t="shared" si="2"/>
        <v>0</v>
      </c>
      <c r="U42" s="1664"/>
      <c r="V42" s="1664">
        <f t="shared" si="13"/>
        <v>0</v>
      </c>
      <c r="W42" s="1664">
        <f t="shared" si="4"/>
        <v>3289.18</v>
      </c>
      <c r="X42" s="1664">
        <f t="shared" si="5"/>
        <v>0</v>
      </c>
      <c r="Y42" s="1664"/>
      <c r="Z42" s="1664">
        <f t="shared" si="11"/>
        <v>0</v>
      </c>
      <c r="AA42" s="1664">
        <f t="shared" si="7"/>
        <v>3453.64</v>
      </c>
      <c r="AB42" s="1664">
        <f t="shared" si="8"/>
        <v>0</v>
      </c>
      <c r="AC42" s="1664"/>
      <c r="AD42" s="1664">
        <f t="shared" si="12"/>
        <v>0</v>
      </c>
    </row>
    <row r="43" spans="1:30">
      <c r="A43" s="2130">
        <v>36</v>
      </c>
      <c r="B43" s="2894" t="s">
        <v>1956</v>
      </c>
      <c r="C43" s="2895" t="s">
        <v>2322</v>
      </c>
      <c r="D43" s="2896" t="s">
        <v>1268</v>
      </c>
      <c r="E43" s="2127">
        <v>4080.2</v>
      </c>
      <c r="F43" s="1820"/>
      <c r="G43" s="2127">
        <f t="shared" si="0"/>
        <v>4080.2</v>
      </c>
      <c r="H43" s="1820"/>
      <c r="I43" s="1820"/>
      <c r="J43" s="1820"/>
      <c r="K43" s="1820"/>
      <c r="L43" s="2901"/>
      <c r="M43" s="1742"/>
      <c r="N43" s="2122"/>
      <c r="O43" s="2122"/>
      <c r="P43" s="1664"/>
      <c r="Q43" s="1664">
        <v>1.07</v>
      </c>
      <c r="R43" s="1664">
        <v>2470</v>
      </c>
      <c r="S43" s="1664">
        <f t="shared" si="1"/>
        <v>2642.9</v>
      </c>
      <c r="T43" s="1664">
        <f t="shared" si="2"/>
        <v>0</v>
      </c>
      <c r="U43" s="1664"/>
      <c r="V43" s="1664">
        <f t="shared" si="13"/>
        <v>0</v>
      </c>
      <c r="W43" s="1664">
        <f t="shared" si="4"/>
        <v>2801.47</v>
      </c>
      <c r="X43" s="1664">
        <f t="shared" si="5"/>
        <v>0</v>
      </c>
      <c r="Y43" s="1664"/>
      <c r="Z43" s="1664">
        <f t="shared" si="11"/>
        <v>0</v>
      </c>
      <c r="AA43" s="1664">
        <f t="shared" si="7"/>
        <v>2941.54</v>
      </c>
      <c r="AB43" s="1664">
        <f t="shared" si="8"/>
        <v>0</v>
      </c>
      <c r="AC43" s="1664"/>
      <c r="AD43" s="1664">
        <f t="shared" si="12"/>
        <v>0</v>
      </c>
    </row>
    <row r="44" spans="1:30" ht="25.5">
      <c r="A44" s="2130">
        <v>37</v>
      </c>
      <c r="B44" s="2894" t="s">
        <v>2323</v>
      </c>
      <c r="C44" s="2895" t="s">
        <v>2324</v>
      </c>
      <c r="D44" s="2896" t="s">
        <v>1411</v>
      </c>
      <c r="E44" s="2127">
        <v>4080.2</v>
      </c>
      <c r="F44" s="1820"/>
      <c r="G44" s="2127">
        <f t="shared" si="0"/>
        <v>4080.2</v>
      </c>
      <c r="H44" s="1820"/>
      <c r="I44" s="1820"/>
      <c r="J44" s="1820"/>
      <c r="K44" s="1820"/>
      <c r="L44" s="2901"/>
      <c r="M44" s="1742"/>
      <c r="N44" s="2122"/>
      <c r="O44" s="2122"/>
      <c r="P44" s="1664"/>
      <c r="Q44" s="1664">
        <v>1.07</v>
      </c>
      <c r="R44" s="1664">
        <v>3255</v>
      </c>
      <c r="S44" s="1664">
        <f t="shared" si="1"/>
        <v>3482.85</v>
      </c>
      <c r="T44" s="1664">
        <f t="shared" si="2"/>
        <v>0</v>
      </c>
      <c r="U44" s="1664"/>
      <c r="V44" s="1664">
        <f t="shared" si="13"/>
        <v>0</v>
      </c>
      <c r="W44" s="1664">
        <f t="shared" si="4"/>
        <v>3691.82</v>
      </c>
      <c r="X44" s="1664">
        <f t="shared" si="5"/>
        <v>0</v>
      </c>
      <c r="Y44" s="1664"/>
      <c r="Z44" s="1664">
        <f t="shared" si="11"/>
        <v>0</v>
      </c>
      <c r="AA44" s="1664">
        <f t="shared" si="7"/>
        <v>3876.41</v>
      </c>
      <c r="AB44" s="1664">
        <f t="shared" si="8"/>
        <v>0</v>
      </c>
      <c r="AC44" s="1664"/>
      <c r="AD44" s="1664">
        <f t="shared" si="12"/>
        <v>0</v>
      </c>
    </row>
    <row r="45" spans="1:30" ht="25.5">
      <c r="A45" s="2130">
        <v>38</v>
      </c>
      <c r="B45" s="2894" t="s">
        <v>2323</v>
      </c>
      <c r="C45" s="2895" t="s">
        <v>2325</v>
      </c>
      <c r="D45" s="2896" t="s">
        <v>1411</v>
      </c>
      <c r="E45" s="2127">
        <v>4080.2</v>
      </c>
      <c r="F45" s="1610"/>
      <c r="G45" s="2127">
        <f t="shared" si="0"/>
        <v>4080.2</v>
      </c>
      <c r="H45" s="1610"/>
      <c r="I45" s="1820"/>
      <c r="J45" s="1820"/>
      <c r="K45" s="1610"/>
      <c r="L45" s="2901"/>
      <c r="M45" s="1742"/>
      <c r="N45" s="1664"/>
      <c r="O45" s="1664"/>
      <c r="P45" s="1664"/>
      <c r="Q45" s="1664">
        <v>1.07</v>
      </c>
      <c r="R45" s="1664">
        <v>1917</v>
      </c>
      <c r="S45" s="1664">
        <f t="shared" si="1"/>
        <v>2051.19</v>
      </c>
      <c r="T45" s="1664">
        <f t="shared" si="2"/>
        <v>0</v>
      </c>
      <c r="U45" s="1664"/>
      <c r="V45" s="1664">
        <f t="shared" si="13"/>
        <v>0</v>
      </c>
      <c r="W45" s="1664">
        <f t="shared" si="4"/>
        <v>2174.2600000000002</v>
      </c>
      <c r="X45" s="1664">
        <f t="shared" si="5"/>
        <v>0</v>
      </c>
      <c r="Y45" s="1664"/>
      <c r="Z45" s="1664">
        <f t="shared" si="11"/>
        <v>0</v>
      </c>
      <c r="AA45" s="1664">
        <f t="shared" si="7"/>
        <v>2282.9699999999998</v>
      </c>
      <c r="AB45" s="1664">
        <f t="shared" si="8"/>
        <v>0</v>
      </c>
      <c r="AC45" s="1664"/>
      <c r="AD45" s="1664">
        <f t="shared" si="12"/>
        <v>0</v>
      </c>
    </row>
    <row r="46" spans="1:30" ht="25.5">
      <c r="A46" s="2130">
        <v>39</v>
      </c>
      <c r="B46" s="2894" t="s">
        <v>1961</v>
      </c>
      <c r="C46" s="2895" t="s">
        <v>2326</v>
      </c>
      <c r="D46" s="2896" t="s">
        <v>1268</v>
      </c>
      <c r="E46" s="2127">
        <v>4080.2</v>
      </c>
      <c r="F46" s="1610"/>
      <c r="G46" s="2127">
        <f t="shared" si="0"/>
        <v>4080.2</v>
      </c>
      <c r="H46" s="1610"/>
      <c r="I46" s="1820"/>
      <c r="J46" s="1820"/>
      <c r="K46" s="1610"/>
      <c r="L46" s="2901"/>
      <c r="M46" s="1742"/>
      <c r="N46" s="1664"/>
      <c r="O46" s="1664"/>
      <c r="P46" s="1664"/>
      <c r="Q46" s="1664">
        <v>1.07</v>
      </c>
      <c r="R46" s="1664">
        <v>890</v>
      </c>
      <c r="S46" s="1664">
        <f t="shared" si="1"/>
        <v>952.3</v>
      </c>
      <c r="T46" s="1664">
        <f t="shared" si="2"/>
        <v>0</v>
      </c>
      <c r="U46" s="1664"/>
      <c r="V46" s="1664">
        <f t="shared" si="13"/>
        <v>0</v>
      </c>
      <c r="W46" s="1664">
        <f t="shared" si="4"/>
        <v>1009.44</v>
      </c>
      <c r="X46" s="1664">
        <f t="shared" si="5"/>
        <v>0</v>
      </c>
      <c r="Y46" s="1664"/>
      <c r="Z46" s="1664">
        <f t="shared" si="11"/>
        <v>0</v>
      </c>
      <c r="AA46" s="1664">
        <f t="shared" si="7"/>
        <v>1059.9100000000001</v>
      </c>
      <c r="AB46" s="1664">
        <f t="shared" si="8"/>
        <v>0</v>
      </c>
      <c r="AC46" s="1664"/>
      <c r="AD46" s="1664">
        <f t="shared" si="12"/>
        <v>0</v>
      </c>
    </row>
    <row r="47" spans="1:30" ht="25.5">
      <c r="A47" s="2130">
        <v>40</v>
      </c>
      <c r="B47" s="2894" t="s">
        <v>1961</v>
      </c>
      <c r="C47" s="2895" t="s">
        <v>2327</v>
      </c>
      <c r="D47" s="2896" t="s">
        <v>1268</v>
      </c>
      <c r="E47" s="2127">
        <v>4080.2</v>
      </c>
      <c r="F47" s="1610"/>
      <c r="G47" s="2127">
        <f t="shared" si="0"/>
        <v>4080.2</v>
      </c>
      <c r="H47" s="1610"/>
      <c r="I47" s="1820"/>
      <c r="J47" s="1820"/>
      <c r="K47" s="1610"/>
      <c r="L47" s="2901"/>
      <c r="M47" s="1742"/>
      <c r="N47" s="1664"/>
      <c r="O47" s="1664"/>
      <c r="P47" s="1664"/>
      <c r="Q47" s="1664">
        <v>1.07</v>
      </c>
      <c r="R47" s="1664">
        <v>935</v>
      </c>
      <c r="S47" s="1664">
        <f t="shared" si="1"/>
        <v>1000.45</v>
      </c>
      <c r="T47" s="1664">
        <f t="shared" si="2"/>
        <v>0</v>
      </c>
      <c r="U47" s="1664"/>
      <c r="V47" s="1664">
        <f t="shared" si="13"/>
        <v>0</v>
      </c>
      <c r="W47" s="1664">
        <f t="shared" si="4"/>
        <v>1060.48</v>
      </c>
      <c r="X47" s="1664">
        <f t="shared" si="5"/>
        <v>0</v>
      </c>
      <c r="Y47" s="1664"/>
      <c r="Z47" s="1664">
        <f t="shared" si="11"/>
        <v>0</v>
      </c>
      <c r="AA47" s="1664">
        <f t="shared" si="7"/>
        <v>1113.5</v>
      </c>
      <c r="AB47" s="1664">
        <f t="shared" si="8"/>
        <v>0</v>
      </c>
      <c r="AC47" s="1664"/>
      <c r="AD47" s="1664">
        <f t="shared" si="12"/>
        <v>0</v>
      </c>
    </row>
    <row r="48" spans="1:30" ht="25.5">
      <c r="A48" s="2130">
        <v>41</v>
      </c>
      <c r="B48" s="2894" t="s">
        <v>1961</v>
      </c>
      <c r="C48" s="2895" t="s">
        <v>2328</v>
      </c>
      <c r="D48" s="2896" t="s">
        <v>1268</v>
      </c>
      <c r="E48" s="2127">
        <v>4080.2</v>
      </c>
      <c r="F48" s="1610"/>
      <c r="G48" s="2127">
        <f t="shared" si="0"/>
        <v>4080.2</v>
      </c>
      <c r="H48" s="1610"/>
      <c r="I48" s="1820"/>
      <c r="J48" s="1820"/>
      <c r="K48" s="1610"/>
      <c r="L48" s="2901"/>
      <c r="M48" s="1742"/>
      <c r="N48" s="1664"/>
      <c r="O48" s="1664"/>
      <c r="P48" s="1664"/>
      <c r="Q48" s="1664">
        <v>1.07</v>
      </c>
      <c r="R48" s="1664">
        <v>1020</v>
      </c>
      <c r="S48" s="1664">
        <f t="shared" si="1"/>
        <v>1091.4000000000001</v>
      </c>
      <c r="T48" s="1664">
        <f t="shared" si="2"/>
        <v>0</v>
      </c>
      <c r="U48" s="1664"/>
      <c r="V48" s="1664">
        <f t="shared" si="13"/>
        <v>0</v>
      </c>
      <c r="W48" s="1664">
        <f t="shared" si="4"/>
        <v>1156.8800000000001</v>
      </c>
      <c r="X48" s="1664">
        <f t="shared" si="5"/>
        <v>0</v>
      </c>
      <c r="Y48" s="1664"/>
      <c r="Z48" s="1664">
        <f t="shared" si="11"/>
        <v>0</v>
      </c>
      <c r="AA48" s="1664">
        <f t="shared" si="7"/>
        <v>1214.72</v>
      </c>
      <c r="AB48" s="1664">
        <f t="shared" si="8"/>
        <v>0</v>
      </c>
      <c r="AC48" s="1664"/>
      <c r="AD48" s="1664">
        <f t="shared" si="12"/>
        <v>0</v>
      </c>
    </row>
    <row r="49" spans="1:30" ht="25.5">
      <c r="A49" s="2130">
        <v>42</v>
      </c>
      <c r="B49" s="2894" t="s">
        <v>1961</v>
      </c>
      <c r="C49" s="2895" t="s">
        <v>2329</v>
      </c>
      <c r="D49" s="2896" t="s">
        <v>1268</v>
      </c>
      <c r="E49" s="2127">
        <v>4080.2</v>
      </c>
      <c r="F49" s="1610"/>
      <c r="G49" s="2127">
        <f t="shared" si="0"/>
        <v>4080.2</v>
      </c>
      <c r="H49" s="1820"/>
      <c r="I49" s="1820"/>
      <c r="J49" s="1820"/>
      <c r="K49" s="1820"/>
      <c r="L49" s="2901"/>
      <c r="M49" s="1742"/>
      <c r="N49" s="2122"/>
      <c r="O49" s="2122"/>
      <c r="P49" s="1664"/>
      <c r="Q49" s="1664">
        <v>1.07</v>
      </c>
      <c r="R49" s="2122">
        <v>1161</v>
      </c>
      <c r="S49" s="1664">
        <f t="shared" si="1"/>
        <v>1242.27</v>
      </c>
      <c r="T49" s="1664">
        <f t="shared" si="2"/>
        <v>0</v>
      </c>
      <c r="U49" s="1664"/>
      <c r="V49" s="1664">
        <f t="shared" si="13"/>
        <v>0</v>
      </c>
      <c r="W49" s="1664">
        <f t="shared" si="4"/>
        <v>1316.81</v>
      </c>
      <c r="X49" s="1664">
        <f t="shared" si="5"/>
        <v>0</v>
      </c>
      <c r="Y49" s="1664"/>
      <c r="Z49" s="1664">
        <f t="shared" si="11"/>
        <v>0</v>
      </c>
      <c r="AA49" s="1664">
        <f t="shared" si="7"/>
        <v>1382.65</v>
      </c>
      <c r="AB49" s="1664">
        <f t="shared" si="8"/>
        <v>0</v>
      </c>
      <c r="AC49" s="1664"/>
      <c r="AD49" s="1664">
        <f t="shared" si="12"/>
        <v>0</v>
      </c>
    </row>
    <row r="50" spans="1:30" ht="25.5">
      <c r="A50" s="2130">
        <v>43</v>
      </c>
      <c r="B50" s="2894" t="s">
        <v>1961</v>
      </c>
      <c r="C50" s="2895" t="s">
        <v>2330</v>
      </c>
      <c r="D50" s="2896" t="s">
        <v>1268</v>
      </c>
      <c r="E50" s="2127">
        <v>4080.2</v>
      </c>
      <c r="F50" s="1610"/>
      <c r="G50" s="2127">
        <f t="shared" si="0"/>
        <v>4080.2</v>
      </c>
      <c r="H50" s="1610"/>
      <c r="I50" s="1820"/>
      <c r="J50" s="1820"/>
      <c r="K50" s="1610"/>
      <c r="L50" s="2901"/>
      <c r="M50" s="1742"/>
      <c r="N50" s="1664"/>
      <c r="O50" s="1664"/>
      <c r="P50" s="1664"/>
      <c r="Q50" s="1664">
        <v>1.07</v>
      </c>
      <c r="R50" s="1664">
        <v>1799</v>
      </c>
      <c r="S50" s="1664">
        <f t="shared" si="1"/>
        <v>1924.93</v>
      </c>
      <c r="T50" s="1664">
        <f t="shared" si="2"/>
        <v>0</v>
      </c>
      <c r="U50" s="1664"/>
      <c r="V50" s="1664">
        <f t="shared" si="13"/>
        <v>0</v>
      </c>
      <c r="W50" s="1664">
        <f t="shared" si="4"/>
        <v>2040.43</v>
      </c>
      <c r="X50" s="1664">
        <f t="shared" si="5"/>
        <v>0</v>
      </c>
      <c r="Y50" s="1664"/>
      <c r="Z50" s="1664">
        <f t="shared" si="11"/>
        <v>0</v>
      </c>
      <c r="AA50" s="1664">
        <f t="shared" si="7"/>
        <v>2142.4499999999998</v>
      </c>
      <c r="AB50" s="1664">
        <f t="shared" si="8"/>
        <v>0</v>
      </c>
      <c r="AC50" s="1664"/>
      <c r="AD50" s="1664">
        <f t="shared" si="12"/>
        <v>0</v>
      </c>
    </row>
    <row r="51" spans="1:30">
      <c r="A51" s="2130">
        <v>44</v>
      </c>
      <c r="B51" s="2894" t="s">
        <v>1958</v>
      </c>
      <c r="C51" s="2895" t="s">
        <v>2331</v>
      </c>
      <c r="D51" s="2896" t="s">
        <v>1268</v>
      </c>
      <c r="E51" s="2127">
        <v>4080.2</v>
      </c>
      <c r="F51" s="1610"/>
      <c r="G51" s="2127">
        <f t="shared" si="0"/>
        <v>4080.2</v>
      </c>
      <c r="H51" s="1610"/>
      <c r="I51" s="1820"/>
      <c r="J51" s="1820"/>
      <c r="K51" s="1610"/>
      <c r="L51" s="2901"/>
      <c r="M51" s="1742"/>
      <c r="N51" s="1664"/>
      <c r="O51" s="1664"/>
      <c r="P51" s="1664"/>
      <c r="Q51" s="1664">
        <v>1.07</v>
      </c>
      <c r="R51" s="1664">
        <v>1134</v>
      </c>
      <c r="S51" s="1664">
        <f t="shared" si="1"/>
        <v>1213.3800000000001</v>
      </c>
      <c r="T51" s="1664">
        <f t="shared" si="2"/>
        <v>0</v>
      </c>
      <c r="U51" s="1664"/>
      <c r="V51" s="1664">
        <f t="shared" si="13"/>
        <v>0</v>
      </c>
      <c r="W51" s="1664">
        <f t="shared" si="4"/>
        <v>1286.18</v>
      </c>
      <c r="X51" s="1664">
        <f t="shared" si="5"/>
        <v>0</v>
      </c>
      <c r="Y51" s="1664"/>
      <c r="Z51" s="1664">
        <f t="shared" si="11"/>
        <v>0</v>
      </c>
      <c r="AA51" s="1664">
        <f t="shared" si="7"/>
        <v>1350.49</v>
      </c>
      <c r="AB51" s="1664">
        <f t="shared" si="8"/>
        <v>0</v>
      </c>
      <c r="AC51" s="1664"/>
      <c r="AD51" s="1664">
        <f t="shared" si="12"/>
        <v>0</v>
      </c>
    </row>
    <row r="52" spans="1:30">
      <c r="A52" s="2130">
        <v>45</v>
      </c>
      <c r="B52" s="2894" t="s">
        <v>1958</v>
      </c>
      <c r="C52" s="2895" t="s">
        <v>2332</v>
      </c>
      <c r="D52" s="2896" t="s">
        <v>1268</v>
      </c>
      <c r="E52" s="2127">
        <v>4080.2</v>
      </c>
      <c r="F52" s="1610"/>
      <c r="G52" s="2127">
        <f t="shared" si="0"/>
        <v>4080.2</v>
      </c>
      <c r="H52" s="1610"/>
      <c r="I52" s="1820"/>
      <c r="J52" s="1820"/>
      <c r="K52" s="1610"/>
      <c r="L52" s="2901"/>
      <c r="M52" s="1742"/>
      <c r="N52" s="1664"/>
      <c r="O52" s="1664"/>
      <c r="P52" s="1664"/>
      <c r="Q52" s="1664">
        <v>1.07</v>
      </c>
      <c r="R52" s="1664">
        <v>1053</v>
      </c>
      <c r="S52" s="1664">
        <f t="shared" si="1"/>
        <v>1126.71</v>
      </c>
      <c r="T52" s="1664">
        <f t="shared" si="2"/>
        <v>0</v>
      </c>
      <c r="U52" s="1664"/>
      <c r="V52" s="1664">
        <f t="shared" si="13"/>
        <v>0</v>
      </c>
      <c r="W52" s="1664">
        <f t="shared" si="4"/>
        <v>1194.31</v>
      </c>
      <c r="X52" s="1664">
        <f t="shared" si="5"/>
        <v>0</v>
      </c>
      <c r="Y52" s="1664"/>
      <c r="Z52" s="1664">
        <f t="shared" si="11"/>
        <v>0</v>
      </c>
      <c r="AA52" s="1664">
        <f t="shared" si="7"/>
        <v>1254.03</v>
      </c>
      <c r="AB52" s="1664">
        <f t="shared" si="8"/>
        <v>0</v>
      </c>
      <c r="AC52" s="1664"/>
      <c r="AD52" s="1664">
        <f t="shared" si="12"/>
        <v>0</v>
      </c>
    </row>
    <row r="53" spans="1:30">
      <c r="A53" s="2130">
        <v>46</v>
      </c>
      <c r="B53" s="2894" t="s">
        <v>2333</v>
      </c>
      <c r="C53" s="2895" t="s">
        <v>2331</v>
      </c>
      <c r="D53" s="2896" t="s">
        <v>1268</v>
      </c>
      <c r="E53" s="2127">
        <v>4080.2</v>
      </c>
      <c r="F53" s="1610"/>
      <c r="G53" s="2127">
        <f t="shared" si="0"/>
        <v>4080.2</v>
      </c>
      <c r="H53" s="1610"/>
      <c r="I53" s="1820"/>
      <c r="J53" s="1820"/>
      <c r="K53" s="1610"/>
      <c r="L53" s="2901"/>
      <c r="M53" s="1742"/>
      <c r="N53" s="1664"/>
      <c r="O53" s="1664"/>
      <c r="P53" s="1664"/>
      <c r="Q53" s="1664">
        <v>1.07</v>
      </c>
      <c r="R53" s="1664">
        <v>315</v>
      </c>
      <c r="S53" s="1664">
        <f t="shared" si="1"/>
        <v>337.05</v>
      </c>
      <c r="T53" s="1664">
        <f t="shared" si="2"/>
        <v>0</v>
      </c>
      <c r="U53" s="1664"/>
      <c r="V53" s="1664">
        <f t="shared" si="13"/>
        <v>0</v>
      </c>
      <c r="W53" s="1664">
        <f t="shared" si="4"/>
        <v>357.27</v>
      </c>
      <c r="X53" s="1664">
        <f t="shared" si="5"/>
        <v>0</v>
      </c>
      <c r="Y53" s="1664"/>
      <c r="Z53" s="1664">
        <f t="shared" si="11"/>
        <v>0</v>
      </c>
      <c r="AA53" s="1664">
        <f t="shared" si="7"/>
        <v>375.13</v>
      </c>
      <c r="AB53" s="1664">
        <f t="shared" si="8"/>
        <v>0</v>
      </c>
      <c r="AC53" s="1664"/>
      <c r="AD53" s="1664">
        <f t="shared" si="12"/>
        <v>0</v>
      </c>
    </row>
    <row r="54" spans="1:30">
      <c r="A54" s="2130">
        <v>47</v>
      </c>
      <c r="B54" s="2894" t="s">
        <v>2333</v>
      </c>
      <c r="C54" s="2895" t="s">
        <v>2332</v>
      </c>
      <c r="D54" s="2896" t="s">
        <v>1268</v>
      </c>
      <c r="E54" s="2127">
        <v>4080.2</v>
      </c>
      <c r="F54" s="1610"/>
      <c r="G54" s="2127">
        <f t="shared" si="0"/>
        <v>4080.2</v>
      </c>
      <c r="H54" s="1610"/>
      <c r="I54" s="1820"/>
      <c r="J54" s="1820"/>
      <c r="K54" s="1610"/>
      <c r="L54" s="2901"/>
      <c r="M54" s="1742"/>
      <c r="N54" s="1664"/>
      <c r="O54" s="1664"/>
      <c r="P54" s="1664"/>
      <c r="Q54" s="1664">
        <v>1.07</v>
      </c>
      <c r="R54" s="1664">
        <v>243</v>
      </c>
      <c r="S54" s="1664">
        <f t="shared" si="1"/>
        <v>260.01</v>
      </c>
      <c r="T54" s="1664">
        <f t="shared" si="2"/>
        <v>0</v>
      </c>
      <c r="U54" s="1664"/>
      <c r="V54" s="1664">
        <f t="shared" si="13"/>
        <v>0</v>
      </c>
      <c r="W54" s="1664">
        <f t="shared" si="4"/>
        <v>275.61</v>
      </c>
      <c r="X54" s="1664">
        <f t="shared" si="5"/>
        <v>0</v>
      </c>
      <c r="Y54" s="1664"/>
      <c r="Z54" s="1664">
        <f t="shared" si="11"/>
        <v>0</v>
      </c>
      <c r="AA54" s="1664">
        <f t="shared" si="7"/>
        <v>289.39</v>
      </c>
      <c r="AB54" s="1664">
        <f t="shared" si="8"/>
        <v>0</v>
      </c>
      <c r="AC54" s="1664"/>
      <c r="AD54" s="1664">
        <f t="shared" si="12"/>
        <v>0</v>
      </c>
    </row>
    <row r="55" spans="1:30">
      <c r="A55" s="2130">
        <v>48</v>
      </c>
      <c r="B55" s="2894" t="s">
        <v>2334</v>
      </c>
      <c r="C55" s="2895" t="s">
        <v>2335</v>
      </c>
      <c r="D55" s="2896" t="s">
        <v>1268</v>
      </c>
      <c r="E55" s="2127">
        <v>4080.2</v>
      </c>
      <c r="F55" s="1820"/>
      <c r="G55" s="2127">
        <f t="shared" si="0"/>
        <v>4080.2</v>
      </c>
      <c r="H55" s="1820"/>
      <c r="I55" s="1820"/>
      <c r="J55" s="1820"/>
      <c r="K55" s="1820"/>
      <c r="L55" s="2901"/>
      <c r="M55" s="1742"/>
      <c r="N55" s="2122"/>
      <c r="O55" s="2122">
        <v>45</v>
      </c>
      <c r="P55" s="1664"/>
      <c r="Q55" s="1664">
        <v>1.07</v>
      </c>
      <c r="R55" s="1664">
        <v>1100</v>
      </c>
      <c r="S55" s="1664">
        <f t="shared" si="1"/>
        <v>1177</v>
      </c>
      <c r="T55" s="1664">
        <f t="shared" si="2"/>
        <v>0</v>
      </c>
      <c r="U55" s="1664"/>
      <c r="V55" s="1664">
        <f t="shared" si="13"/>
        <v>0</v>
      </c>
      <c r="W55" s="1664">
        <f t="shared" si="4"/>
        <v>1247.6199999999999</v>
      </c>
      <c r="X55" s="1664">
        <f t="shared" si="5"/>
        <v>0</v>
      </c>
      <c r="Y55" s="1664"/>
      <c r="Z55" s="1664">
        <f t="shared" si="11"/>
        <v>0</v>
      </c>
      <c r="AA55" s="1664">
        <f t="shared" si="7"/>
        <v>1310</v>
      </c>
      <c r="AB55" s="1664">
        <f t="shared" si="8"/>
        <v>0</v>
      </c>
      <c r="AC55" s="1664"/>
      <c r="AD55" s="1664">
        <f t="shared" si="12"/>
        <v>0</v>
      </c>
    </row>
    <row r="56" spans="1:30">
      <c r="A56" s="2130">
        <v>49</v>
      </c>
      <c r="B56" s="2894" t="s">
        <v>2336</v>
      </c>
      <c r="C56" s="2895" t="s">
        <v>2335</v>
      </c>
      <c r="D56" s="2896" t="s">
        <v>1268</v>
      </c>
      <c r="E56" s="2127">
        <v>4080.2</v>
      </c>
      <c r="F56" s="1820"/>
      <c r="G56" s="2127">
        <f t="shared" si="0"/>
        <v>4080.2</v>
      </c>
      <c r="H56" s="1820"/>
      <c r="I56" s="1820"/>
      <c r="J56" s="1820"/>
      <c r="K56" s="1820"/>
      <c r="L56" s="2901"/>
      <c r="M56" s="1742"/>
      <c r="N56" s="2122"/>
      <c r="O56" s="2122">
        <v>45</v>
      </c>
      <c r="P56" s="1664"/>
      <c r="Q56" s="1664">
        <v>1.07</v>
      </c>
      <c r="R56" s="1664">
        <v>999</v>
      </c>
      <c r="S56" s="1664">
        <f t="shared" si="1"/>
        <v>1068.93</v>
      </c>
      <c r="T56" s="1664">
        <f t="shared" si="2"/>
        <v>0</v>
      </c>
      <c r="U56" s="1664"/>
      <c r="V56" s="1664">
        <f t="shared" si="13"/>
        <v>0</v>
      </c>
      <c r="W56" s="1664">
        <f t="shared" si="4"/>
        <v>1133.07</v>
      </c>
      <c r="X56" s="1664">
        <f t="shared" si="5"/>
        <v>0</v>
      </c>
      <c r="Y56" s="1664"/>
      <c r="Z56" s="1664">
        <f t="shared" si="11"/>
        <v>0</v>
      </c>
      <c r="AA56" s="1664">
        <f t="shared" si="7"/>
        <v>1189.72</v>
      </c>
      <c r="AB56" s="1664">
        <f t="shared" si="8"/>
        <v>0</v>
      </c>
      <c r="AC56" s="1664"/>
      <c r="AD56" s="1664">
        <f t="shared" si="12"/>
        <v>0</v>
      </c>
    </row>
    <row r="57" spans="1:30">
      <c r="A57" s="2130">
        <v>50</v>
      </c>
      <c r="B57" s="2894" t="s">
        <v>2337</v>
      </c>
      <c r="C57" s="2895" t="s">
        <v>2338</v>
      </c>
      <c r="D57" s="2896" t="s">
        <v>1268</v>
      </c>
      <c r="E57" s="2127">
        <v>4080.2</v>
      </c>
      <c r="F57" s="1610"/>
      <c r="G57" s="2127">
        <f t="shared" si="0"/>
        <v>4080.2</v>
      </c>
      <c r="H57" s="1610"/>
      <c r="I57" s="1820"/>
      <c r="J57" s="1820"/>
      <c r="K57" s="1610"/>
      <c r="L57" s="2901"/>
      <c r="M57" s="1742"/>
      <c r="N57" s="1664"/>
      <c r="O57" s="1664"/>
      <c r="P57" s="1664"/>
      <c r="Q57" s="1664">
        <v>1.07</v>
      </c>
      <c r="R57" s="1664">
        <v>1890</v>
      </c>
      <c r="S57" s="1664">
        <f t="shared" si="1"/>
        <v>2022.3</v>
      </c>
      <c r="T57" s="1664">
        <f t="shared" si="2"/>
        <v>0</v>
      </c>
      <c r="U57" s="1664"/>
      <c r="V57" s="1664">
        <f t="shared" ref="V57:V84" si="14">T57-U57</f>
        <v>0</v>
      </c>
      <c r="W57" s="1664">
        <f t="shared" si="4"/>
        <v>2143.64</v>
      </c>
      <c r="X57" s="1664">
        <f t="shared" si="5"/>
        <v>0</v>
      </c>
      <c r="Y57" s="1664"/>
      <c r="Z57" s="1664">
        <f t="shared" si="11"/>
        <v>0</v>
      </c>
      <c r="AA57" s="1664">
        <f t="shared" si="7"/>
        <v>2250.8200000000002</v>
      </c>
      <c r="AB57" s="1664">
        <f t="shared" si="8"/>
        <v>0</v>
      </c>
      <c r="AC57" s="1664"/>
      <c r="AD57" s="1664">
        <f t="shared" si="12"/>
        <v>0</v>
      </c>
    </row>
    <row r="58" spans="1:30" ht="25.5">
      <c r="A58" s="2130">
        <v>51</v>
      </c>
      <c r="B58" s="2894" t="s">
        <v>2339</v>
      </c>
      <c r="C58" s="2895" t="s">
        <v>2340</v>
      </c>
      <c r="D58" s="2896" t="s">
        <v>1268</v>
      </c>
      <c r="E58" s="2127">
        <v>4080.2</v>
      </c>
      <c r="F58" s="1610"/>
      <c r="G58" s="2127">
        <f t="shared" si="0"/>
        <v>4080.2</v>
      </c>
      <c r="H58" s="1610"/>
      <c r="I58" s="1820"/>
      <c r="J58" s="1820"/>
      <c r="K58" s="1610"/>
      <c r="L58" s="2901"/>
      <c r="M58" s="1742"/>
      <c r="N58" s="1664"/>
      <c r="O58" s="1664"/>
      <c r="P58" s="1664"/>
      <c r="Q58" s="1664">
        <v>1.07</v>
      </c>
      <c r="R58" s="1664">
        <v>2916</v>
      </c>
      <c r="S58" s="1664">
        <f t="shared" si="1"/>
        <v>3120.12</v>
      </c>
      <c r="T58" s="1664">
        <f t="shared" si="2"/>
        <v>0</v>
      </c>
      <c r="U58" s="1664"/>
      <c r="V58" s="1664">
        <f t="shared" si="14"/>
        <v>0</v>
      </c>
      <c r="W58" s="1664">
        <f t="shared" si="4"/>
        <v>3307.33</v>
      </c>
      <c r="X58" s="1664">
        <f t="shared" si="5"/>
        <v>0</v>
      </c>
      <c r="Y58" s="1664"/>
      <c r="Z58" s="1664">
        <f t="shared" si="11"/>
        <v>0</v>
      </c>
      <c r="AA58" s="1664">
        <f t="shared" si="7"/>
        <v>3472.7</v>
      </c>
      <c r="AB58" s="1664">
        <f t="shared" si="8"/>
        <v>0</v>
      </c>
      <c r="AC58" s="1664"/>
      <c r="AD58" s="1664">
        <f t="shared" si="12"/>
        <v>0</v>
      </c>
    </row>
    <row r="59" spans="1:30" ht="25.5">
      <c r="A59" s="2130">
        <v>52</v>
      </c>
      <c r="B59" s="2894" t="s">
        <v>2341</v>
      </c>
      <c r="C59" s="2895" t="s">
        <v>2342</v>
      </c>
      <c r="D59" s="2896" t="s">
        <v>1268</v>
      </c>
      <c r="E59" s="2127">
        <v>4080.2</v>
      </c>
      <c r="F59" s="1610"/>
      <c r="G59" s="2127">
        <f t="shared" si="0"/>
        <v>4080.2</v>
      </c>
      <c r="H59" s="1610"/>
      <c r="I59" s="1820"/>
      <c r="J59" s="1820"/>
      <c r="K59" s="1610"/>
      <c r="L59" s="2901"/>
      <c r="M59" s="1742"/>
      <c r="N59" s="1664"/>
      <c r="O59" s="1664"/>
      <c r="P59" s="1664"/>
      <c r="Q59" s="1664">
        <v>1.07</v>
      </c>
      <c r="R59" s="1664">
        <v>5200</v>
      </c>
      <c r="S59" s="1664">
        <f t="shared" si="1"/>
        <v>5564</v>
      </c>
      <c r="T59" s="1664">
        <f t="shared" si="2"/>
        <v>0</v>
      </c>
      <c r="U59" s="1664"/>
      <c r="V59" s="1664">
        <f t="shared" si="14"/>
        <v>0</v>
      </c>
      <c r="W59" s="1664">
        <f t="shared" si="4"/>
        <v>5897.84</v>
      </c>
      <c r="X59" s="1664">
        <f t="shared" si="5"/>
        <v>0</v>
      </c>
      <c r="Y59" s="1664"/>
      <c r="Z59" s="1664">
        <f t="shared" si="11"/>
        <v>0</v>
      </c>
      <c r="AA59" s="1664">
        <f t="shared" si="7"/>
        <v>6192.73</v>
      </c>
      <c r="AB59" s="1664">
        <f t="shared" si="8"/>
        <v>0</v>
      </c>
      <c r="AC59" s="1664"/>
      <c r="AD59" s="1664">
        <f t="shared" si="12"/>
        <v>0</v>
      </c>
    </row>
    <row r="60" spans="1:30">
      <c r="A60" s="2130">
        <v>53</v>
      </c>
      <c r="B60" s="2894" t="s">
        <v>2343</v>
      </c>
      <c r="C60" s="2895" t="s">
        <v>2344</v>
      </c>
      <c r="D60" s="2896" t="s">
        <v>1268</v>
      </c>
      <c r="E60" s="2127">
        <v>4080.2</v>
      </c>
      <c r="F60" s="1610"/>
      <c r="G60" s="2127">
        <f t="shared" si="0"/>
        <v>4080.2</v>
      </c>
      <c r="H60" s="1610"/>
      <c r="I60" s="1820"/>
      <c r="J60" s="1820"/>
      <c r="K60" s="1610"/>
      <c r="L60" s="2901"/>
      <c r="M60" s="1742"/>
      <c r="N60" s="1664"/>
      <c r="O60" s="1664"/>
      <c r="P60" s="1664"/>
      <c r="Q60" s="1664">
        <v>1.07</v>
      </c>
      <c r="R60" s="1664">
        <v>7371</v>
      </c>
      <c r="S60" s="1664">
        <f t="shared" si="1"/>
        <v>7886.97</v>
      </c>
      <c r="T60" s="1664">
        <f t="shared" si="2"/>
        <v>0</v>
      </c>
      <c r="U60" s="1664"/>
      <c r="V60" s="1664">
        <f t="shared" si="14"/>
        <v>0</v>
      </c>
      <c r="W60" s="1664">
        <f t="shared" si="4"/>
        <v>8360.19</v>
      </c>
      <c r="X60" s="1664">
        <f t="shared" si="5"/>
        <v>0</v>
      </c>
      <c r="Y60" s="1664"/>
      <c r="Z60" s="1664">
        <f t="shared" si="11"/>
        <v>0</v>
      </c>
      <c r="AA60" s="1664">
        <f t="shared" si="7"/>
        <v>8778.2000000000007</v>
      </c>
      <c r="AB60" s="1664">
        <f t="shared" si="8"/>
        <v>0</v>
      </c>
      <c r="AC60" s="1664"/>
      <c r="AD60" s="1664">
        <f t="shared" si="12"/>
        <v>0</v>
      </c>
    </row>
    <row r="61" spans="1:30" ht="25.5">
      <c r="A61" s="2130">
        <v>54</v>
      </c>
      <c r="B61" s="2894" t="s">
        <v>1927</v>
      </c>
      <c r="C61" s="2895" t="s">
        <v>2345</v>
      </c>
      <c r="D61" s="2896" t="s">
        <v>2295</v>
      </c>
      <c r="E61" s="2127">
        <v>4080.2</v>
      </c>
      <c r="F61" s="1820"/>
      <c r="G61" s="2127">
        <f t="shared" si="0"/>
        <v>4080.2</v>
      </c>
      <c r="H61" s="1820"/>
      <c r="I61" s="1820"/>
      <c r="J61" s="1820"/>
      <c r="K61" s="1820"/>
      <c r="L61" s="2901"/>
      <c r="M61" s="1742"/>
      <c r="N61" s="2122"/>
      <c r="O61" s="2122"/>
      <c r="P61" s="1664"/>
      <c r="Q61" s="1664">
        <v>1.07</v>
      </c>
      <c r="R61" s="1664">
        <v>2592</v>
      </c>
      <c r="S61" s="1664">
        <f t="shared" si="1"/>
        <v>2773.44</v>
      </c>
      <c r="T61" s="1664">
        <f t="shared" si="2"/>
        <v>0</v>
      </c>
      <c r="U61" s="1664"/>
      <c r="V61" s="1664">
        <f t="shared" si="14"/>
        <v>0</v>
      </c>
      <c r="W61" s="1664">
        <f t="shared" si="4"/>
        <v>2939.85</v>
      </c>
      <c r="X61" s="1664">
        <f t="shared" si="5"/>
        <v>0</v>
      </c>
      <c r="Y61" s="1664"/>
      <c r="Z61" s="1664">
        <f t="shared" si="11"/>
        <v>0</v>
      </c>
      <c r="AA61" s="1664">
        <f t="shared" si="7"/>
        <v>3086.84</v>
      </c>
      <c r="AB61" s="1664">
        <f t="shared" si="8"/>
        <v>0</v>
      </c>
      <c r="AC61" s="1664"/>
      <c r="AD61" s="1664">
        <f t="shared" si="12"/>
        <v>0</v>
      </c>
    </row>
    <row r="62" spans="1:30" ht="38.25">
      <c r="A62" s="2130">
        <v>55</v>
      </c>
      <c r="B62" s="2894" t="s">
        <v>2346</v>
      </c>
      <c r="C62" s="2895" t="s">
        <v>2347</v>
      </c>
      <c r="D62" s="2896" t="s">
        <v>1268</v>
      </c>
      <c r="E62" s="2127">
        <v>4080.2</v>
      </c>
      <c r="F62" s="1610"/>
      <c r="G62" s="2127">
        <f t="shared" si="0"/>
        <v>4080.2</v>
      </c>
      <c r="H62" s="1610"/>
      <c r="I62" s="1820"/>
      <c r="J62" s="1820"/>
      <c r="K62" s="1610"/>
      <c r="L62" s="2901"/>
      <c r="M62" s="1664">
        <f>W62</f>
        <v>7905.37</v>
      </c>
      <c r="N62" s="1664"/>
      <c r="O62" s="1664"/>
      <c r="P62" s="1664"/>
      <c r="Q62" s="1664">
        <v>1.07</v>
      </c>
      <c r="R62" s="1664">
        <v>6970</v>
      </c>
      <c r="S62" s="1664">
        <f t="shared" si="1"/>
        <v>7457.9</v>
      </c>
      <c r="T62" s="1664">
        <f t="shared" si="2"/>
        <v>0</v>
      </c>
      <c r="U62" s="1664"/>
      <c r="V62" s="1664">
        <f t="shared" si="14"/>
        <v>0</v>
      </c>
      <c r="W62" s="1664">
        <f t="shared" si="4"/>
        <v>7905.37</v>
      </c>
      <c r="X62" s="1664">
        <f t="shared" si="5"/>
        <v>0</v>
      </c>
      <c r="Y62" s="1664"/>
      <c r="Z62" s="1664">
        <f t="shared" si="11"/>
        <v>0</v>
      </c>
      <c r="AA62" s="1664">
        <f t="shared" si="7"/>
        <v>8300.64</v>
      </c>
      <c r="AB62" s="1664">
        <f t="shared" si="8"/>
        <v>0</v>
      </c>
      <c r="AC62" s="1664"/>
      <c r="AD62" s="1664">
        <f t="shared" si="12"/>
        <v>0</v>
      </c>
    </row>
    <row r="63" spans="1:30" ht="25.5">
      <c r="A63" s="2130">
        <v>56</v>
      </c>
      <c r="B63" s="2894" t="s">
        <v>3991</v>
      </c>
      <c r="C63" s="2895" t="s">
        <v>2349</v>
      </c>
      <c r="D63" s="2896" t="s">
        <v>1268</v>
      </c>
      <c r="E63" s="2127">
        <v>4080.2</v>
      </c>
      <c r="F63" s="1610"/>
      <c r="G63" s="2127">
        <f t="shared" si="0"/>
        <v>4080.2</v>
      </c>
      <c r="H63" s="1610"/>
      <c r="I63" s="1820"/>
      <c r="J63" s="1820"/>
      <c r="K63" s="1610"/>
      <c r="L63" s="2901"/>
      <c r="M63" s="1664"/>
      <c r="N63" s="1664"/>
      <c r="O63" s="1664">
        <v>2</v>
      </c>
      <c r="P63" s="1664"/>
      <c r="Q63" s="1664">
        <v>1.07</v>
      </c>
      <c r="R63" s="1664">
        <v>8694</v>
      </c>
      <c r="S63" s="1664">
        <f t="shared" si="1"/>
        <v>9302.58</v>
      </c>
      <c r="T63" s="1664">
        <f t="shared" si="2"/>
        <v>0</v>
      </c>
      <c r="U63" s="1664"/>
      <c r="V63" s="1664">
        <f t="shared" si="14"/>
        <v>0</v>
      </c>
      <c r="W63" s="1664">
        <f t="shared" si="4"/>
        <v>9860.73</v>
      </c>
      <c r="X63" s="1664">
        <f t="shared" si="5"/>
        <v>0</v>
      </c>
      <c r="Y63" s="1664"/>
      <c r="Z63" s="1664">
        <f t="shared" si="11"/>
        <v>0</v>
      </c>
      <c r="AA63" s="1664">
        <f t="shared" si="7"/>
        <v>10353.77</v>
      </c>
      <c r="AB63" s="1664">
        <f t="shared" si="8"/>
        <v>0</v>
      </c>
      <c r="AC63" s="1664"/>
      <c r="AD63" s="1664">
        <f t="shared" si="12"/>
        <v>0</v>
      </c>
    </row>
    <row r="64" spans="1:30" ht="25.5">
      <c r="A64" s="2130">
        <v>57</v>
      </c>
      <c r="B64" s="2894" t="s">
        <v>1353</v>
      </c>
      <c r="C64" s="2900" t="s">
        <v>1354</v>
      </c>
      <c r="D64" s="2896" t="s">
        <v>1022</v>
      </c>
      <c r="E64" s="2127">
        <v>4080.2</v>
      </c>
      <c r="F64" s="1610"/>
      <c r="G64" s="2127">
        <f t="shared" si="0"/>
        <v>4080.2</v>
      </c>
      <c r="H64" s="1610"/>
      <c r="I64" s="1820"/>
      <c r="J64" s="1820"/>
      <c r="K64" s="1610"/>
      <c r="L64" s="2901"/>
      <c r="M64" s="1742"/>
      <c r="N64" s="1664"/>
      <c r="O64" s="1664">
        <v>11</v>
      </c>
      <c r="P64" s="1664"/>
      <c r="Q64" s="1664">
        <v>1.07</v>
      </c>
      <c r="R64" s="1664">
        <v>2673</v>
      </c>
      <c r="S64" s="1664">
        <f t="shared" si="1"/>
        <v>2860.11</v>
      </c>
      <c r="T64" s="1664">
        <f t="shared" si="2"/>
        <v>0</v>
      </c>
      <c r="U64" s="1664"/>
      <c r="V64" s="1664">
        <f t="shared" si="14"/>
        <v>0</v>
      </c>
      <c r="W64" s="1664">
        <f t="shared" si="4"/>
        <v>3031.72</v>
      </c>
      <c r="X64" s="1664">
        <f t="shared" si="5"/>
        <v>0</v>
      </c>
      <c r="Y64" s="1664"/>
      <c r="Z64" s="1664">
        <f t="shared" si="11"/>
        <v>0</v>
      </c>
      <c r="AA64" s="1664">
        <f t="shared" si="7"/>
        <v>3183.31</v>
      </c>
      <c r="AB64" s="1664">
        <f t="shared" si="8"/>
        <v>0</v>
      </c>
      <c r="AC64" s="1664"/>
      <c r="AD64" s="1664">
        <f t="shared" si="12"/>
        <v>0</v>
      </c>
    </row>
    <row r="65" spans="1:30">
      <c r="A65" s="2130">
        <v>58</v>
      </c>
      <c r="B65" s="2894" t="s">
        <v>2350</v>
      </c>
      <c r="C65" s="2895" t="s">
        <v>2351</v>
      </c>
      <c r="D65" s="2896" t="s">
        <v>1268</v>
      </c>
      <c r="E65" s="2127">
        <v>4080.2</v>
      </c>
      <c r="F65" s="1610"/>
      <c r="G65" s="2127">
        <f t="shared" si="0"/>
        <v>4080.2</v>
      </c>
      <c r="H65" s="1610"/>
      <c r="I65" s="1820"/>
      <c r="J65" s="1820"/>
      <c r="K65" s="1610"/>
      <c r="L65" s="2901"/>
      <c r="M65" s="1664"/>
      <c r="N65" s="1664"/>
      <c r="O65" s="1664">
        <v>7</v>
      </c>
      <c r="P65" s="1664"/>
      <c r="Q65" s="1664">
        <v>1.07</v>
      </c>
      <c r="R65" s="1664">
        <v>610</v>
      </c>
      <c r="S65" s="1664">
        <f t="shared" si="1"/>
        <v>652.70000000000005</v>
      </c>
      <c r="T65" s="1664">
        <f t="shared" si="2"/>
        <v>0</v>
      </c>
      <c r="U65" s="1664"/>
      <c r="V65" s="1664">
        <f t="shared" si="14"/>
        <v>0</v>
      </c>
      <c r="W65" s="1664">
        <f t="shared" si="4"/>
        <v>691.86</v>
      </c>
      <c r="X65" s="1664">
        <f t="shared" si="5"/>
        <v>0</v>
      </c>
      <c r="Y65" s="1664"/>
      <c r="Z65" s="1664">
        <f t="shared" si="11"/>
        <v>0</v>
      </c>
      <c r="AA65" s="1664">
        <f t="shared" si="7"/>
        <v>726.45</v>
      </c>
      <c r="AB65" s="1664">
        <f t="shared" si="8"/>
        <v>0</v>
      </c>
      <c r="AC65" s="1664"/>
      <c r="AD65" s="1664">
        <f t="shared" si="12"/>
        <v>0</v>
      </c>
    </row>
    <row r="66" spans="1:30">
      <c r="A66" s="2130">
        <v>59</v>
      </c>
      <c r="B66" s="2894" t="s">
        <v>2350</v>
      </c>
      <c r="C66" s="2895" t="s">
        <v>2352</v>
      </c>
      <c r="D66" s="2896" t="s">
        <v>1268</v>
      </c>
      <c r="E66" s="2127">
        <v>4080.2</v>
      </c>
      <c r="F66" s="1610"/>
      <c r="G66" s="2127">
        <f t="shared" si="0"/>
        <v>4080.2</v>
      </c>
      <c r="H66" s="1820"/>
      <c r="I66" s="1820"/>
      <c r="J66" s="1820"/>
      <c r="K66" s="1820"/>
      <c r="L66" s="2901"/>
      <c r="M66" s="1742"/>
      <c r="N66" s="2122"/>
      <c r="O66" s="2122">
        <v>7</v>
      </c>
      <c r="P66" s="1664"/>
      <c r="Q66" s="1664">
        <v>1.07</v>
      </c>
      <c r="R66" s="2122">
        <v>702</v>
      </c>
      <c r="S66" s="1664">
        <f t="shared" si="1"/>
        <v>751.14</v>
      </c>
      <c r="T66" s="1664">
        <f t="shared" si="2"/>
        <v>0</v>
      </c>
      <c r="U66" s="1664"/>
      <c r="V66" s="1664">
        <f t="shared" si="14"/>
        <v>0</v>
      </c>
      <c r="W66" s="1664">
        <f t="shared" si="4"/>
        <v>796.21</v>
      </c>
      <c r="X66" s="1664">
        <f t="shared" si="5"/>
        <v>0</v>
      </c>
      <c r="Y66" s="1664"/>
      <c r="Z66" s="1664">
        <f t="shared" si="11"/>
        <v>0</v>
      </c>
      <c r="AA66" s="1664">
        <f t="shared" si="7"/>
        <v>836.02</v>
      </c>
      <c r="AB66" s="1664">
        <f t="shared" si="8"/>
        <v>0</v>
      </c>
      <c r="AC66" s="1664"/>
      <c r="AD66" s="1664">
        <f t="shared" si="12"/>
        <v>0</v>
      </c>
    </row>
    <row r="67" spans="1:30">
      <c r="A67" s="2130">
        <v>60</v>
      </c>
      <c r="B67" s="2894" t="s">
        <v>2350</v>
      </c>
      <c r="C67" s="2895" t="s">
        <v>2353</v>
      </c>
      <c r="D67" s="2896" t="s">
        <v>1268</v>
      </c>
      <c r="E67" s="2127">
        <v>4080.2</v>
      </c>
      <c r="F67" s="1610"/>
      <c r="G67" s="2127">
        <f t="shared" si="0"/>
        <v>4080.2</v>
      </c>
      <c r="H67" s="1610"/>
      <c r="I67" s="1820"/>
      <c r="J67" s="1820"/>
      <c r="K67" s="1610"/>
      <c r="L67" s="2901"/>
      <c r="M67" s="1664"/>
      <c r="N67" s="1664"/>
      <c r="O67" s="1664">
        <v>8</v>
      </c>
      <c r="P67" s="1664"/>
      <c r="Q67" s="1664">
        <v>1.07</v>
      </c>
      <c r="R67" s="1664">
        <v>756</v>
      </c>
      <c r="S67" s="1664">
        <f t="shared" si="1"/>
        <v>808.92</v>
      </c>
      <c r="T67" s="1664">
        <f t="shared" si="2"/>
        <v>0</v>
      </c>
      <c r="U67" s="1664"/>
      <c r="V67" s="1664">
        <f t="shared" si="14"/>
        <v>0</v>
      </c>
      <c r="W67" s="1664">
        <f t="shared" si="4"/>
        <v>857.46</v>
      </c>
      <c r="X67" s="1664">
        <f t="shared" si="5"/>
        <v>0</v>
      </c>
      <c r="Y67" s="1664"/>
      <c r="Z67" s="1664">
        <f t="shared" si="11"/>
        <v>0</v>
      </c>
      <c r="AA67" s="1664">
        <f t="shared" si="7"/>
        <v>900.33</v>
      </c>
      <c r="AB67" s="1664">
        <f t="shared" si="8"/>
        <v>0</v>
      </c>
      <c r="AC67" s="1664"/>
      <c r="AD67" s="1664">
        <f t="shared" si="12"/>
        <v>0</v>
      </c>
    </row>
    <row r="68" spans="1:30">
      <c r="A68" s="2130">
        <v>61</v>
      </c>
      <c r="B68" s="2894" t="s">
        <v>2350</v>
      </c>
      <c r="C68" s="2895" t="s">
        <v>2354</v>
      </c>
      <c r="D68" s="2896" t="s">
        <v>1268</v>
      </c>
      <c r="E68" s="2127">
        <v>4080.2</v>
      </c>
      <c r="F68" s="1820"/>
      <c r="G68" s="2127">
        <f t="shared" si="0"/>
        <v>4080.2</v>
      </c>
      <c r="H68" s="1820"/>
      <c r="I68" s="1820"/>
      <c r="J68" s="1820"/>
      <c r="K68" s="1820"/>
      <c r="L68" s="2901"/>
      <c r="M68" s="1742"/>
      <c r="N68" s="2122"/>
      <c r="O68" s="2122">
        <v>8</v>
      </c>
      <c r="P68" s="1664"/>
      <c r="Q68" s="1664">
        <v>1.07</v>
      </c>
      <c r="R68" s="1664">
        <v>830</v>
      </c>
      <c r="S68" s="1664">
        <f t="shared" si="1"/>
        <v>888.1</v>
      </c>
      <c r="T68" s="1664">
        <f t="shared" si="2"/>
        <v>0</v>
      </c>
      <c r="U68" s="1664"/>
      <c r="V68" s="1664">
        <f t="shared" si="14"/>
        <v>0</v>
      </c>
      <c r="W68" s="1664">
        <f t="shared" si="4"/>
        <v>941.39</v>
      </c>
      <c r="X68" s="1664">
        <f t="shared" si="5"/>
        <v>0</v>
      </c>
      <c r="Y68" s="1664"/>
      <c r="Z68" s="1664">
        <f t="shared" si="11"/>
        <v>0</v>
      </c>
      <c r="AA68" s="1664">
        <f t="shared" si="7"/>
        <v>988.46</v>
      </c>
      <c r="AB68" s="1664">
        <f t="shared" si="8"/>
        <v>0</v>
      </c>
      <c r="AC68" s="1664"/>
      <c r="AD68" s="1664">
        <f t="shared" si="12"/>
        <v>0</v>
      </c>
    </row>
    <row r="69" spans="1:30">
      <c r="A69" s="2130">
        <v>62</v>
      </c>
      <c r="B69" s="2894" t="s">
        <v>2350</v>
      </c>
      <c r="C69" s="2895" t="s">
        <v>2355</v>
      </c>
      <c r="D69" s="2896" t="s">
        <v>1268</v>
      </c>
      <c r="E69" s="2127">
        <v>4080.2</v>
      </c>
      <c r="F69" s="1820"/>
      <c r="G69" s="2127">
        <f t="shared" si="0"/>
        <v>4080.2</v>
      </c>
      <c r="H69" s="1820"/>
      <c r="I69" s="1820"/>
      <c r="J69" s="1820"/>
      <c r="K69" s="1820"/>
      <c r="L69" s="2901"/>
      <c r="M69" s="1742"/>
      <c r="N69" s="2122"/>
      <c r="O69" s="2122">
        <v>8</v>
      </c>
      <c r="P69" s="1664"/>
      <c r="Q69" s="1664">
        <v>1.07</v>
      </c>
      <c r="R69" s="1664">
        <v>989</v>
      </c>
      <c r="S69" s="1664">
        <f t="shared" si="1"/>
        <v>1058.23</v>
      </c>
      <c r="T69" s="1664">
        <f t="shared" si="2"/>
        <v>0</v>
      </c>
      <c r="U69" s="1664"/>
      <c r="V69" s="1664">
        <f t="shared" si="14"/>
        <v>0</v>
      </c>
      <c r="W69" s="1664">
        <f t="shared" si="4"/>
        <v>1121.72</v>
      </c>
      <c r="X69" s="1664">
        <f t="shared" si="5"/>
        <v>0</v>
      </c>
      <c r="Y69" s="1664"/>
      <c r="Z69" s="1664">
        <f t="shared" si="11"/>
        <v>0</v>
      </c>
      <c r="AA69" s="1664">
        <f t="shared" si="7"/>
        <v>1177.81</v>
      </c>
      <c r="AB69" s="1664">
        <f t="shared" si="8"/>
        <v>0</v>
      </c>
      <c r="AC69" s="1664"/>
      <c r="AD69" s="1664">
        <f t="shared" si="12"/>
        <v>0</v>
      </c>
    </row>
    <row r="70" spans="1:30">
      <c r="A70" s="2130">
        <v>63</v>
      </c>
      <c r="B70" s="2894" t="s">
        <v>2356</v>
      </c>
      <c r="C70" s="2895" t="s">
        <v>2357</v>
      </c>
      <c r="D70" s="2896" t="s">
        <v>1268</v>
      </c>
      <c r="E70" s="2127">
        <v>4080.2</v>
      </c>
      <c r="F70" s="1820"/>
      <c r="G70" s="2127">
        <f t="shared" ref="G70:G121" si="15">E70</f>
        <v>4080.2</v>
      </c>
      <c r="H70" s="1820"/>
      <c r="I70" s="1820"/>
      <c r="J70" s="1820"/>
      <c r="K70" s="1820"/>
      <c r="L70" s="2901"/>
      <c r="M70" s="1742"/>
      <c r="N70" s="2122"/>
      <c r="O70" s="2122">
        <v>7</v>
      </c>
      <c r="P70" s="1664"/>
      <c r="Q70" s="1664">
        <v>1.07</v>
      </c>
      <c r="R70" s="1664">
        <v>513</v>
      </c>
      <c r="S70" s="1664">
        <f t="shared" si="1"/>
        <v>548.91</v>
      </c>
      <c r="T70" s="1664">
        <f t="shared" si="2"/>
        <v>0</v>
      </c>
      <c r="U70" s="1664"/>
      <c r="V70" s="1664">
        <f t="shared" si="14"/>
        <v>0</v>
      </c>
      <c r="W70" s="1664">
        <f t="shared" si="4"/>
        <v>581.84</v>
      </c>
      <c r="X70" s="1664">
        <f t="shared" si="5"/>
        <v>0</v>
      </c>
      <c r="Y70" s="1664"/>
      <c r="Z70" s="1664">
        <f t="shared" si="11"/>
        <v>0</v>
      </c>
      <c r="AA70" s="1664">
        <f t="shared" si="7"/>
        <v>610.92999999999995</v>
      </c>
      <c r="AB70" s="1664">
        <f t="shared" si="8"/>
        <v>0</v>
      </c>
      <c r="AC70" s="1664"/>
      <c r="AD70" s="1664">
        <f t="shared" si="12"/>
        <v>0</v>
      </c>
    </row>
    <row r="71" spans="1:30">
      <c r="A71" s="2130">
        <v>64</v>
      </c>
      <c r="B71" s="2894" t="s">
        <v>2356</v>
      </c>
      <c r="C71" s="2895" t="s">
        <v>2358</v>
      </c>
      <c r="D71" s="2896" t="s">
        <v>1268</v>
      </c>
      <c r="E71" s="2127">
        <v>4080.2</v>
      </c>
      <c r="F71" s="1610"/>
      <c r="G71" s="2127">
        <f t="shared" si="15"/>
        <v>4080.2</v>
      </c>
      <c r="H71" s="1610"/>
      <c r="I71" s="1820"/>
      <c r="J71" s="1820"/>
      <c r="K71" s="1610"/>
      <c r="L71" s="2901"/>
      <c r="M71" s="1742"/>
      <c r="N71" s="1664"/>
      <c r="O71" s="1664">
        <v>7</v>
      </c>
      <c r="P71" s="1664"/>
      <c r="Q71" s="1664">
        <v>1.07</v>
      </c>
      <c r="R71" s="1664">
        <v>567</v>
      </c>
      <c r="S71" s="1664">
        <f t="shared" si="1"/>
        <v>606.69000000000005</v>
      </c>
      <c r="T71" s="1664">
        <f t="shared" si="2"/>
        <v>0</v>
      </c>
      <c r="U71" s="1664"/>
      <c r="V71" s="1664">
        <f t="shared" si="14"/>
        <v>0</v>
      </c>
      <c r="W71" s="1664">
        <f t="shared" si="4"/>
        <v>643.09</v>
      </c>
      <c r="X71" s="1664">
        <f t="shared" si="5"/>
        <v>0</v>
      </c>
      <c r="Y71" s="1664"/>
      <c r="Z71" s="1664">
        <f t="shared" si="11"/>
        <v>0</v>
      </c>
      <c r="AA71" s="1664">
        <f t="shared" si="7"/>
        <v>675.24</v>
      </c>
      <c r="AB71" s="1664">
        <f t="shared" si="8"/>
        <v>0</v>
      </c>
      <c r="AC71" s="1664"/>
      <c r="AD71" s="1664">
        <f t="shared" si="12"/>
        <v>0</v>
      </c>
    </row>
    <row r="72" spans="1:30">
      <c r="A72" s="2130">
        <v>65</v>
      </c>
      <c r="B72" s="2894" t="s">
        <v>2356</v>
      </c>
      <c r="C72" s="2895" t="s">
        <v>2359</v>
      </c>
      <c r="D72" s="2896" t="s">
        <v>1268</v>
      </c>
      <c r="E72" s="2127">
        <v>4080.2</v>
      </c>
      <c r="F72" s="1610"/>
      <c r="G72" s="2127">
        <f t="shared" si="15"/>
        <v>4080.2</v>
      </c>
      <c r="H72" s="1610"/>
      <c r="I72" s="1820"/>
      <c r="J72" s="1820"/>
      <c r="K72" s="1610"/>
      <c r="L72" s="2901"/>
      <c r="M72" s="1742"/>
      <c r="N72" s="1664"/>
      <c r="O72" s="1664">
        <v>8</v>
      </c>
      <c r="P72" s="1664"/>
      <c r="Q72" s="1664">
        <v>1.07</v>
      </c>
      <c r="R72" s="1664">
        <v>610</v>
      </c>
      <c r="S72" s="1664">
        <f t="shared" si="1"/>
        <v>652.70000000000005</v>
      </c>
      <c r="T72" s="1664">
        <f t="shared" si="2"/>
        <v>0</v>
      </c>
      <c r="U72" s="1664"/>
      <c r="V72" s="1664">
        <f t="shared" si="14"/>
        <v>0</v>
      </c>
      <c r="W72" s="1664">
        <f t="shared" si="4"/>
        <v>691.86</v>
      </c>
      <c r="X72" s="1664">
        <f t="shared" si="5"/>
        <v>0</v>
      </c>
      <c r="Y72" s="1664"/>
      <c r="Z72" s="1664">
        <f t="shared" si="11"/>
        <v>0</v>
      </c>
      <c r="AA72" s="1664">
        <f t="shared" si="7"/>
        <v>726.45</v>
      </c>
      <c r="AB72" s="1664">
        <f t="shared" si="8"/>
        <v>0</v>
      </c>
      <c r="AC72" s="1664"/>
      <c r="AD72" s="1664">
        <f t="shared" si="12"/>
        <v>0</v>
      </c>
    </row>
    <row r="73" spans="1:30">
      <c r="A73" s="2130">
        <v>66</v>
      </c>
      <c r="B73" s="2894" t="s">
        <v>2356</v>
      </c>
      <c r="C73" s="2895" t="s">
        <v>2360</v>
      </c>
      <c r="D73" s="2896" t="s">
        <v>1268</v>
      </c>
      <c r="E73" s="2127">
        <v>4080.2</v>
      </c>
      <c r="F73" s="1610"/>
      <c r="G73" s="2127">
        <f t="shared" si="15"/>
        <v>4080.2</v>
      </c>
      <c r="H73" s="1610"/>
      <c r="I73" s="1820"/>
      <c r="J73" s="1820"/>
      <c r="K73" s="1610"/>
      <c r="L73" s="2901"/>
      <c r="M73" s="1742"/>
      <c r="N73" s="1664"/>
      <c r="O73" s="1664">
        <v>8</v>
      </c>
      <c r="P73" s="1664"/>
      <c r="Q73" s="1664">
        <v>1.07</v>
      </c>
      <c r="R73" s="1664">
        <v>702</v>
      </c>
      <c r="S73" s="1664">
        <f t="shared" ref="S73:S136" si="16">ROUND(Q73*R73,2)</f>
        <v>751.14</v>
      </c>
      <c r="T73" s="1664">
        <f t="shared" ref="T73:T136" si="17">ROUND(P73*S73,0)</f>
        <v>0</v>
      </c>
      <c r="U73" s="1664"/>
      <c r="V73" s="1664">
        <f t="shared" si="14"/>
        <v>0</v>
      </c>
      <c r="W73" s="1664">
        <f t="shared" ref="W73:W136" si="18">ROUND(S73*$W$3,2)</f>
        <v>796.21</v>
      </c>
      <c r="X73" s="1664">
        <f t="shared" ref="X73:X136" si="19">ROUND(P73*W73,0)</f>
        <v>0</v>
      </c>
      <c r="Y73" s="1664"/>
      <c r="Z73" s="1664">
        <f t="shared" si="11"/>
        <v>0</v>
      </c>
      <c r="AA73" s="1664">
        <f t="shared" ref="AA73:AA136" si="20">ROUND(W73*$AB$3,2)</f>
        <v>836.02</v>
      </c>
      <c r="AB73" s="1664">
        <f t="shared" ref="AB73:AB136" si="21">ROUND(P73*AA73,0)</f>
        <v>0</v>
      </c>
      <c r="AC73" s="1664"/>
      <c r="AD73" s="1664">
        <f t="shared" si="12"/>
        <v>0</v>
      </c>
    </row>
    <row r="74" spans="1:30" ht="15.75" customHeight="1">
      <c r="A74" s="2130">
        <v>67</v>
      </c>
      <c r="B74" s="2894" t="s">
        <v>2356</v>
      </c>
      <c r="C74" s="2895" t="s">
        <v>2361</v>
      </c>
      <c r="D74" s="2896" t="s">
        <v>1268</v>
      </c>
      <c r="E74" s="2127">
        <v>4080.2</v>
      </c>
      <c r="F74" s="1610"/>
      <c r="G74" s="2127">
        <f t="shared" si="15"/>
        <v>4080.2</v>
      </c>
      <c r="H74" s="1610"/>
      <c r="I74" s="1820"/>
      <c r="J74" s="1820"/>
      <c r="K74" s="1610"/>
      <c r="L74" s="2901"/>
      <c r="M74" s="1742"/>
      <c r="N74" s="1664"/>
      <c r="O74" s="1664">
        <v>8</v>
      </c>
      <c r="P74" s="1664"/>
      <c r="Q74" s="1664">
        <v>1.07</v>
      </c>
      <c r="R74" s="1664">
        <v>810</v>
      </c>
      <c r="S74" s="1664">
        <f t="shared" si="16"/>
        <v>866.7</v>
      </c>
      <c r="T74" s="1664">
        <f t="shared" si="17"/>
        <v>0</v>
      </c>
      <c r="U74" s="1664"/>
      <c r="V74" s="1664">
        <f t="shared" si="14"/>
        <v>0</v>
      </c>
      <c r="W74" s="1664">
        <f t="shared" si="18"/>
        <v>918.7</v>
      </c>
      <c r="X74" s="1664">
        <f t="shared" si="19"/>
        <v>0</v>
      </c>
      <c r="Y74" s="1664"/>
      <c r="Z74" s="1664">
        <f t="shared" si="11"/>
        <v>0</v>
      </c>
      <c r="AA74" s="1664">
        <f t="shared" si="20"/>
        <v>964.64</v>
      </c>
      <c r="AB74" s="1664">
        <f t="shared" si="21"/>
        <v>0</v>
      </c>
      <c r="AC74" s="1664"/>
      <c r="AD74" s="1664">
        <f t="shared" si="12"/>
        <v>0</v>
      </c>
    </row>
    <row r="75" spans="1:30">
      <c r="A75" s="2130">
        <v>68</v>
      </c>
      <c r="B75" s="2894" t="s">
        <v>2362</v>
      </c>
      <c r="C75" s="2895" t="s">
        <v>2363</v>
      </c>
      <c r="D75" s="2896" t="s">
        <v>1268</v>
      </c>
      <c r="E75" s="2127">
        <v>4080.2</v>
      </c>
      <c r="F75" s="1820"/>
      <c r="G75" s="2127">
        <f t="shared" si="15"/>
        <v>4080.2</v>
      </c>
      <c r="H75" s="1820"/>
      <c r="I75" s="1820"/>
      <c r="J75" s="1820"/>
      <c r="K75" s="1820"/>
      <c r="L75" s="2901"/>
      <c r="M75" s="1742"/>
      <c r="N75" s="2122"/>
      <c r="O75" s="2122">
        <v>7</v>
      </c>
      <c r="P75" s="1664"/>
      <c r="Q75" s="1664">
        <v>1.07</v>
      </c>
      <c r="R75" s="1664">
        <v>280</v>
      </c>
      <c r="S75" s="1664">
        <f t="shared" si="16"/>
        <v>299.60000000000002</v>
      </c>
      <c r="T75" s="1664">
        <f t="shared" si="17"/>
        <v>0</v>
      </c>
      <c r="U75" s="1664"/>
      <c r="V75" s="1664">
        <f t="shared" si="14"/>
        <v>0</v>
      </c>
      <c r="W75" s="1664">
        <f t="shared" si="18"/>
        <v>317.58</v>
      </c>
      <c r="X75" s="1664">
        <f t="shared" si="19"/>
        <v>0</v>
      </c>
      <c r="Y75" s="1664"/>
      <c r="Z75" s="1664">
        <f t="shared" si="11"/>
        <v>0</v>
      </c>
      <c r="AA75" s="1664">
        <f t="shared" si="20"/>
        <v>333.46</v>
      </c>
      <c r="AB75" s="1664">
        <f t="shared" si="21"/>
        <v>0</v>
      </c>
      <c r="AC75" s="1664"/>
      <c r="AD75" s="1664">
        <f t="shared" si="12"/>
        <v>0</v>
      </c>
    </row>
    <row r="76" spans="1:30">
      <c r="A76" s="2130">
        <v>69</v>
      </c>
      <c r="B76" s="2894" t="s">
        <v>2362</v>
      </c>
      <c r="C76" s="2895" t="s">
        <v>2364</v>
      </c>
      <c r="D76" s="2896" t="s">
        <v>1268</v>
      </c>
      <c r="E76" s="2127">
        <v>4080.2</v>
      </c>
      <c r="F76" s="1820"/>
      <c r="G76" s="2127">
        <f t="shared" si="15"/>
        <v>4080.2</v>
      </c>
      <c r="H76" s="1820"/>
      <c r="I76" s="1820"/>
      <c r="J76" s="1820"/>
      <c r="K76" s="1820"/>
      <c r="L76" s="2901"/>
      <c r="M76" s="1742"/>
      <c r="N76" s="2122"/>
      <c r="O76" s="2122">
        <v>7</v>
      </c>
      <c r="P76" s="1664"/>
      <c r="Q76" s="1664">
        <v>1.07</v>
      </c>
      <c r="R76" s="1664">
        <v>333</v>
      </c>
      <c r="S76" s="1664">
        <f t="shared" si="16"/>
        <v>356.31</v>
      </c>
      <c r="T76" s="1664">
        <f t="shared" si="17"/>
        <v>0</v>
      </c>
      <c r="U76" s="1664"/>
      <c r="V76" s="1664">
        <f t="shared" si="14"/>
        <v>0</v>
      </c>
      <c r="W76" s="1664">
        <f t="shared" si="18"/>
        <v>377.69</v>
      </c>
      <c r="X76" s="1664">
        <f t="shared" si="19"/>
        <v>0</v>
      </c>
      <c r="Y76" s="1664"/>
      <c r="Z76" s="1664">
        <f t="shared" si="11"/>
        <v>0</v>
      </c>
      <c r="AA76" s="1664">
        <f t="shared" si="20"/>
        <v>396.57</v>
      </c>
      <c r="AB76" s="1664">
        <f t="shared" si="21"/>
        <v>0</v>
      </c>
      <c r="AC76" s="1664"/>
      <c r="AD76" s="1664">
        <f t="shared" si="12"/>
        <v>0</v>
      </c>
    </row>
    <row r="77" spans="1:30">
      <c r="A77" s="2130">
        <v>70</v>
      </c>
      <c r="B77" s="2894" t="s">
        <v>2362</v>
      </c>
      <c r="C77" s="2895" t="s">
        <v>2365</v>
      </c>
      <c r="D77" s="2896" t="s">
        <v>1268</v>
      </c>
      <c r="E77" s="2127">
        <v>4080.2</v>
      </c>
      <c r="F77" s="1820"/>
      <c r="G77" s="2127">
        <f t="shared" si="15"/>
        <v>4080.2</v>
      </c>
      <c r="H77" s="1820"/>
      <c r="I77" s="1820"/>
      <c r="J77" s="1820"/>
      <c r="K77" s="1820"/>
      <c r="L77" s="2901"/>
      <c r="M77" s="1742"/>
      <c r="N77" s="2122"/>
      <c r="O77" s="2122">
        <v>8</v>
      </c>
      <c r="P77" s="1664"/>
      <c r="Q77" s="1664">
        <v>1.07</v>
      </c>
      <c r="R77" s="1664">
        <v>378</v>
      </c>
      <c r="S77" s="1664">
        <f t="shared" si="16"/>
        <v>404.46</v>
      </c>
      <c r="T77" s="1664">
        <f t="shared" si="17"/>
        <v>0</v>
      </c>
      <c r="U77" s="1664"/>
      <c r="V77" s="1664">
        <f t="shared" si="14"/>
        <v>0</v>
      </c>
      <c r="W77" s="1664">
        <f t="shared" si="18"/>
        <v>428.73</v>
      </c>
      <c r="X77" s="1664">
        <f t="shared" si="19"/>
        <v>0</v>
      </c>
      <c r="Y77" s="1664"/>
      <c r="Z77" s="1664">
        <f t="shared" si="11"/>
        <v>0</v>
      </c>
      <c r="AA77" s="1664">
        <f t="shared" si="20"/>
        <v>450.17</v>
      </c>
      <c r="AB77" s="1664">
        <f t="shared" si="21"/>
        <v>0</v>
      </c>
      <c r="AC77" s="1664"/>
      <c r="AD77" s="1664">
        <f t="shared" si="12"/>
        <v>0</v>
      </c>
    </row>
    <row r="78" spans="1:30">
      <c r="A78" s="2130">
        <v>71</v>
      </c>
      <c r="B78" s="2894" t="s">
        <v>2362</v>
      </c>
      <c r="C78" s="2895" t="s">
        <v>2366</v>
      </c>
      <c r="D78" s="2896" t="s">
        <v>1268</v>
      </c>
      <c r="E78" s="2127">
        <v>4080.2</v>
      </c>
      <c r="F78" s="1820"/>
      <c r="G78" s="2127">
        <f t="shared" si="15"/>
        <v>4080.2</v>
      </c>
      <c r="H78" s="1820"/>
      <c r="I78" s="1820"/>
      <c r="J78" s="1820"/>
      <c r="K78" s="1820"/>
      <c r="L78" s="2901"/>
      <c r="M78" s="1742"/>
      <c r="N78" s="2122"/>
      <c r="O78" s="2122">
        <v>8</v>
      </c>
      <c r="P78" s="1664"/>
      <c r="Q78" s="1664">
        <v>1.07</v>
      </c>
      <c r="R78" s="1664">
        <v>430</v>
      </c>
      <c r="S78" s="1664">
        <f t="shared" si="16"/>
        <v>460.1</v>
      </c>
      <c r="T78" s="1664">
        <f t="shared" si="17"/>
        <v>0</v>
      </c>
      <c r="U78" s="1664"/>
      <c r="V78" s="1664">
        <f t="shared" si="14"/>
        <v>0</v>
      </c>
      <c r="W78" s="1664">
        <f t="shared" si="18"/>
        <v>487.71</v>
      </c>
      <c r="X78" s="1664">
        <f t="shared" si="19"/>
        <v>0</v>
      </c>
      <c r="Y78" s="1664"/>
      <c r="Z78" s="1664">
        <f t="shared" si="11"/>
        <v>0</v>
      </c>
      <c r="AA78" s="1664">
        <f t="shared" si="20"/>
        <v>512.1</v>
      </c>
      <c r="AB78" s="1664">
        <f t="shared" si="21"/>
        <v>0</v>
      </c>
      <c r="AC78" s="1664"/>
      <c r="AD78" s="1664">
        <f t="shared" si="12"/>
        <v>0</v>
      </c>
    </row>
    <row r="79" spans="1:30">
      <c r="A79" s="2130">
        <v>72</v>
      </c>
      <c r="B79" s="2894" t="s">
        <v>2362</v>
      </c>
      <c r="C79" s="2895" t="s">
        <v>2367</v>
      </c>
      <c r="D79" s="2896" t="s">
        <v>1268</v>
      </c>
      <c r="E79" s="2127">
        <v>4080.2</v>
      </c>
      <c r="F79" s="1610"/>
      <c r="G79" s="2127">
        <f t="shared" si="15"/>
        <v>4080.2</v>
      </c>
      <c r="H79" s="1820"/>
      <c r="I79" s="1820"/>
      <c r="J79" s="1820"/>
      <c r="K79" s="1820"/>
      <c r="L79" s="2901"/>
      <c r="M79" s="1742"/>
      <c r="N79" s="2122"/>
      <c r="O79" s="2122">
        <v>8</v>
      </c>
      <c r="P79" s="1664"/>
      <c r="Q79" s="1664">
        <v>1.07</v>
      </c>
      <c r="R79" s="2122">
        <v>480</v>
      </c>
      <c r="S79" s="1664">
        <f t="shared" si="16"/>
        <v>513.6</v>
      </c>
      <c r="T79" s="1664">
        <f t="shared" si="17"/>
        <v>0</v>
      </c>
      <c r="U79" s="1664"/>
      <c r="V79" s="1664">
        <f t="shared" si="14"/>
        <v>0</v>
      </c>
      <c r="W79" s="1664">
        <f t="shared" si="18"/>
        <v>544.41999999999996</v>
      </c>
      <c r="X79" s="1664">
        <f t="shared" si="19"/>
        <v>0</v>
      </c>
      <c r="Y79" s="1664"/>
      <c r="Z79" s="1664">
        <f t="shared" si="11"/>
        <v>0</v>
      </c>
      <c r="AA79" s="1664">
        <f t="shared" si="20"/>
        <v>571.64</v>
      </c>
      <c r="AB79" s="1664">
        <f t="shared" si="21"/>
        <v>0</v>
      </c>
      <c r="AC79" s="1664"/>
      <c r="AD79" s="1664">
        <f t="shared" si="12"/>
        <v>0</v>
      </c>
    </row>
    <row r="80" spans="1:30">
      <c r="A80" s="2130">
        <v>73</v>
      </c>
      <c r="B80" s="2894" t="s">
        <v>2368</v>
      </c>
      <c r="C80" s="2895" t="s">
        <v>2369</v>
      </c>
      <c r="D80" s="2896" t="s">
        <v>1268</v>
      </c>
      <c r="E80" s="2127">
        <v>4080.2</v>
      </c>
      <c r="F80" s="1610"/>
      <c r="G80" s="2127">
        <f t="shared" si="15"/>
        <v>4080.2</v>
      </c>
      <c r="H80" s="1610"/>
      <c r="I80" s="1820"/>
      <c r="J80" s="1820"/>
      <c r="K80" s="1610"/>
      <c r="L80" s="2901"/>
      <c r="M80" s="1742"/>
      <c r="N80" s="1664"/>
      <c r="O80" s="1664">
        <v>7</v>
      </c>
      <c r="P80" s="1664"/>
      <c r="Q80" s="1664">
        <v>1.07</v>
      </c>
      <c r="R80" s="1664">
        <v>260</v>
      </c>
      <c r="S80" s="1664">
        <f t="shared" si="16"/>
        <v>278.2</v>
      </c>
      <c r="T80" s="1664">
        <f t="shared" si="17"/>
        <v>0</v>
      </c>
      <c r="U80" s="1664"/>
      <c r="V80" s="1664">
        <f t="shared" si="14"/>
        <v>0</v>
      </c>
      <c r="W80" s="1664">
        <f t="shared" si="18"/>
        <v>294.89</v>
      </c>
      <c r="X80" s="1664">
        <f t="shared" si="19"/>
        <v>0</v>
      </c>
      <c r="Y80" s="1664"/>
      <c r="Z80" s="1664">
        <f t="shared" si="11"/>
        <v>0</v>
      </c>
      <c r="AA80" s="1664">
        <f t="shared" si="20"/>
        <v>309.63</v>
      </c>
      <c r="AB80" s="1664">
        <f t="shared" si="21"/>
        <v>0</v>
      </c>
      <c r="AC80" s="1664"/>
      <c r="AD80" s="1664">
        <f t="shared" si="12"/>
        <v>0</v>
      </c>
    </row>
    <row r="81" spans="1:30">
      <c r="A81" s="2130">
        <v>74</v>
      </c>
      <c r="B81" s="2894" t="s">
        <v>2368</v>
      </c>
      <c r="C81" s="2895" t="s">
        <v>2370</v>
      </c>
      <c r="D81" s="2896" t="s">
        <v>1268</v>
      </c>
      <c r="E81" s="2127">
        <v>4080.2</v>
      </c>
      <c r="F81" s="1820"/>
      <c r="G81" s="2127">
        <f t="shared" si="15"/>
        <v>4080.2</v>
      </c>
      <c r="H81" s="1820"/>
      <c r="I81" s="1820"/>
      <c r="J81" s="1820"/>
      <c r="K81" s="1820"/>
      <c r="L81" s="2901"/>
      <c r="M81" s="1742"/>
      <c r="N81" s="2122"/>
      <c r="O81" s="1664">
        <v>7</v>
      </c>
      <c r="P81" s="1664"/>
      <c r="Q81" s="1664">
        <v>1.07</v>
      </c>
      <c r="R81" s="1664">
        <v>290</v>
      </c>
      <c r="S81" s="1664">
        <f t="shared" si="16"/>
        <v>310.3</v>
      </c>
      <c r="T81" s="1664">
        <f t="shared" si="17"/>
        <v>0</v>
      </c>
      <c r="U81" s="1664"/>
      <c r="V81" s="1664">
        <f t="shared" si="14"/>
        <v>0</v>
      </c>
      <c r="W81" s="1664">
        <f t="shared" si="18"/>
        <v>328.92</v>
      </c>
      <c r="X81" s="1664">
        <f t="shared" si="19"/>
        <v>0</v>
      </c>
      <c r="Y81" s="1664"/>
      <c r="Z81" s="1664">
        <f t="shared" si="11"/>
        <v>0</v>
      </c>
      <c r="AA81" s="1664">
        <f t="shared" si="20"/>
        <v>345.37</v>
      </c>
      <c r="AB81" s="1664">
        <f t="shared" si="21"/>
        <v>0</v>
      </c>
      <c r="AC81" s="1664"/>
      <c r="AD81" s="1664">
        <f t="shared" si="12"/>
        <v>0</v>
      </c>
    </row>
    <row r="82" spans="1:30">
      <c r="A82" s="2130">
        <v>75</v>
      </c>
      <c r="B82" s="2894" t="s">
        <v>2368</v>
      </c>
      <c r="C82" s="2895" t="s">
        <v>2371</v>
      </c>
      <c r="D82" s="2896" t="s">
        <v>1268</v>
      </c>
      <c r="E82" s="2127">
        <v>4080.2</v>
      </c>
      <c r="F82" s="1820"/>
      <c r="G82" s="2127">
        <f t="shared" si="15"/>
        <v>4080.2</v>
      </c>
      <c r="H82" s="1820"/>
      <c r="I82" s="1820"/>
      <c r="J82" s="1820"/>
      <c r="K82" s="1820"/>
      <c r="L82" s="2901"/>
      <c r="M82" s="1742"/>
      <c r="N82" s="2122"/>
      <c r="O82" s="2122">
        <v>8</v>
      </c>
      <c r="P82" s="1664"/>
      <c r="Q82" s="1664">
        <v>1.07</v>
      </c>
      <c r="R82" s="1664">
        <v>305</v>
      </c>
      <c r="S82" s="1664">
        <f t="shared" si="16"/>
        <v>326.35000000000002</v>
      </c>
      <c r="T82" s="1664">
        <f t="shared" si="17"/>
        <v>0</v>
      </c>
      <c r="U82" s="1664"/>
      <c r="V82" s="1664">
        <f t="shared" si="14"/>
        <v>0</v>
      </c>
      <c r="W82" s="1664">
        <f t="shared" si="18"/>
        <v>345.93</v>
      </c>
      <c r="X82" s="1664">
        <f t="shared" si="19"/>
        <v>0</v>
      </c>
      <c r="Y82" s="1664"/>
      <c r="Z82" s="1664">
        <f t="shared" ref="Z82:Z84" si="22">X82-Y82</f>
        <v>0</v>
      </c>
      <c r="AA82" s="1664">
        <f t="shared" si="20"/>
        <v>363.23</v>
      </c>
      <c r="AB82" s="1664">
        <f t="shared" si="21"/>
        <v>0</v>
      </c>
      <c r="AC82" s="1664"/>
      <c r="AD82" s="1664">
        <f t="shared" ref="AD82:AD84" si="23">AB82-AC82</f>
        <v>0</v>
      </c>
    </row>
    <row r="83" spans="1:30">
      <c r="A83" s="2130">
        <v>76</v>
      </c>
      <c r="B83" s="2894" t="s">
        <v>2368</v>
      </c>
      <c r="C83" s="2895" t="s">
        <v>2372</v>
      </c>
      <c r="D83" s="2896" t="s">
        <v>1268</v>
      </c>
      <c r="E83" s="2127">
        <v>4080.2</v>
      </c>
      <c r="F83" s="1820"/>
      <c r="G83" s="2127">
        <f t="shared" si="15"/>
        <v>4080.2</v>
      </c>
      <c r="H83" s="1820"/>
      <c r="I83" s="1820"/>
      <c r="J83" s="1820"/>
      <c r="K83" s="1820"/>
      <c r="L83" s="2901"/>
      <c r="M83" s="1742"/>
      <c r="N83" s="2122"/>
      <c r="O83" s="2122">
        <v>8</v>
      </c>
      <c r="P83" s="1664"/>
      <c r="Q83" s="1664">
        <v>1.07</v>
      </c>
      <c r="R83" s="1664">
        <v>310</v>
      </c>
      <c r="S83" s="1664">
        <f t="shared" si="16"/>
        <v>331.7</v>
      </c>
      <c r="T83" s="1664">
        <f t="shared" si="17"/>
        <v>0</v>
      </c>
      <c r="U83" s="1664"/>
      <c r="V83" s="1664">
        <f t="shared" si="14"/>
        <v>0</v>
      </c>
      <c r="W83" s="1664">
        <f t="shared" si="18"/>
        <v>351.6</v>
      </c>
      <c r="X83" s="1664">
        <f t="shared" si="19"/>
        <v>0</v>
      </c>
      <c r="Y83" s="1664"/>
      <c r="Z83" s="1664">
        <f t="shared" si="22"/>
        <v>0</v>
      </c>
      <c r="AA83" s="1664">
        <f t="shared" si="20"/>
        <v>369.18</v>
      </c>
      <c r="AB83" s="1664">
        <f t="shared" si="21"/>
        <v>0</v>
      </c>
      <c r="AC83" s="1664"/>
      <c r="AD83" s="1664">
        <f t="shared" si="23"/>
        <v>0</v>
      </c>
    </row>
    <row r="84" spans="1:30">
      <c r="A84" s="2130">
        <v>77</v>
      </c>
      <c r="B84" s="2894" t="s">
        <v>2368</v>
      </c>
      <c r="C84" s="2895" t="s">
        <v>2373</v>
      </c>
      <c r="D84" s="2896" t="s">
        <v>1268</v>
      </c>
      <c r="E84" s="2127">
        <v>4080.2</v>
      </c>
      <c r="F84" s="1820"/>
      <c r="G84" s="2127">
        <f t="shared" si="15"/>
        <v>4080.2</v>
      </c>
      <c r="H84" s="1820"/>
      <c r="I84" s="1820"/>
      <c r="J84" s="1820"/>
      <c r="K84" s="1820"/>
      <c r="L84" s="2901"/>
      <c r="M84" s="1742"/>
      <c r="N84" s="2122"/>
      <c r="O84" s="2122">
        <v>8</v>
      </c>
      <c r="P84" s="1664"/>
      <c r="Q84" s="1664">
        <v>1.07</v>
      </c>
      <c r="R84" s="1664">
        <v>370</v>
      </c>
      <c r="S84" s="1664">
        <f t="shared" si="16"/>
        <v>395.9</v>
      </c>
      <c r="T84" s="1664">
        <f t="shared" si="17"/>
        <v>0</v>
      </c>
      <c r="U84" s="1664"/>
      <c r="V84" s="1664">
        <f t="shared" si="14"/>
        <v>0</v>
      </c>
      <c r="W84" s="1664">
        <f t="shared" si="18"/>
        <v>419.65</v>
      </c>
      <c r="X84" s="1664">
        <f t="shared" si="19"/>
        <v>0</v>
      </c>
      <c r="Y84" s="1664"/>
      <c r="Z84" s="1664">
        <f t="shared" si="22"/>
        <v>0</v>
      </c>
      <c r="AA84" s="1664">
        <f t="shared" si="20"/>
        <v>440.63</v>
      </c>
      <c r="AB84" s="1664">
        <f t="shared" si="21"/>
        <v>0</v>
      </c>
      <c r="AC84" s="1664"/>
      <c r="AD84" s="1664">
        <f t="shared" si="23"/>
        <v>0</v>
      </c>
    </row>
    <row r="85" spans="1:30" ht="25.5">
      <c r="A85" s="2130">
        <v>78</v>
      </c>
      <c r="B85" s="2894" t="s">
        <v>1983</v>
      </c>
      <c r="C85" s="2895" t="s">
        <v>2374</v>
      </c>
      <c r="D85" s="2896" t="s">
        <v>1525</v>
      </c>
      <c r="E85" s="2127">
        <v>4080.2</v>
      </c>
      <c r="F85" s="1820"/>
      <c r="G85" s="2127">
        <f t="shared" si="15"/>
        <v>4080.2</v>
      </c>
      <c r="H85" s="1820"/>
      <c r="I85" s="1820"/>
      <c r="J85" s="1820"/>
      <c r="K85" s="1820"/>
      <c r="L85" s="2901"/>
      <c r="M85" s="1742"/>
      <c r="N85" s="2122"/>
      <c r="O85" s="2122"/>
      <c r="P85" s="1664"/>
      <c r="Q85" s="1664">
        <v>1.07</v>
      </c>
      <c r="R85" s="1664">
        <v>48600</v>
      </c>
      <c r="S85" s="1664">
        <f t="shared" si="16"/>
        <v>52002</v>
      </c>
      <c r="T85" s="1664">
        <f t="shared" si="17"/>
        <v>0</v>
      </c>
      <c r="U85" s="1664"/>
      <c r="V85" s="1664">
        <f>T85-U85</f>
        <v>0</v>
      </c>
      <c r="W85" s="1664">
        <f t="shared" si="18"/>
        <v>55122.12</v>
      </c>
      <c r="X85" s="1664">
        <f t="shared" si="19"/>
        <v>0</v>
      </c>
      <c r="Y85" s="1664"/>
      <c r="Z85" s="1664">
        <f>X85-Y85</f>
        <v>0</v>
      </c>
      <c r="AA85" s="1664">
        <f t="shared" si="20"/>
        <v>57878.23</v>
      </c>
      <c r="AB85" s="1664">
        <f t="shared" si="21"/>
        <v>0</v>
      </c>
      <c r="AC85" s="1664"/>
      <c r="AD85" s="1664">
        <f>AB85-AC85</f>
        <v>0</v>
      </c>
    </row>
    <row r="86" spans="1:30" ht="25.5">
      <c r="A86" s="2130">
        <v>79</v>
      </c>
      <c r="B86" s="2894" t="s">
        <v>2375</v>
      </c>
      <c r="C86" s="2895" t="s">
        <v>2376</v>
      </c>
      <c r="D86" s="2896" t="s">
        <v>1395</v>
      </c>
      <c r="E86" s="2127">
        <v>4080.2</v>
      </c>
      <c r="F86" s="1820"/>
      <c r="G86" s="2127">
        <f t="shared" si="15"/>
        <v>4080.2</v>
      </c>
      <c r="H86" s="1820"/>
      <c r="I86" s="1820"/>
      <c r="J86" s="1820"/>
      <c r="K86" s="1820"/>
      <c r="L86" s="2901"/>
      <c r="M86" s="1742"/>
      <c r="N86" s="2122"/>
      <c r="O86" s="2122"/>
      <c r="P86" s="1664"/>
      <c r="Q86" s="1664">
        <v>1.07</v>
      </c>
      <c r="R86" s="1664">
        <v>34</v>
      </c>
      <c r="S86" s="1664">
        <f t="shared" si="16"/>
        <v>36.380000000000003</v>
      </c>
      <c r="T86" s="1664">
        <f t="shared" si="17"/>
        <v>0</v>
      </c>
      <c r="U86" s="1664"/>
      <c r="V86" s="1664">
        <f>T86-U86</f>
        <v>0</v>
      </c>
      <c r="W86" s="1664">
        <f t="shared" si="18"/>
        <v>38.56</v>
      </c>
      <c r="X86" s="1664">
        <f t="shared" si="19"/>
        <v>0</v>
      </c>
      <c r="Y86" s="1664"/>
      <c r="Z86" s="1664">
        <f>X86-Y86</f>
        <v>0</v>
      </c>
      <c r="AA86" s="1664">
        <f t="shared" si="20"/>
        <v>40.49</v>
      </c>
      <c r="AB86" s="1664">
        <f t="shared" si="21"/>
        <v>0</v>
      </c>
      <c r="AC86" s="1664"/>
      <c r="AD86" s="1664">
        <f>AB86-AC86</f>
        <v>0</v>
      </c>
    </row>
    <row r="87" spans="1:30">
      <c r="A87" s="2130">
        <v>80</v>
      </c>
      <c r="B87" s="2894" t="s">
        <v>2039</v>
      </c>
      <c r="C87" s="2895" t="s">
        <v>2377</v>
      </c>
      <c r="D87" s="2896" t="s">
        <v>1395</v>
      </c>
      <c r="E87" s="2127">
        <v>4080.2</v>
      </c>
      <c r="F87" s="1820"/>
      <c r="G87" s="2127">
        <f t="shared" si="15"/>
        <v>4080.2</v>
      </c>
      <c r="H87" s="1820"/>
      <c r="I87" s="1820"/>
      <c r="J87" s="1820"/>
      <c r="K87" s="1820"/>
      <c r="L87" s="2901"/>
      <c r="M87" s="1742"/>
      <c r="N87" s="2122"/>
      <c r="O87" s="2122"/>
      <c r="P87" s="1664"/>
      <c r="Q87" s="1664">
        <v>1.07</v>
      </c>
      <c r="R87" s="1664">
        <v>245</v>
      </c>
      <c r="S87" s="1664">
        <f t="shared" si="16"/>
        <v>262.14999999999998</v>
      </c>
      <c r="T87" s="1664">
        <f t="shared" si="17"/>
        <v>0</v>
      </c>
      <c r="U87" s="1664"/>
      <c r="V87" s="1664">
        <f>T87-U87</f>
        <v>0</v>
      </c>
      <c r="W87" s="1664">
        <f t="shared" si="18"/>
        <v>277.88</v>
      </c>
      <c r="X87" s="1664">
        <f t="shared" si="19"/>
        <v>0</v>
      </c>
      <c r="Y87" s="1664"/>
      <c r="Z87" s="1664">
        <f>X87-Y87</f>
        <v>0</v>
      </c>
      <c r="AA87" s="1664">
        <f t="shared" si="20"/>
        <v>291.77</v>
      </c>
      <c r="AB87" s="1664">
        <f t="shared" si="21"/>
        <v>0</v>
      </c>
      <c r="AC87" s="1664"/>
      <c r="AD87" s="1664">
        <f>AB87-AC87</f>
        <v>0</v>
      </c>
    </row>
    <row r="88" spans="1:30">
      <c r="A88" s="2130">
        <v>81</v>
      </c>
      <c r="B88" s="2894" t="s">
        <v>2378</v>
      </c>
      <c r="C88" s="2895" t="s">
        <v>2379</v>
      </c>
      <c r="D88" s="2896" t="s">
        <v>1395</v>
      </c>
      <c r="E88" s="2127">
        <v>4080.2</v>
      </c>
      <c r="F88" s="1820"/>
      <c r="G88" s="2127">
        <f t="shared" si="15"/>
        <v>4080.2</v>
      </c>
      <c r="H88" s="1820"/>
      <c r="I88" s="1820"/>
      <c r="J88" s="1820"/>
      <c r="K88" s="1820"/>
      <c r="L88" s="2901"/>
      <c r="M88" s="1664"/>
      <c r="N88" s="2122"/>
      <c r="O88" s="2122"/>
      <c r="P88" s="1664"/>
      <c r="Q88" s="1664">
        <v>1.07</v>
      </c>
      <c r="R88" s="1664">
        <v>310</v>
      </c>
      <c r="S88" s="1664">
        <f t="shared" si="16"/>
        <v>331.7</v>
      </c>
      <c r="T88" s="1664">
        <f t="shared" si="17"/>
        <v>0</v>
      </c>
      <c r="U88" s="1664"/>
      <c r="V88" s="1664">
        <f>T88-U88</f>
        <v>0</v>
      </c>
      <c r="W88" s="1664">
        <f t="shared" si="18"/>
        <v>351.6</v>
      </c>
      <c r="X88" s="1664">
        <f t="shared" si="19"/>
        <v>0</v>
      </c>
      <c r="Y88" s="1664"/>
      <c r="Z88" s="1664">
        <f>X88-Y88</f>
        <v>0</v>
      </c>
      <c r="AA88" s="1664">
        <f t="shared" si="20"/>
        <v>369.18</v>
      </c>
      <c r="AB88" s="1664">
        <f t="shared" si="21"/>
        <v>0</v>
      </c>
      <c r="AC88" s="1664"/>
      <c r="AD88" s="1664">
        <f>AB88-AC88</f>
        <v>0</v>
      </c>
    </row>
    <row r="89" spans="1:30" ht="38.25">
      <c r="A89" s="2130">
        <v>82</v>
      </c>
      <c r="B89" s="2894" t="s">
        <v>2380</v>
      </c>
      <c r="C89" s="2895" t="s">
        <v>2381</v>
      </c>
      <c r="D89" s="2896" t="s">
        <v>2291</v>
      </c>
      <c r="E89" s="2127">
        <v>4080.2</v>
      </c>
      <c r="F89" s="1820"/>
      <c r="G89" s="2127">
        <f t="shared" si="15"/>
        <v>4080.2</v>
      </c>
      <c r="H89" s="1820"/>
      <c r="I89" s="1820"/>
      <c r="J89" s="1820"/>
      <c r="K89" s="1820"/>
      <c r="L89" s="2901"/>
      <c r="M89" s="1742"/>
      <c r="N89" s="2122"/>
      <c r="O89" s="2122"/>
      <c r="P89" s="1664"/>
      <c r="Q89" s="1664">
        <v>1.07</v>
      </c>
      <c r="R89" s="1664">
        <v>3834</v>
      </c>
      <c r="S89" s="1664">
        <f t="shared" si="16"/>
        <v>4102.38</v>
      </c>
      <c r="T89" s="1664">
        <f t="shared" si="17"/>
        <v>0</v>
      </c>
      <c r="U89" s="1664"/>
      <c r="V89" s="1664">
        <f t="shared" ref="V89:V152" si="24">T89-U89</f>
        <v>0</v>
      </c>
      <c r="W89" s="1664">
        <f t="shared" si="18"/>
        <v>4348.5200000000004</v>
      </c>
      <c r="X89" s="1664">
        <f t="shared" si="19"/>
        <v>0</v>
      </c>
      <c r="Y89" s="1664"/>
      <c r="Z89" s="1664">
        <f t="shared" ref="Z89:Z152" si="25">X89-Y89</f>
        <v>0</v>
      </c>
      <c r="AA89" s="1664">
        <f t="shared" si="20"/>
        <v>4565.95</v>
      </c>
      <c r="AB89" s="1664">
        <f t="shared" si="21"/>
        <v>0</v>
      </c>
      <c r="AC89" s="1664"/>
      <c r="AD89" s="1664">
        <f t="shared" ref="AD89:AD152" si="26">AB89-AC89</f>
        <v>0</v>
      </c>
    </row>
    <row r="90" spans="1:30">
      <c r="A90" s="2130">
        <v>83</v>
      </c>
      <c r="B90" s="2894" t="s">
        <v>2378</v>
      </c>
      <c r="C90" s="2895" t="s">
        <v>2382</v>
      </c>
      <c r="D90" s="2896" t="s">
        <v>1395</v>
      </c>
      <c r="E90" s="2127">
        <v>4080.2</v>
      </c>
      <c r="F90" s="1820"/>
      <c r="G90" s="2127">
        <f t="shared" si="15"/>
        <v>4080.2</v>
      </c>
      <c r="H90" s="1820"/>
      <c r="I90" s="1820"/>
      <c r="J90" s="1820"/>
      <c r="K90" s="1820"/>
      <c r="L90" s="2901"/>
      <c r="M90" s="1742"/>
      <c r="N90" s="2122"/>
      <c r="O90" s="2122"/>
      <c r="P90" s="1664"/>
      <c r="Q90" s="1664">
        <v>1.07</v>
      </c>
      <c r="R90" s="1664">
        <v>270</v>
      </c>
      <c r="S90" s="1664">
        <f t="shared" si="16"/>
        <v>288.89999999999998</v>
      </c>
      <c r="T90" s="1664">
        <f t="shared" si="17"/>
        <v>0</v>
      </c>
      <c r="U90" s="1664"/>
      <c r="V90" s="1664">
        <f t="shared" si="24"/>
        <v>0</v>
      </c>
      <c r="W90" s="1664">
        <f t="shared" si="18"/>
        <v>306.23</v>
      </c>
      <c r="X90" s="1664">
        <f t="shared" si="19"/>
        <v>0</v>
      </c>
      <c r="Y90" s="1664"/>
      <c r="Z90" s="1664">
        <f t="shared" si="25"/>
        <v>0</v>
      </c>
      <c r="AA90" s="1664">
        <f t="shared" si="20"/>
        <v>321.54000000000002</v>
      </c>
      <c r="AB90" s="1664">
        <f t="shared" si="21"/>
        <v>0</v>
      </c>
      <c r="AC90" s="1664"/>
      <c r="AD90" s="1664">
        <f t="shared" si="26"/>
        <v>0</v>
      </c>
    </row>
    <row r="91" spans="1:30" ht="89.25">
      <c r="A91" s="2130">
        <v>84</v>
      </c>
      <c r="B91" s="2894" t="s">
        <v>2384</v>
      </c>
      <c r="C91" s="2899" t="s">
        <v>2383</v>
      </c>
      <c r="D91" s="2896" t="s">
        <v>1395</v>
      </c>
      <c r="E91" s="2127">
        <v>4080.2</v>
      </c>
      <c r="F91" s="1820"/>
      <c r="G91" s="2127">
        <f t="shared" si="15"/>
        <v>4080.2</v>
      </c>
      <c r="H91" s="1820"/>
      <c r="I91" s="1820"/>
      <c r="J91" s="1820"/>
      <c r="K91" s="1820"/>
      <c r="L91" s="2901"/>
      <c r="M91" s="1742"/>
      <c r="N91" s="2122"/>
      <c r="O91" s="2122"/>
      <c r="P91" s="1664"/>
      <c r="Q91" s="1664">
        <v>1.07</v>
      </c>
      <c r="R91" s="2122">
        <v>729</v>
      </c>
      <c r="S91" s="1664">
        <f t="shared" si="16"/>
        <v>780.03</v>
      </c>
      <c r="T91" s="1664">
        <f t="shared" si="17"/>
        <v>0</v>
      </c>
      <c r="U91" s="1664"/>
      <c r="V91" s="1664">
        <f t="shared" si="24"/>
        <v>0</v>
      </c>
      <c r="W91" s="1664">
        <f t="shared" si="18"/>
        <v>826.83</v>
      </c>
      <c r="X91" s="1664">
        <f t="shared" si="19"/>
        <v>0</v>
      </c>
      <c r="Y91" s="1664"/>
      <c r="Z91" s="1664">
        <f t="shared" si="25"/>
        <v>0</v>
      </c>
      <c r="AA91" s="1664">
        <f t="shared" si="20"/>
        <v>868.17</v>
      </c>
      <c r="AB91" s="1664">
        <f t="shared" si="21"/>
        <v>0</v>
      </c>
      <c r="AC91" s="1664"/>
      <c r="AD91" s="1664">
        <f t="shared" si="26"/>
        <v>0</v>
      </c>
    </row>
    <row r="92" spans="1:30" ht="38.25">
      <c r="A92" s="2130">
        <v>85</v>
      </c>
      <c r="B92" s="2894" t="s">
        <v>2385</v>
      </c>
      <c r="C92" s="2895" t="s">
        <v>2386</v>
      </c>
      <c r="D92" s="2896" t="s">
        <v>1395</v>
      </c>
      <c r="E92" s="2127">
        <v>4080.2</v>
      </c>
      <c r="F92" s="1610"/>
      <c r="G92" s="2127">
        <f t="shared" si="15"/>
        <v>4080.2</v>
      </c>
      <c r="H92" s="1820"/>
      <c r="I92" s="1820"/>
      <c r="J92" s="1820"/>
      <c r="K92" s="1820"/>
      <c r="L92" s="2901"/>
      <c r="M92" s="1742"/>
      <c r="N92" s="2122"/>
      <c r="O92" s="2122"/>
      <c r="P92" s="1664"/>
      <c r="Q92" s="1664">
        <v>1.07</v>
      </c>
      <c r="R92" s="2122">
        <v>1053</v>
      </c>
      <c r="S92" s="1664">
        <f t="shared" si="16"/>
        <v>1126.71</v>
      </c>
      <c r="T92" s="1664">
        <f t="shared" si="17"/>
        <v>0</v>
      </c>
      <c r="U92" s="1664"/>
      <c r="V92" s="1664">
        <f t="shared" si="24"/>
        <v>0</v>
      </c>
      <c r="W92" s="1664">
        <f t="shared" si="18"/>
        <v>1194.31</v>
      </c>
      <c r="X92" s="1664">
        <f t="shared" si="19"/>
        <v>0</v>
      </c>
      <c r="Y92" s="1664"/>
      <c r="Z92" s="1664">
        <f t="shared" si="25"/>
        <v>0</v>
      </c>
      <c r="AA92" s="1664">
        <f t="shared" si="20"/>
        <v>1254.03</v>
      </c>
      <c r="AB92" s="1664">
        <f t="shared" si="21"/>
        <v>0</v>
      </c>
      <c r="AC92" s="1664"/>
      <c r="AD92" s="1664">
        <f t="shared" si="26"/>
        <v>0</v>
      </c>
    </row>
    <row r="93" spans="1:30" ht="25.5">
      <c r="A93" s="2130">
        <v>86</v>
      </c>
      <c r="B93" s="2894" t="s">
        <v>2387</v>
      </c>
      <c r="C93" s="2895" t="s">
        <v>2388</v>
      </c>
      <c r="D93" s="2896" t="s">
        <v>2291</v>
      </c>
      <c r="E93" s="2127">
        <v>4080.2</v>
      </c>
      <c r="F93" s="1610"/>
      <c r="G93" s="2127">
        <f t="shared" si="15"/>
        <v>4080.2</v>
      </c>
      <c r="H93" s="1610"/>
      <c r="I93" s="1820"/>
      <c r="J93" s="1820"/>
      <c r="K93" s="1610"/>
      <c r="L93" s="2901"/>
      <c r="M93" s="1742"/>
      <c r="N93" s="1664"/>
      <c r="O93" s="1664"/>
      <c r="P93" s="1664"/>
      <c r="Q93" s="1664">
        <v>1.07</v>
      </c>
      <c r="R93" s="1664">
        <v>7290</v>
      </c>
      <c r="S93" s="1664">
        <f t="shared" si="16"/>
        <v>7800.3</v>
      </c>
      <c r="T93" s="1664">
        <f t="shared" si="17"/>
        <v>0</v>
      </c>
      <c r="U93" s="1664"/>
      <c r="V93" s="1664">
        <f t="shared" si="24"/>
        <v>0</v>
      </c>
      <c r="W93" s="1664">
        <f t="shared" si="18"/>
        <v>8268.32</v>
      </c>
      <c r="X93" s="1664">
        <f t="shared" si="19"/>
        <v>0</v>
      </c>
      <c r="Y93" s="1664"/>
      <c r="Z93" s="1664">
        <f t="shared" si="25"/>
        <v>0</v>
      </c>
      <c r="AA93" s="1664">
        <f t="shared" si="20"/>
        <v>8681.74</v>
      </c>
      <c r="AB93" s="1664">
        <f t="shared" si="21"/>
        <v>0</v>
      </c>
      <c r="AC93" s="1664"/>
      <c r="AD93" s="1664">
        <f t="shared" si="26"/>
        <v>0</v>
      </c>
    </row>
    <row r="94" spans="1:30">
      <c r="A94" s="2130">
        <v>87</v>
      </c>
      <c r="B94" s="2894" t="s">
        <v>2389</v>
      </c>
      <c r="C94" s="2895" t="s">
        <v>2390</v>
      </c>
      <c r="D94" s="2896" t="s">
        <v>2291</v>
      </c>
      <c r="E94" s="2127">
        <v>4080.2</v>
      </c>
      <c r="F94" s="1820"/>
      <c r="G94" s="2127">
        <f t="shared" si="15"/>
        <v>4080.2</v>
      </c>
      <c r="H94" s="1820"/>
      <c r="I94" s="1820"/>
      <c r="J94" s="1820"/>
      <c r="K94" s="1820"/>
      <c r="L94" s="2901"/>
      <c r="M94" s="1742"/>
      <c r="N94" s="2122"/>
      <c r="O94" s="2122">
        <v>15</v>
      </c>
      <c r="P94" s="1664"/>
      <c r="Q94" s="1664">
        <v>1.07</v>
      </c>
      <c r="R94" s="1664">
        <v>6210</v>
      </c>
      <c r="S94" s="1664">
        <f t="shared" si="16"/>
        <v>6644.7</v>
      </c>
      <c r="T94" s="1664">
        <f t="shared" si="17"/>
        <v>0</v>
      </c>
      <c r="U94" s="1664"/>
      <c r="V94" s="1664">
        <f t="shared" si="24"/>
        <v>0</v>
      </c>
      <c r="W94" s="1664">
        <f t="shared" si="18"/>
        <v>7043.38</v>
      </c>
      <c r="X94" s="1664">
        <f t="shared" si="19"/>
        <v>0</v>
      </c>
      <c r="Y94" s="1664"/>
      <c r="Z94" s="1664">
        <f t="shared" si="25"/>
        <v>0</v>
      </c>
      <c r="AA94" s="1664">
        <f t="shared" si="20"/>
        <v>7395.55</v>
      </c>
      <c r="AB94" s="1664">
        <f t="shared" si="21"/>
        <v>0</v>
      </c>
      <c r="AC94" s="1664"/>
      <c r="AD94" s="1664">
        <f t="shared" si="26"/>
        <v>0</v>
      </c>
    </row>
    <row r="95" spans="1:30" ht="25.5">
      <c r="A95" s="2130">
        <v>88</v>
      </c>
      <c r="B95" s="2894" t="s">
        <v>2391</v>
      </c>
      <c r="C95" s="2895" t="s">
        <v>2392</v>
      </c>
      <c r="D95" s="2896" t="s">
        <v>2393</v>
      </c>
      <c r="E95" s="2127">
        <v>4080.2</v>
      </c>
      <c r="F95" s="1820"/>
      <c r="G95" s="2127">
        <f t="shared" si="15"/>
        <v>4080.2</v>
      </c>
      <c r="H95" s="1820"/>
      <c r="I95" s="1820"/>
      <c r="J95" s="1820"/>
      <c r="K95" s="1820"/>
      <c r="L95" s="2901"/>
      <c r="M95" s="1742"/>
      <c r="N95" s="2122"/>
      <c r="O95" s="2122"/>
      <c r="P95" s="1664"/>
      <c r="Q95" s="1664">
        <v>1.07</v>
      </c>
      <c r="R95" s="2122">
        <v>945</v>
      </c>
      <c r="S95" s="1664">
        <f t="shared" si="16"/>
        <v>1011.15</v>
      </c>
      <c r="T95" s="1664">
        <f t="shared" si="17"/>
        <v>0</v>
      </c>
      <c r="U95" s="1664"/>
      <c r="V95" s="1664">
        <f t="shared" si="24"/>
        <v>0</v>
      </c>
      <c r="W95" s="1664">
        <f t="shared" si="18"/>
        <v>1071.82</v>
      </c>
      <c r="X95" s="1664">
        <f t="shared" si="19"/>
        <v>0</v>
      </c>
      <c r="Y95" s="1664"/>
      <c r="Z95" s="1664">
        <f t="shared" si="25"/>
        <v>0</v>
      </c>
      <c r="AA95" s="1664">
        <f t="shared" si="20"/>
        <v>1125.4100000000001</v>
      </c>
      <c r="AB95" s="1664">
        <f t="shared" si="21"/>
        <v>0</v>
      </c>
      <c r="AC95" s="1664"/>
      <c r="AD95" s="1664">
        <f t="shared" si="26"/>
        <v>0</v>
      </c>
    </row>
    <row r="96" spans="1:30" ht="51">
      <c r="A96" s="2130">
        <v>89</v>
      </c>
      <c r="B96" s="2894" t="s">
        <v>2394</v>
      </c>
      <c r="C96" s="2895" t="s">
        <v>2395</v>
      </c>
      <c r="D96" s="2896" t="s">
        <v>1395</v>
      </c>
      <c r="E96" s="2127">
        <v>4080.2</v>
      </c>
      <c r="F96" s="1610"/>
      <c r="G96" s="2127">
        <f t="shared" si="15"/>
        <v>4080.2</v>
      </c>
      <c r="H96" s="1610"/>
      <c r="I96" s="1820"/>
      <c r="J96" s="1820"/>
      <c r="K96" s="1610"/>
      <c r="L96" s="2901"/>
      <c r="M96" s="1742"/>
      <c r="N96" s="1664"/>
      <c r="O96" s="1664"/>
      <c r="P96" s="1664"/>
      <c r="Q96" s="1664">
        <v>1.07</v>
      </c>
      <c r="R96" s="1664">
        <v>192</v>
      </c>
      <c r="S96" s="1664">
        <f t="shared" si="16"/>
        <v>205.44</v>
      </c>
      <c r="T96" s="1664">
        <f t="shared" si="17"/>
        <v>0</v>
      </c>
      <c r="U96" s="1664"/>
      <c r="V96" s="1664">
        <f t="shared" si="24"/>
        <v>0</v>
      </c>
      <c r="W96" s="1664">
        <f t="shared" si="18"/>
        <v>217.77</v>
      </c>
      <c r="X96" s="1664">
        <f t="shared" si="19"/>
        <v>0</v>
      </c>
      <c r="Y96" s="1664"/>
      <c r="Z96" s="1664">
        <f t="shared" si="25"/>
        <v>0</v>
      </c>
      <c r="AA96" s="1664">
        <f t="shared" si="20"/>
        <v>228.66</v>
      </c>
      <c r="AB96" s="1664">
        <f t="shared" si="21"/>
        <v>0</v>
      </c>
      <c r="AC96" s="1664"/>
      <c r="AD96" s="1664">
        <f t="shared" si="26"/>
        <v>0</v>
      </c>
    </row>
    <row r="97" spans="1:30" ht="25.5">
      <c r="A97" s="2130">
        <v>90</v>
      </c>
      <c r="B97" s="2894" t="s">
        <v>2396</v>
      </c>
      <c r="C97" s="2895" t="s">
        <v>2397</v>
      </c>
      <c r="D97" s="2896" t="s">
        <v>2291</v>
      </c>
      <c r="E97" s="2127">
        <v>4080.2</v>
      </c>
      <c r="F97" s="1820"/>
      <c r="G97" s="2127">
        <f t="shared" si="15"/>
        <v>4080.2</v>
      </c>
      <c r="H97" s="1820"/>
      <c r="I97" s="1820"/>
      <c r="J97" s="1820"/>
      <c r="K97" s="1820"/>
      <c r="L97" s="2901"/>
      <c r="M97" s="1742"/>
      <c r="N97" s="2122"/>
      <c r="O97" s="2122"/>
      <c r="P97" s="1664"/>
      <c r="Q97" s="1664">
        <v>1.07</v>
      </c>
      <c r="R97" s="1664">
        <v>3105</v>
      </c>
      <c r="S97" s="1664">
        <f t="shared" si="16"/>
        <v>3322.35</v>
      </c>
      <c r="T97" s="1664">
        <f t="shared" si="17"/>
        <v>0</v>
      </c>
      <c r="U97" s="1664"/>
      <c r="V97" s="1664">
        <f t="shared" si="24"/>
        <v>0</v>
      </c>
      <c r="W97" s="1664">
        <f t="shared" si="18"/>
        <v>3521.69</v>
      </c>
      <c r="X97" s="1664">
        <f t="shared" si="19"/>
        <v>0</v>
      </c>
      <c r="Y97" s="1664"/>
      <c r="Z97" s="1664">
        <f t="shared" si="25"/>
        <v>0</v>
      </c>
      <c r="AA97" s="1664">
        <f t="shared" si="20"/>
        <v>3697.77</v>
      </c>
      <c r="AB97" s="1664">
        <f t="shared" si="21"/>
        <v>0</v>
      </c>
      <c r="AC97" s="1664"/>
      <c r="AD97" s="1664">
        <f t="shared" si="26"/>
        <v>0</v>
      </c>
    </row>
    <row r="98" spans="1:30">
      <c r="A98" s="2130">
        <v>91</v>
      </c>
      <c r="B98" s="2894" t="s">
        <v>2398</v>
      </c>
      <c r="C98" s="2895" t="s">
        <v>2399</v>
      </c>
      <c r="D98" s="2896" t="s">
        <v>1395</v>
      </c>
      <c r="E98" s="2127">
        <v>4080.2</v>
      </c>
      <c r="F98" s="1610"/>
      <c r="G98" s="2127">
        <f t="shared" si="15"/>
        <v>4080.2</v>
      </c>
      <c r="H98" s="1610"/>
      <c r="I98" s="1820"/>
      <c r="J98" s="1820"/>
      <c r="K98" s="1610"/>
      <c r="L98" s="2901"/>
      <c r="M98" s="1742"/>
      <c r="N98" s="1664"/>
      <c r="O98" s="1664"/>
      <c r="P98" s="1664"/>
      <c r="Q98" s="1664">
        <v>1.07</v>
      </c>
      <c r="R98" s="1664">
        <v>555</v>
      </c>
      <c r="S98" s="1664">
        <f t="shared" si="16"/>
        <v>593.85</v>
      </c>
      <c r="T98" s="1664">
        <f t="shared" si="17"/>
        <v>0</v>
      </c>
      <c r="U98" s="1664"/>
      <c r="V98" s="1664">
        <f t="shared" si="24"/>
        <v>0</v>
      </c>
      <c r="W98" s="1664">
        <f t="shared" si="18"/>
        <v>629.48</v>
      </c>
      <c r="X98" s="1664">
        <f t="shared" si="19"/>
        <v>0</v>
      </c>
      <c r="Y98" s="1664"/>
      <c r="Z98" s="1664">
        <f t="shared" si="25"/>
        <v>0</v>
      </c>
      <c r="AA98" s="1664">
        <f t="shared" si="20"/>
        <v>660.95</v>
      </c>
      <c r="AB98" s="1664">
        <f t="shared" si="21"/>
        <v>0</v>
      </c>
      <c r="AC98" s="1664"/>
      <c r="AD98" s="1664">
        <f t="shared" si="26"/>
        <v>0</v>
      </c>
    </row>
    <row r="99" spans="1:30" ht="38.25">
      <c r="A99" s="2130">
        <v>92</v>
      </c>
      <c r="B99" s="2894" t="s">
        <v>2400</v>
      </c>
      <c r="C99" s="2895" t="s">
        <v>2401</v>
      </c>
      <c r="D99" s="2896" t="s">
        <v>1338</v>
      </c>
      <c r="E99" s="2127">
        <v>4080.2</v>
      </c>
      <c r="F99" s="1610"/>
      <c r="G99" s="2127">
        <f t="shared" si="15"/>
        <v>4080.2</v>
      </c>
      <c r="H99" s="1610"/>
      <c r="I99" s="1820"/>
      <c r="J99" s="1820"/>
      <c r="K99" s="1610"/>
      <c r="L99" s="2901"/>
      <c r="M99" s="1742"/>
      <c r="N99" s="1664"/>
      <c r="O99" s="1664">
        <v>8</v>
      </c>
      <c r="P99" s="1664"/>
      <c r="Q99" s="1664">
        <v>1.07</v>
      </c>
      <c r="R99" s="1664">
        <v>2835</v>
      </c>
      <c r="S99" s="1664">
        <f t="shared" si="16"/>
        <v>3033.45</v>
      </c>
      <c r="T99" s="1664">
        <f t="shared" si="17"/>
        <v>0</v>
      </c>
      <c r="U99" s="1664"/>
      <c r="V99" s="1664">
        <f t="shared" si="24"/>
        <v>0</v>
      </c>
      <c r="W99" s="1664">
        <f t="shared" si="18"/>
        <v>3215.46</v>
      </c>
      <c r="X99" s="1664">
        <f t="shared" si="19"/>
        <v>0</v>
      </c>
      <c r="Y99" s="1664"/>
      <c r="Z99" s="1664">
        <f t="shared" si="25"/>
        <v>0</v>
      </c>
      <c r="AA99" s="1664">
        <f t="shared" si="20"/>
        <v>3376.23</v>
      </c>
      <c r="AB99" s="1664">
        <f t="shared" si="21"/>
        <v>0</v>
      </c>
      <c r="AC99" s="1664"/>
      <c r="AD99" s="1664">
        <f t="shared" si="26"/>
        <v>0</v>
      </c>
    </row>
    <row r="100" spans="1:30" ht="20.45" customHeight="1">
      <c r="A100" s="2130">
        <v>93</v>
      </c>
      <c r="B100" s="2894" t="s">
        <v>2402</v>
      </c>
      <c r="C100" s="2895" t="s">
        <v>2403</v>
      </c>
      <c r="D100" s="2896" t="s">
        <v>1268</v>
      </c>
      <c r="E100" s="2127">
        <v>4080.2</v>
      </c>
      <c r="F100" s="1610"/>
      <c r="G100" s="2127">
        <f t="shared" si="15"/>
        <v>4080.2</v>
      </c>
      <c r="H100" s="1610"/>
      <c r="I100" s="1820"/>
      <c r="J100" s="1820"/>
      <c r="K100" s="1610"/>
      <c r="L100" s="2901"/>
      <c r="M100" s="1742"/>
      <c r="N100" s="1664"/>
      <c r="O100" s="1664"/>
      <c r="P100" s="1664"/>
      <c r="Q100" s="1664">
        <v>1.07</v>
      </c>
      <c r="R100" s="1664">
        <v>405</v>
      </c>
      <c r="S100" s="1664">
        <f t="shared" si="16"/>
        <v>433.35</v>
      </c>
      <c r="T100" s="1664">
        <f t="shared" si="17"/>
        <v>0</v>
      </c>
      <c r="U100" s="1664"/>
      <c r="V100" s="1664">
        <f t="shared" si="24"/>
        <v>0</v>
      </c>
      <c r="W100" s="1664">
        <f t="shared" si="18"/>
        <v>459.35</v>
      </c>
      <c r="X100" s="1664">
        <f t="shared" si="19"/>
        <v>0</v>
      </c>
      <c r="Y100" s="1664"/>
      <c r="Z100" s="1664">
        <f t="shared" si="25"/>
        <v>0</v>
      </c>
      <c r="AA100" s="1664">
        <f t="shared" si="20"/>
        <v>482.32</v>
      </c>
      <c r="AB100" s="1664">
        <f t="shared" si="21"/>
        <v>0</v>
      </c>
      <c r="AC100" s="1664"/>
      <c r="AD100" s="1664">
        <f t="shared" si="26"/>
        <v>0</v>
      </c>
    </row>
    <row r="101" spans="1:30">
      <c r="A101" s="2130">
        <v>94</v>
      </c>
      <c r="B101" s="2894" t="s">
        <v>2404</v>
      </c>
      <c r="C101" s="2895" t="s">
        <v>2405</v>
      </c>
      <c r="D101" s="2896" t="s">
        <v>1268</v>
      </c>
      <c r="E101" s="2127">
        <v>4080.2</v>
      </c>
      <c r="F101" s="1610"/>
      <c r="G101" s="2127">
        <f t="shared" si="15"/>
        <v>4080.2</v>
      </c>
      <c r="H101" s="1610"/>
      <c r="I101" s="1820"/>
      <c r="J101" s="1820"/>
      <c r="K101" s="1610"/>
      <c r="L101" s="2901"/>
      <c r="M101" s="1742"/>
      <c r="N101" s="1664"/>
      <c r="O101" s="1664"/>
      <c r="P101" s="1664"/>
      <c r="Q101" s="1664">
        <v>1.07</v>
      </c>
      <c r="R101" s="1664">
        <v>540</v>
      </c>
      <c r="S101" s="1664">
        <f t="shared" si="16"/>
        <v>577.79999999999995</v>
      </c>
      <c r="T101" s="1664">
        <f t="shared" si="17"/>
        <v>0</v>
      </c>
      <c r="U101" s="1664"/>
      <c r="V101" s="1664">
        <f t="shared" si="24"/>
        <v>0</v>
      </c>
      <c r="W101" s="1664">
        <f t="shared" si="18"/>
        <v>612.47</v>
      </c>
      <c r="X101" s="1664">
        <f t="shared" si="19"/>
        <v>0</v>
      </c>
      <c r="Y101" s="1664"/>
      <c r="Z101" s="1664">
        <f t="shared" si="25"/>
        <v>0</v>
      </c>
      <c r="AA101" s="1664">
        <f t="shared" si="20"/>
        <v>643.09</v>
      </c>
      <c r="AB101" s="1664">
        <f t="shared" si="21"/>
        <v>0</v>
      </c>
      <c r="AC101" s="1664"/>
      <c r="AD101" s="1664">
        <f t="shared" si="26"/>
        <v>0</v>
      </c>
    </row>
    <row r="102" spans="1:30">
      <c r="A102" s="2130">
        <v>95</v>
      </c>
      <c r="B102" s="2894" t="s">
        <v>2406</v>
      </c>
      <c r="C102" s="2895" t="s">
        <v>2407</v>
      </c>
      <c r="D102" s="2896" t="s">
        <v>1268</v>
      </c>
      <c r="E102" s="2127">
        <v>4080.2</v>
      </c>
      <c r="F102" s="1820"/>
      <c r="G102" s="2127">
        <f t="shared" si="15"/>
        <v>4080.2</v>
      </c>
      <c r="H102" s="1820"/>
      <c r="I102" s="1820"/>
      <c r="J102" s="1820"/>
      <c r="K102" s="1820"/>
      <c r="L102" s="2901"/>
      <c r="M102" s="1742"/>
      <c r="N102" s="2122"/>
      <c r="O102" s="2122"/>
      <c r="P102" s="1664"/>
      <c r="Q102" s="1664">
        <v>1.07</v>
      </c>
      <c r="R102" s="2122">
        <v>825</v>
      </c>
      <c r="S102" s="1664">
        <f t="shared" si="16"/>
        <v>882.75</v>
      </c>
      <c r="T102" s="1664">
        <f t="shared" si="17"/>
        <v>0</v>
      </c>
      <c r="U102" s="1664"/>
      <c r="V102" s="1664">
        <f t="shared" si="24"/>
        <v>0</v>
      </c>
      <c r="W102" s="1664">
        <f t="shared" si="18"/>
        <v>935.72</v>
      </c>
      <c r="X102" s="1664">
        <f t="shared" si="19"/>
        <v>0</v>
      </c>
      <c r="Y102" s="1664"/>
      <c r="Z102" s="1664">
        <f t="shared" si="25"/>
        <v>0</v>
      </c>
      <c r="AA102" s="1664">
        <f t="shared" si="20"/>
        <v>982.51</v>
      </c>
      <c r="AB102" s="1664">
        <f t="shared" si="21"/>
        <v>0</v>
      </c>
      <c r="AC102" s="1664"/>
      <c r="AD102" s="1664">
        <f t="shared" si="26"/>
        <v>0</v>
      </c>
    </row>
    <row r="103" spans="1:30">
      <c r="A103" s="2130">
        <v>96</v>
      </c>
      <c r="B103" s="2894" t="s">
        <v>2408</v>
      </c>
      <c r="C103" s="2895" t="s">
        <v>2409</v>
      </c>
      <c r="D103" s="2896" t="s">
        <v>1268</v>
      </c>
      <c r="E103" s="2127">
        <v>4080.2</v>
      </c>
      <c r="F103" s="1610"/>
      <c r="G103" s="2127">
        <f t="shared" si="15"/>
        <v>4080.2</v>
      </c>
      <c r="H103" s="1610"/>
      <c r="I103" s="1820"/>
      <c r="J103" s="1820"/>
      <c r="K103" s="1610"/>
      <c r="L103" s="2901"/>
      <c r="M103" s="1742"/>
      <c r="N103" s="1664"/>
      <c r="O103" s="1664">
        <v>5</v>
      </c>
      <c r="P103" s="1664"/>
      <c r="Q103" s="1664">
        <v>1.07</v>
      </c>
      <c r="R103" s="2122">
        <v>2430</v>
      </c>
      <c r="S103" s="1664">
        <f t="shared" si="16"/>
        <v>2600.1</v>
      </c>
      <c r="T103" s="1664">
        <f t="shared" si="17"/>
        <v>0</v>
      </c>
      <c r="U103" s="1664"/>
      <c r="V103" s="1664">
        <f t="shared" si="24"/>
        <v>0</v>
      </c>
      <c r="W103" s="1664">
        <f t="shared" si="18"/>
        <v>2756.11</v>
      </c>
      <c r="X103" s="1664">
        <f t="shared" si="19"/>
        <v>0</v>
      </c>
      <c r="Y103" s="1664"/>
      <c r="Z103" s="1664">
        <f t="shared" si="25"/>
        <v>0</v>
      </c>
      <c r="AA103" s="1664">
        <f t="shared" si="20"/>
        <v>2893.92</v>
      </c>
      <c r="AB103" s="1664">
        <f t="shared" si="21"/>
        <v>0</v>
      </c>
      <c r="AC103" s="1664"/>
      <c r="AD103" s="1664">
        <f t="shared" si="26"/>
        <v>0</v>
      </c>
    </row>
    <row r="104" spans="1:30">
      <c r="A104" s="2130">
        <v>97</v>
      </c>
      <c r="B104" s="2894" t="s">
        <v>1742</v>
      </c>
      <c r="C104" s="2895" t="s">
        <v>2410</v>
      </c>
      <c r="D104" s="2896" t="s">
        <v>1525</v>
      </c>
      <c r="E104" s="2127">
        <v>4080.2</v>
      </c>
      <c r="F104" s="1610"/>
      <c r="G104" s="2127">
        <f t="shared" si="15"/>
        <v>4080.2</v>
      </c>
      <c r="H104" s="1610"/>
      <c r="I104" s="1820"/>
      <c r="J104" s="1820"/>
      <c r="K104" s="1610"/>
      <c r="L104" s="2901"/>
      <c r="M104" s="1742"/>
      <c r="N104" s="1664"/>
      <c r="O104" s="1664">
        <v>3</v>
      </c>
      <c r="P104" s="1664"/>
      <c r="Q104" s="1664">
        <v>1.07</v>
      </c>
      <c r="R104" s="1664">
        <v>5805</v>
      </c>
      <c r="S104" s="1664">
        <f t="shared" si="16"/>
        <v>6211.35</v>
      </c>
      <c r="T104" s="1664">
        <f t="shared" si="17"/>
        <v>0</v>
      </c>
      <c r="U104" s="1664"/>
      <c r="V104" s="1664">
        <f t="shared" si="24"/>
        <v>0</v>
      </c>
      <c r="W104" s="1664">
        <f t="shared" si="18"/>
        <v>6584.03</v>
      </c>
      <c r="X104" s="1664">
        <f t="shared" si="19"/>
        <v>0</v>
      </c>
      <c r="Y104" s="1664"/>
      <c r="Z104" s="1664">
        <f t="shared" si="25"/>
        <v>0</v>
      </c>
      <c r="AA104" s="1664">
        <f t="shared" si="20"/>
        <v>6913.23</v>
      </c>
      <c r="AB104" s="1664">
        <f t="shared" si="21"/>
        <v>0</v>
      </c>
      <c r="AC104" s="1664"/>
      <c r="AD104" s="1664">
        <f t="shared" si="26"/>
        <v>0</v>
      </c>
    </row>
    <row r="105" spans="1:30" ht="25.5">
      <c r="A105" s="2130">
        <v>98</v>
      </c>
      <c r="B105" s="2894" t="s">
        <v>1308</v>
      </c>
      <c r="C105" s="2895" t="s">
        <v>2411</v>
      </c>
      <c r="D105" s="2896" t="s">
        <v>1525</v>
      </c>
      <c r="E105" s="2127">
        <v>4080.2</v>
      </c>
      <c r="F105" s="1820"/>
      <c r="G105" s="2127">
        <f t="shared" si="15"/>
        <v>4080.2</v>
      </c>
      <c r="H105" s="1820"/>
      <c r="I105" s="1820"/>
      <c r="J105" s="1820"/>
      <c r="K105" s="1820"/>
      <c r="L105" s="2901"/>
      <c r="M105" s="1742"/>
      <c r="N105" s="2122"/>
      <c r="O105" s="2122"/>
      <c r="P105" s="1664"/>
      <c r="Q105" s="1664">
        <v>1.07</v>
      </c>
      <c r="R105" s="1664">
        <v>6885</v>
      </c>
      <c r="S105" s="1664">
        <f t="shared" si="16"/>
        <v>7366.95</v>
      </c>
      <c r="T105" s="1664">
        <f t="shared" si="17"/>
        <v>0</v>
      </c>
      <c r="U105" s="1664"/>
      <c r="V105" s="1664">
        <f t="shared" si="24"/>
        <v>0</v>
      </c>
      <c r="W105" s="1664">
        <f t="shared" si="18"/>
        <v>7808.97</v>
      </c>
      <c r="X105" s="1664">
        <f t="shared" si="19"/>
        <v>0</v>
      </c>
      <c r="Y105" s="1664"/>
      <c r="Z105" s="1664">
        <f t="shared" si="25"/>
        <v>0</v>
      </c>
      <c r="AA105" s="1664">
        <f t="shared" si="20"/>
        <v>8199.42</v>
      </c>
      <c r="AB105" s="1664">
        <f t="shared" si="21"/>
        <v>0</v>
      </c>
      <c r="AC105" s="1664"/>
      <c r="AD105" s="1664">
        <f t="shared" si="26"/>
        <v>0</v>
      </c>
    </row>
    <row r="106" spans="1:30" ht="25.5">
      <c r="A106" s="2130">
        <v>99</v>
      </c>
      <c r="B106" s="2894" t="s">
        <v>1585</v>
      </c>
      <c r="C106" s="2900" t="s">
        <v>1586</v>
      </c>
      <c r="D106" s="2896" t="s">
        <v>1587</v>
      </c>
      <c r="E106" s="2127">
        <v>4080.2</v>
      </c>
      <c r="F106" s="1820"/>
      <c r="G106" s="2127">
        <f t="shared" si="15"/>
        <v>4080.2</v>
      </c>
      <c r="H106" s="1820"/>
      <c r="I106" s="1820"/>
      <c r="J106" s="1820"/>
      <c r="K106" s="1820"/>
      <c r="L106" s="2901"/>
      <c r="M106" s="1742"/>
      <c r="N106" s="2122"/>
      <c r="O106" s="2122"/>
      <c r="P106" s="1664"/>
      <c r="Q106" s="1664">
        <v>1.07</v>
      </c>
      <c r="R106" s="1664">
        <v>28635</v>
      </c>
      <c r="S106" s="1664">
        <f t="shared" si="16"/>
        <v>30639.45</v>
      </c>
      <c r="T106" s="1664">
        <f t="shared" si="17"/>
        <v>0</v>
      </c>
      <c r="U106" s="1664"/>
      <c r="V106" s="1664">
        <f t="shared" si="24"/>
        <v>0</v>
      </c>
      <c r="W106" s="1664">
        <f t="shared" si="18"/>
        <v>32477.82</v>
      </c>
      <c r="X106" s="1664">
        <f t="shared" si="19"/>
        <v>0</v>
      </c>
      <c r="Y106" s="1664"/>
      <c r="Z106" s="1664">
        <f t="shared" si="25"/>
        <v>0</v>
      </c>
      <c r="AA106" s="1664">
        <f t="shared" si="20"/>
        <v>34101.71</v>
      </c>
      <c r="AB106" s="1664">
        <f t="shared" si="21"/>
        <v>0</v>
      </c>
      <c r="AC106" s="1664"/>
      <c r="AD106" s="1664">
        <f t="shared" si="26"/>
        <v>0</v>
      </c>
    </row>
    <row r="107" spans="1:30">
      <c r="A107" s="2130">
        <v>100</v>
      </c>
      <c r="B107" s="2894" t="s">
        <v>2412</v>
      </c>
      <c r="C107" s="2895" t="s">
        <v>2413</v>
      </c>
      <c r="D107" s="2896" t="s">
        <v>1268</v>
      </c>
      <c r="E107" s="2127">
        <v>4080.2</v>
      </c>
      <c r="F107" s="1610"/>
      <c r="G107" s="2127">
        <f t="shared" si="15"/>
        <v>4080.2</v>
      </c>
      <c r="H107" s="1610"/>
      <c r="I107" s="1820"/>
      <c r="J107" s="1820"/>
      <c r="K107" s="1610"/>
      <c r="L107" s="2901"/>
      <c r="M107" s="1742"/>
      <c r="N107" s="1664"/>
      <c r="O107" s="1664">
        <v>3</v>
      </c>
      <c r="P107" s="1664"/>
      <c r="Q107" s="1664">
        <v>1.07</v>
      </c>
      <c r="R107" s="1742">
        <v>2430</v>
      </c>
      <c r="S107" s="1664">
        <f t="shared" si="16"/>
        <v>2600.1</v>
      </c>
      <c r="T107" s="1664">
        <f t="shared" si="17"/>
        <v>0</v>
      </c>
      <c r="U107" s="1664"/>
      <c r="V107" s="1664">
        <f t="shared" si="24"/>
        <v>0</v>
      </c>
      <c r="W107" s="1664">
        <f t="shared" si="18"/>
        <v>2756.11</v>
      </c>
      <c r="X107" s="1664">
        <f t="shared" si="19"/>
        <v>0</v>
      </c>
      <c r="Y107" s="1664"/>
      <c r="Z107" s="1664">
        <f t="shared" si="25"/>
        <v>0</v>
      </c>
      <c r="AA107" s="1664">
        <f t="shared" si="20"/>
        <v>2893.92</v>
      </c>
      <c r="AB107" s="1664">
        <f t="shared" si="21"/>
        <v>0</v>
      </c>
      <c r="AC107" s="1664"/>
      <c r="AD107" s="1664">
        <f t="shared" si="26"/>
        <v>0</v>
      </c>
    </row>
    <row r="108" spans="1:30" ht="38.25">
      <c r="A108" s="2130">
        <v>101</v>
      </c>
      <c r="B108" s="2894" t="s">
        <v>2414</v>
      </c>
      <c r="C108" s="2895" t="s">
        <v>2415</v>
      </c>
      <c r="D108" s="2896" t="s">
        <v>1268</v>
      </c>
      <c r="E108" s="2127">
        <v>4080.2</v>
      </c>
      <c r="F108" s="1610"/>
      <c r="G108" s="2127">
        <f t="shared" si="15"/>
        <v>4080.2</v>
      </c>
      <c r="H108" s="1610"/>
      <c r="I108" s="1820"/>
      <c r="J108" s="1820"/>
      <c r="K108" s="1610"/>
      <c r="L108" s="2901"/>
      <c r="M108" s="1742"/>
      <c r="N108" s="1664"/>
      <c r="O108" s="1664">
        <v>5</v>
      </c>
      <c r="P108" s="1664"/>
      <c r="Q108" s="1664">
        <v>1.07</v>
      </c>
      <c r="R108" s="1742">
        <v>1640</v>
      </c>
      <c r="S108" s="1664">
        <f t="shared" si="16"/>
        <v>1754.8</v>
      </c>
      <c r="T108" s="1664">
        <f t="shared" si="17"/>
        <v>0</v>
      </c>
      <c r="U108" s="1664"/>
      <c r="V108" s="1664">
        <f t="shared" si="24"/>
        <v>0</v>
      </c>
      <c r="W108" s="1664">
        <f t="shared" si="18"/>
        <v>1860.09</v>
      </c>
      <c r="X108" s="1664">
        <f t="shared" si="19"/>
        <v>0</v>
      </c>
      <c r="Y108" s="1664"/>
      <c r="Z108" s="1664">
        <f t="shared" si="25"/>
        <v>0</v>
      </c>
      <c r="AA108" s="1664">
        <f t="shared" si="20"/>
        <v>1953.09</v>
      </c>
      <c r="AB108" s="1664">
        <f t="shared" si="21"/>
        <v>0</v>
      </c>
      <c r="AC108" s="1664"/>
      <c r="AD108" s="1664">
        <f t="shared" si="26"/>
        <v>0</v>
      </c>
    </row>
    <row r="109" spans="1:30" ht="25.5">
      <c r="A109" s="2130">
        <v>102</v>
      </c>
      <c r="B109" s="2894" t="s">
        <v>2416</v>
      </c>
      <c r="C109" s="2895" t="s">
        <v>2417</v>
      </c>
      <c r="D109" s="2896" t="s">
        <v>1268</v>
      </c>
      <c r="E109" s="2127">
        <v>4080.2</v>
      </c>
      <c r="F109" s="1820"/>
      <c r="G109" s="2127">
        <f t="shared" si="15"/>
        <v>4080.2</v>
      </c>
      <c r="H109" s="1820"/>
      <c r="I109" s="1820"/>
      <c r="J109" s="1820"/>
      <c r="K109" s="1820"/>
      <c r="L109" s="2901"/>
      <c r="M109" s="1625"/>
      <c r="N109" s="1820"/>
      <c r="O109" s="1820"/>
      <c r="P109" s="1664"/>
      <c r="Q109" s="1664">
        <v>1.07</v>
      </c>
      <c r="R109" s="1820">
        <v>31050</v>
      </c>
      <c r="S109" s="1664">
        <f t="shared" si="16"/>
        <v>33223.5</v>
      </c>
      <c r="T109" s="1664">
        <f t="shared" si="17"/>
        <v>0</v>
      </c>
      <c r="U109" s="1610"/>
      <c r="V109" s="1664">
        <f t="shared" si="24"/>
        <v>0</v>
      </c>
      <c r="W109" s="1664">
        <f t="shared" si="18"/>
        <v>35216.910000000003</v>
      </c>
      <c r="X109" s="1664">
        <f t="shared" si="19"/>
        <v>0</v>
      </c>
      <c r="Y109" s="1610"/>
      <c r="Z109" s="1664">
        <f t="shared" si="25"/>
        <v>0</v>
      </c>
      <c r="AA109" s="1664">
        <f t="shared" si="20"/>
        <v>36977.760000000002</v>
      </c>
      <c r="AB109" s="1664">
        <f t="shared" si="21"/>
        <v>0</v>
      </c>
      <c r="AC109" s="1610"/>
      <c r="AD109" s="1664">
        <f t="shared" si="26"/>
        <v>0</v>
      </c>
    </row>
    <row r="110" spans="1:30">
      <c r="A110" s="2130">
        <v>103</v>
      </c>
      <c r="B110" s="2894" t="s">
        <v>2418</v>
      </c>
      <c r="C110" s="2895" t="s">
        <v>2419</v>
      </c>
      <c r="D110" s="2896" t="s">
        <v>1268</v>
      </c>
      <c r="E110" s="2127">
        <v>4080.2</v>
      </c>
      <c r="F110" s="1610"/>
      <c r="G110" s="2127">
        <f t="shared" si="15"/>
        <v>4080.2</v>
      </c>
      <c r="H110" s="1610"/>
      <c r="I110" s="1610"/>
      <c r="J110" s="1610"/>
      <c r="K110" s="1610"/>
      <c r="L110" s="2901"/>
      <c r="M110" s="1610"/>
      <c r="N110" s="1610"/>
      <c r="O110" s="1610"/>
      <c r="P110" s="1664"/>
      <c r="Q110" s="1664">
        <v>1.07</v>
      </c>
      <c r="R110" s="1610">
        <v>480</v>
      </c>
      <c r="S110" s="1664">
        <f t="shared" si="16"/>
        <v>513.6</v>
      </c>
      <c r="T110" s="1664">
        <f t="shared" si="17"/>
        <v>0</v>
      </c>
      <c r="U110" s="1610"/>
      <c r="V110" s="1664">
        <f t="shared" si="24"/>
        <v>0</v>
      </c>
      <c r="W110" s="1664">
        <f t="shared" si="18"/>
        <v>544.41999999999996</v>
      </c>
      <c r="X110" s="1664">
        <f t="shared" si="19"/>
        <v>0</v>
      </c>
      <c r="Y110" s="1610"/>
      <c r="Z110" s="1664">
        <f t="shared" si="25"/>
        <v>0</v>
      </c>
      <c r="AA110" s="1664">
        <f t="shared" si="20"/>
        <v>571.64</v>
      </c>
      <c r="AB110" s="1664">
        <f t="shared" si="21"/>
        <v>0</v>
      </c>
      <c r="AC110" s="1610"/>
      <c r="AD110" s="1664">
        <f t="shared" si="26"/>
        <v>0</v>
      </c>
    </row>
    <row r="111" spans="1:30">
      <c r="A111" s="2130">
        <v>104</v>
      </c>
      <c r="B111" s="2894" t="s">
        <v>2420</v>
      </c>
      <c r="C111" s="2895" t="s">
        <v>2421</v>
      </c>
      <c r="D111" s="2896" t="s">
        <v>1268</v>
      </c>
      <c r="E111" s="2127">
        <v>4080.2</v>
      </c>
      <c r="F111" s="1610"/>
      <c r="G111" s="2127">
        <f t="shared" si="15"/>
        <v>4080.2</v>
      </c>
      <c r="H111" s="1610"/>
      <c r="I111" s="1610"/>
      <c r="J111" s="1610"/>
      <c r="K111" s="1610"/>
      <c r="L111" s="2901"/>
      <c r="M111" s="1610"/>
      <c r="N111" s="1610"/>
      <c r="O111" s="1610"/>
      <c r="P111" s="1664"/>
      <c r="Q111" s="1664">
        <v>1.07</v>
      </c>
      <c r="R111" s="1610">
        <v>6075</v>
      </c>
      <c r="S111" s="1664">
        <f t="shared" si="16"/>
        <v>6500.25</v>
      </c>
      <c r="T111" s="1664">
        <f t="shared" si="17"/>
        <v>0</v>
      </c>
      <c r="U111" s="1610"/>
      <c r="V111" s="1664">
        <f t="shared" si="24"/>
        <v>0</v>
      </c>
      <c r="W111" s="1664">
        <f t="shared" si="18"/>
        <v>6890.27</v>
      </c>
      <c r="X111" s="1664">
        <f t="shared" si="19"/>
        <v>0</v>
      </c>
      <c r="Y111" s="1610"/>
      <c r="Z111" s="1664">
        <f t="shared" si="25"/>
        <v>0</v>
      </c>
      <c r="AA111" s="1664">
        <f t="shared" si="20"/>
        <v>7234.78</v>
      </c>
      <c r="AB111" s="1664">
        <f t="shared" si="21"/>
        <v>0</v>
      </c>
      <c r="AC111" s="1610"/>
      <c r="AD111" s="1664">
        <f t="shared" si="26"/>
        <v>0</v>
      </c>
    </row>
    <row r="112" spans="1:30">
      <c r="A112" s="2130">
        <v>105</v>
      </c>
      <c r="B112" s="2894" t="s">
        <v>2422</v>
      </c>
      <c r="C112" s="2895" t="s">
        <v>1512</v>
      </c>
      <c r="D112" s="2896" t="s">
        <v>1268</v>
      </c>
      <c r="E112" s="2127">
        <v>4080.2</v>
      </c>
      <c r="F112" s="1610"/>
      <c r="G112" s="2127">
        <f t="shared" si="15"/>
        <v>4080.2</v>
      </c>
      <c r="H112" s="1610"/>
      <c r="I112" s="1610"/>
      <c r="J112" s="1610"/>
      <c r="K112" s="1610"/>
      <c r="L112" s="2901"/>
      <c r="M112" s="1610"/>
      <c r="N112" s="1610"/>
      <c r="O112" s="1610"/>
      <c r="P112" s="1664"/>
      <c r="Q112" s="1664">
        <v>1.07</v>
      </c>
      <c r="R112" s="1610">
        <v>4185</v>
      </c>
      <c r="S112" s="1664">
        <f t="shared" si="16"/>
        <v>4477.95</v>
      </c>
      <c r="T112" s="1664">
        <f t="shared" si="17"/>
        <v>0</v>
      </c>
      <c r="U112" s="1610"/>
      <c r="V112" s="1664">
        <f t="shared" si="24"/>
        <v>0</v>
      </c>
      <c r="W112" s="1664">
        <f t="shared" si="18"/>
        <v>4746.63</v>
      </c>
      <c r="X112" s="1664">
        <f t="shared" si="19"/>
        <v>0</v>
      </c>
      <c r="Y112" s="1610"/>
      <c r="Z112" s="1664">
        <f t="shared" si="25"/>
        <v>0</v>
      </c>
      <c r="AA112" s="1664">
        <f t="shared" si="20"/>
        <v>4983.96</v>
      </c>
      <c r="AB112" s="1664">
        <f t="shared" si="21"/>
        <v>0</v>
      </c>
      <c r="AC112" s="1610"/>
      <c r="AD112" s="1664">
        <f t="shared" si="26"/>
        <v>0</v>
      </c>
    </row>
    <row r="113" spans="1:30">
      <c r="A113" s="2130">
        <v>106</v>
      </c>
      <c r="B113" s="2894" t="s">
        <v>2423</v>
      </c>
      <c r="C113" s="2895" t="s">
        <v>2424</v>
      </c>
      <c r="D113" s="2896" t="s">
        <v>1268</v>
      </c>
      <c r="E113" s="2127">
        <v>4080.2</v>
      </c>
      <c r="F113" s="1610"/>
      <c r="G113" s="2127">
        <f t="shared" si="15"/>
        <v>4080.2</v>
      </c>
      <c r="H113" s="1610"/>
      <c r="I113" s="1610"/>
      <c r="J113" s="1610"/>
      <c r="K113" s="1610"/>
      <c r="L113" s="2901"/>
      <c r="M113" s="1610"/>
      <c r="N113" s="1610"/>
      <c r="O113" s="1610"/>
      <c r="P113" s="1664"/>
      <c r="Q113" s="1664">
        <v>1.07</v>
      </c>
      <c r="R113" s="1610">
        <v>1620</v>
      </c>
      <c r="S113" s="1664">
        <f t="shared" si="16"/>
        <v>1733.4</v>
      </c>
      <c r="T113" s="1664">
        <f t="shared" si="17"/>
        <v>0</v>
      </c>
      <c r="U113" s="1610"/>
      <c r="V113" s="1664">
        <f t="shared" si="24"/>
        <v>0</v>
      </c>
      <c r="W113" s="1664">
        <f t="shared" si="18"/>
        <v>1837.4</v>
      </c>
      <c r="X113" s="1664">
        <f t="shared" si="19"/>
        <v>0</v>
      </c>
      <c r="Y113" s="1610"/>
      <c r="Z113" s="1664">
        <f t="shared" si="25"/>
        <v>0</v>
      </c>
      <c r="AA113" s="1664">
        <f t="shared" si="20"/>
        <v>1929.27</v>
      </c>
      <c r="AB113" s="1664">
        <f t="shared" si="21"/>
        <v>0</v>
      </c>
      <c r="AC113" s="1610"/>
      <c r="AD113" s="1664">
        <f t="shared" si="26"/>
        <v>0</v>
      </c>
    </row>
    <row r="114" spans="1:30" ht="25.5">
      <c r="A114" s="2130">
        <v>107</v>
      </c>
      <c r="B114" s="2894" t="s">
        <v>2425</v>
      </c>
      <c r="C114" s="2895" t="s">
        <v>2426</v>
      </c>
      <c r="D114" s="2896" t="s">
        <v>1268</v>
      </c>
      <c r="E114" s="2127">
        <v>4080.2</v>
      </c>
      <c r="F114" s="1610"/>
      <c r="G114" s="2127">
        <f t="shared" si="15"/>
        <v>4080.2</v>
      </c>
      <c r="H114" s="1610"/>
      <c r="I114" s="1610"/>
      <c r="J114" s="1610"/>
      <c r="K114" s="1610"/>
      <c r="L114" s="2901"/>
      <c r="M114" s="1610"/>
      <c r="N114" s="1610"/>
      <c r="O114" s="1610"/>
      <c r="P114" s="1664"/>
      <c r="Q114" s="1664">
        <v>1.07</v>
      </c>
      <c r="R114" s="1610">
        <v>7020</v>
      </c>
      <c r="S114" s="1664">
        <f t="shared" si="16"/>
        <v>7511.4</v>
      </c>
      <c r="T114" s="1664">
        <f t="shared" si="17"/>
        <v>0</v>
      </c>
      <c r="U114" s="1610"/>
      <c r="V114" s="1664">
        <f t="shared" si="24"/>
        <v>0</v>
      </c>
      <c r="W114" s="1664">
        <f t="shared" si="18"/>
        <v>7962.08</v>
      </c>
      <c r="X114" s="1664">
        <f t="shared" si="19"/>
        <v>0</v>
      </c>
      <c r="Y114" s="1610"/>
      <c r="Z114" s="1664">
        <f t="shared" si="25"/>
        <v>0</v>
      </c>
      <c r="AA114" s="1664">
        <f t="shared" si="20"/>
        <v>8360.18</v>
      </c>
      <c r="AB114" s="1664">
        <f t="shared" si="21"/>
        <v>0</v>
      </c>
      <c r="AC114" s="1610"/>
      <c r="AD114" s="1664">
        <f t="shared" si="26"/>
        <v>0</v>
      </c>
    </row>
    <row r="115" spans="1:30" ht="102">
      <c r="A115" s="2130">
        <v>108</v>
      </c>
      <c r="B115" s="2894" t="s">
        <v>1444</v>
      </c>
      <c r="C115" s="2895" t="s">
        <v>2427</v>
      </c>
      <c r="D115" s="2896" t="s">
        <v>1218</v>
      </c>
      <c r="E115" s="2127">
        <v>4080.2</v>
      </c>
      <c r="F115" s="1610"/>
      <c r="G115" s="2127">
        <f t="shared" si="15"/>
        <v>4080.2</v>
      </c>
      <c r="H115" s="1610"/>
      <c r="I115" s="1610"/>
      <c r="J115" s="1610"/>
      <c r="K115" s="1610"/>
      <c r="L115" s="2901"/>
      <c r="M115" s="1610"/>
      <c r="N115" s="1610"/>
      <c r="O115" s="1610"/>
      <c r="P115" s="1664"/>
      <c r="Q115" s="1664">
        <v>1.07</v>
      </c>
      <c r="R115" s="1610">
        <v>1107</v>
      </c>
      <c r="S115" s="1664">
        <f t="shared" si="16"/>
        <v>1184.49</v>
      </c>
      <c r="T115" s="1664">
        <f t="shared" si="17"/>
        <v>0</v>
      </c>
      <c r="U115" s="1610"/>
      <c r="V115" s="1664">
        <f t="shared" si="24"/>
        <v>0</v>
      </c>
      <c r="W115" s="1664">
        <f t="shared" si="18"/>
        <v>1255.56</v>
      </c>
      <c r="X115" s="1664">
        <f t="shared" si="19"/>
        <v>0</v>
      </c>
      <c r="Y115" s="1610"/>
      <c r="Z115" s="1664">
        <f t="shared" si="25"/>
        <v>0</v>
      </c>
      <c r="AA115" s="1664">
        <f t="shared" si="20"/>
        <v>1318.34</v>
      </c>
      <c r="AB115" s="1664">
        <f t="shared" si="21"/>
        <v>0</v>
      </c>
      <c r="AC115" s="1610"/>
      <c r="AD115" s="1664">
        <f t="shared" si="26"/>
        <v>0</v>
      </c>
    </row>
    <row r="116" spans="1:30">
      <c r="A116" s="2130">
        <v>109</v>
      </c>
      <c r="B116" s="2894" t="s">
        <v>2428</v>
      </c>
      <c r="C116" s="2895" t="s">
        <v>2429</v>
      </c>
      <c r="D116" s="2896" t="s">
        <v>1218</v>
      </c>
      <c r="E116" s="2127">
        <v>4080.2</v>
      </c>
      <c r="F116" s="1610"/>
      <c r="G116" s="2127">
        <f t="shared" si="15"/>
        <v>4080.2</v>
      </c>
      <c r="H116" s="1610"/>
      <c r="I116" s="1610"/>
      <c r="J116" s="1610"/>
      <c r="K116" s="1610"/>
      <c r="L116" s="2901"/>
      <c r="M116" s="1610"/>
      <c r="N116" s="1610"/>
      <c r="O116" s="1610"/>
      <c r="P116" s="1664"/>
      <c r="Q116" s="1664">
        <v>1.07</v>
      </c>
      <c r="R116" s="1610">
        <v>555</v>
      </c>
      <c r="S116" s="1664">
        <f t="shared" si="16"/>
        <v>593.85</v>
      </c>
      <c r="T116" s="1664">
        <f t="shared" si="17"/>
        <v>0</v>
      </c>
      <c r="U116" s="1610"/>
      <c r="V116" s="1664">
        <f t="shared" si="24"/>
        <v>0</v>
      </c>
      <c r="W116" s="1664">
        <f t="shared" si="18"/>
        <v>629.48</v>
      </c>
      <c r="X116" s="1664">
        <f t="shared" si="19"/>
        <v>0</v>
      </c>
      <c r="Y116" s="1610"/>
      <c r="Z116" s="1664">
        <f t="shared" si="25"/>
        <v>0</v>
      </c>
      <c r="AA116" s="1664">
        <f t="shared" si="20"/>
        <v>660.95</v>
      </c>
      <c r="AB116" s="1664">
        <f t="shared" si="21"/>
        <v>0</v>
      </c>
      <c r="AC116" s="1610"/>
      <c r="AD116" s="1664">
        <f t="shared" si="26"/>
        <v>0</v>
      </c>
    </row>
    <row r="117" spans="1:30">
      <c r="A117" s="2130">
        <v>110</v>
      </c>
      <c r="B117" s="2894" t="s">
        <v>2430</v>
      </c>
      <c r="C117" s="2895" t="s">
        <v>2431</v>
      </c>
      <c r="D117" s="2896" t="s">
        <v>1268</v>
      </c>
      <c r="E117" s="2127">
        <v>4080.2</v>
      </c>
      <c r="F117" s="1610"/>
      <c r="G117" s="2127">
        <f t="shared" si="15"/>
        <v>4080.2</v>
      </c>
      <c r="H117" s="1610"/>
      <c r="I117" s="1610"/>
      <c r="J117" s="1610"/>
      <c r="K117" s="1610"/>
      <c r="L117" s="2901"/>
      <c r="M117" s="1610"/>
      <c r="N117" s="1610"/>
      <c r="O117" s="1610"/>
      <c r="P117" s="1664"/>
      <c r="Q117" s="1664">
        <v>1.07</v>
      </c>
      <c r="R117" s="1610">
        <v>1377</v>
      </c>
      <c r="S117" s="1664">
        <f t="shared" si="16"/>
        <v>1473.39</v>
      </c>
      <c r="T117" s="1664">
        <f t="shared" si="17"/>
        <v>0</v>
      </c>
      <c r="U117" s="1610"/>
      <c r="V117" s="1664">
        <f t="shared" si="24"/>
        <v>0</v>
      </c>
      <c r="W117" s="1664">
        <f t="shared" si="18"/>
        <v>1561.79</v>
      </c>
      <c r="X117" s="1664">
        <f t="shared" si="19"/>
        <v>0</v>
      </c>
      <c r="Y117" s="1610"/>
      <c r="Z117" s="1664">
        <f t="shared" si="25"/>
        <v>0</v>
      </c>
      <c r="AA117" s="1664">
        <f t="shared" si="20"/>
        <v>1639.88</v>
      </c>
      <c r="AB117" s="1664">
        <f t="shared" si="21"/>
        <v>0</v>
      </c>
      <c r="AC117" s="1610"/>
      <c r="AD117" s="1664">
        <f t="shared" si="26"/>
        <v>0</v>
      </c>
    </row>
    <row r="118" spans="1:30">
      <c r="A118" s="2130">
        <v>111</v>
      </c>
      <c r="B118" s="2894" t="s">
        <v>2432</v>
      </c>
      <c r="C118" s="2895" t="s">
        <v>2433</v>
      </c>
      <c r="D118" s="2896" t="s">
        <v>1268</v>
      </c>
      <c r="E118" s="2127">
        <v>4080.2</v>
      </c>
      <c r="F118" s="1610"/>
      <c r="G118" s="2127">
        <f t="shared" si="15"/>
        <v>4080.2</v>
      </c>
      <c r="H118" s="1610"/>
      <c r="I118" s="1610"/>
      <c r="J118" s="1610"/>
      <c r="K118" s="1610"/>
      <c r="L118" s="2901"/>
      <c r="M118" s="1610"/>
      <c r="N118" s="1610"/>
      <c r="O118" s="1610"/>
      <c r="P118" s="1664"/>
      <c r="Q118" s="1664">
        <v>1.07</v>
      </c>
      <c r="R118" s="1610">
        <v>990</v>
      </c>
      <c r="S118" s="1664">
        <f t="shared" si="16"/>
        <v>1059.3</v>
      </c>
      <c r="T118" s="1664">
        <f t="shared" si="17"/>
        <v>0</v>
      </c>
      <c r="U118" s="1610"/>
      <c r="V118" s="1664">
        <f t="shared" si="24"/>
        <v>0</v>
      </c>
      <c r="W118" s="1664">
        <f t="shared" si="18"/>
        <v>1122.8599999999999</v>
      </c>
      <c r="X118" s="1664">
        <f t="shared" si="19"/>
        <v>0</v>
      </c>
      <c r="Y118" s="1610"/>
      <c r="Z118" s="1664">
        <f t="shared" si="25"/>
        <v>0</v>
      </c>
      <c r="AA118" s="1664">
        <f t="shared" si="20"/>
        <v>1179</v>
      </c>
      <c r="AB118" s="1664">
        <f t="shared" si="21"/>
        <v>0</v>
      </c>
      <c r="AC118" s="1610"/>
      <c r="AD118" s="1664">
        <f t="shared" si="26"/>
        <v>0</v>
      </c>
    </row>
    <row r="119" spans="1:30">
      <c r="A119" s="2130">
        <v>112</v>
      </c>
      <c r="B119" s="2894" t="s">
        <v>2432</v>
      </c>
      <c r="C119" s="2895" t="s">
        <v>2434</v>
      </c>
      <c r="D119" s="2896" t="s">
        <v>1268</v>
      </c>
      <c r="E119" s="2127">
        <v>4080.2</v>
      </c>
      <c r="F119" s="1610"/>
      <c r="G119" s="2127">
        <f t="shared" si="15"/>
        <v>4080.2</v>
      </c>
      <c r="H119" s="1610"/>
      <c r="I119" s="1610"/>
      <c r="J119" s="1610"/>
      <c r="K119" s="1610"/>
      <c r="L119" s="2901"/>
      <c r="M119" s="1610"/>
      <c r="N119" s="1610"/>
      <c r="O119" s="1610"/>
      <c r="P119" s="1664"/>
      <c r="Q119" s="1664">
        <v>1.07</v>
      </c>
      <c r="R119" s="1610">
        <v>1296</v>
      </c>
      <c r="S119" s="1664">
        <f t="shared" si="16"/>
        <v>1386.72</v>
      </c>
      <c r="T119" s="1664">
        <f t="shared" si="17"/>
        <v>0</v>
      </c>
      <c r="U119" s="1610"/>
      <c r="V119" s="1664">
        <f t="shared" si="24"/>
        <v>0</v>
      </c>
      <c r="W119" s="1664">
        <f t="shared" si="18"/>
        <v>1469.92</v>
      </c>
      <c r="X119" s="1664">
        <f t="shared" si="19"/>
        <v>0</v>
      </c>
      <c r="Y119" s="1610"/>
      <c r="Z119" s="1664">
        <f t="shared" si="25"/>
        <v>0</v>
      </c>
      <c r="AA119" s="1664">
        <f t="shared" si="20"/>
        <v>1543.42</v>
      </c>
      <c r="AB119" s="1664">
        <f t="shared" si="21"/>
        <v>0</v>
      </c>
      <c r="AC119" s="1610"/>
      <c r="AD119" s="1664">
        <f t="shared" si="26"/>
        <v>0</v>
      </c>
    </row>
    <row r="120" spans="1:30">
      <c r="A120" s="2130">
        <v>113</v>
      </c>
      <c r="B120" s="2894" t="s">
        <v>2435</v>
      </c>
      <c r="C120" s="2895" t="s">
        <v>2436</v>
      </c>
      <c r="D120" s="2896" t="s">
        <v>1268</v>
      </c>
      <c r="E120" s="2127">
        <v>4080.2</v>
      </c>
      <c r="F120" s="1610"/>
      <c r="G120" s="2127">
        <f t="shared" si="15"/>
        <v>4080.2</v>
      </c>
      <c r="H120" s="1610"/>
      <c r="I120" s="1610"/>
      <c r="J120" s="1610"/>
      <c r="K120" s="1610"/>
      <c r="L120" s="2901"/>
      <c r="M120" s="1610"/>
      <c r="N120" s="1610"/>
      <c r="O120" s="1610">
        <f>L120</f>
        <v>0</v>
      </c>
      <c r="P120" s="1664"/>
      <c r="Q120" s="1664">
        <v>1.07</v>
      </c>
      <c r="R120" s="1610">
        <v>19</v>
      </c>
      <c r="S120" s="1664">
        <f t="shared" si="16"/>
        <v>20.329999999999998</v>
      </c>
      <c r="T120" s="1664">
        <f t="shared" si="17"/>
        <v>0</v>
      </c>
      <c r="U120" s="1610"/>
      <c r="V120" s="1664">
        <f t="shared" si="24"/>
        <v>0</v>
      </c>
      <c r="W120" s="1664">
        <f t="shared" si="18"/>
        <v>21.55</v>
      </c>
      <c r="X120" s="1664">
        <f t="shared" si="19"/>
        <v>0</v>
      </c>
      <c r="Y120" s="1610"/>
      <c r="Z120" s="1664">
        <f t="shared" si="25"/>
        <v>0</v>
      </c>
      <c r="AA120" s="1664">
        <f t="shared" si="20"/>
        <v>22.63</v>
      </c>
      <c r="AB120" s="1664">
        <f t="shared" si="21"/>
        <v>0</v>
      </c>
      <c r="AC120" s="1610"/>
      <c r="AD120" s="1664">
        <f t="shared" si="26"/>
        <v>0</v>
      </c>
    </row>
    <row r="121" spans="1:30">
      <c r="A121" s="2130">
        <v>114</v>
      </c>
      <c r="B121" s="2894" t="s">
        <v>2435</v>
      </c>
      <c r="C121" s="2895" t="s">
        <v>2437</v>
      </c>
      <c r="D121" s="2896" t="s">
        <v>1268</v>
      </c>
      <c r="E121" s="2127">
        <v>4080.2</v>
      </c>
      <c r="F121" s="1610"/>
      <c r="G121" s="2127">
        <f t="shared" si="15"/>
        <v>4080.2</v>
      </c>
      <c r="H121" s="1610"/>
      <c r="I121" s="1610"/>
      <c r="J121" s="1610"/>
      <c r="K121" s="1610"/>
      <c r="L121" s="2901"/>
      <c r="M121" s="1610"/>
      <c r="N121" s="1610"/>
      <c r="O121" s="1610">
        <f t="shared" ref="O121:O128" si="27">L121</f>
        <v>0</v>
      </c>
      <c r="P121" s="1664"/>
      <c r="Q121" s="1664">
        <v>1.07</v>
      </c>
      <c r="R121" s="1610">
        <v>26</v>
      </c>
      <c r="S121" s="1664">
        <f t="shared" si="16"/>
        <v>27.82</v>
      </c>
      <c r="T121" s="1664">
        <f t="shared" si="17"/>
        <v>0</v>
      </c>
      <c r="U121" s="1610"/>
      <c r="V121" s="1664">
        <f t="shared" si="24"/>
        <v>0</v>
      </c>
      <c r="W121" s="1664">
        <f t="shared" si="18"/>
        <v>29.49</v>
      </c>
      <c r="X121" s="1664">
        <f t="shared" si="19"/>
        <v>0</v>
      </c>
      <c r="Y121" s="1610"/>
      <c r="Z121" s="1664">
        <f t="shared" si="25"/>
        <v>0</v>
      </c>
      <c r="AA121" s="1664">
        <f t="shared" si="20"/>
        <v>30.96</v>
      </c>
      <c r="AB121" s="1664">
        <f t="shared" si="21"/>
        <v>0</v>
      </c>
      <c r="AC121" s="1610"/>
      <c r="AD121" s="1664">
        <f t="shared" si="26"/>
        <v>0</v>
      </c>
    </row>
    <row r="122" spans="1:30">
      <c r="A122" s="2130">
        <v>115</v>
      </c>
      <c r="B122" s="2894" t="s">
        <v>2435</v>
      </c>
      <c r="C122" s="2895" t="s">
        <v>2438</v>
      </c>
      <c r="D122" s="2896" t="s">
        <v>1268</v>
      </c>
      <c r="E122" s="2127">
        <v>4080.2</v>
      </c>
      <c r="F122" s="1610"/>
      <c r="G122" s="2127">
        <f t="shared" ref="G122:G180" si="28">E122</f>
        <v>4080.2</v>
      </c>
      <c r="H122" s="1610"/>
      <c r="I122" s="1610"/>
      <c r="J122" s="1610"/>
      <c r="K122" s="1610"/>
      <c r="L122" s="2901"/>
      <c r="M122" s="1610"/>
      <c r="N122" s="1610"/>
      <c r="O122" s="1610">
        <f t="shared" si="27"/>
        <v>0</v>
      </c>
      <c r="P122" s="1664"/>
      <c r="Q122" s="1664">
        <v>1.07</v>
      </c>
      <c r="R122" s="1610">
        <v>31</v>
      </c>
      <c r="S122" s="1664">
        <f t="shared" si="16"/>
        <v>33.17</v>
      </c>
      <c r="T122" s="1664">
        <f t="shared" si="17"/>
        <v>0</v>
      </c>
      <c r="U122" s="1610"/>
      <c r="V122" s="1664">
        <f t="shared" si="24"/>
        <v>0</v>
      </c>
      <c r="W122" s="1664">
        <f t="shared" si="18"/>
        <v>35.159999999999997</v>
      </c>
      <c r="X122" s="1664">
        <f t="shared" si="19"/>
        <v>0</v>
      </c>
      <c r="Y122" s="1610"/>
      <c r="Z122" s="1664">
        <f t="shared" si="25"/>
        <v>0</v>
      </c>
      <c r="AA122" s="1664">
        <f t="shared" si="20"/>
        <v>36.92</v>
      </c>
      <c r="AB122" s="1664">
        <f t="shared" si="21"/>
        <v>0</v>
      </c>
      <c r="AC122" s="1610"/>
      <c r="AD122" s="1664">
        <f t="shared" si="26"/>
        <v>0</v>
      </c>
    </row>
    <row r="123" spans="1:30">
      <c r="A123" s="2130">
        <v>116</v>
      </c>
      <c r="B123" s="2894" t="s">
        <v>2435</v>
      </c>
      <c r="C123" s="2895" t="s">
        <v>2439</v>
      </c>
      <c r="D123" s="2896" t="s">
        <v>1268</v>
      </c>
      <c r="E123" s="2127">
        <v>4080.2</v>
      </c>
      <c r="F123" s="1610"/>
      <c r="G123" s="2127">
        <f t="shared" si="28"/>
        <v>4080.2</v>
      </c>
      <c r="H123" s="1610"/>
      <c r="I123" s="1610"/>
      <c r="J123" s="1610"/>
      <c r="K123" s="1610"/>
      <c r="L123" s="2901"/>
      <c r="M123" s="1610"/>
      <c r="N123" s="1610"/>
      <c r="O123" s="1610">
        <f t="shared" si="27"/>
        <v>0</v>
      </c>
      <c r="P123" s="1664"/>
      <c r="Q123" s="1664">
        <v>1.07</v>
      </c>
      <c r="R123" s="1610">
        <v>38</v>
      </c>
      <c r="S123" s="1664">
        <f t="shared" si="16"/>
        <v>40.659999999999997</v>
      </c>
      <c r="T123" s="1664">
        <f t="shared" si="17"/>
        <v>0</v>
      </c>
      <c r="U123" s="1610"/>
      <c r="V123" s="1664">
        <f t="shared" si="24"/>
        <v>0</v>
      </c>
      <c r="W123" s="1664">
        <f t="shared" si="18"/>
        <v>43.1</v>
      </c>
      <c r="X123" s="1664">
        <f t="shared" si="19"/>
        <v>0</v>
      </c>
      <c r="Y123" s="1610"/>
      <c r="Z123" s="1664">
        <f t="shared" si="25"/>
        <v>0</v>
      </c>
      <c r="AA123" s="1664">
        <f t="shared" si="20"/>
        <v>45.26</v>
      </c>
      <c r="AB123" s="1664">
        <f t="shared" si="21"/>
        <v>0</v>
      </c>
      <c r="AC123" s="1610"/>
      <c r="AD123" s="1664">
        <f t="shared" si="26"/>
        <v>0</v>
      </c>
    </row>
    <row r="124" spans="1:30">
      <c r="A124" s="2130">
        <v>117</v>
      </c>
      <c r="B124" s="2894" t="s">
        <v>2435</v>
      </c>
      <c r="C124" s="2895" t="s">
        <v>2440</v>
      </c>
      <c r="D124" s="2896" t="s">
        <v>1268</v>
      </c>
      <c r="E124" s="2127">
        <v>4080.2</v>
      </c>
      <c r="F124" s="1610"/>
      <c r="G124" s="2127">
        <f t="shared" si="28"/>
        <v>4080.2</v>
      </c>
      <c r="H124" s="1610"/>
      <c r="I124" s="1610"/>
      <c r="J124" s="1610"/>
      <c r="K124" s="1610"/>
      <c r="L124" s="2901"/>
      <c r="M124" s="1610"/>
      <c r="N124" s="1610"/>
      <c r="O124" s="1610">
        <f t="shared" si="27"/>
        <v>0</v>
      </c>
      <c r="P124" s="1664"/>
      <c r="Q124" s="1664">
        <v>1.07</v>
      </c>
      <c r="R124" s="1610">
        <v>58</v>
      </c>
      <c r="S124" s="1664">
        <f t="shared" si="16"/>
        <v>62.06</v>
      </c>
      <c r="T124" s="1664">
        <f t="shared" si="17"/>
        <v>0</v>
      </c>
      <c r="U124" s="1610"/>
      <c r="V124" s="1664">
        <f t="shared" si="24"/>
        <v>0</v>
      </c>
      <c r="W124" s="1664">
        <f t="shared" si="18"/>
        <v>65.78</v>
      </c>
      <c r="X124" s="1664">
        <f t="shared" si="19"/>
        <v>0</v>
      </c>
      <c r="Y124" s="1610"/>
      <c r="Z124" s="1664">
        <f t="shared" si="25"/>
        <v>0</v>
      </c>
      <c r="AA124" s="1664">
        <f t="shared" si="20"/>
        <v>69.069999999999993</v>
      </c>
      <c r="AB124" s="1664">
        <f t="shared" si="21"/>
        <v>0</v>
      </c>
      <c r="AC124" s="1610"/>
      <c r="AD124" s="1664">
        <f t="shared" si="26"/>
        <v>0</v>
      </c>
    </row>
    <row r="125" spans="1:30">
      <c r="A125" s="2130">
        <v>118</v>
      </c>
      <c r="B125" s="2894" t="s">
        <v>2435</v>
      </c>
      <c r="C125" s="2895" t="s">
        <v>2441</v>
      </c>
      <c r="D125" s="2896" t="s">
        <v>1268</v>
      </c>
      <c r="E125" s="2127">
        <v>4080.2</v>
      </c>
      <c r="F125" s="1610"/>
      <c r="G125" s="2127">
        <f t="shared" si="28"/>
        <v>4080.2</v>
      </c>
      <c r="H125" s="1610"/>
      <c r="I125" s="1610"/>
      <c r="J125" s="1610"/>
      <c r="K125" s="1610"/>
      <c r="L125" s="2901"/>
      <c r="M125" s="1610"/>
      <c r="N125" s="1610"/>
      <c r="O125" s="1610">
        <f t="shared" si="27"/>
        <v>0</v>
      </c>
      <c r="P125" s="1664"/>
      <c r="Q125" s="1664">
        <v>1.07</v>
      </c>
      <c r="R125" s="1610">
        <v>17</v>
      </c>
      <c r="S125" s="1664">
        <f t="shared" si="16"/>
        <v>18.190000000000001</v>
      </c>
      <c r="T125" s="1664">
        <f t="shared" si="17"/>
        <v>0</v>
      </c>
      <c r="U125" s="1610"/>
      <c r="V125" s="1664">
        <f t="shared" si="24"/>
        <v>0</v>
      </c>
      <c r="W125" s="1664">
        <f t="shared" si="18"/>
        <v>19.28</v>
      </c>
      <c r="X125" s="1664">
        <f t="shared" si="19"/>
        <v>0</v>
      </c>
      <c r="Y125" s="1610"/>
      <c r="Z125" s="1664">
        <f t="shared" si="25"/>
        <v>0</v>
      </c>
      <c r="AA125" s="1664">
        <f t="shared" si="20"/>
        <v>20.239999999999998</v>
      </c>
      <c r="AB125" s="1664">
        <f t="shared" si="21"/>
        <v>0</v>
      </c>
      <c r="AC125" s="1610"/>
      <c r="AD125" s="1664">
        <f t="shared" si="26"/>
        <v>0</v>
      </c>
    </row>
    <row r="126" spans="1:30">
      <c r="A126" s="2130">
        <v>119</v>
      </c>
      <c r="B126" s="2894" t="s">
        <v>2435</v>
      </c>
      <c r="C126" s="2895" t="s">
        <v>2442</v>
      </c>
      <c r="D126" s="2896" t="s">
        <v>1268</v>
      </c>
      <c r="E126" s="2127">
        <v>4080.2</v>
      </c>
      <c r="F126" s="1610"/>
      <c r="G126" s="2127">
        <f t="shared" si="28"/>
        <v>4080.2</v>
      </c>
      <c r="H126" s="1610"/>
      <c r="I126" s="1610"/>
      <c r="J126" s="1610"/>
      <c r="K126" s="1610"/>
      <c r="L126" s="2901"/>
      <c r="M126" s="1610"/>
      <c r="N126" s="1610"/>
      <c r="O126" s="1610">
        <f t="shared" si="27"/>
        <v>0</v>
      </c>
      <c r="P126" s="1664"/>
      <c r="Q126" s="1664">
        <v>1.07</v>
      </c>
      <c r="R126" s="1610">
        <v>44</v>
      </c>
      <c r="S126" s="1664">
        <f t="shared" si="16"/>
        <v>47.08</v>
      </c>
      <c r="T126" s="1664">
        <f t="shared" si="17"/>
        <v>0</v>
      </c>
      <c r="U126" s="1610"/>
      <c r="V126" s="1664">
        <f t="shared" si="24"/>
        <v>0</v>
      </c>
      <c r="W126" s="1664">
        <f t="shared" si="18"/>
        <v>49.9</v>
      </c>
      <c r="X126" s="1664">
        <f t="shared" si="19"/>
        <v>0</v>
      </c>
      <c r="Y126" s="1610"/>
      <c r="Z126" s="1664">
        <f t="shared" si="25"/>
        <v>0</v>
      </c>
      <c r="AA126" s="1664">
        <f t="shared" si="20"/>
        <v>52.4</v>
      </c>
      <c r="AB126" s="1664">
        <f t="shared" si="21"/>
        <v>0</v>
      </c>
      <c r="AC126" s="1610"/>
      <c r="AD126" s="1664">
        <f t="shared" si="26"/>
        <v>0</v>
      </c>
    </row>
    <row r="127" spans="1:30">
      <c r="A127" s="2130">
        <v>120</v>
      </c>
      <c r="B127" s="2894" t="s">
        <v>2435</v>
      </c>
      <c r="C127" s="2895" t="s">
        <v>2443</v>
      </c>
      <c r="D127" s="2896" t="s">
        <v>1268</v>
      </c>
      <c r="E127" s="2127">
        <v>4080.2</v>
      </c>
      <c r="F127" s="1610"/>
      <c r="G127" s="2127">
        <f t="shared" si="28"/>
        <v>4080.2</v>
      </c>
      <c r="H127" s="1610"/>
      <c r="I127" s="1610"/>
      <c r="J127" s="1610"/>
      <c r="K127" s="1610"/>
      <c r="L127" s="2901"/>
      <c r="M127" s="1610"/>
      <c r="N127" s="1610"/>
      <c r="O127" s="1610">
        <f t="shared" si="27"/>
        <v>0</v>
      </c>
      <c r="P127" s="1664"/>
      <c r="Q127" s="1664">
        <v>1.07</v>
      </c>
      <c r="R127" s="1610">
        <v>56</v>
      </c>
      <c r="S127" s="1664">
        <f t="shared" si="16"/>
        <v>59.92</v>
      </c>
      <c r="T127" s="1664">
        <f t="shared" si="17"/>
        <v>0</v>
      </c>
      <c r="U127" s="1610"/>
      <c r="V127" s="1664">
        <f t="shared" si="24"/>
        <v>0</v>
      </c>
      <c r="W127" s="1664">
        <f t="shared" si="18"/>
        <v>63.52</v>
      </c>
      <c r="X127" s="1664">
        <f t="shared" si="19"/>
        <v>0</v>
      </c>
      <c r="Y127" s="1610"/>
      <c r="Z127" s="1664">
        <f t="shared" si="25"/>
        <v>0</v>
      </c>
      <c r="AA127" s="1664">
        <f t="shared" si="20"/>
        <v>66.7</v>
      </c>
      <c r="AB127" s="1664">
        <f t="shared" si="21"/>
        <v>0</v>
      </c>
      <c r="AC127" s="1610"/>
      <c r="AD127" s="1664">
        <f t="shared" si="26"/>
        <v>0</v>
      </c>
    </row>
    <row r="128" spans="1:30">
      <c r="A128" s="2130">
        <v>121</v>
      </c>
      <c r="B128" s="2894" t="s">
        <v>2435</v>
      </c>
      <c r="C128" s="2895" t="s">
        <v>2444</v>
      </c>
      <c r="D128" s="2896" t="s">
        <v>1268</v>
      </c>
      <c r="E128" s="2127">
        <v>4080.2</v>
      </c>
      <c r="F128" s="1610"/>
      <c r="G128" s="2127">
        <f t="shared" si="28"/>
        <v>4080.2</v>
      </c>
      <c r="H128" s="1610"/>
      <c r="I128" s="1610"/>
      <c r="J128" s="1610"/>
      <c r="K128" s="1610"/>
      <c r="L128" s="2901"/>
      <c r="M128" s="1610"/>
      <c r="N128" s="1610"/>
      <c r="O128" s="1610">
        <f t="shared" si="27"/>
        <v>0</v>
      </c>
      <c r="P128" s="1664"/>
      <c r="Q128" s="1664">
        <v>1.07</v>
      </c>
      <c r="R128" s="1610">
        <v>19</v>
      </c>
      <c r="S128" s="1664">
        <f t="shared" si="16"/>
        <v>20.329999999999998</v>
      </c>
      <c r="T128" s="1664">
        <f t="shared" si="17"/>
        <v>0</v>
      </c>
      <c r="U128" s="1610"/>
      <c r="V128" s="1664">
        <f t="shared" si="24"/>
        <v>0</v>
      </c>
      <c r="W128" s="1664">
        <f t="shared" si="18"/>
        <v>21.55</v>
      </c>
      <c r="X128" s="1664">
        <f t="shared" si="19"/>
        <v>0</v>
      </c>
      <c r="Y128" s="1610"/>
      <c r="Z128" s="1664">
        <f t="shared" si="25"/>
        <v>0</v>
      </c>
      <c r="AA128" s="1664">
        <f t="shared" si="20"/>
        <v>22.63</v>
      </c>
      <c r="AB128" s="1664">
        <f t="shared" si="21"/>
        <v>0</v>
      </c>
      <c r="AC128" s="1610"/>
      <c r="AD128" s="1664">
        <f t="shared" si="26"/>
        <v>0</v>
      </c>
    </row>
    <row r="129" spans="1:30">
      <c r="A129" s="2130">
        <v>122</v>
      </c>
      <c r="B129" s="2894" t="s">
        <v>2445</v>
      </c>
      <c r="C129" s="2895" t="s">
        <v>2446</v>
      </c>
      <c r="D129" s="2896" t="s">
        <v>1268</v>
      </c>
      <c r="E129" s="2127">
        <v>4080.2</v>
      </c>
      <c r="F129" s="1610"/>
      <c r="G129" s="2127">
        <f t="shared" si="28"/>
        <v>4080.2</v>
      </c>
      <c r="H129" s="1610"/>
      <c r="I129" s="1610"/>
      <c r="J129" s="1610"/>
      <c r="K129" s="1610"/>
      <c r="L129" s="2901"/>
      <c r="M129" s="1610"/>
      <c r="N129" s="1610"/>
      <c r="O129" s="1610">
        <v>100</v>
      </c>
      <c r="P129" s="1664"/>
      <c r="Q129" s="1664">
        <v>1.07</v>
      </c>
      <c r="R129" s="1610">
        <v>28</v>
      </c>
      <c r="S129" s="1664">
        <f t="shared" si="16"/>
        <v>29.96</v>
      </c>
      <c r="T129" s="1664">
        <f t="shared" si="17"/>
        <v>0</v>
      </c>
      <c r="U129" s="1610"/>
      <c r="V129" s="1664">
        <f t="shared" si="24"/>
        <v>0</v>
      </c>
      <c r="W129" s="1664">
        <f t="shared" si="18"/>
        <v>31.76</v>
      </c>
      <c r="X129" s="1664">
        <f t="shared" si="19"/>
        <v>0</v>
      </c>
      <c r="Y129" s="1610"/>
      <c r="Z129" s="1664">
        <f t="shared" si="25"/>
        <v>0</v>
      </c>
      <c r="AA129" s="1664">
        <f t="shared" si="20"/>
        <v>33.35</v>
      </c>
      <c r="AB129" s="1664">
        <f t="shared" si="21"/>
        <v>0</v>
      </c>
      <c r="AC129" s="1610"/>
      <c r="AD129" s="1664">
        <f t="shared" si="26"/>
        <v>0</v>
      </c>
    </row>
    <row r="130" spans="1:30">
      <c r="A130" s="2130">
        <v>123</v>
      </c>
      <c r="B130" s="2894" t="s">
        <v>2445</v>
      </c>
      <c r="C130" s="2895" t="s">
        <v>2447</v>
      </c>
      <c r="D130" s="2896" t="s">
        <v>1268</v>
      </c>
      <c r="E130" s="2127">
        <v>4080.2</v>
      </c>
      <c r="F130" s="1610"/>
      <c r="G130" s="2127">
        <f t="shared" si="28"/>
        <v>4080.2</v>
      </c>
      <c r="H130" s="1610"/>
      <c r="I130" s="1610"/>
      <c r="J130" s="1610"/>
      <c r="K130" s="1610"/>
      <c r="L130" s="2901"/>
      <c r="M130" s="1610"/>
      <c r="N130" s="1610"/>
      <c r="O130" s="1610">
        <v>100</v>
      </c>
      <c r="P130" s="1664"/>
      <c r="Q130" s="1664">
        <v>1.07</v>
      </c>
      <c r="R130" s="1610">
        <v>66</v>
      </c>
      <c r="S130" s="1664">
        <f t="shared" si="16"/>
        <v>70.62</v>
      </c>
      <c r="T130" s="1664">
        <f t="shared" si="17"/>
        <v>0</v>
      </c>
      <c r="U130" s="1610"/>
      <c r="V130" s="1664">
        <f t="shared" si="24"/>
        <v>0</v>
      </c>
      <c r="W130" s="1664">
        <f t="shared" si="18"/>
        <v>74.86</v>
      </c>
      <c r="X130" s="1664">
        <f t="shared" si="19"/>
        <v>0</v>
      </c>
      <c r="Y130" s="1610"/>
      <c r="Z130" s="1664">
        <f t="shared" si="25"/>
        <v>0</v>
      </c>
      <c r="AA130" s="1664">
        <f t="shared" si="20"/>
        <v>78.599999999999994</v>
      </c>
      <c r="AB130" s="1664">
        <f t="shared" si="21"/>
        <v>0</v>
      </c>
      <c r="AC130" s="1610"/>
      <c r="AD130" s="1664">
        <f t="shared" si="26"/>
        <v>0</v>
      </c>
    </row>
    <row r="131" spans="1:30">
      <c r="A131" s="2130">
        <v>124</v>
      </c>
      <c r="B131" s="2894" t="s">
        <v>2448</v>
      </c>
      <c r="C131" s="2895" t="s">
        <v>2449</v>
      </c>
      <c r="D131" s="2896" t="s">
        <v>1268</v>
      </c>
      <c r="E131" s="2127">
        <v>4080.2</v>
      </c>
      <c r="F131" s="1610"/>
      <c r="G131" s="2127">
        <f t="shared" si="28"/>
        <v>4080.2</v>
      </c>
      <c r="H131" s="1610"/>
      <c r="I131" s="1610"/>
      <c r="J131" s="1610"/>
      <c r="K131" s="1610"/>
      <c r="L131" s="2901"/>
      <c r="M131" s="1610"/>
      <c r="N131" s="1610"/>
      <c r="O131" s="1610">
        <f>L131</f>
        <v>0</v>
      </c>
      <c r="P131" s="1664"/>
      <c r="Q131" s="1664">
        <v>1.07</v>
      </c>
      <c r="R131" s="1610">
        <v>39</v>
      </c>
      <c r="S131" s="1664">
        <f t="shared" si="16"/>
        <v>41.73</v>
      </c>
      <c r="T131" s="1664">
        <f t="shared" si="17"/>
        <v>0</v>
      </c>
      <c r="U131" s="1610"/>
      <c r="V131" s="1664">
        <f t="shared" si="24"/>
        <v>0</v>
      </c>
      <c r="W131" s="1664">
        <f t="shared" si="18"/>
        <v>44.23</v>
      </c>
      <c r="X131" s="1664">
        <f t="shared" si="19"/>
        <v>0</v>
      </c>
      <c r="Y131" s="1610"/>
      <c r="Z131" s="1664">
        <f t="shared" si="25"/>
        <v>0</v>
      </c>
      <c r="AA131" s="1664">
        <f t="shared" si="20"/>
        <v>46.44</v>
      </c>
      <c r="AB131" s="1664">
        <f t="shared" si="21"/>
        <v>0</v>
      </c>
      <c r="AC131" s="1610"/>
      <c r="AD131" s="1664">
        <f t="shared" si="26"/>
        <v>0</v>
      </c>
    </row>
    <row r="132" spans="1:30">
      <c r="A132" s="2130">
        <v>125</v>
      </c>
      <c r="B132" s="2894" t="s">
        <v>2448</v>
      </c>
      <c r="C132" s="2895" t="s">
        <v>2450</v>
      </c>
      <c r="D132" s="2896" t="s">
        <v>1268</v>
      </c>
      <c r="E132" s="2127">
        <v>4080.2</v>
      </c>
      <c r="F132" s="1610"/>
      <c r="G132" s="2127">
        <f t="shared" si="28"/>
        <v>4080.2</v>
      </c>
      <c r="H132" s="1610"/>
      <c r="I132" s="1610"/>
      <c r="J132" s="1610"/>
      <c r="K132" s="1610"/>
      <c r="L132" s="2901"/>
      <c r="M132" s="1610"/>
      <c r="N132" s="1610"/>
      <c r="O132" s="1610">
        <f t="shared" ref="O132:O133" si="29">L132</f>
        <v>0</v>
      </c>
      <c r="P132" s="1664"/>
      <c r="Q132" s="1664">
        <v>1.07</v>
      </c>
      <c r="R132" s="1610">
        <v>31</v>
      </c>
      <c r="S132" s="1664">
        <f t="shared" si="16"/>
        <v>33.17</v>
      </c>
      <c r="T132" s="1664">
        <f t="shared" si="17"/>
        <v>0</v>
      </c>
      <c r="U132" s="1610"/>
      <c r="V132" s="1664">
        <f t="shared" si="24"/>
        <v>0</v>
      </c>
      <c r="W132" s="1664">
        <f t="shared" si="18"/>
        <v>35.159999999999997</v>
      </c>
      <c r="X132" s="1664">
        <f t="shared" si="19"/>
        <v>0</v>
      </c>
      <c r="Y132" s="1610"/>
      <c r="Z132" s="1664">
        <f t="shared" si="25"/>
        <v>0</v>
      </c>
      <c r="AA132" s="1664">
        <f t="shared" si="20"/>
        <v>36.92</v>
      </c>
      <c r="AB132" s="1664">
        <f t="shared" si="21"/>
        <v>0</v>
      </c>
      <c r="AC132" s="1610"/>
      <c r="AD132" s="1664">
        <f t="shared" si="26"/>
        <v>0</v>
      </c>
    </row>
    <row r="133" spans="1:30">
      <c r="A133" s="2130">
        <v>126</v>
      </c>
      <c r="B133" s="2894" t="s">
        <v>2448</v>
      </c>
      <c r="C133" s="2895" t="s">
        <v>2451</v>
      </c>
      <c r="D133" s="2896" t="s">
        <v>1268</v>
      </c>
      <c r="E133" s="2127">
        <v>4080.2</v>
      </c>
      <c r="F133" s="1610"/>
      <c r="G133" s="2127">
        <f t="shared" si="28"/>
        <v>4080.2</v>
      </c>
      <c r="H133" s="1610"/>
      <c r="I133" s="1610"/>
      <c r="J133" s="1610"/>
      <c r="K133" s="1610"/>
      <c r="L133" s="2901"/>
      <c r="M133" s="1610"/>
      <c r="N133" s="1610"/>
      <c r="O133" s="1610">
        <f t="shared" si="29"/>
        <v>0</v>
      </c>
      <c r="P133" s="1664"/>
      <c r="Q133" s="1664">
        <v>1.07</v>
      </c>
      <c r="R133" s="1610">
        <v>57</v>
      </c>
      <c r="S133" s="1664">
        <f t="shared" si="16"/>
        <v>60.99</v>
      </c>
      <c r="T133" s="1664">
        <f t="shared" si="17"/>
        <v>0</v>
      </c>
      <c r="U133" s="1610"/>
      <c r="V133" s="1664">
        <f t="shared" si="24"/>
        <v>0</v>
      </c>
      <c r="W133" s="1664">
        <f t="shared" si="18"/>
        <v>64.650000000000006</v>
      </c>
      <c r="X133" s="1664">
        <f t="shared" si="19"/>
        <v>0</v>
      </c>
      <c r="Y133" s="1610"/>
      <c r="Z133" s="1664">
        <f t="shared" si="25"/>
        <v>0</v>
      </c>
      <c r="AA133" s="1664">
        <f t="shared" si="20"/>
        <v>67.88</v>
      </c>
      <c r="AB133" s="1664">
        <f t="shared" si="21"/>
        <v>0</v>
      </c>
      <c r="AC133" s="1610"/>
      <c r="AD133" s="1664">
        <f t="shared" si="26"/>
        <v>0</v>
      </c>
    </row>
    <row r="134" spans="1:30" ht="25.5">
      <c r="A134" s="2130">
        <v>127</v>
      </c>
      <c r="B134" s="2894" t="s">
        <v>2452</v>
      </c>
      <c r="C134" s="2895" t="s">
        <v>2453</v>
      </c>
      <c r="D134" s="2896" t="s">
        <v>1268</v>
      </c>
      <c r="E134" s="2127">
        <v>4080.2</v>
      </c>
      <c r="F134" s="1610"/>
      <c r="G134" s="2127">
        <f t="shared" si="28"/>
        <v>4080.2</v>
      </c>
      <c r="H134" s="1610"/>
      <c r="I134" s="1610"/>
      <c r="J134" s="1610"/>
      <c r="K134" s="1610"/>
      <c r="L134" s="2901"/>
      <c r="M134" s="1610"/>
      <c r="N134" s="1610"/>
      <c r="O134" s="1610"/>
      <c r="P134" s="1664"/>
      <c r="Q134" s="1664">
        <v>1.07</v>
      </c>
      <c r="R134" s="1610">
        <v>1134</v>
      </c>
      <c r="S134" s="1664">
        <f t="shared" si="16"/>
        <v>1213.3800000000001</v>
      </c>
      <c r="T134" s="1664">
        <f t="shared" si="17"/>
        <v>0</v>
      </c>
      <c r="U134" s="1610"/>
      <c r="V134" s="1664">
        <f t="shared" si="24"/>
        <v>0</v>
      </c>
      <c r="W134" s="1664">
        <f t="shared" si="18"/>
        <v>1286.18</v>
      </c>
      <c r="X134" s="1664">
        <f t="shared" si="19"/>
        <v>0</v>
      </c>
      <c r="Y134" s="1610"/>
      <c r="Z134" s="1664">
        <f t="shared" si="25"/>
        <v>0</v>
      </c>
      <c r="AA134" s="1664">
        <f t="shared" si="20"/>
        <v>1350.49</v>
      </c>
      <c r="AB134" s="1664">
        <f t="shared" si="21"/>
        <v>0</v>
      </c>
      <c r="AC134" s="1610"/>
      <c r="AD134" s="1664">
        <f t="shared" si="26"/>
        <v>0</v>
      </c>
    </row>
    <row r="135" spans="1:30">
      <c r="A135" s="2130">
        <v>128</v>
      </c>
      <c r="B135" s="2894" t="s">
        <v>2454</v>
      </c>
      <c r="C135" s="2895" t="s">
        <v>2455</v>
      </c>
      <c r="D135" s="2896" t="s">
        <v>1268</v>
      </c>
      <c r="E135" s="2127">
        <v>4080.2</v>
      </c>
      <c r="F135" s="1610"/>
      <c r="G135" s="2127">
        <f t="shared" si="28"/>
        <v>4080.2</v>
      </c>
      <c r="H135" s="1610"/>
      <c r="I135" s="1610"/>
      <c r="J135" s="1610"/>
      <c r="K135" s="1610"/>
      <c r="L135" s="2901"/>
      <c r="M135" s="1610"/>
      <c r="N135" s="1610"/>
      <c r="O135" s="1610"/>
      <c r="P135" s="1664"/>
      <c r="Q135" s="1664">
        <v>1.07</v>
      </c>
      <c r="R135" s="1610">
        <v>81</v>
      </c>
      <c r="S135" s="1664">
        <f t="shared" si="16"/>
        <v>86.67</v>
      </c>
      <c r="T135" s="1664">
        <f t="shared" si="17"/>
        <v>0</v>
      </c>
      <c r="U135" s="1610"/>
      <c r="V135" s="1664">
        <f t="shared" si="24"/>
        <v>0</v>
      </c>
      <c r="W135" s="1664">
        <f t="shared" si="18"/>
        <v>91.87</v>
      </c>
      <c r="X135" s="1664">
        <f t="shared" si="19"/>
        <v>0</v>
      </c>
      <c r="Y135" s="1610"/>
      <c r="Z135" s="1664">
        <f t="shared" si="25"/>
        <v>0</v>
      </c>
      <c r="AA135" s="1664">
        <f t="shared" si="20"/>
        <v>96.46</v>
      </c>
      <c r="AB135" s="1664">
        <f t="shared" si="21"/>
        <v>0</v>
      </c>
      <c r="AC135" s="1610"/>
      <c r="AD135" s="1664">
        <f t="shared" si="26"/>
        <v>0</v>
      </c>
    </row>
    <row r="136" spans="1:30">
      <c r="A136" s="2130">
        <v>129</v>
      </c>
      <c r="B136" s="2894" t="s">
        <v>2456</v>
      </c>
      <c r="C136" s="2895" t="s">
        <v>2457</v>
      </c>
      <c r="D136" s="2896" t="s">
        <v>1268</v>
      </c>
      <c r="E136" s="2127">
        <v>4080.2</v>
      </c>
      <c r="F136" s="1610"/>
      <c r="G136" s="2127">
        <f t="shared" si="28"/>
        <v>4080.2</v>
      </c>
      <c r="H136" s="1610"/>
      <c r="I136" s="1610"/>
      <c r="J136" s="1610"/>
      <c r="K136" s="1610"/>
      <c r="L136" s="2901"/>
      <c r="M136" s="1610"/>
      <c r="N136" s="1610"/>
      <c r="O136" s="1610"/>
      <c r="P136" s="1664"/>
      <c r="Q136" s="1664">
        <v>1.07</v>
      </c>
      <c r="R136" s="1610">
        <v>132</v>
      </c>
      <c r="S136" s="1664">
        <f t="shared" si="16"/>
        <v>141.24</v>
      </c>
      <c r="T136" s="1664">
        <f t="shared" si="17"/>
        <v>0</v>
      </c>
      <c r="U136" s="1610"/>
      <c r="V136" s="1664">
        <f t="shared" si="24"/>
        <v>0</v>
      </c>
      <c r="W136" s="1664">
        <f t="shared" si="18"/>
        <v>149.71</v>
      </c>
      <c r="X136" s="1664">
        <f t="shared" si="19"/>
        <v>0</v>
      </c>
      <c r="Y136" s="1610"/>
      <c r="Z136" s="1664">
        <f t="shared" si="25"/>
        <v>0</v>
      </c>
      <c r="AA136" s="1664">
        <f t="shared" si="20"/>
        <v>157.19999999999999</v>
      </c>
      <c r="AB136" s="1664">
        <f t="shared" si="21"/>
        <v>0</v>
      </c>
      <c r="AC136" s="1610"/>
      <c r="AD136" s="1664">
        <f t="shared" si="26"/>
        <v>0</v>
      </c>
    </row>
    <row r="137" spans="1:30">
      <c r="A137" s="2130">
        <v>130</v>
      </c>
      <c r="B137" s="2894" t="s">
        <v>1974</v>
      </c>
      <c r="C137" s="2895" t="s">
        <v>2458</v>
      </c>
      <c r="D137" s="2896" t="s">
        <v>1268</v>
      </c>
      <c r="E137" s="2127">
        <v>4080.2</v>
      </c>
      <c r="F137" s="1610"/>
      <c r="G137" s="2127">
        <f t="shared" si="28"/>
        <v>4080.2</v>
      </c>
      <c r="H137" s="1610"/>
      <c r="I137" s="1610"/>
      <c r="J137" s="1610"/>
      <c r="K137" s="1610"/>
      <c r="L137" s="2901"/>
      <c r="M137" s="1610"/>
      <c r="N137" s="1610"/>
      <c r="O137" s="1610"/>
      <c r="P137" s="1664"/>
      <c r="Q137" s="1664">
        <v>1.07</v>
      </c>
      <c r="R137" s="1610">
        <v>82</v>
      </c>
      <c r="S137" s="1664">
        <f t="shared" ref="S137:S200" si="30">ROUND(Q137*R137,2)</f>
        <v>87.74</v>
      </c>
      <c r="T137" s="1664">
        <f t="shared" ref="T137:T200" si="31">ROUND(P137*S137,0)</f>
        <v>0</v>
      </c>
      <c r="U137" s="1610"/>
      <c r="V137" s="1664">
        <f t="shared" si="24"/>
        <v>0</v>
      </c>
      <c r="W137" s="1664">
        <f t="shared" ref="W137:W200" si="32">ROUND(S137*$W$3,2)</f>
        <v>93</v>
      </c>
      <c r="X137" s="1664">
        <f t="shared" ref="X137:X200" si="33">ROUND(P137*W137,0)</f>
        <v>0</v>
      </c>
      <c r="Y137" s="1610"/>
      <c r="Z137" s="1664">
        <f t="shared" si="25"/>
        <v>0</v>
      </c>
      <c r="AA137" s="1664">
        <f t="shared" ref="AA137:AA200" si="34">ROUND(W137*$AB$3,2)</f>
        <v>97.65</v>
      </c>
      <c r="AB137" s="1664">
        <f t="shared" ref="AB137:AB200" si="35">ROUND(P137*AA137,0)</f>
        <v>0</v>
      </c>
      <c r="AC137" s="1610"/>
      <c r="AD137" s="1664">
        <f t="shared" si="26"/>
        <v>0</v>
      </c>
    </row>
    <row r="138" spans="1:30">
      <c r="A138" s="2130">
        <v>131</v>
      </c>
      <c r="B138" s="2894" t="s">
        <v>2456</v>
      </c>
      <c r="C138" s="2895" t="s">
        <v>2459</v>
      </c>
      <c r="D138" s="2896" t="s">
        <v>1268</v>
      </c>
      <c r="E138" s="2127">
        <v>4080.2</v>
      </c>
      <c r="F138" s="1610"/>
      <c r="G138" s="2127">
        <f t="shared" si="28"/>
        <v>4080.2</v>
      </c>
      <c r="H138" s="1610"/>
      <c r="I138" s="1610"/>
      <c r="J138" s="1610"/>
      <c r="K138" s="1610"/>
      <c r="L138" s="2901"/>
      <c r="M138" s="1610"/>
      <c r="N138" s="1610"/>
      <c r="O138" s="1610"/>
      <c r="P138" s="1664"/>
      <c r="Q138" s="1664">
        <v>1.07</v>
      </c>
      <c r="R138" s="1610">
        <v>108</v>
      </c>
      <c r="S138" s="1664">
        <f t="shared" si="30"/>
        <v>115.56</v>
      </c>
      <c r="T138" s="1664">
        <f t="shared" si="31"/>
        <v>0</v>
      </c>
      <c r="U138" s="1610"/>
      <c r="V138" s="1664">
        <f t="shared" si="24"/>
        <v>0</v>
      </c>
      <c r="W138" s="1664">
        <f t="shared" si="32"/>
        <v>122.49</v>
      </c>
      <c r="X138" s="1664">
        <f t="shared" si="33"/>
        <v>0</v>
      </c>
      <c r="Y138" s="1610"/>
      <c r="Z138" s="1664">
        <f t="shared" si="25"/>
        <v>0</v>
      </c>
      <c r="AA138" s="1664">
        <f t="shared" si="34"/>
        <v>128.61000000000001</v>
      </c>
      <c r="AB138" s="1664">
        <f t="shared" si="35"/>
        <v>0</v>
      </c>
      <c r="AC138" s="1610"/>
      <c r="AD138" s="1664">
        <f t="shared" si="26"/>
        <v>0</v>
      </c>
    </row>
    <row r="139" spans="1:30">
      <c r="A139" s="2130">
        <v>132</v>
      </c>
      <c r="B139" s="2894" t="s">
        <v>2460</v>
      </c>
      <c r="C139" s="2895" t="s">
        <v>2461</v>
      </c>
      <c r="D139" s="2896" t="s">
        <v>1268</v>
      </c>
      <c r="E139" s="2127">
        <v>4080.2</v>
      </c>
      <c r="F139" s="1610"/>
      <c r="G139" s="2127">
        <f t="shared" si="28"/>
        <v>4080.2</v>
      </c>
      <c r="H139" s="1610"/>
      <c r="I139" s="1610"/>
      <c r="J139" s="1610"/>
      <c r="K139" s="1610"/>
      <c r="L139" s="2901"/>
      <c r="M139" s="1610"/>
      <c r="N139" s="1610"/>
      <c r="O139" s="1610"/>
      <c r="P139" s="1664"/>
      <c r="Q139" s="1664">
        <v>1.07</v>
      </c>
      <c r="R139" s="1610">
        <v>3240</v>
      </c>
      <c r="S139" s="1664">
        <f t="shared" si="30"/>
        <v>3466.8</v>
      </c>
      <c r="T139" s="1664">
        <f t="shared" si="31"/>
        <v>0</v>
      </c>
      <c r="U139" s="1610"/>
      <c r="V139" s="1664">
        <f t="shared" si="24"/>
        <v>0</v>
      </c>
      <c r="W139" s="1664">
        <f t="shared" si="32"/>
        <v>3674.81</v>
      </c>
      <c r="X139" s="1664">
        <f t="shared" si="33"/>
        <v>0</v>
      </c>
      <c r="Y139" s="1610"/>
      <c r="Z139" s="1664">
        <f t="shared" si="25"/>
        <v>0</v>
      </c>
      <c r="AA139" s="1664">
        <f t="shared" si="34"/>
        <v>3858.55</v>
      </c>
      <c r="AB139" s="1664">
        <f t="shared" si="35"/>
        <v>0</v>
      </c>
      <c r="AC139" s="1610"/>
      <c r="AD139" s="1664">
        <f t="shared" si="26"/>
        <v>0</v>
      </c>
    </row>
    <row r="140" spans="1:30">
      <c r="A140" s="2130">
        <v>133</v>
      </c>
      <c r="B140" s="2894" t="s">
        <v>2082</v>
      </c>
      <c r="C140" s="2895" t="s">
        <v>2462</v>
      </c>
      <c r="D140" s="2896" t="s">
        <v>1268</v>
      </c>
      <c r="E140" s="2127">
        <v>4080.2</v>
      </c>
      <c r="F140" s="1610"/>
      <c r="G140" s="2127">
        <f t="shared" si="28"/>
        <v>4080.2</v>
      </c>
      <c r="H140" s="1610"/>
      <c r="I140" s="1610"/>
      <c r="J140" s="1610"/>
      <c r="K140" s="1610"/>
      <c r="L140" s="2901"/>
      <c r="M140" s="1610"/>
      <c r="N140" s="1610"/>
      <c r="O140" s="1610"/>
      <c r="P140" s="1664"/>
      <c r="Q140" s="1664">
        <v>1.07</v>
      </c>
      <c r="R140" s="1610">
        <v>4698</v>
      </c>
      <c r="S140" s="1664">
        <f t="shared" si="30"/>
        <v>5026.8599999999997</v>
      </c>
      <c r="T140" s="1664">
        <f t="shared" si="31"/>
        <v>0</v>
      </c>
      <c r="U140" s="1610"/>
      <c r="V140" s="1664">
        <f t="shared" si="24"/>
        <v>0</v>
      </c>
      <c r="W140" s="1664">
        <f t="shared" si="32"/>
        <v>5328.47</v>
      </c>
      <c r="X140" s="1664">
        <f t="shared" si="33"/>
        <v>0</v>
      </c>
      <c r="Y140" s="1610"/>
      <c r="Z140" s="1664">
        <f t="shared" si="25"/>
        <v>0</v>
      </c>
      <c r="AA140" s="1664">
        <f t="shared" si="34"/>
        <v>5594.89</v>
      </c>
      <c r="AB140" s="1664">
        <f t="shared" si="35"/>
        <v>0</v>
      </c>
      <c r="AC140" s="1610"/>
      <c r="AD140" s="1664">
        <f t="shared" si="26"/>
        <v>0</v>
      </c>
    </row>
    <row r="141" spans="1:30" ht="165.75">
      <c r="A141" s="2130">
        <v>134</v>
      </c>
      <c r="B141" s="2894" t="s">
        <v>2463</v>
      </c>
      <c r="C141" s="2899" t="s">
        <v>2464</v>
      </c>
      <c r="D141" s="2896" t="s">
        <v>1268</v>
      </c>
      <c r="E141" s="2127">
        <v>4080.2</v>
      </c>
      <c r="F141" s="1610"/>
      <c r="G141" s="2127">
        <f t="shared" si="28"/>
        <v>4080.2</v>
      </c>
      <c r="H141" s="1610"/>
      <c r="I141" s="1610"/>
      <c r="J141" s="1610"/>
      <c r="K141" s="1610"/>
      <c r="L141" s="2901"/>
      <c r="M141" s="1610"/>
      <c r="N141" s="1610"/>
      <c r="O141" s="1610"/>
      <c r="P141" s="1664"/>
      <c r="Q141" s="1664">
        <v>1.07</v>
      </c>
      <c r="R141" s="1610">
        <v>47250</v>
      </c>
      <c r="S141" s="1664">
        <f t="shared" si="30"/>
        <v>50557.5</v>
      </c>
      <c r="T141" s="1664">
        <f t="shared" si="31"/>
        <v>0</v>
      </c>
      <c r="U141" s="1610"/>
      <c r="V141" s="1664">
        <f t="shared" si="24"/>
        <v>0</v>
      </c>
      <c r="W141" s="1664">
        <f t="shared" si="32"/>
        <v>53590.95</v>
      </c>
      <c r="X141" s="1664">
        <f t="shared" si="33"/>
        <v>0</v>
      </c>
      <c r="Y141" s="1610"/>
      <c r="Z141" s="1664">
        <f t="shared" si="25"/>
        <v>0</v>
      </c>
      <c r="AA141" s="1664">
        <f t="shared" si="34"/>
        <v>56270.5</v>
      </c>
      <c r="AB141" s="1664">
        <f t="shared" si="35"/>
        <v>0</v>
      </c>
      <c r="AC141" s="1610"/>
      <c r="AD141" s="1664">
        <f t="shared" si="26"/>
        <v>0</v>
      </c>
    </row>
    <row r="142" spans="1:30" ht="63.75">
      <c r="A142" s="2130">
        <v>135</v>
      </c>
      <c r="B142" s="2894" t="s">
        <v>2465</v>
      </c>
      <c r="C142" s="2895" t="s">
        <v>2466</v>
      </c>
      <c r="D142" s="2896" t="s">
        <v>1268</v>
      </c>
      <c r="E142" s="2127">
        <v>4080.2</v>
      </c>
      <c r="F142" s="1610"/>
      <c r="G142" s="2127">
        <f t="shared" si="28"/>
        <v>4080.2</v>
      </c>
      <c r="H142" s="1610"/>
      <c r="I142" s="1610"/>
      <c r="J142" s="1610"/>
      <c r="K142" s="1610"/>
      <c r="L142" s="2901"/>
      <c r="M142" s="1610"/>
      <c r="N142" s="1610"/>
      <c r="O142" s="1610"/>
      <c r="P142" s="1664"/>
      <c r="Q142" s="1664">
        <v>1.07</v>
      </c>
      <c r="R142" s="1610">
        <v>64260</v>
      </c>
      <c r="S142" s="1664">
        <f t="shared" si="30"/>
        <v>68758.2</v>
      </c>
      <c r="T142" s="1664">
        <f t="shared" si="31"/>
        <v>0</v>
      </c>
      <c r="U142" s="1610"/>
      <c r="V142" s="1664">
        <f t="shared" si="24"/>
        <v>0</v>
      </c>
      <c r="W142" s="1664">
        <f t="shared" si="32"/>
        <v>72883.69</v>
      </c>
      <c r="X142" s="1664">
        <f t="shared" si="33"/>
        <v>0</v>
      </c>
      <c r="Y142" s="1610"/>
      <c r="Z142" s="1664">
        <f t="shared" si="25"/>
        <v>0</v>
      </c>
      <c r="AA142" s="1664">
        <f t="shared" si="34"/>
        <v>76527.87</v>
      </c>
      <c r="AB142" s="1664">
        <f t="shared" si="35"/>
        <v>0</v>
      </c>
      <c r="AC142" s="1610"/>
      <c r="AD142" s="1664">
        <f t="shared" si="26"/>
        <v>0</v>
      </c>
    </row>
    <row r="143" spans="1:30" ht="76.5">
      <c r="A143" s="2130">
        <v>136</v>
      </c>
      <c r="B143" s="2894" t="s">
        <v>2467</v>
      </c>
      <c r="C143" s="2895" t="s">
        <v>2468</v>
      </c>
      <c r="D143" s="2896" t="s">
        <v>1268</v>
      </c>
      <c r="E143" s="2127">
        <v>4080.2</v>
      </c>
      <c r="F143" s="1610"/>
      <c r="G143" s="2127">
        <f t="shared" si="28"/>
        <v>4080.2</v>
      </c>
      <c r="H143" s="1610"/>
      <c r="I143" s="1610"/>
      <c r="J143" s="1610"/>
      <c r="K143" s="1610"/>
      <c r="L143" s="2901"/>
      <c r="M143" s="1610"/>
      <c r="N143" s="1610"/>
      <c r="O143" s="1610"/>
      <c r="P143" s="1664"/>
      <c r="Q143" s="1664">
        <v>1.07</v>
      </c>
      <c r="R143" s="1610">
        <v>19170</v>
      </c>
      <c r="S143" s="1664">
        <f t="shared" si="30"/>
        <v>20511.900000000001</v>
      </c>
      <c r="T143" s="1664">
        <f t="shared" si="31"/>
        <v>0</v>
      </c>
      <c r="U143" s="1610"/>
      <c r="V143" s="1664">
        <f t="shared" si="24"/>
        <v>0</v>
      </c>
      <c r="W143" s="1664">
        <f t="shared" si="32"/>
        <v>21742.61</v>
      </c>
      <c r="X143" s="1664">
        <f t="shared" si="33"/>
        <v>0</v>
      </c>
      <c r="Y143" s="1610"/>
      <c r="Z143" s="1664">
        <f t="shared" si="25"/>
        <v>0</v>
      </c>
      <c r="AA143" s="1664">
        <f t="shared" si="34"/>
        <v>22829.74</v>
      </c>
      <c r="AB143" s="1664">
        <f t="shared" si="35"/>
        <v>0</v>
      </c>
      <c r="AC143" s="1610"/>
      <c r="AD143" s="1664">
        <f t="shared" si="26"/>
        <v>0</v>
      </c>
    </row>
    <row r="144" spans="1:30">
      <c r="A144" s="2130">
        <v>137</v>
      </c>
      <c r="B144" s="2894" t="s">
        <v>2469</v>
      </c>
      <c r="C144" s="2895" t="s">
        <v>2470</v>
      </c>
      <c r="D144" s="2896" t="s">
        <v>1268</v>
      </c>
      <c r="E144" s="2127">
        <v>4080.2</v>
      </c>
      <c r="F144" s="1610"/>
      <c r="G144" s="2127">
        <f t="shared" si="28"/>
        <v>4080.2</v>
      </c>
      <c r="H144" s="1610"/>
      <c r="I144" s="1610"/>
      <c r="J144" s="1610"/>
      <c r="K144" s="1610"/>
      <c r="L144" s="2901"/>
      <c r="M144" s="1610"/>
      <c r="N144" s="1610"/>
      <c r="O144" s="1610"/>
      <c r="P144" s="1664"/>
      <c r="Q144" s="1664">
        <v>1.07</v>
      </c>
      <c r="R144" s="1610">
        <v>8505</v>
      </c>
      <c r="S144" s="1664">
        <f t="shared" si="30"/>
        <v>9100.35</v>
      </c>
      <c r="T144" s="1664">
        <f t="shared" si="31"/>
        <v>0</v>
      </c>
      <c r="U144" s="1610"/>
      <c r="V144" s="1664">
        <f t="shared" si="24"/>
        <v>0</v>
      </c>
      <c r="W144" s="1664">
        <f t="shared" si="32"/>
        <v>9646.3700000000008</v>
      </c>
      <c r="X144" s="1664">
        <f t="shared" si="33"/>
        <v>0</v>
      </c>
      <c r="Y144" s="1610"/>
      <c r="Z144" s="1664">
        <f t="shared" si="25"/>
        <v>0</v>
      </c>
      <c r="AA144" s="1664">
        <f t="shared" si="34"/>
        <v>10128.69</v>
      </c>
      <c r="AB144" s="1664">
        <f t="shared" si="35"/>
        <v>0</v>
      </c>
      <c r="AC144" s="1610"/>
      <c r="AD144" s="1664">
        <f t="shared" si="26"/>
        <v>0</v>
      </c>
    </row>
    <row r="145" spans="1:30">
      <c r="A145" s="2130">
        <v>138</v>
      </c>
      <c r="B145" s="2894" t="s">
        <v>1169</v>
      </c>
      <c r="C145" s="2895" t="s">
        <v>2471</v>
      </c>
      <c r="D145" s="2896" t="s">
        <v>1268</v>
      </c>
      <c r="E145" s="2127">
        <v>4080.2</v>
      </c>
      <c r="F145" s="1610"/>
      <c r="G145" s="2127">
        <f t="shared" si="28"/>
        <v>4080.2</v>
      </c>
      <c r="H145" s="1610"/>
      <c r="I145" s="1610"/>
      <c r="J145" s="1610"/>
      <c r="K145" s="1610"/>
      <c r="L145" s="2901"/>
      <c r="M145" s="1610"/>
      <c r="N145" s="1610"/>
      <c r="O145" s="1610"/>
      <c r="P145" s="1664"/>
      <c r="Q145" s="1664">
        <v>1.07</v>
      </c>
      <c r="R145" s="1610">
        <v>27</v>
      </c>
      <c r="S145" s="1664">
        <f t="shared" si="30"/>
        <v>28.89</v>
      </c>
      <c r="T145" s="1664">
        <f t="shared" si="31"/>
        <v>0</v>
      </c>
      <c r="U145" s="1610"/>
      <c r="V145" s="1664">
        <f t="shared" si="24"/>
        <v>0</v>
      </c>
      <c r="W145" s="1664">
        <f t="shared" si="32"/>
        <v>30.62</v>
      </c>
      <c r="X145" s="1664">
        <f t="shared" si="33"/>
        <v>0</v>
      </c>
      <c r="Y145" s="1610"/>
      <c r="Z145" s="1664">
        <f t="shared" si="25"/>
        <v>0</v>
      </c>
      <c r="AA145" s="1664">
        <f t="shared" si="34"/>
        <v>32.15</v>
      </c>
      <c r="AB145" s="1664">
        <f t="shared" si="35"/>
        <v>0</v>
      </c>
      <c r="AC145" s="1610"/>
      <c r="AD145" s="1664">
        <f t="shared" si="26"/>
        <v>0</v>
      </c>
    </row>
    <row r="146" spans="1:30">
      <c r="A146" s="2130">
        <v>139</v>
      </c>
      <c r="B146" s="2894" t="s">
        <v>2472</v>
      </c>
      <c r="C146" s="2895" t="s">
        <v>2473</v>
      </c>
      <c r="D146" s="2896" t="s">
        <v>1268</v>
      </c>
      <c r="E146" s="2127">
        <v>4080.2</v>
      </c>
      <c r="F146" s="1610"/>
      <c r="G146" s="2127">
        <f t="shared" si="28"/>
        <v>4080.2</v>
      </c>
      <c r="H146" s="1610"/>
      <c r="I146" s="1610"/>
      <c r="J146" s="1610"/>
      <c r="K146" s="1610"/>
      <c r="L146" s="2901"/>
      <c r="M146" s="1610"/>
      <c r="N146" s="1610"/>
      <c r="O146" s="1610"/>
      <c r="P146" s="1664"/>
      <c r="Q146" s="1664">
        <v>1.07</v>
      </c>
      <c r="R146" s="1610">
        <v>4725</v>
      </c>
      <c r="S146" s="1664">
        <f t="shared" si="30"/>
        <v>5055.75</v>
      </c>
      <c r="T146" s="1664">
        <f t="shared" si="31"/>
        <v>0</v>
      </c>
      <c r="U146" s="1610"/>
      <c r="V146" s="1664">
        <f t="shared" si="24"/>
        <v>0</v>
      </c>
      <c r="W146" s="1664">
        <f t="shared" si="32"/>
        <v>5359.1</v>
      </c>
      <c r="X146" s="1664">
        <f t="shared" si="33"/>
        <v>0</v>
      </c>
      <c r="Y146" s="1610"/>
      <c r="Z146" s="1664">
        <f t="shared" si="25"/>
        <v>0</v>
      </c>
      <c r="AA146" s="1664">
        <f t="shared" si="34"/>
        <v>5627.06</v>
      </c>
      <c r="AB146" s="1664">
        <f t="shared" si="35"/>
        <v>0</v>
      </c>
      <c r="AC146" s="1610"/>
      <c r="AD146" s="1664">
        <f t="shared" si="26"/>
        <v>0</v>
      </c>
    </row>
    <row r="147" spans="1:30">
      <c r="A147" s="2130">
        <v>140</v>
      </c>
      <c r="B147" s="2894" t="s">
        <v>2474</v>
      </c>
      <c r="C147" s="2895" t="s">
        <v>2475</v>
      </c>
      <c r="D147" s="2896" t="s">
        <v>1268</v>
      </c>
      <c r="E147" s="2127">
        <v>4080.2</v>
      </c>
      <c r="F147" s="1610"/>
      <c r="G147" s="2127">
        <f t="shared" si="28"/>
        <v>4080.2</v>
      </c>
      <c r="H147" s="1610"/>
      <c r="I147" s="1610"/>
      <c r="J147" s="1610"/>
      <c r="K147" s="1610"/>
      <c r="L147" s="2901"/>
      <c r="M147" s="1610"/>
      <c r="N147" s="1610"/>
      <c r="O147" s="1610"/>
      <c r="P147" s="1664"/>
      <c r="Q147" s="1664">
        <v>1.07</v>
      </c>
      <c r="R147" s="1610">
        <v>9</v>
      </c>
      <c r="S147" s="1664">
        <f t="shared" si="30"/>
        <v>9.6300000000000008</v>
      </c>
      <c r="T147" s="1664">
        <f t="shared" si="31"/>
        <v>0</v>
      </c>
      <c r="U147" s="1610"/>
      <c r="V147" s="1664">
        <f t="shared" si="24"/>
        <v>0</v>
      </c>
      <c r="W147" s="1664">
        <f t="shared" si="32"/>
        <v>10.210000000000001</v>
      </c>
      <c r="X147" s="1664">
        <f t="shared" si="33"/>
        <v>0</v>
      </c>
      <c r="Y147" s="1610"/>
      <c r="Z147" s="1664">
        <f t="shared" si="25"/>
        <v>0</v>
      </c>
      <c r="AA147" s="1664">
        <f t="shared" si="34"/>
        <v>10.72</v>
      </c>
      <c r="AB147" s="1664">
        <f t="shared" si="35"/>
        <v>0</v>
      </c>
      <c r="AC147" s="1610"/>
      <c r="AD147" s="1664">
        <f t="shared" si="26"/>
        <v>0</v>
      </c>
    </row>
    <row r="148" spans="1:30" ht="25.5">
      <c r="A148" s="2130">
        <v>141</v>
      </c>
      <c r="B148" s="2894" t="s">
        <v>2476</v>
      </c>
      <c r="C148" s="2895" t="s">
        <v>2477</v>
      </c>
      <c r="D148" s="2896" t="s">
        <v>1268</v>
      </c>
      <c r="E148" s="2127">
        <v>4080.2</v>
      </c>
      <c r="F148" s="1610"/>
      <c r="G148" s="2127">
        <f t="shared" si="28"/>
        <v>4080.2</v>
      </c>
      <c r="H148" s="1610"/>
      <c r="I148" s="1610"/>
      <c r="J148" s="1610"/>
      <c r="K148" s="1610"/>
      <c r="L148" s="2901"/>
      <c r="M148" s="1610"/>
      <c r="N148" s="1610"/>
      <c r="O148" s="1610"/>
      <c r="P148" s="1664"/>
      <c r="Q148" s="1664">
        <v>1.07</v>
      </c>
      <c r="R148" s="1610">
        <v>645</v>
      </c>
      <c r="S148" s="1664">
        <f t="shared" si="30"/>
        <v>690.15</v>
      </c>
      <c r="T148" s="1664">
        <f t="shared" si="31"/>
        <v>0</v>
      </c>
      <c r="U148" s="1610"/>
      <c r="V148" s="1664">
        <f t="shared" si="24"/>
        <v>0</v>
      </c>
      <c r="W148" s="1664">
        <f t="shared" si="32"/>
        <v>731.56</v>
      </c>
      <c r="X148" s="1664">
        <f t="shared" si="33"/>
        <v>0</v>
      </c>
      <c r="Y148" s="1610"/>
      <c r="Z148" s="1664">
        <f t="shared" si="25"/>
        <v>0</v>
      </c>
      <c r="AA148" s="1664">
        <f t="shared" si="34"/>
        <v>768.14</v>
      </c>
      <c r="AB148" s="1664">
        <f t="shared" si="35"/>
        <v>0</v>
      </c>
      <c r="AC148" s="1610"/>
      <c r="AD148" s="1664">
        <f t="shared" si="26"/>
        <v>0</v>
      </c>
    </row>
    <row r="149" spans="1:30">
      <c r="A149" s="2130">
        <v>142</v>
      </c>
      <c r="B149" s="2894" t="s">
        <v>2478</v>
      </c>
      <c r="C149" s="2895" t="s">
        <v>2479</v>
      </c>
      <c r="D149" s="2896" t="s">
        <v>1268</v>
      </c>
      <c r="E149" s="2127">
        <v>4080.2</v>
      </c>
      <c r="F149" s="1610"/>
      <c r="G149" s="2127">
        <f t="shared" si="28"/>
        <v>4080.2</v>
      </c>
      <c r="H149" s="1610"/>
      <c r="I149" s="1610"/>
      <c r="J149" s="1610"/>
      <c r="K149" s="1610"/>
      <c r="L149" s="2901"/>
      <c r="M149" s="1610"/>
      <c r="N149" s="1610"/>
      <c r="O149" s="1610"/>
      <c r="P149" s="1664"/>
      <c r="Q149" s="1664">
        <v>1.07</v>
      </c>
      <c r="R149" s="1610">
        <v>2950</v>
      </c>
      <c r="S149" s="1664">
        <f t="shared" si="30"/>
        <v>3156.5</v>
      </c>
      <c r="T149" s="1664">
        <f t="shared" si="31"/>
        <v>0</v>
      </c>
      <c r="U149" s="1610"/>
      <c r="V149" s="1664">
        <f t="shared" si="24"/>
        <v>0</v>
      </c>
      <c r="W149" s="1664">
        <f t="shared" si="32"/>
        <v>3345.89</v>
      </c>
      <c r="X149" s="1664">
        <f t="shared" si="33"/>
        <v>0</v>
      </c>
      <c r="Y149" s="1610"/>
      <c r="Z149" s="1664">
        <f t="shared" si="25"/>
        <v>0</v>
      </c>
      <c r="AA149" s="1664">
        <f t="shared" si="34"/>
        <v>3513.18</v>
      </c>
      <c r="AB149" s="1664">
        <f t="shared" si="35"/>
        <v>0</v>
      </c>
      <c r="AC149" s="1610"/>
      <c r="AD149" s="1664">
        <f t="shared" si="26"/>
        <v>0</v>
      </c>
    </row>
    <row r="150" spans="1:30">
      <c r="A150" s="2130">
        <v>143</v>
      </c>
      <c r="B150" s="2894" t="s">
        <v>1310</v>
      </c>
      <c r="C150" s="2900" t="s">
        <v>1311</v>
      </c>
      <c r="D150" s="2896" t="s">
        <v>1268</v>
      </c>
      <c r="E150" s="2127">
        <v>4080.2</v>
      </c>
      <c r="F150" s="1610"/>
      <c r="G150" s="2127">
        <f t="shared" si="28"/>
        <v>4080.2</v>
      </c>
      <c r="H150" s="1610"/>
      <c r="I150" s="1610"/>
      <c r="J150" s="1610"/>
      <c r="K150" s="1610"/>
      <c r="L150" s="2901"/>
      <c r="M150" s="1610"/>
      <c r="N150" s="1610"/>
      <c r="O150" s="1610">
        <v>3</v>
      </c>
      <c r="P150" s="1664"/>
      <c r="Q150" s="1664">
        <v>1.07</v>
      </c>
      <c r="R150" s="1610">
        <v>3555</v>
      </c>
      <c r="S150" s="1664">
        <f t="shared" si="30"/>
        <v>3803.85</v>
      </c>
      <c r="T150" s="1664">
        <f t="shared" si="31"/>
        <v>0</v>
      </c>
      <c r="U150" s="1610"/>
      <c r="V150" s="1664">
        <f t="shared" si="24"/>
        <v>0</v>
      </c>
      <c r="W150" s="1664">
        <f t="shared" si="32"/>
        <v>4032.08</v>
      </c>
      <c r="X150" s="1664">
        <f t="shared" si="33"/>
        <v>0</v>
      </c>
      <c r="Y150" s="1610"/>
      <c r="Z150" s="1664">
        <f t="shared" si="25"/>
        <v>0</v>
      </c>
      <c r="AA150" s="1664">
        <f t="shared" si="34"/>
        <v>4233.68</v>
      </c>
      <c r="AB150" s="1664">
        <f t="shared" si="35"/>
        <v>0</v>
      </c>
      <c r="AC150" s="1610"/>
      <c r="AD150" s="1664">
        <f t="shared" si="26"/>
        <v>0</v>
      </c>
    </row>
    <row r="151" spans="1:30" ht="25.5">
      <c r="A151" s="2130">
        <v>144</v>
      </c>
      <c r="B151" s="2894" t="s">
        <v>2480</v>
      </c>
      <c r="C151" s="2895" t="s">
        <v>2481</v>
      </c>
      <c r="D151" s="2896" t="s">
        <v>1268</v>
      </c>
      <c r="E151" s="2127">
        <v>4080.2</v>
      </c>
      <c r="F151" s="1610"/>
      <c r="G151" s="2127">
        <f t="shared" si="28"/>
        <v>4080.2</v>
      </c>
      <c r="H151" s="1610"/>
      <c r="I151" s="1610"/>
      <c r="J151" s="1610"/>
      <c r="K151" s="1610"/>
      <c r="L151" s="2901"/>
      <c r="M151" s="1610"/>
      <c r="N151" s="1610"/>
      <c r="O151" s="1610"/>
      <c r="P151" s="1664"/>
      <c r="Q151" s="1664">
        <v>1.07</v>
      </c>
      <c r="R151" s="1610">
        <v>4212</v>
      </c>
      <c r="S151" s="1664">
        <f t="shared" si="30"/>
        <v>4506.84</v>
      </c>
      <c r="T151" s="1664">
        <f t="shared" si="31"/>
        <v>0</v>
      </c>
      <c r="U151" s="1610"/>
      <c r="V151" s="1664">
        <f t="shared" si="24"/>
        <v>0</v>
      </c>
      <c r="W151" s="1664">
        <f t="shared" si="32"/>
        <v>4777.25</v>
      </c>
      <c r="X151" s="1664">
        <f t="shared" si="33"/>
        <v>0</v>
      </c>
      <c r="Y151" s="1610"/>
      <c r="Z151" s="1664">
        <f t="shared" si="25"/>
        <v>0</v>
      </c>
      <c r="AA151" s="1664">
        <f t="shared" si="34"/>
        <v>5016.1099999999997</v>
      </c>
      <c r="AB151" s="1664">
        <f t="shared" si="35"/>
        <v>0</v>
      </c>
      <c r="AC151" s="1610"/>
      <c r="AD151" s="1664">
        <f t="shared" si="26"/>
        <v>0</v>
      </c>
    </row>
    <row r="152" spans="1:30">
      <c r="A152" s="2130">
        <v>145</v>
      </c>
      <c r="B152" s="2894" t="s">
        <v>1380</v>
      </c>
      <c r="C152" s="2900" t="s">
        <v>1381</v>
      </c>
      <c r="D152" s="2896" t="s">
        <v>1022</v>
      </c>
      <c r="E152" s="2127">
        <v>4080.2</v>
      </c>
      <c r="F152" s="1610"/>
      <c r="G152" s="2127">
        <f t="shared" si="28"/>
        <v>4080.2</v>
      </c>
      <c r="H152" s="1610"/>
      <c r="I152" s="1610"/>
      <c r="J152" s="1610"/>
      <c r="K152" s="1610"/>
      <c r="L152" s="2901"/>
      <c r="M152" s="1610"/>
      <c r="N152" s="1610"/>
      <c r="O152" s="1610">
        <v>10</v>
      </c>
      <c r="P152" s="1664"/>
      <c r="Q152" s="1664">
        <v>1.07</v>
      </c>
      <c r="R152" s="1610">
        <v>4671</v>
      </c>
      <c r="S152" s="1664">
        <f t="shared" si="30"/>
        <v>4997.97</v>
      </c>
      <c r="T152" s="1664">
        <f t="shared" si="31"/>
        <v>0</v>
      </c>
      <c r="U152" s="1610"/>
      <c r="V152" s="1664">
        <f t="shared" si="24"/>
        <v>0</v>
      </c>
      <c r="W152" s="1664">
        <f t="shared" si="32"/>
        <v>5297.85</v>
      </c>
      <c r="X152" s="1664">
        <f t="shared" si="33"/>
        <v>0</v>
      </c>
      <c r="Y152" s="1610"/>
      <c r="Z152" s="1664">
        <f t="shared" si="25"/>
        <v>0</v>
      </c>
      <c r="AA152" s="1664">
        <f t="shared" si="34"/>
        <v>5562.74</v>
      </c>
      <c r="AB152" s="1664">
        <f t="shared" si="35"/>
        <v>0</v>
      </c>
      <c r="AC152" s="1610"/>
      <c r="AD152" s="1664">
        <f t="shared" si="26"/>
        <v>0</v>
      </c>
    </row>
    <row r="153" spans="1:30">
      <c r="A153" s="2130">
        <v>146</v>
      </c>
      <c r="B153" s="2894" t="s">
        <v>1378</v>
      </c>
      <c r="C153" s="2900" t="s">
        <v>1382</v>
      </c>
      <c r="D153" s="2896" t="s">
        <v>1022</v>
      </c>
      <c r="E153" s="2127">
        <v>4080.2</v>
      </c>
      <c r="F153" s="1610"/>
      <c r="G153" s="2127">
        <f t="shared" si="28"/>
        <v>4080.2</v>
      </c>
      <c r="H153" s="1610"/>
      <c r="I153" s="1610"/>
      <c r="J153" s="1610"/>
      <c r="K153" s="1610"/>
      <c r="L153" s="2901"/>
      <c r="M153" s="1610"/>
      <c r="N153" s="1610"/>
      <c r="O153" s="1610">
        <v>3</v>
      </c>
      <c r="P153" s="1664"/>
      <c r="Q153" s="1664">
        <v>1.07</v>
      </c>
      <c r="R153" s="1610">
        <v>1242</v>
      </c>
      <c r="S153" s="1664">
        <f t="shared" si="30"/>
        <v>1328.94</v>
      </c>
      <c r="T153" s="1664">
        <f t="shared" si="31"/>
        <v>0</v>
      </c>
      <c r="U153" s="1610"/>
      <c r="V153" s="1664">
        <f t="shared" ref="V153:V222" si="36">T153-U153</f>
        <v>0</v>
      </c>
      <c r="W153" s="1664">
        <f t="shared" si="32"/>
        <v>1408.68</v>
      </c>
      <c r="X153" s="1664">
        <f t="shared" si="33"/>
        <v>0</v>
      </c>
      <c r="Y153" s="1610"/>
      <c r="Z153" s="1664">
        <f t="shared" ref="Z153:Z222" si="37">X153-Y153</f>
        <v>0</v>
      </c>
      <c r="AA153" s="1664">
        <f t="shared" si="34"/>
        <v>1479.11</v>
      </c>
      <c r="AB153" s="1664">
        <f t="shared" si="35"/>
        <v>0</v>
      </c>
      <c r="AC153" s="1610"/>
      <c r="AD153" s="1664">
        <f t="shared" ref="AD153:AD222" si="38">AB153-AC153</f>
        <v>0</v>
      </c>
    </row>
    <row r="154" spans="1:30">
      <c r="A154" s="2130">
        <v>147</v>
      </c>
      <c r="B154" s="2894" t="s">
        <v>1380</v>
      </c>
      <c r="C154" s="2900" t="s">
        <v>1384</v>
      </c>
      <c r="D154" s="2896" t="s">
        <v>1022</v>
      </c>
      <c r="E154" s="2127">
        <v>4080.2</v>
      </c>
      <c r="F154" s="1610"/>
      <c r="G154" s="2127">
        <f t="shared" si="28"/>
        <v>4080.2</v>
      </c>
      <c r="H154" s="1610"/>
      <c r="I154" s="1610"/>
      <c r="J154" s="1610"/>
      <c r="K154" s="1610"/>
      <c r="L154" s="2901"/>
      <c r="M154" s="1610"/>
      <c r="N154" s="1610"/>
      <c r="O154" s="1610">
        <v>15</v>
      </c>
      <c r="P154" s="1664"/>
      <c r="Q154" s="1664">
        <v>1.07</v>
      </c>
      <c r="R154" s="1610">
        <v>977</v>
      </c>
      <c r="S154" s="1664">
        <f t="shared" si="30"/>
        <v>1045.3900000000001</v>
      </c>
      <c r="T154" s="1664">
        <f t="shared" si="31"/>
        <v>0</v>
      </c>
      <c r="U154" s="1610"/>
      <c r="V154" s="1664">
        <f t="shared" si="36"/>
        <v>0</v>
      </c>
      <c r="W154" s="1664">
        <f t="shared" si="32"/>
        <v>1108.1099999999999</v>
      </c>
      <c r="X154" s="1664">
        <f t="shared" si="33"/>
        <v>0</v>
      </c>
      <c r="Y154" s="1610"/>
      <c r="Z154" s="1664">
        <f t="shared" si="37"/>
        <v>0</v>
      </c>
      <c r="AA154" s="1664">
        <f t="shared" si="34"/>
        <v>1163.52</v>
      </c>
      <c r="AB154" s="1664">
        <f t="shared" si="35"/>
        <v>0</v>
      </c>
      <c r="AC154" s="1610"/>
      <c r="AD154" s="1664">
        <f t="shared" si="38"/>
        <v>0</v>
      </c>
    </row>
    <row r="155" spans="1:30" ht="38.25">
      <c r="A155" s="2130">
        <v>148</v>
      </c>
      <c r="B155" s="2894" t="s">
        <v>1380</v>
      </c>
      <c r="C155" s="2900" t="s">
        <v>1385</v>
      </c>
      <c r="D155" s="2896" t="s">
        <v>1022</v>
      </c>
      <c r="E155" s="2127">
        <v>4080.2</v>
      </c>
      <c r="F155" s="1610"/>
      <c r="G155" s="2127">
        <f t="shared" si="28"/>
        <v>4080.2</v>
      </c>
      <c r="H155" s="1610"/>
      <c r="I155" s="1610"/>
      <c r="J155" s="1610"/>
      <c r="K155" s="1610"/>
      <c r="L155" s="2901"/>
      <c r="M155" s="1610"/>
      <c r="N155" s="1610"/>
      <c r="O155" s="1610"/>
      <c r="P155" s="1664"/>
      <c r="Q155" s="1664">
        <v>1.07</v>
      </c>
      <c r="R155" s="1610">
        <v>594</v>
      </c>
      <c r="S155" s="1664">
        <f t="shared" si="30"/>
        <v>635.58000000000004</v>
      </c>
      <c r="T155" s="1664">
        <f t="shared" si="31"/>
        <v>0</v>
      </c>
      <c r="U155" s="1610"/>
      <c r="V155" s="1664">
        <f t="shared" si="36"/>
        <v>0</v>
      </c>
      <c r="W155" s="1664">
        <f t="shared" si="32"/>
        <v>673.71</v>
      </c>
      <c r="X155" s="1664">
        <f t="shared" si="33"/>
        <v>0</v>
      </c>
      <c r="Y155" s="1610"/>
      <c r="Z155" s="1664">
        <f t="shared" si="37"/>
        <v>0</v>
      </c>
      <c r="AA155" s="1664">
        <f t="shared" si="34"/>
        <v>707.4</v>
      </c>
      <c r="AB155" s="1664">
        <f t="shared" si="35"/>
        <v>0</v>
      </c>
      <c r="AC155" s="1610"/>
      <c r="AD155" s="1664">
        <f t="shared" si="38"/>
        <v>0</v>
      </c>
    </row>
    <row r="156" spans="1:30">
      <c r="A156" s="2130">
        <v>149</v>
      </c>
      <c r="B156" s="2894" t="s">
        <v>1665</v>
      </c>
      <c r="C156" s="2900" t="s">
        <v>1667</v>
      </c>
      <c r="D156" s="2896" t="s">
        <v>1022</v>
      </c>
      <c r="E156" s="2127">
        <v>4080.2</v>
      </c>
      <c r="F156" s="1610"/>
      <c r="G156" s="2127">
        <f t="shared" si="28"/>
        <v>4080.2</v>
      </c>
      <c r="H156" s="1610"/>
      <c r="I156" s="1610"/>
      <c r="J156" s="1610"/>
      <c r="K156" s="1610"/>
      <c r="L156" s="2901"/>
      <c r="M156" s="1610"/>
      <c r="N156" s="1610"/>
      <c r="O156" s="1610">
        <v>15</v>
      </c>
      <c r="P156" s="1664"/>
      <c r="Q156" s="1664">
        <v>1.07</v>
      </c>
      <c r="R156" s="1610">
        <v>2341</v>
      </c>
      <c r="S156" s="1664">
        <f t="shared" si="30"/>
        <v>2504.87</v>
      </c>
      <c r="T156" s="1664">
        <f t="shared" si="31"/>
        <v>0</v>
      </c>
      <c r="U156" s="1610"/>
      <c r="V156" s="1664">
        <f t="shared" si="36"/>
        <v>0</v>
      </c>
      <c r="W156" s="1664">
        <f t="shared" si="32"/>
        <v>2655.16</v>
      </c>
      <c r="X156" s="1664">
        <f t="shared" si="33"/>
        <v>0</v>
      </c>
      <c r="Y156" s="1610"/>
      <c r="Z156" s="1664">
        <f t="shared" si="37"/>
        <v>0</v>
      </c>
      <c r="AA156" s="1664">
        <f t="shared" si="34"/>
        <v>2787.92</v>
      </c>
      <c r="AB156" s="1664">
        <f t="shared" si="35"/>
        <v>0</v>
      </c>
      <c r="AC156" s="1610"/>
      <c r="AD156" s="1664">
        <f t="shared" si="38"/>
        <v>0</v>
      </c>
    </row>
    <row r="157" spans="1:30" ht="25.5">
      <c r="A157" s="2130">
        <v>150</v>
      </c>
      <c r="B157" s="2894" t="s">
        <v>1462</v>
      </c>
      <c r="C157" s="2900" t="s">
        <v>1463</v>
      </c>
      <c r="D157" s="2896" t="s">
        <v>1268</v>
      </c>
      <c r="E157" s="2127">
        <v>4080.2</v>
      </c>
      <c r="F157" s="1610"/>
      <c r="G157" s="2127">
        <f t="shared" si="28"/>
        <v>4080.2</v>
      </c>
      <c r="H157" s="1610"/>
      <c r="I157" s="1610"/>
      <c r="J157" s="1610"/>
      <c r="K157" s="1610"/>
      <c r="L157" s="2901"/>
      <c r="M157" s="1610"/>
      <c r="N157" s="1610"/>
      <c r="O157" s="1610"/>
      <c r="P157" s="1664"/>
      <c r="Q157" s="1664">
        <v>1.07</v>
      </c>
      <c r="R157" s="1610">
        <v>1782</v>
      </c>
      <c r="S157" s="1664">
        <f t="shared" si="30"/>
        <v>1906.74</v>
      </c>
      <c r="T157" s="1664">
        <f t="shared" si="31"/>
        <v>0</v>
      </c>
      <c r="U157" s="1610"/>
      <c r="V157" s="1664">
        <f t="shared" si="36"/>
        <v>0</v>
      </c>
      <c r="W157" s="1664">
        <f t="shared" si="32"/>
        <v>2021.14</v>
      </c>
      <c r="X157" s="1664">
        <f t="shared" si="33"/>
        <v>0</v>
      </c>
      <c r="Y157" s="1610"/>
      <c r="Z157" s="1664">
        <f t="shared" si="37"/>
        <v>0</v>
      </c>
      <c r="AA157" s="1664">
        <f t="shared" si="34"/>
        <v>2122.1999999999998</v>
      </c>
      <c r="AB157" s="1664">
        <f t="shared" si="35"/>
        <v>0</v>
      </c>
      <c r="AC157" s="1610"/>
      <c r="AD157" s="1664">
        <f t="shared" si="38"/>
        <v>0</v>
      </c>
    </row>
    <row r="158" spans="1:30" ht="25.5">
      <c r="A158" s="2130">
        <v>151</v>
      </c>
      <c r="B158" s="2894" t="s">
        <v>2482</v>
      </c>
      <c r="C158" s="2895" t="s">
        <v>2483</v>
      </c>
      <c r="D158" s="2896" t="s">
        <v>1268</v>
      </c>
      <c r="E158" s="2127">
        <v>4080.2</v>
      </c>
      <c r="F158" s="1610"/>
      <c r="G158" s="2127">
        <f t="shared" si="28"/>
        <v>4080.2</v>
      </c>
      <c r="H158" s="1610"/>
      <c r="I158" s="1610"/>
      <c r="J158" s="1610"/>
      <c r="K158" s="1610"/>
      <c r="L158" s="2901"/>
      <c r="M158" s="1610"/>
      <c r="N158" s="1610"/>
      <c r="O158" s="1610"/>
      <c r="P158" s="1664"/>
      <c r="Q158" s="1664">
        <v>1.07</v>
      </c>
      <c r="R158" s="1610">
        <v>4185</v>
      </c>
      <c r="S158" s="1664">
        <f t="shared" si="30"/>
        <v>4477.95</v>
      </c>
      <c r="T158" s="1664">
        <f t="shared" si="31"/>
        <v>0</v>
      </c>
      <c r="U158" s="1610"/>
      <c r="V158" s="1664">
        <f t="shared" si="36"/>
        <v>0</v>
      </c>
      <c r="W158" s="1664">
        <f t="shared" si="32"/>
        <v>4746.63</v>
      </c>
      <c r="X158" s="1664">
        <f t="shared" si="33"/>
        <v>0</v>
      </c>
      <c r="Y158" s="1610"/>
      <c r="Z158" s="1664">
        <f t="shared" si="37"/>
        <v>0</v>
      </c>
      <c r="AA158" s="1664">
        <f t="shared" si="34"/>
        <v>4983.96</v>
      </c>
      <c r="AB158" s="1664">
        <f t="shared" si="35"/>
        <v>0</v>
      </c>
      <c r="AC158" s="1610"/>
      <c r="AD158" s="1664">
        <f t="shared" si="38"/>
        <v>0</v>
      </c>
    </row>
    <row r="159" spans="1:30" ht="25.5">
      <c r="A159" s="2130">
        <v>152</v>
      </c>
      <c r="B159" s="2894" t="s">
        <v>2482</v>
      </c>
      <c r="C159" s="2895" t="s">
        <v>2484</v>
      </c>
      <c r="D159" s="2896" t="s">
        <v>1268</v>
      </c>
      <c r="E159" s="2127">
        <v>4080.2</v>
      </c>
      <c r="F159" s="1610"/>
      <c r="G159" s="2127">
        <f t="shared" si="28"/>
        <v>4080.2</v>
      </c>
      <c r="H159" s="1610"/>
      <c r="I159" s="1610"/>
      <c r="J159" s="1610"/>
      <c r="K159" s="1610"/>
      <c r="L159" s="2901"/>
      <c r="M159" s="1610"/>
      <c r="N159" s="1610"/>
      <c r="O159" s="1610"/>
      <c r="P159" s="1664"/>
      <c r="Q159" s="1664">
        <v>1.07</v>
      </c>
      <c r="R159" s="1610">
        <v>2430</v>
      </c>
      <c r="S159" s="1664">
        <f t="shared" si="30"/>
        <v>2600.1</v>
      </c>
      <c r="T159" s="1664">
        <f t="shared" si="31"/>
        <v>0</v>
      </c>
      <c r="U159" s="1610"/>
      <c r="V159" s="1664">
        <f t="shared" si="36"/>
        <v>0</v>
      </c>
      <c r="W159" s="1664">
        <f t="shared" si="32"/>
        <v>2756.11</v>
      </c>
      <c r="X159" s="1664">
        <f t="shared" si="33"/>
        <v>0</v>
      </c>
      <c r="Y159" s="1610"/>
      <c r="Z159" s="1664">
        <f t="shared" si="37"/>
        <v>0</v>
      </c>
      <c r="AA159" s="1664">
        <f t="shared" si="34"/>
        <v>2893.92</v>
      </c>
      <c r="AB159" s="1664">
        <f t="shared" si="35"/>
        <v>0</v>
      </c>
      <c r="AC159" s="1610"/>
      <c r="AD159" s="1664">
        <f t="shared" si="38"/>
        <v>0</v>
      </c>
    </row>
    <row r="160" spans="1:30" ht="25.5">
      <c r="A160" s="2130">
        <v>153</v>
      </c>
      <c r="B160" s="2894" t="s">
        <v>2482</v>
      </c>
      <c r="C160" s="2895" t="s">
        <v>2485</v>
      </c>
      <c r="D160" s="2896" t="s">
        <v>1268</v>
      </c>
      <c r="E160" s="2127">
        <v>4080.2</v>
      </c>
      <c r="F160" s="1610"/>
      <c r="G160" s="2127">
        <f t="shared" si="28"/>
        <v>4080.2</v>
      </c>
      <c r="H160" s="1610"/>
      <c r="I160" s="1610"/>
      <c r="J160" s="1610"/>
      <c r="K160" s="1610"/>
      <c r="L160" s="2901"/>
      <c r="M160" s="1610"/>
      <c r="N160" s="1610"/>
      <c r="O160" s="1610"/>
      <c r="P160" s="1664"/>
      <c r="Q160" s="1664">
        <v>1.07</v>
      </c>
      <c r="R160" s="1610">
        <v>3375</v>
      </c>
      <c r="S160" s="1664">
        <f t="shared" si="30"/>
        <v>3611.25</v>
      </c>
      <c r="T160" s="1664">
        <f t="shared" si="31"/>
        <v>0</v>
      </c>
      <c r="U160" s="1610"/>
      <c r="V160" s="1664">
        <f t="shared" si="36"/>
        <v>0</v>
      </c>
      <c r="W160" s="1664">
        <f t="shared" si="32"/>
        <v>3827.93</v>
      </c>
      <c r="X160" s="1664">
        <f t="shared" si="33"/>
        <v>0</v>
      </c>
      <c r="Y160" s="1610"/>
      <c r="Z160" s="1664">
        <f t="shared" si="37"/>
        <v>0</v>
      </c>
      <c r="AA160" s="1664">
        <f t="shared" si="34"/>
        <v>4019.33</v>
      </c>
      <c r="AB160" s="1664">
        <f t="shared" si="35"/>
        <v>0</v>
      </c>
      <c r="AC160" s="1610"/>
      <c r="AD160" s="1664">
        <f t="shared" si="38"/>
        <v>0</v>
      </c>
    </row>
    <row r="161" spans="1:30" ht="25.5">
      <c r="A161" s="2130">
        <v>154</v>
      </c>
      <c r="B161" s="2894" t="s">
        <v>2013</v>
      </c>
      <c r="C161" s="2895" t="s">
        <v>2486</v>
      </c>
      <c r="D161" s="2896" t="s">
        <v>1525</v>
      </c>
      <c r="E161" s="2127">
        <v>4080.2</v>
      </c>
      <c r="F161" s="1610"/>
      <c r="G161" s="2127">
        <f t="shared" si="28"/>
        <v>4080.2</v>
      </c>
      <c r="H161" s="1610"/>
      <c r="I161" s="1610"/>
      <c r="J161" s="1610"/>
      <c r="K161" s="1610"/>
      <c r="L161" s="2901"/>
      <c r="M161" s="1610"/>
      <c r="N161" s="1610"/>
      <c r="O161" s="1610"/>
      <c r="P161" s="1664"/>
      <c r="Q161" s="1664">
        <v>1.07</v>
      </c>
      <c r="R161" s="1610">
        <v>5076</v>
      </c>
      <c r="S161" s="1664">
        <f t="shared" si="30"/>
        <v>5431.32</v>
      </c>
      <c r="T161" s="1664">
        <f t="shared" si="31"/>
        <v>0</v>
      </c>
      <c r="U161" s="1610"/>
      <c r="V161" s="1664">
        <f t="shared" si="36"/>
        <v>0</v>
      </c>
      <c r="W161" s="1664">
        <f t="shared" si="32"/>
        <v>5757.2</v>
      </c>
      <c r="X161" s="1664">
        <f t="shared" si="33"/>
        <v>0</v>
      </c>
      <c r="Y161" s="1610"/>
      <c r="Z161" s="1664">
        <f t="shared" si="37"/>
        <v>0</v>
      </c>
      <c r="AA161" s="1664">
        <f t="shared" si="34"/>
        <v>6045.06</v>
      </c>
      <c r="AB161" s="1664">
        <f t="shared" si="35"/>
        <v>0</v>
      </c>
      <c r="AC161" s="1610"/>
      <c r="AD161" s="1664">
        <f t="shared" si="38"/>
        <v>0</v>
      </c>
    </row>
    <row r="162" spans="1:30" ht="25.5">
      <c r="A162" s="2130">
        <v>155</v>
      </c>
      <c r="B162" s="2894" t="s">
        <v>1981</v>
      </c>
      <c r="C162" s="2895" t="s">
        <v>2486</v>
      </c>
      <c r="D162" s="2896" t="s">
        <v>1525</v>
      </c>
      <c r="E162" s="2127">
        <v>4080.2</v>
      </c>
      <c r="F162" s="1610"/>
      <c r="G162" s="2127">
        <f t="shared" si="28"/>
        <v>4080.2</v>
      </c>
      <c r="H162" s="1610"/>
      <c r="I162" s="1610"/>
      <c r="J162" s="1610"/>
      <c r="K162" s="1610"/>
      <c r="L162" s="2901"/>
      <c r="M162" s="1610"/>
      <c r="N162" s="1610"/>
      <c r="O162" s="1610"/>
      <c r="P162" s="1664"/>
      <c r="Q162" s="1664">
        <v>1.07</v>
      </c>
      <c r="R162" s="1610">
        <v>5595</v>
      </c>
      <c r="S162" s="1664">
        <f t="shared" si="30"/>
        <v>5986.65</v>
      </c>
      <c r="T162" s="1664">
        <f t="shared" si="31"/>
        <v>0</v>
      </c>
      <c r="U162" s="1610"/>
      <c r="V162" s="1664">
        <f t="shared" si="36"/>
        <v>0</v>
      </c>
      <c r="W162" s="1664">
        <f t="shared" si="32"/>
        <v>6345.85</v>
      </c>
      <c r="X162" s="1664">
        <f t="shared" si="33"/>
        <v>0</v>
      </c>
      <c r="Y162" s="1610"/>
      <c r="Z162" s="1664">
        <f t="shared" si="37"/>
        <v>0</v>
      </c>
      <c r="AA162" s="1664">
        <f t="shared" si="34"/>
        <v>6663.14</v>
      </c>
      <c r="AB162" s="1664">
        <f t="shared" si="35"/>
        <v>0</v>
      </c>
      <c r="AC162" s="1610"/>
      <c r="AD162" s="1664">
        <f t="shared" si="38"/>
        <v>0</v>
      </c>
    </row>
    <row r="163" spans="1:30">
      <c r="A163" s="2130">
        <v>156</v>
      </c>
      <c r="B163" s="2894" t="s">
        <v>1562</v>
      </c>
      <c r="C163" s="2900" t="s">
        <v>1563</v>
      </c>
      <c r="D163" s="2896" t="s">
        <v>1564</v>
      </c>
      <c r="E163" s="2127">
        <v>4080.2</v>
      </c>
      <c r="F163" s="1610"/>
      <c r="G163" s="2127">
        <f t="shared" si="28"/>
        <v>4080.2</v>
      </c>
      <c r="H163" s="1610"/>
      <c r="I163" s="1610"/>
      <c r="J163" s="1610"/>
      <c r="K163" s="1610"/>
      <c r="L163" s="2901"/>
      <c r="M163" s="1610">
        <f>2*36</f>
        <v>72</v>
      </c>
      <c r="N163" s="2457">
        <v>0</v>
      </c>
      <c r="O163" s="2457">
        <v>0</v>
      </c>
      <c r="P163" s="1664"/>
      <c r="Q163" s="1664">
        <v>1.07</v>
      </c>
      <c r="R163" s="1610">
        <v>222</v>
      </c>
      <c r="S163" s="1664">
        <f t="shared" si="30"/>
        <v>237.54</v>
      </c>
      <c r="T163" s="1664">
        <f t="shared" si="31"/>
        <v>0</v>
      </c>
      <c r="U163" s="1610"/>
      <c r="V163" s="1664">
        <f t="shared" si="36"/>
        <v>0</v>
      </c>
      <c r="W163" s="1664">
        <f t="shared" si="32"/>
        <v>251.79</v>
      </c>
      <c r="X163" s="1664">
        <f t="shared" si="33"/>
        <v>0</v>
      </c>
      <c r="Y163" s="1610"/>
      <c r="Z163" s="1664">
        <f t="shared" si="37"/>
        <v>0</v>
      </c>
      <c r="AA163" s="1664">
        <f t="shared" si="34"/>
        <v>264.38</v>
      </c>
      <c r="AB163" s="1664">
        <f t="shared" si="35"/>
        <v>0</v>
      </c>
      <c r="AC163" s="1610"/>
      <c r="AD163" s="1664">
        <f t="shared" si="38"/>
        <v>0</v>
      </c>
    </row>
    <row r="164" spans="1:30" ht="165.75">
      <c r="A164" s="2130">
        <v>157</v>
      </c>
      <c r="B164" s="2894" t="s">
        <v>2487</v>
      </c>
      <c r="C164" s="2902" t="s">
        <v>2488</v>
      </c>
      <c r="D164" s="2896" t="s">
        <v>1268</v>
      </c>
      <c r="E164" s="2127">
        <v>4080.2</v>
      </c>
      <c r="F164" s="1610"/>
      <c r="G164" s="2127">
        <f t="shared" si="28"/>
        <v>4080.2</v>
      </c>
      <c r="H164" s="1610"/>
      <c r="I164" s="1610"/>
      <c r="J164" s="1610"/>
      <c r="K164" s="1610"/>
      <c r="L164" s="2901"/>
      <c r="M164" s="1610"/>
      <c r="N164" s="1610"/>
      <c r="O164" s="1610"/>
      <c r="P164" s="1664"/>
      <c r="Q164" s="1664">
        <v>1.07</v>
      </c>
      <c r="R164" s="1610">
        <v>5130</v>
      </c>
      <c r="S164" s="1664">
        <f t="shared" si="30"/>
        <v>5489.1</v>
      </c>
      <c r="T164" s="1664">
        <f t="shared" si="31"/>
        <v>0</v>
      </c>
      <c r="U164" s="1610"/>
      <c r="V164" s="1664">
        <f t="shared" si="36"/>
        <v>0</v>
      </c>
      <c r="W164" s="1664">
        <f t="shared" si="32"/>
        <v>5818.45</v>
      </c>
      <c r="X164" s="1664">
        <f t="shared" si="33"/>
        <v>0</v>
      </c>
      <c r="Y164" s="1610"/>
      <c r="Z164" s="1664">
        <f t="shared" si="37"/>
        <v>0</v>
      </c>
      <c r="AA164" s="1664">
        <f t="shared" si="34"/>
        <v>6109.37</v>
      </c>
      <c r="AB164" s="1664">
        <f t="shared" si="35"/>
        <v>0</v>
      </c>
      <c r="AC164" s="1610"/>
      <c r="AD164" s="1664">
        <f t="shared" si="38"/>
        <v>0</v>
      </c>
    </row>
    <row r="165" spans="1:30" ht="102">
      <c r="A165" s="2130">
        <v>158</v>
      </c>
      <c r="B165" s="2894" t="s">
        <v>2489</v>
      </c>
      <c r="C165" s="2900" t="s">
        <v>2490</v>
      </c>
      <c r="D165" s="2896" t="s">
        <v>1268</v>
      </c>
      <c r="E165" s="2127">
        <v>4080.2</v>
      </c>
      <c r="F165" s="1610"/>
      <c r="G165" s="2127">
        <f t="shared" si="28"/>
        <v>4080.2</v>
      </c>
      <c r="H165" s="1610"/>
      <c r="I165" s="1610"/>
      <c r="J165" s="1610"/>
      <c r="K165" s="1610"/>
      <c r="L165" s="2901"/>
      <c r="M165" s="1610"/>
      <c r="N165" s="1610"/>
      <c r="O165" s="1610"/>
      <c r="P165" s="1664"/>
      <c r="Q165" s="1664">
        <v>1.07</v>
      </c>
      <c r="R165" s="1610">
        <v>10665</v>
      </c>
      <c r="S165" s="1664">
        <f t="shared" si="30"/>
        <v>11411.55</v>
      </c>
      <c r="T165" s="1664">
        <f t="shared" si="31"/>
        <v>0</v>
      </c>
      <c r="U165" s="1610"/>
      <c r="V165" s="1664">
        <f t="shared" si="36"/>
        <v>0</v>
      </c>
      <c r="W165" s="1664">
        <f t="shared" si="32"/>
        <v>12096.24</v>
      </c>
      <c r="X165" s="1664">
        <f t="shared" si="33"/>
        <v>0</v>
      </c>
      <c r="Y165" s="1610"/>
      <c r="Z165" s="1664">
        <f t="shared" si="37"/>
        <v>0</v>
      </c>
      <c r="AA165" s="1664">
        <f t="shared" si="34"/>
        <v>12701.05</v>
      </c>
      <c r="AB165" s="1664">
        <f t="shared" si="35"/>
        <v>0</v>
      </c>
      <c r="AC165" s="1610"/>
      <c r="AD165" s="1664">
        <f t="shared" si="38"/>
        <v>0</v>
      </c>
    </row>
    <row r="166" spans="1:30" ht="76.5">
      <c r="A166" s="2130">
        <v>159</v>
      </c>
      <c r="B166" s="2894" t="s">
        <v>2491</v>
      </c>
      <c r="C166" s="2900" t="s">
        <v>2492</v>
      </c>
      <c r="D166" s="2896" t="s">
        <v>1268</v>
      </c>
      <c r="E166" s="2127">
        <v>4080.2</v>
      </c>
      <c r="F166" s="1610"/>
      <c r="G166" s="2127">
        <f t="shared" si="28"/>
        <v>4080.2</v>
      </c>
      <c r="H166" s="1610"/>
      <c r="I166" s="1610"/>
      <c r="J166" s="1610"/>
      <c r="K166" s="1610"/>
      <c r="L166" s="2901"/>
      <c r="M166" s="1610"/>
      <c r="N166" s="1610"/>
      <c r="O166" s="1610"/>
      <c r="P166" s="1664"/>
      <c r="Q166" s="1664">
        <v>1.07</v>
      </c>
      <c r="R166" s="1610">
        <v>2770</v>
      </c>
      <c r="S166" s="1664">
        <f t="shared" si="30"/>
        <v>2963.9</v>
      </c>
      <c r="T166" s="1664">
        <f t="shared" si="31"/>
        <v>0</v>
      </c>
      <c r="U166" s="1610"/>
      <c r="V166" s="1664">
        <f t="shared" si="36"/>
        <v>0</v>
      </c>
      <c r="W166" s="1664">
        <f t="shared" si="32"/>
        <v>3141.73</v>
      </c>
      <c r="X166" s="1664">
        <f t="shared" si="33"/>
        <v>0</v>
      </c>
      <c r="Y166" s="1610"/>
      <c r="Z166" s="1664">
        <f t="shared" si="37"/>
        <v>0</v>
      </c>
      <c r="AA166" s="1664">
        <f t="shared" si="34"/>
        <v>3298.82</v>
      </c>
      <c r="AB166" s="1664">
        <f t="shared" si="35"/>
        <v>0</v>
      </c>
      <c r="AC166" s="1610"/>
      <c r="AD166" s="1664">
        <f t="shared" si="38"/>
        <v>0</v>
      </c>
    </row>
    <row r="167" spans="1:30" ht="25.5">
      <c r="A167" s="2130">
        <v>160</v>
      </c>
      <c r="B167" s="2894" t="s">
        <v>1273</v>
      </c>
      <c r="C167" s="2897" t="s">
        <v>2493</v>
      </c>
      <c r="D167" s="2896" t="s">
        <v>1268</v>
      </c>
      <c r="E167" s="2127">
        <v>4080.2</v>
      </c>
      <c r="F167" s="1610"/>
      <c r="G167" s="2127">
        <f t="shared" si="28"/>
        <v>4080.2</v>
      </c>
      <c r="H167" s="1610"/>
      <c r="I167" s="1610"/>
      <c r="J167" s="1610"/>
      <c r="K167" s="1610"/>
      <c r="L167" s="2901"/>
      <c r="M167" s="1610"/>
      <c r="N167" s="1610"/>
      <c r="O167" s="1610">
        <v>5</v>
      </c>
      <c r="P167" s="1664"/>
      <c r="Q167" s="1664">
        <v>1.07</v>
      </c>
      <c r="R167" s="1610">
        <v>2511</v>
      </c>
      <c r="S167" s="1664">
        <f t="shared" si="30"/>
        <v>2686.77</v>
      </c>
      <c r="T167" s="1664">
        <f t="shared" si="31"/>
        <v>0</v>
      </c>
      <c r="U167" s="1610"/>
      <c r="V167" s="1664">
        <f t="shared" si="36"/>
        <v>0</v>
      </c>
      <c r="W167" s="1664">
        <f t="shared" si="32"/>
        <v>2847.98</v>
      </c>
      <c r="X167" s="1664">
        <f t="shared" si="33"/>
        <v>0</v>
      </c>
      <c r="Y167" s="1610"/>
      <c r="Z167" s="1664">
        <f t="shared" si="37"/>
        <v>0</v>
      </c>
      <c r="AA167" s="1664">
        <f t="shared" si="34"/>
        <v>2990.38</v>
      </c>
      <c r="AB167" s="1664">
        <f t="shared" si="35"/>
        <v>0</v>
      </c>
      <c r="AC167" s="1610"/>
      <c r="AD167" s="1664">
        <f t="shared" si="38"/>
        <v>0</v>
      </c>
    </row>
    <row r="168" spans="1:30" ht="25.5">
      <c r="A168" s="2130">
        <v>161</v>
      </c>
      <c r="B168" s="2894" t="s">
        <v>2494</v>
      </c>
      <c r="C168" s="2897" t="s">
        <v>2495</v>
      </c>
      <c r="D168" s="2896" t="s">
        <v>1268</v>
      </c>
      <c r="E168" s="2127">
        <v>4080.2</v>
      </c>
      <c r="F168" s="1610"/>
      <c r="G168" s="2127">
        <f t="shared" si="28"/>
        <v>4080.2</v>
      </c>
      <c r="H168" s="1610"/>
      <c r="I168" s="1610"/>
      <c r="J168" s="1610"/>
      <c r="K168" s="1610"/>
      <c r="L168" s="2901"/>
      <c r="M168" s="1610"/>
      <c r="N168" s="1610"/>
      <c r="O168" s="1610">
        <v>4</v>
      </c>
      <c r="P168" s="1664"/>
      <c r="Q168" s="1664">
        <v>1.07</v>
      </c>
      <c r="R168" s="1610">
        <v>2150</v>
      </c>
      <c r="S168" s="1664">
        <f t="shared" si="30"/>
        <v>2300.5</v>
      </c>
      <c r="T168" s="1664">
        <f t="shared" si="31"/>
        <v>0</v>
      </c>
      <c r="U168" s="1610"/>
      <c r="V168" s="1664">
        <f t="shared" si="36"/>
        <v>0</v>
      </c>
      <c r="W168" s="1664">
        <f t="shared" si="32"/>
        <v>2438.5300000000002</v>
      </c>
      <c r="X168" s="1664">
        <f t="shared" si="33"/>
        <v>0</v>
      </c>
      <c r="Y168" s="1610"/>
      <c r="Z168" s="1664">
        <f t="shared" si="37"/>
        <v>0</v>
      </c>
      <c r="AA168" s="1664">
        <f t="shared" si="34"/>
        <v>2560.46</v>
      </c>
      <c r="AB168" s="1664">
        <f t="shared" si="35"/>
        <v>0</v>
      </c>
      <c r="AC168" s="1610"/>
      <c r="AD168" s="1664">
        <f t="shared" si="38"/>
        <v>0</v>
      </c>
    </row>
    <row r="169" spans="1:30" ht="25.5">
      <c r="A169" s="2130">
        <v>162</v>
      </c>
      <c r="B169" s="2894" t="s">
        <v>2494</v>
      </c>
      <c r="C169" s="2897" t="s">
        <v>2496</v>
      </c>
      <c r="D169" s="2896" t="s">
        <v>1268</v>
      </c>
      <c r="E169" s="2127">
        <v>4080.2</v>
      </c>
      <c r="F169" s="1610"/>
      <c r="G169" s="2127">
        <f t="shared" si="28"/>
        <v>4080.2</v>
      </c>
      <c r="H169" s="1610"/>
      <c r="I169" s="1610"/>
      <c r="J169" s="1610"/>
      <c r="K169" s="1610"/>
      <c r="L169" s="2901"/>
      <c r="M169" s="1610"/>
      <c r="N169" s="1610"/>
      <c r="O169" s="1610">
        <v>3</v>
      </c>
      <c r="P169" s="1664"/>
      <c r="Q169" s="1664">
        <v>1.07</v>
      </c>
      <c r="R169" s="1610">
        <v>2990</v>
      </c>
      <c r="S169" s="1664">
        <f t="shared" si="30"/>
        <v>3199.3</v>
      </c>
      <c r="T169" s="1664">
        <f t="shared" si="31"/>
        <v>0</v>
      </c>
      <c r="U169" s="1610"/>
      <c r="V169" s="1664">
        <f t="shared" si="36"/>
        <v>0</v>
      </c>
      <c r="W169" s="1664">
        <f t="shared" si="32"/>
        <v>3391.26</v>
      </c>
      <c r="X169" s="1664">
        <f t="shared" si="33"/>
        <v>0</v>
      </c>
      <c r="Y169" s="1610"/>
      <c r="Z169" s="1664">
        <f t="shared" si="37"/>
        <v>0</v>
      </c>
      <c r="AA169" s="1664">
        <f t="shared" si="34"/>
        <v>3560.82</v>
      </c>
      <c r="AB169" s="1664">
        <f t="shared" si="35"/>
        <v>0</v>
      </c>
      <c r="AC169" s="1610"/>
      <c r="AD169" s="1664">
        <f t="shared" si="38"/>
        <v>0</v>
      </c>
    </row>
    <row r="170" spans="1:30" ht="25.5">
      <c r="A170" s="2130">
        <v>163</v>
      </c>
      <c r="B170" s="2894" t="s">
        <v>2497</v>
      </c>
      <c r="C170" s="2897" t="s">
        <v>2498</v>
      </c>
      <c r="D170" s="2896" t="s">
        <v>1268</v>
      </c>
      <c r="E170" s="2127">
        <v>4080.2</v>
      </c>
      <c r="F170" s="1610"/>
      <c r="G170" s="2127">
        <f t="shared" si="28"/>
        <v>4080.2</v>
      </c>
      <c r="H170" s="1610"/>
      <c r="I170" s="1610"/>
      <c r="J170" s="1610"/>
      <c r="K170" s="1610"/>
      <c r="L170" s="2901"/>
      <c r="M170" s="1610"/>
      <c r="N170" s="1610"/>
      <c r="O170" s="1610">
        <v>5</v>
      </c>
      <c r="P170" s="1664"/>
      <c r="Q170" s="1664">
        <v>1.07</v>
      </c>
      <c r="R170" s="1610">
        <v>830</v>
      </c>
      <c r="S170" s="1664">
        <f t="shared" si="30"/>
        <v>888.1</v>
      </c>
      <c r="T170" s="1664">
        <f t="shared" si="31"/>
        <v>0</v>
      </c>
      <c r="U170" s="1610"/>
      <c r="V170" s="1664">
        <f t="shared" si="36"/>
        <v>0</v>
      </c>
      <c r="W170" s="1664">
        <f t="shared" si="32"/>
        <v>941.39</v>
      </c>
      <c r="X170" s="1664">
        <f t="shared" si="33"/>
        <v>0</v>
      </c>
      <c r="Y170" s="1610"/>
      <c r="Z170" s="1664">
        <f t="shared" si="37"/>
        <v>0</v>
      </c>
      <c r="AA170" s="1664">
        <f t="shared" si="34"/>
        <v>988.46</v>
      </c>
      <c r="AB170" s="1664">
        <f t="shared" si="35"/>
        <v>0</v>
      </c>
      <c r="AC170" s="1610"/>
      <c r="AD170" s="1664">
        <f t="shared" si="38"/>
        <v>0</v>
      </c>
    </row>
    <row r="171" spans="1:30" ht="25.5">
      <c r="A171" s="2130">
        <v>164</v>
      </c>
      <c r="B171" s="2894" t="s">
        <v>2497</v>
      </c>
      <c r="C171" s="2897" t="s">
        <v>2499</v>
      </c>
      <c r="D171" s="2896" t="s">
        <v>1268</v>
      </c>
      <c r="E171" s="2127">
        <v>4080.2</v>
      </c>
      <c r="F171" s="1610"/>
      <c r="G171" s="2127">
        <f t="shared" si="28"/>
        <v>4080.2</v>
      </c>
      <c r="H171" s="1610"/>
      <c r="I171" s="1610"/>
      <c r="J171" s="1610"/>
      <c r="K171" s="1610"/>
      <c r="L171" s="2901"/>
      <c r="M171" s="1610"/>
      <c r="N171" s="1610"/>
      <c r="O171" s="1610">
        <v>7</v>
      </c>
      <c r="P171" s="1664"/>
      <c r="Q171" s="1664">
        <v>1.07</v>
      </c>
      <c r="R171" s="1610">
        <v>990</v>
      </c>
      <c r="S171" s="1664">
        <f t="shared" si="30"/>
        <v>1059.3</v>
      </c>
      <c r="T171" s="1664">
        <f t="shared" si="31"/>
        <v>0</v>
      </c>
      <c r="U171" s="1610"/>
      <c r="V171" s="1664">
        <f t="shared" si="36"/>
        <v>0</v>
      </c>
      <c r="W171" s="1664">
        <f t="shared" si="32"/>
        <v>1122.8599999999999</v>
      </c>
      <c r="X171" s="1664">
        <f t="shared" si="33"/>
        <v>0</v>
      </c>
      <c r="Y171" s="1610"/>
      <c r="Z171" s="1664">
        <f t="shared" si="37"/>
        <v>0</v>
      </c>
      <c r="AA171" s="1664">
        <f t="shared" si="34"/>
        <v>1179</v>
      </c>
      <c r="AB171" s="1664">
        <f t="shared" si="35"/>
        <v>0</v>
      </c>
      <c r="AC171" s="1610"/>
      <c r="AD171" s="1664">
        <f t="shared" si="38"/>
        <v>0</v>
      </c>
    </row>
    <row r="172" spans="1:30" ht="25.5">
      <c r="A172" s="2130">
        <v>165</v>
      </c>
      <c r="B172" s="2894" t="s">
        <v>2497</v>
      </c>
      <c r="C172" s="2897" t="s">
        <v>2500</v>
      </c>
      <c r="D172" s="2896" t="s">
        <v>1268</v>
      </c>
      <c r="E172" s="2127">
        <v>4080.2</v>
      </c>
      <c r="F172" s="1610"/>
      <c r="G172" s="2127">
        <f t="shared" si="28"/>
        <v>4080.2</v>
      </c>
      <c r="H172" s="1610"/>
      <c r="I172" s="1610"/>
      <c r="J172" s="1610"/>
      <c r="K172" s="1610"/>
      <c r="L172" s="2901"/>
      <c r="M172" s="1610"/>
      <c r="N172" s="1610"/>
      <c r="O172" s="1610">
        <v>7</v>
      </c>
      <c r="P172" s="1664"/>
      <c r="Q172" s="1664">
        <v>1.07</v>
      </c>
      <c r="R172" s="1610">
        <v>1053</v>
      </c>
      <c r="S172" s="1664">
        <f t="shared" si="30"/>
        <v>1126.71</v>
      </c>
      <c r="T172" s="1664">
        <f t="shared" si="31"/>
        <v>0</v>
      </c>
      <c r="U172" s="1610"/>
      <c r="V172" s="1664">
        <f t="shared" si="36"/>
        <v>0</v>
      </c>
      <c r="W172" s="1664">
        <f t="shared" si="32"/>
        <v>1194.31</v>
      </c>
      <c r="X172" s="1664">
        <f t="shared" si="33"/>
        <v>0</v>
      </c>
      <c r="Y172" s="1610"/>
      <c r="Z172" s="1664">
        <f t="shared" si="37"/>
        <v>0</v>
      </c>
      <c r="AA172" s="1664">
        <f t="shared" si="34"/>
        <v>1254.03</v>
      </c>
      <c r="AB172" s="1664">
        <f t="shared" si="35"/>
        <v>0</v>
      </c>
      <c r="AC172" s="1610"/>
      <c r="AD172" s="1664">
        <f t="shared" si="38"/>
        <v>0</v>
      </c>
    </row>
    <row r="173" spans="1:30" ht="25.5">
      <c r="A173" s="2130">
        <v>166</v>
      </c>
      <c r="B173" s="2894" t="s">
        <v>1282</v>
      </c>
      <c r="C173" s="2897" t="s">
        <v>1283</v>
      </c>
      <c r="D173" s="2896" t="s">
        <v>1268</v>
      </c>
      <c r="E173" s="2127">
        <v>4080.2</v>
      </c>
      <c r="F173" s="1610"/>
      <c r="G173" s="2127">
        <f t="shared" si="28"/>
        <v>4080.2</v>
      </c>
      <c r="H173" s="1610"/>
      <c r="I173" s="1610"/>
      <c r="J173" s="1610"/>
      <c r="K173" s="1610"/>
      <c r="L173" s="2901"/>
      <c r="M173" s="1610"/>
      <c r="N173" s="1610"/>
      <c r="O173" s="1610">
        <v>0</v>
      </c>
      <c r="P173" s="1664"/>
      <c r="Q173" s="1664">
        <v>1.07</v>
      </c>
      <c r="R173" s="1610">
        <v>1107</v>
      </c>
      <c r="S173" s="1664">
        <f t="shared" si="30"/>
        <v>1184.49</v>
      </c>
      <c r="T173" s="1664">
        <f t="shared" si="31"/>
        <v>0</v>
      </c>
      <c r="U173" s="1610"/>
      <c r="V173" s="1664">
        <f t="shared" si="36"/>
        <v>0</v>
      </c>
      <c r="W173" s="1664">
        <f t="shared" si="32"/>
        <v>1255.56</v>
      </c>
      <c r="X173" s="1664">
        <f t="shared" si="33"/>
        <v>0</v>
      </c>
      <c r="Y173" s="1610"/>
      <c r="Z173" s="1664">
        <f t="shared" si="37"/>
        <v>0</v>
      </c>
      <c r="AA173" s="1664">
        <f t="shared" si="34"/>
        <v>1318.34</v>
      </c>
      <c r="AB173" s="1664">
        <f t="shared" si="35"/>
        <v>0</v>
      </c>
      <c r="AC173" s="1610"/>
      <c r="AD173" s="1664">
        <f t="shared" si="38"/>
        <v>0</v>
      </c>
    </row>
    <row r="174" spans="1:30">
      <c r="A174" s="2130">
        <v>167</v>
      </c>
      <c r="B174" s="2894" t="s">
        <v>1294</v>
      </c>
      <c r="C174" s="2897" t="s">
        <v>2203</v>
      </c>
      <c r="D174" s="2896" t="s">
        <v>1268</v>
      </c>
      <c r="E174" s="2127">
        <v>4080.2</v>
      </c>
      <c r="F174" s="1610"/>
      <c r="G174" s="2127">
        <f t="shared" si="28"/>
        <v>4080.2</v>
      </c>
      <c r="H174" s="1610"/>
      <c r="I174" s="1610"/>
      <c r="J174" s="1610"/>
      <c r="K174" s="1610"/>
      <c r="L174" s="2901"/>
      <c r="M174" s="1610"/>
      <c r="N174" s="1610"/>
      <c r="O174" s="1610">
        <v>10</v>
      </c>
      <c r="P174" s="1664"/>
      <c r="Q174" s="1664">
        <v>1.07</v>
      </c>
      <c r="R174" s="1610">
        <v>837</v>
      </c>
      <c r="S174" s="1664">
        <f t="shared" si="30"/>
        <v>895.59</v>
      </c>
      <c r="T174" s="1664">
        <f t="shared" si="31"/>
        <v>0</v>
      </c>
      <c r="U174" s="1610"/>
      <c r="V174" s="1664">
        <f t="shared" si="36"/>
        <v>0</v>
      </c>
      <c r="W174" s="1664">
        <f t="shared" si="32"/>
        <v>949.33</v>
      </c>
      <c r="X174" s="1664">
        <f t="shared" si="33"/>
        <v>0</v>
      </c>
      <c r="Y174" s="1610"/>
      <c r="Z174" s="1664">
        <f t="shared" si="37"/>
        <v>0</v>
      </c>
      <c r="AA174" s="1664">
        <f t="shared" si="34"/>
        <v>996.8</v>
      </c>
      <c r="AB174" s="1664">
        <f t="shared" si="35"/>
        <v>0</v>
      </c>
      <c r="AC174" s="1610"/>
      <c r="AD174" s="1664">
        <f t="shared" si="38"/>
        <v>0</v>
      </c>
    </row>
    <row r="175" spans="1:30">
      <c r="A175" s="2130">
        <v>168</v>
      </c>
      <c r="B175" s="2894" t="s">
        <v>1294</v>
      </c>
      <c r="C175" s="2897" t="s">
        <v>2204</v>
      </c>
      <c r="D175" s="2896" t="s">
        <v>1268</v>
      </c>
      <c r="E175" s="2127">
        <v>4080.2</v>
      </c>
      <c r="F175" s="1610"/>
      <c r="G175" s="2127">
        <f t="shared" si="28"/>
        <v>4080.2</v>
      </c>
      <c r="H175" s="1610"/>
      <c r="I175" s="1610"/>
      <c r="J175" s="1610"/>
      <c r="K175" s="1610"/>
      <c r="L175" s="2901"/>
      <c r="M175" s="1610"/>
      <c r="N175" s="1610"/>
      <c r="O175" s="1610">
        <v>10</v>
      </c>
      <c r="P175" s="1664"/>
      <c r="Q175" s="1664">
        <v>1.07</v>
      </c>
      <c r="R175" s="1610">
        <v>590</v>
      </c>
      <c r="S175" s="1664">
        <f t="shared" si="30"/>
        <v>631.29999999999995</v>
      </c>
      <c r="T175" s="1664">
        <f t="shared" si="31"/>
        <v>0</v>
      </c>
      <c r="U175" s="1610"/>
      <c r="V175" s="1664">
        <f t="shared" si="36"/>
        <v>0</v>
      </c>
      <c r="W175" s="1664">
        <f t="shared" si="32"/>
        <v>669.18</v>
      </c>
      <c r="X175" s="1664">
        <f t="shared" si="33"/>
        <v>0</v>
      </c>
      <c r="Y175" s="1610"/>
      <c r="Z175" s="1664">
        <f t="shared" si="37"/>
        <v>0</v>
      </c>
      <c r="AA175" s="1664">
        <f t="shared" si="34"/>
        <v>702.64</v>
      </c>
      <c r="AB175" s="1664">
        <f t="shared" si="35"/>
        <v>0</v>
      </c>
      <c r="AC175" s="1610"/>
      <c r="AD175" s="1664">
        <f t="shared" si="38"/>
        <v>0</v>
      </c>
    </row>
    <row r="176" spans="1:30">
      <c r="A176" s="2130">
        <v>169</v>
      </c>
      <c r="B176" s="2894" t="s">
        <v>1330</v>
      </c>
      <c r="C176" s="2900" t="s">
        <v>1331</v>
      </c>
      <c r="D176" s="2896" t="s">
        <v>1268</v>
      </c>
      <c r="E176" s="2127">
        <v>4080.2</v>
      </c>
      <c r="F176" s="1610"/>
      <c r="G176" s="2127">
        <f t="shared" si="28"/>
        <v>4080.2</v>
      </c>
      <c r="H176" s="1610"/>
      <c r="I176" s="1610"/>
      <c r="J176" s="1610"/>
      <c r="K176" s="1610"/>
      <c r="L176" s="2901"/>
      <c r="M176" s="1610"/>
      <c r="N176" s="1610"/>
      <c r="O176" s="1610">
        <v>8</v>
      </c>
      <c r="P176" s="1664"/>
      <c r="Q176" s="1664">
        <v>1.07</v>
      </c>
      <c r="R176" s="1610">
        <v>805</v>
      </c>
      <c r="S176" s="1664">
        <f t="shared" si="30"/>
        <v>861.35</v>
      </c>
      <c r="T176" s="1664">
        <f t="shared" si="31"/>
        <v>0</v>
      </c>
      <c r="U176" s="1610"/>
      <c r="V176" s="1664">
        <f t="shared" si="36"/>
        <v>0</v>
      </c>
      <c r="W176" s="1664">
        <f t="shared" si="32"/>
        <v>913.03</v>
      </c>
      <c r="X176" s="1664">
        <f t="shared" si="33"/>
        <v>0</v>
      </c>
      <c r="Y176" s="1610"/>
      <c r="Z176" s="1664">
        <f t="shared" si="37"/>
        <v>0</v>
      </c>
      <c r="AA176" s="1664">
        <f t="shared" si="34"/>
        <v>958.68</v>
      </c>
      <c r="AB176" s="1664">
        <f t="shared" si="35"/>
        <v>0</v>
      </c>
      <c r="AC176" s="1610"/>
      <c r="AD176" s="1664">
        <f t="shared" si="38"/>
        <v>0</v>
      </c>
    </row>
    <row r="177" spans="1:30" ht="38.25">
      <c r="A177" s="2130">
        <v>170</v>
      </c>
      <c r="B177" s="2894" t="s">
        <v>1343</v>
      </c>
      <c r="C177" s="2897" t="s">
        <v>1344</v>
      </c>
      <c r="D177" s="2896" t="s">
        <v>1268</v>
      </c>
      <c r="E177" s="2127">
        <v>4080.2</v>
      </c>
      <c r="F177" s="1610"/>
      <c r="G177" s="2127">
        <f t="shared" si="28"/>
        <v>4080.2</v>
      </c>
      <c r="H177" s="1610"/>
      <c r="I177" s="1610"/>
      <c r="J177" s="1610"/>
      <c r="K177" s="1610"/>
      <c r="L177" s="2901"/>
      <c r="M177" s="1610"/>
      <c r="N177" s="1610"/>
      <c r="O177" s="1610">
        <v>5</v>
      </c>
      <c r="P177" s="1664"/>
      <c r="Q177" s="1664">
        <v>1.07</v>
      </c>
      <c r="R177" s="1610">
        <v>830</v>
      </c>
      <c r="S177" s="1664">
        <f t="shared" si="30"/>
        <v>888.1</v>
      </c>
      <c r="T177" s="1664">
        <f t="shared" si="31"/>
        <v>0</v>
      </c>
      <c r="U177" s="1610"/>
      <c r="V177" s="1664">
        <f t="shared" si="36"/>
        <v>0</v>
      </c>
      <c r="W177" s="1664">
        <f t="shared" si="32"/>
        <v>941.39</v>
      </c>
      <c r="X177" s="1664">
        <f t="shared" si="33"/>
        <v>0</v>
      </c>
      <c r="Y177" s="1610"/>
      <c r="Z177" s="1664">
        <f t="shared" si="37"/>
        <v>0</v>
      </c>
      <c r="AA177" s="1664">
        <f t="shared" si="34"/>
        <v>988.46</v>
      </c>
      <c r="AB177" s="1664">
        <f t="shared" si="35"/>
        <v>0</v>
      </c>
      <c r="AC177" s="1610"/>
      <c r="AD177" s="1664">
        <f t="shared" si="38"/>
        <v>0</v>
      </c>
    </row>
    <row r="178" spans="1:30" ht="38.25">
      <c r="A178" s="2130">
        <v>171</v>
      </c>
      <c r="B178" s="2894" t="s">
        <v>1341</v>
      </c>
      <c r="C178" s="2897" t="s">
        <v>1345</v>
      </c>
      <c r="D178" s="2896" t="s">
        <v>1268</v>
      </c>
      <c r="E178" s="2127">
        <v>4080.2</v>
      </c>
      <c r="F178" s="1610"/>
      <c r="G178" s="2127">
        <f t="shared" si="28"/>
        <v>4080.2</v>
      </c>
      <c r="H178" s="1610"/>
      <c r="I178" s="1610"/>
      <c r="J178" s="1610"/>
      <c r="K178" s="1610"/>
      <c r="L178" s="2901"/>
      <c r="M178" s="1610"/>
      <c r="N178" s="1610"/>
      <c r="O178" s="1610">
        <v>5</v>
      </c>
      <c r="P178" s="1664"/>
      <c r="Q178" s="1664">
        <v>1.07</v>
      </c>
      <c r="R178" s="1610">
        <v>880</v>
      </c>
      <c r="S178" s="1664">
        <f t="shared" si="30"/>
        <v>941.6</v>
      </c>
      <c r="T178" s="1664">
        <f t="shared" si="31"/>
        <v>0</v>
      </c>
      <c r="U178" s="1610"/>
      <c r="V178" s="1664">
        <f t="shared" si="36"/>
        <v>0</v>
      </c>
      <c r="W178" s="1664">
        <f t="shared" si="32"/>
        <v>998.1</v>
      </c>
      <c r="X178" s="1664">
        <f t="shared" si="33"/>
        <v>0</v>
      </c>
      <c r="Y178" s="1610"/>
      <c r="Z178" s="1664">
        <f t="shared" si="37"/>
        <v>0</v>
      </c>
      <c r="AA178" s="1664">
        <f t="shared" si="34"/>
        <v>1048.01</v>
      </c>
      <c r="AB178" s="1664">
        <f t="shared" si="35"/>
        <v>0</v>
      </c>
      <c r="AC178" s="1610"/>
      <c r="AD178" s="1664">
        <f t="shared" si="38"/>
        <v>0</v>
      </c>
    </row>
    <row r="179" spans="1:30" ht="38.25">
      <c r="A179" s="2130">
        <v>172</v>
      </c>
      <c r="B179" s="2894" t="s">
        <v>1346</v>
      </c>
      <c r="C179" s="2897" t="s">
        <v>1347</v>
      </c>
      <c r="D179" s="2896" t="s">
        <v>1268</v>
      </c>
      <c r="E179" s="2127">
        <v>4080.2</v>
      </c>
      <c r="F179" s="1610"/>
      <c r="G179" s="2127">
        <f t="shared" si="28"/>
        <v>4080.2</v>
      </c>
      <c r="H179" s="1610"/>
      <c r="I179" s="1610"/>
      <c r="J179" s="1610"/>
      <c r="K179" s="1610"/>
      <c r="L179" s="2901"/>
      <c r="M179" s="1610"/>
      <c r="N179" s="1610"/>
      <c r="O179" s="1610">
        <v>10</v>
      </c>
      <c r="P179" s="1664"/>
      <c r="Q179" s="1664">
        <v>1.07</v>
      </c>
      <c r="R179" s="1610">
        <v>729</v>
      </c>
      <c r="S179" s="1664">
        <f t="shared" si="30"/>
        <v>780.03</v>
      </c>
      <c r="T179" s="1664">
        <f t="shared" si="31"/>
        <v>0</v>
      </c>
      <c r="U179" s="1610"/>
      <c r="V179" s="1664">
        <f t="shared" si="36"/>
        <v>0</v>
      </c>
      <c r="W179" s="1664">
        <f t="shared" si="32"/>
        <v>826.83</v>
      </c>
      <c r="X179" s="1664">
        <f t="shared" si="33"/>
        <v>0</v>
      </c>
      <c r="Y179" s="1610"/>
      <c r="Z179" s="1664">
        <f t="shared" si="37"/>
        <v>0</v>
      </c>
      <c r="AA179" s="1664">
        <f t="shared" si="34"/>
        <v>868.17</v>
      </c>
      <c r="AB179" s="1664">
        <f t="shared" si="35"/>
        <v>0</v>
      </c>
      <c r="AC179" s="1610"/>
      <c r="AD179" s="1664">
        <f t="shared" si="38"/>
        <v>0</v>
      </c>
    </row>
    <row r="180" spans="1:30" ht="38.25">
      <c r="A180" s="2130">
        <v>173</v>
      </c>
      <c r="B180" s="2894" t="s">
        <v>1343</v>
      </c>
      <c r="C180" s="2897" t="s">
        <v>1348</v>
      </c>
      <c r="D180" s="2896" t="s">
        <v>1268</v>
      </c>
      <c r="E180" s="2127">
        <v>4080.2</v>
      </c>
      <c r="F180" s="1610"/>
      <c r="G180" s="2127">
        <f t="shared" si="28"/>
        <v>4080.2</v>
      </c>
      <c r="H180" s="1610"/>
      <c r="I180" s="1610"/>
      <c r="J180" s="1610"/>
      <c r="K180" s="1610"/>
      <c r="L180" s="2901"/>
      <c r="M180" s="1610"/>
      <c r="N180" s="1610"/>
      <c r="O180" s="1610">
        <v>10</v>
      </c>
      <c r="P180" s="1664"/>
      <c r="Q180" s="1664">
        <v>1.07</v>
      </c>
      <c r="R180" s="1610">
        <v>805</v>
      </c>
      <c r="S180" s="1664">
        <f t="shared" si="30"/>
        <v>861.35</v>
      </c>
      <c r="T180" s="1664">
        <f t="shared" si="31"/>
        <v>0</v>
      </c>
      <c r="U180" s="1610"/>
      <c r="V180" s="1664">
        <f t="shared" si="36"/>
        <v>0</v>
      </c>
      <c r="W180" s="1664">
        <f t="shared" si="32"/>
        <v>913.03</v>
      </c>
      <c r="X180" s="1664">
        <f t="shared" si="33"/>
        <v>0</v>
      </c>
      <c r="Y180" s="1610"/>
      <c r="Z180" s="1664">
        <f t="shared" si="37"/>
        <v>0</v>
      </c>
      <c r="AA180" s="1664">
        <f t="shared" si="34"/>
        <v>958.68</v>
      </c>
      <c r="AB180" s="1664">
        <f t="shared" si="35"/>
        <v>0</v>
      </c>
      <c r="AC180" s="1610"/>
      <c r="AD180" s="1664">
        <f t="shared" si="38"/>
        <v>0</v>
      </c>
    </row>
    <row r="181" spans="1:30">
      <c r="A181" s="2130">
        <v>174</v>
      </c>
      <c r="B181" s="2894" t="s">
        <v>1409</v>
      </c>
      <c r="C181" s="2897" t="s">
        <v>1410</v>
      </c>
      <c r="D181" s="2896" t="s">
        <v>1411</v>
      </c>
      <c r="E181" s="2127">
        <v>4080.2</v>
      </c>
      <c r="F181" s="1610"/>
      <c r="G181" s="2127">
        <f t="shared" ref="G181:G227" si="39">E181</f>
        <v>4080.2</v>
      </c>
      <c r="H181" s="1610"/>
      <c r="I181" s="1610"/>
      <c r="J181" s="1610"/>
      <c r="K181" s="1610"/>
      <c r="L181" s="2901"/>
      <c r="M181" s="1610"/>
      <c r="N181" s="1610"/>
      <c r="O181" s="1610">
        <v>100</v>
      </c>
      <c r="P181" s="1664"/>
      <c r="Q181" s="1664">
        <v>1.07</v>
      </c>
      <c r="R181" s="1610">
        <v>1053</v>
      </c>
      <c r="S181" s="1664">
        <f t="shared" si="30"/>
        <v>1126.71</v>
      </c>
      <c r="T181" s="1664">
        <f t="shared" si="31"/>
        <v>0</v>
      </c>
      <c r="U181" s="1610"/>
      <c r="V181" s="1664">
        <f t="shared" si="36"/>
        <v>0</v>
      </c>
      <c r="W181" s="1664">
        <f t="shared" si="32"/>
        <v>1194.31</v>
      </c>
      <c r="X181" s="1664">
        <f t="shared" si="33"/>
        <v>0</v>
      </c>
      <c r="Y181" s="1610"/>
      <c r="Z181" s="1664">
        <f t="shared" si="37"/>
        <v>0</v>
      </c>
      <c r="AA181" s="1664">
        <f t="shared" si="34"/>
        <v>1254.03</v>
      </c>
      <c r="AB181" s="1664">
        <f t="shared" si="35"/>
        <v>0</v>
      </c>
      <c r="AC181" s="1610"/>
      <c r="AD181" s="1664">
        <f t="shared" si="38"/>
        <v>0</v>
      </c>
    </row>
    <row r="182" spans="1:30">
      <c r="A182" s="2130">
        <v>175</v>
      </c>
      <c r="B182" s="2894" t="s">
        <v>1409</v>
      </c>
      <c r="C182" s="2897" t="s">
        <v>1412</v>
      </c>
      <c r="D182" s="2896" t="s">
        <v>1411</v>
      </c>
      <c r="E182" s="2127">
        <v>4080.2</v>
      </c>
      <c r="F182" s="1610"/>
      <c r="G182" s="2127">
        <f t="shared" si="39"/>
        <v>4080.2</v>
      </c>
      <c r="H182" s="1610"/>
      <c r="I182" s="1610"/>
      <c r="J182" s="1610"/>
      <c r="K182" s="1610"/>
      <c r="L182" s="2901"/>
      <c r="M182" s="1610"/>
      <c r="N182" s="1610"/>
      <c r="O182" s="1610">
        <v>40</v>
      </c>
      <c r="P182" s="1664"/>
      <c r="Q182" s="1664">
        <v>1.07</v>
      </c>
      <c r="R182" s="1610">
        <v>1150</v>
      </c>
      <c r="S182" s="1664">
        <f t="shared" si="30"/>
        <v>1230.5</v>
      </c>
      <c r="T182" s="1664">
        <f t="shared" si="31"/>
        <v>0</v>
      </c>
      <c r="U182" s="1610"/>
      <c r="V182" s="1664">
        <f t="shared" si="36"/>
        <v>0</v>
      </c>
      <c r="W182" s="1664">
        <f t="shared" si="32"/>
        <v>1304.33</v>
      </c>
      <c r="X182" s="1664">
        <f t="shared" si="33"/>
        <v>0</v>
      </c>
      <c r="Y182" s="1610"/>
      <c r="Z182" s="1664">
        <f t="shared" si="37"/>
        <v>0</v>
      </c>
      <c r="AA182" s="1664">
        <f t="shared" si="34"/>
        <v>1369.55</v>
      </c>
      <c r="AB182" s="1664">
        <f t="shared" si="35"/>
        <v>0</v>
      </c>
      <c r="AC182" s="1610"/>
      <c r="AD182" s="1664">
        <f t="shared" si="38"/>
        <v>0</v>
      </c>
    </row>
    <row r="183" spans="1:30">
      <c r="A183" s="2130">
        <v>176</v>
      </c>
      <c r="B183" s="2894" t="s">
        <v>1413</v>
      </c>
      <c r="C183" s="2900" t="s">
        <v>1414</v>
      </c>
      <c r="D183" s="2896" t="s">
        <v>1411</v>
      </c>
      <c r="E183" s="2127">
        <v>4080.2</v>
      </c>
      <c r="F183" s="1610"/>
      <c r="G183" s="2127">
        <f t="shared" si="39"/>
        <v>4080.2</v>
      </c>
      <c r="H183" s="1610"/>
      <c r="I183" s="1610"/>
      <c r="J183" s="1610"/>
      <c r="K183" s="1610"/>
      <c r="L183" s="2901"/>
      <c r="M183" s="1610"/>
      <c r="N183" s="1610"/>
      <c r="O183" s="1610">
        <v>40</v>
      </c>
      <c r="P183" s="1664"/>
      <c r="Q183" s="1664">
        <v>1.07</v>
      </c>
      <c r="R183" s="1610">
        <v>918</v>
      </c>
      <c r="S183" s="1664">
        <f t="shared" si="30"/>
        <v>982.26</v>
      </c>
      <c r="T183" s="1664">
        <f t="shared" si="31"/>
        <v>0</v>
      </c>
      <c r="U183" s="1610"/>
      <c r="V183" s="1664">
        <f t="shared" si="36"/>
        <v>0</v>
      </c>
      <c r="W183" s="1664">
        <f t="shared" si="32"/>
        <v>1041.2</v>
      </c>
      <c r="X183" s="1664">
        <f t="shared" si="33"/>
        <v>0</v>
      </c>
      <c r="Y183" s="1610"/>
      <c r="Z183" s="1664">
        <f t="shared" si="37"/>
        <v>0</v>
      </c>
      <c r="AA183" s="1664">
        <f t="shared" si="34"/>
        <v>1093.26</v>
      </c>
      <c r="AB183" s="1664">
        <f t="shared" si="35"/>
        <v>0</v>
      </c>
      <c r="AC183" s="1610"/>
      <c r="AD183" s="1664">
        <f t="shared" si="38"/>
        <v>0</v>
      </c>
    </row>
    <row r="184" spans="1:30">
      <c r="A184" s="2130">
        <v>177</v>
      </c>
      <c r="B184" s="2894" t="s">
        <v>1416</v>
      </c>
      <c r="C184" s="2897" t="s">
        <v>1417</v>
      </c>
      <c r="D184" s="2896" t="s">
        <v>1411</v>
      </c>
      <c r="E184" s="2127">
        <v>4080.2</v>
      </c>
      <c r="F184" s="1610"/>
      <c r="G184" s="2127">
        <f t="shared" si="39"/>
        <v>4080.2</v>
      </c>
      <c r="H184" s="1610"/>
      <c r="I184" s="1610"/>
      <c r="J184" s="1610"/>
      <c r="K184" s="1610"/>
      <c r="L184" s="2901"/>
      <c r="M184" s="1610"/>
      <c r="N184" s="1610"/>
      <c r="O184" s="1610">
        <v>60</v>
      </c>
      <c r="P184" s="1664"/>
      <c r="Q184" s="1664">
        <v>1.07</v>
      </c>
      <c r="R184" s="1610">
        <v>1185</v>
      </c>
      <c r="S184" s="1664">
        <f t="shared" si="30"/>
        <v>1267.95</v>
      </c>
      <c r="T184" s="1664">
        <f t="shared" si="31"/>
        <v>0</v>
      </c>
      <c r="U184" s="1610"/>
      <c r="V184" s="1664">
        <f t="shared" si="36"/>
        <v>0</v>
      </c>
      <c r="W184" s="1664">
        <f t="shared" si="32"/>
        <v>1344.03</v>
      </c>
      <c r="X184" s="1664">
        <f t="shared" si="33"/>
        <v>0</v>
      </c>
      <c r="Y184" s="1610"/>
      <c r="Z184" s="1664">
        <f t="shared" si="37"/>
        <v>0</v>
      </c>
      <c r="AA184" s="1664">
        <f t="shared" si="34"/>
        <v>1411.23</v>
      </c>
      <c r="AB184" s="1664">
        <f t="shared" si="35"/>
        <v>0</v>
      </c>
      <c r="AC184" s="1610"/>
      <c r="AD184" s="1664">
        <f t="shared" si="38"/>
        <v>0</v>
      </c>
    </row>
    <row r="185" spans="1:30">
      <c r="A185" s="2130">
        <v>178</v>
      </c>
      <c r="B185" s="2894" t="s">
        <v>1416</v>
      </c>
      <c r="C185" s="2897" t="s">
        <v>1418</v>
      </c>
      <c r="D185" s="2896" t="s">
        <v>1411</v>
      </c>
      <c r="E185" s="2127">
        <v>4080.2</v>
      </c>
      <c r="F185" s="1610"/>
      <c r="G185" s="2127">
        <f t="shared" si="39"/>
        <v>4080.2</v>
      </c>
      <c r="H185" s="1610"/>
      <c r="I185" s="1610"/>
      <c r="J185" s="1610"/>
      <c r="K185" s="1610"/>
      <c r="L185" s="2901"/>
      <c r="M185" s="1610"/>
      <c r="N185" s="1610"/>
      <c r="O185" s="1610">
        <v>58</v>
      </c>
      <c r="P185" s="1664"/>
      <c r="Q185" s="1664">
        <v>1.07</v>
      </c>
      <c r="R185" s="1610">
        <v>1539</v>
      </c>
      <c r="S185" s="1664">
        <f t="shared" si="30"/>
        <v>1646.73</v>
      </c>
      <c r="T185" s="1664">
        <f t="shared" si="31"/>
        <v>0</v>
      </c>
      <c r="U185" s="1610"/>
      <c r="V185" s="1664">
        <f t="shared" si="36"/>
        <v>0</v>
      </c>
      <c r="W185" s="1664">
        <f t="shared" si="32"/>
        <v>1745.53</v>
      </c>
      <c r="X185" s="1664">
        <f t="shared" si="33"/>
        <v>0</v>
      </c>
      <c r="Y185" s="1610"/>
      <c r="Z185" s="1664">
        <f t="shared" si="37"/>
        <v>0</v>
      </c>
      <c r="AA185" s="1664">
        <f t="shared" si="34"/>
        <v>1832.81</v>
      </c>
      <c r="AB185" s="1664">
        <f t="shared" si="35"/>
        <v>0</v>
      </c>
      <c r="AC185" s="1610"/>
      <c r="AD185" s="1664">
        <f t="shared" si="38"/>
        <v>0</v>
      </c>
    </row>
    <row r="186" spans="1:30">
      <c r="A186" s="2130">
        <v>179</v>
      </c>
      <c r="B186" s="2894" t="s">
        <v>1425</v>
      </c>
      <c r="C186" s="2897" t="s">
        <v>1426</v>
      </c>
      <c r="D186" s="2896" t="s">
        <v>1411</v>
      </c>
      <c r="E186" s="2127">
        <v>4080.2</v>
      </c>
      <c r="F186" s="1610"/>
      <c r="G186" s="2127">
        <f t="shared" si="39"/>
        <v>4080.2</v>
      </c>
      <c r="H186" s="1610"/>
      <c r="I186" s="1610"/>
      <c r="J186" s="1610"/>
      <c r="K186" s="1610"/>
      <c r="L186" s="2901"/>
      <c r="M186" s="1610"/>
      <c r="N186" s="1610"/>
      <c r="O186" s="1610">
        <v>40</v>
      </c>
      <c r="P186" s="1664"/>
      <c r="Q186" s="1664">
        <v>1.07</v>
      </c>
      <c r="R186" s="1610">
        <v>2268</v>
      </c>
      <c r="S186" s="1664">
        <f t="shared" si="30"/>
        <v>2426.7600000000002</v>
      </c>
      <c r="T186" s="1664">
        <f t="shared" si="31"/>
        <v>0</v>
      </c>
      <c r="U186" s="1610"/>
      <c r="V186" s="1664">
        <f t="shared" si="36"/>
        <v>0</v>
      </c>
      <c r="W186" s="1664">
        <f t="shared" si="32"/>
        <v>2572.37</v>
      </c>
      <c r="X186" s="1664">
        <f t="shared" si="33"/>
        <v>0</v>
      </c>
      <c r="Y186" s="1610"/>
      <c r="Z186" s="1664">
        <f t="shared" si="37"/>
        <v>0</v>
      </c>
      <c r="AA186" s="1664">
        <f t="shared" si="34"/>
        <v>2700.99</v>
      </c>
      <c r="AB186" s="1664">
        <f t="shared" si="35"/>
        <v>0</v>
      </c>
      <c r="AC186" s="1610"/>
      <c r="AD186" s="1664">
        <f t="shared" si="38"/>
        <v>0</v>
      </c>
    </row>
    <row r="187" spans="1:30">
      <c r="A187" s="2130">
        <v>180</v>
      </c>
      <c r="B187" s="2894" t="s">
        <v>1427</v>
      </c>
      <c r="C187" s="2897" t="s">
        <v>1428</v>
      </c>
      <c r="D187" s="2896" t="s">
        <v>1411</v>
      </c>
      <c r="E187" s="2127">
        <v>4080.2</v>
      </c>
      <c r="F187" s="1610"/>
      <c r="G187" s="2127">
        <f t="shared" si="39"/>
        <v>4080.2</v>
      </c>
      <c r="H187" s="1610"/>
      <c r="I187" s="1610"/>
      <c r="J187" s="1610"/>
      <c r="K187" s="1610"/>
      <c r="L187" s="2901"/>
      <c r="M187" s="1610"/>
      <c r="N187" s="1610"/>
      <c r="O187" s="1610">
        <v>10</v>
      </c>
      <c r="P187" s="1664"/>
      <c r="Q187" s="1664">
        <v>1.07</v>
      </c>
      <c r="R187" s="1610">
        <v>3591</v>
      </c>
      <c r="S187" s="1664">
        <f t="shared" si="30"/>
        <v>3842.37</v>
      </c>
      <c r="T187" s="1664">
        <f t="shared" si="31"/>
        <v>0</v>
      </c>
      <c r="U187" s="1610"/>
      <c r="V187" s="1664">
        <f t="shared" si="36"/>
        <v>0</v>
      </c>
      <c r="W187" s="1664">
        <f t="shared" si="32"/>
        <v>4072.91</v>
      </c>
      <c r="X187" s="1664">
        <f t="shared" si="33"/>
        <v>0</v>
      </c>
      <c r="Y187" s="1610"/>
      <c r="Z187" s="1664">
        <f t="shared" si="37"/>
        <v>0</v>
      </c>
      <c r="AA187" s="1664">
        <f t="shared" si="34"/>
        <v>4276.5600000000004</v>
      </c>
      <c r="AB187" s="1664">
        <f t="shared" si="35"/>
        <v>0</v>
      </c>
      <c r="AC187" s="1610"/>
      <c r="AD187" s="1664">
        <f t="shared" si="38"/>
        <v>0</v>
      </c>
    </row>
    <row r="188" spans="1:30">
      <c r="A188" s="2130">
        <v>181</v>
      </c>
      <c r="B188" s="2894" t="s">
        <v>1495</v>
      </c>
      <c r="C188" s="2897" t="s">
        <v>1496</v>
      </c>
      <c r="D188" s="2896" t="s">
        <v>1268</v>
      </c>
      <c r="E188" s="2127">
        <v>4080.2</v>
      </c>
      <c r="F188" s="1610"/>
      <c r="G188" s="2127">
        <f t="shared" si="39"/>
        <v>4080.2</v>
      </c>
      <c r="H188" s="1610"/>
      <c r="I188" s="1610"/>
      <c r="J188" s="1610"/>
      <c r="K188" s="1610"/>
      <c r="L188" s="2901"/>
      <c r="M188" s="1610"/>
      <c r="N188" s="1610"/>
      <c r="O188" s="1610">
        <v>70</v>
      </c>
      <c r="P188" s="1664"/>
      <c r="Q188" s="1664">
        <v>1.07</v>
      </c>
      <c r="R188" s="1610">
        <v>2020</v>
      </c>
      <c r="S188" s="1664">
        <f t="shared" si="30"/>
        <v>2161.4</v>
      </c>
      <c r="T188" s="1664">
        <f t="shared" si="31"/>
        <v>0</v>
      </c>
      <c r="U188" s="1610"/>
      <c r="V188" s="1664">
        <f t="shared" si="36"/>
        <v>0</v>
      </c>
      <c r="W188" s="1664">
        <f t="shared" si="32"/>
        <v>2291.08</v>
      </c>
      <c r="X188" s="1664">
        <f t="shared" si="33"/>
        <v>0</v>
      </c>
      <c r="Y188" s="1610"/>
      <c r="Z188" s="1664">
        <f t="shared" si="37"/>
        <v>0</v>
      </c>
      <c r="AA188" s="1664">
        <f t="shared" si="34"/>
        <v>2405.63</v>
      </c>
      <c r="AB188" s="1664">
        <f t="shared" si="35"/>
        <v>0</v>
      </c>
      <c r="AC188" s="1610"/>
      <c r="AD188" s="1664">
        <f t="shared" si="38"/>
        <v>0</v>
      </c>
    </row>
    <row r="189" spans="1:30">
      <c r="A189" s="2130">
        <v>182</v>
      </c>
      <c r="B189" s="2894" t="s">
        <v>1498</v>
      </c>
      <c r="C189" s="2897" t="s">
        <v>1499</v>
      </c>
      <c r="D189" s="2896" t="s">
        <v>1268</v>
      </c>
      <c r="E189" s="2127">
        <v>4080.2</v>
      </c>
      <c r="F189" s="1610"/>
      <c r="G189" s="2127">
        <f t="shared" si="39"/>
        <v>4080.2</v>
      </c>
      <c r="H189" s="1610"/>
      <c r="I189" s="1610"/>
      <c r="J189" s="1610"/>
      <c r="K189" s="1610"/>
      <c r="L189" s="2901"/>
      <c r="M189" s="1610"/>
      <c r="N189" s="1610"/>
      <c r="O189" s="1610">
        <v>5</v>
      </c>
      <c r="P189" s="1664"/>
      <c r="Q189" s="1664">
        <v>1.07</v>
      </c>
      <c r="R189" s="1610">
        <v>9099</v>
      </c>
      <c r="S189" s="1664">
        <f t="shared" si="30"/>
        <v>9735.93</v>
      </c>
      <c r="T189" s="1664">
        <f t="shared" si="31"/>
        <v>0</v>
      </c>
      <c r="U189" s="1610"/>
      <c r="V189" s="1664">
        <f t="shared" si="36"/>
        <v>0</v>
      </c>
      <c r="W189" s="1664">
        <f t="shared" si="32"/>
        <v>10320.09</v>
      </c>
      <c r="X189" s="1664">
        <f t="shared" si="33"/>
        <v>0</v>
      </c>
      <c r="Y189" s="1610"/>
      <c r="Z189" s="1664">
        <f t="shared" si="37"/>
        <v>0</v>
      </c>
      <c r="AA189" s="1664">
        <f t="shared" si="34"/>
        <v>10836.09</v>
      </c>
      <c r="AB189" s="1664">
        <f t="shared" si="35"/>
        <v>0</v>
      </c>
      <c r="AC189" s="1610"/>
      <c r="AD189" s="1664">
        <f t="shared" si="38"/>
        <v>0</v>
      </c>
    </row>
    <row r="190" spans="1:30">
      <c r="A190" s="2130">
        <v>183</v>
      </c>
      <c r="B190" s="2894" t="s">
        <v>1490</v>
      </c>
      <c r="C190" s="2897" t="s">
        <v>2501</v>
      </c>
      <c r="D190" s="2896" t="s">
        <v>1268</v>
      </c>
      <c r="E190" s="2127">
        <v>4080.2</v>
      </c>
      <c r="F190" s="1610"/>
      <c r="G190" s="2127">
        <f t="shared" si="39"/>
        <v>4080.2</v>
      </c>
      <c r="H190" s="1610"/>
      <c r="I190" s="1610"/>
      <c r="J190" s="1610"/>
      <c r="K190" s="1610"/>
      <c r="L190" s="2901"/>
      <c r="M190" s="1610"/>
      <c r="N190" s="1610"/>
      <c r="O190" s="1610">
        <v>130</v>
      </c>
      <c r="P190" s="1664"/>
      <c r="Q190" s="1664">
        <v>1.07</v>
      </c>
      <c r="R190" s="1610">
        <v>420</v>
      </c>
      <c r="S190" s="1664">
        <f t="shared" si="30"/>
        <v>449.4</v>
      </c>
      <c r="T190" s="1664">
        <f t="shared" si="31"/>
        <v>0</v>
      </c>
      <c r="U190" s="1610"/>
      <c r="V190" s="1664">
        <f t="shared" si="36"/>
        <v>0</v>
      </c>
      <c r="W190" s="1664">
        <f t="shared" si="32"/>
        <v>476.36</v>
      </c>
      <c r="X190" s="1664">
        <f t="shared" si="33"/>
        <v>0</v>
      </c>
      <c r="Y190" s="1610"/>
      <c r="Z190" s="1664">
        <f t="shared" si="37"/>
        <v>0</v>
      </c>
      <c r="AA190" s="1664">
        <f t="shared" si="34"/>
        <v>500.18</v>
      </c>
      <c r="AB190" s="1664">
        <f t="shared" si="35"/>
        <v>0</v>
      </c>
      <c r="AC190" s="1610"/>
      <c r="AD190" s="1664">
        <f t="shared" si="38"/>
        <v>0</v>
      </c>
    </row>
    <row r="191" spans="1:30">
      <c r="A191" s="2130">
        <v>184</v>
      </c>
      <c r="B191" s="2894" t="s">
        <v>1490</v>
      </c>
      <c r="C191" s="2897" t="s">
        <v>2502</v>
      </c>
      <c r="D191" s="2896" t="s">
        <v>1268</v>
      </c>
      <c r="E191" s="2127">
        <v>4080.2</v>
      </c>
      <c r="F191" s="1610"/>
      <c r="G191" s="2127">
        <f t="shared" si="39"/>
        <v>4080.2</v>
      </c>
      <c r="H191" s="1610"/>
      <c r="I191" s="1610"/>
      <c r="J191" s="1610"/>
      <c r="K191" s="1610"/>
      <c r="L191" s="2901"/>
      <c r="M191" s="1610"/>
      <c r="N191" s="1610"/>
      <c r="O191" s="1610">
        <v>75</v>
      </c>
      <c r="P191" s="1664"/>
      <c r="Q191" s="1664">
        <v>1.07</v>
      </c>
      <c r="R191" s="1610">
        <v>594</v>
      </c>
      <c r="S191" s="1664">
        <f t="shared" si="30"/>
        <v>635.58000000000004</v>
      </c>
      <c r="T191" s="1664">
        <f t="shared" si="31"/>
        <v>0</v>
      </c>
      <c r="U191" s="1610"/>
      <c r="V191" s="1664">
        <f t="shared" si="36"/>
        <v>0</v>
      </c>
      <c r="W191" s="1664">
        <f t="shared" si="32"/>
        <v>673.71</v>
      </c>
      <c r="X191" s="1664">
        <f t="shared" si="33"/>
        <v>0</v>
      </c>
      <c r="Y191" s="1610"/>
      <c r="Z191" s="1664">
        <f t="shared" si="37"/>
        <v>0</v>
      </c>
      <c r="AA191" s="1664">
        <f t="shared" si="34"/>
        <v>707.4</v>
      </c>
      <c r="AB191" s="1664">
        <f t="shared" si="35"/>
        <v>0</v>
      </c>
      <c r="AC191" s="1610"/>
      <c r="AD191" s="1664">
        <f t="shared" si="38"/>
        <v>0</v>
      </c>
    </row>
    <row r="192" spans="1:30">
      <c r="A192" s="2130">
        <v>185</v>
      </c>
      <c r="B192" s="2894" t="s">
        <v>1490</v>
      </c>
      <c r="C192" s="2897" t="s">
        <v>1500</v>
      </c>
      <c r="D192" s="2896" t="s">
        <v>1268</v>
      </c>
      <c r="E192" s="2127">
        <v>4080.2</v>
      </c>
      <c r="F192" s="1610"/>
      <c r="G192" s="2127">
        <f t="shared" si="39"/>
        <v>4080.2</v>
      </c>
      <c r="H192" s="1610"/>
      <c r="I192" s="1610"/>
      <c r="J192" s="1610"/>
      <c r="K192" s="1610"/>
      <c r="L192" s="2901"/>
      <c r="M192" s="1610"/>
      <c r="N192" s="1610"/>
      <c r="O192" s="1610">
        <v>16</v>
      </c>
      <c r="P192" s="1664"/>
      <c r="Q192" s="1664">
        <v>1.07</v>
      </c>
      <c r="R192" s="1610">
        <v>2457</v>
      </c>
      <c r="S192" s="1664">
        <f t="shared" si="30"/>
        <v>2628.99</v>
      </c>
      <c r="T192" s="1664">
        <f t="shared" si="31"/>
        <v>0</v>
      </c>
      <c r="U192" s="1610"/>
      <c r="V192" s="1664">
        <f t="shared" si="36"/>
        <v>0</v>
      </c>
      <c r="W192" s="1664">
        <f t="shared" si="32"/>
        <v>2786.73</v>
      </c>
      <c r="X192" s="1664">
        <f t="shared" si="33"/>
        <v>0</v>
      </c>
      <c r="Y192" s="1610"/>
      <c r="Z192" s="1664">
        <f t="shared" si="37"/>
        <v>0</v>
      </c>
      <c r="AA192" s="1664">
        <f t="shared" si="34"/>
        <v>2926.07</v>
      </c>
      <c r="AB192" s="1664">
        <f t="shared" si="35"/>
        <v>0</v>
      </c>
      <c r="AC192" s="1610"/>
      <c r="AD192" s="1664">
        <f t="shared" si="38"/>
        <v>0</v>
      </c>
    </row>
    <row r="193" spans="1:30">
      <c r="A193" s="2130">
        <v>186</v>
      </c>
      <c r="B193" s="2894" t="s">
        <v>1490</v>
      </c>
      <c r="C193" s="2897" t="s">
        <v>1501</v>
      </c>
      <c r="D193" s="2896" t="s">
        <v>1268</v>
      </c>
      <c r="E193" s="2127">
        <v>4080.2</v>
      </c>
      <c r="F193" s="1610"/>
      <c r="G193" s="2127">
        <f t="shared" si="39"/>
        <v>4080.2</v>
      </c>
      <c r="H193" s="1610"/>
      <c r="I193" s="1610"/>
      <c r="J193" s="1610"/>
      <c r="K193" s="1610"/>
      <c r="L193" s="2901"/>
      <c r="M193" s="1610"/>
      <c r="N193" s="1610"/>
      <c r="O193" s="1610">
        <v>15</v>
      </c>
      <c r="P193" s="1664"/>
      <c r="Q193" s="1664">
        <v>1.07</v>
      </c>
      <c r="R193" s="1610">
        <v>2875.5</v>
      </c>
      <c r="S193" s="1664">
        <f t="shared" si="30"/>
        <v>3076.79</v>
      </c>
      <c r="T193" s="1664">
        <f t="shared" si="31"/>
        <v>0</v>
      </c>
      <c r="U193" s="1610"/>
      <c r="V193" s="1664">
        <f t="shared" si="36"/>
        <v>0</v>
      </c>
      <c r="W193" s="1664">
        <f t="shared" si="32"/>
        <v>3261.4</v>
      </c>
      <c r="X193" s="1664">
        <f t="shared" si="33"/>
        <v>0</v>
      </c>
      <c r="Y193" s="1610"/>
      <c r="Z193" s="1664">
        <f t="shared" si="37"/>
        <v>0</v>
      </c>
      <c r="AA193" s="1664">
        <f t="shared" si="34"/>
        <v>3424.47</v>
      </c>
      <c r="AB193" s="1664">
        <f t="shared" si="35"/>
        <v>0</v>
      </c>
      <c r="AC193" s="1610"/>
      <c r="AD193" s="1664">
        <f t="shared" si="38"/>
        <v>0</v>
      </c>
    </row>
    <row r="194" spans="1:30">
      <c r="A194" s="2130">
        <v>187</v>
      </c>
      <c r="B194" s="2894" t="s">
        <v>1506</v>
      </c>
      <c r="C194" s="2897" t="s">
        <v>1507</v>
      </c>
      <c r="D194" s="2896" t="s">
        <v>1268</v>
      </c>
      <c r="E194" s="2127">
        <v>4080.2</v>
      </c>
      <c r="F194" s="1610"/>
      <c r="G194" s="2127">
        <f t="shared" si="39"/>
        <v>4080.2</v>
      </c>
      <c r="H194" s="1610"/>
      <c r="I194" s="1610"/>
      <c r="J194" s="1610"/>
      <c r="K194" s="1610"/>
      <c r="L194" s="2901"/>
      <c r="M194" s="1610"/>
      <c r="N194" s="1610"/>
      <c r="O194" s="1610">
        <v>10</v>
      </c>
      <c r="P194" s="1664"/>
      <c r="Q194" s="1664">
        <v>1.07</v>
      </c>
      <c r="R194" s="1610">
        <v>13338</v>
      </c>
      <c r="S194" s="1664">
        <f t="shared" si="30"/>
        <v>14271.66</v>
      </c>
      <c r="T194" s="1664">
        <f t="shared" si="31"/>
        <v>0</v>
      </c>
      <c r="U194" s="1610"/>
      <c r="V194" s="1664">
        <f t="shared" si="36"/>
        <v>0</v>
      </c>
      <c r="W194" s="1664">
        <f t="shared" si="32"/>
        <v>15127.96</v>
      </c>
      <c r="X194" s="1664">
        <f t="shared" si="33"/>
        <v>0</v>
      </c>
      <c r="Y194" s="1610"/>
      <c r="Z194" s="1664">
        <f t="shared" si="37"/>
        <v>0</v>
      </c>
      <c r="AA194" s="1664">
        <f t="shared" si="34"/>
        <v>15884.36</v>
      </c>
      <c r="AB194" s="1664">
        <f t="shared" si="35"/>
        <v>0</v>
      </c>
      <c r="AC194" s="1610"/>
      <c r="AD194" s="1664">
        <f t="shared" si="38"/>
        <v>0</v>
      </c>
    </row>
    <row r="195" spans="1:30" ht="38.25">
      <c r="A195" s="2130">
        <v>188</v>
      </c>
      <c r="B195" s="2894" t="s">
        <v>2503</v>
      </c>
      <c r="C195" s="2897" t="s">
        <v>1605</v>
      </c>
      <c r="D195" s="2896" t="s">
        <v>1268</v>
      </c>
      <c r="E195" s="2127">
        <v>4080.2</v>
      </c>
      <c r="F195" s="1610"/>
      <c r="G195" s="2127">
        <f t="shared" si="39"/>
        <v>4080.2</v>
      </c>
      <c r="H195" s="1610"/>
      <c r="I195" s="1610"/>
      <c r="J195" s="1610"/>
      <c r="K195" s="1610"/>
      <c r="L195" s="2901"/>
      <c r="M195" s="1610"/>
      <c r="N195" s="1610"/>
      <c r="O195" s="1610">
        <v>8</v>
      </c>
      <c r="P195" s="1664"/>
      <c r="Q195" s="1664">
        <v>1.07</v>
      </c>
      <c r="R195" s="1610">
        <v>830</v>
      </c>
      <c r="S195" s="1664">
        <f t="shared" si="30"/>
        <v>888.1</v>
      </c>
      <c r="T195" s="1664">
        <f t="shared" si="31"/>
        <v>0</v>
      </c>
      <c r="U195" s="1610"/>
      <c r="V195" s="1664">
        <f t="shared" si="36"/>
        <v>0</v>
      </c>
      <c r="W195" s="1664">
        <f t="shared" si="32"/>
        <v>941.39</v>
      </c>
      <c r="X195" s="1664">
        <f t="shared" si="33"/>
        <v>0</v>
      </c>
      <c r="Y195" s="1610"/>
      <c r="Z195" s="1664">
        <f t="shared" si="37"/>
        <v>0</v>
      </c>
      <c r="AA195" s="1664">
        <f t="shared" si="34"/>
        <v>988.46</v>
      </c>
      <c r="AB195" s="1664">
        <f t="shared" si="35"/>
        <v>0</v>
      </c>
      <c r="AC195" s="1610"/>
      <c r="AD195" s="1664">
        <f t="shared" si="38"/>
        <v>0</v>
      </c>
    </row>
    <row r="196" spans="1:30" ht="38.25">
      <c r="A196" s="2130">
        <v>189</v>
      </c>
      <c r="B196" s="2894" t="s">
        <v>2503</v>
      </c>
      <c r="C196" s="2897" t="s">
        <v>1606</v>
      </c>
      <c r="D196" s="2896" t="s">
        <v>1268</v>
      </c>
      <c r="E196" s="2127">
        <v>4080.2</v>
      </c>
      <c r="F196" s="1610"/>
      <c r="G196" s="2127">
        <f t="shared" si="39"/>
        <v>4080.2</v>
      </c>
      <c r="H196" s="1610"/>
      <c r="I196" s="1610"/>
      <c r="J196" s="1610"/>
      <c r="K196" s="1610"/>
      <c r="L196" s="2901"/>
      <c r="M196" s="1610"/>
      <c r="N196" s="1610"/>
      <c r="O196" s="1610">
        <v>8</v>
      </c>
      <c r="P196" s="1664"/>
      <c r="Q196" s="1664">
        <v>1.07</v>
      </c>
      <c r="R196" s="1610">
        <v>1315</v>
      </c>
      <c r="S196" s="1664">
        <f t="shared" si="30"/>
        <v>1407.05</v>
      </c>
      <c r="T196" s="1664">
        <f t="shared" si="31"/>
        <v>0</v>
      </c>
      <c r="U196" s="1610"/>
      <c r="V196" s="1664">
        <f t="shared" si="36"/>
        <v>0</v>
      </c>
      <c r="W196" s="1664">
        <f t="shared" si="32"/>
        <v>1491.47</v>
      </c>
      <c r="X196" s="1664">
        <f t="shared" si="33"/>
        <v>0</v>
      </c>
      <c r="Y196" s="1610"/>
      <c r="Z196" s="1664">
        <f t="shared" si="37"/>
        <v>0</v>
      </c>
      <c r="AA196" s="1664">
        <f t="shared" si="34"/>
        <v>1566.04</v>
      </c>
      <c r="AB196" s="1664">
        <f t="shared" si="35"/>
        <v>0</v>
      </c>
      <c r="AC196" s="1610"/>
      <c r="AD196" s="1664">
        <f t="shared" si="38"/>
        <v>0</v>
      </c>
    </row>
    <row r="197" spans="1:30" ht="38.25">
      <c r="A197" s="2130">
        <v>190</v>
      </c>
      <c r="B197" s="2894" t="s">
        <v>2504</v>
      </c>
      <c r="C197" s="2897" t="s">
        <v>1605</v>
      </c>
      <c r="D197" s="2896" t="s">
        <v>1268</v>
      </c>
      <c r="E197" s="2127">
        <v>4080.2</v>
      </c>
      <c r="F197" s="1610"/>
      <c r="G197" s="2127">
        <f t="shared" si="39"/>
        <v>4080.2</v>
      </c>
      <c r="H197" s="1610"/>
      <c r="I197" s="1610"/>
      <c r="J197" s="1610"/>
      <c r="K197" s="1610"/>
      <c r="L197" s="2901"/>
      <c r="M197" s="1610"/>
      <c r="N197" s="1610"/>
      <c r="O197" s="1610">
        <v>13</v>
      </c>
      <c r="P197" s="1664"/>
      <c r="Q197" s="1664">
        <v>1.07</v>
      </c>
      <c r="R197" s="1610">
        <v>888</v>
      </c>
      <c r="S197" s="1664">
        <f t="shared" si="30"/>
        <v>950.16</v>
      </c>
      <c r="T197" s="1664">
        <f t="shared" si="31"/>
        <v>0</v>
      </c>
      <c r="U197" s="1610"/>
      <c r="V197" s="1664">
        <f t="shared" si="36"/>
        <v>0</v>
      </c>
      <c r="W197" s="1664">
        <f t="shared" si="32"/>
        <v>1007.17</v>
      </c>
      <c r="X197" s="1664">
        <f t="shared" si="33"/>
        <v>0</v>
      </c>
      <c r="Y197" s="1610"/>
      <c r="Z197" s="1664">
        <f t="shared" si="37"/>
        <v>0</v>
      </c>
      <c r="AA197" s="1664">
        <f t="shared" si="34"/>
        <v>1057.53</v>
      </c>
      <c r="AB197" s="1664">
        <f t="shared" si="35"/>
        <v>0</v>
      </c>
      <c r="AC197" s="1610"/>
      <c r="AD197" s="1664">
        <f t="shared" si="38"/>
        <v>0</v>
      </c>
    </row>
    <row r="198" spans="1:30" ht="38.25">
      <c r="A198" s="2130">
        <v>191</v>
      </c>
      <c r="B198" s="2894" t="s">
        <v>2504</v>
      </c>
      <c r="C198" s="2897" t="s">
        <v>1606</v>
      </c>
      <c r="D198" s="2896" t="s">
        <v>1268</v>
      </c>
      <c r="E198" s="2127">
        <v>4080.2</v>
      </c>
      <c r="F198" s="1610"/>
      <c r="G198" s="2127">
        <f t="shared" si="39"/>
        <v>4080.2</v>
      </c>
      <c r="H198" s="1610"/>
      <c r="I198" s="1610"/>
      <c r="J198" s="1610"/>
      <c r="K198" s="1610"/>
      <c r="L198" s="2901"/>
      <c r="M198" s="1610"/>
      <c r="N198" s="1610"/>
      <c r="O198" s="1610">
        <v>13</v>
      </c>
      <c r="P198" s="1664"/>
      <c r="Q198" s="1664">
        <v>1.07</v>
      </c>
      <c r="R198" s="1610">
        <v>1190</v>
      </c>
      <c r="S198" s="1664">
        <f t="shared" si="30"/>
        <v>1273.3</v>
      </c>
      <c r="T198" s="1664">
        <f t="shared" si="31"/>
        <v>0</v>
      </c>
      <c r="U198" s="1610"/>
      <c r="V198" s="1664">
        <f t="shared" si="36"/>
        <v>0</v>
      </c>
      <c r="W198" s="1664">
        <f t="shared" si="32"/>
        <v>1349.7</v>
      </c>
      <c r="X198" s="1664">
        <f t="shared" si="33"/>
        <v>0</v>
      </c>
      <c r="Y198" s="1610"/>
      <c r="Z198" s="1664">
        <f t="shared" si="37"/>
        <v>0</v>
      </c>
      <c r="AA198" s="1664">
        <f t="shared" si="34"/>
        <v>1417.19</v>
      </c>
      <c r="AB198" s="1664">
        <f t="shared" si="35"/>
        <v>0</v>
      </c>
      <c r="AC198" s="1610"/>
      <c r="AD198" s="1664">
        <f t="shared" si="38"/>
        <v>0</v>
      </c>
    </row>
    <row r="199" spans="1:30">
      <c r="A199" s="2130">
        <v>192</v>
      </c>
      <c r="B199" s="2894" t="s">
        <v>2505</v>
      </c>
      <c r="C199" s="2897" t="s">
        <v>2506</v>
      </c>
      <c r="D199" s="2896" t="s">
        <v>1268</v>
      </c>
      <c r="E199" s="2127">
        <v>4080.2</v>
      </c>
      <c r="F199" s="1610"/>
      <c r="G199" s="2127">
        <f t="shared" si="39"/>
        <v>4080.2</v>
      </c>
      <c r="H199" s="1610"/>
      <c r="I199" s="1610"/>
      <c r="J199" s="1610"/>
      <c r="K199" s="1610"/>
      <c r="L199" s="2901"/>
      <c r="M199" s="1610"/>
      <c r="N199" s="1610"/>
      <c r="O199" s="1610"/>
      <c r="P199" s="1664"/>
      <c r="Q199" s="1664">
        <v>1.07</v>
      </c>
      <c r="R199" s="1610">
        <v>6440</v>
      </c>
      <c r="S199" s="1664">
        <f t="shared" si="30"/>
        <v>6890.8</v>
      </c>
      <c r="T199" s="1664">
        <f t="shared" si="31"/>
        <v>0</v>
      </c>
      <c r="U199" s="1610"/>
      <c r="V199" s="1664">
        <f t="shared" si="36"/>
        <v>0</v>
      </c>
      <c r="W199" s="1664">
        <f t="shared" si="32"/>
        <v>7304.25</v>
      </c>
      <c r="X199" s="1664">
        <f t="shared" si="33"/>
        <v>0</v>
      </c>
      <c r="Y199" s="1610"/>
      <c r="Z199" s="1664">
        <f t="shared" si="37"/>
        <v>0</v>
      </c>
      <c r="AA199" s="1664">
        <f t="shared" si="34"/>
        <v>7669.46</v>
      </c>
      <c r="AB199" s="1664">
        <f t="shared" si="35"/>
        <v>0</v>
      </c>
      <c r="AC199" s="1610"/>
      <c r="AD199" s="1664">
        <f t="shared" si="38"/>
        <v>0</v>
      </c>
    </row>
    <row r="200" spans="1:30">
      <c r="A200" s="2130">
        <v>193</v>
      </c>
      <c r="B200" s="2894" t="s">
        <v>2505</v>
      </c>
      <c r="C200" s="2897" t="s">
        <v>2507</v>
      </c>
      <c r="D200" s="2896" t="s">
        <v>1268</v>
      </c>
      <c r="E200" s="2127">
        <v>4080.2</v>
      </c>
      <c r="F200" s="1610"/>
      <c r="G200" s="2127">
        <f t="shared" si="39"/>
        <v>4080.2</v>
      </c>
      <c r="H200" s="1610"/>
      <c r="I200" s="1610"/>
      <c r="J200" s="1610"/>
      <c r="K200" s="1610"/>
      <c r="L200" s="2901"/>
      <c r="M200" s="1610"/>
      <c r="N200" s="1610"/>
      <c r="O200" s="1610"/>
      <c r="P200" s="1664"/>
      <c r="Q200" s="1664">
        <v>1.07</v>
      </c>
      <c r="R200" s="1610">
        <v>5255</v>
      </c>
      <c r="S200" s="1664">
        <f t="shared" si="30"/>
        <v>5622.85</v>
      </c>
      <c r="T200" s="1664">
        <f t="shared" si="31"/>
        <v>0</v>
      </c>
      <c r="U200" s="1610"/>
      <c r="V200" s="1664">
        <f t="shared" si="36"/>
        <v>0</v>
      </c>
      <c r="W200" s="1664">
        <f t="shared" si="32"/>
        <v>5960.22</v>
      </c>
      <c r="X200" s="1664">
        <f t="shared" si="33"/>
        <v>0</v>
      </c>
      <c r="Y200" s="1610"/>
      <c r="Z200" s="1664">
        <f t="shared" si="37"/>
        <v>0</v>
      </c>
      <c r="AA200" s="1664">
        <f t="shared" si="34"/>
        <v>6258.23</v>
      </c>
      <c r="AB200" s="1664">
        <f t="shared" si="35"/>
        <v>0</v>
      </c>
      <c r="AC200" s="1610"/>
      <c r="AD200" s="1664">
        <f t="shared" si="38"/>
        <v>0</v>
      </c>
    </row>
    <row r="201" spans="1:30">
      <c r="A201" s="2130">
        <v>194</v>
      </c>
      <c r="B201" s="2894" t="s">
        <v>2508</v>
      </c>
      <c r="C201" s="2895" t="s">
        <v>2509</v>
      </c>
      <c r="D201" s="2896" t="s">
        <v>1268</v>
      </c>
      <c r="E201" s="2127">
        <v>4080.2</v>
      </c>
      <c r="F201" s="1610"/>
      <c r="G201" s="2127">
        <f t="shared" si="39"/>
        <v>4080.2</v>
      </c>
      <c r="H201" s="1610"/>
      <c r="I201" s="1610"/>
      <c r="J201" s="1610"/>
      <c r="K201" s="1610"/>
      <c r="L201" s="2901"/>
      <c r="M201" s="1610"/>
      <c r="N201" s="1610"/>
      <c r="O201" s="1610"/>
      <c r="P201" s="1664"/>
      <c r="Q201" s="1664">
        <v>1.07</v>
      </c>
      <c r="R201" s="1610">
        <v>4935</v>
      </c>
      <c r="S201" s="1664">
        <f t="shared" ref="S201:S226" si="40">ROUND(Q201*R201,2)</f>
        <v>5280.45</v>
      </c>
      <c r="T201" s="1664">
        <f t="shared" ref="T201:T228" si="41">ROUND(P201*S201,0)</f>
        <v>0</v>
      </c>
      <c r="U201" s="1610"/>
      <c r="V201" s="1664">
        <f t="shared" si="36"/>
        <v>0</v>
      </c>
      <c r="W201" s="1664">
        <f t="shared" ref="W201:W228" si="42">ROUND(S201*$W$3,2)</f>
        <v>5597.28</v>
      </c>
      <c r="X201" s="1664">
        <f t="shared" ref="X201:X228" si="43">ROUND(P201*W201,0)</f>
        <v>0</v>
      </c>
      <c r="Y201" s="1610"/>
      <c r="Z201" s="1664">
        <f t="shared" si="37"/>
        <v>0</v>
      </c>
      <c r="AA201" s="1664">
        <f t="shared" ref="AA201:AA228" si="44">ROUND(W201*$AB$3,2)</f>
        <v>5877.14</v>
      </c>
      <c r="AB201" s="1664">
        <f t="shared" ref="AB201:AB228" si="45">ROUND(P201*AA201,0)</f>
        <v>0</v>
      </c>
      <c r="AC201" s="1610"/>
      <c r="AD201" s="1664">
        <f t="shared" si="38"/>
        <v>0</v>
      </c>
    </row>
    <row r="202" spans="1:30" s="2052" customFormat="1" ht="72">
      <c r="A202" s="2130">
        <v>195</v>
      </c>
      <c r="B202" s="2068" t="s">
        <v>2510</v>
      </c>
      <c r="C202" s="2068" t="s">
        <v>2511</v>
      </c>
      <c r="D202" s="2071" t="s">
        <v>2295</v>
      </c>
      <c r="E202" s="2127">
        <v>4080.2</v>
      </c>
      <c r="F202" s="2071"/>
      <c r="G202" s="2071">
        <f t="shared" si="39"/>
        <v>4080.2</v>
      </c>
      <c r="H202" s="2071"/>
      <c r="I202" s="2071"/>
      <c r="J202" s="2071"/>
      <c r="K202" s="2071"/>
      <c r="L202" s="2071"/>
      <c r="M202" s="2071"/>
      <c r="N202" s="2071"/>
      <c r="O202" s="2071"/>
      <c r="P202" s="1664"/>
      <c r="Q202" s="1664">
        <v>1.07</v>
      </c>
      <c r="R202" s="2071">
        <v>18000</v>
      </c>
      <c r="S202" s="1664">
        <f t="shared" si="40"/>
        <v>19260</v>
      </c>
      <c r="T202" s="1664">
        <f>ROUND(P202*S202,0)</f>
        <v>0</v>
      </c>
      <c r="U202" s="2071"/>
      <c r="V202" s="2071">
        <f t="shared" si="36"/>
        <v>0</v>
      </c>
      <c r="W202" s="1664">
        <f t="shared" si="42"/>
        <v>20415.599999999999</v>
      </c>
      <c r="X202" s="1664">
        <f t="shared" si="43"/>
        <v>0</v>
      </c>
      <c r="Y202" s="2071"/>
      <c r="Z202" s="2071">
        <f t="shared" si="37"/>
        <v>0</v>
      </c>
      <c r="AA202" s="1664">
        <f t="shared" si="44"/>
        <v>21436.38</v>
      </c>
      <c r="AB202" s="1664">
        <f t="shared" si="45"/>
        <v>0</v>
      </c>
      <c r="AC202" s="2071"/>
      <c r="AD202" s="2071">
        <f t="shared" si="38"/>
        <v>0</v>
      </c>
    </row>
    <row r="203" spans="1:30" s="2052" customFormat="1" ht="60">
      <c r="A203" s="2074">
        <v>196</v>
      </c>
      <c r="B203" s="2068" t="s">
        <v>2512</v>
      </c>
      <c r="C203" s="2068" t="s">
        <v>2513</v>
      </c>
      <c r="D203" s="2071" t="s">
        <v>1119</v>
      </c>
      <c r="E203" s="2127">
        <v>4080.2</v>
      </c>
      <c r="F203" s="2071"/>
      <c r="G203" s="2071">
        <f t="shared" si="39"/>
        <v>4080.2</v>
      </c>
      <c r="H203" s="2071"/>
      <c r="I203" s="2071"/>
      <c r="J203" s="2071"/>
      <c r="K203" s="2071"/>
      <c r="L203" s="2071"/>
      <c r="M203" s="2071"/>
      <c r="N203" s="2071"/>
      <c r="O203" s="2071"/>
      <c r="P203" s="1664"/>
      <c r="Q203" s="1664">
        <v>1.07</v>
      </c>
      <c r="R203" s="2071">
        <v>340</v>
      </c>
      <c r="S203" s="1664">
        <f t="shared" si="40"/>
        <v>363.8</v>
      </c>
      <c r="T203" s="1664">
        <f t="shared" si="41"/>
        <v>0</v>
      </c>
      <c r="U203" s="2071"/>
      <c r="V203" s="2071">
        <f t="shared" si="36"/>
        <v>0</v>
      </c>
      <c r="W203" s="1664">
        <f t="shared" si="42"/>
        <v>385.63</v>
      </c>
      <c r="X203" s="1664">
        <f t="shared" si="43"/>
        <v>0</v>
      </c>
      <c r="Y203" s="2071"/>
      <c r="Z203" s="2071">
        <f t="shared" si="37"/>
        <v>0</v>
      </c>
      <c r="AA203" s="1664">
        <f t="shared" si="44"/>
        <v>404.91</v>
      </c>
      <c r="AB203" s="1664">
        <f t="shared" si="45"/>
        <v>0</v>
      </c>
      <c r="AC203" s="2071"/>
      <c r="AD203" s="2071">
        <f t="shared" si="38"/>
        <v>0</v>
      </c>
    </row>
    <row r="204" spans="1:30" s="2052" customFormat="1" ht="24">
      <c r="A204" s="2074">
        <v>197</v>
      </c>
      <c r="B204" s="2068" t="s">
        <v>2512</v>
      </c>
      <c r="C204" s="2068" t="s">
        <v>2514</v>
      </c>
      <c r="D204" s="2071" t="s">
        <v>2515</v>
      </c>
      <c r="E204" s="2127">
        <v>4080.2</v>
      </c>
      <c r="F204" s="2071"/>
      <c r="G204" s="2071">
        <f t="shared" si="39"/>
        <v>4080.2</v>
      </c>
      <c r="H204" s="2071"/>
      <c r="I204" s="2071"/>
      <c r="J204" s="2071"/>
      <c r="K204" s="2071"/>
      <c r="L204" s="2071"/>
      <c r="M204" s="2071"/>
      <c r="N204" s="2071"/>
      <c r="O204" s="2071"/>
      <c r="P204" s="1664"/>
      <c r="Q204" s="1664">
        <v>1.07</v>
      </c>
      <c r="R204" s="2071">
        <v>38950</v>
      </c>
      <c r="S204" s="1664">
        <f t="shared" si="40"/>
        <v>41676.5</v>
      </c>
      <c r="T204" s="1664">
        <f t="shared" si="41"/>
        <v>0</v>
      </c>
      <c r="U204" s="2071"/>
      <c r="V204" s="2071">
        <f t="shared" si="36"/>
        <v>0</v>
      </c>
      <c r="W204" s="1664">
        <f t="shared" si="42"/>
        <v>44177.09</v>
      </c>
      <c r="X204" s="1664">
        <f t="shared" si="43"/>
        <v>0</v>
      </c>
      <c r="Y204" s="2071"/>
      <c r="Z204" s="2071">
        <f t="shared" si="37"/>
        <v>0</v>
      </c>
      <c r="AA204" s="1664">
        <f t="shared" si="44"/>
        <v>46385.94</v>
      </c>
      <c r="AB204" s="1664">
        <f t="shared" si="45"/>
        <v>0</v>
      </c>
      <c r="AC204" s="2071"/>
      <c r="AD204" s="2071">
        <f t="shared" si="38"/>
        <v>0</v>
      </c>
    </row>
    <row r="205" spans="1:30" s="2052" customFormat="1">
      <c r="A205" s="2074">
        <v>198</v>
      </c>
      <c r="B205" s="2068" t="s">
        <v>2554</v>
      </c>
      <c r="C205" s="2068"/>
      <c r="D205" s="2071" t="s">
        <v>1022</v>
      </c>
      <c r="E205" s="2127">
        <v>4080.2</v>
      </c>
      <c r="F205" s="2071"/>
      <c r="G205" s="2071">
        <f t="shared" si="39"/>
        <v>4080.2</v>
      </c>
      <c r="H205" s="2071"/>
      <c r="I205" s="2071"/>
      <c r="J205" s="2071"/>
      <c r="K205" s="2071"/>
      <c r="L205" s="2071"/>
      <c r="M205" s="2071"/>
      <c r="N205" s="2071"/>
      <c r="O205" s="2071"/>
      <c r="P205" s="1664"/>
      <c r="Q205" s="1664">
        <v>1.07</v>
      </c>
      <c r="R205" s="2071">
        <v>55000</v>
      </c>
      <c r="S205" s="1664">
        <f>ROUND(Q205*R205,2)</f>
        <v>58850</v>
      </c>
      <c r="T205" s="1664">
        <f t="shared" si="41"/>
        <v>0</v>
      </c>
      <c r="U205" s="2071"/>
      <c r="V205" s="2071">
        <f t="shared" si="36"/>
        <v>0</v>
      </c>
      <c r="W205" s="1664">
        <f t="shared" si="42"/>
        <v>62381</v>
      </c>
      <c r="X205" s="1664">
        <f t="shared" si="43"/>
        <v>0</v>
      </c>
      <c r="Y205" s="2071"/>
      <c r="Z205" s="2071">
        <f t="shared" si="37"/>
        <v>0</v>
      </c>
      <c r="AA205" s="1664">
        <f t="shared" si="44"/>
        <v>65500.05</v>
      </c>
      <c r="AB205" s="1664">
        <f t="shared" si="45"/>
        <v>0</v>
      </c>
      <c r="AC205" s="2071"/>
      <c r="AD205" s="2071">
        <f t="shared" si="38"/>
        <v>0</v>
      </c>
    </row>
    <row r="206" spans="1:30" s="2052" customFormat="1">
      <c r="A206" s="2074">
        <v>199</v>
      </c>
      <c r="B206" s="2068" t="s">
        <v>2555</v>
      </c>
      <c r="C206" s="2068"/>
      <c r="D206" s="2071" t="s">
        <v>1022</v>
      </c>
      <c r="E206" s="2127">
        <v>4080.2</v>
      </c>
      <c r="F206" s="2071"/>
      <c r="G206" s="2071">
        <f t="shared" si="39"/>
        <v>4080.2</v>
      </c>
      <c r="H206" s="2071"/>
      <c r="I206" s="2071"/>
      <c r="J206" s="2071"/>
      <c r="K206" s="2071"/>
      <c r="L206" s="2071"/>
      <c r="M206" s="2071"/>
      <c r="N206" s="2071"/>
      <c r="O206" s="2071"/>
      <c r="P206" s="1664"/>
      <c r="Q206" s="1664">
        <v>1.07</v>
      </c>
      <c r="R206" s="2071">
        <v>120000</v>
      </c>
      <c r="S206" s="1664">
        <f t="shared" si="40"/>
        <v>128400</v>
      </c>
      <c r="T206" s="1664">
        <f t="shared" si="41"/>
        <v>0</v>
      </c>
      <c r="U206" s="2071"/>
      <c r="V206" s="2071">
        <f t="shared" si="36"/>
        <v>0</v>
      </c>
      <c r="W206" s="1664">
        <f t="shared" si="42"/>
        <v>136104</v>
      </c>
      <c r="X206" s="1664">
        <f t="shared" si="43"/>
        <v>0</v>
      </c>
      <c r="Y206" s="2071"/>
      <c r="Z206" s="2071">
        <f t="shared" si="37"/>
        <v>0</v>
      </c>
      <c r="AA206" s="1664">
        <f t="shared" si="44"/>
        <v>142909.20000000001</v>
      </c>
      <c r="AB206" s="1664">
        <f t="shared" si="45"/>
        <v>0</v>
      </c>
      <c r="AC206" s="2071"/>
      <c r="AD206" s="2071">
        <f t="shared" si="38"/>
        <v>0</v>
      </c>
    </row>
    <row r="207" spans="1:30" s="2052" customFormat="1">
      <c r="A207" s="2074">
        <v>200</v>
      </c>
      <c r="B207" s="2068" t="s">
        <v>2556</v>
      </c>
      <c r="C207" s="2068"/>
      <c r="D207" s="2071" t="s">
        <v>1022</v>
      </c>
      <c r="E207" s="2127">
        <v>4080.2</v>
      </c>
      <c r="F207" s="2071"/>
      <c r="G207" s="2071">
        <f t="shared" si="39"/>
        <v>4080.2</v>
      </c>
      <c r="H207" s="2071"/>
      <c r="I207" s="2071"/>
      <c r="J207" s="2071"/>
      <c r="K207" s="2071"/>
      <c r="L207" s="2071"/>
      <c r="M207" s="2071"/>
      <c r="N207" s="2071"/>
      <c r="O207" s="2071"/>
      <c r="P207" s="1664"/>
      <c r="Q207" s="1664">
        <v>1.07</v>
      </c>
      <c r="R207" s="2071">
        <v>30600</v>
      </c>
      <c r="S207" s="1664">
        <f t="shared" si="40"/>
        <v>32742</v>
      </c>
      <c r="T207" s="1664">
        <f t="shared" si="41"/>
        <v>0</v>
      </c>
      <c r="U207" s="2071"/>
      <c r="V207" s="2071">
        <f t="shared" si="36"/>
        <v>0</v>
      </c>
      <c r="W207" s="1664">
        <f t="shared" si="42"/>
        <v>34706.519999999997</v>
      </c>
      <c r="X207" s="1664">
        <f t="shared" si="43"/>
        <v>0</v>
      </c>
      <c r="Y207" s="2071"/>
      <c r="Z207" s="2071">
        <f t="shared" si="37"/>
        <v>0</v>
      </c>
      <c r="AA207" s="1664">
        <f t="shared" si="44"/>
        <v>36441.85</v>
      </c>
      <c r="AB207" s="1664">
        <f t="shared" si="45"/>
        <v>0</v>
      </c>
      <c r="AC207" s="2071"/>
      <c r="AD207" s="2071">
        <f t="shared" si="38"/>
        <v>0</v>
      </c>
    </row>
    <row r="208" spans="1:30" s="2052" customFormat="1" ht="24">
      <c r="A208" s="2074">
        <v>201</v>
      </c>
      <c r="B208" s="2068" t="s">
        <v>2557</v>
      </c>
      <c r="C208" s="2068"/>
      <c r="D208" s="2071" t="s">
        <v>1022</v>
      </c>
      <c r="E208" s="2127">
        <v>4080.2</v>
      </c>
      <c r="F208" s="2071"/>
      <c r="G208" s="2071">
        <f t="shared" si="39"/>
        <v>4080.2</v>
      </c>
      <c r="H208" s="2071"/>
      <c r="I208" s="2071"/>
      <c r="J208" s="2071"/>
      <c r="K208" s="2071"/>
      <c r="L208" s="2071"/>
      <c r="M208" s="2071"/>
      <c r="N208" s="2071"/>
      <c r="O208" s="2071"/>
      <c r="P208" s="1664"/>
      <c r="Q208" s="1664">
        <v>1.07</v>
      </c>
      <c r="R208" s="2071">
        <v>67000</v>
      </c>
      <c r="S208" s="1664">
        <f t="shared" si="40"/>
        <v>71690</v>
      </c>
      <c r="T208" s="1664">
        <f t="shared" si="41"/>
        <v>0</v>
      </c>
      <c r="U208" s="2071"/>
      <c r="V208" s="2071">
        <f t="shared" si="36"/>
        <v>0</v>
      </c>
      <c r="W208" s="1664">
        <f t="shared" si="42"/>
        <v>75991.399999999994</v>
      </c>
      <c r="X208" s="1664">
        <f t="shared" si="43"/>
        <v>0</v>
      </c>
      <c r="Y208" s="2071"/>
      <c r="Z208" s="2071">
        <f t="shared" si="37"/>
        <v>0</v>
      </c>
      <c r="AA208" s="1664">
        <f t="shared" si="44"/>
        <v>79790.97</v>
      </c>
      <c r="AB208" s="1664">
        <f t="shared" si="45"/>
        <v>0</v>
      </c>
      <c r="AC208" s="2071"/>
      <c r="AD208" s="2071">
        <f t="shared" si="38"/>
        <v>0</v>
      </c>
    </row>
    <row r="209" spans="1:30" s="2052" customFormat="1">
      <c r="A209" s="2074">
        <v>202</v>
      </c>
      <c r="B209" s="2068" t="s">
        <v>2558</v>
      </c>
      <c r="C209" s="2068"/>
      <c r="D209" s="2071" t="s">
        <v>1914</v>
      </c>
      <c r="E209" s="2127">
        <v>4080.2</v>
      </c>
      <c r="F209" s="2071"/>
      <c r="G209" s="2071">
        <f t="shared" si="39"/>
        <v>4080.2</v>
      </c>
      <c r="H209" s="2071"/>
      <c r="I209" s="2071"/>
      <c r="J209" s="2071"/>
      <c r="K209" s="2071"/>
      <c r="L209" s="2071"/>
      <c r="M209" s="2071"/>
      <c r="N209" s="2071"/>
      <c r="O209" s="2071"/>
      <c r="P209" s="1664"/>
      <c r="Q209" s="1664">
        <v>1.07</v>
      </c>
      <c r="R209" s="2071">
        <v>137000</v>
      </c>
      <c r="S209" s="1664">
        <f t="shared" si="40"/>
        <v>146590</v>
      </c>
      <c r="T209" s="1664">
        <f t="shared" si="41"/>
        <v>0</v>
      </c>
      <c r="U209" s="2071"/>
      <c r="V209" s="2071">
        <f t="shared" si="36"/>
        <v>0</v>
      </c>
      <c r="W209" s="1664">
        <f t="shared" si="42"/>
        <v>155385.4</v>
      </c>
      <c r="X209" s="1664">
        <f t="shared" si="43"/>
        <v>0</v>
      </c>
      <c r="Y209" s="2071"/>
      <c r="Z209" s="2071">
        <f t="shared" si="37"/>
        <v>0</v>
      </c>
      <c r="AA209" s="1664">
        <f t="shared" si="44"/>
        <v>163154.67000000001</v>
      </c>
      <c r="AB209" s="1664">
        <f t="shared" si="45"/>
        <v>0</v>
      </c>
      <c r="AC209" s="2071"/>
      <c r="AD209" s="2071">
        <f t="shared" si="38"/>
        <v>0</v>
      </c>
    </row>
    <row r="210" spans="1:30" s="2052" customFormat="1" ht="24">
      <c r="A210" s="2074">
        <v>203</v>
      </c>
      <c r="B210" s="2068" t="s">
        <v>2559</v>
      </c>
      <c r="C210" s="2068"/>
      <c r="D210" s="2071" t="s">
        <v>1022</v>
      </c>
      <c r="E210" s="2127">
        <v>4080.2</v>
      </c>
      <c r="F210" s="2071"/>
      <c r="G210" s="2071">
        <f t="shared" si="39"/>
        <v>4080.2</v>
      </c>
      <c r="H210" s="2071"/>
      <c r="I210" s="2071"/>
      <c r="J210" s="2071"/>
      <c r="K210" s="2071"/>
      <c r="L210" s="2071"/>
      <c r="M210" s="2071"/>
      <c r="N210" s="2071"/>
      <c r="O210" s="2071"/>
      <c r="P210" s="1664"/>
      <c r="Q210" s="1664">
        <v>1.07</v>
      </c>
      <c r="R210" s="2071">
        <v>260000</v>
      </c>
      <c r="S210" s="1664">
        <f t="shared" si="40"/>
        <v>278200</v>
      </c>
      <c r="T210" s="1664">
        <f t="shared" si="41"/>
        <v>0</v>
      </c>
      <c r="U210" s="2071"/>
      <c r="V210" s="2071">
        <f t="shared" si="36"/>
        <v>0</v>
      </c>
      <c r="W210" s="1664">
        <f t="shared" si="42"/>
        <v>294892</v>
      </c>
      <c r="X210" s="1664">
        <f t="shared" si="43"/>
        <v>0</v>
      </c>
      <c r="Y210" s="2071"/>
      <c r="Z210" s="2071">
        <f t="shared" si="37"/>
        <v>0</v>
      </c>
      <c r="AA210" s="1664">
        <f t="shared" si="44"/>
        <v>309636.59999999998</v>
      </c>
      <c r="AB210" s="1664">
        <f t="shared" si="45"/>
        <v>0</v>
      </c>
      <c r="AC210" s="2071"/>
      <c r="AD210" s="2071">
        <f t="shared" si="38"/>
        <v>0</v>
      </c>
    </row>
    <row r="211" spans="1:30" s="2052" customFormat="1" ht="24">
      <c r="A211" s="2074">
        <v>204</v>
      </c>
      <c r="B211" s="2068" t="s">
        <v>2560</v>
      </c>
      <c r="C211" s="2068"/>
      <c r="D211" s="2071" t="s">
        <v>1022</v>
      </c>
      <c r="E211" s="2127">
        <v>4080.2</v>
      </c>
      <c r="F211" s="2071"/>
      <c r="G211" s="2071">
        <f t="shared" si="39"/>
        <v>4080.2</v>
      </c>
      <c r="H211" s="2071"/>
      <c r="I211" s="2071"/>
      <c r="J211" s="2071"/>
      <c r="K211" s="2071"/>
      <c r="L211" s="2071"/>
      <c r="M211" s="2071"/>
      <c r="N211" s="2071"/>
      <c r="O211" s="2071"/>
      <c r="P211" s="1664"/>
      <c r="Q211" s="1664">
        <v>1.07</v>
      </c>
      <c r="R211" s="2071">
        <v>85000</v>
      </c>
      <c r="S211" s="1664">
        <f t="shared" si="40"/>
        <v>90950</v>
      </c>
      <c r="T211" s="1664">
        <f t="shared" si="41"/>
        <v>0</v>
      </c>
      <c r="U211" s="2071"/>
      <c r="V211" s="2071">
        <f t="shared" si="36"/>
        <v>0</v>
      </c>
      <c r="W211" s="1664">
        <f t="shared" si="42"/>
        <v>96407</v>
      </c>
      <c r="X211" s="1664">
        <f t="shared" si="43"/>
        <v>0</v>
      </c>
      <c r="Y211" s="2071"/>
      <c r="Z211" s="2071">
        <f t="shared" si="37"/>
        <v>0</v>
      </c>
      <c r="AA211" s="1664">
        <f t="shared" si="44"/>
        <v>101227.35</v>
      </c>
      <c r="AB211" s="1664">
        <f t="shared" si="45"/>
        <v>0</v>
      </c>
      <c r="AC211" s="2071"/>
      <c r="AD211" s="2071">
        <f t="shared" si="38"/>
        <v>0</v>
      </c>
    </row>
    <row r="212" spans="1:30" s="2052" customFormat="1">
      <c r="A212" s="2074">
        <v>205</v>
      </c>
      <c r="B212" s="2068" t="s">
        <v>2561</v>
      </c>
      <c r="C212" s="2068"/>
      <c r="D212" s="2071" t="s">
        <v>1022</v>
      </c>
      <c r="E212" s="2127">
        <v>4080.2</v>
      </c>
      <c r="F212" s="2071"/>
      <c r="G212" s="2071">
        <f t="shared" si="39"/>
        <v>4080.2</v>
      </c>
      <c r="H212" s="2071"/>
      <c r="I212" s="2071"/>
      <c r="J212" s="2071"/>
      <c r="K212" s="2071"/>
      <c r="L212" s="2071"/>
      <c r="M212" s="2071"/>
      <c r="N212" s="2071"/>
      <c r="O212" s="2071"/>
      <c r="P212" s="1664"/>
      <c r="Q212" s="1664">
        <v>1.07</v>
      </c>
      <c r="R212" s="2071">
        <v>44500</v>
      </c>
      <c r="S212" s="1664">
        <f t="shared" si="40"/>
        <v>47615</v>
      </c>
      <c r="T212" s="1664">
        <f t="shared" si="41"/>
        <v>0</v>
      </c>
      <c r="U212" s="2071"/>
      <c r="V212" s="2071">
        <f t="shared" si="36"/>
        <v>0</v>
      </c>
      <c r="W212" s="1664">
        <f t="shared" si="42"/>
        <v>50471.9</v>
      </c>
      <c r="X212" s="1664">
        <f t="shared" si="43"/>
        <v>0</v>
      </c>
      <c r="Y212" s="2071"/>
      <c r="Z212" s="2071">
        <f t="shared" si="37"/>
        <v>0</v>
      </c>
      <c r="AA212" s="1664">
        <f t="shared" si="44"/>
        <v>52995.5</v>
      </c>
      <c r="AB212" s="1664">
        <f t="shared" si="45"/>
        <v>0</v>
      </c>
      <c r="AC212" s="2071"/>
      <c r="AD212" s="2071">
        <f t="shared" si="38"/>
        <v>0</v>
      </c>
    </row>
    <row r="213" spans="1:30" s="2052" customFormat="1">
      <c r="A213" s="2074">
        <v>206</v>
      </c>
      <c r="B213" s="2068" t="s">
        <v>2562</v>
      </c>
      <c r="C213" s="2068"/>
      <c r="D213" s="2071" t="s">
        <v>1022</v>
      </c>
      <c r="E213" s="2127">
        <v>4080.2</v>
      </c>
      <c r="F213" s="2071"/>
      <c r="G213" s="2071">
        <f t="shared" si="39"/>
        <v>4080.2</v>
      </c>
      <c r="H213" s="2071"/>
      <c r="I213" s="2071"/>
      <c r="J213" s="2071"/>
      <c r="K213" s="2071"/>
      <c r="L213" s="2071"/>
      <c r="M213" s="2071"/>
      <c r="N213" s="2071"/>
      <c r="O213" s="2071"/>
      <c r="P213" s="1664"/>
      <c r="Q213" s="1664">
        <v>1.07</v>
      </c>
      <c r="R213" s="2071">
        <v>48000</v>
      </c>
      <c r="S213" s="1664">
        <f t="shared" si="40"/>
        <v>51360</v>
      </c>
      <c r="T213" s="1664">
        <f t="shared" si="41"/>
        <v>0</v>
      </c>
      <c r="U213" s="2071"/>
      <c r="V213" s="2071">
        <f t="shared" si="36"/>
        <v>0</v>
      </c>
      <c r="W213" s="1664">
        <f t="shared" si="42"/>
        <v>54441.599999999999</v>
      </c>
      <c r="X213" s="1664">
        <f t="shared" si="43"/>
        <v>0</v>
      </c>
      <c r="Y213" s="2071"/>
      <c r="Z213" s="2071">
        <f t="shared" si="37"/>
        <v>0</v>
      </c>
      <c r="AA213" s="1664">
        <f t="shared" si="44"/>
        <v>57163.68</v>
      </c>
      <c r="AB213" s="1664">
        <f t="shared" si="45"/>
        <v>0</v>
      </c>
      <c r="AC213" s="2071"/>
      <c r="AD213" s="2071">
        <f t="shared" si="38"/>
        <v>0</v>
      </c>
    </row>
    <row r="214" spans="1:30" s="2052" customFormat="1">
      <c r="A214" s="2074">
        <v>207</v>
      </c>
      <c r="B214" s="2068" t="s">
        <v>2563</v>
      </c>
      <c r="C214" s="2068"/>
      <c r="D214" s="2071" t="s">
        <v>1218</v>
      </c>
      <c r="E214" s="2127">
        <v>4080.2</v>
      </c>
      <c r="F214" s="2071"/>
      <c r="G214" s="2071">
        <f t="shared" si="39"/>
        <v>4080.2</v>
      </c>
      <c r="H214" s="2071"/>
      <c r="I214" s="2071"/>
      <c r="J214" s="2071"/>
      <c r="K214" s="2071"/>
      <c r="L214" s="2071"/>
      <c r="M214" s="2071"/>
      <c r="N214" s="2071"/>
      <c r="O214" s="2071"/>
      <c r="P214" s="1664"/>
      <c r="Q214" s="1664">
        <v>1.07</v>
      </c>
      <c r="R214" s="2071">
        <v>3500</v>
      </c>
      <c r="S214" s="1664">
        <f t="shared" si="40"/>
        <v>3745</v>
      </c>
      <c r="T214" s="1664">
        <f t="shared" si="41"/>
        <v>0</v>
      </c>
      <c r="U214" s="2071"/>
      <c r="V214" s="2071">
        <f t="shared" si="36"/>
        <v>0</v>
      </c>
      <c r="W214" s="1664">
        <f t="shared" si="42"/>
        <v>3969.7</v>
      </c>
      <c r="X214" s="1664">
        <f t="shared" si="43"/>
        <v>0</v>
      </c>
      <c r="Y214" s="2071"/>
      <c r="Z214" s="2071">
        <f t="shared" si="37"/>
        <v>0</v>
      </c>
      <c r="AA214" s="1664">
        <f t="shared" si="44"/>
        <v>4168.1899999999996</v>
      </c>
      <c r="AB214" s="1664">
        <f t="shared" si="45"/>
        <v>0</v>
      </c>
      <c r="AC214" s="2071"/>
      <c r="AD214" s="2071">
        <f t="shared" si="38"/>
        <v>0</v>
      </c>
    </row>
    <row r="215" spans="1:30" s="2052" customFormat="1">
      <c r="A215" s="2074">
        <v>208</v>
      </c>
      <c r="B215" s="2068" t="s">
        <v>2564</v>
      </c>
      <c r="C215" s="2068"/>
      <c r="D215" s="2071" t="s">
        <v>1590</v>
      </c>
      <c r="E215" s="2127">
        <v>4080.2</v>
      </c>
      <c r="F215" s="2071"/>
      <c r="G215" s="2071">
        <f t="shared" si="39"/>
        <v>4080.2</v>
      </c>
      <c r="H215" s="2071"/>
      <c r="I215" s="2071"/>
      <c r="J215" s="2071"/>
      <c r="K215" s="2071"/>
      <c r="L215" s="2071"/>
      <c r="M215" s="2071"/>
      <c r="N215" s="2071"/>
      <c r="O215" s="2071"/>
      <c r="P215" s="1664"/>
      <c r="Q215" s="1664">
        <v>1.07</v>
      </c>
      <c r="R215" s="2071">
        <v>5500</v>
      </c>
      <c r="S215" s="1664">
        <f t="shared" si="40"/>
        <v>5885</v>
      </c>
      <c r="T215" s="1664">
        <f t="shared" si="41"/>
        <v>0</v>
      </c>
      <c r="U215" s="2071"/>
      <c r="V215" s="2071">
        <f t="shared" si="36"/>
        <v>0</v>
      </c>
      <c r="W215" s="1664">
        <f t="shared" si="42"/>
        <v>6238.1</v>
      </c>
      <c r="X215" s="1664">
        <f t="shared" si="43"/>
        <v>0</v>
      </c>
      <c r="Y215" s="2071"/>
      <c r="Z215" s="2071">
        <f t="shared" si="37"/>
        <v>0</v>
      </c>
      <c r="AA215" s="1664">
        <f t="shared" si="44"/>
        <v>6550.01</v>
      </c>
      <c r="AB215" s="1664">
        <f t="shared" si="45"/>
        <v>0</v>
      </c>
      <c r="AC215" s="2071"/>
      <c r="AD215" s="2071">
        <f t="shared" si="38"/>
        <v>0</v>
      </c>
    </row>
    <row r="216" spans="1:30" s="2052" customFormat="1" ht="24">
      <c r="A216" s="2074">
        <v>209</v>
      </c>
      <c r="B216" s="2068" t="s">
        <v>2565</v>
      </c>
      <c r="C216" s="2068"/>
      <c r="D216" s="2071" t="s">
        <v>1590</v>
      </c>
      <c r="E216" s="2127">
        <v>4080.2</v>
      </c>
      <c r="F216" s="2071"/>
      <c r="G216" s="2071">
        <f t="shared" si="39"/>
        <v>4080.2</v>
      </c>
      <c r="H216" s="2071"/>
      <c r="I216" s="2071"/>
      <c r="J216" s="2071"/>
      <c r="K216" s="2071"/>
      <c r="L216" s="2071"/>
      <c r="M216" s="2071"/>
      <c r="N216" s="2071"/>
      <c r="O216" s="2071"/>
      <c r="P216" s="1664"/>
      <c r="Q216" s="1664">
        <v>1.07</v>
      </c>
      <c r="R216" s="2071">
        <v>7500</v>
      </c>
      <c r="S216" s="1664">
        <f t="shared" si="40"/>
        <v>8025</v>
      </c>
      <c r="T216" s="1664">
        <f t="shared" si="41"/>
        <v>0</v>
      </c>
      <c r="U216" s="2071"/>
      <c r="V216" s="2071">
        <f t="shared" si="36"/>
        <v>0</v>
      </c>
      <c r="W216" s="1664">
        <f t="shared" si="42"/>
        <v>8506.5</v>
      </c>
      <c r="X216" s="1664">
        <f t="shared" si="43"/>
        <v>0</v>
      </c>
      <c r="Y216" s="2071"/>
      <c r="Z216" s="2071">
        <f t="shared" si="37"/>
        <v>0</v>
      </c>
      <c r="AA216" s="1664">
        <f t="shared" si="44"/>
        <v>8931.83</v>
      </c>
      <c r="AB216" s="1664">
        <f t="shared" si="45"/>
        <v>0</v>
      </c>
      <c r="AC216" s="2071"/>
      <c r="AD216" s="2071">
        <f t="shared" si="38"/>
        <v>0</v>
      </c>
    </row>
    <row r="217" spans="1:30" s="2052" customFormat="1" ht="24">
      <c r="A217" s="2074">
        <v>210</v>
      </c>
      <c r="B217" s="2068" t="s">
        <v>2566</v>
      </c>
      <c r="C217" s="2068"/>
      <c r="D217" s="2071" t="s">
        <v>1022</v>
      </c>
      <c r="E217" s="2127">
        <v>4080.2</v>
      </c>
      <c r="F217" s="2071"/>
      <c r="G217" s="2071">
        <f t="shared" si="39"/>
        <v>4080.2</v>
      </c>
      <c r="H217" s="2071"/>
      <c r="I217" s="2071"/>
      <c r="J217" s="2071"/>
      <c r="K217" s="2071"/>
      <c r="L217" s="2071"/>
      <c r="M217" s="2071"/>
      <c r="N217" s="2071"/>
      <c r="O217" s="2071"/>
      <c r="P217" s="1664"/>
      <c r="Q217" s="1664">
        <v>1.07</v>
      </c>
      <c r="R217" s="2071">
        <v>12500</v>
      </c>
      <c r="S217" s="1664">
        <f t="shared" si="40"/>
        <v>13375</v>
      </c>
      <c r="T217" s="1664">
        <f t="shared" si="41"/>
        <v>0</v>
      </c>
      <c r="U217" s="2071"/>
      <c r="V217" s="2071">
        <f t="shared" si="36"/>
        <v>0</v>
      </c>
      <c r="W217" s="1664">
        <f t="shared" si="42"/>
        <v>14177.5</v>
      </c>
      <c r="X217" s="1664">
        <f t="shared" si="43"/>
        <v>0</v>
      </c>
      <c r="Y217" s="2071"/>
      <c r="Z217" s="2071">
        <f t="shared" si="37"/>
        <v>0</v>
      </c>
      <c r="AA217" s="1664">
        <f t="shared" si="44"/>
        <v>14886.38</v>
      </c>
      <c r="AB217" s="1664">
        <f t="shared" si="45"/>
        <v>0</v>
      </c>
      <c r="AC217" s="2071"/>
      <c r="AD217" s="2071">
        <f t="shared" si="38"/>
        <v>0</v>
      </c>
    </row>
    <row r="218" spans="1:30" s="2052" customFormat="1" ht="24">
      <c r="A218" s="2074">
        <v>211</v>
      </c>
      <c r="B218" s="2068" t="s">
        <v>2567</v>
      </c>
      <c r="C218" s="2068"/>
      <c r="D218" s="2071" t="s">
        <v>1022</v>
      </c>
      <c r="E218" s="2127">
        <v>4080.2</v>
      </c>
      <c r="F218" s="2071"/>
      <c r="G218" s="2071">
        <f t="shared" si="39"/>
        <v>4080.2</v>
      </c>
      <c r="H218" s="2071"/>
      <c r="I218" s="2071"/>
      <c r="J218" s="2071"/>
      <c r="K218" s="2071"/>
      <c r="L218" s="2071"/>
      <c r="M218" s="2071"/>
      <c r="N218" s="2071"/>
      <c r="O218" s="2071"/>
      <c r="P218" s="1664"/>
      <c r="Q218" s="1664">
        <v>1.07</v>
      </c>
      <c r="R218" s="2071">
        <v>205000</v>
      </c>
      <c r="S218" s="1664">
        <f t="shared" si="40"/>
        <v>219350</v>
      </c>
      <c r="T218" s="1664">
        <f t="shared" si="41"/>
        <v>0</v>
      </c>
      <c r="U218" s="2071"/>
      <c r="V218" s="2071">
        <f t="shared" si="36"/>
        <v>0</v>
      </c>
      <c r="W218" s="1664">
        <f t="shared" si="42"/>
        <v>232511</v>
      </c>
      <c r="X218" s="1664">
        <f t="shared" si="43"/>
        <v>0</v>
      </c>
      <c r="Y218" s="2071"/>
      <c r="Z218" s="2071">
        <f t="shared" si="37"/>
        <v>0</v>
      </c>
      <c r="AA218" s="1664">
        <f t="shared" si="44"/>
        <v>244136.55</v>
      </c>
      <c r="AB218" s="1664">
        <f t="shared" si="45"/>
        <v>0</v>
      </c>
      <c r="AC218" s="2071"/>
      <c r="AD218" s="2071">
        <f t="shared" si="38"/>
        <v>0</v>
      </c>
    </row>
    <row r="219" spans="1:30" s="2052" customFormat="1">
      <c r="A219" s="2074">
        <v>212</v>
      </c>
      <c r="B219" s="2068" t="s">
        <v>2568</v>
      </c>
      <c r="C219" s="2068"/>
      <c r="D219" s="2071" t="s">
        <v>1022</v>
      </c>
      <c r="E219" s="2127">
        <v>4080.2</v>
      </c>
      <c r="F219" s="2071"/>
      <c r="G219" s="2071">
        <f t="shared" si="39"/>
        <v>4080.2</v>
      </c>
      <c r="H219" s="2071"/>
      <c r="I219" s="2071"/>
      <c r="J219" s="2071"/>
      <c r="K219" s="2071"/>
      <c r="L219" s="2071"/>
      <c r="M219" s="2071"/>
      <c r="N219" s="2071"/>
      <c r="O219" s="2071"/>
      <c r="P219" s="1664"/>
      <c r="Q219" s="1664">
        <v>1.07</v>
      </c>
      <c r="R219" s="2071">
        <v>35000</v>
      </c>
      <c r="S219" s="1664">
        <f t="shared" si="40"/>
        <v>37450</v>
      </c>
      <c r="T219" s="1664">
        <f t="shared" si="41"/>
        <v>0</v>
      </c>
      <c r="U219" s="2071"/>
      <c r="V219" s="2071">
        <f t="shared" si="36"/>
        <v>0</v>
      </c>
      <c r="W219" s="1664">
        <f t="shared" si="42"/>
        <v>39697</v>
      </c>
      <c r="X219" s="1664">
        <f t="shared" si="43"/>
        <v>0</v>
      </c>
      <c r="Y219" s="2071"/>
      <c r="Z219" s="2071">
        <f t="shared" si="37"/>
        <v>0</v>
      </c>
      <c r="AA219" s="1664">
        <f t="shared" si="44"/>
        <v>41681.85</v>
      </c>
      <c r="AB219" s="1664">
        <f t="shared" si="45"/>
        <v>0</v>
      </c>
      <c r="AC219" s="2071"/>
      <c r="AD219" s="2071">
        <f t="shared" si="38"/>
        <v>0</v>
      </c>
    </row>
    <row r="220" spans="1:30">
      <c r="A220" s="2074">
        <v>213</v>
      </c>
      <c r="B220" s="2068" t="s">
        <v>2569</v>
      </c>
      <c r="C220" s="1579"/>
      <c r="D220" s="2071" t="s">
        <v>1022</v>
      </c>
      <c r="E220" s="2127">
        <v>4080.2</v>
      </c>
      <c r="F220" s="1581"/>
      <c r="G220" s="2071">
        <f t="shared" si="39"/>
        <v>4080.2</v>
      </c>
      <c r="H220" s="1581"/>
      <c r="I220" s="1581"/>
      <c r="J220" s="1581"/>
      <c r="K220" s="1581"/>
      <c r="L220" s="2071"/>
      <c r="M220" s="1581"/>
      <c r="N220" s="1581"/>
      <c r="O220" s="1581"/>
      <c r="P220" s="1664"/>
      <c r="Q220" s="1664">
        <v>1.07</v>
      </c>
      <c r="R220" s="2071">
        <v>735000</v>
      </c>
      <c r="S220" s="1664">
        <f t="shared" si="40"/>
        <v>786450</v>
      </c>
      <c r="T220" s="1664">
        <f t="shared" si="41"/>
        <v>0</v>
      </c>
      <c r="U220" s="2071"/>
      <c r="V220" s="2071">
        <f t="shared" si="36"/>
        <v>0</v>
      </c>
      <c r="W220" s="1664">
        <f t="shared" si="42"/>
        <v>833637</v>
      </c>
      <c r="X220" s="1664">
        <f t="shared" si="43"/>
        <v>0</v>
      </c>
      <c r="Y220" s="2071"/>
      <c r="Z220" s="2071">
        <f t="shared" si="37"/>
        <v>0</v>
      </c>
      <c r="AA220" s="1664">
        <f t="shared" si="44"/>
        <v>875318.85</v>
      </c>
      <c r="AB220" s="1664">
        <f t="shared" si="45"/>
        <v>0</v>
      </c>
      <c r="AC220" s="2071"/>
      <c r="AD220" s="2071">
        <f t="shared" si="38"/>
        <v>0</v>
      </c>
    </row>
    <row r="221" spans="1:30" ht="36">
      <c r="A221" s="2074">
        <v>214</v>
      </c>
      <c r="B221" s="2068" t="s">
        <v>2518</v>
      </c>
      <c r="C221" s="1699" t="s">
        <v>1304</v>
      </c>
      <c r="D221" s="2071" t="s">
        <v>1022</v>
      </c>
      <c r="E221" s="2127">
        <v>4080.2</v>
      </c>
      <c r="F221" s="1581"/>
      <c r="G221" s="2071">
        <f t="shared" si="39"/>
        <v>4080.2</v>
      </c>
      <c r="H221" s="1581"/>
      <c r="I221" s="1581"/>
      <c r="J221" s="1581"/>
      <c r="K221" s="1581"/>
      <c r="L221" s="2071"/>
      <c r="M221" s="1581">
        <f>200*2*10</f>
        <v>4000</v>
      </c>
      <c r="N221" s="2456">
        <v>0</v>
      </c>
      <c r="O221" s="2456">
        <v>0</v>
      </c>
      <c r="P221" s="1664"/>
      <c r="Q221" s="1664">
        <v>1.07</v>
      </c>
      <c r="R221" s="2071">
        <f>80*1.07</f>
        <v>85.600000000000009</v>
      </c>
      <c r="S221" s="1664">
        <f t="shared" si="40"/>
        <v>91.59</v>
      </c>
      <c r="T221" s="1664">
        <f t="shared" si="41"/>
        <v>0</v>
      </c>
      <c r="U221" s="2071"/>
      <c r="V221" s="2071">
        <f t="shared" si="36"/>
        <v>0</v>
      </c>
      <c r="W221" s="1664">
        <f t="shared" si="42"/>
        <v>97.09</v>
      </c>
      <c r="X221" s="1664">
        <f t="shared" si="43"/>
        <v>0</v>
      </c>
      <c r="Y221" s="2071"/>
      <c r="Z221" s="2071">
        <f t="shared" si="37"/>
        <v>0</v>
      </c>
      <c r="AA221" s="1664">
        <f t="shared" si="44"/>
        <v>101.94</v>
      </c>
      <c r="AB221" s="1664">
        <f t="shared" si="45"/>
        <v>0</v>
      </c>
      <c r="AC221" s="2071"/>
      <c r="AD221" s="2071">
        <f t="shared" si="38"/>
        <v>0</v>
      </c>
    </row>
    <row r="222" spans="1:30">
      <c r="A222" s="2074">
        <v>215</v>
      </c>
      <c r="B222" s="2068" t="s">
        <v>1562</v>
      </c>
      <c r="C222" s="1699" t="s">
        <v>2519</v>
      </c>
      <c r="D222" s="2071" t="s">
        <v>2520</v>
      </c>
      <c r="E222" s="2127">
        <v>4080.2</v>
      </c>
      <c r="F222" s="1581"/>
      <c r="G222" s="2071">
        <f t="shared" si="39"/>
        <v>4080.2</v>
      </c>
      <c r="H222" s="1581"/>
      <c r="I222" s="1581"/>
      <c r="J222" s="1581"/>
      <c r="K222" s="1581"/>
      <c r="L222" s="2071"/>
      <c r="M222" s="1581">
        <f>'штатка спальн блок 2.01.'!D16*48</f>
        <v>288</v>
      </c>
      <c r="N222" s="2456">
        <v>0</v>
      </c>
      <c r="O222" s="2456">
        <v>0</v>
      </c>
      <c r="P222" s="1664"/>
      <c r="Q222" s="1664">
        <v>1.07</v>
      </c>
      <c r="R222" s="2071">
        <f>320*1.07</f>
        <v>342.40000000000003</v>
      </c>
      <c r="S222" s="1664">
        <f t="shared" si="40"/>
        <v>366.37</v>
      </c>
      <c r="T222" s="1664">
        <f t="shared" si="41"/>
        <v>0</v>
      </c>
      <c r="U222" s="2071"/>
      <c r="V222" s="2071">
        <f t="shared" si="36"/>
        <v>0</v>
      </c>
      <c r="W222" s="1664">
        <f t="shared" si="42"/>
        <v>388.35</v>
      </c>
      <c r="X222" s="1664">
        <f t="shared" si="43"/>
        <v>0</v>
      </c>
      <c r="Y222" s="2071"/>
      <c r="Z222" s="2071">
        <f t="shared" si="37"/>
        <v>0</v>
      </c>
      <c r="AA222" s="1664">
        <f t="shared" si="44"/>
        <v>407.77</v>
      </c>
      <c r="AB222" s="1664">
        <f t="shared" si="45"/>
        <v>0</v>
      </c>
      <c r="AC222" s="2071"/>
      <c r="AD222" s="2071">
        <f t="shared" si="38"/>
        <v>0</v>
      </c>
    </row>
    <row r="223" spans="1:30" s="2052" customFormat="1">
      <c r="A223" s="2074">
        <v>216</v>
      </c>
      <c r="B223" s="2068" t="s">
        <v>2521</v>
      </c>
      <c r="C223" s="2068" t="s">
        <v>2523</v>
      </c>
      <c r="D223" s="2071" t="s">
        <v>1587</v>
      </c>
      <c r="E223" s="2127">
        <v>4080.2</v>
      </c>
      <c r="F223" s="2071"/>
      <c r="G223" s="2071">
        <f t="shared" si="39"/>
        <v>4080.2</v>
      </c>
      <c r="H223" s="2071"/>
      <c r="I223" s="2071"/>
      <c r="J223" s="2071"/>
      <c r="K223" s="2071"/>
      <c r="L223" s="2071"/>
      <c r="M223" s="2258">
        <f>ROUND(80*297/20,0)</f>
        <v>1188</v>
      </c>
      <c r="N223" s="2456">
        <v>0</v>
      </c>
      <c r="O223" s="2456">
        <v>0</v>
      </c>
      <c r="P223" s="1664"/>
      <c r="Q223" s="1664">
        <v>1.07</v>
      </c>
      <c r="R223" s="2071">
        <f>300*1.07</f>
        <v>321</v>
      </c>
      <c r="S223" s="1664">
        <f t="shared" si="40"/>
        <v>343.47</v>
      </c>
      <c r="T223" s="1664">
        <f t="shared" si="41"/>
        <v>0</v>
      </c>
      <c r="U223" s="2071"/>
      <c r="V223" s="2071">
        <f t="shared" ref="V223:V228" si="46">T223-U223</f>
        <v>0</v>
      </c>
      <c r="W223" s="1664">
        <f t="shared" si="42"/>
        <v>364.08</v>
      </c>
      <c r="X223" s="1664">
        <f t="shared" si="43"/>
        <v>0</v>
      </c>
      <c r="Y223" s="2071"/>
      <c r="Z223" s="2071">
        <f t="shared" ref="Z223:Z228" si="47">X223-Y223</f>
        <v>0</v>
      </c>
      <c r="AA223" s="1664">
        <f t="shared" si="44"/>
        <v>382.28</v>
      </c>
      <c r="AB223" s="1664">
        <f t="shared" si="45"/>
        <v>0</v>
      </c>
      <c r="AC223" s="2071"/>
      <c r="AD223" s="2071">
        <f t="shared" ref="AD223:AD228" si="48">AB223-AC223</f>
        <v>0</v>
      </c>
    </row>
    <row r="224" spans="1:30" s="2052" customFormat="1" ht="24">
      <c r="A224" s="2074">
        <v>217</v>
      </c>
      <c r="B224" s="2068" t="s">
        <v>2524</v>
      </c>
      <c r="C224" s="1699" t="s">
        <v>1329</v>
      </c>
      <c r="D224" s="2071" t="s">
        <v>1587</v>
      </c>
      <c r="E224" s="2127">
        <v>4080.2</v>
      </c>
      <c r="F224" s="2071"/>
      <c r="G224" s="2071">
        <f t="shared" si="39"/>
        <v>4080.2</v>
      </c>
      <c r="H224" s="2071"/>
      <c r="I224" s="2071"/>
      <c r="J224" s="2071"/>
      <c r="K224" s="2071"/>
      <c r="L224" s="2071"/>
      <c r="M224" s="2258">
        <f>ROUND(G224/500*6*12,0)</f>
        <v>588</v>
      </c>
      <c r="N224" s="2456">
        <v>0</v>
      </c>
      <c r="O224" s="2456">
        <v>0</v>
      </c>
      <c r="P224" s="1664"/>
      <c r="Q224" s="1664">
        <v>1.07</v>
      </c>
      <c r="R224" s="2071">
        <f>200*1.07</f>
        <v>214</v>
      </c>
      <c r="S224" s="1664">
        <f t="shared" si="40"/>
        <v>228.98</v>
      </c>
      <c r="T224" s="1664">
        <f t="shared" si="41"/>
        <v>0</v>
      </c>
      <c r="U224" s="2071"/>
      <c r="V224" s="2071">
        <f t="shared" si="46"/>
        <v>0</v>
      </c>
      <c r="W224" s="1664">
        <f t="shared" si="42"/>
        <v>242.72</v>
      </c>
      <c r="X224" s="1664">
        <f t="shared" si="43"/>
        <v>0</v>
      </c>
      <c r="Y224" s="2071"/>
      <c r="Z224" s="2071">
        <f t="shared" si="47"/>
        <v>0</v>
      </c>
      <c r="AA224" s="1664">
        <f t="shared" si="44"/>
        <v>254.86</v>
      </c>
      <c r="AB224" s="1664">
        <f t="shared" si="45"/>
        <v>0</v>
      </c>
      <c r="AC224" s="2071"/>
      <c r="AD224" s="2071">
        <f t="shared" si="48"/>
        <v>0</v>
      </c>
    </row>
    <row r="225" spans="1:30" s="2052" customFormat="1">
      <c r="A225" s="2074">
        <v>218</v>
      </c>
      <c r="B225" s="2068" t="s">
        <v>2525</v>
      </c>
      <c r="C225" s="1699" t="s">
        <v>1589</v>
      </c>
      <c r="D225" s="2071" t="s">
        <v>1590</v>
      </c>
      <c r="E225" s="2127">
        <v>4080.2</v>
      </c>
      <c r="F225" s="2071"/>
      <c r="G225" s="2071">
        <f t="shared" si="39"/>
        <v>4080.2</v>
      </c>
      <c r="H225" s="2071"/>
      <c r="I225" s="2071"/>
      <c r="J225" s="2071"/>
      <c r="K225" s="2071"/>
      <c r="L225" s="2071"/>
      <c r="M225" s="2258">
        <f>ROUND(E225/500*0.6*12,0)</f>
        <v>59</v>
      </c>
      <c r="N225" s="2456">
        <v>0</v>
      </c>
      <c r="O225" s="2456">
        <v>0</v>
      </c>
      <c r="P225" s="1664"/>
      <c r="Q225" s="1664">
        <v>1.07</v>
      </c>
      <c r="R225" s="2071">
        <f>300*1.07</f>
        <v>321</v>
      </c>
      <c r="S225" s="1664">
        <f t="shared" si="40"/>
        <v>343.47</v>
      </c>
      <c r="T225" s="1664">
        <f t="shared" si="41"/>
        <v>0</v>
      </c>
      <c r="U225" s="2071"/>
      <c r="V225" s="2071">
        <f t="shared" si="46"/>
        <v>0</v>
      </c>
      <c r="W225" s="1664">
        <f t="shared" si="42"/>
        <v>364.08</v>
      </c>
      <c r="X225" s="1664">
        <f t="shared" si="43"/>
        <v>0</v>
      </c>
      <c r="Y225" s="2071"/>
      <c r="Z225" s="2071">
        <f t="shared" si="47"/>
        <v>0</v>
      </c>
      <c r="AA225" s="1664">
        <f t="shared" si="44"/>
        <v>382.28</v>
      </c>
      <c r="AB225" s="1664">
        <f t="shared" si="45"/>
        <v>0</v>
      </c>
      <c r="AC225" s="2071"/>
      <c r="AD225" s="2071">
        <f t="shared" si="48"/>
        <v>0</v>
      </c>
    </row>
    <row r="226" spans="1:30" s="2052" customFormat="1">
      <c r="A226" s="2074">
        <v>219</v>
      </c>
      <c r="B226" s="2068" t="s">
        <v>2570</v>
      </c>
      <c r="C226" s="917" t="s">
        <v>1520</v>
      </c>
      <c r="D226" s="2071" t="s">
        <v>1022</v>
      </c>
      <c r="E226" s="2127">
        <v>4080.2</v>
      </c>
      <c r="F226" s="2071"/>
      <c r="G226" s="2071">
        <f t="shared" si="39"/>
        <v>4080.2</v>
      </c>
      <c r="H226" s="2071"/>
      <c r="I226" s="2071"/>
      <c r="J226" s="2071"/>
      <c r="K226" s="2071"/>
      <c r="L226" s="2071"/>
      <c r="M226" s="2258">
        <f>200*1</f>
        <v>200</v>
      </c>
      <c r="N226" s="2071">
        <v>24</v>
      </c>
      <c r="O226" s="2071">
        <f>N226</f>
        <v>24</v>
      </c>
      <c r="P226" s="1664"/>
      <c r="Q226" s="1664">
        <v>1.07</v>
      </c>
      <c r="R226" s="2071">
        <f>500*1.07</f>
        <v>535</v>
      </c>
      <c r="S226" s="1664">
        <f t="shared" si="40"/>
        <v>572.45000000000005</v>
      </c>
      <c r="T226" s="1664">
        <f t="shared" si="41"/>
        <v>0</v>
      </c>
      <c r="U226" s="2071"/>
      <c r="V226" s="2071">
        <f t="shared" si="46"/>
        <v>0</v>
      </c>
      <c r="W226" s="1664">
        <f t="shared" si="42"/>
        <v>606.79999999999995</v>
      </c>
      <c r="X226" s="1664">
        <f t="shared" si="43"/>
        <v>0</v>
      </c>
      <c r="Y226" s="2071"/>
      <c r="Z226" s="2071">
        <f t="shared" si="47"/>
        <v>0</v>
      </c>
      <c r="AA226" s="1664">
        <f t="shared" si="44"/>
        <v>637.14</v>
      </c>
      <c r="AB226" s="1664">
        <f t="shared" si="45"/>
        <v>0</v>
      </c>
      <c r="AC226" s="2071"/>
      <c r="AD226" s="2071">
        <f t="shared" si="48"/>
        <v>0</v>
      </c>
    </row>
    <row r="227" spans="1:30" s="2052" customFormat="1" ht="38.25">
      <c r="A227" s="2074">
        <v>220</v>
      </c>
      <c r="B227" s="2068" t="s">
        <v>1390</v>
      </c>
      <c r="C227" s="917" t="s">
        <v>1391</v>
      </c>
      <c r="D227" s="2071" t="s">
        <v>1022</v>
      </c>
      <c r="E227" s="2127">
        <v>4080.2</v>
      </c>
      <c r="F227" s="2071"/>
      <c r="G227" s="2071">
        <f t="shared" si="39"/>
        <v>4080.2</v>
      </c>
      <c r="H227" s="2071"/>
      <c r="I227" s="2071"/>
      <c r="J227" s="2071"/>
      <c r="K227" s="2071"/>
      <c r="L227" s="2071"/>
      <c r="M227" s="2258">
        <f>200*3</f>
        <v>600</v>
      </c>
      <c r="N227" s="2071">
        <v>324</v>
      </c>
      <c r="O227" s="2071">
        <f>N227-200</f>
        <v>124</v>
      </c>
      <c r="P227" s="1664"/>
      <c r="Q227" s="1664">
        <v>1.07</v>
      </c>
      <c r="R227" s="2071">
        <f>500*1.07</f>
        <v>535</v>
      </c>
      <c r="S227" s="1664">
        <f>ROUND(Q227*R227,2)</f>
        <v>572.45000000000005</v>
      </c>
      <c r="T227" s="1664">
        <f t="shared" si="41"/>
        <v>0</v>
      </c>
      <c r="U227" s="2071"/>
      <c r="V227" s="2071">
        <f t="shared" si="46"/>
        <v>0</v>
      </c>
      <c r="W227" s="1664">
        <f t="shared" si="42"/>
        <v>606.79999999999995</v>
      </c>
      <c r="X227" s="1664">
        <f t="shared" si="43"/>
        <v>0</v>
      </c>
      <c r="Y227" s="2071"/>
      <c r="Z227" s="2071">
        <f t="shared" si="47"/>
        <v>0</v>
      </c>
      <c r="AA227" s="1664">
        <f t="shared" si="44"/>
        <v>637.14</v>
      </c>
      <c r="AB227" s="1664">
        <f t="shared" si="45"/>
        <v>0</v>
      </c>
      <c r="AC227" s="2071"/>
      <c r="AD227" s="2071">
        <f t="shared" si="48"/>
        <v>0</v>
      </c>
    </row>
    <row r="228" spans="1:30" s="2052" customFormat="1">
      <c r="A228" s="2074">
        <v>221</v>
      </c>
      <c r="B228" s="2068" t="s">
        <v>1551</v>
      </c>
      <c r="C228" s="917" t="s">
        <v>2571</v>
      </c>
      <c r="D228" s="2071" t="s">
        <v>1022</v>
      </c>
      <c r="E228" s="2127">
        <v>4081.2</v>
      </c>
      <c r="F228" s="2071"/>
      <c r="G228" s="2071">
        <f t="shared" ref="G228" si="49">E228</f>
        <v>4081.2</v>
      </c>
      <c r="H228" s="2071"/>
      <c r="I228" s="2071"/>
      <c r="J228" s="2071"/>
      <c r="K228" s="2071"/>
      <c r="L228" s="2071"/>
      <c r="M228" s="2258"/>
      <c r="N228" s="2456">
        <v>0</v>
      </c>
      <c r="O228" s="2456">
        <v>0</v>
      </c>
      <c r="P228" s="1664"/>
      <c r="Q228" s="1664">
        <v>1.07</v>
      </c>
      <c r="R228" s="2071">
        <f>590*1.07</f>
        <v>631.30000000000007</v>
      </c>
      <c r="S228" s="1664">
        <f>ROUND(Q228*R228,2)</f>
        <v>675.49</v>
      </c>
      <c r="T228" s="1664">
        <f t="shared" si="41"/>
        <v>0</v>
      </c>
      <c r="U228" s="2071"/>
      <c r="V228" s="2071">
        <f t="shared" si="46"/>
        <v>0</v>
      </c>
      <c r="W228" s="1664">
        <f t="shared" si="42"/>
        <v>716.02</v>
      </c>
      <c r="X228" s="1664">
        <f t="shared" si="43"/>
        <v>0</v>
      </c>
      <c r="Y228" s="2071"/>
      <c r="Z228" s="2071">
        <f t="shared" si="47"/>
        <v>0</v>
      </c>
      <c r="AA228" s="1664">
        <f t="shared" si="44"/>
        <v>751.82</v>
      </c>
      <c r="AB228" s="1664">
        <f t="shared" si="45"/>
        <v>0</v>
      </c>
      <c r="AC228" s="2071"/>
      <c r="AD228" s="2071">
        <f t="shared" si="48"/>
        <v>0</v>
      </c>
    </row>
    <row r="229" spans="1:30">
      <c r="B229" s="2140"/>
      <c r="C229" s="2260"/>
      <c r="D229" s="2141"/>
      <c r="L229" s="2141"/>
      <c r="P229" s="2141"/>
      <c r="Q229" s="2141"/>
      <c r="R229" s="2141"/>
      <c r="S229" s="2141"/>
      <c r="T229" s="2141"/>
      <c r="U229" s="2141"/>
      <c r="V229" s="2141"/>
    </row>
    <row r="230" spans="1:30">
      <c r="B230" s="2140"/>
      <c r="C230" s="2260"/>
      <c r="D230" s="2141"/>
      <c r="L230" s="2141"/>
      <c r="P230" s="2141"/>
      <c r="Q230" s="2141"/>
      <c r="R230" s="2141"/>
      <c r="S230" s="2141"/>
      <c r="T230" s="2141"/>
      <c r="U230" s="2141"/>
      <c r="V230" s="2141"/>
    </row>
    <row r="231" spans="1:30">
      <c r="B231" s="2097" t="s">
        <v>368</v>
      </c>
      <c r="C231" s="2042"/>
      <c r="D231" s="2098"/>
      <c r="E231" s="2099"/>
      <c r="F231" s="2048"/>
      <c r="G231" s="2041"/>
    </row>
    <row r="232" spans="1:30">
      <c r="B232" s="2097" t="s">
        <v>370</v>
      </c>
      <c r="C232" s="2042"/>
      <c r="D232" s="2098"/>
      <c r="E232" s="2099"/>
      <c r="F232" s="2048"/>
      <c r="G232" s="2041" t="s">
        <v>371</v>
      </c>
      <c r="S232" s="2043"/>
      <c r="T232" s="1730"/>
    </row>
    <row r="233" spans="1:30">
      <c r="B233" s="2097"/>
      <c r="C233" s="2042"/>
      <c r="D233" s="2098"/>
      <c r="E233" s="2098"/>
      <c r="F233" s="2048"/>
      <c r="G233" s="2043"/>
    </row>
    <row r="234" spans="1:30">
      <c r="B234" s="2097" t="s">
        <v>372</v>
      </c>
      <c r="C234" s="2042"/>
      <c r="D234" s="2098"/>
      <c r="E234" s="2098"/>
      <c r="F234" s="2048"/>
      <c r="G234" s="2042" t="s">
        <v>373</v>
      </c>
    </row>
    <row r="235" spans="1:30">
      <c r="B235" s="2097"/>
      <c r="C235" s="2042"/>
      <c r="D235" s="2098"/>
      <c r="E235" s="2098"/>
      <c r="F235" s="2048"/>
      <c r="G235" s="2100"/>
    </row>
    <row r="236" spans="1:30">
      <c r="B236" s="2097" t="s">
        <v>375</v>
      </c>
      <c r="C236" s="2100"/>
      <c r="D236" s="2101"/>
      <c r="E236" s="2101"/>
      <c r="F236" s="2048"/>
      <c r="G236" s="2042" t="s">
        <v>376</v>
      </c>
    </row>
    <row r="237" spans="1:30">
      <c r="B237" s="2075"/>
      <c r="C237" s="2044"/>
      <c r="D237" s="2048"/>
      <c r="E237" s="2048"/>
      <c r="F237" s="2048"/>
      <c r="G237" s="2048"/>
    </row>
  </sheetData>
  <sheetProtection formatColumns="0" insertRows="0" deleteRows="0"/>
  <mergeCells count="19">
    <mergeCell ref="A5:A6"/>
    <mergeCell ref="B5:B6"/>
    <mergeCell ref="C5:C6"/>
    <mergeCell ref="D5:D6"/>
    <mergeCell ref="E5:E6"/>
    <mergeCell ref="F5:G5"/>
    <mergeCell ref="H5:H6"/>
    <mergeCell ref="I5:K5"/>
    <mergeCell ref="L5:P5"/>
    <mergeCell ref="R5:R6"/>
    <mergeCell ref="AC5:AD5"/>
    <mergeCell ref="S5:S6"/>
    <mergeCell ref="T5:T6"/>
    <mergeCell ref="U5:V5"/>
    <mergeCell ref="W5:W6"/>
    <mergeCell ref="X5:X6"/>
    <mergeCell ref="Y5:Z5"/>
    <mergeCell ref="AA5:AA6"/>
    <mergeCell ref="AB5:AB6"/>
  </mergeCells>
  <pageMargins left="0" right="0" top="0" bottom="0" header="0" footer="0"/>
  <pageSetup paperSize="9" scale="60" fitToHeight="5" orientation="landscape" r:id="rId1"/>
  <rowBreaks count="2" manualBreakCount="2">
    <brk id="41" max="19" man="1"/>
    <brk id="77" max="19" man="1"/>
  </rowBreak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tabColor rgb="FF92D050"/>
    <pageSetUpPr fitToPage="1"/>
  </sheetPr>
  <dimension ref="A1:AO62"/>
  <sheetViews>
    <sheetView zoomScaleSheetLayoutView="70" workbookViewId="0">
      <pane xSplit="2" ySplit="7" topLeftCell="C8" activePane="bottomRight" state="frozen"/>
      <selection pane="topRight" activeCell="C1" sqref="C1"/>
      <selection pane="bottomLeft" activeCell="A10" sqref="A10"/>
      <selection pane="bottomRight" sqref="A1:V57"/>
    </sheetView>
  </sheetViews>
  <sheetFormatPr defaultColWidth="9.140625" defaultRowHeight="12.75"/>
  <cols>
    <col min="1" max="1" width="4.140625" style="1645" customWidth="1"/>
    <col min="2" max="2" width="26" style="1580" customWidth="1"/>
    <col min="3" max="3" width="37.5703125" style="357" customWidth="1"/>
    <col min="4" max="4" width="8.28515625" style="1580" customWidth="1"/>
    <col min="5" max="5" width="9.42578125" style="1580" customWidth="1"/>
    <col min="6" max="6" width="5.85546875" style="1580" customWidth="1"/>
    <col min="7" max="7" width="9.7109375" style="1600" customWidth="1"/>
    <col min="8" max="8" width="9.28515625" style="1580" customWidth="1"/>
    <col min="9" max="9" width="6.140625" style="1580" customWidth="1"/>
    <col min="10" max="10" width="7" style="1580" customWidth="1"/>
    <col min="11" max="11" width="9.42578125" style="1580" customWidth="1"/>
    <col min="12" max="12" width="11" style="1580" customWidth="1"/>
    <col min="13" max="13" width="10.85546875" style="1580" customWidth="1"/>
    <col min="14" max="14" width="9.42578125" style="1580" customWidth="1"/>
    <col min="15" max="15" width="10.85546875" style="1580" customWidth="1"/>
    <col min="16" max="16" width="10.42578125" style="1580" customWidth="1"/>
    <col min="17" max="17" width="10.42578125" style="1580" hidden="1" customWidth="1"/>
    <col min="18" max="18" width="14" style="1580" hidden="1" customWidth="1"/>
    <col min="19" max="19" width="13" style="1580" customWidth="1"/>
    <col min="20" max="20" width="14.5703125" style="1580" bestFit="1" customWidth="1"/>
    <col min="21" max="21" width="11.140625" style="1580" customWidth="1"/>
    <col min="22" max="22" width="14.5703125" style="1580" bestFit="1" customWidth="1"/>
    <col min="23" max="23" width="9.5703125" style="1580" customWidth="1"/>
    <col min="24" max="24" width="11.42578125" style="1580" customWidth="1"/>
    <col min="25" max="25" width="16.140625" style="1580" customWidth="1"/>
    <col min="26" max="26" width="9.140625" style="1580"/>
    <col min="27" max="27" width="9.5703125" style="1580" bestFit="1" customWidth="1"/>
    <col min="28" max="34" width="9.140625" style="1580"/>
    <col min="35" max="35" width="10" style="1580" customWidth="1"/>
    <col min="36" max="36" width="10.140625" style="1580" customWidth="1"/>
    <col min="37" max="16384" width="9.140625" style="1580"/>
  </cols>
  <sheetData>
    <row r="1" spans="1:41" s="1636" customFormat="1">
      <c r="A1" s="2131" t="s">
        <v>3992</v>
      </c>
      <c r="B1" s="2093"/>
      <c r="C1" s="2094"/>
      <c r="D1" s="2093"/>
      <c r="E1" s="2093"/>
      <c r="F1" s="2093"/>
      <c r="G1" s="2095"/>
      <c r="H1" s="2093"/>
      <c r="I1" s="2093"/>
      <c r="J1" s="2093"/>
      <c r="K1" s="2093"/>
      <c r="L1" s="2093"/>
      <c r="M1" s="2093"/>
      <c r="N1" s="2093"/>
      <c r="O1" s="2093"/>
      <c r="P1" s="2093"/>
      <c r="Q1" s="2093"/>
      <c r="R1" s="2093"/>
      <c r="S1" s="2093"/>
      <c r="T1" s="2093"/>
      <c r="U1" s="1732" t="s">
        <v>267</v>
      </c>
      <c r="V1" s="2132" t="s">
        <v>2270</v>
      </c>
      <c r="W1" s="2093"/>
    </row>
    <row r="2" spans="1:41">
      <c r="A2" s="2133"/>
      <c r="B2" s="1732" t="s">
        <v>2693</v>
      </c>
      <c r="C2" s="2096"/>
      <c r="D2" s="1732"/>
      <c r="E2" s="1732"/>
      <c r="F2" s="1732"/>
      <c r="G2" s="2050"/>
      <c r="H2" s="1732"/>
      <c r="I2" s="1732"/>
      <c r="J2" s="1732"/>
      <c r="K2" s="1732"/>
      <c r="L2" s="1732"/>
      <c r="M2" s="1732"/>
      <c r="N2" s="1732"/>
      <c r="O2" s="1732"/>
      <c r="P2" s="1732"/>
      <c r="Q2" s="1732"/>
      <c r="R2" s="1732"/>
      <c r="S2" s="1732"/>
      <c r="T2" s="1732"/>
      <c r="U2" s="1732"/>
      <c r="V2" s="1732"/>
      <c r="W2" s="1732"/>
    </row>
    <row r="3" spans="1:41" s="1636" customFormat="1">
      <c r="A3" s="2131" t="s">
        <v>3993</v>
      </c>
      <c r="B3" s="2093"/>
      <c r="C3" s="2094"/>
      <c r="D3" s="2093"/>
      <c r="E3" s="2093"/>
      <c r="F3" s="2093"/>
      <c r="G3" s="2095"/>
      <c r="H3" s="2093"/>
      <c r="I3" s="2093"/>
      <c r="J3" s="2093"/>
      <c r="K3" s="2093"/>
      <c r="L3" s="2093"/>
      <c r="M3" s="2093"/>
      <c r="N3" s="2093"/>
      <c r="O3" s="2093"/>
      <c r="P3" s="2093"/>
      <c r="Q3" s="2093"/>
      <c r="R3" s="2093"/>
      <c r="S3" s="2093"/>
      <c r="T3" s="2093"/>
      <c r="U3" s="2093"/>
      <c r="V3" s="2093"/>
      <c r="W3" s="2093"/>
    </row>
    <row r="4" spans="1:41">
      <c r="A4" s="2134" t="s">
        <v>990</v>
      </c>
      <c r="B4" s="1732"/>
      <c r="C4" s="2096"/>
      <c r="D4" s="1732"/>
      <c r="E4" s="1732"/>
      <c r="F4" s="1732"/>
      <c r="G4" s="2050"/>
      <c r="H4" s="1732"/>
      <c r="I4" s="1732"/>
      <c r="J4" s="1732"/>
      <c r="K4" s="1732"/>
      <c r="L4" s="1732"/>
      <c r="M4" s="1732"/>
      <c r="N4" s="1732"/>
      <c r="O4" s="1732"/>
      <c r="P4" s="1732"/>
      <c r="Q4" s="1732"/>
      <c r="R4" s="1732"/>
      <c r="S4" s="1732"/>
      <c r="T4" s="1732"/>
      <c r="U4" s="1732"/>
      <c r="V4" s="2501">
        <f>V7/3</f>
        <v>519419.33333333331</v>
      </c>
      <c r="W4" s="1732"/>
    </row>
    <row r="5" spans="1:41" ht="30" customHeight="1">
      <c r="A5" s="4230" t="s">
        <v>2</v>
      </c>
      <c r="B5" s="4078" t="s">
        <v>478</v>
      </c>
      <c r="C5" s="4078" t="s">
        <v>995</v>
      </c>
      <c r="D5" s="4078" t="s">
        <v>996</v>
      </c>
      <c r="E5" s="4078" t="s">
        <v>1191</v>
      </c>
      <c r="F5" s="4078" t="s">
        <v>255</v>
      </c>
      <c r="G5" s="4078"/>
      <c r="H5" s="4078" t="s">
        <v>1192</v>
      </c>
      <c r="I5" s="4078" t="s">
        <v>1193</v>
      </c>
      <c r="J5" s="4078"/>
      <c r="K5" s="4078"/>
      <c r="L5" s="4078" t="s">
        <v>922</v>
      </c>
      <c r="M5" s="4078"/>
      <c r="N5" s="4078"/>
      <c r="O5" s="4078"/>
      <c r="P5" s="4078"/>
      <c r="Q5" s="2081"/>
      <c r="R5" s="4078"/>
      <c r="S5" s="3974" t="s">
        <v>999</v>
      </c>
      <c r="T5" s="3974" t="s">
        <v>345</v>
      </c>
      <c r="U5" s="3974" t="s">
        <v>1001</v>
      </c>
      <c r="V5" s="3974"/>
      <c r="W5" s="4232"/>
      <c r="X5" s="4231"/>
      <c r="Y5" s="4231"/>
      <c r="Z5" s="4231"/>
      <c r="AA5" s="4231"/>
      <c r="AB5" s="4233"/>
      <c r="AC5" s="4231"/>
      <c r="AD5" s="4231"/>
      <c r="AE5" s="1755"/>
      <c r="AF5" s="1755"/>
      <c r="AG5" s="1755"/>
      <c r="AH5" s="1755"/>
      <c r="AI5" s="1755"/>
      <c r="AJ5" s="1755"/>
      <c r="AK5" s="1755"/>
      <c r="AL5" s="1755"/>
      <c r="AM5" s="1755"/>
      <c r="AN5" s="1755"/>
      <c r="AO5" s="1755"/>
    </row>
    <row r="6" spans="1:41" ht="70.5" customHeight="1">
      <c r="A6" s="4230"/>
      <c r="B6" s="4078"/>
      <c r="C6" s="4078"/>
      <c r="D6" s="4078"/>
      <c r="E6" s="4078"/>
      <c r="F6" s="2081" t="s">
        <v>7</v>
      </c>
      <c r="G6" s="2040" t="s">
        <v>8</v>
      </c>
      <c r="H6" s="4078"/>
      <c r="I6" s="2081" t="s">
        <v>7</v>
      </c>
      <c r="J6" s="2081" t="s">
        <v>8</v>
      </c>
      <c r="K6" s="2081" t="s">
        <v>1096</v>
      </c>
      <c r="L6" s="2081" t="s">
        <v>1099</v>
      </c>
      <c r="M6" s="2081" t="s">
        <v>1194</v>
      </c>
      <c r="N6" s="2081" t="s">
        <v>1011</v>
      </c>
      <c r="O6" s="2081" t="s">
        <v>1012</v>
      </c>
      <c r="P6" s="2081" t="s">
        <v>1013</v>
      </c>
      <c r="Q6" s="2081"/>
      <c r="R6" s="4078"/>
      <c r="S6" s="3974"/>
      <c r="T6" s="3974"/>
      <c r="U6" s="2040" t="s">
        <v>7</v>
      </c>
      <c r="V6" s="2040" t="s">
        <v>8</v>
      </c>
      <c r="W6" s="4232"/>
      <c r="X6" s="4231"/>
      <c r="Y6" s="4231"/>
      <c r="Z6" s="4231"/>
      <c r="AA6" s="4231"/>
      <c r="AB6" s="4233"/>
      <c r="AC6" s="4231"/>
      <c r="AD6" s="4231"/>
      <c r="AE6" s="1764"/>
      <c r="AF6" s="1764"/>
      <c r="AG6" s="1764"/>
      <c r="AH6" s="1755"/>
      <c r="AI6" s="1764"/>
      <c r="AJ6" s="1764"/>
      <c r="AK6" s="1764"/>
      <c r="AL6" s="1764"/>
      <c r="AM6" s="1764"/>
      <c r="AN6" s="1764"/>
      <c r="AO6" s="1764"/>
    </row>
    <row r="7" spans="1:41" ht="13.5">
      <c r="A7" s="2129"/>
      <c r="B7" s="2083" t="s">
        <v>306</v>
      </c>
      <c r="C7" s="2124"/>
      <c r="D7" s="2123"/>
      <c r="E7" s="2125"/>
      <c r="F7" s="2125"/>
      <c r="G7" s="2126"/>
      <c r="H7" s="2125">
        <f>SUM(H8:H34)</f>
        <v>0</v>
      </c>
      <c r="I7" s="2125">
        <f>SUM(I8:I34)</f>
        <v>0</v>
      </c>
      <c r="J7" s="2125">
        <f>SUM(J8:J34)</f>
        <v>0</v>
      </c>
      <c r="K7" s="2125"/>
      <c r="L7" s="2125"/>
      <c r="M7" s="2125"/>
      <c r="N7" s="2125">
        <f>SUM(N8:N34)</f>
        <v>0</v>
      </c>
      <c r="O7" s="2125"/>
      <c r="P7" s="2125"/>
      <c r="Q7" s="2125"/>
      <c r="R7" s="2125"/>
      <c r="S7" s="2125"/>
      <c r="T7" s="2125">
        <f>SUM(T8:T50)</f>
        <v>1558258</v>
      </c>
      <c r="U7" s="2125"/>
      <c r="V7" s="2125">
        <f>SUM(V8:V50)</f>
        <v>1558258</v>
      </c>
      <c r="W7" s="4232"/>
      <c r="X7" s="4231"/>
      <c r="Y7" s="4231"/>
      <c r="Z7" s="4231"/>
      <c r="AA7" s="4231"/>
      <c r="AB7" s="4233"/>
      <c r="AC7" s="4231"/>
      <c r="AD7" s="4231"/>
      <c r="AE7" s="1755"/>
      <c r="AF7" s="1755"/>
      <c r="AG7" s="1755"/>
      <c r="AH7" s="1755"/>
      <c r="AI7" s="1755"/>
      <c r="AJ7" s="1755"/>
      <c r="AK7" s="1755"/>
      <c r="AL7" s="1755"/>
      <c r="AM7" s="1755"/>
      <c r="AN7" s="1755"/>
      <c r="AO7" s="1755"/>
    </row>
    <row r="8" spans="1:41">
      <c r="A8" s="2130">
        <v>1</v>
      </c>
      <c r="B8" s="2085" t="s">
        <v>2624</v>
      </c>
      <c r="C8" s="2086" t="s">
        <v>2625</v>
      </c>
      <c r="D8" s="2087" t="s">
        <v>1268</v>
      </c>
      <c r="E8" s="2088"/>
      <c r="F8" s="1820"/>
      <c r="G8" s="2127">
        <f>E8</f>
        <v>0</v>
      </c>
      <c r="H8" s="1820"/>
      <c r="I8" s="1820"/>
      <c r="J8" s="1820"/>
      <c r="K8" s="1820"/>
      <c r="L8" s="2128">
        <v>1</v>
      </c>
      <c r="M8" s="1742"/>
      <c r="N8" s="2122"/>
      <c r="O8" s="2122"/>
      <c r="P8" s="1664">
        <f>ROUND((L8-O8)/2,0)</f>
        <v>1</v>
      </c>
      <c r="Q8" s="1664">
        <v>1.07</v>
      </c>
      <c r="R8" s="1664">
        <v>120</v>
      </c>
      <c r="S8" s="1664">
        <f>ROUND(Q8*R8,2)</f>
        <v>128.4</v>
      </c>
      <c r="T8" s="1664">
        <f>ROUND(P8*S8,0)</f>
        <v>128</v>
      </c>
      <c r="U8" s="1664"/>
      <c r="V8" s="1664">
        <f>T8-U8</f>
        <v>128</v>
      </c>
      <c r="W8" s="1610"/>
      <c r="X8" s="1755"/>
      <c r="Y8" s="1755"/>
      <c r="Z8" s="1755"/>
      <c r="AA8" s="1755"/>
      <c r="AB8" s="1755"/>
      <c r="AC8" s="1755"/>
      <c r="AD8" s="1755"/>
      <c r="AE8" s="1755"/>
      <c r="AF8" s="1755"/>
      <c r="AG8" s="1755"/>
      <c r="AH8" s="1755"/>
      <c r="AI8" s="1755"/>
      <c r="AJ8" s="1755"/>
      <c r="AK8" s="1755"/>
      <c r="AL8" s="1755"/>
      <c r="AM8" s="1755"/>
      <c r="AN8" s="1755"/>
      <c r="AO8" s="1755"/>
    </row>
    <row r="9" spans="1:41" ht="48.75" customHeight="1">
      <c r="A9" s="2130">
        <v>2</v>
      </c>
      <c r="B9" s="2085" t="s">
        <v>2626</v>
      </c>
      <c r="C9" s="2086" t="s">
        <v>2627</v>
      </c>
      <c r="D9" s="2087" t="s">
        <v>2295</v>
      </c>
      <c r="E9" s="2127"/>
      <c r="F9" s="1820"/>
      <c r="G9" s="2127">
        <f t="shared" ref="G9:G50" si="0">E9</f>
        <v>0</v>
      </c>
      <c r="H9" s="1820"/>
      <c r="I9" s="1820"/>
      <c r="J9" s="1820"/>
      <c r="K9" s="1820"/>
      <c r="L9" s="2128">
        <v>2</v>
      </c>
      <c r="M9" s="1742"/>
      <c r="N9" s="2122"/>
      <c r="O9" s="2122"/>
      <c r="P9" s="1664">
        <f t="shared" ref="P9:P27" si="1">ROUND((L9-O9)/2,0)</f>
        <v>1</v>
      </c>
      <c r="Q9" s="1664">
        <v>1.07</v>
      </c>
      <c r="R9" s="1664">
        <v>4000</v>
      </c>
      <c r="S9" s="1664">
        <f>ROUND(Q9*R9,2)</f>
        <v>4280</v>
      </c>
      <c r="T9" s="1664">
        <f>ROUND(P9*S9,0)</f>
        <v>4280</v>
      </c>
      <c r="U9" s="1664"/>
      <c r="V9" s="1664">
        <f t="shared" ref="V9:V15" si="2">T9-U9</f>
        <v>4280</v>
      </c>
      <c r="W9" s="1610"/>
      <c r="X9" s="1755"/>
      <c r="Y9" s="1755"/>
      <c r="Z9" s="1755"/>
      <c r="AA9" s="1755"/>
      <c r="AB9" s="1755"/>
      <c r="AC9" s="1755"/>
      <c r="AD9" s="1755"/>
      <c r="AE9" s="1755"/>
      <c r="AF9" s="1755"/>
      <c r="AG9" s="1755"/>
      <c r="AH9" s="1755"/>
      <c r="AI9" s="1755"/>
      <c r="AJ9" s="1755"/>
      <c r="AK9" s="1755"/>
      <c r="AL9" s="1755"/>
      <c r="AM9" s="1755"/>
      <c r="AN9" s="1755"/>
      <c r="AO9" s="1755"/>
    </row>
    <row r="10" spans="1:41">
      <c r="A10" s="2130">
        <v>3</v>
      </c>
      <c r="B10" s="2085" t="s">
        <v>2628</v>
      </c>
      <c r="C10" s="2086" t="s">
        <v>2629</v>
      </c>
      <c r="D10" s="2087" t="s">
        <v>1268</v>
      </c>
      <c r="E10" s="2127"/>
      <c r="F10" s="1820"/>
      <c r="G10" s="2127">
        <f t="shared" si="0"/>
        <v>0</v>
      </c>
      <c r="H10" s="1820"/>
      <c r="I10" s="1820"/>
      <c r="J10" s="1820"/>
      <c r="K10" s="1820"/>
      <c r="L10" s="2128">
        <v>2</v>
      </c>
      <c r="M10" s="1742"/>
      <c r="N10" s="2122"/>
      <c r="O10" s="2122"/>
      <c r="P10" s="1664">
        <f t="shared" si="1"/>
        <v>1</v>
      </c>
      <c r="Q10" s="1664">
        <v>1.07</v>
      </c>
      <c r="R10" s="1664">
        <v>5000</v>
      </c>
      <c r="S10" s="1664">
        <f t="shared" ref="S10:S50" si="3">ROUND(Q10*R10,2)</f>
        <v>5350</v>
      </c>
      <c r="T10" s="1664">
        <f t="shared" ref="T10:T50" si="4">ROUND(P10*S10,0)</f>
        <v>5350</v>
      </c>
      <c r="U10" s="1664"/>
      <c r="V10" s="1664">
        <f t="shared" si="2"/>
        <v>5350</v>
      </c>
      <c r="W10" s="1610"/>
      <c r="X10" s="1755"/>
      <c r="Y10" s="1755"/>
      <c r="Z10" s="1755"/>
      <c r="AA10" s="1755"/>
      <c r="AB10" s="1755"/>
      <c r="AC10" s="1755"/>
      <c r="AD10" s="1755"/>
      <c r="AE10" s="1755"/>
      <c r="AF10" s="1755"/>
      <c r="AG10" s="1755"/>
      <c r="AH10" s="1755"/>
      <c r="AI10" s="1755"/>
      <c r="AJ10" s="1755"/>
      <c r="AK10" s="1755"/>
      <c r="AL10" s="1755"/>
      <c r="AM10" s="1755"/>
      <c r="AN10" s="1755"/>
      <c r="AO10" s="1755"/>
    </row>
    <row r="11" spans="1:41">
      <c r="A11" s="2130">
        <v>4</v>
      </c>
      <c r="B11" s="2085" t="s">
        <v>2630</v>
      </c>
      <c r="C11" s="2086" t="s">
        <v>2631</v>
      </c>
      <c r="D11" s="2087" t="s">
        <v>1994</v>
      </c>
      <c r="E11" s="2127"/>
      <c r="F11" s="1820"/>
      <c r="G11" s="2127">
        <f t="shared" si="0"/>
        <v>0</v>
      </c>
      <c r="H11" s="1820"/>
      <c r="I11" s="1820"/>
      <c r="J11" s="1820"/>
      <c r="K11" s="1820"/>
      <c r="L11" s="2128">
        <v>500</v>
      </c>
      <c r="M11" s="1742"/>
      <c r="N11" s="2122"/>
      <c r="O11" s="2122"/>
      <c r="P11" s="1664">
        <f t="shared" si="1"/>
        <v>250</v>
      </c>
      <c r="Q11" s="1664">
        <v>1.07</v>
      </c>
      <c r="R11" s="1664">
        <v>95</v>
      </c>
      <c r="S11" s="1664">
        <f t="shared" si="3"/>
        <v>101.65</v>
      </c>
      <c r="T11" s="1664">
        <f t="shared" si="4"/>
        <v>25413</v>
      </c>
      <c r="U11" s="1664"/>
      <c r="V11" s="1664">
        <f t="shared" si="2"/>
        <v>25413</v>
      </c>
      <c r="W11" s="1610"/>
      <c r="X11" s="1755"/>
      <c r="Y11" s="1755"/>
      <c r="Z11" s="1755"/>
      <c r="AA11" s="1755"/>
      <c r="AB11" s="1755"/>
      <c r="AC11" s="1755"/>
      <c r="AD11" s="1755"/>
      <c r="AE11" s="1755"/>
      <c r="AF11" s="1755"/>
      <c r="AG11" s="1755"/>
      <c r="AH11" s="1755"/>
      <c r="AI11" s="1755"/>
      <c r="AJ11" s="1755"/>
      <c r="AK11" s="1755"/>
      <c r="AL11" s="1755"/>
      <c r="AM11" s="1755"/>
      <c r="AN11" s="1755"/>
      <c r="AO11" s="1755"/>
    </row>
    <row r="12" spans="1:41">
      <c r="A12" s="2130">
        <v>5</v>
      </c>
      <c r="B12" s="2085" t="s">
        <v>2630</v>
      </c>
      <c r="C12" s="2086" t="s">
        <v>2632</v>
      </c>
      <c r="D12" s="2087" t="s">
        <v>1994</v>
      </c>
      <c r="E12" s="2127"/>
      <c r="F12" s="1820"/>
      <c r="G12" s="2127">
        <f t="shared" si="0"/>
        <v>0</v>
      </c>
      <c r="H12" s="1820"/>
      <c r="I12" s="1820"/>
      <c r="J12" s="1820"/>
      <c r="K12" s="1820"/>
      <c r="L12" s="2128">
        <v>500</v>
      </c>
      <c r="M12" s="1742"/>
      <c r="N12" s="2122"/>
      <c r="O12" s="2122"/>
      <c r="P12" s="1664">
        <f t="shared" si="1"/>
        <v>250</v>
      </c>
      <c r="Q12" s="1664">
        <v>1.07</v>
      </c>
      <c r="R12" s="1664">
        <v>105</v>
      </c>
      <c r="S12" s="1664">
        <f t="shared" si="3"/>
        <v>112.35</v>
      </c>
      <c r="T12" s="1664">
        <f t="shared" si="4"/>
        <v>28088</v>
      </c>
      <c r="U12" s="1664"/>
      <c r="V12" s="1664">
        <f t="shared" si="2"/>
        <v>28088</v>
      </c>
      <c r="W12" s="1610"/>
      <c r="X12" s="1755"/>
      <c r="Y12" s="1755"/>
      <c r="Z12" s="1755"/>
      <c r="AA12" s="1755"/>
      <c r="AB12" s="1755"/>
      <c r="AC12" s="1755"/>
      <c r="AD12" s="1755"/>
      <c r="AE12" s="1755"/>
      <c r="AF12" s="1755"/>
      <c r="AG12" s="1755"/>
      <c r="AH12" s="1755"/>
      <c r="AI12" s="1755"/>
      <c r="AJ12" s="1755"/>
      <c r="AK12" s="1755"/>
      <c r="AL12" s="1755"/>
      <c r="AM12" s="1755"/>
      <c r="AN12" s="1755"/>
      <c r="AO12" s="1755"/>
    </row>
    <row r="13" spans="1:41">
      <c r="A13" s="2130">
        <v>6</v>
      </c>
      <c r="B13" s="2085" t="s">
        <v>2633</v>
      </c>
      <c r="C13" s="2086" t="s">
        <v>2634</v>
      </c>
      <c r="D13" s="2087" t="s">
        <v>1022</v>
      </c>
      <c r="E13" s="2127"/>
      <c r="F13" s="1820"/>
      <c r="G13" s="2127">
        <f t="shared" si="0"/>
        <v>0</v>
      </c>
      <c r="H13" s="1820"/>
      <c r="I13" s="1820"/>
      <c r="J13" s="1820"/>
      <c r="K13" s="1820"/>
      <c r="L13" s="2128">
        <v>6</v>
      </c>
      <c r="M13" s="1742"/>
      <c r="N13" s="2122"/>
      <c r="O13" s="2122"/>
      <c r="P13" s="1664">
        <f t="shared" si="1"/>
        <v>3</v>
      </c>
      <c r="Q13" s="1664">
        <v>1.07</v>
      </c>
      <c r="R13" s="1664">
        <v>20000</v>
      </c>
      <c r="S13" s="1664">
        <f>ROUND(Q13*R13,2)</f>
        <v>21400</v>
      </c>
      <c r="T13" s="1664">
        <f t="shared" si="4"/>
        <v>64200</v>
      </c>
      <c r="U13" s="1664"/>
      <c r="V13" s="1664">
        <f t="shared" si="2"/>
        <v>64200</v>
      </c>
      <c r="W13" s="1610"/>
      <c r="X13" s="1755"/>
      <c r="Y13" s="1755"/>
      <c r="Z13" s="1755"/>
      <c r="AA13" s="1755"/>
      <c r="AB13" s="1755"/>
      <c r="AC13" s="1755"/>
      <c r="AD13" s="1755"/>
      <c r="AE13" s="1755"/>
      <c r="AF13" s="1755"/>
      <c r="AG13" s="1755"/>
      <c r="AH13" s="1755"/>
      <c r="AI13" s="1755"/>
      <c r="AJ13" s="1755"/>
      <c r="AK13" s="1755"/>
      <c r="AL13" s="1755"/>
      <c r="AM13" s="1755"/>
      <c r="AN13" s="1755"/>
      <c r="AO13" s="1755"/>
    </row>
    <row r="14" spans="1:41">
      <c r="A14" s="2130">
        <v>7</v>
      </c>
      <c r="B14" s="2085" t="s">
        <v>2633</v>
      </c>
      <c r="C14" s="2086" t="s">
        <v>2635</v>
      </c>
      <c r="D14" s="2090" t="s">
        <v>1268</v>
      </c>
      <c r="E14" s="2127"/>
      <c r="F14" s="1820"/>
      <c r="G14" s="2127">
        <f t="shared" si="0"/>
        <v>0</v>
      </c>
      <c r="H14" s="1820"/>
      <c r="I14" s="1820"/>
      <c r="J14" s="1820"/>
      <c r="K14" s="1820"/>
      <c r="L14" s="2128">
        <v>4</v>
      </c>
      <c r="M14" s="1742"/>
      <c r="N14" s="2122"/>
      <c r="O14" s="2122"/>
      <c r="P14" s="1664">
        <f t="shared" si="1"/>
        <v>2</v>
      </c>
      <c r="Q14" s="1664">
        <v>1.07</v>
      </c>
      <c r="R14" s="1664">
        <v>23000</v>
      </c>
      <c r="S14" s="1664">
        <f t="shared" si="3"/>
        <v>24610</v>
      </c>
      <c r="T14" s="1664">
        <f t="shared" si="4"/>
        <v>49220</v>
      </c>
      <c r="U14" s="1664"/>
      <c r="V14" s="1664">
        <f t="shared" si="2"/>
        <v>49220</v>
      </c>
      <c r="W14" s="1610"/>
      <c r="X14" s="1755"/>
      <c r="Y14" s="1755"/>
      <c r="Z14" s="1755"/>
      <c r="AA14" s="1755"/>
      <c r="AB14" s="1755"/>
      <c r="AC14" s="1755"/>
      <c r="AD14" s="1755"/>
      <c r="AE14" s="1755"/>
      <c r="AF14" s="1755"/>
      <c r="AG14" s="1755"/>
      <c r="AH14" s="1755"/>
      <c r="AI14" s="1755"/>
      <c r="AJ14" s="1755"/>
      <c r="AK14" s="1755"/>
      <c r="AL14" s="1755"/>
      <c r="AM14" s="1755"/>
      <c r="AN14" s="1755"/>
      <c r="AO14" s="1755"/>
    </row>
    <row r="15" spans="1:41">
      <c r="A15" s="2130">
        <v>8</v>
      </c>
      <c r="B15" s="2085" t="s">
        <v>1495</v>
      </c>
      <c r="C15" s="2089" t="s">
        <v>2636</v>
      </c>
      <c r="D15" s="2090" t="s">
        <v>1268</v>
      </c>
      <c r="E15" s="2127"/>
      <c r="F15" s="1820"/>
      <c r="G15" s="2127">
        <f t="shared" si="0"/>
        <v>0</v>
      </c>
      <c r="H15" s="1820"/>
      <c r="I15" s="1820"/>
      <c r="J15" s="1820"/>
      <c r="K15" s="1820"/>
      <c r="L15" s="2128">
        <v>500</v>
      </c>
      <c r="M15" s="1742"/>
      <c r="N15" s="2122"/>
      <c r="O15" s="2122"/>
      <c r="P15" s="1664">
        <f t="shared" si="1"/>
        <v>250</v>
      </c>
      <c r="Q15" s="1664">
        <v>1.07</v>
      </c>
      <c r="R15" s="1664">
        <v>1000</v>
      </c>
      <c r="S15" s="1664">
        <f t="shared" si="3"/>
        <v>1070</v>
      </c>
      <c r="T15" s="1664">
        <f t="shared" si="4"/>
        <v>267500</v>
      </c>
      <c r="U15" s="1664"/>
      <c r="V15" s="1664">
        <f t="shared" si="2"/>
        <v>267500</v>
      </c>
      <c r="W15" s="1610"/>
      <c r="X15" s="1755"/>
      <c r="Y15" s="1755"/>
      <c r="Z15" s="1755"/>
      <c r="AA15" s="1755"/>
      <c r="AB15" s="1755"/>
      <c r="AC15" s="1755"/>
      <c r="AD15" s="1755"/>
      <c r="AE15" s="1755"/>
      <c r="AF15" s="1755"/>
      <c r="AG15" s="1755"/>
      <c r="AH15" s="1755"/>
      <c r="AI15" s="1755"/>
      <c r="AJ15" s="1755"/>
      <c r="AK15" s="1755"/>
      <c r="AL15" s="1755"/>
      <c r="AM15" s="1755"/>
      <c r="AN15" s="1755"/>
      <c r="AO15" s="1755"/>
    </row>
    <row r="16" spans="1:41">
      <c r="A16" s="2130">
        <v>9</v>
      </c>
      <c r="B16" s="2085" t="s">
        <v>2595</v>
      </c>
      <c r="C16" s="2089" t="s">
        <v>2637</v>
      </c>
      <c r="D16" s="2090" t="s">
        <v>1268</v>
      </c>
      <c r="E16" s="2127"/>
      <c r="F16" s="1610"/>
      <c r="G16" s="2127">
        <f t="shared" si="0"/>
        <v>0</v>
      </c>
      <c r="H16" s="1610"/>
      <c r="I16" s="1820"/>
      <c r="J16" s="1820"/>
      <c r="K16" s="1610"/>
      <c r="L16" s="2128">
        <v>160</v>
      </c>
      <c r="M16" s="1664">
        <f>W16</f>
        <v>0</v>
      </c>
      <c r="N16" s="1664"/>
      <c r="O16" s="1664"/>
      <c r="P16" s="1664">
        <f t="shared" si="1"/>
        <v>80</v>
      </c>
      <c r="Q16" s="1664">
        <v>1.07</v>
      </c>
      <c r="R16" s="1664">
        <v>2100</v>
      </c>
      <c r="S16" s="1664">
        <f t="shared" si="3"/>
        <v>2247</v>
      </c>
      <c r="T16" s="1664">
        <f t="shared" si="4"/>
        <v>179760</v>
      </c>
      <c r="U16" s="1664"/>
      <c r="V16" s="1664">
        <f>T16-U16</f>
        <v>179760</v>
      </c>
      <c r="W16" s="1610"/>
      <c r="X16" s="1755"/>
      <c r="Y16" s="1755"/>
      <c r="Z16" s="1755"/>
      <c r="AA16" s="1755"/>
      <c r="AB16" s="1755"/>
      <c r="AC16" s="1755"/>
      <c r="AD16" s="1755"/>
      <c r="AE16" s="1755"/>
      <c r="AF16" s="1755"/>
      <c r="AG16" s="1755"/>
      <c r="AH16" s="1755"/>
      <c r="AI16" s="1755"/>
      <c r="AJ16" s="1755"/>
      <c r="AK16" s="1755"/>
      <c r="AL16" s="1755"/>
      <c r="AM16" s="1755"/>
      <c r="AN16" s="1755"/>
      <c r="AO16" s="1755"/>
    </row>
    <row r="17" spans="1:41">
      <c r="A17" s="2130">
        <v>10</v>
      </c>
      <c r="B17" s="2085" t="s">
        <v>2638</v>
      </c>
      <c r="C17" s="2089" t="s">
        <v>2639</v>
      </c>
      <c r="D17" s="2090" t="s">
        <v>1022</v>
      </c>
      <c r="E17" s="2127"/>
      <c r="F17" s="1610"/>
      <c r="G17" s="2127">
        <f t="shared" si="0"/>
        <v>0</v>
      </c>
      <c r="H17" s="1610"/>
      <c r="I17" s="1820"/>
      <c r="J17" s="1820"/>
      <c r="K17" s="1610"/>
      <c r="L17" s="2128">
        <v>10</v>
      </c>
      <c r="M17" s="1742"/>
      <c r="N17" s="1664"/>
      <c r="O17" s="1664"/>
      <c r="P17" s="1664">
        <f t="shared" si="1"/>
        <v>5</v>
      </c>
      <c r="Q17" s="1664">
        <v>1.07</v>
      </c>
      <c r="R17" s="1664">
        <v>7500</v>
      </c>
      <c r="S17" s="1664">
        <f t="shared" si="3"/>
        <v>8025</v>
      </c>
      <c r="T17" s="1664">
        <f t="shared" si="4"/>
        <v>40125</v>
      </c>
      <c r="U17" s="1664"/>
      <c r="V17" s="1664">
        <f>T17-U17</f>
        <v>40125</v>
      </c>
      <c r="W17" s="1610"/>
      <c r="X17" s="1755"/>
      <c r="Y17" s="1755"/>
      <c r="Z17" s="1755"/>
      <c r="AA17" s="1755"/>
      <c r="AB17" s="1755"/>
      <c r="AC17" s="1755"/>
      <c r="AD17" s="1755"/>
      <c r="AE17" s="1755"/>
      <c r="AF17" s="1755"/>
      <c r="AG17" s="1755"/>
      <c r="AH17" s="1755"/>
      <c r="AI17" s="1755"/>
      <c r="AJ17" s="1755"/>
      <c r="AK17" s="1755"/>
      <c r="AL17" s="1755"/>
      <c r="AM17" s="1755"/>
      <c r="AN17" s="1755"/>
      <c r="AO17" s="1755"/>
    </row>
    <row r="18" spans="1:41">
      <c r="A18" s="2130">
        <v>11</v>
      </c>
      <c r="B18" s="2085" t="s">
        <v>2595</v>
      </c>
      <c r="C18" s="2089" t="s">
        <v>2640</v>
      </c>
      <c r="D18" s="2090" t="s">
        <v>1022</v>
      </c>
      <c r="E18" s="2127"/>
      <c r="F18" s="1610"/>
      <c r="G18" s="2127">
        <f t="shared" si="0"/>
        <v>0</v>
      </c>
      <c r="H18" s="1610"/>
      <c r="I18" s="1820"/>
      <c r="J18" s="1820"/>
      <c r="K18" s="1610"/>
      <c r="L18" s="2128">
        <v>25</v>
      </c>
      <c r="M18" s="1742"/>
      <c r="N18" s="1664"/>
      <c r="O18" s="1664"/>
      <c r="P18" s="1664">
        <f t="shared" si="1"/>
        <v>13</v>
      </c>
      <c r="Q18" s="1664">
        <v>1.07</v>
      </c>
      <c r="R18" s="1664">
        <v>4500</v>
      </c>
      <c r="S18" s="1664">
        <f t="shared" si="3"/>
        <v>4815</v>
      </c>
      <c r="T18" s="1664">
        <f t="shared" si="4"/>
        <v>62595</v>
      </c>
      <c r="U18" s="1664"/>
      <c r="V18" s="1664">
        <f t="shared" ref="V18:V50" si="5">T18-U18</f>
        <v>62595</v>
      </c>
      <c r="W18" s="1610"/>
      <c r="X18" s="1755"/>
      <c r="Y18" s="1761"/>
      <c r="Z18" s="1755"/>
      <c r="AA18" s="1760"/>
      <c r="AB18" s="1755"/>
      <c r="AC18" s="1755"/>
      <c r="AD18" s="1755"/>
      <c r="AE18" s="1755"/>
      <c r="AF18" s="1755"/>
      <c r="AG18" s="1755"/>
      <c r="AH18" s="1755"/>
      <c r="AI18" s="1755"/>
      <c r="AJ18" s="1755"/>
      <c r="AK18" s="1755"/>
      <c r="AL18" s="1755"/>
      <c r="AM18" s="1755"/>
      <c r="AN18" s="1755"/>
      <c r="AO18" s="1755"/>
    </row>
    <row r="19" spans="1:41">
      <c r="A19" s="2130">
        <v>12</v>
      </c>
      <c r="B19" s="2085" t="s">
        <v>2641</v>
      </c>
      <c r="C19" s="2089" t="s">
        <v>2642</v>
      </c>
      <c r="D19" s="2090" t="s">
        <v>1022</v>
      </c>
      <c r="E19" s="2127"/>
      <c r="F19" s="1820"/>
      <c r="G19" s="2127">
        <f t="shared" si="0"/>
        <v>0</v>
      </c>
      <c r="H19" s="1820"/>
      <c r="I19" s="1820"/>
      <c r="J19" s="1820"/>
      <c r="K19" s="1820"/>
      <c r="L19" s="2128">
        <v>20</v>
      </c>
      <c r="M19" s="1742"/>
      <c r="N19" s="2122"/>
      <c r="O19" s="2122"/>
      <c r="P19" s="1664">
        <f t="shared" si="1"/>
        <v>10</v>
      </c>
      <c r="Q19" s="1664">
        <v>1.07</v>
      </c>
      <c r="R19" s="1664">
        <v>450</v>
      </c>
      <c r="S19" s="1664">
        <f t="shared" si="3"/>
        <v>481.5</v>
      </c>
      <c r="T19" s="1664">
        <f t="shared" si="4"/>
        <v>4815</v>
      </c>
      <c r="U19" s="1664"/>
      <c r="V19" s="1664">
        <f t="shared" si="5"/>
        <v>4815</v>
      </c>
      <c r="W19" s="1610"/>
      <c r="X19" s="1755"/>
      <c r="Y19" s="1755"/>
      <c r="Z19" s="1755"/>
      <c r="AA19" s="1755"/>
      <c r="AB19" s="1755"/>
      <c r="AC19" s="1755"/>
      <c r="AD19" s="1755"/>
      <c r="AE19" s="1755"/>
      <c r="AF19" s="1755"/>
      <c r="AG19" s="1755"/>
      <c r="AH19" s="1755"/>
      <c r="AI19" s="1755"/>
      <c r="AJ19" s="1755"/>
      <c r="AK19" s="1755"/>
      <c r="AL19" s="1755"/>
      <c r="AM19" s="1755"/>
      <c r="AN19" s="1755"/>
      <c r="AO19" s="1755"/>
    </row>
    <row r="20" spans="1:41">
      <c r="A20" s="2130">
        <v>13</v>
      </c>
      <c r="B20" s="2085" t="s">
        <v>2643</v>
      </c>
      <c r="C20" s="2089" t="s">
        <v>2644</v>
      </c>
      <c r="D20" s="2090" t="s">
        <v>2645</v>
      </c>
      <c r="E20" s="2127"/>
      <c r="F20" s="1610"/>
      <c r="G20" s="2127">
        <f t="shared" si="0"/>
        <v>0</v>
      </c>
      <c r="H20" s="1610"/>
      <c r="I20" s="1820"/>
      <c r="J20" s="1820"/>
      <c r="K20" s="1610"/>
      <c r="L20" s="2128">
        <v>10</v>
      </c>
      <c r="M20" s="1742"/>
      <c r="N20" s="1664"/>
      <c r="O20" s="1664"/>
      <c r="P20" s="1664">
        <f t="shared" si="1"/>
        <v>5</v>
      </c>
      <c r="Q20" s="1664">
        <v>1.07</v>
      </c>
      <c r="R20" s="1664">
        <v>150</v>
      </c>
      <c r="S20" s="1664">
        <f t="shared" si="3"/>
        <v>160.5</v>
      </c>
      <c r="T20" s="1664">
        <f t="shared" si="4"/>
        <v>803</v>
      </c>
      <c r="U20" s="1664"/>
      <c r="V20" s="1664">
        <f t="shared" si="5"/>
        <v>803</v>
      </c>
      <c r="W20" s="1610"/>
      <c r="X20" s="1755"/>
      <c r="Y20" s="1755"/>
      <c r="Z20" s="1755"/>
      <c r="AA20" s="1755"/>
      <c r="AB20" s="1755"/>
      <c r="AC20" s="1755"/>
      <c r="AD20" s="1755"/>
      <c r="AE20" s="1755"/>
      <c r="AF20" s="1755"/>
      <c r="AG20" s="1755"/>
      <c r="AH20" s="1755"/>
      <c r="AI20" s="1755"/>
      <c r="AJ20" s="1755"/>
      <c r="AK20" s="1755"/>
      <c r="AL20" s="1755"/>
      <c r="AM20" s="1755"/>
      <c r="AN20" s="1755"/>
      <c r="AO20" s="1755"/>
    </row>
    <row r="21" spans="1:41">
      <c r="A21" s="2130">
        <v>14</v>
      </c>
      <c r="B21" s="2085" t="s">
        <v>2646</v>
      </c>
      <c r="C21" s="2089" t="s">
        <v>2647</v>
      </c>
      <c r="D21" s="2090" t="s">
        <v>1022</v>
      </c>
      <c r="E21" s="2127"/>
      <c r="F21" s="1820"/>
      <c r="G21" s="2127">
        <f t="shared" si="0"/>
        <v>0</v>
      </c>
      <c r="H21" s="1820"/>
      <c r="I21" s="1820"/>
      <c r="J21" s="1820"/>
      <c r="K21" s="1820"/>
      <c r="L21" s="2128">
        <v>60</v>
      </c>
      <c r="M21" s="1742"/>
      <c r="N21" s="2122"/>
      <c r="O21" s="2122"/>
      <c r="P21" s="1664">
        <f t="shared" si="1"/>
        <v>30</v>
      </c>
      <c r="Q21" s="1664">
        <v>1.07</v>
      </c>
      <c r="R21" s="1664">
        <v>1000</v>
      </c>
      <c r="S21" s="1664">
        <f t="shared" si="3"/>
        <v>1070</v>
      </c>
      <c r="T21" s="1664">
        <f t="shared" si="4"/>
        <v>32100</v>
      </c>
      <c r="U21" s="1664"/>
      <c r="V21" s="1664">
        <f t="shared" si="5"/>
        <v>32100</v>
      </c>
      <c r="W21" s="1610"/>
    </row>
    <row r="22" spans="1:41">
      <c r="A22" s="2130">
        <v>15</v>
      </c>
      <c r="B22" s="2085" t="s">
        <v>2646</v>
      </c>
      <c r="C22" s="2089" t="s">
        <v>2648</v>
      </c>
      <c r="D22" s="2090" t="s">
        <v>1268</v>
      </c>
      <c r="E22" s="2127"/>
      <c r="F22" s="1820"/>
      <c r="G22" s="2127">
        <f t="shared" si="0"/>
        <v>0</v>
      </c>
      <c r="H22" s="1820"/>
      <c r="I22" s="1820"/>
      <c r="J22" s="1820"/>
      <c r="K22" s="1820"/>
      <c r="L22" s="2128">
        <v>20</v>
      </c>
      <c r="M22" s="1742"/>
      <c r="N22" s="2122"/>
      <c r="O22" s="2122"/>
      <c r="P22" s="1664">
        <f t="shared" si="1"/>
        <v>10</v>
      </c>
      <c r="Q22" s="1664">
        <v>1.07</v>
      </c>
      <c r="R22" s="1664">
        <v>1000</v>
      </c>
      <c r="S22" s="1664">
        <f t="shared" si="3"/>
        <v>1070</v>
      </c>
      <c r="T22" s="1664">
        <f t="shared" si="4"/>
        <v>10700</v>
      </c>
      <c r="U22" s="1664"/>
      <c r="V22" s="1664">
        <f t="shared" si="5"/>
        <v>10700</v>
      </c>
      <c r="W22" s="1610"/>
    </row>
    <row r="23" spans="1:41">
      <c r="A23" s="2130">
        <v>16</v>
      </c>
      <c r="B23" s="2085" t="s">
        <v>2649</v>
      </c>
      <c r="C23" s="2089" t="s">
        <v>2650</v>
      </c>
      <c r="D23" s="2090" t="s">
        <v>1268</v>
      </c>
      <c r="E23" s="2127"/>
      <c r="F23" s="1820"/>
      <c r="G23" s="2127">
        <f t="shared" si="0"/>
        <v>0</v>
      </c>
      <c r="H23" s="1820"/>
      <c r="I23" s="1820"/>
      <c r="J23" s="1820"/>
      <c r="K23" s="1820"/>
      <c r="L23" s="2128">
        <v>1</v>
      </c>
      <c r="M23" s="1742"/>
      <c r="N23" s="2122"/>
      <c r="O23" s="2122"/>
      <c r="P23" s="1664">
        <f t="shared" si="1"/>
        <v>1</v>
      </c>
      <c r="Q23" s="1664">
        <v>1.07</v>
      </c>
      <c r="R23" s="1664">
        <v>10000</v>
      </c>
      <c r="S23" s="1664">
        <f t="shared" si="3"/>
        <v>10700</v>
      </c>
      <c r="T23" s="1664">
        <f t="shared" si="4"/>
        <v>10700</v>
      </c>
      <c r="U23" s="1664"/>
      <c r="V23" s="1664">
        <f t="shared" si="5"/>
        <v>10700</v>
      </c>
      <c r="W23" s="1610"/>
    </row>
    <row r="24" spans="1:41">
      <c r="A24" s="2130">
        <v>17</v>
      </c>
      <c r="B24" s="2085" t="s">
        <v>2646</v>
      </c>
      <c r="C24" s="2089" t="s">
        <v>2651</v>
      </c>
      <c r="D24" s="2090" t="s">
        <v>1268</v>
      </c>
      <c r="E24" s="2127"/>
      <c r="F24" s="1820"/>
      <c r="G24" s="2127">
        <f t="shared" si="0"/>
        <v>0</v>
      </c>
      <c r="H24" s="1820"/>
      <c r="I24" s="1820"/>
      <c r="J24" s="1820"/>
      <c r="K24" s="1820"/>
      <c r="L24" s="2128">
        <v>24</v>
      </c>
      <c r="M24" s="1742"/>
      <c r="N24" s="2122"/>
      <c r="O24" s="2122"/>
      <c r="P24" s="1664">
        <f t="shared" si="1"/>
        <v>12</v>
      </c>
      <c r="Q24" s="1664">
        <v>1.07</v>
      </c>
      <c r="R24" s="1664">
        <v>1000</v>
      </c>
      <c r="S24" s="1664">
        <f t="shared" si="3"/>
        <v>1070</v>
      </c>
      <c r="T24" s="1664">
        <f t="shared" si="4"/>
        <v>12840</v>
      </c>
      <c r="U24" s="1664"/>
      <c r="V24" s="1664">
        <f t="shared" si="5"/>
        <v>12840</v>
      </c>
      <c r="W24" s="1610"/>
    </row>
    <row r="25" spans="1:41" ht="25.5">
      <c r="A25" s="2130">
        <v>18</v>
      </c>
      <c r="B25" s="2085" t="s">
        <v>2652</v>
      </c>
      <c r="C25" s="2089" t="s">
        <v>2653</v>
      </c>
      <c r="D25" s="2090" t="s">
        <v>1268</v>
      </c>
      <c r="E25" s="2127"/>
      <c r="F25" s="1610"/>
      <c r="G25" s="2127">
        <f t="shared" si="0"/>
        <v>0</v>
      </c>
      <c r="H25" s="1610"/>
      <c r="I25" s="1820"/>
      <c r="J25" s="1820"/>
      <c r="K25" s="1610"/>
      <c r="L25" s="2128">
        <v>20</v>
      </c>
      <c r="M25" s="1742"/>
      <c r="N25" s="1664"/>
      <c r="O25" s="1664"/>
      <c r="P25" s="1664">
        <f t="shared" si="1"/>
        <v>10</v>
      </c>
      <c r="Q25" s="1664">
        <v>1.07</v>
      </c>
      <c r="R25" s="1664">
        <v>1600</v>
      </c>
      <c r="S25" s="1664">
        <f t="shared" si="3"/>
        <v>1712</v>
      </c>
      <c r="T25" s="1664">
        <f t="shared" si="4"/>
        <v>17120</v>
      </c>
      <c r="U25" s="1664"/>
      <c r="V25" s="1664">
        <f t="shared" si="5"/>
        <v>17120</v>
      </c>
      <c r="W25" s="1610"/>
    </row>
    <row r="26" spans="1:41" ht="25.5">
      <c r="A26" s="2130">
        <v>19</v>
      </c>
      <c r="B26" s="2085" t="s">
        <v>2654</v>
      </c>
      <c r="C26" s="2089" t="s">
        <v>2655</v>
      </c>
      <c r="D26" s="2090" t="s">
        <v>1268</v>
      </c>
      <c r="E26" s="2127"/>
      <c r="F26" s="1820"/>
      <c r="G26" s="2127">
        <f t="shared" si="0"/>
        <v>0</v>
      </c>
      <c r="H26" s="1820"/>
      <c r="I26" s="1820"/>
      <c r="J26" s="1820"/>
      <c r="K26" s="1820"/>
      <c r="L26" s="2128">
        <v>1</v>
      </c>
      <c r="M26" s="1742"/>
      <c r="N26" s="2122"/>
      <c r="O26" s="2122"/>
      <c r="P26" s="1664">
        <f t="shared" si="1"/>
        <v>1</v>
      </c>
      <c r="Q26" s="1664">
        <v>1.07</v>
      </c>
      <c r="R26" s="1664">
        <v>6200</v>
      </c>
      <c r="S26" s="1664">
        <f t="shared" si="3"/>
        <v>6634</v>
      </c>
      <c r="T26" s="1664">
        <f t="shared" si="4"/>
        <v>6634</v>
      </c>
      <c r="U26" s="1664"/>
      <c r="V26" s="1664">
        <f t="shared" si="5"/>
        <v>6634</v>
      </c>
      <c r="W26" s="1610"/>
    </row>
    <row r="27" spans="1:41">
      <c r="A27" s="2130">
        <v>20</v>
      </c>
      <c r="B27" s="2085" t="s">
        <v>2656</v>
      </c>
      <c r="C27" s="2089" t="s">
        <v>2657</v>
      </c>
      <c r="D27" s="2090" t="s">
        <v>1268</v>
      </c>
      <c r="E27" s="2127"/>
      <c r="F27" s="1820"/>
      <c r="G27" s="2127">
        <f t="shared" si="0"/>
        <v>0</v>
      </c>
      <c r="H27" s="1820"/>
      <c r="I27" s="1820"/>
      <c r="J27" s="1820"/>
      <c r="K27" s="1820"/>
      <c r="L27" s="2128">
        <v>10</v>
      </c>
      <c r="M27" s="1742"/>
      <c r="N27" s="2122"/>
      <c r="O27" s="2122"/>
      <c r="P27" s="1664">
        <f t="shared" si="1"/>
        <v>5</v>
      </c>
      <c r="Q27" s="1664">
        <v>1.07</v>
      </c>
      <c r="R27" s="1664">
        <v>2000</v>
      </c>
      <c r="S27" s="1664">
        <f t="shared" si="3"/>
        <v>2140</v>
      </c>
      <c r="T27" s="1664">
        <f t="shared" si="4"/>
        <v>10700</v>
      </c>
      <c r="U27" s="1664"/>
      <c r="V27" s="1664">
        <f t="shared" si="5"/>
        <v>10700</v>
      </c>
      <c r="W27" s="1610"/>
    </row>
    <row r="28" spans="1:41" ht="13.5">
      <c r="A28" s="2130"/>
      <c r="B28" s="2157" t="s">
        <v>2658</v>
      </c>
      <c r="C28" s="2089"/>
      <c r="D28" s="2090"/>
      <c r="E28" s="2127"/>
      <c r="F28" s="1820"/>
      <c r="G28" s="2127"/>
      <c r="H28" s="1820"/>
      <c r="I28" s="1820"/>
      <c r="J28" s="1820"/>
      <c r="K28" s="1820"/>
      <c r="L28" s="2128"/>
      <c r="M28" s="1742"/>
      <c r="N28" s="2122"/>
      <c r="O28" s="2122"/>
      <c r="P28" s="1664"/>
      <c r="Q28" s="1664">
        <v>1.07</v>
      </c>
      <c r="R28" s="1664"/>
      <c r="S28" s="1664">
        <f t="shared" si="3"/>
        <v>0</v>
      </c>
      <c r="T28" s="1664">
        <f t="shared" si="4"/>
        <v>0</v>
      </c>
      <c r="U28" s="1664"/>
      <c r="V28" s="1664"/>
      <c r="W28" s="1610"/>
    </row>
    <row r="29" spans="1:41">
      <c r="A29" s="2130">
        <v>21</v>
      </c>
      <c r="B29" s="2085" t="s">
        <v>2343</v>
      </c>
      <c r="C29" s="2089" t="s">
        <v>2659</v>
      </c>
      <c r="D29" s="2090" t="s">
        <v>1268</v>
      </c>
      <c r="E29" s="2127"/>
      <c r="F29" s="1610"/>
      <c r="G29" s="2127">
        <f t="shared" si="0"/>
        <v>0</v>
      </c>
      <c r="H29" s="1820"/>
      <c r="I29" s="1820"/>
      <c r="J29" s="1820"/>
      <c r="K29" s="1820"/>
      <c r="L29" s="2128">
        <v>12</v>
      </c>
      <c r="M29" s="1742"/>
      <c r="N29" s="2122"/>
      <c r="O29" s="2122"/>
      <c r="P29" s="1664">
        <f>ROUND((L29-O29)/2,0)</f>
        <v>6</v>
      </c>
      <c r="Q29" s="1664">
        <v>1.07</v>
      </c>
      <c r="R29" s="2122">
        <v>2000</v>
      </c>
      <c r="S29" s="1664">
        <f t="shared" si="3"/>
        <v>2140</v>
      </c>
      <c r="T29" s="1664">
        <f t="shared" si="4"/>
        <v>12840</v>
      </c>
      <c r="U29" s="1664"/>
      <c r="V29" s="1664">
        <f t="shared" si="5"/>
        <v>12840</v>
      </c>
      <c r="W29" s="1610"/>
    </row>
    <row r="30" spans="1:41">
      <c r="A30" s="2130">
        <v>22</v>
      </c>
      <c r="B30" s="2085" t="s">
        <v>2660</v>
      </c>
      <c r="C30" s="2089" t="s">
        <v>2661</v>
      </c>
      <c r="D30" s="2090" t="s">
        <v>1395</v>
      </c>
      <c r="E30" s="2127"/>
      <c r="F30" s="1610"/>
      <c r="G30" s="2127">
        <f t="shared" si="0"/>
        <v>0</v>
      </c>
      <c r="H30" s="1610"/>
      <c r="I30" s="1820"/>
      <c r="J30" s="1820"/>
      <c r="K30" s="1610"/>
      <c r="L30" s="2128">
        <v>10</v>
      </c>
      <c r="M30" s="1742"/>
      <c r="N30" s="1664"/>
      <c r="O30" s="1664"/>
      <c r="P30" s="1664">
        <f t="shared" ref="P30:P50" si="6">ROUND((L30-O30)/2,0)</f>
        <v>5</v>
      </c>
      <c r="Q30" s="1664">
        <v>1.07</v>
      </c>
      <c r="R30" s="1664">
        <v>1640</v>
      </c>
      <c r="S30" s="1664">
        <f t="shared" si="3"/>
        <v>1754.8</v>
      </c>
      <c r="T30" s="1664">
        <f t="shared" si="4"/>
        <v>8774</v>
      </c>
      <c r="U30" s="1664"/>
      <c r="V30" s="1664">
        <f t="shared" si="5"/>
        <v>8774</v>
      </c>
      <c r="W30" s="1610"/>
    </row>
    <row r="31" spans="1:41">
      <c r="A31" s="2130">
        <v>23</v>
      </c>
      <c r="B31" s="2085" t="s">
        <v>2662</v>
      </c>
      <c r="C31" s="2089" t="s">
        <v>2663</v>
      </c>
      <c r="D31" s="2090" t="s">
        <v>1268</v>
      </c>
      <c r="E31" s="2127"/>
      <c r="F31" s="1820"/>
      <c r="G31" s="2127">
        <f t="shared" si="0"/>
        <v>0</v>
      </c>
      <c r="H31" s="1820"/>
      <c r="I31" s="1820"/>
      <c r="J31" s="1820"/>
      <c r="K31" s="1820"/>
      <c r="L31" s="2128">
        <v>1</v>
      </c>
      <c r="M31" s="1742"/>
      <c r="N31" s="2122"/>
      <c r="O31" s="2122"/>
      <c r="P31" s="1664">
        <f t="shared" si="6"/>
        <v>1</v>
      </c>
      <c r="Q31" s="1664">
        <v>1.07</v>
      </c>
      <c r="R31" s="1664">
        <v>7800</v>
      </c>
      <c r="S31" s="1664">
        <f t="shared" si="3"/>
        <v>8346</v>
      </c>
      <c r="T31" s="1664">
        <f t="shared" si="4"/>
        <v>8346</v>
      </c>
      <c r="U31" s="1664"/>
      <c r="V31" s="1664">
        <f t="shared" si="5"/>
        <v>8346</v>
      </c>
      <c r="W31" s="1610"/>
    </row>
    <row r="32" spans="1:41">
      <c r="A32" s="2130">
        <v>24</v>
      </c>
      <c r="B32" s="2085" t="s">
        <v>2664</v>
      </c>
      <c r="C32" s="2089"/>
      <c r="D32" s="2090" t="s">
        <v>1395</v>
      </c>
      <c r="E32" s="2127"/>
      <c r="F32" s="1820"/>
      <c r="G32" s="2127">
        <f t="shared" si="0"/>
        <v>0</v>
      </c>
      <c r="H32" s="1820"/>
      <c r="I32" s="1820"/>
      <c r="J32" s="1820"/>
      <c r="K32" s="1820"/>
      <c r="L32" s="2128">
        <v>6</v>
      </c>
      <c r="M32" s="1742"/>
      <c r="N32" s="2122"/>
      <c r="O32" s="2122"/>
      <c r="P32" s="1664">
        <f t="shared" si="6"/>
        <v>3</v>
      </c>
      <c r="Q32" s="1664">
        <v>1.07</v>
      </c>
      <c r="R32" s="2122">
        <v>1640</v>
      </c>
      <c r="S32" s="1664">
        <f t="shared" si="3"/>
        <v>1754.8</v>
      </c>
      <c r="T32" s="1664">
        <f t="shared" si="4"/>
        <v>5264</v>
      </c>
      <c r="U32" s="1664"/>
      <c r="V32" s="1664">
        <f t="shared" si="5"/>
        <v>5264</v>
      </c>
      <c r="W32" s="1610"/>
    </row>
    <row r="33" spans="1:23" ht="25.5">
      <c r="A33" s="2130">
        <v>25</v>
      </c>
      <c r="B33" s="2085" t="s">
        <v>2665</v>
      </c>
      <c r="C33" s="2089" t="s">
        <v>2666</v>
      </c>
      <c r="D33" s="2090" t="s">
        <v>1268</v>
      </c>
      <c r="E33" s="2127"/>
      <c r="F33" s="1820"/>
      <c r="G33" s="2127">
        <f t="shared" si="0"/>
        <v>0</v>
      </c>
      <c r="H33" s="1820"/>
      <c r="I33" s="1820"/>
      <c r="J33" s="1820"/>
      <c r="K33" s="1820"/>
      <c r="L33" s="2128">
        <v>6</v>
      </c>
      <c r="M33" s="1742"/>
      <c r="N33" s="2122"/>
      <c r="O33" s="2122"/>
      <c r="P33" s="1664">
        <f t="shared" si="6"/>
        <v>3</v>
      </c>
      <c r="Q33" s="1664">
        <v>1.07</v>
      </c>
      <c r="R33" s="2122">
        <v>8000</v>
      </c>
      <c r="S33" s="1664">
        <f t="shared" si="3"/>
        <v>8560</v>
      </c>
      <c r="T33" s="1664">
        <f t="shared" si="4"/>
        <v>25680</v>
      </c>
      <c r="U33" s="1664"/>
      <c r="V33" s="1664">
        <f t="shared" si="5"/>
        <v>25680</v>
      </c>
      <c r="W33" s="1610"/>
    </row>
    <row r="34" spans="1:23">
      <c r="A34" s="2130">
        <v>26</v>
      </c>
      <c r="B34" s="2085" t="s">
        <v>2667</v>
      </c>
      <c r="C34" s="2089" t="s">
        <v>2668</v>
      </c>
      <c r="D34" s="2090" t="s">
        <v>1268</v>
      </c>
      <c r="E34" s="2127"/>
      <c r="F34" s="1820"/>
      <c r="G34" s="2127">
        <f t="shared" si="0"/>
        <v>0</v>
      </c>
      <c r="H34" s="1820"/>
      <c r="I34" s="1820"/>
      <c r="J34" s="1820"/>
      <c r="K34" s="1820"/>
      <c r="L34" s="2128">
        <v>1</v>
      </c>
      <c r="M34" s="1742"/>
      <c r="N34" s="2122"/>
      <c r="O34" s="2122"/>
      <c r="P34" s="1664">
        <f t="shared" si="6"/>
        <v>1</v>
      </c>
      <c r="Q34" s="1664">
        <v>1.07</v>
      </c>
      <c r="R34" s="1664">
        <v>7000</v>
      </c>
      <c r="S34" s="1664">
        <f t="shared" si="3"/>
        <v>7490</v>
      </c>
      <c r="T34" s="1664">
        <f t="shared" si="4"/>
        <v>7490</v>
      </c>
      <c r="U34" s="1664"/>
      <c r="V34" s="1664">
        <f t="shared" si="5"/>
        <v>7490</v>
      </c>
      <c r="W34" s="1610"/>
    </row>
    <row r="35" spans="1:23">
      <c r="A35" s="2130">
        <v>27</v>
      </c>
      <c r="B35" s="2085" t="s">
        <v>1320</v>
      </c>
      <c r="C35" s="2089" t="s">
        <v>2669</v>
      </c>
      <c r="D35" s="2090" t="s">
        <v>1268</v>
      </c>
      <c r="E35" s="2127"/>
      <c r="F35" s="1820"/>
      <c r="G35" s="2127">
        <f t="shared" si="0"/>
        <v>0</v>
      </c>
      <c r="H35" s="1820"/>
      <c r="I35" s="1820"/>
      <c r="J35" s="1820"/>
      <c r="K35" s="1820"/>
      <c r="L35" s="2128">
        <v>6</v>
      </c>
      <c r="M35" s="1742"/>
      <c r="N35" s="2122"/>
      <c r="O35" s="2122"/>
      <c r="P35" s="1664">
        <f t="shared" si="6"/>
        <v>3</v>
      </c>
      <c r="Q35" s="1664">
        <v>1.07</v>
      </c>
      <c r="R35" s="2122">
        <v>6500</v>
      </c>
      <c r="S35" s="1664">
        <f t="shared" si="3"/>
        <v>6955</v>
      </c>
      <c r="T35" s="1664">
        <f t="shared" si="4"/>
        <v>20865</v>
      </c>
      <c r="U35" s="1664"/>
      <c r="V35" s="1664">
        <f t="shared" si="5"/>
        <v>20865</v>
      </c>
      <c r="W35" s="1610"/>
    </row>
    <row r="36" spans="1:23">
      <c r="A36" s="2130">
        <v>28</v>
      </c>
      <c r="B36" s="2085" t="s">
        <v>1320</v>
      </c>
      <c r="C36" s="2089" t="s">
        <v>2670</v>
      </c>
      <c r="D36" s="2090" t="s">
        <v>1268</v>
      </c>
      <c r="E36" s="2127"/>
      <c r="F36" s="1820"/>
      <c r="G36" s="2127">
        <f t="shared" si="0"/>
        <v>0</v>
      </c>
      <c r="H36" s="1820"/>
      <c r="I36" s="1820"/>
      <c r="J36" s="1820"/>
      <c r="K36" s="1820"/>
      <c r="L36" s="2128">
        <v>10</v>
      </c>
      <c r="M36" s="1742"/>
      <c r="N36" s="2122"/>
      <c r="O36" s="2122"/>
      <c r="P36" s="1664">
        <f t="shared" si="6"/>
        <v>5</v>
      </c>
      <c r="Q36" s="1664">
        <v>1.07</v>
      </c>
      <c r="R36" s="2122">
        <v>3500</v>
      </c>
      <c r="S36" s="1664">
        <f t="shared" si="3"/>
        <v>3745</v>
      </c>
      <c r="T36" s="1664">
        <f t="shared" si="4"/>
        <v>18725</v>
      </c>
      <c r="U36" s="1664"/>
      <c r="V36" s="1664">
        <f t="shared" si="5"/>
        <v>18725</v>
      </c>
      <c r="W36" s="1610"/>
    </row>
    <row r="37" spans="1:23" ht="25.5">
      <c r="A37" s="2130">
        <v>29</v>
      </c>
      <c r="B37" s="2085" t="s">
        <v>2341</v>
      </c>
      <c r="C37" s="2089" t="s">
        <v>2671</v>
      </c>
      <c r="D37" s="2090" t="s">
        <v>1268</v>
      </c>
      <c r="E37" s="2127"/>
      <c r="F37" s="1610"/>
      <c r="G37" s="2127">
        <f t="shared" si="0"/>
        <v>0</v>
      </c>
      <c r="H37" s="1610"/>
      <c r="I37" s="1820"/>
      <c r="J37" s="1820"/>
      <c r="K37" s="1610"/>
      <c r="L37" s="2128">
        <v>6</v>
      </c>
      <c r="M37" s="1742"/>
      <c r="N37" s="1664"/>
      <c r="O37" s="1664"/>
      <c r="P37" s="1664">
        <f t="shared" si="6"/>
        <v>3</v>
      </c>
      <c r="Q37" s="1664">
        <v>1.07</v>
      </c>
      <c r="R37" s="1664">
        <v>2500</v>
      </c>
      <c r="S37" s="1664">
        <f t="shared" si="3"/>
        <v>2675</v>
      </c>
      <c r="T37" s="1664">
        <f t="shared" si="4"/>
        <v>8025</v>
      </c>
      <c r="U37" s="1664"/>
      <c r="V37" s="1664">
        <f t="shared" si="5"/>
        <v>8025</v>
      </c>
      <c r="W37" s="1610"/>
    </row>
    <row r="38" spans="1:23">
      <c r="A38" s="2130">
        <v>30</v>
      </c>
      <c r="B38" s="2085" t="s">
        <v>1320</v>
      </c>
      <c r="C38" s="2089" t="s">
        <v>2672</v>
      </c>
      <c r="D38" s="2090" t="s">
        <v>1268</v>
      </c>
      <c r="E38" s="2127"/>
      <c r="F38" s="1820"/>
      <c r="G38" s="2127">
        <f t="shared" si="0"/>
        <v>0</v>
      </c>
      <c r="H38" s="1820"/>
      <c r="I38" s="1820"/>
      <c r="J38" s="1820"/>
      <c r="K38" s="1820"/>
      <c r="L38" s="2128">
        <v>6</v>
      </c>
      <c r="M38" s="1742"/>
      <c r="N38" s="2122"/>
      <c r="O38" s="2122"/>
      <c r="P38" s="1664">
        <f t="shared" si="6"/>
        <v>3</v>
      </c>
      <c r="Q38" s="1664">
        <v>1.07</v>
      </c>
      <c r="R38" s="2122">
        <v>6800</v>
      </c>
      <c r="S38" s="1664">
        <f t="shared" si="3"/>
        <v>7276</v>
      </c>
      <c r="T38" s="1664">
        <f t="shared" si="4"/>
        <v>21828</v>
      </c>
      <c r="U38" s="1664"/>
      <c r="V38" s="1664">
        <f t="shared" si="5"/>
        <v>21828</v>
      </c>
      <c r="W38" s="1610"/>
    </row>
    <row r="39" spans="1:23">
      <c r="A39" s="2130">
        <v>31</v>
      </c>
      <c r="B39" s="2085" t="s">
        <v>1687</v>
      </c>
      <c r="C39" s="2086" t="s">
        <v>2673</v>
      </c>
      <c r="D39" s="2090" t="s">
        <v>1395</v>
      </c>
      <c r="E39" s="2127"/>
      <c r="F39" s="1820"/>
      <c r="G39" s="2127">
        <f t="shared" si="0"/>
        <v>0</v>
      </c>
      <c r="H39" s="1820"/>
      <c r="I39" s="1820"/>
      <c r="J39" s="1820"/>
      <c r="K39" s="1820"/>
      <c r="L39" s="2128">
        <v>600</v>
      </c>
      <c r="M39" s="1742"/>
      <c r="N39" s="2122">
        <v>540</v>
      </c>
      <c r="O39" s="2122">
        <f>N39/2</f>
        <v>270</v>
      </c>
      <c r="P39" s="1664">
        <f t="shared" si="6"/>
        <v>165</v>
      </c>
      <c r="Q39" s="1664">
        <v>1.07</v>
      </c>
      <c r="R39" s="2122">
        <v>1700</v>
      </c>
      <c r="S39" s="1664">
        <f>ROUND(Q39*R39,2)</f>
        <v>1819</v>
      </c>
      <c r="T39" s="1664">
        <f t="shared" si="4"/>
        <v>300135</v>
      </c>
      <c r="U39" s="1664"/>
      <c r="V39" s="1664">
        <f t="shared" si="5"/>
        <v>300135</v>
      </c>
      <c r="W39" s="1610"/>
    </row>
    <row r="40" spans="1:23">
      <c r="A40" s="2130">
        <v>32</v>
      </c>
      <c r="B40" s="2085" t="s">
        <v>2649</v>
      </c>
      <c r="C40" s="2086" t="s">
        <v>2674</v>
      </c>
      <c r="D40" s="2090" t="s">
        <v>1022</v>
      </c>
      <c r="E40" s="2127"/>
      <c r="F40" s="1820"/>
      <c r="G40" s="2127">
        <f t="shared" si="0"/>
        <v>0</v>
      </c>
      <c r="H40" s="1820"/>
      <c r="I40" s="1820"/>
      <c r="J40" s="1820"/>
      <c r="K40" s="1820"/>
      <c r="L40" s="2128">
        <v>6</v>
      </c>
      <c r="M40" s="1742"/>
      <c r="N40" s="2122"/>
      <c r="O40" s="2122"/>
      <c r="P40" s="1664">
        <f t="shared" si="6"/>
        <v>3</v>
      </c>
      <c r="Q40" s="1664">
        <v>1.07</v>
      </c>
      <c r="R40" s="2122">
        <v>8000</v>
      </c>
      <c r="S40" s="1664">
        <f t="shared" si="3"/>
        <v>8560</v>
      </c>
      <c r="T40" s="1664">
        <f t="shared" si="4"/>
        <v>25680</v>
      </c>
      <c r="U40" s="1664"/>
      <c r="V40" s="1664">
        <f t="shared" si="5"/>
        <v>25680</v>
      </c>
      <c r="W40" s="1610"/>
    </row>
    <row r="41" spans="1:23">
      <c r="A41" s="2130">
        <v>33</v>
      </c>
      <c r="B41" s="2085" t="s">
        <v>2595</v>
      </c>
      <c r="C41" s="2086" t="s">
        <v>2675</v>
      </c>
      <c r="D41" s="2090" t="s">
        <v>1022</v>
      </c>
      <c r="E41" s="2127"/>
      <c r="F41" s="1820"/>
      <c r="G41" s="2127">
        <f t="shared" si="0"/>
        <v>0</v>
      </c>
      <c r="H41" s="1820"/>
      <c r="I41" s="1820"/>
      <c r="J41" s="1820"/>
      <c r="K41" s="1820"/>
      <c r="L41" s="2128">
        <v>40</v>
      </c>
      <c r="M41" s="1742"/>
      <c r="N41" s="2122"/>
      <c r="O41" s="2122"/>
      <c r="P41" s="1664">
        <f t="shared" si="6"/>
        <v>20</v>
      </c>
      <c r="Q41" s="1664">
        <v>1.07</v>
      </c>
      <c r="R41" s="1664">
        <v>250</v>
      </c>
      <c r="S41" s="1664">
        <f t="shared" si="3"/>
        <v>267.5</v>
      </c>
      <c r="T41" s="1664">
        <f t="shared" si="4"/>
        <v>5350</v>
      </c>
      <c r="U41" s="1664"/>
      <c r="V41" s="1664">
        <f t="shared" si="5"/>
        <v>5350</v>
      </c>
      <c r="W41" s="1610"/>
    </row>
    <row r="42" spans="1:23" ht="34.5" customHeight="1">
      <c r="A42" s="2130">
        <v>34</v>
      </c>
      <c r="B42" s="2130" t="s">
        <v>2676</v>
      </c>
      <c r="C42" s="2130" t="s">
        <v>2677</v>
      </c>
      <c r="D42" s="2482" t="s">
        <v>1022</v>
      </c>
      <c r="E42" s="2130"/>
      <c r="F42" s="1610"/>
      <c r="G42" s="2127">
        <f t="shared" si="0"/>
        <v>0</v>
      </c>
      <c r="H42" s="1610"/>
      <c r="I42" s="1820"/>
      <c r="J42" s="1820"/>
      <c r="K42" s="1610"/>
      <c r="L42" s="2481">
        <v>8</v>
      </c>
      <c r="M42" s="2130"/>
      <c r="N42" s="1664"/>
      <c r="O42" s="1664"/>
      <c r="P42" s="1664">
        <f t="shared" si="6"/>
        <v>4</v>
      </c>
      <c r="Q42" s="1664">
        <v>1.07</v>
      </c>
      <c r="R42" s="1664">
        <v>1600</v>
      </c>
      <c r="S42" s="1664">
        <f t="shared" si="3"/>
        <v>1712</v>
      </c>
      <c r="T42" s="1664">
        <f t="shared" si="4"/>
        <v>6848</v>
      </c>
      <c r="U42" s="1664"/>
      <c r="V42" s="1664">
        <f t="shared" si="5"/>
        <v>6848</v>
      </c>
      <c r="W42" s="1610"/>
    </row>
    <row r="43" spans="1:23">
      <c r="A43" s="2130">
        <v>35</v>
      </c>
      <c r="B43" s="2085" t="s">
        <v>2678</v>
      </c>
      <c r="C43" s="2086" t="s">
        <v>2679</v>
      </c>
      <c r="D43" s="2087" t="s">
        <v>1268</v>
      </c>
      <c r="E43" s="2127"/>
      <c r="F43" s="1820"/>
      <c r="G43" s="2127">
        <f t="shared" si="0"/>
        <v>0</v>
      </c>
      <c r="H43" s="1820"/>
      <c r="I43" s="1820"/>
      <c r="J43" s="1820"/>
      <c r="K43" s="1820"/>
      <c r="L43" s="2128">
        <v>50</v>
      </c>
      <c r="M43" s="1742"/>
      <c r="N43" s="2122"/>
      <c r="O43" s="2122"/>
      <c r="P43" s="1664">
        <f t="shared" si="6"/>
        <v>25</v>
      </c>
      <c r="Q43" s="1664">
        <v>1.07</v>
      </c>
      <c r="R43" s="1664">
        <v>65</v>
      </c>
      <c r="S43" s="1664">
        <f t="shared" si="3"/>
        <v>69.55</v>
      </c>
      <c r="T43" s="1664">
        <f t="shared" si="4"/>
        <v>1739</v>
      </c>
      <c r="U43" s="1664"/>
      <c r="V43" s="1664">
        <f t="shared" si="5"/>
        <v>1739</v>
      </c>
      <c r="W43" s="1610"/>
    </row>
    <row r="44" spans="1:23">
      <c r="A44" s="2130">
        <v>36</v>
      </c>
      <c r="B44" s="2085" t="s">
        <v>2680</v>
      </c>
      <c r="C44" s="2086" t="s">
        <v>2681</v>
      </c>
      <c r="D44" s="2087" t="s">
        <v>1395</v>
      </c>
      <c r="E44" s="2127"/>
      <c r="F44" s="1820"/>
      <c r="G44" s="2127">
        <f t="shared" si="0"/>
        <v>0</v>
      </c>
      <c r="H44" s="1820"/>
      <c r="I44" s="1820"/>
      <c r="J44" s="1820"/>
      <c r="K44" s="1820"/>
      <c r="L44" s="2128">
        <v>20</v>
      </c>
      <c r="M44" s="1742"/>
      <c r="N44" s="2122"/>
      <c r="O44" s="2122"/>
      <c r="P44" s="1664">
        <f t="shared" si="6"/>
        <v>10</v>
      </c>
      <c r="Q44" s="1664">
        <v>1.07</v>
      </c>
      <c r="R44" s="1664">
        <v>1300</v>
      </c>
      <c r="S44" s="1664">
        <f t="shared" si="3"/>
        <v>1391</v>
      </c>
      <c r="T44" s="1664">
        <f t="shared" si="4"/>
        <v>13910</v>
      </c>
      <c r="U44" s="1664"/>
      <c r="V44" s="1664">
        <f t="shared" si="5"/>
        <v>13910</v>
      </c>
      <c r="W44" s="1610"/>
    </row>
    <row r="45" spans="1:23">
      <c r="A45" s="2130">
        <v>37</v>
      </c>
      <c r="B45" s="2085" t="s">
        <v>2682</v>
      </c>
      <c r="C45" s="2086" t="s">
        <v>2683</v>
      </c>
      <c r="D45" s="2087" t="s">
        <v>2295</v>
      </c>
      <c r="E45" s="2127"/>
      <c r="F45" s="1820"/>
      <c r="G45" s="2127">
        <f t="shared" si="0"/>
        <v>0</v>
      </c>
      <c r="H45" s="1820"/>
      <c r="I45" s="1820"/>
      <c r="J45" s="1820"/>
      <c r="K45" s="1820"/>
      <c r="L45" s="2128">
        <v>15</v>
      </c>
      <c r="M45" s="1742"/>
      <c r="N45" s="2122"/>
      <c r="O45" s="2122"/>
      <c r="P45" s="1664">
        <f t="shared" si="6"/>
        <v>8</v>
      </c>
      <c r="Q45" s="1664">
        <v>1.07</v>
      </c>
      <c r="R45" s="1664">
        <v>3000</v>
      </c>
      <c r="S45" s="1664">
        <f t="shared" si="3"/>
        <v>3210</v>
      </c>
      <c r="T45" s="1664">
        <f t="shared" si="4"/>
        <v>25680</v>
      </c>
      <c r="U45" s="1664"/>
      <c r="V45" s="1664">
        <f t="shared" si="5"/>
        <v>25680</v>
      </c>
      <c r="W45" s="1610"/>
    </row>
    <row r="46" spans="1:23">
      <c r="A46" s="2130">
        <v>38</v>
      </c>
      <c r="B46" s="2085" t="s">
        <v>2684</v>
      </c>
      <c r="C46" s="2086" t="s">
        <v>2685</v>
      </c>
      <c r="D46" s="2087" t="s">
        <v>2686</v>
      </c>
      <c r="E46" s="2127"/>
      <c r="F46" s="1610"/>
      <c r="G46" s="2127">
        <f t="shared" si="0"/>
        <v>0</v>
      </c>
      <c r="H46" s="1610"/>
      <c r="I46" s="1820"/>
      <c r="J46" s="1820"/>
      <c r="K46" s="1610"/>
      <c r="L46" s="2128">
        <v>6</v>
      </c>
      <c r="M46" s="1742"/>
      <c r="N46" s="1664"/>
      <c r="O46" s="1664"/>
      <c r="P46" s="1664">
        <f t="shared" si="6"/>
        <v>3</v>
      </c>
      <c r="Q46" s="1664">
        <v>1.07</v>
      </c>
      <c r="R46" s="1664">
        <v>2500</v>
      </c>
      <c r="S46" s="1664">
        <f t="shared" si="3"/>
        <v>2675</v>
      </c>
      <c r="T46" s="1664">
        <f t="shared" si="4"/>
        <v>8025</v>
      </c>
      <c r="U46" s="1664"/>
      <c r="V46" s="1664">
        <f t="shared" si="5"/>
        <v>8025</v>
      </c>
      <c r="W46" s="1610"/>
    </row>
    <row r="47" spans="1:23">
      <c r="A47" s="2130">
        <v>40</v>
      </c>
      <c r="B47" s="2085" t="s">
        <v>1969</v>
      </c>
      <c r="C47" s="2086"/>
      <c r="D47" s="2087" t="s">
        <v>1268</v>
      </c>
      <c r="E47" s="2127"/>
      <c r="F47" s="1610"/>
      <c r="G47" s="2127">
        <f t="shared" si="0"/>
        <v>0</v>
      </c>
      <c r="H47" s="1610"/>
      <c r="I47" s="1820"/>
      <c r="J47" s="1820"/>
      <c r="K47" s="1610"/>
      <c r="L47" s="2128">
        <v>20</v>
      </c>
      <c r="M47" s="1742"/>
      <c r="N47" s="1664"/>
      <c r="O47" s="1664"/>
      <c r="P47" s="1664">
        <f t="shared" si="6"/>
        <v>10</v>
      </c>
      <c r="Q47" s="1664">
        <v>1.07</v>
      </c>
      <c r="R47" s="1664">
        <v>2500</v>
      </c>
      <c r="S47" s="1664">
        <f t="shared" si="3"/>
        <v>2675</v>
      </c>
      <c r="T47" s="1664">
        <f t="shared" si="4"/>
        <v>26750</v>
      </c>
      <c r="U47" s="1664"/>
      <c r="V47" s="1664">
        <f t="shared" si="5"/>
        <v>26750</v>
      </c>
      <c r="W47" s="1610"/>
    </row>
    <row r="48" spans="1:23">
      <c r="A48" s="2130">
        <v>41</v>
      </c>
      <c r="B48" s="2085" t="s">
        <v>2687</v>
      </c>
      <c r="C48" s="2086" t="s">
        <v>2688</v>
      </c>
      <c r="D48" s="2087" t="s">
        <v>1395</v>
      </c>
      <c r="E48" s="2127"/>
      <c r="F48" s="1610"/>
      <c r="G48" s="2127">
        <f t="shared" si="0"/>
        <v>0</v>
      </c>
      <c r="H48" s="1610"/>
      <c r="I48" s="1820"/>
      <c r="J48" s="1820"/>
      <c r="K48" s="1610"/>
      <c r="L48" s="2128">
        <v>2</v>
      </c>
      <c r="M48" s="1742"/>
      <c r="N48" s="1664"/>
      <c r="O48" s="1664"/>
      <c r="P48" s="1664">
        <f t="shared" si="6"/>
        <v>1</v>
      </c>
      <c r="Q48" s="1664">
        <v>1.07</v>
      </c>
      <c r="R48" s="1664">
        <v>5900</v>
      </c>
      <c r="S48" s="1664">
        <f t="shared" si="3"/>
        <v>6313</v>
      </c>
      <c r="T48" s="1664">
        <f t="shared" si="4"/>
        <v>6313</v>
      </c>
      <c r="U48" s="1664"/>
      <c r="V48" s="1664">
        <f t="shared" si="5"/>
        <v>6313</v>
      </c>
      <c r="W48" s="1610"/>
    </row>
    <row r="49" spans="1:23">
      <c r="A49" s="2130">
        <v>42</v>
      </c>
      <c r="B49" s="2085" t="s">
        <v>2689</v>
      </c>
      <c r="C49" s="2086" t="s">
        <v>2690</v>
      </c>
      <c r="D49" s="2087" t="s">
        <v>1268</v>
      </c>
      <c r="E49" s="2127"/>
      <c r="F49" s="1610"/>
      <c r="G49" s="2127">
        <f t="shared" si="0"/>
        <v>0</v>
      </c>
      <c r="H49" s="1820"/>
      <c r="I49" s="1820"/>
      <c r="J49" s="1820"/>
      <c r="K49" s="1820"/>
      <c r="L49" s="2128">
        <v>1</v>
      </c>
      <c r="M49" s="1742"/>
      <c r="N49" s="2122"/>
      <c r="O49" s="2122"/>
      <c r="P49" s="1664">
        <f t="shared" si="6"/>
        <v>1</v>
      </c>
      <c r="Q49" s="1664">
        <v>1.07</v>
      </c>
      <c r="R49" s="2122">
        <v>6000</v>
      </c>
      <c r="S49" s="1664">
        <f t="shared" si="3"/>
        <v>6420</v>
      </c>
      <c r="T49" s="1664">
        <f t="shared" si="4"/>
        <v>6420</v>
      </c>
      <c r="U49" s="1664"/>
      <c r="V49" s="1664">
        <f t="shared" si="5"/>
        <v>6420</v>
      </c>
      <c r="W49" s="1610"/>
    </row>
    <row r="50" spans="1:23">
      <c r="A50" s="2130">
        <v>43</v>
      </c>
      <c r="B50" s="2091" t="s">
        <v>2691</v>
      </c>
      <c r="C50" s="2086"/>
      <c r="D50" s="2087" t="s">
        <v>1268</v>
      </c>
      <c r="E50" s="2127"/>
      <c r="F50" s="1610"/>
      <c r="G50" s="2127">
        <f t="shared" si="0"/>
        <v>0</v>
      </c>
      <c r="H50" s="1610"/>
      <c r="I50" s="1820"/>
      <c r="J50" s="1820"/>
      <c r="K50" s="1610"/>
      <c r="L50" s="2128">
        <v>3</v>
      </c>
      <c r="M50" s="1742"/>
      <c r="N50" s="1664"/>
      <c r="O50" s="1664"/>
      <c r="P50" s="1664">
        <f t="shared" si="6"/>
        <v>2</v>
      </c>
      <c r="Q50" s="1664">
        <v>1.07</v>
      </c>
      <c r="R50" s="1664">
        <v>75000</v>
      </c>
      <c r="S50" s="1664">
        <f t="shared" si="3"/>
        <v>80250</v>
      </c>
      <c r="T50" s="1664">
        <f t="shared" si="4"/>
        <v>160500</v>
      </c>
      <c r="U50" s="1664"/>
      <c r="V50" s="1664">
        <f t="shared" si="5"/>
        <v>160500</v>
      </c>
      <c r="W50" s="1610"/>
    </row>
    <row r="52" spans="1:23">
      <c r="B52" s="2097" t="s">
        <v>368</v>
      </c>
      <c r="C52" s="2042"/>
      <c r="D52" s="2098"/>
      <c r="E52" s="2099"/>
      <c r="F52" s="2048"/>
      <c r="G52" s="2041"/>
    </row>
    <row r="53" spans="1:23">
      <c r="B53" s="2097" t="s">
        <v>370</v>
      </c>
      <c r="C53" s="2042"/>
      <c r="D53" s="2098"/>
      <c r="E53" s="2099"/>
      <c r="F53" s="2048"/>
      <c r="G53" s="2041" t="s">
        <v>371</v>
      </c>
    </row>
    <row r="54" spans="1:23">
      <c r="B54" s="2097"/>
      <c r="C54" s="2042"/>
      <c r="D54" s="2098"/>
      <c r="E54" s="2098"/>
      <c r="F54" s="2048"/>
      <c r="G54" s="2043"/>
    </row>
    <row r="55" spans="1:23">
      <c r="B55" s="2097" t="s">
        <v>372</v>
      </c>
      <c r="C55" s="2042"/>
      <c r="D55" s="2098"/>
      <c r="E55" s="2098"/>
      <c r="F55" s="2048"/>
      <c r="G55" s="2042" t="s">
        <v>373</v>
      </c>
    </row>
    <row r="56" spans="1:23">
      <c r="B56" s="2097"/>
      <c r="C56" s="2042"/>
      <c r="D56" s="2098"/>
      <c r="E56" s="2098"/>
      <c r="F56" s="2048"/>
      <c r="G56" s="2100"/>
    </row>
    <row r="57" spans="1:23">
      <c r="B57" s="2097" t="s">
        <v>375</v>
      </c>
      <c r="C57" s="2100"/>
      <c r="D57" s="2101"/>
      <c r="E57" s="2101"/>
      <c r="F57" s="2048"/>
      <c r="G57" s="2042" t="s">
        <v>376</v>
      </c>
    </row>
    <row r="58" spans="1:23">
      <c r="B58" s="2075"/>
      <c r="C58" s="2044"/>
      <c r="D58" s="2048"/>
      <c r="E58" s="2048"/>
      <c r="F58" s="2048"/>
      <c r="G58" s="2048"/>
    </row>
    <row r="61" spans="1:23">
      <c r="B61" s="1580" t="s">
        <v>3994</v>
      </c>
    </row>
    <row r="62" spans="1:23">
      <c r="A62" s="2130">
        <v>39</v>
      </c>
      <c r="B62" s="2158" t="s">
        <v>3995</v>
      </c>
      <c r="C62" s="2086" t="s">
        <v>3996</v>
      </c>
      <c r="D62" s="2087" t="s">
        <v>1268</v>
      </c>
      <c r="E62" s="2127"/>
      <c r="F62" s="1610"/>
      <c r="G62" s="2127">
        <f>E62</f>
        <v>0</v>
      </c>
      <c r="H62" s="1610"/>
      <c r="I62" s="1820"/>
      <c r="J62" s="1820"/>
      <c r="K62" s="1610"/>
      <c r="L62" s="2128">
        <v>1</v>
      </c>
      <c r="M62" s="1742"/>
      <c r="N62" s="1664"/>
      <c r="O62" s="1664"/>
      <c r="P62" s="1664">
        <f>L62-O62</f>
        <v>1</v>
      </c>
      <c r="Q62" s="1664"/>
      <c r="R62" s="1664">
        <v>45000</v>
      </c>
      <c r="S62" s="1664"/>
      <c r="T62" s="1664">
        <f>P62*R62</f>
        <v>45000</v>
      </c>
      <c r="U62" s="1664"/>
      <c r="V62" s="1664">
        <f>T62-U62</f>
        <v>45000</v>
      </c>
      <c r="W62" s="1610"/>
    </row>
  </sheetData>
  <sheetProtection formatColumns="0" insertRows="0" deleteRows="0"/>
  <mergeCells count="21">
    <mergeCell ref="AC5:AC7"/>
    <mergeCell ref="AD5:AD7"/>
    <mergeCell ref="W5:W7"/>
    <mergeCell ref="X5:X7"/>
    <mergeCell ref="Y5:Y7"/>
    <mergeCell ref="Z5:Z7"/>
    <mergeCell ref="AA5:AA7"/>
    <mergeCell ref="AB5:AB7"/>
    <mergeCell ref="U5:V5"/>
    <mergeCell ref="A5:A6"/>
    <mergeCell ref="B5:B6"/>
    <mergeCell ref="C5:C6"/>
    <mergeCell ref="D5:D6"/>
    <mergeCell ref="E5:E6"/>
    <mergeCell ref="F5:G5"/>
    <mergeCell ref="S5:S6"/>
    <mergeCell ref="H5:H6"/>
    <mergeCell ref="I5:K5"/>
    <mergeCell ref="L5:P5"/>
    <mergeCell ref="R5:R6"/>
    <mergeCell ref="T5:T6"/>
  </mergeCells>
  <pageMargins left="0" right="0" top="0" bottom="0" header="0" footer="0"/>
  <pageSetup paperSize="9" scale="60" fitToHeight="2" orientation="landscape" r:id="rId1"/>
  <rowBreaks count="1" manualBreakCount="1">
    <brk id="42" max="19" man="1"/>
  </rowBreak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Лист20">
    <tabColor rgb="FFFF0000"/>
    <outlinePr summaryBelow="0" summaryRight="0"/>
    <pageSetUpPr fitToPage="1"/>
  </sheetPr>
  <dimension ref="A1:L37"/>
  <sheetViews>
    <sheetView view="pageBreakPreview" zoomScale="60" workbookViewId="0">
      <selection sqref="A1:H37"/>
    </sheetView>
  </sheetViews>
  <sheetFormatPr defaultColWidth="8.85546875" defaultRowHeight="15.75"/>
  <cols>
    <col min="1" max="1" width="4.28515625" style="168" customWidth="1"/>
    <col min="2" max="2" width="29" style="168" customWidth="1"/>
    <col min="3" max="3" width="12.85546875" style="168" customWidth="1"/>
    <col min="4" max="4" width="12.42578125" style="168" customWidth="1"/>
    <col min="5" max="5" width="12.28515625" style="168" customWidth="1"/>
    <col min="6" max="6" width="12.85546875" style="168" customWidth="1"/>
    <col min="7" max="7" width="13.7109375" style="168" customWidth="1"/>
    <col min="8" max="8" width="15.5703125" style="168" customWidth="1"/>
    <col min="9" max="9" width="18.28515625" style="168" customWidth="1"/>
    <col min="10" max="10" width="15.85546875" style="168" customWidth="1"/>
    <col min="11" max="12" width="16.140625" style="168" customWidth="1"/>
    <col min="13" max="16384" width="8.85546875" style="168"/>
  </cols>
  <sheetData>
    <row r="1" spans="1:12">
      <c r="F1" s="169" t="s">
        <v>267</v>
      </c>
      <c r="G1" s="671" t="s">
        <v>628</v>
      </c>
    </row>
    <row r="2" spans="1:12">
      <c r="H2" s="169"/>
      <c r="I2" s="671"/>
    </row>
    <row r="3" spans="1:12" s="711" customFormat="1">
      <c r="A3" s="823" t="s">
        <v>3997</v>
      </c>
      <c r="B3" s="823"/>
      <c r="C3" s="823"/>
      <c r="D3" s="823"/>
      <c r="E3" s="823"/>
      <c r="F3" s="823"/>
      <c r="G3" s="823"/>
      <c r="H3" s="823"/>
      <c r="I3" s="824"/>
      <c r="J3" s="824"/>
      <c r="K3" s="824"/>
      <c r="L3" s="825"/>
    </row>
    <row r="4" spans="1:12">
      <c r="A4" s="221"/>
      <c r="B4" s="221"/>
      <c r="C4" s="221"/>
      <c r="D4" s="221"/>
      <c r="E4" s="221"/>
      <c r="F4" s="221"/>
    </row>
    <row r="5" spans="1:12" s="711" customFormat="1">
      <c r="A5" s="656" t="s">
        <v>3998</v>
      </c>
      <c r="B5" s="826"/>
      <c r="C5" s="826"/>
      <c r="D5" s="823"/>
      <c r="E5" s="823"/>
      <c r="F5" s="823"/>
    </row>
    <row r="6" spans="1:12">
      <c r="A6" s="168" t="s">
        <v>3999</v>
      </c>
      <c r="B6" s="317"/>
      <c r="C6" s="317"/>
      <c r="D6" s="221"/>
      <c r="E6" s="221"/>
      <c r="F6" s="221"/>
    </row>
    <row r="7" spans="1:12">
      <c r="A7" s="221"/>
      <c r="B7" s="221"/>
      <c r="C7" s="221"/>
      <c r="D7" s="221"/>
      <c r="E7" s="221"/>
      <c r="F7" s="221"/>
      <c r="G7" s="307" t="s">
        <v>254</v>
      </c>
    </row>
    <row r="8" spans="1:12" ht="33" customHeight="1">
      <c r="A8" s="249" t="s">
        <v>2</v>
      </c>
      <c r="B8" s="229" t="s">
        <v>3</v>
      </c>
      <c r="C8" s="324" t="s">
        <v>4000</v>
      </c>
      <c r="D8" s="324" t="s">
        <v>999</v>
      </c>
      <c r="E8" s="229" t="s">
        <v>345</v>
      </c>
      <c r="F8" s="324" t="s">
        <v>7</v>
      </c>
      <c r="G8" s="324" t="s">
        <v>8</v>
      </c>
      <c r="H8" s="326"/>
    </row>
    <row r="9" spans="1:12">
      <c r="A9" s="827">
        <v>1</v>
      </c>
      <c r="B9" s="755" t="s">
        <v>4001</v>
      </c>
      <c r="C9" s="828">
        <v>180</v>
      </c>
      <c r="D9" s="1153">
        <v>890</v>
      </c>
      <c r="E9" s="617">
        <f>SUM(C9*D9)</f>
        <v>160200</v>
      </c>
      <c r="F9" s="1153">
        <f>E9</f>
        <v>160200</v>
      </c>
      <c r="G9" s="1154"/>
      <c r="H9" s="321"/>
    </row>
    <row r="10" spans="1:12" ht="31.5" hidden="1">
      <c r="A10" s="827">
        <v>2</v>
      </c>
      <c r="B10" s="755" t="s">
        <v>4002</v>
      </c>
      <c r="C10" s="828"/>
      <c r="D10" s="1153"/>
      <c r="E10" s="617">
        <f t="shared" ref="E10:E28" si="0">SUM(C10*D10)</f>
        <v>0</v>
      </c>
      <c r="F10" s="1154"/>
      <c r="G10" s="1154"/>
      <c r="H10" s="321"/>
    </row>
    <row r="11" spans="1:12" hidden="1">
      <c r="A11" s="827">
        <v>3</v>
      </c>
      <c r="B11" s="755" t="s">
        <v>11</v>
      </c>
      <c r="C11" s="828"/>
      <c r="D11" s="1153"/>
      <c r="E11" s="617">
        <f t="shared" si="0"/>
        <v>0</v>
      </c>
      <c r="F11" s="1154"/>
      <c r="G11" s="1154"/>
      <c r="H11" s="321"/>
    </row>
    <row r="12" spans="1:12" ht="31.5" hidden="1">
      <c r="A12" s="827">
        <v>4</v>
      </c>
      <c r="B12" s="755" t="s">
        <v>4003</v>
      </c>
      <c r="C12" s="830"/>
      <c r="D12" s="1153"/>
      <c r="E12" s="617">
        <f t="shared" si="0"/>
        <v>0</v>
      </c>
      <c r="F12" s="1154"/>
      <c r="G12" s="1154"/>
      <c r="H12" s="321"/>
    </row>
    <row r="13" spans="1:12" hidden="1">
      <c r="A13" s="827">
        <v>5</v>
      </c>
      <c r="B13" s="755" t="s">
        <v>13</v>
      </c>
      <c r="C13" s="830"/>
      <c r="D13" s="1153"/>
      <c r="E13" s="617">
        <f t="shared" si="0"/>
        <v>0</v>
      </c>
      <c r="F13" s="1154"/>
      <c r="G13" s="1154"/>
      <c r="H13" s="321"/>
    </row>
    <row r="14" spans="1:12" hidden="1">
      <c r="A14" s="827">
        <v>6</v>
      </c>
      <c r="B14" s="755" t="s">
        <v>14</v>
      </c>
      <c r="C14" s="830"/>
      <c r="D14" s="1153"/>
      <c r="E14" s="617">
        <f t="shared" si="0"/>
        <v>0</v>
      </c>
      <c r="F14" s="1154"/>
      <c r="G14" s="1154"/>
      <c r="H14" s="321"/>
    </row>
    <row r="15" spans="1:12" hidden="1">
      <c r="A15" s="827">
        <v>7</v>
      </c>
      <c r="B15" s="755" t="s">
        <v>15</v>
      </c>
      <c r="C15" s="830"/>
      <c r="D15" s="1153"/>
      <c r="E15" s="617">
        <f t="shared" si="0"/>
        <v>0</v>
      </c>
      <c r="F15" s="1154"/>
      <c r="G15" s="1154"/>
      <c r="H15" s="321"/>
    </row>
    <row r="16" spans="1:12" hidden="1">
      <c r="A16" s="827">
        <v>8</v>
      </c>
      <c r="B16" s="755" t="s">
        <v>4004</v>
      </c>
      <c r="C16" s="830"/>
      <c r="D16" s="1153"/>
      <c r="E16" s="617">
        <f t="shared" si="0"/>
        <v>0</v>
      </c>
      <c r="F16" s="1154"/>
      <c r="G16" s="1154"/>
      <c r="H16" s="321"/>
    </row>
    <row r="17" spans="1:12" hidden="1">
      <c r="A17" s="827">
        <v>9</v>
      </c>
      <c r="B17" s="755" t="s">
        <v>4005</v>
      </c>
      <c r="C17" s="830"/>
      <c r="D17" s="1153"/>
      <c r="E17" s="617">
        <f t="shared" si="0"/>
        <v>0</v>
      </c>
      <c r="F17" s="1154"/>
      <c r="G17" s="1154"/>
      <c r="H17" s="321"/>
    </row>
    <row r="18" spans="1:12" hidden="1">
      <c r="A18" s="827">
        <v>10</v>
      </c>
      <c r="B18" s="755" t="s">
        <v>526</v>
      </c>
      <c r="C18" s="830"/>
      <c r="D18" s="1153"/>
      <c r="E18" s="617">
        <f t="shared" si="0"/>
        <v>0</v>
      </c>
      <c r="F18" s="1154"/>
      <c r="G18" s="1154"/>
      <c r="H18" s="321"/>
    </row>
    <row r="19" spans="1:12" hidden="1">
      <c r="A19" s="827">
        <v>11</v>
      </c>
      <c r="B19" s="755"/>
      <c r="C19" s="830"/>
      <c r="D19" s="1153"/>
      <c r="E19" s="617">
        <f t="shared" si="0"/>
        <v>0</v>
      </c>
      <c r="F19" s="1154"/>
      <c r="G19" s="1154"/>
      <c r="H19" s="321"/>
    </row>
    <row r="20" spans="1:12" hidden="1">
      <c r="A20" s="827">
        <v>12</v>
      </c>
      <c r="B20" s="755"/>
      <c r="C20" s="830"/>
      <c r="D20" s="1153"/>
      <c r="E20" s="617">
        <f t="shared" si="0"/>
        <v>0</v>
      </c>
      <c r="F20" s="1154"/>
      <c r="G20" s="1154"/>
      <c r="H20" s="321"/>
    </row>
    <row r="21" spans="1:12" hidden="1">
      <c r="A21" s="827">
        <v>13</v>
      </c>
      <c r="B21" s="755"/>
      <c r="C21" s="830"/>
      <c r="D21" s="1153"/>
      <c r="E21" s="617">
        <f t="shared" si="0"/>
        <v>0</v>
      </c>
      <c r="F21" s="1154"/>
      <c r="G21" s="1154"/>
      <c r="H21" s="321"/>
    </row>
    <row r="22" spans="1:12" hidden="1">
      <c r="A22" s="827">
        <v>14</v>
      </c>
      <c r="B22" s="755"/>
      <c r="C22" s="830"/>
      <c r="D22" s="1153"/>
      <c r="E22" s="617">
        <f t="shared" si="0"/>
        <v>0</v>
      </c>
      <c r="F22" s="1154"/>
      <c r="G22" s="1154"/>
      <c r="H22" s="321"/>
    </row>
    <row r="23" spans="1:12" hidden="1">
      <c r="A23" s="827">
        <v>15</v>
      </c>
      <c r="B23" s="755"/>
      <c r="C23" s="830"/>
      <c r="D23" s="1153"/>
      <c r="E23" s="617">
        <f t="shared" si="0"/>
        <v>0</v>
      </c>
      <c r="F23" s="1154"/>
      <c r="G23" s="1154"/>
      <c r="H23" s="321"/>
    </row>
    <row r="24" spans="1:12" hidden="1">
      <c r="A24" s="827">
        <v>16</v>
      </c>
      <c r="B24" s="755"/>
      <c r="C24" s="830"/>
      <c r="D24" s="1153"/>
      <c r="E24" s="617">
        <f t="shared" si="0"/>
        <v>0</v>
      </c>
      <c r="F24" s="1154"/>
      <c r="G24" s="1154"/>
      <c r="H24" s="321"/>
    </row>
    <row r="25" spans="1:12" hidden="1">
      <c r="A25" s="827">
        <v>17</v>
      </c>
      <c r="B25" s="755"/>
      <c r="C25" s="830"/>
      <c r="D25" s="1153"/>
      <c r="E25" s="617">
        <f t="shared" si="0"/>
        <v>0</v>
      </c>
      <c r="F25" s="1154"/>
      <c r="G25" s="1154"/>
      <c r="H25" s="321"/>
    </row>
    <row r="26" spans="1:12" hidden="1">
      <c r="A26" s="827">
        <v>18</v>
      </c>
      <c r="B26" s="755"/>
      <c r="C26" s="830"/>
      <c r="D26" s="1153"/>
      <c r="E26" s="617">
        <f t="shared" si="0"/>
        <v>0</v>
      </c>
      <c r="F26" s="1154"/>
      <c r="G26" s="1154"/>
      <c r="H26" s="321"/>
    </row>
    <row r="27" spans="1:12" hidden="1">
      <c r="A27" s="827">
        <v>19</v>
      </c>
      <c r="B27" s="755"/>
      <c r="C27" s="830"/>
      <c r="D27" s="1153"/>
      <c r="E27" s="617">
        <f t="shared" si="0"/>
        <v>0</v>
      </c>
      <c r="F27" s="1154"/>
      <c r="G27" s="1154"/>
      <c r="H27" s="321"/>
    </row>
    <row r="28" spans="1:12" hidden="1">
      <c r="A28" s="827">
        <v>20</v>
      </c>
      <c r="B28" s="755"/>
      <c r="C28" s="830"/>
      <c r="D28" s="1153"/>
      <c r="E28" s="617">
        <f t="shared" si="0"/>
        <v>0</v>
      </c>
      <c r="F28" s="1154"/>
      <c r="G28" s="1154"/>
      <c r="H28" s="321"/>
    </row>
    <row r="29" spans="1:12">
      <c r="A29" s="238"/>
      <c r="B29" s="234" t="s">
        <v>20</v>
      </c>
      <c r="C29" s="618"/>
      <c r="D29" s="618"/>
      <c r="E29" s="618">
        <f>SUM(E9:E28)</f>
        <v>160200</v>
      </c>
      <c r="F29" s="618">
        <f>SUM(F9:F28)</f>
        <v>160200</v>
      </c>
      <c r="G29" s="618">
        <f>SUM(G9:G28)</f>
        <v>0</v>
      </c>
      <c r="H29" s="530"/>
    </row>
    <row r="31" spans="1:12">
      <c r="B31" s="300"/>
      <c r="C31" s="514"/>
      <c r="D31" s="514"/>
      <c r="E31" s="1075"/>
      <c r="F31" s="419"/>
      <c r="G31" s="1075"/>
      <c r="I31" s="304"/>
      <c r="L31" s="278"/>
    </row>
    <row r="32" spans="1:12">
      <c r="B32" s="426" t="s">
        <v>330</v>
      </c>
      <c r="C32" s="514"/>
      <c r="D32" s="514"/>
      <c r="E32" s="1075"/>
      <c r="F32" s="419"/>
      <c r="G32" s="1075" t="s">
        <v>369</v>
      </c>
      <c r="I32" s="412"/>
      <c r="L32" s="278"/>
    </row>
    <row r="33" spans="1:12">
      <c r="B33" s="426"/>
      <c r="C33" s="514"/>
      <c r="D33" s="514"/>
      <c r="E33" s="1075"/>
      <c r="F33" s="419"/>
      <c r="G33" s="1075"/>
      <c r="I33" s="302"/>
      <c r="L33" s="278"/>
    </row>
    <row r="34" spans="1:12">
      <c r="B34" s="1073" t="s">
        <v>547</v>
      </c>
      <c r="C34" s="1076"/>
      <c r="D34" s="475"/>
      <c r="E34" s="1077"/>
      <c r="F34" s="419"/>
      <c r="I34" s="302"/>
    </row>
    <row r="35" spans="1:12">
      <c r="A35" s="404"/>
      <c r="B35" s="1073" t="s">
        <v>548</v>
      </c>
      <c r="C35" s="1076"/>
      <c r="D35" s="475"/>
      <c r="E35" s="1077"/>
      <c r="F35" s="419"/>
      <c r="G35" s="1074" t="s">
        <v>374</v>
      </c>
      <c r="I35" s="302"/>
    </row>
    <row r="36" spans="1:12">
      <c r="B36" s="1073"/>
      <c r="C36" s="1076"/>
      <c r="D36" s="475"/>
      <c r="E36" s="1077"/>
      <c r="F36" s="580"/>
      <c r="G36" s="1078"/>
    </row>
    <row r="37" spans="1:12">
      <c r="B37" s="1073" t="s">
        <v>375</v>
      </c>
      <c r="C37" s="1078"/>
      <c r="D37" s="1078"/>
      <c r="E37" s="1078"/>
      <c r="F37" s="580"/>
      <c r="G37" s="1074" t="s">
        <v>376</v>
      </c>
    </row>
  </sheetData>
  <sheetProtection formatColumns="0" insertRows="0" deleteRows="0"/>
  <pageMargins left="0" right="0" top="0" bottom="0" header="0" footer="0"/>
  <pageSetup paperSize="9" fitToHeight="0" orientation="landscape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Лист21">
    <tabColor rgb="FF7030A0"/>
    <outlinePr summaryBelow="0" summaryRight="0"/>
    <pageSetUpPr fitToPage="1"/>
  </sheetPr>
  <dimension ref="A1:P31"/>
  <sheetViews>
    <sheetView workbookViewId="0">
      <selection activeCell="J1" sqref="J1"/>
    </sheetView>
  </sheetViews>
  <sheetFormatPr defaultColWidth="8.85546875" defaultRowHeight="15.75"/>
  <cols>
    <col min="1" max="1" width="4.28515625" style="168" customWidth="1"/>
    <col min="2" max="2" width="27.7109375" style="168" customWidth="1"/>
    <col min="3" max="3" width="10.28515625" style="168" customWidth="1"/>
    <col min="4" max="4" width="12.140625" style="168" customWidth="1"/>
    <col min="5" max="5" width="12.28515625" style="168" customWidth="1"/>
    <col min="6" max="6" width="12.85546875" style="168" customWidth="1"/>
    <col min="7" max="7" width="14.7109375" style="168" customWidth="1"/>
    <col min="8" max="8" width="15.5703125" style="168" customWidth="1"/>
    <col min="9" max="12" width="16.140625" style="168" customWidth="1"/>
    <col min="13" max="16384" width="8.85546875" style="168"/>
  </cols>
  <sheetData>
    <row r="1" spans="1:16">
      <c r="I1" s="169" t="s">
        <v>267</v>
      </c>
      <c r="J1" s="671" t="s">
        <v>4006</v>
      </c>
    </row>
    <row r="2" spans="1:16" s="711" customFormat="1">
      <c r="A2" s="695" t="s">
        <v>4007</v>
      </c>
      <c r="B2" s="678"/>
      <c r="C2" s="678"/>
    </row>
    <row r="3" spans="1:16">
      <c r="A3" s="420"/>
      <c r="B3" s="314"/>
      <c r="C3" s="314"/>
    </row>
    <row r="4" spans="1:16" s="711" customFormat="1">
      <c r="A4" s="656" t="s">
        <v>3401</v>
      </c>
      <c r="B4" s="826"/>
      <c r="C4" s="826"/>
      <c r="D4" s="823"/>
      <c r="E4" s="823"/>
      <c r="F4" s="823"/>
      <c r="G4" s="823"/>
      <c r="H4" s="823"/>
      <c r="I4" s="823"/>
      <c r="J4" s="823"/>
      <c r="K4" s="823"/>
      <c r="L4" s="823"/>
      <c r="M4" s="832"/>
      <c r="N4" s="832"/>
      <c r="O4" s="832"/>
      <c r="P4" s="832"/>
    </row>
    <row r="5" spans="1:16">
      <c r="A5" s="168" t="s">
        <v>990</v>
      </c>
      <c r="B5" s="317"/>
      <c r="C5" s="317"/>
      <c r="D5" s="221"/>
      <c r="E5" s="221"/>
      <c r="F5" s="221"/>
      <c r="G5" s="221"/>
      <c r="H5" s="221"/>
      <c r="I5" s="221"/>
      <c r="J5" s="221"/>
      <c r="K5" s="221"/>
      <c r="L5" s="221"/>
      <c r="M5" s="255"/>
      <c r="N5" s="255"/>
      <c r="O5" s="255"/>
      <c r="P5" s="255"/>
    </row>
    <row r="6" spans="1:16">
      <c r="A6" s="322"/>
      <c r="B6" s="322"/>
      <c r="C6" s="322"/>
      <c r="D6" s="322"/>
      <c r="E6" s="322"/>
      <c r="F6" s="322"/>
      <c r="G6" s="322"/>
      <c r="H6" s="322"/>
      <c r="I6" s="322"/>
      <c r="J6" s="307" t="s">
        <v>254</v>
      </c>
      <c r="K6" s="375"/>
      <c r="L6" s="323"/>
    </row>
    <row r="7" spans="1:16">
      <c r="A7" s="4212" t="s">
        <v>2</v>
      </c>
      <c r="B7" s="4192" t="s">
        <v>478</v>
      </c>
      <c r="C7" s="4196" t="s">
        <v>996</v>
      </c>
      <c r="D7" s="4160" t="s">
        <v>4008</v>
      </c>
      <c r="E7" s="4237" t="s">
        <v>255</v>
      </c>
      <c r="F7" s="4238"/>
      <c r="G7" s="4236" t="s">
        <v>999</v>
      </c>
      <c r="H7" s="4192" t="s">
        <v>345</v>
      </c>
      <c r="I7" s="4234" t="s">
        <v>255</v>
      </c>
      <c r="J7" s="4235"/>
    </row>
    <row r="8" spans="1:16" ht="34.5" customHeight="1">
      <c r="A8" s="4212"/>
      <c r="B8" s="4192"/>
      <c r="C8" s="4197"/>
      <c r="D8" s="4160"/>
      <c r="E8" s="286" t="s">
        <v>7</v>
      </c>
      <c r="F8" s="286" t="s">
        <v>8</v>
      </c>
      <c r="G8" s="4236"/>
      <c r="H8" s="4192"/>
      <c r="I8" s="324" t="s">
        <v>7</v>
      </c>
      <c r="J8" s="324" t="s">
        <v>8</v>
      </c>
    </row>
    <row r="9" spans="1:16">
      <c r="A9" s="238"/>
      <c r="B9" s="234" t="s">
        <v>20</v>
      </c>
      <c r="C9" s="234"/>
      <c r="D9" s="292"/>
      <c r="E9" s="292"/>
      <c r="F9" s="292"/>
      <c r="G9" s="529"/>
      <c r="H9" s="618">
        <f>SUM(H10:H24)</f>
        <v>0</v>
      </c>
      <c r="I9" s="618">
        <f>SUM(I10:I24)</f>
        <v>0</v>
      </c>
      <c r="J9" s="618">
        <f>SUM(J10:J24)</f>
        <v>0</v>
      </c>
    </row>
    <row r="10" spans="1:16">
      <c r="A10" s="827"/>
      <c r="B10" s="755"/>
      <c r="C10" s="755"/>
      <c r="D10" s="250">
        <f>E10+F10</f>
        <v>0</v>
      </c>
      <c r="E10" s="833"/>
      <c r="F10" s="833"/>
      <c r="G10" s="829"/>
      <c r="H10" s="617">
        <f>I10+J10</f>
        <v>0</v>
      </c>
      <c r="I10" s="617">
        <f>E10*G10</f>
        <v>0</v>
      </c>
      <c r="J10" s="617">
        <f>F10*G10</f>
        <v>0</v>
      </c>
    </row>
    <row r="11" spans="1:16">
      <c r="A11" s="827"/>
      <c r="B11" s="755"/>
      <c r="C11" s="755"/>
      <c r="D11" s="250">
        <f>E11+F11</f>
        <v>0</v>
      </c>
      <c r="E11" s="833"/>
      <c r="F11" s="833"/>
      <c r="G11" s="829"/>
      <c r="H11" s="617">
        <f>I11+J11</f>
        <v>0</v>
      </c>
      <c r="I11" s="617">
        <f>E11*G11</f>
        <v>0</v>
      </c>
      <c r="J11" s="617">
        <f>F11*G11</f>
        <v>0</v>
      </c>
    </row>
    <row r="12" spans="1:16">
      <c r="A12" s="827"/>
      <c r="B12" s="755"/>
      <c r="C12" s="755"/>
      <c r="D12" s="250">
        <f t="shared" ref="D12:D23" si="0">E12+F12</f>
        <v>0</v>
      </c>
      <c r="E12" s="833"/>
      <c r="F12" s="833"/>
      <c r="G12" s="829"/>
      <c r="H12" s="617">
        <f t="shared" ref="H12:H23" si="1">I12+J12</f>
        <v>0</v>
      </c>
      <c r="I12" s="617">
        <f t="shared" ref="I12:I23" si="2">E12*G12</f>
        <v>0</v>
      </c>
      <c r="J12" s="617">
        <f t="shared" ref="J12:J23" si="3">F12*G12</f>
        <v>0</v>
      </c>
    </row>
    <row r="13" spans="1:16">
      <c r="A13" s="827"/>
      <c r="B13" s="755"/>
      <c r="C13" s="755"/>
      <c r="D13" s="250">
        <f t="shared" si="0"/>
        <v>0</v>
      </c>
      <c r="E13" s="833"/>
      <c r="F13" s="833"/>
      <c r="G13" s="829"/>
      <c r="H13" s="617">
        <f t="shared" si="1"/>
        <v>0</v>
      </c>
      <c r="I13" s="617">
        <f t="shared" si="2"/>
        <v>0</v>
      </c>
      <c r="J13" s="617">
        <f t="shared" si="3"/>
        <v>0</v>
      </c>
    </row>
    <row r="14" spans="1:16">
      <c r="A14" s="827"/>
      <c r="B14" s="755"/>
      <c r="C14" s="755"/>
      <c r="D14" s="250">
        <f t="shared" si="0"/>
        <v>0</v>
      </c>
      <c r="E14" s="833"/>
      <c r="F14" s="833"/>
      <c r="G14" s="829"/>
      <c r="H14" s="617">
        <f t="shared" si="1"/>
        <v>0</v>
      </c>
      <c r="I14" s="617">
        <f t="shared" si="2"/>
        <v>0</v>
      </c>
      <c r="J14" s="617">
        <f t="shared" si="3"/>
        <v>0</v>
      </c>
    </row>
    <row r="15" spans="1:16">
      <c r="A15" s="827"/>
      <c r="B15" s="755"/>
      <c r="C15" s="755"/>
      <c r="D15" s="250">
        <f t="shared" si="0"/>
        <v>0</v>
      </c>
      <c r="E15" s="833"/>
      <c r="F15" s="833"/>
      <c r="G15" s="829"/>
      <c r="H15" s="617">
        <f t="shared" si="1"/>
        <v>0</v>
      </c>
      <c r="I15" s="617">
        <f t="shared" si="2"/>
        <v>0</v>
      </c>
      <c r="J15" s="617">
        <f t="shared" si="3"/>
        <v>0</v>
      </c>
    </row>
    <row r="16" spans="1:16">
      <c r="A16" s="827"/>
      <c r="B16" s="755"/>
      <c r="C16" s="755"/>
      <c r="D16" s="250">
        <f t="shared" si="0"/>
        <v>0</v>
      </c>
      <c r="E16" s="833"/>
      <c r="F16" s="833"/>
      <c r="G16" s="829"/>
      <c r="H16" s="617">
        <f t="shared" si="1"/>
        <v>0</v>
      </c>
      <c r="I16" s="617">
        <f t="shared" si="2"/>
        <v>0</v>
      </c>
      <c r="J16" s="617">
        <f t="shared" si="3"/>
        <v>0</v>
      </c>
    </row>
    <row r="17" spans="1:12">
      <c r="A17" s="827"/>
      <c r="B17" s="755"/>
      <c r="C17" s="755"/>
      <c r="D17" s="250">
        <f t="shared" si="0"/>
        <v>0</v>
      </c>
      <c r="E17" s="833"/>
      <c r="F17" s="833"/>
      <c r="G17" s="829"/>
      <c r="H17" s="617">
        <f t="shared" si="1"/>
        <v>0</v>
      </c>
      <c r="I17" s="617">
        <f t="shared" si="2"/>
        <v>0</v>
      </c>
      <c r="J17" s="617">
        <f t="shared" si="3"/>
        <v>0</v>
      </c>
    </row>
    <row r="18" spans="1:12">
      <c r="A18" s="827"/>
      <c r="B18" s="755"/>
      <c r="C18" s="755"/>
      <c r="D18" s="250">
        <f t="shared" si="0"/>
        <v>0</v>
      </c>
      <c r="E18" s="833"/>
      <c r="F18" s="833"/>
      <c r="G18" s="829"/>
      <c r="H18" s="617">
        <f t="shared" si="1"/>
        <v>0</v>
      </c>
      <c r="I18" s="617">
        <f t="shared" si="2"/>
        <v>0</v>
      </c>
      <c r="J18" s="617">
        <f t="shared" si="3"/>
        <v>0</v>
      </c>
    </row>
    <row r="19" spans="1:12">
      <c r="A19" s="827"/>
      <c r="B19" s="755"/>
      <c r="C19" s="755"/>
      <c r="D19" s="250">
        <f t="shared" si="0"/>
        <v>0</v>
      </c>
      <c r="E19" s="833"/>
      <c r="F19" s="833"/>
      <c r="G19" s="829"/>
      <c r="H19" s="617">
        <f t="shared" si="1"/>
        <v>0</v>
      </c>
      <c r="I19" s="617">
        <f t="shared" si="2"/>
        <v>0</v>
      </c>
      <c r="J19" s="617">
        <f t="shared" si="3"/>
        <v>0</v>
      </c>
    </row>
    <row r="20" spans="1:12">
      <c r="A20" s="827"/>
      <c r="B20" s="755"/>
      <c r="C20" s="755"/>
      <c r="D20" s="250">
        <f t="shared" si="0"/>
        <v>0</v>
      </c>
      <c r="E20" s="833"/>
      <c r="F20" s="833"/>
      <c r="G20" s="829"/>
      <c r="H20" s="617">
        <f t="shared" si="1"/>
        <v>0</v>
      </c>
      <c r="I20" s="617">
        <f t="shared" si="2"/>
        <v>0</v>
      </c>
      <c r="J20" s="617">
        <f t="shared" si="3"/>
        <v>0</v>
      </c>
    </row>
    <row r="21" spans="1:12">
      <c r="A21" s="827"/>
      <c r="B21" s="755"/>
      <c r="C21" s="755"/>
      <c r="D21" s="250">
        <f t="shared" si="0"/>
        <v>0</v>
      </c>
      <c r="E21" s="833"/>
      <c r="F21" s="833"/>
      <c r="G21" s="829"/>
      <c r="H21" s="617">
        <f t="shared" si="1"/>
        <v>0</v>
      </c>
      <c r="I21" s="617">
        <f t="shared" si="2"/>
        <v>0</v>
      </c>
      <c r="J21" s="617">
        <f t="shared" si="3"/>
        <v>0</v>
      </c>
    </row>
    <row r="22" spans="1:12">
      <c r="A22" s="827"/>
      <c r="B22" s="755"/>
      <c r="C22" s="755"/>
      <c r="D22" s="250">
        <f t="shared" si="0"/>
        <v>0</v>
      </c>
      <c r="E22" s="833"/>
      <c r="F22" s="833"/>
      <c r="G22" s="829"/>
      <c r="H22" s="617">
        <f t="shared" si="1"/>
        <v>0</v>
      </c>
      <c r="I22" s="617">
        <f t="shared" si="2"/>
        <v>0</v>
      </c>
      <c r="J22" s="617">
        <f t="shared" si="3"/>
        <v>0</v>
      </c>
    </row>
    <row r="23" spans="1:12">
      <c r="A23" s="827"/>
      <c r="B23" s="755"/>
      <c r="C23" s="755"/>
      <c r="D23" s="250">
        <f t="shared" si="0"/>
        <v>0</v>
      </c>
      <c r="E23" s="833"/>
      <c r="F23" s="833"/>
      <c r="G23" s="829"/>
      <c r="H23" s="617">
        <f t="shared" si="1"/>
        <v>0</v>
      </c>
      <c r="I23" s="617">
        <f t="shared" si="2"/>
        <v>0</v>
      </c>
      <c r="J23" s="617">
        <f t="shared" si="3"/>
        <v>0</v>
      </c>
    </row>
    <row r="24" spans="1:12">
      <c r="A24" s="827"/>
      <c r="B24" s="755" t="s">
        <v>327</v>
      </c>
      <c r="C24" s="755"/>
      <c r="D24" s="250">
        <f>E24+F24</f>
        <v>0</v>
      </c>
      <c r="E24" s="833"/>
      <c r="F24" s="833"/>
      <c r="G24" s="829"/>
      <c r="H24" s="617">
        <f>I24+J24</f>
        <v>0</v>
      </c>
      <c r="I24" s="617">
        <f>E24*G24</f>
        <v>0</v>
      </c>
      <c r="J24" s="617">
        <f>F24*G24</f>
        <v>0</v>
      </c>
    </row>
    <row r="25" spans="1:12">
      <c r="F25" s="325"/>
      <c r="G25" s="251"/>
      <c r="H25" s="251"/>
      <c r="I25" s="251"/>
    </row>
    <row r="26" spans="1:12">
      <c r="B26" s="300" t="s">
        <v>329</v>
      </c>
      <c r="C26" s="300"/>
      <c r="D26" s="301"/>
      <c r="F26" s="715"/>
      <c r="G26" s="716"/>
      <c r="H26" s="716"/>
      <c r="I26" s="716"/>
      <c r="J26" s="711"/>
      <c r="L26" s="278"/>
    </row>
    <row r="27" spans="1:12">
      <c r="B27" s="300"/>
      <c r="C27" s="303"/>
      <c r="D27" s="301"/>
      <c r="F27" s="715"/>
      <c r="G27" s="718"/>
      <c r="H27" s="718"/>
      <c r="I27" s="718"/>
      <c r="J27" s="711"/>
      <c r="L27" s="278"/>
    </row>
    <row r="28" spans="1:12">
      <c r="B28" s="426" t="s">
        <v>330</v>
      </c>
      <c r="C28" s="300"/>
      <c r="D28" s="301"/>
      <c r="F28" s="715"/>
      <c r="G28" s="831"/>
      <c r="H28" s="831"/>
      <c r="I28" s="831"/>
      <c r="J28" s="711"/>
      <c r="L28" s="278"/>
    </row>
    <row r="29" spans="1:12">
      <c r="B29" s="426" t="s">
        <v>332</v>
      </c>
      <c r="C29" s="300"/>
      <c r="D29" s="301"/>
      <c r="F29" s="715"/>
      <c r="G29" s="716"/>
      <c r="H29" s="716"/>
      <c r="I29" s="716"/>
      <c r="J29" s="711"/>
      <c r="L29" s="278"/>
    </row>
    <row r="30" spans="1:12">
      <c r="B30" s="427"/>
      <c r="C30" s="300"/>
      <c r="D30" s="301"/>
      <c r="F30" s="715"/>
      <c r="G30" s="716"/>
      <c r="H30" s="716"/>
      <c r="I30" s="716"/>
      <c r="J30" s="711"/>
    </row>
    <row r="31" spans="1:12">
      <c r="A31" s="404"/>
      <c r="B31" s="426" t="s">
        <v>333</v>
      </c>
      <c r="C31" s="300"/>
      <c r="D31" s="301"/>
      <c r="F31" s="715"/>
      <c r="G31" s="716"/>
      <c r="H31" s="716"/>
      <c r="I31" s="716"/>
      <c r="J31" s="711"/>
    </row>
  </sheetData>
  <sheetProtection password="9690" sheet="1" formatColumns="0" insertRows="0" deleteRows="0"/>
  <mergeCells count="8">
    <mergeCell ref="H7:H8"/>
    <mergeCell ref="I7:J7"/>
    <mergeCell ref="G7:G8"/>
    <mergeCell ref="A7:A8"/>
    <mergeCell ref="B7:B8"/>
    <mergeCell ref="C7:C8"/>
    <mergeCell ref="D7:D8"/>
    <mergeCell ref="E7:F7"/>
  </mergeCells>
  <phoneticPr fontId="40" type="noConversion"/>
  <pageMargins left="0" right="0" top="0" bottom="0" header="0" footer="0"/>
  <pageSetup paperSize="9" fitToHeight="0" orientation="landscape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Лист22">
    <tabColor rgb="FF7030A0"/>
    <outlinePr summaryBelow="0" summaryRight="0"/>
    <pageSetUpPr fitToPage="1"/>
  </sheetPr>
  <dimension ref="A1:S65"/>
  <sheetViews>
    <sheetView workbookViewId="0">
      <selection activeCell="K13" sqref="K13"/>
    </sheetView>
  </sheetViews>
  <sheetFormatPr defaultColWidth="9.140625" defaultRowHeight="15.75"/>
  <cols>
    <col min="1" max="1" width="5.42578125" style="168" customWidth="1"/>
    <col min="2" max="2" width="23.7109375" style="168" customWidth="1"/>
    <col min="3" max="7" width="15" style="168" customWidth="1"/>
    <col min="8" max="8" width="14.5703125" style="168" customWidth="1"/>
    <col min="9" max="9" width="15.28515625" style="168" customWidth="1"/>
    <col min="10" max="10" width="12.28515625" style="168" customWidth="1"/>
    <col min="11" max="11" width="10.85546875" style="168" customWidth="1"/>
    <col min="12" max="12" width="13.28515625" style="168" customWidth="1"/>
    <col min="13" max="17" width="12.42578125" style="168" customWidth="1"/>
    <col min="18" max="18" width="16.140625" style="168" customWidth="1"/>
    <col min="19" max="19" width="10.140625" style="168" bestFit="1" customWidth="1"/>
    <col min="20" max="20" width="5.7109375" style="168" bestFit="1" customWidth="1"/>
    <col min="21" max="21" width="10.7109375" style="168" customWidth="1"/>
    <col min="22" max="16384" width="9.140625" style="168"/>
  </cols>
  <sheetData>
    <row r="1" spans="1:19">
      <c r="I1" s="169" t="s">
        <v>267</v>
      </c>
      <c r="J1" s="671" t="s">
        <v>633</v>
      </c>
    </row>
    <row r="2" spans="1:19" s="711" customFormat="1">
      <c r="A2" s="695" t="s">
        <v>4009</v>
      </c>
    </row>
    <row r="3" spans="1:19" ht="17.25" customHeight="1">
      <c r="A3" s="45"/>
      <c r="B3" s="3818"/>
    </row>
    <row r="4" spans="1:19" s="711" customFormat="1">
      <c r="A4" s="656" t="s">
        <v>3401</v>
      </c>
    </row>
    <row r="5" spans="1:19" ht="18.75" customHeight="1">
      <c r="A5" s="168" t="s">
        <v>990</v>
      </c>
      <c r="B5" s="230"/>
      <c r="C5" s="230"/>
      <c r="D5" s="230"/>
      <c r="E5" s="230"/>
      <c r="F5" s="230"/>
      <c r="G5" s="230"/>
      <c r="H5" s="230"/>
      <c r="I5" s="230"/>
      <c r="J5" s="230"/>
      <c r="K5" s="82"/>
      <c r="L5" s="230"/>
      <c r="M5" s="230"/>
      <c r="N5" s="230"/>
      <c r="O5" s="230"/>
      <c r="P5" s="230"/>
      <c r="Q5" s="230"/>
    </row>
    <row r="6" spans="1:19" ht="16.5" customHeight="1">
      <c r="A6" s="82"/>
      <c r="B6" s="230"/>
      <c r="C6" s="230"/>
      <c r="D6" s="230"/>
      <c r="E6" s="230"/>
      <c r="F6" s="252" t="s">
        <v>254</v>
      </c>
      <c r="G6" s="230"/>
      <c r="H6" s="230"/>
      <c r="I6" s="230"/>
      <c r="J6" s="230"/>
      <c r="K6" s="82"/>
      <c r="L6" s="230"/>
      <c r="M6" s="230"/>
      <c r="N6" s="230"/>
      <c r="O6" s="230"/>
      <c r="P6" s="230"/>
      <c r="Q6" s="230"/>
    </row>
    <row r="7" spans="1:19" s="310" customFormat="1" ht="15" customHeight="1">
      <c r="A7" s="4239" t="s">
        <v>1070</v>
      </c>
      <c r="B7" s="4239" t="s">
        <v>3377</v>
      </c>
      <c r="C7" s="4239" t="s">
        <v>4010</v>
      </c>
      <c r="D7" s="4239"/>
      <c r="E7" s="4239"/>
      <c r="F7" s="4239"/>
      <c r="S7" s="414"/>
    </row>
    <row r="8" spans="1:19" s="227" customFormat="1" ht="12" customHeight="1">
      <c r="A8" s="4239"/>
      <c r="B8" s="4239"/>
      <c r="C8" s="4239" t="s">
        <v>4011</v>
      </c>
      <c r="D8" s="4239" t="s">
        <v>3646</v>
      </c>
      <c r="E8" s="4239" t="s">
        <v>4012</v>
      </c>
      <c r="F8" s="4239" t="s">
        <v>20</v>
      </c>
    </row>
    <row r="9" spans="1:19" s="227" customFormat="1">
      <c r="A9" s="4239"/>
      <c r="B9" s="4239"/>
      <c r="C9" s="4239"/>
      <c r="D9" s="4239"/>
      <c r="E9" s="4239"/>
      <c r="F9" s="4239"/>
    </row>
    <row r="10" spans="1:19" s="415" customFormat="1">
      <c r="B10" s="416" t="s">
        <v>20</v>
      </c>
      <c r="C10" s="619"/>
      <c r="D10" s="619"/>
      <c r="E10" s="619">
        <f>SUM(E11:E14)</f>
        <v>0</v>
      </c>
      <c r="F10" s="619">
        <f>SUM(F11:F14)</f>
        <v>0</v>
      </c>
    </row>
    <row r="11" spans="1:19" s="310" customFormat="1">
      <c r="A11" s="815">
        <v>1</v>
      </c>
      <c r="B11" s="816" t="s">
        <v>4013</v>
      </c>
      <c r="C11" s="817"/>
      <c r="D11" s="817"/>
      <c r="E11" s="817"/>
      <c r="F11" s="528">
        <f>C11*D11*E11</f>
        <v>0</v>
      </c>
    </row>
    <row r="12" spans="1:19" s="310" customFormat="1" ht="31.5">
      <c r="A12" s="815">
        <v>2</v>
      </c>
      <c r="B12" s="818" t="s">
        <v>4014</v>
      </c>
      <c r="C12" s="817"/>
      <c r="D12" s="817"/>
      <c r="E12" s="817"/>
      <c r="F12" s="528">
        <f>C12*D12*E12</f>
        <v>0</v>
      </c>
    </row>
    <row r="13" spans="1:19" s="310" customFormat="1">
      <c r="A13" s="815">
        <v>3</v>
      </c>
      <c r="B13" s="816" t="s">
        <v>4015</v>
      </c>
      <c r="C13" s="817"/>
      <c r="D13" s="817"/>
      <c r="E13" s="817"/>
      <c r="F13" s="528">
        <f>C13*D13*E13</f>
        <v>0</v>
      </c>
    </row>
    <row r="14" spans="1:19" s="310" customFormat="1" ht="48.75" customHeight="1">
      <c r="A14" s="815">
        <v>4</v>
      </c>
      <c r="B14" s="819" t="s">
        <v>4016</v>
      </c>
      <c r="C14" s="817"/>
      <c r="D14" s="817"/>
      <c r="E14" s="817"/>
      <c r="F14" s="528">
        <f>C14*D14*E14</f>
        <v>0</v>
      </c>
    </row>
    <row r="15" spans="1:19">
      <c r="B15" s="178"/>
      <c r="C15" s="182"/>
      <c r="D15" s="182"/>
      <c r="E15" s="182"/>
      <c r="F15" s="182"/>
      <c r="G15" s="182"/>
      <c r="I15" s="83"/>
      <c r="J15" s="223"/>
      <c r="L15" s="181"/>
      <c r="M15" s="3819"/>
      <c r="N15" s="3819"/>
      <c r="O15" s="3819"/>
      <c r="P15" s="3819"/>
      <c r="Q15" s="3819"/>
    </row>
    <row r="16" spans="1:19">
      <c r="A16" s="300" t="s">
        <v>329</v>
      </c>
      <c r="B16" s="178"/>
      <c r="C16" s="182"/>
      <c r="D16" s="182"/>
      <c r="E16" s="820"/>
      <c r="F16" s="820"/>
      <c r="G16" s="182"/>
      <c r="I16" s="83"/>
      <c r="J16" s="223"/>
      <c r="L16" s="181"/>
      <c r="M16" s="179"/>
      <c r="N16" s="179"/>
      <c r="O16" s="179"/>
      <c r="P16" s="179"/>
      <c r="Q16" s="179"/>
    </row>
    <row r="17" spans="1:17">
      <c r="A17" s="300"/>
      <c r="B17" s="178"/>
      <c r="C17" s="182"/>
      <c r="D17" s="182"/>
      <c r="E17" s="820"/>
      <c r="F17" s="820"/>
      <c r="G17" s="182"/>
      <c r="I17" s="83"/>
      <c r="J17" s="223"/>
      <c r="M17" s="179"/>
      <c r="N17" s="179"/>
      <c r="O17" s="179"/>
      <c r="P17" s="179"/>
      <c r="Q17" s="179"/>
    </row>
    <row r="18" spans="1:17">
      <c r="A18" s="345" t="s">
        <v>330</v>
      </c>
      <c r="B18" s="178"/>
      <c r="C18" s="182"/>
      <c r="D18" s="182"/>
      <c r="E18" s="820"/>
      <c r="F18" s="820"/>
      <c r="G18" s="182"/>
      <c r="I18" s="83"/>
      <c r="J18" s="223"/>
      <c r="M18" s="179"/>
      <c r="N18" s="179"/>
      <c r="O18" s="179"/>
      <c r="P18" s="179"/>
      <c r="Q18" s="179"/>
    </row>
    <row r="19" spans="1:17">
      <c r="A19" s="345" t="s">
        <v>332</v>
      </c>
      <c r="E19" s="711"/>
      <c r="F19" s="711"/>
    </row>
    <row r="20" spans="1:17">
      <c r="A20" s="346"/>
      <c r="E20" s="711"/>
      <c r="F20" s="711"/>
    </row>
    <row r="21" spans="1:17">
      <c r="A21" s="345" t="s">
        <v>333</v>
      </c>
      <c r="E21" s="711"/>
      <c r="F21" s="711"/>
    </row>
    <row r="23" spans="1:17" s="711" customFormat="1">
      <c r="A23" s="695" t="s">
        <v>4009</v>
      </c>
    </row>
    <row r="24" spans="1:17">
      <c r="A24" s="45"/>
      <c r="B24" s="3818"/>
    </row>
    <row r="25" spans="1:17" s="711" customFormat="1">
      <c r="A25" s="656" t="s">
        <v>3401</v>
      </c>
    </row>
    <row r="26" spans="1:17">
      <c r="A26" s="168" t="s">
        <v>990</v>
      </c>
      <c r="B26" s="230"/>
      <c r="C26" s="230"/>
      <c r="D26" s="230"/>
      <c r="E26" s="230"/>
    </row>
    <row r="27" spans="1:17">
      <c r="J27" s="252" t="s">
        <v>254</v>
      </c>
    </row>
    <row r="28" spans="1:17">
      <c r="A28" s="4239" t="s">
        <v>1070</v>
      </c>
      <c r="B28" s="4239" t="s">
        <v>3377</v>
      </c>
      <c r="C28" s="4241" t="s">
        <v>4017</v>
      </c>
      <c r="D28" s="4242"/>
      <c r="E28" s="4242"/>
      <c r="F28" s="4242"/>
      <c r="G28" s="4242"/>
      <c r="H28" s="4242"/>
      <c r="I28" s="4242"/>
      <c r="J28" s="4243"/>
    </row>
    <row r="29" spans="1:17">
      <c r="A29" s="4239"/>
      <c r="B29" s="4239"/>
      <c r="C29" s="4239" t="s">
        <v>4011</v>
      </c>
      <c r="D29" s="4239" t="s">
        <v>4018</v>
      </c>
      <c r="E29" s="4239"/>
      <c r="F29" s="4239"/>
      <c r="G29" s="4239" t="s">
        <v>4019</v>
      </c>
      <c r="H29" s="4239"/>
      <c r="I29" s="4239"/>
      <c r="J29" s="4178" t="s">
        <v>306</v>
      </c>
    </row>
    <row r="30" spans="1:17" ht="31.5">
      <c r="A30" s="4239"/>
      <c r="B30" s="4239"/>
      <c r="C30" s="4239"/>
      <c r="D30" s="405" t="s">
        <v>3646</v>
      </c>
      <c r="E30" s="405" t="s">
        <v>4020</v>
      </c>
      <c r="F30" s="405" t="s">
        <v>20</v>
      </c>
      <c r="G30" s="405" t="s">
        <v>3646</v>
      </c>
      <c r="H30" s="405" t="s">
        <v>4020</v>
      </c>
      <c r="I30" s="405" t="s">
        <v>20</v>
      </c>
      <c r="J30" s="4223"/>
    </row>
    <row r="31" spans="1:17">
      <c r="A31" s="415"/>
      <c r="B31" s="416" t="s">
        <v>20</v>
      </c>
      <c r="C31" s="417"/>
      <c r="D31" s="418"/>
      <c r="E31" s="413"/>
      <c r="F31" s="621">
        <f>SUM(F32:F35)</f>
        <v>0</v>
      </c>
      <c r="G31" s="418"/>
      <c r="H31" s="413"/>
      <c r="I31" s="621">
        <f>SUM(I32:I35)</f>
        <v>0</v>
      </c>
      <c r="J31" s="621">
        <f>SUM(J32:J35)</f>
        <v>0</v>
      </c>
    </row>
    <row r="32" spans="1:17">
      <c r="A32" s="531">
        <v>1</v>
      </c>
      <c r="B32" s="532" t="s">
        <v>4013</v>
      </c>
      <c r="C32" s="817"/>
      <c r="D32" s="821"/>
      <c r="E32" s="822"/>
      <c r="F32" s="620">
        <f>C32*D32*E32</f>
        <v>0</v>
      </c>
      <c r="G32" s="821"/>
      <c r="H32" s="822"/>
      <c r="I32" s="528">
        <f>C32*G32*H32</f>
        <v>0</v>
      </c>
      <c r="J32" s="623">
        <f>F32+I32</f>
        <v>0</v>
      </c>
    </row>
    <row r="33" spans="1:10" ht="31.5">
      <c r="A33" s="531">
        <v>2</v>
      </c>
      <c r="B33" s="533" t="s">
        <v>4014</v>
      </c>
      <c r="C33" s="817"/>
      <c r="D33" s="821"/>
      <c r="E33" s="822"/>
      <c r="F33" s="528">
        <f>C33*D33*E33</f>
        <v>0</v>
      </c>
      <c r="G33" s="821"/>
      <c r="H33" s="822"/>
      <c r="I33" s="528">
        <f>C33*G33*H33</f>
        <v>0</v>
      </c>
      <c r="J33" s="623">
        <f>F33+I33</f>
        <v>0</v>
      </c>
    </row>
    <row r="34" spans="1:10">
      <c r="A34" s="531">
        <v>3</v>
      </c>
      <c r="B34" s="532" t="s">
        <v>4015</v>
      </c>
      <c r="C34" s="817"/>
      <c r="D34" s="821"/>
      <c r="E34" s="822"/>
      <c r="F34" s="528">
        <f>C34*D34*E34</f>
        <v>0</v>
      </c>
      <c r="G34" s="821"/>
      <c r="H34" s="822"/>
      <c r="I34" s="528">
        <f>C34*G34*H34</f>
        <v>0</v>
      </c>
      <c r="J34" s="623">
        <f>F34+I34</f>
        <v>0</v>
      </c>
    </row>
    <row r="35" spans="1:10" ht="63">
      <c r="A35" s="531">
        <v>4</v>
      </c>
      <c r="B35" s="535" t="s">
        <v>4016</v>
      </c>
      <c r="C35" s="817"/>
      <c r="D35" s="821"/>
      <c r="E35" s="822"/>
      <c r="F35" s="528">
        <f>C35*D35*E35</f>
        <v>0</v>
      </c>
      <c r="G35" s="821"/>
      <c r="H35" s="822"/>
      <c r="I35" s="528">
        <f>C35*G35*H35</f>
        <v>0</v>
      </c>
      <c r="J35" s="623">
        <f>F35+I35</f>
        <v>0</v>
      </c>
    </row>
    <row r="36" spans="1:10">
      <c r="J36" s="622"/>
    </row>
    <row r="38" spans="1:10">
      <c r="A38" s="300" t="s">
        <v>329</v>
      </c>
      <c r="F38" s="711"/>
      <c r="G38" s="711"/>
      <c r="H38" s="711"/>
      <c r="I38" s="711"/>
      <c r="J38" s="711"/>
    </row>
    <row r="39" spans="1:10">
      <c r="A39" s="300"/>
      <c r="F39" s="711"/>
      <c r="G39" s="711"/>
      <c r="H39" s="711"/>
      <c r="I39" s="711"/>
      <c r="J39" s="711"/>
    </row>
    <row r="40" spans="1:10">
      <c r="A40" s="345" t="s">
        <v>330</v>
      </c>
      <c r="F40" s="711"/>
      <c r="G40" s="711"/>
      <c r="H40" s="711"/>
      <c r="I40" s="711"/>
      <c r="J40" s="711"/>
    </row>
    <row r="41" spans="1:10">
      <c r="A41" s="345" t="s">
        <v>332</v>
      </c>
      <c r="F41" s="711"/>
      <c r="G41" s="711"/>
      <c r="H41" s="711"/>
      <c r="I41" s="711"/>
      <c r="J41" s="711"/>
    </row>
    <row r="42" spans="1:10">
      <c r="A42" s="346"/>
      <c r="F42" s="711"/>
      <c r="G42" s="711"/>
      <c r="H42" s="711"/>
      <c r="I42" s="711"/>
      <c r="J42" s="711"/>
    </row>
    <row r="43" spans="1:10">
      <c r="A43" s="345" t="s">
        <v>333</v>
      </c>
      <c r="F43" s="711"/>
      <c r="G43" s="711"/>
      <c r="H43" s="711"/>
      <c r="I43" s="711"/>
      <c r="J43" s="711"/>
    </row>
    <row r="45" spans="1:10" s="711" customFormat="1">
      <c r="A45" s="695" t="s">
        <v>4009</v>
      </c>
    </row>
    <row r="46" spans="1:10">
      <c r="A46" s="45"/>
      <c r="B46" s="3818"/>
    </row>
    <row r="47" spans="1:10" s="711" customFormat="1">
      <c r="A47" s="656" t="s">
        <v>3401</v>
      </c>
    </row>
    <row r="48" spans="1:10">
      <c r="A48" s="168" t="s">
        <v>990</v>
      </c>
      <c r="B48" s="230"/>
      <c r="C48" s="230"/>
      <c r="D48" s="230"/>
      <c r="E48" s="230"/>
    </row>
    <row r="49" spans="1:6">
      <c r="F49" s="252" t="s">
        <v>254</v>
      </c>
    </row>
    <row r="50" spans="1:6">
      <c r="A50" s="4239" t="s">
        <v>1070</v>
      </c>
      <c r="B50" s="4239" t="s">
        <v>3377</v>
      </c>
      <c r="C50" s="4240" t="s">
        <v>4021</v>
      </c>
      <c r="D50" s="4240"/>
      <c r="E50" s="4240"/>
      <c r="F50" s="4240"/>
    </row>
    <row r="51" spans="1:6">
      <c r="A51" s="4239"/>
      <c r="B51" s="4239"/>
      <c r="C51" s="4239" t="s">
        <v>4011</v>
      </c>
      <c r="D51" s="4239" t="s">
        <v>3646</v>
      </c>
      <c r="E51" s="4239" t="s">
        <v>4020</v>
      </c>
      <c r="F51" s="4239" t="s">
        <v>20</v>
      </c>
    </row>
    <row r="52" spans="1:6">
      <c r="A52" s="4239"/>
      <c r="B52" s="4239"/>
      <c r="C52" s="4239"/>
      <c r="D52" s="4239"/>
      <c r="E52" s="4239"/>
      <c r="F52" s="4239"/>
    </row>
    <row r="53" spans="1:6">
      <c r="A53" s="415"/>
      <c r="B53" s="416" t="s">
        <v>20</v>
      </c>
      <c r="C53" s="413"/>
      <c r="D53" s="413"/>
      <c r="E53" s="413"/>
      <c r="F53" s="621">
        <f>SUM(F54:F57)</f>
        <v>0</v>
      </c>
    </row>
    <row r="54" spans="1:6">
      <c r="A54" s="531">
        <v>1</v>
      </c>
      <c r="B54" s="532" t="s">
        <v>4013</v>
      </c>
      <c r="C54" s="822"/>
      <c r="D54" s="822"/>
      <c r="E54" s="822"/>
      <c r="F54" s="620">
        <f>C54*D54*E54</f>
        <v>0</v>
      </c>
    </row>
    <row r="55" spans="1:6" ht="31.5">
      <c r="A55" s="531">
        <v>2</v>
      </c>
      <c r="B55" s="533" t="s">
        <v>4014</v>
      </c>
      <c r="C55" s="822"/>
      <c r="D55" s="822"/>
      <c r="E55" s="822"/>
      <c r="F55" s="528">
        <f>C55*D55*E55</f>
        <v>0</v>
      </c>
    </row>
    <row r="56" spans="1:6">
      <c r="A56" s="531">
        <v>3</v>
      </c>
      <c r="B56" s="532" t="s">
        <v>4015</v>
      </c>
      <c r="C56" s="822"/>
      <c r="D56" s="822"/>
      <c r="E56" s="822"/>
      <c r="F56" s="528">
        <f>C56*D56*E56</f>
        <v>0</v>
      </c>
    </row>
    <row r="57" spans="1:6" ht="63">
      <c r="A57" s="531">
        <v>4</v>
      </c>
      <c r="B57" s="535" t="s">
        <v>4016</v>
      </c>
      <c r="C57" s="822"/>
      <c r="D57" s="822"/>
      <c r="E57" s="822"/>
      <c r="F57" s="528">
        <f>C57*D57*E57</f>
        <v>0</v>
      </c>
    </row>
    <row r="60" spans="1:6">
      <c r="A60" s="300" t="s">
        <v>329</v>
      </c>
      <c r="B60" s="178"/>
      <c r="D60" s="711"/>
      <c r="E60" s="711"/>
      <c r="F60" s="711"/>
    </row>
    <row r="61" spans="1:6">
      <c r="A61" s="300"/>
      <c r="B61" s="178"/>
      <c r="D61" s="711"/>
      <c r="E61" s="711"/>
      <c r="F61" s="711"/>
    </row>
    <row r="62" spans="1:6">
      <c r="A62" s="345" t="s">
        <v>330</v>
      </c>
      <c r="B62" s="178"/>
      <c r="D62" s="711"/>
      <c r="E62" s="711"/>
      <c r="F62" s="711"/>
    </row>
    <row r="63" spans="1:6">
      <c r="A63" s="345" t="s">
        <v>332</v>
      </c>
      <c r="D63" s="711"/>
      <c r="E63" s="711"/>
      <c r="F63" s="711"/>
    </row>
    <row r="64" spans="1:6">
      <c r="A64" s="346"/>
      <c r="D64" s="711"/>
      <c r="E64" s="711"/>
      <c r="F64" s="711"/>
    </row>
    <row r="65" spans="1:6">
      <c r="A65" s="345" t="s">
        <v>333</v>
      </c>
      <c r="D65" s="711"/>
      <c r="E65" s="711"/>
      <c r="F65" s="711"/>
    </row>
  </sheetData>
  <sheetProtection password="9690" sheet="1"/>
  <mergeCells count="21">
    <mergeCell ref="A50:A52"/>
    <mergeCell ref="E8:E9"/>
    <mergeCell ref="D51:D52"/>
    <mergeCell ref="A28:A30"/>
    <mergeCell ref="A7:A9"/>
    <mergeCell ref="B50:B52"/>
    <mergeCell ref="C51:C52"/>
    <mergeCell ref="B7:B9"/>
    <mergeCell ref="B28:B30"/>
    <mergeCell ref="J29:J30"/>
    <mergeCell ref="C28:J28"/>
    <mergeCell ref="C29:C30"/>
    <mergeCell ref="G29:I29"/>
    <mergeCell ref="C7:F7"/>
    <mergeCell ref="F8:F9"/>
    <mergeCell ref="F51:F52"/>
    <mergeCell ref="C8:C9"/>
    <mergeCell ref="D29:F29"/>
    <mergeCell ref="C50:F50"/>
    <mergeCell ref="E51:E52"/>
    <mergeCell ref="D8:D9"/>
  </mergeCells>
  <pageMargins left="0" right="0" top="0" bottom="0" header="0" footer="0"/>
  <pageSetup paperSize="9" scale="62" fitToHeight="0" orientation="landscape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Лист23">
    <tabColor rgb="FF7030A0"/>
    <pageSetUpPr fitToPage="1"/>
  </sheetPr>
  <dimension ref="A1:I44"/>
  <sheetViews>
    <sheetView topLeftCell="A4" workbookViewId="0">
      <selection activeCell="J10" sqref="J10"/>
    </sheetView>
  </sheetViews>
  <sheetFormatPr defaultRowHeight="15"/>
  <cols>
    <col min="1" max="1" width="5" customWidth="1"/>
    <col min="2" max="2" width="54.42578125" customWidth="1"/>
    <col min="3" max="3" width="9.140625" customWidth="1"/>
    <col min="4" max="4" width="13" customWidth="1"/>
    <col min="5" max="5" width="11.140625" customWidth="1"/>
    <col min="6" max="6" width="16.42578125" customWidth="1"/>
    <col min="7" max="7" width="14.28515625" customWidth="1"/>
    <col min="8" max="8" width="16.140625" customWidth="1"/>
  </cols>
  <sheetData>
    <row r="1" spans="1:9" ht="15.75">
      <c r="G1" s="691" t="s">
        <v>267</v>
      </c>
      <c r="H1" s="671" t="s">
        <v>634</v>
      </c>
    </row>
    <row r="2" spans="1:9" s="683" customFormat="1" ht="18.75">
      <c r="A2" s="655" t="s">
        <v>4022</v>
      </c>
      <c r="B2" s="657"/>
      <c r="C2" s="657"/>
      <c r="D2" s="657"/>
      <c r="E2" s="657"/>
      <c r="F2" s="657"/>
      <c r="G2" s="657"/>
      <c r="H2" s="657"/>
      <c r="I2" s="682"/>
    </row>
    <row r="3" spans="1:9" ht="18.75">
      <c r="A3" s="420"/>
      <c r="B3" s="419"/>
      <c r="C3" s="419"/>
      <c r="D3" s="419"/>
      <c r="E3" s="419"/>
      <c r="F3" s="419"/>
      <c r="G3" s="419"/>
      <c r="H3" s="419"/>
      <c r="I3" s="572"/>
    </row>
    <row r="4" spans="1:9" s="684" customFormat="1" ht="15.75">
      <c r="A4" s="656" t="s">
        <v>3401</v>
      </c>
    </row>
    <row r="5" spans="1:9" s="419" customFormat="1" ht="15.75">
      <c r="A5" s="168" t="s">
        <v>990</v>
      </c>
    </row>
    <row r="6" spans="1:9" ht="18.75">
      <c r="A6" s="460"/>
      <c r="B6" s="460"/>
      <c r="C6" s="460"/>
      <c r="D6" s="460"/>
      <c r="E6" s="460"/>
      <c r="F6" s="460"/>
      <c r="G6" s="460"/>
      <c r="H6" s="419"/>
      <c r="I6" s="572"/>
    </row>
    <row r="7" spans="1:9" ht="18.75">
      <c r="A7" s="4210" t="s">
        <v>34</v>
      </c>
      <c r="B7" s="4212" t="s">
        <v>478</v>
      </c>
      <c r="C7" s="4210" t="s">
        <v>3682</v>
      </c>
      <c r="D7" s="4212" t="s">
        <v>999</v>
      </c>
      <c r="E7" s="4212" t="s">
        <v>4023</v>
      </c>
      <c r="F7" s="4212" t="s">
        <v>345</v>
      </c>
      <c r="G7" s="4213" t="s">
        <v>255</v>
      </c>
      <c r="H7" s="4214"/>
      <c r="I7" s="572"/>
    </row>
    <row r="8" spans="1:9" ht="18.75">
      <c r="A8" s="4244"/>
      <c r="B8" s="4212"/>
      <c r="C8" s="4244"/>
      <c r="D8" s="4212"/>
      <c r="E8" s="4212"/>
      <c r="F8" s="4212"/>
      <c r="G8" s="220" t="s">
        <v>7</v>
      </c>
      <c r="H8" s="220" t="s">
        <v>3568</v>
      </c>
      <c r="I8" s="572"/>
    </row>
    <row r="9" spans="1:9" ht="18.75">
      <c r="A9" s="685">
        <v>1</v>
      </c>
      <c r="B9" s="692" t="s">
        <v>4024</v>
      </c>
      <c r="C9" s="693" t="s">
        <v>1579</v>
      </c>
      <c r="D9" s="689"/>
      <c r="E9" s="694"/>
      <c r="F9" s="587">
        <f t="shared" ref="F9:F14" si="0">E9*D9</f>
        <v>0</v>
      </c>
      <c r="G9" s="689"/>
      <c r="H9" s="689"/>
      <c r="I9" s="572"/>
    </row>
    <row r="10" spans="1:9" ht="18.75">
      <c r="A10" s="685">
        <v>2</v>
      </c>
      <c r="B10" s="692" t="s">
        <v>4025</v>
      </c>
      <c r="C10" s="693" t="s">
        <v>4026</v>
      </c>
      <c r="D10" s="689"/>
      <c r="E10" s="694"/>
      <c r="F10" s="587">
        <f t="shared" si="0"/>
        <v>0</v>
      </c>
      <c r="G10" s="689"/>
      <c r="H10" s="689"/>
      <c r="I10" s="572"/>
    </row>
    <row r="11" spans="1:9" ht="18.75">
      <c r="A11" s="685">
        <v>3</v>
      </c>
      <c r="B11" s="692" t="s">
        <v>4027</v>
      </c>
      <c r="C11" s="693" t="s">
        <v>4026</v>
      </c>
      <c r="D11" s="689"/>
      <c r="E11" s="694"/>
      <c r="F11" s="587">
        <f t="shared" si="0"/>
        <v>0</v>
      </c>
      <c r="G11" s="689"/>
      <c r="H11" s="689"/>
      <c r="I11" s="572"/>
    </row>
    <row r="12" spans="1:9" ht="18.75">
      <c r="A12" s="685">
        <v>4</v>
      </c>
      <c r="B12" s="692" t="s">
        <v>4028</v>
      </c>
      <c r="C12" s="693" t="s">
        <v>4026</v>
      </c>
      <c r="D12" s="689"/>
      <c r="E12" s="694"/>
      <c r="F12" s="587">
        <f t="shared" si="0"/>
        <v>0</v>
      </c>
      <c r="G12" s="689"/>
      <c r="H12" s="689"/>
      <c r="I12" s="572"/>
    </row>
    <row r="13" spans="1:9" ht="32.25">
      <c r="A13" s="690">
        <v>5</v>
      </c>
      <c r="B13" s="692" t="s">
        <v>4029</v>
      </c>
      <c r="C13" s="693" t="s">
        <v>4026</v>
      </c>
      <c r="D13" s="689"/>
      <c r="E13" s="694"/>
      <c r="F13" s="587">
        <f t="shared" si="0"/>
        <v>0</v>
      </c>
      <c r="G13" s="689"/>
      <c r="H13" s="689"/>
      <c r="I13" s="572"/>
    </row>
    <row r="14" spans="1:9" ht="18.75">
      <c r="A14" s="685">
        <v>6</v>
      </c>
      <c r="B14" s="692" t="s">
        <v>4030</v>
      </c>
      <c r="C14" s="693"/>
      <c r="D14" s="689"/>
      <c r="E14" s="694"/>
      <c r="F14" s="587">
        <f t="shared" si="0"/>
        <v>0</v>
      </c>
      <c r="G14" s="689"/>
      <c r="H14" s="689"/>
      <c r="I14" s="572"/>
    </row>
    <row r="15" spans="1:9" ht="18.75">
      <c r="A15" s="690">
        <v>7</v>
      </c>
      <c r="B15" s="692"/>
      <c r="C15" s="693"/>
      <c r="D15" s="689"/>
      <c r="E15" s="694"/>
      <c r="F15" s="587">
        <f t="shared" ref="F15:F33" si="1">E15*D15</f>
        <v>0</v>
      </c>
      <c r="G15" s="689"/>
      <c r="H15" s="689"/>
      <c r="I15" s="572"/>
    </row>
    <row r="16" spans="1:9" ht="18.75">
      <c r="A16" s="685">
        <v>8</v>
      </c>
      <c r="B16" s="692"/>
      <c r="C16" s="693"/>
      <c r="D16" s="689"/>
      <c r="E16" s="694"/>
      <c r="F16" s="587">
        <f t="shared" si="1"/>
        <v>0</v>
      </c>
      <c r="G16" s="689"/>
      <c r="H16" s="689"/>
      <c r="I16" s="572"/>
    </row>
    <row r="17" spans="1:9" ht="18.75">
      <c r="A17" s="690">
        <v>9</v>
      </c>
      <c r="B17" s="692"/>
      <c r="C17" s="693"/>
      <c r="D17" s="689"/>
      <c r="E17" s="694"/>
      <c r="F17" s="587">
        <f t="shared" si="1"/>
        <v>0</v>
      </c>
      <c r="G17" s="689"/>
      <c r="H17" s="689"/>
      <c r="I17" s="572"/>
    </row>
    <row r="18" spans="1:9" ht="18.75">
      <c r="A18" s="685">
        <v>10</v>
      </c>
      <c r="B18" s="692"/>
      <c r="C18" s="693"/>
      <c r="D18" s="689"/>
      <c r="E18" s="694"/>
      <c r="F18" s="587">
        <f t="shared" si="1"/>
        <v>0</v>
      </c>
      <c r="G18" s="689"/>
      <c r="H18" s="689"/>
      <c r="I18" s="572"/>
    </row>
    <row r="19" spans="1:9" ht="18.75">
      <c r="A19" s="690">
        <v>11</v>
      </c>
      <c r="B19" s="692"/>
      <c r="C19" s="693"/>
      <c r="D19" s="689"/>
      <c r="E19" s="694"/>
      <c r="F19" s="587">
        <f t="shared" si="1"/>
        <v>0</v>
      </c>
      <c r="G19" s="689"/>
      <c r="H19" s="689"/>
      <c r="I19" s="572"/>
    </row>
    <row r="20" spans="1:9" ht="18.75">
      <c r="A20" s="685">
        <v>12</v>
      </c>
      <c r="B20" s="692"/>
      <c r="C20" s="693"/>
      <c r="D20" s="689"/>
      <c r="E20" s="694"/>
      <c r="F20" s="587">
        <f t="shared" si="1"/>
        <v>0</v>
      </c>
      <c r="G20" s="689"/>
      <c r="H20" s="689"/>
      <c r="I20" s="572"/>
    </row>
    <row r="21" spans="1:9" ht="18.75">
      <c r="A21" s="690">
        <v>13</v>
      </c>
      <c r="B21" s="692"/>
      <c r="C21" s="693"/>
      <c r="D21" s="689"/>
      <c r="E21" s="694"/>
      <c r="F21" s="587">
        <f t="shared" si="1"/>
        <v>0</v>
      </c>
      <c r="G21" s="689"/>
      <c r="H21" s="689"/>
      <c r="I21" s="572"/>
    </row>
    <row r="22" spans="1:9" ht="18.75">
      <c r="A22" s="685">
        <v>14</v>
      </c>
      <c r="B22" s="692"/>
      <c r="C22" s="693"/>
      <c r="D22" s="689"/>
      <c r="E22" s="694"/>
      <c r="F22" s="587">
        <f t="shared" si="1"/>
        <v>0</v>
      </c>
      <c r="G22" s="689"/>
      <c r="H22" s="689"/>
      <c r="I22" s="572"/>
    </row>
    <row r="23" spans="1:9" ht="18.75">
      <c r="A23" s="690">
        <v>15</v>
      </c>
      <c r="B23" s="692"/>
      <c r="C23" s="693"/>
      <c r="D23" s="689"/>
      <c r="E23" s="694"/>
      <c r="F23" s="587">
        <f t="shared" si="1"/>
        <v>0</v>
      </c>
      <c r="G23" s="689"/>
      <c r="H23" s="689"/>
      <c r="I23" s="572"/>
    </row>
    <row r="24" spans="1:9" ht="18.75">
      <c r="A24" s="685">
        <v>16</v>
      </c>
      <c r="B24" s="692"/>
      <c r="C24" s="693"/>
      <c r="D24" s="689"/>
      <c r="E24" s="694"/>
      <c r="F24" s="587">
        <f t="shared" si="1"/>
        <v>0</v>
      </c>
      <c r="G24" s="689"/>
      <c r="H24" s="689"/>
      <c r="I24" s="572"/>
    </row>
    <row r="25" spans="1:9" ht="18.75">
      <c r="A25" s="690">
        <v>17</v>
      </c>
      <c r="B25" s="692"/>
      <c r="C25" s="693"/>
      <c r="D25" s="689"/>
      <c r="E25" s="694"/>
      <c r="F25" s="587">
        <f t="shared" si="1"/>
        <v>0</v>
      </c>
      <c r="G25" s="689"/>
      <c r="H25" s="689"/>
      <c r="I25" s="572"/>
    </row>
    <row r="26" spans="1:9" ht="18.75">
      <c r="A26" s="685">
        <v>18</v>
      </c>
      <c r="B26" s="692"/>
      <c r="C26" s="693"/>
      <c r="D26" s="689"/>
      <c r="E26" s="694"/>
      <c r="F26" s="587">
        <f t="shared" si="1"/>
        <v>0</v>
      </c>
      <c r="G26" s="689"/>
      <c r="H26" s="689"/>
      <c r="I26" s="572"/>
    </row>
    <row r="27" spans="1:9" ht="18.75">
      <c r="A27" s="690">
        <v>19</v>
      </c>
      <c r="B27" s="692"/>
      <c r="C27" s="693"/>
      <c r="D27" s="689"/>
      <c r="E27" s="694"/>
      <c r="F27" s="587">
        <f t="shared" si="1"/>
        <v>0</v>
      </c>
      <c r="G27" s="689"/>
      <c r="H27" s="689"/>
      <c r="I27" s="572"/>
    </row>
    <row r="28" spans="1:9" ht="18.75">
      <c r="A28" s="685">
        <v>20</v>
      </c>
      <c r="B28" s="692"/>
      <c r="C28" s="693"/>
      <c r="D28" s="689"/>
      <c r="E28" s="694"/>
      <c r="F28" s="587">
        <f t="shared" si="1"/>
        <v>0</v>
      </c>
      <c r="G28" s="689"/>
      <c r="H28" s="689"/>
      <c r="I28" s="572"/>
    </row>
    <row r="29" spans="1:9" ht="18.75">
      <c r="A29" s="690">
        <v>21</v>
      </c>
      <c r="B29" s="692"/>
      <c r="C29" s="693"/>
      <c r="D29" s="689"/>
      <c r="E29" s="694"/>
      <c r="F29" s="587">
        <f t="shared" si="1"/>
        <v>0</v>
      </c>
      <c r="G29" s="689"/>
      <c r="H29" s="689"/>
      <c r="I29" s="572"/>
    </row>
    <row r="30" spans="1:9" ht="18.75">
      <c r="A30" s="685">
        <v>22</v>
      </c>
      <c r="B30" s="692"/>
      <c r="C30" s="693"/>
      <c r="D30" s="689"/>
      <c r="E30" s="694"/>
      <c r="F30" s="587">
        <f t="shared" si="1"/>
        <v>0</v>
      </c>
      <c r="G30" s="689"/>
      <c r="H30" s="689"/>
      <c r="I30" s="572"/>
    </row>
    <row r="31" spans="1:9" ht="18.75">
      <c r="A31" s="690">
        <v>23</v>
      </c>
      <c r="B31" s="692"/>
      <c r="C31" s="693"/>
      <c r="D31" s="689"/>
      <c r="E31" s="694"/>
      <c r="F31" s="587">
        <f t="shared" si="1"/>
        <v>0</v>
      </c>
      <c r="G31" s="689"/>
      <c r="H31" s="689"/>
      <c r="I31" s="572"/>
    </row>
    <row r="32" spans="1:9" ht="18.75">
      <c r="A32" s="685">
        <v>24</v>
      </c>
      <c r="B32" s="692"/>
      <c r="C32" s="693"/>
      <c r="D32" s="689"/>
      <c r="E32" s="694"/>
      <c r="F32" s="587">
        <f t="shared" si="1"/>
        <v>0</v>
      </c>
      <c r="G32" s="689"/>
      <c r="H32" s="689"/>
      <c r="I32" s="572"/>
    </row>
    <row r="33" spans="1:9" ht="18.75">
      <c r="A33" s="690">
        <v>25</v>
      </c>
      <c r="B33" s="692"/>
      <c r="C33" s="693"/>
      <c r="D33" s="689"/>
      <c r="E33" s="694"/>
      <c r="F33" s="587">
        <f t="shared" si="1"/>
        <v>0</v>
      </c>
      <c r="G33" s="689"/>
      <c r="H33" s="689"/>
      <c r="I33" s="572"/>
    </row>
    <row r="34" spans="1:9" s="579" customFormat="1" ht="18.75">
      <c r="A34" s="588"/>
      <c r="B34" s="589" t="s">
        <v>20</v>
      </c>
      <c r="C34" s="589"/>
      <c r="D34" s="590"/>
      <c r="E34" s="591"/>
      <c r="F34" s="592">
        <f>SUM(F9:F33)</f>
        <v>0</v>
      </c>
      <c r="G34" s="592">
        <f>SUM(G9:G33)</f>
        <v>0</v>
      </c>
      <c r="H34" s="592">
        <f>SUM(H9:H33)</f>
        <v>0</v>
      </c>
      <c r="I34" s="578"/>
    </row>
    <row r="35" spans="1:9" ht="18.75">
      <c r="A35" s="573"/>
      <c r="B35" s="574"/>
      <c r="C35" s="574"/>
      <c r="D35" s="575"/>
      <c r="E35" s="576"/>
      <c r="F35" s="575"/>
      <c r="G35" s="577"/>
      <c r="H35" s="575"/>
      <c r="I35" s="572"/>
    </row>
    <row r="36" spans="1:9" ht="18.75">
      <c r="A36" s="573"/>
      <c r="B36" s="574"/>
      <c r="C36" s="574"/>
      <c r="D36" s="575"/>
      <c r="E36" s="576"/>
      <c r="F36" s="575"/>
      <c r="G36" s="577"/>
      <c r="H36" s="575"/>
      <c r="I36" s="572"/>
    </row>
    <row r="37" spans="1:9" s="419" customFormat="1" ht="15.75">
      <c r="A37" s="300" t="s">
        <v>329</v>
      </c>
      <c r="D37" s="657"/>
      <c r="E37" s="657"/>
      <c r="F37" s="657"/>
      <c r="G37" s="657"/>
      <c r="H37" s="657"/>
    </row>
    <row r="38" spans="1:9" s="419" customFormat="1" ht="15.75">
      <c r="A38" s="300"/>
      <c r="D38" s="657"/>
      <c r="E38" s="657"/>
      <c r="F38" s="657"/>
      <c r="G38" s="657"/>
      <c r="H38" s="657"/>
    </row>
    <row r="39" spans="1:9" s="419" customFormat="1" ht="15.75">
      <c r="A39" s="426" t="s">
        <v>330</v>
      </c>
      <c r="D39" s="657"/>
      <c r="E39" s="657"/>
      <c r="F39" s="657"/>
      <c r="G39" s="657"/>
      <c r="H39" s="657"/>
    </row>
    <row r="40" spans="1:9" s="419" customFormat="1" ht="15.75">
      <c r="A40" s="426" t="s">
        <v>332</v>
      </c>
      <c r="D40" s="657"/>
      <c r="E40" s="657"/>
      <c r="F40" s="657"/>
      <c r="G40" s="657"/>
      <c r="H40" s="657"/>
    </row>
    <row r="41" spans="1:9" s="419" customFormat="1" ht="15.75">
      <c r="A41" s="427"/>
      <c r="D41" s="657"/>
      <c r="E41" s="657"/>
      <c r="F41" s="657"/>
      <c r="G41" s="657"/>
      <c r="H41" s="657"/>
    </row>
    <row r="42" spans="1:9" s="419" customFormat="1" ht="15.75">
      <c r="A42" s="426" t="s">
        <v>333</v>
      </c>
      <c r="D42" s="657"/>
      <c r="E42" s="657"/>
      <c r="F42" s="657"/>
      <c r="G42" s="657"/>
      <c r="H42" s="657"/>
    </row>
    <row r="43" spans="1:9" ht="18.75">
      <c r="A43" s="572"/>
      <c r="B43" s="572"/>
      <c r="C43" s="572"/>
      <c r="D43" s="572"/>
      <c r="E43" s="572"/>
      <c r="F43" s="572"/>
      <c r="G43" s="572"/>
      <c r="H43" s="572"/>
      <c r="I43" s="572"/>
    </row>
    <row r="44" spans="1:9" ht="18.75">
      <c r="A44" s="572"/>
      <c r="B44" s="572"/>
      <c r="C44" s="572"/>
      <c r="D44" s="572"/>
      <c r="E44" s="572"/>
      <c r="F44" s="572"/>
      <c r="G44" s="572"/>
      <c r="H44" s="572"/>
      <c r="I44" s="572"/>
    </row>
  </sheetData>
  <sheetProtection password="9690" sheet="1" formatColumns="0" insertRows="0" deleteRows="0"/>
  <mergeCells count="7">
    <mergeCell ref="G7:H7"/>
    <mergeCell ref="A7:A8"/>
    <mergeCell ref="B7:B8"/>
    <mergeCell ref="C7:C8"/>
    <mergeCell ref="D7:D8"/>
    <mergeCell ref="E7:E8"/>
    <mergeCell ref="F7:F8"/>
  </mergeCells>
  <pageMargins left="0.7" right="0.7" top="0.75" bottom="0.75" header="0.3" footer="0.3"/>
  <pageSetup paperSize="9" scale="94" fitToHeight="0" orientation="landscape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Лист25">
    <tabColor rgb="FF7030A0"/>
    <pageSetUpPr fitToPage="1"/>
  </sheetPr>
  <dimension ref="A1:V28"/>
  <sheetViews>
    <sheetView workbookViewId="0">
      <selection activeCell="A13" sqref="A13:IV13"/>
    </sheetView>
  </sheetViews>
  <sheetFormatPr defaultColWidth="9.140625" defaultRowHeight="15.75"/>
  <cols>
    <col min="1" max="1" width="4.28515625" style="661" customWidth="1"/>
    <col min="2" max="2" width="27.42578125" style="661" customWidth="1"/>
    <col min="3" max="3" width="7.5703125" style="662" customWidth="1"/>
    <col min="4" max="4" width="14.7109375" style="662" customWidth="1"/>
    <col min="5" max="5" width="14.85546875" style="663" customWidth="1"/>
    <col min="6" max="6" width="12.140625" style="663" customWidth="1"/>
    <col min="7" max="7" width="13" style="661" customWidth="1"/>
    <col min="8" max="10" width="14.7109375" style="661" customWidth="1"/>
    <col min="11" max="11" width="18.5703125" style="661" customWidth="1"/>
    <col min="12" max="12" width="19.28515625" style="661" customWidth="1"/>
    <col min="13" max="13" width="17.7109375" style="661" customWidth="1"/>
    <col min="14" max="16" width="9.140625" style="661"/>
    <col min="17" max="18" width="9.28515625" style="661" bestFit="1" customWidth="1"/>
    <col min="19" max="19" width="12.5703125" style="661" bestFit="1" customWidth="1"/>
    <col min="20" max="21" width="10.7109375" style="661" bestFit="1" customWidth="1"/>
    <col min="22" max="22" width="13.85546875" style="661" customWidth="1"/>
    <col min="23" max="16384" width="9.140625" style="661"/>
  </cols>
  <sheetData>
    <row r="1" spans="1:22">
      <c r="I1" s="667" t="s">
        <v>267</v>
      </c>
      <c r="J1" s="671" t="s">
        <v>4031</v>
      </c>
    </row>
    <row r="2" spans="1:22" s="652" customFormat="1">
      <c r="A2" s="655" t="s">
        <v>4032</v>
      </c>
      <c r="C2" s="653"/>
      <c r="D2" s="653"/>
      <c r="E2" s="654"/>
      <c r="F2" s="654"/>
    </row>
    <row r="4" spans="1:22" s="657" customFormat="1">
      <c r="A4" s="656" t="s">
        <v>3401</v>
      </c>
    </row>
    <row r="5" spans="1:22" s="419" customFormat="1">
      <c r="A5" s="168" t="s">
        <v>990</v>
      </c>
    </row>
    <row r="6" spans="1:22" ht="28.5" customHeight="1">
      <c r="A6" s="4246" t="s">
        <v>4033</v>
      </c>
      <c r="B6" s="4246"/>
      <c r="C6" s="4246"/>
      <c r="D6" s="4246"/>
      <c r="E6" s="4246"/>
      <c r="F6" s="4246"/>
      <c r="G6" s="4246"/>
      <c r="H6" s="4246"/>
      <c r="L6" s="664"/>
      <c r="M6" s="664"/>
      <c r="N6" s="664"/>
      <c r="O6" s="664"/>
      <c r="P6" s="664"/>
      <c r="Q6" s="664"/>
      <c r="R6" s="664"/>
      <c r="S6" s="664"/>
      <c r="T6" s="664"/>
      <c r="U6" s="664"/>
      <c r="V6" s="664"/>
    </row>
    <row r="7" spans="1:22">
      <c r="A7" s="663"/>
      <c r="B7" s="665"/>
      <c r="C7" s="666"/>
      <c r="D7" s="666"/>
      <c r="E7" s="666"/>
      <c r="F7" s="666"/>
      <c r="G7" s="663"/>
      <c r="H7" s="667" t="s">
        <v>254</v>
      </c>
      <c r="L7" s="664"/>
      <c r="M7" s="664"/>
      <c r="N7" s="664"/>
      <c r="O7" s="664"/>
      <c r="P7" s="664"/>
      <c r="Q7" s="664"/>
      <c r="R7" s="664"/>
      <c r="S7" s="664"/>
      <c r="T7" s="664"/>
      <c r="U7" s="664"/>
      <c r="V7" s="664"/>
    </row>
    <row r="8" spans="1:22">
      <c r="A8" s="4247" t="s">
        <v>34</v>
      </c>
      <c r="B8" s="4247" t="s">
        <v>1071</v>
      </c>
      <c r="C8" s="4247" t="s">
        <v>996</v>
      </c>
      <c r="D8" s="4247" t="s">
        <v>4034</v>
      </c>
      <c r="E8" s="4247" t="s">
        <v>4035</v>
      </c>
      <c r="F8" s="4247" t="s">
        <v>1077</v>
      </c>
      <c r="G8" s="4247" t="s">
        <v>4036</v>
      </c>
      <c r="H8" s="4248" t="s">
        <v>20</v>
      </c>
      <c r="I8" s="4245" t="s">
        <v>3436</v>
      </c>
      <c r="J8" s="4245"/>
      <c r="L8" s="664"/>
      <c r="M8" s="664"/>
      <c r="N8" s="664"/>
      <c r="O8" s="664"/>
      <c r="P8" s="664"/>
      <c r="Q8" s="664"/>
      <c r="R8" s="664"/>
      <c r="S8" s="664"/>
      <c r="T8" s="664"/>
      <c r="U8" s="664"/>
      <c r="V8" s="664"/>
    </row>
    <row r="9" spans="1:22" ht="37.5" customHeight="1">
      <c r="A9" s="4247"/>
      <c r="B9" s="4247"/>
      <c r="C9" s="4247"/>
      <c r="D9" s="4247"/>
      <c r="E9" s="4247"/>
      <c r="F9" s="4247"/>
      <c r="G9" s="4247"/>
      <c r="H9" s="4248"/>
      <c r="I9" s="643" t="s">
        <v>7</v>
      </c>
      <c r="J9" s="643" t="s">
        <v>8</v>
      </c>
      <c r="L9" s="664"/>
      <c r="M9" s="664"/>
      <c r="N9" s="664"/>
      <c r="O9" s="664"/>
      <c r="P9" s="664"/>
      <c r="Q9" s="664"/>
      <c r="R9" s="664"/>
      <c r="S9" s="664"/>
      <c r="T9" s="664"/>
      <c r="U9" s="664"/>
      <c r="V9" s="664"/>
    </row>
    <row r="10" spans="1:22" ht="31.5">
      <c r="A10" s="658">
        <v>1</v>
      </c>
      <c r="B10" s="659" t="s">
        <v>4037</v>
      </c>
      <c r="C10" s="658" t="s">
        <v>1395</v>
      </c>
      <c r="D10" s="658"/>
      <c r="E10" s="658"/>
      <c r="F10" s="658"/>
      <c r="G10" s="658"/>
      <c r="H10" s="642">
        <f>E10*F10*G10</f>
        <v>0</v>
      </c>
      <c r="I10" s="644">
        <f>H10</f>
        <v>0</v>
      </c>
      <c r="J10" s="645"/>
      <c r="L10" s="664"/>
      <c r="M10" s="664"/>
      <c r="N10" s="664"/>
      <c r="O10" s="664"/>
      <c r="P10" s="664"/>
      <c r="Q10" s="664"/>
      <c r="R10" s="664"/>
      <c r="S10" s="664"/>
      <c r="T10" s="664"/>
      <c r="U10" s="664"/>
      <c r="V10" s="664"/>
    </row>
    <row r="11" spans="1:22">
      <c r="A11" s="658">
        <v>2</v>
      </c>
      <c r="B11" s="659" t="s">
        <v>4038</v>
      </c>
      <c r="C11" s="658" t="s">
        <v>1022</v>
      </c>
      <c r="D11" s="658"/>
      <c r="E11" s="658"/>
      <c r="F11" s="658"/>
      <c r="G11" s="658"/>
      <c r="H11" s="642">
        <f>E11*F11*G11</f>
        <v>0</v>
      </c>
      <c r="I11" s="644">
        <f>H11</f>
        <v>0</v>
      </c>
      <c r="J11" s="645"/>
      <c r="L11" s="664"/>
      <c r="M11" s="664"/>
      <c r="N11" s="664"/>
      <c r="O11" s="664"/>
      <c r="P11" s="664"/>
      <c r="Q11" s="664"/>
      <c r="R11" s="664"/>
      <c r="S11" s="664"/>
      <c r="T11" s="664"/>
      <c r="U11" s="664"/>
      <c r="V11" s="664"/>
    </row>
    <row r="12" spans="1:22">
      <c r="A12" s="658">
        <v>3</v>
      </c>
      <c r="B12" s="659" t="s">
        <v>4039</v>
      </c>
      <c r="C12" s="660" t="s">
        <v>1022</v>
      </c>
      <c r="D12" s="660"/>
      <c r="E12" s="660"/>
      <c r="F12" s="660"/>
      <c r="G12" s="660"/>
      <c r="H12" s="642">
        <f>E12*F12*G12</f>
        <v>0</v>
      </c>
      <c r="I12" s="644">
        <f>H12</f>
        <v>0</v>
      </c>
      <c r="J12" s="646"/>
      <c r="L12" s="664"/>
      <c r="M12" s="664"/>
      <c r="N12" s="664"/>
      <c r="O12" s="664"/>
      <c r="P12" s="664"/>
      <c r="Q12" s="664"/>
      <c r="R12" s="664"/>
      <c r="S12" s="664"/>
      <c r="T12" s="664"/>
      <c r="U12" s="664"/>
      <c r="V12" s="664"/>
    </row>
    <row r="13" spans="1:22">
      <c r="A13" s="658">
        <v>4</v>
      </c>
      <c r="B13" s="659" t="s">
        <v>526</v>
      </c>
      <c r="C13" s="660"/>
      <c r="D13" s="660"/>
      <c r="E13" s="660"/>
      <c r="F13" s="660"/>
      <c r="G13" s="660"/>
      <c r="H13" s="642">
        <f>E13*F13*G13</f>
        <v>0</v>
      </c>
      <c r="I13" s="644">
        <f>H13</f>
        <v>0</v>
      </c>
      <c r="J13" s="646"/>
      <c r="L13" s="664"/>
      <c r="M13" s="664"/>
      <c r="N13" s="664"/>
      <c r="O13" s="664"/>
      <c r="P13" s="664"/>
      <c r="Q13" s="664"/>
      <c r="R13" s="664"/>
      <c r="S13" s="664"/>
      <c r="T13" s="664"/>
      <c r="U13" s="664"/>
      <c r="V13" s="664"/>
    </row>
    <row r="14" spans="1:22">
      <c r="A14" s="658"/>
      <c r="B14" s="659"/>
      <c r="C14" s="660"/>
      <c r="D14" s="660"/>
      <c r="E14" s="660"/>
      <c r="F14" s="660"/>
      <c r="G14" s="660"/>
      <c r="H14" s="642">
        <f t="shared" ref="H14:H19" si="0">E14*F14*G14</f>
        <v>0</v>
      </c>
      <c r="I14" s="644">
        <f t="shared" ref="I14:I19" si="1">H14</f>
        <v>0</v>
      </c>
      <c r="J14" s="646"/>
      <c r="L14" s="664"/>
      <c r="M14" s="664"/>
      <c r="N14" s="664"/>
      <c r="O14" s="664"/>
      <c r="P14" s="664"/>
      <c r="Q14" s="664"/>
      <c r="R14" s="664"/>
      <c r="S14" s="664"/>
      <c r="T14" s="664"/>
      <c r="U14" s="664"/>
      <c r="V14" s="664"/>
    </row>
    <row r="15" spans="1:22">
      <c r="A15" s="658"/>
      <c r="B15" s="659"/>
      <c r="C15" s="660"/>
      <c r="D15" s="660"/>
      <c r="E15" s="660"/>
      <c r="F15" s="660"/>
      <c r="G15" s="660"/>
      <c r="H15" s="642">
        <f t="shared" si="0"/>
        <v>0</v>
      </c>
      <c r="I15" s="644">
        <f t="shared" si="1"/>
        <v>0</v>
      </c>
      <c r="J15" s="646"/>
      <c r="L15" s="664"/>
      <c r="M15" s="664"/>
      <c r="N15" s="664"/>
      <c r="O15" s="664"/>
      <c r="P15" s="664"/>
      <c r="Q15" s="664"/>
      <c r="R15" s="664"/>
      <c r="S15" s="664"/>
      <c r="T15" s="664"/>
      <c r="U15" s="664"/>
      <c r="V15" s="664"/>
    </row>
    <row r="16" spans="1:22">
      <c r="A16" s="658"/>
      <c r="B16" s="659"/>
      <c r="C16" s="660"/>
      <c r="D16" s="660"/>
      <c r="E16" s="660"/>
      <c r="F16" s="660"/>
      <c r="G16" s="660"/>
      <c r="H16" s="642">
        <f t="shared" si="0"/>
        <v>0</v>
      </c>
      <c r="I16" s="644">
        <f t="shared" si="1"/>
        <v>0</v>
      </c>
      <c r="J16" s="646"/>
      <c r="L16" s="664"/>
      <c r="M16" s="664"/>
      <c r="N16" s="664"/>
      <c r="O16" s="664"/>
      <c r="P16" s="664"/>
      <c r="Q16" s="664"/>
      <c r="R16" s="664"/>
      <c r="S16" s="664"/>
      <c r="T16" s="664"/>
      <c r="U16" s="664"/>
      <c r="V16" s="664"/>
    </row>
    <row r="17" spans="1:22">
      <c r="A17" s="658"/>
      <c r="B17" s="659"/>
      <c r="C17" s="660"/>
      <c r="D17" s="660"/>
      <c r="E17" s="660"/>
      <c r="F17" s="660"/>
      <c r="G17" s="660"/>
      <c r="H17" s="642">
        <f t="shared" si="0"/>
        <v>0</v>
      </c>
      <c r="I17" s="644">
        <f t="shared" si="1"/>
        <v>0</v>
      </c>
      <c r="J17" s="646"/>
      <c r="L17" s="664"/>
      <c r="M17" s="664"/>
      <c r="N17" s="664"/>
      <c r="O17" s="664"/>
      <c r="P17" s="664"/>
      <c r="Q17" s="664"/>
      <c r="R17" s="664"/>
      <c r="S17" s="664"/>
      <c r="T17" s="664"/>
      <c r="U17" s="664"/>
      <c r="V17" s="664"/>
    </row>
    <row r="18" spans="1:22">
      <c r="A18" s="658"/>
      <c r="B18" s="659"/>
      <c r="C18" s="660"/>
      <c r="D18" s="660"/>
      <c r="E18" s="660"/>
      <c r="F18" s="660"/>
      <c r="G18" s="660"/>
      <c r="H18" s="642">
        <f t="shared" si="0"/>
        <v>0</v>
      </c>
      <c r="I18" s="644">
        <f t="shared" si="1"/>
        <v>0</v>
      </c>
      <c r="J18" s="646"/>
      <c r="L18" s="664"/>
      <c r="M18" s="664"/>
      <c r="N18" s="664"/>
      <c r="O18" s="664"/>
      <c r="P18" s="664"/>
      <c r="Q18" s="664"/>
      <c r="R18" s="664"/>
      <c r="S18" s="664"/>
      <c r="T18" s="664"/>
      <c r="U18" s="664"/>
      <c r="V18" s="664"/>
    </row>
    <row r="19" spans="1:22">
      <c r="A19" s="658"/>
      <c r="B19" s="659"/>
      <c r="C19" s="660"/>
      <c r="D19" s="660"/>
      <c r="E19" s="660"/>
      <c r="F19" s="660"/>
      <c r="G19" s="660"/>
      <c r="H19" s="642">
        <f t="shared" si="0"/>
        <v>0</v>
      </c>
      <c r="I19" s="644">
        <f t="shared" si="1"/>
        <v>0</v>
      </c>
      <c r="J19" s="646"/>
      <c r="L19" s="664"/>
      <c r="M19" s="664"/>
      <c r="N19" s="664"/>
      <c r="O19" s="664"/>
      <c r="P19" s="664"/>
      <c r="Q19" s="664"/>
      <c r="R19" s="664"/>
      <c r="S19" s="664"/>
      <c r="T19" s="664"/>
      <c r="U19" s="664"/>
      <c r="V19" s="664"/>
    </row>
    <row r="20" spans="1:22">
      <c r="A20" s="647"/>
      <c r="B20" s="648" t="s">
        <v>3445</v>
      </c>
      <c r="C20" s="649"/>
      <c r="D20" s="649"/>
      <c r="E20" s="649"/>
      <c r="F20" s="650"/>
      <c r="G20" s="647"/>
      <c r="H20" s="651">
        <f>SUM(H10:H19)</f>
        <v>0</v>
      </c>
      <c r="I20" s="651">
        <f>SUM(I10:I19)</f>
        <v>0</v>
      </c>
      <c r="J20" s="651">
        <f>SUM(J10:J19)</f>
        <v>0</v>
      </c>
      <c r="L20" s="664"/>
      <c r="M20" s="664"/>
      <c r="N20" s="664"/>
      <c r="O20" s="664"/>
      <c r="P20" s="664"/>
      <c r="Q20" s="664"/>
      <c r="R20" s="664"/>
      <c r="S20" s="664"/>
      <c r="T20" s="664"/>
      <c r="U20" s="664"/>
      <c r="V20" s="664"/>
    </row>
    <row r="21" spans="1:22">
      <c r="L21" s="664"/>
      <c r="M21" s="664"/>
      <c r="N21" s="664"/>
      <c r="O21" s="664"/>
      <c r="P21" s="664"/>
      <c r="Q21" s="664"/>
      <c r="R21" s="664"/>
      <c r="S21" s="664"/>
      <c r="T21" s="664"/>
      <c r="U21" s="664"/>
      <c r="V21" s="664"/>
    </row>
    <row r="22" spans="1:22">
      <c r="L22" s="664"/>
      <c r="M22" s="664"/>
      <c r="N22" s="664"/>
      <c r="O22" s="664"/>
      <c r="P22" s="664"/>
      <c r="Q22" s="664"/>
      <c r="R22" s="664"/>
      <c r="S22" s="664"/>
      <c r="T22" s="664"/>
      <c r="U22" s="664"/>
      <c r="V22" s="664"/>
    </row>
    <row r="23" spans="1:22" s="419" customFormat="1">
      <c r="A23" s="668" t="s">
        <v>329</v>
      </c>
      <c r="E23" s="657"/>
      <c r="F23" s="657"/>
      <c r="G23" s="657"/>
      <c r="H23" s="657"/>
      <c r="I23" s="657"/>
      <c r="J23" s="657"/>
    </row>
    <row r="24" spans="1:22" s="419" customFormat="1">
      <c r="A24" s="668"/>
      <c r="E24" s="657"/>
      <c r="F24" s="657"/>
      <c r="G24" s="657"/>
      <c r="H24" s="657"/>
      <c r="I24" s="657"/>
      <c r="J24" s="657"/>
    </row>
    <row r="25" spans="1:22" s="419" customFormat="1">
      <c r="A25" s="669" t="s">
        <v>330</v>
      </c>
      <c r="E25" s="657"/>
      <c r="F25" s="657"/>
      <c r="G25" s="657"/>
      <c r="H25" s="657"/>
      <c r="I25" s="657"/>
      <c r="J25" s="657"/>
    </row>
    <row r="26" spans="1:22" s="419" customFormat="1">
      <c r="A26" s="669" t="s">
        <v>332</v>
      </c>
      <c r="E26" s="657"/>
      <c r="F26" s="657"/>
      <c r="G26" s="657"/>
      <c r="H26" s="657"/>
      <c r="I26" s="657"/>
      <c r="J26" s="657"/>
    </row>
    <row r="27" spans="1:22" s="419" customFormat="1">
      <c r="A27" s="427"/>
      <c r="E27" s="657"/>
      <c r="F27" s="657"/>
      <c r="G27" s="657"/>
      <c r="H27" s="657"/>
      <c r="I27" s="657"/>
      <c r="J27" s="657"/>
    </row>
    <row r="28" spans="1:22" s="419" customFormat="1">
      <c r="A28" s="669" t="s">
        <v>333</v>
      </c>
      <c r="E28" s="657"/>
      <c r="F28" s="657"/>
      <c r="G28" s="657"/>
      <c r="H28" s="657"/>
      <c r="I28" s="657"/>
      <c r="J28" s="657"/>
    </row>
  </sheetData>
  <sheetProtection password="9690" sheet="1" formatColumns="0" insertRows="0" deleteRows="0"/>
  <mergeCells count="10">
    <mergeCell ref="I8:J8"/>
    <mergeCell ref="A6:H6"/>
    <mergeCell ref="A8:A9"/>
    <mergeCell ref="B8:B9"/>
    <mergeCell ref="C8:C9"/>
    <mergeCell ref="E8:E9"/>
    <mergeCell ref="F8:F9"/>
    <mergeCell ref="G8:G9"/>
    <mergeCell ref="H8:H9"/>
    <mergeCell ref="D8:D9"/>
  </mergeCells>
  <pageMargins left="0.7" right="0.7" top="0.75" bottom="0.75" header="0.3" footer="0.3"/>
  <pageSetup paperSize="9" scale="95" fitToHeight="0" orientation="landscape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Лист26">
    <tabColor rgb="FF7030A0"/>
    <pageSetUpPr fitToPage="1"/>
  </sheetPr>
  <dimension ref="A1:J44"/>
  <sheetViews>
    <sheetView workbookViewId="0">
      <selection activeCell="U22" sqref="U22"/>
    </sheetView>
  </sheetViews>
  <sheetFormatPr defaultColWidth="9.140625" defaultRowHeight="15.75"/>
  <cols>
    <col min="1" max="1" width="4.5703125" style="419" customWidth="1"/>
    <col min="2" max="2" width="36.5703125" style="419" customWidth="1"/>
    <col min="3" max="7" width="9.140625" style="419"/>
    <col min="8" max="8" width="12.85546875" style="419" customWidth="1"/>
    <col min="9" max="16384" width="9.140625" style="419"/>
  </cols>
  <sheetData>
    <row r="1" spans="1:10">
      <c r="I1" s="759" t="s">
        <v>267</v>
      </c>
      <c r="J1" s="671" t="s">
        <v>640</v>
      </c>
    </row>
    <row r="2" spans="1:10" s="657" customFormat="1">
      <c r="A2" s="695" t="s">
        <v>4040</v>
      </c>
      <c r="B2" s="711"/>
      <c r="C2" s="806"/>
      <c r="D2" s="806"/>
      <c r="E2" s="806"/>
      <c r="F2" s="806"/>
      <c r="G2" s="806"/>
      <c r="H2" s="806"/>
      <c r="I2" s="806"/>
      <c r="J2" s="806"/>
    </row>
    <row r="3" spans="1:10">
      <c r="A3" s="420"/>
      <c r="B3" s="404"/>
      <c r="C3" s="421"/>
      <c r="D3" s="421"/>
      <c r="E3" s="421"/>
      <c r="F3" s="421"/>
      <c r="G3" s="421"/>
      <c r="H3" s="422"/>
      <c r="I3" s="422"/>
      <c r="J3" s="422"/>
    </row>
    <row r="4" spans="1:10" s="657" customFormat="1">
      <c r="A4" s="656" t="s">
        <v>3401</v>
      </c>
      <c r="B4" s="711"/>
      <c r="C4" s="806"/>
      <c r="D4" s="806"/>
      <c r="E4" s="806"/>
      <c r="F4" s="806"/>
      <c r="G4" s="806"/>
      <c r="H4" s="806"/>
      <c r="I4" s="806"/>
      <c r="J4" s="806"/>
    </row>
    <row r="5" spans="1:10">
      <c r="A5" s="168" t="s">
        <v>990</v>
      </c>
      <c r="B5" s="230"/>
      <c r="C5" s="423"/>
      <c r="D5" s="423"/>
      <c r="E5" s="423"/>
      <c r="F5" s="423"/>
      <c r="G5" s="423"/>
      <c r="H5" s="423"/>
      <c r="I5" s="423"/>
      <c r="J5" s="423"/>
    </row>
    <row r="6" spans="1:10">
      <c r="A6" s="168"/>
      <c r="B6" s="230"/>
      <c r="C6" s="423"/>
      <c r="D6" s="423"/>
      <c r="E6" s="423"/>
      <c r="F6" s="423"/>
      <c r="G6" s="423"/>
      <c r="H6" s="423"/>
      <c r="I6" s="423"/>
      <c r="J6" s="805" t="s">
        <v>254</v>
      </c>
    </row>
    <row r="7" spans="1:10" ht="15" customHeight="1">
      <c r="A7" s="4255" t="s">
        <v>34</v>
      </c>
      <c r="B7" s="4249" t="s">
        <v>3541</v>
      </c>
      <c r="C7" s="4249" t="s">
        <v>4041</v>
      </c>
      <c r="D7" s="4249" t="s">
        <v>4042</v>
      </c>
      <c r="E7" s="4249" t="s">
        <v>4043</v>
      </c>
      <c r="F7" s="4249" t="s">
        <v>4044</v>
      </c>
      <c r="G7" s="4249" t="s">
        <v>4045</v>
      </c>
      <c r="H7" s="4249" t="s">
        <v>4046</v>
      </c>
      <c r="I7" s="4252" t="s">
        <v>255</v>
      </c>
      <c r="J7" s="4253"/>
    </row>
    <row r="8" spans="1:10">
      <c r="A8" s="4256"/>
      <c r="B8" s="4250"/>
      <c r="C8" s="4250"/>
      <c r="D8" s="4250"/>
      <c r="E8" s="4250"/>
      <c r="F8" s="4250"/>
      <c r="G8" s="4250"/>
      <c r="H8" s="4250"/>
      <c r="I8" s="4254" t="s">
        <v>7</v>
      </c>
      <c r="J8" s="4254" t="s">
        <v>8</v>
      </c>
    </row>
    <row r="9" spans="1:10">
      <c r="A9" s="4256"/>
      <c r="B9" s="4250"/>
      <c r="C9" s="4250"/>
      <c r="D9" s="4250"/>
      <c r="E9" s="4250"/>
      <c r="F9" s="4250"/>
      <c r="G9" s="4250"/>
      <c r="H9" s="4250"/>
      <c r="I9" s="4254"/>
      <c r="J9" s="4254"/>
    </row>
    <row r="10" spans="1:10">
      <c r="A10" s="4257"/>
      <c r="B10" s="4251"/>
      <c r="C10" s="4251"/>
      <c r="D10" s="4251"/>
      <c r="E10" s="4251"/>
      <c r="F10" s="4251"/>
      <c r="G10" s="4251"/>
      <c r="H10" s="4251"/>
      <c r="I10" s="4254"/>
      <c r="J10" s="4254"/>
    </row>
    <row r="11" spans="1:10">
      <c r="A11" s="807">
        <v>1</v>
      </c>
      <c r="B11" s="808" t="s">
        <v>4047</v>
      </c>
      <c r="C11" s="802"/>
      <c r="D11" s="809"/>
      <c r="E11" s="810"/>
      <c r="F11" s="596">
        <f t="shared" ref="F11:F17" si="0">C11*E11*D11</f>
        <v>0</v>
      </c>
      <c r="G11" s="804"/>
      <c r="H11" s="428">
        <f t="shared" ref="H11:H17" si="1">F11*G11</f>
        <v>0</v>
      </c>
      <c r="I11" s="803"/>
      <c r="J11" s="803"/>
    </row>
    <row r="12" spans="1:10">
      <c r="A12" s="807">
        <f t="shared" ref="A12:A17" si="2">A11+1</f>
        <v>2</v>
      </c>
      <c r="B12" s="811" t="s">
        <v>4030</v>
      </c>
      <c r="C12" s="802"/>
      <c r="D12" s="809"/>
      <c r="E12" s="810"/>
      <c r="F12" s="596">
        <f t="shared" si="0"/>
        <v>0</v>
      </c>
      <c r="G12" s="812"/>
      <c r="H12" s="428">
        <f t="shared" si="1"/>
        <v>0</v>
      </c>
      <c r="I12" s="803"/>
      <c r="J12" s="803"/>
    </row>
    <row r="13" spans="1:10">
      <c r="A13" s="807">
        <f t="shared" si="2"/>
        <v>3</v>
      </c>
      <c r="B13" s="811" t="s">
        <v>4030</v>
      </c>
      <c r="C13" s="802"/>
      <c r="D13" s="812"/>
      <c r="E13" s="813"/>
      <c r="F13" s="596">
        <f t="shared" si="0"/>
        <v>0</v>
      </c>
      <c r="G13" s="812"/>
      <c r="H13" s="428">
        <f t="shared" si="1"/>
        <v>0</v>
      </c>
      <c r="I13" s="803"/>
      <c r="J13" s="803"/>
    </row>
    <row r="14" spans="1:10">
      <c r="A14" s="807">
        <f t="shared" si="2"/>
        <v>4</v>
      </c>
      <c r="B14" s="811"/>
      <c r="C14" s="802"/>
      <c r="D14" s="812"/>
      <c r="E14" s="813"/>
      <c r="F14" s="596">
        <f t="shared" si="0"/>
        <v>0</v>
      </c>
      <c r="G14" s="812"/>
      <c r="H14" s="428">
        <f t="shared" si="1"/>
        <v>0</v>
      </c>
      <c r="I14" s="803"/>
      <c r="J14" s="803"/>
    </row>
    <row r="15" spans="1:10">
      <c r="A15" s="807">
        <f t="shared" si="2"/>
        <v>5</v>
      </c>
      <c r="B15" s="811"/>
      <c r="C15" s="802"/>
      <c r="D15" s="812"/>
      <c r="E15" s="813"/>
      <c r="F15" s="596">
        <f t="shared" si="0"/>
        <v>0</v>
      </c>
      <c r="G15" s="812"/>
      <c r="H15" s="428">
        <f t="shared" si="1"/>
        <v>0</v>
      </c>
      <c r="I15" s="803"/>
      <c r="J15" s="803"/>
    </row>
    <row r="16" spans="1:10">
      <c r="A16" s="807">
        <f t="shared" si="2"/>
        <v>6</v>
      </c>
      <c r="B16" s="811"/>
      <c r="C16" s="802"/>
      <c r="D16" s="812"/>
      <c r="E16" s="813"/>
      <c r="F16" s="596">
        <f t="shared" si="0"/>
        <v>0</v>
      </c>
      <c r="G16" s="812"/>
      <c r="H16" s="428">
        <f t="shared" si="1"/>
        <v>0</v>
      </c>
      <c r="I16" s="803"/>
      <c r="J16" s="803"/>
    </row>
    <row r="17" spans="1:10">
      <c r="A17" s="807">
        <f t="shared" si="2"/>
        <v>7</v>
      </c>
      <c r="B17" s="811"/>
      <c r="C17" s="802"/>
      <c r="D17" s="812"/>
      <c r="E17" s="813"/>
      <c r="F17" s="596">
        <f t="shared" si="0"/>
        <v>0</v>
      </c>
      <c r="G17" s="812"/>
      <c r="H17" s="428">
        <f t="shared" si="1"/>
        <v>0</v>
      </c>
      <c r="I17" s="803"/>
      <c r="J17" s="803"/>
    </row>
    <row r="18" spans="1:10">
      <c r="A18" s="425"/>
      <c r="B18" s="425" t="s">
        <v>867</v>
      </c>
      <c r="C18" s="425"/>
      <c r="D18" s="425"/>
      <c r="E18" s="425"/>
      <c r="F18" s="425"/>
      <c r="G18" s="425"/>
      <c r="H18" s="595">
        <f>SUM(H11:H17)</f>
        <v>0</v>
      </c>
      <c r="I18" s="595">
        <f>SUM(I11:I17)</f>
        <v>0</v>
      </c>
      <c r="J18" s="595">
        <f>SUM(J11:J17)</f>
        <v>0</v>
      </c>
    </row>
    <row r="19" spans="1:10">
      <c r="A19" s="168"/>
      <c r="B19" s="230"/>
      <c r="C19" s="423"/>
      <c r="D19" s="423"/>
      <c r="E19" s="423"/>
      <c r="F19" s="423"/>
      <c r="G19" s="423"/>
      <c r="H19" s="423"/>
      <c r="I19" s="424"/>
      <c r="J19" s="424"/>
    </row>
    <row r="20" spans="1:10">
      <c r="A20" s="424"/>
      <c r="B20" s="424"/>
      <c r="C20" s="424"/>
      <c r="D20" s="424"/>
      <c r="E20" s="424"/>
      <c r="F20" s="424"/>
      <c r="G20" s="424"/>
      <c r="H20" s="424"/>
      <c r="I20" s="424"/>
      <c r="J20" s="424"/>
    </row>
    <row r="21" spans="1:10">
      <c r="A21" s="300" t="s">
        <v>329</v>
      </c>
      <c r="B21" s="424"/>
      <c r="C21" s="424"/>
      <c r="D21" s="814"/>
      <c r="E21" s="814"/>
      <c r="F21" s="814"/>
      <c r="G21" s="814"/>
      <c r="H21" s="814"/>
      <c r="I21" s="814"/>
      <c r="J21" s="814"/>
    </row>
    <row r="22" spans="1:10">
      <c r="A22" s="300"/>
      <c r="B22" s="424"/>
      <c r="C22" s="424"/>
      <c r="D22" s="814"/>
      <c r="E22" s="814"/>
      <c r="F22" s="814"/>
      <c r="G22" s="814"/>
      <c r="H22" s="814"/>
      <c r="I22" s="814"/>
      <c r="J22" s="814"/>
    </row>
    <row r="23" spans="1:10">
      <c r="A23" s="426" t="s">
        <v>330</v>
      </c>
      <c r="B23" s="424"/>
      <c r="C23" s="424"/>
      <c r="D23" s="814"/>
      <c r="E23" s="814"/>
      <c r="F23" s="814"/>
      <c r="G23" s="814"/>
      <c r="H23" s="814"/>
      <c r="I23" s="814"/>
      <c r="J23" s="814"/>
    </row>
    <row r="24" spans="1:10">
      <c r="A24" s="426" t="s">
        <v>332</v>
      </c>
      <c r="B24" s="424"/>
      <c r="C24" s="424"/>
      <c r="D24" s="814"/>
      <c r="E24" s="814"/>
      <c r="F24" s="814"/>
      <c r="G24" s="814"/>
      <c r="H24" s="814"/>
      <c r="I24" s="814"/>
      <c r="J24" s="814"/>
    </row>
    <row r="25" spans="1:10">
      <c r="A25" s="427"/>
      <c r="B25" s="424"/>
      <c r="C25" s="424"/>
      <c r="D25" s="814"/>
      <c r="E25" s="814"/>
      <c r="F25" s="814"/>
      <c r="G25" s="814"/>
      <c r="H25" s="814"/>
      <c r="I25" s="814"/>
      <c r="J25" s="814"/>
    </row>
    <row r="26" spans="1:10">
      <c r="A26" s="426" t="s">
        <v>333</v>
      </c>
      <c r="B26" s="424"/>
      <c r="C26" s="424"/>
      <c r="D26" s="814"/>
      <c r="E26" s="814"/>
      <c r="F26" s="814"/>
      <c r="G26" s="814"/>
      <c r="H26" s="814"/>
      <c r="I26" s="814"/>
      <c r="J26" s="814"/>
    </row>
    <row r="27" spans="1:10">
      <c r="A27" s="424"/>
      <c r="B27" s="424"/>
      <c r="C27" s="424"/>
      <c r="D27" s="424"/>
      <c r="E27" s="424"/>
      <c r="F27" s="424"/>
      <c r="G27" s="424"/>
      <c r="H27" s="424"/>
      <c r="I27" s="424"/>
      <c r="J27" s="424"/>
    </row>
    <row r="28" spans="1:10">
      <c r="A28" s="424"/>
      <c r="B28" s="424"/>
      <c r="C28" s="424"/>
      <c r="D28" s="424"/>
      <c r="E28" s="424"/>
      <c r="F28" s="424"/>
      <c r="G28" s="424"/>
      <c r="H28" s="424"/>
      <c r="I28" s="424"/>
      <c r="J28" s="424"/>
    </row>
    <row r="29" spans="1:10">
      <c r="A29" s="424"/>
      <c r="B29" s="424"/>
      <c r="C29" s="424"/>
      <c r="D29" s="424"/>
      <c r="E29" s="424"/>
      <c r="F29" s="424"/>
      <c r="G29" s="424"/>
      <c r="H29" s="424"/>
      <c r="I29" s="424"/>
      <c r="J29" s="424"/>
    </row>
    <row r="30" spans="1:10">
      <c r="A30" s="424"/>
      <c r="B30" s="424"/>
      <c r="C30" s="424"/>
      <c r="D30" s="424"/>
      <c r="E30" s="424"/>
      <c r="F30" s="424"/>
      <c r="G30" s="424"/>
      <c r="H30" s="424"/>
      <c r="I30" s="424"/>
      <c r="J30" s="424"/>
    </row>
    <row r="31" spans="1:10">
      <c r="A31" s="424"/>
      <c r="B31" s="424"/>
      <c r="C31" s="424"/>
      <c r="D31" s="424"/>
      <c r="E31" s="424"/>
      <c r="F31" s="424"/>
      <c r="G31" s="424"/>
      <c r="H31" s="424"/>
      <c r="I31" s="424"/>
      <c r="J31" s="424"/>
    </row>
    <row r="32" spans="1:10">
      <c r="A32" s="424"/>
      <c r="B32" s="424"/>
      <c r="C32" s="424"/>
      <c r="D32" s="424"/>
      <c r="E32" s="424"/>
      <c r="F32" s="424"/>
      <c r="G32" s="424"/>
      <c r="H32" s="424"/>
      <c r="I32" s="424"/>
      <c r="J32" s="424"/>
    </row>
    <row r="33" spans="1:10">
      <c r="A33" s="424"/>
      <c r="B33" s="424"/>
      <c r="C33" s="424"/>
      <c r="D33" s="424"/>
      <c r="E33" s="424"/>
      <c r="F33" s="424"/>
      <c r="G33" s="424"/>
      <c r="H33" s="424"/>
      <c r="I33" s="424"/>
      <c r="J33" s="424"/>
    </row>
    <row r="34" spans="1:10">
      <c r="A34" s="424"/>
      <c r="B34" s="424"/>
      <c r="C34" s="424"/>
      <c r="D34" s="424"/>
      <c r="E34" s="424"/>
      <c r="F34" s="424"/>
      <c r="G34" s="424"/>
      <c r="H34" s="424"/>
    </row>
    <row r="41" spans="1:10">
      <c r="I41" s="422"/>
      <c r="J41" s="422"/>
    </row>
    <row r="42" spans="1:10">
      <c r="A42" s="422"/>
      <c r="B42" s="422"/>
      <c r="C42" s="422"/>
      <c r="D42" s="422"/>
      <c r="E42" s="422"/>
      <c r="F42" s="422"/>
      <c r="G42" s="422"/>
      <c r="H42" s="422"/>
      <c r="I42" s="422"/>
      <c r="J42" s="422"/>
    </row>
    <row r="43" spans="1:10">
      <c r="A43" s="422"/>
      <c r="B43" s="422"/>
      <c r="C43" s="422"/>
      <c r="D43" s="422"/>
      <c r="E43" s="422"/>
      <c r="F43" s="422"/>
      <c r="G43" s="422"/>
      <c r="H43" s="422"/>
      <c r="I43" s="422"/>
      <c r="J43" s="422"/>
    </row>
    <row r="44" spans="1:10">
      <c r="A44" s="422"/>
      <c r="B44" s="422"/>
      <c r="C44" s="422"/>
      <c r="D44" s="422"/>
      <c r="E44" s="422"/>
      <c r="F44" s="422"/>
      <c r="G44" s="422"/>
      <c r="H44" s="422"/>
    </row>
  </sheetData>
  <sheetProtection password="9690" sheet="1" formatColumns="0" insertRows="0" deleteRows="0"/>
  <mergeCells count="11">
    <mergeCell ref="A7:A10"/>
    <mergeCell ref="B7:B10"/>
    <mergeCell ref="C7:C10"/>
    <mergeCell ref="D7:D10"/>
    <mergeCell ref="E7:E10"/>
    <mergeCell ref="F7:F10"/>
    <mergeCell ref="I7:J7"/>
    <mergeCell ref="I8:I10"/>
    <mergeCell ref="J8:J10"/>
    <mergeCell ref="G7:G10"/>
    <mergeCell ref="H7:H10"/>
  </mergeCells>
  <pageMargins left="0.7" right="0.7" top="0.75" bottom="0.75" header="0.3" footer="0.3"/>
  <pageSetup paperSize="9" scale="74" fitToHeight="0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Лист27">
    <tabColor rgb="FFFF0000"/>
    <pageSetUpPr fitToPage="1"/>
  </sheetPr>
  <dimension ref="A1:H33"/>
  <sheetViews>
    <sheetView workbookViewId="0">
      <selection activeCell="E25" sqref="E25:E32"/>
    </sheetView>
  </sheetViews>
  <sheetFormatPr defaultColWidth="9.140625" defaultRowHeight="15.75"/>
  <cols>
    <col min="1" max="1" width="5.7109375" style="419" customWidth="1"/>
    <col min="2" max="2" width="66.28515625" style="419" customWidth="1"/>
    <col min="3" max="3" width="13.7109375" style="419" customWidth="1"/>
    <col min="4" max="4" width="15.140625" style="419" customWidth="1"/>
    <col min="5" max="5" width="14.85546875" style="419" customWidth="1"/>
    <col min="6" max="7" width="11.5703125" style="419" customWidth="1"/>
    <col min="8" max="16384" width="9.140625" style="419"/>
  </cols>
  <sheetData>
    <row r="1" spans="1:7">
      <c r="F1" s="419" t="s">
        <v>267</v>
      </c>
      <c r="G1" s="671" t="s">
        <v>642</v>
      </c>
    </row>
    <row r="2" spans="1:7" s="657" customFormat="1">
      <c r="A2" s="695" t="s">
        <v>4048</v>
      </c>
    </row>
    <row r="3" spans="1:7">
      <c r="A3" s="420"/>
    </row>
    <row r="4" spans="1:7" s="657" customFormat="1">
      <c r="A4" s="656" t="s">
        <v>3998</v>
      </c>
    </row>
    <row r="5" spans="1:7" ht="11.85" customHeight="1">
      <c r="A5" s="168" t="s">
        <v>990</v>
      </c>
      <c r="B5" s="458"/>
    </row>
    <row r="6" spans="1:7">
      <c r="A6" s="460"/>
      <c r="B6" s="460"/>
      <c r="C6" s="460"/>
      <c r="D6" s="460"/>
      <c r="E6" s="460"/>
      <c r="F6" s="460"/>
      <c r="G6" s="747" t="s">
        <v>254</v>
      </c>
    </row>
    <row r="7" spans="1:7" ht="17.25" customHeight="1">
      <c r="A7" s="4210" t="s">
        <v>34</v>
      </c>
      <c r="B7" s="4212" t="s">
        <v>478</v>
      </c>
      <c r="C7" s="4212" t="s">
        <v>999</v>
      </c>
      <c r="D7" s="4212" t="s">
        <v>922</v>
      </c>
      <c r="E7" s="4212" t="s">
        <v>345</v>
      </c>
      <c r="F7" s="4213" t="s">
        <v>255</v>
      </c>
      <c r="G7" s="4214"/>
    </row>
    <row r="8" spans="1:7">
      <c r="A8" s="4244"/>
      <c r="B8" s="4212"/>
      <c r="C8" s="4212"/>
      <c r="D8" s="4212"/>
      <c r="E8" s="4212"/>
      <c r="F8" s="220" t="s">
        <v>7</v>
      </c>
      <c r="G8" s="220" t="s">
        <v>3568</v>
      </c>
    </row>
    <row r="9" spans="1:7" ht="25.5">
      <c r="A9" s="685">
        <v>1</v>
      </c>
      <c r="B9" s="1028" t="s">
        <v>4049</v>
      </c>
      <c r="C9" s="1387">
        <v>100000</v>
      </c>
      <c r="D9" s="749">
        <v>1</v>
      </c>
      <c r="E9" s="601">
        <f>C9*D9</f>
        <v>100000</v>
      </c>
      <c r="F9" s="601">
        <f>E9</f>
        <v>100000</v>
      </c>
      <c r="G9" s="462"/>
    </row>
    <row r="10" spans="1:7" ht="25.5" hidden="1">
      <c r="A10" s="685">
        <f>A9+1</f>
        <v>2</v>
      </c>
      <c r="B10" s="1028" t="s">
        <v>4050</v>
      </c>
      <c r="C10" s="1029"/>
      <c r="D10" s="749"/>
      <c r="E10" s="601"/>
      <c r="F10" s="601">
        <f t="shared" ref="F10:F22" si="0">E10</f>
        <v>0</v>
      </c>
      <c r="G10" s="462"/>
    </row>
    <row r="11" spans="1:7" hidden="1">
      <c r="A11" s="685">
        <f>A10+1</f>
        <v>3</v>
      </c>
      <c r="B11" s="692"/>
      <c r="C11" s="750"/>
      <c r="D11" s="749"/>
      <c r="E11" s="601">
        <f>C11*D11</f>
        <v>0</v>
      </c>
      <c r="F11" s="601">
        <f t="shared" si="0"/>
        <v>0</v>
      </c>
      <c r="G11" s="478"/>
    </row>
    <row r="12" spans="1:7" hidden="1">
      <c r="A12" s="685">
        <f>A11+1</f>
        <v>4</v>
      </c>
      <c r="B12" s="692"/>
      <c r="C12" s="750"/>
      <c r="D12" s="749"/>
      <c r="E12" s="601">
        <f>C12*D12</f>
        <v>0</v>
      </c>
      <c r="F12" s="601">
        <f t="shared" si="0"/>
        <v>0</v>
      </c>
      <c r="G12" s="478"/>
    </row>
    <row r="13" spans="1:7" hidden="1">
      <c r="A13" s="685">
        <f t="shared" ref="A13:A22" si="1">A12+1</f>
        <v>5</v>
      </c>
      <c r="B13" s="692"/>
      <c r="C13" s="750"/>
      <c r="D13" s="749"/>
      <c r="E13" s="601">
        <f t="shared" ref="E13:E22" si="2">C13*D13</f>
        <v>0</v>
      </c>
      <c r="F13" s="601">
        <f t="shared" si="0"/>
        <v>0</v>
      </c>
      <c r="G13" s="478"/>
    </row>
    <row r="14" spans="1:7" hidden="1">
      <c r="A14" s="685">
        <f t="shared" si="1"/>
        <v>6</v>
      </c>
      <c r="B14" s="692"/>
      <c r="C14" s="750"/>
      <c r="D14" s="749"/>
      <c r="E14" s="601">
        <f t="shared" si="2"/>
        <v>0</v>
      </c>
      <c r="F14" s="601">
        <f t="shared" si="0"/>
        <v>0</v>
      </c>
      <c r="G14" s="478"/>
    </row>
    <row r="15" spans="1:7" hidden="1">
      <c r="A15" s="685">
        <f t="shared" si="1"/>
        <v>7</v>
      </c>
      <c r="B15" s="692"/>
      <c r="C15" s="750"/>
      <c r="D15" s="749"/>
      <c r="E15" s="601">
        <f t="shared" si="2"/>
        <v>0</v>
      </c>
      <c r="F15" s="601">
        <f t="shared" si="0"/>
        <v>0</v>
      </c>
      <c r="G15" s="478"/>
    </row>
    <row r="16" spans="1:7" hidden="1">
      <c r="A16" s="685">
        <f t="shared" si="1"/>
        <v>8</v>
      </c>
      <c r="B16" s="692"/>
      <c r="C16" s="750"/>
      <c r="D16" s="749"/>
      <c r="E16" s="601">
        <f t="shared" si="2"/>
        <v>0</v>
      </c>
      <c r="F16" s="601">
        <f t="shared" si="0"/>
        <v>0</v>
      </c>
      <c r="G16" s="478"/>
    </row>
    <row r="17" spans="1:8" hidden="1">
      <c r="A17" s="685">
        <f t="shared" si="1"/>
        <v>9</v>
      </c>
      <c r="B17" s="692"/>
      <c r="C17" s="750"/>
      <c r="D17" s="749"/>
      <c r="E17" s="601">
        <f t="shared" si="2"/>
        <v>0</v>
      </c>
      <c r="F17" s="601">
        <f t="shared" si="0"/>
        <v>0</v>
      </c>
      <c r="G17" s="478"/>
    </row>
    <row r="18" spans="1:8" hidden="1">
      <c r="A18" s="685">
        <f t="shared" si="1"/>
        <v>10</v>
      </c>
      <c r="B18" s="692"/>
      <c r="C18" s="750"/>
      <c r="D18" s="749"/>
      <c r="E18" s="601">
        <f t="shared" si="2"/>
        <v>0</v>
      </c>
      <c r="F18" s="601">
        <f t="shared" si="0"/>
        <v>0</v>
      </c>
      <c r="G18" s="478"/>
    </row>
    <row r="19" spans="1:8" hidden="1">
      <c r="A19" s="685">
        <f t="shared" si="1"/>
        <v>11</v>
      </c>
      <c r="B19" s="692"/>
      <c r="C19" s="750"/>
      <c r="D19" s="749"/>
      <c r="E19" s="601">
        <f t="shared" si="2"/>
        <v>0</v>
      </c>
      <c r="F19" s="601">
        <f t="shared" si="0"/>
        <v>0</v>
      </c>
      <c r="G19" s="478"/>
    </row>
    <row r="20" spans="1:8" hidden="1">
      <c r="A20" s="685">
        <f t="shared" si="1"/>
        <v>12</v>
      </c>
      <c r="B20" s="692"/>
      <c r="C20" s="750"/>
      <c r="D20" s="749"/>
      <c r="E20" s="601">
        <f t="shared" si="2"/>
        <v>0</v>
      </c>
      <c r="F20" s="601">
        <f t="shared" si="0"/>
        <v>0</v>
      </c>
      <c r="G20" s="478"/>
    </row>
    <row r="21" spans="1:8" hidden="1">
      <c r="A21" s="685">
        <f t="shared" si="1"/>
        <v>13</v>
      </c>
      <c r="B21" s="692"/>
      <c r="C21" s="750"/>
      <c r="D21" s="749"/>
      <c r="E21" s="601">
        <f t="shared" si="2"/>
        <v>0</v>
      </c>
      <c r="F21" s="601">
        <f t="shared" si="0"/>
        <v>0</v>
      </c>
      <c r="G21" s="478"/>
    </row>
    <row r="22" spans="1:8" hidden="1">
      <c r="A22" s="685">
        <f t="shared" si="1"/>
        <v>14</v>
      </c>
      <c r="B22" s="692"/>
      <c r="C22" s="750"/>
      <c r="D22" s="749"/>
      <c r="E22" s="601">
        <f t="shared" si="2"/>
        <v>0</v>
      </c>
      <c r="F22" s="601">
        <f t="shared" si="0"/>
        <v>0</v>
      </c>
      <c r="G22" s="478"/>
    </row>
    <row r="23" spans="1:8">
      <c r="A23" s="479"/>
      <c r="B23" s="480" t="s">
        <v>20</v>
      </c>
      <c r="C23" s="483"/>
      <c r="D23" s="481"/>
      <c r="E23" s="598">
        <f>SUM(E9:E22)</f>
        <v>100000</v>
      </c>
      <c r="F23" s="598">
        <f>SUM(F9:F22)</f>
        <v>100000</v>
      </c>
      <c r="G23" s="598">
        <f>SUM(G9:G22)</f>
        <v>0</v>
      </c>
    </row>
    <row r="24" spans="1:8" ht="25.35" customHeight="1">
      <c r="A24" s="484"/>
      <c r="B24" s="485"/>
      <c r="C24" s="486"/>
      <c r="D24" s="487"/>
      <c r="E24" s="486"/>
      <c r="F24" s="488"/>
      <c r="G24" s="486"/>
    </row>
    <row r="25" spans="1:8">
      <c r="A25" s="300" t="s">
        <v>329</v>
      </c>
      <c r="B25" s="514"/>
      <c r="C25" s="514"/>
      <c r="D25" s="1075"/>
      <c r="E25" s="1075" t="s">
        <v>448</v>
      </c>
      <c r="F25" s="293"/>
      <c r="H25" s="800"/>
    </row>
    <row r="26" spans="1:8">
      <c r="A26" s="300"/>
      <c r="B26" s="514"/>
      <c r="C26" s="514"/>
      <c r="D26" s="1075"/>
      <c r="E26" s="1075"/>
      <c r="F26" s="293"/>
      <c r="H26" s="800"/>
    </row>
    <row r="27" spans="1:8">
      <c r="A27" s="426" t="s">
        <v>330</v>
      </c>
      <c r="B27" s="514"/>
      <c r="C27" s="514"/>
      <c r="D27" s="1075"/>
      <c r="E27" s="1075" t="s">
        <v>369</v>
      </c>
      <c r="F27" s="293"/>
      <c r="H27" s="800"/>
    </row>
    <row r="28" spans="1:8">
      <c r="A28" s="426"/>
      <c r="B28" s="514"/>
      <c r="C28" s="514"/>
      <c r="D28" s="1075"/>
      <c r="E28" s="1075"/>
      <c r="F28" s="293"/>
      <c r="H28" s="800"/>
    </row>
    <row r="29" spans="1:8">
      <c r="A29" s="1073" t="s">
        <v>547</v>
      </c>
      <c r="B29" s="1076"/>
      <c r="C29" s="475"/>
      <c r="D29" s="1077"/>
      <c r="E29" s="1074" t="s">
        <v>374</v>
      </c>
      <c r="F29" s="293"/>
      <c r="H29" s="800"/>
    </row>
    <row r="30" spans="1:8">
      <c r="A30" s="1073" t="s">
        <v>548</v>
      </c>
      <c r="B30" s="1076"/>
      <c r="C30" s="475"/>
      <c r="D30" s="1077"/>
      <c r="E30" s="1074"/>
      <c r="F30" s="293"/>
      <c r="H30" s="800"/>
    </row>
    <row r="31" spans="1:8">
      <c r="A31" s="1073"/>
      <c r="B31" s="1076"/>
      <c r="C31" s="475"/>
      <c r="D31" s="1077"/>
      <c r="E31" s="1078"/>
      <c r="F31" s="293"/>
      <c r="H31" s="310"/>
    </row>
    <row r="32" spans="1:8">
      <c r="A32" s="1073" t="s">
        <v>375</v>
      </c>
      <c r="B32" s="1078"/>
      <c r="C32" s="1078"/>
      <c r="D32" s="1078"/>
      <c r="E32" s="1074" t="s">
        <v>376</v>
      </c>
      <c r="F32" s="293"/>
      <c r="H32" s="310"/>
    </row>
    <row r="33" spans="1:8">
      <c r="A33"/>
      <c r="B33"/>
      <c r="C33"/>
      <c r="D33"/>
      <c r="E33" s="580"/>
      <c r="F33"/>
      <c r="G33" s="580"/>
      <c r="H33" s="310"/>
    </row>
  </sheetData>
  <sheetProtection formatColumns="0" insertRows="0" deleteRows="0"/>
  <mergeCells count="6">
    <mergeCell ref="F7:G7"/>
    <mergeCell ref="A7:A8"/>
    <mergeCell ref="B7:B8"/>
    <mergeCell ref="C7:C8"/>
    <mergeCell ref="D7:D8"/>
    <mergeCell ref="E7:E8"/>
  </mergeCells>
  <pageMargins left="0.7" right="0.7" top="0.75" bottom="0.75" header="0.3" footer="0.3"/>
  <pageSetup paperSize="9" scale="94" fitToHeight="0" orientation="landscape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tabColor rgb="FFFF0000"/>
    <outlinePr summaryBelow="0" summaryRight="0"/>
    <pageSetUpPr fitToPage="1"/>
  </sheetPr>
  <dimension ref="A1:U27"/>
  <sheetViews>
    <sheetView workbookViewId="0">
      <selection activeCell="M35" sqref="M35"/>
    </sheetView>
  </sheetViews>
  <sheetFormatPr defaultColWidth="8.85546875" defaultRowHeight="15.75" outlineLevelRow="1"/>
  <cols>
    <col min="1" max="1" width="4.28515625" style="168" customWidth="1"/>
    <col min="2" max="2" width="31" style="168" customWidth="1"/>
    <col min="3" max="3" width="13.28515625" style="168" hidden="1" customWidth="1"/>
    <col min="4" max="4" width="12.140625" style="168" hidden="1" customWidth="1"/>
    <col min="5" max="7" width="12.85546875" style="168" hidden="1" customWidth="1"/>
    <col min="8" max="10" width="15.28515625" style="168" customWidth="1"/>
    <col min="11" max="11" width="13.7109375" style="168" customWidth="1"/>
    <col min="12" max="12" width="13.7109375" style="169" customWidth="1"/>
    <col min="13" max="13" width="38.7109375" style="168" customWidth="1"/>
    <col min="14" max="14" width="13.5703125" style="168" hidden="1" customWidth="1"/>
    <col min="15" max="15" width="14" style="168" hidden="1" customWidth="1"/>
    <col min="16" max="16" width="0" style="168" hidden="1" customWidth="1"/>
    <col min="17" max="18" width="12.42578125" style="168" hidden="1" customWidth="1"/>
    <col min="19" max="19" width="0" style="168" hidden="1" customWidth="1"/>
    <col min="20" max="16384" width="8.85546875" style="168"/>
  </cols>
  <sheetData>
    <row r="1" spans="1:21">
      <c r="K1" s="169"/>
      <c r="L1" s="671"/>
    </row>
    <row r="2" spans="1:21">
      <c r="A2" s="570" t="s">
        <v>4051</v>
      </c>
      <c r="M2" s="169" t="s">
        <v>559</v>
      </c>
      <c r="N2" s="169" t="s">
        <v>559</v>
      </c>
      <c r="O2" s="169" t="s">
        <v>561</v>
      </c>
    </row>
    <row r="3" spans="1:21">
      <c r="A3" s="45"/>
      <c r="B3" s="570"/>
      <c r="L3" s="751" t="s">
        <v>4052</v>
      </c>
      <c r="M3" s="752">
        <v>2405</v>
      </c>
      <c r="N3" s="752">
        <v>2405</v>
      </c>
      <c r="O3" s="752">
        <v>2525</v>
      </c>
    </row>
    <row r="4" spans="1:21" s="255" customFormat="1" ht="14.25" customHeight="1">
      <c r="A4" s="956" t="s">
        <v>4053</v>
      </c>
      <c r="B4" s="221"/>
      <c r="C4" s="221"/>
      <c r="D4" s="221"/>
      <c r="E4" s="221"/>
      <c r="F4" s="221"/>
      <c r="G4" s="221"/>
      <c r="H4" s="221"/>
      <c r="I4" s="221"/>
      <c r="J4" s="221"/>
      <c r="M4" s="221"/>
      <c r="N4" s="221"/>
      <c r="O4" s="221"/>
      <c r="P4" s="221"/>
    </row>
    <row r="5" spans="1:21" ht="13.15" customHeight="1">
      <c r="B5" s="386"/>
      <c r="C5" s="386"/>
      <c r="D5" s="386"/>
      <c r="E5" s="386"/>
      <c r="F5" s="386"/>
      <c r="G5" s="386"/>
      <c r="H5" s="386"/>
      <c r="I5" s="386"/>
      <c r="J5" s="386"/>
    </row>
    <row r="6" spans="1:21" ht="13.15" customHeight="1">
      <c r="A6" s="380"/>
      <c r="B6" s="380"/>
      <c r="C6" s="380"/>
      <c r="D6" s="380"/>
      <c r="E6" s="380"/>
      <c r="F6" s="380"/>
      <c r="G6" s="380"/>
      <c r="H6" s="380"/>
      <c r="I6" s="380"/>
      <c r="J6" s="380"/>
      <c r="K6" s="307" t="s">
        <v>254</v>
      </c>
    </row>
    <row r="7" spans="1:21" ht="51" customHeight="1">
      <c r="A7" s="381" t="s">
        <v>2</v>
      </c>
      <c r="B7" s="381" t="s">
        <v>478</v>
      </c>
      <c r="C7" s="381" t="s">
        <v>4054</v>
      </c>
      <c r="D7" s="381" t="s">
        <v>4055</v>
      </c>
      <c r="E7" s="381" t="s">
        <v>4056</v>
      </c>
      <c r="F7" s="3466" t="s">
        <v>4057</v>
      </c>
      <c r="G7" s="381" t="s">
        <v>4058</v>
      </c>
      <c r="H7" s="381" t="s">
        <v>320</v>
      </c>
      <c r="I7" s="381" t="s">
        <v>4059</v>
      </c>
      <c r="J7" s="381" t="s">
        <v>4060</v>
      </c>
      <c r="K7" s="381" t="s">
        <v>7</v>
      </c>
      <c r="L7" s="381" t="s">
        <v>8</v>
      </c>
      <c r="M7" s="381" t="s">
        <v>4061</v>
      </c>
      <c r="N7" s="381" t="s">
        <v>4060</v>
      </c>
      <c r="O7" s="381" t="s">
        <v>7</v>
      </c>
      <c r="P7" s="381" t="s">
        <v>8</v>
      </c>
      <c r="Q7" s="381" t="s">
        <v>4062</v>
      </c>
      <c r="R7" s="381" t="s">
        <v>7</v>
      </c>
      <c r="S7" s="381" t="s">
        <v>8</v>
      </c>
    </row>
    <row r="8" spans="1:21" s="186" customFormat="1" ht="31.5" outlineLevel="1">
      <c r="A8" s="258" t="s">
        <v>563</v>
      </c>
      <c r="B8" s="259" t="s">
        <v>435</v>
      </c>
      <c r="C8" s="257"/>
      <c r="D8" s="753">
        <f t="shared" ref="D8:D16" si="0">C8*$M$3</f>
        <v>0</v>
      </c>
      <c r="E8" s="259"/>
      <c r="F8" s="259"/>
      <c r="G8" s="259"/>
      <c r="H8" s="2167">
        <f>MROUND(3*M3,0.01)</f>
        <v>7215</v>
      </c>
      <c r="I8" s="2167">
        <v>2</v>
      </c>
      <c r="J8" s="2167">
        <f>H8*I8</f>
        <v>14430</v>
      </c>
      <c r="K8" s="2168">
        <f>J8</f>
        <v>14430</v>
      </c>
      <c r="L8" s="624"/>
      <c r="M8" s="257" t="s">
        <v>4063</v>
      </c>
      <c r="N8" s="2167">
        <f>N3*3*2</f>
        <v>14430</v>
      </c>
      <c r="O8" s="2168">
        <f>N8</f>
        <v>14430</v>
      </c>
      <c r="P8" s="624"/>
      <c r="Q8" s="2167">
        <f>O3*3*2</f>
        <v>15150</v>
      </c>
      <c r="R8" s="2168">
        <f>Q8</f>
        <v>15150</v>
      </c>
      <c r="S8" s="624"/>
      <c r="U8" s="3490" t="s">
        <v>4064</v>
      </c>
    </row>
    <row r="9" spans="1:21" s="186" customFormat="1" outlineLevel="1">
      <c r="A9" s="258"/>
      <c r="B9" s="3467" t="s">
        <v>4065</v>
      </c>
      <c r="C9" s="257"/>
      <c r="D9" s="753"/>
      <c r="E9" s="259"/>
      <c r="F9" s="259"/>
      <c r="G9" s="259"/>
      <c r="H9" s="2167"/>
      <c r="I9" s="2167"/>
      <c r="J9" s="3011">
        <f>J8</f>
        <v>14430</v>
      </c>
      <c r="K9" s="2169">
        <f>K8</f>
        <v>14430</v>
      </c>
      <c r="L9" s="624"/>
      <c r="M9" s="257"/>
      <c r="N9" s="3011">
        <f>N8</f>
        <v>14430</v>
      </c>
      <c r="O9" s="2169">
        <f>O8</f>
        <v>14430</v>
      </c>
      <c r="P9" s="624"/>
      <c r="Q9" s="3011">
        <f>Q8</f>
        <v>15150</v>
      </c>
      <c r="R9" s="2169">
        <f>R8</f>
        <v>15150</v>
      </c>
      <c r="S9" s="624"/>
    </row>
    <row r="10" spans="1:21" s="186" customFormat="1" ht="47.25" hidden="1" outlineLevel="1">
      <c r="A10" s="258" t="s">
        <v>570</v>
      </c>
      <c r="B10" s="259" t="s">
        <v>4066</v>
      </c>
      <c r="C10" s="257"/>
      <c r="D10" s="753">
        <f t="shared" si="0"/>
        <v>0</v>
      </c>
      <c r="E10" s="259"/>
      <c r="F10" s="259"/>
      <c r="G10" s="259"/>
      <c r="H10" s="2167">
        <f>ROUND(эмиссия!C80,0)</f>
        <v>5069</v>
      </c>
      <c r="I10" s="2167"/>
      <c r="J10" s="2167">
        <f>H10</f>
        <v>5069</v>
      </c>
      <c r="K10" s="2168">
        <f t="shared" ref="K10:K16" si="1">H10</f>
        <v>5069</v>
      </c>
      <c r="L10" s="624"/>
      <c r="M10" s="257" t="s">
        <v>4067</v>
      </c>
      <c r="N10" s="2167">
        <f>эмиссия!E80</f>
        <v>5373</v>
      </c>
      <c r="O10" s="2168">
        <f>N10</f>
        <v>5373</v>
      </c>
      <c r="P10" s="624"/>
      <c r="Q10" s="2167">
        <f>эмиссия!F80</f>
        <v>5641</v>
      </c>
      <c r="R10" s="2168">
        <f>Q10</f>
        <v>5641</v>
      </c>
      <c r="S10" s="624"/>
    </row>
    <row r="11" spans="1:21" s="186" customFormat="1" ht="47.25" hidden="1" outlineLevel="1">
      <c r="A11" s="258" t="s">
        <v>95</v>
      </c>
      <c r="B11" s="259" t="s">
        <v>4068</v>
      </c>
      <c r="C11" s="257"/>
      <c r="D11" s="753">
        <f t="shared" si="0"/>
        <v>0</v>
      </c>
      <c r="E11" s="259"/>
      <c r="F11" s="259"/>
      <c r="G11" s="259"/>
      <c r="H11" s="2167">
        <f>ROUND(эмиссия!C81,0)</f>
        <v>681</v>
      </c>
      <c r="I11" s="2167"/>
      <c r="J11" s="2167">
        <f>H11</f>
        <v>681</v>
      </c>
      <c r="K11" s="2168">
        <f t="shared" si="1"/>
        <v>681</v>
      </c>
      <c r="L11" s="624"/>
      <c r="M11" s="257" t="s">
        <v>4069</v>
      </c>
      <c r="N11" s="2167">
        <f>эмиссия!E81</f>
        <v>722</v>
      </c>
      <c r="O11" s="2168">
        <f>N11</f>
        <v>722</v>
      </c>
      <c r="P11" s="624"/>
      <c r="Q11" s="2167">
        <f>эмиссия!F81</f>
        <v>758</v>
      </c>
      <c r="R11" s="2168">
        <f>Q11</f>
        <v>758</v>
      </c>
      <c r="S11" s="624"/>
    </row>
    <row r="12" spans="1:21" s="230" customFormat="1" hidden="1" outlineLevel="1">
      <c r="A12" s="3468"/>
      <c r="B12" s="3467" t="s">
        <v>4070</v>
      </c>
      <c r="C12" s="234"/>
      <c r="D12" s="381"/>
      <c r="E12" s="382"/>
      <c r="F12" s="382"/>
      <c r="G12" s="382"/>
      <c r="H12" s="2170"/>
      <c r="I12" s="2170"/>
      <c r="J12" s="2170"/>
      <c r="K12" s="2169"/>
      <c r="L12" s="2171"/>
      <c r="M12" s="234"/>
      <c r="N12" s="2170">
        <f>N10+N11</f>
        <v>6095</v>
      </c>
      <c r="O12" s="2169">
        <f>O10+O11</f>
        <v>6095</v>
      </c>
      <c r="P12" s="2171"/>
      <c r="Q12" s="2170">
        <f>Q10+Q11</f>
        <v>6399</v>
      </c>
      <c r="R12" s="2169">
        <f>R10+R11</f>
        <v>6399</v>
      </c>
      <c r="S12" s="2171"/>
    </row>
    <row r="13" spans="1:21" s="186" customFormat="1" ht="47.25" hidden="1" outlineLevel="1">
      <c r="A13" s="258" t="s">
        <v>4071</v>
      </c>
      <c r="B13" s="259" t="s">
        <v>4072</v>
      </c>
      <c r="C13" s="257"/>
      <c r="D13" s="753">
        <f t="shared" si="0"/>
        <v>0</v>
      </c>
      <c r="E13" s="259"/>
      <c r="F13" s="259"/>
      <c r="G13" s="259"/>
      <c r="H13" s="2167">
        <f>1982/4</f>
        <v>495.5</v>
      </c>
      <c r="I13" s="2167"/>
      <c r="J13" s="2167"/>
      <c r="K13" s="2168">
        <f t="shared" si="1"/>
        <v>495.5</v>
      </c>
      <c r="L13" s="624"/>
      <c r="M13" s="257" t="s">
        <v>4073</v>
      </c>
      <c r="N13" s="2167"/>
      <c r="O13" s="2168">
        <f t="shared" ref="O13" si="2">L13</f>
        <v>0</v>
      </c>
      <c r="P13" s="624"/>
      <c r="Q13" s="2167"/>
      <c r="R13" s="2168">
        <f t="shared" ref="R13" si="3">O13</f>
        <v>0</v>
      </c>
      <c r="S13" s="624"/>
    </row>
    <row r="14" spans="1:21" s="230" customFormat="1" hidden="1" outlineLevel="1">
      <c r="A14" s="3468"/>
      <c r="B14" s="382" t="s">
        <v>4074</v>
      </c>
      <c r="C14" s="234"/>
      <c r="D14" s="381"/>
      <c r="E14" s="382"/>
      <c r="F14" s="382"/>
      <c r="G14" s="382"/>
      <c r="H14" s="2170"/>
      <c r="I14" s="2170"/>
      <c r="J14" s="2170"/>
      <c r="K14" s="2169">
        <f>K13</f>
        <v>495.5</v>
      </c>
      <c r="L14" s="2171"/>
      <c r="M14" s="234"/>
      <c r="N14" s="2170"/>
      <c r="O14" s="2169">
        <f>O13</f>
        <v>0</v>
      </c>
      <c r="P14" s="2171"/>
      <c r="Q14" s="2170"/>
      <c r="R14" s="2169">
        <f>R13</f>
        <v>0</v>
      </c>
      <c r="S14" s="2171"/>
    </row>
    <row r="15" spans="1:21" s="186" customFormat="1" ht="31.5" hidden="1" outlineLevel="1">
      <c r="A15" s="258" t="s">
        <v>4075</v>
      </c>
      <c r="B15" s="259" t="s">
        <v>4076</v>
      </c>
      <c r="C15" s="257"/>
      <c r="D15" s="753">
        <f t="shared" si="0"/>
        <v>0</v>
      </c>
      <c r="E15" s="259"/>
      <c r="F15" s="259"/>
      <c r="G15" s="259"/>
      <c r="H15" s="2167">
        <f>1982*0.5</f>
        <v>991</v>
      </c>
      <c r="I15" s="2167"/>
      <c r="J15" s="2167"/>
      <c r="K15" s="2168">
        <f t="shared" si="1"/>
        <v>991</v>
      </c>
      <c r="L15" s="624"/>
      <c r="M15" s="257" t="s">
        <v>4077</v>
      </c>
      <c r="N15" s="2167"/>
      <c r="O15" s="2168">
        <f t="shared" ref="O15:O16" si="4">L15</f>
        <v>0</v>
      </c>
      <c r="P15" s="624"/>
      <c r="Q15" s="2167"/>
      <c r="R15" s="2168">
        <f t="shared" ref="R15:R16" si="5">O15</f>
        <v>0</v>
      </c>
      <c r="S15" s="624"/>
    </row>
    <row r="16" spans="1:21" s="186" customFormat="1" ht="31.5" hidden="1" outlineLevel="1">
      <c r="A16" s="258" t="s">
        <v>4078</v>
      </c>
      <c r="B16" s="259" t="s">
        <v>4079</v>
      </c>
      <c r="C16" s="257"/>
      <c r="D16" s="753">
        <f t="shared" si="0"/>
        <v>0</v>
      </c>
      <c r="E16" s="259"/>
      <c r="F16" s="259"/>
      <c r="G16" s="259"/>
      <c r="H16" s="2167">
        <f>1982</f>
        <v>1982</v>
      </c>
      <c r="I16" s="2167"/>
      <c r="J16" s="2167"/>
      <c r="K16" s="2168">
        <f t="shared" si="1"/>
        <v>1982</v>
      </c>
      <c r="L16" s="624"/>
      <c r="M16" s="257" t="s">
        <v>4077</v>
      </c>
      <c r="N16" s="2167"/>
      <c r="O16" s="2168">
        <f t="shared" si="4"/>
        <v>0</v>
      </c>
      <c r="P16" s="624"/>
      <c r="Q16" s="2167"/>
      <c r="R16" s="2168">
        <f t="shared" si="5"/>
        <v>0</v>
      </c>
      <c r="S16" s="624"/>
    </row>
    <row r="17" spans="1:19" s="230" customFormat="1" hidden="1" outlineLevel="1">
      <c r="A17" s="3468"/>
      <c r="B17" s="382" t="s">
        <v>4080</v>
      </c>
      <c r="C17" s="234"/>
      <c r="D17" s="381"/>
      <c r="E17" s="382"/>
      <c r="F17" s="382"/>
      <c r="G17" s="382"/>
      <c r="H17" s="2170"/>
      <c r="I17" s="2170"/>
      <c r="J17" s="2170"/>
      <c r="K17" s="2169">
        <f>K15+K16</f>
        <v>2973</v>
      </c>
      <c r="L17" s="2171"/>
      <c r="M17" s="234"/>
      <c r="N17" s="2170"/>
      <c r="O17" s="2169">
        <f>O15+O16</f>
        <v>0</v>
      </c>
      <c r="P17" s="2171"/>
      <c r="Q17" s="2170"/>
      <c r="R17" s="2169">
        <f>R15+R16</f>
        <v>0</v>
      </c>
      <c r="S17" s="2171"/>
    </row>
    <row r="18" spans="1:19" s="186" customFormat="1">
      <c r="A18" s="381"/>
      <c r="B18" s="382" t="s">
        <v>3445</v>
      </c>
      <c r="C18" s="381"/>
      <c r="D18" s="381"/>
      <c r="E18" s="381"/>
      <c r="F18" s="381"/>
      <c r="G18" s="381"/>
      <c r="H18" s="2170"/>
      <c r="I18" s="2170"/>
      <c r="J18" s="2170">
        <f>J9+J12</f>
        <v>14430</v>
      </c>
      <c r="K18" s="2170">
        <f>K9+K12</f>
        <v>14430</v>
      </c>
      <c r="L18" s="625">
        <f>SUM(L8:L17)</f>
        <v>0</v>
      </c>
      <c r="M18" s="257"/>
      <c r="N18" s="2170">
        <f>N9+N12</f>
        <v>20525</v>
      </c>
      <c r="O18" s="2170">
        <f>O9+O12</f>
        <v>20525</v>
      </c>
      <c r="P18" s="625">
        <f>SUM(P8:P17)</f>
        <v>0</v>
      </c>
      <c r="Q18" s="2170">
        <f>Q9+Q12</f>
        <v>21549</v>
      </c>
      <c r="R18" s="2170">
        <f>R9+R12</f>
        <v>21549</v>
      </c>
      <c r="S18" s="625">
        <f>SUM(S8:S17)</f>
        <v>0</v>
      </c>
    </row>
    <row r="19" spans="1:19">
      <c r="H19" s="3469"/>
      <c r="I19" s="3469"/>
      <c r="J19" s="3469"/>
      <c r="K19" s="169"/>
      <c r="L19" s="168"/>
    </row>
    <row r="20" spans="1:19">
      <c r="A20" s="380"/>
      <c r="B20" s="386"/>
      <c r="C20" s="380"/>
      <c r="D20" s="380"/>
      <c r="E20" s="380"/>
      <c r="F20" s="380"/>
      <c r="G20" s="380"/>
      <c r="H20" s="383"/>
      <c r="I20" s="383"/>
      <c r="J20" s="383"/>
      <c r="K20" s="384"/>
      <c r="L20" s="384"/>
    </row>
    <row r="21" spans="1:19" s="1580" customFormat="1">
      <c r="A21" s="1645"/>
      <c r="B21" s="956" t="s">
        <v>368</v>
      </c>
      <c r="C21" s="2042"/>
      <c r="D21" s="2098"/>
      <c r="E21" s="2099"/>
      <c r="F21" s="2048"/>
      <c r="G21" s="2041"/>
    </row>
    <row r="22" spans="1:19" s="1580" customFormat="1">
      <c r="A22" s="1645"/>
      <c r="B22" s="956" t="s">
        <v>370</v>
      </c>
      <c r="C22" s="2042"/>
      <c r="D22" s="2098"/>
      <c r="E22" s="2099"/>
      <c r="F22" s="2048"/>
      <c r="K22" s="956" t="s">
        <v>371</v>
      </c>
    </row>
    <row r="23" spans="1:19" s="1580" customFormat="1">
      <c r="A23" s="1645"/>
      <c r="B23" s="956"/>
      <c r="C23" s="2042"/>
      <c r="D23" s="2098"/>
      <c r="E23" s="2098"/>
      <c r="F23" s="2048"/>
      <c r="K23" s="956"/>
    </row>
    <row r="24" spans="1:19" s="1580" customFormat="1">
      <c r="A24" s="1645"/>
      <c r="B24" s="956" t="s">
        <v>451</v>
      </c>
      <c r="C24" s="2042"/>
      <c r="D24" s="2098"/>
      <c r="E24" s="2098"/>
      <c r="F24" s="2048"/>
      <c r="K24" s="956" t="s">
        <v>452</v>
      </c>
    </row>
    <row r="25" spans="1:19" s="1580" customFormat="1">
      <c r="A25" s="1645"/>
      <c r="B25" s="956"/>
      <c r="C25" s="2042"/>
      <c r="D25" s="2098"/>
      <c r="E25" s="2098"/>
      <c r="F25" s="2048"/>
      <c r="K25" s="956"/>
    </row>
    <row r="26" spans="1:19" s="1580" customFormat="1">
      <c r="A26" s="1645"/>
      <c r="B26" s="956" t="s">
        <v>375</v>
      </c>
      <c r="C26" s="2100"/>
      <c r="D26" s="2101"/>
      <c r="E26" s="2101"/>
      <c r="F26" s="2048"/>
      <c r="K26" s="956" t="s">
        <v>377</v>
      </c>
    </row>
    <row r="27" spans="1:19">
      <c r="K27" s="956"/>
    </row>
  </sheetData>
  <pageMargins left="0.62992125984251968" right="0.23622047244094491" top="0.94488188976377963" bottom="0.35433070866141736" header="0.31496062992125984" footer="0.31496062992125984"/>
  <pageSetup paperSize="9" scale="79" orientation="landscape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Лист29">
    <tabColor rgb="FF7030A0"/>
    <pageSetUpPr fitToPage="1"/>
  </sheetPr>
  <dimension ref="A1:L30"/>
  <sheetViews>
    <sheetView workbookViewId="0">
      <selection activeCell="P27" sqref="P27"/>
    </sheetView>
  </sheetViews>
  <sheetFormatPr defaultColWidth="9.140625" defaultRowHeight="15.75"/>
  <cols>
    <col min="1" max="1" width="4.42578125" style="472" customWidth="1"/>
    <col min="2" max="2" width="20" style="472" customWidth="1"/>
    <col min="3" max="3" width="26" style="472" customWidth="1"/>
    <col min="4" max="5" width="12.140625" style="472" customWidth="1"/>
    <col min="6" max="6" width="14" style="472" customWidth="1"/>
    <col min="7" max="7" width="10.7109375" style="472" customWidth="1"/>
    <col min="8" max="8" width="12.5703125" style="472" customWidth="1"/>
    <col min="9" max="9" width="14.42578125" style="472" customWidth="1"/>
    <col min="10" max="10" width="11.28515625" style="472" customWidth="1"/>
    <col min="11" max="16384" width="9.140625" style="472"/>
  </cols>
  <sheetData>
    <row r="1" spans="1:12">
      <c r="K1" s="774" t="s">
        <v>267</v>
      </c>
      <c r="L1" s="775" t="s">
        <v>4081</v>
      </c>
    </row>
    <row r="2" spans="1:12" s="777" customFormat="1">
      <c r="A2" s="695" t="s">
        <v>4082</v>
      </c>
    </row>
    <row r="3" spans="1:12">
      <c r="A3" s="82"/>
    </row>
    <row r="4" spans="1:12" s="777" customFormat="1">
      <c r="A4" s="656" t="s">
        <v>3401</v>
      </c>
    </row>
    <row r="5" spans="1:12" ht="11.85" customHeight="1">
      <c r="A5" s="168" t="s">
        <v>990</v>
      </c>
      <c r="B5" s="375"/>
      <c r="C5" s="323"/>
      <c r="D5" s="323"/>
      <c r="E5" s="323"/>
      <c r="F5" s="323"/>
    </row>
    <row r="6" spans="1:12">
      <c r="A6" s="473"/>
      <c r="B6" s="473"/>
      <c r="C6" s="473"/>
      <c r="D6" s="473"/>
      <c r="E6" s="473"/>
      <c r="F6" s="473"/>
      <c r="G6" s="473"/>
      <c r="H6" s="473"/>
      <c r="I6" s="473"/>
      <c r="J6" s="473"/>
      <c r="L6" s="776" t="s">
        <v>254</v>
      </c>
    </row>
    <row r="7" spans="1:12" ht="15.6" customHeight="1">
      <c r="A7" s="4210" t="s">
        <v>34</v>
      </c>
      <c r="B7" s="4212" t="s">
        <v>478</v>
      </c>
      <c r="C7" s="4210" t="s">
        <v>4083</v>
      </c>
      <c r="D7" s="4258" t="s">
        <v>4084</v>
      </c>
      <c r="E7" s="4258"/>
      <c r="F7" s="4210" t="s">
        <v>4085</v>
      </c>
      <c r="G7" s="4210" t="s">
        <v>4086</v>
      </c>
      <c r="H7" s="4210" t="s">
        <v>4087</v>
      </c>
      <c r="I7" s="4210" t="s">
        <v>4088</v>
      </c>
      <c r="J7" s="4212" t="s">
        <v>345</v>
      </c>
      <c r="K7" s="4213" t="s">
        <v>255</v>
      </c>
      <c r="L7" s="4214"/>
    </row>
    <row r="8" spans="1:12" ht="48" customHeight="1">
      <c r="A8" s="4211"/>
      <c r="B8" s="4212"/>
      <c r="C8" s="4211"/>
      <c r="D8" s="256" t="s">
        <v>4089</v>
      </c>
      <c r="E8" s="256" t="s">
        <v>4090</v>
      </c>
      <c r="F8" s="4211"/>
      <c r="G8" s="4211"/>
      <c r="H8" s="4211"/>
      <c r="I8" s="4211"/>
      <c r="J8" s="4212"/>
      <c r="K8" s="220" t="s">
        <v>7</v>
      </c>
      <c r="L8" s="220" t="s">
        <v>3568</v>
      </c>
    </row>
    <row r="9" spans="1:12" ht="48" customHeight="1">
      <c r="A9" s="690">
        <v>1</v>
      </c>
      <c r="B9" s="686" t="s">
        <v>4091</v>
      </c>
      <c r="C9" s="686" t="s">
        <v>4092</v>
      </c>
      <c r="D9" s="686"/>
      <c r="E9" s="693" t="s">
        <v>3383</v>
      </c>
      <c r="F9" s="686"/>
      <c r="G9" s="778"/>
      <c r="H9" s="779"/>
      <c r="I9" s="778"/>
      <c r="J9" s="471">
        <f>G9*H9*I9</f>
        <v>0</v>
      </c>
      <c r="K9" s="780"/>
      <c r="L9" s="779"/>
    </row>
    <row r="10" spans="1:12" ht="31.5">
      <c r="A10" s="690">
        <v>2</v>
      </c>
      <c r="B10" s="686" t="s">
        <v>4091</v>
      </c>
      <c r="C10" s="686" t="s">
        <v>4093</v>
      </c>
      <c r="D10" s="693" t="s">
        <v>3383</v>
      </c>
      <c r="E10" s="686"/>
      <c r="F10" s="686"/>
      <c r="G10" s="778"/>
      <c r="H10" s="779"/>
      <c r="I10" s="778"/>
      <c r="J10" s="471">
        <f t="shared" ref="J10:J21" si="0">G10*H10*I10</f>
        <v>0</v>
      </c>
      <c r="K10" s="780"/>
      <c r="L10" s="779"/>
    </row>
    <row r="11" spans="1:12">
      <c r="A11" s="690">
        <v>3</v>
      </c>
      <c r="B11" s="686" t="s">
        <v>4094</v>
      </c>
      <c r="C11" s="686"/>
      <c r="D11" s="693"/>
      <c r="E11" s="686"/>
      <c r="F11" s="686"/>
      <c r="G11" s="778"/>
      <c r="H11" s="779"/>
      <c r="I11" s="778"/>
      <c r="J11" s="471">
        <f t="shared" si="0"/>
        <v>0</v>
      </c>
      <c r="K11" s="780"/>
      <c r="L11" s="779"/>
    </row>
    <row r="12" spans="1:12">
      <c r="A12" s="690">
        <v>4</v>
      </c>
      <c r="B12" s="686"/>
      <c r="C12" s="686"/>
      <c r="D12" s="693"/>
      <c r="E12" s="686"/>
      <c r="F12" s="686"/>
      <c r="G12" s="778"/>
      <c r="H12" s="779"/>
      <c r="I12" s="778"/>
      <c r="J12" s="471">
        <f t="shared" si="0"/>
        <v>0</v>
      </c>
      <c r="K12" s="780"/>
      <c r="L12" s="779"/>
    </row>
    <row r="13" spans="1:12">
      <c r="A13" s="690">
        <v>5</v>
      </c>
      <c r="B13" s="686"/>
      <c r="C13" s="686"/>
      <c r="D13" s="693"/>
      <c r="E13" s="686"/>
      <c r="F13" s="686"/>
      <c r="G13" s="778"/>
      <c r="H13" s="779"/>
      <c r="I13" s="778"/>
      <c r="J13" s="471">
        <f t="shared" si="0"/>
        <v>0</v>
      </c>
      <c r="K13" s="780"/>
      <c r="L13" s="779"/>
    </row>
    <row r="14" spans="1:12">
      <c r="A14" s="690">
        <v>6</v>
      </c>
      <c r="B14" s="686"/>
      <c r="C14" s="686"/>
      <c r="D14" s="693"/>
      <c r="E14" s="686"/>
      <c r="F14" s="686"/>
      <c r="G14" s="778"/>
      <c r="H14" s="779"/>
      <c r="I14" s="778"/>
      <c r="J14" s="471">
        <f t="shared" si="0"/>
        <v>0</v>
      </c>
      <c r="K14" s="780"/>
      <c r="L14" s="779"/>
    </row>
    <row r="15" spans="1:12">
      <c r="A15" s="690">
        <v>7</v>
      </c>
      <c r="B15" s="686"/>
      <c r="C15" s="686"/>
      <c r="D15" s="693"/>
      <c r="E15" s="686"/>
      <c r="F15" s="686"/>
      <c r="G15" s="778"/>
      <c r="H15" s="779"/>
      <c r="I15" s="778"/>
      <c r="J15" s="471">
        <f t="shared" si="0"/>
        <v>0</v>
      </c>
      <c r="K15" s="780"/>
      <c r="L15" s="779"/>
    </row>
    <row r="16" spans="1:12">
      <c r="A16" s="690">
        <v>8</v>
      </c>
      <c r="B16" s="686"/>
      <c r="C16" s="686"/>
      <c r="D16" s="693"/>
      <c r="E16" s="686"/>
      <c r="F16" s="686"/>
      <c r="G16" s="778"/>
      <c r="H16" s="779"/>
      <c r="I16" s="778"/>
      <c r="J16" s="471">
        <f t="shared" si="0"/>
        <v>0</v>
      </c>
      <c r="K16" s="780"/>
      <c r="L16" s="779"/>
    </row>
    <row r="17" spans="1:12">
      <c r="A17" s="690">
        <v>9</v>
      </c>
      <c r="B17" s="686"/>
      <c r="C17" s="686"/>
      <c r="D17" s="693"/>
      <c r="E17" s="686"/>
      <c r="F17" s="686"/>
      <c r="G17" s="778"/>
      <c r="H17" s="779"/>
      <c r="I17" s="778"/>
      <c r="J17" s="471">
        <f t="shared" si="0"/>
        <v>0</v>
      </c>
      <c r="K17" s="780"/>
      <c r="L17" s="779"/>
    </row>
    <row r="18" spans="1:12">
      <c r="A18" s="690">
        <v>10</v>
      </c>
      <c r="B18" s="686"/>
      <c r="C18" s="686"/>
      <c r="D18" s="693"/>
      <c r="E18" s="686"/>
      <c r="F18" s="686"/>
      <c r="G18" s="778"/>
      <c r="H18" s="779"/>
      <c r="I18" s="778"/>
      <c r="J18" s="471">
        <f t="shared" si="0"/>
        <v>0</v>
      </c>
      <c r="K18" s="780"/>
      <c r="L18" s="779"/>
    </row>
    <row r="19" spans="1:12">
      <c r="A19" s="690">
        <v>11</v>
      </c>
      <c r="B19" s="686"/>
      <c r="C19" s="686"/>
      <c r="D19" s="693"/>
      <c r="E19" s="686"/>
      <c r="F19" s="686"/>
      <c r="G19" s="778"/>
      <c r="H19" s="779"/>
      <c r="I19" s="778"/>
      <c r="J19" s="471">
        <f t="shared" si="0"/>
        <v>0</v>
      </c>
      <c r="K19" s="780"/>
      <c r="L19" s="779"/>
    </row>
    <row r="20" spans="1:12">
      <c r="A20" s="690">
        <v>12</v>
      </c>
      <c r="B20" s="686"/>
      <c r="C20" s="686"/>
      <c r="D20" s="693"/>
      <c r="E20" s="686"/>
      <c r="F20" s="686"/>
      <c r="G20" s="778"/>
      <c r="H20" s="779"/>
      <c r="I20" s="778"/>
      <c r="J20" s="471">
        <f t="shared" si="0"/>
        <v>0</v>
      </c>
      <c r="K20" s="780"/>
      <c r="L20" s="779"/>
    </row>
    <row r="21" spans="1:12">
      <c r="A21" s="690">
        <v>13</v>
      </c>
      <c r="B21" s="686"/>
      <c r="C21" s="686"/>
      <c r="D21" s="693"/>
      <c r="E21" s="686"/>
      <c r="F21" s="686"/>
      <c r="G21" s="778"/>
      <c r="H21" s="779"/>
      <c r="I21" s="778"/>
      <c r="J21" s="471">
        <f t="shared" si="0"/>
        <v>0</v>
      </c>
      <c r="K21" s="780"/>
      <c r="L21" s="779"/>
    </row>
    <row r="22" spans="1:12">
      <c r="A22" s="474"/>
      <c r="B22" s="474" t="s">
        <v>867</v>
      </c>
      <c r="C22" s="474"/>
      <c r="D22" s="262"/>
      <c r="E22" s="262"/>
      <c r="F22" s="262"/>
      <c r="G22" s="262"/>
      <c r="H22" s="262"/>
      <c r="I22" s="262"/>
      <c r="J22" s="262">
        <f>SUM(J9:J21)</f>
        <v>0</v>
      </c>
      <c r="K22" s="262">
        <f>SUM(K9:K21)</f>
        <v>0</v>
      </c>
      <c r="L22" s="262">
        <f>SUM(L9:L21)</f>
        <v>0</v>
      </c>
    </row>
    <row r="25" spans="1:12">
      <c r="A25" s="300" t="s">
        <v>329</v>
      </c>
      <c r="E25" s="777"/>
      <c r="F25" s="777"/>
      <c r="G25" s="777"/>
      <c r="H25" s="777"/>
      <c r="I25" s="777"/>
      <c r="J25" s="777"/>
      <c r="K25" s="777"/>
      <c r="L25" s="777"/>
    </row>
    <row r="26" spans="1:12">
      <c r="A26" s="300"/>
      <c r="E26" s="777"/>
      <c r="F26" s="777"/>
      <c r="G26" s="777"/>
      <c r="H26" s="777"/>
      <c r="I26" s="777"/>
      <c r="J26" s="777"/>
      <c r="K26" s="777"/>
      <c r="L26" s="777"/>
    </row>
    <row r="27" spans="1:12">
      <c r="A27" s="426" t="s">
        <v>330</v>
      </c>
      <c r="E27" s="777"/>
      <c r="F27" s="777"/>
      <c r="G27" s="777"/>
      <c r="H27" s="777"/>
      <c r="I27" s="777"/>
      <c r="J27" s="777"/>
      <c r="K27" s="777"/>
      <c r="L27" s="777"/>
    </row>
    <row r="28" spans="1:12">
      <c r="A28" s="426" t="s">
        <v>332</v>
      </c>
      <c r="E28" s="777"/>
      <c r="F28" s="777"/>
      <c r="G28" s="777"/>
      <c r="H28" s="777"/>
      <c r="I28" s="777"/>
      <c r="J28" s="777"/>
      <c r="K28" s="777"/>
      <c r="L28" s="777"/>
    </row>
    <row r="29" spans="1:12">
      <c r="A29" s="427"/>
      <c r="E29" s="777"/>
      <c r="F29" s="777"/>
      <c r="G29" s="777"/>
      <c r="H29" s="777"/>
      <c r="I29" s="777"/>
      <c r="J29" s="777"/>
      <c r="K29" s="777"/>
      <c r="L29" s="777"/>
    </row>
    <row r="30" spans="1:12">
      <c r="A30" s="426" t="s">
        <v>333</v>
      </c>
      <c r="E30" s="777"/>
      <c r="F30" s="777"/>
      <c r="G30" s="777"/>
      <c r="H30" s="777"/>
      <c r="I30" s="777"/>
      <c r="J30" s="777"/>
      <c r="K30" s="777"/>
      <c r="L30" s="777"/>
    </row>
  </sheetData>
  <sheetProtection password="9690" sheet="1" formatColumns="0" insertRows="0" deleteRows="0"/>
  <mergeCells count="10">
    <mergeCell ref="I7:I8"/>
    <mergeCell ref="J7:J8"/>
    <mergeCell ref="K7:L7"/>
    <mergeCell ref="A7:A8"/>
    <mergeCell ref="B7:B8"/>
    <mergeCell ref="C7:C8"/>
    <mergeCell ref="H7:H8"/>
    <mergeCell ref="F7:F8"/>
    <mergeCell ref="D7:E7"/>
    <mergeCell ref="G7:G8"/>
  </mergeCells>
  <pageMargins left="0.7" right="0.7" top="0.75" bottom="0.75" header="0.3" footer="0.3"/>
  <pageSetup paperSize="9" scale="84" fitToHeight="0" orientation="landscape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Лист30">
    <tabColor rgb="FF7030A0"/>
  </sheetPr>
  <dimension ref="A1:O38"/>
  <sheetViews>
    <sheetView workbookViewId="0">
      <selection activeCell="H9" sqref="H9:H30"/>
    </sheetView>
  </sheetViews>
  <sheetFormatPr defaultColWidth="9.140625" defaultRowHeight="15.75"/>
  <cols>
    <col min="1" max="1" width="4.5703125" style="419" customWidth="1"/>
    <col min="2" max="2" width="11" style="419" customWidth="1"/>
    <col min="3" max="4" width="20" style="419" customWidth="1"/>
    <col min="5" max="5" width="13.140625" style="419" customWidth="1"/>
    <col min="6" max="6" width="9.5703125" style="419" customWidth="1"/>
    <col min="7" max="7" width="12.7109375" style="419" customWidth="1"/>
    <col min="8" max="9" width="10" style="419" customWidth="1"/>
    <col min="10" max="16384" width="9.140625" style="419"/>
  </cols>
  <sheetData>
    <row r="1" spans="1:10">
      <c r="H1" s="759" t="s">
        <v>267</v>
      </c>
      <c r="I1" s="671" t="s">
        <v>647</v>
      </c>
    </row>
    <row r="2" spans="1:10" s="657" customFormat="1">
      <c r="A2" s="695" t="s">
        <v>4095</v>
      </c>
      <c r="B2" s="695"/>
    </row>
    <row r="3" spans="1:10">
      <c r="A3" s="420"/>
      <c r="B3" s="420"/>
    </row>
    <row r="4" spans="1:10" s="657" customFormat="1">
      <c r="A4" s="656" t="s">
        <v>3401</v>
      </c>
      <c r="B4" s="656"/>
    </row>
    <row r="5" spans="1:10">
      <c r="A5" s="168" t="s">
        <v>990</v>
      </c>
      <c r="B5" s="168"/>
      <c r="C5" s="458"/>
      <c r="D5" s="458"/>
      <c r="E5" s="459"/>
      <c r="F5" s="459"/>
    </row>
    <row r="6" spans="1:10">
      <c r="A6" s="460"/>
      <c r="B6" s="460"/>
      <c r="C6" s="460"/>
      <c r="D6" s="460"/>
      <c r="E6" s="460"/>
      <c r="F6" s="460"/>
      <c r="G6" s="460"/>
      <c r="H6" s="460"/>
      <c r="I6" s="747" t="s">
        <v>254</v>
      </c>
      <c r="J6" s="460"/>
    </row>
    <row r="7" spans="1:10" ht="16.5" customHeight="1">
      <c r="A7" s="4210" t="s">
        <v>34</v>
      </c>
      <c r="B7" s="4212" t="s">
        <v>4096</v>
      </c>
      <c r="C7" s="4212" t="s">
        <v>478</v>
      </c>
      <c r="D7" s="4262" t="s">
        <v>4097</v>
      </c>
      <c r="E7" s="4262" t="s">
        <v>4098</v>
      </c>
      <c r="F7" s="4262" t="s">
        <v>4099</v>
      </c>
      <c r="G7" s="4259" t="s">
        <v>345</v>
      </c>
      <c r="H7" s="4261" t="s">
        <v>3564</v>
      </c>
      <c r="I7" s="4261"/>
    </row>
    <row r="8" spans="1:10" ht="39" customHeight="1">
      <c r="A8" s="4211"/>
      <c r="B8" s="4212"/>
      <c r="C8" s="4212"/>
      <c r="D8" s="4263"/>
      <c r="E8" s="4263"/>
      <c r="F8" s="4263"/>
      <c r="G8" s="4260"/>
      <c r="H8" s="220" t="s">
        <v>7</v>
      </c>
      <c r="I8" s="220" t="s">
        <v>3568</v>
      </c>
    </row>
    <row r="9" spans="1:10" ht="13.35" customHeight="1">
      <c r="A9" s="685">
        <v>1</v>
      </c>
      <c r="B9" s="685"/>
      <c r="C9" s="692" t="s">
        <v>4030</v>
      </c>
      <c r="D9" s="749"/>
      <c r="E9" s="692"/>
      <c r="F9" s="750"/>
      <c r="G9" s="594">
        <f>E9*F9</f>
        <v>0</v>
      </c>
      <c r="H9" s="760">
        <f>G9</f>
        <v>0</v>
      </c>
      <c r="I9" s="478"/>
    </row>
    <row r="10" spans="1:10" ht="13.35" customHeight="1">
      <c r="A10" s="685"/>
      <c r="B10" s="685"/>
      <c r="C10" s="692"/>
      <c r="D10" s="749"/>
      <c r="E10" s="692"/>
      <c r="F10" s="750"/>
      <c r="G10" s="594">
        <f t="shared" ref="G10:G30" si="0">E10*F10</f>
        <v>0</v>
      </c>
      <c r="H10" s="760">
        <f t="shared" ref="H10:H30" si="1">G10</f>
        <v>0</v>
      </c>
      <c r="I10" s="478"/>
    </row>
    <row r="11" spans="1:10" ht="13.35" customHeight="1">
      <c r="A11" s="685"/>
      <c r="B11" s="685"/>
      <c r="C11" s="692"/>
      <c r="D11" s="749"/>
      <c r="E11" s="692"/>
      <c r="F11" s="750"/>
      <c r="G11" s="594">
        <f t="shared" si="0"/>
        <v>0</v>
      </c>
      <c r="H11" s="760">
        <f t="shared" si="1"/>
        <v>0</v>
      </c>
      <c r="I11" s="478"/>
    </row>
    <row r="12" spans="1:10" ht="13.35" customHeight="1">
      <c r="A12" s="685"/>
      <c r="B12" s="685"/>
      <c r="C12" s="692"/>
      <c r="D12" s="749"/>
      <c r="E12" s="692"/>
      <c r="F12" s="750"/>
      <c r="G12" s="594">
        <f t="shared" si="0"/>
        <v>0</v>
      </c>
      <c r="H12" s="760">
        <f t="shared" si="1"/>
        <v>0</v>
      </c>
      <c r="I12" s="478"/>
    </row>
    <row r="13" spans="1:10" ht="13.35" customHeight="1">
      <c r="A13" s="685"/>
      <c r="B13" s="685"/>
      <c r="C13" s="692"/>
      <c r="D13" s="749"/>
      <c r="E13" s="692"/>
      <c r="F13" s="750"/>
      <c r="G13" s="594">
        <f t="shared" si="0"/>
        <v>0</v>
      </c>
      <c r="H13" s="760">
        <f t="shared" si="1"/>
        <v>0</v>
      </c>
      <c r="I13" s="478"/>
    </row>
    <row r="14" spans="1:10" ht="13.35" customHeight="1">
      <c r="A14" s="685"/>
      <c r="B14" s="685"/>
      <c r="C14" s="692"/>
      <c r="D14" s="749"/>
      <c r="E14" s="692"/>
      <c r="F14" s="750"/>
      <c r="G14" s="594">
        <f t="shared" si="0"/>
        <v>0</v>
      </c>
      <c r="H14" s="760">
        <f t="shared" si="1"/>
        <v>0</v>
      </c>
      <c r="I14" s="478"/>
    </row>
    <row r="15" spans="1:10" ht="13.35" customHeight="1">
      <c r="A15" s="685"/>
      <c r="B15" s="685"/>
      <c r="C15" s="692"/>
      <c r="D15" s="749"/>
      <c r="E15" s="692"/>
      <c r="F15" s="750"/>
      <c r="G15" s="594">
        <f t="shared" si="0"/>
        <v>0</v>
      </c>
      <c r="H15" s="760">
        <f t="shared" si="1"/>
        <v>0</v>
      </c>
      <c r="I15" s="478"/>
    </row>
    <row r="16" spans="1:10" ht="13.35" customHeight="1">
      <c r="A16" s="685"/>
      <c r="B16" s="685"/>
      <c r="C16" s="692"/>
      <c r="D16" s="749"/>
      <c r="E16" s="692"/>
      <c r="F16" s="750"/>
      <c r="G16" s="594">
        <f t="shared" si="0"/>
        <v>0</v>
      </c>
      <c r="H16" s="760">
        <f t="shared" si="1"/>
        <v>0</v>
      </c>
      <c r="I16" s="478"/>
    </row>
    <row r="17" spans="1:15" ht="13.35" customHeight="1">
      <c r="A17" s="685"/>
      <c r="B17" s="685"/>
      <c r="C17" s="692"/>
      <c r="D17" s="749"/>
      <c r="E17" s="692"/>
      <c r="F17" s="750"/>
      <c r="G17" s="594">
        <f t="shared" si="0"/>
        <v>0</v>
      </c>
      <c r="H17" s="760">
        <f t="shared" si="1"/>
        <v>0</v>
      </c>
      <c r="I17" s="478"/>
    </row>
    <row r="18" spans="1:15" ht="13.35" customHeight="1">
      <c r="A18" s="685"/>
      <c r="B18" s="685"/>
      <c r="C18" s="692"/>
      <c r="D18" s="749"/>
      <c r="E18" s="692"/>
      <c r="F18" s="750"/>
      <c r="G18" s="594">
        <f t="shared" si="0"/>
        <v>0</v>
      </c>
      <c r="H18" s="760">
        <f t="shared" si="1"/>
        <v>0</v>
      </c>
      <c r="I18" s="478"/>
    </row>
    <row r="19" spans="1:15" ht="13.35" customHeight="1">
      <c r="A19" s="685"/>
      <c r="B19" s="685"/>
      <c r="C19" s="692"/>
      <c r="D19" s="749"/>
      <c r="E19" s="692"/>
      <c r="F19" s="750"/>
      <c r="G19" s="594">
        <f t="shared" si="0"/>
        <v>0</v>
      </c>
      <c r="H19" s="760">
        <f t="shared" si="1"/>
        <v>0</v>
      </c>
      <c r="I19" s="478"/>
    </row>
    <row r="20" spans="1:15" ht="13.35" customHeight="1">
      <c r="A20" s="685"/>
      <c r="B20" s="685"/>
      <c r="C20" s="692"/>
      <c r="D20" s="749"/>
      <c r="E20" s="692"/>
      <c r="F20" s="750"/>
      <c r="G20" s="594">
        <f t="shared" si="0"/>
        <v>0</v>
      </c>
      <c r="H20" s="760">
        <f t="shared" si="1"/>
        <v>0</v>
      </c>
      <c r="I20" s="478"/>
    </row>
    <row r="21" spans="1:15" ht="13.35" customHeight="1">
      <c r="A21" s="685"/>
      <c r="B21" s="685"/>
      <c r="C21" s="692"/>
      <c r="D21" s="749"/>
      <c r="E21" s="692"/>
      <c r="F21" s="750"/>
      <c r="G21" s="594">
        <f t="shared" si="0"/>
        <v>0</v>
      </c>
      <c r="H21" s="760">
        <f t="shared" si="1"/>
        <v>0</v>
      </c>
      <c r="I21" s="478"/>
    </row>
    <row r="22" spans="1:15" ht="13.35" customHeight="1">
      <c r="A22" s="685"/>
      <c r="B22" s="685"/>
      <c r="C22" s="692"/>
      <c r="D22" s="749"/>
      <c r="E22" s="692"/>
      <c r="F22" s="750"/>
      <c r="G22" s="594">
        <f t="shared" si="0"/>
        <v>0</v>
      </c>
      <c r="H22" s="760">
        <f t="shared" si="1"/>
        <v>0</v>
      </c>
      <c r="I22" s="478"/>
    </row>
    <row r="23" spans="1:15" ht="13.35" customHeight="1">
      <c r="A23" s="685"/>
      <c r="B23" s="685"/>
      <c r="C23" s="692"/>
      <c r="D23" s="749"/>
      <c r="E23" s="692"/>
      <c r="F23" s="750"/>
      <c r="G23" s="594">
        <f t="shared" si="0"/>
        <v>0</v>
      </c>
      <c r="H23" s="760">
        <f t="shared" si="1"/>
        <v>0</v>
      </c>
      <c r="I23" s="478"/>
    </row>
    <row r="24" spans="1:15" ht="13.35" customHeight="1">
      <c r="A24" s="685"/>
      <c r="B24" s="685"/>
      <c r="C24" s="692"/>
      <c r="D24" s="749"/>
      <c r="E24" s="692"/>
      <c r="F24" s="750"/>
      <c r="G24" s="594">
        <f t="shared" si="0"/>
        <v>0</v>
      </c>
      <c r="H24" s="760">
        <f t="shared" si="1"/>
        <v>0</v>
      </c>
      <c r="I24" s="478"/>
    </row>
    <row r="25" spans="1:15" ht="13.35" customHeight="1">
      <c r="A25" s="685"/>
      <c r="B25" s="685"/>
      <c r="C25" s="692"/>
      <c r="D25" s="749"/>
      <c r="E25" s="692"/>
      <c r="F25" s="750"/>
      <c r="G25" s="594">
        <f t="shared" si="0"/>
        <v>0</v>
      </c>
      <c r="H25" s="760">
        <f t="shared" si="1"/>
        <v>0</v>
      </c>
      <c r="I25" s="478"/>
    </row>
    <row r="26" spans="1:15" ht="13.35" customHeight="1">
      <c r="A26" s="685"/>
      <c r="B26" s="685"/>
      <c r="C26" s="692"/>
      <c r="D26" s="749"/>
      <c r="E26" s="692"/>
      <c r="F26" s="750"/>
      <c r="G26" s="594">
        <f t="shared" si="0"/>
        <v>0</v>
      </c>
      <c r="H26" s="760">
        <f t="shared" si="1"/>
        <v>0</v>
      </c>
      <c r="I26" s="478"/>
    </row>
    <row r="27" spans="1:15" ht="13.35" customHeight="1">
      <c r="A27" s="685"/>
      <c r="B27" s="685"/>
      <c r="C27" s="692"/>
      <c r="D27" s="749"/>
      <c r="E27" s="692"/>
      <c r="F27" s="750"/>
      <c r="G27" s="594">
        <f t="shared" si="0"/>
        <v>0</v>
      </c>
      <c r="H27" s="760">
        <f t="shared" si="1"/>
        <v>0</v>
      </c>
      <c r="I27" s="478"/>
    </row>
    <row r="28" spans="1:15" ht="13.35" customHeight="1">
      <c r="A28" s="685"/>
      <c r="B28" s="685"/>
      <c r="C28" s="692"/>
      <c r="D28" s="749"/>
      <c r="E28" s="692"/>
      <c r="F28" s="750"/>
      <c r="G28" s="594">
        <f t="shared" si="0"/>
        <v>0</v>
      </c>
      <c r="H28" s="760">
        <f t="shared" si="1"/>
        <v>0</v>
      </c>
      <c r="I28" s="478"/>
    </row>
    <row r="29" spans="1:15" ht="13.35" customHeight="1">
      <c r="A29" s="685"/>
      <c r="B29" s="685"/>
      <c r="C29" s="692"/>
      <c r="D29" s="749"/>
      <c r="E29" s="692"/>
      <c r="F29" s="750"/>
      <c r="G29" s="594">
        <f t="shared" si="0"/>
        <v>0</v>
      </c>
      <c r="H29" s="760">
        <f t="shared" si="1"/>
        <v>0</v>
      </c>
      <c r="I29" s="478"/>
    </row>
    <row r="30" spans="1:15" ht="13.35" customHeight="1">
      <c r="A30" s="685"/>
      <c r="B30" s="685"/>
      <c r="C30" s="692"/>
      <c r="D30" s="749"/>
      <c r="E30" s="692"/>
      <c r="F30" s="750"/>
      <c r="G30" s="594">
        <f t="shared" si="0"/>
        <v>0</v>
      </c>
      <c r="H30" s="760">
        <f t="shared" si="1"/>
        <v>0</v>
      </c>
      <c r="I30" s="478"/>
    </row>
    <row r="31" spans="1:15" ht="13.35" customHeight="1">
      <c r="A31" s="479"/>
      <c r="B31" s="479"/>
      <c r="C31" s="480" t="s">
        <v>20</v>
      </c>
      <c r="D31" s="481"/>
      <c r="E31" s="482"/>
      <c r="F31" s="483"/>
      <c r="G31" s="593">
        <f>SUM(G9:G30)</f>
        <v>0</v>
      </c>
      <c r="H31" s="593">
        <f>SUM(H9:H30)</f>
        <v>0</v>
      </c>
      <c r="I31" s="593">
        <f>SUM(I9:I30)</f>
        <v>0</v>
      </c>
    </row>
    <row r="32" spans="1:15">
      <c r="A32" s="475"/>
      <c r="B32" s="475"/>
      <c r="C32" s="475"/>
      <c r="D32" s="475"/>
      <c r="E32" s="475"/>
      <c r="F32" s="475"/>
      <c r="G32" s="475"/>
      <c r="H32" s="475"/>
      <c r="I32" s="475"/>
      <c r="J32" s="475"/>
      <c r="K32" s="475"/>
      <c r="L32" s="475"/>
      <c r="M32" s="475"/>
      <c r="N32" s="475"/>
      <c r="O32" s="475"/>
    </row>
    <row r="33" spans="1:9">
      <c r="A33" s="300" t="s">
        <v>329</v>
      </c>
      <c r="B33" s="300"/>
      <c r="E33" s="657"/>
      <c r="F33" s="657"/>
      <c r="G33" s="657"/>
      <c r="H33" s="657"/>
      <c r="I33" s="657"/>
    </row>
    <row r="34" spans="1:9">
      <c r="A34" s="300"/>
      <c r="B34" s="300"/>
      <c r="E34" s="657"/>
      <c r="F34" s="657"/>
      <c r="G34" s="657"/>
      <c r="H34" s="657"/>
      <c r="I34" s="657"/>
    </row>
    <row r="35" spans="1:9">
      <c r="A35" s="426" t="s">
        <v>330</v>
      </c>
      <c r="B35" s="426"/>
      <c r="E35" s="657"/>
      <c r="F35" s="657"/>
      <c r="G35" s="657"/>
      <c r="H35" s="657"/>
      <c r="I35" s="657"/>
    </row>
    <row r="36" spans="1:9">
      <c r="A36" s="426" t="s">
        <v>332</v>
      </c>
      <c r="B36" s="426"/>
      <c r="E36" s="657"/>
      <c r="F36" s="657"/>
      <c r="G36" s="657"/>
      <c r="H36" s="657"/>
      <c r="I36" s="657"/>
    </row>
    <row r="37" spans="1:9">
      <c r="A37" s="427"/>
      <c r="B37" s="427"/>
      <c r="E37" s="657"/>
      <c r="F37" s="657"/>
      <c r="G37" s="657"/>
      <c r="H37" s="657"/>
      <c r="I37" s="657"/>
    </row>
    <row r="38" spans="1:9">
      <c r="A38" s="426" t="s">
        <v>333</v>
      </c>
      <c r="B38" s="426"/>
      <c r="E38" s="657"/>
      <c r="F38" s="657"/>
      <c r="G38" s="657"/>
      <c r="H38" s="657"/>
      <c r="I38" s="657"/>
    </row>
  </sheetData>
  <sheetProtection password="9690" sheet="1" formatColumns="0" insertRows="0" deleteRows="0"/>
  <mergeCells count="8">
    <mergeCell ref="G7:G8"/>
    <mergeCell ref="H7:I7"/>
    <mergeCell ref="A7:A8"/>
    <mergeCell ref="C7:C8"/>
    <mergeCell ref="E7:E8"/>
    <mergeCell ref="F7:F8"/>
    <mergeCell ref="D7:D8"/>
    <mergeCell ref="B7:B8"/>
  </mergeCells>
  <pageMargins left="0.7" right="0.7" top="0.75" bottom="0.75" header="0.3" footer="0.3"/>
  <pageSetup paperSize="9" orientation="landscape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Лист32">
    <tabColor rgb="FF7030A0"/>
    <pageSetUpPr fitToPage="1"/>
  </sheetPr>
  <dimension ref="A1:I30"/>
  <sheetViews>
    <sheetView workbookViewId="0">
      <selection activeCell="B39" sqref="B39"/>
    </sheetView>
  </sheetViews>
  <sheetFormatPr defaultColWidth="9.140625" defaultRowHeight="15.75"/>
  <cols>
    <col min="1" max="1" width="4.5703125" style="463" customWidth="1"/>
    <col min="2" max="2" width="20" style="463" customWidth="1"/>
    <col min="3" max="3" width="13.28515625" style="463" customWidth="1"/>
    <col min="4" max="4" width="12.5703125" style="463" customWidth="1"/>
    <col min="5" max="5" width="11.140625" style="463" customWidth="1"/>
    <col min="6" max="6" width="10.28515625" style="463" customWidth="1"/>
    <col min="7" max="8" width="12" style="463" customWidth="1"/>
    <col min="9" max="16384" width="9.140625" style="463"/>
  </cols>
  <sheetData>
    <row r="1" spans="1:9">
      <c r="G1" s="463" t="s">
        <v>267</v>
      </c>
      <c r="H1" s="671" t="s">
        <v>4100</v>
      </c>
    </row>
    <row r="2" spans="1:9" s="783" customFormat="1">
      <c r="A2" s="782" t="s">
        <v>4101</v>
      </c>
    </row>
    <row r="3" spans="1:9">
      <c r="A3" s="443"/>
    </row>
    <row r="4" spans="1:9" s="783" customFormat="1">
      <c r="A4" s="784" t="s">
        <v>3401</v>
      </c>
    </row>
    <row r="5" spans="1:9" ht="11.85" customHeight="1">
      <c r="A5" s="251" t="s">
        <v>990</v>
      </c>
      <c r="B5" s="464"/>
      <c r="C5" s="465"/>
      <c r="D5" s="465"/>
    </row>
    <row r="6" spans="1:9">
      <c r="A6" s="466"/>
      <c r="B6" s="466"/>
      <c r="C6" s="466"/>
      <c r="D6" s="466"/>
      <c r="E6" s="466"/>
      <c r="F6" s="466"/>
      <c r="G6" s="466"/>
      <c r="H6" s="781" t="s">
        <v>254</v>
      </c>
      <c r="I6" s="466"/>
    </row>
    <row r="7" spans="1:9" ht="15" customHeight="1">
      <c r="A7" s="4264" t="s">
        <v>34</v>
      </c>
      <c r="B7" s="4268" t="s">
        <v>478</v>
      </c>
      <c r="C7" s="4269" t="s">
        <v>4102</v>
      </c>
      <c r="D7" s="4264" t="s">
        <v>4103</v>
      </c>
      <c r="E7" s="4264" t="s">
        <v>4104</v>
      </c>
      <c r="F7" s="4264" t="s">
        <v>345</v>
      </c>
      <c r="G7" s="4266" t="s">
        <v>255</v>
      </c>
      <c r="H7" s="4267"/>
    </row>
    <row r="8" spans="1:9" ht="33.75" customHeight="1">
      <c r="A8" s="4265"/>
      <c r="B8" s="4268"/>
      <c r="C8" s="4270"/>
      <c r="D8" s="4265"/>
      <c r="E8" s="4265"/>
      <c r="F8" s="4265"/>
      <c r="G8" s="262" t="s">
        <v>7</v>
      </c>
      <c r="H8" s="262" t="s">
        <v>3568</v>
      </c>
    </row>
    <row r="9" spans="1:9" ht="36.75" customHeight="1">
      <c r="A9" s="694">
        <v>1</v>
      </c>
      <c r="B9" s="785" t="s">
        <v>4105</v>
      </c>
      <c r="C9" s="770"/>
      <c r="D9" s="694"/>
      <c r="E9" s="694"/>
      <c r="F9" s="471">
        <f>C9*D9*E9</f>
        <v>0</v>
      </c>
      <c r="G9" s="779"/>
      <c r="H9" s="779"/>
    </row>
    <row r="10" spans="1:9" ht="30.75" customHeight="1">
      <c r="A10" s="694">
        <v>2</v>
      </c>
      <c r="B10" s="785" t="s">
        <v>4106</v>
      </c>
      <c r="C10" s="786"/>
      <c r="D10" s="748"/>
      <c r="E10" s="748"/>
      <c r="F10" s="471">
        <f>C10*D10*E10</f>
        <v>0</v>
      </c>
      <c r="G10" s="748"/>
      <c r="H10" s="748"/>
    </row>
    <row r="11" spans="1:9" ht="13.35" customHeight="1">
      <c r="A11" s="694">
        <v>3</v>
      </c>
      <c r="B11" s="785" t="s">
        <v>4107</v>
      </c>
      <c r="C11" s="786"/>
      <c r="D11" s="748"/>
      <c r="E11" s="748"/>
      <c r="F11" s="471">
        <f>C11*D11*E11</f>
        <v>0</v>
      </c>
      <c r="G11" s="748"/>
      <c r="H11" s="748"/>
    </row>
    <row r="12" spans="1:9" ht="13.35" customHeight="1">
      <c r="A12" s="694">
        <v>4</v>
      </c>
      <c r="B12" s="785" t="s">
        <v>526</v>
      </c>
      <c r="C12" s="786"/>
      <c r="D12" s="748"/>
      <c r="E12" s="748"/>
      <c r="F12" s="471">
        <f>C12*D12*E12</f>
        <v>0</v>
      </c>
      <c r="G12" s="748"/>
      <c r="H12" s="748"/>
    </row>
    <row r="13" spans="1:9" ht="13.35" customHeight="1">
      <c r="A13" s="694">
        <v>5</v>
      </c>
      <c r="B13" s="785"/>
      <c r="C13" s="786"/>
      <c r="D13" s="748"/>
      <c r="E13" s="748"/>
      <c r="F13" s="471">
        <f t="shared" ref="F13:F22" si="0">C13*D13*E13</f>
        <v>0</v>
      </c>
      <c r="G13" s="748"/>
      <c r="H13" s="748"/>
    </row>
    <row r="14" spans="1:9" ht="13.35" customHeight="1">
      <c r="A14" s="694">
        <v>6</v>
      </c>
      <c r="B14" s="785"/>
      <c r="C14" s="786"/>
      <c r="D14" s="748"/>
      <c r="E14" s="748"/>
      <c r="F14" s="471">
        <f t="shared" si="0"/>
        <v>0</v>
      </c>
      <c r="G14" s="748"/>
      <c r="H14" s="748"/>
    </row>
    <row r="15" spans="1:9" ht="13.35" customHeight="1">
      <c r="A15" s="694">
        <v>7</v>
      </c>
      <c r="B15" s="785"/>
      <c r="C15" s="786"/>
      <c r="D15" s="748"/>
      <c r="E15" s="748"/>
      <c r="F15" s="471">
        <f t="shared" si="0"/>
        <v>0</v>
      </c>
      <c r="G15" s="748"/>
      <c r="H15" s="748"/>
    </row>
    <row r="16" spans="1:9" ht="13.35" customHeight="1">
      <c r="A16" s="694">
        <v>8</v>
      </c>
      <c r="B16" s="785"/>
      <c r="C16" s="786"/>
      <c r="D16" s="748"/>
      <c r="E16" s="748"/>
      <c r="F16" s="471">
        <f t="shared" si="0"/>
        <v>0</v>
      </c>
      <c r="G16" s="748"/>
      <c r="H16" s="748"/>
    </row>
    <row r="17" spans="1:8" ht="13.35" customHeight="1">
      <c r="A17" s="694">
        <v>9</v>
      </c>
      <c r="B17" s="785"/>
      <c r="C17" s="786"/>
      <c r="D17" s="748"/>
      <c r="E17" s="748"/>
      <c r="F17" s="471">
        <f t="shared" si="0"/>
        <v>0</v>
      </c>
      <c r="G17" s="748"/>
      <c r="H17" s="748"/>
    </row>
    <row r="18" spans="1:8" ht="13.35" customHeight="1">
      <c r="A18" s="694">
        <v>10</v>
      </c>
      <c r="B18" s="785"/>
      <c r="C18" s="786"/>
      <c r="D18" s="748"/>
      <c r="E18" s="748"/>
      <c r="F18" s="471">
        <f t="shared" si="0"/>
        <v>0</v>
      </c>
      <c r="G18" s="748"/>
      <c r="H18" s="748"/>
    </row>
    <row r="19" spans="1:8" ht="13.35" customHeight="1">
      <c r="A19" s="694">
        <v>11</v>
      </c>
      <c r="B19" s="785"/>
      <c r="C19" s="786"/>
      <c r="D19" s="748"/>
      <c r="E19" s="748"/>
      <c r="F19" s="471">
        <f>C19*D19*E19</f>
        <v>0</v>
      </c>
      <c r="G19" s="748"/>
      <c r="H19" s="748"/>
    </row>
    <row r="20" spans="1:8" ht="13.35" customHeight="1">
      <c r="A20" s="694">
        <v>12</v>
      </c>
      <c r="B20" s="785"/>
      <c r="C20" s="786"/>
      <c r="D20" s="748"/>
      <c r="E20" s="748"/>
      <c r="F20" s="471">
        <f t="shared" si="0"/>
        <v>0</v>
      </c>
      <c r="G20" s="748"/>
      <c r="H20" s="748"/>
    </row>
    <row r="21" spans="1:8" ht="13.35" customHeight="1">
      <c r="A21" s="694">
        <v>13</v>
      </c>
      <c r="B21" s="785"/>
      <c r="C21" s="786"/>
      <c r="D21" s="748"/>
      <c r="E21" s="748"/>
      <c r="F21" s="471">
        <f>C21*D21*E21</f>
        <v>0</v>
      </c>
      <c r="G21" s="748"/>
      <c r="H21" s="748"/>
    </row>
    <row r="22" spans="1:8" ht="13.35" customHeight="1">
      <c r="A22" s="694">
        <v>14</v>
      </c>
      <c r="B22" s="785"/>
      <c r="C22" s="786"/>
      <c r="D22" s="748"/>
      <c r="E22" s="748"/>
      <c r="F22" s="471">
        <f t="shared" si="0"/>
        <v>0</v>
      </c>
      <c r="G22" s="748"/>
      <c r="H22" s="748"/>
    </row>
    <row r="23" spans="1:8">
      <c r="A23" s="467"/>
      <c r="B23" s="467" t="s">
        <v>867</v>
      </c>
      <c r="C23" s="467"/>
      <c r="D23" s="467"/>
      <c r="E23" s="467"/>
      <c r="F23" s="598">
        <f>SUM(F9:F22)</f>
        <v>0</v>
      </c>
      <c r="G23" s="598">
        <f>SUM(G9:G22)</f>
        <v>0</v>
      </c>
      <c r="H23" s="598">
        <f>SUM(H9:H22)</f>
        <v>0</v>
      </c>
    </row>
    <row r="25" spans="1:8">
      <c r="A25" s="468" t="s">
        <v>329</v>
      </c>
      <c r="E25" s="783"/>
      <c r="F25" s="783"/>
      <c r="G25" s="783"/>
      <c r="H25" s="783"/>
    </row>
    <row r="26" spans="1:8">
      <c r="A26" s="468"/>
      <c r="E26" s="783"/>
      <c r="F26" s="783"/>
      <c r="G26" s="783"/>
      <c r="H26" s="783"/>
    </row>
    <row r="27" spans="1:8">
      <c r="A27" s="469" t="s">
        <v>330</v>
      </c>
      <c r="E27" s="783"/>
      <c r="F27" s="783"/>
      <c r="G27" s="783"/>
      <c r="H27" s="783"/>
    </row>
    <row r="28" spans="1:8">
      <c r="A28" s="469" t="s">
        <v>332</v>
      </c>
      <c r="E28" s="783"/>
      <c r="F28" s="783"/>
      <c r="G28" s="783"/>
      <c r="H28" s="783"/>
    </row>
    <row r="29" spans="1:8">
      <c r="A29" s="470"/>
      <c r="E29" s="783"/>
      <c r="F29" s="783"/>
      <c r="G29" s="783"/>
      <c r="H29" s="783"/>
    </row>
    <row r="30" spans="1:8">
      <c r="A30" s="469" t="s">
        <v>333</v>
      </c>
      <c r="E30" s="783"/>
      <c r="F30" s="783"/>
      <c r="G30" s="783"/>
      <c r="H30" s="783"/>
    </row>
  </sheetData>
  <sheetProtection password="9690" sheet="1" formatColumns="0" insertRows="0" deleteRows="0"/>
  <mergeCells count="7">
    <mergeCell ref="F7:F8"/>
    <mergeCell ref="G7:H7"/>
    <mergeCell ref="A7:A8"/>
    <mergeCell ref="B7:B8"/>
    <mergeCell ref="C7:C8"/>
    <mergeCell ref="D7:D8"/>
    <mergeCell ref="E7:E8"/>
  </mergeCells>
  <pageMargins left="0.7" right="0.7" top="0.75" bottom="0.75" header="0.3" footer="0.3"/>
  <pageSetup paperSize="9" scale="91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Лист43">
    <tabColor rgb="FFFF0000"/>
    <pageSetUpPr fitToPage="1"/>
  </sheetPr>
  <dimension ref="A1:K36"/>
  <sheetViews>
    <sheetView topLeftCell="A23" workbookViewId="0">
      <selection activeCell="H12" sqref="H12"/>
    </sheetView>
  </sheetViews>
  <sheetFormatPr defaultColWidth="9.140625" defaultRowHeight="15"/>
  <cols>
    <col min="1" max="1" width="4.140625" style="313" customWidth="1"/>
    <col min="2" max="2" width="31.85546875" style="312" customWidth="1"/>
    <col min="3" max="4" width="11.5703125" style="313" customWidth="1"/>
    <col min="5" max="5" width="13.140625" style="313" customWidth="1"/>
    <col min="6" max="8" width="13.85546875" style="313" customWidth="1"/>
    <col min="9" max="16384" width="9.140625" style="313"/>
  </cols>
  <sheetData>
    <row r="1" spans="1:11" ht="15.75">
      <c r="G1" s="670" t="s">
        <v>267</v>
      </c>
      <c r="H1" s="671" t="s">
        <v>653</v>
      </c>
    </row>
    <row r="2" spans="1:11" s="680" customFormat="1" ht="14.25" customHeight="1">
      <c r="A2" s="655" t="s">
        <v>4108</v>
      </c>
      <c r="B2" s="678"/>
      <c r="C2" s="678"/>
      <c r="D2" s="678"/>
      <c r="E2" s="678"/>
      <c r="F2" s="678"/>
      <c r="G2" s="678"/>
      <c r="H2" s="678"/>
      <c r="I2" s="679"/>
    </row>
    <row r="3" spans="1:11" ht="15.75">
      <c r="A3" s="430"/>
      <c r="B3" s="314"/>
      <c r="C3" s="315"/>
      <c r="D3" s="315"/>
      <c r="E3" s="315"/>
      <c r="F3" s="315"/>
      <c r="G3" s="315"/>
      <c r="H3" s="315"/>
    </row>
    <row r="4" spans="1:11" s="657" customFormat="1" ht="15.75">
      <c r="A4" s="656" t="s">
        <v>4109</v>
      </c>
    </row>
    <row r="5" spans="1:11" s="419" customFormat="1" ht="15.75">
      <c r="A5" s="168" t="s">
        <v>990</v>
      </c>
    </row>
    <row r="6" spans="1:11" s="419" customFormat="1" ht="15.75">
      <c r="A6" s="168"/>
    </row>
    <row r="7" spans="1:11" ht="15.75">
      <c r="A7" s="4195" t="s">
        <v>2</v>
      </c>
      <c r="B7" s="4195" t="s">
        <v>1071</v>
      </c>
      <c r="C7" s="4195" t="s">
        <v>3682</v>
      </c>
      <c r="D7" s="4196" t="s">
        <v>4023</v>
      </c>
      <c r="E7" s="4195" t="s">
        <v>999</v>
      </c>
      <c r="F7" s="4195" t="s">
        <v>345</v>
      </c>
      <c r="G7" s="4271" t="s">
        <v>255</v>
      </c>
      <c r="H7" s="4272"/>
    </row>
    <row r="8" spans="1:11" s="320" customFormat="1" ht="15.75">
      <c r="A8" s="4195"/>
      <c r="B8" s="4195"/>
      <c r="C8" s="4195"/>
      <c r="D8" s="4197"/>
      <c r="E8" s="4195"/>
      <c r="F8" s="4195"/>
      <c r="G8" s="239" t="s">
        <v>7</v>
      </c>
      <c r="H8" s="319" t="s">
        <v>8</v>
      </c>
    </row>
    <row r="9" spans="1:11" s="320" customFormat="1" ht="63">
      <c r="A9" s="672">
        <v>1</v>
      </c>
      <c r="B9" s="673" t="s">
        <v>4110</v>
      </c>
      <c r="C9" s="674" t="s">
        <v>4026</v>
      </c>
      <c r="D9" s="675">
        <v>12</v>
      </c>
      <c r="E9" s="676">
        <v>190450</v>
      </c>
      <c r="F9" s="536">
        <f>D9*E9</f>
        <v>2285400</v>
      </c>
      <c r="G9" s="676"/>
      <c r="H9" s="677">
        <f>F9</f>
        <v>2285400</v>
      </c>
      <c r="K9" s="320" t="s">
        <v>4111</v>
      </c>
    </row>
    <row r="10" spans="1:11" s="320" customFormat="1" ht="63" customHeight="1">
      <c r="A10" s="672">
        <f>1+A9</f>
        <v>2</v>
      </c>
      <c r="B10" s="673" t="s">
        <v>4112</v>
      </c>
      <c r="C10" s="674" t="s">
        <v>4026</v>
      </c>
      <c r="D10" s="675">
        <v>12</v>
      </c>
      <c r="E10" s="676">
        <v>100000</v>
      </c>
      <c r="F10" s="536">
        <f>D10*E10</f>
        <v>1200000</v>
      </c>
      <c r="G10" s="676"/>
      <c r="H10" s="677">
        <f>F10</f>
        <v>1200000</v>
      </c>
    </row>
    <row r="11" spans="1:11" s="320" customFormat="1" ht="63">
      <c r="A11" s="672">
        <f>1+A10</f>
        <v>3</v>
      </c>
      <c r="B11" s="1030" t="s">
        <v>4113</v>
      </c>
      <c r="C11" s="674" t="s">
        <v>4026</v>
      </c>
      <c r="D11" s="675">
        <v>12</v>
      </c>
      <c r="E11" s="676">
        <v>333333.3333</v>
      </c>
      <c r="F11" s="536">
        <f>D11*E11</f>
        <v>3999999.9995999997</v>
      </c>
      <c r="G11" s="676"/>
      <c r="H11" s="677">
        <f>F11</f>
        <v>3999999.9995999997</v>
      </c>
    </row>
    <row r="12" spans="1:11" s="320" customFormat="1" ht="63">
      <c r="A12" s="672">
        <f>1+A11</f>
        <v>4</v>
      </c>
      <c r="B12" s="673" t="s">
        <v>4114</v>
      </c>
      <c r="C12" s="674" t="s">
        <v>4026</v>
      </c>
      <c r="D12" s="675">
        <v>12</v>
      </c>
      <c r="E12" s="676">
        <v>230450</v>
      </c>
      <c r="F12" s="536">
        <f>D12*E12</f>
        <v>2765400</v>
      </c>
      <c r="G12" s="676"/>
      <c r="H12" s="677">
        <f>F12</f>
        <v>2765400</v>
      </c>
    </row>
    <row r="13" spans="1:11" ht="47.25">
      <c r="A13" s="672">
        <f>1+A12</f>
        <v>5</v>
      </c>
      <c r="B13" s="1031" t="s">
        <v>4115</v>
      </c>
      <c r="C13" s="674" t="s">
        <v>1022</v>
      </c>
      <c r="D13" s="1032">
        <v>390</v>
      </c>
      <c r="E13" s="676">
        <v>107</v>
      </c>
      <c r="F13" s="536">
        <f>D13*E13</f>
        <v>41730</v>
      </c>
      <c r="G13" s="676"/>
      <c r="H13" s="677">
        <f t="shared" ref="H13:H24" si="0">F13</f>
        <v>41730</v>
      </c>
    </row>
    <row r="14" spans="1:11" ht="47.25">
      <c r="A14" s="672">
        <f t="shared" ref="A14:A23" si="1">1+A13</f>
        <v>6</v>
      </c>
      <c r="B14" s="1031" t="s">
        <v>4116</v>
      </c>
      <c r="C14" s="674" t="s">
        <v>1022</v>
      </c>
      <c r="D14" s="1032">
        <v>17</v>
      </c>
      <c r="E14" s="676">
        <v>195</v>
      </c>
      <c r="F14" s="536">
        <f t="shared" ref="F14:F24" si="2">D14*E14</f>
        <v>3315</v>
      </c>
      <c r="G14" s="676"/>
      <c r="H14" s="677">
        <f t="shared" si="0"/>
        <v>3315</v>
      </c>
    </row>
    <row r="15" spans="1:11" ht="63">
      <c r="A15" s="672">
        <f t="shared" si="1"/>
        <v>7</v>
      </c>
      <c r="B15" s="1031" t="s">
        <v>4117</v>
      </c>
      <c r="C15" s="674" t="s">
        <v>1022</v>
      </c>
      <c r="D15" s="1032">
        <v>40</v>
      </c>
      <c r="E15" s="676">
        <v>71</v>
      </c>
      <c r="F15" s="536">
        <f t="shared" si="2"/>
        <v>2840</v>
      </c>
      <c r="G15" s="676"/>
      <c r="H15" s="677">
        <f t="shared" si="0"/>
        <v>2840</v>
      </c>
    </row>
    <row r="16" spans="1:11" ht="47.25">
      <c r="A16" s="672">
        <f t="shared" si="1"/>
        <v>8</v>
      </c>
      <c r="B16" s="1031" t="s">
        <v>4118</v>
      </c>
      <c r="C16" s="674" t="s">
        <v>1022</v>
      </c>
      <c r="D16" s="1032">
        <v>35</v>
      </c>
      <c r="E16" s="676">
        <v>650</v>
      </c>
      <c r="F16" s="536">
        <f t="shared" si="2"/>
        <v>22750</v>
      </c>
      <c r="G16" s="676"/>
      <c r="H16" s="677">
        <f t="shared" si="0"/>
        <v>22750</v>
      </c>
    </row>
    <row r="17" spans="1:8" ht="47.25">
      <c r="A17" s="672">
        <f t="shared" si="1"/>
        <v>9</v>
      </c>
      <c r="B17" s="1031" t="s">
        <v>4119</v>
      </c>
      <c r="C17" s="674" t="s">
        <v>1022</v>
      </c>
      <c r="D17" s="1032">
        <v>17</v>
      </c>
      <c r="E17" s="676">
        <v>1070</v>
      </c>
      <c r="F17" s="536">
        <f t="shared" si="2"/>
        <v>18190</v>
      </c>
      <c r="G17" s="676"/>
      <c r="H17" s="677">
        <f t="shared" si="0"/>
        <v>18190</v>
      </c>
    </row>
    <row r="18" spans="1:8" ht="47.25">
      <c r="A18" s="672">
        <f t="shared" si="1"/>
        <v>10</v>
      </c>
      <c r="B18" s="245" t="s">
        <v>4120</v>
      </c>
      <c r="C18" s="674" t="s">
        <v>1022</v>
      </c>
      <c r="D18" s="675">
        <v>2</v>
      </c>
      <c r="E18" s="676">
        <v>650</v>
      </c>
      <c r="F18" s="536">
        <f t="shared" si="2"/>
        <v>1300</v>
      </c>
      <c r="G18" s="676"/>
      <c r="H18" s="677">
        <f t="shared" si="0"/>
        <v>1300</v>
      </c>
    </row>
    <row r="19" spans="1:8" ht="47.25">
      <c r="A19" s="672">
        <f t="shared" si="1"/>
        <v>11</v>
      </c>
      <c r="B19" s="245" t="s">
        <v>4121</v>
      </c>
      <c r="C19" s="674" t="s">
        <v>1022</v>
      </c>
      <c r="D19" s="675">
        <v>10</v>
      </c>
      <c r="E19" s="676">
        <v>650</v>
      </c>
      <c r="F19" s="536">
        <f t="shared" si="2"/>
        <v>6500</v>
      </c>
      <c r="G19" s="676"/>
      <c r="H19" s="677">
        <f t="shared" si="0"/>
        <v>6500</v>
      </c>
    </row>
    <row r="20" spans="1:8" ht="63">
      <c r="A20" s="672">
        <f t="shared" si="1"/>
        <v>12</v>
      </c>
      <c r="B20" s="1033" t="s">
        <v>4122</v>
      </c>
      <c r="C20" s="674" t="s">
        <v>1022</v>
      </c>
      <c r="D20" s="675">
        <v>4</v>
      </c>
      <c r="E20" s="676">
        <v>650</v>
      </c>
      <c r="F20" s="536">
        <f t="shared" si="2"/>
        <v>2600</v>
      </c>
      <c r="G20" s="676"/>
      <c r="H20" s="677">
        <f t="shared" si="0"/>
        <v>2600</v>
      </c>
    </row>
    <row r="21" spans="1:8" ht="63">
      <c r="A21" s="672">
        <f t="shared" si="1"/>
        <v>13</v>
      </c>
      <c r="B21" s="1033" t="s">
        <v>4123</v>
      </c>
      <c r="C21" s="674" t="s">
        <v>1022</v>
      </c>
      <c r="D21" s="675">
        <v>2</v>
      </c>
      <c r="E21" s="676">
        <v>650</v>
      </c>
      <c r="F21" s="536">
        <f t="shared" si="2"/>
        <v>1300</v>
      </c>
      <c r="G21" s="676"/>
      <c r="H21" s="677">
        <f t="shared" si="0"/>
        <v>1300</v>
      </c>
    </row>
    <row r="22" spans="1:8" ht="47.25">
      <c r="A22" s="672">
        <f t="shared" si="1"/>
        <v>14</v>
      </c>
      <c r="B22" s="1033" t="s">
        <v>4124</v>
      </c>
      <c r="C22" s="674" t="s">
        <v>1022</v>
      </c>
      <c r="D22" s="675">
        <v>6</v>
      </c>
      <c r="E22" s="676">
        <v>1605</v>
      </c>
      <c r="F22" s="536">
        <f t="shared" si="2"/>
        <v>9630</v>
      </c>
      <c r="G22" s="676"/>
      <c r="H22" s="677">
        <f t="shared" si="0"/>
        <v>9630</v>
      </c>
    </row>
    <row r="23" spans="1:8" ht="31.5">
      <c r="A23" s="672">
        <f t="shared" si="1"/>
        <v>15</v>
      </c>
      <c r="B23" s="1033" t="s">
        <v>4125</v>
      </c>
      <c r="C23" s="674" t="s">
        <v>1022</v>
      </c>
      <c r="D23" s="675">
        <v>2</v>
      </c>
      <c r="E23" s="676">
        <v>48150</v>
      </c>
      <c r="F23" s="536">
        <f t="shared" si="2"/>
        <v>96300</v>
      </c>
      <c r="G23" s="676"/>
      <c r="H23" s="677">
        <f t="shared" si="0"/>
        <v>96300</v>
      </c>
    </row>
    <row r="24" spans="1:8" ht="31.5">
      <c r="A24" s="672">
        <v>16</v>
      </c>
      <c r="B24" s="1033" t="s">
        <v>4126</v>
      </c>
      <c r="C24" s="674" t="s">
        <v>1022</v>
      </c>
      <c r="D24" s="675">
        <v>4</v>
      </c>
      <c r="E24" s="676">
        <v>26750</v>
      </c>
      <c r="F24" s="536">
        <f t="shared" si="2"/>
        <v>107000</v>
      </c>
      <c r="G24" s="676"/>
      <c r="H24" s="677">
        <f t="shared" si="0"/>
        <v>107000</v>
      </c>
    </row>
    <row r="25" spans="1:8" s="320" customFormat="1" ht="15.75">
      <c r="A25" s="4273" t="s">
        <v>3535</v>
      </c>
      <c r="B25" s="4274"/>
      <c r="C25" s="4274"/>
      <c r="D25" s="4274"/>
      <c r="E25" s="4275"/>
      <c r="F25" s="529">
        <f>SUM(F9:F24)</f>
        <v>10564254.999600001</v>
      </c>
      <c r="G25" s="529">
        <f>SUM(G9:G20)</f>
        <v>0</v>
      </c>
      <c r="H25" s="529">
        <f>SUM(H9:H24)</f>
        <v>10564254.999600001</v>
      </c>
    </row>
    <row r="27" spans="1:8" ht="15.75">
      <c r="B27" s="426"/>
      <c r="C27" s="301"/>
      <c r="D27" s="183"/>
      <c r="E27" s="82"/>
      <c r="F27" s="571"/>
    </row>
    <row r="28" spans="1:8" s="419" customFormat="1" ht="15.75">
      <c r="A28" s="300" t="s">
        <v>329</v>
      </c>
      <c r="B28" s="514"/>
      <c r="C28" s="514"/>
      <c r="D28" s="1075"/>
      <c r="F28" s="293"/>
      <c r="G28" s="1075" t="s">
        <v>448</v>
      </c>
      <c r="H28" s="800"/>
    </row>
    <row r="29" spans="1:8" s="419" customFormat="1" ht="15.75">
      <c r="A29" s="300"/>
      <c r="B29" s="514"/>
      <c r="C29" s="514"/>
      <c r="D29" s="1075"/>
      <c r="F29" s="293"/>
      <c r="G29" s="1075"/>
      <c r="H29" s="800"/>
    </row>
    <row r="30" spans="1:8" s="419" customFormat="1" ht="15.75">
      <c r="A30" s="426" t="s">
        <v>330</v>
      </c>
      <c r="B30" s="514"/>
      <c r="C30" s="514"/>
      <c r="D30" s="1075"/>
      <c r="F30" s="293"/>
      <c r="G30" s="1075" t="s">
        <v>369</v>
      </c>
      <c r="H30" s="800"/>
    </row>
    <row r="31" spans="1:8" s="419" customFormat="1" ht="15.75">
      <c r="A31" s="426"/>
      <c r="B31" s="514"/>
      <c r="C31" s="514"/>
      <c r="D31" s="1075"/>
      <c r="F31" s="293"/>
      <c r="G31" s="1075"/>
      <c r="H31" s="800"/>
    </row>
    <row r="32" spans="1:8" s="419" customFormat="1" ht="15.75">
      <c r="A32" s="1073" t="s">
        <v>547</v>
      </c>
      <c r="B32" s="1076"/>
      <c r="C32" s="475"/>
      <c r="D32" s="1077"/>
      <c r="F32" s="293"/>
      <c r="G32" s="1074" t="s">
        <v>374</v>
      </c>
      <c r="H32" s="800"/>
    </row>
    <row r="33" spans="1:8" s="419" customFormat="1" ht="15.75">
      <c r="A33" s="1073" t="s">
        <v>548</v>
      </c>
      <c r="B33" s="1076"/>
      <c r="C33" s="475"/>
      <c r="D33" s="1077"/>
      <c r="F33" s="293"/>
      <c r="G33" s="1074"/>
      <c r="H33" s="800"/>
    </row>
    <row r="34" spans="1:8" ht="15.75">
      <c r="A34" s="1073"/>
      <c r="B34" s="1076"/>
      <c r="C34" s="475"/>
      <c r="D34" s="1077"/>
      <c r="E34" s="580"/>
      <c r="F34" s="293"/>
      <c r="G34" s="1078"/>
      <c r="H34" s="310"/>
    </row>
    <row r="35" spans="1:8" ht="15.75">
      <c r="A35" s="1073" t="s">
        <v>375</v>
      </c>
      <c r="B35" s="1078"/>
      <c r="C35" s="1078"/>
      <c r="D35" s="1078"/>
      <c r="E35" s="580"/>
      <c r="F35" s="293"/>
      <c r="G35" s="1074" t="s">
        <v>376</v>
      </c>
      <c r="H35" s="310"/>
    </row>
    <row r="36" spans="1:8" ht="15.75">
      <c r="A36"/>
      <c r="B36"/>
      <c r="C36"/>
      <c r="D36"/>
      <c r="E36" s="580"/>
      <c r="F36"/>
      <c r="G36" s="580"/>
      <c r="H36" s="310"/>
    </row>
  </sheetData>
  <sheetProtection formatColumns="0" insertRows="0" deleteRows="0"/>
  <mergeCells count="8">
    <mergeCell ref="G7:H7"/>
    <mergeCell ref="A25:E25"/>
    <mergeCell ref="A7:A8"/>
    <mergeCell ref="B7:B8"/>
    <mergeCell ref="C7:C8"/>
    <mergeCell ref="D7:D8"/>
    <mergeCell ref="E7:E8"/>
    <mergeCell ref="F7:F8"/>
  </mergeCells>
  <pageMargins left="0.7" right="0.7" top="0.75" bottom="0.75" header="0.3" footer="0.3"/>
  <pageSetup paperSize="9" scale="54" fitToHeight="0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Лист40">
    <tabColor rgb="FF7030A0"/>
  </sheetPr>
  <dimension ref="A1:BC64"/>
  <sheetViews>
    <sheetView workbookViewId="0">
      <selection activeCell="BB8" sqref="BB8"/>
    </sheetView>
  </sheetViews>
  <sheetFormatPr defaultColWidth="9.140625" defaultRowHeight="15.75"/>
  <cols>
    <col min="1" max="1" width="4.7109375" style="419" customWidth="1"/>
    <col min="2" max="2" width="17.7109375" style="419" customWidth="1"/>
    <col min="3" max="3" width="13.7109375" style="419" customWidth="1"/>
    <col min="4" max="4" width="9.140625" style="419"/>
    <col min="5" max="5" width="10.140625" style="419" bestFit="1" customWidth="1"/>
    <col min="6" max="6" width="10.140625" style="419" customWidth="1"/>
    <col min="7" max="9" width="9.140625" style="419"/>
    <col min="10" max="10" width="6.85546875" style="419" customWidth="1"/>
    <col min="11" max="11" width="9.5703125" style="419" customWidth="1"/>
    <col min="12" max="12" width="13.42578125" style="419" customWidth="1"/>
    <col min="13" max="13" width="8.85546875" style="419" customWidth="1"/>
    <col min="14" max="14" width="9.140625" style="419"/>
    <col min="15" max="15" width="10.5703125" style="419" customWidth="1"/>
    <col min="16" max="16" width="9.140625" style="419"/>
    <col min="17" max="17" width="8" style="419" customWidth="1"/>
    <col min="18" max="18" width="7.7109375" style="419" customWidth="1"/>
    <col min="19" max="19" width="8.7109375" style="419" customWidth="1"/>
    <col min="20" max="20" width="9.28515625" style="419" customWidth="1"/>
    <col min="21" max="21" width="8.42578125" style="419" customWidth="1"/>
    <col min="22" max="22" width="9.42578125" style="419" customWidth="1"/>
    <col min="23" max="33" width="9.140625" style="419"/>
    <col min="34" max="34" width="13.140625" style="419" customWidth="1"/>
    <col min="35" max="35" width="7.5703125" style="419" customWidth="1"/>
    <col min="36" max="36" width="8.42578125" style="419" customWidth="1"/>
    <col min="37" max="37" width="9.140625" style="419"/>
    <col min="38" max="39" width="8.42578125" style="419" customWidth="1"/>
    <col min="40" max="46" width="9.140625" style="419"/>
    <col min="47" max="54" width="8.42578125" style="419" customWidth="1"/>
    <col min="55" max="55" width="13.28515625" style="419" customWidth="1"/>
    <col min="56" max="64" width="9.140625" style="419"/>
    <col min="65" max="65" width="11.7109375" style="419" customWidth="1"/>
    <col min="66" max="16384" width="9.140625" style="419"/>
  </cols>
  <sheetData>
    <row r="1" spans="1:55">
      <c r="T1" s="759" t="s">
        <v>267</v>
      </c>
      <c r="U1" s="671" t="s">
        <v>4127</v>
      </c>
    </row>
    <row r="2" spans="1:55">
      <c r="A2" s="695" t="s">
        <v>4128</v>
      </c>
      <c r="B2" s="489"/>
      <c r="C2" s="489"/>
      <c r="D2" s="489"/>
      <c r="E2" s="489"/>
      <c r="F2" s="489"/>
      <c r="G2" s="489"/>
      <c r="H2" s="489"/>
      <c r="I2" s="489"/>
      <c r="J2" s="489"/>
    </row>
    <row r="3" spans="1:55">
      <c r="A3" s="420"/>
    </row>
    <row r="4" spans="1:55">
      <c r="A4" s="656" t="s">
        <v>3401</v>
      </c>
    </row>
    <row r="5" spans="1:55">
      <c r="A5" s="168" t="s">
        <v>990</v>
      </c>
    </row>
    <row r="6" spans="1:55">
      <c r="A6" s="177"/>
    </row>
    <row r="7" spans="1:55">
      <c r="A7" s="420"/>
    </row>
    <row r="8" spans="1:55" ht="15" customHeight="1">
      <c r="A8" s="4288" t="s">
        <v>34</v>
      </c>
      <c r="B8" s="4288" t="s">
        <v>4129</v>
      </c>
      <c r="C8" s="4280" t="s">
        <v>4130</v>
      </c>
      <c r="D8" s="4280" t="s">
        <v>4131</v>
      </c>
      <c r="E8" s="4280" t="s">
        <v>4132</v>
      </c>
      <c r="F8" s="4280" t="s">
        <v>4133</v>
      </c>
      <c r="G8" s="4280" t="s">
        <v>4134</v>
      </c>
      <c r="H8" s="4283" t="s">
        <v>3642</v>
      </c>
      <c r="I8" s="4284"/>
      <c r="J8" s="4285"/>
      <c r="K8" s="4280" t="s">
        <v>4135</v>
      </c>
      <c r="L8" s="4288" t="s">
        <v>4136</v>
      </c>
      <c r="M8" s="4288" t="s">
        <v>4137</v>
      </c>
      <c r="N8" s="4286" t="s">
        <v>4138</v>
      </c>
      <c r="O8" s="4287"/>
      <c r="P8" s="4287"/>
      <c r="Q8" s="4287"/>
      <c r="R8" s="4287"/>
      <c r="S8" s="4287"/>
      <c r="T8" s="4287"/>
      <c r="U8" s="4287"/>
      <c r="V8" s="4287"/>
      <c r="W8" s="4287"/>
      <c r="X8" s="4287"/>
      <c r="Y8" s="4287"/>
      <c r="Z8" s="4287"/>
      <c r="AA8" s="4287"/>
      <c r="AB8" s="4287"/>
      <c r="AC8" s="4287"/>
      <c r="AD8" s="4287"/>
      <c r="AE8" s="492"/>
      <c r="AF8" s="493"/>
      <c r="AG8" s="493"/>
      <c r="AH8" s="493"/>
      <c r="AI8" s="493"/>
      <c r="AJ8" s="493"/>
      <c r="AK8" s="493"/>
      <c r="AL8" s="493"/>
      <c r="AM8" s="493"/>
      <c r="AN8" s="493"/>
      <c r="AO8" s="493"/>
      <c r="AP8" s="493"/>
      <c r="AQ8" s="493"/>
      <c r="AR8" s="493"/>
      <c r="AS8" s="493"/>
      <c r="AT8" s="493"/>
      <c r="AU8" s="493"/>
      <c r="AV8" s="493"/>
      <c r="AW8" s="493"/>
      <c r="AX8" s="493"/>
      <c r="AY8" s="606"/>
      <c r="AZ8" s="606"/>
      <c r="BA8" s="606"/>
      <c r="BB8" s="606"/>
      <c r="BC8" s="4276" t="s">
        <v>4139</v>
      </c>
    </row>
    <row r="9" spans="1:55" ht="24" customHeight="1">
      <c r="A9" s="4288"/>
      <c r="B9" s="4288"/>
      <c r="C9" s="4281"/>
      <c r="D9" s="4281"/>
      <c r="E9" s="4281"/>
      <c r="F9" s="4281"/>
      <c r="G9" s="4281"/>
      <c r="H9" s="4288" t="s">
        <v>3645</v>
      </c>
      <c r="I9" s="4288" t="s">
        <v>4140</v>
      </c>
      <c r="J9" s="4288" t="s">
        <v>3641</v>
      </c>
      <c r="K9" s="4281"/>
      <c r="L9" s="4288"/>
      <c r="M9" s="4288"/>
      <c r="N9" s="4298" t="s">
        <v>4141</v>
      </c>
      <c r="O9" s="4299"/>
      <c r="P9" s="4299"/>
      <c r="Q9" s="4299"/>
      <c r="R9" s="4302"/>
      <c r="S9" s="4278" t="s">
        <v>4142</v>
      </c>
      <c r="T9" s="4279"/>
      <c r="U9" s="4279"/>
      <c r="V9" s="4279"/>
      <c r="W9" s="4279"/>
      <c r="X9" s="4279"/>
      <c r="Y9" s="4279"/>
      <c r="Z9" s="4279"/>
      <c r="AA9" s="4279"/>
      <c r="AB9" s="4279"/>
      <c r="AC9" s="4279"/>
      <c r="AD9" s="4279"/>
      <c r="AE9" s="494"/>
      <c r="AF9" s="4298" t="s">
        <v>74</v>
      </c>
      <c r="AG9" s="4299"/>
      <c r="AH9" s="4299"/>
      <c r="AI9" s="4299"/>
      <c r="AJ9" s="4299"/>
      <c r="AK9" s="4299"/>
      <c r="AL9" s="4299"/>
      <c r="AM9" s="4299"/>
      <c r="AN9" s="4299"/>
      <c r="AO9" s="4299"/>
      <c r="AP9" s="4299"/>
      <c r="AQ9" s="4299"/>
      <c r="AR9" s="4302"/>
      <c r="AS9" s="4298" t="s">
        <v>4143</v>
      </c>
      <c r="AT9" s="4302"/>
      <c r="AU9" s="4298" t="s">
        <v>4144</v>
      </c>
      <c r="AV9" s="4299"/>
      <c r="AW9" s="4299"/>
      <c r="AX9" s="4300"/>
      <c r="AY9" s="4301" t="s">
        <v>4145</v>
      </c>
      <c r="AZ9" s="4301"/>
      <c r="BA9" s="4301"/>
      <c r="BB9" s="4301"/>
      <c r="BC9" s="4294"/>
    </row>
    <row r="10" spans="1:55" ht="46.5" customHeight="1">
      <c r="A10" s="4288"/>
      <c r="B10" s="4288"/>
      <c r="C10" s="4281"/>
      <c r="D10" s="4281"/>
      <c r="E10" s="4281"/>
      <c r="F10" s="4281"/>
      <c r="G10" s="4281"/>
      <c r="H10" s="4288"/>
      <c r="I10" s="4288"/>
      <c r="J10" s="4288"/>
      <c r="K10" s="4291"/>
      <c r="L10" s="4288"/>
      <c r="M10" s="4288"/>
      <c r="N10" s="4276" t="s">
        <v>4146</v>
      </c>
      <c r="O10" s="4276" t="s">
        <v>4147</v>
      </c>
      <c r="P10" s="4289" t="s">
        <v>4148</v>
      </c>
      <c r="Q10" s="4292" t="s">
        <v>4149</v>
      </c>
      <c r="R10" s="4285" t="s">
        <v>4150</v>
      </c>
      <c r="S10" s="4285" t="s">
        <v>3649</v>
      </c>
      <c r="T10" s="4288"/>
      <c r="U10" s="4288" t="s">
        <v>4151</v>
      </c>
      <c r="V10" s="4288"/>
      <c r="W10" s="4288" t="s">
        <v>4152</v>
      </c>
      <c r="X10" s="4288"/>
      <c r="Y10" s="4288" t="s">
        <v>4153</v>
      </c>
      <c r="Z10" s="4288"/>
      <c r="AA10" s="4288" t="s">
        <v>4154</v>
      </c>
      <c r="AB10" s="4288"/>
      <c r="AC10" s="4288" t="s">
        <v>50</v>
      </c>
      <c r="AD10" s="4283"/>
      <c r="AE10" s="4276" t="s">
        <v>4155</v>
      </c>
      <c r="AF10" s="4296" t="s">
        <v>4156</v>
      </c>
      <c r="AG10" s="4287"/>
      <c r="AH10" s="4297"/>
      <c r="AI10" s="4305" t="s">
        <v>4157</v>
      </c>
      <c r="AJ10" s="4284"/>
      <c r="AK10" s="4306"/>
      <c r="AL10" s="4305" t="s">
        <v>4158</v>
      </c>
      <c r="AM10" s="4284"/>
      <c r="AN10" s="4285"/>
      <c r="AO10" s="4288" t="s">
        <v>4159</v>
      </c>
      <c r="AP10" s="4288"/>
      <c r="AQ10" s="4288"/>
      <c r="AR10" s="4295" t="s">
        <v>4160</v>
      </c>
      <c r="AS10" s="4303"/>
      <c r="AT10" s="4304"/>
      <c r="AU10" s="4192" t="s">
        <v>996</v>
      </c>
      <c r="AV10" s="4192" t="s">
        <v>4023</v>
      </c>
      <c r="AW10" s="4192" t="s">
        <v>4161</v>
      </c>
      <c r="AX10" s="4295" t="s">
        <v>4162</v>
      </c>
      <c r="AY10" s="4196" t="s">
        <v>996</v>
      </c>
      <c r="AZ10" s="4196" t="s">
        <v>4023</v>
      </c>
      <c r="BA10" s="4196" t="s">
        <v>4161</v>
      </c>
      <c r="BB10" s="4295" t="s">
        <v>4162</v>
      </c>
      <c r="BC10" s="4294"/>
    </row>
    <row r="11" spans="1:55" ht="110.25">
      <c r="A11" s="4280"/>
      <c r="B11" s="4280"/>
      <c r="C11" s="4282"/>
      <c r="D11" s="4282"/>
      <c r="E11" s="4282"/>
      <c r="F11" s="4282"/>
      <c r="G11" s="4282"/>
      <c r="H11" s="4280"/>
      <c r="I11" s="4280"/>
      <c r="J11" s="4280"/>
      <c r="K11" s="496" t="s">
        <v>4163</v>
      </c>
      <c r="L11" s="4288"/>
      <c r="M11" s="4288"/>
      <c r="N11" s="4277"/>
      <c r="O11" s="4277"/>
      <c r="P11" s="4290"/>
      <c r="Q11" s="4293"/>
      <c r="R11" s="4285"/>
      <c r="S11" s="491" t="s">
        <v>4164</v>
      </c>
      <c r="T11" s="498" t="s">
        <v>4165</v>
      </c>
      <c r="U11" s="490" t="s">
        <v>4164</v>
      </c>
      <c r="V11" s="498" t="s">
        <v>4166</v>
      </c>
      <c r="W11" s="490" t="s">
        <v>4167</v>
      </c>
      <c r="X11" s="498" t="s">
        <v>4168</v>
      </c>
      <c r="Y11" s="490" t="s">
        <v>4167</v>
      </c>
      <c r="Z11" s="498" t="s">
        <v>4169</v>
      </c>
      <c r="AA11" s="490" t="s">
        <v>4170</v>
      </c>
      <c r="AB11" s="498" t="s">
        <v>4171</v>
      </c>
      <c r="AC11" s="490" t="s">
        <v>4172</v>
      </c>
      <c r="AD11" s="499" t="s">
        <v>4173</v>
      </c>
      <c r="AE11" s="4277"/>
      <c r="AF11" s="495" t="s">
        <v>4174</v>
      </c>
      <c r="AG11" s="495" t="s">
        <v>4175</v>
      </c>
      <c r="AH11" s="497" t="s">
        <v>4176</v>
      </c>
      <c r="AI11" s="491" t="s">
        <v>4177</v>
      </c>
      <c r="AJ11" s="490" t="s">
        <v>4178</v>
      </c>
      <c r="AK11" s="498" t="s">
        <v>4179</v>
      </c>
      <c r="AL11" s="491" t="s">
        <v>4177</v>
      </c>
      <c r="AM11" s="490" t="s">
        <v>4178</v>
      </c>
      <c r="AN11" s="498" t="s">
        <v>4180</v>
      </c>
      <c r="AO11" s="498" t="s">
        <v>4023</v>
      </c>
      <c r="AP11" s="498" t="s">
        <v>4181</v>
      </c>
      <c r="AQ11" s="498" t="s">
        <v>4182</v>
      </c>
      <c r="AR11" s="4295"/>
      <c r="AS11" s="490" t="s">
        <v>4183</v>
      </c>
      <c r="AT11" s="605" t="s">
        <v>4184</v>
      </c>
      <c r="AU11" s="4192"/>
      <c r="AV11" s="4192"/>
      <c r="AW11" s="4192"/>
      <c r="AX11" s="4295"/>
      <c r="AY11" s="4197"/>
      <c r="AZ11" s="4197"/>
      <c r="BA11" s="4197"/>
      <c r="BB11" s="4295"/>
      <c r="BC11" s="4277"/>
    </row>
    <row r="12" spans="1:55">
      <c r="A12" s="500">
        <v>1</v>
      </c>
      <c r="B12" s="501">
        <v>2</v>
      </c>
      <c r="C12" s="500">
        <v>3</v>
      </c>
      <c r="D12" s="501">
        <v>4</v>
      </c>
      <c r="E12" s="500">
        <v>5</v>
      </c>
      <c r="F12" s="501">
        <v>6</v>
      </c>
      <c r="G12" s="500">
        <v>7</v>
      </c>
      <c r="H12" s="501">
        <v>8</v>
      </c>
      <c r="I12" s="500">
        <v>9</v>
      </c>
      <c r="J12" s="501">
        <v>10</v>
      </c>
      <c r="K12" s="500">
        <v>11</v>
      </c>
      <c r="L12" s="501">
        <v>12</v>
      </c>
      <c r="M12" s="500">
        <v>13</v>
      </c>
      <c r="N12" s="501">
        <v>14</v>
      </c>
      <c r="O12" s="500">
        <v>15</v>
      </c>
      <c r="P12" s="501">
        <v>16</v>
      </c>
      <c r="Q12" s="500">
        <v>17</v>
      </c>
      <c r="R12" s="501">
        <v>18</v>
      </c>
      <c r="S12" s="500">
        <v>19</v>
      </c>
      <c r="T12" s="501">
        <v>20</v>
      </c>
      <c r="U12" s="500">
        <v>21</v>
      </c>
      <c r="V12" s="501">
        <v>22</v>
      </c>
      <c r="W12" s="500">
        <v>23</v>
      </c>
      <c r="X12" s="501">
        <v>24</v>
      </c>
      <c r="Y12" s="500">
        <v>25</v>
      </c>
      <c r="Z12" s="501">
        <v>26</v>
      </c>
      <c r="AA12" s="500">
        <v>27</v>
      </c>
      <c r="AB12" s="501">
        <v>28</v>
      </c>
      <c r="AC12" s="500">
        <v>29</v>
      </c>
      <c r="AD12" s="501">
        <v>30</v>
      </c>
      <c r="AE12" s="500">
        <v>31</v>
      </c>
      <c r="AF12" s="501">
        <v>32</v>
      </c>
      <c r="AG12" s="500">
        <v>33</v>
      </c>
      <c r="AH12" s="501">
        <v>34</v>
      </c>
      <c r="AI12" s="500">
        <v>35</v>
      </c>
      <c r="AJ12" s="501">
        <v>36</v>
      </c>
      <c r="AK12" s="500">
        <v>37</v>
      </c>
      <c r="AL12" s="501">
        <v>38</v>
      </c>
      <c r="AM12" s="500">
        <v>39</v>
      </c>
      <c r="AN12" s="501">
        <v>40</v>
      </c>
      <c r="AO12" s="500">
        <v>41</v>
      </c>
      <c r="AP12" s="501">
        <v>42</v>
      </c>
      <c r="AQ12" s="500">
        <v>43</v>
      </c>
      <c r="AR12" s="501">
        <v>44</v>
      </c>
      <c r="AS12" s="500">
        <v>45</v>
      </c>
      <c r="AT12" s="501">
        <v>46</v>
      </c>
      <c r="AU12" s="500">
        <v>47</v>
      </c>
      <c r="AV12" s="501">
        <v>48</v>
      </c>
      <c r="AW12" s="500">
        <v>49</v>
      </c>
      <c r="AX12" s="501">
        <v>50</v>
      </c>
      <c r="AY12" s="500">
        <v>51</v>
      </c>
      <c r="AZ12" s="501">
        <v>52</v>
      </c>
      <c r="BA12" s="500">
        <v>53</v>
      </c>
      <c r="BB12" s="501">
        <v>54</v>
      </c>
      <c r="BC12" s="500">
        <v>55</v>
      </c>
    </row>
    <row r="13" spans="1:55">
      <c r="A13" s="697"/>
      <c r="B13" s="697"/>
      <c r="C13" s="697"/>
      <c r="D13" s="697"/>
      <c r="E13" s="697"/>
      <c r="F13" s="697"/>
      <c r="G13" s="697"/>
      <c r="H13" s="697"/>
      <c r="I13" s="697"/>
      <c r="J13" s="697"/>
      <c r="K13" s="838"/>
      <c r="L13" s="697"/>
      <c r="M13" s="972"/>
      <c r="N13" s="972"/>
      <c r="O13" s="972"/>
      <c r="P13" s="971">
        <f>N13*J13*O13*L13</f>
        <v>0</v>
      </c>
      <c r="Q13" s="972"/>
      <c r="R13" s="971">
        <f>P13+Q13</f>
        <v>0</v>
      </c>
      <c r="S13" s="972"/>
      <c r="T13" s="505">
        <f>S13*G13*L13</f>
        <v>0</v>
      </c>
      <c r="U13" s="697"/>
      <c r="V13" s="505">
        <f>U13*F13*L13</f>
        <v>0</v>
      </c>
      <c r="W13" s="697"/>
      <c r="X13" s="505">
        <f>W13*L13</f>
        <v>0</v>
      </c>
      <c r="Y13" s="697"/>
      <c r="Z13" s="505">
        <f>Y13*L13</f>
        <v>0</v>
      </c>
      <c r="AA13" s="697"/>
      <c r="AB13" s="505">
        <f>AA13*J13*L13</f>
        <v>0</v>
      </c>
      <c r="AC13" s="697"/>
      <c r="AD13" s="505">
        <f>AC13*J13*L13</f>
        <v>0</v>
      </c>
      <c r="AE13" s="505">
        <f>R13+T13+V13+X13+Z13+AB13+AD13</f>
        <v>0</v>
      </c>
      <c r="AF13" s="697"/>
      <c r="AG13" s="697"/>
      <c r="AH13" s="505">
        <f>(AF13*AG13*L13)+(AF13*AG13*M13)</f>
        <v>0</v>
      </c>
      <c r="AI13" s="697"/>
      <c r="AJ13" s="697"/>
      <c r="AK13" s="505">
        <f>AI13*AJ13</f>
        <v>0</v>
      </c>
      <c r="AL13" s="697"/>
      <c r="AM13" s="697"/>
      <c r="AN13" s="505">
        <f>AL13*AM13</f>
        <v>0</v>
      </c>
      <c r="AO13" s="697"/>
      <c r="AP13" s="697"/>
      <c r="AQ13" s="505">
        <f>AO13*AP13</f>
        <v>0</v>
      </c>
      <c r="AR13" s="505">
        <f>AH13+AK13+AN13+AQ13</f>
        <v>0</v>
      </c>
      <c r="AS13" s="697"/>
      <c r="AT13" s="505">
        <f>AS13*J13*M13</f>
        <v>0</v>
      </c>
      <c r="AU13" s="697"/>
      <c r="AV13" s="697"/>
      <c r="AW13" s="697"/>
      <c r="AX13" s="505">
        <f>AV13*AW13</f>
        <v>0</v>
      </c>
      <c r="AY13" s="697"/>
      <c r="AZ13" s="697"/>
      <c r="BA13" s="697"/>
      <c r="BB13" s="505">
        <f>AZ13*BA13</f>
        <v>0</v>
      </c>
      <c r="BC13" s="505">
        <f>AE13+AR13+AT13+AX13+BB13</f>
        <v>0</v>
      </c>
    </row>
    <row r="14" spans="1:55">
      <c r="A14" s="697"/>
      <c r="B14" s="697"/>
      <c r="C14" s="697"/>
      <c r="D14" s="697"/>
      <c r="E14" s="697"/>
      <c r="F14" s="697"/>
      <c r="G14" s="697"/>
      <c r="H14" s="697"/>
      <c r="I14" s="697"/>
      <c r="J14" s="697"/>
      <c r="K14" s="838"/>
      <c r="L14" s="697"/>
      <c r="M14" s="972"/>
      <c r="N14" s="972"/>
      <c r="O14" s="972"/>
      <c r="P14" s="971">
        <f t="shared" ref="P14:P52" si="0">N14*J14*O14*L14</f>
        <v>0</v>
      </c>
      <c r="Q14" s="972"/>
      <c r="R14" s="971">
        <f t="shared" ref="R14:R52" si="1">P14+Q14</f>
        <v>0</v>
      </c>
      <c r="S14" s="972"/>
      <c r="T14" s="505">
        <f t="shared" ref="T14:T52" si="2">S14*G14*L14</f>
        <v>0</v>
      </c>
      <c r="U14" s="697"/>
      <c r="V14" s="505">
        <f t="shared" ref="V14:V52" si="3">U14*F14*L14</f>
        <v>0</v>
      </c>
      <c r="W14" s="697"/>
      <c r="X14" s="505">
        <f t="shared" ref="X14:X52" si="4">W14*L14</f>
        <v>0</v>
      </c>
      <c r="Y14" s="697"/>
      <c r="Z14" s="505">
        <f t="shared" ref="Z14:Z52" si="5">Y14*L14</f>
        <v>0</v>
      </c>
      <c r="AA14" s="697"/>
      <c r="AB14" s="505">
        <f t="shared" ref="AB14:AB52" si="6">AA14*J14*L14</f>
        <v>0</v>
      </c>
      <c r="AC14" s="697"/>
      <c r="AD14" s="505">
        <f t="shared" ref="AD14:AD52" si="7">AC14*J14*L14</f>
        <v>0</v>
      </c>
      <c r="AE14" s="505">
        <f t="shared" ref="AE14:AE52" si="8">R14+T14+V14+X14+Z14+AB14+AD14</f>
        <v>0</v>
      </c>
      <c r="AF14" s="697"/>
      <c r="AG14" s="697"/>
      <c r="AH14" s="505">
        <f t="shared" ref="AH14:AH52" si="9">(AF14*AG14*L14)+(AF14*AG14*M14)</f>
        <v>0</v>
      </c>
      <c r="AI14" s="697"/>
      <c r="AJ14" s="697"/>
      <c r="AK14" s="505">
        <f t="shared" ref="AK14:AK52" si="10">AI14*AJ14</f>
        <v>0</v>
      </c>
      <c r="AL14" s="697"/>
      <c r="AM14" s="697"/>
      <c r="AN14" s="505">
        <f t="shared" ref="AN14:AN52" si="11">AL14*AM14</f>
        <v>0</v>
      </c>
      <c r="AO14" s="697"/>
      <c r="AP14" s="697"/>
      <c r="AQ14" s="505">
        <f t="shared" ref="AQ14:AQ52" si="12">AO14*AP14</f>
        <v>0</v>
      </c>
      <c r="AR14" s="505">
        <f t="shared" ref="AR14:AR52" si="13">AH14+AK14+AN14+AQ14</f>
        <v>0</v>
      </c>
      <c r="AS14" s="697"/>
      <c r="AT14" s="505">
        <f t="shared" ref="AT14:AT52" si="14">AS14*J14*M14</f>
        <v>0</v>
      </c>
      <c r="AU14" s="697"/>
      <c r="AV14" s="697"/>
      <c r="AW14" s="697"/>
      <c r="AX14" s="505">
        <f t="shared" ref="AX14:AX52" si="15">AV14*AW14</f>
        <v>0</v>
      </c>
      <c r="AY14" s="697"/>
      <c r="AZ14" s="697"/>
      <c r="BA14" s="697"/>
      <c r="BB14" s="505">
        <f t="shared" ref="BB14:BB52" si="16">AZ14*BA14</f>
        <v>0</v>
      </c>
      <c r="BC14" s="505">
        <f t="shared" ref="BC14:BC52" si="17">AE14+AR14+AT14+AX14+BB14</f>
        <v>0</v>
      </c>
    </row>
    <row r="15" spans="1:55">
      <c r="A15" s="973"/>
      <c r="B15" s="974"/>
      <c r="C15" s="838"/>
      <c r="D15" s="974"/>
      <c r="E15" s="974"/>
      <c r="F15" s="974"/>
      <c r="G15" s="974"/>
      <c r="H15" s="974"/>
      <c r="I15" s="974"/>
      <c r="J15" s="974"/>
      <c r="K15" s="973"/>
      <c r="L15" s="697"/>
      <c r="M15" s="972"/>
      <c r="N15" s="972"/>
      <c r="O15" s="972"/>
      <c r="P15" s="971">
        <f t="shared" si="0"/>
        <v>0</v>
      </c>
      <c r="Q15" s="972"/>
      <c r="R15" s="971">
        <f t="shared" si="1"/>
        <v>0</v>
      </c>
      <c r="S15" s="972"/>
      <c r="T15" s="505">
        <f t="shared" si="2"/>
        <v>0</v>
      </c>
      <c r="U15" s="697"/>
      <c r="V15" s="505">
        <f t="shared" si="3"/>
        <v>0</v>
      </c>
      <c r="W15" s="697"/>
      <c r="X15" s="505">
        <f t="shared" si="4"/>
        <v>0</v>
      </c>
      <c r="Y15" s="697"/>
      <c r="Z15" s="505">
        <f t="shared" si="5"/>
        <v>0</v>
      </c>
      <c r="AA15" s="697"/>
      <c r="AB15" s="505">
        <f t="shared" si="6"/>
        <v>0</v>
      </c>
      <c r="AC15" s="697"/>
      <c r="AD15" s="505">
        <f t="shared" si="7"/>
        <v>0</v>
      </c>
      <c r="AE15" s="505">
        <f t="shared" si="8"/>
        <v>0</v>
      </c>
      <c r="AF15" s="697"/>
      <c r="AG15" s="697"/>
      <c r="AH15" s="505">
        <f t="shared" si="9"/>
        <v>0</v>
      </c>
      <c r="AI15" s="697"/>
      <c r="AJ15" s="697"/>
      <c r="AK15" s="505">
        <f t="shared" si="10"/>
        <v>0</v>
      </c>
      <c r="AL15" s="697"/>
      <c r="AM15" s="697"/>
      <c r="AN15" s="505">
        <f t="shared" si="11"/>
        <v>0</v>
      </c>
      <c r="AO15" s="697"/>
      <c r="AP15" s="697"/>
      <c r="AQ15" s="505">
        <f t="shared" si="12"/>
        <v>0</v>
      </c>
      <c r="AR15" s="505">
        <f t="shared" si="13"/>
        <v>0</v>
      </c>
      <c r="AS15" s="697"/>
      <c r="AT15" s="505">
        <f t="shared" si="14"/>
        <v>0</v>
      </c>
      <c r="AU15" s="697"/>
      <c r="AV15" s="697"/>
      <c r="AW15" s="697"/>
      <c r="AX15" s="505">
        <f t="shared" si="15"/>
        <v>0</v>
      </c>
      <c r="AY15" s="697"/>
      <c r="AZ15" s="697"/>
      <c r="BA15" s="697"/>
      <c r="BB15" s="505">
        <f t="shared" si="16"/>
        <v>0</v>
      </c>
      <c r="BC15" s="505">
        <f t="shared" si="17"/>
        <v>0</v>
      </c>
    </row>
    <row r="16" spans="1:55">
      <c r="A16" s="675"/>
      <c r="B16" s="975"/>
      <c r="C16" s="975"/>
      <c r="D16" s="975"/>
      <c r="E16" s="975"/>
      <c r="F16" s="975"/>
      <c r="G16" s="975"/>
      <c r="H16" s="975"/>
      <c r="I16" s="975"/>
      <c r="J16" s="975"/>
      <c r="K16" s="721"/>
      <c r="L16" s="697"/>
      <c r="M16" s="972"/>
      <c r="N16" s="972"/>
      <c r="O16" s="972"/>
      <c r="P16" s="971">
        <f t="shared" si="0"/>
        <v>0</v>
      </c>
      <c r="Q16" s="972"/>
      <c r="R16" s="971">
        <f t="shared" si="1"/>
        <v>0</v>
      </c>
      <c r="S16" s="972"/>
      <c r="T16" s="505">
        <f t="shared" si="2"/>
        <v>0</v>
      </c>
      <c r="U16" s="697"/>
      <c r="V16" s="505">
        <f t="shared" si="3"/>
        <v>0</v>
      </c>
      <c r="W16" s="697"/>
      <c r="X16" s="505">
        <f t="shared" si="4"/>
        <v>0</v>
      </c>
      <c r="Y16" s="697"/>
      <c r="Z16" s="505">
        <f t="shared" si="5"/>
        <v>0</v>
      </c>
      <c r="AA16" s="697"/>
      <c r="AB16" s="505">
        <f t="shared" si="6"/>
        <v>0</v>
      </c>
      <c r="AC16" s="697"/>
      <c r="AD16" s="505">
        <f t="shared" si="7"/>
        <v>0</v>
      </c>
      <c r="AE16" s="505">
        <f t="shared" si="8"/>
        <v>0</v>
      </c>
      <c r="AF16" s="697"/>
      <c r="AG16" s="697"/>
      <c r="AH16" s="505">
        <f t="shared" si="9"/>
        <v>0</v>
      </c>
      <c r="AI16" s="697"/>
      <c r="AJ16" s="697"/>
      <c r="AK16" s="505">
        <f t="shared" si="10"/>
        <v>0</v>
      </c>
      <c r="AL16" s="697"/>
      <c r="AM16" s="697"/>
      <c r="AN16" s="505">
        <f t="shared" si="11"/>
        <v>0</v>
      </c>
      <c r="AO16" s="697"/>
      <c r="AP16" s="697"/>
      <c r="AQ16" s="505">
        <f t="shared" si="12"/>
        <v>0</v>
      </c>
      <c r="AR16" s="505">
        <f t="shared" si="13"/>
        <v>0</v>
      </c>
      <c r="AS16" s="697"/>
      <c r="AT16" s="505">
        <f t="shared" si="14"/>
        <v>0</v>
      </c>
      <c r="AU16" s="697"/>
      <c r="AV16" s="697"/>
      <c r="AW16" s="697"/>
      <c r="AX16" s="505">
        <f t="shared" si="15"/>
        <v>0</v>
      </c>
      <c r="AY16" s="697"/>
      <c r="AZ16" s="697"/>
      <c r="BA16" s="697"/>
      <c r="BB16" s="505">
        <f t="shared" si="16"/>
        <v>0</v>
      </c>
      <c r="BC16" s="505">
        <f t="shared" si="17"/>
        <v>0</v>
      </c>
    </row>
    <row r="17" spans="1:55">
      <c r="A17" s="675"/>
      <c r="B17" s="975"/>
      <c r="C17" s="975"/>
      <c r="D17" s="975"/>
      <c r="E17" s="975"/>
      <c r="F17" s="975"/>
      <c r="G17" s="975"/>
      <c r="H17" s="975"/>
      <c r="I17" s="975"/>
      <c r="J17" s="975"/>
      <c r="K17" s="721"/>
      <c r="L17" s="697"/>
      <c r="M17" s="972"/>
      <c r="N17" s="972"/>
      <c r="O17" s="972"/>
      <c r="P17" s="971">
        <f t="shared" si="0"/>
        <v>0</v>
      </c>
      <c r="Q17" s="972"/>
      <c r="R17" s="971">
        <f t="shared" si="1"/>
        <v>0</v>
      </c>
      <c r="S17" s="972"/>
      <c r="T17" s="505">
        <f t="shared" si="2"/>
        <v>0</v>
      </c>
      <c r="U17" s="697"/>
      <c r="V17" s="505">
        <f t="shared" si="3"/>
        <v>0</v>
      </c>
      <c r="W17" s="697"/>
      <c r="X17" s="505">
        <f t="shared" si="4"/>
        <v>0</v>
      </c>
      <c r="Y17" s="697"/>
      <c r="Z17" s="505">
        <f t="shared" si="5"/>
        <v>0</v>
      </c>
      <c r="AA17" s="697"/>
      <c r="AB17" s="505">
        <f t="shared" si="6"/>
        <v>0</v>
      </c>
      <c r="AC17" s="697"/>
      <c r="AD17" s="505">
        <f t="shared" si="7"/>
        <v>0</v>
      </c>
      <c r="AE17" s="505">
        <f t="shared" si="8"/>
        <v>0</v>
      </c>
      <c r="AF17" s="697"/>
      <c r="AG17" s="697"/>
      <c r="AH17" s="505">
        <f t="shared" si="9"/>
        <v>0</v>
      </c>
      <c r="AI17" s="697"/>
      <c r="AJ17" s="697"/>
      <c r="AK17" s="505">
        <f t="shared" si="10"/>
        <v>0</v>
      </c>
      <c r="AL17" s="697"/>
      <c r="AM17" s="697"/>
      <c r="AN17" s="505">
        <f t="shared" si="11"/>
        <v>0</v>
      </c>
      <c r="AO17" s="697"/>
      <c r="AP17" s="697"/>
      <c r="AQ17" s="505">
        <f t="shared" si="12"/>
        <v>0</v>
      </c>
      <c r="AR17" s="505">
        <f t="shared" si="13"/>
        <v>0</v>
      </c>
      <c r="AS17" s="697"/>
      <c r="AT17" s="505">
        <f t="shared" si="14"/>
        <v>0</v>
      </c>
      <c r="AU17" s="697"/>
      <c r="AV17" s="697"/>
      <c r="AW17" s="697"/>
      <c r="AX17" s="505">
        <f t="shared" si="15"/>
        <v>0</v>
      </c>
      <c r="AY17" s="697"/>
      <c r="AZ17" s="697"/>
      <c r="BA17" s="697"/>
      <c r="BB17" s="505">
        <f t="shared" si="16"/>
        <v>0</v>
      </c>
      <c r="BC17" s="505">
        <f t="shared" si="17"/>
        <v>0</v>
      </c>
    </row>
    <row r="18" spans="1:55">
      <c r="A18" s="675"/>
      <c r="B18" s="975"/>
      <c r="C18" s="975"/>
      <c r="D18" s="975"/>
      <c r="E18" s="975"/>
      <c r="F18" s="975"/>
      <c r="G18" s="975"/>
      <c r="H18" s="975"/>
      <c r="I18" s="975"/>
      <c r="J18" s="975"/>
      <c r="K18" s="721"/>
      <c r="L18" s="697"/>
      <c r="M18" s="972"/>
      <c r="N18" s="972"/>
      <c r="O18" s="972"/>
      <c r="P18" s="971">
        <f t="shared" si="0"/>
        <v>0</v>
      </c>
      <c r="Q18" s="972"/>
      <c r="R18" s="971">
        <f t="shared" si="1"/>
        <v>0</v>
      </c>
      <c r="S18" s="972"/>
      <c r="T18" s="505">
        <f t="shared" si="2"/>
        <v>0</v>
      </c>
      <c r="U18" s="697"/>
      <c r="V18" s="505">
        <f t="shared" si="3"/>
        <v>0</v>
      </c>
      <c r="W18" s="697"/>
      <c r="X18" s="505">
        <f t="shared" si="4"/>
        <v>0</v>
      </c>
      <c r="Y18" s="697"/>
      <c r="Z18" s="505">
        <f t="shared" si="5"/>
        <v>0</v>
      </c>
      <c r="AA18" s="697"/>
      <c r="AB18" s="505">
        <f t="shared" si="6"/>
        <v>0</v>
      </c>
      <c r="AC18" s="697"/>
      <c r="AD18" s="505">
        <f t="shared" si="7"/>
        <v>0</v>
      </c>
      <c r="AE18" s="505">
        <f t="shared" si="8"/>
        <v>0</v>
      </c>
      <c r="AF18" s="697"/>
      <c r="AG18" s="697"/>
      <c r="AH18" s="505">
        <f t="shared" si="9"/>
        <v>0</v>
      </c>
      <c r="AI18" s="697"/>
      <c r="AJ18" s="697"/>
      <c r="AK18" s="505">
        <f t="shared" si="10"/>
        <v>0</v>
      </c>
      <c r="AL18" s="697"/>
      <c r="AM18" s="697"/>
      <c r="AN18" s="505">
        <f t="shared" si="11"/>
        <v>0</v>
      </c>
      <c r="AO18" s="697"/>
      <c r="AP18" s="697"/>
      <c r="AQ18" s="505">
        <f t="shared" si="12"/>
        <v>0</v>
      </c>
      <c r="AR18" s="505">
        <f t="shared" si="13"/>
        <v>0</v>
      </c>
      <c r="AS18" s="697"/>
      <c r="AT18" s="505">
        <f t="shared" si="14"/>
        <v>0</v>
      </c>
      <c r="AU18" s="697"/>
      <c r="AV18" s="697"/>
      <c r="AW18" s="697"/>
      <c r="AX18" s="505">
        <f t="shared" si="15"/>
        <v>0</v>
      </c>
      <c r="AY18" s="697"/>
      <c r="AZ18" s="697"/>
      <c r="BA18" s="697"/>
      <c r="BB18" s="505">
        <f t="shared" si="16"/>
        <v>0</v>
      </c>
      <c r="BC18" s="505">
        <f t="shared" si="17"/>
        <v>0</v>
      </c>
    </row>
    <row r="19" spans="1:55">
      <c r="A19" s="675"/>
      <c r="B19" s="975"/>
      <c r="C19" s="975"/>
      <c r="D19" s="975"/>
      <c r="E19" s="975"/>
      <c r="F19" s="975"/>
      <c r="G19" s="975"/>
      <c r="H19" s="975"/>
      <c r="I19" s="975"/>
      <c r="J19" s="975"/>
      <c r="K19" s="721"/>
      <c r="L19" s="697"/>
      <c r="M19" s="972"/>
      <c r="N19" s="972"/>
      <c r="O19" s="972"/>
      <c r="P19" s="971">
        <f t="shared" si="0"/>
        <v>0</v>
      </c>
      <c r="Q19" s="972"/>
      <c r="R19" s="971">
        <f t="shared" si="1"/>
        <v>0</v>
      </c>
      <c r="S19" s="972"/>
      <c r="T19" s="505">
        <f t="shared" si="2"/>
        <v>0</v>
      </c>
      <c r="U19" s="697"/>
      <c r="V19" s="505">
        <f t="shared" si="3"/>
        <v>0</v>
      </c>
      <c r="W19" s="697"/>
      <c r="X19" s="505">
        <f t="shared" si="4"/>
        <v>0</v>
      </c>
      <c r="Y19" s="697"/>
      <c r="Z19" s="505">
        <f t="shared" si="5"/>
        <v>0</v>
      </c>
      <c r="AA19" s="697"/>
      <c r="AB19" s="505">
        <f t="shared" si="6"/>
        <v>0</v>
      </c>
      <c r="AC19" s="697"/>
      <c r="AD19" s="505">
        <f t="shared" si="7"/>
        <v>0</v>
      </c>
      <c r="AE19" s="505">
        <f t="shared" si="8"/>
        <v>0</v>
      </c>
      <c r="AF19" s="697"/>
      <c r="AG19" s="697"/>
      <c r="AH19" s="505">
        <f t="shared" si="9"/>
        <v>0</v>
      </c>
      <c r="AI19" s="697"/>
      <c r="AJ19" s="697"/>
      <c r="AK19" s="505">
        <f t="shared" si="10"/>
        <v>0</v>
      </c>
      <c r="AL19" s="697"/>
      <c r="AM19" s="697"/>
      <c r="AN19" s="505">
        <f t="shared" si="11"/>
        <v>0</v>
      </c>
      <c r="AO19" s="697"/>
      <c r="AP19" s="697"/>
      <c r="AQ19" s="505">
        <f t="shared" si="12"/>
        <v>0</v>
      </c>
      <c r="AR19" s="505">
        <f t="shared" si="13"/>
        <v>0</v>
      </c>
      <c r="AS19" s="697"/>
      <c r="AT19" s="505">
        <f t="shared" si="14"/>
        <v>0</v>
      </c>
      <c r="AU19" s="697"/>
      <c r="AV19" s="697"/>
      <c r="AW19" s="697"/>
      <c r="AX19" s="505">
        <f t="shared" si="15"/>
        <v>0</v>
      </c>
      <c r="AY19" s="697"/>
      <c r="AZ19" s="697"/>
      <c r="BA19" s="697"/>
      <c r="BB19" s="505">
        <f t="shared" si="16"/>
        <v>0</v>
      </c>
      <c r="BC19" s="505">
        <f t="shared" si="17"/>
        <v>0</v>
      </c>
    </row>
    <row r="20" spans="1:55">
      <c r="A20" s="675"/>
      <c r="B20" s="975"/>
      <c r="C20" s="975"/>
      <c r="D20" s="975"/>
      <c r="E20" s="975"/>
      <c r="F20" s="975"/>
      <c r="G20" s="975"/>
      <c r="H20" s="975"/>
      <c r="I20" s="975"/>
      <c r="J20" s="975"/>
      <c r="K20" s="721"/>
      <c r="L20" s="697"/>
      <c r="M20" s="972"/>
      <c r="N20" s="972"/>
      <c r="O20" s="972"/>
      <c r="P20" s="971">
        <f t="shared" si="0"/>
        <v>0</v>
      </c>
      <c r="Q20" s="972"/>
      <c r="R20" s="971">
        <f t="shared" si="1"/>
        <v>0</v>
      </c>
      <c r="S20" s="972"/>
      <c r="T20" s="505">
        <f t="shared" si="2"/>
        <v>0</v>
      </c>
      <c r="U20" s="697"/>
      <c r="V20" s="505">
        <f t="shared" si="3"/>
        <v>0</v>
      </c>
      <c r="W20" s="697"/>
      <c r="X20" s="505">
        <f t="shared" si="4"/>
        <v>0</v>
      </c>
      <c r="Y20" s="697"/>
      <c r="Z20" s="505">
        <f t="shared" si="5"/>
        <v>0</v>
      </c>
      <c r="AA20" s="697"/>
      <c r="AB20" s="505">
        <f t="shared" si="6"/>
        <v>0</v>
      </c>
      <c r="AC20" s="697"/>
      <c r="AD20" s="505">
        <f t="shared" si="7"/>
        <v>0</v>
      </c>
      <c r="AE20" s="505">
        <f t="shared" si="8"/>
        <v>0</v>
      </c>
      <c r="AF20" s="697"/>
      <c r="AG20" s="697"/>
      <c r="AH20" s="505">
        <f t="shared" si="9"/>
        <v>0</v>
      </c>
      <c r="AI20" s="697"/>
      <c r="AJ20" s="697"/>
      <c r="AK20" s="505">
        <f t="shared" si="10"/>
        <v>0</v>
      </c>
      <c r="AL20" s="697"/>
      <c r="AM20" s="697"/>
      <c r="AN20" s="505">
        <f t="shared" si="11"/>
        <v>0</v>
      </c>
      <c r="AO20" s="697"/>
      <c r="AP20" s="697"/>
      <c r="AQ20" s="505">
        <f t="shared" si="12"/>
        <v>0</v>
      </c>
      <c r="AR20" s="505">
        <f t="shared" si="13"/>
        <v>0</v>
      </c>
      <c r="AS20" s="697"/>
      <c r="AT20" s="505">
        <f t="shared" si="14"/>
        <v>0</v>
      </c>
      <c r="AU20" s="697"/>
      <c r="AV20" s="697"/>
      <c r="AW20" s="697"/>
      <c r="AX20" s="505">
        <f t="shared" si="15"/>
        <v>0</v>
      </c>
      <c r="AY20" s="697"/>
      <c r="AZ20" s="697"/>
      <c r="BA20" s="697"/>
      <c r="BB20" s="505">
        <f t="shared" si="16"/>
        <v>0</v>
      </c>
      <c r="BC20" s="505">
        <f t="shared" si="17"/>
        <v>0</v>
      </c>
    </row>
    <row r="21" spans="1:55">
      <c r="A21" s="675"/>
      <c r="B21" s="975"/>
      <c r="C21" s="975"/>
      <c r="D21" s="975"/>
      <c r="E21" s="975"/>
      <c r="F21" s="975"/>
      <c r="G21" s="975"/>
      <c r="H21" s="975"/>
      <c r="I21" s="975"/>
      <c r="J21" s="975"/>
      <c r="K21" s="721"/>
      <c r="L21" s="697"/>
      <c r="M21" s="972"/>
      <c r="N21" s="972"/>
      <c r="O21" s="972"/>
      <c r="P21" s="971">
        <f t="shared" si="0"/>
        <v>0</v>
      </c>
      <c r="Q21" s="972"/>
      <c r="R21" s="971">
        <f t="shared" si="1"/>
        <v>0</v>
      </c>
      <c r="S21" s="972"/>
      <c r="T21" s="505">
        <f t="shared" si="2"/>
        <v>0</v>
      </c>
      <c r="U21" s="697"/>
      <c r="V21" s="505">
        <f t="shared" si="3"/>
        <v>0</v>
      </c>
      <c r="W21" s="697"/>
      <c r="X21" s="505">
        <f t="shared" si="4"/>
        <v>0</v>
      </c>
      <c r="Y21" s="697"/>
      <c r="Z21" s="505">
        <f t="shared" si="5"/>
        <v>0</v>
      </c>
      <c r="AA21" s="697"/>
      <c r="AB21" s="505">
        <f t="shared" si="6"/>
        <v>0</v>
      </c>
      <c r="AC21" s="697"/>
      <c r="AD21" s="505">
        <f t="shared" si="7"/>
        <v>0</v>
      </c>
      <c r="AE21" s="505">
        <f t="shared" si="8"/>
        <v>0</v>
      </c>
      <c r="AF21" s="697"/>
      <c r="AG21" s="697"/>
      <c r="AH21" s="505">
        <f t="shared" si="9"/>
        <v>0</v>
      </c>
      <c r="AI21" s="697"/>
      <c r="AJ21" s="697"/>
      <c r="AK21" s="505">
        <f t="shared" si="10"/>
        <v>0</v>
      </c>
      <c r="AL21" s="697"/>
      <c r="AM21" s="697"/>
      <c r="AN21" s="505">
        <f t="shared" si="11"/>
        <v>0</v>
      </c>
      <c r="AO21" s="697"/>
      <c r="AP21" s="697"/>
      <c r="AQ21" s="505">
        <f t="shared" si="12"/>
        <v>0</v>
      </c>
      <c r="AR21" s="505">
        <f t="shared" si="13"/>
        <v>0</v>
      </c>
      <c r="AS21" s="697"/>
      <c r="AT21" s="505">
        <f t="shared" si="14"/>
        <v>0</v>
      </c>
      <c r="AU21" s="697"/>
      <c r="AV21" s="697"/>
      <c r="AW21" s="697"/>
      <c r="AX21" s="505">
        <f t="shared" si="15"/>
        <v>0</v>
      </c>
      <c r="AY21" s="697"/>
      <c r="AZ21" s="697"/>
      <c r="BA21" s="697"/>
      <c r="BB21" s="505">
        <f t="shared" si="16"/>
        <v>0</v>
      </c>
      <c r="BC21" s="505">
        <f t="shared" si="17"/>
        <v>0</v>
      </c>
    </row>
    <row r="22" spans="1:55">
      <c r="A22" s="675"/>
      <c r="B22" s="975"/>
      <c r="C22" s="975"/>
      <c r="D22" s="975"/>
      <c r="E22" s="975"/>
      <c r="F22" s="975"/>
      <c r="G22" s="975"/>
      <c r="H22" s="975"/>
      <c r="I22" s="975"/>
      <c r="J22" s="975"/>
      <c r="K22" s="721"/>
      <c r="L22" s="697"/>
      <c r="M22" s="972"/>
      <c r="N22" s="972"/>
      <c r="O22" s="972"/>
      <c r="P22" s="971">
        <f t="shared" si="0"/>
        <v>0</v>
      </c>
      <c r="Q22" s="972"/>
      <c r="R22" s="971">
        <f t="shared" si="1"/>
        <v>0</v>
      </c>
      <c r="S22" s="972"/>
      <c r="T22" s="505">
        <f t="shared" si="2"/>
        <v>0</v>
      </c>
      <c r="U22" s="697"/>
      <c r="V22" s="505">
        <f t="shared" si="3"/>
        <v>0</v>
      </c>
      <c r="W22" s="697"/>
      <c r="X22" s="505">
        <f t="shared" si="4"/>
        <v>0</v>
      </c>
      <c r="Y22" s="697"/>
      <c r="Z22" s="505">
        <f t="shared" si="5"/>
        <v>0</v>
      </c>
      <c r="AA22" s="697"/>
      <c r="AB22" s="505">
        <f t="shared" si="6"/>
        <v>0</v>
      </c>
      <c r="AC22" s="697"/>
      <c r="AD22" s="505">
        <f t="shared" si="7"/>
        <v>0</v>
      </c>
      <c r="AE22" s="505">
        <f t="shared" si="8"/>
        <v>0</v>
      </c>
      <c r="AF22" s="697"/>
      <c r="AG22" s="697"/>
      <c r="AH22" s="505">
        <f t="shared" si="9"/>
        <v>0</v>
      </c>
      <c r="AI22" s="697"/>
      <c r="AJ22" s="697"/>
      <c r="AK22" s="505">
        <f t="shared" si="10"/>
        <v>0</v>
      </c>
      <c r="AL22" s="697"/>
      <c r="AM22" s="697"/>
      <c r="AN22" s="505">
        <f t="shared" si="11"/>
        <v>0</v>
      </c>
      <c r="AO22" s="697"/>
      <c r="AP22" s="697"/>
      <c r="AQ22" s="505">
        <f t="shared" si="12"/>
        <v>0</v>
      </c>
      <c r="AR22" s="505">
        <f t="shared" si="13"/>
        <v>0</v>
      </c>
      <c r="AS22" s="697"/>
      <c r="AT22" s="505">
        <f t="shared" si="14"/>
        <v>0</v>
      </c>
      <c r="AU22" s="697"/>
      <c r="AV22" s="697"/>
      <c r="AW22" s="697"/>
      <c r="AX22" s="505">
        <f t="shared" si="15"/>
        <v>0</v>
      </c>
      <c r="AY22" s="697"/>
      <c r="AZ22" s="697"/>
      <c r="BA22" s="697"/>
      <c r="BB22" s="505">
        <f t="shared" si="16"/>
        <v>0</v>
      </c>
      <c r="BC22" s="505">
        <f t="shared" si="17"/>
        <v>0</v>
      </c>
    </row>
    <row r="23" spans="1:55">
      <c r="A23" s="675"/>
      <c r="B23" s="975"/>
      <c r="C23" s="975"/>
      <c r="D23" s="975"/>
      <c r="E23" s="975"/>
      <c r="F23" s="975"/>
      <c r="G23" s="975"/>
      <c r="H23" s="975"/>
      <c r="I23" s="975"/>
      <c r="J23" s="975"/>
      <c r="K23" s="721"/>
      <c r="L23" s="697"/>
      <c r="M23" s="972"/>
      <c r="N23" s="972"/>
      <c r="O23" s="972"/>
      <c r="P23" s="971">
        <f t="shared" si="0"/>
        <v>0</v>
      </c>
      <c r="Q23" s="972"/>
      <c r="R23" s="971">
        <f t="shared" si="1"/>
        <v>0</v>
      </c>
      <c r="S23" s="972"/>
      <c r="T23" s="505">
        <f t="shared" si="2"/>
        <v>0</v>
      </c>
      <c r="U23" s="697"/>
      <c r="V23" s="505">
        <f t="shared" si="3"/>
        <v>0</v>
      </c>
      <c r="W23" s="697"/>
      <c r="X23" s="505">
        <f t="shared" si="4"/>
        <v>0</v>
      </c>
      <c r="Y23" s="697"/>
      <c r="Z23" s="505">
        <f t="shared" si="5"/>
        <v>0</v>
      </c>
      <c r="AA23" s="697"/>
      <c r="AB23" s="505">
        <f t="shared" si="6"/>
        <v>0</v>
      </c>
      <c r="AC23" s="697"/>
      <c r="AD23" s="505">
        <f t="shared" si="7"/>
        <v>0</v>
      </c>
      <c r="AE23" s="505">
        <f t="shared" si="8"/>
        <v>0</v>
      </c>
      <c r="AF23" s="697"/>
      <c r="AG23" s="697"/>
      <c r="AH23" s="505">
        <f t="shared" si="9"/>
        <v>0</v>
      </c>
      <c r="AI23" s="697"/>
      <c r="AJ23" s="697"/>
      <c r="AK23" s="505">
        <f t="shared" si="10"/>
        <v>0</v>
      </c>
      <c r="AL23" s="697"/>
      <c r="AM23" s="697"/>
      <c r="AN23" s="505">
        <f t="shared" si="11"/>
        <v>0</v>
      </c>
      <c r="AO23" s="697"/>
      <c r="AP23" s="697"/>
      <c r="AQ23" s="505">
        <f t="shared" si="12"/>
        <v>0</v>
      </c>
      <c r="AR23" s="505">
        <f t="shared" si="13"/>
        <v>0</v>
      </c>
      <c r="AS23" s="697"/>
      <c r="AT23" s="505">
        <f t="shared" si="14"/>
        <v>0</v>
      </c>
      <c r="AU23" s="697"/>
      <c r="AV23" s="697"/>
      <c r="AW23" s="697"/>
      <c r="AX23" s="505">
        <f t="shared" si="15"/>
        <v>0</v>
      </c>
      <c r="AY23" s="697"/>
      <c r="AZ23" s="697"/>
      <c r="BA23" s="697"/>
      <c r="BB23" s="505">
        <f t="shared" si="16"/>
        <v>0</v>
      </c>
      <c r="BC23" s="505">
        <f t="shared" si="17"/>
        <v>0</v>
      </c>
    </row>
    <row r="24" spans="1:55">
      <c r="A24" s="675"/>
      <c r="B24" s="975"/>
      <c r="C24" s="975"/>
      <c r="D24" s="975"/>
      <c r="E24" s="975"/>
      <c r="F24" s="975"/>
      <c r="G24" s="975"/>
      <c r="H24" s="975"/>
      <c r="I24" s="975"/>
      <c r="J24" s="975"/>
      <c r="K24" s="721"/>
      <c r="L24" s="697"/>
      <c r="M24" s="972"/>
      <c r="N24" s="972"/>
      <c r="O24" s="972"/>
      <c r="P24" s="971">
        <f t="shared" si="0"/>
        <v>0</v>
      </c>
      <c r="Q24" s="972"/>
      <c r="R24" s="971">
        <f t="shared" si="1"/>
        <v>0</v>
      </c>
      <c r="S24" s="972"/>
      <c r="T24" s="505">
        <f t="shared" si="2"/>
        <v>0</v>
      </c>
      <c r="U24" s="697"/>
      <c r="V24" s="505">
        <f t="shared" si="3"/>
        <v>0</v>
      </c>
      <c r="W24" s="697"/>
      <c r="X24" s="505">
        <f t="shared" si="4"/>
        <v>0</v>
      </c>
      <c r="Y24" s="697"/>
      <c r="Z24" s="505">
        <f t="shared" si="5"/>
        <v>0</v>
      </c>
      <c r="AA24" s="697"/>
      <c r="AB24" s="505">
        <f t="shared" si="6"/>
        <v>0</v>
      </c>
      <c r="AC24" s="697"/>
      <c r="AD24" s="505">
        <f t="shared" si="7"/>
        <v>0</v>
      </c>
      <c r="AE24" s="505">
        <f t="shared" si="8"/>
        <v>0</v>
      </c>
      <c r="AF24" s="697"/>
      <c r="AG24" s="697"/>
      <c r="AH24" s="505">
        <f t="shared" si="9"/>
        <v>0</v>
      </c>
      <c r="AI24" s="697"/>
      <c r="AJ24" s="697"/>
      <c r="AK24" s="505">
        <f t="shared" si="10"/>
        <v>0</v>
      </c>
      <c r="AL24" s="697"/>
      <c r="AM24" s="697"/>
      <c r="AN24" s="505">
        <f t="shared" si="11"/>
        <v>0</v>
      </c>
      <c r="AO24" s="697"/>
      <c r="AP24" s="697"/>
      <c r="AQ24" s="505">
        <f t="shared" si="12"/>
        <v>0</v>
      </c>
      <c r="AR24" s="505">
        <f t="shared" si="13"/>
        <v>0</v>
      </c>
      <c r="AS24" s="697"/>
      <c r="AT24" s="505">
        <f t="shared" si="14"/>
        <v>0</v>
      </c>
      <c r="AU24" s="697"/>
      <c r="AV24" s="697"/>
      <c r="AW24" s="697"/>
      <c r="AX24" s="505">
        <f t="shared" si="15"/>
        <v>0</v>
      </c>
      <c r="AY24" s="697"/>
      <c r="AZ24" s="697"/>
      <c r="BA24" s="697"/>
      <c r="BB24" s="505">
        <f t="shared" si="16"/>
        <v>0</v>
      </c>
      <c r="BC24" s="505">
        <f t="shared" si="17"/>
        <v>0</v>
      </c>
    </row>
    <row r="25" spans="1:55">
      <c r="A25" s="675"/>
      <c r="B25" s="975"/>
      <c r="C25" s="975"/>
      <c r="D25" s="975"/>
      <c r="E25" s="975"/>
      <c r="F25" s="975"/>
      <c r="G25" s="975"/>
      <c r="H25" s="975"/>
      <c r="I25" s="975"/>
      <c r="J25" s="975"/>
      <c r="K25" s="721"/>
      <c r="L25" s="697"/>
      <c r="M25" s="972"/>
      <c r="N25" s="972"/>
      <c r="O25" s="972"/>
      <c r="P25" s="971">
        <f t="shared" si="0"/>
        <v>0</v>
      </c>
      <c r="Q25" s="972"/>
      <c r="R25" s="971">
        <f t="shared" si="1"/>
        <v>0</v>
      </c>
      <c r="S25" s="972"/>
      <c r="T25" s="505">
        <f t="shared" si="2"/>
        <v>0</v>
      </c>
      <c r="U25" s="697"/>
      <c r="V25" s="505">
        <f t="shared" si="3"/>
        <v>0</v>
      </c>
      <c r="W25" s="697"/>
      <c r="X25" s="505">
        <f t="shared" si="4"/>
        <v>0</v>
      </c>
      <c r="Y25" s="697"/>
      <c r="Z25" s="505">
        <f t="shared" si="5"/>
        <v>0</v>
      </c>
      <c r="AA25" s="697"/>
      <c r="AB25" s="505">
        <f t="shared" si="6"/>
        <v>0</v>
      </c>
      <c r="AC25" s="697"/>
      <c r="AD25" s="505">
        <f t="shared" si="7"/>
        <v>0</v>
      </c>
      <c r="AE25" s="505">
        <f t="shared" si="8"/>
        <v>0</v>
      </c>
      <c r="AF25" s="697"/>
      <c r="AG25" s="697"/>
      <c r="AH25" s="505">
        <f t="shared" si="9"/>
        <v>0</v>
      </c>
      <c r="AI25" s="697"/>
      <c r="AJ25" s="697"/>
      <c r="AK25" s="505">
        <f t="shared" si="10"/>
        <v>0</v>
      </c>
      <c r="AL25" s="697"/>
      <c r="AM25" s="697"/>
      <c r="AN25" s="505">
        <f t="shared" si="11"/>
        <v>0</v>
      </c>
      <c r="AO25" s="697"/>
      <c r="AP25" s="697"/>
      <c r="AQ25" s="505">
        <f t="shared" si="12"/>
        <v>0</v>
      </c>
      <c r="AR25" s="505">
        <f t="shared" si="13"/>
        <v>0</v>
      </c>
      <c r="AS25" s="697"/>
      <c r="AT25" s="505">
        <f t="shared" si="14"/>
        <v>0</v>
      </c>
      <c r="AU25" s="697"/>
      <c r="AV25" s="697"/>
      <c r="AW25" s="697"/>
      <c r="AX25" s="505">
        <f t="shared" si="15"/>
        <v>0</v>
      </c>
      <c r="AY25" s="697"/>
      <c r="AZ25" s="697"/>
      <c r="BA25" s="697"/>
      <c r="BB25" s="505">
        <f t="shared" si="16"/>
        <v>0</v>
      </c>
      <c r="BC25" s="505">
        <f t="shared" si="17"/>
        <v>0</v>
      </c>
    </row>
    <row r="26" spans="1:55">
      <c r="A26" s="675"/>
      <c r="B26" s="975"/>
      <c r="C26" s="975"/>
      <c r="D26" s="975"/>
      <c r="E26" s="975"/>
      <c r="F26" s="975"/>
      <c r="G26" s="975"/>
      <c r="H26" s="975"/>
      <c r="I26" s="975"/>
      <c r="J26" s="975"/>
      <c r="K26" s="721"/>
      <c r="L26" s="697"/>
      <c r="M26" s="972"/>
      <c r="N26" s="972"/>
      <c r="O26" s="972"/>
      <c r="P26" s="971">
        <f t="shared" si="0"/>
        <v>0</v>
      </c>
      <c r="Q26" s="972"/>
      <c r="R26" s="971">
        <f t="shared" si="1"/>
        <v>0</v>
      </c>
      <c r="S26" s="972"/>
      <c r="T26" s="505">
        <f t="shared" si="2"/>
        <v>0</v>
      </c>
      <c r="U26" s="697"/>
      <c r="V26" s="505">
        <f t="shared" si="3"/>
        <v>0</v>
      </c>
      <c r="W26" s="697"/>
      <c r="X26" s="505">
        <f t="shared" si="4"/>
        <v>0</v>
      </c>
      <c r="Y26" s="697"/>
      <c r="Z26" s="505">
        <f t="shared" si="5"/>
        <v>0</v>
      </c>
      <c r="AA26" s="697"/>
      <c r="AB26" s="505">
        <f t="shared" si="6"/>
        <v>0</v>
      </c>
      <c r="AC26" s="697"/>
      <c r="AD26" s="505">
        <f t="shared" si="7"/>
        <v>0</v>
      </c>
      <c r="AE26" s="505">
        <f t="shared" si="8"/>
        <v>0</v>
      </c>
      <c r="AF26" s="697"/>
      <c r="AG26" s="697"/>
      <c r="AH26" s="505">
        <f t="shared" si="9"/>
        <v>0</v>
      </c>
      <c r="AI26" s="697"/>
      <c r="AJ26" s="697"/>
      <c r="AK26" s="505">
        <f t="shared" si="10"/>
        <v>0</v>
      </c>
      <c r="AL26" s="697"/>
      <c r="AM26" s="697"/>
      <c r="AN26" s="505">
        <f t="shared" si="11"/>
        <v>0</v>
      </c>
      <c r="AO26" s="697"/>
      <c r="AP26" s="697"/>
      <c r="AQ26" s="505">
        <f t="shared" si="12"/>
        <v>0</v>
      </c>
      <c r="AR26" s="505">
        <f t="shared" si="13"/>
        <v>0</v>
      </c>
      <c r="AS26" s="697"/>
      <c r="AT26" s="505">
        <f t="shared" si="14"/>
        <v>0</v>
      </c>
      <c r="AU26" s="697"/>
      <c r="AV26" s="697"/>
      <c r="AW26" s="697"/>
      <c r="AX26" s="505">
        <f t="shared" si="15"/>
        <v>0</v>
      </c>
      <c r="AY26" s="697"/>
      <c r="AZ26" s="697"/>
      <c r="BA26" s="697"/>
      <c r="BB26" s="505">
        <f t="shared" si="16"/>
        <v>0</v>
      </c>
      <c r="BC26" s="505">
        <f t="shared" si="17"/>
        <v>0</v>
      </c>
    </row>
    <row r="27" spans="1:55">
      <c r="A27" s="675"/>
      <c r="B27" s="975"/>
      <c r="C27" s="975"/>
      <c r="D27" s="975"/>
      <c r="E27" s="975"/>
      <c r="F27" s="975"/>
      <c r="G27" s="975"/>
      <c r="H27" s="975"/>
      <c r="I27" s="975"/>
      <c r="J27" s="975"/>
      <c r="K27" s="721"/>
      <c r="L27" s="697"/>
      <c r="M27" s="972"/>
      <c r="N27" s="972"/>
      <c r="O27" s="972"/>
      <c r="P27" s="971">
        <f t="shared" si="0"/>
        <v>0</v>
      </c>
      <c r="Q27" s="972"/>
      <c r="R27" s="971">
        <f t="shared" si="1"/>
        <v>0</v>
      </c>
      <c r="S27" s="972"/>
      <c r="T27" s="505">
        <f t="shared" si="2"/>
        <v>0</v>
      </c>
      <c r="U27" s="697"/>
      <c r="V27" s="505">
        <f t="shared" si="3"/>
        <v>0</v>
      </c>
      <c r="W27" s="697"/>
      <c r="X27" s="505">
        <f t="shared" si="4"/>
        <v>0</v>
      </c>
      <c r="Y27" s="697"/>
      <c r="Z27" s="505">
        <f t="shared" si="5"/>
        <v>0</v>
      </c>
      <c r="AA27" s="697"/>
      <c r="AB27" s="505">
        <f t="shared" si="6"/>
        <v>0</v>
      </c>
      <c r="AC27" s="697"/>
      <c r="AD27" s="505">
        <f t="shared" si="7"/>
        <v>0</v>
      </c>
      <c r="AE27" s="505">
        <f t="shared" si="8"/>
        <v>0</v>
      </c>
      <c r="AF27" s="697"/>
      <c r="AG27" s="697"/>
      <c r="AH27" s="505">
        <f t="shared" si="9"/>
        <v>0</v>
      </c>
      <c r="AI27" s="697"/>
      <c r="AJ27" s="697"/>
      <c r="AK27" s="505">
        <f t="shared" si="10"/>
        <v>0</v>
      </c>
      <c r="AL27" s="697"/>
      <c r="AM27" s="697"/>
      <c r="AN27" s="505">
        <f t="shared" si="11"/>
        <v>0</v>
      </c>
      <c r="AO27" s="697"/>
      <c r="AP27" s="697"/>
      <c r="AQ27" s="505">
        <f t="shared" si="12"/>
        <v>0</v>
      </c>
      <c r="AR27" s="505">
        <f t="shared" si="13"/>
        <v>0</v>
      </c>
      <c r="AS27" s="697"/>
      <c r="AT27" s="505">
        <f t="shared" si="14"/>
        <v>0</v>
      </c>
      <c r="AU27" s="697"/>
      <c r="AV27" s="697"/>
      <c r="AW27" s="697"/>
      <c r="AX27" s="505">
        <f t="shared" si="15"/>
        <v>0</v>
      </c>
      <c r="AY27" s="697"/>
      <c r="AZ27" s="697"/>
      <c r="BA27" s="697"/>
      <c r="BB27" s="505">
        <f t="shared" si="16"/>
        <v>0</v>
      </c>
      <c r="BC27" s="505">
        <f t="shared" si="17"/>
        <v>0</v>
      </c>
    </row>
    <row r="28" spans="1:55">
      <c r="A28" s="675"/>
      <c r="B28" s="975"/>
      <c r="C28" s="975"/>
      <c r="D28" s="975"/>
      <c r="E28" s="975"/>
      <c r="F28" s="975"/>
      <c r="G28" s="975"/>
      <c r="H28" s="975"/>
      <c r="I28" s="975"/>
      <c r="J28" s="975"/>
      <c r="K28" s="721"/>
      <c r="L28" s="697"/>
      <c r="M28" s="972"/>
      <c r="N28" s="972"/>
      <c r="O28" s="972"/>
      <c r="P28" s="971">
        <f t="shared" si="0"/>
        <v>0</v>
      </c>
      <c r="Q28" s="972"/>
      <c r="R28" s="971">
        <f t="shared" si="1"/>
        <v>0</v>
      </c>
      <c r="S28" s="972"/>
      <c r="T28" s="505">
        <f t="shared" si="2"/>
        <v>0</v>
      </c>
      <c r="U28" s="697"/>
      <c r="V28" s="505">
        <f t="shared" si="3"/>
        <v>0</v>
      </c>
      <c r="W28" s="697"/>
      <c r="X28" s="505">
        <f t="shared" si="4"/>
        <v>0</v>
      </c>
      <c r="Y28" s="697"/>
      <c r="Z28" s="505">
        <f t="shared" si="5"/>
        <v>0</v>
      </c>
      <c r="AA28" s="697"/>
      <c r="AB28" s="505">
        <f t="shared" si="6"/>
        <v>0</v>
      </c>
      <c r="AC28" s="697"/>
      <c r="AD28" s="505">
        <f t="shared" si="7"/>
        <v>0</v>
      </c>
      <c r="AE28" s="505">
        <f t="shared" si="8"/>
        <v>0</v>
      </c>
      <c r="AF28" s="697"/>
      <c r="AG28" s="697"/>
      <c r="AH28" s="505">
        <f t="shared" si="9"/>
        <v>0</v>
      </c>
      <c r="AI28" s="697"/>
      <c r="AJ28" s="697"/>
      <c r="AK28" s="505">
        <f t="shared" si="10"/>
        <v>0</v>
      </c>
      <c r="AL28" s="697"/>
      <c r="AM28" s="697"/>
      <c r="AN28" s="505">
        <f t="shared" si="11"/>
        <v>0</v>
      </c>
      <c r="AO28" s="697"/>
      <c r="AP28" s="697"/>
      <c r="AQ28" s="505">
        <f t="shared" si="12"/>
        <v>0</v>
      </c>
      <c r="AR28" s="505">
        <f t="shared" si="13"/>
        <v>0</v>
      </c>
      <c r="AS28" s="697"/>
      <c r="AT28" s="505">
        <f t="shared" si="14"/>
        <v>0</v>
      </c>
      <c r="AU28" s="697"/>
      <c r="AV28" s="697"/>
      <c r="AW28" s="697"/>
      <c r="AX28" s="505">
        <f t="shared" si="15"/>
        <v>0</v>
      </c>
      <c r="AY28" s="697"/>
      <c r="AZ28" s="697"/>
      <c r="BA28" s="697"/>
      <c r="BB28" s="505">
        <f t="shared" si="16"/>
        <v>0</v>
      </c>
      <c r="BC28" s="505">
        <f t="shared" si="17"/>
        <v>0</v>
      </c>
    </row>
    <row r="29" spans="1:55">
      <c r="A29" s="675"/>
      <c r="B29" s="975"/>
      <c r="C29" s="975"/>
      <c r="D29" s="975"/>
      <c r="E29" s="975"/>
      <c r="F29" s="975"/>
      <c r="G29" s="975"/>
      <c r="H29" s="975"/>
      <c r="I29" s="975"/>
      <c r="J29" s="975"/>
      <c r="K29" s="721"/>
      <c r="L29" s="697"/>
      <c r="M29" s="972"/>
      <c r="N29" s="972"/>
      <c r="O29" s="972"/>
      <c r="P29" s="971">
        <f t="shared" si="0"/>
        <v>0</v>
      </c>
      <c r="Q29" s="972"/>
      <c r="R29" s="971">
        <f t="shared" si="1"/>
        <v>0</v>
      </c>
      <c r="S29" s="972"/>
      <c r="T29" s="505">
        <f t="shared" si="2"/>
        <v>0</v>
      </c>
      <c r="U29" s="697"/>
      <c r="V29" s="505">
        <f t="shared" si="3"/>
        <v>0</v>
      </c>
      <c r="W29" s="697"/>
      <c r="X29" s="505">
        <f t="shared" si="4"/>
        <v>0</v>
      </c>
      <c r="Y29" s="697"/>
      <c r="Z29" s="505">
        <f t="shared" si="5"/>
        <v>0</v>
      </c>
      <c r="AA29" s="697"/>
      <c r="AB29" s="505">
        <f t="shared" si="6"/>
        <v>0</v>
      </c>
      <c r="AC29" s="697"/>
      <c r="AD29" s="505">
        <f t="shared" si="7"/>
        <v>0</v>
      </c>
      <c r="AE29" s="505">
        <f t="shared" si="8"/>
        <v>0</v>
      </c>
      <c r="AF29" s="697"/>
      <c r="AG29" s="697"/>
      <c r="AH29" s="505">
        <f t="shared" si="9"/>
        <v>0</v>
      </c>
      <c r="AI29" s="697"/>
      <c r="AJ29" s="697"/>
      <c r="AK29" s="505">
        <f t="shared" si="10"/>
        <v>0</v>
      </c>
      <c r="AL29" s="697"/>
      <c r="AM29" s="697"/>
      <c r="AN29" s="505">
        <f t="shared" si="11"/>
        <v>0</v>
      </c>
      <c r="AO29" s="697"/>
      <c r="AP29" s="697"/>
      <c r="AQ29" s="505">
        <f t="shared" si="12"/>
        <v>0</v>
      </c>
      <c r="AR29" s="505">
        <f t="shared" si="13"/>
        <v>0</v>
      </c>
      <c r="AS29" s="697"/>
      <c r="AT29" s="505">
        <f t="shared" si="14"/>
        <v>0</v>
      </c>
      <c r="AU29" s="697"/>
      <c r="AV29" s="697"/>
      <c r="AW29" s="697"/>
      <c r="AX29" s="505">
        <f t="shared" si="15"/>
        <v>0</v>
      </c>
      <c r="AY29" s="697"/>
      <c r="AZ29" s="697"/>
      <c r="BA29" s="697"/>
      <c r="BB29" s="505">
        <f t="shared" si="16"/>
        <v>0</v>
      </c>
      <c r="BC29" s="505">
        <f t="shared" si="17"/>
        <v>0</v>
      </c>
    </row>
    <row r="30" spans="1:55">
      <c r="A30" s="675"/>
      <c r="B30" s="975"/>
      <c r="C30" s="975"/>
      <c r="D30" s="975"/>
      <c r="E30" s="975"/>
      <c r="F30" s="975"/>
      <c r="G30" s="975"/>
      <c r="H30" s="975"/>
      <c r="I30" s="975"/>
      <c r="J30" s="975"/>
      <c r="K30" s="721"/>
      <c r="L30" s="697"/>
      <c r="M30" s="972"/>
      <c r="N30" s="972"/>
      <c r="O30" s="972"/>
      <c r="P30" s="971">
        <f t="shared" si="0"/>
        <v>0</v>
      </c>
      <c r="Q30" s="972"/>
      <c r="R30" s="971">
        <f t="shared" si="1"/>
        <v>0</v>
      </c>
      <c r="S30" s="972"/>
      <c r="T30" s="505">
        <f t="shared" si="2"/>
        <v>0</v>
      </c>
      <c r="U30" s="697"/>
      <c r="V30" s="505">
        <f t="shared" si="3"/>
        <v>0</v>
      </c>
      <c r="W30" s="697"/>
      <c r="X30" s="505">
        <f t="shared" si="4"/>
        <v>0</v>
      </c>
      <c r="Y30" s="697"/>
      <c r="Z30" s="505">
        <f t="shared" si="5"/>
        <v>0</v>
      </c>
      <c r="AA30" s="697"/>
      <c r="AB30" s="505">
        <f t="shared" si="6"/>
        <v>0</v>
      </c>
      <c r="AC30" s="697"/>
      <c r="AD30" s="505">
        <f t="shared" si="7"/>
        <v>0</v>
      </c>
      <c r="AE30" s="505">
        <f t="shared" si="8"/>
        <v>0</v>
      </c>
      <c r="AF30" s="697"/>
      <c r="AG30" s="697"/>
      <c r="AH30" s="505">
        <f t="shared" si="9"/>
        <v>0</v>
      </c>
      <c r="AI30" s="697"/>
      <c r="AJ30" s="697"/>
      <c r="AK30" s="505">
        <f t="shared" si="10"/>
        <v>0</v>
      </c>
      <c r="AL30" s="697"/>
      <c r="AM30" s="697"/>
      <c r="AN30" s="505">
        <f t="shared" si="11"/>
        <v>0</v>
      </c>
      <c r="AO30" s="697"/>
      <c r="AP30" s="697"/>
      <c r="AQ30" s="505">
        <f t="shared" si="12"/>
        <v>0</v>
      </c>
      <c r="AR30" s="505">
        <f t="shared" si="13"/>
        <v>0</v>
      </c>
      <c r="AS30" s="697"/>
      <c r="AT30" s="505">
        <f t="shared" si="14"/>
        <v>0</v>
      </c>
      <c r="AU30" s="697"/>
      <c r="AV30" s="697"/>
      <c r="AW30" s="697"/>
      <c r="AX30" s="505">
        <f t="shared" si="15"/>
        <v>0</v>
      </c>
      <c r="AY30" s="697"/>
      <c r="AZ30" s="697"/>
      <c r="BA30" s="697"/>
      <c r="BB30" s="505">
        <f t="shared" si="16"/>
        <v>0</v>
      </c>
      <c r="BC30" s="505">
        <f t="shared" si="17"/>
        <v>0</v>
      </c>
    </row>
    <row r="31" spans="1:55">
      <c r="A31" s="675"/>
      <c r="B31" s="975"/>
      <c r="C31" s="975"/>
      <c r="D31" s="975"/>
      <c r="E31" s="975"/>
      <c r="F31" s="975"/>
      <c r="G31" s="975"/>
      <c r="H31" s="975"/>
      <c r="I31" s="975"/>
      <c r="J31" s="975"/>
      <c r="K31" s="721"/>
      <c r="L31" s="697"/>
      <c r="M31" s="972"/>
      <c r="N31" s="972"/>
      <c r="O31" s="972"/>
      <c r="P31" s="971">
        <f t="shared" si="0"/>
        <v>0</v>
      </c>
      <c r="Q31" s="972"/>
      <c r="R31" s="971">
        <f t="shared" si="1"/>
        <v>0</v>
      </c>
      <c r="S31" s="972"/>
      <c r="T31" s="505">
        <f t="shared" si="2"/>
        <v>0</v>
      </c>
      <c r="U31" s="697"/>
      <c r="V31" s="505">
        <f t="shared" si="3"/>
        <v>0</v>
      </c>
      <c r="W31" s="697"/>
      <c r="X31" s="505">
        <f t="shared" si="4"/>
        <v>0</v>
      </c>
      <c r="Y31" s="697"/>
      <c r="Z31" s="505">
        <f t="shared" si="5"/>
        <v>0</v>
      </c>
      <c r="AA31" s="697"/>
      <c r="AB31" s="505">
        <f t="shared" si="6"/>
        <v>0</v>
      </c>
      <c r="AC31" s="697"/>
      <c r="AD31" s="505">
        <f t="shared" si="7"/>
        <v>0</v>
      </c>
      <c r="AE31" s="505">
        <f t="shared" si="8"/>
        <v>0</v>
      </c>
      <c r="AF31" s="697"/>
      <c r="AG31" s="697"/>
      <c r="AH31" s="505">
        <f t="shared" si="9"/>
        <v>0</v>
      </c>
      <c r="AI31" s="697"/>
      <c r="AJ31" s="697"/>
      <c r="AK31" s="505">
        <f t="shared" si="10"/>
        <v>0</v>
      </c>
      <c r="AL31" s="697"/>
      <c r="AM31" s="697"/>
      <c r="AN31" s="505">
        <f t="shared" si="11"/>
        <v>0</v>
      </c>
      <c r="AO31" s="697"/>
      <c r="AP31" s="697"/>
      <c r="AQ31" s="505">
        <f t="shared" si="12"/>
        <v>0</v>
      </c>
      <c r="AR31" s="505">
        <f t="shared" si="13"/>
        <v>0</v>
      </c>
      <c r="AS31" s="697"/>
      <c r="AT31" s="505">
        <f t="shared" si="14"/>
        <v>0</v>
      </c>
      <c r="AU31" s="697"/>
      <c r="AV31" s="697"/>
      <c r="AW31" s="697"/>
      <c r="AX31" s="505">
        <f t="shared" si="15"/>
        <v>0</v>
      </c>
      <c r="AY31" s="697"/>
      <c r="AZ31" s="697"/>
      <c r="BA31" s="697"/>
      <c r="BB31" s="505">
        <f t="shared" si="16"/>
        <v>0</v>
      </c>
      <c r="BC31" s="505">
        <f t="shared" si="17"/>
        <v>0</v>
      </c>
    </row>
    <row r="32" spans="1:55">
      <c r="A32" s="675"/>
      <c r="B32" s="975"/>
      <c r="C32" s="975"/>
      <c r="D32" s="975"/>
      <c r="E32" s="975"/>
      <c r="F32" s="975"/>
      <c r="G32" s="975"/>
      <c r="H32" s="975"/>
      <c r="I32" s="975"/>
      <c r="J32" s="975"/>
      <c r="K32" s="721"/>
      <c r="L32" s="697"/>
      <c r="M32" s="972"/>
      <c r="N32" s="972"/>
      <c r="O32" s="972"/>
      <c r="P32" s="971">
        <f t="shared" si="0"/>
        <v>0</v>
      </c>
      <c r="Q32" s="972"/>
      <c r="R32" s="971">
        <f t="shared" si="1"/>
        <v>0</v>
      </c>
      <c r="S32" s="972"/>
      <c r="T32" s="505">
        <f t="shared" si="2"/>
        <v>0</v>
      </c>
      <c r="U32" s="697"/>
      <c r="V32" s="505">
        <f t="shared" si="3"/>
        <v>0</v>
      </c>
      <c r="W32" s="697"/>
      <c r="X32" s="505">
        <f t="shared" si="4"/>
        <v>0</v>
      </c>
      <c r="Y32" s="697"/>
      <c r="Z32" s="505">
        <f t="shared" si="5"/>
        <v>0</v>
      </c>
      <c r="AA32" s="697"/>
      <c r="AB32" s="505">
        <f t="shared" si="6"/>
        <v>0</v>
      </c>
      <c r="AC32" s="697"/>
      <c r="AD32" s="505">
        <f t="shared" si="7"/>
        <v>0</v>
      </c>
      <c r="AE32" s="505">
        <f t="shared" si="8"/>
        <v>0</v>
      </c>
      <c r="AF32" s="697"/>
      <c r="AG32" s="697"/>
      <c r="AH32" s="505">
        <f t="shared" si="9"/>
        <v>0</v>
      </c>
      <c r="AI32" s="697"/>
      <c r="AJ32" s="697"/>
      <c r="AK32" s="505">
        <f t="shared" si="10"/>
        <v>0</v>
      </c>
      <c r="AL32" s="697"/>
      <c r="AM32" s="697"/>
      <c r="AN32" s="505">
        <f t="shared" si="11"/>
        <v>0</v>
      </c>
      <c r="AO32" s="697"/>
      <c r="AP32" s="697"/>
      <c r="AQ32" s="505">
        <f t="shared" si="12"/>
        <v>0</v>
      </c>
      <c r="AR32" s="505">
        <f t="shared" si="13"/>
        <v>0</v>
      </c>
      <c r="AS32" s="697"/>
      <c r="AT32" s="505">
        <f t="shared" si="14"/>
        <v>0</v>
      </c>
      <c r="AU32" s="697"/>
      <c r="AV32" s="697"/>
      <c r="AW32" s="697"/>
      <c r="AX32" s="505">
        <f t="shared" si="15"/>
        <v>0</v>
      </c>
      <c r="AY32" s="697"/>
      <c r="AZ32" s="697"/>
      <c r="BA32" s="697"/>
      <c r="BB32" s="505">
        <f t="shared" si="16"/>
        <v>0</v>
      </c>
      <c r="BC32" s="505">
        <f t="shared" si="17"/>
        <v>0</v>
      </c>
    </row>
    <row r="33" spans="1:55">
      <c r="A33" s="675"/>
      <c r="B33" s="975"/>
      <c r="C33" s="975"/>
      <c r="D33" s="975"/>
      <c r="E33" s="975"/>
      <c r="F33" s="975"/>
      <c r="G33" s="975"/>
      <c r="H33" s="975"/>
      <c r="I33" s="975"/>
      <c r="J33" s="975"/>
      <c r="K33" s="721"/>
      <c r="L33" s="697"/>
      <c r="M33" s="972"/>
      <c r="N33" s="972"/>
      <c r="O33" s="972"/>
      <c r="P33" s="971">
        <f t="shared" si="0"/>
        <v>0</v>
      </c>
      <c r="Q33" s="972"/>
      <c r="R33" s="971">
        <f t="shared" si="1"/>
        <v>0</v>
      </c>
      <c r="S33" s="972"/>
      <c r="T33" s="505">
        <f t="shared" si="2"/>
        <v>0</v>
      </c>
      <c r="U33" s="697"/>
      <c r="V33" s="505">
        <f t="shared" si="3"/>
        <v>0</v>
      </c>
      <c r="W33" s="697"/>
      <c r="X33" s="505">
        <f t="shared" si="4"/>
        <v>0</v>
      </c>
      <c r="Y33" s="697"/>
      <c r="Z33" s="505">
        <f t="shared" si="5"/>
        <v>0</v>
      </c>
      <c r="AA33" s="697"/>
      <c r="AB33" s="505">
        <f t="shared" si="6"/>
        <v>0</v>
      </c>
      <c r="AC33" s="697"/>
      <c r="AD33" s="505">
        <f t="shared" si="7"/>
        <v>0</v>
      </c>
      <c r="AE33" s="505">
        <f t="shared" si="8"/>
        <v>0</v>
      </c>
      <c r="AF33" s="697"/>
      <c r="AG33" s="697"/>
      <c r="AH33" s="505">
        <f t="shared" si="9"/>
        <v>0</v>
      </c>
      <c r="AI33" s="697"/>
      <c r="AJ33" s="697"/>
      <c r="AK33" s="505">
        <f t="shared" si="10"/>
        <v>0</v>
      </c>
      <c r="AL33" s="697"/>
      <c r="AM33" s="697"/>
      <c r="AN33" s="505">
        <f t="shared" si="11"/>
        <v>0</v>
      </c>
      <c r="AO33" s="697"/>
      <c r="AP33" s="697"/>
      <c r="AQ33" s="505">
        <f t="shared" si="12"/>
        <v>0</v>
      </c>
      <c r="AR33" s="505">
        <f t="shared" si="13"/>
        <v>0</v>
      </c>
      <c r="AS33" s="697"/>
      <c r="AT33" s="505">
        <f t="shared" si="14"/>
        <v>0</v>
      </c>
      <c r="AU33" s="697"/>
      <c r="AV33" s="697"/>
      <c r="AW33" s="697"/>
      <c r="AX33" s="505">
        <f t="shared" si="15"/>
        <v>0</v>
      </c>
      <c r="AY33" s="697"/>
      <c r="AZ33" s="697"/>
      <c r="BA33" s="697"/>
      <c r="BB33" s="505">
        <f t="shared" si="16"/>
        <v>0</v>
      </c>
      <c r="BC33" s="505">
        <f t="shared" si="17"/>
        <v>0</v>
      </c>
    </row>
    <row r="34" spans="1:55">
      <c r="A34" s="675"/>
      <c r="B34" s="975"/>
      <c r="C34" s="975"/>
      <c r="D34" s="975"/>
      <c r="E34" s="975"/>
      <c r="F34" s="975"/>
      <c r="G34" s="975"/>
      <c r="H34" s="975"/>
      <c r="I34" s="975"/>
      <c r="J34" s="975"/>
      <c r="K34" s="721"/>
      <c r="L34" s="697"/>
      <c r="M34" s="972"/>
      <c r="N34" s="972"/>
      <c r="O34" s="972"/>
      <c r="P34" s="971">
        <f t="shared" si="0"/>
        <v>0</v>
      </c>
      <c r="Q34" s="972"/>
      <c r="R34" s="971">
        <f t="shared" si="1"/>
        <v>0</v>
      </c>
      <c r="S34" s="972"/>
      <c r="T34" s="505">
        <f t="shared" si="2"/>
        <v>0</v>
      </c>
      <c r="U34" s="697"/>
      <c r="V34" s="505">
        <f t="shared" si="3"/>
        <v>0</v>
      </c>
      <c r="W34" s="697"/>
      <c r="X34" s="505">
        <f t="shared" si="4"/>
        <v>0</v>
      </c>
      <c r="Y34" s="697"/>
      <c r="Z34" s="505">
        <f t="shared" si="5"/>
        <v>0</v>
      </c>
      <c r="AA34" s="697"/>
      <c r="AB34" s="505">
        <f t="shared" si="6"/>
        <v>0</v>
      </c>
      <c r="AC34" s="697"/>
      <c r="AD34" s="505">
        <f t="shared" si="7"/>
        <v>0</v>
      </c>
      <c r="AE34" s="505">
        <f t="shared" si="8"/>
        <v>0</v>
      </c>
      <c r="AF34" s="697"/>
      <c r="AG34" s="697"/>
      <c r="AH34" s="505">
        <f t="shared" si="9"/>
        <v>0</v>
      </c>
      <c r="AI34" s="697"/>
      <c r="AJ34" s="697"/>
      <c r="AK34" s="505">
        <f t="shared" si="10"/>
        <v>0</v>
      </c>
      <c r="AL34" s="697"/>
      <c r="AM34" s="697"/>
      <c r="AN34" s="505">
        <f t="shared" si="11"/>
        <v>0</v>
      </c>
      <c r="AO34" s="697"/>
      <c r="AP34" s="697"/>
      <c r="AQ34" s="505">
        <f t="shared" si="12"/>
        <v>0</v>
      </c>
      <c r="AR34" s="505">
        <f t="shared" si="13"/>
        <v>0</v>
      </c>
      <c r="AS34" s="697"/>
      <c r="AT34" s="505">
        <f t="shared" si="14"/>
        <v>0</v>
      </c>
      <c r="AU34" s="697"/>
      <c r="AV34" s="697"/>
      <c r="AW34" s="697"/>
      <c r="AX34" s="505">
        <f t="shared" si="15"/>
        <v>0</v>
      </c>
      <c r="AY34" s="697"/>
      <c r="AZ34" s="697"/>
      <c r="BA34" s="697"/>
      <c r="BB34" s="505">
        <f t="shared" si="16"/>
        <v>0</v>
      </c>
      <c r="BC34" s="505">
        <f t="shared" si="17"/>
        <v>0</v>
      </c>
    </row>
    <row r="35" spans="1:55">
      <c r="A35" s="675"/>
      <c r="B35" s="975"/>
      <c r="C35" s="975"/>
      <c r="D35" s="975"/>
      <c r="E35" s="975"/>
      <c r="F35" s="975"/>
      <c r="G35" s="975"/>
      <c r="H35" s="975"/>
      <c r="I35" s="975"/>
      <c r="J35" s="975"/>
      <c r="K35" s="721"/>
      <c r="L35" s="697"/>
      <c r="M35" s="972"/>
      <c r="N35" s="972"/>
      <c r="O35" s="972"/>
      <c r="P35" s="971">
        <f t="shared" si="0"/>
        <v>0</v>
      </c>
      <c r="Q35" s="972"/>
      <c r="R35" s="971">
        <f t="shared" si="1"/>
        <v>0</v>
      </c>
      <c r="S35" s="972"/>
      <c r="T35" s="505">
        <f t="shared" si="2"/>
        <v>0</v>
      </c>
      <c r="U35" s="697"/>
      <c r="V35" s="505">
        <f t="shared" si="3"/>
        <v>0</v>
      </c>
      <c r="W35" s="697"/>
      <c r="X35" s="505">
        <f t="shared" si="4"/>
        <v>0</v>
      </c>
      <c r="Y35" s="697"/>
      <c r="Z35" s="505">
        <f t="shared" si="5"/>
        <v>0</v>
      </c>
      <c r="AA35" s="697"/>
      <c r="AB35" s="505">
        <f t="shared" si="6"/>
        <v>0</v>
      </c>
      <c r="AC35" s="697"/>
      <c r="AD35" s="505">
        <f t="shared" si="7"/>
        <v>0</v>
      </c>
      <c r="AE35" s="505">
        <f t="shared" si="8"/>
        <v>0</v>
      </c>
      <c r="AF35" s="697"/>
      <c r="AG35" s="697"/>
      <c r="AH35" s="505">
        <f t="shared" si="9"/>
        <v>0</v>
      </c>
      <c r="AI35" s="697"/>
      <c r="AJ35" s="697"/>
      <c r="AK35" s="505">
        <f t="shared" si="10"/>
        <v>0</v>
      </c>
      <c r="AL35" s="697"/>
      <c r="AM35" s="697"/>
      <c r="AN35" s="505">
        <f t="shared" si="11"/>
        <v>0</v>
      </c>
      <c r="AO35" s="697"/>
      <c r="AP35" s="697"/>
      <c r="AQ35" s="505">
        <f t="shared" si="12"/>
        <v>0</v>
      </c>
      <c r="AR35" s="505">
        <f t="shared" si="13"/>
        <v>0</v>
      </c>
      <c r="AS35" s="697"/>
      <c r="AT35" s="505">
        <f t="shared" si="14"/>
        <v>0</v>
      </c>
      <c r="AU35" s="697"/>
      <c r="AV35" s="697"/>
      <c r="AW35" s="697"/>
      <c r="AX35" s="505">
        <f t="shared" si="15"/>
        <v>0</v>
      </c>
      <c r="AY35" s="697"/>
      <c r="AZ35" s="697"/>
      <c r="BA35" s="697"/>
      <c r="BB35" s="505">
        <f t="shared" si="16"/>
        <v>0</v>
      </c>
      <c r="BC35" s="505">
        <f t="shared" si="17"/>
        <v>0</v>
      </c>
    </row>
    <row r="36" spans="1:55">
      <c r="A36" s="675"/>
      <c r="B36" s="975"/>
      <c r="C36" s="975"/>
      <c r="D36" s="975"/>
      <c r="E36" s="975"/>
      <c r="F36" s="975"/>
      <c r="G36" s="975"/>
      <c r="H36" s="975"/>
      <c r="I36" s="975"/>
      <c r="J36" s="975"/>
      <c r="K36" s="721"/>
      <c r="L36" s="697"/>
      <c r="M36" s="972"/>
      <c r="N36" s="972"/>
      <c r="O36" s="972"/>
      <c r="P36" s="971">
        <f t="shared" si="0"/>
        <v>0</v>
      </c>
      <c r="Q36" s="972"/>
      <c r="R36" s="971">
        <f t="shared" si="1"/>
        <v>0</v>
      </c>
      <c r="S36" s="972"/>
      <c r="T36" s="505">
        <f t="shared" si="2"/>
        <v>0</v>
      </c>
      <c r="U36" s="697"/>
      <c r="V36" s="505">
        <f t="shared" si="3"/>
        <v>0</v>
      </c>
      <c r="W36" s="697"/>
      <c r="X36" s="505">
        <f t="shared" si="4"/>
        <v>0</v>
      </c>
      <c r="Y36" s="697"/>
      <c r="Z36" s="505">
        <f t="shared" si="5"/>
        <v>0</v>
      </c>
      <c r="AA36" s="697"/>
      <c r="AB36" s="505">
        <f t="shared" si="6"/>
        <v>0</v>
      </c>
      <c r="AC36" s="697"/>
      <c r="AD36" s="505">
        <f t="shared" si="7"/>
        <v>0</v>
      </c>
      <c r="AE36" s="505">
        <f t="shared" si="8"/>
        <v>0</v>
      </c>
      <c r="AF36" s="697"/>
      <c r="AG36" s="697"/>
      <c r="AH36" s="505">
        <f t="shared" si="9"/>
        <v>0</v>
      </c>
      <c r="AI36" s="697"/>
      <c r="AJ36" s="697"/>
      <c r="AK36" s="505">
        <f t="shared" si="10"/>
        <v>0</v>
      </c>
      <c r="AL36" s="697"/>
      <c r="AM36" s="697"/>
      <c r="AN36" s="505">
        <f t="shared" si="11"/>
        <v>0</v>
      </c>
      <c r="AO36" s="697"/>
      <c r="AP36" s="697"/>
      <c r="AQ36" s="505">
        <f t="shared" si="12"/>
        <v>0</v>
      </c>
      <c r="AR36" s="505">
        <f t="shared" si="13"/>
        <v>0</v>
      </c>
      <c r="AS36" s="697"/>
      <c r="AT36" s="505">
        <f t="shared" si="14"/>
        <v>0</v>
      </c>
      <c r="AU36" s="697"/>
      <c r="AV36" s="697"/>
      <c r="AW36" s="697"/>
      <c r="AX36" s="505">
        <f t="shared" si="15"/>
        <v>0</v>
      </c>
      <c r="AY36" s="697"/>
      <c r="AZ36" s="697"/>
      <c r="BA36" s="697"/>
      <c r="BB36" s="505">
        <f t="shared" si="16"/>
        <v>0</v>
      </c>
      <c r="BC36" s="505">
        <f t="shared" si="17"/>
        <v>0</v>
      </c>
    </row>
    <row r="37" spans="1:55">
      <c r="A37" s="675"/>
      <c r="B37" s="975"/>
      <c r="C37" s="975"/>
      <c r="D37" s="975"/>
      <c r="E37" s="975"/>
      <c r="F37" s="975"/>
      <c r="G37" s="975"/>
      <c r="H37" s="975"/>
      <c r="I37" s="975"/>
      <c r="J37" s="975"/>
      <c r="K37" s="721"/>
      <c r="L37" s="697"/>
      <c r="M37" s="972"/>
      <c r="N37" s="972"/>
      <c r="O37" s="972"/>
      <c r="P37" s="971">
        <f t="shared" si="0"/>
        <v>0</v>
      </c>
      <c r="Q37" s="972"/>
      <c r="R37" s="971">
        <f t="shared" si="1"/>
        <v>0</v>
      </c>
      <c r="S37" s="972"/>
      <c r="T37" s="505">
        <f t="shared" si="2"/>
        <v>0</v>
      </c>
      <c r="U37" s="697"/>
      <c r="V37" s="505">
        <f t="shared" si="3"/>
        <v>0</v>
      </c>
      <c r="W37" s="697"/>
      <c r="X37" s="505">
        <f t="shared" si="4"/>
        <v>0</v>
      </c>
      <c r="Y37" s="697"/>
      <c r="Z37" s="505">
        <f t="shared" si="5"/>
        <v>0</v>
      </c>
      <c r="AA37" s="697"/>
      <c r="AB37" s="505">
        <f t="shared" si="6"/>
        <v>0</v>
      </c>
      <c r="AC37" s="697"/>
      <c r="AD37" s="505">
        <f t="shared" si="7"/>
        <v>0</v>
      </c>
      <c r="AE37" s="505">
        <f t="shared" si="8"/>
        <v>0</v>
      </c>
      <c r="AF37" s="697"/>
      <c r="AG37" s="697"/>
      <c r="AH37" s="505">
        <f t="shared" si="9"/>
        <v>0</v>
      </c>
      <c r="AI37" s="697"/>
      <c r="AJ37" s="697"/>
      <c r="AK37" s="505">
        <f t="shared" si="10"/>
        <v>0</v>
      </c>
      <c r="AL37" s="697"/>
      <c r="AM37" s="697"/>
      <c r="AN37" s="505">
        <f t="shared" si="11"/>
        <v>0</v>
      </c>
      <c r="AO37" s="697"/>
      <c r="AP37" s="697"/>
      <c r="AQ37" s="505">
        <f t="shared" si="12"/>
        <v>0</v>
      </c>
      <c r="AR37" s="505">
        <f t="shared" si="13"/>
        <v>0</v>
      </c>
      <c r="AS37" s="697"/>
      <c r="AT37" s="505">
        <f t="shared" si="14"/>
        <v>0</v>
      </c>
      <c r="AU37" s="697"/>
      <c r="AV37" s="697"/>
      <c r="AW37" s="697"/>
      <c r="AX37" s="505">
        <f t="shared" si="15"/>
        <v>0</v>
      </c>
      <c r="AY37" s="697"/>
      <c r="AZ37" s="697"/>
      <c r="BA37" s="697"/>
      <c r="BB37" s="505">
        <f t="shared" si="16"/>
        <v>0</v>
      </c>
      <c r="BC37" s="505">
        <f t="shared" si="17"/>
        <v>0</v>
      </c>
    </row>
    <row r="38" spans="1:55">
      <c r="A38" s="675"/>
      <c r="B38" s="975"/>
      <c r="C38" s="975"/>
      <c r="D38" s="975"/>
      <c r="E38" s="975"/>
      <c r="F38" s="975"/>
      <c r="G38" s="975"/>
      <c r="H38" s="975"/>
      <c r="I38" s="975"/>
      <c r="J38" s="975"/>
      <c r="K38" s="721"/>
      <c r="L38" s="697"/>
      <c r="M38" s="972"/>
      <c r="N38" s="972"/>
      <c r="O38" s="972"/>
      <c r="P38" s="971">
        <f t="shared" si="0"/>
        <v>0</v>
      </c>
      <c r="Q38" s="972"/>
      <c r="R38" s="971">
        <f t="shared" si="1"/>
        <v>0</v>
      </c>
      <c r="S38" s="972"/>
      <c r="T38" s="505">
        <f t="shared" si="2"/>
        <v>0</v>
      </c>
      <c r="U38" s="697"/>
      <c r="V38" s="505">
        <f t="shared" si="3"/>
        <v>0</v>
      </c>
      <c r="W38" s="697"/>
      <c r="X38" s="505">
        <f t="shared" si="4"/>
        <v>0</v>
      </c>
      <c r="Y38" s="697"/>
      <c r="Z38" s="505">
        <f t="shared" si="5"/>
        <v>0</v>
      </c>
      <c r="AA38" s="697"/>
      <c r="AB38" s="505">
        <f t="shared" si="6"/>
        <v>0</v>
      </c>
      <c r="AC38" s="697"/>
      <c r="AD38" s="505">
        <f t="shared" si="7"/>
        <v>0</v>
      </c>
      <c r="AE38" s="505">
        <f t="shared" si="8"/>
        <v>0</v>
      </c>
      <c r="AF38" s="697"/>
      <c r="AG38" s="697"/>
      <c r="AH38" s="505">
        <f t="shared" si="9"/>
        <v>0</v>
      </c>
      <c r="AI38" s="697"/>
      <c r="AJ38" s="697"/>
      <c r="AK38" s="505">
        <f t="shared" si="10"/>
        <v>0</v>
      </c>
      <c r="AL38" s="697"/>
      <c r="AM38" s="697"/>
      <c r="AN38" s="505">
        <f t="shared" si="11"/>
        <v>0</v>
      </c>
      <c r="AO38" s="697"/>
      <c r="AP38" s="697"/>
      <c r="AQ38" s="505">
        <f t="shared" si="12"/>
        <v>0</v>
      </c>
      <c r="AR38" s="505">
        <f t="shared" si="13"/>
        <v>0</v>
      </c>
      <c r="AS38" s="697"/>
      <c r="AT38" s="505">
        <f t="shared" si="14"/>
        <v>0</v>
      </c>
      <c r="AU38" s="697"/>
      <c r="AV38" s="697"/>
      <c r="AW38" s="697"/>
      <c r="AX38" s="505">
        <f t="shared" si="15"/>
        <v>0</v>
      </c>
      <c r="AY38" s="697"/>
      <c r="AZ38" s="697"/>
      <c r="BA38" s="697"/>
      <c r="BB38" s="505">
        <f t="shared" si="16"/>
        <v>0</v>
      </c>
      <c r="BC38" s="505">
        <f t="shared" si="17"/>
        <v>0</v>
      </c>
    </row>
    <row r="39" spans="1:55">
      <c r="A39" s="675"/>
      <c r="B39" s="975"/>
      <c r="C39" s="975"/>
      <c r="D39" s="975"/>
      <c r="E39" s="975"/>
      <c r="F39" s="975"/>
      <c r="G39" s="975"/>
      <c r="H39" s="975"/>
      <c r="I39" s="975"/>
      <c r="J39" s="975"/>
      <c r="K39" s="721"/>
      <c r="L39" s="697"/>
      <c r="M39" s="972"/>
      <c r="N39" s="972"/>
      <c r="O39" s="972"/>
      <c r="P39" s="971">
        <f t="shared" si="0"/>
        <v>0</v>
      </c>
      <c r="Q39" s="972"/>
      <c r="R39" s="971">
        <f t="shared" si="1"/>
        <v>0</v>
      </c>
      <c r="S39" s="972"/>
      <c r="T39" s="505">
        <f t="shared" si="2"/>
        <v>0</v>
      </c>
      <c r="U39" s="697"/>
      <c r="V39" s="505">
        <f t="shared" si="3"/>
        <v>0</v>
      </c>
      <c r="W39" s="697"/>
      <c r="X39" s="505">
        <f t="shared" si="4"/>
        <v>0</v>
      </c>
      <c r="Y39" s="697"/>
      <c r="Z39" s="505">
        <f t="shared" si="5"/>
        <v>0</v>
      </c>
      <c r="AA39" s="697"/>
      <c r="AB39" s="505">
        <f t="shared" si="6"/>
        <v>0</v>
      </c>
      <c r="AC39" s="697"/>
      <c r="AD39" s="505">
        <f t="shared" si="7"/>
        <v>0</v>
      </c>
      <c r="AE39" s="505">
        <f t="shared" si="8"/>
        <v>0</v>
      </c>
      <c r="AF39" s="697"/>
      <c r="AG39" s="697"/>
      <c r="AH39" s="505">
        <f t="shared" si="9"/>
        <v>0</v>
      </c>
      <c r="AI39" s="697"/>
      <c r="AJ39" s="697"/>
      <c r="AK39" s="505">
        <f t="shared" si="10"/>
        <v>0</v>
      </c>
      <c r="AL39" s="697"/>
      <c r="AM39" s="697"/>
      <c r="AN39" s="505">
        <f t="shared" si="11"/>
        <v>0</v>
      </c>
      <c r="AO39" s="697"/>
      <c r="AP39" s="697"/>
      <c r="AQ39" s="505">
        <f t="shared" si="12"/>
        <v>0</v>
      </c>
      <c r="AR39" s="505">
        <f t="shared" si="13"/>
        <v>0</v>
      </c>
      <c r="AS39" s="697"/>
      <c r="AT39" s="505">
        <f t="shared" si="14"/>
        <v>0</v>
      </c>
      <c r="AU39" s="697"/>
      <c r="AV39" s="697"/>
      <c r="AW39" s="697"/>
      <c r="AX39" s="505">
        <f t="shared" si="15"/>
        <v>0</v>
      </c>
      <c r="AY39" s="697"/>
      <c r="AZ39" s="697"/>
      <c r="BA39" s="697"/>
      <c r="BB39" s="505">
        <f t="shared" si="16"/>
        <v>0</v>
      </c>
      <c r="BC39" s="505">
        <f t="shared" si="17"/>
        <v>0</v>
      </c>
    </row>
    <row r="40" spans="1:55">
      <c r="A40" s="675"/>
      <c r="B40" s="975"/>
      <c r="C40" s="975"/>
      <c r="D40" s="975"/>
      <c r="E40" s="975"/>
      <c r="F40" s="975"/>
      <c r="G40" s="975"/>
      <c r="H40" s="975"/>
      <c r="I40" s="975"/>
      <c r="J40" s="975"/>
      <c r="K40" s="721"/>
      <c r="L40" s="697"/>
      <c r="M40" s="972"/>
      <c r="N40" s="972"/>
      <c r="O40" s="972"/>
      <c r="P40" s="971">
        <f t="shared" si="0"/>
        <v>0</v>
      </c>
      <c r="Q40" s="972"/>
      <c r="R40" s="971">
        <f t="shared" si="1"/>
        <v>0</v>
      </c>
      <c r="S40" s="972"/>
      <c r="T40" s="505">
        <f t="shared" si="2"/>
        <v>0</v>
      </c>
      <c r="U40" s="697"/>
      <c r="V40" s="505">
        <f t="shared" si="3"/>
        <v>0</v>
      </c>
      <c r="W40" s="697"/>
      <c r="X40" s="505">
        <f t="shared" si="4"/>
        <v>0</v>
      </c>
      <c r="Y40" s="697"/>
      <c r="Z40" s="505">
        <f t="shared" si="5"/>
        <v>0</v>
      </c>
      <c r="AA40" s="697"/>
      <c r="AB40" s="505">
        <f t="shared" si="6"/>
        <v>0</v>
      </c>
      <c r="AC40" s="697"/>
      <c r="AD40" s="505">
        <f t="shared" si="7"/>
        <v>0</v>
      </c>
      <c r="AE40" s="505">
        <f t="shared" si="8"/>
        <v>0</v>
      </c>
      <c r="AF40" s="697"/>
      <c r="AG40" s="697"/>
      <c r="AH40" s="505">
        <f t="shared" si="9"/>
        <v>0</v>
      </c>
      <c r="AI40" s="697"/>
      <c r="AJ40" s="697"/>
      <c r="AK40" s="505">
        <f t="shared" si="10"/>
        <v>0</v>
      </c>
      <c r="AL40" s="697"/>
      <c r="AM40" s="697"/>
      <c r="AN40" s="505">
        <f t="shared" si="11"/>
        <v>0</v>
      </c>
      <c r="AO40" s="697"/>
      <c r="AP40" s="697"/>
      <c r="AQ40" s="505">
        <f t="shared" si="12"/>
        <v>0</v>
      </c>
      <c r="AR40" s="505">
        <f t="shared" si="13"/>
        <v>0</v>
      </c>
      <c r="AS40" s="697"/>
      <c r="AT40" s="505">
        <f t="shared" si="14"/>
        <v>0</v>
      </c>
      <c r="AU40" s="697"/>
      <c r="AV40" s="697"/>
      <c r="AW40" s="697"/>
      <c r="AX40" s="505">
        <f t="shared" si="15"/>
        <v>0</v>
      </c>
      <c r="AY40" s="697"/>
      <c r="AZ40" s="697"/>
      <c r="BA40" s="697"/>
      <c r="BB40" s="505">
        <f t="shared" si="16"/>
        <v>0</v>
      </c>
      <c r="BC40" s="505">
        <f t="shared" si="17"/>
        <v>0</v>
      </c>
    </row>
    <row r="41" spans="1:55">
      <c r="A41" s="675"/>
      <c r="B41" s="975"/>
      <c r="C41" s="975"/>
      <c r="D41" s="975"/>
      <c r="E41" s="975"/>
      <c r="F41" s="975"/>
      <c r="G41" s="975"/>
      <c r="H41" s="975"/>
      <c r="I41" s="975"/>
      <c r="J41" s="975"/>
      <c r="K41" s="721"/>
      <c r="L41" s="697"/>
      <c r="M41" s="972"/>
      <c r="N41" s="972"/>
      <c r="O41" s="972"/>
      <c r="P41" s="971">
        <f t="shared" si="0"/>
        <v>0</v>
      </c>
      <c r="Q41" s="972"/>
      <c r="R41" s="971">
        <f t="shared" si="1"/>
        <v>0</v>
      </c>
      <c r="S41" s="972"/>
      <c r="T41" s="505">
        <f t="shared" si="2"/>
        <v>0</v>
      </c>
      <c r="U41" s="697"/>
      <c r="V41" s="505">
        <f t="shared" si="3"/>
        <v>0</v>
      </c>
      <c r="W41" s="697"/>
      <c r="X41" s="505">
        <f t="shared" si="4"/>
        <v>0</v>
      </c>
      <c r="Y41" s="697"/>
      <c r="Z41" s="505">
        <f t="shared" si="5"/>
        <v>0</v>
      </c>
      <c r="AA41" s="697"/>
      <c r="AB41" s="505">
        <f t="shared" si="6"/>
        <v>0</v>
      </c>
      <c r="AC41" s="697"/>
      <c r="AD41" s="505">
        <f t="shared" si="7"/>
        <v>0</v>
      </c>
      <c r="AE41" s="505">
        <f t="shared" si="8"/>
        <v>0</v>
      </c>
      <c r="AF41" s="697"/>
      <c r="AG41" s="697"/>
      <c r="AH41" s="505">
        <f t="shared" si="9"/>
        <v>0</v>
      </c>
      <c r="AI41" s="697"/>
      <c r="AJ41" s="697"/>
      <c r="AK41" s="505">
        <f t="shared" si="10"/>
        <v>0</v>
      </c>
      <c r="AL41" s="697"/>
      <c r="AM41" s="697"/>
      <c r="AN41" s="505">
        <f t="shared" si="11"/>
        <v>0</v>
      </c>
      <c r="AO41" s="697"/>
      <c r="AP41" s="697"/>
      <c r="AQ41" s="505">
        <f t="shared" si="12"/>
        <v>0</v>
      </c>
      <c r="AR41" s="505">
        <f t="shared" si="13"/>
        <v>0</v>
      </c>
      <c r="AS41" s="697"/>
      <c r="AT41" s="505">
        <f t="shared" si="14"/>
        <v>0</v>
      </c>
      <c r="AU41" s="697"/>
      <c r="AV41" s="697"/>
      <c r="AW41" s="697"/>
      <c r="AX41" s="505">
        <f t="shared" si="15"/>
        <v>0</v>
      </c>
      <c r="AY41" s="697"/>
      <c r="AZ41" s="697"/>
      <c r="BA41" s="697"/>
      <c r="BB41" s="505">
        <f t="shared" si="16"/>
        <v>0</v>
      </c>
      <c r="BC41" s="505">
        <f t="shared" si="17"/>
        <v>0</v>
      </c>
    </row>
    <row r="42" spans="1:55">
      <c r="A42" s="675"/>
      <c r="B42" s="975"/>
      <c r="C42" s="975"/>
      <c r="D42" s="975"/>
      <c r="E42" s="975"/>
      <c r="F42" s="975"/>
      <c r="G42" s="975"/>
      <c r="H42" s="975"/>
      <c r="I42" s="975"/>
      <c r="J42" s="975"/>
      <c r="K42" s="721"/>
      <c r="L42" s="697"/>
      <c r="M42" s="972"/>
      <c r="N42" s="972"/>
      <c r="O42" s="972"/>
      <c r="P42" s="971">
        <f t="shared" si="0"/>
        <v>0</v>
      </c>
      <c r="Q42" s="972"/>
      <c r="R42" s="971">
        <f t="shared" si="1"/>
        <v>0</v>
      </c>
      <c r="S42" s="972"/>
      <c r="T42" s="505">
        <f t="shared" si="2"/>
        <v>0</v>
      </c>
      <c r="U42" s="697"/>
      <c r="V42" s="505">
        <f t="shared" si="3"/>
        <v>0</v>
      </c>
      <c r="W42" s="697"/>
      <c r="X42" s="505">
        <f t="shared" si="4"/>
        <v>0</v>
      </c>
      <c r="Y42" s="697"/>
      <c r="Z42" s="505">
        <f t="shared" si="5"/>
        <v>0</v>
      </c>
      <c r="AA42" s="697"/>
      <c r="AB42" s="505">
        <f t="shared" si="6"/>
        <v>0</v>
      </c>
      <c r="AC42" s="697"/>
      <c r="AD42" s="505">
        <f t="shared" si="7"/>
        <v>0</v>
      </c>
      <c r="AE42" s="505">
        <f t="shared" si="8"/>
        <v>0</v>
      </c>
      <c r="AF42" s="697"/>
      <c r="AG42" s="697"/>
      <c r="AH42" s="505">
        <f t="shared" si="9"/>
        <v>0</v>
      </c>
      <c r="AI42" s="697"/>
      <c r="AJ42" s="697"/>
      <c r="AK42" s="505">
        <f t="shared" si="10"/>
        <v>0</v>
      </c>
      <c r="AL42" s="697"/>
      <c r="AM42" s="697"/>
      <c r="AN42" s="505">
        <f t="shared" si="11"/>
        <v>0</v>
      </c>
      <c r="AO42" s="697"/>
      <c r="AP42" s="697"/>
      <c r="AQ42" s="505">
        <f t="shared" si="12"/>
        <v>0</v>
      </c>
      <c r="AR42" s="505">
        <f t="shared" si="13"/>
        <v>0</v>
      </c>
      <c r="AS42" s="697"/>
      <c r="AT42" s="505">
        <f t="shared" si="14"/>
        <v>0</v>
      </c>
      <c r="AU42" s="697"/>
      <c r="AV42" s="697"/>
      <c r="AW42" s="697"/>
      <c r="AX42" s="505">
        <f t="shared" si="15"/>
        <v>0</v>
      </c>
      <c r="AY42" s="697"/>
      <c r="AZ42" s="697"/>
      <c r="BA42" s="697"/>
      <c r="BB42" s="505">
        <f t="shared" si="16"/>
        <v>0</v>
      </c>
      <c r="BC42" s="505">
        <f t="shared" si="17"/>
        <v>0</v>
      </c>
    </row>
    <row r="43" spans="1:55">
      <c r="A43" s="675"/>
      <c r="B43" s="975"/>
      <c r="C43" s="975"/>
      <c r="D43" s="975"/>
      <c r="E43" s="975"/>
      <c r="F43" s="975"/>
      <c r="G43" s="975"/>
      <c r="H43" s="975"/>
      <c r="I43" s="975"/>
      <c r="J43" s="975"/>
      <c r="K43" s="721"/>
      <c r="L43" s="697"/>
      <c r="M43" s="972"/>
      <c r="N43" s="972"/>
      <c r="O43" s="972"/>
      <c r="P43" s="971">
        <f t="shared" si="0"/>
        <v>0</v>
      </c>
      <c r="Q43" s="972"/>
      <c r="R43" s="971">
        <f t="shared" si="1"/>
        <v>0</v>
      </c>
      <c r="S43" s="972"/>
      <c r="T43" s="505">
        <f t="shared" si="2"/>
        <v>0</v>
      </c>
      <c r="U43" s="697"/>
      <c r="V43" s="505">
        <f t="shared" si="3"/>
        <v>0</v>
      </c>
      <c r="W43" s="697"/>
      <c r="X43" s="505">
        <f t="shared" si="4"/>
        <v>0</v>
      </c>
      <c r="Y43" s="697"/>
      <c r="Z43" s="505">
        <f t="shared" si="5"/>
        <v>0</v>
      </c>
      <c r="AA43" s="697"/>
      <c r="AB43" s="505">
        <f t="shared" si="6"/>
        <v>0</v>
      </c>
      <c r="AC43" s="697"/>
      <c r="AD43" s="505">
        <f t="shared" si="7"/>
        <v>0</v>
      </c>
      <c r="AE43" s="505">
        <f t="shared" si="8"/>
        <v>0</v>
      </c>
      <c r="AF43" s="697"/>
      <c r="AG43" s="697"/>
      <c r="AH43" s="505">
        <f t="shared" si="9"/>
        <v>0</v>
      </c>
      <c r="AI43" s="697"/>
      <c r="AJ43" s="697"/>
      <c r="AK43" s="505">
        <f t="shared" si="10"/>
        <v>0</v>
      </c>
      <c r="AL43" s="697"/>
      <c r="AM43" s="697"/>
      <c r="AN43" s="505">
        <f t="shared" si="11"/>
        <v>0</v>
      </c>
      <c r="AO43" s="697"/>
      <c r="AP43" s="697"/>
      <c r="AQ43" s="505">
        <f t="shared" si="12"/>
        <v>0</v>
      </c>
      <c r="AR43" s="505">
        <f t="shared" si="13"/>
        <v>0</v>
      </c>
      <c r="AS43" s="697"/>
      <c r="AT43" s="505">
        <f t="shared" si="14"/>
        <v>0</v>
      </c>
      <c r="AU43" s="697"/>
      <c r="AV43" s="697"/>
      <c r="AW43" s="697"/>
      <c r="AX43" s="505">
        <f t="shared" si="15"/>
        <v>0</v>
      </c>
      <c r="AY43" s="697"/>
      <c r="AZ43" s="697"/>
      <c r="BA43" s="697"/>
      <c r="BB43" s="505">
        <f t="shared" si="16"/>
        <v>0</v>
      </c>
      <c r="BC43" s="505">
        <f t="shared" si="17"/>
        <v>0</v>
      </c>
    </row>
    <row r="44" spans="1:55">
      <c r="A44" s="675"/>
      <c r="B44" s="975"/>
      <c r="C44" s="975"/>
      <c r="D44" s="975"/>
      <c r="E44" s="975"/>
      <c r="F44" s="975"/>
      <c r="G44" s="975"/>
      <c r="H44" s="975"/>
      <c r="I44" s="975"/>
      <c r="J44" s="975"/>
      <c r="K44" s="721"/>
      <c r="L44" s="697"/>
      <c r="M44" s="972"/>
      <c r="N44" s="972"/>
      <c r="O44" s="972"/>
      <c r="P44" s="971">
        <f t="shared" si="0"/>
        <v>0</v>
      </c>
      <c r="Q44" s="972"/>
      <c r="R44" s="971">
        <f t="shared" si="1"/>
        <v>0</v>
      </c>
      <c r="S44" s="972"/>
      <c r="T44" s="505">
        <f t="shared" si="2"/>
        <v>0</v>
      </c>
      <c r="U44" s="697"/>
      <c r="V44" s="505">
        <f t="shared" si="3"/>
        <v>0</v>
      </c>
      <c r="W44" s="697"/>
      <c r="X44" s="505">
        <f t="shared" si="4"/>
        <v>0</v>
      </c>
      <c r="Y44" s="697"/>
      <c r="Z44" s="505">
        <f t="shared" si="5"/>
        <v>0</v>
      </c>
      <c r="AA44" s="697"/>
      <c r="AB44" s="505">
        <f t="shared" si="6"/>
        <v>0</v>
      </c>
      <c r="AC44" s="697"/>
      <c r="AD44" s="505">
        <f t="shared" si="7"/>
        <v>0</v>
      </c>
      <c r="AE44" s="505">
        <f t="shared" si="8"/>
        <v>0</v>
      </c>
      <c r="AF44" s="697"/>
      <c r="AG44" s="697"/>
      <c r="AH44" s="505">
        <f t="shared" si="9"/>
        <v>0</v>
      </c>
      <c r="AI44" s="697"/>
      <c r="AJ44" s="697"/>
      <c r="AK44" s="505">
        <f t="shared" si="10"/>
        <v>0</v>
      </c>
      <c r="AL44" s="697"/>
      <c r="AM44" s="697"/>
      <c r="AN44" s="505">
        <f t="shared" si="11"/>
        <v>0</v>
      </c>
      <c r="AO44" s="697"/>
      <c r="AP44" s="697"/>
      <c r="AQ44" s="505">
        <f t="shared" si="12"/>
        <v>0</v>
      </c>
      <c r="AR44" s="505">
        <f t="shared" si="13"/>
        <v>0</v>
      </c>
      <c r="AS44" s="697"/>
      <c r="AT44" s="505">
        <f t="shared" si="14"/>
        <v>0</v>
      </c>
      <c r="AU44" s="697"/>
      <c r="AV44" s="697"/>
      <c r="AW44" s="697"/>
      <c r="AX44" s="505">
        <f t="shared" si="15"/>
        <v>0</v>
      </c>
      <c r="AY44" s="697"/>
      <c r="AZ44" s="697"/>
      <c r="BA44" s="697"/>
      <c r="BB44" s="505">
        <f t="shared" si="16"/>
        <v>0</v>
      </c>
      <c r="BC44" s="505">
        <f t="shared" si="17"/>
        <v>0</v>
      </c>
    </row>
    <row r="45" spans="1:55">
      <c r="A45" s="675"/>
      <c r="B45" s="975"/>
      <c r="C45" s="975"/>
      <c r="D45" s="975"/>
      <c r="E45" s="975"/>
      <c r="F45" s="975"/>
      <c r="G45" s="975"/>
      <c r="H45" s="975"/>
      <c r="I45" s="975"/>
      <c r="J45" s="975"/>
      <c r="K45" s="721"/>
      <c r="L45" s="697"/>
      <c r="M45" s="972"/>
      <c r="N45" s="972"/>
      <c r="O45" s="972"/>
      <c r="P45" s="971">
        <f t="shared" si="0"/>
        <v>0</v>
      </c>
      <c r="Q45" s="972"/>
      <c r="R45" s="971">
        <f t="shared" si="1"/>
        <v>0</v>
      </c>
      <c r="S45" s="972"/>
      <c r="T45" s="505">
        <f t="shared" si="2"/>
        <v>0</v>
      </c>
      <c r="U45" s="697"/>
      <c r="V45" s="505">
        <f t="shared" si="3"/>
        <v>0</v>
      </c>
      <c r="W45" s="697"/>
      <c r="X45" s="505">
        <f t="shared" si="4"/>
        <v>0</v>
      </c>
      <c r="Y45" s="697"/>
      <c r="Z45" s="505">
        <f t="shared" si="5"/>
        <v>0</v>
      </c>
      <c r="AA45" s="697"/>
      <c r="AB45" s="505">
        <f t="shared" si="6"/>
        <v>0</v>
      </c>
      <c r="AC45" s="697"/>
      <c r="AD45" s="505">
        <f t="shared" si="7"/>
        <v>0</v>
      </c>
      <c r="AE45" s="505">
        <f t="shared" si="8"/>
        <v>0</v>
      </c>
      <c r="AF45" s="697"/>
      <c r="AG45" s="697"/>
      <c r="AH45" s="505">
        <f t="shared" si="9"/>
        <v>0</v>
      </c>
      <c r="AI45" s="697"/>
      <c r="AJ45" s="697"/>
      <c r="AK45" s="505">
        <f t="shared" si="10"/>
        <v>0</v>
      </c>
      <c r="AL45" s="697"/>
      <c r="AM45" s="697"/>
      <c r="AN45" s="505">
        <f t="shared" si="11"/>
        <v>0</v>
      </c>
      <c r="AO45" s="697"/>
      <c r="AP45" s="697"/>
      <c r="AQ45" s="505">
        <f t="shared" si="12"/>
        <v>0</v>
      </c>
      <c r="AR45" s="505">
        <f t="shared" si="13"/>
        <v>0</v>
      </c>
      <c r="AS45" s="697"/>
      <c r="AT45" s="505">
        <f t="shared" si="14"/>
        <v>0</v>
      </c>
      <c r="AU45" s="697"/>
      <c r="AV45" s="697"/>
      <c r="AW45" s="697"/>
      <c r="AX45" s="505">
        <f t="shared" si="15"/>
        <v>0</v>
      </c>
      <c r="AY45" s="697"/>
      <c r="AZ45" s="697"/>
      <c r="BA45" s="697"/>
      <c r="BB45" s="505">
        <f t="shared" si="16"/>
        <v>0</v>
      </c>
      <c r="BC45" s="505">
        <f t="shared" si="17"/>
        <v>0</v>
      </c>
    </row>
    <row r="46" spans="1:55">
      <c r="A46" s="675"/>
      <c r="B46" s="975"/>
      <c r="C46" s="975"/>
      <c r="D46" s="975"/>
      <c r="E46" s="975"/>
      <c r="F46" s="975"/>
      <c r="G46" s="975"/>
      <c r="H46" s="975"/>
      <c r="I46" s="975"/>
      <c r="J46" s="975"/>
      <c r="K46" s="721"/>
      <c r="L46" s="697"/>
      <c r="M46" s="972"/>
      <c r="N46" s="972"/>
      <c r="O46" s="972"/>
      <c r="P46" s="971">
        <f t="shared" si="0"/>
        <v>0</v>
      </c>
      <c r="Q46" s="972"/>
      <c r="R46" s="971">
        <f t="shared" si="1"/>
        <v>0</v>
      </c>
      <c r="S46" s="972"/>
      <c r="T46" s="505">
        <f t="shared" si="2"/>
        <v>0</v>
      </c>
      <c r="U46" s="697"/>
      <c r="V46" s="505">
        <f t="shared" si="3"/>
        <v>0</v>
      </c>
      <c r="W46" s="697"/>
      <c r="X46" s="505">
        <f t="shared" si="4"/>
        <v>0</v>
      </c>
      <c r="Y46" s="697"/>
      <c r="Z46" s="505">
        <f t="shared" si="5"/>
        <v>0</v>
      </c>
      <c r="AA46" s="697"/>
      <c r="AB46" s="505">
        <f t="shared" si="6"/>
        <v>0</v>
      </c>
      <c r="AC46" s="697"/>
      <c r="AD46" s="505">
        <f t="shared" si="7"/>
        <v>0</v>
      </c>
      <c r="AE46" s="505">
        <f t="shared" si="8"/>
        <v>0</v>
      </c>
      <c r="AF46" s="697"/>
      <c r="AG46" s="697"/>
      <c r="AH46" s="505">
        <f t="shared" si="9"/>
        <v>0</v>
      </c>
      <c r="AI46" s="697"/>
      <c r="AJ46" s="697"/>
      <c r="AK46" s="505">
        <f t="shared" si="10"/>
        <v>0</v>
      </c>
      <c r="AL46" s="697"/>
      <c r="AM46" s="697"/>
      <c r="AN46" s="505">
        <f t="shared" si="11"/>
        <v>0</v>
      </c>
      <c r="AO46" s="697"/>
      <c r="AP46" s="697"/>
      <c r="AQ46" s="505">
        <f t="shared" si="12"/>
        <v>0</v>
      </c>
      <c r="AR46" s="505">
        <f t="shared" si="13"/>
        <v>0</v>
      </c>
      <c r="AS46" s="697"/>
      <c r="AT46" s="505">
        <f t="shared" si="14"/>
        <v>0</v>
      </c>
      <c r="AU46" s="697"/>
      <c r="AV46" s="697"/>
      <c r="AW46" s="697"/>
      <c r="AX46" s="505">
        <f t="shared" si="15"/>
        <v>0</v>
      </c>
      <c r="AY46" s="697"/>
      <c r="AZ46" s="697"/>
      <c r="BA46" s="697"/>
      <c r="BB46" s="505">
        <f t="shared" si="16"/>
        <v>0</v>
      </c>
      <c r="BC46" s="505">
        <f t="shared" si="17"/>
        <v>0</v>
      </c>
    </row>
    <row r="47" spans="1:55">
      <c r="A47" s="675"/>
      <c r="B47" s="975"/>
      <c r="C47" s="975"/>
      <c r="D47" s="975"/>
      <c r="E47" s="975"/>
      <c r="F47" s="975"/>
      <c r="G47" s="975"/>
      <c r="H47" s="975"/>
      <c r="I47" s="975"/>
      <c r="J47" s="975"/>
      <c r="K47" s="721"/>
      <c r="L47" s="697"/>
      <c r="M47" s="972"/>
      <c r="N47" s="972"/>
      <c r="O47" s="972"/>
      <c r="P47" s="971">
        <f t="shared" si="0"/>
        <v>0</v>
      </c>
      <c r="Q47" s="972"/>
      <c r="R47" s="971">
        <f t="shared" si="1"/>
        <v>0</v>
      </c>
      <c r="S47" s="972"/>
      <c r="T47" s="505">
        <f t="shared" si="2"/>
        <v>0</v>
      </c>
      <c r="U47" s="697"/>
      <c r="V47" s="505">
        <f t="shared" si="3"/>
        <v>0</v>
      </c>
      <c r="W47" s="697"/>
      <c r="X47" s="505">
        <f t="shared" si="4"/>
        <v>0</v>
      </c>
      <c r="Y47" s="697"/>
      <c r="Z47" s="505">
        <f t="shared" si="5"/>
        <v>0</v>
      </c>
      <c r="AA47" s="697"/>
      <c r="AB47" s="505">
        <f t="shared" si="6"/>
        <v>0</v>
      </c>
      <c r="AC47" s="697"/>
      <c r="AD47" s="505">
        <f t="shared" si="7"/>
        <v>0</v>
      </c>
      <c r="AE47" s="505">
        <f t="shared" si="8"/>
        <v>0</v>
      </c>
      <c r="AF47" s="697"/>
      <c r="AG47" s="697"/>
      <c r="AH47" s="505">
        <f t="shared" si="9"/>
        <v>0</v>
      </c>
      <c r="AI47" s="697"/>
      <c r="AJ47" s="697"/>
      <c r="AK47" s="505">
        <f t="shared" si="10"/>
        <v>0</v>
      </c>
      <c r="AL47" s="697"/>
      <c r="AM47" s="697"/>
      <c r="AN47" s="505">
        <f t="shared" si="11"/>
        <v>0</v>
      </c>
      <c r="AO47" s="697"/>
      <c r="AP47" s="697"/>
      <c r="AQ47" s="505">
        <f t="shared" si="12"/>
        <v>0</v>
      </c>
      <c r="AR47" s="505">
        <f t="shared" si="13"/>
        <v>0</v>
      </c>
      <c r="AS47" s="697"/>
      <c r="AT47" s="505">
        <f t="shared" si="14"/>
        <v>0</v>
      </c>
      <c r="AU47" s="697"/>
      <c r="AV47" s="697"/>
      <c r="AW47" s="697"/>
      <c r="AX47" s="505">
        <f t="shared" si="15"/>
        <v>0</v>
      </c>
      <c r="AY47" s="697"/>
      <c r="AZ47" s="697"/>
      <c r="BA47" s="697"/>
      <c r="BB47" s="505">
        <f t="shared" si="16"/>
        <v>0</v>
      </c>
      <c r="BC47" s="505">
        <f t="shared" si="17"/>
        <v>0</v>
      </c>
    </row>
    <row r="48" spans="1:55">
      <c r="A48" s="675"/>
      <c r="B48" s="975"/>
      <c r="C48" s="975"/>
      <c r="D48" s="975"/>
      <c r="E48" s="975"/>
      <c r="F48" s="975"/>
      <c r="G48" s="975"/>
      <c r="H48" s="975"/>
      <c r="I48" s="975"/>
      <c r="J48" s="975"/>
      <c r="K48" s="721"/>
      <c r="L48" s="697"/>
      <c r="M48" s="972"/>
      <c r="N48" s="972"/>
      <c r="O48" s="972"/>
      <c r="P48" s="971">
        <f t="shared" si="0"/>
        <v>0</v>
      </c>
      <c r="Q48" s="972"/>
      <c r="R48" s="971">
        <f t="shared" si="1"/>
        <v>0</v>
      </c>
      <c r="S48" s="972"/>
      <c r="T48" s="505">
        <f t="shared" si="2"/>
        <v>0</v>
      </c>
      <c r="U48" s="697"/>
      <c r="V48" s="505">
        <f t="shared" si="3"/>
        <v>0</v>
      </c>
      <c r="W48" s="697"/>
      <c r="X48" s="505">
        <f t="shared" si="4"/>
        <v>0</v>
      </c>
      <c r="Y48" s="697"/>
      <c r="Z48" s="505">
        <f t="shared" si="5"/>
        <v>0</v>
      </c>
      <c r="AA48" s="697"/>
      <c r="AB48" s="505">
        <f t="shared" si="6"/>
        <v>0</v>
      </c>
      <c r="AC48" s="697"/>
      <c r="AD48" s="505">
        <f t="shared" si="7"/>
        <v>0</v>
      </c>
      <c r="AE48" s="505">
        <f t="shared" si="8"/>
        <v>0</v>
      </c>
      <c r="AF48" s="697"/>
      <c r="AG48" s="697"/>
      <c r="AH48" s="505">
        <f t="shared" si="9"/>
        <v>0</v>
      </c>
      <c r="AI48" s="697"/>
      <c r="AJ48" s="697"/>
      <c r="AK48" s="505">
        <f t="shared" si="10"/>
        <v>0</v>
      </c>
      <c r="AL48" s="697"/>
      <c r="AM48" s="697"/>
      <c r="AN48" s="505">
        <f t="shared" si="11"/>
        <v>0</v>
      </c>
      <c r="AO48" s="697"/>
      <c r="AP48" s="697"/>
      <c r="AQ48" s="505">
        <f t="shared" si="12"/>
        <v>0</v>
      </c>
      <c r="AR48" s="505">
        <f t="shared" si="13"/>
        <v>0</v>
      </c>
      <c r="AS48" s="697"/>
      <c r="AT48" s="505">
        <f t="shared" si="14"/>
        <v>0</v>
      </c>
      <c r="AU48" s="697"/>
      <c r="AV48" s="697"/>
      <c r="AW48" s="697"/>
      <c r="AX48" s="505">
        <f t="shared" si="15"/>
        <v>0</v>
      </c>
      <c r="AY48" s="697"/>
      <c r="AZ48" s="697"/>
      <c r="BA48" s="697"/>
      <c r="BB48" s="505">
        <f t="shared" si="16"/>
        <v>0</v>
      </c>
      <c r="BC48" s="505">
        <f t="shared" si="17"/>
        <v>0</v>
      </c>
    </row>
    <row r="49" spans="1:55">
      <c r="A49" s="675"/>
      <c r="B49" s="975"/>
      <c r="C49" s="975"/>
      <c r="D49" s="975"/>
      <c r="E49" s="975"/>
      <c r="F49" s="975"/>
      <c r="G49" s="975"/>
      <c r="H49" s="975"/>
      <c r="I49" s="975"/>
      <c r="J49" s="975"/>
      <c r="K49" s="721"/>
      <c r="L49" s="697"/>
      <c r="M49" s="972"/>
      <c r="N49" s="972"/>
      <c r="O49" s="972"/>
      <c r="P49" s="971">
        <f t="shared" si="0"/>
        <v>0</v>
      </c>
      <c r="Q49" s="972"/>
      <c r="R49" s="971">
        <f t="shared" si="1"/>
        <v>0</v>
      </c>
      <c r="S49" s="972"/>
      <c r="T49" s="505">
        <f t="shared" si="2"/>
        <v>0</v>
      </c>
      <c r="U49" s="697"/>
      <c r="V49" s="505">
        <f t="shared" si="3"/>
        <v>0</v>
      </c>
      <c r="W49" s="697"/>
      <c r="X49" s="505">
        <f t="shared" si="4"/>
        <v>0</v>
      </c>
      <c r="Y49" s="697"/>
      <c r="Z49" s="505">
        <f t="shared" si="5"/>
        <v>0</v>
      </c>
      <c r="AA49" s="697"/>
      <c r="AB49" s="505">
        <f t="shared" si="6"/>
        <v>0</v>
      </c>
      <c r="AC49" s="697"/>
      <c r="AD49" s="505">
        <f t="shared" si="7"/>
        <v>0</v>
      </c>
      <c r="AE49" s="505">
        <f t="shared" si="8"/>
        <v>0</v>
      </c>
      <c r="AF49" s="697"/>
      <c r="AG49" s="697"/>
      <c r="AH49" s="505">
        <f t="shared" si="9"/>
        <v>0</v>
      </c>
      <c r="AI49" s="697"/>
      <c r="AJ49" s="697"/>
      <c r="AK49" s="505">
        <f t="shared" si="10"/>
        <v>0</v>
      </c>
      <c r="AL49" s="697"/>
      <c r="AM49" s="697"/>
      <c r="AN49" s="505">
        <f t="shared" si="11"/>
        <v>0</v>
      </c>
      <c r="AO49" s="697"/>
      <c r="AP49" s="697"/>
      <c r="AQ49" s="505">
        <f t="shared" si="12"/>
        <v>0</v>
      </c>
      <c r="AR49" s="505">
        <f t="shared" si="13"/>
        <v>0</v>
      </c>
      <c r="AS49" s="697"/>
      <c r="AT49" s="505">
        <f t="shared" si="14"/>
        <v>0</v>
      </c>
      <c r="AU49" s="697"/>
      <c r="AV49" s="697"/>
      <c r="AW49" s="697"/>
      <c r="AX49" s="505">
        <f t="shared" si="15"/>
        <v>0</v>
      </c>
      <c r="AY49" s="697"/>
      <c r="AZ49" s="697"/>
      <c r="BA49" s="697"/>
      <c r="BB49" s="505">
        <f t="shared" si="16"/>
        <v>0</v>
      </c>
      <c r="BC49" s="505">
        <f t="shared" si="17"/>
        <v>0</v>
      </c>
    </row>
    <row r="50" spans="1:55">
      <c r="A50" s="675"/>
      <c r="B50" s="975"/>
      <c r="C50" s="975"/>
      <c r="D50" s="975"/>
      <c r="E50" s="975"/>
      <c r="F50" s="975"/>
      <c r="G50" s="975"/>
      <c r="H50" s="975"/>
      <c r="I50" s="975"/>
      <c r="J50" s="975"/>
      <c r="K50" s="721"/>
      <c r="L50" s="697"/>
      <c r="M50" s="972"/>
      <c r="N50" s="972"/>
      <c r="O50" s="972"/>
      <c r="P50" s="971">
        <f t="shared" si="0"/>
        <v>0</v>
      </c>
      <c r="Q50" s="972"/>
      <c r="R50" s="971">
        <f t="shared" si="1"/>
        <v>0</v>
      </c>
      <c r="S50" s="972"/>
      <c r="T50" s="505">
        <f t="shared" si="2"/>
        <v>0</v>
      </c>
      <c r="U50" s="697"/>
      <c r="V50" s="505">
        <f t="shared" si="3"/>
        <v>0</v>
      </c>
      <c r="W50" s="697"/>
      <c r="X50" s="505">
        <f t="shared" si="4"/>
        <v>0</v>
      </c>
      <c r="Y50" s="697"/>
      <c r="Z50" s="505">
        <f t="shared" si="5"/>
        <v>0</v>
      </c>
      <c r="AA50" s="697"/>
      <c r="AB50" s="505">
        <f t="shared" si="6"/>
        <v>0</v>
      </c>
      <c r="AC50" s="697"/>
      <c r="AD50" s="505">
        <f t="shared" si="7"/>
        <v>0</v>
      </c>
      <c r="AE50" s="505">
        <f t="shared" si="8"/>
        <v>0</v>
      </c>
      <c r="AF50" s="697"/>
      <c r="AG50" s="697"/>
      <c r="AH50" s="505">
        <f t="shared" si="9"/>
        <v>0</v>
      </c>
      <c r="AI50" s="697"/>
      <c r="AJ50" s="697"/>
      <c r="AK50" s="505">
        <f t="shared" si="10"/>
        <v>0</v>
      </c>
      <c r="AL50" s="697"/>
      <c r="AM50" s="697"/>
      <c r="AN50" s="505">
        <f t="shared" si="11"/>
        <v>0</v>
      </c>
      <c r="AO50" s="697"/>
      <c r="AP50" s="697"/>
      <c r="AQ50" s="505">
        <f t="shared" si="12"/>
        <v>0</v>
      </c>
      <c r="AR50" s="505">
        <f t="shared" si="13"/>
        <v>0</v>
      </c>
      <c r="AS50" s="697"/>
      <c r="AT50" s="505">
        <f t="shared" si="14"/>
        <v>0</v>
      </c>
      <c r="AU50" s="697"/>
      <c r="AV50" s="697"/>
      <c r="AW50" s="697"/>
      <c r="AX50" s="505">
        <f t="shared" si="15"/>
        <v>0</v>
      </c>
      <c r="AY50" s="697"/>
      <c r="AZ50" s="697"/>
      <c r="BA50" s="697"/>
      <c r="BB50" s="505">
        <f t="shared" si="16"/>
        <v>0</v>
      </c>
      <c r="BC50" s="505">
        <f t="shared" si="17"/>
        <v>0</v>
      </c>
    </row>
    <row r="51" spans="1:55">
      <c r="A51" s="675"/>
      <c r="B51" s="975"/>
      <c r="C51" s="975"/>
      <c r="D51" s="975"/>
      <c r="E51" s="975"/>
      <c r="F51" s="975"/>
      <c r="G51" s="975"/>
      <c r="H51" s="975"/>
      <c r="I51" s="975"/>
      <c r="J51" s="975"/>
      <c r="K51" s="721"/>
      <c r="L51" s="697"/>
      <c r="M51" s="972"/>
      <c r="N51" s="972"/>
      <c r="O51" s="972"/>
      <c r="P51" s="971">
        <f t="shared" si="0"/>
        <v>0</v>
      </c>
      <c r="Q51" s="972"/>
      <c r="R51" s="971">
        <f t="shared" si="1"/>
        <v>0</v>
      </c>
      <c r="S51" s="972"/>
      <c r="T51" s="505">
        <f t="shared" si="2"/>
        <v>0</v>
      </c>
      <c r="U51" s="697"/>
      <c r="V51" s="505">
        <f t="shared" si="3"/>
        <v>0</v>
      </c>
      <c r="W51" s="697"/>
      <c r="X51" s="505">
        <f t="shared" si="4"/>
        <v>0</v>
      </c>
      <c r="Y51" s="697"/>
      <c r="Z51" s="505">
        <f t="shared" si="5"/>
        <v>0</v>
      </c>
      <c r="AA51" s="697"/>
      <c r="AB51" s="505">
        <f t="shared" si="6"/>
        <v>0</v>
      </c>
      <c r="AC51" s="697"/>
      <c r="AD51" s="505">
        <f t="shared" si="7"/>
        <v>0</v>
      </c>
      <c r="AE51" s="505">
        <f t="shared" si="8"/>
        <v>0</v>
      </c>
      <c r="AF51" s="697"/>
      <c r="AG51" s="697"/>
      <c r="AH51" s="505">
        <f t="shared" si="9"/>
        <v>0</v>
      </c>
      <c r="AI51" s="697"/>
      <c r="AJ51" s="697"/>
      <c r="AK51" s="505">
        <f t="shared" si="10"/>
        <v>0</v>
      </c>
      <c r="AL51" s="697"/>
      <c r="AM51" s="697"/>
      <c r="AN51" s="505">
        <f t="shared" si="11"/>
        <v>0</v>
      </c>
      <c r="AO51" s="697"/>
      <c r="AP51" s="697"/>
      <c r="AQ51" s="505">
        <f t="shared" si="12"/>
        <v>0</v>
      </c>
      <c r="AR51" s="505">
        <f t="shared" si="13"/>
        <v>0</v>
      </c>
      <c r="AS51" s="697"/>
      <c r="AT51" s="505">
        <f t="shared" si="14"/>
        <v>0</v>
      </c>
      <c r="AU51" s="697"/>
      <c r="AV51" s="697"/>
      <c r="AW51" s="697"/>
      <c r="AX51" s="505">
        <f t="shared" si="15"/>
        <v>0</v>
      </c>
      <c r="AY51" s="697"/>
      <c r="AZ51" s="697"/>
      <c r="BA51" s="697"/>
      <c r="BB51" s="505">
        <f t="shared" si="16"/>
        <v>0</v>
      </c>
      <c r="BC51" s="505">
        <f t="shared" si="17"/>
        <v>0</v>
      </c>
    </row>
    <row r="52" spans="1:55">
      <c r="A52" s="675"/>
      <c r="B52" s="975"/>
      <c r="C52" s="975"/>
      <c r="D52" s="975"/>
      <c r="E52" s="975"/>
      <c r="F52" s="975"/>
      <c r="G52" s="975"/>
      <c r="H52" s="975"/>
      <c r="I52" s="975"/>
      <c r="J52" s="975"/>
      <c r="K52" s="721"/>
      <c r="L52" s="697"/>
      <c r="M52" s="972"/>
      <c r="N52" s="972"/>
      <c r="O52" s="972"/>
      <c r="P52" s="971">
        <f t="shared" si="0"/>
        <v>0</v>
      </c>
      <c r="Q52" s="972"/>
      <c r="R52" s="971">
        <f t="shared" si="1"/>
        <v>0</v>
      </c>
      <c r="S52" s="972"/>
      <c r="T52" s="505">
        <f t="shared" si="2"/>
        <v>0</v>
      </c>
      <c r="U52" s="697"/>
      <c r="V52" s="505">
        <f t="shared" si="3"/>
        <v>0</v>
      </c>
      <c r="W52" s="697"/>
      <c r="X52" s="505">
        <f t="shared" si="4"/>
        <v>0</v>
      </c>
      <c r="Y52" s="697"/>
      <c r="Z52" s="505">
        <f t="shared" si="5"/>
        <v>0</v>
      </c>
      <c r="AA52" s="697"/>
      <c r="AB52" s="505">
        <f t="shared" si="6"/>
        <v>0</v>
      </c>
      <c r="AC52" s="697"/>
      <c r="AD52" s="505">
        <f t="shared" si="7"/>
        <v>0</v>
      </c>
      <c r="AE52" s="505">
        <f t="shared" si="8"/>
        <v>0</v>
      </c>
      <c r="AF52" s="697"/>
      <c r="AG52" s="697"/>
      <c r="AH52" s="505">
        <f t="shared" si="9"/>
        <v>0</v>
      </c>
      <c r="AI52" s="697"/>
      <c r="AJ52" s="697"/>
      <c r="AK52" s="505">
        <f t="shared" si="10"/>
        <v>0</v>
      </c>
      <c r="AL52" s="697"/>
      <c r="AM52" s="697"/>
      <c r="AN52" s="505">
        <f t="shared" si="11"/>
        <v>0</v>
      </c>
      <c r="AO52" s="697"/>
      <c r="AP52" s="697"/>
      <c r="AQ52" s="505">
        <f t="shared" si="12"/>
        <v>0</v>
      </c>
      <c r="AR52" s="505">
        <f t="shared" si="13"/>
        <v>0</v>
      </c>
      <c r="AS52" s="697"/>
      <c r="AT52" s="505">
        <f t="shared" si="14"/>
        <v>0</v>
      </c>
      <c r="AU52" s="697"/>
      <c r="AV52" s="697"/>
      <c r="AW52" s="697"/>
      <c r="AX52" s="505">
        <f t="shared" si="15"/>
        <v>0</v>
      </c>
      <c r="AY52" s="697"/>
      <c r="AZ52" s="697"/>
      <c r="BA52" s="697"/>
      <c r="BB52" s="505">
        <f t="shared" si="16"/>
        <v>0</v>
      </c>
      <c r="BC52" s="505">
        <f t="shared" si="17"/>
        <v>0</v>
      </c>
    </row>
    <row r="53" spans="1:55">
      <c r="A53" s="973"/>
      <c r="B53" s="974" t="s">
        <v>20</v>
      </c>
      <c r="C53" s="975"/>
      <c r="D53" s="974"/>
      <c r="E53" s="974"/>
      <c r="F53" s="974"/>
      <c r="G53" s="974"/>
      <c r="H53" s="974"/>
      <c r="I53" s="974"/>
      <c r="J53" s="974"/>
      <c r="K53" s="973"/>
      <c r="L53" s="697"/>
      <c r="M53" s="972"/>
      <c r="N53" s="972"/>
      <c r="O53" s="972"/>
      <c r="P53" s="604">
        <f>SUM(P13:P52)</f>
        <v>0</v>
      </c>
      <c r="Q53" s="972"/>
      <c r="R53" s="604">
        <f>SUM(R13:R52)</f>
        <v>0</v>
      </c>
      <c r="S53" s="976"/>
      <c r="T53" s="604">
        <f>SUM(T13:T52)</f>
        <v>0</v>
      </c>
      <c r="U53" s="976"/>
      <c r="V53" s="604">
        <f>SUM(V13:V52)</f>
        <v>0</v>
      </c>
      <c r="W53" s="976"/>
      <c r="X53" s="604">
        <f>SUM(X13:X52)</f>
        <v>0</v>
      </c>
      <c r="Y53" s="697"/>
      <c r="Z53" s="604">
        <f>SUM(Z13:Z52)</f>
        <v>0</v>
      </c>
      <c r="AA53" s="697"/>
      <c r="AB53" s="604">
        <f>SUM(AB13:AB52)</f>
        <v>0</v>
      </c>
      <c r="AC53" s="697"/>
      <c r="AD53" s="604">
        <f>SUM(AD13:AD52)</f>
        <v>0</v>
      </c>
      <c r="AE53" s="604">
        <f>SUM(AE13:AE52)</f>
        <v>0</v>
      </c>
      <c r="AF53" s="697"/>
      <c r="AG53" s="697"/>
      <c r="AH53" s="604">
        <f>SUM(AH13:AH52)</f>
        <v>0</v>
      </c>
      <c r="AI53" s="697"/>
      <c r="AJ53" s="697"/>
      <c r="AK53" s="604">
        <f>SUM(AK13:AK52)</f>
        <v>0</v>
      </c>
      <c r="AL53" s="697"/>
      <c r="AM53" s="697"/>
      <c r="AN53" s="604">
        <f>SUM(AN13:AN52)</f>
        <v>0</v>
      </c>
      <c r="AO53" s="697"/>
      <c r="AP53" s="697"/>
      <c r="AQ53" s="604">
        <f>SUM(AQ13:AQ52)</f>
        <v>0</v>
      </c>
      <c r="AR53" s="604">
        <f>SUM(AR13:AR52)</f>
        <v>0</v>
      </c>
      <c r="AS53" s="697"/>
      <c r="AT53" s="604">
        <f>SUM(AT13:AT52)</f>
        <v>0</v>
      </c>
      <c r="AU53" s="697"/>
      <c r="AV53" s="697"/>
      <c r="AW53" s="697"/>
      <c r="AX53" s="604">
        <f>SUM(AX13:AX52)</f>
        <v>0</v>
      </c>
      <c r="AY53" s="697"/>
      <c r="AZ53" s="697"/>
      <c r="BA53" s="697"/>
      <c r="BB53" s="604">
        <f>SUM(BB13:BB52)</f>
        <v>0</v>
      </c>
      <c r="BC53" s="604">
        <f>SUM(BC13:BC52)</f>
        <v>0</v>
      </c>
    </row>
    <row r="54" spans="1:55">
      <c r="A54" s="169"/>
      <c r="C54" s="502"/>
      <c r="M54" s="503"/>
      <c r="N54" s="503"/>
      <c r="O54" s="503"/>
      <c r="P54" s="503"/>
      <c r="Q54" s="503"/>
      <c r="R54" s="503"/>
      <c r="S54" s="503"/>
      <c r="T54" s="503"/>
      <c r="U54" s="503"/>
      <c r="V54" s="503"/>
      <c r="W54" s="503"/>
    </row>
    <row r="55" spans="1:55">
      <c r="A55" s="169"/>
      <c r="B55" s="504" t="s">
        <v>3616</v>
      </c>
      <c r="C55" s="502"/>
      <c r="M55" s="503"/>
      <c r="N55" s="503"/>
      <c r="O55" s="503"/>
      <c r="P55" s="503"/>
      <c r="Q55" s="503"/>
      <c r="R55" s="503"/>
      <c r="S55" s="503"/>
      <c r="T55" s="503"/>
      <c r="U55" s="503"/>
      <c r="V55" s="503"/>
      <c r="W55" s="503"/>
    </row>
    <row r="56" spans="1:55">
      <c r="A56" s="169"/>
      <c r="B56" s="419" t="s">
        <v>4185</v>
      </c>
      <c r="C56" s="502"/>
      <c r="M56" s="503"/>
      <c r="N56" s="503"/>
      <c r="O56" s="503"/>
      <c r="P56" s="503"/>
      <c r="Q56" s="503"/>
      <c r="R56" s="503"/>
      <c r="S56" s="503"/>
      <c r="T56" s="503"/>
      <c r="U56" s="503"/>
      <c r="V56" s="503"/>
      <c r="W56" s="503"/>
    </row>
    <row r="57" spans="1:55">
      <c r="A57" s="169"/>
      <c r="C57" s="502"/>
      <c r="M57" s="503"/>
      <c r="N57" s="503"/>
      <c r="O57" s="503"/>
      <c r="P57" s="503"/>
      <c r="Q57" s="503"/>
      <c r="R57" s="503"/>
      <c r="S57" s="503"/>
      <c r="T57" s="503"/>
      <c r="U57" s="503"/>
      <c r="V57" s="503"/>
      <c r="W57" s="503"/>
    </row>
    <row r="58" spans="1:55">
      <c r="A58" s="169"/>
      <c r="C58" s="502"/>
      <c r="M58" s="503"/>
      <c r="N58" s="503"/>
      <c r="O58" s="503"/>
      <c r="P58" s="503"/>
      <c r="Q58" s="503"/>
      <c r="R58" s="503"/>
      <c r="S58" s="503"/>
      <c r="T58" s="503"/>
      <c r="U58" s="503"/>
      <c r="V58" s="503"/>
      <c r="W58" s="503"/>
    </row>
    <row r="59" spans="1:55">
      <c r="A59" s="300" t="s">
        <v>329</v>
      </c>
      <c r="C59" s="502"/>
      <c r="L59" s="657"/>
      <c r="M59" s="977"/>
      <c r="N59" s="977"/>
      <c r="O59" s="977"/>
      <c r="P59" s="977"/>
      <c r="Q59" s="977"/>
      <c r="R59" s="977"/>
      <c r="S59" s="977"/>
      <c r="T59" s="977"/>
      <c r="U59" s="977"/>
      <c r="V59" s="977"/>
      <c r="W59" s="977"/>
      <c r="X59" s="657"/>
      <c r="Y59" s="657"/>
      <c r="Z59" s="657"/>
      <c r="AA59" s="657"/>
    </row>
    <row r="60" spans="1:55">
      <c r="A60" s="300"/>
      <c r="C60" s="502"/>
      <c r="L60" s="657"/>
      <c r="M60" s="977"/>
      <c r="N60" s="977"/>
      <c r="O60" s="977"/>
      <c r="P60" s="977"/>
      <c r="Q60" s="977"/>
      <c r="R60" s="977"/>
      <c r="S60" s="977"/>
      <c r="T60" s="977"/>
      <c r="U60" s="977"/>
      <c r="V60" s="977"/>
      <c r="W60" s="977"/>
      <c r="X60" s="657"/>
      <c r="Y60" s="657"/>
      <c r="Z60" s="657"/>
      <c r="AA60" s="657"/>
    </row>
    <row r="61" spans="1:55">
      <c r="A61" s="426" t="s">
        <v>330</v>
      </c>
      <c r="C61" s="502"/>
      <c r="L61" s="657"/>
      <c r="M61" s="977"/>
      <c r="N61" s="977"/>
      <c r="O61" s="977"/>
      <c r="P61" s="977"/>
      <c r="Q61" s="977"/>
      <c r="R61" s="977"/>
      <c r="S61" s="977"/>
      <c r="T61" s="977"/>
      <c r="U61" s="977"/>
      <c r="V61" s="977"/>
      <c r="W61" s="977"/>
      <c r="X61" s="657"/>
      <c r="Y61" s="657"/>
      <c r="Z61" s="657"/>
      <c r="AA61" s="657"/>
    </row>
    <row r="62" spans="1:55">
      <c r="A62" s="426" t="s">
        <v>332</v>
      </c>
      <c r="L62" s="657"/>
      <c r="M62" s="977"/>
      <c r="N62" s="977"/>
      <c r="O62" s="977"/>
      <c r="P62" s="977"/>
      <c r="Q62" s="977"/>
      <c r="R62" s="977"/>
      <c r="S62" s="977"/>
      <c r="T62" s="977"/>
      <c r="U62" s="977"/>
      <c r="V62" s="977"/>
      <c r="W62" s="977"/>
      <c r="X62" s="657"/>
      <c r="Y62" s="657"/>
      <c r="Z62" s="657"/>
      <c r="AA62" s="657"/>
    </row>
    <row r="63" spans="1:55">
      <c r="A63" s="427"/>
      <c r="L63" s="657"/>
      <c r="M63" s="977"/>
      <c r="N63" s="977"/>
      <c r="O63" s="977"/>
      <c r="P63" s="977"/>
      <c r="Q63" s="977"/>
      <c r="R63" s="977"/>
      <c r="S63" s="977"/>
      <c r="T63" s="977"/>
      <c r="U63" s="977"/>
      <c r="V63" s="977"/>
      <c r="W63" s="977"/>
      <c r="X63" s="657"/>
      <c r="Y63" s="657"/>
      <c r="Z63" s="657"/>
      <c r="AA63" s="657"/>
    </row>
    <row r="64" spans="1:55">
      <c r="A64" s="426" t="s">
        <v>333</v>
      </c>
      <c r="L64" s="657"/>
      <c r="M64" s="657"/>
      <c r="N64" s="657"/>
      <c r="O64" s="657"/>
      <c r="P64" s="657"/>
      <c r="Q64" s="657"/>
      <c r="R64" s="977"/>
      <c r="S64" s="657"/>
      <c r="T64" s="657"/>
      <c r="U64" s="657"/>
      <c r="V64" s="657"/>
      <c r="W64" s="657"/>
      <c r="X64" s="657"/>
      <c r="Y64" s="657"/>
      <c r="Z64" s="657"/>
      <c r="AA64" s="657"/>
    </row>
  </sheetData>
  <sheetProtection password="9690" sheet="1" formatColumns="0" insertRows="0" deleteRows="0"/>
  <mergeCells count="47">
    <mergeCell ref="AZ10:AZ11"/>
    <mergeCell ref="BA10:BA11"/>
    <mergeCell ref="BB10:BB11"/>
    <mergeCell ref="AS9:AT10"/>
    <mergeCell ref="AF9:AR9"/>
    <mergeCell ref="AI10:AK10"/>
    <mergeCell ref="AL10:AN10"/>
    <mergeCell ref="A8:A11"/>
    <mergeCell ref="B8:B11"/>
    <mergeCell ref="E8:E11"/>
    <mergeCell ref="M8:M11"/>
    <mergeCell ref="N9:R9"/>
    <mergeCell ref="F8:F11"/>
    <mergeCell ref="G8:G11"/>
    <mergeCell ref="R10:R11"/>
    <mergeCell ref="S10:T10"/>
    <mergeCell ref="AC10:AD10"/>
    <mergeCell ref="BC8:BC11"/>
    <mergeCell ref="AA10:AB10"/>
    <mergeCell ref="AW10:AW11"/>
    <mergeCell ref="AX10:AX11"/>
    <mergeCell ref="AR10:AR11"/>
    <mergeCell ref="AF10:AH10"/>
    <mergeCell ref="U10:V10"/>
    <mergeCell ref="W10:X10"/>
    <mergeCell ref="AU9:AX9"/>
    <mergeCell ref="AY9:BB9"/>
    <mergeCell ref="AU10:AU11"/>
    <mergeCell ref="AV10:AV11"/>
    <mergeCell ref="AO10:AQ10"/>
    <mergeCell ref="AY10:AY11"/>
    <mergeCell ref="AE10:AE11"/>
    <mergeCell ref="S9:AD9"/>
    <mergeCell ref="C8:C11"/>
    <mergeCell ref="N10:N11"/>
    <mergeCell ref="O10:O11"/>
    <mergeCell ref="H8:J8"/>
    <mergeCell ref="N8:AD8"/>
    <mergeCell ref="L8:L11"/>
    <mergeCell ref="I9:I11"/>
    <mergeCell ref="J9:J11"/>
    <mergeCell ref="P10:P11"/>
    <mergeCell ref="K8:K10"/>
    <mergeCell ref="Y10:Z10"/>
    <mergeCell ref="D8:D11"/>
    <mergeCell ref="H9:H11"/>
    <mergeCell ref="Q10:Q11"/>
  </mergeCells>
  <pageMargins left="0.7" right="0.7" top="0.75" bottom="0.75" header="0.3" footer="0.3"/>
  <pageSetup paperSize="9" scale="70" orientation="landscape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Лист41">
    <tabColor rgb="FF7030A0"/>
  </sheetPr>
  <dimension ref="A1:BN42"/>
  <sheetViews>
    <sheetView workbookViewId="0">
      <selection activeCell="AV11" sqref="AV11"/>
    </sheetView>
  </sheetViews>
  <sheetFormatPr defaultColWidth="9.140625" defaultRowHeight="15.75"/>
  <cols>
    <col min="1" max="1" width="4.7109375" style="419" customWidth="1"/>
    <col min="2" max="2" width="17.85546875" style="419" customWidth="1"/>
    <col min="3" max="3" width="14.140625" style="419" customWidth="1"/>
    <col min="4" max="4" width="16.5703125" style="419" customWidth="1"/>
    <col min="5" max="5" width="13.140625" style="419" customWidth="1"/>
    <col min="6" max="6" width="13.85546875" style="419" customWidth="1"/>
    <col min="7" max="17" width="9.140625" style="419"/>
    <col min="18" max="18" width="10.5703125" style="419" customWidth="1"/>
    <col min="19" max="43" width="9.140625" style="419"/>
    <col min="44" max="44" width="10.28515625" style="419" customWidth="1"/>
    <col min="45" max="46" width="9.140625" style="419"/>
    <col min="47" max="47" width="12.28515625" style="419" customWidth="1"/>
    <col min="48" max="55" width="8.28515625" style="419" customWidth="1"/>
    <col min="56" max="56" width="9.140625" style="419"/>
    <col min="57" max="60" width="8.28515625" style="419" customWidth="1"/>
    <col min="61" max="61" width="10.28515625" style="419" customWidth="1"/>
    <col min="62" max="63" width="9.140625" style="419"/>
    <col min="64" max="64" width="10.28515625" style="419" customWidth="1"/>
    <col min="65" max="65" width="13.28515625" style="419" customWidth="1"/>
    <col min="66" max="66" width="9.85546875" style="419" customWidth="1"/>
    <col min="67" max="16384" width="9.140625" style="419"/>
  </cols>
  <sheetData>
    <row r="1" spans="1:66">
      <c r="X1" s="759" t="s">
        <v>267</v>
      </c>
      <c r="Y1" s="671" t="s">
        <v>4186</v>
      </c>
    </row>
    <row r="2" spans="1:66">
      <c r="A2" s="695" t="s">
        <v>4187</v>
      </c>
      <c r="B2" s="506"/>
    </row>
    <row r="3" spans="1:66">
      <c r="A3" s="420"/>
      <c r="B3" s="507"/>
    </row>
    <row r="4" spans="1:66">
      <c r="A4" s="656" t="s">
        <v>3401</v>
      </c>
    </row>
    <row r="5" spans="1:66">
      <c r="A5" s="168" t="s">
        <v>990</v>
      </c>
      <c r="C5" s="508"/>
    </row>
    <row r="6" spans="1:66" ht="15" customHeight="1">
      <c r="A6" s="4307" t="s">
        <v>1070</v>
      </c>
      <c r="B6" s="4264" t="s">
        <v>4188</v>
      </c>
      <c r="C6" s="4264" t="s">
        <v>4189</v>
      </c>
      <c r="D6" s="509"/>
      <c r="E6" s="4264" t="s">
        <v>4190</v>
      </c>
      <c r="F6" s="4264" t="s">
        <v>4191</v>
      </c>
      <c r="G6" s="4264" t="s">
        <v>4192</v>
      </c>
      <c r="H6" s="4316" t="s">
        <v>3642</v>
      </c>
      <c r="I6" s="4316"/>
      <c r="J6" s="4316"/>
      <c r="K6" s="4318" t="s">
        <v>4193</v>
      </c>
      <c r="L6" s="4319"/>
      <c r="M6" s="4328" t="s">
        <v>4194</v>
      </c>
      <c r="N6" s="4316"/>
      <c r="O6" s="4316"/>
      <c r="P6" s="4316"/>
      <c r="Q6" s="4316"/>
      <c r="R6" s="4316"/>
      <c r="S6" s="4316"/>
      <c r="T6" s="4316"/>
      <c r="U6" s="4316"/>
      <c r="V6" s="4316"/>
      <c r="W6" s="4316"/>
      <c r="X6" s="4316"/>
      <c r="Y6" s="4316"/>
      <c r="Z6" s="4316"/>
      <c r="AA6" s="4329"/>
      <c r="AB6" s="4264" t="s">
        <v>4195</v>
      </c>
      <c r="AC6" s="4328" t="s">
        <v>4196</v>
      </c>
      <c r="AD6" s="4316"/>
      <c r="AE6" s="4316"/>
      <c r="AF6" s="4316"/>
      <c r="AG6" s="4316"/>
      <c r="AH6" s="4316"/>
      <c r="AI6" s="4316"/>
      <c r="AJ6" s="4316"/>
      <c r="AK6" s="4329"/>
      <c r="AL6" s="4264" t="s">
        <v>4195</v>
      </c>
      <c r="AM6" s="4299" t="s">
        <v>4156</v>
      </c>
      <c r="AN6" s="4299"/>
      <c r="AO6" s="4300"/>
      <c r="AP6" s="4301" t="s">
        <v>4157</v>
      </c>
      <c r="AQ6" s="4301"/>
      <c r="AR6" s="4301"/>
      <c r="AS6" s="4299" t="s">
        <v>4159</v>
      </c>
      <c r="AT6" s="4299"/>
      <c r="AU6" s="4300"/>
      <c r="AV6" s="4335" t="s">
        <v>4144</v>
      </c>
      <c r="AW6" s="4299"/>
      <c r="AX6" s="4299"/>
      <c r="AY6" s="4300"/>
      <c r="AZ6" s="4335" t="s">
        <v>4197</v>
      </c>
      <c r="BA6" s="4299"/>
      <c r="BB6" s="4299"/>
      <c r="BC6" s="4300"/>
      <c r="BD6" s="4264" t="s">
        <v>4195</v>
      </c>
      <c r="BE6" s="4335" t="s">
        <v>4145</v>
      </c>
      <c r="BF6" s="4299"/>
      <c r="BG6" s="4299"/>
      <c r="BH6" s="4300"/>
      <c r="BI6" s="4264" t="s">
        <v>4198</v>
      </c>
      <c r="BJ6" s="4296" t="s">
        <v>4199</v>
      </c>
      <c r="BK6" s="4287"/>
      <c r="BL6" s="4297"/>
      <c r="BM6" s="4264" t="s">
        <v>4200</v>
      </c>
      <c r="BN6" s="4264" t="s">
        <v>4201</v>
      </c>
    </row>
    <row r="7" spans="1:66" ht="65.25" customHeight="1">
      <c r="A7" s="4307"/>
      <c r="B7" s="4312"/>
      <c r="C7" s="4312"/>
      <c r="D7" s="4310" t="s">
        <v>4202</v>
      </c>
      <c r="E7" s="4312"/>
      <c r="F7" s="4312"/>
      <c r="G7" s="4312"/>
      <c r="H7" s="4322" t="s">
        <v>4055</v>
      </c>
      <c r="I7" s="4323" t="s">
        <v>3653</v>
      </c>
      <c r="J7" s="4317" t="s">
        <v>3641</v>
      </c>
      <c r="K7" s="4320"/>
      <c r="L7" s="4321"/>
      <c r="M7" s="4308" t="s">
        <v>4203</v>
      </c>
      <c r="N7" s="4313" t="s">
        <v>4204</v>
      </c>
      <c r="O7" s="4313"/>
      <c r="P7" s="4313" t="s">
        <v>4205</v>
      </c>
      <c r="Q7" s="4313"/>
      <c r="R7" s="4314"/>
      <c r="S7" s="4265" t="s">
        <v>4206</v>
      </c>
      <c r="T7" s="4265"/>
      <c r="U7" s="4315" t="s">
        <v>4207</v>
      </c>
      <c r="V7" s="4313"/>
      <c r="W7" s="4313" t="s">
        <v>50</v>
      </c>
      <c r="X7" s="4313"/>
      <c r="Y7" s="4296" t="s">
        <v>4208</v>
      </c>
      <c r="Z7" s="4297"/>
      <c r="AA7" s="4340" t="s">
        <v>4209</v>
      </c>
      <c r="AB7" s="4312"/>
      <c r="AC7" s="4342" t="s">
        <v>4203</v>
      </c>
      <c r="AD7" s="4344" t="s">
        <v>4210</v>
      </c>
      <c r="AE7" s="4344"/>
      <c r="AF7" s="4325" t="s">
        <v>3649</v>
      </c>
      <c r="AG7" s="4326"/>
      <c r="AH7" s="4327"/>
      <c r="AI7" s="4324" t="s">
        <v>4211</v>
      </c>
      <c r="AJ7" s="4324"/>
      <c r="AK7" s="4330" t="s">
        <v>4212</v>
      </c>
      <c r="AL7" s="4312"/>
      <c r="AM7" s="4336"/>
      <c r="AN7" s="4336"/>
      <c r="AO7" s="4337"/>
      <c r="AP7" s="4301"/>
      <c r="AQ7" s="4301"/>
      <c r="AR7" s="4301"/>
      <c r="AS7" s="4304"/>
      <c r="AT7" s="4304"/>
      <c r="AU7" s="4304"/>
      <c r="AV7" s="4196" t="s">
        <v>996</v>
      </c>
      <c r="AW7" s="4196" t="s">
        <v>4023</v>
      </c>
      <c r="AX7" s="4196" t="s">
        <v>4161</v>
      </c>
      <c r="AY7" s="4333" t="s">
        <v>320</v>
      </c>
      <c r="AZ7" s="4196" t="s">
        <v>996</v>
      </c>
      <c r="BA7" s="4196" t="s">
        <v>4023</v>
      </c>
      <c r="BB7" s="4196" t="s">
        <v>4161</v>
      </c>
      <c r="BC7" s="4333" t="s">
        <v>320</v>
      </c>
      <c r="BD7" s="4312"/>
      <c r="BE7" s="4196" t="s">
        <v>996</v>
      </c>
      <c r="BF7" s="4196" t="s">
        <v>4023</v>
      </c>
      <c r="BG7" s="4196" t="s">
        <v>4161</v>
      </c>
      <c r="BH7" s="4333" t="s">
        <v>320</v>
      </c>
      <c r="BI7" s="4312"/>
      <c r="BJ7" s="4276" t="s">
        <v>4213</v>
      </c>
      <c r="BK7" s="4276" t="s">
        <v>4214</v>
      </c>
      <c r="BL7" s="4338" t="s">
        <v>4215</v>
      </c>
      <c r="BM7" s="4312"/>
      <c r="BN7" s="4312"/>
    </row>
    <row r="8" spans="1:66" ht="78.75">
      <c r="A8" s="4307"/>
      <c r="B8" s="4265"/>
      <c r="C8" s="4265"/>
      <c r="D8" s="4311"/>
      <c r="E8" s="4265"/>
      <c r="F8" s="4265"/>
      <c r="G8" s="4265"/>
      <c r="H8" s="4322"/>
      <c r="I8" s="4323"/>
      <c r="J8" s="4317"/>
      <c r="K8" s="256" t="s">
        <v>4216</v>
      </c>
      <c r="L8" s="256" t="s">
        <v>4217</v>
      </c>
      <c r="M8" s="4309"/>
      <c r="N8" s="511" t="s">
        <v>4218</v>
      </c>
      <c r="O8" s="511" t="s">
        <v>4219</v>
      </c>
      <c r="P8" s="511" t="s">
        <v>4218</v>
      </c>
      <c r="Q8" s="511" t="s">
        <v>4220</v>
      </c>
      <c r="R8" s="511" t="s">
        <v>4221</v>
      </c>
      <c r="S8" s="511" t="s">
        <v>4222</v>
      </c>
      <c r="T8" s="511" t="s">
        <v>4223</v>
      </c>
      <c r="U8" s="511" t="s">
        <v>4167</v>
      </c>
      <c r="V8" s="511" t="s">
        <v>4224</v>
      </c>
      <c r="W8" s="511" t="s">
        <v>4218</v>
      </c>
      <c r="X8" s="511" t="s">
        <v>4225</v>
      </c>
      <c r="Y8" s="938" t="s">
        <v>4170</v>
      </c>
      <c r="Z8" s="983" t="s">
        <v>4226</v>
      </c>
      <c r="AA8" s="4341"/>
      <c r="AB8" s="4312"/>
      <c r="AC8" s="4343"/>
      <c r="AD8" s="510" t="s">
        <v>4218</v>
      </c>
      <c r="AE8" s="510" t="s">
        <v>4227</v>
      </c>
      <c r="AF8" s="511" t="s">
        <v>4218</v>
      </c>
      <c r="AG8" s="511" t="s">
        <v>4220</v>
      </c>
      <c r="AH8" s="511" t="s">
        <v>4228</v>
      </c>
      <c r="AI8" s="510" t="s">
        <v>4222</v>
      </c>
      <c r="AJ8" s="510" t="s">
        <v>4229</v>
      </c>
      <c r="AK8" s="4331"/>
      <c r="AL8" s="4312"/>
      <c r="AM8" s="940" t="s">
        <v>4174</v>
      </c>
      <c r="AN8" s="940" t="s">
        <v>4175</v>
      </c>
      <c r="AO8" s="941" t="s">
        <v>4230</v>
      </c>
      <c r="AP8" s="984" t="s">
        <v>4231</v>
      </c>
      <c r="AQ8" s="939" t="s">
        <v>4232</v>
      </c>
      <c r="AR8" s="985" t="s">
        <v>4233</v>
      </c>
      <c r="AS8" s="983" t="s">
        <v>4023</v>
      </c>
      <c r="AT8" s="983" t="s">
        <v>4181</v>
      </c>
      <c r="AU8" s="986" t="s">
        <v>4234</v>
      </c>
      <c r="AV8" s="4332"/>
      <c r="AW8" s="4332"/>
      <c r="AX8" s="4332"/>
      <c r="AY8" s="4334"/>
      <c r="AZ8" s="4332"/>
      <c r="BA8" s="4332"/>
      <c r="BB8" s="4332"/>
      <c r="BC8" s="4334"/>
      <c r="BD8" s="4312"/>
      <c r="BE8" s="4332"/>
      <c r="BF8" s="4332"/>
      <c r="BG8" s="4332"/>
      <c r="BH8" s="4334"/>
      <c r="BI8" s="4312"/>
      <c r="BJ8" s="4294"/>
      <c r="BK8" s="4294"/>
      <c r="BL8" s="4339"/>
      <c r="BM8" s="4312"/>
      <c r="BN8" s="4312"/>
    </row>
    <row r="9" spans="1:66">
      <c r="A9" s="512">
        <v>1</v>
      </c>
      <c r="B9" s="512">
        <f>A9+1</f>
        <v>2</v>
      </c>
      <c r="C9" s="512">
        <f t="shared" ref="C9:BN9" si="0">B9+1</f>
        <v>3</v>
      </c>
      <c r="D9" s="512">
        <f t="shared" si="0"/>
        <v>4</v>
      </c>
      <c r="E9" s="512">
        <f t="shared" si="0"/>
        <v>5</v>
      </c>
      <c r="F9" s="512">
        <f t="shared" si="0"/>
        <v>6</v>
      </c>
      <c r="G9" s="980">
        <f t="shared" si="0"/>
        <v>7</v>
      </c>
      <c r="H9" s="515">
        <f t="shared" si="0"/>
        <v>8</v>
      </c>
      <c r="I9" s="515">
        <f t="shared" si="0"/>
        <v>9</v>
      </c>
      <c r="J9" s="515">
        <f t="shared" si="0"/>
        <v>10</v>
      </c>
      <c r="K9" s="981">
        <f t="shared" si="0"/>
        <v>11</v>
      </c>
      <c r="L9" s="512">
        <f t="shared" si="0"/>
        <v>12</v>
      </c>
      <c r="M9" s="980">
        <f t="shared" si="0"/>
        <v>13</v>
      </c>
      <c r="N9" s="515">
        <f t="shared" si="0"/>
        <v>14</v>
      </c>
      <c r="O9" s="515">
        <f t="shared" si="0"/>
        <v>15</v>
      </c>
      <c r="P9" s="515">
        <f t="shared" si="0"/>
        <v>16</v>
      </c>
      <c r="Q9" s="515">
        <f t="shared" si="0"/>
        <v>17</v>
      </c>
      <c r="R9" s="515">
        <f t="shared" si="0"/>
        <v>18</v>
      </c>
      <c r="S9" s="515">
        <f t="shared" si="0"/>
        <v>19</v>
      </c>
      <c r="T9" s="515">
        <f t="shared" si="0"/>
        <v>20</v>
      </c>
      <c r="U9" s="515">
        <f t="shared" si="0"/>
        <v>21</v>
      </c>
      <c r="V9" s="515">
        <f t="shared" si="0"/>
        <v>22</v>
      </c>
      <c r="W9" s="515">
        <f t="shared" si="0"/>
        <v>23</v>
      </c>
      <c r="X9" s="515">
        <f t="shared" si="0"/>
        <v>24</v>
      </c>
      <c r="Y9" s="515">
        <f t="shared" si="0"/>
        <v>25</v>
      </c>
      <c r="Z9" s="515">
        <f t="shared" si="0"/>
        <v>26</v>
      </c>
      <c r="AA9" s="515">
        <f t="shared" si="0"/>
        <v>27</v>
      </c>
      <c r="AB9" s="515">
        <f t="shared" si="0"/>
        <v>28</v>
      </c>
      <c r="AC9" s="515">
        <f t="shared" si="0"/>
        <v>29</v>
      </c>
      <c r="AD9" s="515">
        <f t="shared" si="0"/>
        <v>30</v>
      </c>
      <c r="AE9" s="515">
        <f t="shared" si="0"/>
        <v>31</v>
      </c>
      <c r="AF9" s="515">
        <f t="shared" si="0"/>
        <v>32</v>
      </c>
      <c r="AG9" s="515">
        <f t="shared" si="0"/>
        <v>33</v>
      </c>
      <c r="AH9" s="515">
        <f t="shared" si="0"/>
        <v>34</v>
      </c>
      <c r="AI9" s="515">
        <f t="shared" si="0"/>
        <v>35</v>
      </c>
      <c r="AJ9" s="515">
        <f t="shared" si="0"/>
        <v>36</v>
      </c>
      <c r="AK9" s="515">
        <f t="shared" si="0"/>
        <v>37</v>
      </c>
      <c r="AL9" s="515">
        <f t="shared" si="0"/>
        <v>38</v>
      </c>
      <c r="AM9" s="515">
        <f t="shared" si="0"/>
        <v>39</v>
      </c>
      <c r="AN9" s="515">
        <f t="shared" si="0"/>
        <v>40</v>
      </c>
      <c r="AO9" s="515">
        <f t="shared" si="0"/>
        <v>41</v>
      </c>
      <c r="AP9" s="515">
        <f t="shared" si="0"/>
        <v>42</v>
      </c>
      <c r="AQ9" s="515">
        <f t="shared" si="0"/>
        <v>43</v>
      </c>
      <c r="AR9" s="515">
        <f t="shared" si="0"/>
        <v>44</v>
      </c>
      <c r="AS9" s="515">
        <f t="shared" si="0"/>
        <v>45</v>
      </c>
      <c r="AT9" s="515">
        <f t="shared" si="0"/>
        <v>46</v>
      </c>
      <c r="AU9" s="515">
        <f t="shared" si="0"/>
        <v>47</v>
      </c>
      <c r="AV9" s="515">
        <f t="shared" si="0"/>
        <v>48</v>
      </c>
      <c r="AW9" s="515">
        <f t="shared" si="0"/>
        <v>49</v>
      </c>
      <c r="AX9" s="515">
        <f t="shared" si="0"/>
        <v>50</v>
      </c>
      <c r="AY9" s="515">
        <f t="shared" si="0"/>
        <v>51</v>
      </c>
      <c r="AZ9" s="515">
        <f t="shared" si="0"/>
        <v>52</v>
      </c>
      <c r="BA9" s="515">
        <f t="shared" si="0"/>
        <v>53</v>
      </c>
      <c r="BB9" s="515">
        <f t="shared" si="0"/>
        <v>54</v>
      </c>
      <c r="BC9" s="515">
        <f t="shared" si="0"/>
        <v>55</v>
      </c>
      <c r="BD9" s="515">
        <f t="shared" si="0"/>
        <v>56</v>
      </c>
      <c r="BE9" s="515">
        <f t="shared" si="0"/>
        <v>57</v>
      </c>
      <c r="BF9" s="515">
        <f t="shared" si="0"/>
        <v>58</v>
      </c>
      <c r="BG9" s="515">
        <f t="shared" si="0"/>
        <v>59</v>
      </c>
      <c r="BH9" s="515">
        <f t="shared" si="0"/>
        <v>60</v>
      </c>
      <c r="BI9" s="515">
        <f t="shared" si="0"/>
        <v>61</v>
      </c>
      <c r="BJ9" s="515">
        <f t="shared" si="0"/>
        <v>62</v>
      </c>
      <c r="BK9" s="515">
        <f t="shared" si="0"/>
        <v>63</v>
      </c>
      <c r="BL9" s="515">
        <f t="shared" si="0"/>
        <v>64</v>
      </c>
      <c r="BM9" s="515">
        <f t="shared" si="0"/>
        <v>65</v>
      </c>
      <c r="BN9" s="515">
        <f t="shared" si="0"/>
        <v>66</v>
      </c>
    </row>
    <row r="10" spans="1:66" s="514" customFormat="1">
      <c r="A10" s="513"/>
      <c r="B10" s="513" t="s">
        <v>20</v>
      </c>
      <c r="C10" s="513"/>
      <c r="D10" s="513"/>
      <c r="E10" s="513"/>
      <c r="F10" s="513"/>
      <c r="G10" s="513"/>
      <c r="H10" s="513"/>
      <c r="I10" s="513"/>
      <c r="J10" s="513"/>
      <c r="K10" s="513"/>
      <c r="L10" s="513">
        <f>L11</f>
        <v>0</v>
      </c>
      <c r="M10" s="982"/>
      <c r="N10" s="513"/>
      <c r="O10" s="513">
        <f>O11</f>
        <v>0</v>
      </c>
      <c r="P10" s="513"/>
      <c r="Q10" s="513"/>
      <c r="R10" s="513">
        <f>R11</f>
        <v>0</v>
      </c>
      <c r="S10" s="513"/>
      <c r="T10" s="513">
        <f>T11</f>
        <v>0</v>
      </c>
      <c r="U10" s="513"/>
      <c r="V10" s="513">
        <f>V11</f>
        <v>0</v>
      </c>
      <c r="W10" s="513"/>
      <c r="X10" s="513">
        <f>X11</f>
        <v>0</v>
      </c>
      <c r="Y10" s="513"/>
      <c r="Z10" s="513">
        <f>Z11</f>
        <v>0</v>
      </c>
      <c r="AA10" s="513">
        <f>AA11</f>
        <v>0</v>
      </c>
      <c r="AB10" s="513">
        <f>AB11</f>
        <v>0</v>
      </c>
      <c r="AC10" s="513"/>
      <c r="AD10" s="513"/>
      <c r="AE10" s="513">
        <f>AE11</f>
        <v>0</v>
      </c>
      <c r="AF10" s="513"/>
      <c r="AG10" s="513"/>
      <c r="AH10" s="513">
        <f>AH11</f>
        <v>0</v>
      </c>
      <c r="AI10" s="513"/>
      <c r="AJ10" s="513">
        <f>AJ11</f>
        <v>0</v>
      </c>
      <c r="AK10" s="513">
        <f>AK11</f>
        <v>0</v>
      </c>
      <c r="AL10" s="513">
        <f>AL11</f>
        <v>0</v>
      </c>
      <c r="AM10" s="513"/>
      <c r="AN10" s="513"/>
      <c r="AO10" s="513">
        <f>AO11</f>
        <v>0</v>
      </c>
      <c r="AP10" s="513"/>
      <c r="AQ10" s="513"/>
      <c r="AR10" s="513">
        <f>AR11</f>
        <v>0</v>
      </c>
      <c r="AS10" s="513"/>
      <c r="AT10" s="513"/>
      <c r="AU10" s="513">
        <f>AU11</f>
        <v>0</v>
      </c>
      <c r="AV10" s="513"/>
      <c r="AW10" s="513"/>
      <c r="AX10" s="513"/>
      <c r="AY10" s="513">
        <f>AY11</f>
        <v>0</v>
      </c>
      <c r="AZ10" s="513"/>
      <c r="BA10" s="513"/>
      <c r="BB10" s="513"/>
      <c r="BC10" s="513">
        <f>BC11</f>
        <v>0</v>
      </c>
      <c r="BD10" s="513">
        <f>BD11</f>
        <v>0</v>
      </c>
      <c r="BE10" s="513"/>
      <c r="BF10" s="513"/>
      <c r="BG10" s="513"/>
      <c r="BH10" s="513">
        <f>BH11</f>
        <v>0</v>
      </c>
      <c r="BI10" s="513"/>
      <c r="BJ10" s="513"/>
      <c r="BK10" s="513"/>
      <c r="BL10" s="513">
        <f>BL11</f>
        <v>0</v>
      </c>
      <c r="BM10" s="513">
        <f>BM11</f>
        <v>0</v>
      </c>
      <c r="BN10" s="515" t="e">
        <f>BM10/G10</f>
        <v>#DIV/0!</v>
      </c>
    </row>
    <row r="11" spans="1:66">
      <c r="A11" s="515"/>
      <c r="B11" s="516" t="s">
        <v>4235</v>
      </c>
      <c r="C11" s="515"/>
      <c r="D11" s="515"/>
      <c r="E11" s="515"/>
      <c r="F11" s="515"/>
      <c r="G11" s="515"/>
      <c r="H11" s="515"/>
      <c r="I11" s="515"/>
      <c r="J11" s="515"/>
      <c r="K11" s="515"/>
      <c r="L11" s="513">
        <f>SUM(L12:L31)</f>
        <v>0</v>
      </c>
      <c r="M11" s="515"/>
      <c r="N11" s="515"/>
      <c r="O11" s="513">
        <f>SUM(O12:O31)</f>
        <v>0</v>
      </c>
      <c r="P11" s="515"/>
      <c r="Q11" s="515"/>
      <c r="R11" s="513">
        <f>SUM(R12:R31)</f>
        <v>0</v>
      </c>
      <c r="S11" s="515"/>
      <c r="T11" s="513">
        <f>SUM(T12:T31)</f>
        <v>0</v>
      </c>
      <c r="U11" s="515"/>
      <c r="V11" s="513">
        <f>SUM(V12:V31)</f>
        <v>0</v>
      </c>
      <c r="W11" s="515"/>
      <c r="X11" s="513">
        <f>SUM(X12:X31)</f>
        <v>0</v>
      </c>
      <c r="Y11" s="515"/>
      <c r="Z11" s="513">
        <f>SUM(Z12:Z31)</f>
        <v>0</v>
      </c>
      <c r="AA11" s="513">
        <f>SUM(AA12:AA31)</f>
        <v>0</v>
      </c>
      <c r="AB11" s="513">
        <f>SUM(AB12:AB31)</f>
        <v>0</v>
      </c>
      <c r="AC11" s="515"/>
      <c r="AD11" s="515"/>
      <c r="AE11" s="513">
        <f>SUM(AE12:AE31)</f>
        <v>0</v>
      </c>
      <c r="AF11" s="515"/>
      <c r="AG11" s="515"/>
      <c r="AH11" s="513">
        <f>SUM(AH12:AH31)</f>
        <v>0</v>
      </c>
      <c r="AI11" s="515"/>
      <c r="AJ11" s="513">
        <f>SUM(AJ12:AJ31)</f>
        <v>0</v>
      </c>
      <c r="AK11" s="513">
        <f>SUM(AK12:AK31)</f>
        <v>0</v>
      </c>
      <c r="AL11" s="513">
        <f>SUM(AL12:AL31)</f>
        <v>0</v>
      </c>
      <c r="AM11" s="515"/>
      <c r="AN11" s="515"/>
      <c r="AO11" s="513">
        <f>SUM(AO12:AO31)</f>
        <v>0</v>
      </c>
      <c r="AP11" s="515"/>
      <c r="AQ11" s="515"/>
      <c r="AR11" s="513">
        <f>SUM(AR12:AR31)</f>
        <v>0</v>
      </c>
      <c r="AS11" s="515"/>
      <c r="AT11" s="515"/>
      <c r="AU11" s="513">
        <f>SUM(AU12:AU31)</f>
        <v>0</v>
      </c>
      <c r="AV11" s="515"/>
      <c r="AW11" s="515"/>
      <c r="AX11" s="515"/>
      <c r="AY11" s="513">
        <f>SUM(AY12:AY31)</f>
        <v>0</v>
      </c>
      <c r="AZ11" s="515"/>
      <c r="BA11" s="515"/>
      <c r="BB11" s="515"/>
      <c r="BC11" s="513">
        <f>SUM(BC12:BC31)</f>
        <v>0</v>
      </c>
      <c r="BD11" s="513">
        <f>SUM(BD12:BD31)</f>
        <v>0</v>
      </c>
      <c r="BE11" s="515"/>
      <c r="BF11" s="515"/>
      <c r="BG11" s="515"/>
      <c r="BH11" s="513">
        <f>SUM(BH12:BH31)</f>
        <v>0</v>
      </c>
      <c r="BI11" s="515"/>
      <c r="BJ11" s="515"/>
      <c r="BK11" s="515"/>
      <c r="BL11" s="513">
        <f>SUM(BL12:BL31)</f>
        <v>0</v>
      </c>
      <c r="BM11" s="513">
        <f>SUM(BM12:BM31)</f>
        <v>0</v>
      </c>
      <c r="BN11" s="515" t="e">
        <f>BM11/G11</f>
        <v>#DIV/0!</v>
      </c>
    </row>
    <row r="12" spans="1:66">
      <c r="A12" s="978"/>
      <c r="B12" s="979"/>
      <c r="C12" s="978"/>
      <c r="D12" s="978"/>
      <c r="E12" s="978"/>
      <c r="F12" s="978"/>
      <c r="G12" s="978"/>
      <c r="H12" s="978"/>
      <c r="I12" s="978"/>
      <c r="J12" s="978"/>
      <c r="K12" s="978"/>
      <c r="L12" s="515">
        <f>K12*J12*G12</f>
        <v>0</v>
      </c>
      <c r="M12" s="978"/>
      <c r="N12" s="978"/>
      <c r="O12" s="515">
        <f>N12*M12*G12</f>
        <v>0</v>
      </c>
      <c r="P12" s="978"/>
      <c r="Q12" s="978"/>
      <c r="R12" s="515">
        <f>P12*Q12*G12</f>
        <v>0</v>
      </c>
      <c r="S12" s="978"/>
      <c r="T12" s="515">
        <f>S12*G12</f>
        <v>0</v>
      </c>
      <c r="U12" s="978"/>
      <c r="V12" s="515">
        <f>U12*J12*G12</f>
        <v>0</v>
      </c>
      <c r="W12" s="978"/>
      <c r="X12" s="515">
        <f>W12*J12*Q12*G12</f>
        <v>0</v>
      </c>
      <c r="Y12" s="978"/>
      <c r="Z12" s="515">
        <f>Y12*J12*G12</f>
        <v>0</v>
      </c>
      <c r="AA12" s="515">
        <f>L12+O12+R12+T12+V12+X12+Z12</f>
        <v>0</v>
      </c>
      <c r="AB12" s="515">
        <f>AA12*10%</f>
        <v>0</v>
      </c>
      <c r="AC12" s="978"/>
      <c r="AD12" s="978"/>
      <c r="AE12" s="515">
        <f>AC12*AD12*G12</f>
        <v>0</v>
      </c>
      <c r="AF12" s="978"/>
      <c r="AG12" s="978"/>
      <c r="AH12" s="515">
        <f>AF12*AG12*G12</f>
        <v>0</v>
      </c>
      <c r="AI12" s="978"/>
      <c r="AJ12" s="515">
        <f>AI12*G12</f>
        <v>0</v>
      </c>
      <c r="AK12" s="515">
        <f>AE12+AH12+AJ12</f>
        <v>0</v>
      </c>
      <c r="AL12" s="515">
        <f>AK12*10%</f>
        <v>0</v>
      </c>
      <c r="AM12" s="978"/>
      <c r="AN12" s="978"/>
      <c r="AO12" s="515">
        <f>AM12*AN12*G12</f>
        <v>0</v>
      </c>
      <c r="AP12" s="978"/>
      <c r="AQ12" s="978"/>
      <c r="AR12" s="515">
        <f>AP12*AQ12</f>
        <v>0</v>
      </c>
      <c r="AS12" s="978"/>
      <c r="AT12" s="978"/>
      <c r="AU12" s="515">
        <f>AS12*AT12</f>
        <v>0</v>
      </c>
      <c r="AV12" s="978"/>
      <c r="AW12" s="978"/>
      <c r="AX12" s="978"/>
      <c r="AY12" s="515">
        <f>AW12*AX12</f>
        <v>0</v>
      </c>
      <c r="AZ12" s="978"/>
      <c r="BA12" s="978"/>
      <c r="BB12" s="978"/>
      <c r="BC12" s="515">
        <f>BA12*BB12</f>
        <v>0</v>
      </c>
      <c r="BD12" s="515">
        <f>BC12*10%</f>
        <v>0</v>
      </c>
      <c r="BE12" s="978"/>
      <c r="BF12" s="978"/>
      <c r="BG12" s="978"/>
      <c r="BH12" s="515">
        <f>BF12*BG12</f>
        <v>0</v>
      </c>
      <c r="BI12" s="978"/>
      <c r="BJ12" s="978"/>
      <c r="BK12" s="978"/>
      <c r="BL12" s="515">
        <f>BJ12*BK12</f>
        <v>0</v>
      </c>
      <c r="BM12" s="515">
        <f>AA12+AB12+AK12+AL12+AO12+AR12+AY12+BC12+BD12+BH12+BI12+BL12</f>
        <v>0</v>
      </c>
      <c r="BN12" s="515" t="e">
        <f>BM12/G12</f>
        <v>#DIV/0!</v>
      </c>
    </row>
    <row r="13" spans="1:66">
      <c r="A13" s="978"/>
      <c r="B13" s="979"/>
      <c r="C13" s="978"/>
      <c r="D13" s="978"/>
      <c r="E13" s="978"/>
      <c r="F13" s="978"/>
      <c r="G13" s="978"/>
      <c r="H13" s="978"/>
      <c r="I13" s="978"/>
      <c r="J13" s="978"/>
      <c r="K13" s="978"/>
      <c r="L13" s="515">
        <f t="shared" ref="L13:L22" si="1">K13*J13*G13</f>
        <v>0</v>
      </c>
      <c r="M13" s="978"/>
      <c r="N13" s="978"/>
      <c r="O13" s="515">
        <f t="shared" ref="O13:O22" si="2">N13*M13*G13</f>
        <v>0</v>
      </c>
      <c r="P13" s="978"/>
      <c r="Q13" s="978"/>
      <c r="R13" s="515">
        <f t="shared" ref="R13:R22" si="3">P13*Q13*G13</f>
        <v>0</v>
      </c>
      <c r="S13" s="978"/>
      <c r="T13" s="515">
        <f t="shared" ref="T13:T22" si="4">S13*G13</f>
        <v>0</v>
      </c>
      <c r="U13" s="978"/>
      <c r="V13" s="515">
        <f t="shared" ref="V13:V22" si="5">U13*J13*G13</f>
        <v>0</v>
      </c>
      <c r="W13" s="978"/>
      <c r="X13" s="515">
        <f t="shared" ref="X13:X22" si="6">W13*J13*Q13*G13</f>
        <v>0</v>
      </c>
      <c r="Y13" s="978"/>
      <c r="Z13" s="515">
        <f t="shared" ref="Z13:Z22" si="7">Y13*J13*G13</f>
        <v>0</v>
      </c>
      <c r="AA13" s="515">
        <f t="shared" ref="AA13:AA22" si="8">L13+O13+R13+T13+V13+X13+Z13</f>
        <v>0</v>
      </c>
      <c r="AB13" s="515">
        <f t="shared" ref="AB13:AB31" si="9">AA13*10%</f>
        <v>0</v>
      </c>
      <c r="AC13" s="978"/>
      <c r="AD13" s="978"/>
      <c r="AE13" s="515">
        <f t="shared" ref="AE13:AE23" si="10">AC13*AD13*G13</f>
        <v>0</v>
      </c>
      <c r="AF13" s="978"/>
      <c r="AG13" s="978"/>
      <c r="AH13" s="515">
        <f t="shared" ref="AH13:AH23" si="11">AF13*AG13*G13</f>
        <v>0</v>
      </c>
      <c r="AI13" s="978"/>
      <c r="AJ13" s="515">
        <f t="shared" ref="AJ13:AJ23" si="12">AI13*G13</f>
        <v>0</v>
      </c>
      <c r="AK13" s="515">
        <f t="shared" ref="AK13:AK23" si="13">AE13+AH13+AJ13</f>
        <v>0</v>
      </c>
      <c r="AL13" s="515">
        <f t="shared" ref="AL13:AL31" si="14">AK13*10%</f>
        <v>0</v>
      </c>
      <c r="AM13" s="978"/>
      <c r="AN13" s="978"/>
      <c r="AO13" s="515">
        <f t="shared" ref="AO13:AO23" si="15">AM13*AN13*G13</f>
        <v>0</v>
      </c>
      <c r="AP13" s="978"/>
      <c r="AQ13" s="978"/>
      <c r="AR13" s="515">
        <f t="shared" ref="AR13:AR23" si="16">AP13*AQ13</f>
        <v>0</v>
      </c>
      <c r="AS13" s="978"/>
      <c r="AT13" s="978"/>
      <c r="AU13" s="515">
        <f t="shared" ref="AU13:AU23" si="17">AS13*AT13</f>
        <v>0</v>
      </c>
      <c r="AV13" s="978"/>
      <c r="AW13" s="978"/>
      <c r="AX13" s="978"/>
      <c r="AY13" s="515">
        <f t="shared" ref="AY13:AY31" si="18">AW13*AX13</f>
        <v>0</v>
      </c>
      <c r="AZ13" s="978"/>
      <c r="BA13" s="978"/>
      <c r="BB13" s="978"/>
      <c r="BC13" s="515">
        <f t="shared" ref="BC13:BC31" si="19">BA13*BB13</f>
        <v>0</v>
      </c>
      <c r="BD13" s="515">
        <f t="shared" ref="BD13:BD31" si="20">BC13*10%</f>
        <v>0</v>
      </c>
      <c r="BE13" s="978"/>
      <c r="BF13" s="978"/>
      <c r="BG13" s="978"/>
      <c r="BH13" s="515">
        <f t="shared" ref="BH13:BH31" si="21">BF13*BG13</f>
        <v>0</v>
      </c>
      <c r="BI13" s="978"/>
      <c r="BJ13" s="978"/>
      <c r="BK13" s="978"/>
      <c r="BL13" s="515">
        <f t="shared" ref="BL13:BL31" si="22">BJ13*BK13</f>
        <v>0</v>
      </c>
      <c r="BM13" s="515">
        <f t="shared" ref="BM13:BM31" si="23">AA13+AB13+AK13+AL13+AO13+AR13+AY13+BC13+BD13+BH13+BI13+BL13</f>
        <v>0</v>
      </c>
      <c r="BN13" s="515" t="e">
        <f t="shared" ref="BN13:BN31" si="24">BM13/G13</f>
        <v>#DIV/0!</v>
      </c>
    </row>
    <row r="14" spans="1:66">
      <c r="A14" s="978"/>
      <c r="B14" s="979"/>
      <c r="C14" s="978"/>
      <c r="D14" s="978"/>
      <c r="E14" s="978"/>
      <c r="F14" s="978"/>
      <c r="G14" s="978"/>
      <c r="H14" s="978"/>
      <c r="I14" s="978"/>
      <c r="J14" s="978"/>
      <c r="K14" s="978"/>
      <c r="L14" s="515">
        <f t="shared" si="1"/>
        <v>0</v>
      </c>
      <c r="M14" s="978"/>
      <c r="N14" s="978"/>
      <c r="O14" s="515">
        <f t="shared" si="2"/>
        <v>0</v>
      </c>
      <c r="P14" s="978"/>
      <c r="Q14" s="978"/>
      <c r="R14" s="515">
        <f t="shared" si="3"/>
        <v>0</v>
      </c>
      <c r="S14" s="978"/>
      <c r="T14" s="515">
        <f t="shared" si="4"/>
        <v>0</v>
      </c>
      <c r="U14" s="978"/>
      <c r="V14" s="515">
        <f t="shared" si="5"/>
        <v>0</v>
      </c>
      <c r="W14" s="978"/>
      <c r="X14" s="515">
        <f t="shared" si="6"/>
        <v>0</v>
      </c>
      <c r="Y14" s="978"/>
      <c r="Z14" s="515">
        <f t="shared" si="7"/>
        <v>0</v>
      </c>
      <c r="AA14" s="515">
        <f t="shared" si="8"/>
        <v>0</v>
      </c>
      <c r="AB14" s="515">
        <f t="shared" si="9"/>
        <v>0</v>
      </c>
      <c r="AC14" s="978"/>
      <c r="AD14" s="978"/>
      <c r="AE14" s="515">
        <f t="shared" si="10"/>
        <v>0</v>
      </c>
      <c r="AF14" s="978"/>
      <c r="AG14" s="978"/>
      <c r="AH14" s="515">
        <f t="shared" si="11"/>
        <v>0</v>
      </c>
      <c r="AI14" s="978"/>
      <c r="AJ14" s="515">
        <f t="shared" si="12"/>
        <v>0</v>
      </c>
      <c r="AK14" s="515">
        <f t="shared" si="13"/>
        <v>0</v>
      </c>
      <c r="AL14" s="515">
        <f t="shared" si="14"/>
        <v>0</v>
      </c>
      <c r="AM14" s="978"/>
      <c r="AN14" s="978"/>
      <c r="AO14" s="515">
        <f t="shared" si="15"/>
        <v>0</v>
      </c>
      <c r="AP14" s="978"/>
      <c r="AQ14" s="978"/>
      <c r="AR14" s="515">
        <f t="shared" si="16"/>
        <v>0</v>
      </c>
      <c r="AS14" s="978"/>
      <c r="AT14" s="978"/>
      <c r="AU14" s="515">
        <f t="shared" si="17"/>
        <v>0</v>
      </c>
      <c r="AV14" s="978"/>
      <c r="AW14" s="978"/>
      <c r="AX14" s="978"/>
      <c r="AY14" s="515">
        <f t="shared" si="18"/>
        <v>0</v>
      </c>
      <c r="AZ14" s="978"/>
      <c r="BA14" s="978"/>
      <c r="BB14" s="978"/>
      <c r="BC14" s="515">
        <f t="shared" si="19"/>
        <v>0</v>
      </c>
      <c r="BD14" s="515">
        <f t="shared" si="20"/>
        <v>0</v>
      </c>
      <c r="BE14" s="978"/>
      <c r="BF14" s="978"/>
      <c r="BG14" s="978"/>
      <c r="BH14" s="515">
        <f t="shared" si="21"/>
        <v>0</v>
      </c>
      <c r="BI14" s="978"/>
      <c r="BJ14" s="978"/>
      <c r="BK14" s="978"/>
      <c r="BL14" s="515">
        <f t="shared" si="22"/>
        <v>0</v>
      </c>
      <c r="BM14" s="515">
        <f t="shared" si="23"/>
        <v>0</v>
      </c>
      <c r="BN14" s="515" t="e">
        <f t="shared" si="24"/>
        <v>#DIV/0!</v>
      </c>
    </row>
    <row r="15" spans="1:66">
      <c r="A15" s="978"/>
      <c r="B15" s="979"/>
      <c r="C15" s="978"/>
      <c r="D15" s="978"/>
      <c r="E15" s="978"/>
      <c r="F15" s="978"/>
      <c r="G15" s="978"/>
      <c r="H15" s="978"/>
      <c r="I15" s="978"/>
      <c r="J15" s="978"/>
      <c r="K15" s="978"/>
      <c r="L15" s="515">
        <f t="shared" si="1"/>
        <v>0</v>
      </c>
      <c r="M15" s="978"/>
      <c r="N15" s="978"/>
      <c r="O15" s="515">
        <f t="shared" si="2"/>
        <v>0</v>
      </c>
      <c r="P15" s="978"/>
      <c r="Q15" s="978"/>
      <c r="R15" s="515">
        <f t="shared" si="3"/>
        <v>0</v>
      </c>
      <c r="S15" s="978"/>
      <c r="T15" s="515">
        <f t="shared" si="4"/>
        <v>0</v>
      </c>
      <c r="U15" s="978"/>
      <c r="V15" s="515">
        <f t="shared" si="5"/>
        <v>0</v>
      </c>
      <c r="W15" s="978"/>
      <c r="X15" s="515">
        <f t="shared" si="6"/>
        <v>0</v>
      </c>
      <c r="Y15" s="978"/>
      <c r="Z15" s="515">
        <f t="shared" si="7"/>
        <v>0</v>
      </c>
      <c r="AA15" s="515">
        <f t="shared" si="8"/>
        <v>0</v>
      </c>
      <c r="AB15" s="515">
        <f t="shared" si="9"/>
        <v>0</v>
      </c>
      <c r="AC15" s="978"/>
      <c r="AD15" s="978"/>
      <c r="AE15" s="515">
        <f t="shared" si="10"/>
        <v>0</v>
      </c>
      <c r="AF15" s="978"/>
      <c r="AG15" s="978"/>
      <c r="AH15" s="515">
        <f t="shared" si="11"/>
        <v>0</v>
      </c>
      <c r="AI15" s="978"/>
      <c r="AJ15" s="515">
        <f t="shared" si="12"/>
        <v>0</v>
      </c>
      <c r="AK15" s="515">
        <f t="shared" si="13"/>
        <v>0</v>
      </c>
      <c r="AL15" s="515">
        <f t="shared" si="14"/>
        <v>0</v>
      </c>
      <c r="AM15" s="978"/>
      <c r="AN15" s="978"/>
      <c r="AO15" s="515">
        <f t="shared" si="15"/>
        <v>0</v>
      </c>
      <c r="AP15" s="978"/>
      <c r="AQ15" s="978"/>
      <c r="AR15" s="515">
        <f t="shared" si="16"/>
        <v>0</v>
      </c>
      <c r="AS15" s="978"/>
      <c r="AT15" s="978"/>
      <c r="AU15" s="515">
        <f t="shared" si="17"/>
        <v>0</v>
      </c>
      <c r="AV15" s="978"/>
      <c r="AW15" s="978"/>
      <c r="AX15" s="978"/>
      <c r="AY15" s="515">
        <f t="shared" si="18"/>
        <v>0</v>
      </c>
      <c r="AZ15" s="978"/>
      <c r="BA15" s="978"/>
      <c r="BB15" s="978"/>
      <c r="BC15" s="515">
        <f t="shared" si="19"/>
        <v>0</v>
      </c>
      <c r="BD15" s="515">
        <f t="shared" si="20"/>
        <v>0</v>
      </c>
      <c r="BE15" s="978"/>
      <c r="BF15" s="978"/>
      <c r="BG15" s="978"/>
      <c r="BH15" s="515">
        <f t="shared" si="21"/>
        <v>0</v>
      </c>
      <c r="BI15" s="978"/>
      <c r="BJ15" s="978"/>
      <c r="BK15" s="978"/>
      <c r="BL15" s="515">
        <f t="shared" si="22"/>
        <v>0</v>
      </c>
      <c r="BM15" s="515">
        <f t="shared" si="23"/>
        <v>0</v>
      </c>
      <c r="BN15" s="515" t="e">
        <f t="shared" si="24"/>
        <v>#DIV/0!</v>
      </c>
    </row>
    <row r="16" spans="1:66">
      <c r="A16" s="978"/>
      <c r="B16" s="979"/>
      <c r="C16" s="978"/>
      <c r="D16" s="978"/>
      <c r="E16" s="978"/>
      <c r="F16" s="978"/>
      <c r="G16" s="978"/>
      <c r="H16" s="978"/>
      <c r="I16" s="978"/>
      <c r="J16" s="978"/>
      <c r="K16" s="978"/>
      <c r="L16" s="515">
        <f t="shared" si="1"/>
        <v>0</v>
      </c>
      <c r="M16" s="978"/>
      <c r="N16" s="978"/>
      <c r="O16" s="515">
        <f t="shared" si="2"/>
        <v>0</v>
      </c>
      <c r="P16" s="978"/>
      <c r="Q16" s="978"/>
      <c r="R16" s="515">
        <f t="shared" si="3"/>
        <v>0</v>
      </c>
      <c r="S16" s="978"/>
      <c r="T16" s="515">
        <f t="shared" si="4"/>
        <v>0</v>
      </c>
      <c r="U16" s="978"/>
      <c r="V16" s="515">
        <f t="shared" si="5"/>
        <v>0</v>
      </c>
      <c r="W16" s="978"/>
      <c r="X16" s="515">
        <f t="shared" si="6"/>
        <v>0</v>
      </c>
      <c r="Y16" s="978"/>
      <c r="Z16" s="515">
        <f t="shared" si="7"/>
        <v>0</v>
      </c>
      <c r="AA16" s="515">
        <f t="shared" si="8"/>
        <v>0</v>
      </c>
      <c r="AB16" s="515">
        <f t="shared" si="9"/>
        <v>0</v>
      </c>
      <c r="AC16" s="978"/>
      <c r="AD16" s="978"/>
      <c r="AE16" s="515">
        <f t="shared" si="10"/>
        <v>0</v>
      </c>
      <c r="AF16" s="978"/>
      <c r="AG16" s="978"/>
      <c r="AH16" s="515">
        <f t="shared" si="11"/>
        <v>0</v>
      </c>
      <c r="AI16" s="978"/>
      <c r="AJ16" s="515">
        <f t="shared" si="12"/>
        <v>0</v>
      </c>
      <c r="AK16" s="515">
        <f t="shared" si="13"/>
        <v>0</v>
      </c>
      <c r="AL16" s="515">
        <f t="shared" si="14"/>
        <v>0</v>
      </c>
      <c r="AM16" s="978"/>
      <c r="AN16" s="978"/>
      <c r="AO16" s="515">
        <f t="shared" si="15"/>
        <v>0</v>
      </c>
      <c r="AP16" s="978"/>
      <c r="AQ16" s="978"/>
      <c r="AR16" s="515">
        <f t="shared" si="16"/>
        <v>0</v>
      </c>
      <c r="AS16" s="978"/>
      <c r="AT16" s="978"/>
      <c r="AU16" s="515">
        <f t="shared" si="17"/>
        <v>0</v>
      </c>
      <c r="AV16" s="978"/>
      <c r="AW16" s="978"/>
      <c r="AX16" s="978"/>
      <c r="AY16" s="515">
        <f t="shared" si="18"/>
        <v>0</v>
      </c>
      <c r="AZ16" s="978"/>
      <c r="BA16" s="978"/>
      <c r="BB16" s="978"/>
      <c r="BC16" s="515">
        <f t="shared" si="19"/>
        <v>0</v>
      </c>
      <c r="BD16" s="515">
        <f t="shared" si="20"/>
        <v>0</v>
      </c>
      <c r="BE16" s="978"/>
      <c r="BF16" s="978"/>
      <c r="BG16" s="978"/>
      <c r="BH16" s="515">
        <f t="shared" si="21"/>
        <v>0</v>
      </c>
      <c r="BI16" s="978"/>
      <c r="BJ16" s="978"/>
      <c r="BK16" s="978"/>
      <c r="BL16" s="515">
        <f t="shared" si="22"/>
        <v>0</v>
      </c>
      <c r="BM16" s="515">
        <f t="shared" si="23"/>
        <v>0</v>
      </c>
      <c r="BN16" s="515" t="e">
        <f t="shared" si="24"/>
        <v>#DIV/0!</v>
      </c>
    </row>
    <row r="17" spans="1:66">
      <c r="A17" s="978"/>
      <c r="B17" s="979"/>
      <c r="C17" s="978"/>
      <c r="D17" s="978"/>
      <c r="E17" s="978"/>
      <c r="F17" s="978"/>
      <c r="G17" s="978"/>
      <c r="H17" s="978"/>
      <c r="I17" s="978"/>
      <c r="J17" s="978"/>
      <c r="K17" s="978"/>
      <c r="L17" s="515">
        <f t="shared" si="1"/>
        <v>0</v>
      </c>
      <c r="M17" s="978"/>
      <c r="N17" s="978"/>
      <c r="O17" s="515">
        <f t="shared" si="2"/>
        <v>0</v>
      </c>
      <c r="P17" s="978"/>
      <c r="Q17" s="978"/>
      <c r="R17" s="515">
        <f t="shared" si="3"/>
        <v>0</v>
      </c>
      <c r="S17" s="978"/>
      <c r="T17" s="515">
        <f t="shared" si="4"/>
        <v>0</v>
      </c>
      <c r="U17" s="978"/>
      <c r="V17" s="515">
        <f t="shared" si="5"/>
        <v>0</v>
      </c>
      <c r="W17" s="978"/>
      <c r="X17" s="515">
        <f t="shared" si="6"/>
        <v>0</v>
      </c>
      <c r="Y17" s="978"/>
      <c r="Z17" s="515">
        <f t="shared" si="7"/>
        <v>0</v>
      </c>
      <c r="AA17" s="515">
        <f t="shared" si="8"/>
        <v>0</v>
      </c>
      <c r="AB17" s="515">
        <f t="shared" si="9"/>
        <v>0</v>
      </c>
      <c r="AC17" s="978"/>
      <c r="AD17" s="978"/>
      <c r="AE17" s="515">
        <f t="shared" si="10"/>
        <v>0</v>
      </c>
      <c r="AF17" s="978"/>
      <c r="AG17" s="978"/>
      <c r="AH17" s="515">
        <f t="shared" si="11"/>
        <v>0</v>
      </c>
      <c r="AI17" s="978"/>
      <c r="AJ17" s="515">
        <f t="shared" si="12"/>
        <v>0</v>
      </c>
      <c r="AK17" s="515">
        <f t="shared" si="13"/>
        <v>0</v>
      </c>
      <c r="AL17" s="515">
        <f t="shared" si="14"/>
        <v>0</v>
      </c>
      <c r="AM17" s="978"/>
      <c r="AN17" s="978"/>
      <c r="AO17" s="515">
        <f t="shared" si="15"/>
        <v>0</v>
      </c>
      <c r="AP17" s="978"/>
      <c r="AQ17" s="978"/>
      <c r="AR17" s="515">
        <f t="shared" si="16"/>
        <v>0</v>
      </c>
      <c r="AS17" s="978"/>
      <c r="AT17" s="978"/>
      <c r="AU17" s="515">
        <f t="shared" si="17"/>
        <v>0</v>
      </c>
      <c r="AV17" s="978"/>
      <c r="AW17" s="978"/>
      <c r="AX17" s="978"/>
      <c r="AY17" s="515">
        <f t="shared" si="18"/>
        <v>0</v>
      </c>
      <c r="AZ17" s="978"/>
      <c r="BA17" s="978"/>
      <c r="BB17" s="978"/>
      <c r="BC17" s="515">
        <f t="shared" si="19"/>
        <v>0</v>
      </c>
      <c r="BD17" s="515">
        <f t="shared" si="20"/>
        <v>0</v>
      </c>
      <c r="BE17" s="978"/>
      <c r="BF17" s="978"/>
      <c r="BG17" s="978"/>
      <c r="BH17" s="515">
        <f t="shared" si="21"/>
        <v>0</v>
      </c>
      <c r="BI17" s="978"/>
      <c r="BJ17" s="978"/>
      <c r="BK17" s="978"/>
      <c r="BL17" s="515">
        <f t="shared" si="22"/>
        <v>0</v>
      </c>
      <c r="BM17" s="515">
        <f t="shared" si="23"/>
        <v>0</v>
      </c>
      <c r="BN17" s="515" t="e">
        <f t="shared" si="24"/>
        <v>#DIV/0!</v>
      </c>
    </row>
    <row r="18" spans="1:66">
      <c r="A18" s="978"/>
      <c r="B18" s="979"/>
      <c r="C18" s="978"/>
      <c r="D18" s="978"/>
      <c r="E18" s="978"/>
      <c r="F18" s="978"/>
      <c r="G18" s="978"/>
      <c r="H18" s="978"/>
      <c r="I18" s="978"/>
      <c r="J18" s="978"/>
      <c r="K18" s="978"/>
      <c r="L18" s="515">
        <f t="shared" si="1"/>
        <v>0</v>
      </c>
      <c r="M18" s="978"/>
      <c r="N18" s="978"/>
      <c r="O18" s="515">
        <f t="shared" si="2"/>
        <v>0</v>
      </c>
      <c r="P18" s="978"/>
      <c r="Q18" s="978"/>
      <c r="R18" s="515">
        <f t="shared" si="3"/>
        <v>0</v>
      </c>
      <c r="S18" s="978"/>
      <c r="T18" s="515">
        <f t="shared" si="4"/>
        <v>0</v>
      </c>
      <c r="U18" s="978"/>
      <c r="V18" s="515">
        <f t="shared" si="5"/>
        <v>0</v>
      </c>
      <c r="W18" s="978"/>
      <c r="X18" s="515">
        <f t="shared" si="6"/>
        <v>0</v>
      </c>
      <c r="Y18" s="978"/>
      <c r="Z18" s="515">
        <f t="shared" si="7"/>
        <v>0</v>
      </c>
      <c r="AA18" s="515">
        <f t="shared" si="8"/>
        <v>0</v>
      </c>
      <c r="AB18" s="515">
        <f t="shared" si="9"/>
        <v>0</v>
      </c>
      <c r="AC18" s="978"/>
      <c r="AD18" s="978"/>
      <c r="AE18" s="515">
        <f t="shared" si="10"/>
        <v>0</v>
      </c>
      <c r="AF18" s="978"/>
      <c r="AG18" s="978"/>
      <c r="AH18" s="515">
        <f t="shared" si="11"/>
        <v>0</v>
      </c>
      <c r="AI18" s="978"/>
      <c r="AJ18" s="515">
        <f t="shared" si="12"/>
        <v>0</v>
      </c>
      <c r="AK18" s="515">
        <f t="shared" si="13"/>
        <v>0</v>
      </c>
      <c r="AL18" s="515">
        <f t="shared" si="14"/>
        <v>0</v>
      </c>
      <c r="AM18" s="978"/>
      <c r="AN18" s="978"/>
      <c r="AO18" s="515">
        <f t="shared" si="15"/>
        <v>0</v>
      </c>
      <c r="AP18" s="978"/>
      <c r="AQ18" s="978"/>
      <c r="AR18" s="515">
        <f t="shared" si="16"/>
        <v>0</v>
      </c>
      <c r="AS18" s="978"/>
      <c r="AT18" s="978"/>
      <c r="AU18" s="515">
        <f t="shared" si="17"/>
        <v>0</v>
      </c>
      <c r="AV18" s="978"/>
      <c r="AW18" s="978"/>
      <c r="AX18" s="978"/>
      <c r="AY18" s="515">
        <f t="shared" si="18"/>
        <v>0</v>
      </c>
      <c r="AZ18" s="978"/>
      <c r="BA18" s="978"/>
      <c r="BB18" s="978"/>
      <c r="BC18" s="515">
        <f t="shared" si="19"/>
        <v>0</v>
      </c>
      <c r="BD18" s="515">
        <f t="shared" si="20"/>
        <v>0</v>
      </c>
      <c r="BE18" s="978"/>
      <c r="BF18" s="978"/>
      <c r="BG18" s="978"/>
      <c r="BH18" s="515">
        <f t="shared" si="21"/>
        <v>0</v>
      </c>
      <c r="BI18" s="978"/>
      <c r="BJ18" s="978"/>
      <c r="BK18" s="978"/>
      <c r="BL18" s="515">
        <f t="shared" si="22"/>
        <v>0</v>
      </c>
      <c r="BM18" s="515">
        <f t="shared" si="23"/>
        <v>0</v>
      </c>
      <c r="BN18" s="515" t="e">
        <f t="shared" si="24"/>
        <v>#DIV/0!</v>
      </c>
    </row>
    <row r="19" spans="1:66">
      <c r="A19" s="978"/>
      <c r="B19" s="979"/>
      <c r="C19" s="978"/>
      <c r="D19" s="978"/>
      <c r="E19" s="978"/>
      <c r="F19" s="978"/>
      <c r="G19" s="978"/>
      <c r="H19" s="978"/>
      <c r="I19" s="978"/>
      <c r="J19" s="978"/>
      <c r="K19" s="978"/>
      <c r="L19" s="515">
        <f t="shared" si="1"/>
        <v>0</v>
      </c>
      <c r="M19" s="978"/>
      <c r="N19" s="978"/>
      <c r="O19" s="515">
        <f t="shared" si="2"/>
        <v>0</v>
      </c>
      <c r="P19" s="978"/>
      <c r="Q19" s="978"/>
      <c r="R19" s="515">
        <f t="shared" si="3"/>
        <v>0</v>
      </c>
      <c r="S19" s="978"/>
      <c r="T19" s="515">
        <f t="shared" si="4"/>
        <v>0</v>
      </c>
      <c r="U19" s="978"/>
      <c r="V19" s="515">
        <f t="shared" si="5"/>
        <v>0</v>
      </c>
      <c r="W19" s="978"/>
      <c r="X19" s="515">
        <f t="shared" si="6"/>
        <v>0</v>
      </c>
      <c r="Y19" s="978"/>
      <c r="Z19" s="515">
        <f t="shared" si="7"/>
        <v>0</v>
      </c>
      <c r="AA19" s="515">
        <f t="shared" si="8"/>
        <v>0</v>
      </c>
      <c r="AB19" s="515">
        <f t="shared" si="9"/>
        <v>0</v>
      </c>
      <c r="AC19" s="978"/>
      <c r="AD19" s="978"/>
      <c r="AE19" s="515">
        <f t="shared" si="10"/>
        <v>0</v>
      </c>
      <c r="AF19" s="978"/>
      <c r="AG19" s="978"/>
      <c r="AH19" s="515">
        <f t="shared" si="11"/>
        <v>0</v>
      </c>
      <c r="AI19" s="978"/>
      <c r="AJ19" s="515">
        <f t="shared" si="12"/>
        <v>0</v>
      </c>
      <c r="AK19" s="515">
        <f t="shared" si="13"/>
        <v>0</v>
      </c>
      <c r="AL19" s="515">
        <f t="shared" si="14"/>
        <v>0</v>
      </c>
      <c r="AM19" s="978"/>
      <c r="AN19" s="978"/>
      <c r="AO19" s="515">
        <f t="shared" si="15"/>
        <v>0</v>
      </c>
      <c r="AP19" s="978"/>
      <c r="AQ19" s="978"/>
      <c r="AR19" s="515">
        <f t="shared" si="16"/>
        <v>0</v>
      </c>
      <c r="AS19" s="978"/>
      <c r="AT19" s="978"/>
      <c r="AU19" s="515">
        <f t="shared" si="17"/>
        <v>0</v>
      </c>
      <c r="AV19" s="978"/>
      <c r="AW19" s="978"/>
      <c r="AX19" s="978"/>
      <c r="AY19" s="515">
        <f t="shared" si="18"/>
        <v>0</v>
      </c>
      <c r="AZ19" s="978"/>
      <c r="BA19" s="978"/>
      <c r="BB19" s="978"/>
      <c r="BC19" s="515">
        <f t="shared" si="19"/>
        <v>0</v>
      </c>
      <c r="BD19" s="515">
        <f t="shared" si="20"/>
        <v>0</v>
      </c>
      <c r="BE19" s="978"/>
      <c r="BF19" s="978"/>
      <c r="BG19" s="978"/>
      <c r="BH19" s="515">
        <f t="shared" si="21"/>
        <v>0</v>
      </c>
      <c r="BI19" s="978"/>
      <c r="BJ19" s="978"/>
      <c r="BK19" s="978"/>
      <c r="BL19" s="515">
        <f t="shared" si="22"/>
        <v>0</v>
      </c>
      <c r="BM19" s="515">
        <f t="shared" si="23"/>
        <v>0</v>
      </c>
      <c r="BN19" s="515" t="e">
        <f t="shared" si="24"/>
        <v>#DIV/0!</v>
      </c>
    </row>
    <row r="20" spans="1:66">
      <c r="A20" s="978"/>
      <c r="B20" s="979"/>
      <c r="C20" s="978"/>
      <c r="D20" s="978"/>
      <c r="E20" s="978"/>
      <c r="F20" s="978"/>
      <c r="G20" s="978"/>
      <c r="H20" s="978"/>
      <c r="I20" s="978"/>
      <c r="J20" s="978"/>
      <c r="K20" s="978"/>
      <c r="L20" s="515">
        <f t="shared" si="1"/>
        <v>0</v>
      </c>
      <c r="M20" s="978"/>
      <c r="N20" s="978"/>
      <c r="O20" s="515">
        <f t="shared" si="2"/>
        <v>0</v>
      </c>
      <c r="P20" s="978"/>
      <c r="Q20" s="978"/>
      <c r="R20" s="515">
        <f t="shared" si="3"/>
        <v>0</v>
      </c>
      <c r="S20" s="978"/>
      <c r="T20" s="515">
        <f t="shared" si="4"/>
        <v>0</v>
      </c>
      <c r="U20" s="978"/>
      <c r="V20" s="515">
        <f t="shared" si="5"/>
        <v>0</v>
      </c>
      <c r="W20" s="978"/>
      <c r="X20" s="515">
        <f t="shared" si="6"/>
        <v>0</v>
      </c>
      <c r="Y20" s="978"/>
      <c r="Z20" s="515">
        <f t="shared" si="7"/>
        <v>0</v>
      </c>
      <c r="AA20" s="515">
        <f t="shared" si="8"/>
        <v>0</v>
      </c>
      <c r="AB20" s="515">
        <f t="shared" si="9"/>
        <v>0</v>
      </c>
      <c r="AC20" s="978"/>
      <c r="AD20" s="978"/>
      <c r="AE20" s="515">
        <f t="shared" si="10"/>
        <v>0</v>
      </c>
      <c r="AF20" s="978"/>
      <c r="AG20" s="978"/>
      <c r="AH20" s="515">
        <f t="shared" si="11"/>
        <v>0</v>
      </c>
      <c r="AI20" s="978"/>
      <c r="AJ20" s="515">
        <f t="shared" si="12"/>
        <v>0</v>
      </c>
      <c r="AK20" s="515">
        <f t="shared" si="13"/>
        <v>0</v>
      </c>
      <c r="AL20" s="515">
        <f t="shared" si="14"/>
        <v>0</v>
      </c>
      <c r="AM20" s="978"/>
      <c r="AN20" s="978"/>
      <c r="AO20" s="515">
        <f t="shared" si="15"/>
        <v>0</v>
      </c>
      <c r="AP20" s="978"/>
      <c r="AQ20" s="978"/>
      <c r="AR20" s="515">
        <f t="shared" si="16"/>
        <v>0</v>
      </c>
      <c r="AS20" s="978"/>
      <c r="AT20" s="978"/>
      <c r="AU20" s="515">
        <f t="shared" si="17"/>
        <v>0</v>
      </c>
      <c r="AV20" s="978"/>
      <c r="AW20" s="978"/>
      <c r="AX20" s="978"/>
      <c r="AY20" s="515">
        <f t="shared" si="18"/>
        <v>0</v>
      </c>
      <c r="AZ20" s="978"/>
      <c r="BA20" s="978"/>
      <c r="BB20" s="978"/>
      <c r="BC20" s="515">
        <f t="shared" si="19"/>
        <v>0</v>
      </c>
      <c r="BD20" s="515">
        <f t="shared" si="20"/>
        <v>0</v>
      </c>
      <c r="BE20" s="978"/>
      <c r="BF20" s="978"/>
      <c r="BG20" s="978"/>
      <c r="BH20" s="515">
        <f t="shared" si="21"/>
        <v>0</v>
      </c>
      <c r="BI20" s="978"/>
      <c r="BJ20" s="978"/>
      <c r="BK20" s="978"/>
      <c r="BL20" s="515">
        <f t="shared" si="22"/>
        <v>0</v>
      </c>
      <c r="BM20" s="515">
        <f t="shared" si="23"/>
        <v>0</v>
      </c>
      <c r="BN20" s="515" t="e">
        <f t="shared" si="24"/>
        <v>#DIV/0!</v>
      </c>
    </row>
    <row r="21" spans="1:66">
      <c r="A21" s="978"/>
      <c r="B21" s="979"/>
      <c r="C21" s="978"/>
      <c r="D21" s="978"/>
      <c r="E21" s="978"/>
      <c r="F21" s="978"/>
      <c r="G21" s="978"/>
      <c r="H21" s="978"/>
      <c r="I21" s="978"/>
      <c r="J21" s="978"/>
      <c r="K21" s="978"/>
      <c r="L21" s="515">
        <f t="shared" si="1"/>
        <v>0</v>
      </c>
      <c r="M21" s="978"/>
      <c r="N21" s="978"/>
      <c r="O21" s="515">
        <f t="shared" si="2"/>
        <v>0</v>
      </c>
      <c r="P21" s="978"/>
      <c r="Q21" s="978"/>
      <c r="R21" s="515">
        <f t="shared" si="3"/>
        <v>0</v>
      </c>
      <c r="S21" s="978"/>
      <c r="T21" s="515">
        <f t="shared" si="4"/>
        <v>0</v>
      </c>
      <c r="U21" s="978"/>
      <c r="V21" s="515">
        <f t="shared" si="5"/>
        <v>0</v>
      </c>
      <c r="W21" s="978"/>
      <c r="X21" s="515">
        <f t="shared" si="6"/>
        <v>0</v>
      </c>
      <c r="Y21" s="978"/>
      <c r="Z21" s="515">
        <f t="shared" si="7"/>
        <v>0</v>
      </c>
      <c r="AA21" s="515">
        <f t="shared" si="8"/>
        <v>0</v>
      </c>
      <c r="AB21" s="515">
        <f t="shared" si="9"/>
        <v>0</v>
      </c>
      <c r="AC21" s="978"/>
      <c r="AD21" s="978"/>
      <c r="AE21" s="515">
        <f t="shared" si="10"/>
        <v>0</v>
      </c>
      <c r="AF21" s="978"/>
      <c r="AG21" s="978"/>
      <c r="AH21" s="515">
        <f t="shared" si="11"/>
        <v>0</v>
      </c>
      <c r="AI21" s="978"/>
      <c r="AJ21" s="515">
        <f t="shared" si="12"/>
        <v>0</v>
      </c>
      <c r="AK21" s="515">
        <f t="shared" si="13"/>
        <v>0</v>
      </c>
      <c r="AL21" s="515">
        <f t="shared" si="14"/>
        <v>0</v>
      </c>
      <c r="AM21" s="978"/>
      <c r="AN21" s="978"/>
      <c r="AO21" s="515">
        <f t="shared" si="15"/>
        <v>0</v>
      </c>
      <c r="AP21" s="978"/>
      <c r="AQ21" s="978"/>
      <c r="AR21" s="515">
        <f t="shared" si="16"/>
        <v>0</v>
      </c>
      <c r="AS21" s="978"/>
      <c r="AT21" s="978"/>
      <c r="AU21" s="515">
        <f t="shared" si="17"/>
        <v>0</v>
      </c>
      <c r="AV21" s="978"/>
      <c r="AW21" s="978"/>
      <c r="AX21" s="978"/>
      <c r="AY21" s="515">
        <f t="shared" si="18"/>
        <v>0</v>
      </c>
      <c r="AZ21" s="978"/>
      <c r="BA21" s="978"/>
      <c r="BB21" s="978"/>
      <c r="BC21" s="515">
        <f t="shared" si="19"/>
        <v>0</v>
      </c>
      <c r="BD21" s="515">
        <f t="shared" si="20"/>
        <v>0</v>
      </c>
      <c r="BE21" s="978"/>
      <c r="BF21" s="978"/>
      <c r="BG21" s="978"/>
      <c r="BH21" s="515">
        <f t="shared" si="21"/>
        <v>0</v>
      </c>
      <c r="BI21" s="978"/>
      <c r="BJ21" s="978"/>
      <c r="BK21" s="978"/>
      <c r="BL21" s="515">
        <f t="shared" si="22"/>
        <v>0</v>
      </c>
      <c r="BM21" s="515">
        <f t="shared" si="23"/>
        <v>0</v>
      </c>
      <c r="BN21" s="515" t="e">
        <f t="shared" si="24"/>
        <v>#DIV/0!</v>
      </c>
    </row>
    <row r="22" spans="1:66">
      <c r="A22" s="978"/>
      <c r="B22" s="979"/>
      <c r="C22" s="978"/>
      <c r="D22" s="978"/>
      <c r="E22" s="978"/>
      <c r="F22" s="978"/>
      <c r="G22" s="978"/>
      <c r="H22" s="978"/>
      <c r="I22" s="978"/>
      <c r="J22" s="978"/>
      <c r="K22" s="978"/>
      <c r="L22" s="515">
        <f t="shared" si="1"/>
        <v>0</v>
      </c>
      <c r="M22" s="978"/>
      <c r="N22" s="978"/>
      <c r="O22" s="515">
        <f t="shared" si="2"/>
        <v>0</v>
      </c>
      <c r="P22" s="978"/>
      <c r="Q22" s="978"/>
      <c r="R22" s="515">
        <f t="shared" si="3"/>
        <v>0</v>
      </c>
      <c r="S22" s="978"/>
      <c r="T22" s="515">
        <f t="shared" si="4"/>
        <v>0</v>
      </c>
      <c r="U22" s="978"/>
      <c r="V22" s="515">
        <f t="shared" si="5"/>
        <v>0</v>
      </c>
      <c r="W22" s="978"/>
      <c r="X22" s="515">
        <f t="shared" si="6"/>
        <v>0</v>
      </c>
      <c r="Y22" s="978"/>
      <c r="Z22" s="515">
        <f t="shared" si="7"/>
        <v>0</v>
      </c>
      <c r="AA22" s="515">
        <f t="shared" si="8"/>
        <v>0</v>
      </c>
      <c r="AB22" s="515">
        <f t="shared" si="9"/>
        <v>0</v>
      </c>
      <c r="AC22" s="978"/>
      <c r="AD22" s="978"/>
      <c r="AE22" s="515">
        <f t="shared" si="10"/>
        <v>0</v>
      </c>
      <c r="AF22" s="978"/>
      <c r="AG22" s="978"/>
      <c r="AH22" s="515">
        <f t="shared" si="11"/>
        <v>0</v>
      </c>
      <c r="AI22" s="978"/>
      <c r="AJ22" s="515">
        <f t="shared" si="12"/>
        <v>0</v>
      </c>
      <c r="AK22" s="515">
        <f t="shared" si="13"/>
        <v>0</v>
      </c>
      <c r="AL22" s="515">
        <f t="shared" si="14"/>
        <v>0</v>
      </c>
      <c r="AM22" s="978"/>
      <c r="AN22" s="978"/>
      <c r="AO22" s="515">
        <f t="shared" si="15"/>
        <v>0</v>
      </c>
      <c r="AP22" s="978"/>
      <c r="AQ22" s="978"/>
      <c r="AR22" s="515">
        <f t="shared" si="16"/>
        <v>0</v>
      </c>
      <c r="AS22" s="978"/>
      <c r="AT22" s="978"/>
      <c r="AU22" s="515">
        <f t="shared" si="17"/>
        <v>0</v>
      </c>
      <c r="AV22" s="978"/>
      <c r="AW22" s="978"/>
      <c r="AX22" s="978"/>
      <c r="AY22" s="515">
        <f t="shared" si="18"/>
        <v>0</v>
      </c>
      <c r="AZ22" s="978"/>
      <c r="BA22" s="978"/>
      <c r="BB22" s="978"/>
      <c r="BC22" s="515">
        <f t="shared" si="19"/>
        <v>0</v>
      </c>
      <c r="BD22" s="515">
        <f t="shared" si="20"/>
        <v>0</v>
      </c>
      <c r="BE22" s="978"/>
      <c r="BF22" s="978"/>
      <c r="BG22" s="978"/>
      <c r="BH22" s="515">
        <f t="shared" si="21"/>
        <v>0</v>
      </c>
      <c r="BI22" s="978"/>
      <c r="BJ22" s="978"/>
      <c r="BK22" s="978"/>
      <c r="BL22" s="515">
        <f t="shared" si="22"/>
        <v>0</v>
      </c>
      <c r="BM22" s="515">
        <f t="shared" si="23"/>
        <v>0</v>
      </c>
      <c r="BN22" s="515" t="e">
        <f t="shared" si="24"/>
        <v>#DIV/0!</v>
      </c>
    </row>
    <row r="23" spans="1:66">
      <c r="A23" s="978"/>
      <c r="B23" s="979"/>
      <c r="C23" s="978"/>
      <c r="D23" s="978"/>
      <c r="E23" s="978"/>
      <c r="F23" s="978"/>
      <c r="G23" s="978"/>
      <c r="H23" s="978"/>
      <c r="I23" s="978"/>
      <c r="J23" s="978"/>
      <c r="K23" s="978"/>
      <c r="L23" s="515">
        <f>K23*J23*G23</f>
        <v>0</v>
      </c>
      <c r="M23" s="978"/>
      <c r="N23" s="978"/>
      <c r="O23" s="515">
        <f>N23*M23*G23</f>
        <v>0</v>
      </c>
      <c r="P23" s="978"/>
      <c r="Q23" s="978"/>
      <c r="R23" s="515">
        <f>P23*Q23*G23</f>
        <v>0</v>
      </c>
      <c r="S23" s="978"/>
      <c r="T23" s="515">
        <f>S23*G23</f>
        <v>0</v>
      </c>
      <c r="U23" s="978"/>
      <c r="V23" s="515">
        <f>U23*J23*G23</f>
        <v>0</v>
      </c>
      <c r="W23" s="978"/>
      <c r="X23" s="515">
        <f>W23*J23*Q23*G23</f>
        <v>0</v>
      </c>
      <c r="Y23" s="978"/>
      <c r="Z23" s="515">
        <f>Y23*J23*G23</f>
        <v>0</v>
      </c>
      <c r="AA23" s="515">
        <f>L23+O23+R23+T23+V23+X23+Z23</f>
        <v>0</v>
      </c>
      <c r="AB23" s="515">
        <f>AA23*10%</f>
        <v>0</v>
      </c>
      <c r="AC23" s="978"/>
      <c r="AD23" s="978"/>
      <c r="AE23" s="515">
        <f t="shared" si="10"/>
        <v>0</v>
      </c>
      <c r="AF23" s="978"/>
      <c r="AG23" s="978"/>
      <c r="AH23" s="515">
        <f t="shared" si="11"/>
        <v>0</v>
      </c>
      <c r="AI23" s="978"/>
      <c r="AJ23" s="515">
        <f t="shared" si="12"/>
        <v>0</v>
      </c>
      <c r="AK23" s="515">
        <f t="shared" si="13"/>
        <v>0</v>
      </c>
      <c r="AL23" s="515">
        <f t="shared" si="14"/>
        <v>0</v>
      </c>
      <c r="AM23" s="978"/>
      <c r="AN23" s="978"/>
      <c r="AO23" s="515">
        <f t="shared" si="15"/>
        <v>0</v>
      </c>
      <c r="AP23" s="978"/>
      <c r="AQ23" s="978"/>
      <c r="AR23" s="515">
        <f t="shared" si="16"/>
        <v>0</v>
      </c>
      <c r="AS23" s="978"/>
      <c r="AT23" s="978"/>
      <c r="AU23" s="515">
        <f t="shared" si="17"/>
        <v>0</v>
      </c>
      <c r="AV23" s="978"/>
      <c r="AW23" s="978"/>
      <c r="AX23" s="978"/>
      <c r="AY23" s="515">
        <f t="shared" si="18"/>
        <v>0</v>
      </c>
      <c r="AZ23" s="978"/>
      <c r="BA23" s="978"/>
      <c r="BB23" s="978"/>
      <c r="BC23" s="515">
        <f t="shared" si="19"/>
        <v>0</v>
      </c>
      <c r="BD23" s="515">
        <f t="shared" si="20"/>
        <v>0</v>
      </c>
      <c r="BE23" s="978"/>
      <c r="BF23" s="978"/>
      <c r="BG23" s="978"/>
      <c r="BH23" s="515">
        <f t="shared" si="21"/>
        <v>0</v>
      </c>
      <c r="BI23" s="978"/>
      <c r="BJ23" s="978"/>
      <c r="BK23" s="978"/>
      <c r="BL23" s="515">
        <f t="shared" si="22"/>
        <v>0</v>
      </c>
      <c r="BM23" s="515">
        <f t="shared" si="23"/>
        <v>0</v>
      </c>
      <c r="BN23" s="515" t="e">
        <f t="shared" si="24"/>
        <v>#DIV/0!</v>
      </c>
    </row>
    <row r="24" spans="1:66">
      <c r="A24" s="978"/>
      <c r="B24" s="979"/>
      <c r="C24" s="978"/>
      <c r="D24" s="978"/>
      <c r="E24" s="978"/>
      <c r="F24" s="978"/>
      <c r="G24" s="978"/>
      <c r="H24" s="978"/>
      <c r="I24" s="978"/>
      <c r="J24" s="978"/>
      <c r="K24" s="978"/>
      <c r="L24" s="515">
        <f t="shared" ref="L24:L31" si="25">K24*J24*G24</f>
        <v>0</v>
      </c>
      <c r="M24" s="978"/>
      <c r="N24" s="978"/>
      <c r="O24" s="515">
        <f t="shared" ref="O24:O31" si="26">N24*M24*G24</f>
        <v>0</v>
      </c>
      <c r="P24" s="978"/>
      <c r="Q24" s="978"/>
      <c r="R24" s="515">
        <f t="shared" ref="R24:R31" si="27">P24*Q24*G24</f>
        <v>0</v>
      </c>
      <c r="S24" s="978"/>
      <c r="T24" s="515">
        <f t="shared" ref="T24:T31" si="28">S24*G24</f>
        <v>0</v>
      </c>
      <c r="U24" s="978"/>
      <c r="V24" s="515">
        <f t="shared" ref="V24:V31" si="29">U24*J24*G24</f>
        <v>0</v>
      </c>
      <c r="W24" s="978"/>
      <c r="X24" s="515">
        <f t="shared" ref="X24:X31" si="30">W24*J24*Q24*G24</f>
        <v>0</v>
      </c>
      <c r="Y24" s="978"/>
      <c r="Z24" s="515">
        <f t="shared" ref="Z24:Z31" si="31">Y24*J24*G24</f>
        <v>0</v>
      </c>
      <c r="AA24" s="515">
        <f t="shared" ref="AA24:AA31" si="32">L24+O24+R24+T24+V24+X24+Z24</f>
        <v>0</v>
      </c>
      <c r="AB24" s="515">
        <f t="shared" si="9"/>
        <v>0</v>
      </c>
      <c r="AC24" s="978"/>
      <c r="AD24" s="978"/>
      <c r="AE24" s="515">
        <f>AC24*AD24*G24</f>
        <v>0</v>
      </c>
      <c r="AF24" s="978"/>
      <c r="AG24" s="978"/>
      <c r="AH24" s="515">
        <f>AF24*AG24*G24</f>
        <v>0</v>
      </c>
      <c r="AI24" s="978"/>
      <c r="AJ24" s="515">
        <f>AI24*G24</f>
        <v>0</v>
      </c>
      <c r="AK24" s="515">
        <f>AE24+AH24+AJ24</f>
        <v>0</v>
      </c>
      <c r="AL24" s="515">
        <f>AK24*10%</f>
        <v>0</v>
      </c>
      <c r="AM24" s="978"/>
      <c r="AN24" s="978"/>
      <c r="AO24" s="515">
        <f>AM24*AN24*G24</f>
        <v>0</v>
      </c>
      <c r="AP24" s="978"/>
      <c r="AQ24" s="978"/>
      <c r="AR24" s="515">
        <f>AP24*AQ24</f>
        <v>0</v>
      </c>
      <c r="AS24" s="978"/>
      <c r="AT24" s="978"/>
      <c r="AU24" s="515">
        <f>AS24*AT24</f>
        <v>0</v>
      </c>
      <c r="AV24" s="978"/>
      <c r="AW24" s="978"/>
      <c r="AX24" s="978"/>
      <c r="AY24" s="515">
        <f t="shared" si="18"/>
        <v>0</v>
      </c>
      <c r="AZ24" s="978"/>
      <c r="BA24" s="978"/>
      <c r="BB24" s="978"/>
      <c r="BC24" s="515">
        <f t="shared" si="19"/>
        <v>0</v>
      </c>
      <c r="BD24" s="515">
        <f t="shared" si="20"/>
        <v>0</v>
      </c>
      <c r="BE24" s="978"/>
      <c r="BF24" s="978"/>
      <c r="BG24" s="978"/>
      <c r="BH24" s="515">
        <f t="shared" si="21"/>
        <v>0</v>
      </c>
      <c r="BI24" s="978"/>
      <c r="BJ24" s="978"/>
      <c r="BK24" s="978"/>
      <c r="BL24" s="515">
        <f>BJ24*BK24</f>
        <v>0</v>
      </c>
      <c r="BM24" s="515">
        <f t="shared" si="23"/>
        <v>0</v>
      </c>
      <c r="BN24" s="515" t="e">
        <f t="shared" si="24"/>
        <v>#DIV/0!</v>
      </c>
    </row>
    <row r="25" spans="1:66">
      <c r="A25" s="978"/>
      <c r="B25" s="979"/>
      <c r="C25" s="978"/>
      <c r="D25" s="978"/>
      <c r="E25" s="978"/>
      <c r="F25" s="978"/>
      <c r="G25" s="978"/>
      <c r="H25" s="978"/>
      <c r="I25" s="978"/>
      <c r="J25" s="978"/>
      <c r="K25" s="978"/>
      <c r="L25" s="515">
        <f t="shared" si="25"/>
        <v>0</v>
      </c>
      <c r="M25" s="978"/>
      <c r="N25" s="978"/>
      <c r="O25" s="515">
        <f t="shared" si="26"/>
        <v>0</v>
      </c>
      <c r="P25" s="978"/>
      <c r="Q25" s="978"/>
      <c r="R25" s="515">
        <f t="shared" si="27"/>
        <v>0</v>
      </c>
      <c r="S25" s="978"/>
      <c r="T25" s="515">
        <f t="shared" si="28"/>
        <v>0</v>
      </c>
      <c r="U25" s="978"/>
      <c r="V25" s="515">
        <f t="shared" si="29"/>
        <v>0</v>
      </c>
      <c r="W25" s="978"/>
      <c r="X25" s="515">
        <f t="shared" si="30"/>
        <v>0</v>
      </c>
      <c r="Y25" s="978"/>
      <c r="Z25" s="515">
        <f t="shared" si="31"/>
        <v>0</v>
      </c>
      <c r="AA25" s="515">
        <f t="shared" si="32"/>
        <v>0</v>
      </c>
      <c r="AB25" s="515">
        <f t="shared" si="9"/>
        <v>0</v>
      </c>
      <c r="AC25" s="978"/>
      <c r="AD25" s="978"/>
      <c r="AE25" s="515">
        <f t="shared" ref="AE25:AE31" si="33">AC25*AD25*G25</f>
        <v>0</v>
      </c>
      <c r="AF25" s="978"/>
      <c r="AG25" s="978"/>
      <c r="AH25" s="515">
        <f t="shared" ref="AH25:AH31" si="34">AF25*AG25*G25</f>
        <v>0</v>
      </c>
      <c r="AI25" s="978"/>
      <c r="AJ25" s="515">
        <f t="shared" ref="AJ25:AJ31" si="35">AI25*G25</f>
        <v>0</v>
      </c>
      <c r="AK25" s="515">
        <f t="shared" ref="AK25:AK31" si="36">AE25+AH25+AJ25</f>
        <v>0</v>
      </c>
      <c r="AL25" s="515">
        <f t="shared" si="14"/>
        <v>0</v>
      </c>
      <c r="AM25" s="978"/>
      <c r="AN25" s="978"/>
      <c r="AO25" s="515">
        <f t="shared" ref="AO25:AO31" si="37">AM25*AN25*G25</f>
        <v>0</v>
      </c>
      <c r="AP25" s="978"/>
      <c r="AQ25" s="978"/>
      <c r="AR25" s="515">
        <f t="shared" ref="AR25:AR31" si="38">AP25*AQ25</f>
        <v>0</v>
      </c>
      <c r="AS25" s="978"/>
      <c r="AT25" s="978"/>
      <c r="AU25" s="515">
        <f t="shared" ref="AU25:AU31" si="39">AS25*AT25</f>
        <v>0</v>
      </c>
      <c r="AV25" s="978"/>
      <c r="AW25" s="978"/>
      <c r="AX25" s="978"/>
      <c r="AY25" s="515">
        <f t="shared" si="18"/>
        <v>0</v>
      </c>
      <c r="AZ25" s="978"/>
      <c r="BA25" s="978"/>
      <c r="BB25" s="978"/>
      <c r="BC25" s="515">
        <f t="shared" si="19"/>
        <v>0</v>
      </c>
      <c r="BD25" s="515">
        <f t="shared" si="20"/>
        <v>0</v>
      </c>
      <c r="BE25" s="978"/>
      <c r="BF25" s="978"/>
      <c r="BG25" s="978"/>
      <c r="BH25" s="515">
        <f t="shared" si="21"/>
        <v>0</v>
      </c>
      <c r="BI25" s="978"/>
      <c r="BJ25" s="978"/>
      <c r="BK25" s="978"/>
      <c r="BL25" s="515">
        <f t="shared" si="22"/>
        <v>0</v>
      </c>
      <c r="BM25" s="515">
        <f t="shared" si="23"/>
        <v>0</v>
      </c>
      <c r="BN25" s="515" t="e">
        <f t="shared" si="24"/>
        <v>#DIV/0!</v>
      </c>
    </row>
    <row r="26" spans="1:66">
      <c r="A26" s="978"/>
      <c r="B26" s="979"/>
      <c r="C26" s="978"/>
      <c r="D26" s="978"/>
      <c r="E26" s="978"/>
      <c r="F26" s="978"/>
      <c r="G26" s="978"/>
      <c r="H26" s="978"/>
      <c r="I26" s="978"/>
      <c r="J26" s="978"/>
      <c r="K26" s="978"/>
      <c r="L26" s="515">
        <f t="shared" si="25"/>
        <v>0</v>
      </c>
      <c r="M26" s="978"/>
      <c r="N26" s="978"/>
      <c r="O26" s="515">
        <f t="shared" si="26"/>
        <v>0</v>
      </c>
      <c r="P26" s="978"/>
      <c r="Q26" s="978"/>
      <c r="R26" s="515">
        <f t="shared" si="27"/>
        <v>0</v>
      </c>
      <c r="S26" s="978"/>
      <c r="T26" s="515">
        <f t="shared" si="28"/>
        <v>0</v>
      </c>
      <c r="U26" s="978"/>
      <c r="V26" s="515">
        <f t="shared" si="29"/>
        <v>0</v>
      </c>
      <c r="W26" s="978"/>
      <c r="X26" s="515">
        <f t="shared" si="30"/>
        <v>0</v>
      </c>
      <c r="Y26" s="978"/>
      <c r="Z26" s="515">
        <f t="shared" si="31"/>
        <v>0</v>
      </c>
      <c r="AA26" s="515">
        <f t="shared" si="32"/>
        <v>0</v>
      </c>
      <c r="AB26" s="515">
        <f t="shared" si="9"/>
        <v>0</v>
      </c>
      <c r="AC26" s="978"/>
      <c r="AD26" s="978"/>
      <c r="AE26" s="515">
        <f t="shared" si="33"/>
        <v>0</v>
      </c>
      <c r="AF26" s="978"/>
      <c r="AG26" s="978"/>
      <c r="AH26" s="515">
        <f t="shared" si="34"/>
        <v>0</v>
      </c>
      <c r="AI26" s="978"/>
      <c r="AJ26" s="515">
        <f t="shared" si="35"/>
        <v>0</v>
      </c>
      <c r="AK26" s="515">
        <f t="shared" si="36"/>
        <v>0</v>
      </c>
      <c r="AL26" s="515">
        <f t="shared" si="14"/>
        <v>0</v>
      </c>
      <c r="AM26" s="978"/>
      <c r="AN26" s="978"/>
      <c r="AO26" s="515">
        <f t="shared" si="37"/>
        <v>0</v>
      </c>
      <c r="AP26" s="978"/>
      <c r="AQ26" s="978"/>
      <c r="AR26" s="515">
        <f t="shared" si="38"/>
        <v>0</v>
      </c>
      <c r="AS26" s="978"/>
      <c r="AT26" s="978"/>
      <c r="AU26" s="515">
        <f t="shared" si="39"/>
        <v>0</v>
      </c>
      <c r="AV26" s="978"/>
      <c r="AW26" s="978"/>
      <c r="AX26" s="978"/>
      <c r="AY26" s="515">
        <f t="shared" si="18"/>
        <v>0</v>
      </c>
      <c r="AZ26" s="978"/>
      <c r="BA26" s="978"/>
      <c r="BB26" s="978"/>
      <c r="BC26" s="515">
        <f t="shared" si="19"/>
        <v>0</v>
      </c>
      <c r="BD26" s="515">
        <f t="shared" si="20"/>
        <v>0</v>
      </c>
      <c r="BE26" s="978"/>
      <c r="BF26" s="978"/>
      <c r="BG26" s="978"/>
      <c r="BH26" s="515">
        <f t="shared" si="21"/>
        <v>0</v>
      </c>
      <c r="BI26" s="978"/>
      <c r="BJ26" s="978"/>
      <c r="BK26" s="978"/>
      <c r="BL26" s="515">
        <f t="shared" si="22"/>
        <v>0</v>
      </c>
      <c r="BM26" s="515">
        <f t="shared" si="23"/>
        <v>0</v>
      </c>
      <c r="BN26" s="515" t="e">
        <f t="shared" si="24"/>
        <v>#DIV/0!</v>
      </c>
    </row>
    <row r="27" spans="1:66">
      <c r="A27" s="978"/>
      <c r="B27" s="979"/>
      <c r="C27" s="978"/>
      <c r="D27" s="978"/>
      <c r="E27" s="978"/>
      <c r="F27" s="978"/>
      <c r="G27" s="978"/>
      <c r="H27" s="978"/>
      <c r="I27" s="978"/>
      <c r="J27" s="978"/>
      <c r="K27" s="978"/>
      <c r="L27" s="515">
        <f t="shared" si="25"/>
        <v>0</v>
      </c>
      <c r="M27" s="978"/>
      <c r="N27" s="978"/>
      <c r="O27" s="515">
        <f t="shared" si="26"/>
        <v>0</v>
      </c>
      <c r="P27" s="978"/>
      <c r="Q27" s="978"/>
      <c r="R27" s="515">
        <f t="shared" si="27"/>
        <v>0</v>
      </c>
      <c r="S27" s="978"/>
      <c r="T27" s="515">
        <f t="shared" si="28"/>
        <v>0</v>
      </c>
      <c r="U27" s="978"/>
      <c r="V27" s="515">
        <f t="shared" si="29"/>
        <v>0</v>
      </c>
      <c r="W27" s="978"/>
      <c r="X27" s="515">
        <f t="shared" si="30"/>
        <v>0</v>
      </c>
      <c r="Y27" s="978"/>
      <c r="Z27" s="515">
        <f t="shared" si="31"/>
        <v>0</v>
      </c>
      <c r="AA27" s="515">
        <f t="shared" si="32"/>
        <v>0</v>
      </c>
      <c r="AB27" s="515">
        <f t="shared" si="9"/>
        <v>0</v>
      </c>
      <c r="AC27" s="978"/>
      <c r="AD27" s="978"/>
      <c r="AE27" s="515">
        <f t="shared" si="33"/>
        <v>0</v>
      </c>
      <c r="AF27" s="978"/>
      <c r="AG27" s="978"/>
      <c r="AH27" s="515">
        <f t="shared" si="34"/>
        <v>0</v>
      </c>
      <c r="AI27" s="978"/>
      <c r="AJ27" s="515">
        <f t="shared" si="35"/>
        <v>0</v>
      </c>
      <c r="AK27" s="515">
        <f t="shared" si="36"/>
        <v>0</v>
      </c>
      <c r="AL27" s="515">
        <f t="shared" si="14"/>
        <v>0</v>
      </c>
      <c r="AM27" s="978"/>
      <c r="AN27" s="978"/>
      <c r="AO27" s="515">
        <f t="shared" si="37"/>
        <v>0</v>
      </c>
      <c r="AP27" s="978"/>
      <c r="AQ27" s="978"/>
      <c r="AR27" s="515">
        <f t="shared" si="38"/>
        <v>0</v>
      </c>
      <c r="AS27" s="978"/>
      <c r="AT27" s="978"/>
      <c r="AU27" s="515">
        <f t="shared" si="39"/>
        <v>0</v>
      </c>
      <c r="AV27" s="978"/>
      <c r="AW27" s="978"/>
      <c r="AX27" s="978"/>
      <c r="AY27" s="515">
        <f t="shared" si="18"/>
        <v>0</v>
      </c>
      <c r="AZ27" s="978"/>
      <c r="BA27" s="978"/>
      <c r="BB27" s="978"/>
      <c r="BC27" s="515">
        <f t="shared" si="19"/>
        <v>0</v>
      </c>
      <c r="BD27" s="515">
        <f t="shared" si="20"/>
        <v>0</v>
      </c>
      <c r="BE27" s="978"/>
      <c r="BF27" s="978"/>
      <c r="BG27" s="978"/>
      <c r="BH27" s="515">
        <f t="shared" si="21"/>
        <v>0</v>
      </c>
      <c r="BI27" s="978"/>
      <c r="BJ27" s="978"/>
      <c r="BK27" s="978"/>
      <c r="BL27" s="515">
        <f t="shared" si="22"/>
        <v>0</v>
      </c>
      <c r="BM27" s="515">
        <f t="shared" si="23"/>
        <v>0</v>
      </c>
      <c r="BN27" s="515" t="e">
        <f t="shared" si="24"/>
        <v>#DIV/0!</v>
      </c>
    </row>
    <row r="28" spans="1:66">
      <c r="A28" s="978"/>
      <c r="B28" s="979"/>
      <c r="C28" s="978"/>
      <c r="D28" s="978"/>
      <c r="E28" s="978"/>
      <c r="F28" s="978"/>
      <c r="G28" s="978"/>
      <c r="H28" s="978"/>
      <c r="I28" s="978"/>
      <c r="J28" s="978"/>
      <c r="K28" s="978"/>
      <c r="L28" s="515">
        <f t="shared" si="25"/>
        <v>0</v>
      </c>
      <c r="M28" s="978"/>
      <c r="N28" s="978"/>
      <c r="O28" s="515">
        <f t="shared" si="26"/>
        <v>0</v>
      </c>
      <c r="P28" s="978"/>
      <c r="Q28" s="978"/>
      <c r="R28" s="515">
        <f t="shared" si="27"/>
        <v>0</v>
      </c>
      <c r="S28" s="978"/>
      <c r="T28" s="515">
        <f t="shared" si="28"/>
        <v>0</v>
      </c>
      <c r="U28" s="978"/>
      <c r="V28" s="515">
        <f t="shared" si="29"/>
        <v>0</v>
      </c>
      <c r="W28" s="978"/>
      <c r="X28" s="515">
        <f t="shared" si="30"/>
        <v>0</v>
      </c>
      <c r="Y28" s="978"/>
      <c r="Z28" s="515">
        <f t="shared" si="31"/>
        <v>0</v>
      </c>
      <c r="AA28" s="515">
        <f t="shared" si="32"/>
        <v>0</v>
      </c>
      <c r="AB28" s="515">
        <f t="shared" si="9"/>
        <v>0</v>
      </c>
      <c r="AC28" s="978"/>
      <c r="AD28" s="978"/>
      <c r="AE28" s="515">
        <f t="shared" si="33"/>
        <v>0</v>
      </c>
      <c r="AF28" s="978"/>
      <c r="AG28" s="978"/>
      <c r="AH28" s="515">
        <f t="shared" si="34"/>
        <v>0</v>
      </c>
      <c r="AI28" s="978"/>
      <c r="AJ28" s="515">
        <f t="shared" si="35"/>
        <v>0</v>
      </c>
      <c r="AK28" s="515">
        <f t="shared" si="36"/>
        <v>0</v>
      </c>
      <c r="AL28" s="515">
        <f t="shared" si="14"/>
        <v>0</v>
      </c>
      <c r="AM28" s="978"/>
      <c r="AN28" s="978"/>
      <c r="AO28" s="515">
        <f t="shared" si="37"/>
        <v>0</v>
      </c>
      <c r="AP28" s="978"/>
      <c r="AQ28" s="978"/>
      <c r="AR28" s="515">
        <f t="shared" si="38"/>
        <v>0</v>
      </c>
      <c r="AS28" s="978"/>
      <c r="AT28" s="978"/>
      <c r="AU28" s="515">
        <f t="shared" si="39"/>
        <v>0</v>
      </c>
      <c r="AV28" s="978"/>
      <c r="AW28" s="978"/>
      <c r="AX28" s="978"/>
      <c r="AY28" s="515">
        <f t="shared" si="18"/>
        <v>0</v>
      </c>
      <c r="AZ28" s="978"/>
      <c r="BA28" s="978"/>
      <c r="BB28" s="978"/>
      <c r="BC28" s="515">
        <f t="shared" si="19"/>
        <v>0</v>
      </c>
      <c r="BD28" s="515">
        <f t="shared" si="20"/>
        <v>0</v>
      </c>
      <c r="BE28" s="978"/>
      <c r="BF28" s="978"/>
      <c r="BG28" s="978"/>
      <c r="BH28" s="515">
        <f t="shared" si="21"/>
        <v>0</v>
      </c>
      <c r="BI28" s="978"/>
      <c r="BJ28" s="978"/>
      <c r="BK28" s="978"/>
      <c r="BL28" s="515">
        <f t="shared" si="22"/>
        <v>0</v>
      </c>
      <c r="BM28" s="515">
        <f t="shared" si="23"/>
        <v>0</v>
      </c>
      <c r="BN28" s="515" t="e">
        <f t="shared" si="24"/>
        <v>#DIV/0!</v>
      </c>
    </row>
    <row r="29" spans="1:66">
      <c r="A29" s="978"/>
      <c r="B29" s="979"/>
      <c r="C29" s="978"/>
      <c r="D29" s="978"/>
      <c r="E29" s="978"/>
      <c r="F29" s="978"/>
      <c r="G29" s="978"/>
      <c r="H29" s="978"/>
      <c r="I29" s="978"/>
      <c r="J29" s="978"/>
      <c r="K29" s="978"/>
      <c r="L29" s="515">
        <f t="shared" si="25"/>
        <v>0</v>
      </c>
      <c r="M29" s="978"/>
      <c r="N29" s="978"/>
      <c r="O29" s="515">
        <f t="shared" si="26"/>
        <v>0</v>
      </c>
      <c r="P29" s="978"/>
      <c r="Q29" s="978"/>
      <c r="R29" s="515">
        <f t="shared" si="27"/>
        <v>0</v>
      </c>
      <c r="S29" s="978"/>
      <c r="T29" s="515">
        <f t="shared" si="28"/>
        <v>0</v>
      </c>
      <c r="U29" s="978"/>
      <c r="V29" s="515">
        <f t="shared" si="29"/>
        <v>0</v>
      </c>
      <c r="W29" s="978"/>
      <c r="X29" s="515">
        <f t="shared" si="30"/>
        <v>0</v>
      </c>
      <c r="Y29" s="978"/>
      <c r="Z29" s="515">
        <f t="shared" si="31"/>
        <v>0</v>
      </c>
      <c r="AA29" s="515">
        <f t="shared" si="32"/>
        <v>0</v>
      </c>
      <c r="AB29" s="515">
        <f t="shared" si="9"/>
        <v>0</v>
      </c>
      <c r="AC29" s="978"/>
      <c r="AD29" s="978"/>
      <c r="AE29" s="515">
        <f t="shared" si="33"/>
        <v>0</v>
      </c>
      <c r="AF29" s="978"/>
      <c r="AG29" s="978"/>
      <c r="AH29" s="515">
        <f t="shared" si="34"/>
        <v>0</v>
      </c>
      <c r="AI29" s="978"/>
      <c r="AJ29" s="515">
        <f t="shared" si="35"/>
        <v>0</v>
      </c>
      <c r="AK29" s="515">
        <f t="shared" si="36"/>
        <v>0</v>
      </c>
      <c r="AL29" s="515">
        <f t="shared" si="14"/>
        <v>0</v>
      </c>
      <c r="AM29" s="978"/>
      <c r="AN29" s="978"/>
      <c r="AO29" s="515">
        <f t="shared" si="37"/>
        <v>0</v>
      </c>
      <c r="AP29" s="978"/>
      <c r="AQ29" s="978"/>
      <c r="AR29" s="515">
        <f t="shared" si="38"/>
        <v>0</v>
      </c>
      <c r="AS29" s="978"/>
      <c r="AT29" s="978"/>
      <c r="AU29" s="515">
        <f t="shared" si="39"/>
        <v>0</v>
      </c>
      <c r="AV29" s="978"/>
      <c r="AW29" s="978"/>
      <c r="AX29" s="978"/>
      <c r="AY29" s="515">
        <f t="shared" si="18"/>
        <v>0</v>
      </c>
      <c r="AZ29" s="978"/>
      <c r="BA29" s="978"/>
      <c r="BB29" s="978"/>
      <c r="BC29" s="515">
        <f t="shared" si="19"/>
        <v>0</v>
      </c>
      <c r="BD29" s="515">
        <f t="shared" si="20"/>
        <v>0</v>
      </c>
      <c r="BE29" s="978"/>
      <c r="BF29" s="978"/>
      <c r="BG29" s="978"/>
      <c r="BH29" s="515">
        <f t="shared" si="21"/>
        <v>0</v>
      </c>
      <c r="BI29" s="978"/>
      <c r="BJ29" s="978"/>
      <c r="BK29" s="978"/>
      <c r="BL29" s="515">
        <f t="shared" si="22"/>
        <v>0</v>
      </c>
      <c r="BM29" s="515">
        <f t="shared" si="23"/>
        <v>0</v>
      </c>
      <c r="BN29" s="515" t="e">
        <f t="shared" si="24"/>
        <v>#DIV/0!</v>
      </c>
    </row>
    <row r="30" spans="1:66">
      <c r="A30" s="978"/>
      <c r="B30" s="979"/>
      <c r="C30" s="978"/>
      <c r="D30" s="978"/>
      <c r="E30" s="978"/>
      <c r="F30" s="978"/>
      <c r="G30" s="978"/>
      <c r="H30" s="978"/>
      <c r="I30" s="978"/>
      <c r="J30" s="978"/>
      <c r="K30" s="978"/>
      <c r="L30" s="515">
        <f t="shared" si="25"/>
        <v>0</v>
      </c>
      <c r="M30" s="978"/>
      <c r="N30" s="978"/>
      <c r="O30" s="515">
        <f t="shared" si="26"/>
        <v>0</v>
      </c>
      <c r="P30" s="978"/>
      <c r="Q30" s="978"/>
      <c r="R30" s="515">
        <f t="shared" si="27"/>
        <v>0</v>
      </c>
      <c r="S30" s="978"/>
      <c r="T30" s="515">
        <f t="shared" si="28"/>
        <v>0</v>
      </c>
      <c r="U30" s="978"/>
      <c r="V30" s="515">
        <f t="shared" si="29"/>
        <v>0</v>
      </c>
      <c r="W30" s="978"/>
      <c r="X30" s="515">
        <f t="shared" si="30"/>
        <v>0</v>
      </c>
      <c r="Y30" s="978"/>
      <c r="Z30" s="515">
        <f t="shared" si="31"/>
        <v>0</v>
      </c>
      <c r="AA30" s="515">
        <f t="shared" si="32"/>
        <v>0</v>
      </c>
      <c r="AB30" s="515">
        <f t="shared" si="9"/>
        <v>0</v>
      </c>
      <c r="AC30" s="978"/>
      <c r="AD30" s="978"/>
      <c r="AE30" s="515">
        <f t="shared" si="33"/>
        <v>0</v>
      </c>
      <c r="AF30" s="978"/>
      <c r="AG30" s="978"/>
      <c r="AH30" s="515">
        <f t="shared" si="34"/>
        <v>0</v>
      </c>
      <c r="AI30" s="978"/>
      <c r="AJ30" s="515">
        <f t="shared" si="35"/>
        <v>0</v>
      </c>
      <c r="AK30" s="515">
        <f t="shared" si="36"/>
        <v>0</v>
      </c>
      <c r="AL30" s="515">
        <f t="shared" si="14"/>
        <v>0</v>
      </c>
      <c r="AM30" s="978"/>
      <c r="AN30" s="978"/>
      <c r="AO30" s="515">
        <f t="shared" si="37"/>
        <v>0</v>
      </c>
      <c r="AP30" s="978"/>
      <c r="AQ30" s="978"/>
      <c r="AR30" s="515">
        <f t="shared" si="38"/>
        <v>0</v>
      </c>
      <c r="AS30" s="978"/>
      <c r="AT30" s="978"/>
      <c r="AU30" s="515">
        <f t="shared" si="39"/>
        <v>0</v>
      </c>
      <c r="AV30" s="978"/>
      <c r="AW30" s="978"/>
      <c r="AX30" s="978"/>
      <c r="AY30" s="515">
        <f t="shared" si="18"/>
        <v>0</v>
      </c>
      <c r="AZ30" s="978"/>
      <c r="BA30" s="978"/>
      <c r="BB30" s="978"/>
      <c r="BC30" s="515">
        <f t="shared" si="19"/>
        <v>0</v>
      </c>
      <c r="BD30" s="515">
        <f t="shared" si="20"/>
        <v>0</v>
      </c>
      <c r="BE30" s="978"/>
      <c r="BF30" s="978"/>
      <c r="BG30" s="978"/>
      <c r="BH30" s="515">
        <f t="shared" si="21"/>
        <v>0</v>
      </c>
      <c r="BI30" s="978"/>
      <c r="BJ30" s="978"/>
      <c r="BK30" s="978"/>
      <c r="BL30" s="515">
        <f t="shared" si="22"/>
        <v>0</v>
      </c>
      <c r="BM30" s="515">
        <f t="shared" si="23"/>
        <v>0</v>
      </c>
      <c r="BN30" s="515" t="e">
        <f t="shared" si="24"/>
        <v>#DIV/0!</v>
      </c>
    </row>
    <row r="31" spans="1:66">
      <c r="A31" s="978"/>
      <c r="B31" s="697" t="s">
        <v>4236</v>
      </c>
      <c r="C31" s="978"/>
      <c r="D31" s="978"/>
      <c r="E31" s="978"/>
      <c r="F31" s="978"/>
      <c r="G31" s="978"/>
      <c r="H31" s="978"/>
      <c r="I31" s="978"/>
      <c r="J31" s="978"/>
      <c r="K31" s="978"/>
      <c r="L31" s="515">
        <f t="shared" si="25"/>
        <v>0</v>
      </c>
      <c r="M31" s="978"/>
      <c r="N31" s="978"/>
      <c r="O31" s="515">
        <f t="shared" si="26"/>
        <v>0</v>
      </c>
      <c r="P31" s="978"/>
      <c r="Q31" s="978"/>
      <c r="R31" s="515">
        <f t="shared" si="27"/>
        <v>0</v>
      </c>
      <c r="S31" s="978"/>
      <c r="T31" s="515">
        <f t="shared" si="28"/>
        <v>0</v>
      </c>
      <c r="U31" s="978"/>
      <c r="V31" s="515">
        <f t="shared" si="29"/>
        <v>0</v>
      </c>
      <c r="W31" s="978"/>
      <c r="X31" s="515">
        <f t="shared" si="30"/>
        <v>0</v>
      </c>
      <c r="Y31" s="978"/>
      <c r="Z31" s="515">
        <f t="shared" si="31"/>
        <v>0</v>
      </c>
      <c r="AA31" s="515">
        <f t="shared" si="32"/>
        <v>0</v>
      </c>
      <c r="AB31" s="515">
        <f t="shared" si="9"/>
        <v>0</v>
      </c>
      <c r="AC31" s="978"/>
      <c r="AD31" s="978"/>
      <c r="AE31" s="515">
        <f t="shared" si="33"/>
        <v>0</v>
      </c>
      <c r="AF31" s="978"/>
      <c r="AG31" s="978"/>
      <c r="AH31" s="515">
        <f t="shared" si="34"/>
        <v>0</v>
      </c>
      <c r="AI31" s="978"/>
      <c r="AJ31" s="515">
        <f t="shared" si="35"/>
        <v>0</v>
      </c>
      <c r="AK31" s="515">
        <f t="shared" si="36"/>
        <v>0</v>
      </c>
      <c r="AL31" s="515">
        <f t="shared" si="14"/>
        <v>0</v>
      </c>
      <c r="AM31" s="978"/>
      <c r="AN31" s="978"/>
      <c r="AO31" s="515">
        <f t="shared" si="37"/>
        <v>0</v>
      </c>
      <c r="AP31" s="978"/>
      <c r="AQ31" s="978"/>
      <c r="AR31" s="515">
        <f t="shared" si="38"/>
        <v>0</v>
      </c>
      <c r="AS31" s="978"/>
      <c r="AT31" s="978"/>
      <c r="AU31" s="515">
        <f t="shared" si="39"/>
        <v>0</v>
      </c>
      <c r="AV31" s="978"/>
      <c r="AW31" s="978"/>
      <c r="AX31" s="978"/>
      <c r="AY31" s="515">
        <f t="shared" si="18"/>
        <v>0</v>
      </c>
      <c r="AZ31" s="978"/>
      <c r="BA31" s="978"/>
      <c r="BB31" s="978"/>
      <c r="BC31" s="515">
        <f t="shared" si="19"/>
        <v>0</v>
      </c>
      <c r="BD31" s="515">
        <f t="shared" si="20"/>
        <v>0</v>
      </c>
      <c r="BE31" s="978"/>
      <c r="BF31" s="978"/>
      <c r="BG31" s="978"/>
      <c r="BH31" s="515">
        <f t="shared" si="21"/>
        <v>0</v>
      </c>
      <c r="BI31" s="978"/>
      <c r="BJ31" s="978"/>
      <c r="BK31" s="978"/>
      <c r="BL31" s="515">
        <f t="shared" si="22"/>
        <v>0</v>
      </c>
      <c r="BM31" s="515">
        <f t="shared" si="23"/>
        <v>0</v>
      </c>
      <c r="BN31" s="515" t="e">
        <f t="shared" si="24"/>
        <v>#DIV/0!</v>
      </c>
    </row>
    <row r="33" spans="1:47" ht="15.75" customHeight="1">
      <c r="A33" s="613" t="s">
        <v>4237</v>
      </c>
      <c r="B33" s="611"/>
      <c r="D33" s="612"/>
      <c r="E33" s="612"/>
      <c r="F33" s="612"/>
      <c r="G33" s="612"/>
      <c r="H33" s="612"/>
      <c r="I33" s="612"/>
      <c r="J33" s="612"/>
      <c r="K33" s="612"/>
    </row>
    <row r="34" spans="1:47" ht="16.5" customHeight="1">
      <c r="A34" s="613" t="s">
        <v>4238</v>
      </c>
      <c r="B34" s="611"/>
      <c r="C34" s="612"/>
      <c r="D34" s="612"/>
      <c r="E34" s="612"/>
      <c r="F34" s="612"/>
      <c r="G34" s="612"/>
      <c r="H34" s="612"/>
      <c r="I34" s="612"/>
      <c r="J34" s="612"/>
      <c r="K34" s="612"/>
    </row>
    <row r="35" spans="1:47">
      <c r="A35" s="518"/>
      <c r="C35" s="502"/>
      <c r="L35" s="503"/>
      <c r="M35" s="503"/>
      <c r="N35" s="503"/>
      <c r="O35" s="503"/>
      <c r="P35" s="503"/>
      <c r="Q35" s="503"/>
      <c r="R35" s="503"/>
      <c r="S35" s="503"/>
      <c r="T35" s="503"/>
      <c r="U35" s="503"/>
      <c r="V35" s="503"/>
    </row>
    <row r="36" spans="1:47">
      <c r="A36" s="169"/>
      <c r="C36" s="502"/>
      <c r="L36" s="503"/>
      <c r="M36" s="503"/>
      <c r="N36" s="503"/>
      <c r="O36" s="503"/>
      <c r="P36" s="503"/>
      <c r="Q36" s="503"/>
      <c r="R36" s="503"/>
      <c r="S36" s="503"/>
      <c r="T36" s="503"/>
      <c r="U36" s="503"/>
      <c r="V36" s="503"/>
    </row>
    <row r="37" spans="1:47">
      <c r="A37" s="300" t="s">
        <v>329</v>
      </c>
      <c r="C37" s="502"/>
      <c r="I37" s="657"/>
      <c r="J37" s="657"/>
      <c r="K37" s="657"/>
      <c r="L37" s="977"/>
      <c r="M37" s="977"/>
      <c r="N37" s="977"/>
      <c r="O37" s="977"/>
      <c r="P37" s="977"/>
      <c r="Q37" s="977"/>
      <c r="R37" s="977"/>
      <c r="S37" s="977"/>
      <c r="T37" s="977"/>
      <c r="U37" s="977"/>
      <c r="V37" s="977"/>
      <c r="W37" s="657"/>
      <c r="X37" s="657"/>
      <c r="Y37" s="657"/>
      <c r="Z37" s="657"/>
      <c r="AA37" s="657"/>
      <c r="AB37" s="657"/>
      <c r="AC37" s="657"/>
      <c r="AD37" s="657"/>
      <c r="AE37" s="657"/>
      <c r="AF37" s="657"/>
      <c r="AG37" s="657"/>
      <c r="AH37" s="657"/>
      <c r="AI37" s="657"/>
      <c r="AJ37" s="657"/>
      <c r="AK37" s="657"/>
      <c r="AL37" s="657"/>
      <c r="AM37" s="657"/>
      <c r="AN37" s="657"/>
      <c r="AO37" s="657"/>
      <c r="AP37" s="657"/>
      <c r="AQ37" s="657"/>
      <c r="AR37" s="657"/>
      <c r="AS37" s="657"/>
      <c r="AT37" s="657"/>
      <c r="AU37" s="657"/>
    </row>
    <row r="38" spans="1:47">
      <c r="A38" s="300"/>
      <c r="C38" s="502"/>
      <c r="I38" s="657"/>
      <c r="J38" s="657"/>
      <c r="K38" s="657"/>
      <c r="L38" s="977"/>
      <c r="M38" s="977"/>
      <c r="N38" s="977"/>
      <c r="O38" s="977"/>
      <c r="P38" s="977"/>
      <c r="Q38" s="977"/>
      <c r="R38" s="977"/>
      <c r="S38" s="977"/>
      <c r="T38" s="977"/>
      <c r="U38" s="977"/>
      <c r="V38" s="977"/>
      <c r="W38" s="657"/>
      <c r="X38" s="657"/>
      <c r="Y38" s="657"/>
      <c r="Z38" s="657"/>
      <c r="AA38" s="657"/>
      <c r="AB38" s="657"/>
      <c r="AC38" s="657"/>
      <c r="AD38" s="657"/>
      <c r="AE38" s="657"/>
      <c r="AF38" s="657"/>
      <c r="AG38" s="657"/>
      <c r="AH38" s="657"/>
      <c r="AI38" s="657"/>
      <c r="AJ38" s="657"/>
      <c r="AK38" s="657"/>
      <c r="AL38" s="657"/>
      <c r="AM38" s="657"/>
      <c r="AN38" s="657"/>
      <c r="AO38" s="657"/>
      <c r="AP38" s="657"/>
      <c r="AQ38" s="657"/>
      <c r="AR38" s="657"/>
      <c r="AS38" s="657"/>
      <c r="AT38" s="657"/>
      <c r="AU38" s="657"/>
    </row>
    <row r="39" spans="1:47">
      <c r="A39" s="426" t="s">
        <v>330</v>
      </c>
      <c r="C39" s="502"/>
      <c r="I39" s="657"/>
      <c r="J39" s="657"/>
      <c r="K39" s="657"/>
      <c r="L39" s="977"/>
      <c r="M39" s="977"/>
      <c r="N39" s="977"/>
      <c r="O39" s="977"/>
      <c r="P39" s="977"/>
      <c r="Q39" s="977"/>
      <c r="R39" s="977"/>
      <c r="S39" s="977"/>
      <c r="T39" s="977"/>
      <c r="U39" s="977"/>
      <c r="V39" s="977"/>
      <c r="W39" s="657"/>
      <c r="X39" s="657"/>
      <c r="Y39" s="657"/>
      <c r="Z39" s="657"/>
      <c r="AA39" s="657"/>
      <c r="AB39" s="657"/>
      <c r="AC39" s="657"/>
      <c r="AD39" s="657"/>
      <c r="AE39" s="657"/>
      <c r="AF39" s="657"/>
      <c r="AG39" s="657"/>
      <c r="AH39" s="657"/>
      <c r="AI39" s="657"/>
      <c r="AJ39" s="657"/>
      <c r="AK39" s="657"/>
      <c r="AL39" s="657"/>
      <c r="AM39" s="657"/>
      <c r="AN39" s="657"/>
      <c r="AO39" s="657"/>
      <c r="AP39" s="657"/>
      <c r="AQ39" s="657"/>
      <c r="AR39" s="657"/>
      <c r="AS39" s="657"/>
      <c r="AT39" s="657"/>
      <c r="AU39" s="657"/>
    </row>
    <row r="40" spans="1:47">
      <c r="A40" s="426" t="s">
        <v>332</v>
      </c>
      <c r="I40" s="657"/>
      <c r="J40" s="657"/>
      <c r="K40" s="657"/>
      <c r="L40" s="977"/>
      <c r="M40" s="977"/>
      <c r="N40" s="977"/>
      <c r="O40" s="977"/>
      <c r="P40" s="977"/>
      <c r="Q40" s="977"/>
      <c r="R40" s="977"/>
      <c r="S40" s="977"/>
      <c r="T40" s="977"/>
      <c r="U40" s="977"/>
      <c r="V40" s="977"/>
      <c r="W40" s="657"/>
      <c r="X40" s="657"/>
      <c r="Y40" s="657"/>
      <c r="Z40" s="657"/>
      <c r="AA40" s="657"/>
      <c r="AB40" s="657"/>
      <c r="AC40" s="657"/>
      <c r="AD40" s="657"/>
      <c r="AE40" s="657"/>
      <c r="AF40" s="657"/>
      <c r="AG40" s="657"/>
      <c r="AH40" s="657"/>
      <c r="AI40" s="657"/>
      <c r="AJ40" s="657"/>
      <c r="AK40" s="657"/>
      <c r="AL40" s="657"/>
      <c r="AM40" s="657"/>
      <c r="AN40" s="657"/>
      <c r="AO40" s="657"/>
      <c r="AP40" s="657"/>
      <c r="AQ40" s="657"/>
      <c r="AR40" s="657"/>
      <c r="AS40" s="657"/>
      <c r="AT40" s="657"/>
      <c r="AU40" s="657"/>
    </row>
    <row r="41" spans="1:47">
      <c r="A41" s="427"/>
      <c r="I41" s="657"/>
      <c r="J41" s="657"/>
      <c r="K41" s="657"/>
      <c r="L41" s="977"/>
      <c r="M41" s="977"/>
      <c r="N41" s="977"/>
      <c r="O41" s="977"/>
      <c r="P41" s="977"/>
      <c r="Q41" s="977"/>
      <c r="R41" s="977"/>
      <c r="S41" s="977"/>
      <c r="T41" s="977"/>
      <c r="U41" s="977"/>
      <c r="V41" s="977"/>
      <c r="W41" s="657"/>
      <c r="X41" s="657"/>
      <c r="Y41" s="657"/>
      <c r="Z41" s="657"/>
      <c r="AA41" s="657"/>
      <c r="AB41" s="657"/>
      <c r="AC41" s="657"/>
      <c r="AD41" s="657"/>
      <c r="AE41" s="657"/>
      <c r="AF41" s="657"/>
      <c r="AG41" s="657"/>
      <c r="AH41" s="657"/>
      <c r="AI41" s="657"/>
      <c r="AJ41" s="657"/>
      <c r="AK41" s="657"/>
      <c r="AL41" s="657"/>
      <c r="AM41" s="657"/>
      <c r="AN41" s="657"/>
      <c r="AO41" s="657"/>
      <c r="AP41" s="657"/>
      <c r="AQ41" s="657"/>
      <c r="AR41" s="657"/>
      <c r="AS41" s="657"/>
      <c r="AT41" s="657"/>
      <c r="AU41" s="657"/>
    </row>
    <row r="42" spans="1:47">
      <c r="A42" s="426" t="s">
        <v>333</v>
      </c>
      <c r="I42" s="657"/>
      <c r="J42" s="657"/>
      <c r="K42" s="657"/>
      <c r="L42" s="657"/>
      <c r="M42" s="657"/>
      <c r="N42" s="657"/>
      <c r="O42" s="657"/>
      <c r="P42" s="657"/>
      <c r="Q42" s="977"/>
      <c r="R42" s="657"/>
      <c r="S42" s="657"/>
      <c r="T42" s="657"/>
      <c r="U42" s="657"/>
      <c r="V42" s="657"/>
      <c r="W42" s="657"/>
      <c r="X42" s="657"/>
      <c r="Y42" s="657"/>
      <c r="Z42" s="657"/>
      <c r="AA42" s="657"/>
      <c r="AB42" s="657"/>
      <c r="AC42" s="657"/>
      <c r="AD42" s="657"/>
      <c r="AE42" s="657"/>
      <c r="AF42" s="657"/>
      <c r="AG42" s="657"/>
      <c r="AH42" s="657"/>
      <c r="AI42" s="657"/>
      <c r="AJ42" s="657"/>
      <c r="AK42" s="657"/>
      <c r="AL42" s="657"/>
      <c r="AM42" s="657"/>
      <c r="AN42" s="657"/>
      <c r="AO42" s="657"/>
      <c r="AP42" s="657"/>
      <c r="AQ42" s="657"/>
      <c r="AR42" s="657"/>
      <c r="AS42" s="657"/>
      <c r="AT42" s="657"/>
      <c r="AU42" s="657"/>
    </row>
  </sheetData>
  <sheetProtection password="9690" sheet="1" formatColumns="0" insertRows="0" deleteRows="0"/>
  <mergeCells count="55">
    <mergeCell ref="G6:G8"/>
    <mergeCell ref="W7:X7"/>
    <mergeCell ref="AA7:AA8"/>
    <mergeCell ref="AC7:AC8"/>
    <mergeCell ref="AD7:AE7"/>
    <mergeCell ref="S7:T7"/>
    <mergeCell ref="BN6:BN8"/>
    <mergeCell ref="BJ6:BL6"/>
    <mergeCell ref="AM6:AO7"/>
    <mergeCell ref="AP6:AR7"/>
    <mergeCell ref="AS6:AU7"/>
    <mergeCell ref="BJ7:BJ8"/>
    <mergeCell ref="BK7:BK8"/>
    <mergeCell ref="BF7:BF8"/>
    <mergeCell ref="BL7:BL8"/>
    <mergeCell ref="BG7:BG8"/>
    <mergeCell ref="BH7:BH8"/>
    <mergeCell ref="BE6:BH6"/>
    <mergeCell ref="AV7:AV8"/>
    <mergeCell ref="AW7:AW8"/>
    <mergeCell ref="AX7:AX8"/>
    <mergeCell ref="AY7:AY8"/>
    <mergeCell ref="BD6:BD8"/>
    <mergeCell ref="BI6:BI8"/>
    <mergeCell ref="BE7:BE8"/>
    <mergeCell ref="AL6:AL8"/>
    <mergeCell ref="BM6:BM8"/>
    <mergeCell ref="AZ7:AZ8"/>
    <mergeCell ref="BA7:BA8"/>
    <mergeCell ref="BC7:BC8"/>
    <mergeCell ref="AV6:AY6"/>
    <mergeCell ref="AZ6:BC6"/>
    <mergeCell ref="BB7:BB8"/>
    <mergeCell ref="AI7:AJ7"/>
    <mergeCell ref="Y7:Z7"/>
    <mergeCell ref="AF7:AH7"/>
    <mergeCell ref="M6:AA6"/>
    <mergeCell ref="AC6:AK6"/>
    <mergeCell ref="AK7:AK8"/>
    <mergeCell ref="A6:A8"/>
    <mergeCell ref="M7:M8"/>
    <mergeCell ref="D7:D8"/>
    <mergeCell ref="AB6:AB8"/>
    <mergeCell ref="N7:O7"/>
    <mergeCell ref="P7:R7"/>
    <mergeCell ref="U7:V7"/>
    <mergeCell ref="H6:J6"/>
    <mergeCell ref="J7:J8"/>
    <mergeCell ref="K6:L7"/>
    <mergeCell ref="B6:B8"/>
    <mergeCell ref="C6:C8"/>
    <mergeCell ref="E6:E8"/>
    <mergeCell ref="F6:F8"/>
    <mergeCell ref="H7:H8"/>
    <mergeCell ref="I7:I8"/>
  </mergeCells>
  <pageMargins left="0.7" right="0.7" top="0.75" bottom="0.75" header="0.3" footer="0.3"/>
  <pageSetup paperSize="9" scale="69" orientation="landscape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Лист33">
    <tabColor rgb="FF7030A0"/>
    <outlinePr summaryBelow="0" summaryRight="0"/>
  </sheetPr>
  <dimension ref="A1:M87"/>
  <sheetViews>
    <sheetView workbookViewId="0">
      <selection activeCell="F17" sqref="F17"/>
    </sheetView>
  </sheetViews>
  <sheetFormatPr defaultColWidth="9.140625" defaultRowHeight="15"/>
  <cols>
    <col min="1" max="1" width="3" style="217" customWidth="1"/>
    <col min="2" max="2" width="26.42578125" style="217" customWidth="1"/>
    <col min="3" max="3" width="11.140625" style="217" customWidth="1"/>
    <col min="4" max="4" width="10.140625" style="217" customWidth="1"/>
    <col min="5" max="5" width="12.28515625" style="217" customWidth="1"/>
    <col min="6" max="8" width="13.85546875" style="217" customWidth="1"/>
    <col min="9" max="9" width="16.140625" style="217" customWidth="1"/>
    <col min="10" max="10" width="10.140625" style="217" bestFit="1" customWidth="1"/>
    <col min="11" max="11" width="5.7109375" style="217" bestFit="1" customWidth="1"/>
    <col min="12" max="12" width="10.7109375" style="217" customWidth="1"/>
    <col min="13" max="16384" width="9.140625" style="217"/>
  </cols>
  <sheetData>
    <row r="1" spans="1:13" ht="15.75">
      <c r="G1" s="377" t="s">
        <v>267</v>
      </c>
      <c r="H1" s="671" t="s">
        <v>4239</v>
      </c>
    </row>
    <row r="2" spans="1:13" s="739" customFormat="1" ht="15.75">
      <c r="A2" s="695" t="s">
        <v>4240</v>
      </c>
      <c r="B2" s="738"/>
      <c r="C2" s="738"/>
      <c r="D2" s="738"/>
      <c r="E2" s="738"/>
      <c r="F2" s="738"/>
      <c r="G2" s="738"/>
      <c r="H2" s="738"/>
      <c r="I2" s="738"/>
      <c r="J2" s="738"/>
      <c r="K2" s="738"/>
      <c r="L2" s="738"/>
      <c r="M2" s="738"/>
    </row>
    <row r="3" spans="1:13" ht="15.75">
      <c r="A3" s="45"/>
      <c r="B3" s="4345"/>
      <c r="C3" s="4345"/>
      <c r="D3" s="4345"/>
      <c r="E3" s="4345"/>
      <c r="F3" s="4345"/>
      <c r="G3" s="177"/>
      <c r="H3" s="177"/>
      <c r="I3" s="177"/>
      <c r="J3" s="177"/>
      <c r="K3" s="177"/>
      <c r="L3" s="177"/>
      <c r="M3" s="177"/>
    </row>
    <row r="4" spans="1:13" s="739" customFormat="1" ht="15.75">
      <c r="A4" s="656" t="s">
        <v>3401</v>
      </c>
      <c r="B4" s="740"/>
      <c r="C4" s="740"/>
      <c r="D4" s="740"/>
      <c r="E4" s="740"/>
      <c r="F4" s="740"/>
      <c r="G4" s="738"/>
      <c r="H4" s="738"/>
      <c r="I4" s="738"/>
      <c r="J4" s="738"/>
      <c r="K4" s="738"/>
      <c r="L4" s="738"/>
      <c r="M4" s="738"/>
    </row>
    <row r="5" spans="1:13" ht="15.75">
      <c r="A5" s="168" t="s">
        <v>990</v>
      </c>
      <c r="B5" s="170"/>
      <c r="C5" s="170"/>
      <c r="D5" s="170"/>
      <c r="E5" s="170"/>
      <c r="F5" s="170"/>
      <c r="G5" s="177"/>
      <c r="H5" s="177"/>
      <c r="I5" s="177"/>
      <c r="J5" s="177"/>
      <c r="K5" s="177"/>
      <c r="L5" s="177"/>
      <c r="M5" s="177"/>
    </row>
    <row r="6" spans="1:13" ht="15.75">
      <c r="A6" s="379"/>
      <c r="B6" s="378"/>
      <c r="C6" s="378"/>
      <c r="D6" s="379"/>
      <c r="E6" s="379"/>
      <c r="H6" s="318" t="s">
        <v>254</v>
      </c>
      <c r="I6" s="177"/>
      <c r="J6" s="177"/>
      <c r="K6" s="177"/>
      <c r="L6" s="177"/>
      <c r="M6" s="177"/>
    </row>
    <row r="7" spans="1:13" s="172" customFormat="1" ht="47.25" customHeight="1">
      <c r="A7" s="220" t="s">
        <v>2</v>
      </c>
      <c r="B7" s="256" t="s">
        <v>4241</v>
      </c>
      <c r="C7" s="387" t="s">
        <v>4242</v>
      </c>
      <c r="D7" s="387" t="s">
        <v>4243</v>
      </c>
      <c r="E7" s="388" t="s">
        <v>4244</v>
      </c>
      <c r="F7" s="262" t="s">
        <v>20</v>
      </c>
      <c r="G7" s="239" t="s">
        <v>7</v>
      </c>
      <c r="H7" s="239" t="s">
        <v>8</v>
      </c>
      <c r="I7" s="169"/>
      <c r="J7" s="169"/>
      <c r="K7" s="169"/>
      <c r="L7" s="169"/>
      <c r="M7" s="169"/>
    </row>
    <row r="8" spans="1:13" s="172" customFormat="1" ht="15.75">
      <c r="A8" s="390"/>
      <c r="B8" s="395" t="s">
        <v>20</v>
      </c>
      <c r="C8" s="238"/>
      <c r="D8" s="238"/>
      <c r="E8" s="238"/>
      <c r="F8" s="529">
        <f>SUM(F9:F34)</f>
        <v>0</v>
      </c>
      <c r="G8" s="529">
        <f>SUM(G9:G34)</f>
        <v>0</v>
      </c>
      <c r="H8" s="529">
        <f>SUM(H9:H34)</f>
        <v>0</v>
      </c>
      <c r="I8" s="169"/>
      <c r="J8" s="169"/>
      <c r="K8" s="169"/>
      <c r="L8" s="169"/>
      <c r="M8" s="169"/>
    </row>
    <row r="9" spans="1:13" ht="15.75">
      <c r="A9" s="725"/>
      <c r="B9" s="726" t="s">
        <v>526</v>
      </c>
      <c r="C9" s="727"/>
      <c r="D9" s="727"/>
      <c r="E9" s="728"/>
      <c r="F9" s="626">
        <f t="shared" ref="F9:F14" si="0">C9*D9*E9</f>
        <v>0</v>
      </c>
      <c r="G9" s="216"/>
      <c r="H9" s="536">
        <f t="shared" ref="H9:H14" si="1">F9</f>
        <v>0</v>
      </c>
      <c r="I9" s="389"/>
      <c r="J9" s="177"/>
      <c r="K9" s="177"/>
      <c r="L9" s="177"/>
      <c r="M9" s="177"/>
    </row>
    <row r="10" spans="1:13" ht="15.75">
      <c r="A10" s="729"/>
      <c r="B10" s="730"/>
      <c r="C10" s="731"/>
      <c r="D10" s="732"/>
      <c r="E10" s="733"/>
      <c r="F10" s="626">
        <f t="shared" si="0"/>
        <v>0</v>
      </c>
      <c r="G10" s="216"/>
      <c r="H10" s="536">
        <f t="shared" si="1"/>
        <v>0</v>
      </c>
      <c r="I10" s="177"/>
      <c r="J10" s="177"/>
      <c r="K10" s="177"/>
      <c r="L10" s="177"/>
      <c r="M10" s="177"/>
    </row>
    <row r="11" spans="1:13" ht="15.75">
      <c r="A11" s="729"/>
      <c r="B11" s="734"/>
      <c r="C11" s="731"/>
      <c r="D11" s="732"/>
      <c r="E11" s="733"/>
      <c r="F11" s="626">
        <f t="shared" si="0"/>
        <v>0</v>
      </c>
      <c r="G11" s="216"/>
      <c r="H11" s="536">
        <f t="shared" si="1"/>
        <v>0</v>
      </c>
      <c r="I11" s="177"/>
      <c r="J11" s="177"/>
      <c r="K11" s="177"/>
      <c r="L11" s="177"/>
      <c r="M11" s="177"/>
    </row>
    <row r="12" spans="1:13" ht="15.75">
      <c r="A12" s="729"/>
      <c r="B12" s="734"/>
      <c r="C12" s="731"/>
      <c r="D12" s="732"/>
      <c r="E12" s="733"/>
      <c r="F12" s="626">
        <f t="shared" si="0"/>
        <v>0</v>
      </c>
      <c r="G12" s="216"/>
      <c r="H12" s="536">
        <f t="shared" si="1"/>
        <v>0</v>
      </c>
      <c r="I12" s="177"/>
      <c r="J12" s="177"/>
      <c r="K12" s="177"/>
      <c r="L12" s="177"/>
      <c r="M12" s="177"/>
    </row>
    <row r="13" spans="1:13" ht="15.75">
      <c r="A13" s="735"/>
      <c r="B13" s="726"/>
      <c r="C13" s="736"/>
      <c r="D13" s="732"/>
      <c r="E13" s="737"/>
      <c r="F13" s="626">
        <f t="shared" si="0"/>
        <v>0</v>
      </c>
      <c r="G13" s="254"/>
      <c r="H13" s="536">
        <f t="shared" si="1"/>
        <v>0</v>
      </c>
      <c r="I13" s="389"/>
      <c r="J13" s="177"/>
      <c r="K13" s="177"/>
      <c r="L13" s="177"/>
      <c r="M13" s="177"/>
    </row>
    <row r="14" spans="1:13" ht="15.75">
      <c r="A14" s="729"/>
      <c r="B14" s="730"/>
      <c r="C14" s="731"/>
      <c r="D14" s="732"/>
      <c r="E14" s="737"/>
      <c r="F14" s="626">
        <f t="shared" si="0"/>
        <v>0</v>
      </c>
      <c r="G14" s="216"/>
      <c r="H14" s="536">
        <f t="shared" si="1"/>
        <v>0</v>
      </c>
      <c r="I14" s="177"/>
      <c r="J14" s="177"/>
      <c r="K14" s="177"/>
      <c r="L14" s="177"/>
      <c r="M14" s="177"/>
    </row>
    <row r="15" spans="1:13" ht="15.75">
      <c r="A15" s="729"/>
      <c r="B15" s="730"/>
      <c r="C15" s="731"/>
      <c r="D15" s="732"/>
      <c r="E15" s="737"/>
      <c r="F15" s="626">
        <f t="shared" ref="F15:F22" si="2">C15*D15*E15</f>
        <v>0</v>
      </c>
      <c r="G15" s="216"/>
      <c r="H15" s="536">
        <f t="shared" ref="H15:H22" si="3">F15</f>
        <v>0</v>
      </c>
      <c r="I15" s="177"/>
      <c r="J15" s="177"/>
      <c r="K15" s="177"/>
      <c r="L15" s="177"/>
      <c r="M15" s="177"/>
    </row>
    <row r="16" spans="1:13" ht="15.75">
      <c r="A16" s="729"/>
      <c r="B16" s="730"/>
      <c r="C16" s="731"/>
      <c r="D16" s="732"/>
      <c r="E16" s="737"/>
      <c r="F16" s="626">
        <f t="shared" si="2"/>
        <v>0</v>
      </c>
      <c r="G16" s="216"/>
      <c r="H16" s="536">
        <f t="shared" si="3"/>
        <v>0</v>
      </c>
      <c r="I16" s="177"/>
      <c r="J16" s="177"/>
      <c r="K16" s="177"/>
      <c r="L16" s="177"/>
      <c r="M16" s="177"/>
    </row>
    <row r="17" spans="1:13" ht="15.75">
      <c r="A17" s="729"/>
      <c r="B17" s="730"/>
      <c r="C17" s="731"/>
      <c r="D17" s="732"/>
      <c r="E17" s="737"/>
      <c r="F17" s="626">
        <f t="shared" si="2"/>
        <v>0</v>
      </c>
      <c r="G17" s="216"/>
      <c r="H17" s="536">
        <f t="shared" si="3"/>
        <v>0</v>
      </c>
      <c r="I17" s="177"/>
      <c r="J17" s="177"/>
      <c r="K17" s="177"/>
      <c r="L17" s="177"/>
      <c r="M17" s="177"/>
    </row>
    <row r="18" spans="1:13" ht="15.75">
      <c r="A18" s="729"/>
      <c r="B18" s="730"/>
      <c r="C18" s="731"/>
      <c r="D18" s="732"/>
      <c r="E18" s="737"/>
      <c r="F18" s="626">
        <f t="shared" si="2"/>
        <v>0</v>
      </c>
      <c r="G18" s="216"/>
      <c r="H18" s="536">
        <f t="shared" si="3"/>
        <v>0</v>
      </c>
      <c r="I18" s="177"/>
      <c r="J18" s="177"/>
      <c r="K18" s="177"/>
      <c r="L18" s="177"/>
      <c r="M18" s="177"/>
    </row>
    <row r="19" spans="1:13" ht="15.75">
      <c r="A19" s="729"/>
      <c r="B19" s="730"/>
      <c r="C19" s="731"/>
      <c r="D19" s="732"/>
      <c r="E19" s="737"/>
      <c r="F19" s="626">
        <f t="shared" si="2"/>
        <v>0</v>
      </c>
      <c r="G19" s="216"/>
      <c r="H19" s="536">
        <f t="shared" si="3"/>
        <v>0</v>
      </c>
      <c r="I19" s="177"/>
      <c r="J19" s="177"/>
      <c r="K19" s="177"/>
      <c r="L19" s="177"/>
      <c r="M19" s="177"/>
    </row>
    <row r="20" spans="1:13" ht="15.75">
      <c r="A20" s="729"/>
      <c r="B20" s="730"/>
      <c r="C20" s="731"/>
      <c r="D20" s="732"/>
      <c r="E20" s="737"/>
      <c r="F20" s="626">
        <f t="shared" si="2"/>
        <v>0</v>
      </c>
      <c r="G20" s="216"/>
      <c r="H20" s="536">
        <f t="shared" si="3"/>
        <v>0</v>
      </c>
      <c r="I20" s="177"/>
      <c r="J20" s="177"/>
      <c r="K20" s="177"/>
      <c r="L20" s="177"/>
      <c r="M20" s="177"/>
    </row>
    <row r="21" spans="1:13" ht="15.75">
      <c r="A21" s="729"/>
      <c r="B21" s="730"/>
      <c r="C21" s="731"/>
      <c r="D21" s="732"/>
      <c r="E21" s="737"/>
      <c r="F21" s="626">
        <f>C21*D21*E21</f>
        <v>0</v>
      </c>
      <c r="G21" s="216"/>
      <c r="H21" s="536">
        <f>F21</f>
        <v>0</v>
      </c>
      <c r="I21" s="177"/>
      <c r="J21" s="177"/>
      <c r="K21" s="177"/>
      <c r="L21" s="177"/>
      <c r="M21" s="177"/>
    </row>
    <row r="22" spans="1:13" ht="15.75">
      <c r="A22" s="729"/>
      <c r="B22" s="730"/>
      <c r="C22" s="731"/>
      <c r="D22" s="732"/>
      <c r="E22" s="737"/>
      <c r="F22" s="626">
        <f t="shared" si="2"/>
        <v>0</v>
      </c>
      <c r="G22" s="216"/>
      <c r="H22" s="536">
        <f t="shared" si="3"/>
        <v>0</v>
      </c>
      <c r="I22" s="177"/>
      <c r="J22" s="177"/>
      <c r="K22" s="177"/>
      <c r="L22" s="177"/>
      <c r="M22" s="177"/>
    </row>
    <row r="23" spans="1:13" ht="15.75">
      <c r="A23" s="729"/>
      <c r="B23" s="730"/>
      <c r="C23" s="731"/>
      <c r="D23" s="732"/>
      <c r="E23" s="737"/>
      <c r="F23" s="626">
        <f>C23*D23*E23</f>
        <v>0</v>
      </c>
      <c r="G23" s="216"/>
      <c r="H23" s="536">
        <f>F23</f>
        <v>0</v>
      </c>
      <c r="I23" s="177"/>
      <c r="J23" s="177"/>
      <c r="K23" s="177"/>
      <c r="L23" s="177"/>
      <c r="M23" s="177"/>
    </row>
    <row r="24" spans="1:13" ht="15.75">
      <c r="A24" s="729"/>
      <c r="B24" s="730"/>
      <c r="C24" s="731"/>
      <c r="D24" s="732"/>
      <c r="E24" s="737"/>
      <c r="F24" s="626">
        <f>C24*D24*E24</f>
        <v>0</v>
      </c>
      <c r="G24" s="216"/>
      <c r="H24" s="536">
        <f>F24</f>
        <v>0</v>
      </c>
      <c r="I24" s="177"/>
      <c r="J24" s="177"/>
      <c r="K24" s="177"/>
      <c r="L24" s="177"/>
      <c r="M24" s="177"/>
    </row>
    <row r="25" spans="1:13" ht="15.75">
      <c r="A25" s="729"/>
      <c r="B25" s="730"/>
      <c r="C25" s="731"/>
      <c r="D25" s="732"/>
      <c r="E25" s="737"/>
      <c r="F25" s="626">
        <f>C25*D25*E25</f>
        <v>0</v>
      </c>
      <c r="G25" s="216"/>
      <c r="H25" s="536">
        <f>F25</f>
        <v>0</v>
      </c>
      <c r="I25" s="177"/>
      <c r="J25" s="177"/>
      <c r="K25" s="177"/>
      <c r="L25" s="177"/>
      <c r="M25" s="177"/>
    </row>
    <row r="26" spans="1:13" ht="15.75">
      <c r="A26" s="729"/>
      <c r="B26" s="730"/>
      <c r="C26" s="731"/>
      <c r="D26" s="732"/>
      <c r="E26" s="737"/>
      <c r="F26" s="626">
        <f t="shared" ref="F26:F33" si="4">C26*D26*E26</f>
        <v>0</v>
      </c>
      <c r="G26" s="216"/>
      <c r="H26" s="536">
        <f t="shared" ref="H26:H33" si="5">F26</f>
        <v>0</v>
      </c>
      <c r="I26" s="177"/>
      <c r="J26" s="177"/>
      <c r="K26" s="177"/>
      <c r="L26" s="177"/>
      <c r="M26" s="177"/>
    </row>
    <row r="27" spans="1:13" ht="15.75">
      <c r="A27" s="729"/>
      <c r="B27" s="730"/>
      <c r="C27" s="731"/>
      <c r="D27" s="732"/>
      <c r="E27" s="737"/>
      <c r="F27" s="626">
        <f t="shared" si="4"/>
        <v>0</v>
      </c>
      <c r="G27" s="216"/>
      <c r="H27" s="536">
        <f t="shared" si="5"/>
        <v>0</v>
      </c>
      <c r="I27" s="177"/>
      <c r="J27" s="177"/>
      <c r="K27" s="177"/>
      <c r="L27" s="177"/>
      <c r="M27" s="177"/>
    </row>
    <row r="28" spans="1:13" ht="15.75">
      <c r="A28" s="729"/>
      <c r="B28" s="730"/>
      <c r="C28" s="731"/>
      <c r="D28" s="732"/>
      <c r="E28" s="737"/>
      <c r="F28" s="626">
        <f t="shared" si="4"/>
        <v>0</v>
      </c>
      <c r="G28" s="216"/>
      <c r="H28" s="536">
        <f t="shared" si="5"/>
        <v>0</v>
      </c>
      <c r="I28" s="177"/>
      <c r="J28" s="177"/>
      <c r="K28" s="177"/>
      <c r="L28" s="177"/>
      <c r="M28" s="177"/>
    </row>
    <row r="29" spans="1:13" ht="15.75">
      <c r="A29" s="729"/>
      <c r="B29" s="730"/>
      <c r="C29" s="731"/>
      <c r="D29" s="732"/>
      <c r="E29" s="737"/>
      <c r="F29" s="626">
        <f t="shared" si="4"/>
        <v>0</v>
      </c>
      <c r="G29" s="216"/>
      <c r="H29" s="536">
        <f t="shared" si="5"/>
        <v>0</v>
      </c>
      <c r="I29" s="177"/>
      <c r="J29" s="177"/>
      <c r="K29" s="177"/>
      <c r="L29" s="177"/>
      <c r="M29" s="177"/>
    </row>
    <row r="30" spans="1:13" ht="15.75">
      <c r="A30" s="729"/>
      <c r="B30" s="730"/>
      <c r="C30" s="731"/>
      <c r="D30" s="732"/>
      <c r="E30" s="737"/>
      <c r="F30" s="626">
        <f t="shared" si="4"/>
        <v>0</v>
      </c>
      <c r="G30" s="216"/>
      <c r="H30" s="536">
        <f t="shared" si="5"/>
        <v>0</v>
      </c>
      <c r="I30" s="177"/>
      <c r="J30" s="177"/>
      <c r="K30" s="177"/>
      <c r="L30" s="177"/>
      <c r="M30" s="177"/>
    </row>
    <row r="31" spans="1:13" ht="15.75">
      <c r="A31" s="729"/>
      <c r="B31" s="730"/>
      <c r="C31" s="731"/>
      <c r="D31" s="732"/>
      <c r="E31" s="737"/>
      <c r="F31" s="626">
        <f t="shared" si="4"/>
        <v>0</v>
      </c>
      <c r="G31" s="216"/>
      <c r="H31" s="536">
        <f t="shared" si="5"/>
        <v>0</v>
      </c>
      <c r="I31" s="177"/>
      <c r="J31" s="177"/>
      <c r="K31" s="177"/>
      <c r="L31" s="177"/>
      <c r="M31" s="177"/>
    </row>
    <row r="32" spans="1:13" ht="15.75">
      <c r="A32" s="729"/>
      <c r="B32" s="730"/>
      <c r="C32" s="731"/>
      <c r="D32" s="732"/>
      <c r="E32" s="737"/>
      <c r="F32" s="626">
        <f t="shared" si="4"/>
        <v>0</v>
      </c>
      <c r="G32" s="216"/>
      <c r="H32" s="536">
        <f t="shared" si="5"/>
        <v>0</v>
      </c>
      <c r="I32" s="177"/>
      <c r="J32" s="177"/>
      <c r="K32" s="177"/>
      <c r="L32" s="177"/>
      <c r="M32" s="177"/>
    </row>
    <row r="33" spans="1:13" ht="15.75">
      <c r="A33" s="729"/>
      <c r="B33" s="730"/>
      <c r="C33" s="731"/>
      <c r="D33" s="732"/>
      <c r="E33" s="737"/>
      <c r="F33" s="626">
        <f t="shared" si="4"/>
        <v>0</v>
      </c>
      <c r="G33" s="216"/>
      <c r="H33" s="536">
        <f t="shared" si="5"/>
        <v>0</v>
      </c>
      <c r="I33" s="177"/>
      <c r="J33" s="177"/>
      <c r="K33" s="177"/>
      <c r="L33" s="177"/>
      <c r="M33" s="177"/>
    </row>
    <row r="34" spans="1:13" ht="15.75">
      <c r="A34" s="729"/>
      <c r="B34" s="730"/>
      <c r="C34" s="731"/>
      <c r="D34" s="732"/>
      <c r="E34" s="737"/>
      <c r="F34" s="626">
        <f>C34*D34*E34</f>
        <v>0</v>
      </c>
      <c r="G34" s="216"/>
      <c r="H34" s="536">
        <f>F34</f>
        <v>0</v>
      </c>
      <c r="I34" s="177"/>
      <c r="J34" s="177"/>
      <c r="K34" s="177"/>
      <c r="L34" s="177"/>
      <c r="M34" s="177"/>
    </row>
    <row r="35" spans="1:13" ht="15.75">
      <c r="A35" s="173"/>
      <c r="B35" s="391"/>
      <c r="C35" s="722"/>
      <c r="D35" s="723"/>
      <c r="E35" s="176"/>
      <c r="F35" s="724"/>
      <c r="G35" s="707"/>
      <c r="H35" s="706"/>
      <c r="I35" s="177"/>
      <c r="J35" s="177"/>
      <c r="K35" s="177"/>
      <c r="L35" s="177"/>
      <c r="M35" s="177"/>
    </row>
    <row r="36" spans="1:13" ht="15.75">
      <c r="A36" s="173"/>
      <c r="B36" s="391"/>
      <c r="C36" s="722"/>
      <c r="D36" s="723"/>
      <c r="E36" s="176"/>
      <c r="F36" s="724"/>
      <c r="G36" s="707"/>
      <c r="H36" s="706"/>
      <c r="I36" s="177"/>
      <c r="J36" s="177"/>
      <c r="K36" s="177"/>
      <c r="L36" s="177"/>
      <c r="M36" s="177"/>
    </row>
    <row r="37" spans="1:13" ht="15.75">
      <c r="A37" s="300" t="s">
        <v>329</v>
      </c>
      <c r="E37" s="739"/>
      <c r="F37" s="739"/>
      <c r="G37" s="739"/>
      <c r="H37" s="739"/>
      <c r="I37" s="177"/>
      <c r="J37" s="177"/>
      <c r="K37" s="177"/>
      <c r="L37" s="177"/>
      <c r="M37" s="177"/>
    </row>
    <row r="38" spans="1:13" ht="15.75">
      <c r="A38" s="300"/>
      <c r="B38" s="391"/>
      <c r="C38" s="174"/>
      <c r="D38" s="175"/>
      <c r="E38" s="741"/>
      <c r="F38" s="742"/>
      <c r="G38" s="742"/>
      <c r="H38" s="743"/>
      <c r="I38" s="177"/>
      <c r="J38" s="177"/>
      <c r="K38" s="177"/>
      <c r="L38" s="177"/>
      <c r="M38" s="177"/>
    </row>
    <row r="39" spans="1:13" ht="15.75">
      <c r="A39" s="345" t="s">
        <v>330</v>
      </c>
      <c r="B39" s="177"/>
      <c r="C39" s="177"/>
      <c r="D39" s="177"/>
      <c r="E39" s="739"/>
      <c r="F39" s="739"/>
      <c r="G39" s="739"/>
      <c r="H39" s="739"/>
    </row>
    <row r="40" spans="1:13" ht="15.75">
      <c r="A40" s="345" t="s">
        <v>332</v>
      </c>
      <c r="B40" s="391"/>
      <c r="C40" s="174"/>
      <c r="D40" s="175"/>
      <c r="E40" s="741"/>
      <c r="F40" s="742"/>
      <c r="G40" s="742"/>
      <c r="H40" s="743"/>
      <c r="I40" s="177"/>
      <c r="J40" s="177"/>
      <c r="K40" s="177"/>
      <c r="L40" s="177"/>
      <c r="M40" s="177"/>
    </row>
    <row r="41" spans="1:13" ht="15.75">
      <c r="A41" s="346"/>
      <c r="B41" s="300"/>
      <c r="C41" s="183"/>
      <c r="D41" s="293"/>
      <c r="E41" s="744"/>
      <c r="F41" s="745"/>
      <c r="G41" s="716"/>
      <c r="H41" s="746"/>
      <c r="I41" s="177"/>
      <c r="J41" s="177"/>
      <c r="K41" s="177"/>
      <c r="L41" s="177"/>
      <c r="M41" s="177"/>
    </row>
    <row r="42" spans="1:13" ht="15.75">
      <c r="A42" s="345" t="s">
        <v>333</v>
      </c>
      <c r="B42" s="303"/>
      <c r="C42" s="183"/>
      <c r="D42" s="293"/>
      <c r="E42" s="744"/>
      <c r="F42" s="745"/>
      <c r="G42" s="718"/>
      <c r="H42" s="746"/>
      <c r="I42" s="177"/>
      <c r="J42" s="177"/>
      <c r="K42" s="177"/>
      <c r="L42" s="177"/>
      <c r="M42" s="177"/>
    </row>
    <row r="43" spans="1:13" ht="15.75">
      <c r="A43" s="173"/>
      <c r="B43" s="300"/>
      <c r="C43" s="183"/>
      <c r="D43" s="293"/>
      <c r="E43" s="282"/>
      <c r="F43" s="295"/>
      <c r="G43" s="305"/>
      <c r="H43" s="313"/>
      <c r="I43" s="177"/>
      <c r="J43" s="177"/>
      <c r="K43" s="177"/>
      <c r="L43" s="177"/>
      <c r="M43" s="177"/>
    </row>
    <row r="44" spans="1:13" ht="15.75">
      <c r="A44" s="173"/>
      <c r="B44" s="300"/>
      <c r="C44" s="183"/>
      <c r="D44" s="293"/>
      <c r="E44" s="282"/>
      <c r="F44" s="295"/>
      <c r="G44" s="302"/>
      <c r="H44" s="313"/>
      <c r="I44" s="177"/>
      <c r="J44" s="177"/>
      <c r="K44" s="177"/>
      <c r="L44" s="177"/>
      <c r="M44" s="177"/>
    </row>
    <row r="45" spans="1:13" ht="15.75">
      <c r="A45" s="173"/>
      <c r="B45" s="300"/>
      <c r="C45" s="183"/>
      <c r="D45" s="293"/>
      <c r="E45" s="282"/>
      <c r="F45" s="295"/>
      <c r="G45" s="302"/>
      <c r="H45" s="313"/>
      <c r="I45" s="177"/>
      <c r="J45" s="177"/>
      <c r="K45" s="177"/>
      <c r="L45" s="177"/>
      <c r="M45" s="177"/>
    </row>
    <row r="46" spans="1:13" ht="15.75">
      <c r="A46" s="173"/>
      <c r="B46" s="300"/>
      <c r="C46" s="183"/>
      <c r="D46" s="293"/>
      <c r="E46" s="282"/>
      <c r="F46" s="295"/>
      <c r="G46" s="302"/>
      <c r="H46" s="313"/>
      <c r="I46" s="177"/>
      <c r="J46" s="177"/>
      <c r="K46" s="177"/>
      <c r="L46" s="177"/>
      <c r="M46" s="177"/>
    </row>
    <row r="47" spans="1:13" ht="15.75">
      <c r="A47" s="173"/>
      <c r="B47" s="300"/>
      <c r="C47" s="174"/>
      <c r="D47" s="175"/>
      <c r="E47" s="176"/>
      <c r="F47" s="302"/>
      <c r="G47" s="260"/>
      <c r="H47" s="392"/>
      <c r="I47" s="177"/>
      <c r="J47" s="177"/>
      <c r="K47" s="177"/>
      <c r="L47" s="177"/>
      <c r="M47" s="177"/>
    </row>
    <row r="48" spans="1:13" ht="15.75">
      <c r="A48" s="173"/>
      <c r="B48" s="391"/>
      <c r="C48" s="174"/>
      <c r="D48" s="175"/>
      <c r="E48" s="176"/>
      <c r="F48" s="260"/>
      <c r="G48" s="260"/>
      <c r="H48" s="392"/>
      <c r="I48" s="177"/>
      <c r="J48" s="177"/>
      <c r="K48" s="177"/>
      <c r="L48" s="177"/>
      <c r="M48" s="177"/>
    </row>
    <row r="49" spans="1:13" ht="15.75">
      <c r="A49" s="177"/>
      <c r="B49" s="177"/>
      <c r="C49" s="177"/>
      <c r="D49" s="177"/>
      <c r="E49" s="177"/>
      <c r="F49" s="177"/>
      <c r="G49" s="177"/>
      <c r="H49" s="177"/>
      <c r="I49" s="177"/>
      <c r="J49" s="177"/>
      <c r="K49" s="177"/>
      <c r="L49" s="177"/>
      <c r="M49" s="177"/>
    </row>
    <row r="50" spans="1:13" ht="15.75">
      <c r="A50" s="177"/>
      <c r="C50" s="183"/>
      <c r="D50" s="169"/>
      <c r="E50" s="278"/>
      <c r="F50" s="278"/>
      <c r="G50" s="278"/>
      <c r="I50" s="312"/>
      <c r="J50" s="177"/>
      <c r="K50" s="177"/>
      <c r="L50" s="177"/>
      <c r="M50" s="177"/>
    </row>
    <row r="51" spans="1:13" ht="15.75">
      <c r="A51" s="177"/>
      <c r="C51" s="183"/>
      <c r="D51" s="169"/>
      <c r="E51" s="278"/>
      <c r="F51" s="278"/>
      <c r="G51" s="278"/>
      <c r="I51" s="312"/>
      <c r="J51" s="177"/>
      <c r="K51" s="177"/>
      <c r="L51" s="177"/>
      <c r="M51" s="177"/>
    </row>
    <row r="52" spans="1:13" ht="15.75">
      <c r="A52" s="177"/>
      <c r="C52" s="183"/>
      <c r="D52" s="169"/>
      <c r="E52" s="278"/>
      <c r="F52" s="278"/>
      <c r="G52" s="278"/>
      <c r="I52" s="313"/>
      <c r="J52" s="177"/>
      <c r="K52" s="177"/>
      <c r="L52" s="177"/>
      <c r="M52" s="177"/>
    </row>
    <row r="53" spans="1:13" ht="15.75">
      <c r="A53" s="177"/>
      <c r="C53" s="183"/>
      <c r="D53" s="183"/>
      <c r="E53" s="278"/>
      <c r="F53" s="278"/>
      <c r="G53" s="278"/>
      <c r="I53" s="313"/>
      <c r="J53" s="177"/>
      <c r="K53" s="177"/>
      <c r="L53" s="177"/>
      <c r="M53" s="177"/>
    </row>
    <row r="54" spans="1:13" ht="15.75">
      <c r="A54" s="177"/>
      <c r="B54" s="177"/>
      <c r="C54" s="177"/>
      <c r="D54" s="177"/>
      <c r="E54" s="177"/>
      <c r="F54" s="379"/>
      <c r="G54" s="177"/>
      <c r="H54" s="177"/>
      <c r="I54" s="177"/>
      <c r="J54" s="177"/>
      <c r="K54" s="177"/>
      <c r="L54" s="177"/>
      <c r="M54" s="177"/>
    </row>
    <row r="55" spans="1:13" ht="15.75">
      <c r="A55" s="177"/>
      <c r="B55" s="177"/>
      <c r="C55" s="177"/>
      <c r="D55" s="177"/>
      <c r="E55" s="177"/>
      <c r="F55" s="177"/>
      <c r="G55" s="177"/>
      <c r="H55" s="177"/>
      <c r="I55" s="177"/>
      <c r="J55" s="177"/>
      <c r="K55" s="177"/>
      <c r="L55" s="177"/>
      <c r="M55" s="177"/>
    </row>
    <row r="56" spans="1:13" ht="15.75">
      <c r="A56" s="177"/>
      <c r="B56" s="177"/>
      <c r="C56" s="177"/>
      <c r="D56" s="177"/>
      <c r="E56" s="177"/>
      <c r="F56" s="177"/>
      <c r="G56" s="177"/>
      <c r="H56" s="177"/>
      <c r="I56" s="177"/>
      <c r="J56" s="177"/>
      <c r="K56" s="177"/>
      <c r="L56" s="177"/>
      <c r="M56" s="177"/>
    </row>
    <row r="57" spans="1:13" ht="15.75">
      <c r="A57" s="177"/>
      <c r="B57" s="177"/>
      <c r="C57" s="177"/>
      <c r="D57" s="177"/>
      <c r="E57" s="177"/>
      <c r="F57" s="177"/>
      <c r="G57" s="177"/>
      <c r="H57" s="177"/>
      <c r="I57" s="177"/>
      <c r="J57" s="177"/>
      <c r="K57" s="177"/>
      <c r="L57" s="177"/>
      <c r="M57" s="177"/>
    </row>
    <row r="58" spans="1:13" ht="15.75">
      <c r="A58" s="177"/>
      <c r="B58" s="177"/>
      <c r="C58" s="177"/>
      <c r="D58" s="177"/>
      <c r="E58" s="177"/>
      <c r="F58" s="177"/>
      <c r="G58" s="177"/>
      <c r="H58" s="177"/>
      <c r="I58" s="177"/>
      <c r="J58" s="177"/>
      <c r="K58" s="177"/>
      <c r="L58" s="177"/>
      <c r="M58" s="177"/>
    </row>
    <row r="59" spans="1:13" ht="15.75">
      <c r="A59" s="177"/>
      <c r="B59" s="177"/>
      <c r="C59" s="177"/>
      <c r="D59" s="177"/>
      <c r="E59" s="177"/>
      <c r="F59" s="177"/>
      <c r="G59" s="177"/>
      <c r="H59" s="177"/>
      <c r="I59" s="177"/>
      <c r="J59" s="177"/>
      <c r="K59" s="177"/>
      <c r="L59" s="177"/>
      <c r="M59" s="177"/>
    </row>
    <row r="60" spans="1:13" ht="15.75">
      <c r="A60" s="177"/>
      <c r="B60" s="177"/>
      <c r="C60" s="177"/>
      <c r="D60" s="177"/>
      <c r="E60" s="177"/>
      <c r="F60" s="177"/>
      <c r="G60" s="177"/>
      <c r="H60" s="177"/>
      <c r="I60" s="177"/>
      <c r="J60" s="177"/>
      <c r="K60" s="177"/>
      <c r="L60" s="177"/>
      <c r="M60" s="177"/>
    </row>
    <row r="61" spans="1:13" ht="15.75">
      <c r="A61" s="177"/>
      <c r="B61" s="177"/>
      <c r="C61" s="177"/>
      <c r="D61" s="177"/>
      <c r="E61" s="177"/>
      <c r="F61" s="177"/>
      <c r="G61" s="177"/>
      <c r="H61" s="177"/>
      <c r="I61" s="177"/>
      <c r="J61" s="177"/>
      <c r="K61" s="177"/>
      <c r="L61" s="177"/>
      <c r="M61" s="177"/>
    </row>
    <row r="62" spans="1:13" ht="15.75">
      <c r="A62" s="177"/>
      <c r="B62" s="177"/>
      <c r="C62" s="177"/>
      <c r="D62" s="177"/>
      <c r="E62" s="177"/>
      <c r="F62" s="177"/>
      <c r="G62" s="177"/>
      <c r="H62" s="177"/>
      <c r="I62" s="177"/>
      <c r="J62" s="177"/>
      <c r="K62" s="177"/>
      <c r="L62" s="177"/>
      <c r="M62" s="177"/>
    </row>
    <row r="63" spans="1:13" ht="15.75">
      <c r="A63" s="177"/>
      <c r="B63" s="177"/>
      <c r="C63" s="177"/>
      <c r="D63" s="177"/>
      <c r="E63" s="177"/>
      <c r="F63" s="177"/>
      <c r="G63" s="177"/>
      <c r="H63" s="177"/>
      <c r="I63" s="177"/>
      <c r="J63" s="177"/>
      <c r="K63" s="177"/>
      <c r="L63" s="177"/>
      <c r="M63" s="177"/>
    </row>
    <row r="64" spans="1:13" ht="15.75">
      <c r="A64" s="177"/>
      <c r="B64" s="177"/>
      <c r="C64" s="177"/>
      <c r="D64" s="177"/>
      <c r="E64" s="177"/>
      <c r="F64" s="177"/>
      <c r="G64" s="177"/>
      <c r="H64" s="177"/>
      <c r="I64" s="177"/>
      <c r="J64" s="177"/>
      <c r="K64" s="177"/>
      <c r="L64" s="177"/>
      <c r="M64" s="177"/>
    </row>
    <row r="65" spans="1:13" ht="15.75">
      <c r="A65" s="177"/>
      <c r="B65" s="177"/>
      <c r="C65" s="177"/>
      <c r="D65" s="177"/>
      <c r="E65" s="177"/>
      <c r="F65" s="177"/>
      <c r="G65" s="177"/>
      <c r="H65" s="177"/>
      <c r="I65" s="177"/>
      <c r="J65" s="177"/>
      <c r="K65" s="177"/>
      <c r="L65" s="177"/>
      <c r="M65" s="177"/>
    </row>
    <row r="66" spans="1:13" ht="15.75">
      <c r="A66" s="177"/>
      <c r="B66" s="177"/>
      <c r="C66" s="177"/>
      <c r="D66" s="177"/>
      <c r="E66" s="177"/>
      <c r="F66" s="177"/>
      <c r="G66" s="177"/>
      <c r="H66" s="177"/>
      <c r="I66" s="177"/>
      <c r="J66" s="177"/>
      <c r="K66" s="177"/>
      <c r="L66" s="177"/>
      <c r="M66" s="177"/>
    </row>
    <row r="67" spans="1:13" ht="15.75">
      <c r="A67" s="177"/>
      <c r="B67" s="177"/>
      <c r="C67" s="177"/>
      <c r="D67" s="177"/>
      <c r="E67" s="177"/>
      <c r="F67" s="177"/>
      <c r="G67" s="177"/>
      <c r="H67" s="177"/>
      <c r="I67" s="177"/>
      <c r="J67" s="177"/>
      <c r="K67" s="177"/>
      <c r="L67" s="177"/>
      <c r="M67" s="177"/>
    </row>
    <row r="68" spans="1:13" ht="15.75">
      <c r="A68" s="177"/>
      <c r="B68" s="177"/>
      <c r="C68" s="177"/>
      <c r="D68" s="177"/>
      <c r="E68" s="177"/>
      <c r="F68" s="177"/>
      <c r="G68" s="177"/>
      <c r="H68" s="177"/>
      <c r="I68" s="177"/>
      <c r="J68" s="177"/>
      <c r="K68" s="177"/>
      <c r="L68" s="177"/>
      <c r="M68" s="177"/>
    </row>
    <row r="69" spans="1:13" ht="15.75">
      <c r="A69" s="177"/>
      <c r="B69" s="177"/>
      <c r="C69" s="177"/>
      <c r="D69" s="177"/>
      <c r="E69" s="177"/>
      <c r="F69" s="177"/>
      <c r="G69" s="177"/>
      <c r="H69" s="177"/>
      <c r="I69" s="177"/>
      <c r="J69" s="177"/>
      <c r="K69" s="177"/>
      <c r="L69" s="177"/>
      <c r="M69" s="177"/>
    </row>
    <row r="70" spans="1:13" ht="15.75">
      <c r="A70" s="177"/>
      <c r="B70" s="177"/>
      <c r="C70" s="177"/>
      <c r="D70" s="177"/>
      <c r="E70" s="177"/>
      <c r="F70" s="177"/>
      <c r="G70" s="177"/>
      <c r="H70" s="177"/>
      <c r="I70" s="177"/>
      <c r="J70" s="177"/>
      <c r="K70" s="177"/>
      <c r="L70" s="177"/>
      <c r="M70" s="177"/>
    </row>
    <row r="71" spans="1:13" ht="15.75">
      <c r="A71" s="177"/>
      <c r="B71" s="177"/>
      <c r="C71" s="177"/>
      <c r="D71" s="177"/>
      <c r="E71" s="177"/>
      <c r="F71" s="177"/>
      <c r="G71" s="177"/>
      <c r="H71" s="177"/>
      <c r="I71" s="177"/>
      <c r="J71" s="177"/>
      <c r="K71" s="177"/>
      <c r="L71" s="177"/>
      <c r="M71" s="177"/>
    </row>
    <row r="72" spans="1:13" ht="15.75">
      <c r="A72" s="177"/>
      <c r="B72" s="177"/>
      <c r="C72" s="177"/>
      <c r="D72" s="177"/>
      <c r="E72" s="177"/>
      <c r="F72" s="177"/>
      <c r="G72" s="177"/>
      <c r="H72" s="177"/>
      <c r="I72" s="177"/>
      <c r="J72" s="177"/>
      <c r="K72" s="177"/>
      <c r="L72" s="177"/>
      <c r="M72" s="177"/>
    </row>
    <row r="73" spans="1:13" ht="15.75">
      <c r="A73" s="177"/>
      <c r="B73" s="177"/>
      <c r="C73" s="177"/>
      <c r="D73" s="177"/>
      <c r="E73" s="177"/>
      <c r="F73" s="177"/>
      <c r="G73" s="177"/>
      <c r="H73" s="177"/>
      <c r="I73" s="177"/>
      <c r="J73" s="177"/>
      <c r="K73" s="177"/>
      <c r="L73" s="177"/>
      <c r="M73" s="177"/>
    </row>
    <row r="74" spans="1:13" ht="15.75">
      <c r="A74" s="177"/>
      <c r="B74" s="177"/>
      <c r="C74" s="177"/>
      <c r="D74" s="177"/>
      <c r="E74" s="177"/>
      <c r="F74" s="177"/>
      <c r="G74" s="177"/>
      <c r="H74" s="177"/>
      <c r="I74" s="177"/>
      <c r="J74" s="177"/>
      <c r="K74" s="177"/>
      <c r="L74" s="177"/>
      <c r="M74" s="177"/>
    </row>
    <row r="75" spans="1:13" ht="15.75">
      <c r="A75" s="177"/>
      <c r="B75" s="177"/>
      <c r="C75" s="177"/>
      <c r="D75" s="177"/>
      <c r="E75" s="177"/>
      <c r="F75" s="177"/>
      <c r="G75" s="177"/>
      <c r="H75" s="177"/>
      <c r="I75" s="177"/>
      <c r="J75" s="177"/>
      <c r="K75" s="177"/>
      <c r="L75" s="177"/>
      <c r="M75" s="177"/>
    </row>
    <row r="76" spans="1:13" ht="15.75">
      <c r="A76" s="177"/>
      <c r="B76" s="177"/>
      <c r="C76" s="177"/>
      <c r="D76" s="177"/>
      <c r="E76" s="177"/>
      <c r="F76" s="177"/>
      <c r="G76" s="177"/>
      <c r="H76" s="177"/>
      <c r="I76" s="177"/>
      <c r="J76" s="177"/>
      <c r="K76" s="177"/>
      <c r="L76" s="177"/>
      <c r="M76" s="177"/>
    </row>
    <row r="77" spans="1:13" ht="15.75">
      <c r="A77" s="177"/>
      <c r="B77" s="177"/>
      <c r="C77" s="177"/>
      <c r="D77" s="177"/>
      <c r="E77" s="177"/>
      <c r="F77" s="177"/>
      <c r="G77" s="177"/>
      <c r="H77" s="177"/>
      <c r="I77" s="177"/>
      <c r="J77" s="177"/>
      <c r="K77" s="177"/>
      <c r="L77" s="177"/>
      <c r="M77" s="177"/>
    </row>
    <row r="78" spans="1:13" ht="15.75">
      <c r="A78" s="177"/>
      <c r="B78" s="177"/>
      <c r="C78" s="177"/>
      <c r="D78" s="177"/>
      <c r="E78" s="177"/>
      <c r="F78" s="177"/>
      <c r="G78" s="177"/>
      <c r="H78" s="177"/>
      <c r="I78" s="177"/>
      <c r="J78" s="177"/>
      <c r="K78" s="177"/>
      <c r="L78" s="177"/>
      <c r="M78" s="177"/>
    </row>
    <row r="79" spans="1:13" ht="15.75">
      <c r="A79" s="177"/>
      <c r="B79" s="177"/>
      <c r="C79" s="177"/>
      <c r="D79" s="177"/>
      <c r="E79" s="177"/>
      <c r="F79" s="177"/>
      <c r="G79" s="177"/>
      <c r="H79" s="177"/>
      <c r="I79" s="177"/>
      <c r="J79" s="177"/>
      <c r="K79" s="177"/>
      <c r="L79" s="177"/>
      <c r="M79" s="177"/>
    </row>
    <row r="80" spans="1:13" ht="15.75">
      <c r="A80" s="177"/>
      <c r="B80" s="177"/>
      <c r="C80" s="177"/>
      <c r="D80" s="177"/>
      <c r="E80" s="177"/>
      <c r="F80" s="177"/>
      <c r="G80" s="177"/>
      <c r="H80" s="177"/>
      <c r="I80" s="177"/>
      <c r="J80" s="177"/>
      <c r="K80" s="177"/>
      <c r="L80" s="177"/>
      <c r="M80" s="177"/>
    </row>
    <row r="81" spans="1:13" ht="15.75">
      <c r="A81" s="177"/>
      <c r="B81" s="177"/>
      <c r="C81" s="177"/>
      <c r="D81" s="177"/>
      <c r="E81" s="177"/>
      <c r="F81" s="177"/>
      <c r="G81" s="177"/>
      <c r="H81" s="177"/>
      <c r="I81" s="177"/>
      <c r="J81" s="177"/>
      <c r="K81" s="177"/>
      <c r="L81" s="177"/>
      <c r="M81" s="177"/>
    </row>
    <row r="82" spans="1:13" ht="15.75">
      <c r="A82" s="177"/>
      <c r="B82" s="177"/>
      <c r="C82" s="177"/>
      <c r="D82" s="177"/>
      <c r="E82" s="177"/>
      <c r="F82" s="177"/>
      <c r="G82" s="177"/>
      <c r="H82" s="177"/>
      <c r="I82" s="177"/>
      <c r="J82" s="177"/>
      <c r="K82" s="177"/>
      <c r="L82" s="177"/>
      <c r="M82" s="177"/>
    </row>
    <row r="83" spans="1:13" ht="15.75">
      <c r="A83" s="177"/>
      <c r="B83" s="177"/>
      <c r="C83" s="177"/>
      <c r="D83" s="177"/>
      <c r="E83" s="177"/>
      <c r="F83" s="177"/>
      <c r="G83" s="177"/>
      <c r="H83" s="177"/>
      <c r="I83" s="177"/>
      <c r="J83" s="177"/>
      <c r="K83" s="177"/>
      <c r="L83" s="177"/>
      <c r="M83" s="177"/>
    </row>
    <row r="84" spans="1:13" ht="15.75">
      <c r="A84" s="177"/>
      <c r="B84" s="177"/>
      <c r="C84" s="177"/>
      <c r="D84" s="177"/>
      <c r="E84" s="177"/>
      <c r="F84" s="177"/>
      <c r="G84" s="177"/>
      <c r="H84" s="177"/>
      <c r="I84" s="177"/>
      <c r="J84" s="177"/>
      <c r="K84" s="177"/>
      <c r="L84" s="177"/>
      <c r="M84" s="177"/>
    </row>
    <row r="85" spans="1:13" ht="15.75">
      <c r="A85" s="177"/>
      <c r="B85" s="177"/>
      <c r="C85" s="177"/>
      <c r="D85" s="177"/>
      <c r="E85" s="177"/>
      <c r="F85" s="177"/>
      <c r="G85" s="177"/>
      <c r="H85" s="177"/>
      <c r="I85" s="177"/>
      <c r="J85" s="177"/>
      <c r="K85" s="177"/>
      <c r="L85" s="177"/>
      <c r="M85" s="177"/>
    </row>
    <row r="86" spans="1:13" ht="15.75">
      <c r="A86" s="177"/>
      <c r="B86" s="177"/>
      <c r="C86" s="177"/>
      <c r="D86" s="177"/>
      <c r="E86" s="177"/>
      <c r="F86" s="177"/>
      <c r="G86" s="177"/>
      <c r="H86" s="177"/>
      <c r="I86" s="177"/>
      <c r="J86" s="177"/>
      <c r="K86" s="177"/>
      <c r="L86" s="177"/>
      <c r="M86" s="177"/>
    </row>
    <row r="87" spans="1:13" ht="15.75">
      <c r="A87" s="177"/>
      <c r="B87" s="177"/>
      <c r="C87" s="177"/>
      <c r="D87" s="177"/>
      <c r="E87" s="177"/>
      <c r="F87" s="177"/>
      <c r="G87" s="177"/>
      <c r="H87" s="177"/>
      <c r="I87" s="177"/>
      <c r="J87" s="177"/>
      <c r="K87" s="177"/>
      <c r="L87" s="177"/>
      <c r="M87" s="177"/>
    </row>
  </sheetData>
  <sheetProtection password="9690" sheet="1" formatColumns="0" insertRows="0" deleteRows="0"/>
  <mergeCells count="1">
    <mergeCell ref="B3:F3"/>
  </mergeCells>
  <pageMargins left="0.78740157480314965" right="0" top="0.78740157480314965" bottom="0.98425196850393704" header="0.51181102362204722" footer="0.51181102362204722"/>
  <pageSetup paperSize="9" scale="80" fitToHeight="0" orientation="portrait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Лист35">
    <tabColor theme="0"/>
  </sheetPr>
  <dimension ref="B3:K47"/>
  <sheetViews>
    <sheetView workbookViewId="0">
      <selection activeCell="B3" sqref="B3:K37"/>
    </sheetView>
  </sheetViews>
  <sheetFormatPr defaultRowHeight="15"/>
  <cols>
    <col min="2" max="2" width="5.42578125" customWidth="1"/>
    <col min="4" max="4" width="15.5703125" customWidth="1"/>
    <col min="5" max="5" width="13.85546875" customWidth="1"/>
    <col min="6" max="6" width="9.28515625" bestFit="1" customWidth="1"/>
    <col min="7" max="7" width="16.140625" customWidth="1"/>
    <col min="8" max="8" width="11.85546875" customWidth="1"/>
    <col min="9" max="9" width="10.140625" bestFit="1" customWidth="1"/>
    <col min="10" max="10" width="11.85546875" bestFit="1" customWidth="1"/>
    <col min="11" max="11" width="10.7109375" customWidth="1"/>
  </cols>
  <sheetData>
    <row r="3" spans="2:11" ht="29.25" customHeight="1">
      <c r="B3" s="4346" t="s">
        <v>4245</v>
      </c>
      <c r="C3" s="4346"/>
      <c r="D3" s="4346"/>
      <c r="E3" s="4346"/>
      <c r="F3" s="4346"/>
      <c r="G3" s="4346"/>
      <c r="H3" s="4346"/>
      <c r="I3" s="4346"/>
    </row>
    <row r="4" spans="2:11">
      <c r="B4" s="39"/>
      <c r="C4" s="39"/>
      <c r="D4" s="39"/>
      <c r="E4" s="39"/>
      <c r="F4" s="39"/>
      <c r="G4" s="39"/>
      <c r="H4" s="39"/>
      <c r="I4" s="39"/>
    </row>
    <row r="5" spans="2:11">
      <c r="B5" s="38"/>
      <c r="C5" s="38"/>
      <c r="D5" s="38"/>
      <c r="E5" s="38"/>
      <c r="F5" s="43">
        <v>1.08</v>
      </c>
      <c r="G5" s="38"/>
      <c r="H5" s="38"/>
      <c r="J5" s="40" t="s">
        <v>254</v>
      </c>
    </row>
    <row r="6" spans="2:11">
      <c r="B6" s="27" t="s">
        <v>2</v>
      </c>
      <c r="C6" s="27" t="s">
        <v>3504</v>
      </c>
      <c r="D6" s="27" t="s">
        <v>478</v>
      </c>
      <c r="E6" s="27" t="s">
        <v>4246</v>
      </c>
      <c r="F6" s="27" t="s">
        <v>4247</v>
      </c>
      <c r="G6" s="27" t="s">
        <v>4248</v>
      </c>
      <c r="H6" s="27" t="s">
        <v>4249</v>
      </c>
      <c r="I6" s="27" t="s">
        <v>7</v>
      </c>
      <c r="J6" s="27" t="s">
        <v>8</v>
      </c>
      <c r="K6" s="49"/>
    </row>
    <row r="7" spans="2:11">
      <c r="B7" s="26" t="s">
        <v>3513</v>
      </c>
      <c r="C7" s="26" t="s">
        <v>3514</v>
      </c>
      <c r="D7" s="26" t="s">
        <v>4250</v>
      </c>
      <c r="E7" s="29">
        <v>1530</v>
      </c>
      <c r="F7" s="42">
        <v>81.17</v>
      </c>
      <c r="G7" s="29">
        <f>E7*F7</f>
        <v>124190.1</v>
      </c>
      <c r="H7" s="29">
        <f>(G7)*25%</f>
        <v>31047.525000000001</v>
      </c>
      <c r="I7" s="29">
        <f>SUM(H7)*10%</f>
        <v>3104.7525000000005</v>
      </c>
      <c r="J7" s="29">
        <f>SUM(H7)*90%</f>
        <v>27942.772500000003</v>
      </c>
    </row>
    <row r="8" spans="2:11">
      <c r="B8" s="26"/>
      <c r="C8" s="26"/>
      <c r="D8" s="26" t="s">
        <v>3554</v>
      </c>
      <c r="E8" s="29">
        <f>1530*1.1</f>
        <v>1683.0000000000002</v>
      </c>
      <c r="F8" s="42">
        <v>58.75</v>
      </c>
      <c r="G8" s="29">
        <f t="shared" ref="G8:G20" si="0">E8*F8</f>
        <v>98876.250000000015</v>
      </c>
      <c r="H8" s="29">
        <f t="shared" ref="H8:H22" si="1">(G8)*25%</f>
        <v>24719.062500000004</v>
      </c>
      <c r="I8" s="29">
        <f t="shared" ref="I8:I22" si="2">SUM(H8)*10%</f>
        <v>2471.9062500000005</v>
      </c>
      <c r="J8" s="29">
        <f t="shared" ref="J8:J22" si="3">SUM(H8)*90%</f>
        <v>22247.156250000004</v>
      </c>
    </row>
    <row r="9" spans="2:11">
      <c r="B9" s="26" t="s">
        <v>3515</v>
      </c>
      <c r="C9" s="26" t="s">
        <v>3516</v>
      </c>
      <c r="D9" s="26" t="s">
        <v>4250</v>
      </c>
      <c r="E9" s="29">
        <v>1530</v>
      </c>
      <c r="F9" s="42">
        <f>F7</f>
        <v>81.17</v>
      </c>
      <c r="G9" s="29">
        <f t="shared" si="0"/>
        <v>124190.1</v>
      </c>
      <c r="H9" s="29">
        <f t="shared" si="1"/>
        <v>31047.525000000001</v>
      </c>
      <c r="I9" s="29">
        <f t="shared" si="2"/>
        <v>3104.7525000000005</v>
      </c>
      <c r="J9" s="29">
        <f t="shared" si="3"/>
        <v>27942.772500000003</v>
      </c>
    </row>
    <row r="10" spans="2:11">
      <c r="B10" s="26"/>
      <c r="C10" s="26"/>
      <c r="D10" s="26" t="s">
        <v>3554</v>
      </c>
      <c r="E10" s="29">
        <f>1530*1.1</f>
        <v>1683.0000000000002</v>
      </c>
      <c r="F10" s="42">
        <f>F8</f>
        <v>58.75</v>
      </c>
      <c r="G10" s="29">
        <f t="shared" si="0"/>
        <v>98876.250000000015</v>
      </c>
      <c r="H10" s="29">
        <f t="shared" si="1"/>
        <v>24719.062500000004</v>
      </c>
      <c r="I10" s="29">
        <f t="shared" si="2"/>
        <v>2471.9062500000005</v>
      </c>
      <c r="J10" s="29">
        <f t="shared" si="3"/>
        <v>22247.156250000004</v>
      </c>
    </row>
    <row r="11" spans="2:11">
      <c r="B11" s="26" t="s">
        <v>3517</v>
      </c>
      <c r="C11" s="26" t="s">
        <v>3389</v>
      </c>
      <c r="D11" s="26" t="s">
        <v>4250</v>
      </c>
      <c r="E11" s="29">
        <v>1530</v>
      </c>
      <c r="F11" s="42">
        <f>F7</f>
        <v>81.17</v>
      </c>
      <c r="G11" s="29">
        <f t="shared" si="0"/>
        <v>124190.1</v>
      </c>
      <c r="H11" s="29">
        <f t="shared" si="1"/>
        <v>31047.525000000001</v>
      </c>
      <c r="I11" s="29">
        <f t="shared" si="2"/>
        <v>3104.7525000000005</v>
      </c>
      <c r="J11" s="29">
        <f t="shared" si="3"/>
        <v>27942.772500000003</v>
      </c>
    </row>
    <row r="12" spans="2:11">
      <c r="B12" s="26"/>
      <c r="C12" s="26"/>
      <c r="D12" s="26" t="s">
        <v>3554</v>
      </c>
      <c r="E12" s="29">
        <f>1530*1.1</f>
        <v>1683.0000000000002</v>
      </c>
      <c r="F12" s="42">
        <f>F8</f>
        <v>58.75</v>
      </c>
      <c r="G12" s="29">
        <f t="shared" si="0"/>
        <v>98876.250000000015</v>
      </c>
      <c r="H12" s="29">
        <f t="shared" si="1"/>
        <v>24719.062500000004</v>
      </c>
      <c r="I12" s="29">
        <f t="shared" si="2"/>
        <v>2471.9062500000005</v>
      </c>
      <c r="J12" s="29">
        <f t="shared" si="3"/>
        <v>22247.156250000004</v>
      </c>
    </row>
    <row r="13" spans="2:11">
      <c r="B13" s="26" t="s">
        <v>3520</v>
      </c>
      <c r="C13" s="26" t="s">
        <v>3521</v>
      </c>
      <c r="D13" s="26" t="s">
        <v>4250</v>
      </c>
      <c r="E13" s="29">
        <v>1530</v>
      </c>
      <c r="F13" s="42">
        <f>F7</f>
        <v>81.17</v>
      </c>
      <c r="G13" s="29">
        <f t="shared" si="0"/>
        <v>124190.1</v>
      </c>
      <c r="H13" s="29">
        <f t="shared" si="1"/>
        <v>31047.525000000001</v>
      </c>
      <c r="I13" s="29">
        <f t="shared" si="2"/>
        <v>3104.7525000000005</v>
      </c>
      <c r="J13" s="29">
        <f t="shared" si="3"/>
        <v>27942.772500000003</v>
      </c>
    </row>
    <row r="14" spans="2:11">
      <c r="B14" s="26"/>
      <c r="C14" s="26"/>
      <c r="D14" s="26" t="s">
        <v>3554</v>
      </c>
      <c r="E14" s="29">
        <f>1530*1.1</f>
        <v>1683.0000000000002</v>
      </c>
      <c r="F14" s="42">
        <f>F8</f>
        <v>58.75</v>
      </c>
      <c r="G14" s="29">
        <f t="shared" si="0"/>
        <v>98876.250000000015</v>
      </c>
      <c r="H14" s="29">
        <f t="shared" si="1"/>
        <v>24719.062500000004</v>
      </c>
      <c r="I14" s="29">
        <f t="shared" si="2"/>
        <v>2471.9062500000005</v>
      </c>
      <c r="J14" s="29">
        <f t="shared" si="3"/>
        <v>22247.156250000004</v>
      </c>
    </row>
    <row r="15" spans="2:11">
      <c r="B15" s="26" t="s">
        <v>3522</v>
      </c>
      <c r="C15" s="26" t="s">
        <v>3391</v>
      </c>
      <c r="D15" s="26" t="s">
        <v>4250</v>
      </c>
      <c r="E15" s="29">
        <v>1530</v>
      </c>
      <c r="F15" s="42">
        <f>F7</f>
        <v>81.17</v>
      </c>
      <c r="G15" s="29">
        <f t="shared" si="0"/>
        <v>124190.1</v>
      </c>
      <c r="H15" s="29">
        <f t="shared" si="1"/>
        <v>31047.525000000001</v>
      </c>
      <c r="I15" s="29">
        <f t="shared" si="2"/>
        <v>3104.7525000000005</v>
      </c>
      <c r="J15" s="29">
        <f t="shared" si="3"/>
        <v>27942.772500000003</v>
      </c>
    </row>
    <row r="16" spans="2:11">
      <c r="B16" s="26"/>
      <c r="C16" s="26"/>
      <c r="D16" s="26" t="s">
        <v>3554</v>
      </c>
      <c r="E16" s="29">
        <f>1530*1.1</f>
        <v>1683.0000000000002</v>
      </c>
      <c r="F16" s="42">
        <f>F8</f>
        <v>58.75</v>
      </c>
      <c r="G16" s="29">
        <f t="shared" si="0"/>
        <v>98876.250000000015</v>
      </c>
      <c r="H16" s="29">
        <f t="shared" si="1"/>
        <v>24719.062500000004</v>
      </c>
      <c r="I16" s="29">
        <f t="shared" si="2"/>
        <v>2471.9062500000005</v>
      </c>
      <c r="J16" s="29">
        <f t="shared" si="3"/>
        <v>22247.156250000004</v>
      </c>
    </row>
    <row r="17" spans="2:11">
      <c r="B17" s="26" t="s">
        <v>3523</v>
      </c>
      <c r="C17" s="26" t="s">
        <v>3392</v>
      </c>
      <c r="D17" s="26" t="s">
        <v>4250</v>
      </c>
      <c r="E17" s="29">
        <v>1530</v>
      </c>
      <c r="F17" s="42">
        <f>F7</f>
        <v>81.17</v>
      </c>
      <c r="G17" s="29">
        <f t="shared" si="0"/>
        <v>124190.1</v>
      </c>
      <c r="H17" s="29">
        <f t="shared" si="1"/>
        <v>31047.525000000001</v>
      </c>
      <c r="I17" s="29">
        <f t="shared" si="2"/>
        <v>3104.7525000000005</v>
      </c>
      <c r="J17" s="29">
        <f t="shared" si="3"/>
        <v>27942.772500000003</v>
      </c>
    </row>
    <row r="18" spans="2:11">
      <c r="B18" s="26"/>
      <c r="C18" s="26"/>
      <c r="D18" s="26" t="s">
        <v>3554</v>
      </c>
      <c r="E18" s="29">
        <f>1530*1.1</f>
        <v>1683.0000000000002</v>
      </c>
      <c r="F18" s="42">
        <f>F8</f>
        <v>58.75</v>
      </c>
      <c r="G18" s="29">
        <f t="shared" si="0"/>
        <v>98876.250000000015</v>
      </c>
      <c r="H18" s="29">
        <f t="shared" si="1"/>
        <v>24719.062500000004</v>
      </c>
      <c r="I18" s="29">
        <f t="shared" si="2"/>
        <v>2471.9062500000005</v>
      </c>
      <c r="J18" s="29">
        <f t="shared" si="3"/>
        <v>22247.156250000004</v>
      </c>
    </row>
    <row r="19" spans="2:11">
      <c r="B19" s="26" t="s">
        <v>3524</v>
      </c>
      <c r="C19" s="26" t="s">
        <v>3393</v>
      </c>
      <c r="D19" s="26" t="s">
        <v>4250</v>
      </c>
      <c r="E19" s="29">
        <v>1530</v>
      </c>
      <c r="F19" s="42">
        <f>F7</f>
        <v>81.17</v>
      </c>
      <c r="G19" s="29">
        <f t="shared" si="0"/>
        <v>124190.1</v>
      </c>
      <c r="H19" s="29">
        <f t="shared" si="1"/>
        <v>31047.525000000001</v>
      </c>
      <c r="I19" s="29">
        <f t="shared" si="2"/>
        <v>3104.7525000000005</v>
      </c>
      <c r="J19" s="29">
        <f t="shared" si="3"/>
        <v>27942.772500000003</v>
      </c>
    </row>
    <row r="20" spans="2:11">
      <c r="B20" s="26"/>
      <c r="C20" s="26"/>
      <c r="D20" s="26" t="s">
        <v>3554</v>
      </c>
      <c r="E20" s="29">
        <f>1530*1.1</f>
        <v>1683.0000000000002</v>
      </c>
      <c r="F20" s="42">
        <f>F8</f>
        <v>58.75</v>
      </c>
      <c r="G20" s="29">
        <f t="shared" si="0"/>
        <v>98876.250000000015</v>
      </c>
      <c r="H20" s="29">
        <f t="shared" si="1"/>
        <v>24719.062500000004</v>
      </c>
      <c r="I20" s="29">
        <f t="shared" si="2"/>
        <v>2471.9062500000005</v>
      </c>
      <c r="J20" s="29">
        <f t="shared" si="3"/>
        <v>22247.156250000004</v>
      </c>
    </row>
    <row r="21" spans="2:11">
      <c r="B21" s="26" t="s">
        <v>3525</v>
      </c>
      <c r="C21" s="26" t="s">
        <v>3526</v>
      </c>
      <c r="D21" s="26" t="s">
        <v>4250</v>
      </c>
      <c r="E21" s="29">
        <v>1530</v>
      </c>
      <c r="F21" s="42">
        <v>81.17</v>
      </c>
      <c r="G21" s="29">
        <f>E21*F21</f>
        <v>124190.1</v>
      </c>
      <c r="H21" s="29">
        <f t="shared" si="1"/>
        <v>31047.525000000001</v>
      </c>
      <c r="I21" s="29">
        <f t="shared" si="2"/>
        <v>3104.7525000000005</v>
      </c>
      <c r="J21" s="29">
        <f t="shared" si="3"/>
        <v>27942.772500000003</v>
      </c>
    </row>
    <row r="22" spans="2:11">
      <c r="B22" s="26"/>
      <c r="C22" s="26"/>
      <c r="D22" s="26" t="s">
        <v>3554</v>
      </c>
      <c r="E22" s="29">
        <f>1530*1.1</f>
        <v>1683.0000000000002</v>
      </c>
      <c r="F22" s="42">
        <v>58.75</v>
      </c>
      <c r="G22" s="29">
        <f>E22*F22</f>
        <v>98876.250000000015</v>
      </c>
      <c r="H22" s="29">
        <f t="shared" si="1"/>
        <v>24719.062500000004</v>
      </c>
      <c r="I22" s="29">
        <f t="shared" si="2"/>
        <v>2471.9062500000005</v>
      </c>
      <c r="J22" s="29">
        <f t="shared" si="3"/>
        <v>22247.156250000004</v>
      </c>
    </row>
    <row r="23" spans="2:11">
      <c r="B23" s="27"/>
      <c r="C23" s="27" t="s">
        <v>20</v>
      </c>
      <c r="D23" s="27"/>
      <c r="E23" s="30"/>
      <c r="F23" s="30"/>
      <c r="G23" s="30">
        <f>SUM(G7:G22)</f>
        <v>1784530.8000000003</v>
      </c>
      <c r="H23" s="30">
        <f>SUM(H7:H22)</f>
        <v>446132.70000000007</v>
      </c>
      <c r="I23" s="30">
        <f>SUM(I7:I22)</f>
        <v>44613.270000000011</v>
      </c>
      <c r="J23" s="30">
        <f>SUM(J7:J22)</f>
        <v>401519.43000000005</v>
      </c>
    </row>
    <row r="25" spans="2:11" ht="37.5" customHeight="1">
      <c r="B25" s="4346" t="s">
        <v>4251</v>
      </c>
      <c r="C25" s="4346"/>
      <c r="D25" s="4346"/>
      <c r="E25" s="4346"/>
      <c r="F25" s="4346"/>
      <c r="G25" s="4346"/>
      <c r="H25" s="4346"/>
      <c r="I25" s="4346"/>
    </row>
    <row r="26" spans="2:11">
      <c r="B26" s="39"/>
      <c r="C26" s="39"/>
      <c r="D26" s="39"/>
      <c r="E26" s="39"/>
      <c r="F26" s="39"/>
      <c r="G26" s="39"/>
      <c r="H26" s="39"/>
      <c r="I26" s="39"/>
    </row>
    <row r="27" spans="2:11">
      <c r="B27" s="38"/>
      <c r="C27" s="38"/>
      <c r="D27" s="38"/>
      <c r="E27" s="38"/>
      <c r="F27" s="43">
        <v>1.08</v>
      </c>
      <c r="G27" s="38"/>
      <c r="H27" s="38"/>
      <c r="I27" s="40" t="s">
        <v>254</v>
      </c>
    </row>
    <row r="28" spans="2:11">
      <c r="B28" s="27" t="s">
        <v>2</v>
      </c>
      <c r="C28" s="27" t="s">
        <v>3504</v>
      </c>
      <c r="D28" s="27" t="s">
        <v>478</v>
      </c>
      <c r="E28" s="27" t="s">
        <v>4246</v>
      </c>
      <c r="F28" s="27" t="s">
        <v>4247</v>
      </c>
      <c r="G28" s="27" t="s">
        <v>4248</v>
      </c>
      <c r="H28" s="27" t="s">
        <v>4252</v>
      </c>
      <c r="I28" s="27" t="s">
        <v>7</v>
      </c>
      <c r="J28" s="27" t="s">
        <v>8</v>
      </c>
      <c r="K28" s="27" t="s">
        <v>22</v>
      </c>
    </row>
    <row r="29" spans="2:11">
      <c r="B29" s="26" t="s">
        <v>3527</v>
      </c>
      <c r="C29" s="26" t="s">
        <v>3528</v>
      </c>
      <c r="D29" s="26" t="s">
        <v>4250</v>
      </c>
      <c r="E29" s="29">
        <v>1530</v>
      </c>
      <c r="F29" s="42">
        <f>F21</f>
        <v>81.17</v>
      </c>
      <c r="G29" s="29">
        <f t="shared" ref="G29:G36" si="4">E29*F29</f>
        <v>124190.1</v>
      </c>
      <c r="H29" s="29">
        <f>G29*85%</f>
        <v>105561.58500000001</v>
      </c>
      <c r="I29" s="29">
        <f>SUM(G29)*10%</f>
        <v>12419.010000000002</v>
      </c>
      <c r="J29" s="29">
        <f>SUM(G29)*90%</f>
        <v>111771.09000000001</v>
      </c>
      <c r="K29" s="41">
        <f>G29-H29</f>
        <v>18628.514999999999</v>
      </c>
    </row>
    <row r="30" spans="2:11">
      <c r="B30" s="26"/>
      <c r="C30" s="26"/>
      <c r="D30" s="26" t="s">
        <v>3554</v>
      </c>
      <c r="E30" s="29">
        <f>1530*1.1</f>
        <v>1683.0000000000002</v>
      </c>
      <c r="F30" s="42">
        <f>F22</f>
        <v>58.75</v>
      </c>
      <c r="G30" s="29">
        <f t="shared" si="4"/>
        <v>98876.250000000015</v>
      </c>
      <c r="H30" s="29">
        <f t="shared" ref="H30:H36" si="5">G30*85%</f>
        <v>84044.812500000015</v>
      </c>
      <c r="I30" s="29">
        <f t="shared" ref="I30:I36" si="6">SUM(G30)*10%</f>
        <v>9887.6250000000018</v>
      </c>
      <c r="J30" s="29">
        <f t="shared" ref="J30:J36" si="7">SUM(G30)*90%</f>
        <v>88988.625000000015</v>
      </c>
      <c r="K30" s="41">
        <f t="shared" ref="K30:K36" si="8">G30-H30</f>
        <v>14831.4375</v>
      </c>
    </row>
    <row r="31" spans="2:11">
      <c r="B31" s="26" t="s">
        <v>3529</v>
      </c>
      <c r="C31" s="26" t="s">
        <v>3530</v>
      </c>
      <c r="D31" s="26" t="s">
        <v>4250</v>
      </c>
      <c r="E31" s="29">
        <v>1530</v>
      </c>
      <c r="F31" s="42">
        <f>F21</f>
        <v>81.17</v>
      </c>
      <c r="G31" s="29">
        <f t="shared" si="4"/>
        <v>124190.1</v>
      </c>
      <c r="H31" s="29">
        <f t="shared" si="5"/>
        <v>105561.58500000001</v>
      </c>
      <c r="I31" s="29">
        <f t="shared" si="6"/>
        <v>12419.010000000002</v>
      </c>
      <c r="J31" s="29">
        <f t="shared" si="7"/>
        <v>111771.09000000001</v>
      </c>
      <c r="K31" s="41">
        <f t="shared" si="8"/>
        <v>18628.514999999999</v>
      </c>
    </row>
    <row r="32" spans="2:11">
      <c r="B32" s="26"/>
      <c r="C32" s="26"/>
      <c r="D32" s="26" t="s">
        <v>3554</v>
      </c>
      <c r="E32" s="29">
        <f>1530*1.1</f>
        <v>1683.0000000000002</v>
      </c>
      <c r="F32" s="42">
        <f>F22</f>
        <v>58.75</v>
      </c>
      <c r="G32" s="29">
        <f t="shared" si="4"/>
        <v>98876.250000000015</v>
      </c>
      <c r="H32" s="29">
        <f t="shared" si="5"/>
        <v>84044.812500000015</v>
      </c>
      <c r="I32" s="29">
        <f t="shared" si="6"/>
        <v>9887.6250000000018</v>
      </c>
      <c r="J32" s="29">
        <f t="shared" si="7"/>
        <v>88988.625000000015</v>
      </c>
      <c r="K32" s="41">
        <f t="shared" si="8"/>
        <v>14831.4375</v>
      </c>
    </row>
    <row r="33" spans="2:11">
      <c r="B33" s="26" t="s">
        <v>3531</v>
      </c>
      <c r="C33" s="26" t="s">
        <v>3532</v>
      </c>
      <c r="D33" s="26" t="s">
        <v>4250</v>
      </c>
      <c r="E33" s="29">
        <v>1530</v>
      </c>
      <c r="F33" s="42">
        <f>F21</f>
        <v>81.17</v>
      </c>
      <c r="G33" s="29">
        <f t="shared" si="4"/>
        <v>124190.1</v>
      </c>
      <c r="H33" s="29">
        <f t="shared" si="5"/>
        <v>105561.58500000001</v>
      </c>
      <c r="I33" s="29">
        <f t="shared" si="6"/>
        <v>12419.010000000002</v>
      </c>
      <c r="J33" s="29">
        <f t="shared" si="7"/>
        <v>111771.09000000001</v>
      </c>
      <c r="K33" s="41">
        <f t="shared" si="8"/>
        <v>18628.514999999999</v>
      </c>
    </row>
    <row r="34" spans="2:11">
      <c r="B34" s="26"/>
      <c r="C34" s="26"/>
      <c r="D34" s="26" t="s">
        <v>3554</v>
      </c>
      <c r="E34" s="29">
        <f>1530*1.1</f>
        <v>1683.0000000000002</v>
      </c>
      <c r="F34" s="42">
        <f>F22</f>
        <v>58.75</v>
      </c>
      <c r="G34" s="29">
        <f t="shared" si="4"/>
        <v>98876.250000000015</v>
      </c>
      <c r="H34" s="29">
        <f t="shared" si="5"/>
        <v>84044.812500000015</v>
      </c>
      <c r="I34" s="29">
        <f t="shared" si="6"/>
        <v>9887.6250000000018</v>
      </c>
      <c r="J34" s="29">
        <f t="shared" si="7"/>
        <v>88988.625000000015</v>
      </c>
      <c r="K34" s="41">
        <f t="shared" si="8"/>
        <v>14831.4375</v>
      </c>
    </row>
    <row r="35" spans="2:11">
      <c r="B35" s="26" t="s">
        <v>3533</v>
      </c>
      <c r="C35" s="26" t="s">
        <v>3534</v>
      </c>
      <c r="D35" s="26" t="s">
        <v>4250</v>
      </c>
      <c r="E35" s="29">
        <v>1530</v>
      </c>
      <c r="F35" s="42">
        <f>F21</f>
        <v>81.17</v>
      </c>
      <c r="G35" s="29">
        <f t="shared" si="4"/>
        <v>124190.1</v>
      </c>
      <c r="H35" s="29">
        <f t="shared" si="5"/>
        <v>105561.58500000001</v>
      </c>
      <c r="I35" s="29">
        <f t="shared" si="6"/>
        <v>12419.010000000002</v>
      </c>
      <c r="J35" s="29">
        <f t="shared" si="7"/>
        <v>111771.09000000001</v>
      </c>
      <c r="K35" s="41">
        <f t="shared" si="8"/>
        <v>18628.514999999999</v>
      </c>
    </row>
    <row r="36" spans="2:11" ht="14.25" customHeight="1">
      <c r="B36" s="26"/>
      <c r="C36" s="26"/>
      <c r="D36" s="26" t="s">
        <v>3554</v>
      </c>
      <c r="E36" s="29">
        <f>1530*1.1</f>
        <v>1683.0000000000002</v>
      </c>
      <c r="F36" s="42">
        <f>F22</f>
        <v>58.75</v>
      </c>
      <c r="G36" s="29">
        <f t="shared" si="4"/>
        <v>98876.250000000015</v>
      </c>
      <c r="H36" s="29">
        <f t="shared" si="5"/>
        <v>84044.812500000015</v>
      </c>
      <c r="I36" s="29">
        <f t="shared" si="6"/>
        <v>9887.6250000000018</v>
      </c>
      <c r="J36" s="29">
        <f t="shared" si="7"/>
        <v>88988.625000000015</v>
      </c>
      <c r="K36" s="41">
        <f t="shared" si="8"/>
        <v>14831.4375</v>
      </c>
    </row>
    <row r="37" spans="2:11">
      <c r="B37" s="27"/>
      <c r="C37" s="27" t="s">
        <v>20</v>
      </c>
      <c r="D37" s="27"/>
      <c r="E37" s="30"/>
      <c r="F37" s="30"/>
      <c r="G37" s="30">
        <f>SUM(G29:G36)</f>
        <v>892265.4</v>
      </c>
      <c r="H37" s="30">
        <f>SUM(H29:H36)</f>
        <v>758425.59000000008</v>
      </c>
      <c r="I37" s="30">
        <f>SUM(I29:I36)</f>
        <v>89226.540000000008</v>
      </c>
      <c r="J37" s="30">
        <f>SUM(J29:J36)</f>
        <v>803038.8600000001</v>
      </c>
      <c r="K37" s="30">
        <f>SUM(K29:K36)</f>
        <v>133839.81</v>
      </c>
    </row>
    <row r="40" spans="2:11">
      <c r="C40" s="57" t="s">
        <v>23</v>
      </c>
      <c r="D40" s="57"/>
      <c r="E40" s="57"/>
      <c r="F40" s="57"/>
      <c r="G40" s="57"/>
      <c r="H40" s="1408" t="s">
        <v>24</v>
      </c>
      <c r="I40" s="57"/>
    </row>
    <row r="41" spans="2:11">
      <c r="C41" s="57"/>
      <c r="D41" s="57"/>
      <c r="E41" s="57"/>
      <c r="F41" s="57"/>
      <c r="G41" s="57"/>
      <c r="H41" s="3797"/>
      <c r="I41" s="57"/>
    </row>
    <row r="42" spans="2:11">
      <c r="C42" s="57"/>
      <c r="D42" s="57"/>
      <c r="E42" s="57"/>
      <c r="F42" s="57"/>
      <c r="G42" s="57"/>
      <c r="H42" s="1408"/>
      <c r="I42" s="57"/>
    </row>
    <row r="43" spans="2:11">
      <c r="C43" s="57"/>
      <c r="D43" s="57"/>
      <c r="E43" s="57"/>
      <c r="F43" s="57"/>
      <c r="G43" s="57"/>
      <c r="H43" s="3797"/>
      <c r="I43" s="57"/>
    </row>
    <row r="44" spans="2:11">
      <c r="C44" s="57" t="s">
        <v>25</v>
      </c>
      <c r="D44" s="57"/>
      <c r="E44" s="57"/>
      <c r="F44" s="57"/>
      <c r="G44" s="57"/>
      <c r="H44" s="1408" t="s">
        <v>26</v>
      </c>
      <c r="I44" s="57"/>
    </row>
    <row r="45" spans="2:11">
      <c r="C45" s="57"/>
      <c r="D45" s="57"/>
      <c r="E45" s="57"/>
      <c r="F45" s="57"/>
      <c r="G45" s="57"/>
      <c r="H45" s="3797"/>
      <c r="I45" s="57"/>
    </row>
    <row r="46" spans="2:11">
      <c r="C46" s="57" t="s">
        <v>27</v>
      </c>
      <c r="D46" s="57"/>
      <c r="E46" s="57"/>
      <c r="F46" s="57"/>
      <c r="G46" s="57"/>
      <c r="H46" s="1408" t="s">
        <v>28</v>
      </c>
      <c r="I46" s="57"/>
    </row>
    <row r="47" spans="2:11">
      <c r="C47" s="2"/>
      <c r="D47" s="2"/>
      <c r="E47" s="2"/>
      <c r="F47" s="2"/>
      <c r="G47" s="2"/>
      <c r="H47" s="2"/>
      <c r="I47" s="2"/>
    </row>
  </sheetData>
  <mergeCells count="2">
    <mergeCell ref="B3:I3"/>
    <mergeCell ref="B25:I25"/>
  </mergeCells>
  <phoneticPr fontId="40" type="noConversion"/>
  <pageMargins left="0.74803149606299213" right="0.74803149606299213" top="0.98425196850393704" bottom="0.98425196850393704" header="0.51181102362204722" footer="0.51181102362204722"/>
  <pageSetup paperSize="9" scale="70" orientation="portrait" verticalDpi="0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Лист36">
    <tabColor theme="0"/>
  </sheetPr>
  <dimension ref="B1:K22"/>
  <sheetViews>
    <sheetView workbookViewId="0">
      <selection activeCell="B1" sqref="B1:K12"/>
    </sheetView>
  </sheetViews>
  <sheetFormatPr defaultRowHeight="15"/>
  <cols>
    <col min="2" max="2" width="5.85546875" customWidth="1"/>
    <col min="3" max="3" width="12.28515625" customWidth="1"/>
    <col min="5" max="6" width="9.28515625" bestFit="1" customWidth="1"/>
    <col min="7" max="7" width="11.5703125" customWidth="1"/>
    <col min="8" max="8" width="9.28515625" bestFit="1" customWidth="1"/>
    <col min="9" max="9" width="10.140625" bestFit="1" customWidth="1"/>
    <col min="10" max="10" width="11.42578125" bestFit="1" customWidth="1"/>
    <col min="11" max="11" width="13.42578125" customWidth="1"/>
  </cols>
  <sheetData>
    <row r="1" spans="2:11" ht="26.25" customHeight="1">
      <c r="B1" s="4346" t="s">
        <v>4253</v>
      </c>
      <c r="C1" s="4346"/>
      <c r="D1" s="4346"/>
      <c r="E1" s="4346"/>
      <c r="F1" s="4346"/>
      <c r="G1" s="4346"/>
      <c r="H1" s="4346"/>
      <c r="I1" s="4346"/>
      <c r="J1" s="37"/>
    </row>
    <row r="2" spans="2:11" ht="26.25" customHeight="1">
      <c r="B2" s="32"/>
      <c r="C2" s="32"/>
      <c r="D2" s="32"/>
      <c r="E2" s="44">
        <v>1.08</v>
      </c>
      <c r="F2" s="32"/>
      <c r="G2" s="32"/>
      <c r="H2" s="32"/>
      <c r="I2" s="35" t="s">
        <v>254</v>
      </c>
      <c r="J2" s="37"/>
    </row>
    <row r="3" spans="2:11" ht="41.25" customHeight="1">
      <c r="B3" s="31" t="s">
        <v>1070</v>
      </c>
      <c r="C3" s="31" t="s">
        <v>1071</v>
      </c>
      <c r="D3" s="31" t="s">
        <v>4254</v>
      </c>
      <c r="E3" s="31" t="s">
        <v>4255</v>
      </c>
      <c r="F3" s="31" t="s">
        <v>3623</v>
      </c>
      <c r="G3" s="31" t="s">
        <v>20</v>
      </c>
      <c r="H3" s="31" t="s">
        <v>4249</v>
      </c>
      <c r="I3" s="31" t="s">
        <v>7</v>
      </c>
      <c r="J3" s="31" t="s">
        <v>8</v>
      </c>
    </row>
    <row r="4" spans="2:11" ht="51.75" customHeight="1">
      <c r="B4" s="28">
        <v>1</v>
      </c>
      <c r="C4" s="28" t="s">
        <v>156</v>
      </c>
      <c r="D4" s="28">
        <v>4</v>
      </c>
      <c r="E4" s="33">
        <f>42061.32*E2</f>
        <v>45426.225600000005</v>
      </c>
      <c r="F4" s="33">
        <v>8</v>
      </c>
      <c r="G4" s="33">
        <f>(D4*E4*F4)</f>
        <v>1453639.2192000002</v>
      </c>
      <c r="H4" s="33">
        <f>SUM(G4)*25%</f>
        <v>363409.80480000004</v>
      </c>
      <c r="I4" s="33">
        <f>SUM(H4)*8%</f>
        <v>29072.784384000002</v>
      </c>
      <c r="J4" s="33">
        <f>SUM(H4)*92%</f>
        <v>334337.02041600004</v>
      </c>
    </row>
    <row r="5" spans="2:11">
      <c r="B5" s="31"/>
      <c r="C5" s="31" t="s">
        <v>3445</v>
      </c>
      <c r="D5" s="31"/>
      <c r="E5" s="34"/>
      <c r="F5" s="34"/>
      <c r="G5" s="34">
        <f>SUM(G4)</f>
        <v>1453639.2192000002</v>
      </c>
      <c r="H5" s="34">
        <f>SUM(H4)</f>
        <v>363409.80480000004</v>
      </c>
      <c r="I5" s="34">
        <f>SUM(I4)</f>
        <v>29072.784384000002</v>
      </c>
      <c r="J5" s="34">
        <f>SUM(J4)</f>
        <v>334337.02041600004</v>
      </c>
    </row>
    <row r="6" spans="2:11">
      <c r="B6" s="37"/>
      <c r="C6" s="37"/>
      <c r="D6" s="37"/>
      <c r="E6" s="37"/>
      <c r="F6" s="37"/>
      <c r="G6" s="37"/>
      <c r="H6" s="37"/>
      <c r="I6" s="37"/>
      <c r="J6" s="37"/>
    </row>
    <row r="8" spans="2:11">
      <c r="B8" s="4346" t="s">
        <v>4256</v>
      </c>
      <c r="C8" s="4346"/>
      <c r="D8" s="4346"/>
      <c r="E8" s="4346"/>
      <c r="F8" s="4346"/>
      <c r="G8" s="4346"/>
      <c r="H8" s="4346"/>
      <c r="I8" s="4346"/>
    </row>
    <row r="9" spans="2:11">
      <c r="B9" s="32"/>
      <c r="C9" s="32"/>
      <c r="D9" s="32"/>
      <c r="E9" s="44">
        <v>1.08</v>
      </c>
      <c r="F9" s="32"/>
      <c r="G9" s="32"/>
      <c r="H9" s="32"/>
      <c r="I9" s="35" t="s">
        <v>254</v>
      </c>
    </row>
    <row r="10" spans="2:11" ht="57.75">
      <c r="B10" s="31" t="s">
        <v>1070</v>
      </c>
      <c r="C10" s="31" t="s">
        <v>1071</v>
      </c>
      <c r="D10" s="31" t="s">
        <v>4254</v>
      </c>
      <c r="E10" s="31" t="s">
        <v>4255</v>
      </c>
      <c r="F10" s="31" t="s">
        <v>3623</v>
      </c>
      <c r="G10" s="31" t="s">
        <v>20</v>
      </c>
      <c r="H10" s="31" t="s">
        <v>4252</v>
      </c>
      <c r="I10" s="31" t="s">
        <v>7</v>
      </c>
      <c r="J10" s="31" t="s">
        <v>8</v>
      </c>
      <c r="K10" s="31" t="s">
        <v>22</v>
      </c>
    </row>
    <row r="11" spans="2:11" ht="45">
      <c r="B11" s="28">
        <v>1</v>
      </c>
      <c r="C11" s="28" t="s">
        <v>156</v>
      </c>
      <c r="D11" s="28">
        <v>4</v>
      </c>
      <c r="E11" s="33">
        <f>47584*E9</f>
        <v>51390.720000000001</v>
      </c>
      <c r="F11" s="33">
        <v>4</v>
      </c>
      <c r="G11" s="33">
        <f>(D11*E11*F11)</f>
        <v>822251.52000000002</v>
      </c>
      <c r="H11" s="33">
        <f>G11*85%</f>
        <v>698913.79200000002</v>
      </c>
      <c r="I11" s="33">
        <v>169658.28355631858</v>
      </c>
      <c r="J11" s="33">
        <f>G12-I11</f>
        <v>652593.23644368141</v>
      </c>
      <c r="K11" s="33">
        <f>G11-H11</f>
        <v>123337.728</v>
      </c>
    </row>
    <row r="12" spans="2:11">
      <c r="B12" s="31"/>
      <c r="C12" s="31" t="s">
        <v>3445</v>
      </c>
      <c r="D12" s="31"/>
      <c r="E12" s="34"/>
      <c r="F12" s="34"/>
      <c r="G12" s="34">
        <f>SUM(G11)</f>
        <v>822251.52000000002</v>
      </c>
      <c r="H12" s="34">
        <f>SUM(H11)</f>
        <v>698913.79200000002</v>
      </c>
      <c r="I12" s="34">
        <f>SUM(I11)</f>
        <v>169658.28355631858</v>
      </c>
      <c r="J12" s="34">
        <f>SUM(J11)</f>
        <v>652593.23644368141</v>
      </c>
      <c r="K12" s="34">
        <f>SUM(K11)</f>
        <v>123337.728</v>
      </c>
    </row>
    <row r="14" spans="2:11">
      <c r="I14" t="s">
        <v>20</v>
      </c>
      <c r="J14" s="48"/>
    </row>
    <row r="15" spans="2:11">
      <c r="J15" s="48"/>
    </row>
    <row r="16" spans="2:11">
      <c r="J16" s="48"/>
    </row>
    <row r="17" spans="3:9">
      <c r="C17" s="22" t="s">
        <v>23</v>
      </c>
      <c r="D17" s="22"/>
      <c r="E17" s="22"/>
      <c r="F17" s="22"/>
      <c r="G17" s="22"/>
      <c r="H17" s="23" t="s">
        <v>24</v>
      </c>
      <c r="I17" s="25"/>
    </row>
    <row r="18" spans="3:9">
      <c r="C18" s="22"/>
      <c r="D18" s="22"/>
      <c r="E18" s="22"/>
      <c r="F18" s="22"/>
      <c r="G18" s="22"/>
      <c r="H18" s="24"/>
      <c r="I18" s="25"/>
    </row>
    <row r="19" spans="3:9">
      <c r="C19" s="22"/>
      <c r="D19" s="22"/>
      <c r="E19" s="22"/>
      <c r="F19" s="22"/>
      <c r="G19" s="22"/>
      <c r="H19" s="24"/>
      <c r="I19" s="25"/>
    </row>
    <row r="20" spans="3:9">
      <c r="C20" s="22" t="s">
        <v>25</v>
      </c>
      <c r="D20" s="22"/>
      <c r="E20" s="22"/>
      <c r="F20" s="22"/>
      <c r="G20" s="22"/>
      <c r="H20" s="23" t="s">
        <v>26</v>
      </c>
      <c r="I20" s="25"/>
    </row>
    <row r="21" spans="3:9">
      <c r="C21" s="22"/>
      <c r="D21" s="22"/>
      <c r="E21" s="22"/>
      <c r="F21" s="22"/>
      <c r="G21" s="22"/>
      <c r="H21" s="24"/>
      <c r="I21" s="25"/>
    </row>
    <row r="22" spans="3:9">
      <c r="C22" s="22" t="s">
        <v>27</v>
      </c>
      <c r="D22" s="22"/>
      <c r="E22" s="22"/>
      <c r="F22" s="22"/>
      <c r="G22" s="22"/>
      <c r="H22" s="23" t="s">
        <v>28</v>
      </c>
      <c r="I22" s="25"/>
    </row>
  </sheetData>
  <mergeCells count="2">
    <mergeCell ref="B1:I1"/>
    <mergeCell ref="B8:I8"/>
  </mergeCells>
  <phoneticPr fontId="40" type="noConversion"/>
  <pageMargins left="0.74803149606299213" right="0.74803149606299213" top="0.98425196850393704" bottom="0.98425196850393704" header="0.51181102362204722" footer="0.51181102362204722"/>
  <pageSetup paperSize="9" scale="70" orientation="portrait" verticalDpi="0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Лист37">
    <tabColor rgb="FFC00000"/>
    <pageSetUpPr fitToPage="1"/>
  </sheetPr>
  <dimension ref="A1:V25"/>
  <sheetViews>
    <sheetView zoomScale="82" zoomScaleNormal="82" workbookViewId="0">
      <selection activeCell="B19" sqref="B19:J23"/>
    </sheetView>
  </sheetViews>
  <sheetFormatPr defaultColWidth="8.85546875" defaultRowHeight="12.75"/>
  <cols>
    <col min="1" max="1" width="6.5703125" style="6" customWidth="1"/>
    <col min="2" max="2" width="21.42578125" style="5" customWidth="1"/>
    <col min="3" max="3" width="15" style="6" customWidth="1"/>
    <col min="4" max="4" width="9.7109375" style="6" customWidth="1"/>
    <col min="5" max="5" width="8.7109375" style="6" customWidth="1"/>
    <col min="6" max="6" width="10.42578125" style="6" customWidth="1"/>
    <col min="7" max="7" width="11.42578125" style="6" customWidth="1"/>
    <col min="8" max="8" width="15.140625" style="6" customWidth="1"/>
    <col min="9" max="9" width="10.5703125" style="6" customWidth="1"/>
    <col min="10" max="10" width="12.7109375" style="6" customWidth="1"/>
    <col min="11" max="11" width="13.5703125" style="6" customWidth="1"/>
    <col min="12" max="12" width="12.7109375" style="6" customWidth="1"/>
    <col min="13" max="13" width="12.42578125" style="6" customWidth="1"/>
    <col min="14" max="14" width="17.140625" style="6" customWidth="1"/>
    <col min="15" max="15" width="11.140625" style="6" customWidth="1"/>
    <col min="16" max="16" width="7.7109375" style="6" hidden="1" customWidth="1"/>
    <col min="17" max="17" width="11.140625" style="6" hidden="1" customWidth="1"/>
    <col min="18" max="18" width="6.140625" style="6" hidden="1" customWidth="1"/>
    <col min="19" max="19" width="9.7109375" style="6" hidden="1" customWidth="1"/>
    <col min="20" max="20" width="12.5703125" style="6" customWidth="1"/>
    <col min="21" max="21" width="12.7109375" style="6" customWidth="1"/>
    <col min="22" max="16384" width="8.85546875" style="6"/>
  </cols>
  <sheetData>
    <row r="1" spans="1:22" s="3" customFormat="1" ht="14.25" customHeight="1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 s="5" customFormat="1" ht="14.25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15.75" customHeight="1">
      <c r="A3" s="4349" t="s">
        <v>4257</v>
      </c>
      <c r="B3" s="4349"/>
      <c r="C3" s="4349"/>
      <c r="D3" s="4349"/>
      <c r="E3" s="4349"/>
      <c r="F3" s="4349"/>
      <c r="G3" s="4349"/>
      <c r="H3" s="4349"/>
      <c r="I3" s="4349"/>
      <c r="J3" s="4349"/>
      <c r="K3" s="4349"/>
      <c r="L3" s="4349"/>
      <c r="M3" s="4349"/>
      <c r="N3" s="4349"/>
      <c r="O3" s="4349"/>
      <c r="P3" s="50"/>
      <c r="Q3" s="50"/>
      <c r="R3" s="50"/>
      <c r="S3" s="11"/>
      <c r="T3" s="14"/>
      <c r="U3" s="50"/>
      <c r="V3" s="50"/>
    </row>
    <row r="4" spans="1:22" ht="15.75">
      <c r="A4" s="14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4"/>
      <c r="U4" s="11"/>
      <c r="V4" s="11"/>
    </row>
    <row r="5" spans="1:22" s="4" customFormat="1" ht="33.75" customHeight="1">
      <c r="A5" s="4347" t="s">
        <v>1070</v>
      </c>
      <c r="B5" s="4347" t="s">
        <v>4258</v>
      </c>
      <c r="C5" s="4347" t="s">
        <v>4191</v>
      </c>
      <c r="D5" s="4347" t="s">
        <v>4192</v>
      </c>
      <c r="E5" s="4347" t="s">
        <v>4203</v>
      </c>
      <c r="F5" s="4347" t="s">
        <v>4055</v>
      </c>
      <c r="G5" s="4347" t="s">
        <v>4259</v>
      </c>
      <c r="H5" s="4347"/>
      <c r="I5" s="4347" t="s">
        <v>4260</v>
      </c>
      <c r="J5" s="4347"/>
      <c r="K5" s="4347"/>
      <c r="L5" s="4347" t="s">
        <v>4206</v>
      </c>
      <c r="M5" s="4347" t="s">
        <v>4261</v>
      </c>
      <c r="N5" s="4236" t="s">
        <v>3436</v>
      </c>
      <c r="O5" s="4236"/>
      <c r="U5" s="326"/>
    </row>
    <row r="6" spans="1:22" s="4" customFormat="1" ht="47.25" customHeight="1">
      <c r="A6" s="4347"/>
      <c r="B6" s="4347"/>
      <c r="C6" s="4347"/>
      <c r="D6" s="4347"/>
      <c r="E6" s="4347"/>
      <c r="F6" s="4347"/>
      <c r="G6" s="13" t="s">
        <v>4262</v>
      </c>
      <c r="H6" s="13" t="s">
        <v>320</v>
      </c>
      <c r="I6" s="13" t="s">
        <v>4262</v>
      </c>
      <c r="J6" s="13" t="s">
        <v>4263</v>
      </c>
      <c r="K6" s="13" t="s">
        <v>4264</v>
      </c>
      <c r="L6" s="4347"/>
      <c r="M6" s="4347"/>
      <c r="N6" s="324" t="s">
        <v>4265</v>
      </c>
      <c r="O6" s="324" t="s">
        <v>4266</v>
      </c>
      <c r="U6" s="326"/>
    </row>
    <row r="7" spans="1:22" ht="35.25" customHeight="1">
      <c r="A7" s="8">
        <v>1</v>
      </c>
      <c r="B7" s="8" t="s">
        <v>4267</v>
      </c>
      <c r="C7" s="8" t="s">
        <v>4268</v>
      </c>
      <c r="D7" s="8">
        <v>12</v>
      </c>
      <c r="E7" s="8">
        <v>5</v>
      </c>
      <c r="F7" s="8">
        <v>1731</v>
      </c>
      <c r="G7" s="8">
        <v>2</v>
      </c>
      <c r="H7" s="8">
        <f>F7*G7*E7*D7</f>
        <v>207720</v>
      </c>
      <c r="I7" s="8">
        <v>7</v>
      </c>
      <c r="J7" s="8">
        <v>1</v>
      </c>
      <c r="K7" s="8">
        <f>F7*I7*J7*D7</f>
        <v>145404</v>
      </c>
      <c r="L7" s="8">
        <f>10000*D7</f>
        <v>120000</v>
      </c>
      <c r="M7" s="8">
        <f>H7+K7+L7</f>
        <v>473124</v>
      </c>
      <c r="N7" s="18">
        <f t="shared" ref="N7:N15" si="0">SUM(M7)</f>
        <v>473124</v>
      </c>
      <c r="O7" s="8"/>
      <c r="U7" s="14"/>
    </row>
    <row r="8" spans="1:22" ht="35.25" customHeight="1">
      <c r="A8" s="8">
        <v>2</v>
      </c>
      <c r="B8" s="8" t="s">
        <v>4269</v>
      </c>
      <c r="C8" s="8" t="s">
        <v>4268</v>
      </c>
      <c r="D8" s="8">
        <v>12</v>
      </c>
      <c r="E8" s="8">
        <v>5</v>
      </c>
      <c r="F8" s="8">
        <v>1731</v>
      </c>
      <c r="G8" s="8">
        <v>2</v>
      </c>
      <c r="H8" s="8">
        <f t="shared" ref="H8:H15" si="1">F8*G8*E8*D8</f>
        <v>207720</v>
      </c>
      <c r="I8" s="8">
        <v>7</v>
      </c>
      <c r="J8" s="8">
        <v>1</v>
      </c>
      <c r="K8" s="8">
        <f t="shared" ref="K8:K14" si="2">F8*I8*J8*D8</f>
        <v>145404</v>
      </c>
      <c r="L8" s="8">
        <f t="shared" ref="L8:L14" si="3">10000*D8</f>
        <v>120000</v>
      </c>
      <c r="M8" s="8">
        <f t="shared" ref="M8:M15" si="4">H8+K8+L8</f>
        <v>473124</v>
      </c>
      <c r="N8" s="18">
        <f t="shared" si="0"/>
        <v>473124</v>
      </c>
      <c r="O8" s="8"/>
      <c r="U8" s="14"/>
    </row>
    <row r="9" spans="1:22" ht="59.25" customHeight="1">
      <c r="A9" s="8">
        <v>3</v>
      </c>
      <c r="B9" s="8" t="s">
        <v>4270</v>
      </c>
      <c r="C9" s="8" t="s">
        <v>4268</v>
      </c>
      <c r="D9" s="8">
        <v>12</v>
      </c>
      <c r="E9" s="8">
        <v>5</v>
      </c>
      <c r="F9" s="8">
        <v>1731</v>
      </c>
      <c r="G9" s="8">
        <v>2</v>
      </c>
      <c r="H9" s="8">
        <f t="shared" si="1"/>
        <v>207720</v>
      </c>
      <c r="I9" s="8">
        <v>7</v>
      </c>
      <c r="J9" s="8">
        <v>2</v>
      </c>
      <c r="K9" s="8">
        <f t="shared" si="2"/>
        <v>290808</v>
      </c>
      <c r="L9" s="8">
        <f t="shared" si="3"/>
        <v>120000</v>
      </c>
      <c r="M9" s="8">
        <f t="shared" si="4"/>
        <v>618528</v>
      </c>
      <c r="N9" s="18">
        <f t="shared" si="0"/>
        <v>618528</v>
      </c>
      <c r="O9" s="8"/>
      <c r="U9" s="14"/>
    </row>
    <row r="10" spans="1:22" ht="35.25" customHeight="1">
      <c r="A10" s="8">
        <v>4</v>
      </c>
      <c r="B10" s="8" t="s">
        <v>4271</v>
      </c>
      <c r="C10" s="8" t="s">
        <v>4268</v>
      </c>
      <c r="D10" s="8">
        <v>12</v>
      </c>
      <c r="E10" s="8">
        <v>20</v>
      </c>
      <c r="F10" s="8">
        <v>1731</v>
      </c>
      <c r="G10" s="8">
        <v>2</v>
      </c>
      <c r="H10" s="8">
        <f t="shared" si="1"/>
        <v>830880</v>
      </c>
      <c r="I10" s="8">
        <v>7</v>
      </c>
      <c r="J10" s="8">
        <v>12</v>
      </c>
      <c r="K10" s="8">
        <f t="shared" si="2"/>
        <v>1744848</v>
      </c>
      <c r="L10" s="8">
        <f t="shared" si="3"/>
        <v>120000</v>
      </c>
      <c r="M10" s="8">
        <f t="shared" si="4"/>
        <v>2695728</v>
      </c>
      <c r="N10" s="18">
        <f t="shared" si="0"/>
        <v>2695728</v>
      </c>
      <c r="O10" s="8"/>
      <c r="U10" s="14"/>
    </row>
    <row r="11" spans="1:22" ht="71.25" customHeight="1">
      <c r="A11" s="8">
        <v>5</v>
      </c>
      <c r="B11" s="8" t="s">
        <v>4272</v>
      </c>
      <c r="C11" s="8" t="s">
        <v>4268</v>
      </c>
      <c r="D11" s="8">
        <v>12</v>
      </c>
      <c r="E11" s="8">
        <v>6</v>
      </c>
      <c r="F11" s="8">
        <v>1731</v>
      </c>
      <c r="G11" s="8">
        <v>2</v>
      </c>
      <c r="H11" s="8">
        <f t="shared" si="1"/>
        <v>249264</v>
      </c>
      <c r="I11" s="8">
        <v>7</v>
      </c>
      <c r="J11" s="8">
        <v>3</v>
      </c>
      <c r="K11" s="8">
        <f t="shared" si="2"/>
        <v>436212</v>
      </c>
      <c r="L11" s="8">
        <f t="shared" si="3"/>
        <v>120000</v>
      </c>
      <c r="M11" s="8">
        <f t="shared" si="4"/>
        <v>805476</v>
      </c>
      <c r="N11" s="18">
        <f t="shared" si="0"/>
        <v>805476</v>
      </c>
      <c r="O11" s="8"/>
      <c r="U11" s="14"/>
    </row>
    <row r="12" spans="1:22" ht="42" customHeight="1">
      <c r="A12" s="8">
        <v>6</v>
      </c>
      <c r="B12" s="17" t="s">
        <v>4273</v>
      </c>
      <c r="C12" s="8" t="s">
        <v>4268</v>
      </c>
      <c r="D12" s="8">
        <v>12</v>
      </c>
      <c r="E12" s="8">
        <v>8</v>
      </c>
      <c r="F12" s="8">
        <v>1731</v>
      </c>
      <c r="G12" s="8">
        <v>2</v>
      </c>
      <c r="H12" s="8">
        <f>F12*G12*E12*D12</f>
        <v>332352</v>
      </c>
      <c r="I12" s="8">
        <v>7</v>
      </c>
      <c r="J12" s="8">
        <v>2</v>
      </c>
      <c r="K12" s="8">
        <f t="shared" si="2"/>
        <v>290808</v>
      </c>
      <c r="L12" s="8">
        <f t="shared" si="3"/>
        <v>120000</v>
      </c>
      <c r="M12" s="8">
        <f>H12+K12+L12</f>
        <v>743160</v>
      </c>
      <c r="N12" s="18">
        <f t="shared" si="0"/>
        <v>743160</v>
      </c>
      <c r="O12" s="8"/>
      <c r="U12" s="14"/>
    </row>
    <row r="13" spans="1:22" ht="70.5" customHeight="1">
      <c r="A13" s="8">
        <v>7</v>
      </c>
      <c r="B13" s="17" t="s">
        <v>4274</v>
      </c>
      <c r="C13" s="8" t="s">
        <v>4268</v>
      </c>
      <c r="D13" s="8">
        <v>11</v>
      </c>
      <c r="E13" s="8">
        <v>8</v>
      </c>
      <c r="F13" s="8">
        <v>1731</v>
      </c>
      <c r="G13" s="8">
        <v>2</v>
      </c>
      <c r="H13" s="8">
        <f t="shared" si="1"/>
        <v>304656</v>
      </c>
      <c r="I13" s="8">
        <v>7</v>
      </c>
      <c r="J13" s="8">
        <v>2</v>
      </c>
      <c r="K13" s="8">
        <f t="shared" si="2"/>
        <v>266574</v>
      </c>
      <c r="L13" s="8">
        <f t="shared" si="3"/>
        <v>110000</v>
      </c>
      <c r="M13" s="8">
        <f t="shared" si="4"/>
        <v>681230</v>
      </c>
      <c r="N13" s="18">
        <f t="shared" si="0"/>
        <v>681230</v>
      </c>
      <c r="O13" s="8"/>
      <c r="U13" s="14"/>
    </row>
    <row r="14" spans="1:22" ht="41.25" customHeight="1">
      <c r="A14" s="8">
        <v>8</v>
      </c>
      <c r="B14" s="17" t="s">
        <v>4275</v>
      </c>
      <c r="C14" s="8" t="s">
        <v>4268</v>
      </c>
      <c r="D14" s="8">
        <v>11</v>
      </c>
      <c r="E14" s="8">
        <v>8</v>
      </c>
      <c r="F14" s="8">
        <v>1731</v>
      </c>
      <c r="G14" s="8">
        <v>2</v>
      </c>
      <c r="H14" s="8">
        <f t="shared" si="1"/>
        <v>304656</v>
      </c>
      <c r="I14" s="8">
        <v>7</v>
      </c>
      <c r="J14" s="8">
        <v>2</v>
      </c>
      <c r="K14" s="8">
        <f t="shared" si="2"/>
        <v>266574</v>
      </c>
      <c r="L14" s="8">
        <f t="shared" si="3"/>
        <v>110000</v>
      </c>
      <c r="M14" s="8">
        <f t="shared" si="4"/>
        <v>681230</v>
      </c>
      <c r="N14" s="18">
        <f t="shared" si="0"/>
        <v>681230</v>
      </c>
      <c r="O14" s="8"/>
      <c r="U14" s="14"/>
    </row>
    <row r="15" spans="1:22" ht="61.5" customHeight="1">
      <c r="A15" s="8">
        <v>9</v>
      </c>
      <c r="B15" s="17" t="s">
        <v>4276</v>
      </c>
      <c r="C15" s="8" t="s">
        <v>4277</v>
      </c>
      <c r="D15" s="8">
        <v>5</v>
      </c>
      <c r="E15" s="8">
        <v>2</v>
      </c>
      <c r="F15" s="8">
        <v>1731</v>
      </c>
      <c r="G15" s="8">
        <v>2</v>
      </c>
      <c r="H15" s="8">
        <f t="shared" si="1"/>
        <v>34620</v>
      </c>
      <c r="I15" s="8"/>
      <c r="J15" s="8"/>
      <c r="K15" s="8"/>
      <c r="L15" s="8"/>
      <c r="M15" s="8">
        <f t="shared" si="4"/>
        <v>34620</v>
      </c>
      <c r="N15" s="18">
        <f t="shared" si="0"/>
        <v>34620</v>
      </c>
      <c r="O15" s="8"/>
      <c r="U15" s="14"/>
    </row>
    <row r="16" spans="1:22" ht="15.7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>
        <f t="shared" ref="M16:S16" si="5">SUM(M7:M15)</f>
        <v>7206220</v>
      </c>
      <c r="N16" s="8">
        <f t="shared" si="5"/>
        <v>7206220</v>
      </c>
      <c r="O16" s="8">
        <f t="shared" si="5"/>
        <v>0</v>
      </c>
      <c r="P16" s="8">
        <f t="shared" si="5"/>
        <v>0</v>
      </c>
      <c r="Q16" s="8">
        <f t="shared" si="5"/>
        <v>0</v>
      </c>
      <c r="R16" s="8">
        <f t="shared" si="5"/>
        <v>0</v>
      </c>
      <c r="S16" s="8">
        <f t="shared" si="5"/>
        <v>0</v>
      </c>
      <c r="T16" s="14"/>
      <c r="U16" s="14"/>
      <c r="V16" s="14"/>
    </row>
    <row r="17" spans="1:22" s="7" customFormat="1" ht="75.75" customHeight="1">
      <c r="A17" s="4348" t="s">
        <v>4278</v>
      </c>
      <c r="B17" s="4348"/>
      <c r="C17" s="4348"/>
      <c r="D17" s="4348"/>
      <c r="E17" s="4348"/>
      <c r="F17" s="4348"/>
      <c r="G17" s="4348"/>
      <c r="H17" s="4348"/>
      <c r="I17" s="4348"/>
      <c r="J17" s="4348"/>
      <c r="K17" s="4348"/>
      <c r="L17" s="4348"/>
      <c r="M17" s="4348"/>
      <c r="N17" s="4348"/>
      <c r="O17" s="4348"/>
      <c r="P17" s="4348"/>
      <c r="Q17" s="4348"/>
      <c r="R17" s="4348"/>
      <c r="S17" s="4348"/>
      <c r="T17" s="4348"/>
      <c r="U17" s="14"/>
      <c r="V17" s="12"/>
    </row>
    <row r="18" spans="1:22" s="7" customFormat="1" ht="75.75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2"/>
    </row>
    <row r="19" spans="1:22" ht="15.75">
      <c r="A19" s="14"/>
      <c r="B19" s="49" t="s">
        <v>23</v>
      </c>
      <c r="C19" s="49"/>
      <c r="D19" s="49"/>
      <c r="E19" s="49"/>
      <c r="F19" s="49"/>
      <c r="G19" s="45"/>
      <c r="H19" s="45"/>
      <c r="I19" s="51" t="s">
        <v>24</v>
      </c>
      <c r="J19" s="52"/>
      <c r="K19" s="50"/>
      <c r="L19" s="12"/>
      <c r="M19" s="12"/>
      <c r="N19" s="12"/>
      <c r="O19" s="12"/>
      <c r="P19" s="12"/>
      <c r="Q19" s="12"/>
      <c r="R19" s="12"/>
      <c r="S19" s="12"/>
      <c r="T19" s="14"/>
    </row>
    <row r="20" spans="1:22" ht="15.75">
      <c r="A20" s="14"/>
      <c r="B20" s="49"/>
      <c r="C20" s="49"/>
      <c r="D20" s="49"/>
      <c r="E20" s="49"/>
      <c r="F20" s="49"/>
      <c r="G20" s="45"/>
      <c r="H20" s="45"/>
      <c r="I20" s="51"/>
      <c r="J20" s="52"/>
      <c r="K20" s="50"/>
      <c r="L20" s="12"/>
      <c r="M20" s="12"/>
      <c r="N20" s="12"/>
      <c r="O20" s="12"/>
      <c r="P20" s="12"/>
      <c r="Q20" s="12"/>
      <c r="R20" s="12"/>
      <c r="S20" s="12"/>
      <c r="T20" s="14"/>
    </row>
    <row r="21" spans="1:22" s="14" customFormat="1" ht="15.75">
      <c r="A21" s="2"/>
      <c r="B21" s="49" t="s">
        <v>25</v>
      </c>
      <c r="C21" s="49"/>
      <c r="D21" s="49"/>
      <c r="E21" s="49"/>
      <c r="F21" s="49"/>
      <c r="G21" s="45"/>
      <c r="H21" s="45"/>
      <c r="I21" s="51" t="s">
        <v>26</v>
      </c>
      <c r="J21" s="52"/>
      <c r="K21" s="47"/>
      <c r="L21" s="2"/>
      <c r="M21" s="3820"/>
    </row>
    <row r="22" spans="1:22" s="14" customFormat="1" ht="15.75">
      <c r="A22" s="2"/>
      <c r="B22" s="49"/>
      <c r="C22" s="49"/>
      <c r="D22" s="49"/>
      <c r="E22" s="49"/>
      <c r="F22" s="49"/>
      <c r="G22" s="45"/>
      <c r="H22" s="45"/>
      <c r="I22" s="39"/>
      <c r="J22" s="52"/>
      <c r="K22" s="46"/>
      <c r="L22" s="2"/>
      <c r="M22" s="3821"/>
    </row>
    <row r="23" spans="1:22" s="14" customFormat="1" ht="15.75">
      <c r="A23" s="2"/>
      <c r="B23" s="49" t="s">
        <v>27</v>
      </c>
      <c r="C23" s="49"/>
      <c r="D23" s="49"/>
      <c r="E23" s="49"/>
      <c r="F23" s="49"/>
      <c r="G23" s="45"/>
      <c r="H23" s="45"/>
      <c r="I23" s="51" t="s">
        <v>28</v>
      </c>
      <c r="J23" s="52"/>
      <c r="K23" s="47"/>
      <c r="L23" s="2"/>
      <c r="M23" s="3821"/>
    </row>
    <row r="24" spans="1:22" s="14" customFormat="1" ht="15.75">
      <c r="A24" s="2"/>
      <c r="B24" s="53"/>
      <c r="C24" s="53"/>
      <c r="D24" s="11"/>
      <c r="E24" s="11"/>
      <c r="F24" s="11"/>
      <c r="G24" s="11"/>
      <c r="H24" s="11"/>
      <c r="I24" s="11"/>
      <c r="J24" s="11"/>
      <c r="K24" s="46"/>
      <c r="L24" s="2"/>
      <c r="M24" s="3821"/>
    </row>
    <row r="25" spans="1:22" s="14" customFormat="1" ht="15.75">
      <c r="A25" s="2"/>
      <c r="B25" s="2"/>
      <c r="C25" s="2"/>
      <c r="K25" s="21"/>
      <c r="L25" s="2"/>
      <c r="M25" s="3821"/>
    </row>
  </sheetData>
  <mergeCells count="13">
    <mergeCell ref="L5:L6"/>
    <mergeCell ref="A17:T17"/>
    <mergeCell ref="A3:O3"/>
    <mergeCell ref="M5:M6"/>
    <mergeCell ref="N5:O5"/>
    <mergeCell ref="A5:A6"/>
    <mergeCell ref="B5:B6"/>
    <mergeCell ref="C5:C6"/>
    <mergeCell ref="D5:D6"/>
    <mergeCell ref="E5:E6"/>
    <mergeCell ref="F5:F6"/>
    <mergeCell ref="G5:H5"/>
    <mergeCell ref="I5:K5"/>
  </mergeCells>
  <pageMargins left="0" right="0" top="0.94488188976377963" bottom="0.74803149606299213" header="0.31496062992125984" footer="0.31496062992125984"/>
  <pageSetup paperSize="9" scale="53" orientation="landscape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Лист38">
    <pageSetUpPr fitToPage="1"/>
  </sheetPr>
  <dimension ref="A1:F76"/>
  <sheetViews>
    <sheetView zoomScale="91" zoomScaleNormal="91" workbookViewId="0">
      <selection activeCell="K74" sqref="K74"/>
    </sheetView>
  </sheetViews>
  <sheetFormatPr defaultColWidth="9.140625" defaultRowHeight="15"/>
  <cols>
    <col min="1" max="1" width="3" style="19" customWidth="1"/>
    <col min="2" max="2" width="36.5703125" style="19" customWidth="1"/>
    <col min="3" max="3" width="24.28515625" style="19" customWidth="1"/>
    <col min="4" max="4" width="13.5703125" style="77" customWidth="1"/>
    <col min="5" max="5" width="12.42578125" style="19" customWidth="1"/>
    <col min="6" max="6" width="13.28515625" style="19" customWidth="1"/>
    <col min="7" max="16384" width="9.140625" style="19"/>
  </cols>
  <sheetData>
    <row r="1" spans="1:6" s="58" customFormat="1" ht="11.25">
      <c r="A1" s="36"/>
      <c r="B1" s="36"/>
      <c r="C1" s="36"/>
      <c r="D1" s="36"/>
      <c r="E1" s="36"/>
      <c r="F1" s="36"/>
    </row>
    <row r="2" spans="1:6">
      <c r="A2" s="59"/>
      <c r="B2" s="59"/>
      <c r="C2" s="59"/>
      <c r="D2" s="59"/>
      <c r="E2" s="60"/>
      <c r="F2" s="60"/>
    </row>
    <row r="3" spans="1:6" ht="15" customHeight="1">
      <c r="A3" s="4354" t="s">
        <v>4279</v>
      </c>
      <c r="B3" s="4354"/>
      <c r="C3" s="4354"/>
      <c r="D3" s="4354"/>
    </row>
    <row r="4" spans="1:6">
      <c r="D4" s="61" t="s">
        <v>254</v>
      </c>
    </row>
    <row r="5" spans="1:6" s="63" customFormat="1" ht="15" customHeight="1">
      <c r="A5" s="4355" t="s">
        <v>1070</v>
      </c>
      <c r="B5" s="4355" t="s">
        <v>4280</v>
      </c>
      <c r="C5" s="4355" t="s">
        <v>4281</v>
      </c>
      <c r="D5" s="4355" t="s">
        <v>6</v>
      </c>
      <c r="E5" s="4353" t="s">
        <v>3436</v>
      </c>
      <c r="F5" s="4353"/>
    </row>
    <row r="6" spans="1:6" s="64" customFormat="1" ht="18" customHeight="1">
      <c r="A6" s="4355"/>
      <c r="B6" s="4355"/>
      <c r="C6" s="4355"/>
      <c r="D6" s="4355"/>
      <c r="E6" s="62" t="s">
        <v>4265</v>
      </c>
      <c r="F6" s="62" t="s">
        <v>4266</v>
      </c>
    </row>
    <row r="7" spans="1:6" s="66" customFormat="1" ht="2.25" hidden="1" customHeight="1">
      <c r="A7" s="4350">
        <v>1</v>
      </c>
      <c r="B7" s="4350" t="s">
        <v>4282</v>
      </c>
      <c r="C7" s="55" t="s">
        <v>4283</v>
      </c>
      <c r="D7" s="54"/>
      <c r="E7" s="65"/>
      <c r="F7" s="65">
        <f>D7</f>
        <v>0</v>
      </c>
    </row>
    <row r="8" spans="1:6" s="66" customFormat="1" ht="25.5" hidden="1">
      <c r="A8" s="4351"/>
      <c r="B8" s="4351"/>
      <c r="C8" s="55" t="s">
        <v>4284</v>
      </c>
      <c r="D8" s="54"/>
      <c r="E8" s="65"/>
      <c r="F8" s="65">
        <f t="shared" ref="F8:F68" si="0">D8</f>
        <v>0</v>
      </c>
    </row>
    <row r="9" spans="1:6" s="66" customFormat="1" ht="12.75" hidden="1">
      <c r="A9" s="4351"/>
      <c r="B9" s="4351"/>
      <c r="C9" s="55" t="s">
        <v>4285</v>
      </c>
      <c r="D9" s="54"/>
      <c r="E9" s="65"/>
      <c r="F9" s="65">
        <f t="shared" si="0"/>
        <v>0</v>
      </c>
    </row>
    <row r="10" spans="1:6" s="66" customFormat="1" ht="12.75" hidden="1">
      <c r="A10" s="4351"/>
      <c r="B10" s="4351"/>
      <c r="C10" s="55" t="s">
        <v>4286</v>
      </c>
      <c r="D10" s="54"/>
      <c r="E10" s="65"/>
      <c r="F10" s="65">
        <f t="shared" si="0"/>
        <v>0</v>
      </c>
    </row>
    <row r="11" spans="1:6" s="66" customFormat="1" ht="12.75" hidden="1">
      <c r="A11" s="4352"/>
      <c r="B11" s="4352"/>
      <c r="C11" s="55" t="s">
        <v>4287</v>
      </c>
      <c r="D11" s="54"/>
      <c r="E11" s="65"/>
      <c r="F11" s="65">
        <f t="shared" si="0"/>
        <v>0</v>
      </c>
    </row>
    <row r="12" spans="1:6" s="66" customFormat="1" ht="25.5" hidden="1">
      <c r="A12" s="4350">
        <v>2</v>
      </c>
      <c r="B12" s="4350" t="s">
        <v>4288</v>
      </c>
      <c r="C12" s="55" t="s">
        <v>4284</v>
      </c>
      <c r="D12" s="54"/>
      <c r="E12" s="65"/>
      <c r="F12" s="65">
        <f t="shared" si="0"/>
        <v>0</v>
      </c>
    </row>
    <row r="13" spans="1:6" s="66" customFormat="1" ht="12.75" hidden="1">
      <c r="A13" s="4351"/>
      <c r="B13" s="4351"/>
      <c r="C13" s="55" t="s">
        <v>4289</v>
      </c>
      <c r="D13" s="54"/>
      <c r="E13" s="65"/>
      <c r="F13" s="65">
        <f t="shared" si="0"/>
        <v>0</v>
      </c>
    </row>
    <row r="14" spans="1:6" s="66" customFormat="1" ht="12.75" hidden="1">
      <c r="A14" s="4351"/>
      <c r="B14" s="4351"/>
      <c r="C14" s="55" t="s">
        <v>4290</v>
      </c>
      <c r="D14" s="54"/>
      <c r="E14" s="65"/>
      <c r="F14" s="65">
        <f t="shared" si="0"/>
        <v>0</v>
      </c>
    </row>
    <row r="15" spans="1:6" s="66" customFormat="1" ht="12.75" hidden="1">
      <c r="A15" s="4351"/>
      <c r="B15" s="4351"/>
      <c r="C15" s="55" t="s">
        <v>4291</v>
      </c>
      <c r="D15" s="54"/>
      <c r="E15" s="65"/>
      <c r="F15" s="65">
        <f t="shared" si="0"/>
        <v>0</v>
      </c>
    </row>
    <row r="16" spans="1:6" s="66" customFormat="1" ht="25.5" hidden="1">
      <c r="A16" s="4351"/>
      <c r="B16" s="4351"/>
      <c r="C16" s="55" t="s">
        <v>4292</v>
      </c>
      <c r="D16" s="54"/>
      <c r="E16" s="65"/>
      <c r="F16" s="65">
        <f t="shared" si="0"/>
        <v>0</v>
      </c>
    </row>
    <row r="17" spans="1:6" s="66" customFormat="1" ht="25.5" hidden="1">
      <c r="A17" s="4352"/>
      <c r="B17" s="4352"/>
      <c r="C17" s="55" t="s">
        <v>4293</v>
      </c>
      <c r="D17" s="54"/>
      <c r="E17" s="65"/>
      <c r="F17" s="65">
        <f t="shared" si="0"/>
        <v>0</v>
      </c>
    </row>
    <row r="18" spans="1:6" s="66" customFormat="1" ht="12.75" hidden="1">
      <c r="A18" s="4350">
        <v>3</v>
      </c>
      <c r="B18" s="4350" t="s">
        <v>4294</v>
      </c>
      <c r="C18" s="55" t="s">
        <v>4295</v>
      </c>
      <c r="D18" s="54"/>
      <c r="E18" s="65"/>
      <c r="F18" s="65">
        <f t="shared" si="0"/>
        <v>0</v>
      </c>
    </row>
    <row r="19" spans="1:6" s="66" customFormat="1" ht="25.5" hidden="1">
      <c r="A19" s="4351"/>
      <c r="B19" s="4351"/>
      <c r="C19" s="55" t="s">
        <v>4296</v>
      </c>
      <c r="D19" s="54"/>
      <c r="E19" s="65"/>
      <c r="F19" s="65">
        <f t="shared" si="0"/>
        <v>0</v>
      </c>
    </row>
    <row r="20" spans="1:6" s="66" customFormat="1" ht="25.5" hidden="1">
      <c r="A20" s="4351"/>
      <c r="B20" s="4351"/>
      <c r="C20" s="55" t="s">
        <v>4297</v>
      </c>
      <c r="D20" s="54"/>
      <c r="E20" s="65"/>
      <c r="F20" s="65">
        <f t="shared" si="0"/>
        <v>0</v>
      </c>
    </row>
    <row r="21" spans="1:6" s="66" customFormat="1" ht="12.75" hidden="1">
      <c r="A21" s="4352"/>
      <c r="B21" s="4352"/>
      <c r="C21" s="55" t="s">
        <v>4289</v>
      </c>
      <c r="D21" s="54"/>
      <c r="E21" s="65"/>
      <c r="F21" s="65">
        <f t="shared" si="0"/>
        <v>0</v>
      </c>
    </row>
    <row r="22" spans="1:6" s="66" customFormat="1" ht="12.75">
      <c r="A22" s="4350">
        <v>4</v>
      </c>
      <c r="B22" s="4350" t="s">
        <v>4298</v>
      </c>
      <c r="C22" s="55" t="s">
        <v>4295</v>
      </c>
      <c r="D22" s="54">
        <f>10000*1.08</f>
        <v>10800</v>
      </c>
      <c r="E22" s="65"/>
      <c r="F22" s="65">
        <f t="shared" si="0"/>
        <v>10800</v>
      </c>
    </row>
    <row r="23" spans="1:6" s="66" customFormat="1" ht="12.75">
      <c r="A23" s="4351"/>
      <c r="B23" s="4351"/>
      <c r="C23" s="55" t="s">
        <v>4290</v>
      </c>
      <c r="D23" s="54">
        <f>50000*1.08</f>
        <v>54000</v>
      </c>
      <c r="E23" s="65"/>
      <c r="F23" s="65">
        <f t="shared" si="0"/>
        <v>54000</v>
      </c>
    </row>
    <row r="24" spans="1:6" s="66" customFormat="1" ht="12.75">
      <c r="A24" s="4351"/>
      <c r="B24" s="4351"/>
      <c r="C24" s="55" t="s">
        <v>4299</v>
      </c>
      <c r="D24" s="54">
        <f>24000*1.08</f>
        <v>25920</v>
      </c>
      <c r="E24" s="65"/>
      <c r="F24" s="65">
        <f t="shared" si="0"/>
        <v>25920</v>
      </c>
    </row>
    <row r="25" spans="1:6" s="66" customFormat="1" ht="12.75">
      <c r="A25" s="4352"/>
      <c r="B25" s="4352"/>
      <c r="C25" s="55" t="s">
        <v>4289</v>
      </c>
      <c r="D25" s="54">
        <f>7000*1.08</f>
        <v>7560.0000000000009</v>
      </c>
      <c r="E25" s="65"/>
      <c r="F25" s="65">
        <f t="shared" si="0"/>
        <v>7560.0000000000009</v>
      </c>
    </row>
    <row r="26" spans="1:6" s="66" customFormat="1" ht="20.25" customHeight="1">
      <c r="A26" s="4350">
        <v>5</v>
      </c>
      <c r="B26" s="4350" t="s">
        <v>4300</v>
      </c>
      <c r="C26" s="55" t="s">
        <v>4301</v>
      </c>
      <c r="D26" s="54">
        <f>11000*1.08</f>
        <v>11880</v>
      </c>
      <c r="E26" s="65"/>
      <c r="F26" s="65">
        <f t="shared" si="0"/>
        <v>11880</v>
      </c>
    </row>
    <row r="27" spans="1:6" s="66" customFormat="1" ht="12.75">
      <c r="A27" s="4351"/>
      <c r="B27" s="4351"/>
      <c r="C27" s="55" t="s">
        <v>4302</v>
      </c>
      <c r="D27" s="54">
        <f>87500*1.08</f>
        <v>94500</v>
      </c>
      <c r="E27" s="65"/>
      <c r="F27" s="65">
        <f t="shared" si="0"/>
        <v>94500</v>
      </c>
    </row>
    <row r="28" spans="1:6" s="66" customFormat="1" ht="25.5">
      <c r="A28" s="4351"/>
      <c r="B28" s="4351"/>
      <c r="C28" s="55" t="s">
        <v>4303</v>
      </c>
      <c r="D28" s="54">
        <f>20000*1.08</f>
        <v>21600</v>
      </c>
      <c r="E28" s="65"/>
      <c r="F28" s="65">
        <f t="shared" si="0"/>
        <v>21600</v>
      </c>
    </row>
    <row r="29" spans="1:6" s="66" customFormat="1" ht="12.75">
      <c r="A29" s="4351"/>
      <c r="B29" s="4351"/>
      <c r="C29" s="55" t="s">
        <v>4289</v>
      </c>
      <c r="D29" s="54">
        <f>6000*1.08</f>
        <v>6480</v>
      </c>
      <c r="E29" s="65"/>
      <c r="F29" s="65">
        <f t="shared" si="0"/>
        <v>6480</v>
      </c>
    </row>
    <row r="30" spans="1:6" s="66" customFormat="1" ht="12.75">
      <c r="A30" s="4352"/>
      <c r="B30" s="4352"/>
      <c r="C30" s="55" t="s">
        <v>4304</v>
      </c>
      <c r="D30" s="54">
        <f>12000*1.08</f>
        <v>12960</v>
      </c>
      <c r="E30" s="65"/>
      <c r="F30" s="65">
        <f t="shared" si="0"/>
        <v>12960</v>
      </c>
    </row>
    <row r="31" spans="1:6" s="66" customFormat="1" ht="12.75">
      <c r="A31" s="4350">
        <v>6</v>
      </c>
      <c r="B31" s="4350" t="s">
        <v>4305</v>
      </c>
      <c r="C31" s="55" t="s">
        <v>4295</v>
      </c>
      <c r="D31" s="54">
        <f>10000*1.08</f>
        <v>10800</v>
      </c>
      <c r="E31" s="65"/>
      <c r="F31" s="65">
        <f t="shared" si="0"/>
        <v>10800</v>
      </c>
    </row>
    <row r="32" spans="1:6" s="66" customFormat="1" ht="12.75">
      <c r="A32" s="4351"/>
      <c r="B32" s="4351"/>
      <c r="C32" s="55" t="s">
        <v>4306</v>
      </c>
      <c r="D32" s="54">
        <f>16000*1.08</f>
        <v>17280</v>
      </c>
      <c r="E32" s="65"/>
      <c r="F32" s="65">
        <f t="shared" si="0"/>
        <v>17280</v>
      </c>
    </row>
    <row r="33" spans="1:6" s="66" customFormat="1" ht="12.75">
      <c r="A33" s="4351"/>
      <c r="B33" s="4351"/>
      <c r="C33" s="55" t="s">
        <v>4307</v>
      </c>
      <c r="D33" s="54">
        <f>37500*1.08</f>
        <v>40500</v>
      </c>
      <c r="E33" s="65"/>
      <c r="F33" s="65">
        <f t="shared" si="0"/>
        <v>40500</v>
      </c>
    </row>
    <row r="34" spans="1:6" s="66" customFormat="1" ht="12.75">
      <c r="A34" s="4352"/>
      <c r="B34" s="4352"/>
      <c r="C34" s="55" t="s">
        <v>4291</v>
      </c>
      <c r="D34" s="54">
        <f>6000*1.08</f>
        <v>6480</v>
      </c>
      <c r="E34" s="65"/>
      <c r="F34" s="65">
        <f t="shared" si="0"/>
        <v>6480</v>
      </c>
    </row>
    <row r="35" spans="1:6" s="66" customFormat="1" ht="12.75">
      <c r="A35" s="4350">
        <v>7</v>
      </c>
      <c r="B35" s="4350" t="s">
        <v>4308</v>
      </c>
      <c r="C35" s="55" t="s">
        <v>4295</v>
      </c>
      <c r="D35" s="54">
        <f>10000*1.08</f>
        <v>10800</v>
      </c>
      <c r="E35" s="65"/>
      <c r="F35" s="65">
        <f t="shared" si="0"/>
        <v>10800</v>
      </c>
    </row>
    <row r="36" spans="1:6" s="66" customFormat="1" ht="25.5">
      <c r="A36" s="4351"/>
      <c r="B36" s="4351"/>
      <c r="C36" s="55" t="s">
        <v>4309</v>
      </c>
      <c r="D36" s="54">
        <f>40000*1.08</f>
        <v>43200</v>
      </c>
      <c r="E36" s="65"/>
      <c r="F36" s="65">
        <f t="shared" si="0"/>
        <v>43200</v>
      </c>
    </row>
    <row r="37" spans="1:6" s="66" customFormat="1" ht="12.75">
      <c r="A37" s="4351"/>
      <c r="B37" s="4351"/>
      <c r="C37" s="55" t="s">
        <v>4310</v>
      </c>
      <c r="D37" s="54">
        <f>25000*1.08</f>
        <v>27000</v>
      </c>
      <c r="E37" s="65"/>
      <c r="F37" s="65">
        <f t="shared" si="0"/>
        <v>27000</v>
      </c>
    </row>
    <row r="38" spans="1:6" s="66" customFormat="1" ht="12.75">
      <c r="A38" s="4351"/>
      <c r="B38" s="4351"/>
      <c r="C38" s="55" t="s">
        <v>4311</v>
      </c>
      <c r="D38" s="54">
        <f>20000*1.08</f>
        <v>21600</v>
      </c>
      <c r="E38" s="65"/>
      <c r="F38" s="65">
        <f t="shared" si="0"/>
        <v>21600</v>
      </c>
    </row>
    <row r="39" spans="1:6" s="66" customFormat="1" ht="12.75">
      <c r="A39" s="4351"/>
      <c r="B39" s="4351"/>
      <c r="C39" s="55" t="s">
        <v>4289</v>
      </c>
      <c r="D39" s="54">
        <f>4500*1.08</f>
        <v>4860</v>
      </c>
      <c r="E39" s="65"/>
      <c r="F39" s="65">
        <f t="shared" si="0"/>
        <v>4860</v>
      </c>
    </row>
    <row r="40" spans="1:6" s="66" customFormat="1" ht="25.5">
      <c r="A40" s="4352"/>
      <c r="B40" s="4352"/>
      <c r="C40" s="55" t="s">
        <v>4312</v>
      </c>
      <c r="D40" s="54">
        <f>10500*1.08</f>
        <v>11340</v>
      </c>
      <c r="E40" s="65"/>
      <c r="F40" s="65">
        <f t="shared" si="0"/>
        <v>11340</v>
      </c>
    </row>
    <row r="41" spans="1:6" s="66" customFormat="1" ht="18" customHeight="1">
      <c r="A41" s="4350">
        <v>8</v>
      </c>
      <c r="B41" s="4350" t="s">
        <v>4313</v>
      </c>
      <c r="C41" s="55" t="s">
        <v>4301</v>
      </c>
      <c r="D41" s="54">
        <f>10000*1.08</f>
        <v>10800</v>
      </c>
      <c r="E41" s="65"/>
      <c r="F41" s="65">
        <f t="shared" si="0"/>
        <v>10800</v>
      </c>
    </row>
    <row r="42" spans="1:6" s="66" customFormat="1" ht="14.25" customHeight="1">
      <c r="A42" s="4351"/>
      <c r="B42" s="4351"/>
      <c r="C42" s="55" t="s">
        <v>4286</v>
      </c>
      <c r="D42" s="54">
        <f>75000*1.08</f>
        <v>81000</v>
      </c>
      <c r="E42" s="65"/>
      <c r="F42" s="65">
        <f t="shared" si="0"/>
        <v>81000</v>
      </c>
    </row>
    <row r="43" spans="1:6" s="66" customFormat="1" ht="14.25" customHeight="1">
      <c r="A43" s="4351"/>
      <c r="B43" s="4351"/>
      <c r="C43" s="55" t="s">
        <v>4314</v>
      </c>
      <c r="D43" s="54">
        <f>20000*1.08</f>
        <v>21600</v>
      </c>
      <c r="E43" s="65"/>
      <c r="F43" s="65">
        <f t="shared" si="0"/>
        <v>21600</v>
      </c>
    </row>
    <row r="44" spans="1:6" s="66" customFormat="1" ht="14.25" customHeight="1">
      <c r="A44" s="4351"/>
      <c r="B44" s="4351"/>
      <c r="C44" s="55" t="s">
        <v>4291</v>
      </c>
      <c r="D44" s="54">
        <f>12000*1.08</f>
        <v>12960</v>
      </c>
      <c r="E44" s="65"/>
      <c r="F44" s="65">
        <f t="shared" si="0"/>
        <v>12960</v>
      </c>
    </row>
    <row r="45" spans="1:6" s="66" customFormat="1" ht="13.5" customHeight="1">
      <c r="A45" s="4352"/>
      <c r="B45" s="4352"/>
      <c r="C45" s="55" t="s">
        <v>4289</v>
      </c>
      <c r="D45" s="54">
        <f>5500*1.08</f>
        <v>5940</v>
      </c>
      <c r="E45" s="65"/>
      <c r="F45" s="65">
        <f t="shared" si="0"/>
        <v>5940</v>
      </c>
    </row>
    <row r="46" spans="1:6" s="66" customFormat="1" ht="12.75">
      <c r="A46" s="4350">
        <v>9</v>
      </c>
      <c r="B46" s="4350" t="s">
        <v>4315</v>
      </c>
      <c r="C46" s="55" t="s">
        <v>4295</v>
      </c>
      <c r="D46" s="54">
        <f>10000*1.08</f>
        <v>10800</v>
      </c>
      <c r="E46" s="65"/>
      <c r="F46" s="65">
        <f t="shared" si="0"/>
        <v>10800</v>
      </c>
    </row>
    <row r="47" spans="1:6" s="66" customFormat="1" ht="12.75">
      <c r="A47" s="4351"/>
      <c r="B47" s="4351"/>
      <c r="C47" s="55" t="s">
        <v>4286</v>
      </c>
      <c r="D47" s="54">
        <f>75000*1.08</f>
        <v>81000</v>
      </c>
      <c r="E47" s="65"/>
      <c r="F47" s="65">
        <f t="shared" si="0"/>
        <v>81000</v>
      </c>
    </row>
    <row r="48" spans="1:6" s="66" customFormat="1" ht="25.5">
      <c r="A48" s="4352"/>
      <c r="B48" s="4352"/>
      <c r="C48" s="55" t="s">
        <v>4293</v>
      </c>
      <c r="D48" s="54">
        <f>8000*1.08</f>
        <v>8640</v>
      </c>
      <c r="E48" s="65"/>
      <c r="F48" s="65">
        <f t="shared" si="0"/>
        <v>8640</v>
      </c>
    </row>
    <row r="49" spans="1:6" s="66" customFormat="1" ht="25.5">
      <c r="A49" s="4350">
        <v>10</v>
      </c>
      <c r="B49" s="4350" t="s">
        <v>4316</v>
      </c>
      <c r="C49" s="55" t="s">
        <v>4301</v>
      </c>
      <c r="D49" s="54">
        <f>10000*1.08</f>
        <v>10800</v>
      </c>
      <c r="E49" s="65"/>
      <c r="F49" s="65">
        <f t="shared" si="0"/>
        <v>10800</v>
      </c>
    </row>
    <row r="50" spans="1:6" s="66" customFormat="1" ht="12.75">
      <c r="A50" s="4351"/>
      <c r="B50" s="4351"/>
      <c r="C50" s="55" t="s">
        <v>4307</v>
      </c>
      <c r="D50" s="54">
        <f>37500*1.08</f>
        <v>40500</v>
      </c>
      <c r="E50" s="65"/>
      <c r="F50" s="65">
        <f t="shared" si="0"/>
        <v>40500</v>
      </c>
    </row>
    <row r="51" spans="1:6" s="66" customFormat="1" ht="12.75">
      <c r="A51" s="4351"/>
      <c r="B51" s="4351"/>
      <c r="C51" s="55" t="s">
        <v>4317</v>
      </c>
      <c r="D51" s="54">
        <f>40000*1.08</f>
        <v>43200</v>
      </c>
      <c r="E51" s="65"/>
      <c r="F51" s="65">
        <f t="shared" si="0"/>
        <v>43200</v>
      </c>
    </row>
    <row r="52" spans="1:6" s="66" customFormat="1" ht="12.75">
      <c r="A52" s="4351"/>
      <c r="B52" s="4351"/>
      <c r="C52" s="55" t="s">
        <v>4291</v>
      </c>
      <c r="D52" s="54">
        <f>12000*1.08</f>
        <v>12960</v>
      </c>
      <c r="E52" s="65"/>
      <c r="F52" s="65">
        <f t="shared" si="0"/>
        <v>12960</v>
      </c>
    </row>
    <row r="53" spans="1:6" s="66" customFormat="1" ht="12.75">
      <c r="A53" s="4352"/>
      <c r="B53" s="4352"/>
      <c r="C53" s="55" t="s">
        <v>4289</v>
      </c>
      <c r="D53" s="54">
        <f>6000*1.08</f>
        <v>6480</v>
      </c>
      <c r="E53" s="65"/>
      <c r="F53" s="65">
        <f t="shared" si="0"/>
        <v>6480</v>
      </c>
    </row>
    <row r="54" spans="1:6" s="66" customFormat="1" ht="12.75">
      <c r="A54" s="4350">
        <v>11</v>
      </c>
      <c r="B54" s="4350" t="s">
        <v>4318</v>
      </c>
      <c r="C54" s="55" t="s">
        <v>4319</v>
      </c>
      <c r="D54" s="54">
        <f>12000*1.08</f>
        <v>12960</v>
      </c>
      <c r="E54" s="65"/>
      <c r="F54" s="65">
        <f t="shared" si="0"/>
        <v>12960</v>
      </c>
    </row>
    <row r="55" spans="1:6" s="66" customFormat="1" ht="12.75">
      <c r="A55" s="4351"/>
      <c r="B55" s="4351"/>
      <c r="C55" s="55" t="s">
        <v>4285</v>
      </c>
      <c r="D55" s="54">
        <f>15000*1.08</f>
        <v>16200.000000000002</v>
      </c>
      <c r="E55" s="65"/>
      <c r="F55" s="65">
        <f t="shared" si="0"/>
        <v>16200.000000000002</v>
      </c>
    </row>
    <row r="56" spans="1:6" s="66" customFormat="1" ht="12.75">
      <c r="A56" s="4351"/>
      <c r="B56" s="4351"/>
      <c r="C56" s="55" t="s">
        <v>4290</v>
      </c>
      <c r="D56" s="54">
        <f>50000*1.08</f>
        <v>54000</v>
      </c>
      <c r="E56" s="65"/>
      <c r="F56" s="65">
        <f t="shared" si="0"/>
        <v>54000</v>
      </c>
    </row>
    <row r="57" spans="1:6" s="66" customFormat="1" ht="12.75">
      <c r="A57" s="4351"/>
      <c r="B57" s="4351"/>
      <c r="C57" s="55" t="s">
        <v>4295</v>
      </c>
      <c r="D57" s="54">
        <f>10500*1.08</f>
        <v>11340</v>
      </c>
      <c r="E57" s="65"/>
      <c r="F57" s="65">
        <f t="shared" si="0"/>
        <v>11340</v>
      </c>
    </row>
    <row r="58" spans="1:6" s="66" customFormat="1" ht="12.75">
      <c r="A58" s="4352"/>
      <c r="B58" s="4352"/>
      <c r="C58" s="55" t="s">
        <v>4283</v>
      </c>
      <c r="D58" s="54">
        <f>8000*1.08</f>
        <v>8640</v>
      </c>
      <c r="E58" s="65"/>
      <c r="F58" s="65">
        <f t="shared" si="0"/>
        <v>8640</v>
      </c>
    </row>
    <row r="59" spans="1:6" s="66" customFormat="1" ht="12.75">
      <c r="A59" s="4350">
        <v>12</v>
      </c>
      <c r="B59" s="4350" t="s">
        <v>4320</v>
      </c>
      <c r="C59" s="55" t="s">
        <v>4295</v>
      </c>
      <c r="D59" s="54">
        <f>15000*1.08</f>
        <v>16200.000000000002</v>
      </c>
      <c r="E59" s="65"/>
      <c r="F59" s="65">
        <f t="shared" si="0"/>
        <v>16200.000000000002</v>
      </c>
    </row>
    <row r="60" spans="1:6" s="66" customFormat="1" ht="25.5">
      <c r="A60" s="4351"/>
      <c r="B60" s="4351"/>
      <c r="C60" s="55" t="s">
        <v>4321</v>
      </c>
      <c r="D60" s="54">
        <f>40000*1.08</f>
        <v>43200</v>
      </c>
      <c r="E60" s="65"/>
      <c r="F60" s="65">
        <f t="shared" si="0"/>
        <v>43200</v>
      </c>
    </row>
    <row r="61" spans="1:6" s="66" customFormat="1" ht="12.75">
      <c r="A61" s="4351"/>
      <c r="B61" s="4351"/>
      <c r="C61" s="55" t="s">
        <v>4307</v>
      </c>
      <c r="D61" s="54">
        <f>37500*1.08</f>
        <v>40500</v>
      </c>
      <c r="E61" s="65"/>
      <c r="F61" s="65">
        <f t="shared" si="0"/>
        <v>40500</v>
      </c>
    </row>
    <row r="62" spans="1:6" s="66" customFormat="1" ht="12.75">
      <c r="A62" s="4350">
        <v>13</v>
      </c>
      <c r="B62" s="4350" t="s">
        <v>4322</v>
      </c>
      <c r="C62" s="55" t="s">
        <v>4323</v>
      </c>
      <c r="D62" s="54">
        <f>20000*1.08</f>
        <v>21600</v>
      </c>
      <c r="E62" s="65"/>
      <c r="F62" s="65">
        <f t="shared" si="0"/>
        <v>21600</v>
      </c>
    </row>
    <row r="63" spans="1:6" s="66" customFormat="1" ht="12.75">
      <c r="A63" s="4351"/>
      <c r="B63" s="4351"/>
      <c r="C63" s="55" t="s">
        <v>4286</v>
      </c>
      <c r="D63" s="54">
        <f>75000*1.08</f>
        <v>81000</v>
      </c>
      <c r="E63" s="65"/>
      <c r="F63" s="65">
        <f t="shared" si="0"/>
        <v>81000</v>
      </c>
    </row>
    <row r="64" spans="1:6" s="66" customFormat="1" ht="12.75">
      <c r="A64" s="4351"/>
      <c r="B64" s="4351"/>
      <c r="C64" s="55" t="s">
        <v>4324</v>
      </c>
      <c r="D64" s="54">
        <f>3000*1.08</f>
        <v>3240</v>
      </c>
      <c r="E64" s="65"/>
      <c r="F64" s="65">
        <f t="shared" si="0"/>
        <v>3240</v>
      </c>
    </row>
    <row r="65" spans="1:6" s="66" customFormat="1" ht="25.5">
      <c r="A65" s="4351"/>
      <c r="B65" s="4351"/>
      <c r="C65" s="55" t="s">
        <v>4325</v>
      </c>
      <c r="D65" s="54">
        <f>5000*1.08</f>
        <v>5400</v>
      </c>
      <c r="E65" s="65"/>
      <c r="F65" s="65">
        <f t="shared" si="0"/>
        <v>5400</v>
      </c>
    </row>
    <row r="66" spans="1:6" s="66" customFormat="1" ht="25.5">
      <c r="A66" s="4351"/>
      <c r="B66" s="4351"/>
      <c r="C66" s="55" t="s">
        <v>4326</v>
      </c>
      <c r="D66" s="54">
        <f>20000*1.08</f>
        <v>21600</v>
      </c>
      <c r="E66" s="65"/>
      <c r="F66" s="65">
        <f t="shared" si="0"/>
        <v>21600</v>
      </c>
    </row>
    <row r="67" spans="1:6" s="67" customFormat="1" ht="12.75">
      <c r="A67" s="4351"/>
      <c r="B67" s="4351"/>
      <c r="C67" s="55" t="s">
        <v>4327</v>
      </c>
      <c r="D67" s="54">
        <f>12000*1.08</f>
        <v>12960</v>
      </c>
      <c r="E67" s="65"/>
      <c r="F67" s="65">
        <f t="shared" si="0"/>
        <v>12960</v>
      </c>
    </row>
    <row r="68" spans="1:6" s="66" customFormat="1" ht="16.5" customHeight="1">
      <c r="A68" s="4352"/>
      <c r="B68" s="4352"/>
      <c r="C68" s="55" t="s">
        <v>4328</v>
      </c>
      <c r="D68" s="54">
        <f>2000*1.08</f>
        <v>2160</v>
      </c>
      <c r="E68" s="65"/>
      <c r="F68" s="65">
        <f t="shared" si="0"/>
        <v>2160</v>
      </c>
    </row>
    <row r="69" spans="1:6" s="66" customFormat="1" ht="19.5" customHeight="1">
      <c r="A69" s="68"/>
      <c r="B69" s="69" t="s">
        <v>3445</v>
      </c>
      <c r="C69" s="70"/>
      <c r="D69" s="56">
        <f>SUM(D7:D68)</f>
        <v>1137240</v>
      </c>
      <c r="E69" s="56">
        <f>SUM(E7:E68)</f>
        <v>0</v>
      </c>
      <c r="F69" s="56">
        <f>SUM(F7:F68)</f>
        <v>1137240</v>
      </c>
    </row>
    <row r="71" spans="1:6" s="74" customFormat="1" ht="12.75">
      <c r="A71" s="71"/>
      <c r="B71" s="3822"/>
      <c r="C71" s="72"/>
      <c r="D71" s="72"/>
      <c r="E71" s="73"/>
      <c r="F71" s="73"/>
    </row>
    <row r="72" spans="1:6" s="74" customFormat="1" ht="12.75">
      <c r="A72" s="71"/>
      <c r="B72" s="3822"/>
      <c r="C72" s="72"/>
      <c r="D72" s="72"/>
      <c r="E72" s="73"/>
      <c r="F72" s="73"/>
    </row>
    <row r="73" spans="1:6" s="74" customFormat="1" ht="12.75">
      <c r="A73" s="75"/>
      <c r="B73" s="3822"/>
      <c r="C73" s="72"/>
      <c r="D73" s="76"/>
      <c r="E73" s="73"/>
      <c r="F73" s="73"/>
    </row>
    <row r="74" spans="1:6" s="74" customFormat="1" ht="12.75">
      <c r="A74" s="75"/>
      <c r="B74" s="3822"/>
      <c r="C74" s="72"/>
      <c r="D74" s="72"/>
      <c r="E74" s="73"/>
      <c r="F74" s="73"/>
    </row>
    <row r="75" spans="1:6" s="74" customFormat="1" ht="12.75">
      <c r="A75" s="71"/>
      <c r="B75" s="3822"/>
      <c r="C75" s="72"/>
      <c r="D75" s="72"/>
      <c r="E75" s="73"/>
      <c r="F75" s="73"/>
    </row>
    <row r="76" spans="1:6">
      <c r="D76" s="19"/>
    </row>
  </sheetData>
  <mergeCells count="32">
    <mergeCell ref="A3:D3"/>
    <mergeCell ref="A5:A6"/>
    <mergeCell ref="B5:B6"/>
    <mergeCell ref="C5:C6"/>
    <mergeCell ref="D5:D6"/>
    <mergeCell ref="E5:F5"/>
    <mergeCell ref="A7:A11"/>
    <mergeCell ref="B7:B11"/>
    <mergeCell ref="A12:A17"/>
    <mergeCell ref="B12:B17"/>
    <mergeCell ref="A18:A21"/>
    <mergeCell ref="B18:B21"/>
    <mergeCell ref="A22:A25"/>
    <mergeCell ref="B22:B25"/>
    <mergeCell ref="A26:A30"/>
    <mergeCell ref="B26:B30"/>
    <mergeCell ref="A31:A34"/>
    <mergeCell ref="B31:B34"/>
    <mergeCell ref="A35:A40"/>
    <mergeCell ref="B35:B40"/>
    <mergeCell ref="A41:A45"/>
    <mergeCell ref="B41:B45"/>
    <mergeCell ref="A46:A48"/>
    <mergeCell ref="B46:B48"/>
    <mergeCell ref="A62:A68"/>
    <mergeCell ref="B62:B68"/>
    <mergeCell ref="A49:A53"/>
    <mergeCell ref="B49:B53"/>
    <mergeCell ref="A54:A58"/>
    <mergeCell ref="B54:B58"/>
    <mergeCell ref="A59:A61"/>
    <mergeCell ref="B59:B61"/>
  </mergeCells>
  <pageMargins left="0.7" right="0.7" top="0.75" bottom="0.75" header="0.3" footer="0.3"/>
  <pageSetup paperSize="9" scale="84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tabColor rgb="FF7030A0"/>
  </sheetPr>
  <dimension ref="A1:BA32"/>
  <sheetViews>
    <sheetView workbookViewId="0">
      <selection activeCell="A7" sqref="A7:A10"/>
    </sheetView>
  </sheetViews>
  <sheetFormatPr defaultColWidth="9.140625" defaultRowHeight="15.75"/>
  <cols>
    <col min="1" max="1" width="4.85546875" style="419" customWidth="1"/>
    <col min="2" max="2" width="18.140625" style="419" customWidth="1"/>
    <col min="3" max="4" width="13" style="419" customWidth="1"/>
    <col min="5" max="7" width="9.140625" style="419"/>
    <col min="8" max="8" width="12.42578125" style="419" customWidth="1"/>
    <col min="9" max="9" width="10.140625" style="419" customWidth="1"/>
    <col min="10" max="11" width="9.140625" style="419"/>
    <col min="12" max="12" width="10.140625" style="419" bestFit="1" customWidth="1"/>
    <col min="13" max="13" width="9.140625" style="419"/>
    <col min="14" max="14" width="10.140625" style="419" bestFit="1" customWidth="1"/>
    <col min="15" max="15" width="9.140625" style="419"/>
    <col min="16" max="16" width="10.140625" style="419" bestFit="1" customWidth="1"/>
    <col min="17" max="18" width="9.140625" style="419"/>
    <col min="19" max="19" width="9.140625" style="419" customWidth="1"/>
    <col min="20" max="20" width="10.42578125" style="419" customWidth="1"/>
    <col min="21" max="21" width="10.140625" style="419" bestFit="1" customWidth="1"/>
    <col min="22" max="26" width="10.140625" style="419" customWidth="1"/>
    <col min="27" max="27" width="9.28515625" style="419" customWidth="1"/>
    <col min="28" max="28" width="9.5703125" style="419" bestFit="1" customWidth="1"/>
    <col min="29" max="48" width="9.140625" style="419"/>
    <col min="49" max="49" width="9.140625" style="419" customWidth="1"/>
    <col min="50" max="50" width="9.140625" style="419"/>
    <col min="51" max="52" width="10.140625" style="419" bestFit="1" customWidth="1"/>
    <col min="53" max="53" width="11.28515625" style="419" customWidth="1"/>
    <col min="54" max="60" width="9.140625" style="419"/>
    <col min="61" max="61" width="10.140625" style="419" bestFit="1" customWidth="1"/>
    <col min="62" max="16384" width="9.140625" style="419"/>
  </cols>
  <sheetData>
    <row r="1" spans="1:53">
      <c r="P1" s="759" t="s">
        <v>267</v>
      </c>
      <c r="Q1" s="1010" t="s">
        <v>4329</v>
      </c>
    </row>
    <row r="2" spans="1:53">
      <c r="A2" s="695" t="s">
        <v>4330</v>
      </c>
      <c r="B2" s="489"/>
      <c r="C2" s="489"/>
      <c r="D2" s="489"/>
      <c r="E2" s="489"/>
      <c r="F2" s="489"/>
      <c r="G2" s="489"/>
    </row>
    <row r="3" spans="1:53">
      <c r="A3" s="420"/>
    </row>
    <row r="4" spans="1:53">
      <c r="A4" s="656" t="s">
        <v>3401</v>
      </c>
    </row>
    <row r="5" spans="1:53">
      <c r="A5" s="168" t="s">
        <v>990</v>
      </c>
    </row>
    <row r="7" spans="1:53" ht="15.75" customHeight="1">
      <c r="A7" s="4356" t="s">
        <v>2</v>
      </c>
      <c r="B7" s="4356" t="s">
        <v>478</v>
      </c>
      <c r="C7" s="4357" t="s">
        <v>4130</v>
      </c>
      <c r="D7" s="4371" t="s">
        <v>4331</v>
      </c>
      <c r="E7" s="4356" t="s">
        <v>3642</v>
      </c>
      <c r="F7" s="4356"/>
      <c r="G7" s="4356"/>
      <c r="H7" s="4363" t="s">
        <v>3643</v>
      </c>
      <c r="I7" s="4363"/>
      <c r="J7" s="4363"/>
      <c r="K7" s="4363"/>
      <c r="L7" s="4363"/>
      <c r="M7" s="4363"/>
      <c r="N7" s="4363"/>
      <c r="O7" s="4363"/>
      <c r="P7" s="4363"/>
      <c r="Q7" s="4363"/>
      <c r="R7" s="4363"/>
      <c r="S7" s="4363"/>
      <c r="T7" s="4363"/>
      <c r="U7" s="4363"/>
      <c r="V7" s="4357" t="s">
        <v>4332</v>
      </c>
      <c r="W7" s="4357"/>
      <c r="X7" s="4357" t="s">
        <v>4159</v>
      </c>
      <c r="Y7" s="4357"/>
      <c r="Z7" s="4357"/>
      <c r="AA7" s="4360" t="s">
        <v>4333</v>
      </c>
      <c r="AB7" s="4361"/>
      <c r="AC7" s="4361"/>
      <c r="AD7" s="4361"/>
      <c r="AE7" s="4361"/>
      <c r="AF7" s="4361"/>
      <c r="AG7" s="4361"/>
      <c r="AH7" s="4361"/>
      <c r="AI7" s="4361"/>
      <c r="AJ7" s="4361"/>
      <c r="AK7" s="4361"/>
      <c r="AL7" s="4361"/>
      <c r="AM7" s="4361"/>
      <c r="AN7" s="4361"/>
      <c r="AO7" s="4361"/>
      <c r="AP7" s="4361"/>
      <c r="AQ7" s="4361"/>
      <c r="AR7" s="4361"/>
      <c r="AS7" s="4361"/>
      <c r="AT7" s="4361"/>
      <c r="AU7" s="4361"/>
      <c r="AV7" s="4361"/>
      <c r="AW7" s="4361"/>
      <c r="AX7" s="4361"/>
      <c r="AY7" s="4361"/>
      <c r="AZ7" s="4362"/>
      <c r="BA7" s="4356" t="s">
        <v>20</v>
      </c>
    </row>
    <row r="8" spans="1:53" ht="15.75" customHeight="1">
      <c r="A8" s="4356"/>
      <c r="B8" s="4356"/>
      <c r="C8" s="4357"/>
      <c r="D8" s="4372"/>
      <c r="E8" s="4356"/>
      <c r="F8" s="4356"/>
      <c r="G8" s="4356"/>
      <c r="H8" s="4357" t="s">
        <v>4334</v>
      </c>
      <c r="I8" s="4357" t="s">
        <v>4191</v>
      </c>
      <c r="J8" s="4357" t="s">
        <v>4335</v>
      </c>
      <c r="K8" s="4357" t="s">
        <v>4151</v>
      </c>
      <c r="L8" s="4357"/>
      <c r="M8" s="4357" t="s">
        <v>3649</v>
      </c>
      <c r="N8" s="4357"/>
      <c r="O8" s="4357" t="s">
        <v>4211</v>
      </c>
      <c r="P8" s="4357"/>
      <c r="Q8" s="4357" t="s">
        <v>3651</v>
      </c>
      <c r="R8" s="4357"/>
      <c r="S8" s="4357" t="s">
        <v>4336</v>
      </c>
      <c r="T8" s="4357"/>
      <c r="U8" s="4371" t="s">
        <v>306</v>
      </c>
      <c r="V8" s="4357"/>
      <c r="W8" s="4357"/>
      <c r="X8" s="4357"/>
      <c r="Y8" s="4357"/>
      <c r="Z8" s="4357"/>
      <c r="AA8" s="4363" t="s">
        <v>4135</v>
      </c>
      <c r="AB8" s="4363"/>
      <c r="AC8" s="4363"/>
      <c r="AD8" s="4363"/>
      <c r="AE8" s="4363"/>
      <c r="AF8" s="4363"/>
      <c r="AG8" s="4363"/>
      <c r="AH8" s="4363"/>
      <c r="AI8" s="4363" t="s">
        <v>4337</v>
      </c>
      <c r="AJ8" s="4363"/>
      <c r="AK8" s="4363"/>
      <c r="AL8" s="4363" t="s">
        <v>74</v>
      </c>
      <c r="AM8" s="4363"/>
      <c r="AN8" s="4363"/>
      <c r="AO8" s="4363"/>
      <c r="AP8" s="4363"/>
      <c r="AQ8" s="4363"/>
      <c r="AR8" s="4363"/>
      <c r="AS8" s="4363"/>
      <c r="AT8" s="4363"/>
      <c r="AU8" s="4363"/>
      <c r="AV8" s="4364" t="s">
        <v>4145</v>
      </c>
      <c r="AW8" s="4365"/>
      <c r="AX8" s="4365"/>
      <c r="AY8" s="4366"/>
      <c r="AZ8" s="4358" t="s">
        <v>306</v>
      </c>
      <c r="BA8" s="4356"/>
    </row>
    <row r="9" spans="1:53" s="472" customFormat="1" ht="30.75" customHeight="1">
      <c r="A9" s="4356"/>
      <c r="B9" s="4356"/>
      <c r="C9" s="4357"/>
      <c r="D9" s="4372"/>
      <c r="E9" s="4356"/>
      <c r="F9" s="4356"/>
      <c r="G9" s="4356"/>
      <c r="H9" s="4357"/>
      <c r="I9" s="4357"/>
      <c r="J9" s="4357"/>
      <c r="K9" s="4357" t="s">
        <v>4338</v>
      </c>
      <c r="L9" s="4357" t="s">
        <v>4339</v>
      </c>
      <c r="M9" s="4357" t="s">
        <v>4338</v>
      </c>
      <c r="N9" s="4357" t="s">
        <v>4339</v>
      </c>
      <c r="O9" s="4357" t="s">
        <v>4338</v>
      </c>
      <c r="P9" s="4357" t="s">
        <v>4339</v>
      </c>
      <c r="Q9" s="4357" t="s">
        <v>4338</v>
      </c>
      <c r="R9" s="4357" t="s">
        <v>4339</v>
      </c>
      <c r="S9" s="4357" t="s">
        <v>4338</v>
      </c>
      <c r="T9" s="4357" t="s">
        <v>4339</v>
      </c>
      <c r="U9" s="4372"/>
      <c r="V9" s="4357" t="s">
        <v>4340</v>
      </c>
      <c r="W9" s="4357" t="s">
        <v>4339</v>
      </c>
      <c r="X9" s="4357" t="s">
        <v>4341</v>
      </c>
      <c r="Y9" s="4357" t="s">
        <v>4342</v>
      </c>
      <c r="Z9" s="4357" t="s">
        <v>345</v>
      </c>
      <c r="AA9" s="4358" t="s">
        <v>4163</v>
      </c>
      <c r="AB9" s="4357" t="s">
        <v>4331</v>
      </c>
      <c r="AC9" s="4357" t="s">
        <v>3646</v>
      </c>
      <c r="AD9" s="4357" t="s">
        <v>3649</v>
      </c>
      <c r="AE9" s="4357"/>
      <c r="AF9" s="4357" t="s">
        <v>4343</v>
      </c>
      <c r="AG9" s="4357"/>
      <c r="AH9" s="4357" t="s">
        <v>306</v>
      </c>
      <c r="AI9" s="4357" t="s">
        <v>4341</v>
      </c>
      <c r="AJ9" s="4357" t="s">
        <v>4342</v>
      </c>
      <c r="AK9" s="4357" t="s">
        <v>306</v>
      </c>
      <c r="AL9" s="4356" t="s">
        <v>4344</v>
      </c>
      <c r="AM9" s="4356"/>
      <c r="AN9" s="4356"/>
      <c r="AO9" s="4356" t="s">
        <v>4157</v>
      </c>
      <c r="AP9" s="4356"/>
      <c r="AQ9" s="4356"/>
      <c r="AR9" s="4356" t="s">
        <v>4158</v>
      </c>
      <c r="AS9" s="4356"/>
      <c r="AT9" s="4356"/>
      <c r="AU9" s="4356" t="s">
        <v>306</v>
      </c>
      <c r="AV9" s="4367"/>
      <c r="AW9" s="4368"/>
      <c r="AX9" s="4368"/>
      <c r="AY9" s="4369"/>
      <c r="AZ9" s="4370"/>
      <c r="BA9" s="4356"/>
    </row>
    <row r="10" spans="1:53" ht="31.5">
      <c r="A10" s="4356"/>
      <c r="B10" s="4356"/>
      <c r="C10" s="4357"/>
      <c r="D10" s="4373"/>
      <c r="E10" s="1011" t="s">
        <v>501</v>
      </c>
      <c r="F10" s="1011" t="s">
        <v>3653</v>
      </c>
      <c r="G10" s="1011" t="s">
        <v>3641</v>
      </c>
      <c r="H10" s="4357"/>
      <c r="I10" s="4357"/>
      <c r="J10" s="4357"/>
      <c r="K10" s="4357"/>
      <c r="L10" s="4357"/>
      <c r="M10" s="4357"/>
      <c r="N10" s="4357"/>
      <c r="O10" s="4357"/>
      <c r="P10" s="4357"/>
      <c r="Q10" s="4357"/>
      <c r="R10" s="4357"/>
      <c r="S10" s="4357"/>
      <c r="T10" s="4357"/>
      <c r="U10" s="4373"/>
      <c r="V10" s="4357"/>
      <c r="W10" s="4357"/>
      <c r="X10" s="4357"/>
      <c r="Y10" s="4357"/>
      <c r="Z10" s="4357"/>
      <c r="AA10" s="4359"/>
      <c r="AB10" s="4357"/>
      <c r="AC10" s="4357"/>
      <c r="AD10" s="569" t="s">
        <v>4167</v>
      </c>
      <c r="AE10" s="569" t="s">
        <v>345</v>
      </c>
      <c r="AF10" s="569" t="s">
        <v>4167</v>
      </c>
      <c r="AG10" s="569" t="s">
        <v>345</v>
      </c>
      <c r="AH10" s="4357"/>
      <c r="AI10" s="4357"/>
      <c r="AJ10" s="4357"/>
      <c r="AK10" s="4357"/>
      <c r="AL10" s="569" t="s">
        <v>4345</v>
      </c>
      <c r="AM10" s="569" t="s">
        <v>4346</v>
      </c>
      <c r="AN10" s="1011" t="s">
        <v>345</v>
      </c>
      <c r="AO10" s="569" t="s">
        <v>4341</v>
      </c>
      <c r="AP10" s="569" t="s">
        <v>4342</v>
      </c>
      <c r="AQ10" s="1011" t="s">
        <v>345</v>
      </c>
      <c r="AR10" s="569" t="s">
        <v>4347</v>
      </c>
      <c r="AS10" s="569" t="s">
        <v>4348</v>
      </c>
      <c r="AT10" s="1011" t="s">
        <v>345</v>
      </c>
      <c r="AU10" s="4356"/>
      <c r="AV10" s="1011" t="s">
        <v>996</v>
      </c>
      <c r="AW10" s="1011" t="s">
        <v>4023</v>
      </c>
      <c r="AX10" s="1011" t="s">
        <v>999</v>
      </c>
      <c r="AY10" s="1011" t="s">
        <v>345</v>
      </c>
      <c r="AZ10" s="4359"/>
      <c r="BA10" s="4356"/>
    </row>
    <row r="11" spans="1:53">
      <c r="A11" s="1016">
        <v>1</v>
      </c>
      <c r="B11" s="1017"/>
      <c r="C11" s="1016"/>
      <c r="D11" s="1016"/>
      <c r="E11" s="1016"/>
      <c r="F11" s="1016"/>
      <c r="G11" s="1016"/>
      <c r="H11" s="697"/>
      <c r="I11" s="697"/>
      <c r="J11" s="697"/>
      <c r="K11" s="697"/>
      <c r="L11" s="1012">
        <f>K11*G11*D11*J11</f>
        <v>0</v>
      </c>
      <c r="M11" s="1016"/>
      <c r="N11" s="1012">
        <f>M11*G11*D11*J11</f>
        <v>0</v>
      </c>
      <c r="O11" s="1019"/>
      <c r="P11" s="1012">
        <f>O11*G11*D11</f>
        <v>0</v>
      </c>
      <c r="Q11" s="1016"/>
      <c r="R11" s="1012">
        <f>Q11*G11*D11</f>
        <v>0</v>
      </c>
      <c r="S11" s="1016"/>
      <c r="T11" s="1012">
        <f>S11*G11*D11*J11</f>
        <v>0</v>
      </c>
      <c r="U11" s="1012">
        <f>L11+N11+P11+R11+T11</f>
        <v>0</v>
      </c>
      <c r="V11" s="1019"/>
      <c r="W11" s="1012">
        <f>V11*G11*D11</f>
        <v>0</v>
      </c>
      <c r="X11" s="1016"/>
      <c r="Y11" s="1019"/>
      <c r="Z11" s="1012">
        <f>X11*Y11</f>
        <v>0</v>
      </c>
      <c r="AA11" s="704"/>
      <c r="AB11" s="1016"/>
      <c r="AC11" s="1016"/>
      <c r="AD11" s="1012">
        <f>7*E11</f>
        <v>0</v>
      </c>
      <c r="AE11" s="1012">
        <f>AD11*AB11*AC11</f>
        <v>0</v>
      </c>
      <c r="AF11" s="1019"/>
      <c r="AG11" s="1012">
        <f>AF11*AB11</f>
        <v>0</v>
      </c>
      <c r="AH11" s="1012">
        <f>AE11+AG11</f>
        <v>0</v>
      </c>
      <c r="AI11" s="1016"/>
      <c r="AJ11" s="1019"/>
      <c r="AK11" s="1012">
        <f>AI11*AJ11</f>
        <v>0</v>
      </c>
      <c r="AL11" s="1016"/>
      <c r="AM11" s="1013">
        <f>0.5*E11</f>
        <v>0</v>
      </c>
      <c r="AN11" s="1012">
        <f>AL11*(D11+AB11)*AM11</f>
        <v>0</v>
      </c>
      <c r="AO11" s="1016"/>
      <c r="AP11" s="1019"/>
      <c r="AQ11" s="1012">
        <f>AO11*AP11</f>
        <v>0</v>
      </c>
      <c r="AR11" s="1016"/>
      <c r="AS11" s="1019"/>
      <c r="AT11" s="1012">
        <f>AR11*AS11</f>
        <v>0</v>
      </c>
      <c r="AU11" s="1012">
        <f>AN11+AQ11+AT11</f>
        <v>0</v>
      </c>
      <c r="AV11" s="1016"/>
      <c r="AW11" s="1019"/>
      <c r="AX11" s="1016"/>
      <c r="AY11" s="1019"/>
      <c r="AZ11" s="1012">
        <f>AH11+AK11+AU11+AY11</f>
        <v>0</v>
      </c>
      <c r="BA11" s="1012">
        <f>U11+W11+Z11+AZ11</f>
        <v>0</v>
      </c>
    </row>
    <row r="12" spans="1:53">
      <c r="A12" s="1016">
        <v>2</v>
      </c>
      <c r="B12" s="1018"/>
      <c r="C12" s="1016"/>
      <c r="D12" s="1016"/>
      <c r="E12" s="1016"/>
      <c r="F12" s="1016"/>
      <c r="G12" s="1016"/>
      <c r="H12" s="704"/>
      <c r="I12" s="704"/>
      <c r="J12" s="1016"/>
      <c r="K12" s="1016"/>
      <c r="L12" s="1012">
        <f>K12*G12*D12*J12</f>
        <v>0</v>
      </c>
      <c r="M12" s="1016"/>
      <c r="N12" s="1012">
        <f>M12*G12*D12*J12</f>
        <v>0</v>
      </c>
      <c r="O12" s="1019"/>
      <c r="P12" s="1012">
        <f>O12*G12*D12</f>
        <v>0</v>
      </c>
      <c r="Q12" s="1016"/>
      <c r="R12" s="1012">
        <f>Q12*G12*D12</f>
        <v>0</v>
      </c>
      <c r="S12" s="1016"/>
      <c r="T12" s="1012">
        <f>S12*G12*D12*J12</f>
        <v>0</v>
      </c>
      <c r="U12" s="1012">
        <f>L12+N12+P12+R12+T12</f>
        <v>0</v>
      </c>
      <c r="V12" s="1019"/>
      <c r="W12" s="1012">
        <f>V12*G12*D12</f>
        <v>0</v>
      </c>
      <c r="X12" s="1016"/>
      <c r="Y12" s="1019"/>
      <c r="Z12" s="1012">
        <f>X12*Y12</f>
        <v>0</v>
      </c>
      <c r="AA12" s="697"/>
      <c r="AB12" s="697"/>
      <c r="AC12" s="697"/>
      <c r="AD12" s="1012">
        <f t="shared" ref="AD12:AD23" si="0">7*E12</f>
        <v>0</v>
      </c>
      <c r="AE12" s="1012">
        <f t="shared" ref="AE12:AE23" si="1">AD12*AB12*AC12</f>
        <v>0</v>
      </c>
      <c r="AF12" s="1019"/>
      <c r="AG12" s="1012">
        <f t="shared" ref="AG12:AG23" si="2">AF12*AB12</f>
        <v>0</v>
      </c>
      <c r="AH12" s="1012">
        <f t="shared" ref="AH12:AH23" si="3">AE12+AG12</f>
        <v>0</v>
      </c>
      <c r="AI12" s="1016"/>
      <c r="AJ12" s="1019"/>
      <c r="AK12" s="1012">
        <f t="shared" ref="AK12:AK23" si="4">AI12*AJ12</f>
        <v>0</v>
      </c>
      <c r="AL12" s="1016"/>
      <c r="AM12" s="1013">
        <f t="shared" ref="AM12:AM23" si="5">0.5*E12</f>
        <v>0</v>
      </c>
      <c r="AN12" s="1012">
        <f t="shared" ref="AN12:AN23" si="6">AL12*(D12+AB12)*AM12</f>
        <v>0</v>
      </c>
      <c r="AO12" s="1016"/>
      <c r="AP12" s="1019"/>
      <c r="AQ12" s="1012">
        <f t="shared" ref="AQ12:AQ23" si="7">AO12*AP12</f>
        <v>0</v>
      </c>
      <c r="AR12" s="1016"/>
      <c r="AS12" s="1019"/>
      <c r="AT12" s="1012">
        <f t="shared" ref="AT12:AT23" si="8">AR12*AS12</f>
        <v>0</v>
      </c>
      <c r="AU12" s="1012">
        <f t="shared" ref="AU12:AU23" si="9">AN12+AQ12+AT12</f>
        <v>0</v>
      </c>
      <c r="AV12" s="1016"/>
      <c r="AW12" s="697"/>
      <c r="AX12" s="697"/>
      <c r="AY12" s="697"/>
      <c r="AZ12" s="1012">
        <f>AH12+AK12+AU12+AY12</f>
        <v>0</v>
      </c>
      <c r="BA12" s="1012">
        <f>U12+W12+Z12+AZ12</f>
        <v>0</v>
      </c>
    </row>
    <row r="13" spans="1:53">
      <c r="A13" s="1016">
        <v>3</v>
      </c>
      <c r="B13" s="697" t="s">
        <v>327</v>
      </c>
      <c r="C13" s="697"/>
      <c r="D13" s="697"/>
      <c r="E13" s="697"/>
      <c r="F13" s="697"/>
      <c r="G13" s="697"/>
      <c r="H13" s="697"/>
      <c r="I13" s="697"/>
      <c r="J13" s="697"/>
      <c r="K13" s="697"/>
      <c r="L13" s="1012">
        <f t="shared" ref="L13:L23" si="10">K13*G13*D13*J13</f>
        <v>0</v>
      </c>
      <c r="M13" s="1016"/>
      <c r="N13" s="1012">
        <f t="shared" ref="N13:N23" si="11">M13*G13*D13*J13</f>
        <v>0</v>
      </c>
      <c r="O13" s="1019"/>
      <c r="P13" s="1012">
        <f t="shared" ref="P13:P23" si="12">O13*G13*D13</f>
        <v>0</v>
      </c>
      <c r="Q13" s="1016"/>
      <c r="R13" s="1012">
        <f t="shared" ref="R13:R23" si="13">Q13*G13*D13</f>
        <v>0</v>
      </c>
      <c r="S13" s="1016"/>
      <c r="T13" s="1012">
        <f t="shared" ref="T13:T23" si="14">S13*G13*D13*J13</f>
        <v>0</v>
      </c>
      <c r="U13" s="1012">
        <f t="shared" ref="U13:U23" si="15">L13+N13+P13+R13+T13</f>
        <v>0</v>
      </c>
      <c r="V13" s="697"/>
      <c r="W13" s="1012">
        <f t="shared" ref="W13:W23" si="16">V13*G13*D13</f>
        <v>0</v>
      </c>
      <c r="X13" s="1016"/>
      <c r="Y13" s="1019"/>
      <c r="Z13" s="1012">
        <f t="shared" ref="Z13:Z23" si="17">X13*Y13</f>
        <v>0</v>
      </c>
      <c r="AA13" s="697"/>
      <c r="AB13" s="697"/>
      <c r="AC13" s="697"/>
      <c r="AD13" s="1012">
        <f t="shared" si="0"/>
        <v>0</v>
      </c>
      <c r="AE13" s="1012">
        <f t="shared" si="1"/>
        <v>0</v>
      </c>
      <c r="AF13" s="1019"/>
      <c r="AG13" s="1012">
        <f t="shared" si="2"/>
        <v>0</v>
      </c>
      <c r="AH13" s="1012">
        <f t="shared" si="3"/>
        <v>0</v>
      </c>
      <c r="AI13" s="1016"/>
      <c r="AJ13" s="1019"/>
      <c r="AK13" s="1012">
        <f t="shared" si="4"/>
        <v>0</v>
      </c>
      <c r="AL13" s="1016"/>
      <c r="AM13" s="1013">
        <f t="shared" si="5"/>
        <v>0</v>
      </c>
      <c r="AN13" s="1012">
        <f t="shared" si="6"/>
        <v>0</v>
      </c>
      <c r="AO13" s="1016"/>
      <c r="AP13" s="1019"/>
      <c r="AQ13" s="1012">
        <f t="shared" si="7"/>
        <v>0</v>
      </c>
      <c r="AR13" s="1016"/>
      <c r="AS13" s="1019"/>
      <c r="AT13" s="1012">
        <f t="shared" si="8"/>
        <v>0</v>
      </c>
      <c r="AU13" s="1012">
        <f t="shared" si="9"/>
        <v>0</v>
      </c>
      <c r="AV13" s="1016"/>
      <c r="AW13" s="697"/>
      <c r="AX13" s="697"/>
      <c r="AY13" s="697"/>
      <c r="AZ13" s="1012">
        <f t="shared" ref="AZ13:AZ23" si="18">AH13+AK13+AU13+AY13</f>
        <v>0</v>
      </c>
      <c r="BA13" s="1012">
        <f t="shared" ref="BA13:BA23" si="19">U13+W13+Z13+AZ13</f>
        <v>0</v>
      </c>
    </row>
    <row r="14" spans="1:53">
      <c r="A14" s="697"/>
      <c r="B14" s="697"/>
      <c r="C14" s="697"/>
      <c r="D14" s="697"/>
      <c r="E14" s="697"/>
      <c r="F14" s="697"/>
      <c r="G14" s="697"/>
      <c r="H14" s="697"/>
      <c r="I14" s="697"/>
      <c r="J14" s="697"/>
      <c r="K14" s="697"/>
      <c r="L14" s="1012">
        <f t="shared" si="10"/>
        <v>0</v>
      </c>
      <c r="M14" s="1016"/>
      <c r="N14" s="1012">
        <f t="shared" si="11"/>
        <v>0</v>
      </c>
      <c r="O14" s="1019"/>
      <c r="P14" s="1012">
        <f t="shared" si="12"/>
        <v>0</v>
      </c>
      <c r="Q14" s="1016"/>
      <c r="R14" s="1012">
        <f t="shared" si="13"/>
        <v>0</v>
      </c>
      <c r="S14" s="1016"/>
      <c r="T14" s="1012">
        <f t="shared" si="14"/>
        <v>0</v>
      </c>
      <c r="U14" s="1012">
        <f t="shared" si="15"/>
        <v>0</v>
      </c>
      <c r="V14" s="697"/>
      <c r="W14" s="1012">
        <f t="shared" si="16"/>
        <v>0</v>
      </c>
      <c r="X14" s="1016"/>
      <c r="Y14" s="1019"/>
      <c r="Z14" s="1012">
        <f t="shared" si="17"/>
        <v>0</v>
      </c>
      <c r="AA14" s="697"/>
      <c r="AB14" s="697"/>
      <c r="AC14" s="697"/>
      <c r="AD14" s="1012">
        <f t="shared" si="0"/>
        <v>0</v>
      </c>
      <c r="AE14" s="1012">
        <f t="shared" si="1"/>
        <v>0</v>
      </c>
      <c r="AF14" s="1019"/>
      <c r="AG14" s="1012">
        <f t="shared" si="2"/>
        <v>0</v>
      </c>
      <c r="AH14" s="1012">
        <f t="shared" si="3"/>
        <v>0</v>
      </c>
      <c r="AI14" s="1016"/>
      <c r="AJ14" s="1019"/>
      <c r="AK14" s="1012">
        <f t="shared" si="4"/>
        <v>0</v>
      </c>
      <c r="AL14" s="1016"/>
      <c r="AM14" s="1013">
        <f t="shared" si="5"/>
        <v>0</v>
      </c>
      <c r="AN14" s="1012">
        <f t="shared" si="6"/>
        <v>0</v>
      </c>
      <c r="AO14" s="1016"/>
      <c r="AP14" s="1019"/>
      <c r="AQ14" s="1012">
        <f t="shared" si="7"/>
        <v>0</v>
      </c>
      <c r="AR14" s="1016"/>
      <c r="AS14" s="1019"/>
      <c r="AT14" s="1012">
        <f t="shared" si="8"/>
        <v>0</v>
      </c>
      <c r="AU14" s="1012">
        <f t="shared" si="9"/>
        <v>0</v>
      </c>
      <c r="AV14" s="1016"/>
      <c r="AW14" s="697"/>
      <c r="AX14" s="697"/>
      <c r="AY14" s="697"/>
      <c r="AZ14" s="1012">
        <f t="shared" si="18"/>
        <v>0</v>
      </c>
      <c r="BA14" s="1012">
        <f t="shared" si="19"/>
        <v>0</v>
      </c>
    </row>
    <row r="15" spans="1:53">
      <c r="A15" s="697"/>
      <c r="B15" s="697"/>
      <c r="C15" s="697"/>
      <c r="D15" s="697"/>
      <c r="E15" s="697"/>
      <c r="F15" s="697"/>
      <c r="G15" s="697"/>
      <c r="H15" s="697"/>
      <c r="I15" s="697"/>
      <c r="J15" s="697"/>
      <c r="K15" s="697"/>
      <c r="L15" s="1012">
        <f t="shared" si="10"/>
        <v>0</v>
      </c>
      <c r="M15" s="1016"/>
      <c r="N15" s="1012">
        <f t="shared" si="11"/>
        <v>0</v>
      </c>
      <c r="O15" s="1019"/>
      <c r="P15" s="1012">
        <f t="shared" si="12"/>
        <v>0</v>
      </c>
      <c r="Q15" s="1016"/>
      <c r="R15" s="1012">
        <f t="shared" si="13"/>
        <v>0</v>
      </c>
      <c r="S15" s="1016"/>
      <c r="T15" s="1012">
        <f t="shared" si="14"/>
        <v>0</v>
      </c>
      <c r="U15" s="1012">
        <f t="shared" si="15"/>
        <v>0</v>
      </c>
      <c r="V15" s="697"/>
      <c r="W15" s="1012">
        <f t="shared" si="16"/>
        <v>0</v>
      </c>
      <c r="X15" s="1016"/>
      <c r="Y15" s="1019"/>
      <c r="Z15" s="1012">
        <f t="shared" si="17"/>
        <v>0</v>
      </c>
      <c r="AA15" s="697"/>
      <c r="AB15" s="697"/>
      <c r="AC15" s="697"/>
      <c r="AD15" s="1012">
        <f t="shared" si="0"/>
        <v>0</v>
      </c>
      <c r="AE15" s="1012">
        <f t="shared" si="1"/>
        <v>0</v>
      </c>
      <c r="AF15" s="1019"/>
      <c r="AG15" s="1012">
        <f t="shared" si="2"/>
        <v>0</v>
      </c>
      <c r="AH15" s="1012">
        <f t="shared" si="3"/>
        <v>0</v>
      </c>
      <c r="AI15" s="1016"/>
      <c r="AJ15" s="1019"/>
      <c r="AK15" s="1012">
        <f t="shared" si="4"/>
        <v>0</v>
      </c>
      <c r="AL15" s="1016"/>
      <c r="AM15" s="1013">
        <f t="shared" si="5"/>
        <v>0</v>
      </c>
      <c r="AN15" s="1012">
        <f t="shared" si="6"/>
        <v>0</v>
      </c>
      <c r="AO15" s="1016"/>
      <c r="AP15" s="1019"/>
      <c r="AQ15" s="1012">
        <f t="shared" si="7"/>
        <v>0</v>
      </c>
      <c r="AR15" s="1016"/>
      <c r="AS15" s="1019"/>
      <c r="AT15" s="1012">
        <f t="shared" si="8"/>
        <v>0</v>
      </c>
      <c r="AU15" s="1012">
        <f t="shared" si="9"/>
        <v>0</v>
      </c>
      <c r="AV15" s="697"/>
      <c r="AW15" s="697"/>
      <c r="AX15" s="697"/>
      <c r="AY15" s="697"/>
      <c r="AZ15" s="1012">
        <f t="shared" si="18"/>
        <v>0</v>
      </c>
      <c r="BA15" s="1012">
        <f t="shared" si="19"/>
        <v>0</v>
      </c>
    </row>
    <row r="16" spans="1:53">
      <c r="A16" s="697"/>
      <c r="B16" s="697"/>
      <c r="C16" s="697"/>
      <c r="D16" s="697"/>
      <c r="E16" s="697"/>
      <c r="F16" s="697"/>
      <c r="G16" s="697"/>
      <c r="H16" s="697"/>
      <c r="I16" s="697"/>
      <c r="J16" s="697"/>
      <c r="K16" s="697"/>
      <c r="L16" s="1012">
        <f t="shared" si="10"/>
        <v>0</v>
      </c>
      <c r="M16" s="1016"/>
      <c r="N16" s="1012">
        <f t="shared" si="11"/>
        <v>0</v>
      </c>
      <c r="O16" s="1019"/>
      <c r="P16" s="1012">
        <f t="shared" si="12"/>
        <v>0</v>
      </c>
      <c r="Q16" s="1016"/>
      <c r="R16" s="1012">
        <f t="shared" si="13"/>
        <v>0</v>
      </c>
      <c r="S16" s="1016"/>
      <c r="T16" s="1012">
        <f t="shared" si="14"/>
        <v>0</v>
      </c>
      <c r="U16" s="1012">
        <f t="shared" si="15"/>
        <v>0</v>
      </c>
      <c r="V16" s="697"/>
      <c r="W16" s="1012">
        <f t="shared" si="16"/>
        <v>0</v>
      </c>
      <c r="X16" s="1016"/>
      <c r="Y16" s="1019"/>
      <c r="Z16" s="1012">
        <f t="shared" si="17"/>
        <v>0</v>
      </c>
      <c r="AA16" s="697"/>
      <c r="AB16" s="697"/>
      <c r="AC16" s="697"/>
      <c r="AD16" s="1012">
        <f t="shared" si="0"/>
        <v>0</v>
      </c>
      <c r="AE16" s="1012">
        <f t="shared" si="1"/>
        <v>0</v>
      </c>
      <c r="AF16" s="1019"/>
      <c r="AG16" s="1012">
        <f t="shared" si="2"/>
        <v>0</v>
      </c>
      <c r="AH16" s="1012">
        <f t="shared" si="3"/>
        <v>0</v>
      </c>
      <c r="AI16" s="1016"/>
      <c r="AJ16" s="1019"/>
      <c r="AK16" s="1012">
        <f t="shared" si="4"/>
        <v>0</v>
      </c>
      <c r="AL16" s="1016"/>
      <c r="AM16" s="1013">
        <f t="shared" si="5"/>
        <v>0</v>
      </c>
      <c r="AN16" s="1012">
        <f t="shared" si="6"/>
        <v>0</v>
      </c>
      <c r="AO16" s="1016"/>
      <c r="AP16" s="1019"/>
      <c r="AQ16" s="1012">
        <f t="shared" si="7"/>
        <v>0</v>
      </c>
      <c r="AR16" s="1016"/>
      <c r="AS16" s="1019"/>
      <c r="AT16" s="1012">
        <f t="shared" si="8"/>
        <v>0</v>
      </c>
      <c r="AU16" s="1012">
        <f t="shared" si="9"/>
        <v>0</v>
      </c>
      <c r="AV16" s="697"/>
      <c r="AW16" s="697"/>
      <c r="AX16" s="697"/>
      <c r="AY16" s="697"/>
      <c r="AZ16" s="1012">
        <f t="shared" si="18"/>
        <v>0</v>
      </c>
      <c r="BA16" s="1012">
        <f t="shared" si="19"/>
        <v>0</v>
      </c>
    </row>
    <row r="17" spans="1:53">
      <c r="A17" s="697"/>
      <c r="B17" s="697"/>
      <c r="C17" s="697"/>
      <c r="D17" s="697"/>
      <c r="E17" s="697"/>
      <c r="F17" s="697"/>
      <c r="G17" s="697"/>
      <c r="H17" s="697"/>
      <c r="I17" s="697"/>
      <c r="J17" s="697"/>
      <c r="K17" s="697"/>
      <c r="L17" s="1012">
        <f t="shared" si="10"/>
        <v>0</v>
      </c>
      <c r="M17" s="1016"/>
      <c r="N17" s="1012">
        <f t="shared" si="11"/>
        <v>0</v>
      </c>
      <c r="O17" s="1019"/>
      <c r="P17" s="1012">
        <f t="shared" si="12"/>
        <v>0</v>
      </c>
      <c r="Q17" s="1016"/>
      <c r="R17" s="1012">
        <f t="shared" si="13"/>
        <v>0</v>
      </c>
      <c r="S17" s="1016"/>
      <c r="T17" s="1012">
        <f t="shared" si="14"/>
        <v>0</v>
      </c>
      <c r="U17" s="1012">
        <f t="shared" si="15"/>
        <v>0</v>
      </c>
      <c r="V17" s="697"/>
      <c r="W17" s="1012">
        <f t="shared" si="16"/>
        <v>0</v>
      </c>
      <c r="X17" s="1016"/>
      <c r="Y17" s="1019"/>
      <c r="Z17" s="1012">
        <f t="shared" si="17"/>
        <v>0</v>
      </c>
      <c r="AA17" s="697"/>
      <c r="AB17" s="697"/>
      <c r="AC17" s="697"/>
      <c r="AD17" s="1012">
        <f t="shared" si="0"/>
        <v>0</v>
      </c>
      <c r="AE17" s="1012">
        <f t="shared" si="1"/>
        <v>0</v>
      </c>
      <c r="AF17" s="1019"/>
      <c r="AG17" s="1012">
        <f t="shared" si="2"/>
        <v>0</v>
      </c>
      <c r="AH17" s="1012">
        <f t="shared" si="3"/>
        <v>0</v>
      </c>
      <c r="AI17" s="1016"/>
      <c r="AJ17" s="1019"/>
      <c r="AK17" s="1012">
        <f t="shared" si="4"/>
        <v>0</v>
      </c>
      <c r="AL17" s="1016"/>
      <c r="AM17" s="1013">
        <f t="shared" si="5"/>
        <v>0</v>
      </c>
      <c r="AN17" s="1012">
        <f t="shared" si="6"/>
        <v>0</v>
      </c>
      <c r="AO17" s="1016"/>
      <c r="AP17" s="1019"/>
      <c r="AQ17" s="1012">
        <f t="shared" si="7"/>
        <v>0</v>
      </c>
      <c r="AR17" s="1016"/>
      <c r="AS17" s="1019"/>
      <c r="AT17" s="1012">
        <f t="shared" si="8"/>
        <v>0</v>
      </c>
      <c r="AU17" s="1012">
        <f t="shared" si="9"/>
        <v>0</v>
      </c>
      <c r="AV17" s="697"/>
      <c r="AW17" s="697"/>
      <c r="AX17" s="697"/>
      <c r="AY17" s="697"/>
      <c r="AZ17" s="1012">
        <f t="shared" si="18"/>
        <v>0</v>
      </c>
      <c r="BA17" s="1012">
        <f t="shared" si="19"/>
        <v>0</v>
      </c>
    </row>
    <row r="18" spans="1:53">
      <c r="A18" s="697"/>
      <c r="B18" s="697"/>
      <c r="C18" s="697"/>
      <c r="D18" s="697"/>
      <c r="E18" s="697"/>
      <c r="F18" s="697"/>
      <c r="G18" s="697"/>
      <c r="H18" s="697"/>
      <c r="I18" s="697"/>
      <c r="J18" s="697"/>
      <c r="K18" s="697"/>
      <c r="L18" s="1012">
        <f t="shared" si="10"/>
        <v>0</v>
      </c>
      <c r="M18" s="1016"/>
      <c r="N18" s="1012">
        <f t="shared" si="11"/>
        <v>0</v>
      </c>
      <c r="O18" s="1019"/>
      <c r="P18" s="1012">
        <f t="shared" si="12"/>
        <v>0</v>
      </c>
      <c r="Q18" s="1016"/>
      <c r="R18" s="1012">
        <f t="shared" si="13"/>
        <v>0</v>
      </c>
      <c r="S18" s="1016"/>
      <c r="T18" s="1012">
        <f t="shared" si="14"/>
        <v>0</v>
      </c>
      <c r="U18" s="1012">
        <f t="shared" si="15"/>
        <v>0</v>
      </c>
      <c r="V18" s="697"/>
      <c r="W18" s="1012">
        <f t="shared" si="16"/>
        <v>0</v>
      </c>
      <c r="X18" s="1016"/>
      <c r="Y18" s="1019"/>
      <c r="Z18" s="1012">
        <f t="shared" si="17"/>
        <v>0</v>
      </c>
      <c r="AA18" s="697"/>
      <c r="AB18" s="697"/>
      <c r="AC18" s="697"/>
      <c r="AD18" s="1012">
        <f t="shared" si="0"/>
        <v>0</v>
      </c>
      <c r="AE18" s="1012">
        <f t="shared" si="1"/>
        <v>0</v>
      </c>
      <c r="AF18" s="1019"/>
      <c r="AG18" s="1012">
        <f t="shared" si="2"/>
        <v>0</v>
      </c>
      <c r="AH18" s="1012">
        <f t="shared" si="3"/>
        <v>0</v>
      </c>
      <c r="AI18" s="1016"/>
      <c r="AJ18" s="1019"/>
      <c r="AK18" s="1012">
        <f t="shared" si="4"/>
        <v>0</v>
      </c>
      <c r="AL18" s="1016"/>
      <c r="AM18" s="1013">
        <f t="shared" si="5"/>
        <v>0</v>
      </c>
      <c r="AN18" s="1012">
        <f t="shared" si="6"/>
        <v>0</v>
      </c>
      <c r="AO18" s="1016"/>
      <c r="AP18" s="1019"/>
      <c r="AQ18" s="1012">
        <f t="shared" si="7"/>
        <v>0</v>
      </c>
      <c r="AR18" s="1016"/>
      <c r="AS18" s="1019"/>
      <c r="AT18" s="1012">
        <f t="shared" si="8"/>
        <v>0</v>
      </c>
      <c r="AU18" s="1012">
        <f t="shared" si="9"/>
        <v>0</v>
      </c>
      <c r="AV18" s="697"/>
      <c r="AW18" s="697"/>
      <c r="AX18" s="697"/>
      <c r="AY18" s="697"/>
      <c r="AZ18" s="1012">
        <f t="shared" si="18"/>
        <v>0</v>
      </c>
      <c r="BA18" s="1012">
        <f t="shared" si="19"/>
        <v>0</v>
      </c>
    </row>
    <row r="19" spans="1:53">
      <c r="A19" s="697"/>
      <c r="B19" s="697"/>
      <c r="C19" s="697"/>
      <c r="D19" s="697"/>
      <c r="E19" s="697"/>
      <c r="F19" s="697"/>
      <c r="G19" s="697"/>
      <c r="H19" s="697"/>
      <c r="I19" s="697"/>
      <c r="J19" s="697"/>
      <c r="K19" s="697"/>
      <c r="L19" s="1012">
        <f t="shared" si="10"/>
        <v>0</v>
      </c>
      <c r="M19" s="1016"/>
      <c r="N19" s="1012">
        <f t="shared" si="11"/>
        <v>0</v>
      </c>
      <c r="O19" s="1019"/>
      <c r="P19" s="1012">
        <f t="shared" si="12"/>
        <v>0</v>
      </c>
      <c r="Q19" s="1016"/>
      <c r="R19" s="1012">
        <f t="shared" si="13"/>
        <v>0</v>
      </c>
      <c r="S19" s="1016"/>
      <c r="T19" s="1012">
        <f t="shared" si="14"/>
        <v>0</v>
      </c>
      <c r="U19" s="1012">
        <f t="shared" si="15"/>
        <v>0</v>
      </c>
      <c r="V19" s="697"/>
      <c r="W19" s="1012">
        <f t="shared" si="16"/>
        <v>0</v>
      </c>
      <c r="X19" s="1016"/>
      <c r="Y19" s="1019"/>
      <c r="Z19" s="1012">
        <f t="shared" si="17"/>
        <v>0</v>
      </c>
      <c r="AA19" s="697"/>
      <c r="AB19" s="697"/>
      <c r="AC19" s="697"/>
      <c r="AD19" s="1012">
        <f t="shared" si="0"/>
        <v>0</v>
      </c>
      <c r="AE19" s="1012">
        <f t="shared" si="1"/>
        <v>0</v>
      </c>
      <c r="AF19" s="1019"/>
      <c r="AG19" s="1012">
        <f t="shared" si="2"/>
        <v>0</v>
      </c>
      <c r="AH19" s="1012">
        <f t="shared" si="3"/>
        <v>0</v>
      </c>
      <c r="AI19" s="1016"/>
      <c r="AJ19" s="1019"/>
      <c r="AK19" s="1012">
        <f t="shared" si="4"/>
        <v>0</v>
      </c>
      <c r="AL19" s="1016"/>
      <c r="AM19" s="1013">
        <f t="shared" si="5"/>
        <v>0</v>
      </c>
      <c r="AN19" s="1012">
        <f t="shared" si="6"/>
        <v>0</v>
      </c>
      <c r="AO19" s="1016"/>
      <c r="AP19" s="1019"/>
      <c r="AQ19" s="1012">
        <f t="shared" si="7"/>
        <v>0</v>
      </c>
      <c r="AR19" s="1016"/>
      <c r="AS19" s="1019"/>
      <c r="AT19" s="1012">
        <f t="shared" si="8"/>
        <v>0</v>
      </c>
      <c r="AU19" s="1012">
        <f t="shared" si="9"/>
        <v>0</v>
      </c>
      <c r="AV19" s="697"/>
      <c r="AW19" s="697"/>
      <c r="AX19" s="697"/>
      <c r="AY19" s="697"/>
      <c r="AZ19" s="1012">
        <f t="shared" si="18"/>
        <v>0</v>
      </c>
      <c r="BA19" s="1012">
        <f t="shared" si="19"/>
        <v>0</v>
      </c>
    </row>
    <row r="20" spans="1:53">
      <c r="A20" s="697"/>
      <c r="B20" s="697"/>
      <c r="C20" s="697"/>
      <c r="D20" s="697"/>
      <c r="E20" s="697"/>
      <c r="F20" s="697"/>
      <c r="G20" s="697"/>
      <c r="H20" s="697"/>
      <c r="I20" s="697"/>
      <c r="J20" s="697"/>
      <c r="K20" s="697"/>
      <c r="L20" s="1012">
        <f t="shared" si="10"/>
        <v>0</v>
      </c>
      <c r="M20" s="1016"/>
      <c r="N20" s="1012">
        <f t="shared" si="11"/>
        <v>0</v>
      </c>
      <c r="O20" s="1019"/>
      <c r="P20" s="1012">
        <f t="shared" si="12"/>
        <v>0</v>
      </c>
      <c r="Q20" s="1016"/>
      <c r="R20" s="1012">
        <f t="shared" si="13"/>
        <v>0</v>
      </c>
      <c r="S20" s="1016"/>
      <c r="T20" s="1012">
        <f t="shared" si="14"/>
        <v>0</v>
      </c>
      <c r="U20" s="1012">
        <f t="shared" si="15"/>
        <v>0</v>
      </c>
      <c r="V20" s="697"/>
      <c r="W20" s="1012">
        <f t="shared" si="16"/>
        <v>0</v>
      </c>
      <c r="X20" s="1016"/>
      <c r="Y20" s="1019"/>
      <c r="Z20" s="1012">
        <f t="shared" si="17"/>
        <v>0</v>
      </c>
      <c r="AA20" s="697"/>
      <c r="AB20" s="697"/>
      <c r="AC20" s="697"/>
      <c r="AD20" s="1012">
        <f t="shared" si="0"/>
        <v>0</v>
      </c>
      <c r="AE20" s="1012">
        <f t="shared" si="1"/>
        <v>0</v>
      </c>
      <c r="AF20" s="1019"/>
      <c r="AG20" s="1012">
        <f t="shared" si="2"/>
        <v>0</v>
      </c>
      <c r="AH20" s="1012">
        <f t="shared" si="3"/>
        <v>0</v>
      </c>
      <c r="AI20" s="1016"/>
      <c r="AJ20" s="1019"/>
      <c r="AK20" s="1012">
        <f t="shared" si="4"/>
        <v>0</v>
      </c>
      <c r="AL20" s="1016"/>
      <c r="AM20" s="1013">
        <f t="shared" si="5"/>
        <v>0</v>
      </c>
      <c r="AN20" s="1012">
        <f t="shared" si="6"/>
        <v>0</v>
      </c>
      <c r="AO20" s="1016"/>
      <c r="AP20" s="1019"/>
      <c r="AQ20" s="1012">
        <f t="shared" si="7"/>
        <v>0</v>
      </c>
      <c r="AR20" s="1016"/>
      <c r="AS20" s="1019"/>
      <c r="AT20" s="1012">
        <f t="shared" si="8"/>
        <v>0</v>
      </c>
      <c r="AU20" s="1012">
        <f t="shared" si="9"/>
        <v>0</v>
      </c>
      <c r="AV20" s="697"/>
      <c r="AW20" s="697"/>
      <c r="AX20" s="697"/>
      <c r="AY20" s="697"/>
      <c r="AZ20" s="1012">
        <f t="shared" si="18"/>
        <v>0</v>
      </c>
      <c r="BA20" s="1012">
        <f t="shared" si="19"/>
        <v>0</v>
      </c>
    </row>
    <row r="21" spans="1:53">
      <c r="A21" s="697"/>
      <c r="B21" s="697"/>
      <c r="C21" s="697"/>
      <c r="D21" s="697"/>
      <c r="E21" s="697"/>
      <c r="F21" s="697"/>
      <c r="G21" s="697"/>
      <c r="H21" s="697"/>
      <c r="I21" s="697"/>
      <c r="J21" s="697"/>
      <c r="K21" s="697"/>
      <c r="L21" s="1012">
        <f t="shared" si="10"/>
        <v>0</v>
      </c>
      <c r="M21" s="1016"/>
      <c r="N21" s="1012">
        <f t="shared" si="11"/>
        <v>0</v>
      </c>
      <c r="O21" s="1019"/>
      <c r="P21" s="1012">
        <f t="shared" si="12"/>
        <v>0</v>
      </c>
      <c r="Q21" s="1016"/>
      <c r="R21" s="1012">
        <f t="shared" si="13"/>
        <v>0</v>
      </c>
      <c r="S21" s="1016"/>
      <c r="T21" s="1012">
        <f t="shared" si="14"/>
        <v>0</v>
      </c>
      <c r="U21" s="1012">
        <f t="shared" si="15"/>
        <v>0</v>
      </c>
      <c r="V21" s="697"/>
      <c r="W21" s="1012">
        <f t="shared" si="16"/>
        <v>0</v>
      </c>
      <c r="X21" s="1016"/>
      <c r="Y21" s="1019"/>
      <c r="Z21" s="1012">
        <f t="shared" si="17"/>
        <v>0</v>
      </c>
      <c r="AA21" s="697"/>
      <c r="AB21" s="697"/>
      <c r="AC21" s="697"/>
      <c r="AD21" s="1012">
        <f t="shared" si="0"/>
        <v>0</v>
      </c>
      <c r="AE21" s="1012">
        <f t="shared" si="1"/>
        <v>0</v>
      </c>
      <c r="AF21" s="1019"/>
      <c r="AG21" s="1012">
        <f t="shared" si="2"/>
        <v>0</v>
      </c>
      <c r="AH21" s="1012">
        <f t="shared" si="3"/>
        <v>0</v>
      </c>
      <c r="AI21" s="1016"/>
      <c r="AJ21" s="1019"/>
      <c r="AK21" s="1012">
        <f t="shared" si="4"/>
        <v>0</v>
      </c>
      <c r="AL21" s="1016"/>
      <c r="AM21" s="1013">
        <f t="shared" si="5"/>
        <v>0</v>
      </c>
      <c r="AN21" s="1012">
        <f t="shared" si="6"/>
        <v>0</v>
      </c>
      <c r="AO21" s="1016"/>
      <c r="AP21" s="1019"/>
      <c r="AQ21" s="1012">
        <f t="shared" si="7"/>
        <v>0</v>
      </c>
      <c r="AR21" s="1016"/>
      <c r="AS21" s="1019"/>
      <c r="AT21" s="1012">
        <f t="shared" si="8"/>
        <v>0</v>
      </c>
      <c r="AU21" s="1012">
        <f t="shared" si="9"/>
        <v>0</v>
      </c>
      <c r="AV21" s="697"/>
      <c r="AW21" s="697"/>
      <c r="AX21" s="697"/>
      <c r="AY21" s="697"/>
      <c r="AZ21" s="1012">
        <f t="shared" si="18"/>
        <v>0</v>
      </c>
      <c r="BA21" s="1012">
        <f t="shared" si="19"/>
        <v>0</v>
      </c>
    </row>
    <row r="22" spans="1:53">
      <c r="A22" s="697"/>
      <c r="B22" s="697"/>
      <c r="C22" s="697"/>
      <c r="D22" s="697"/>
      <c r="E22" s="697"/>
      <c r="F22" s="697"/>
      <c r="G22" s="697"/>
      <c r="H22" s="697"/>
      <c r="I22" s="697"/>
      <c r="J22" s="697"/>
      <c r="K22" s="697"/>
      <c r="L22" s="1012">
        <f t="shared" si="10"/>
        <v>0</v>
      </c>
      <c r="M22" s="1016"/>
      <c r="N22" s="1012">
        <f t="shared" si="11"/>
        <v>0</v>
      </c>
      <c r="O22" s="1019"/>
      <c r="P22" s="1012">
        <f t="shared" si="12"/>
        <v>0</v>
      </c>
      <c r="Q22" s="1016"/>
      <c r="R22" s="1012">
        <f t="shared" si="13"/>
        <v>0</v>
      </c>
      <c r="S22" s="1016"/>
      <c r="T22" s="1012">
        <f t="shared" si="14"/>
        <v>0</v>
      </c>
      <c r="U22" s="1012">
        <f t="shared" si="15"/>
        <v>0</v>
      </c>
      <c r="V22" s="697"/>
      <c r="W22" s="1012">
        <f t="shared" si="16"/>
        <v>0</v>
      </c>
      <c r="X22" s="1016"/>
      <c r="Y22" s="1019"/>
      <c r="Z22" s="1012">
        <f t="shared" si="17"/>
        <v>0</v>
      </c>
      <c r="AA22" s="697"/>
      <c r="AB22" s="697"/>
      <c r="AC22" s="697"/>
      <c r="AD22" s="1012">
        <f t="shared" si="0"/>
        <v>0</v>
      </c>
      <c r="AE22" s="1012">
        <f t="shared" si="1"/>
        <v>0</v>
      </c>
      <c r="AF22" s="1019"/>
      <c r="AG22" s="1012">
        <f t="shared" si="2"/>
        <v>0</v>
      </c>
      <c r="AH22" s="1012">
        <f t="shared" si="3"/>
        <v>0</v>
      </c>
      <c r="AI22" s="1016"/>
      <c r="AJ22" s="1019"/>
      <c r="AK22" s="1012">
        <f t="shared" si="4"/>
        <v>0</v>
      </c>
      <c r="AL22" s="1016"/>
      <c r="AM22" s="1013">
        <f t="shared" si="5"/>
        <v>0</v>
      </c>
      <c r="AN22" s="1012">
        <f t="shared" si="6"/>
        <v>0</v>
      </c>
      <c r="AO22" s="1016"/>
      <c r="AP22" s="1019"/>
      <c r="AQ22" s="1012">
        <f t="shared" si="7"/>
        <v>0</v>
      </c>
      <c r="AR22" s="1016"/>
      <c r="AS22" s="1019"/>
      <c r="AT22" s="1012">
        <f t="shared" si="8"/>
        <v>0</v>
      </c>
      <c r="AU22" s="1012">
        <f t="shared" si="9"/>
        <v>0</v>
      </c>
      <c r="AV22" s="697"/>
      <c r="AW22" s="697"/>
      <c r="AX22" s="697"/>
      <c r="AY22" s="697"/>
      <c r="AZ22" s="1012">
        <f t="shared" si="18"/>
        <v>0</v>
      </c>
      <c r="BA22" s="1012">
        <f t="shared" si="19"/>
        <v>0</v>
      </c>
    </row>
    <row r="23" spans="1:53">
      <c r="A23" s="697"/>
      <c r="B23" s="697"/>
      <c r="C23" s="697"/>
      <c r="D23" s="697"/>
      <c r="E23" s="697"/>
      <c r="F23" s="697"/>
      <c r="G23" s="697"/>
      <c r="H23" s="697"/>
      <c r="I23" s="697"/>
      <c r="J23" s="697"/>
      <c r="K23" s="697"/>
      <c r="L23" s="1012">
        <f t="shared" si="10"/>
        <v>0</v>
      </c>
      <c r="M23" s="1016"/>
      <c r="N23" s="1012">
        <f t="shared" si="11"/>
        <v>0</v>
      </c>
      <c r="O23" s="1019"/>
      <c r="P23" s="1012">
        <f t="shared" si="12"/>
        <v>0</v>
      </c>
      <c r="Q23" s="1016"/>
      <c r="R23" s="1012">
        <f t="shared" si="13"/>
        <v>0</v>
      </c>
      <c r="S23" s="1016"/>
      <c r="T23" s="1012">
        <f t="shared" si="14"/>
        <v>0</v>
      </c>
      <c r="U23" s="1012">
        <f t="shared" si="15"/>
        <v>0</v>
      </c>
      <c r="V23" s="697"/>
      <c r="W23" s="1012">
        <f t="shared" si="16"/>
        <v>0</v>
      </c>
      <c r="X23" s="1016"/>
      <c r="Y23" s="1019"/>
      <c r="Z23" s="1012">
        <f t="shared" si="17"/>
        <v>0</v>
      </c>
      <c r="AA23" s="697"/>
      <c r="AB23" s="697"/>
      <c r="AC23" s="697"/>
      <c r="AD23" s="1012">
        <f t="shared" si="0"/>
        <v>0</v>
      </c>
      <c r="AE23" s="1012">
        <f t="shared" si="1"/>
        <v>0</v>
      </c>
      <c r="AF23" s="1019"/>
      <c r="AG23" s="1012">
        <f t="shared" si="2"/>
        <v>0</v>
      </c>
      <c r="AH23" s="1012">
        <f t="shared" si="3"/>
        <v>0</v>
      </c>
      <c r="AI23" s="1016"/>
      <c r="AJ23" s="1019"/>
      <c r="AK23" s="1012">
        <f t="shared" si="4"/>
        <v>0</v>
      </c>
      <c r="AL23" s="1016"/>
      <c r="AM23" s="1013">
        <f t="shared" si="5"/>
        <v>0</v>
      </c>
      <c r="AN23" s="1012">
        <f t="shared" si="6"/>
        <v>0</v>
      </c>
      <c r="AO23" s="1016"/>
      <c r="AP23" s="1019"/>
      <c r="AQ23" s="1012">
        <f t="shared" si="7"/>
        <v>0</v>
      </c>
      <c r="AR23" s="1016"/>
      <c r="AS23" s="1019"/>
      <c r="AT23" s="1012">
        <f t="shared" si="8"/>
        <v>0</v>
      </c>
      <c r="AU23" s="1012">
        <f t="shared" si="9"/>
        <v>0</v>
      </c>
      <c r="AV23" s="697"/>
      <c r="AW23" s="697"/>
      <c r="AX23" s="697"/>
      <c r="AY23" s="697"/>
      <c r="AZ23" s="1012">
        <f t="shared" si="18"/>
        <v>0</v>
      </c>
      <c r="BA23" s="1012">
        <f t="shared" si="19"/>
        <v>0</v>
      </c>
    </row>
    <row r="24" spans="1:53">
      <c r="A24" s="517"/>
      <c r="B24" s="516" t="s">
        <v>20</v>
      </c>
      <c r="C24" s="517"/>
      <c r="D24" s="517"/>
      <c r="E24" s="517"/>
      <c r="F24" s="517"/>
      <c r="G24" s="517"/>
      <c r="H24" s="517"/>
      <c r="I24" s="517"/>
      <c r="J24" s="517"/>
      <c r="K24" s="517"/>
      <c r="L24" s="1014">
        <f>SUM(L11:L23)</f>
        <v>0</v>
      </c>
      <c r="M24" s="517"/>
      <c r="N24" s="1014">
        <f>SUM(N11:N23)</f>
        <v>0</v>
      </c>
      <c r="O24" s="517"/>
      <c r="P24" s="1014">
        <f>SUM(P11:P23)</f>
        <v>0</v>
      </c>
      <c r="Q24" s="517"/>
      <c r="R24" s="1014">
        <f>SUM(R11:R23)</f>
        <v>0</v>
      </c>
      <c r="S24" s="517"/>
      <c r="T24" s="1014">
        <f>SUM(T11:T23)</f>
        <v>0</v>
      </c>
      <c r="U24" s="1014">
        <f>SUM(U11:U23)</f>
        <v>0</v>
      </c>
      <c r="V24" s="1014"/>
      <c r="W24" s="1014">
        <f>SUM(W11:W23)</f>
        <v>0</v>
      </c>
      <c r="X24" s="1014"/>
      <c r="Y24" s="1014"/>
      <c r="Z24" s="1014">
        <f>SUM(Z11:Z23)</f>
        <v>0</v>
      </c>
      <c r="AA24" s="517"/>
      <c r="AB24" s="517"/>
      <c r="AC24" s="517"/>
      <c r="AD24" s="517"/>
      <c r="AE24" s="1014">
        <f>SUM(AE11:AE23)</f>
        <v>0</v>
      </c>
      <c r="AF24" s="517"/>
      <c r="AG24" s="1014">
        <f>SUM(AG11:AG23)</f>
        <v>0</v>
      </c>
      <c r="AH24" s="1014">
        <f>SUM(AH11:AH23)</f>
        <v>0</v>
      </c>
      <c r="AI24" s="517"/>
      <c r="AJ24" s="517"/>
      <c r="AK24" s="1014">
        <f>SUM(AK11:AK23)</f>
        <v>0</v>
      </c>
      <c r="AL24" s="517"/>
      <c r="AM24" s="517"/>
      <c r="AN24" s="1014">
        <f>SUM(AN11:AN23)</f>
        <v>0</v>
      </c>
      <c r="AO24" s="517"/>
      <c r="AP24" s="517"/>
      <c r="AQ24" s="1014">
        <f>SUM(AQ11:AQ23)</f>
        <v>0</v>
      </c>
      <c r="AR24" s="517"/>
      <c r="AS24" s="517"/>
      <c r="AT24" s="1014">
        <f>SUM(AT11:AT23)</f>
        <v>0</v>
      </c>
      <c r="AU24" s="1014">
        <f>SUM(AU11:AU23)</f>
        <v>0</v>
      </c>
      <c r="AV24" s="517"/>
      <c r="AW24" s="517"/>
      <c r="AX24" s="517"/>
      <c r="AY24" s="1015">
        <f>AY11+AY12+AY13+AY14+AY15+AY23</f>
        <v>0</v>
      </c>
      <c r="AZ24" s="1015">
        <f>AZ11+AZ12+AZ13+AZ14+AZ15+AZ23</f>
        <v>0</v>
      </c>
      <c r="BA24" s="1015">
        <f>BA11+BA12+BA13+BA14+BA15+BA23</f>
        <v>0</v>
      </c>
    </row>
    <row r="27" spans="1:53">
      <c r="A27" s="300" t="s">
        <v>329</v>
      </c>
      <c r="H27" s="657"/>
      <c r="I27" s="657"/>
      <c r="J27" s="657"/>
      <c r="K27" s="657"/>
      <c r="L27" s="657"/>
      <c r="M27" s="657"/>
      <c r="N27" s="657"/>
      <c r="O27" s="657"/>
      <c r="P27" s="657"/>
      <c r="Q27" s="657"/>
      <c r="R27" s="657"/>
      <c r="S27" s="657"/>
      <c r="T27" s="657"/>
      <c r="U27" s="657"/>
      <c r="V27" s="657"/>
      <c r="W27" s="657"/>
      <c r="X27" s="657"/>
      <c r="Y27" s="657"/>
      <c r="Z27" s="657"/>
      <c r="AA27" s="657"/>
    </row>
    <row r="28" spans="1:53">
      <c r="A28" s="300"/>
      <c r="H28" s="657"/>
      <c r="I28" s="657"/>
      <c r="J28" s="657"/>
      <c r="K28" s="657"/>
      <c r="L28" s="657"/>
      <c r="M28" s="657"/>
      <c r="N28" s="657"/>
      <c r="O28" s="657"/>
      <c r="P28" s="657"/>
      <c r="Q28" s="657"/>
      <c r="R28" s="657"/>
      <c r="S28" s="657"/>
      <c r="T28" s="657"/>
      <c r="U28" s="657"/>
      <c r="V28" s="657"/>
      <c r="W28" s="657"/>
      <c r="X28" s="657"/>
      <c r="Y28" s="657"/>
      <c r="Z28" s="657"/>
      <c r="AA28" s="657"/>
    </row>
    <row r="29" spans="1:53">
      <c r="A29" s="426" t="s">
        <v>330</v>
      </c>
      <c r="H29" s="657"/>
      <c r="I29" s="657"/>
      <c r="J29" s="657"/>
      <c r="K29" s="657"/>
      <c r="L29" s="657"/>
      <c r="M29" s="657"/>
      <c r="N29" s="657"/>
      <c r="O29" s="657"/>
      <c r="P29" s="657"/>
      <c r="Q29" s="657"/>
      <c r="R29" s="657"/>
      <c r="S29" s="657"/>
      <c r="T29" s="657"/>
      <c r="U29" s="657"/>
      <c r="V29" s="657"/>
      <c r="W29" s="657"/>
      <c r="X29" s="657"/>
      <c r="Y29" s="657"/>
      <c r="Z29" s="657"/>
      <c r="AA29" s="657"/>
    </row>
    <row r="30" spans="1:53">
      <c r="A30" s="426" t="s">
        <v>332</v>
      </c>
      <c r="H30" s="657"/>
      <c r="I30" s="657"/>
      <c r="J30" s="657"/>
      <c r="K30" s="657"/>
      <c r="L30" s="657"/>
      <c r="M30" s="657"/>
      <c r="N30" s="657"/>
      <c r="O30" s="657"/>
      <c r="P30" s="657"/>
      <c r="Q30" s="657"/>
      <c r="R30" s="657"/>
      <c r="S30" s="657"/>
      <c r="T30" s="657"/>
      <c r="U30" s="657"/>
      <c r="V30" s="657"/>
      <c r="W30" s="657"/>
      <c r="X30" s="657"/>
      <c r="Y30" s="657"/>
      <c r="Z30" s="657"/>
      <c r="AA30" s="657"/>
    </row>
    <row r="31" spans="1:53">
      <c r="A31" s="427"/>
      <c r="H31" s="657"/>
      <c r="I31" s="657"/>
      <c r="J31" s="657"/>
      <c r="K31" s="657"/>
      <c r="L31" s="657"/>
      <c r="M31" s="657"/>
      <c r="N31" s="657"/>
      <c r="O31" s="657"/>
      <c r="P31" s="657"/>
      <c r="Q31" s="657"/>
      <c r="R31" s="657"/>
      <c r="S31" s="657"/>
      <c r="T31" s="657"/>
      <c r="U31" s="657"/>
      <c r="V31" s="657"/>
      <c r="W31" s="657"/>
      <c r="X31" s="657"/>
      <c r="Y31" s="657"/>
      <c r="Z31" s="657"/>
      <c r="AA31" s="657"/>
    </row>
    <row r="32" spans="1:53">
      <c r="A32" s="426" t="s">
        <v>333</v>
      </c>
      <c r="H32" s="657"/>
      <c r="I32" s="657"/>
      <c r="J32" s="657"/>
      <c r="K32" s="657"/>
      <c r="L32" s="657"/>
      <c r="M32" s="657"/>
      <c r="N32" s="657"/>
      <c r="O32" s="657"/>
      <c r="P32" s="657"/>
      <c r="Q32" s="657"/>
      <c r="R32" s="657"/>
      <c r="S32" s="657"/>
      <c r="T32" s="657"/>
      <c r="U32" s="657"/>
      <c r="V32" s="657"/>
      <c r="W32" s="657"/>
      <c r="X32" s="657"/>
      <c r="Y32" s="657"/>
      <c r="Z32" s="657"/>
      <c r="AA32" s="657"/>
    </row>
  </sheetData>
  <sheetProtection password="9690" sheet="1" objects="1" scenarios="1" formatColumns="0" insertRows="0" deleteRows="0"/>
  <mergeCells count="52">
    <mergeCell ref="A7:A10"/>
    <mergeCell ref="B7:B10"/>
    <mergeCell ref="C7:C10"/>
    <mergeCell ref="D7:D10"/>
    <mergeCell ref="E7:G9"/>
    <mergeCell ref="H7:U7"/>
    <mergeCell ref="Q8:R8"/>
    <mergeCell ref="S8:T8"/>
    <mergeCell ref="U8:U10"/>
    <mergeCell ref="P9:P10"/>
    <mergeCell ref="L9:L10"/>
    <mergeCell ref="M9:M10"/>
    <mergeCell ref="N9:N10"/>
    <mergeCell ref="O9:O10"/>
    <mergeCell ref="Q9:Q10"/>
    <mergeCell ref="R9:R10"/>
    <mergeCell ref="S9:S10"/>
    <mergeCell ref="T9:T10"/>
    <mergeCell ref="V7:W8"/>
    <mergeCell ref="X7:Z8"/>
    <mergeCell ref="AA7:AZ7"/>
    <mergeCell ref="BA7:BA10"/>
    <mergeCell ref="H8:H10"/>
    <mergeCell ref="I8:I10"/>
    <mergeCell ref="J8:J10"/>
    <mergeCell ref="K8:L8"/>
    <mergeCell ref="M8:N8"/>
    <mergeCell ref="O8:P8"/>
    <mergeCell ref="AA8:AH8"/>
    <mergeCell ref="AI8:AK8"/>
    <mergeCell ref="AL8:AU8"/>
    <mergeCell ref="AV8:AY9"/>
    <mergeCell ref="AZ8:AZ10"/>
    <mergeCell ref="K9:K10"/>
    <mergeCell ref="V9:V10"/>
    <mergeCell ref="W9:W10"/>
    <mergeCell ref="X9:X10"/>
    <mergeCell ref="Y9:Y10"/>
    <mergeCell ref="Z9:Z10"/>
    <mergeCell ref="AA9:AA10"/>
    <mergeCell ref="AB9:AB10"/>
    <mergeCell ref="AC9:AC10"/>
    <mergeCell ref="AL9:AN9"/>
    <mergeCell ref="AO9:AQ9"/>
    <mergeCell ref="AR9:AT9"/>
    <mergeCell ref="AU9:AU10"/>
    <mergeCell ref="AD9:AE9"/>
    <mergeCell ref="AF9:AG9"/>
    <mergeCell ref="AH9:AH10"/>
    <mergeCell ref="AI9:AI10"/>
    <mergeCell ref="AJ9:AJ10"/>
    <mergeCell ref="AK9:AK10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Лист42">
    <tabColor rgb="FFFF0000"/>
    <pageSetUpPr fitToPage="1"/>
  </sheetPr>
  <dimension ref="A1:L34"/>
  <sheetViews>
    <sheetView zoomScaleSheetLayoutView="100" workbookViewId="0">
      <selection sqref="A1:IV65536"/>
    </sheetView>
  </sheetViews>
  <sheetFormatPr defaultColWidth="9.140625" defaultRowHeight="15.75"/>
  <cols>
    <col min="1" max="1" width="5.5703125" style="310" customWidth="1"/>
    <col min="2" max="2" width="27.85546875" style="310" customWidth="1"/>
    <col min="3" max="3" width="12.7109375" style="310" customWidth="1"/>
    <col min="4" max="6" width="12.28515625" style="293" customWidth="1"/>
    <col min="7" max="7" width="14.28515625" style="293" customWidth="1"/>
    <col min="8" max="8" width="13.85546875" style="310" customWidth="1"/>
    <col min="9" max="9" width="16.28515625" style="310" bestFit="1" customWidth="1"/>
    <col min="10" max="10" width="15.85546875" style="310" customWidth="1"/>
    <col min="11" max="11" width="16.28515625" style="310" bestFit="1" customWidth="1"/>
    <col min="12" max="16384" width="9.140625" style="310"/>
  </cols>
  <sheetData>
    <row r="1" spans="1:11">
      <c r="J1" s="293" t="s">
        <v>267</v>
      </c>
      <c r="K1" s="671" t="s">
        <v>666</v>
      </c>
    </row>
    <row r="2" spans="1:11" s="800" customFormat="1">
      <c r="A2" s="695" t="s">
        <v>4349</v>
      </c>
      <c r="B2" s="849"/>
      <c r="C2" s="850"/>
      <c r="D2" s="850"/>
      <c r="E2" s="850"/>
      <c r="F2" s="850"/>
      <c r="G2" s="850"/>
      <c r="H2" s="850"/>
      <c r="I2" s="851" t="s">
        <v>3375</v>
      </c>
      <c r="J2" s="850"/>
    </row>
    <row r="3" spans="1:11">
      <c r="A3" s="49"/>
      <c r="B3" s="280"/>
    </row>
    <row r="4" spans="1:11" s="800" customFormat="1">
      <c r="A4" s="656" t="s">
        <v>3998</v>
      </c>
      <c r="B4" s="852"/>
      <c r="C4" s="853"/>
      <c r="D4" s="853"/>
      <c r="E4" s="853"/>
      <c r="F4" s="853"/>
      <c r="G4" s="853"/>
      <c r="H4" s="853"/>
      <c r="I4" s="853"/>
    </row>
    <row r="5" spans="1:11">
      <c r="A5" s="168" t="s">
        <v>990</v>
      </c>
      <c r="B5" s="283"/>
      <c r="C5" s="311"/>
      <c r="D5" s="311"/>
      <c r="E5" s="311"/>
      <c r="F5" s="311"/>
      <c r="G5" s="311"/>
      <c r="H5" s="311"/>
      <c r="I5" s="311"/>
    </row>
    <row r="6" spans="1:11">
      <c r="A6" s="168"/>
      <c r="B6" s="283"/>
      <c r="C6" s="311"/>
      <c r="D6" s="311"/>
      <c r="E6" s="311"/>
      <c r="F6" s="311"/>
      <c r="G6" s="311"/>
      <c r="H6" s="311"/>
      <c r="I6" s="311"/>
      <c r="K6" s="541" t="s">
        <v>254</v>
      </c>
    </row>
    <row r="7" spans="1:11" ht="15.75" customHeight="1">
      <c r="A7" s="4239" t="s">
        <v>1070</v>
      </c>
      <c r="B7" s="4374" t="s">
        <v>1071</v>
      </c>
      <c r="C7" s="4374" t="s">
        <v>996</v>
      </c>
      <c r="D7" s="4239" t="s">
        <v>1191</v>
      </c>
      <c r="E7" s="4002" t="s">
        <v>255</v>
      </c>
      <c r="F7" s="4002"/>
      <c r="G7" s="4262" t="s">
        <v>4350</v>
      </c>
      <c r="H7" s="4239" t="s">
        <v>4351</v>
      </c>
      <c r="I7" s="4239" t="s">
        <v>20</v>
      </c>
      <c r="J7" s="4240" t="s">
        <v>255</v>
      </c>
      <c r="K7" s="4240"/>
    </row>
    <row r="8" spans="1:11" ht="38.25" customHeight="1">
      <c r="A8" s="4239"/>
      <c r="B8" s="4374"/>
      <c r="C8" s="4374"/>
      <c r="D8" s="4239"/>
      <c r="E8" s="527" t="s">
        <v>7</v>
      </c>
      <c r="F8" s="527" t="s">
        <v>8</v>
      </c>
      <c r="G8" s="4263"/>
      <c r="H8" s="4239"/>
      <c r="I8" s="4239"/>
      <c r="J8" s="224" t="s">
        <v>7</v>
      </c>
      <c r="K8" s="224" t="s">
        <v>8</v>
      </c>
    </row>
    <row r="9" spans="1:11">
      <c r="A9" s="225"/>
      <c r="B9" s="224" t="s">
        <v>20</v>
      </c>
      <c r="C9" s="299"/>
      <c r="D9" s="538"/>
      <c r="E9" s="538"/>
      <c r="F9" s="538"/>
      <c r="G9" s="539"/>
      <c r="H9" s="538"/>
      <c r="I9" s="540">
        <f>SUM(I10:I23)</f>
        <v>18705655.399999999</v>
      </c>
      <c r="J9" s="540">
        <f>SUM(J10:J23)</f>
        <v>0</v>
      </c>
      <c r="K9" s="540">
        <f>SUM(K10:K23)</f>
        <v>18705655.399999999</v>
      </c>
    </row>
    <row r="10" spans="1:11" ht="47.25">
      <c r="A10" s="854">
        <v>1</v>
      </c>
      <c r="B10" s="855" t="s">
        <v>4352</v>
      </c>
      <c r="C10" s="856" t="s">
        <v>1579</v>
      </c>
      <c r="D10" s="539">
        <f>E10+F10</f>
        <v>78475.399999999994</v>
      </c>
      <c r="E10" s="857"/>
      <c r="F10" s="539">
        <v>78475.399999999994</v>
      </c>
      <c r="G10" s="1034">
        <v>3</v>
      </c>
      <c r="H10" s="1034">
        <v>12</v>
      </c>
      <c r="I10" s="539">
        <f>J10+K10</f>
        <v>2825114.4</v>
      </c>
      <c r="J10" s="539">
        <f>E10*G10*H10</f>
        <v>0</v>
      </c>
      <c r="K10" s="539">
        <f>F10*G10*H10</f>
        <v>2825114.4</v>
      </c>
    </row>
    <row r="11" spans="1:11" ht="47.25">
      <c r="A11" s="854">
        <v>2</v>
      </c>
      <c r="B11" s="855" t="s">
        <v>4353</v>
      </c>
      <c r="C11" s="856" t="s">
        <v>4354</v>
      </c>
      <c r="D11" s="539">
        <f>E11+F11</f>
        <v>14</v>
      </c>
      <c r="E11" s="857"/>
      <c r="F11" s="1034">
        <v>14</v>
      </c>
      <c r="G11" s="1034">
        <v>5000</v>
      </c>
      <c r="H11" s="1034">
        <v>5</v>
      </c>
      <c r="I11" s="539">
        <f>J11+K11</f>
        <v>350000</v>
      </c>
      <c r="J11" s="539">
        <f>E11*G11*H11</f>
        <v>0</v>
      </c>
      <c r="K11" s="539">
        <f>F11*G11*H11</f>
        <v>350000</v>
      </c>
    </row>
    <row r="12" spans="1:11" ht="51.75" customHeight="1">
      <c r="A12" s="854">
        <v>3</v>
      </c>
      <c r="B12" s="855" t="s">
        <v>4355</v>
      </c>
      <c r="C12" s="856" t="s">
        <v>1579</v>
      </c>
      <c r="D12" s="539">
        <f>E12+F12</f>
        <v>78475.399999999994</v>
      </c>
      <c r="E12" s="857"/>
      <c r="F12" s="539">
        <v>78475.399999999994</v>
      </c>
      <c r="G12" s="1034">
        <v>5</v>
      </c>
      <c r="H12" s="1034">
        <v>12</v>
      </c>
      <c r="I12" s="539">
        <f>J12+K12</f>
        <v>4708524</v>
      </c>
      <c r="J12" s="539">
        <f>E12*G12*H12</f>
        <v>0</v>
      </c>
      <c r="K12" s="539">
        <f>F12*G12*H12</f>
        <v>4708524</v>
      </c>
    </row>
    <row r="13" spans="1:11" ht="63">
      <c r="A13" s="854">
        <v>4</v>
      </c>
      <c r="B13" s="855" t="s">
        <v>4356</v>
      </c>
      <c r="C13" s="856" t="s">
        <v>1579</v>
      </c>
      <c r="D13" s="539">
        <f>E13+F13</f>
        <v>78475.399999999994</v>
      </c>
      <c r="E13" s="857"/>
      <c r="F13" s="539">
        <v>78475.399999999994</v>
      </c>
      <c r="G13" s="1034">
        <v>7</v>
      </c>
      <c r="H13" s="815">
        <v>15</v>
      </c>
      <c r="I13" s="539">
        <f>J13+K13</f>
        <v>8239916.9999999991</v>
      </c>
      <c r="J13" s="539">
        <f>E13*G13*H13</f>
        <v>0</v>
      </c>
      <c r="K13" s="539">
        <f>F13*G13*H13</f>
        <v>8239916.9999999991</v>
      </c>
    </row>
    <row r="14" spans="1:11" ht="53.25" customHeight="1">
      <c r="A14" s="854">
        <v>5</v>
      </c>
      <c r="B14" s="855" t="s">
        <v>4357</v>
      </c>
      <c r="C14" s="856" t="s">
        <v>1579</v>
      </c>
      <c r="D14" s="539">
        <f t="shared" ref="D14:D23" si="0">E14+F14</f>
        <v>12100</v>
      </c>
      <c r="E14" s="857"/>
      <c r="F14" s="1035">
        <v>12100</v>
      </c>
      <c r="G14" s="1034">
        <v>3</v>
      </c>
      <c r="H14" s="1034">
        <v>12</v>
      </c>
      <c r="I14" s="539">
        <f t="shared" ref="I14:I23" si="1">J14+K14</f>
        <v>435600</v>
      </c>
      <c r="J14" s="539">
        <f t="shared" ref="J14:J23" si="2">E14*G14*H14</f>
        <v>0</v>
      </c>
      <c r="K14" s="539">
        <f t="shared" ref="K14:K23" si="3">F14*G14*H14</f>
        <v>435600</v>
      </c>
    </row>
    <row r="15" spans="1:11" ht="47.25">
      <c r="A15" s="854">
        <v>6</v>
      </c>
      <c r="B15" s="855" t="s">
        <v>4358</v>
      </c>
      <c r="C15" s="856" t="s">
        <v>4354</v>
      </c>
      <c r="D15" s="539">
        <f t="shared" si="0"/>
        <v>6</v>
      </c>
      <c r="E15" s="857"/>
      <c r="F15" s="1035">
        <v>6</v>
      </c>
      <c r="G15" s="1034">
        <v>5000</v>
      </c>
      <c r="H15" s="1034">
        <v>5</v>
      </c>
      <c r="I15" s="539">
        <f t="shared" si="1"/>
        <v>150000</v>
      </c>
      <c r="J15" s="539">
        <f t="shared" si="2"/>
        <v>0</v>
      </c>
      <c r="K15" s="539">
        <f t="shared" si="3"/>
        <v>150000</v>
      </c>
    </row>
    <row r="16" spans="1:11" ht="94.5">
      <c r="A16" s="854">
        <v>7</v>
      </c>
      <c r="B16" s="855" t="s">
        <v>4359</v>
      </c>
      <c r="C16" s="856" t="s">
        <v>1579</v>
      </c>
      <c r="D16" s="539">
        <f t="shared" si="0"/>
        <v>12100</v>
      </c>
      <c r="E16" s="857"/>
      <c r="F16" s="1035">
        <v>12100</v>
      </c>
      <c r="G16" s="1034">
        <v>5</v>
      </c>
      <c r="H16" s="1034">
        <v>12</v>
      </c>
      <c r="I16" s="539">
        <f t="shared" si="1"/>
        <v>726000</v>
      </c>
      <c r="J16" s="539">
        <f t="shared" si="2"/>
        <v>0</v>
      </c>
      <c r="K16" s="539">
        <f t="shared" si="3"/>
        <v>726000</v>
      </c>
    </row>
    <row r="17" spans="1:12" ht="78.75">
      <c r="A17" s="854">
        <v>8</v>
      </c>
      <c r="B17" s="855" t="s">
        <v>4360</v>
      </c>
      <c r="C17" s="856" t="s">
        <v>1579</v>
      </c>
      <c r="D17" s="539">
        <f t="shared" si="0"/>
        <v>12100</v>
      </c>
      <c r="E17" s="857"/>
      <c r="F17" s="1035">
        <v>12100</v>
      </c>
      <c r="G17" s="1034">
        <v>7</v>
      </c>
      <c r="H17" s="815">
        <v>15</v>
      </c>
      <c r="I17" s="539">
        <f t="shared" si="1"/>
        <v>1270500</v>
      </c>
      <c r="J17" s="539">
        <f t="shared" si="2"/>
        <v>0</v>
      </c>
      <c r="K17" s="539">
        <f t="shared" si="3"/>
        <v>1270500</v>
      </c>
    </row>
    <row r="18" spans="1:12" hidden="1">
      <c r="A18" s="854">
        <v>9</v>
      </c>
      <c r="B18" s="855"/>
      <c r="C18" s="856"/>
      <c r="D18" s="539">
        <f t="shared" si="0"/>
        <v>0</v>
      </c>
      <c r="E18" s="857"/>
      <c r="F18" s="857"/>
      <c r="G18" s="857"/>
      <c r="H18" s="815"/>
      <c r="I18" s="539">
        <f t="shared" si="1"/>
        <v>0</v>
      </c>
      <c r="J18" s="539">
        <f t="shared" si="2"/>
        <v>0</v>
      </c>
      <c r="K18" s="539">
        <f t="shared" si="3"/>
        <v>0</v>
      </c>
    </row>
    <row r="19" spans="1:12" hidden="1">
      <c r="A19" s="854">
        <v>10</v>
      </c>
      <c r="B19" s="855"/>
      <c r="C19" s="856"/>
      <c r="D19" s="539">
        <f t="shared" si="0"/>
        <v>0</v>
      </c>
      <c r="E19" s="857"/>
      <c r="F19" s="857"/>
      <c r="G19" s="857"/>
      <c r="H19" s="815"/>
      <c r="I19" s="539">
        <f t="shared" si="1"/>
        <v>0</v>
      </c>
      <c r="J19" s="539">
        <f t="shared" si="2"/>
        <v>0</v>
      </c>
      <c r="K19" s="539">
        <f t="shared" si="3"/>
        <v>0</v>
      </c>
    </row>
    <row r="20" spans="1:12" hidden="1">
      <c r="A20" s="854">
        <v>11</v>
      </c>
      <c r="B20" s="855"/>
      <c r="C20" s="856"/>
      <c r="D20" s="539">
        <f t="shared" si="0"/>
        <v>0</v>
      </c>
      <c r="E20" s="857"/>
      <c r="F20" s="857"/>
      <c r="G20" s="857"/>
      <c r="H20" s="815"/>
      <c r="I20" s="539">
        <f t="shared" si="1"/>
        <v>0</v>
      </c>
      <c r="J20" s="539">
        <f t="shared" si="2"/>
        <v>0</v>
      </c>
      <c r="K20" s="539">
        <f t="shared" si="3"/>
        <v>0</v>
      </c>
    </row>
    <row r="21" spans="1:12" hidden="1">
      <c r="A21" s="854">
        <v>12</v>
      </c>
      <c r="B21" s="855"/>
      <c r="C21" s="856"/>
      <c r="D21" s="539">
        <f t="shared" si="0"/>
        <v>0</v>
      </c>
      <c r="E21" s="857"/>
      <c r="F21" s="857"/>
      <c r="G21" s="857"/>
      <c r="H21" s="815"/>
      <c r="I21" s="539">
        <f t="shared" si="1"/>
        <v>0</v>
      </c>
      <c r="J21" s="539">
        <f t="shared" si="2"/>
        <v>0</v>
      </c>
      <c r="K21" s="539">
        <f t="shared" si="3"/>
        <v>0</v>
      </c>
    </row>
    <row r="22" spans="1:12" hidden="1">
      <c r="A22" s="854">
        <v>13</v>
      </c>
      <c r="B22" s="855"/>
      <c r="C22" s="856"/>
      <c r="D22" s="539">
        <f t="shared" si="0"/>
        <v>0</v>
      </c>
      <c r="E22" s="857"/>
      <c r="F22" s="857"/>
      <c r="G22" s="857"/>
      <c r="H22" s="815"/>
      <c r="I22" s="539">
        <f t="shared" si="1"/>
        <v>0</v>
      </c>
      <c r="J22" s="539">
        <f t="shared" si="2"/>
        <v>0</v>
      </c>
      <c r="K22" s="539">
        <f t="shared" si="3"/>
        <v>0</v>
      </c>
    </row>
    <row r="23" spans="1:12" hidden="1">
      <c r="A23" s="854">
        <v>14</v>
      </c>
      <c r="B23" s="855"/>
      <c r="C23" s="856"/>
      <c r="D23" s="539">
        <f t="shared" si="0"/>
        <v>0</v>
      </c>
      <c r="E23" s="857"/>
      <c r="F23" s="857"/>
      <c r="G23" s="857"/>
      <c r="H23" s="815"/>
      <c r="I23" s="539">
        <f t="shared" si="1"/>
        <v>0</v>
      </c>
      <c r="J23" s="539">
        <f t="shared" si="2"/>
        <v>0</v>
      </c>
      <c r="K23" s="539">
        <f t="shared" si="3"/>
        <v>0</v>
      </c>
    </row>
    <row r="24" spans="1:12">
      <c r="A24" s="845"/>
      <c r="B24" s="846"/>
      <c r="C24" s="847"/>
      <c r="D24" s="848"/>
      <c r="E24" s="858"/>
      <c r="F24" s="858"/>
      <c r="G24" s="858"/>
      <c r="H24" s="859"/>
      <c r="I24" s="848"/>
      <c r="J24" s="848"/>
      <c r="K24" s="848"/>
    </row>
    <row r="26" spans="1:12">
      <c r="A26" s="300" t="s">
        <v>329</v>
      </c>
      <c r="B26" s="514"/>
      <c r="C26" s="514"/>
      <c r="D26" s="1075"/>
      <c r="E26" s="419"/>
      <c r="G26" s="1075" t="s">
        <v>448</v>
      </c>
      <c r="H26" s="800"/>
      <c r="I26" s="716"/>
      <c r="J26" s="717"/>
      <c r="K26" s="800"/>
      <c r="L26" s="314"/>
    </row>
    <row r="27" spans="1:12">
      <c r="A27" s="300"/>
      <c r="B27" s="514"/>
      <c r="C27" s="514"/>
      <c r="D27" s="1075"/>
      <c r="E27" s="419"/>
      <c r="G27" s="1075"/>
      <c r="H27" s="800"/>
      <c r="I27" s="718"/>
      <c r="J27" s="717"/>
      <c r="K27" s="800"/>
      <c r="L27" s="314"/>
    </row>
    <row r="28" spans="1:12">
      <c r="A28" s="426" t="s">
        <v>330</v>
      </c>
      <c r="B28" s="514"/>
      <c r="C28" s="514"/>
      <c r="D28" s="1075"/>
      <c r="E28" s="419"/>
      <c r="G28" s="1075" t="s">
        <v>369</v>
      </c>
      <c r="H28" s="800"/>
      <c r="I28" s="831"/>
      <c r="J28" s="717"/>
      <c r="K28" s="800"/>
      <c r="L28" s="315"/>
    </row>
    <row r="29" spans="1:12">
      <c r="A29" s="426"/>
      <c r="B29" s="514"/>
      <c r="C29" s="514"/>
      <c r="D29" s="1075"/>
      <c r="E29" s="419"/>
      <c r="G29" s="1075"/>
      <c r="H29" s="800"/>
      <c r="I29" s="716"/>
      <c r="J29" s="717"/>
      <c r="K29" s="800"/>
      <c r="L29" s="315"/>
    </row>
    <row r="30" spans="1:12">
      <c r="A30" s="1073" t="s">
        <v>547</v>
      </c>
      <c r="B30" s="1076"/>
      <c r="C30" s="475"/>
      <c r="D30" s="1077"/>
      <c r="E30" s="419"/>
      <c r="G30" s="1074" t="s">
        <v>374</v>
      </c>
      <c r="H30" s="800"/>
      <c r="I30" s="716"/>
      <c r="J30" s="800"/>
      <c r="K30" s="800"/>
    </row>
    <row r="31" spans="1:12">
      <c r="A31" s="1073" t="s">
        <v>548</v>
      </c>
      <c r="B31" s="1076"/>
      <c r="C31" s="475"/>
      <c r="D31" s="1077"/>
      <c r="E31" s="419"/>
      <c r="G31" s="1074"/>
      <c r="H31" s="800"/>
      <c r="I31" s="716"/>
      <c r="J31" s="800"/>
      <c r="K31" s="800"/>
    </row>
    <row r="32" spans="1:12">
      <c r="A32" s="1073"/>
      <c r="B32" s="1076"/>
      <c r="C32" s="475"/>
      <c r="D32" s="1077"/>
      <c r="E32" s="580"/>
      <c r="G32" s="1078"/>
    </row>
    <row r="33" spans="1:7">
      <c r="A33" s="1073" t="s">
        <v>375</v>
      </c>
      <c r="B33" s="1078"/>
      <c r="C33" s="1078"/>
      <c r="D33" s="1078"/>
      <c r="E33" s="580"/>
      <c r="G33" s="1074" t="s">
        <v>376</v>
      </c>
    </row>
    <row r="34" spans="1:7">
      <c r="A34"/>
      <c r="B34"/>
      <c r="C34"/>
      <c r="D34"/>
      <c r="E34" s="580"/>
      <c r="F34"/>
      <c r="G34" s="580"/>
    </row>
  </sheetData>
  <sheetProtection formatColumns="0" insertRows="0" deleteRows="0"/>
  <mergeCells count="9">
    <mergeCell ref="C7:C8"/>
    <mergeCell ref="B7:B8"/>
    <mergeCell ref="A7:A8"/>
    <mergeCell ref="J7:K7"/>
    <mergeCell ref="I7:I8"/>
    <mergeCell ref="H7:H8"/>
    <mergeCell ref="G7:G8"/>
    <mergeCell ref="D7:D8"/>
    <mergeCell ref="E7:F7"/>
  </mergeCells>
  <pageMargins left="0" right="0" top="0" bottom="0" header="0" footer="0"/>
  <pageSetup paperSize="9" scale="90" fitToHeight="0" orientation="landscape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Лист46">
    <tabColor rgb="FF7030A0"/>
    <pageSetUpPr fitToPage="1"/>
  </sheetPr>
  <dimension ref="A1:J33"/>
  <sheetViews>
    <sheetView workbookViewId="0">
      <selection activeCell="Q34" sqref="Q34"/>
    </sheetView>
  </sheetViews>
  <sheetFormatPr defaultColWidth="9.140625" defaultRowHeight="15.75"/>
  <cols>
    <col min="1" max="1" width="4.7109375" style="419" customWidth="1"/>
    <col min="2" max="2" width="38.140625" style="419" customWidth="1"/>
    <col min="3" max="3" width="8" style="419" customWidth="1"/>
    <col min="4" max="4" width="13.5703125" style="419" customWidth="1"/>
    <col min="5" max="5" width="20.42578125" style="419" customWidth="1"/>
    <col min="6" max="6" width="14.85546875" style="419" customWidth="1"/>
    <col min="7" max="7" width="16.7109375" style="419" customWidth="1"/>
    <col min="8" max="9" width="13.42578125" style="419" customWidth="1"/>
    <col min="10" max="16384" width="9.140625" style="419"/>
  </cols>
  <sheetData>
    <row r="1" spans="1:10">
      <c r="H1" s="691" t="s">
        <v>267</v>
      </c>
      <c r="I1" s="671" t="s">
        <v>4361</v>
      </c>
    </row>
    <row r="2" spans="1:10" s="684" customFormat="1">
      <c r="A2" s="695" t="s">
        <v>4362</v>
      </c>
    </row>
    <row r="3" spans="1:10" s="580" customFormat="1" ht="15">
      <c r="A3" s="45"/>
    </row>
    <row r="4" spans="1:10" s="684" customFormat="1">
      <c r="A4" s="656" t="s">
        <v>3401</v>
      </c>
    </row>
    <row r="5" spans="1:10">
      <c r="A5" s="168" t="s">
        <v>990</v>
      </c>
    </row>
    <row r="6" spans="1:10">
      <c r="A6" s="504"/>
      <c r="B6" s="504"/>
      <c r="C6" s="504"/>
      <c r="D6" s="504"/>
      <c r="I6" s="307" t="s">
        <v>254</v>
      </c>
      <c r="J6" s="583"/>
    </row>
    <row r="7" spans="1:10">
      <c r="A7" s="4371" t="s">
        <v>34</v>
      </c>
      <c r="B7" s="4358" t="s">
        <v>4363</v>
      </c>
      <c r="C7" s="4371" t="s">
        <v>996</v>
      </c>
      <c r="D7" s="4371" t="s">
        <v>4364</v>
      </c>
      <c r="E7" s="4371" t="s">
        <v>4365</v>
      </c>
      <c r="F7" s="4371" t="s">
        <v>4366</v>
      </c>
      <c r="G7" s="4371" t="s">
        <v>345</v>
      </c>
      <c r="H7" s="4360" t="s">
        <v>4367</v>
      </c>
      <c r="I7" s="4362"/>
    </row>
    <row r="8" spans="1:10" ht="47.25" customHeight="1">
      <c r="A8" s="4373"/>
      <c r="B8" s="4370"/>
      <c r="C8" s="4373"/>
      <c r="D8" s="4373"/>
      <c r="E8" s="4373"/>
      <c r="F8" s="4373"/>
      <c r="G8" s="4373"/>
      <c r="H8" s="569" t="s">
        <v>7</v>
      </c>
      <c r="I8" s="569" t="s">
        <v>8</v>
      </c>
    </row>
    <row r="9" spans="1:10" ht="47.25">
      <c r="A9" s="700">
        <v>1</v>
      </c>
      <c r="B9" s="701" t="s">
        <v>4368</v>
      </c>
      <c r="C9" s="702"/>
      <c r="D9" s="702"/>
      <c r="E9" s="703"/>
      <c r="F9" s="704"/>
      <c r="G9" s="584">
        <f>D9*E9*F9</f>
        <v>0</v>
      </c>
      <c r="H9" s="584"/>
      <c r="I9" s="584">
        <f>G9</f>
        <v>0</v>
      </c>
    </row>
    <row r="10" spans="1:10" ht="31.5">
      <c r="A10" s="700">
        <v>2</v>
      </c>
      <c r="B10" s="701" t="s">
        <v>4369</v>
      </c>
      <c r="C10" s="702"/>
      <c r="D10" s="702"/>
      <c r="E10" s="704"/>
      <c r="F10" s="704"/>
      <c r="G10" s="584">
        <f>D10*E10*F10</f>
        <v>0</v>
      </c>
      <c r="H10" s="569"/>
      <c r="I10" s="584">
        <f>G10</f>
        <v>0</v>
      </c>
    </row>
    <row r="11" spans="1:10">
      <c r="A11" s="700">
        <v>3</v>
      </c>
      <c r="B11" s="701" t="s">
        <v>4370</v>
      </c>
      <c r="C11" s="702"/>
      <c r="D11" s="702"/>
      <c r="E11" s="705"/>
      <c r="F11" s="704"/>
      <c r="G11" s="584">
        <f>D11*E11*F11</f>
        <v>0</v>
      </c>
      <c r="H11" s="569"/>
      <c r="I11" s="584">
        <f>G11</f>
        <v>0</v>
      </c>
    </row>
    <row r="12" spans="1:10">
      <c r="A12" s="700">
        <v>4</v>
      </c>
      <c r="B12" s="701" t="s">
        <v>4371</v>
      </c>
      <c r="C12" s="702"/>
      <c r="D12" s="702"/>
      <c r="E12" s="705"/>
      <c r="F12" s="704"/>
      <c r="G12" s="584">
        <f>D12*E12*F12</f>
        <v>0</v>
      </c>
      <c r="H12" s="569"/>
      <c r="I12" s="584">
        <f>G12</f>
        <v>0</v>
      </c>
    </row>
    <row r="13" spans="1:10">
      <c r="A13" s="700">
        <v>5</v>
      </c>
      <c r="B13" s="701" t="s">
        <v>4372</v>
      </c>
      <c r="C13" s="702"/>
      <c r="D13" s="702"/>
      <c r="E13" s="705"/>
      <c r="F13" s="705"/>
      <c r="G13" s="584">
        <f>D13*E13*F13</f>
        <v>0</v>
      </c>
      <c r="H13" s="569"/>
      <c r="I13" s="584">
        <f>G13</f>
        <v>0</v>
      </c>
    </row>
    <row r="14" spans="1:10">
      <c r="A14" s="700">
        <v>6</v>
      </c>
      <c r="B14" s="701"/>
      <c r="C14" s="702"/>
      <c r="D14" s="702"/>
      <c r="E14" s="705"/>
      <c r="F14" s="705"/>
      <c r="G14" s="584">
        <f t="shared" ref="G14:G24" si="0">D14*E14*F14</f>
        <v>0</v>
      </c>
      <c r="H14" s="569"/>
      <c r="I14" s="584">
        <f t="shared" ref="I14:I24" si="1">G14</f>
        <v>0</v>
      </c>
    </row>
    <row r="15" spans="1:10">
      <c r="A15" s="700">
        <v>7</v>
      </c>
      <c r="B15" s="701"/>
      <c r="C15" s="702"/>
      <c r="D15" s="702"/>
      <c r="E15" s="705"/>
      <c r="F15" s="705"/>
      <c r="G15" s="584">
        <f t="shared" si="0"/>
        <v>0</v>
      </c>
      <c r="H15" s="569"/>
      <c r="I15" s="584">
        <f t="shared" si="1"/>
        <v>0</v>
      </c>
    </row>
    <row r="16" spans="1:10">
      <c r="A16" s="700">
        <v>8</v>
      </c>
      <c r="B16" s="701"/>
      <c r="C16" s="702"/>
      <c r="D16" s="702"/>
      <c r="E16" s="705"/>
      <c r="F16" s="705"/>
      <c r="G16" s="584">
        <f t="shared" si="0"/>
        <v>0</v>
      </c>
      <c r="H16" s="569"/>
      <c r="I16" s="584">
        <f t="shared" si="1"/>
        <v>0</v>
      </c>
    </row>
    <row r="17" spans="1:9">
      <c r="A17" s="700">
        <v>9</v>
      </c>
      <c r="B17" s="701"/>
      <c r="C17" s="702"/>
      <c r="D17" s="702"/>
      <c r="E17" s="705"/>
      <c r="F17" s="705"/>
      <c r="G17" s="584">
        <f t="shared" si="0"/>
        <v>0</v>
      </c>
      <c r="H17" s="569"/>
      <c r="I17" s="584">
        <f t="shared" si="1"/>
        <v>0</v>
      </c>
    </row>
    <row r="18" spans="1:9">
      <c r="A18" s="700">
        <v>10</v>
      </c>
      <c r="B18" s="701"/>
      <c r="C18" s="702"/>
      <c r="D18" s="702"/>
      <c r="E18" s="705"/>
      <c r="F18" s="705"/>
      <c r="G18" s="584">
        <f t="shared" si="0"/>
        <v>0</v>
      </c>
      <c r="H18" s="569"/>
      <c r="I18" s="584">
        <f t="shared" si="1"/>
        <v>0</v>
      </c>
    </row>
    <row r="19" spans="1:9">
      <c r="A19" s="700">
        <v>11</v>
      </c>
      <c r="B19" s="701"/>
      <c r="C19" s="702"/>
      <c r="D19" s="702"/>
      <c r="E19" s="705"/>
      <c r="F19" s="705"/>
      <c r="G19" s="584">
        <f t="shared" si="0"/>
        <v>0</v>
      </c>
      <c r="H19" s="569"/>
      <c r="I19" s="584">
        <f t="shared" si="1"/>
        <v>0</v>
      </c>
    </row>
    <row r="20" spans="1:9">
      <c r="A20" s="700">
        <v>12</v>
      </c>
      <c r="B20" s="701"/>
      <c r="C20" s="702"/>
      <c r="D20" s="702"/>
      <c r="E20" s="705"/>
      <c r="F20" s="705"/>
      <c r="G20" s="584">
        <f t="shared" si="0"/>
        <v>0</v>
      </c>
      <c r="H20" s="569"/>
      <c r="I20" s="584">
        <f t="shared" si="1"/>
        <v>0</v>
      </c>
    </row>
    <row r="21" spans="1:9">
      <c r="A21" s="700">
        <v>13</v>
      </c>
      <c r="B21" s="701"/>
      <c r="C21" s="702"/>
      <c r="D21" s="702"/>
      <c r="E21" s="705"/>
      <c r="F21" s="705"/>
      <c r="G21" s="584">
        <f t="shared" si="0"/>
        <v>0</v>
      </c>
      <c r="H21" s="569"/>
      <c r="I21" s="584">
        <f t="shared" si="1"/>
        <v>0</v>
      </c>
    </row>
    <row r="22" spans="1:9">
      <c r="A22" s="700">
        <v>14</v>
      </c>
      <c r="B22" s="701"/>
      <c r="C22" s="702"/>
      <c r="D22" s="702"/>
      <c r="E22" s="705"/>
      <c r="F22" s="705"/>
      <c r="G22" s="584">
        <f t="shared" si="0"/>
        <v>0</v>
      </c>
      <c r="H22" s="569"/>
      <c r="I22" s="584">
        <f t="shared" si="1"/>
        <v>0</v>
      </c>
    </row>
    <row r="23" spans="1:9">
      <c r="A23" s="700">
        <v>15</v>
      </c>
      <c r="B23" s="701"/>
      <c r="C23" s="702"/>
      <c r="D23" s="702"/>
      <c r="E23" s="705"/>
      <c r="F23" s="705"/>
      <c r="G23" s="584">
        <f t="shared" si="0"/>
        <v>0</v>
      </c>
      <c r="H23" s="569"/>
      <c r="I23" s="584">
        <f t="shared" si="1"/>
        <v>0</v>
      </c>
    </row>
    <row r="24" spans="1:9">
      <c r="A24" s="700">
        <v>16</v>
      </c>
      <c r="B24" s="701"/>
      <c r="C24" s="702"/>
      <c r="D24" s="702"/>
      <c r="E24" s="705"/>
      <c r="F24" s="705"/>
      <c r="G24" s="584">
        <f t="shared" si="0"/>
        <v>0</v>
      </c>
      <c r="H24" s="569"/>
      <c r="I24" s="584">
        <f t="shared" si="1"/>
        <v>0</v>
      </c>
    </row>
    <row r="25" spans="1:9">
      <c r="A25" s="569"/>
      <c r="B25" s="585" t="s">
        <v>306</v>
      </c>
      <c r="C25" s="585"/>
      <c r="D25" s="585"/>
      <c r="E25" s="586"/>
      <c r="F25" s="586"/>
      <c r="G25" s="586">
        <f>SUM(G9:G24)</f>
        <v>0</v>
      </c>
      <c r="H25" s="586">
        <f>SUM(H9:H24)</f>
        <v>0</v>
      </c>
      <c r="I25" s="586">
        <f>SUM(I9:I24)</f>
        <v>0</v>
      </c>
    </row>
    <row r="27" spans="1:9">
      <c r="E27" s="657"/>
      <c r="F27" s="657"/>
      <c r="G27" s="657"/>
      <c r="H27" s="657"/>
      <c r="I27" s="657"/>
    </row>
    <row r="28" spans="1:9">
      <c r="A28" s="300" t="s">
        <v>329</v>
      </c>
      <c r="E28" s="657"/>
      <c r="F28" s="657"/>
      <c r="G28" s="657"/>
      <c r="H28" s="657"/>
      <c r="I28" s="657"/>
    </row>
    <row r="29" spans="1:9">
      <c r="A29" s="300"/>
      <c r="E29" s="657"/>
      <c r="F29" s="657"/>
      <c r="G29" s="657"/>
      <c r="H29" s="657"/>
      <c r="I29" s="657"/>
    </row>
    <row r="30" spans="1:9">
      <c r="A30" s="426" t="s">
        <v>330</v>
      </c>
      <c r="E30" s="657"/>
      <c r="F30" s="657"/>
      <c r="G30" s="657"/>
      <c r="H30" s="657"/>
      <c r="I30" s="657"/>
    </row>
    <row r="31" spans="1:9">
      <c r="A31" s="426" t="s">
        <v>332</v>
      </c>
      <c r="E31" s="657"/>
      <c r="F31" s="657"/>
      <c r="G31" s="657"/>
      <c r="H31" s="657"/>
      <c r="I31" s="657"/>
    </row>
    <row r="32" spans="1:9">
      <c r="A32" s="427"/>
      <c r="E32" s="657"/>
      <c r="F32" s="657"/>
      <c r="G32" s="657"/>
      <c r="H32" s="657"/>
      <c r="I32" s="657"/>
    </row>
    <row r="33" spans="1:9">
      <c r="A33" s="426" t="s">
        <v>333</v>
      </c>
      <c r="E33" s="657"/>
      <c r="F33" s="657"/>
      <c r="G33" s="657"/>
      <c r="H33" s="657"/>
      <c r="I33" s="657"/>
    </row>
  </sheetData>
  <sheetProtection password="9690" sheet="1" formatColumns="0" insertRows="0" deleteRows="0"/>
  <mergeCells count="8">
    <mergeCell ref="G7:G8"/>
    <mergeCell ref="H7:I7"/>
    <mergeCell ref="A7:A8"/>
    <mergeCell ref="B7:B8"/>
    <mergeCell ref="C7:C8"/>
    <mergeCell ref="D7:D8"/>
    <mergeCell ref="E7:E8"/>
    <mergeCell ref="F7:F8"/>
  </mergeCells>
  <pageMargins left="0.7" right="0.7" top="0.75" bottom="0.75" header="0.3" footer="0.3"/>
  <pageSetup paperSize="9" scale="91" fitToHeight="0" orientation="landscape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Лист34">
    <tabColor rgb="FFFF0000"/>
  </sheetPr>
  <dimension ref="A1:M32"/>
  <sheetViews>
    <sheetView workbookViewId="0">
      <selection sqref="A1:L30"/>
    </sheetView>
  </sheetViews>
  <sheetFormatPr defaultColWidth="9.140625" defaultRowHeight="15.75"/>
  <cols>
    <col min="1" max="1" width="4.28515625" style="183" customWidth="1"/>
    <col min="2" max="2" width="36.5703125" style="183" customWidth="1"/>
    <col min="3" max="3" width="9.7109375" style="183" customWidth="1"/>
    <col min="4" max="6" width="8.85546875" style="183" customWidth="1"/>
    <col min="7" max="7" width="11.140625" style="183" customWidth="1"/>
    <col min="8" max="8" width="11.7109375" style="183" customWidth="1"/>
    <col min="9" max="9" width="12.85546875" style="183" customWidth="1"/>
    <col min="10" max="10" width="12.140625" style="183" customWidth="1"/>
    <col min="11" max="11" width="13.42578125" style="183" customWidth="1"/>
    <col min="12" max="12" width="13.85546875" style="183" customWidth="1"/>
    <col min="13" max="16384" width="9.140625" style="183"/>
  </cols>
  <sheetData>
    <row r="1" spans="1:12">
      <c r="K1" s="169" t="s">
        <v>267</v>
      </c>
      <c r="L1" s="671" t="s">
        <v>4373</v>
      </c>
    </row>
    <row r="2" spans="1:12" s="710" customFormat="1">
      <c r="A2" s="695" t="s">
        <v>4374</v>
      </c>
      <c r="B2" s="711"/>
      <c r="C2" s="711"/>
      <c r="D2" s="711"/>
      <c r="E2" s="711"/>
      <c r="F2" s="711"/>
      <c r="G2" s="711"/>
      <c r="H2" s="711"/>
      <c r="I2" s="711"/>
      <c r="J2" s="711"/>
      <c r="K2" s="711"/>
      <c r="L2" s="711"/>
    </row>
    <row r="3" spans="1:12">
      <c r="A3" s="45"/>
      <c r="B3" s="404"/>
      <c r="C3" s="168"/>
      <c r="D3" s="168"/>
      <c r="E3" s="168"/>
      <c r="F3" s="168"/>
      <c r="G3" s="168"/>
      <c r="H3" s="168"/>
      <c r="I3" s="168"/>
      <c r="J3" s="168"/>
      <c r="K3" s="168"/>
      <c r="L3" s="168"/>
    </row>
    <row r="4" spans="1:12" s="710" customFormat="1">
      <c r="A4" s="656" t="s">
        <v>3998</v>
      </c>
      <c r="B4" s="711"/>
      <c r="C4" s="711"/>
      <c r="D4" s="711"/>
      <c r="E4" s="711"/>
      <c r="F4" s="711"/>
      <c r="G4" s="711"/>
      <c r="H4" s="711"/>
      <c r="I4" s="711"/>
      <c r="J4" s="711"/>
    </row>
    <row r="5" spans="1:12">
      <c r="A5" s="168" t="s">
        <v>990</v>
      </c>
      <c r="B5" s="168"/>
      <c r="C5" s="168"/>
      <c r="D5" s="168"/>
      <c r="E5" s="168"/>
      <c r="F5" s="168"/>
      <c r="G5" s="168"/>
      <c r="H5" s="168"/>
      <c r="I5" s="168"/>
      <c r="J5" s="168"/>
      <c r="K5" s="168" t="s">
        <v>4052</v>
      </c>
      <c r="L5" s="3823">
        <v>1982</v>
      </c>
    </row>
    <row r="6" spans="1:12">
      <c r="A6" s="168"/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307" t="s">
        <v>254</v>
      </c>
    </row>
    <row r="7" spans="1:12" ht="36" customHeight="1">
      <c r="A7" s="4195" t="s">
        <v>2</v>
      </c>
      <c r="B7" s="4195" t="s">
        <v>3541</v>
      </c>
      <c r="C7" s="4192" t="s">
        <v>4375</v>
      </c>
      <c r="D7" s="4192" t="s">
        <v>4376</v>
      </c>
      <c r="E7" s="4192" t="s">
        <v>4377</v>
      </c>
      <c r="F7" s="4192"/>
      <c r="G7" s="4192" t="s">
        <v>4378</v>
      </c>
      <c r="H7" s="4192"/>
      <c r="I7" s="4195" t="s">
        <v>4379</v>
      </c>
      <c r="J7" s="4195" t="s">
        <v>20</v>
      </c>
      <c r="K7" s="4195" t="s">
        <v>7</v>
      </c>
      <c r="L7" s="4195" t="s">
        <v>8</v>
      </c>
    </row>
    <row r="8" spans="1:12" s="393" customFormat="1" ht="33.75" customHeight="1">
      <c r="A8" s="4195"/>
      <c r="B8" s="4195"/>
      <c r="C8" s="4192"/>
      <c r="D8" s="4192"/>
      <c r="E8" s="229" t="s">
        <v>4380</v>
      </c>
      <c r="F8" s="229" t="s">
        <v>999</v>
      </c>
      <c r="G8" s="229" t="s">
        <v>4381</v>
      </c>
      <c r="H8" s="229" t="s">
        <v>999</v>
      </c>
      <c r="I8" s="4195"/>
      <c r="J8" s="4195"/>
      <c r="K8" s="4195"/>
      <c r="L8" s="4195"/>
    </row>
    <row r="9" spans="1:12" s="393" customFormat="1">
      <c r="A9" s="239"/>
      <c r="B9" s="394" t="s">
        <v>20</v>
      </c>
      <c r="C9" s="229"/>
      <c r="D9" s="229"/>
      <c r="E9" s="229"/>
      <c r="F9" s="229"/>
      <c r="G9" s="229"/>
      <c r="H9" s="229"/>
      <c r="I9" s="239"/>
      <c r="J9" s="529">
        <f>SUM(J10:J23)</f>
        <v>91172</v>
      </c>
      <c r="K9" s="529">
        <f>SUM(K10:K23)</f>
        <v>91172</v>
      </c>
      <c r="L9" s="529">
        <f>SUM(L10:L13)</f>
        <v>0</v>
      </c>
    </row>
    <row r="10" spans="1:12" ht="25.5">
      <c r="A10" s="675"/>
      <c r="B10" s="1036" t="s">
        <v>4382</v>
      </c>
      <c r="C10" s="709">
        <v>5</v>
      </c>
      <c r="D10" s="709">
        <v>1</v>
      </c>
      <c r="E10" s="675">
        <v>2</v>
      </c>
      <c r="F10" s="242">
        <f t="shared" ref="F10:F23" si="0">E10*$L$5</f>
        <v>3964</v>
      </c>
      <c r="G10" s="719">
        <v>0.5</v>
      </c>
      <c r="H10" s="242">
        <f t="shared" ref="H10:H23" si="1">G10*$L$5</f>
        <v>991</v>
      </c>
      <c r="I10" s="536">
        <f>F10+H10</f>
        <v>4955</v>
      </c>
      <c r="J10" s="536">
        <f>C10*D10*I10</f>
        <v>24775</v>
      </c>
      <c r="K10" s="536">
        <f>J10</f>
        <v>24775</v>
      </c>
      <c r="L10" s="216"/>
    </row>
    <row r="11" spans="1:12" ht="25.5">
      <c r="A11" s="675"/>
      <c r="B11" s="1036" t="s">
        <v>4383</v>
      </c>
      <c r="C11" s="709">
        <v>15</v>
      </c>
      <c r="D11" s="709">
        <v>1</v>
      </c>
      <c r="E11" s="709">
        <v>1</v>
      </c>
      <c r="F11" s="242">
        <f t="shared" si="0"/>
        <v>1982</v>
      </c>
      <c r="G11" s="719">
        <v>0.1</v>
      </c>
      <c r="H11" s="242">
        <f t="shared" si="1"/>
        <v>198.20000000000002</v>
      </c>
      <c r="I11" s="536">
        <f t="shared" ref="I11:I23" si="2">F11+H11</f>
        <v>2180.1999999999998</v>
      </c>
      <c r="J11" s="536">
        <f t="shared" ref="J11:J23" si="3">C11*D11*I11</f>
        <v>32702.999999999996</v>
      </c>
      <c r="K11" s="536">
        <f t="shared" ref="K11:K23" si="4">J11</f>
        <v>32702.999999999996</v>
      </c>
      <c r="L11" s="216"/>
    </row>
    <row r="12" spans="1:12" ht="25.5">
      <c r="A12" s="675"/>
      <c r="B12" s="1036" t="s">
        <v>4384</v>
      </c>
      <c r="C12" s="709">
        <v>100</v>
      </c>
      <c r="D12" s="709">
        <v>1</v>
      </c>
      <c r="E12" s="709">
        <v>7.0000000000000007E-2</v>
      </c>
      <c r="F12" s="242">
        <f t="shared" si="0"/>
        <v>138.74</v>
      </c>
      <c r="G12" s="719">
        <v>0.1</v>
      </c>
      <c r="H12" s="242">
        <f t="shared" si="1"/>
        <v>198.20000000000002</v>
      </c>
      <c r="I12" s="536">
        <f t="shared" si="2"/>
        <v>336.94000000000005</v>
      </c>
      <c r="J12" s="536">
        <f t="shared" si="3"/>
        <v>33694.000000000007</v>
      </c>
      <c r="K12" s="536">
        <f t="shared" si="4"/>
        <v>33694.000000000007</v>
      </c>
      <c r="L12" s="216"/>
    </row>
    <row r="13" spans="1:12" hidden="1">
      <c r="A13" s="675"/>
      <c r="B13" s="708"/>
      <c r="C13" s="709"/>
      <c r="D13" s="709"/>
      <c r="E13" s="709"/>
      <c r="F13" s="242">
        <f t="shared" si="0"/>
        <v>0</v>
      </c>
      <c r="G13" s="719"/>
      <c r="H13" s="242">
        <f t="shared" si="1"/>
        <v>0</v>
      </c>
      <c r="I13" s="536">
        <f t="shared" si="2"/>
        <v>0</v>
      </c>
      <c r="J13" s="536">
        <f t="shared" si="3"/>
        <v>0</v>
      </c>
      <c r="K13" s="536">
        <f t="shared" si="4"/>
        <v>0</v>
      </c>
      <c r="L13" s="216"/>
    </row>
    <row r="14" spans="1:12" hidden="1">
      <c r="A14" s="675"/>
      <c r="B14" s="708"/>
      <c r="C14" s="709"/>
      <c r="D14" s="709"/>
      <c r="E14" s="709"/>
      <c r="F14" s="242">
        <f t="shared" si="0"/>
        <v>0</v>
      </c>
      <c r="G14" s="719"/>
      <c r="H14" s="242">
        <f t="shared" si="1"/>
        <v>0</v>
      </c>
      <c r="I14" s="536">
        <f t="shared" si="2"/>
        <v>0</v>
      </c>
      <c r="J14" s="536">
        <f t="shared" si="3"/>
        <v>0</v>
      </c>
      <c r="K14" s="536">
        <f t="shared" si="4"/>
        <v>0</v>
      </c>
      <c r="L14" s="216"/>
    </row>
    <row r="15" spans="1:12" hidden="1">
      <c r="A15" s="675"/>
      <c r="B15" s="708"/>
      <c r="C15" s="709"/>
      <c r="D15" s="709"/>
      <c r="E15" s="709"/>
      <c r="F15" s="242">
        <f t="shared" si="0"/>
        <v>0</v>
      </c>
      <c r="G15" s="719"/>
      <c r="H15" s="242">
        <f t="shared" si="1"/>
        <v>0</v>
      </c>
      <c r="I15" s="536">
        <f>F15+H15</f>
        <v>0</v>
      </c>
      <c r="J15" s="536">
        <f t="shared" si="3"/>
        <v>0</v>
      </c>
      <c r="K15" s="536">
        <f t="shared" si="4"/>
        <v>0</v>
      </c>
      <c r="L15" s="216"/>
    </row>
    <row r="16" spans="1:12" hidden="1">
      <c r="A16" s="675"/>
      <c r="B16" s="708"/>
      <c r="C16" s="709"/>
      <c r="D16" s="709"/>
      <c r="E16" s="709"/>
      <c r="F16" s="242">
        <f t="shared" si="0"/>
        <v>0</v>
      </c>
      <c r="G16" s="719"/>
      <c r="H16" s="242">
        <f t="shared" si="1"/>
        <v>0</v>
      </c>
      <c r="I16" s="536">
        <f t="shared" si="2"/>
        <v>0</v>
      </c>
      <c r="J16" s="536">
        <f t="shared" si="3"/>
        <v>0</v>
      </c>
      <c r="K16" s="536">
        <f t="shared" si="4"/>
        <v>0</v>
      </c>
      <c r="L16" s="216"/>
    </row>
    <row r="17" spans="1:13" hidden="1">
      <c r="A17" s="675"/>
      <c r="B17" s="708"/>
      <c r="C17" s="709"/>
      <c r="D17" s="709"/>
      <c r="E17" s="709"/>
      <c r="F17" s="242">
        <f t="shared" si="0"/>
        <v>0</v>
      </c>
      <c r="G17" s="719"/>
      <c r="H17" s="242">
        <f t="shared" si="1"/>
        <v>0</v>
      </c>
      <c r="I17" s="536">
        <f t="shared" si="2"/>
        <v>0</v>
      </c>
      <c r="J17" s="536">
        <f t="shared" si="3"/>
        <v>0</v>
      </c>
      <c r="K17" s="536">
        <f t="shared" si="4"/>
        <v>0</v>
      </c>
      <c r="L17" s="216"/>
    </row>
    <row r="18" spans="1:13" hidden="1">
      <c r="A18" s="675"/>
      <c r="B18" s="708"/>
      <c r="C18" s="709"/>
      <c r="D18" s="709"/>
      <c r="E18" s="709"/>
      <c r="F18" s="242">
        <f t="shared" si="0"/>
        <v>0</v>
      </c>
      <c r="G18" s="719"/>
      <c r="H18" s="242">
        <f t="shared" si="1"/>
        <v>0</v>
      </c>
      <c r="I18" s="536">
        <f t="shared" si="2"/>
        <v>0</v>
      </c>
      <c r="J18" s="536">
        <f t="shared" si="3"/>
        <v>0</v>
      </c>
      <c r="K18" s="536">
        <f t="shared" si="4"/>
        <v>0</v>
      </c>
      <c r="L18" s="216"/>
    </row>
    <row r="19" spans="1:13" hidden="1">
      <c r="A19" s="675"/>
      <c r="B19" s="708"/>
      <c r="C19" s="709"/>
      <c r="D19" s="709"/>
      <c r="E19" s="709"/>
      <c r="F19" s="242">
        <f t="shared" si="0"/>
        <v>0</v>
      </c>
      <c r="G19" s="719"/>
      <c r="H19" s="242">
        <f t="shared" si="1"/>
        <v>0</v>
      </c>
      <c r="I19" s="536">
        <f t="shared" si="2"/>
        <v>0</v>
      </c>
      <c r="J19" s="536">
        <f t="shared" si="3"/>
        <v>0</v>
      </c>
      <c r="K19" s="536">
        <f t="shared" si="4"/>
        <v>0</v>
      </c>
      <c r="L19" s="216"/>
    </row>
    <row r="20" spans="1:13" hidden="1">
      <c r="A20" s="675"/>
      <c r="B20" s="708"/>
      <c r="C20" s="709"/>
      <c r="D20" s="709"/>
      <c r="E20" s="709"/>
      <c r="F20" s="242">
        <f t="shared" si="0"/>
        <v>0</v>
      </c>
      <c r="G20" s="719"/>
      <c r="H20" s="242">
        <f t="shared" si="1"/>
        <v>0</v>
      </c>
      <c r="I20" s="536">
        <f t="shared" si="2"/>
        <v>0</v>
      </c>
      <c r="J20" s="536">
        <f t="shared" si="3"/>
        <v>0</v>
      </c>
      <c r="K20" s="536">
        <f t="shared" si="4"/>
        <v>0</v>
      </c>
      <c r="L20" s="216"/>
    </row>
    <row r="21" spans="1:13" hidden="1">
      <c r="A21" s="675"/>
      <c r="B21" s="708"/>
      <c r="C21" s="709"/>
      <c r="D21" s="709"/>
      <c r="E21" s="709"/>
      <c r="F21" s="242">
        <f t="shared" si="0"/>
        <v>0</v>
      </c>
      <c r="G21" s="719"/>
      <c r="H21" s="242">
        <f t="shared" si="1"/>
        <v>0</v>
      </c>
      <c r="I21" s="536">
        <f t="shared" si="2"/>
        <v>0</v>
      </c>
      <c r="J21" s="536">
        <f t="shared" si="3"/>
        <v>0</v>
      </c>
      <c r="K21" s="536">
        <f t="shared" si="4"/>
        <v>0</v>
      </c>
      <c r="L21" s="216"/>
    </row>
    <row r="22" spans="1:13" hidden="1">
      <c r="A22" s="675"/>
      <c r="B22" s="708"/>
      <c r="C22" s="709"/>
      <c r="D22" s="709"/>
      <c r="E22" s="709"/>
      <c r="F22" s="242">
        <f t="shared" si="0"/>
        <v>0</v>
      </c>
      <c r="G22" s="719"/>
      <c r="H22" s="242">
        <f t="shared" si="1"/>
        <v>0</v>
      </c>
      <c r="I22" s="536">
        <f t="shared" si="2"/>
        <v>0</v>
      </c>
      <c r="J22" s="536">
        <f t="shared" si="3"/>
        <v>0</v>
      </c>
      <c r="K22" s="536">
        <f t="shared" si="4"/>
        <v>0</v>
      </c>
      <c r="L22" s="216"/>
    </row>
    <row r="23" spans="1:13" hidden="1">
      <c r="A23" s="675"/>
      <c r="B23" s="708"/>
      <c r="C23" s="709"/>
      <c r="D23" s="709"/>
      <c r="E23" s="709"/>
      <c r="F23" s="242">
        <f t="shared" si="0"/>
        <v>0</v>
      </c>
      <c r="G23" s="719"/>
      <c r="H23" s="242">
        <f t="shared" si="1"/>
        <v>0</v>
      </c>
      <c r="I23" s="536">
        <f t="shared" si="2"/>
        <v>0</v>
      </c>
      <c r="J23" s="536">
        <f t="shared" si="3"/>
        <v>0</v>
      </c>
      <c r="K23" s="536">
        <f t="shared" si="4"/>
        <v>0</v>
      </c>
      <c r="L23" s="216"/>
    </row>
    <row r="24" spans="1:13">
      <c r="A24" s="169"/>
      <c r="B24" s="186"/>
      <c r="C24" s="168"/>
      <c r="D24" s="168"/>
      <c r="E24" s="168"/>
      <c r="F24" s="168"/>
      <c r="G24" s="168"/>
      <c r="H24" s="168"/>
      <c r="I24" s="706"/>
      <c r="J24" s="706"/>
      <c r="K24" s="707"/>
      <c r="L24" s="707"/>
    </row>
    <row r="25" spans="1:13">
      <c r="A25" s="426" t="s">
        <v>330</v>
      </c>
      <c r="B25" s="514"/>
      <c r="C25" s="514"/>
      <c r="D25" s="1075"/>
      <c r="E25" s="419"/>
      <c r="F25" s="1075" t="s">
        <v>369</v>
      </c>
      <c r="G25" s="657"/>
      <c r="H25" s="711"/>
      <c r="I25" s="711"/>
      <c r="J25" s="712"/>
      <c r="K25" s="713"/>
      <c r="L25" s="711"/>
    </row>
    <row r="26" spans="1:13">
      <c r="A26" s="426"/>
      <c r="B26" s="514"/>
      <c r="C26" s="514"/>
      <c r="D26" s="1075"/>
      <c r="E26" s="419"/>
      <c r="F26" s="1075"/>
      <c r="G26" s="657"/>
      <c r="H26" s="711"/>
      <c r="I26" s="711"/>
      <c r="J26" s="712"/>
      <c r="K26" s="714"/>
      <c r="L26" s="711"/>
    </row>
    <row r="27" spans="1:13">
      <c r="A27" s="1073" t="s">
        <v>547</v>
      </c>
      <c r="B27" s="1076"/>
      <c r="C27" s="475"/>
      <c r="D27" s="1077"/>
      <c r="E27" s="419"/>
      <c r="F27" s="1074" t="s">
        <v>374</v>
      </c>
      <c r="G27" s="657"/>
      <c r="H27" s="715"/>
      <c r="I27" s="712"/>
      <c r="J27" s="716"/>
      <c r="K27" s="717"/>
      <c r="L27" s="710"/>
      <c r="M27" s="309"/>
    </row>
    <row r="28" spans="1:13">
      <c r="A28" s="1073" t="s">
        <v>548</v>
      </c>
      <c r="B28" s="1076"/>
      <c r="C28" s="475"/>
      <c r="D28" s="1077"/>
      <c r="E28" s="419"/>
      <c r="F28" s="1074"/>
      <c r="G28" s="657"/>
      <c r="H28" s="715"/>
      <c r="I28" s="712"/>
      <c r="J28" s="718"/>
      <c r="K28" s="717"/>
      <c r="L28" s="710"/>
      <c r="M28" s="309"/>
    </row>
    <row r="29" spans="1:13">
      <c r="A29" s="1073"/>
      <c r="B29" s="1076"/>
      <c r="C29" s="475"/>
      <c r="D29" s="1077"/>
      <c r="E29" s="580"/>
      <c r="F29" s="1078"/>
      <c r="G29" s="580"/>
      <c r="H29" s="227"/>
      <c r="I29" s="226"/>
      <c r="J29" s="305"/>
      <c r="K29" s="278"/>
      <c r="M29" s="248"/>
    </row>
    <row r="30" spans="1:13">
      <c r="A30" s="1073" t="s">
        <v>375</v>
      </c>
      <c r="B30" s="1078"/>
      <c r="C30" s="1078"/>
      <c r="D30" s="1078"/>
      <c r="E30" s="580"/>
      <c r="F30" s="1074" t="s">
        <v>376</v>
      </c>
      <c r="G30" s="580"/>
      <c r="H30" s="227"/>
      <c r="I30" s="226"/>
      <c r="J30" s="302"/>
      <c r="K30" s="278"/>
      <c r="M30" s="248"/>
    </row>
    <row r="31" spans="1:13">
      <c r="A31"/>
      <c r="B31"/>
      <c r="C31"/>
      <c r="D31"/>
      <c r="E31" s="580"/>
      <c r="F31"/>
      <c r="G31" s="580"/>
      <c r="H31" s="227"/>
      <c r="I31" s="226"/>
      <c r="J31" s="302"/>
      <c r="K31" s="168"/>
      <c r="L31" s="168"/>
    </row>
    <row r="32" spans="1:13">
      <c r="A32" s="168"/>
      <c r="B32" s="300"/>
      <c r="D32" s="227"/>
      <c r="E32" s="227"/>
      <c r="F32" s="227"/>
      <c r="G32" s="227"/>
      <c r="H32" s="227"/>
      <c r="I32" s="226"/>
      <c r="J32" s="302"/>
      <c r="K32" s="168"/>
      <c r="L32" s="168"/>
    </row>
  </sheetData>
  <sheetProtection formatColumns="0" insertRows="0" deleteRows="0"/>
  <mergeCells count="10">
    <mergeCell ref="K7:K8"/>
    <mergeCell ref="L7:L8"/>
    <mergeCell ref="E7:F7"/>
    <mergeCell ref="G7:H7"/>
    <mergeCell ref="A7:A8"/>
    <mergeCell ref="B7:B8"/>
    <mergeCell ref="C7:C8"/>
    <mergeCell ref="D7:D8"/>
    <mergeCell ref="I7:I8"/>
    <mergeCell ref="J7:J8"/>
  </mergeCells>
  <phoneticPr fontId="40" type="noConversion"/>
  <pageMargins left="0.74803149606299213" right="0.74803149606299213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Лист45">
    <tabColor rgb="FFFF0000"/>
  </sheetPr>
  <dimension ref="A1:I31"/>
  <sheetViews>
    <sheetView workbookViewId="0">
      <selection activeCell="D27" sqref="D27"/>
    </sheetView>
  </sheetViews>
  <sheetFormatPr defaultColWidth="9.140625" defaultRowHeight="12.75"/>
  <cols>
    <col min="1" max="1" width="4.28515625" style="580" customWidth="1"/>
    <col min="2" max="2" width="34.7109375" style="580" customWidth="1"/>
    <col min="3" max="3" width="6.28515625" style="580" customWidth="1"/>
    <col min="4" max="4" width="23.85546875" style="580" customWidth="1"/>
    <col min="5" max="5" width="11.5703125" style="580" customWidth="1"/>
    <col min="6" max="6" width="11.42578125" style="580" customWidth="1"/>
    <col min="7" max="7" width="16.28515625" style="580" customWidth="1"/>
    <col min="8" max="9" width="14" style="580" customWidth="1"/>
    <col min="10" max="10" width="15.140625" style="580" customWidth="1"/>
    <col min="11" max="16384" width="9.140625" style="580"/>
  </cols>
  <sheetData>
    <row r="1" spans="1:9" ht="15.75">
      <c r="H1" s="691" t="s">
        <v>267</v>
      </c>
      <c r="I1" s="671" t="s">
        <v>667</v>
      </c>
    </row>
    <row r="2" spans="1:9" s="684" customFormat="1" ht="15.75">
      <c r="A2" s="695" t="s">
        <v>4385</v>
      </c>
    </row>
    <row r="3" spans="1:9" ht="15">
      <c r="A3" s="45"/>
    </row>
    <row r="4" spans="1:9" s="684" customFormat="1" ht="15.75">
      <c r="A4" s="656" t="s">
        <v>3998</v>
      </c>
    </row>
    <row r="5" spans="1:9" s="419" customFormat="1" ht="15.75">
      <c r="A5" s="168" t="s">
        <v>990</v>
      </c>
    </row>
    <row r="6" spans="1:9" s="419" customFormat="1" ht="15.75">
      <c r="A6" s="168"/>
      <c r="I6" s="307" t="s">
        <v>254</v>
      </c>
    </row>
    <row r="7" spans="1:9" s="419" customFormat="1" ht="15.75" customHeight="1">
      <c r="A7" s="4371" t="s">
        <v>34</v>
      </c>
      <c r="B7" s="4371" t="s">
        <v>4363</v>
      </c>
      <c r="C7" s="4371" t="s">
        <v>996</v>
      </c>
      <c r="D7" s="4371" t="s">
        <v>3683</v>
      </c>
      <c r="E7" s="4371" t="s">
        <v>4386</v>
      </c>
      <c r="F7" s="4371" t="s">
        <v>4387</v>
      </c>
      <c r="G7" s="4371" t="s">
        <v>4388</v>
      </c>
      <c r="H7" s="4375" t="s">
        <v>4367</v>
      </c>
      <c r="I7" s="4376"/>
    </row>
    <row r="8" spans="1:9" s="419" customFormat="1" ht="15.75">
      <c r="A8" s="4373"/>
      <c r="B8" s="4373"/>
      <c r="C8" s="4373"/>
      <c r="D8" s="4373"/>
      <c r="E8" s="4373"/>
      <c r="F8" s="4373"/>
      <c r="G8" s="4373"/>
      <c r="H8" s="569" t="s">
        <v>7</v>
      </c>
      <c r="I8" s="569" t="s">
        <v>8</v>
      </c>
    </row>
    <row r="9" spans="1:9" s="419" customFormat="1" ht="78" customHeight="1">
      <c r="A9" s="696">
        <v>1</v>
      </c>
      <c r="B9" s="1017" t="s">
        <v>4389</v>
      </c>
      <c r="C9" s="696" t="s">
        <v>4390</v>
      </c>
      <c r="D9" s="701" t="s">
        <v>4391</v>
      </c>
      <c r="E9" s="698">
        <v>6000</v>
      </c>
      <c r="F9" s="699">
        <v>42.8</v>
      </c>
      <c r="G9" s="581">
        <f>E9*F9</f>
        <v>256799.99999999997</v>
      </c>
      <c r="H9" s="517"/>
      <c r="I9" s="581">
        <f>G9</f>
        <v>256799.99999999997</v>
      </c>
    </row>
    <row r="10" spans="1:9" s="419" customFormat="1" ht="15.75" hidden="1">
      <c r="A10" s="696">
        <v>2</v>
      </c>
      <c r="B10" s="697" t="s">
        <v>526</v>
      </c>
      <c r="C10" s="696" t="s">
        <v>4390</v>
      </c>
      <c r="D10" s="696"/>
      <c r="E10" s="698"/>
      <c r="F10" s="699"/>
      <c r="G10" s="581">
        <f>E10*F10</f>
        <v>0</v>
      </c>
      <c r="H10" s="517"/>
      <c r="I10" s="581">
        <f t="shared" ref="I10:I19" si="0">G10</f>
        <v>0</v>
      </c>
    </row>
    <row r="11" spans="1:9" s="419" customFormat="1" ht="15.75" hidden="1">
      <c r="A11" s="696">
        <v>3</v>
      </c>
      <c r="B11" s="697" t="s">
        <v>526</v>
      </c>
      <c r="C11" s="696" t="s">
        <v>4390</v>
      </c>
      <c r="D11" s="696"/>
      <c r="E11" s="698"/>
      <c r="F11" s="699"/>
      <c r="G11" s="581">
        <f>E11*F11</f>
        <v>0</v>
      </c>
      <c r="H11" s="517"/>
      <c r="I11" s="581">
        <f t="shared" si="0"/>
        <v>0</v>
      </c>
    </row>
    <row r="12" spans="1:9" s="419" customFormat="1" ht="15.75" hidden="1">
      <c r="A12" s="696">
        <v>4</v>
      </c>
      <c r="B12" s="697" t="s">
        <v>526</v>
      </c>
      <c r="C12" s="696" t="s">
        <v>4390</v>
      </c>
      <c r="D12" s="696"/>
      <c r="E12" s="698"/>
      <c r="F12" s="699"/>
      <c r="G12" s="581">
        <f>E12*F12</f>
        <v>0</v>
      </c>
      <c r="H12" s="517"/>
      <c r="I12" s="581">
        <f t="shared" si="0"/>
        <v>0</v>
      </c>
    </row>
    <row r="13" spans="1:9" s="419" customFormat="1" ht="15.75" hidden="1">
      <c r="A13" s="696">
        <v>5</v>
      </c>
      <c r="B13" s="697"/>
      <c r="C13" s="696"/>
      <c r="D13" s="696"/>
      <c r="E13" s="698"/>
      <c r="F13" s="699"/>
      <c r="G13" s="581">
        <f t="shared" ref="G13:G19" si="1">E13*F13</f>
        <v>0</v>
      </c>
      <c r="H13" s="517"/>
      <c r="I13" s="581">
        <f t="shared" si="0"/>
        <v>0</v>
      </c>
    </row>
    <row r="14" spans="1:9" s="419" customFormat="1" ht="15.75" hidden="1">
      <c r="A14" s="696">
        <v>6</v>
      </c>
      <c r="B14" s="697"/>
      <c r="C14" s="696"/>
      <c r="D14" s="696"/>
      <c r="E14" s="698"/>
      <c r="F14" s="699"/>
      <c r="G14" s="581">
        <f t="shared" si="1"/>
        <v>0</v>
      </c>
      <c r="H14" s="517"/>
      <c r="I14" s="581">
        <f t="shared" si="0"/>
        <v>0</v>
      </c>
    </row>
    <row r="15" spans="1:9" s="419" customFormat="1" ht="15.75" hidden="1">
      <c r="A15" s="696">
        <v>7</v>
      </c>
      <c r="B15" s="697"/>
      <c r="C15" s="696"/>
      <c r="D15" s="696"/>
      <c r="E15" s="698"/>
      <c r="F15" s="699"/>
      <c r="G15" s="581">
        <f t="shared" si="1"/>
        <v>0</v>
      </c>
      <c r="H15" s="517"/>
      <c r="I15" s="581">
        <f t="shared" si="0"/>
        <v>0</v>
      </c>
    </row>
    <row r="16" spans="1:9" s="419" customFormat="1" ht="15.75" hidden="1">
      <c r="A16" s="696">
        <v>8</v>
      </c>
      <c r="B16" s="697"/>
      <c r="C16" s="696"/>
      <c r="D16" s="696"/>
      <c r="E16" s="698"/>
      <c r="F16" s="699"/>
      <c r="G16" s="581">
        <f t="shared" si="1"/>
        <v>0</v>
      </c>
      <c r="H16" s="517"/>
      <c r="I16" s="581">
        <f t="shared" si="0"/>
        <v>0</v>
      </c>
    </row>
    <row r="17" spans="1:9" s="419" customFormat="1" ht="15.75" hidden="1">
      <c r="A17" s="696">
        <v>9</v>
      </c>
      <c r="B17" s="697"/>
      <c r="C17" s="696"/>
      <c r="D17" s="696"/>
      <c r="E17" s="698"/>
      <c r="F17" s="699"/>
      <c r="G17" s="581">
        <f t="shared" si="1"/>
        <v>0</v>
      </c>
      <c r="H17" s="517"/>
      <c r="I17" s="581">
        <f t="shared" si="0"/>
        <v>0</v>
      </c>
    </row>
    <row r="18" spans="1:9" s="419" customFormat="1" ht="15.75" hidden="1">
      <c r="A18" s="696">
        <v>10</v>
      </c>
      <c r="B18" s="697"/>
      <c r="C18" s="696"/>
      <c r="D18" s="696"/>
      <c r="E18" s="698"/>
      <c r="F18" s="699"/>
      <c r="G18" s="581">
        <f t="shared" si="1"/>
        <v>0</v>
      </c>
      <c r="H18" s="517"/>
      <c r="I18" s="581">
        <f t="shared" si="0"/>
        <v>0</v>
      </c>
    </row>
    <row r="19" spans="1:9" s="419" customFormat="1" ht="15.75" hidden="1">
      <c r="A19" s="696">
        <v>11</v>
      </c>
      <c r="B19" s="697"/>
      <c r="C19" s="696"/>
      <c r="D19" s="696"/>
      <c r="E19" s="698"/>
      <c r="F19" s="699"/>
      <c r="G19" s="581">
        <f t="shared" si="1"/>
        <v>0</v>
      </c>
      <c r="H19" s="517"/>
      <c r="I19" s="581">
        <f t="shared" si="0"/>
        <v>0</v>
      </c>
    </row>
    <row r="20" spans="1:9" s="419" customFormat="1" ht="15.75">
      <c r="A20" s="517"/>
      <c r="B20" s="516" t="s">
        <v>306</v>
      </c>
      <c r="C20" s="517"/>
      <c r="D20" s="517"/>
      <c r="E20" s="517"/>
      <c r="F20" s="517"/>
      <c r="G20" s="582">
        <f>SUM(G9:G19)</f>
        <v>256799.99999999997</v>
      </c>
      <c r="H20" s="582">
        <f>SUM(H9:H19)</f>
        <v>0</v>
      </c>
      <c r="I20" s="582">
        <f>SUM(I9:I19)</f>
        <v>256799.99999999997</v>
      </c>
    </row>
    <row r="23" spans="1:9" s="419" customFormat="1" ht="15.75">
      <c r="A23" s="300" t="s">
        <v>329</v>
      </c>
      <c r="B23" s="514"/>
      <c r="C23" s="514"/>
      <c r="D23" s="1075"/>
      <c r="F23" s="1075" t="s">
        <v>448</v>
      </c>
      <c r="G23" s="657"/>
      <c r="H23" s="657"/>
      <c r="I23" s="657"/>
    </row>
    <row r="24" spans="1:9" s="419" customFormat="1" ht="15.75">
      <c r="A24" s="300"/>
      <c r="B24" s="514"/>
      <c r="C24" s="514"/>
      <c r="D24" s="1075"/>
      <c r="F24" s="1075"/>
      <c r="G24" s="657"/>
      <c r="H24" s="657"/>
      <c r="I24" s="657"/>
    </row>
    <row r="25" spans="1:9" s="419" customFormat="1" ht="15.75">
      <c r="A25" s="426" t="s">
        <v>330</v>
      </c>
      <c r="B25" s="514"/>
      <c r="C25" s="514"/>
      <c r="D25" s="1075"/>
      <c r="F25" s="1075" t="s">
        <v>369</v>
      </c>
      <c r="G25" s="657"/>
      <c r="H25" s="657"/>
      <c r="I25" s="657"/>
    </row>
    <row r="26" spans="1:9" s="419" customFormat="1" ht="15.75">
      <c r="A26" s="426"/>
      <c r="B26" s="514"/>
      <c r="C26" s="514"/>
      <c r="D26" s="1075"/>
      <c r="F26" s="1075"/>
      <c r="G26" s="657"/>
      <c r="H26" s="657"/>
      <c r="I26" s="657"/>
    </row>
    <row r="27" spans="1:9" s="419" customFormat="1" ht="15.75">
      <c r="A27" s="1073" t="s">
        <v>547</v>
      </c>
      <c r="B27" s="1076"/>
      <c r="C27" s="475"/>
      <c r="D27" s="1077"/>
      <c r="F27" s="1074" t="s">
        <v>374</v>
      </c>
      <c r="G27" s="657"/>
      <c r="H27" s="657"/>
      <c r="I27" s="657"/>
    </row>
    <row r="28" spans="1:9" s="419" customFormat="1" ht="15.75">
      <c r="A28" s="1073" t="s">
        <v>548</v>
      </c>
      <c r="B28" s="1076"/>
      <c r="C28" s="475"/>
      <c r="D28" s="1077"/>
      <c r="F28" s="1074"/>
      <c r="G28" s="657"/>
      <c r="H28" s="657"/>
      <c r="I28" s="657"/>
    </row>
    <row r="29" spans="1:9" ht="15.75">
      <c r="A29" s="1073"/>
      <c r="B29" s="1076"/>
      <c r="C29" s="475"/>
      <c r="D29" s="1077"/>
      <c r="F29" s="1078"/>
    </row>
    <row r="30" spans="1:9" ht="15.75">
      <c r="A30" s="1073" t="s">
        <v>375</v>
      </c>
      <c r="B30" s="1078"/>
      <c r="C30" s="1078"/>
      <c r="D30" s="1078"/>
      <c r="F30" s="1074" t="s">
        <v>376</v>
      </c>
    </row>
    <row r="31" spans="1:9" ht="15">
      <c r="A31"/>
      <c r="B31"/>
      <c r="C31"/>
      <c r="D31"/>
      <c r="F31"/>
    </row>
  </sheetData>
  <sheetProtection formatColumns="0" insertRows="0" deleteRows="0"/>
  <mergeCells count="8">
    <mergeCell ref="G7:G8"/>
    <mergeCell ref="H7:I7"/>
    <mergeCell ref="A7:A8"/>
    <mergeCell ref="B7:B8"/>
    <mergeCell ref="C7:C8"/>
    <mergeCell ref="D7:D8"/>
    <mergeCell ref="E7:E8"/>
    <mergeCell ref="F7:F8"/>
  </mergeCells>
  <pageMargins left="0.7" right="0.7" top="0.75" bottom="0.75" header="0.3" footer="0.3"/>
  <pageSetup paperSize="9" orientation="landscape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Лист44">
    <tabColor rgb="FFFF0000"/>
    <pageSetUpPr fitToPage="1"/>
  </sheetPr>
  <dimension ref="A1:N27"/>
  <sheetViews>
    <sheetView workbookViewId="0">
      <selection activeCell="F9" sqref="F9:F11"/>
    </sheetView>
  </sheetViews>
  <sheetFormatPr defaultRowHeight="15"/>
  <cols>
    <col min="1" max="1" width="5" customWidth="1"/>
    <col min="2" max="2" width="27.140625" customWidth="1"/>
    <col min="3" max="3" width="49.5703125" customWidth="1"/>
    <col min="4" max="4" width="11.7109375" customWidth="1"/>
    <col min="5" max="5" width="12.7109375" customWidth="1"/>
    <col min="6" max="6" width="9.7109375" customWidth="1"/>
    <col min="7" max="7" width="17.7109375" customWidth="1"/>
    <col min="8" max="9" width="14.85546875" customWidth="1"/>
  </cols>
  <sheetData>
    <row r="1" spans="1:14" ht="15.75">
      <c r="G1" s="1155"/>
      <c r="H1" s="1155"/>
      <c r="I1" s="1156" t="s">
        <v>4392</v>
      </c>
    </row>
    <row r="2" spans="1:14" s="683" customFormat="1" ht="18.75">
      <c r="A2" s="655" t="s">
        <v>4393</v>
      </c>
      <c r="B2" s="657"/>
      <c r="C2" s="657"/>
      <c r="D2" s="657"/>
      <c r="E2" s="657"/>
      <c r="F2" s="657"/>
      <c r="G2" s="657"/>
      <c r="H2" s="657" t="s">
        <v>634</v>
      </c>
      <c r="I2" s="657"/>
      <c r="J2" s="682"/>
    </row>
    <row r="3" spans="1:14" ht="18.75">
      <c r="A3" s="420"/>
      <c r="B3" s="419"/>
      <c r="C3" s="419"/>
      <c r="D3" s="419"/>
      <c r="E3" s="419"/>
      <c r="F3" s="419"/>
      <c r="G3" s="419"/>
      <c r="H3" s="419"/>
      <c r="I3" s="419"/>
      <c r="J3" s="572"/>
    </row>
    <row r="4" spans="1:14" s="684" customFormat="1" ht="15.75">
      <c r="A4" s="656" t="s">
        <v>3998</v>
      </c>
    </row>
    <row r="5" spans="1:14" s="419" customFormat="1" ht="15.75">
      <c r="A5" s="168" t="s">
        <v>990</v>
      </c>
    </row>
    <row r="6" spans="1:14" ht="18.75">
      <c r="A6" s="460"/>
      <c r="B6" s="460"/>
      <c r="C6" s="460"/>
      <c r="D6" s="460"/>
      <c r="E6" s="460"/>
      <c r="F6" s="460"/>
      <c r="G6" s="460"/>
      <c r="H6" s="460"/>
      <c r="I6" s="419"/>
      <c r="J6" s="572"/>
    </row>
    <row r="7" spans="1:14" ht="18.75">
      <c r="A7" s="4210" t="s">
        <v>34</v>
      </c>
      <c r="B7" s="4212" t="s">
        <v>478</v>
      </c>
      <c r="C7" s="4377" t="s">
        <v>3683</v>
      </c>
      <c r="D7" s="4377" t="s">
        <v>4394</v>
      </c>
      <c r="E7" s="4212" t="s">
        <v>999</v>
      </c>
      <c r="F7" s="4210" t="s">
        <v>4023</v>
      </c>
      <c r="G7" s="4212" t="s">
        <v>345</v>
      </c>
      <c r="H7" s="4213" t="s">
        <v>255</v>
      </c>
      <c r="I7" s="4214"/>
      <c r="J7" s="572"/>
    </row>
    <row r="8" spans="1:14" ht="18.75">
      <c r="A8" s="4244"/>
      <c r="B8" s="4212"/>
      <c r="C8" s="4378"/>
      <c r="D8" s="4378"/>
      <c r="E8" s="4212"/>
      <c r="F8" s="4244"/>
      <c r="G8" s="4212"/>
      <c r="H8" s="220" t="s">
        <v>7</v>
      </c>
      <c r="I8" s="220" t="s">
        <v>8</v>
      </c>
      <c r="J8" s="572"/>
    </row>
    <row r="9" spans="1:14" ht="47.25">
      <c r="A9" s="685">
        <v>1</v>
      </c>
      <c r="B9" s="1018" t="s">
        <v>1830</v>
      </c>
      <c r="C9" s="687" t="s">
        <v>4395</v>
      </c>
      <c r="D9" s="688" t="s">
        <v>1914</v>
      </c>
      <c r="E9" s="861">
        <v>4500</v>
      </c>
      <c r="F9" s="690">
        <v>121</v>
      </c>
      <c r="G9" s="587">
        <f>F9*E9</f>
        <v>544500</v>
      </c>
      <c r="H9" s="461"/>
      <c r="I9" s="594">
        <f t="shared" ref="I9:I16" si="0">G9</f>
        <v>544500</v>
      </c>
      <c r="J9" s="1037">
        <v>5</v>
      </c>
      <c r="K9" s="1038">
        <v>35</v>
      </c>
      <c r="L9" s="1038">
        <v>48</v>
      </c>
      <c r="M9" s="1038">
        <v>33</v>
      </c>
      <c r="N9" s="1039">
        <f>J9+K9+L9+M9</f>
        <v>121</v>
      </c>
    </row>
    <row r="10" spans="1:14" ht="15.75">
      <c r="A10" s="685">
        <v>2</v>
      </c>
      <c r="B10" s="1018" t="s">
        <v>1832</v>
      </c>
      <c r="C10" s="687" t="s">
        <v>1833</v>
      </c>
      <c r="D10" s="688" t="s">
        <v>1914</v>
      </c>
      <c r="E10" s="861">
        <v>900</v>
      </c>
      <c r="F10" s="690">
        <v>121</v>
      </c>
      <c r="G10" s="587">
        <f t="shared" ref="G10:G16" si="1">F10*E10</f>
        <v>108900</v>
      </c>
      <c r="H10" s="462"/>
      <c r="I10" s="594">
        <f t="shared" si="0"/>
        <v>108900</v>
      </c>
      <c r="J10" s="1037">
        <v>5</v>
      </c>
      <c r="K10" s="1038">
        <v>35</v>
      </c>
      <c r="L10" s="1038">
        <v>48</v>
      </c>
      <c r="M10" s="1038">
        <v>33</v>
      </c>
      <c r="N10" s="1039">
        <f>J10+K10+L10+M10</f>
        <v>121</v>
      </c>
    </row>
    <row r="11" spans="1:14" ht="31.5">
      <c r="A11" s="685">
        <v>3</v>
      </c>
      <c r="B11" s="1018" t="s">
        <v>1834</v>
      </c>
      <c r="C11" s="687" t="s">
        <v>1835</v>
      </c>
      <c r="D11" s="688" t="s">
        <v>1914</v>
      </c>
      <c r="E11" s="861">
        <v>4800</v>
      </c>
      <c r="F11" s="690">
        <v>36</v>
      </c>
      <c r="G11" s="587">
        <f t="shared" si="1"/>
        <v>172800</v>
      </c>
      <c r="H11" s="461"/>
      <c r="I11" s="594">
        <f t="shared" si="0"/>
        <v>172800</v>
      </c>
      <c r="J11" s="1037">
        <v>4</v>
      </c>
      <c r="K11" s="1038">
        <v>12</v>
      </c>
      <c r="L11" s="1038">
        <v>12</v>
      </c>
      <c r="M11" s="1038">
        <v>8</v>
      </c>
      <c r="N11" s="1039">
        <f>J11+K11+L11+M11</f>
        <v>36</v>
      </c>
    </row>
    <row r="12" spans="1:14" ht="31.5">
      <c r="A12" s="685">
        <v>4</v>
      </c>
      <c r="B12" s="1041" t="s">
        <v>4396</v>
      </c>
      <c r="C12" s="687" t="s">
        <v>4397</v>
      </c>
      <c r="D12" s="688" t="s">
        <v>1914</v>
      </c>
      <c r="E12" s="1040">
        <v>5300</v>
      </c>
      <c r="F12" s="690">
        <v>4</v>
      </c>
      <c r="G12" s="587">
        <f t="shared" si="1"/>
        <v>21200</v>
      </c>
      <c r="H12" s="461"/>
      <c r="I12" s="594">
        <f t="shared" si="0"/>
        <v>21200</v>
      </c>
      <c r="J12" s="572"/>
    </row>
    <row r="13" spans="1:14" ht="18.75">
      <c r="A13" s="685">
        <v>5</v>
      </c>
      <c r="B13" s="1041" t="s">
        <v>4398</v>
      </c>
      <c r="C13" s="687" t="s">
        <v>4397</v>
      </c>
      <c r="D13" s="688" t="s">
        <v>1914</v>
      </c>
      <c r="E13" s="1040">
        <v>12500</v>
      </c>
      <c r="F13" s="690">
        <v>4</v>
      </c>
      <c r="G13" s="587">
        <f t="shared" si="1"/>
        <v>50000</v>
      </c>
      <c r="H13" s="461"/>
      <c r="I13" s="594">
        <f t="shared" si="0"/>
        <v>50000</v>
      </c>
      <c r="J13" s="572"/>
    </row>
    <row r="14" spans="1:14" ht="18.75" hidden="1">
      <c r="A14" s="685">
        <v>6</v>
      </c>
      <c r="B14" s="686"/>
      <c r="C14" s="687"/>
      <c r="D14" s="688"/>
      <c r="E14" s="689"/>
      <c r="F14" s="690"/>
      <c r="G14" s="587">
        <f t="shared" si="1"/>
        <v>0</v>
      </c>
      <c r="H14" s="461"/>
      <c r="I14" s="594">
        <f t="shared" si="0"/>
        <v>0</v>
      </c>
      <c r="J14" s="572"/>
    </row>
    <row r="15" spans="1:14" ht="18.75" hidden="1">
      <c r="A15" s="685">
        <v>7</v>
      </c>
      <c r="B15" s="686"/>
      <c r="C15" s="687"/>
      <c r="D15" s="688"/>
      <c r="E15" s="689"/>
      <c r="F15" s="690"/>
      <c r="G15" s="587">
        <f t="shared" si="1"/>
        <v>0</v>
      </c>
      <c r="H15" s="461"/>
      <c r="I15" s="594">
        <f t="shared" si="0"/>
        <v>0</v>
      </c>
      <c r="J15" s="572"/>
    </row>
    <row r="16" spans="1:14" ht="18.75" hidden="1">
      <c r="A16" s="685">
        <v>8</v>
      </c>
      <c r="B16" s="686"/>
      <c r="C16" s="687"/>
      <c r="D16" s="688"/>
      <c r="E16" s="689"/>
      <c r="F16" s="690"/>
      <c r="G16" s="587">
        <f t="shared" si="1"/>
        <v>0</v>
      </c>
      <c r="H16" s="461"/>
      <c r="I16" s="594">
        <f t="shared" si="0"/>
        <v>0</v>
      </c>
      <c r="J16" s="572"/>
    </row>
    <row r="17" spans="1:10" ht="18.75">
      <c r="A17" s="479"/>
      <c r="B17" s="480" t="s">
        <v>20</v>
      </c>
      <c r="C17" s="480"/>
      <c r="D17" s="480"/>
      <c r="E17" s="483"/>
      <c r="F17" s="481"/>
      <c r="G17" s="593">
        <f>SUM(G9:G11)</f>
        <v>826200</v>
      </c>
      <c r="H17" s="593">
        <f>SUM(H9:H16)</f>
        <v>0</v>
      </c>
      <c r="I17" s="593">
        <f>SUM(I9:I11)</f>
        <v>826200</v>
      </c>
      <c r="J17" s="572"/>
    </row>
    <row r="18" spans="1:10" ht="16.5" customHeight="1">
      <c r="A18" s="484"/>
      <c r="B18" s="485"/>
      <c r="C18" s="485"/>
      <c r="D18" s="485"/>
      <c r="E18" s="486"/>
      <c r="F18" s="487"/>
      <c r="G18" s="486"/>
      <c r="H18" s="488"/>
      <c r="I18" s="486"/>
      <c r="J18" s="572"/>
    </row>
    <row r="19" spans="1:10" ht="16.5" customHeight="1">
      <c r="A19" s="426"/>
      <c r="B19" s="419"/>
      <c r="C19" s="514"/>
      <c r="D19" s="514"/>
      <c r="E19" s="419"/>
      <c r="F19" s="419"/>
      <c r="G19" s="419"/>
      <c r="H19" s="419"/>
      <c r="I19" s="419"/>
      <c r="J19" s="572"/>
    </row>
    <row r="20" spans="1:10" s="419" customFormat="1" ht="15.75">
      <c r="A20" s="300" t="s">
        <v>329</v>
      </c>
      <c r="B20" s="514"/>
      <c r="C20" s="514"/>
      <c r="D20" s="1075"/>
      <c r="E20" s="1075" t="s">
        <v>448</v>
      </c>
      <c r="F20" s="657"/>
      <c r="G20" s="657"/>
      <c r="H20" s="657"/>
      <c r="I20" s="657"/>
    </row>
    <row r="21" spans="1:10" s="419" customFormat="1" ht="15.75">
      <c r="A21" s="300"/>
      <c r="B21" s="514"/>
      <c r="C21" s="514"/>
      <c r="D21" s="1075"/>
      <c r="E21" s="1075"/>
      <c r="F21" s="657"/>
      <c r="G21" s="657"/>
      <c r="H21" s="657"/>
      <c r="I21" s="657"/>
    </row>
    <row r="22" spans="1:10" s="419" customFormat="1" ht="15.75">
      <c r="A22" s="426" t="s">
        <v>330</v>
      </c>
      <c r="B22" s="514"/>
      <c r="C22" s="514"/>
      <c r="D22" s="1075"/>
      <c r="E22" s="1075" t="s">
        <v>369</v>
      </c>
      <c r="F22" s="657"/>
      <c r="G22" s="657"/>
      <c r="H22" s="657"/>
      <c r="I22" s="657"/>
    </row>
    <row r="23" spans="1:10" s="419" customFormat="1" ht="15.75">
      <c r="A23" s="426"/>
      <c r="B23" s="514"/>
      <c r="C23" s="514"/>
      <c r="D23" s="1075"/>
      <c r="E23" s="1075"/>
      <c r="F23" s="657"/>
      <c r="G23" s="657"/>
      <c r="H23" s="657"/>
      <c r="I23" s="657"/>
    </row>
    <row r="24" spans="1:10" s="419" customFormat="1" ht="15.75">
      <c r="A24" s="1073" t="s">
        <v>547</v>
      </c>
      <c r="B24" s="1076"/>
      <c r="C24" s="475"/>
      <c r="D24" s="1077"/>
      <c r="E24" s="1074" t="s">
        <v>374</v>
      </c>
      <c r="F24" s="657"/>
      <c r="G24" s="657"/>
      <c r="H24" s="657"/>
      <c r="I24" s="657"/>
    </row>
    <row r="25" spans="1:10" s="419" customFormat="1" ht="15.75">
      <c r="A25" s="1073" t="s">
        <v>548</v>
      </c>
      <c r="B25" s="1076"/>
      <c r="C25" s="475"/>
      <c r="D25" s="1077"/>
      <c r="E25" s="1074"/>
      <c r="F25" s="657"/>
      <c r="G25" s="657"/>
      <c r="H25" s="657"/>
      <c r="I25" s="657"/>
    </row>
    <row r="26" spans="1:10" ht="18.75">
      <c r="A26" s="1073"/>
      <c r="B26" s="1076"/>
      <c r="C26" s="475"/>
      <c r="D26" s="1077"/>
      <c r="E26" s="1078"/>
      <c r="F26" s="572"/>
      <c r="G26" s="572"/>
      <c r="H26" s="572"/>
      <c r="I26" s="572"/>
    </row>
    <row r="27" spans="1:10" ht="15.75">
      <c r="A27" s="1073" t="s">
        <v>375</v>
      </c>
      <c r="B27" s="1078"/>
      <c r="C27" s="1078"/>
      <c r="D27" s="1078"/>
      <c r="E27" s="1074" t="s">
        <v>376</v>
      </c>
    </row>
  </sheetData>
  <sheetProtection formatColumns="0" insertRows="0" deleteRows="0"/>
  <mergeCells count="8">
    <mergeCell ref="G7:G8"/>
    <mergeCell ref="H7:I7"/>
    <mergeCell ref="A7:A8"/>
    <mergeCell ref="B7:B8"/>
    <mergeCell ref="C7:C8"/>
    <mergeCell ref="D7:D8"/>
    <mergeCell ref="E7:E8"/>
    <mergeCell ref="F7:F8"/>
  </mergeCells>
  <pageMargins left="0.7" right="0.7" top="0.75" bottom="0.75" header="0.3" footer="0.3"/>
  <pageSetup paperSize="9" scale="62" fitToHeight="0" orientation="landscape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Лист48">
    <tabColor rgb="FF7030A0"/>
    <outlinePr summaryBelow="0" summaryRight="0"/>
    <pageSetUpPr fitToPage="1"/>
  </sheetPr>
  <dimension ref="A1:N31"/>
  <sheetViews>
    <sheetView workbookViewId="0">
      <selection activeCell="L23" sqref="L23"/>
    </sheetView>
  </sheetViews>
  <sheetFormatPr defaultColWidth="9.140625" defaultRowHeight="15" outlineLevelRow="1"/>
  <cols>
    <col min="1" max="1" width="3" style="171" customWidth="1"/>
    <col min="2" max="2" width="14.28515625" style="171" customWidth="1"/>
    <col min="3" max="3" width="11.7109375" style="171" customWidth="1"/>
    <col min="4" max="4" width="10.42578125" style="171" customWidth="1"/>
    <col min="5" max="5" width="7.85546875" style="171" customWidth="1"/>
    <col min="6" max="6" width="11.5703125" style="171" customWidth="1"/>
    <col min="7" max="7" width="11.140625" style="171" customWidth="1"/>
    <col min="8" max="8" width="12.7109375" style="171" customWidth="1"/>
    <col min="9" max="9" width="11.28515625" style="171" customWidth="1"/>
    <col min="10" max="10" width="11" style="171" customWidth="1"/>
    <col min="11" max="11" width="12.7109375" style="171" customWidth="1"/>
    <col min="12" max="12" width="12.5703125" style="171" customWidth="1"/>
    <col min="13" max="13" width="12.7109375" style="171" customWidth="1"/>
    <col min="14" max="16384" width="9.140625" style="171"/>
  </cols>
  <sheetData>
    <row r="1" spans="1:14" ht="15.75">
      <c r="K1" s="681" t="s">
        <v>4392</v>
      </c>
    </row>
    <row r="2" spans="1:14" s="865" customFormat="1" ht="15.75">
      <c r="A2" s="908" t="s">
        <v>4399</v>
      </c>
      <c r="B2" s="711"/>
      <c r="C2" s="711"/>
      <c r="D2" s="711"/>
      <c r="E2" s="711"/>
      <c r="F2" s="711"/>
      <c r="G2" s="711"/>
      <c r="H2" s="711"/>
      <c r="I2" s="711"/>
      <c r="J2" s="711"/>
      <c r="K2" s="711"/>
      <c r="L2" s="711"/>
      <c r="M2" s="711"/>
    </row>
    <row r="3" spans="1:14" ht="15.75">
      <c r="A3" s="45"/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</row>
    <row r="4" spans="1:14" s="865" customFormat="1" ht="15.75">
      <c r="A4" s="656" t="s">
        <v>3401</v>
      </c>
      <c r="B4" s="899"/>
      <c r="C4" s="899"/>
      <c r="D4" s="899"/>
      <c r="E4" s="899"/>
      <c r="F4" s="899"/>
      <c r="G4" s="899"/>
      <c r="H4" s="899"/>
      <c r="I4" s="899"/>
      <c r="J4" s="899"/>
      <c r="K4" s="899"/>
      <c r="L4" s="711"/>
      <c r="M4" s="711"/>
      <c r="N4" s="711"/>
    </row>
    <row r="5" spans="1:14" ht="18" customHeight="1">
      <c r="A5" s="168" t="s">
        <v>990</v>
      </c>
      <c r="B5" s="230"/>
      <c r="C5" s="230"/>
      <c r="D5" s="230"/>
      <c r="E5" s="230"/>
      <c r="F5" s="230"/>
      <c r="G5" s="230"/>
      <c r="H5" s="230"/>
      <c r="I5" s="230"/>
      <c r="J5" s="230"/>
      <c r="K5" s="230"/>
      <c r="M5" s="168"/>
      <c r="N5" s="168"/>
    </row>
    <row r="6" spans="1:14" ht="11.25" customHeight="1">
      <c r="A6" s="82"/>
      <c r="B6" s="230"/>
      <c r="C6" s="230"/>
      <c r="D6" s="230"/>
      <c r="E6" s="230"/>
      <c r="F6" s="230"/>
      <c r="G6" s="231"/>
      <c r="H6" s="230"/>
      <c r="I6" s="230"/>
      <c r="J6" s="230"/>
      <c r="K6" s="307" t="s">
        <v>254</v>
      </c>
      <c r="L6" s="168"/>
      <c r="N6" s="168"/>
    </row>
    <row r="7" spans="1:14" s="172" customFormat="1" ht="21" customHeight="1" outlineLevel="1">
      <c r="A7" s="4192" t="s">
        <v>1070</v>
      </c>
      <c r="B7" s="4192" t="s">
        <v>3377</v>
      </c>
      <c r="C7" s="4192" t="s">
        <v>3646</v>
      </c>
      <c r="D7" s="4379" t="s">
        <v>4020</v>
      </c>
      <c r="E7" s="4192" t="s">
        <v>999</v>
      </c>
      <c r="F7" s="4192" t="s">
        <v>4400</v>
      </c>
      <c r="G7" s="4192" t="s">
        <v>4401</v>
      </c>
      <c r="H7" s="4196" t="s">
        <v>4402</v>
      </c>
      <c r="I7" s="4192" t="s">
        <v>20</v>
      </c>
      <c r="J7" s="4234" t="s">
        <v>255</v>
      </c>
      <c r="K7" s="4235"/>
      <c r="L7" s="169"/>
    </row>
    <row r="8" spans="1:14" s="172" customFormat="1" ht="43.5" customHeight="1" outlineLevel="1">
      <c r="A8" s="4192"/>
      <c r="B8" s="4192"/>
      <c r="C8" s="4192"/>
      <c r="D8" s="4380"/>
      <c r="E8" s="4192"/>
      <c r="F8" s="4192"/>
      <c r="G8" s="4192"/>
      <c r="H8" s="4197"/>
      <c r="I8" s="4192"/>
      <c r="J8" s="568" t="s">
        <v>7</v>
      </c>
      <c r="K8" s="568" t="s">
        <v>8</v>
      </c>
      <c r="L8" s="169"/>
    </row>
    <row r="9" spans="1:14" s="172" customFormat="1" ht="15.75" outlineLevel="1">
      <c r="A9" s="233"/>
      <c r="B9" s="234" t="s">
        <v>3445</v>
      </c>
      <c r="C9" s="444">
        <f>SUM(C10:C19)</f>
        <v>0</v>
      </c>
      <c r="D9" s="537"/>
      <c r="E9" s="537"/>
      <c r="F9" s="537"/>
      <c r="G9" s="537"/>
      <c r="H9" s="537">
        <f>SUM(H10:H19)</f>
        <v>0</v>
      </c>
      <c r="I9" s="537">
        <f>SUM(I10:I19)</f>
        <v>0</v>
      </c>
      <c r="J9" s="537">
        <f>SUM(J10:J19)</f>
        <v>0</v>
      </c>
      <c r="K9" s="537">
        <f>SUM(K10:K19)</f>
        <v>0</v>
      </c>
      <c r="L9" s="169"/>
    </row>
    <row r="10" spans="1:14" ht="15.75" outlineLevel="1">
      <c r="A10" s="214">
        <v>1</v>
      </c>
      <c r="B10" s="219" t="s">
        <v>1054</v>
      </c>
      <c r="C10" s="756"/>
      <c r="D10" s="757"/>
      <c r="E10" s="900"/>
      <c r="F10" s="901"/>
      <c r="G10" s="213">
        <v>19</v>
      </c>
      <c r="H10" s="232">
        <f>C10*D10*F10/G10</f>
        <v>0</v>
      </c>
      <c r="I10" s="215">
        <f>E10*H10</f>
        <v>0</v>
      </c>
      <c r="J10" s="216"/>
      <c r="K10" s="536">
        <f>I10</f>
        <v>0</v>
      </c>
      <c r="L10" s="168"/>
    </row>
    <row r="11" spans="1:14" ht="15.75" outlineLevel="1">
      <c r="A11" s="214">
        <v>2</v>
      </c>
      <c r="B11" s="219" t="s">
        <v>1055</v>
      </c>
      <c r="C11" s="756"/>
      <c r="D11" s="757"/>
      <c r="E11" s="902"/>
      <c r="F11" s="901"/>
      <c r="G11" s="213">
        <v>19</v>
      </c>
      <c r="H11" s="232">
        <f t="shared" ref="H11:H19" si="0">C11*D11*F11/G11</f>
        <v>0</v>
      </c>
      <c r="I11" s="215">
        <f t="shared" ref="I11:I19" si="1">E11*H11</f>
        <v>0</v>
      </c>
      <c r="J11" s="216"/>
      <c r="K11" s="536">
        <f>I11</f>
        <v>0</v>
      </c>
      <c r="L11" s="168"/>
    </row>
    <row r="12" spans="1:14" ht="15.75" outlineLevel="1">
      <c r="A12" s="214">
        <v>3</v>
      </c>
      <c r="B12" s="219" t="s">
        <v>1056</v>
      </c>
      <c r="C12" s="756"/>
      <c r="D12" s="757"/>
      <c r="E12" s="902"/>
      <c r="F12" s="901"/>
      <c r="G12" s="213">
        <v>19</v>
      </c>
      <c r="H12" s="232">
        <f>C12*D12*F12/G12</f>
        <v>0</v>
      </c>
      <c r="I12" s="215">
        <f>E12*H12</f>
        <v>0</v>
      </c>
      <c r="J12" s="216"/>
      <c r="K12" s="536">
        <f t="shared" ref="K12:K19" si="2">I12</f>
        <v>0</v>
      </c>
      <c r="L12" s="168"/>
    </row>
    <row r="13" spans="1:14" ht="15.75" outlineLevel="1">
      <c r="A13" s="214">
        <v>4</v>
      </c>
      <c r="B13" s="218" t="s">
        <v>1057</v>
      </c>
      <c r="C13" s="756"/>
      <c r="D13" s="757"/>
      <c r="E13" s="902"/>
      <c r="F13" s="901"/>
      <c r="G13" s="213">
        <v>19</v>
      </c>
      <c r="H13" s="232">
        <f t="shared" si="0"/>
        <v>0</v>
      </c>
      <c r="I13" s="215">
        <f t="shared" si="1"/>
        <v>0</v>
      </c>
      <c r="J13" s="216"/>
      <c r="K13" s="536">
        <f t="shared" si="2"/>
        <v>0</v>
      </c>
      <c r="L13" s="168"/>
    </row>
    <row r="14" spans="1:14" ht="15.75" outlineLevel="1">
      <c r="A14" s="214">
        <v>5</v>
      </c>
      <c r="B14" s="218" t="s">
        <v>1058</v>
      </c>
      <c r="C14" s="756"/>
      <c r="D14" s="757"/>
      <c r="E14" s="902"/>
      <c r="F14" s="901"/>
      <c r="G14" s="213">
        <v>19</v>
      </c>
      <c r="H14" s="232">
        <f t="shared" si="0"/>
        <v>0</v>
      </c>
      <c r="I14" s="215">
        <f t="shared" si="1"/>
        <v>0</v>
      </c>
      <c r="J14" s="216"/>
      <c r="K14" s="536">
        <f t="shared" si="2"/>
        <v>0</v>
      </c>
      <c r="L14" s="168"/>
    </row>
    <row r="15" spans="1:14" ht="15.75" outlineLevel="1">
      <c r="A15" s="214">
        <v>6</v>
      </c>
      <c r="B15" s="218" t="s">
        <v>1059</v>
      </c>
      <c r="C15" s="756"/>
      <c r="D15" s="757"/>
      <c r="E15" s="902"/>
      <c r="F15" s="901"/>
      <c r="G15" s="213">
        <v>19</v>
      </c>
      <c r="H15" s="232">
        <f t="shared" si="0"/>
        <v>0</v>
      </c>
      <c r="I15" s="215">
        <f t="shared" si="1"/>
        <v>0</v>
      </c>
      <c r="J15" s="216"/>
      <c r="K15" s="536">
        <f t="shared" si="2"/>
        <v>0</v>
      </c>
      <c r="L15" s="168"/>
    </row>
    <row r="16" spans="1:14" ht="15.75" outlineLevel="1">
      <c r="A16" s="214">
        <v>7</v>
      </c>
      <c r="B16" s="218" t="s">
        <v>1062</v>
      </c>
      <c r="C16" s="757"/>
      <c r="D16" s="757"/>
      <c r="E16" s="902"/>
      <c r="F16" s="901"/>
      <c r="G16" s="213">
        <v>19</v>
      </c>
      <c r="H16" s="232">
        <f t="shared" si="0"/>
        <v>0</v>
      </c>
      <c r="I16" s="215">
        <f t="shared" si="1"/>
        <v>0</v>
      </c>
      <c r="J16" s="216"/>
      <c r="K16" s="536">
        <f t="shared" si="2"/>
        <v>0</v>
      </c>
      <c r="L16" s="168"/>
    </row>
    <row r="17" spans="1:14" ht="15.75" outlineLevel="1">
      <c r="A17" s="214">
        <v>8</v>
      </c>
      <c r="B17" s="218" t="s">
        <v>1063</v>
      </c>
      <c r="C17" s="757"/>
      <c r="D17" s="757"/>
      <c r="E17" s="902"/>
      <c r="F17" s="901"/>
      <c r="G17" s="213">
        <v>19</v>
      </c>
      <c r="H17" s="232">
        <f t="shared" si="0"/>
        <v>0</v>
      </c>
      <c r="I17" s="215">
        <f t="shared" si="1"/>
        <v>0</v>
      </c>
      <c r="J17" s="216"/>
      <c r="K17" s="536">
        <f t="shared" si="2"/>
        <v>0</v>
      </c>
      <c r="L17" s="168"/>
    </row>
    <row r="18" spans="1:14" ht="15.75" outlineLevel="1">
      <c r="A18" s="214">
        <v>9</v>
      </c>
      <c r="B18" s="219" t="s">
        <v>1064</v>
      </c>
      <c r="C18" s="757"/>
      <c r="D18" s="757"/>
      <c r="E18" s="902"/>
      <c r="F18" s="901"/>
      <c r="G18" s="213">
        <v>19</v>
      </c>
      <c r="H18" s="232">
        <f t="shared" si="0"/>
        <v>0</v>
      </c>
      <c r="I18" s="215">
        <f t="shared" si="1"/>
        <v>0</v>
      </c>
      <c r="J18" s="216"/>
      <c r="K18" s="536">
        <f t="shared" si="2"/>
        <v>0</v>
      </c>
      <c r="L18" s="168"/>
    </row>
    <row r="19" spans="1:14" ht="15.75" outlineLevel="1">
      <c r="A19" s="214">
        <v>10</v>
      </c>
      <c r="B19" s="219" t="s">
        <v>1065</v>
      </c>
      <c r="C19" s="757"/>
      <c r="D19" s="757"/>
      <c r="E19" s="902"/>
      <c r="F19" s="901"/>
      <c r="G19" s="213">
        <v>19</v>
      </c>
      <c r="H19" s="232">
        <f t="shared" si="0"/>
        <v>0</v>
      </c>
      <c r="I19" s="215">
        <f t="shared" si="1"/>
        <v>0</v>
      </c>
      <c r="J19" s="216"/>
      <c r="K19" s="536">
        <f t="shared" si="2"/>
        <v>0</v>
      </c>
      <c r="L19" s="168"/>
    </row>
    <row r="20" spans="1:14" ht="15.75">
      <c r="A20" s="168" t="s">
        <v>4403</v>
      </c>
      <c r="N20" s="168"/>
    </row>
    <row r="21" spans="1:14" ht="15.75">
      <c r="A21" s="168"/>
      <c r="B21" s="168"/>
      <c r="C21" s="168"/>
      <c r="D21" s="168"/>
      <c r="E21" s="168"/>
      <c r="F21" s="168"/>
      <c r="G21" s="168"/>
      <c r="H21" s="168"/>
      <c r="I21" s="168"/>
      <c r="J21" s="168"/>
      <c r="K21" s="169"/>
      <c r="L21" s="235"/>
      <c r="M21" s="168"/>
      <c r="N21" s="168"/>
    </row>
    <row r="22" spans="1:14" ht="15.75">
      <c r="A22" s="300" t="s">
        <v>329</v>
      </c>
      <c r="B22" s="182"/>
      <c r="C22" s="183"/>
      <c r="D22" s="179"/>
      <c r="E22" s="181"/>
      <c r="F22" s="903"/>
      <c r="G22" s="903"/>
      <c r="H22" s="865"/>
      <c r="I22" s="865"/>
      <c r="J22" s="906"/>
      <c r="K22" s="907"/>
      <c r="L22" s="168"/>
      <c r="M22" s="168"/>
    </row>
    <row r="23" spans="1:14" ht="15.75">
      <c r="A23" s="300"/>
      <c r="B23" s="182"/>
      <c r="C23" s="183"/>
      <c r="D23" s="180"/>
      <c r="E23" s="181"/>
      <c r="F23" s="903"/>
      <c r="G23" s="903"/>
      <c r="H23" s="865"/>
      <c r="I23" s="865"/>
      <c r="J23" s="904"/>
      <c r="K23" s="907"/>
      <c r="L23" s="168"/>
      <c r="M23" s="168"/>
    </row>
    <row r="24" spans="1:14" ht="15.75">
      <c r="A24" s="345" t="s">
        <v>330</v>
      </c>
      <c r="B24" s="182"/>
      <c r="C24" s="183"/>
      <c r="D24" s="184"/>
      <c r="E24" s="181"/>
      <c r="F24" s="903"/>
      <c r="G24" s="903"/>
      <c r="H24" s="865"/>
      <c r="I24" s="865"/>
      <c r="J24" s="905"/>
      <c r="K24" s="907"/>
      <c r="L24" s="168"/>
      <c r="M24" s="168"/>
    </row>
    <row r="25" spans="1:14" ht="15.75">
      <c r="A25" s="345" t="s">
        <v>332</v>
      </c>
      <c r="B25" s="182"/>
      <c r="C25" s="183"/>
      <c r="D25" s="179"/>
      <c r="E25" s="181"/>
      <c r="F25" s="903"/>
      <c r="G25" s="903"/>
      <c r="H25" s="865"/>
      <c r="I25" s="865"/>
      <c r="J25" s="906"/>
      <c r="K25" s="711"/>
      <c r="L25" s="168"/>
      <c r="M25" s="168"/>
    </row>
    <row r="26" spans="1:14" ht="15.75">
      <c r="A26" s="346"/>
      <c r="B26" s="182"/>
      <c r="C26" s="183"/>
      <c r="D26" s="179"/>
      <c r="F26" s="865"/>
      <c r="G26" s="865"/>
      <c r="H26" s="865"/>
      <c r="I26" s="865"/>
      <c r="J26" s="906"/>
      <c r="K26" s="711"/>
      <c r="L26" s="168"/>
      <c r="M26" s="168"/>
    </row>
    <row r="27" spans="1:14" ht="15.75">
      <c r="A27" s="345" t="s">
        <v>333</v>
      </c>
      <c r="B27" s="182"/>
      <c r="C27" s="183"/>
      <c r="D27" s="179"/>
      <c r="F27" s="865"/>
      <c r="G27" s="865"/>
      <c r="H27" s="865"/>
      <c r="I27" s="865"/>
      <c r="J27" s="906"/>
      <c r="K27" s="865"/>
    </row>
    <row r="31" spans="1:14" ht="15.75">
      <c r="B31" s="168"/>
      <c r="C31" s="168"/>
      <c r="D31" s="168"/>
      <c r="E31" s="168"/>
      <c r="F31" s="168"/>
      <c r="G31" s="168"/>
    </row>
  </sheetData>
  <sheetProtection password="9690" sheet="1" formatColumns="0" insertRows="0" deleteRows="0"/>
  <mergeCells count="10">
    <mergeCell ref="A7:A8"/>
    <mergeCell ref="B7:B8"/>
    <mergeCell ref="J7:K7"/>
    <mergeCell ref="G7:G8"/>
    <mergeCell ref="I7:I8"/>
    <mergeCell ref="E7:E8"/>
    <mergeCell ref="F7:F8"/>
    <mergeCell ref="C7:C8"/>
    <mergeCell ref="D7:D8"/>
    <mergeCell ref="H7:H8"/>
  </mergeCells>
  <phoneticPr fontId="40" type="noConversion"/>
  <pageMargins left="0" right="0" top="0" bottom="0" header="0" footer="0"/>
  <pageSetup paperSize="9" fitToHeight="0" orientation="landscape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Лист39">
    <tabColor rgb="FF7030A0"/>
    <pageSetUpPr fitToPage="1"/>
  </sheetPr>
  <dimension ref="A1:H47"/>
  <sheetViews>
    <sheetView workbookViewId="0">
      <selection activeCell="B34" sqref="B34"/>
    </sheetView>
  </sheetViews>
  <sheetFormatPr defaultColWidth="33.28515625" defaultRowHeight="15"/>
  <cols>
    <col min="1" max="1" width="6.5703125" style="403" customWidth="1"/>
    <col min="2" max="2" width="40.28515625" customWidth="1"/>
    <col min="3" max="4" width="9.140625" customWidth="1"/>
    <col min="5" max="5" width="11.28515625" customWidth="1"/>
    <col min="6" max="6" width="88.7109375" customWidth="1"/>
    <col min="7" max="7" width="9.140625" customWidth="1"/>
    <col min="8" max="8" width="16.42578125" customWidth="1"/>
    <col min="9" max="254" width="9.140625" customWidth="1"/>
    <col min="255" max="255" width="6.5703125" customWidth="1"/>
  </cols>
  <sheetData>
    <row r="1" spans="1:8" ht="15.75">
      <c r="F1" s="681" t="s">
        <v>4392</v>
      </c>
    </row>
    <row r="2" spans="1:8" ht="15.75">
      <c r="A2" s="695" t="s">
        <v>4404</v>
      </c>
      <c r="B2" s="506"/>
      <c r="C2" s="506"/>
      <c r="D2" s="506"/>
      <c r="E2" s="506"/>
      <c r="F2" s="506"/>
      <c r="G2" s="3824"/>
      <c r="H2" s="3824"/>
    </row>
    <row r="3" spans="1:8">
      <c r="A3" s="45"/>
      <c r="B3" s="3824"/>
      <c r="C3" s="3824"/>
      <c r="D3" s="3824"/>
      <c r="E3" s="3824"/>
      <c r="F3" s="3824"/>
      <c r="G3" s="3824"/>
      <c r="H3" s="3824"/>
    </row>
    <row r="4" spans="1:8" ht="15.75">
      <c r="A4" s="656" t="s">
        <v>3401</v>
      </c>
      <c r="C4" s="396"/>
      <c r="D4" s="396"/>
      <c r="E4" s="396"/>
    </row>
    <row r="5" spans="1:8" ht="15.75">
      <c r="A5" s="168" t="s">
        <v>990</v>
      </c>
    </row>
    <row r="6" spans="1:8">
      <c r="A6" s="3825"/>
    </row>
    <row r="7" spans="1:8" ht="15.75">
      <c r="A7" s="3826" t="s">
        <v>2</v>
      </c>
      <c r="B7" s="3827" t="s">
        <v>4405</v>
      </c>
      <c r="C7" s="3828" t="s">
        <v>4406</v>
      </c>
      <c r="D7" s="3828" t="s">
        <v>4407</v>
      </c>
      <c r="E7" s="3828" t="s">
        <v>254</v>
      </c>
      <c r="F7" s="411" t="s">
        <v>4408</v>
      </c>
      <c r="G7" s="397"/>
      <c r="H7" s="397"/>
    </row>
    <row r="8" spans="1:8">
      <c r="A8" s="3829">
        <v>1</v>
      </c>
      <c r="B8" s="3830" t="s">
        <v>3689</v>
      </c>
      <c r="C8" s="3831"/>
      <c r="D8" s="3832"/>
      <c r="E8" s="3833">
        <f>C8*D8</f>
        <v>0</v>
      </c>
      <c r="F8" s="3834"/>
      <c r="G8" s="397"/>
      <c r="H8" s="397"/>
    </row>
    <row r="9" spans="1:8">
      <c r="A9" s="3829">
        <v>2</v>
      </c>
      <c r="B9" s="3830"/>
      <c r="C9" s="3831"/>
      <c r="D9" s="3832"/>
      <c r="E9" s="3833">
        <f t="shared" ref="E9:E37" si="0">C9*D9</f>
        <v>0</v>
      </c>
      <c r="F9" s="3834"/>
      <c r="G9" s="397"/>
      <c r="H9" s="397"/>
    </row>
    <row r="10" spans="1:8">
      <c r="A10" s="3829">
        <v>3</v>
      </c>
      <c r="B10" s="3830"/>
      <c r="C10" s="3831"/>
      <c r="D10" s="3832"/>
      <c r="E10" s="3833">
        <f t="shared" si="0"/>
        <v>0</v>
      </c>
      <c r="F10" s="3834"/>
      <c r="G10" s="397"/>
      <c r="H10" s="397"/>
    </row>
    <row r="11" spans="1:8">
      <c r="A11" s="3829">
        <v>4</v>
      </c>
      <c r="B11" s="3830"/>
      <c r="C11" s="3835"/>
      <c r="D11" s="3836"/>
      <c r="E11" s="3833">
        <f t="shared" si="0"/>
        <v>0</v>
      </c>
      <c r="F11" s="3834"/>
      <c r="G11" s="397"/>
      <c r="H11" s="397"/>
    </row>
    <row r="12" spans="1:8">
      <c r="A12" s="3829">
        <v>5</v>
      </c>
      <c r="B12" s="3830"/>
      <c r="C12" s="3831"/>
      <c r="D12" s="3832"/>
      <c r="E12" s="3833">
        <f t="shared" si="0"/>
        <v>0</v>
      </c>
      <c r="F12" s="3834"/>
      <c r="G12" s="397"/>
      <c r="H12" s="397"/>
    </row>
    <row r="13" spans="1:8">
      <c r="A13" s="3829">
        <v>6</v>
      </c>
      <c r="B13" s="3830"/>
      <c r="C13" s="3831"/>
      <c r="D13" s="3832"/>
      <c r="E13" s="3833">
        <f t="shared" si="0"/>
        <v>0</v>
      </c>
      <c r="F13" s="3834"/>
      <c r="G13" s="397"/>
      <c r="H13" s="397"/>
    </row>
    <row r="14" spans="1:8">
      <c r="A14" s="3829">
        <v>7</v>
      </c>
      <c r="B14" s="3830"/>
      <c r="C14" s="3831"/>
      <c r="D14" s="3832"/>
      <c r="E14" s="3833">
        <f t="shared" si="0"/>
        <v>0</v>
      </c>
      <c r="F14" s="3834"/>
      <c r="G14" s="397"/>
      <c r="H14" s="397"/>
    </row>
    <row r="15" spans="1:8">
      <c r="A15" s="3829">
        <v>8</v>
      </c>
      <c r="B15" s="3830"/>
      <c r="C15" s="3831"/>
      <c r="D15" s="3832"/>
      <c r="E15" s="3833">
        <f t="shared" si="0"/>
        <v>0</v>
      </c>
      <c r="F15" s="3834"/>
      <c r="G15" s="397"/>
      <c r="H15" s="397"/>
    </row>
    <row r="16" spans="1:8">
      <c r="A16" s="3829">
        <v>9</v>
      </c>
      <c r="B16" s="3830"/>
      <c r="C16" s="3831"/>
      <c r="D16" s="3832"/>
      <c r="E16" s="3833">
        <f t="shared" si="0"/>
        <v>0</v>
      </c>
      <c r="F16" s="3834"/>
      <c r="G16" s="397"/>
      <c r="H16" s="397"/>
    </row>
    <row r="17" spans="1:8">
      <c r="A17" s="3829">
        <v>10</v>
      </c>
      <c r="B17" s="3830"/>
      <c r="C17" s="3831"/>
      <c r="D17" s="3832"/>
      <c r="E17" s="3833">
        <f t="shared" si="0"/>
        <v>0</v>
      </c>
      <c r="F17" s="3834"/>
      <c r="G17" s="397"/>
      <c r="H17" s="397"/>
    </row>
    <row r="18" spans="1:8">
      <c r="A18" s="3829">
        <v>11</v>
      </c>
      <c r="B18" s="3830"/>
      <c r="C18" s="3831"/>
      <c r="D18" s="3832"/>
      <c r="E18" s="3833">
        <f t="shared" si="0"/>
        <v>0</v>
      </c>
      <c r="F18" s="3834"/>
      <c r="G18" s="397"/>
      <c r="H18" s="397"/>
    </row>
    <row r="19" spans="1:8">
      <c r="A19" s="3829">
        <v>12</v>
      </c>
      <c r="B19" s="3830"/>
      <c r="C19" s="3831"/>
      <c r="D19" s="3832"/>
      <c r="E19" s="3833">
        <f t="shared" si="0"/>
        <v>0</v>
      </c>
      <c r="F19" s="3834"/>
      <c r="G19" s="397"/>
      <c r="H19" s="397"/>
    </row>
    <row r="20" spans="1:8">
      <c r="A20" s="3829">
        <v>13</v>
      </c>
      <c r="B20" s="3830"/>
      <c r="C20" s="3831"/>
      <c r="D20" s="3832"/>
      <c r="E20" s="3833">
        <f t="shared" si="0"/>
        <v>0</v>
      </c>
      <c r="F20" s="3834"/>
      <c r="G20" s="397"/>
      <c r="H20" s="397"/>
    </row>
    <row r="21" spans="1:8">
      <c r="A21" s="3829">
        <v>14</v>
      </c>
      <c r="B21" s="3830"/>
      <c r="C21" s="3831"/>
      <c r="D21" s="3832"/>
      <c r="E21" s="3833">
        <f t="shared" si="0"/>
        <v>0</v>
      </c>
      <c r="F21" s="3834"/>
      <c r="G21" s="397"/>
      <c r="H21" s="397"/>
    </row>
    <row r="22" spans="1:8">
      <c r="A22" s="3829">
        <v>15</v>
      </c>
      <c r="B22" s="3830"/>
      <c r="C22" s="3831"/>
      <c r="D22" s="3832"/>
      <c r="E22" s="3833">
        <f t="shared" si="0"/>
        <v>0</v>
      </c>
      <c r="F22" s="3834"/>
      <c r="G22" s="397"/>
      <c r="H22" s="397"/>
    </row>
    <row r="23" spans="1:8">
      <c r="A23" s="3829">
        <v>16</v>
      </c>
      <c r="B23" s="3830"/>
      <c r="C23" s="3831"/>
      <c r="D23" s="3832"/>
      <c r="E23" s="3833">
        <f t="shared" si="0"/>
        <v>0</v>
      </c>
      <c r="F23" s="3834"/>
      <c r="G23" s="397"/>
      <c r="H23" s="397"/>
    </row>
    <row r="24" spans="1:8">
      <c r="A24" s="3829">
        <v>17</v>
      </c>
      <c r="B24" s="3830"/>
      <c r="C24" s="3831"/>
      <c r="D24" s="3832"/>
      <c r="E24" s="3833">
        <f t="shared" si="0"/>
        <v>0</v>
      </c>
      <c r="F24" s="3834"/>
      <c r="G24" s="397"/>
      <c r="H24" s="397"/>
    </row>
    <row r="25" spans="1:8">
      <c r="A25" s="3829">
        <v>18</v>
      </c>
      <c r="B25" s="3830"/>
      <c r="C25" s="3831"/>
      <c r="D25" s="3832"/>
      <c r="E25" s="3833">
        <f t="shared" si="0"/>
        <v>0</v>
      </c>
      <c r="F25" s="3834"/>
      <c r="G25" s="397"/>
      <c r="H25" s="397"/>
    </row>
    <row r="26" spans="1:8">
      <c r="A26" s="3829">
        <v>19</v>
      </c>
      <c r="B26" s="3830"/>
      <c r="C26" s="3831"/>
      <c r="D26" s="3832"/>
      <c r="E26" s="3833">
        <f t="shared" si="0"/>
        <v>0</v>
      </c>
      <c r="F26" s="3834"/>
      <c r="G26" s="397"/>
      <c r="H26" s="397"/>
    </row>
    <row r="27" spans="1:8">
      <c r="A27" s="3829">
        <v>20</v>
      </c>
      <c r="B27" s="3830"/>
      <c r="C27" s="3831"/>
      <c r="D27" s="3832"/>
      <c r="E27" s="3833">
        <f t="shared" si="0"/>
        <v>0</v>
      </c>
      <c r="F27" s="3834"/>
      <c r="G27" s="397"/>
      <c r="H27" s="397"/>
    </row>
    <row r="28" spans="1:8">
      <c r="A28" s="3829">
        <v>21</v>
      </c>
      <c r="B28" s="3830"/>
      <c r="C28" s="3831"/>
      <c r="D28" s="3832"/>
      <c r="E28" s="3833">
        <f t="shared" si="0"/>
        <v>0</v>
      </c>
      <c r="F28" s="3834"/>
      <c r="G28" s="397"/>
      <c r="H28" s="397"/>
    </row>
    <row r="29" spans="1:8">
      <c r="A29" s="3829">
        <v>22</v>
      </c>
      <c r="B29" s="3830"/>
      <c r="C29" s="3831"/>
      <c r="D29" s="3832"/>
      <c r="E29" s="3833">
        <f t="shared" si="0"/>
        <v>0</v>
      </c>
      <c r="F29" s="3834"/>
      <c r="G29" s="397"/>
      <c r="H29" s="397"/>
    </row>
    <row r="30" spans="1:8">
      <c r="A30" s="3829">
        <v>23</v>
      </c>
      <c r="B30" s="3830"/>
      <c r="C30" s="3831"/>
      <c r="D30" s="3832"/>
      <c r="E30" s="3833">
        <f t="shared" si="0"/>
        <v>0</v>
      </c>
      <c r="F30" s="3834"/>
      <c r="G30" s="397"/>
      <c r="H30" s="397"/>
    </row>
    <row r="31" spans="1:8">
      <c r="A31" s="3829">
        <v>24</v>
      </c>
      <c r="B31" s="3830"/>
      <c r="C31" s="3831"/>
      <c r="D31" s="3832"/>
      <c r="E31" s="3833">
        <f t="shared" si="0"/>
        <v>0</v>
      </c>
      <c r="F31" s="3834"/>
      <c r="G31" s="397"/>
      <c r="H31" s="397"/>
    </row>
    <row r="32" spans="1:8">
      <c r="A32" s="3829">
        <v>25</v>
      </c>
      <c r="B32" s="3830"/>
      <c r="C32" s="3831"/>
      <c r="D32" s="3832"/>
      <c r="E32" s="3833">
        <f t="shared" si="0"/>
        <v>0</v>
      </c>
      <c r="F32" s="3834"/>
      <c r="G32" s="397"/>
      <c r="H32" s="397"/>
    </row>
    <row r="33" spans="1:8">
      <c r="A33" s="3829">
        <v>26</v>
      </c>
      <c r="B33" s="3830"/>
      <c r="C33" s="3831"/>
      <c r="D33" s="3832"/>
      <c r="E33" s="3833">
        <f t="shared" si="0"/>
        <v>0</v>
      </c>
      <c r="F33" s="3834"/>
      <c r="G33" s="397"/>
      <c r="H33" s="397"/>
    </row>
    <row r="34" spans="1:8">
      <c r="A34" s="3829">
        <v>27</v>
      </c>
      <c r="B34" s="3830"/>
      <c r="C34" s="3831"/>
      <c r="D34" s="3832"/>
      <c r="E34" s="3833">
        <f t="shared" si="0"/>
        <v>0</v>
      </c>
      <c r="F34" s="3834"/>
      <c r="G34" s="397"/>
      <c r="H34" s="397"/>
    </row>
    <row r="35" spans="1:8">
      <c r="A35" s="3829">
        <v>28</v>
      </c>
      <c r="B35" s="3830"/>
      <c r="C35" s="3831"/>
      <c r="D35" s="3832"/>
      <c r="E35" s="3833">
        <f t="shared" si="0"/>
        <v>0</v>
      </c>
      <c r="F35" s="3834"/>
      <c r="G35" s="397"/>
      <c r="H35" s="397"/>
    </row>
    <row r="36" spans="1:8">
      <c r="A36" s="3829">
        <v>29</v>
      </c>
      <c r="B36" s="3830"/>
      <c r="C36" s="3831"/>
      <c r="D36" s="3832"/>
      <c r="E36" s="3833">
        <f t="shared" si="0"/>
        <v>0</v>
      </c>
      <c r="F36" s="3834"/>
      <c r="G36" s="397"/>
      <c r="H36" s="397"/>
    </row>
    <row r="37" spans="1:8">
      <c r="A37" s="3829">
        <v>30</v>
      </c>
      <c r="B37" s="3830"/>
      <c r="C37" s="3831"/>
      <c r="D37" s="3832"/>
      <c r="E37" s="3833">
        <f t="shared" si="0"/>
        <v>0</v>
      </c>
      <c r="F37" s="3834"/>
      <c r="G37" s="397"/>
      <c r="H37" s="397"/>
    </row>
    <row r="38" spans="1:8" ht="15.75">
      <c r="A38" s="3826"/>
      <c r="B38" s="534" t="s">
        <v>20</v>
      </c>
      <c r="C38" s="398"/>
      <c r="D38" s="399"/>
      <c r="E38" s="965">
        <f>SUM(E8:E37)</f>
        <v>0</v>
      </c>
      <c r="F38" s="376"/>
    </row>
    <row r="40" spans="1:8" ht="15.75">
      <c r="A40" s="300" t="s">
        <v>329</v>
      </c>
      <c r="E40" s="683"/>
      <c r="F40" s="683"/>
    </row>
    <row r="41" spans="1:8" ht="15.75">
      <c r="A41" s="300"/>
      <c r="C41" s="401"/>
      <c r="D41" s="185"/>
      <c r="E41" s="966"/>
      <c r="F41" s="683"/>
    </row>
    <row r="42" spans="1:8">
      <c r="A42" s="345" t="s">
        <v>330</v>
      </c>
      <c r="C42" s="401"/>
      <c r="D42" s="185"/>
      <c r="E42" s="966"/>
      <c r="F42" s="683"/>
    </row>
    <row r="43" spans="1:8">
      <c r="A43" s="345" t="s">
        <v>332</v>
      </c>
      <c r="C43" s="401"/>
      <c r="D43" s="185"/>
      <c r="E43" s="3837"/>
      <c r="F43" s="683"/>
    </row>
    <row r="44" spans="1:8">
      <c r="A44" s="346"/>
      <c r="C44" s="401"/>
      <c r="D44" s="185"/>
      <c r="E44" s="966"/>
      <c r="F44" s="683"/>
    </row>
    <row r="45" spans="1:8">
      <c r="A45" s="345" t="s">
        <v>333</v>
      </c>
      <c r="C45" s="401"/>
      <c r="D45" s="185"/>
      <c r="E45" s="966"/>
      <c r="F45" s="683"/>
    </row>
    <row r="46" spans="1:8">
      <c r="A46" s="400"/>
      <c r="C46" s="401"/>
      <c r="D46" s="185"/>
      <c r="E46" s="402"/>
    </row>
    <row r="47" spans="1:8">
      <c r="A47" s="400"/>
      <c r="C47" s="401"/>
      <c r="D47" s="185"/>
      <c r="E47" s="402"/>
    </row>
  </sheetData>
  <sheetProtection password="9690" sheet="1" formatColumns="0" insertRows="0" deleteRows="0"/>
  <pageMargins left="0.7" right="0.7" top="0.75" bottom="0.75" header="0.3" footer="0.3"/>
  <pageSetup paperSize="9" scale="79" fitToHeight="0" orientation="landscape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Лист49">
    <tabColor rgb="FF7030A0"/>
    <pageSetUpPr fitToPage="1"/>
  </sheetPr>
  <dimension ref="A1:H28"/>
  <sheetViews>
    <sheetView workbookViewId="0">
      <selection activeCell="H30" sqref="H30"/>
    </sheetView>
  </sheetViews>
  <sheetFormatPr defaultRowHeight="15"/>
  <cols>
    <col min="1" max="1" width="3.85546875" customWidth="1"/>
    <col min="2" max="2" width="49.42578125" customWidth="1"/>
    <col min="3" max="5" width="17.7109375" customWidth="1"/>
    <col min="6" max="6" width="20" customWidth="1"/>
    <col min="7" max="7" width="14.140625" customWidth="1"/>
    <col min="8" max="8" width="35.7109375" customWidth="1"/>
    <col min="9" max="9" width="18.42578125" customWidth="1"/>
  </cols>
  <sheetData>
    <row r="1" spans="1:8" ht="15.75">
      <c r="H1" s="552" t="s">
        <v>4392</v>
      </c>
    </row>
    <row r="2" spans="1:8" ht="15.75">
      <c r="A2" s="695" t="s">
        <v>4409</v>
      </c>
      <c r="B2" s="506"/>
      <c r="C2" s="22"/>
      <c r="D2" s="22"/>
      <c r="E2" s="22"/>
      <c r="F2" s="22"/>
      <c r="G2" s="22"/>
      <c r="H2" s="22"/>
    </row>
    <row r="3" spans="1:8">
      <c r="A3" s="45"/>
      <c r="B3" s="3824"/>
      <c r="C3" s="22"/>
      <c r="D3" s="22"/>
      <c r="E3" s="22"/>
      <c r="F3" s="22"/>
      <c r="G3" s="22"/>
      <c r="H3" s="22"/>
    </row>
    <row r="4" spans="1:8" ht="15.75">
      <c r="A4" s="656" t="s">
        <v>3401</v>
      </c>
      <c r="C4" s="22"/>
      <c r="D4" s="22"/>
      <c r="E4" s="22"/>
      <c r="F4" s="22"/>
      <c r="G4" s="24" t="s">
        <v>4052</v>
      </c>
      <c r="H4" s="969">
        <v>1852</v>
      </c>
    </row>
    <row r="5" spans="1:8" ht="15.75">
      <c r="A5" s="168" t="s">
        <v>990</v>
      </c>
      <c r="C5" s="22"/>
      <c r="D5" s="22"/>
      <c r="E5" s="22"/>
      <c r="F5" s="22"/>
      <c r="G5" s="22"/>
      <c r="H5" s="22"/>
    </row>
    <row r="6" spans="1:8">
      <c r="A6" s="22"/>
      <c r="B6" s="22"/>
      <c r="C6" s="22"/>
      <c r="D6" s="22"/>
      <c r="E6" s="22"/>
      <c r="F6" s="22"/>
      <c r="G6" s="22" t="s">
        <v>254</v>
      </c>
      <c r="H6" s="22"/>
    </row>
    <row r="7" spans="1:8" ht="28.5">
      <c r="A7" s="411" t="s">
        <v>2</v>
      </c>
      <c r="B7" s="411" t="s">
        <v>478</v>
      </c>
      <c r="C7" s="411" t="s">
        <v>996</v>
      </c>
      <c r="D7" s="411" t="s">
        <v>4023</v>
      </c>
      <c r="E7" s="411" t="s">
        <v>4410</v>
      </c>
      <c r="F7" s="408" t="s">
        <v>4087</v>
      </c>
      <c r="G7" s="411" t="s">
        <v>20</v>
      </c>
      <c r="H7" s="411" t="s">
        <v>4408</v>
      </c>
    </row>
    <row r="8" spans="1:8">
      <c r="A8" s="609">
        <v>1</v>
      </c>
      <c r="B8" s="970" t="s">
        <v>4343</v>
      </c>
      <c r="C8" s="967"/>
      <c r="D8" s="967"/>
      <c r="E8" s="967"/>
      <c r="F8" s="3838">
        <f>E8*$H$4</f>
        <v>0</v>
      </c>
      <c r="G8" s="3838">
        <f>D8*F8</f>
        <v>0</v>
      </c>
      <c r="H8" s="968"/>
    </row>
    <row r="9" spans="1:8">
      <c r="A9" s="609">
        <v>2</v>
      </c>
      <c r="B9" s="970" t="s">
        <v>3649</v>
      </c>
      <c r="C9" s="967"/>
      <c r="D9" s="967"/>
      <c r="E9" s="967"/>
      <c r="F9" s="3838">
        <f>E9*$H$4</f>
        <v>0</v>
      </c>
      <c r="G9" s="3838">
        <f>D9*F9</f>
        <v>0</v>
      </c>
      <c r="H9" s="968"/>
    </row>
    <row r="10" spans="1:8">
      <c r="A10" s="609">
        <v>3</v>
      </c>
      <c r="B10" s="970" t="s">
        <v>4158</v>
      </c>
      <c r="C10" s="967"/>
      <c r="D10" s="967"/>
      <c r="E10" s="967"/>
      <c r="F10" s="3838">
        <f>E10*$H$4</f>
        <v>0</v>
      </c>
      <c r="G10" s="3838">
        <f>D10*F10</f>
        <v>0</v>
      </c>
      <c r="H10" s="968"/>
    </row>
    <row r="11" spans="1:8">
      <c r="A11" s="609">
        <v>4</v>
      </c>
      <c r="B11" s="970" t="s">
        <v>4411</v>
      </c>
      <c r="C11" s="967"/>
      <c r="D11" s="967"/>
      <c r="E11" s="967"/>
      <c r="F11" s="3838">
        <f>E11*$H$4</f>
        <v>0</v>
      </c>
      <c r="G11" s="3838">
        <f>D11*F11</f>
        <v>0</v>
      </c>
      <c r="H11" s="968"/>
    </row>
    <row r="12" spans="1:8">
      <c r="A12" s="609">
        <v>5</v>
      </c>
      <c r="B12" s="970" t="s">
        <v>4094</v>
      </c>
      <c r="C12" s="967"/>
      <c r="D12" s="967"/>
      <c r="E12" s="967"/>
      <c r="F12" s="3838">
        <f>E12*$H$4</f>
        <v>0</v>
      </c>
      <c r="G12" s="3838">
        <f>D12*F12</f>
        <v>0</v>
      </c>
      <c r="H12" s="968"/>
    </row>
    <row r="13" spans="1:8">
      <c r="A13" s="609">
        <v>6</v>
      </c>
      <c r="B13" s="970"/>
      <c r="C13" s="967"/>
      <c r="D13" s="967"/>
      <c r="E13" s="967"/>
      <c r="F13" s="3838">
        <f t="shared" ref="F13:F20" si="0">E13*$H$4</f>
        <v>0</v>
      </c>
      <c r="G13" s="3838">
        <f t="shared" ref="G13:G20" si="1">D13*F13</f>
        <v>0</v>
      </c>
      <c r="H13" s="968"/>
    </row>
    <row r="14" spans="1:8">
      <c r="A14" s="609">
        <v>7</v>
      </c>
      <c r="B14" s="970"/>
      <c r="C14" s="967"/>
      <c r="D14" s="967"/>
      <c r="E14" s="967"/>
      <c r="F14" s="3838">
        <f t="shared" si="0"/>
        <v>0</v>
      </c>
      <c r="G14" s="3838">
        <f t="shared" si="1"/>
        <v>0</v>
      </c>
      <c r="H14" s="968"/>
    </row>
    <row r="15" spans="1:8">
      <c r="A15" s="609">
        <v>8</v>
      </c>
      <c r="B15" s="970"/>
      <c r="C15" s="967"/>
      <c r="D15" s="967"/>
      <c r="E15" s="967"/>
      <c r="F15" s="3838">
        <f t="shared" si="0"/>
        <v>0</v>
      </c>
      <c r="G15" s="3838">
        <f t="shared" si="1"/>
        <v>0</v>
      </c>
      <c r="H15" s="968"/>
    </row>
    <row r="16" spans="1:8">
      <c r="A16" s="609">
        <v>9</v>
      </c>
      <c r="B16" s="970"/>
      <c r="C16" s="967"/>
      <c r="D16" s="967"/>
      <c r="E16" s="967"/>
      <c r="F16" s="3838">
        <f t="shared" si="0"/>
        <v>0</v>
      </c>
      <c r="G16" s="3838">
        <f t="shared" si="1"/>
        <v>0</v>
      </c>
      <c r="H16" s="968"/>
    </row>
    <row r="17" spans="1:8">
      <c r="A17" s="609">
        <v>10</v>
      </c>
      <c r="B17" s="970"/>
      <c r="C17" s="967"/>
      <c r="D17" s="967"/>
      <c r="E17" s="967"/>
      <c r="F17" s="3838">
        <f t="shared" si="0"/>
        <v>0</v>
      </c>
      <c r="G17" s="3838">
        <f t="shared" si="1"/>
        <v>0</v>
      </c>
      <c r="H17" s="968"/>
    </row>
    <row r="18" spans="1:8">
      <c r="A18" s="609">
        <v>11</v>
      </c>
      <c r="B18" s="970"/>
      <c r="C18" s="967"/>
      <c r="D18" s="967"/>
      <c r="E18" s="967"/>
      <c r="F18" s="3838">
        <f t="shared" si="0"/>
        <v>0</v>
      </c>
      <c r="G18" s="3838">
        <f t="shared" si="1"/>
        <v>0</v>
      </c>
      <c r="H18" s="968"/>
    </row>
    <row r="19" spans="1:8">
      <c r="A19" s="609">
        <v>12</v>
      </c>
      <c r="B19" s="970"/>
      <c r="C19" s="967"/>
      <c r="D19" s="967"/>
      <c r="E19" s="967"/>
      <c r="F19" s="3838">
        <f t="shared" si="0"/>
        <v>0</v>
      </c>
      <c r="G19" s="3838">
        <f t="shared" si="1"/>
        <v>0</v>
      </c>
      <c r="H19" s="968"/>
    </row>
    <row r="20" spans="1:8">
      <c r="A20" s="609">
        <v>13</v>
      </c>
      <c r="B20" s="970"/>
      <c r="C20" s="967"/>
      <c r="D20" s="967"/>
      <c r="E20" s="967"/>
      <c r="F20" s="3838">
        <f t="shared" si="0"/>
        <v>0</v>
      </c>
      <c r="G20" s="3838">
        <f t="shared" si="1"/>
        <v>0</v>
      </c>
      <c r="H20" s="968"/>
    </row>
    <row r="21" spans="1:8">
      <c r="A21" s="411"/>
      <c r="B21" s="607" t="s">
        <v>20</v>
      </c>
      <c r="C21" s="609"/>
      <c r="D21" s="609"/>
      <c r="E21" s="609"/>
      <c r="F21" s="609"/>
      <c r="G21" s="608">
        <f>SUM(G8:G20)</f>
        <v>0</v>
      </c>
      <c r="H21" s="263"/>
    </row>
    <row r="23" spans="1:8" ht="15.75">
      <c r="A23" s="300" t="s">
        <v>329</v>
      </c>
      <c r="E23" s="683"/>
      <c r="F23" s="683"/>
      <c r="G23" s="683"/>
      <c r="H23" s="683"/>
    </row>
    <row r="24" spans="1:8" ht="15.75">
      <c r="A24" s="300"/>
      <c r="E24" s="683"/>
      <c r="F24" s="683"/>
      <c r="G24" s="683"/>
      <c r="H24" s="683"/>
    </row>
    <row r="25" spans="1:8">
      <c r="A25" s="345" t="s">
        <v>330</v>
      </c>
      <c r="E25" s="683"/>
      <c r="F25" s="683"/>
      <c r="G25" s="683"/>
      <c r="H25" s="683"/>
    </row>
    <row r="26" spans="1:8">
      <c r="A26" s="345" t="s">
        <v>332</v>
      </c>
      <c r="E26" s="683"/>
      <c r="F26" s="683"/>
      <c r="G26" s="683"/>
      <c r="H26" s="683"/>
    </row>
    <row r="27" spans="1:8">
      <c r="A27" s="346"/>
      <c r="E27" s="683"/>
      <c r="F27" s="683"/>
      <c r="G27" s="683"/>
      <c r="H27" s="683"/>
    </row>
    <row r="28" spans="1:8">
      <c r="A28" s="345" t="s">
        <v>333</v>
      </c>
      <c r="E28" s="683"/>
      <c r="F28" s="683"/>
      <c r="G28" s="683"/>
      <c r="H28" s="683"/>
    </row>
  </sheetData>
  <sheetProtection password="9690" sheet="1" formatColumns="0" insertRows="0" deleteRows="0"/>
  <pageMargins left="0.7" right="0.7" top="0.75" bottom="0.75" header="0.3" footer="0.3"/>
  <pageSetup paperSize="9" scale="74" fitToHeight="0" orientation="landscape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tabColor rgb="FF92D050"/>
    <pageSetUpPr fitToPage="1"/>
  </sheetPr>
  <dimension ref="A1:J141"/>
  <sheetViews>
    <sheetView workbookViewId="0">
      <selection sqref="A1:I35"/>
    </sheetView>
  </sheetViews>
  <sheetFormatPr defaultColWidth="9.140625" defaultRowHeight="11.25"/>
  <cols>
    <col min="1" max="1" width="5" style="1334" customWidth="1"/>
    <col min="2" max="2" width="20.140625" style="1334" customWidth="1"/>
    <col min="3" max="3" width="45.42578125" style="1334" customWidth="1"/>
    <col min="4" max="4" width="12.42578125" style="1334" customWidth="1"/>
    <col min="5" max="5" width="15.7109375" style="1334" customWidth="1"/>
    <col min="6" max="6" width="12.42578125" style="1334" customWidth="1"/>
    <col min="7" max="7" width="17.7109375" style="1334" customWidth="1"/>
    <col min="8" max="9" width="14.7109375" style="1334" customWidth="1"/>
    <col min="10" max="16384" width="9.140625" style="1334"/>
  </cols>
  <sheetData>
    <row r="1" spans="1:10">
      <c r="H1" s="1335" t="s">
        <v>267</v>
      </c>
      <c r="I1" s="1336" t="s">
        <v>4412</v>
      </c>
    </row>
    <row r="2" spans="1:10" s="1339" customFormat="1">
      <c r="A2" s="1337" t="s">
        <v>4413</v>
      </c>
      <c r="B2" s="1338"/>
      <c r="C2" s="1338"/>
      <c r="D2" s="1338"/>
      <c r="E2" s="1338"/>
      <c r="F2" s="1338"/>
      <c r="G2" s="1338"/>
      <c r="H2" s="1338"/>
      <c r="I2" s="1338"/>
      <c r="J2" s="1338"/>
    </row>
    <row r="3" spans="1:10">
      <c r="A3" s="1340"/>
      <c r="B3" s="1341"/>
      <c r="C3" s="1341"/>
      <c r="D3" s="1341"/>
      <c r="E3" s="1341"/>
      <c r="F3" s="1341"/>
      <c r="G3" s="1341"/>
      <c r="H3" s="1341"/>
      <c r="I3" s="1341"/>
      <c r="J3" s="1341"/>
    </row>
    <row r="4" spans="1:10" s="1338" customFormat="1">
      <c r="A4" s="1342" t="s">
        <v>3998</v>
      </c>
    </row>
    <row r="5" spans="1:10" s="1341" customFormat="1">
      <c r="A5" s="1343" t="s">
        <v>990</v>
      </c>
    </row>
    <row r="6" spans="1:10">
      <c r="A6" s="1344"/>
      <c r="B6" s="1344"/>
      <c r="C6" s="1344"/>
      <c r="D6" s="1344"/>
      <c r="E6" s="1344"/>
      <c r="F6" s="1344"/>
      <c r="G6" s="1344"/>
      <c r="H6" s="1344"/>
      <c r="I6" s="1341"/>
      <c r="J6" s="1341"/>
    </row>
    <row r="7" spans="1:10">
      <c r="A7" s="4384" t="s">
        <v>34</v>
      </c>
      <c r="B7" s="4381" t="s">
        <v>478</v>
      </c>
      <c r="C7" s="4386" t="s">
        <v>3683</v>
      </c>
      <c r="D7" s="4386" t="s">
        <v>4394</v>
      </c>
      <c r="E7" s="4381" t="s">
        <v>999</v>
      </c>
      <c r="F7" s="4384" t="s">
        <v>4023</v>
      </c>
      <c r="G7" s="4381" t="s">
        <v>345</v>
      </c>
      <c r="H7" s="4382" t="s">
        <v>255</v>
      </c>
      <c r="I7" s="4383"/>
      <c r="J7" s="1341"/>
    </row>
    <row r="8" spans="1:10">
      <c r="A8" s="4385"/>
      <c r="B8" s="4381"/>
      <c r="C8" s="4387"/>
      <c r="D8" s="4387"/>
      <c r="E8" s="4381"/>
      <c r="F8" s="4385"/>
      <c r="G8" s="4381"/>
      <c r="H8" s="1345" t="s">
        <v>7</v>
      </c>
      <c r="I8" s="1345" t="s">
        <v>8</v>
      </c>
      <c r="J8" s="1341"/>
    </row>
    <row r="9" spans="1:10" ht="37.5" customHeight="1">
      <c r="A9" s="1346">
        <v>1</v>
      </c>
      <c r="B9" s="1347" t="s">
        <v>4414</v>
      </c>
      <c r="C9" s="1347" t="s">
        <v>4415</v>
      </c>
      <c r="D9" s="1347" t="s">
        <v>4416</v>
      </c>
      <c r="E9" s="1348">
        <v>3500</v>
      </c>
      <c r="F9" s="1349">
        <v>201</v>
      </c>
      <c r="G9" s="1350">
        <f>F9*E9</f>
        <v>703500</v>
      </c>
      <c r="H9" s="1350">
        <f>6*E9</f>
        <v>21000</v>
      </c>
      <c r="I9" s="1359">
        <f>G9-H9</f>
        <v>682500</v>
      </c>
      <c r="J9" s="1341"/>
    </row>
    <row r="10" spans="1:10" ht="279.75" hidden="1" customHeight="1">
      <c r="A10" s="1346">
        <v>2</v>
      </c>
      <c r="B10" s="1347"/>
      <c r="C10" s="1347"/>
      <c r="D10" s="1347"/>
      <c r="E10" s="1348"/>
      <c r="F10" s="1349"/>
      <c r="G10" s="1350"/>
      <c r="H10" s="1353"/>
      <c r="I10" s="1352"/>
      <c r="J10" s="1341"/>
    </row>
    <row r="11" spans="1:10" ht="279.75" hidden="1" customHeight="1">
      <c r="A11" s="1346">
        <v>3</v>
      </c>
      <c r="B11" s="1347"/>
      <c r="C11" s="1347"/>
      <c r="D11" s="1347"/>
      <c r="E11" s="1348"/>
      <c r="F11" s="1349"/>
      <c r="G11" s="1350"/>
      <c r="H11" s="1351"/>
      <c r="I11" s="1352"/>
      <c r="J11" s="1341"/>
    </row>
    <row r="12" spans="1:10" hidden="1">
      <c r="A12" s="1346">
        <v>4</v>
      </c>
      <c r="B12" s="1347"/>
      <c r="C12" s="1347"/>
      <c r="D12" s="1347"/>
      <c r="E12" s="1348"/>
      <c r="F12" s="1349"/>
      <c r="G12" s="1350"/>
      <c r="H12" s="1351"/>
      <c r="I12" s="1352"/>
      <c r="J12" s="1341"/>
    </row>
    <row r="13" spans="1:10" hidden="1">
      <c r="A13" s="1346">
        <v>5</v>
      </c>
      <c r="B13" s="1347"/>
      <c r="C13" s="1347"/>
      <c r="D13" s="1347"/>
      <c r="E13" s="1348"/>
      <c r="F13" s="1349"/>
      <c r="G13" s="1354"/>
      <c r="H13" s="1351"/>
      <c r="I13" s="1352"/>
      <c r="J13" s="1341"/>
    </row>
    <row r="14" spans="1:10" hidden="1">
      <c r="A14" s="1346">
        <v>6</v>
      </c>
      <c r="B14" s="1355"/>
      <c r="C14" s="1355"/>
      <c r="D14" s="1356"/>
      <c r="E14" s="1357"/>
      <c r="F14" s="1349"/>
      <c r="G14" s="1350"/>
      <c r="H14" s="1351"/>
      <c r="I14" s="1352"/>
      <c r="J14" s="1341"/>
    </row>
    <row r="15" spans="1:10" hidden="1">
      <c r="A15" s="1346"/>
      <c r="B15" s="1355"/>
      <c r="C15" s="1356"/>
      <c r="D15" s="1358"/>
      <c r="E15" s="1357"/>
      <c r="F15" s="1349"/>
      <c r="G15" s="1359"/>
      <c r="H15" s="1351"/>
      <c r="I15" s="1352"/>
      <c r="J15" s="1341"/>
    </row>
    <row r="16" spans="1:10" ht="279.75" hidden="1" customHeight="1">
      <c r="A16" s="1346"/>
      <c r="B16" s="1355"/>
      <c r="C16" s="1356"/>
      <c r="D16" s="1358"/>
      <c r="E16" s="1357"/>
      <c r="F16" s="1349"/>
      <c r="G16" s="1359"/>
      <c r="H16" s="1351"/>
      <c r="I16" s="1352"/>
      <c r="J16" s="1341"/>
    </row>
    <row r="17" spans="1:10" ht="279.75" hidden="1" customHeight="1">
      <c r="A17" s="1346"/>
      <c r="B17" s="1355"/>
      <c r="C17" s="1356"/>
      <c r="D17" s="1358"/>
      <c r="E17" s="1357"/>
      <c r="F17" s="1349"/>
      <c r="G17" s="1359"/>
      <c r="H17" s="1351"/>
      <c r="I17" s="1352"/>
      <c r="J17" s="1341"/>
    </row>
    <row r="18" spans="1:10" ht="279.75" hidden="1" customHeight="1">
      <c r="A18" s="1346"/>
      <c r="B18" s="1355"/>
      <c r="C18" s="1356"/>
      <c r="D18" s="1358"/>
      <c r="E18" s="1360"/>
      <c r="F18" s="1349"/>
      <c r="G18" s="1359"/>
      <c r="H18" s="1351"/>
      <c r="I18" s="1352"/>
      <c r="J18" s="1341"/>
    </row>
    <row r="19" spans="1:10" ht="279.75" hidden="1" customHeight="1">
      <c r="A19" s="1346"/>
      <c r="B19" s="1355"/>
      <c r="C19" s="1356"/>
      <c r="D19" s="1358"/>
      <c r="E19" s="1357"/>
      <c r="F19" s="1349"/>
      <c r="G19" s="1359"/>
      <c r="H19" s="1351"/>
      <c r="I19" s="1352"/>
      <c r="J19" s="1341"/>
    </row>
    <row r="20" spans="1:10" ht="279.75" hidden="1" customHeight="1">
      <c r="A20" s="1346"/>
      <c r="B20" s="1355"/>
      <c r="C20" s="1356"/>
      <c r="D20" s="1358"/>
      <c r="E20" s="1357"/>
      <c r="F20" s="1349"/>
      <c r="G20" s="1359"/>
      <c r="H20" s="1351"/>
      <c r="I20" s="1352"/>
      <c r="J20" s="1341"/>
    </row>
    <row r="21" spans="1:10" ht="279.75" hidden="1" customHeight="1">
      <c r="A21" s="1346"/>
      <c r="B21" s="1355"/>
      <c r="C21" s="1356"/>
      <c r="D21" s="1358"/>
      <c r="E21" s="1357"/>
      <c r="F21" s="1349"/>
      <c r="G21" s="1359"/>
      <c r="H21" s="1351"/>
      <c r="I21" s="1352"/>
      <c r="J21" s="1341"/>
    </row>
    <row r="22" spans="1:10" ht="279.75" hidden="1" customHeight="1">
      <c r="A22" s="1346"/>
      <c r="B22" s="1355"/>
      <c r="C22" s="1356"/>
      <c r="D22" s="1358"/>
      <c r="E22" s="1357"/>
      <c r="F22" s="1349"/>
      <c r="G22" s="1359"/>
      <c r="H22" s="1351"/>
      <c r="I22" s="1352"/>
      <c r="J22" s="1341"/>
    </row>
    <row r="23" spans="1:10" ht="279.75" hidden="1" customHeight="1">
      <c r="A23" s="1346"/>
      <c r="B23" s="1361"/>
      <c r="C23" s="1361"/>
      <c r="D23" s="1361"/>
      <c r="E23" s="1347"/>
      <c r="F23" s="1349"/>
      <c r="G23" s="1359"/>
      <c r="H23" s="1351"/>
      <c r="I23" s="1352"/>
      <c r="J23" s="1341"/>
    </row>
    <row r="24" spans="1:10" ht="279.75" hidden="1" customHeight="1">
      <c r="A24" s="1346"/>
      <c r="B24" s="1361"/>
      <c r="C24" s="1361"/>
      <c r="D24" s="1361"/>
      <c r="E24" s="1347"/>
      <c r="F24" s="1349"/>
      <c r="G24" s="1359"/>
      <c r="H24" s="1351"/>
      <c r="I24" s="1352"/>
      <c r="J24" s="1341"/>
    </row>
    <row r="25" spans="1:10" ht="279.75" hidden="1" customHeight="1">
      <c r="A25" s="1346"/>
      <c r="B25" s="1361"/>
      <c r="C25" s="1361"/>
      <c r="D25" s="1361"/>
      <c r="E25" s="1347"/>
      <c r="F25" s="1349"/>
      <c r="G25" s="1359"/>
      <c r="H25" s="1351"/>
      <c r="I25" s="1352"/>
      <c r="J25" s="1341"/>
    </row>
    <row r="26" spans="1:10" hidden="1">
      <c r="A26" s="1346"/>
      <c r="B26" s="1362"/>
      <c r="C26" s="1362"/>
      <c r="D26" s="1363"/>
      <c r="E26" s="1363"/>
      <c r="F26" s="1349"/>
      <c r="G26" s="1359"/>
      <c r="H26" s="1351"/>
      <c r="I26" s="1352"/>
      <c r="J26" s="1341"/>
    </row>
    <row r="27" spans="1:10" ht="279.75" hidden="1" customHeight="1">
      <c r="A27" s="1346"/>
      <c r="B27" s="1361"/>
      <c r="C27" s="1361"/>
      <c r="D27" s="1361"/>
      <c r="E27" s="1361"/>
      <c r="F27" s="1349"/>
      <c r="G27" s="1359"/>
      <c r="H27" s="1351"/>
      <c r="I27" s="1352"/>
      <c r="J27" s="1341"/>
    </row>
    <row r="28" spans="1:10" ht="18.75" customHeight="1">
      <c r="A28" s="1364"/>
      <c r="B28" s="1365" t="s">
        <v>20</v>
      </c>
      <c r="C28" s="1365"/>
      <c r="D28" s="1365"/>
      <c r="E28" s="1366"/>
      <c r="F28" s="1367"/>
      <c r="G28" s="1368">
        <f>SUM(G9:G27)</f>
        <v>703500</v>
      </c>
      <c r="H28" s="1368">
        <f>SUM(H9:H16)</f>
        <v>21000</v>
      </c>
      <c r="I28" s="1368">
        <f>SUM(I9:I27)</f>
        <v>682500</v>
      </c>
      <c r="J28" s="1341"/>
    </row>
    <row r="29" spans="1:10" ht="16.5" customHeight="1">
      <c r="A29" s="1369"/>
      <c r="B29" s="1370"/>
      <c r="C29" s="1370"/>
      <c r="D29" s="1370"/>
      <c r="E29" s="1371"/>
      <c r="F29" s="1372"/>
      <c r="G29" s="1371"/>
      <c r="H29" s="1373"/>
      <c r="I29" s="1371"/>
      <c r="J29" s="1341"/>
    </row>
    <row r="30" spans="1:10" ht="16.5" customHeight="1">
      <c r="A30" s="1374" t="s">
        <v>330</v>
      </c>
      <c r="B30" s="1341"/>
      <c r="C30" s="1375"/>
      <c r="D30" s="1375"/>
      <c r="E30" s="1377" t="s">
        <v>369</v>
      </c>
      <c r="F30" s="1341"/>
      <c r="G30" s="1341"/>
      <c r="H30" s="1341"/>
      <c r="I30" s="1341"/>
      <c r="J30" s="1341"/>
    </row>
    <row r="31" spans="1:10" s="1341" customFormat="1" ht="16.5" customHeight="1">
      <c r="A31" s="1374"/>
      <c r="B31" s="1375"/>
      <c r="C31" s="1375"/>
      <c r="D31" s="1377"/>
      <c r="E31" s="1377"/>
      <c r="F31" s="1338"/>
      <c r="G31" s="1338"/>
      <c r="H31" s="1338"/>
      <c r="I31" s="1338"/>
    </row>
    <row r="32" spans="1:10" s="1341" customFormat="1" ht="15.75" customHeight="1">
      <c r="A32" s="1378" t="s">
        <v>547</v>
      </c>
      <c r="B32" s="1375"/>
      <c r="C32" s="1375"/>
      <c r="D32" s="1377"/>
      <c r="F32" s="1338"/>
      <c r="G32" s="1338"/>
      <c r="H32" s="1338"/>
      <c r="I32" s="1338"/>
    </row>
    <row r="33" spans="1:9" s="1341" customFormat="1">
      <c r="A33" s="1378" t="s">
        <v>548</v>
      </c>
      <c r="B33" s="1375"/>
      <c r="C33" s="1375"/>
      <c r="D33" s="1377"/>
      <c r="E33" s="1382" t="s">
        <v>374</v>
      </c>
      <c r="F33" s="1338"/>
      <c r="G33" s="1338"/>
      <c r="H33" s="1338"/>
      <c r="I33" s="1338"/>
    </row>
    <row r="34" spans="1:9" s="1341" customFormat="1">
      <c r="A34" s="1378"/>
      <c r="B34" s="1375"/>
      <c r="C34" s="1375"/>
      <c r="D34" s="1377"/>
      <c r="E34" s="1383"/>
      <c r="F34" s="1338"/>
      <c r="G34" s="1338"/>
      <c r="H34" s="1338"/>
      <c r="I34" s="1338"/>
    </row>
    <row r="35" spans="1:9" s="1341" customFormat="1" ht="22.5" customHeight="1">
      <c r="A35" s="1378" t="s">
        <v>375</v>
      </c>
      <c r="B35" s="1379"/>
      <c r="C35" s="1380"/>
      <c r="D35" s="1381"/>
      <c r="E35" s="1382" t="s">
        <v>376</v>
      </c>
      <c r="F35" s="1338"/>
      <c r="G35" s="1338"/>
      <c r="H35" s="1338"/>
      <c r="I35" s="1338"/>
    </row>
    <row r="36" spans="1:9" s="1341" customFormat="1">
      <c r="B36" s="1379"/>
      <c r="C36" s="1380"/>
      <c r="D36" s="1381"/>
      <c r="F36" s="1338"/>
      <c r="G36" s="1338"/>
      <c r="H36" s="1338"/>
      <c r="I36" s="1338"/>
    </row>
    <row r="37" spans="1:9">
      <c r="B37" s="1379"/>
      <c r="C37" s="1380"/>
      <c r="D37" s="1381"/>
      <c r="F37" s="1341"/>
      <c r="G37" s="1341"/>
      <c r="H37" s="1341"/>
      <c r="I37" s="1341"/>
    </row>
    <row r="38" spans="1:9">
      <c r="B38" s="1383"/>
      <c r="C38" s="1383"/>
      <c r="D38" s="1383"/>
    </row>
    <row r="42" spans="1:9">
      <c r="A42" s="1337" t="s">
        <v>4413</v>
      </c>
      <c r="B42" s="1338"/>
      <c r="C42" s="1338"/>
      <c r="D42" s="1338"/>
      <c r="E42" s="1338"/>
      <c r="F42" s="1338"/>
      <c r="G42" s="1338"/>
      <c r="H42" s="1338"/>
      <c r="I42" s="1338"/>
    </row>
    <row r="43" spans="1:9">
      <c r="A43" s="1340"/>
      <c r="B43" s="1341"/>
      <c r="C43" s="1341"/>
      <c r="D43" s="1341"/>
      <c r="E43" s="1341"/>
      <c r="F43" s="1341"/>
      <c r="G43" s="1341"/>
      <c r="H43" s="1341"/>
      <c r="I43" s="1341"/>
    </row>
    <row r="44" spans="1:9">
      <c r="A44" s="1342" t="s">
        <v>4417</v>
      </c>
      <c r="B44" s="1338"/>
      <c r="C44" s="1338"/>
      <c r="D44" s="1338"/>
      <c r="E44" s="1338"/>
      <c r="F44" s="1338"/>
      <c r="G44" s="1338"/>
      <c r="H44" s="1338"/>
      <c r="I44" s="1338"/>
    </row>
    <row r="45" spans="1:9">
      <c r="A45" s="1343" t="s">
        <v>990</v>
      </c>
      <c r="B45" s="1341"/>
      <c r="C45" s="1341"/>
      <c r="D45" s="1341"/>
      <c r="E45" s="1341"/>
      <c r="F45" s="1341"/>
      <c r="G45" s="1341"/>
      <c r="H45" s="1341"/>
      <c r="I45" s="1341"/>
    </row>
    <row r="46" spans="1:9">
      <c r="A46" s="1344"/>
      <c r="B46" s="1344"/>
      <c r="C46" s="1344"/>
      <c r="D46" s="1344"/>
      <c r="E46" s="1344"/>
      <c r="F46" s="1344"/>
      <c r="G46" s="1344"/>
      <c r="H46" s="1344"/>
      <c r="I46" s="1341"/>
    </row>
    <row r="47" spans="1:9">
      <c r="A47" s="4384" t="s">
        <v>34</v>
      </c>
      <c r="B47" s="4381" t="s">
        <v>478</v>
      </c>
      <c r="C47" s="4386" t="s">
        <v>3683</v>
      </c>
      <c r="D47" s="4386" t="s">
        <v>4394</v>
      </c>
      <c r="E47" s="4381" t="s">
        <v>999</v>
      </c>
      <c r="F47" s="4384" t="s">
        <v>4023</v>
      </c>
      <c r="G47" s="4381" t="s">
        <v>345</v>
      </c>
      <c r="H47" s="4382" t="s">
        <v>255</v>
      </c>
      <c r="I47" s="4383"/>
    </row>
    <row r="48" spans="1:9">
      <c r="A48" s="4385"/>
      <c r="B48" s="4381"/>
      <c r="C48" s="4387"/>
      <c r="D48" s="4387"/>
      <c r="E48" s="4381"/>
      <c r="F48" s="4385"/>
      <c r="G48" s="4381"/>
      <c r="H48" s="1345" t="s">
        <v>7</v>
      </c>
      <c r="I48" s="1345" t="s">
        <v>8</v>
      </c>
    </row>
    <row r="49" spans="1:9" ht="409.5">
      <c r="A49" s="1346">
        <v>1</v>
      </c>
      <c r="B49" s="1347" t="s">
        <v>4414</v>
      </c>
      <c r="C49" s="1347" t="s">
        <v>4418</v>
      </c>
      <c r="D49" s="1347" t="s">
        <v>4416</v>
      </c>
      <c r="E49" s="1348">
        <v>3500</v>
      </c>
      <c r="F49" s="1349">
        <v>35</v>
      </c>
      <c r="G49" s="1350">
        <f>F49*E49</f>
        <v>122500</v>
      </c>
      <c r="H49" s="1350">
        <f>6*E49</f>
        <v>21000</v>
      </c>
      <c r="I49" s="1359">
        <f>G49-H49</f>
        <v>101500</v>
      </c>
    </row>
    <row r="50" spans="1:9">
      <c r="A50" s="1364"/>
      <c r="B50" s="1365" t="s">
        <v>20</v>
      </c>
      <c r="C50" s="1365"/>
      <c r="D50" s="1365"/>
      <c r="E50" s="1366"/>
      <c r="F50" s="1367"/>
      <c r="G50" s="1368">
        <f>SUM(G49:G49)</f>
        <v>122500</v>
      </c>
      <c r="H50" s="1368">
        <f>SUM(H49:H49)</f>
        <v>21000</v>
      </c>
      <c r="I50" s="1368">
        <f>SUM(I49:I49)</f>
        <v>101500</v>
      </c>
    </row>
    <row r="51" spans="1:9">
      <c r="A51" s="1369"/>
      <c r="B51" s="1370"/>
      <c r="C51" s="1370"/>
      <c r="D51" s="1370"/>
      <c r="E51" s="1371"/>
      <c r="F51" s="1372"/>
      <c r="G51" s="1371"/>
      <c r="H51" s="1373"/>
      <c r="I51" s="1371"/>
    </row>
    <row r="52" spans="1:9">
      <c r="A52" s="1374"/>
      <c r="B52" s="1341"/>
      <c r="C52" s="1375"/>
      <c r="D52" s="1375"/>
      <c r="E52" s="1341"/>
      <c r="F52" s="1341"/>
      <c r="G52" s="1341"/>
      <c r="H52" s="1341"/>
      <c r="I52" s="1341"/>
    </row>
    <row r="53" spans="1:9">
      <c r="A53" s="1376" t="s">
        <v>329</v>
      </c>
      <c r="B53" s="1375"/>
      <c r="C53" s="1375"/>
      <c r="D53" s="1377"/>
      <c r="E53" s="1377" t="s">
        <v>448</v>
      </c>
      <c r="F53" s="1338"/>
      <c r="G53" s="1338"/>
      <c r="H53" s="1338"/>
      <c r="I53" s="1338"/>
    </row>
    <row r="54" spans="1:9">
      <c r="A54" s="1376"/>
      <c r="B54" s="1375"/>
      <c r="C54" s="1375"/>
      <c r="D54" s="1377"/>
      <c r="E54" s="1377"/>
      <c r="F54" s="1338"/>
      <c r="G54" s="1338"/>
      <c r="H54" s="1338"/>
      <c r="I54" s="1338"/>
    </row>
    <row r="55" spans="1:9">
      <c r="A55" s="1374" t="s">
        <v>330</v>
      </c>
      <c r="B55" s="1375"/>
      <c r="C55" s="1375"/>
      <c r="D55" s="1377"/>
      <c r="E55" s="1377" t="s">
        <v>369</v>
      </c>
      <c r="F55" s="1338"/>
      <c r="G55" s="1338"/>
      <c r="H55" s="1338"/>
      <c r="I55" s="1338"/>
    </row>
    <row r="56" spans="1:9">
      <c r="A56" s="1374"/>
      <c r="B56" s="1375"/>
      <c r="C56" s="1375"/>
      <c r="D56" s="1377"/>
      <c r="E56" s="1377"/>
      <c r="F56" s="1338"/>
      <c r="G56" s="1338"/>
      <c r="H56" s="1338"/>
      <c r="I56" s="1338"/>
    </row>
    <row r="57" spans="1:9">
      <c r="A57" s="1378" t="s">
        <v>547</v>
      </c>
      <c r="B57" s="1379"/>
      <c r="C57" s="1380"/>
      <c r="D57" s="1381"/>
      <c r="E57" s="1382" t="s">
        <v>374</v>
      </c>
      <c r="F57" s="1338"/>
      <c r="G57" s="1338"/>
      <c r="H57" s="1338"/>
      <c r="I57" s="1338"/>
    </row>
    <row r="58" spans="1:9">
      <c r="A58" s="1378" t="s">
        <v>548</v>
      </c>
      <c r="B58" s="1379"/>
      <c r="C58" s="1380"/>
      <c r="D58" s="1381"/>
      <c r="E58" s="1382"/>
      <c r="F58" s="1338"/>
      <c r="G58" s="1338"/>
      <c r="H58" s="1338"/>
      <c r="I58" s="1338"/>
    </row>
    <row r="59" spans="1:9">
      <c r="A59" s="1378"/>
      <c r="B59" s="1379"/>
      <c r="C59" s="1380"/>
      <c r="D59" s="1381"/>
      <c r="E59" s="1383"/>
      <c r="F59" s="1341"/>
      <c r="G59" s="1341"/>
      <c r="H59" s="1341"/>
      <c r="I59" s="1341"/>
    </row>
    <row r="60" spans="1:9">
      <c r="A60" s="1378" t="s">
        <v>375</v>
      </c>
      <c r="B60" s="1383"/>
      <c r="C60" s="1383"/>
      <c r="D60" s="1383"/>
      <c r="E60" s="1382" t="s">
        <v>376</v>
      </c>
    </row>
    <row r="62" spans="1:9">
      <c r="A62" s="1337" t="s">
        <v>4413</v>
      </c>
      <c r="B62" s="1338"/>
      <c r="C62" s="1338"/>
      <c r="D62" s="1338"/>
      <c r="E62" s="1338"/>
      <c r="F62" s="1338"/>
      <c r="G62" s="1338"/>
      <c r="H62" s="1338"/>
      <c r="I62" s="1338"/>
    </row>
    <row r="63" spans="1:9">
      <c r="A63" s="1340"/>
      <c r="B63" s="1341"/>
      <c r="C63" s="1341"/>
      <c r="D63" s="1341"/>
      <c r="E63" s="1341"/>
      <c r="F63" s="1341"/>
      <c r="G63" s="1341"/>
      <c r="H63" s="1341"/>
      <c r="I63" s="1341"/>
    </row>
    <row r="64" spans="1:9">
      <c r="A64" s="1342" t="s">
        <v>4419</v>
      </c>
      <c r="B64" s="1338"/>
      <c r="C64" s="1338"/>
      <c r="D64" s="1338"/>
      <c r="E64" s="1338"/>
      <c r="F64" s="1338"/>
      <c r="G64" s="1338"/>
      <c r="H64" s="1338"/>
      <c r="I64" s="1338"/>
    </row>
    <row r="65" spans="1:9">
      <c r="A65" s="1343" t="s">
        <v>990</v>
      </c>
      <c r="B65" s="1341"/>
      <c r="C65" s="1341"/>
      <c r="D65" s="1341"/>
      <c r="E65" s="1341"/>
      <c r="F65" s="1341"/>
      <c r="G65" s="1341"/>
      <c r="H65" s="1341"/>
      <c r="I65" s="1341"/>
    </row>
    <row r="66" spans="1:9">
      <c r="A66" s="1344"/>
      <c r="B66" s="1344"/>
      <c r="C66" s="1344"/>
      <c r="D66" s="1344"/>
      <c r="E66" s="1344"/>
      <c r="F66" s="1344"/>
      <c r="G66" s="1344"/>
      <c r="H66" s="1344"/>
      <c r="I66" s="1341"/>
    </row>
    <row r="67" spans="1:9">
      <c r="A67" s="4384" t="s">
        <v>34</v>
      </c>
      <c r="B67" s="4381" t="s">
        <v>478</v>
      </c>
      <c r="C67" s="4386" t="s">
        <v>3683</v>
      </c>
      <c r="D67" s="4386" t="s">
        <v>4394</v>
      </c>
      <c r="E67" s="4381" t="s">
        <v>999</v>
      </c>
      <c r="F67" s="4384" t="s">
        <v>4023</v>
      </c>
      <c r="G67" s="4381" t="s">
        <v>345</v>
      </c>
      <c r="H67" s="4382" t="s">
        <v>255</v>
      </c>
      <c r="I67" s="4383"/>
    </row>
    <row r="68" spans="1:9">
      <c r="A68" s="4385"/>
      <c r="B68" s="4381"/>
      <c r="C68" s="4387"/>
      <c r="D68" s="4387"/>
      <c r="E68" s="4381"/>
      <c r="F68" s="4385"/>
      <c r="G68" s="4381"/>
      <c r="H68" s="1345" t="s">
        <v>7</v>
      </c>
      <c r="I68" s="1345" t="s">
        <v>8</v>
      </c>
    </row>
    <row r="69" spans="1:9" ht="409.5">
      <c r="A69" s="1346">
        <v>1</v>
      </c>
      <c r="B69" s="1347" t="s">
        <v>4414</v>
      </c>
      <c r="C69" s="1347" t="s">
        <v>4418</v>
      </c>
      <c r="D69" s="1347" t="s">
        <v>4416</v>
      </c>
      <c r="E69" s="1348">
        <v>3500</v>
      </c>
      <c r="F69" s="1349">
        <v>45</v>
      </c>
      <c r="G69" s="1350">
        <f>F69*E69</f>
        <v>157500</v>
      </c>
      <c r="H69" s="1350">
        <f>6*E69</f>
        <v>21000</v>
      </c>
      <c r="I69" s="1359">
        <f>G69-H69</f>
        <v>136500</v>
      </c>
    </row>
    <row r="70" spans="1:9">
      <c r="A70" s="1364"/>
      <c r="B70" s="1365" t="s">
        <v>20</v>
      </c>
      <c r="C70" s="1365"/>
      <c r="D70" s="1365"/>
      <c r="E70" s="1366"/>
      <c r="F70" s="1367"/>
      <c r="G70" s="1368">
        <f>SUM(G69:G69)</f>
        <v>157500</v>
      </c>
      <c r="H70" s="1368">
        <f>SUM(H69:H69)</f>
        <v>21000</v>
      </c>
      <c r="I70" s="1368">
        <f>SUM(I69:I69)</f>
        <v>136500</v>
      </c>
    </row>
    <row r="71" spans="1:9">
      <c r="A71" s="1369"/>
      <c r="B71" s="1370"/>
      <c r="C71" s="1370"/>
      <c r="D71" s="1370"/>
      <c r="E71" s="1371"/>
      <c r="F71" s="1372"/>
      <c r="G71" s="1371"/>
      <c r="H71" s="1373"/>
      <c r="I71" s="1371"/>
    </row>
    <row r="72" spans="1:9">
      <c r="A72" s="1374"/>
      <c r="B72" s="1341"/>
      <c r="C72" s="1375"/>
      <c r="D72" s="1375"/>
      <c r="E72" s="1341"/>
      <c r="F72" s="1341"/>
      <c r="G72" s="1341"/>
      <c r="H72" s="1341"/>
      <c r="I72" s="1341"/>
    </row>
    <row r="73" spans="1:9">
      <c r="A73" s="1376" t="s">
        <v>329</v>
      </c>
      <c r="B73" s="1375"/>
      <c r="C73" s="1375"/>
      <c r="D73" s="1377"/>
      <c r="E73" s="1377" t="s">
        <v>448</v>
      </c>
      <c r="F73" s="1338"/>
      <c r="G73" s="1338"/>
      <c r="H73" s="1338"/>
      <c r="I73" s="1338"/>
    </row>
    <row r="74" spans="1:9">
      <c r="A74" s="1376"/>
      <c r="B74" s="1375"/>
      <c r="C74" s="1375"/>
      <c r="D74" s="1377"/>
      <c r="E74" s="1377"/>
      <c r="F74" s="1338"/>
      <c r="G74" s="1338"/>
      <c r="H74" s="1338"/>
      <c r="I74" s="1338"/>
    </row>
    <row r="75" spans="1:9">
      <c r="A75" s="1374" t="s">
        <v>330</v>
      </c>
      <c r="B75" s="1375"/>
      <c r="C75" s="1375"/>
      <c r="D75" s="1377"/>
      <c r="E75" s="1377" t="s">
        <v>369</v>
      </c>
      <c r="F75" s="1338"/>
      <c r="G75" s="1338"/>
      <c r="H75" s="1338"/>
      <c r="I75" s="1338"/>
    </row>
    <row r="76" spans="1:9">
      <c r="A76" s="1374"/>
      <c r="B76" s="1375"/>
      <c r="C76" s="1375"/>
      <c r="D76" s="1377"/>
      <c r="E76" s="1377"/>
      <c r="F76" s="1338"/>
      <c r="G76" s="1338"/>
      <c r="H76" s="1338"/>
      <c r="I76" s="1338"/>
    </row>
    <row r="77" spans="1:9">
      <c r="A77" s="1378" t="s">
        <v>547</v>
      </c>
      <c r="B77" s="1379"/>
      <c r="C77" s="1380"/>
      <c r="D77" s="1381"/>
      <c r="E77" s="1382" t="s">
        <v>374</v>
      </c>
      <c r="F77" s="1338"/>
      <c r="G77" s="1338"/>
      <c r="H77" s="1338"/>
      <c r="I77" s="1338"/>
    </row>
    <row r="78" spans="1:9">
      <c r="A78" s="1378" t="s">
        <v>548</v>
      </c>
      <c r="B78" s="1379"/>
      <c r="C78" s="1380"/>
      <c r="D78" s="1381"/>
      <c r="E78" s="1382"/>
      <c r="F78" s="1338"/>
      <c r="G78" s="1338"/>
      <c r="H78" s="1338"/>
      <c r="I78" s="1338"/>
    </row>
    <row r="79" spans="1:9">
      <c r="A79" s="1378"/>
      <c r="B79" s="1379"/>
      <c r="C79" s="1380"/>
      <c r="D79" s="1381"/>
      <c r="E79" s="1383"/>
      <c r="F79" s="1341"/>
      <c r="G79" s="1341"/>
      <c r="H79" s="1341"/>
      <c r="I79" s="1341"/>
    </row>
    <row r="80" spans="1:9">
      <c r="A80" s="1378" t="s">
        <v>375</v>
      </c>
      <c r="B80" s="1383"/>
      <c r="C80" s="1383"/>
      <c r="D80" s="1383"/>
      <c r="E80" s="1382" t="s">
        <v>376</v>
      </c>
    </row>
    <row r="82" spans="1:9">
      <c r="A82" s="1337" t="s">
        <v>4413</v>
      </c>
      <c r="B82" s="1338"/>
      <c r="C82" s="1338"/>
      <c r="D82" s="1338"/>
      <c r="E82" s="1338"/>
      <c r="F82" s="1338"/>
      <c r="G82" s="1338"/>
      <c r="H82" s="1338"/>
      <c r="I82" s="1338"/>
    </row>
    <row r="83" spans="1:9">
      <c r="A83" s="1340"/>
      <c r="B83" s="1341"/>
      <c r="C83" s="1341"/>
      <c r="D83" s="1341"/>
      <c r="E83" s="1341"/>
      <c r="F83" s="1341"/>
      <c r="G83" s="1341"/>
      <c r="H83" s="1341"/>
      <c r="I83" s="1341"/>
    </row>
    <row r="84" spans="1:9">
      <c r="A84" s="1342" t="s">
        <v>4420</v>
      </c>
      <c r="B84" s="1338"/>
      <c r="C84" s="1338"/>
      <c r="D84" s="1338"/>
      <c r="E84" s="1338"/>
      <c r="F84" s="1338"/>
      <c r="G84" s="1338"/>
      <c r="H84" s="1338"/>
      <c r="I84" s="1338"/>
    </row>
    <row r="85" spans="1:9">
      <c r="A85" s="1343" t="s">
        <v>990</v>
      </c>
      <c r="B85" s="1341"/>
      <c r="C85" s="1341"/>
      <c r="D85" s="1341"/>
      <c r="E85" s="1341"/>
      <c r="F85" s="1341"/>
      <c r="G85" s="1341"/>
      <c r="H85" s="1341"/>
      <c r="I85" s="1341"/>
    </row>
    <row r="86" spans="1:9">
      <c r="A86" s="1344"/>
      <c r="B86" s="1344"/>
      <c r="C86" s="1344"/>
      <c r="D86" s="1344"/>
      <c r="E86" s="1344"/>
      <c r="F86" s="1344"/>
      <c r="G86" s="1344"/>
      <c r="H86" s="1344"/>
      <c r="I86" s="1341"/>
    </row>
    <row r="87" spans="1:9">
      <c r="A87" s="4384" t="s">
        <v>34</v>
      </c>
      <c r="B87" s="4381" t="s">
        <v>478</v>
      </c>
      <c r="C87" s="4386" t="s">
        <v>3683</v>
      </c>
      <c r="D87" s="4386" t="s">
        <v>4394</v>
      </c>
      <c r="E87" s="4381" t="s">
        <v>999</v>
      </c>
      <c r="F87" s="4384" t="s">
        <v>4023</v>
      </c>
      <c r="G87" s="4381" t="s">
        <v>345</v>
      </c>
      <c r="H87" s="4382" t="s">
        <v>255</v>
      </c>
      <c r="I87" s="4383"/>
    </row>
    <row r="88" spans="1:9">
      <c r="A88" s="4385"/>
      <c r="B88" s="4381"/>
      <c r="C88" s="4387"/>
      <c r="D88" s="4387"/>
      <c r="E88" s="4381"/>
      <c r="F88" s="4385"/>
      <c r="G88" s="4381"/>
      <c r="H88" s="1345" t="s">
        <v>7</v>
      </c>
      <c r="I88" s="1345" t="s">
        <v>8</v>
      </c>
    </row>
    <row r="89" spans="1:9" ht="409.5">
      <c r="A89" s="1346">
        <v>1</v>
      </c>
      <c r="B89" s="1347" t="s">
        <v>4414</v>
      </c>
      <c r="C89" s="1347" t="s">
        <v>4418</v>
      </c>
      <c r="D89" s="1347" t="s">
        <v>4416</v>
      </c>
      <c r="E89" s="1348">
        <v>3500</v>
      </c>
      <c r="F89" s="1349">
        <v>56</v>
      </c>
      <c r="G89" s="1350">
        <f>F89*E89</f>
        <v>196000</v>
      </c>
      <c r="H89" s="1350">
        <f>6*E89</f>
        <v>21000</v>
      </c>
      <c r="I89" s="1359">
        <f>G89-H89</f>
        <v>175000</v>
      </c>
    </row>
    <row r="90" spans="1:9">
      <c r="A90" s="1364"/>
      <c r="B90" s="1365" t="s">
        <v>20</v>
      </c>
      <c r="C90" s="1365"/>
      <c r="D90" s="1365"/>
      <c r="E90" s="1366"/>
      <c r="F90" s="1367"/>
      <c r="G90" s="1368">
        <f>SUM(G89:G89)</f>
        <v>196000</v>
      </c>
      <c r="H90" s="1368">
        <f>SUM(H89:H89)</f>
        <v>21000</v>
      </c>
      <c r="I90" s="1368">
        <f>SUM(I89:I89)</f>
        <v>175000</v>
      </c>
    </row>
    <row r="91" spans="1:9">
      <c r="A91" s="1369"/>
      <c r="B91" s="1370"/>
      <c r="C91" s="1370"/>
      <c r="D91" s="1370"/>
      <c r="E91" s="1371"/>
      <c r="F91" s="1372"/>
      <c r="G91" s="1371"/>
      <c r="H91" s="1373"/>
      <c r="I91" s="1371"/>
    </row>
    <row r="92" spans="1:9">
      <c r="A92" s="1374"/>
      <c r="B92" s="1341"/>
      <c r="C92" s="1375"/>
      <c r="D92" s="1375"/>
      <c r="E92" s="1341"/>
      <c r="F92" s="1341"/>
      <c r="G92" s="1341"/>
      <c r="H92" s="1341"/>
      <c r="I92" s="1341"/>
    </row>
    <row r="93" spans="1:9">
      <c r="A93" s="1376" t="s">
        <v>329</v>
      </c>
      <c r="B93" s="1375"/>
      <c r="C93" s="1375"/>
      <c r="D93" s="1377"/>
      <c r="E93" s="1377" t="s">
        <v>448</v>
      </c>
      <c r="F93" s="1338"/>
      <c r="G93" s="1338"/>
      <c r="H93" s="1338"/>
      <c r="I93" s="1338"/>
    </row>
    <row r="94" spans="1:9">
      <c r="A94" s="1376"/>
      <c r="B94" s="1375"/>
      <c r="C94" s="1375"/>
      <c r="D94" s="1377"/>
      <c r="E94" s="1377"/>
      <c r="F94" s="1338"/>
      <c r="G94" s="1338"/>
      <c r="H94" s="1338"/>
      <c r="I94" s="1338"/>
    </row>
    <row r="95" spans="1:9">
      <c r="A95" s="1374" t="s">
        <v>330</v>
      </c>
      <c r="B95" s="1375"/>
      <c r="C95" s="1375"/>
      <c r="D95" s="1377"/>
      <c r="E95" s="1377" t="s">
        <v>369</v>
      </c>
      <c r="F95" s="1338"/>
      <c r="G95" s="1338"/>
      <c r="H95" s="1338"/>
      <c r="I95" s="1338"/>
    </row>
    <row r="96" spans="1:9">
      <c r="A96" s="1374"/>
      <c r="B96" s="1375"/>
      <c r="C96" s="1375"/>
      <c r="D96" s="1377"/>
      <c r="E96" s="1377"/>
      <c r="F96" s="1338"/>
      <c r="G96" s="1338"/>
      <c r="H96" s="1338"/>
      <c r="I96" s="1338"/>
    </row>
    <row r="97" spans="1:9">
      <c r="A97" s="1378" t="s">
        <v>547</v>
      </c>
      <c r="B97" s="1379"/>
      <c r="C97" s="1380"/>
      <c r="D97" s="1381"/>
      <c r="E97" s="1382" t="s">
        <v>374</v>
      </c>
      <c r="F97" s="1338"/>
      <c r="G97" s="1338"/>
      <c r="H97" s="1338"/>
      <c r="I97" s="1338"/>
    </row>
    <row r="98" spans="1:9">
      <c r="A98" s="1378" t="s">
        <v>548</v>
      </c>
      <c r="B98" s="1379"/>
      <c r="C98" s="1380"/>
      <c r="D98" s="1381"/>
      <c r="E98" s="1382"/>
      <c r="F98" s="1338"/>
      <c r="G98" s="1338"/>
      <c r="H98" s="1338"/>
      <c r="I98" s="1338"/>
    </row>
    <row r="99" spans="1:9">
      <c r="A99" s="1378"/>
      <c r="B99" s="1379"/>
      <c r="C99" s="1380"/>
      <c r="D99" s="1381"/>
      <c r="E99" s="1383"/>
      <c r="F99" s="1341"/>
      <c r="G99" s="1341"/>
      <c r="H99" s="1341"/>
      <c r="I99" s="1341"/>
    </row>
    <row r="100" spans="1:9">
      <c r="A100" s="1378" t="s">
        <v>375</v>
      </c>
      <c r="B100" s="1383"/>
      <c r="C100" s="1383"/>
      <c r="D100" s="1383"/>
      <c r="E100" s="1382" t="s">
        <v>376</v>
      </c>
    </row>
    <row r="102" spans="1:9">
      <c r="A102" s="1337" t="s">
        <v>4413</v>
      </c>
      <c r="B102" s="1338"/>
      <c r="C102" s="1338"/>
      <c r="D102" s="1338"/>
      <c r="E102" s="1338"/>
      <c r="F102" s="1338"/>
      <c r="G102" s="1338"/>
      <c r="H102" s="1338"/>
      <c r="I102" s="1338"/>
    </row>
    <row r="103" spans="1:9">
      <c r="A103" s="1340"/>
      <c r="B103" s="1341"/>
      <c r="C103" s="1341"/>
      <c r="D103" s="1341"/>
      <c r="E103" s="1341"/>
      <c r="F103" s="1341"/>
      <c r="G103" s="1341"/>
      <c r="H103" s="1341"/>
      <c r="I103" s="1341"/>
    </row>
    <row r="104" spans="1:9">
      <c r="A104" s="1342" t="s">
        <v>4421</v>
      </c>
      <c r="B104" s="1338"/>
      <c r="C104" s="1338"/>
      <c r="D104" s="1338"/>
      <c r="E104" s="1338"/>
      <c r="F104" s="1338"/>
      <c r="G104" s="1338"/>
      <c r="H104" s="1338"/>
      <c r="I104" s="1338"/>
    </row>
    <row r="105" spans="1:9">
      <c r="A105" s="1343" t="s">
        <v>990</v>
      </c>
      <c r="B105" s="1341"/>
      <c r="C105" s="1341"/>
      <c r="D105" s="1341"/>
      <c r="E105" s="1341"/>
      <c r="F105" s="1341"/>
      <c r="G105" s="1341"/>
      <c r="H105" s="1341"/>
      <c r="I105" s="1341"/>
    </row>
    <row r="106" spans="1:9">
      <c r="A106" s="1344"/>
      <c r="B106" s="1344"/>
      <c r="C106" s="1344"/>
      <c r="D106" s="1344"/>
      <c r="E106" s="1344"/>
      <c r="F106" s="1344"/>
      <c r="G106" s="1344"/>
      <c r="H106" s="1344"/>
      <c r="I106" s="1341"/>
    </row>
    <row r="107" spans="1:9">
      <c r="A107" s="4384" t="s">
        <v>34</v>
      </c>
      <c r="B107" s="4381" t="s">
        <v>478</v>
      </c>
      <c r="C107" s="4386" t="s">
        <v>3683</v>
      </c>
      <c r="D107" s="4386" t="s">
        <v>4394</v>
      </c>
      <c r="E107" s="4381" t="s">
        <v>999</v>
      </c>
      <c r="F107" s="4384" t="s">
        <v>4023</v>
      </c>
      <c r="G107" s="4381" t="s">
        <v>345</v>
      </c>
      <c r="H107" s="4382" t="s">
        <v>255</v>
      </c>
      <c r="I107" s="4383"/>
    </row>
    <row r="108" spans="1:9">
      <c r="A108" s="4385"/>
      <c r="B108" s="4381"/>
      <c r="C108" s="4387"/>
      <c r="D108" s="4387"/>
      <c r="E108" s="4381"/>
      <c r="F108" s="4385"/>
      <c r="G108" s="4381"/>
      <c r="H108" s="1345" t="s">
        <v>7</v>
      </c>
      <c r="I108" s="1345" t="s">
        <v>8</v>
      </c>
    </row>
    <row r="109" spans="1:9" ht="409.5">
      <c r="A109" s="1346">
        <v>1</v>
      </c>
      <c r="B109" s="1347" t="s">
        <v>4414</v>
      </c>
      <c r="C109" s="1347" t="s">
        <v>4418</v>
      </c>
      <c r="D109" s="1347" t="s">
        <v>4416</v>
      </c>
      <c r="E109" s="1348">
        <v>3500</v>
      </c>
      <c r="F109" s="1349">
        <v>15</v>
      </c>
      <c r="G109" s="1350">
        <f>F109*E109</f>
        <v>52500</v>
      </c>
      <c r="H109" s="1350">
        <f>6*E109</f>
        <v>21000</v>
      </c>
      <c r="I109" s="1359">
        <f>G109-H109</f>
        <v>31500</v>
      </c>
    </row>
    <row r="110" spans="1:9">
      <c r="A110" s="1364"/>
      <c r="B110" s="1365" t="s">
        <v>20</v>
      </c>
      <c r="C110" s="1365"/>
      <c r="D110" s="1365"/>
      <c r="E110" s="1366"/>
      <c r="F110" s="1367"/>
      <c r="G110" s="1368">
        <f>SUM(G109:G109)</f>
        <v>52500</v>
      </c>
      <c r="H110" s="1368">
        <f>SUM(H109:H109)</f>
        <v>21000</v>
      </c>
      <c r="I110" s="1368">
        <f>SUM(I109:I109)</f>
        <v>31500</v>
      </c>
    </row>
    <row r="111" spans="1:9">
      <c r="A111" s="1369"/>
      <c r="B111" s="1370"/>
      <c r="C111" s="1370"/>
      <c r="D111" s="1370"/>
      <c r="E111" s="1371"/>
      <c r="F111" s="1372"/>
      <c r="G111" s="1371"/>
      <c r="H111" s="1373"/>
      <c r="I111" s="1371"/>
    </row>
    <row r="112" spans="1:9">
      <c r="A112" s="1374"/>
      <c r="B112" s="1341"/>
      <c r="C112" s="1375"/>
      <c r="D112" s="1375"/>
      <c r="E112" s="1341"/>
      <c r="F112" s="1341"/>
      <c r="G112" s="1341"/>
      <c r="H112" s="1341"/>
      <c r="I112" s="1341"/>
    </row>
    <row r="113" spans="1:9">
      <c r="A113" s="1376" t="s">
        <v>329</v>
      </c>
      <c r="B113" s="1375"/>
      <c r="C113" s="1375"/>
      <c r="D113" s="1377"/>
      <c r="E113" s="1377" t="s">
        <v>448</v>
      </c>
      <c r="F113" s="1338"/>
      <c r="G113" s="1338"/>
      <c r="H113" s="1338"/>
      <c r="I113" s="1338"/>
    </row>
    <row r="114" spans="1:9">
      <c r="A114" s="1376"/>
      <c r="B114" s="1375"/>
      <c r="C114" s="1375"/>
      <c r="D114" s="1377"/>
      <c r="E114" s="1377"/>
      <c r="F114" s="1338"/>
      <c r="G114" s="1338"/>
      <c r="H114" s="1338"/>
      <c r="I114" s="1338"/>
    </row>
    <row r="115" spans="1:9">
      <c r="A115" s="1374" t="s">
        <v>330</v>
      </c>
      <c r="B115" s="1375"/>
      <c r="C115" s="1375"/>
      <c r="D115" s="1377"/>
      <c r="E115" s="1377" t="s">
        <v>369</v>
      </c>
      <c r="F115" s="1338"/>
      <c r="G115" s="1338"/>
      <c r="H115" s="1338"/>
      <c r="I115" s="1338"/>
    </row>
    <row r="116" spans="1:9">
      <c r="A116" s="1374"/>
      <c r="B116" s="1375"/>
      <c r="C116" s="1375"/>
      <c r="D116" s="1377"/>
      <c r="E116" s="1377"/>
      <c r="F116" s="1338"/>
      <c r="G116" s="1338"/>
      <c r="H116" s="1338"/>
      <c r="I116" s="1338"/>
    </row>
    <row r="117" spans="1:9">
      <c r="A117" s="1378" t="s">
        <v>547</v>
      </c>
      <c r="B117" s="1379"/>
      <c r="C117" s="1380"/>
      <c r="D117" s="1381"/>
      <c r="E117" s="1382" t="s">
        <v>374</v>
      </c>
      <c r="F117" s="1338"/>
      <c r="G117" s="1338"/>
      <c r="H117" s="1338"/>
      <c r="I117" s="1338"/>
    </row>
    <row r="118" spans="1:9">
      <c r="A118" s="1378" t="s">
        <v>548</v>
      </c>
      <c r="B118" s="1379"/>
      <c r="C118" s="1380"/>
      <c r="D118" s="1381"/>
      <c r="E118" s="1382"/>
      <c r="F118" s="1338"/>
      <c r="G118" s="1338"/>
      <c r="H118" s="1338"/>
      <c r="I118" s="1338"/>
    </row>
    <row r="119" spans="1:9">
      <c r="A119" s="1378"/>
      <c r="B119" s="1379"/>
      <c r="C119" s="1380"/>
      <c r="D119" s="1381"/>
      <c r="E119" s="1383"/>
      <c r="F119" s="1341"/>
      <c r="G119" s="1341"/>
      <c r="H119" s="1341"/>
      <c r="I119" s="1341"/>
    </row>
    <row r="120" spans="1:9">
      <c r="A120" s="1378" t="s">
        <v>375</v>
      </c>
      <c r="B120" s="1383"/>
      <c r="C120" s="1383"/>
      <c r="D120" s="1383"/>
      <c r="E120" s="1382" t="s">
        <v>376</v>
      </c>
    </row>
    <row r="123" spans="1:9">
      <c r="A123" s="1337" t="s">
        <v>4413</v>
      </c>
      <c r="B123" s="1338"/>
      <c r="C123" s="1338"/>
      <c r="D123" s="1338"/>
      <c r="E123" s="1338"/>
      <c r="F123" s="1338"/>
      <c r="G123" s="1338"/>
      <c r="H123" s="1338"/>
      <c r="I123" s="1338"/>
    </row>
    <row r="124" spans="1:9">
      <c r="A124" s="1340"/>
      <c r="B124" s="1341"/>
      <c r="C124" s="1341"/>
      <c r="D124" s="1341"/>
      <c r="E124" s="1341"/>
      <c r="F124" s="1341"/>
      <c r="G124" s="1341"/>
      <c r="H124" s="1341"/>
      <c r="I124" s="1341"/>
    </row>
    <row r="125" spans="1:9">
      <c r="A125" s="1342" t="s">
        <v>4422</v>
      </c>
      <c r="B125" s="1338"/>
      <c r="C125" s="1338"/>
      <c r="D125" s="1338"/>
      <c r="E125" s="1338"/>
      <c r="F125" s="1338"/>
      <c r="G125" s="1338"/>
      <c r="H125" s="1338"/>
      <c r="I125" s="1338"/>
    </row>
    <row r="126" spans="1:9">
      <c r="A126" s="1343" t="s">
        <v>990</v>
      </c>
      <c r="B126" s="1341"/>
      <c r="C126" s="1341"/>
      <c r="D126" s="1341"/>
      <c r="E126" s="1341"/>
      <c r="F126" s="1341"/>
      <c r="G126" s="1341"/>
      <c r="H126" s="1341"/>
      <c r="I126" s="1341"/>
    </row>
    <row r="127" spans="1:9">
      <c r="A127" s="1344"/>
      <c r="B127" s="1344"/>
      <c r="C127" s="1344"/>
      <c r="D127" s="1344"/>
      <c r="E127" s="1344"/>
      <c r="F127" s="1344"/>
      <c r="G127" s="1344"/>
      <c r="H127" s="1344"/>
      <c r="I127" s="1341"/>
    </row>
    <row r="128" spans="1:9">
      <c r="A128" s="4384" t="s">
        <v>34</v>
      </c>
      <c r="B128" s="4381" t="s">
        <v>478</v>
      </c>
      <c r="C128" s="4386" t="s">
        <v>3683</v>
      </c>
      <c r="D128" s="4386" t="s">
        <v>4394</v>
      </c>
      <c r="E128" s="4381" t="s">
        <v>999</v>
      </c>
      <c r="F128" s="4384" t="s">
        <v>4023</v>
      </c>
      <c r="G128" s="4381" t="s">
        <v>345</v>
      </c>
      <c r="H128" s="4382" t="s">
        <v>255</v>
      </c>
      <c r="I128" s="4383"/>
    </row>
    <row r="129" spans="1:9">
      <c r="A129" s="4385"/>
      <c r="B129" s="4381"/>
      <c r="C129" s="4387"/>
      <c r="D129" s="4387"/>
      <c r="E129" s="4381"/>
      <c r="F129" s="4385"/>
      <c r="G129" s="4381"/>
      <c r="H129" s="1345" t="s">
        <v>7</v>
      </c>
      <c r="I129" s="1345" t="s">
        <v>8</v>
      </c>
    </row>
    <row r="130" spans="1:9" ht="409.5">
      <c r="A130" s="1346">
        <v>1</v>
      </c>
      <c r="B130" s="1347" t="s">
        <v>4414</v>
      </c>
      <c r="C130" s="1347" t="s">
        <v>4418</v>
      </c>
      <c r="D130" s="1347" t="s">
        <v>4416</v>
      </c>
      <c r="E130" s="1348">
        <v>3500</v>
      </c>
      <c r="F130" s="1349">
        <v>50</v>
      </c>
      <c r="G130" s="1350">
        <f>F130*E130</f>
        <v>175000</v>
      </c>
      <c r="H130" s="1350">
        <f>6*E130</f>
        <v>21000</v>
      </c>
      <c r="I130" s="1359">
        <f>G130-H130</f>
        <v>154000</v>
      </c>
    </row>
    <row r="131" spans="1:9">
      <c r="A131" s="1364"/>
      <c r="B131" s="1365" t="s">
        <v>20</v>
      </c>
      <c r="C131" s="1365"/>
      <c r="D131" s="1365"/>
      <c r="E131" s="1366"/>
      <c r="F131" s="1367"/>
      <c r="G131" s="1368">
        <f>SUM(G130:G130)</f>
        <v>175000</v>
      </c>
      <c r="H131" s="1368">
        <f>SUM(H130:H130)</f>
        <v>21000</v>
      </c>
      <c r="I131" s="1368">
        <f>SUM(I130:I130)</f>
        <v>154000</v>
      </c>
    </row>
    <row r="132" spans="1:9">
      <c r="A132" s="1369"/>
      <c r="B132" s="1370"/>
      <c r="C132" s="1370"/>
      <c r="D132" s="1370"/>
      <c r="E132" s="1371"/>
      <c r="F132" s="1372"/>
      <c r="G132" s="1371"/>
      <c r="H132" s="1373"/>
      <c r="I132" s="1371"/>
    </row>
    <row r="133" spans="1:9">
      <c r="A133" s="1374"/>
      <c r="B133" s="1341"/>
      <c r="C133" s="1375"/>
      <c r="D133" s="1375"/>
      <c r="E133" s="1341"/>
      <c r="F133" s="1341"/>
      <c r="G133" s="1341"/>
      <c r="H133" s="1341"/>
      <c r="I133" s="1341"/>
    </row>
    <row r="134" spans="1:9">
      <c r="A134" s="1376" t="s">
        <v>329</v>
      </c>
      <c r="B134" s="1375"/>
      <c r="C134" s="1375"/>
      <c r="D134" s="1377"/>
      <c r="E134" s="1377" t="s">
        <v>448</v>
      </c>
      <c r="F134" s="1338"/>
      <c r="G134" s="1338"/>
      <c r="H134" s="1338"/>
      <c r="I134" s="1338"/>
    </row>
    <row r="135" spans="1:9">
      <c r="A135" s="1376"/>
      <c r="B135" s="1375"/>
      <c r="C135" s="1375"/>
      <c r="D135" s="1377"/>
      <c r="E135" s="1377"/>
      <c r="F135" s="1338"/>
      <c r="G135" s="1338"/>
      <c r="H135" s="1338"/>
      <c r="I135" s="1338"/>
    </row>
    <row r="136" spans="1:9">
      <c r="A136" s="1374" t="s">
        <v>330</v>
      </c>
      <c r="B136" s="1375"/>
      <c r="C136" s="1375"/>
      <c r="D136" s="1377"/>
      <c r="E136" s="1377" t="s">
        <v>369</v>
      </c>
      <c r="F136" s="1338"/>
      <c r="G136" s="1338"/>
      <c r="H136" s="1338"/>
      <c r="I136" s="1338"/>
    </row>
    <row r="137" spans="1:9">
      <c r="A137" s="1374"/>
      <c r="B137" s="1375"/>
      <c r="C137" s="1375"/>
      <c r="D137" s="1377"/>
      <c r="E137" s="1377"/>
      <c r="F137" s="1338"/>
      <c r="G137" s="1338"/>
      <c r="H137" s="1338"/>
      <c r="I137" s="1338"/>
    </row>
    <row r="138" spans="1:9">
      <c r="A138" s="1378" t="s">
        <v>547</v>
      </c>
      <c r="B138" s="1379"/>
      <c r="C138" s="1380"/>
      <c r="D138" s="1381"/>
      <c r="E138" s="1382" t="s">
        <v>374</v>
      </c>
      <c r="F138" s="1338"/>
      <c r="G138" s="1338"/>
      <c r="H138" s="1338"/>
      <c r="I138" s="1338"/>
    </row>
    <row r="139" spans="1:9">
      <c r="A139" s="1378" t="s">
        <v>548</v>
      </c>
      <c r="B139" s="1379"/>
      <c r="C139" s="1380"/>
      <c r="D139" s="1381"/>
      <c r="E139" s="1382"/>
      <c r="F139" s="1338"/>
      <c r="G139" s="1338"/>
      <c r="H139" s="1338"/>
      <c r="I139" s="1338"/>
    </row>
    <row r="140" spans="1:9">
      <c r="A140" s="1378"/>
      <c r="B140" s="1379"/>
      <c r="C140" s="1380"/>
      <c r="D140" s="1381"/>
      <c r="E140" s="1383"/>
      <c r="F140" s="1341"/>
      <c r="G140" s="1341"/>
      <c r="H140" s="1341"/>
      <c r="I140" s="1341"/>
    </row>
    <row r="141" spans="1:9">
      <c r="A141" s="1378" t="s">
        <v>375</v>
      </c>
      <c r="B141" s="1383"/>
      <c r="C141" s="1383"/>
      <c r="D141" s="1383"/>
      <c r="E141" s="1382" t="s">
        <v>376</v>
      </c>
    </row>
  </sheetData>
  <sheetProtection formatColumns="0" insertRows="0" deleteRows="0"/>
  <mergeCells count="48">
    <mergeCell ref="G7:G8"/>
    <mergeCell ref="H7:I7"/>
    <mergeCell ref="A7:A8"/>
    <mergeCell ref="B7:B8"/>
    <mergeCell ref="C7:C8"/>
    <mergeCell ref="D7:D8"/>
    <mergeCell ref="E7:E8"/>
    <mergeCell ref="F7:F8"/>
    <mergeCell ref="F47:F48"/>
    <mergeCell ref="G47:G48"/>
    <mergeCell ref="H47:I47"/>
    <mergeCell ref="A67:A68"/>
    <mergeCell ref="B67:B68"/>
    <mergeCell ref="C67:C68"/>
    <mergeCell ref="D67:D68"/>
    <mergeCell ref="E67:E68"/>
    <mergeCell ref="F67:F68"/>
    <mergeCell ref="G67:G68"/>
    <mergeCell ref="H67:I67"/>
    <mergeCell ref="A47:A48"/>
    <mergeCell ref="B47:B48"/>
    <mergeCell ref="C47:C48"/>
    <mergeCell ref="D47:D48"/>
    <mergeCell ref="E47:E48"/>
    <mergeCell ref="F87:F88"/>
    <mergeCell ref="G87:G88"/>
    <mergeCell ref="H87:I87"/>
    <mergeCell ref="A107:A108"/>
    <mergeCell ref="B107:B108"/>
    <mergeCell ref="C107:C108"/>
    <mergeCell ref="D107:D108"/>
    <mergeCell ref="E107:E108"/>
    <mergeCell ref="F107:F108"/>
    <mergeCell ref="G107:G108"/>
    <mergeCell ref="H107:I107"/>
    <mergeCell ref="A87:A88"/>
    <mergeCell ref="B87:B88"/>
    <mergeCell ref="C87:C88"/>
    <mergeCell ref="D87:D88"/>
    <mergeCell ref="E87:E88"/>
    <mergeCell ref="G128:G129"/>
    <mergeCell ref="H128:I128"/>
    <mergeCell ref="A128:A129"/>
    <mergeCell ref="B128:B129"/>
    <mergeCell ref="C128:C129"/>
    <mergeCell ref="D128:D129"/>
    <mergeCell ref="E128:E129"/>
    <mergeCell ref="F128:F129"/>
  </mergeCells>
  <pageMargins left="0.7" right="0.7" top="0.75" bottom="0.75" header="0.3" footer="0.3"/>
  <pageSetup paperSize="9" scale="82" fitToHeight="0" orientation="landscape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Лист47">
    <tabColor rgb="FF7030A0"/>
    <pageSetUpPr fitToPage="1"/>
  </sheetPr>
  <dimension ref="A1:N111"/>
  <sheetViews>
    <sheetView workbookViewId="0">
      <selection activeCell="F5" sqref="F5"/>
    </sheetView>
  </sheetViews>
  <sheetFormatPr defaultColWidth="9.140625" defaultRowHeight="15.75"/>
  <cols>
    <col min="1" max="1" width="5.140625" style="419" customWidth="1"/>
    <col min="2" max="2" width="22.28515625" style="419" customWidth="1"/>
    <col min="3" max="3" width="21.85546875" style="419" customWidth="1"/>
    <col min="4" max="4" width="18.28515625" style="419" customWidth="1"/>
    <col min="5" max="5" width="22.85546875" style="419" customWidth="1"/>
    <col min="6" max="6" width="21.28515625" style="419" customWidth="1"/>
    <col min="7" max="7" width="15.5703125" style="419" customWidth="1"/>
    <col min="8" max="8" width="14.42578125" style="419" customWidth="1"/>
    <col min="9" max="9" width="11.85546875" style="419" customWidth="1"/>
    <col min="10" max="10" width="13.7109375" style="419" customWidth="1"/>
    <col min="11" max="11" width="14.140625" style="419" customWidth="1"/>
    <col min="12" max="12" width="14" style="419" customWidth="1"/>
    <col min="13" max="13" width="15.7109375" style="419" customWidth="1"/>
    <col min="14" max="14" width="17.140625" style="419" customWidth="1"/>
    <col min="15" max="15" width="17.42578125" style="419" customWidth="1"/>
    <col min="16" max="16" width="24" style="419" customWidth="1"/>
    <col min="17" max="16384" width="9.140625" style="419"/>
  </cols>
  <sheetData>
    <row r="1" spans="1:14">
      <c r="N1" s="681" t="s">
        <v>4392</v>
      </c>
    </row>
    <row r="2" spans="1:14">
      <c r="A2" s="655" t="s">
        <v>4423</v>
      </c>
      <c r="B2" s="570"/>
    </row>
    <row r="3" spans="1:14">
      <c r="A3" s="420"/>
      <c r="B3" s="420"/>
    </row>
    <row r="4" spans="1:14">
      <c r="N4" s="747" t="s">
        <v>254</v>
      </c>
    </row>
    <row r="5" spans="1:14" ht="70.5" customHeight="1">
      <c r="A5" s="602" t="s">
        <v>2</v>
      </c>
      <c r="B5" s="602" t="s">
        <v>4424</v>
      </c>
      <c r="C5" s="602" t="s">
        <v>4425</v>
      </c>
      <c r="D5" s="602" t="s">
        <v>4426</v>
      </c>
      <c r="E5" s="602" t="s">
        <v>4427</v>
      </c>
      <c r="F5" s="602" t="s">
        <v>868</v>
      </c>
      <c r="G5" s="602" t="s">
        <v>4428</v>
      </c>
      <c r="H5" s="602" t="s">
        <v>4429</v>
      </c>
      <c r="I5" s="602" t="s">
        <v>4430</v>
      </c>
      <c r="J5" s="602" t="s">
        <v>4431</v>
      </c>
      <c r="K5" s="602" t="s">
        <v>4087</v>
      </c>
      <c r="L5" s="602" t="s">
        <v>922</v>
      </c>
      <c r="M5" s="602" t="s">
        <v>20</v>
      </c>
      <c r="N5" s="602" t="s">
        <v>4432</v>
      </c>
    </row>
    <row r="6" spans="1:14">
      <c r="A6" s="517"/>
      <c r="B6" s="516" t="s">
        <v>20</v>
      </c>
      <c r="C6" s="517"/>
      <c r="E6" s="517"/>
      <c r="F6" s="604"/>
      <c r="G6" s="604"/>
      <c r="H6" s="604"/>
      <c r="I6" s="604"/>
      <c r="J6" s="604"/>
      <c r="K6" s="604"/>
      <c r="L6" s="604"/>
      <c r="M6" s="604">
        <f>SUM(M7:M9)</f>
        <v>0</v>
      </c>
      <c r="N6" s="604"/>
    </row>
    <row r="7" spans="1:14">
      <c r="A7" s="696">
        <v>1</v>
      </c>
      <c r="B7" s="696"/>
      <c r="C7" s="697"/>
      <c r="D7" s="697"/>
      <c r="E7" s="697"/>
      <c r="F7" s="657"/>
      <c r="G7" s="696"/>
      <c r="H7" s="697"/>
      <c r="I7" s="657"/>
      <c r="J7" s="696" t="s">
        <v>4026</v>
      </c>
      <c r="K7" s="697"/>
      <c r="L7" s="697"/>
      <c r="M7" s="505">
        <f>K7*L7</f>
        <v>0</v>
      </c>
      <c r="N7" s="697"/>
    </row>
    <row r="8" spans="1:14">
      <c r="A8" s="696">
        <v>2</v>
      </c>
      <c r="B8" s="696"/>
      <c r="C8" s="697"/>
      <c r="D8" s="697"/>
      <c r="E8" s="697"/>
      <c r="F8" s="697"/>
      <c r="G8" s="697"/>
      <c r="H8" s="697"/>
      <c r="I8" s="697"/>
      <c r="J8" s="696" t="s">
        <v>1991</v>
      </c>
      <c r="K8" s="697"/>
      <c r="L8" s="697"/>
      <c r="M8" s="505">
        <f>K8*L8</f>
        <v>0</v>
      </c>
      <c r="N8" s="697"/>
    </row>
    <row r="9" spans="1:14">
      <c r="A9" s="696">
        <v>3</v>
      </c>
      <c r="B9" s="697" t="s">
        <v>526</v>
      </c>
      <c r="C9" s="697"/>
      <c r="D9" s="697"/>
      <c r="E9" s="697"/>
      <c r="F9" s="697"/>
      <c r="G9" s="697"/>
      <c r="H9" s="697"/>
      <c r="I9" s="697"/>
      <c r="J9" s="697"/>
      <c r="K9" s="697"/>
      <c r="L9" s="697"/>
      <c r="M9" s="505">
        <f>K9*L9</f>
        <v>0</v>
      </c>
      <c r="N9" s="697"/>
    </row>
    <row r="11" spans="1:14">
      <c r="A11" s="300" t="s">
        <v>329</v>
      </c>
      <c r="B11" s="300"/>
      <c r="E11" s="657"/>
      <c r="F11" s="657"/>
      <c r="G11" s="657"/>
      <c r="H11" s="657"/>
      <c r="I11" s="657"/>
      <c r="J11" s="657"/>
      <c r="K11" s="657"/>
      <c r="L11" s="657"/>
      <c r="M11" s="657"/>
      <c r="N11" s="657"/>
    </row>
    <row r="12" spans="1:14" ht="15.6" customHeight="1">
      <c r="A12" s="300"/>
      <c r="B12" s="300"/>
      <c r="E12" s="657"/>
      <c r="F12" s="657"/>
      <c r="G12" s="657"/>
      <c r="H12" s="657"/>
      <c r="I12" s="657"/>
      <c r="J12" s="657"/>
      <c r="K12" s="657"/>
      <c r="L12" s="657"/>
      <c r="M12" s="657"/>
      <c r="N12" s="657"/>
    </row>
    <row r="13" spans="1:14">
      <c r="A13" s="426" t="s">
        <v>330</v>
      </c>
      <c r="B13" s="426"/>
      <c r="E13" s="657"/>
      <c r="F13" s="657"/>
      <c r="G13" s="657"/>
      <c r="H13" s="657"/>
      <c r="I13" s="657"/>
      <c r="J13" s="657"/>
      <c r="K13" s="657"/>
      <c r="L13" s="657"/>
      <c r="M13" s="657"/>
      <c r="N13" s="657"/>
    </row>
    <row r="14" spans="1:14">
      <c r="A14" s="426" t="s">
        <v>332</v>
      </c>
      <c r="B14" s="426"/>
      <c r="E14" s="657"/>
      <c r="F14" s="657"/>
      <c r="G14" s="657"/>
      <c r="H14" s="657"/>
      <c r="I14" s="657"/>
      <c r="J14" s="657"/>
      <c r="K14" s="657"/>
      <c r="L14" s="657"/>
      <c r="M14" s="657"/>
      <c r="N14" s="657"/>
    </row>
    <row r="15" spans="1:14">
      <c r="A15" s="427"/>
      <c r="B15" s="427"/>
      <c r="E15" s="657"/>
      <c r="F15" s="657"/>
      <c r="G15" s="657"/>
      <c r="H15" s="657"/>
      <c r="I15" s="657"/>
      <c r="J15" s="657"/>
      <c r="K15" s="657"/>
      <c r="L15" s="657"/>
      <c r="M15" s="657"/>
      <c r="N15" s="657"/>
    </row>
    <row r="16" spans="1:14">
      <c r="A16" s="426" t="s">
        <v>333</v>
      </c>
      <c r="B16" s="426"/>
      <c r="E16" s="657"/>
      <c r="F16" s="657"/>
      <c r="G16" s="657"/>
      <c r="H16" s="657"/>
      <c r="I16" s="657"/>
      <c r="J16" s="657"/>
      <c r="K16" s="657"/>
      <c r="L16" s="657"/>
      <c r="M16" s="657"/>
      <c r="N16" s="657"/>
    </row>
    <row r="17" spans="1:9">
      <c r="A17" s="426"/>
      <c r="B17" s="426"/>
    </row>
    <row r="18" spans="1:9">
      <c r="A18" s="426"/>
      <c r="B18" s="426"/>
    </row>
    <row r="19" spans="1:9">
      <c r="A19" s="426"/>
      <c r="B19" s="426"/>
    </row>
    <row r="21" spans="1:9">
      <c r="A21" s="655" t="s">
        <v>4433</v>
      </c>
      <c r="B21" s="570"/>
    </row>
    <row r="22" spans="1:9">
      <c r="I22" s="570"/>
    </row>
    <row r="23" spans="1:9">
      <c r="F23" s="747" t="s">
        <v>254</v>
      </c>
      <c r="I23" s="420"/>
    </row>
    <row r="24" spans="1:9" ht="49.15" customHeight="1">
      <c r="A24" s="602" t="s">
        <v>2</v>
      </c>
      <c r="B24" s="602" t="s">
        <v>4424</v>
      </c>
      <c r="C24" s="602" t="s">
        <v>4425</v>
      </c>
      <c r="D24" s="602" t="s">
        <v>4434</v>
      </c>
      <c r="E24" s="602" t="s">
        <v>4435</v>
      </c>
      <c r="F24" s="602" t="s">
        <v>4432</v>
      </c>
    </row>
    <row r="25" spans="1:9">
      <c r="A25" s="517"/>
      <c r="B25" s="516" t="s">
        <v>20</v>
      </c>
      <c r="D25" s="604"/>
      <c r="E25" s="604">
        <f>SUM(E26:E28)</f>
        <v>0</v>
      </c>
      <c r="F25" s="604"/>
    </row>
    <row r="26" spans="1:9">
      <c r="A26" s="696">
        <v>1</v>
      </c>
      <c r="B26" s="696"/>
      <c r="C26" s="697"/>
      <c r="D26" s="697"/>
      <c r="E26" s="697"/>
      <c r="F26" s="697"/>
    </row>
    <row r="27" spans="1:9">
      <c r="A27" s="696">
        <v>2</v>
      </c>
      <c r="B27" s="696"/>
      <c r="C27" s="697"/>
      <c r="D27" s="697"/>
      <c r="E27" s="697"/>
      <c r="F27" s="697"/>
    </row>
    <row r="28" spans="1:9">
      <c r="A28" s="696">
        <v>3</v>
      </c>
      <c r="B28" s="697" t="s">
        <v>526</v>
      </c>
      <c r="C28" s="697"/>
      <c r="D28" s="697"/>
      <c r="E28" s="697"/>
      <c r="F28" s="697"/>
    </row>
    <row r="30" spans="1:9">
      <c r="A30" s="300" t="s">
        <v>329</v>
      </c>
      <c r="B30" s="300"/>
      <c r="D30" s="657"/>
      <c r="E30" s="657"/>
      <c r="F30" s="657"/>
    </row>
    <row r="31" spans="1:9">
      <c r="A31" s="300"/>
      <c r="B31" s="300"/>
      <c r="D31" s="657"/>
      <c r="E31" s="657"/>
      <c r="F31" s="657"/>
    </row>
    <row r="32" spans="1:9">
      <c r="A32" s="426" t="s">
        <v>330</v>
      </c>
      <c r="B32" s="426"/>
      <c r="D32" s="657"/>
      <c r="E32" s="657"/>
      <c r="F32" s="657"/>
    </row>
    <row r="33" spans="1:9">
      <c r="A33" s="426" t="s">
        <v>332</v>
      </c>
      <c r="B33" s="426"/>
      <c r="D33" s="657"/>
      <c r="E33" s="657"/>
      <c r="F33" s="657"/>
    </row>
    <row r="34" spans="1:9">
      <c r="A34" s="427"/>
      <c r="B34" s="427"/>
      <c r="D34" s="657"/>
      <c r="E34" s="657"/>
      <c r="F34" s="657"/>
    </row>
    <row r="35" spans="1:9">
      <c r="A35" s="426" t="s">
        <v>333</v>
      </c>
      <c r="B35" s="426"/>
      <c r="D35" s="657"/>
      <c r="E35" s="657"/>
      <c r="F35" s="657"/>
    </row>
    <row r="40" spans="1:9">
      <c r="A40" s="655" t="s">
        <v>4436</v>
      </c>
      <c r="B40" s="570"/>
    </row>
    <row r="41" spans="1:9">
      <c r="I41" s="570"/>
    </row>
    <row r="42" spans="1:9">
      <c r="G42" s="747" t="s">
        <v>254</v>
      </c>
      <c r="I42" s="570"/>
    </row>
    <row r="43" spans="1:9" ht="69" customHeight="1">
      <c r="A43" s="602" t="s">
        <v>2</v>
      </c>
      <c r="B43" s="602" t="s">
        <v>4424</v>
      </c>
      <c r="C43" s="602" t="s">
        <v>4425</v>
      </c>
      <c r="D43" s="602" t="s">
        <v>4437</v>
      </c>
      <c r="E43" s="602" t="s">
        <v>4438</v>
      </c>
      <c r="F43" s="602" t="s">
        <v>4439</v>
      </c>
      <c r="G43" s="602" t="s">
        <v>4432</v>
      </c>
    </row>
    <row r="44" spans="1:9">
      <c r="A44" s="517"/>
      <c r="B44" s="516" t="s">
        <v>20</v>
      </c>
      <c r="D44" s="604"/>
      <c r="E44" s="604"/>
      <c r="F44" s="604">
        <f>SUM(F45:F47)</f>
        <v>0</v>
      </c>
      <c r="G44" s="517"/>
    </row>
    <row r="45" spans="1:9">
      <c r="A45" s="696">
        <v>1</v>
      </c>
      <c r="B45" s="696"/>
      <c r="C45" s="697"/>
      <c r="D45" s="697"/>
      <c r="E45" s="697"/>
      <c r="F45" s="505">
        <f>D45*E45</f>
        <v>0</v>
      </c>
      <c r="G45" s="697"/>
    </row>
    <row r="46" spans="1:9">
      <c r="A46" s="696">
        <v>2</v>
      </c>
      <c r="B46" s="696"/>
      <c r="C46" s="697"/>
      <c r="D46" s="697"/>
      <c r="E46" s="697"/>
      <c r="F46" s="505">
        <f>D46*E46</f>
        <v>0</v>
      </c>
      <c r="G46" s="697"/>
    </row>
    <row r="47" spans="1:9">
      <c r="A47" s="696">
        <v>3</v>
      </c>
      <c r="B47" s="697" t="s">
        <v>526</v>
      </c>
      <c r="C47" s="697"/>
      <c r="D47" s="697"/>
      <c r="E47" s="697"/>
      <c r="F47" s="505">
        <f>D47*E47</f>
        <v>0</v>
      </c>
      <c r="G47" s="697"/>
    </row>
    <row r="49" spans="1:9">
      <c r="A49" s="300" t="s">
        <v>329</v>
      </c>
      <c r="B49" s="300"/>
      <c r="E49" s="657"/>
      <c r="F49" s="657"/>
      <c r="G49" s="657"/>
    </row>
    <row r="50" spans="1:9">
      <c r="A50" s="300"/>
      <c r="B50" s="300"/>
      <c r="E50" s="657"/>
      <c r="F50" s="657"/>
      <c r="G50" s="657"/>
    </row>
    <row r="51" spans="1:9">
      <c r="A51" s="426" t="s">
        <v>330</v>
      </c>
      <c r="B51" s="426"/>
      <c r="E51" s="657"/>
      <c r="F51" s="657"/>
      <c r="G51" s="657"/>
    </row>
    <row r="52" spans="1:9">
      <c r="A52" s="426" t="s">
        <v>332</v>
      </c>
      <c r="B52" s="426"/>
      <c r="E52" s="657"/>
      <c r="F52" s="657"/>
      <c r="G52" s="657"/>
    </row>
    <row r="53" spans="1:9">
      <c r="A53" s="427"/>
      <c r="B53" s="427"/>
      <c r="E53" s="657"/>
      <c r="F53" s="657"/>
      <c r="G53" s="657"/>
    </row>
    <row r="54" spans="1:9">
      <c r="A54" s="426" t="s">
        <v>333</v>
      </c>
      <c r="B54" s="426"/>
      <c r="E54" s="657"/>
      <c r="F54" s="657"/>
      <c r="G54" s="657"/>
    </row>
    <row r="59" spans="1:9">
      <c r="A59" s="655" t="s">
        <v>4440</v>
      </c>
      <c r="B59" s="570"/>
    </row>
    <row r="60" spans="1:9">
      <c r="I60" s="82"/>
    </row>
    <row r="61" spans="1:9">
      <c r="G61" s="747" t="s">
        <v>254</v>
      </c>
      <c r="I61" s="82"/>
    </row>
    <row r="62" spans="1:9" ht="72.599999999999994" customHeight="1">
      <c r="A62" s="602" t="s">
        <v>2</v>
      </c>
      <c r="B62" s="602" t="s">
        <v>4424</v>
      </c>
      <c r="C62" s="602" t="s">
        <v>4425</v>
      </c>
      <c r="D62" s="602" t="s">
        <v>4437</v>
      </c>
      <c r="E62" s="602" t="s">
        <v>4438</v>
      </c>
      <c r="F62" s="602" t="s">
        <v>4441</v>
      </c>
      <c r="G62" s="602" t="s">
        <v>4432</v>
      </c>
    </row>
    <row r="63" spans="1:9">
      <c r="A63" s="517"/>
      <c r="B63" s="516" t="s">
        <v>20</v>
      </c>
      <c r="D63" s="604"/>
      <c r="E63" s="604"/>
      <c r="F63" s="604">
        <f>SUM(F64:F66)</f>
        <v>0</v>
      </c>
      <c r="G63" s="517"/>
    </row>
    <row r="64" spans="1:9">
      <c r="A64" s="696">
        <v>1</v>
      </c>
      <c r="B64" s="696"/>
      <c r="C64" s="697"/>
      <c r="D64" s="697"/>
      <c r="E64" s="697"/>
      <c r="F64" s="505">
        <f>D64*E64</f>
        <v>0</v>
      </c>
      <c r="G64" s="697"/>
    </row>
    <row r="65" spans="1:7">
      <c r="A65" s="696">
        <v>2</v>
      </c>
      <c r="B65" s="696"/>
      <c r="C65" s="697"/>
      <c r="D65" s="697"/>
      <c r="E65" s="697"/>
      <c r="F65" s="505">
        <f>D65*E65</f>
        <v>0</v>
      </c>
      <c r="G65" s="697"/>
    </row>
    <row r="66" spans="1:7">
      <c r="A66" s="696">
        <v>3</v>
      </c>
      <c r="B66" s="697" t="s">
        <v>526</v>
      </c>
      <c r="C66" s="697"/>
      <c r="D66" s="697"/>
      <c r="E66" s="697"/>
      <c r="F66" s="505">
        <f>D66*E66</f>
        <v>0</v>
      </c>
      <c r="G66" s="697"/>
    </row>
    <row r="68" spans="1:7">
      <c r="A68" s="300" t="s">
        <v>329</v>
      </c>
      <c r="B68" s="300"/>
      <c r="E68" s="657"/>
      <c r="F68" s="657"/>
      <c r="G68" s="657"/>
    </row>
    <row r="69" spans="1:7">
      <c r="A69" s="300"/>
      <c r="B69" s="300"/>
      <c r="E69" s="657"/>
      <c r="F69" s="657"/>
      <c r="G69" s="657"/>
    </row>
    <row r="70" spans="1:7">
      <c r="A70" s="426" t="s">
        <v>330</v>
      </c>
      <c r="B70" s="426"/>
      <c r="E70" s="657"/>
      <c r="F70" s="657"/>
      <c r="G70" s="657"/>
    </row>
    <row r="71" spans="1:7">
      <c r="A71" s="426" t="s">
        <v>332</v>
      </c>
      <c r="B71" s="426"/>
      <c r="E71" s="657"/>
      <c r="F71" s="657"/>
      <c r="G71" s="657"/>
    </row>
    <row r="72" spans="1:7">
      <c r="A72" s="427"/>
      <c r="B72" s="427"/>
      <c r="E72" s="657"/>
      <c r="F72" s="657"/>
      <c r="G72" s="657"/>
    </row>
    <row r="73" spans="1:7">
      <c r="A73" s="426" t="s">
        <v>333</v>
      </c>
      <c r="B73" s="426"/>
      <c r="E73" s="657"/>
      <c r="F73" s="657"/>
      <c r="G73" s="657"/>
    </row>
    <row r="79" spans="1:7">
      <c r="A79" s="655" t="s">
        <v>4442</v>
      </c>
      <c r="B79" s="570"/>
    </row>
    <row r="81" spans="1:9">
      <c r="H81" s="747" t="s">
        <v>254</v>
      </c>
    </row>
    <row r="82" spans="1:9" ht="43.9" customHeight="1">
      <c r="A82" s="602" t="s">
        <v>2</v>
      </c>
      <c r="B82" s="602" t="s">
        <v>4424</v>
      </c>
      <c r="C82" s="602" t="s">
        <v>4425</v>
      </c>
      <c r="D82" s="602" t="s">
        <v>4443</v>
      </c>
      <c r="E82" s="602" t="s">
        <v>4087</v>
      </c>
      <c r="F82" s="602" t="s">
        <v>922</v>
      </c>
      <c r="G82" s="602" t="s">
        <v>20</v>
      </c>
      <c r="H82" s="602" t="s">
        <v>4432</v>
      </c>
    </row>
    <row r="83" spans="1:9">
      <c r="A83" s="517"/>
      <c r="B83" s="516" t="s">
        <v>20</v>
      </c>
      <c r="E83" s="604"/>
      <c r="F83" s="604">
        <f>SUM(F84:F86)</f>
        <v>0</v>
      </c>
      <c r="G83" s="604">
        <f>SUM(G84:G86)</f>
        <v>0</v>
      </c>
      <c r="H83" s="517"/>
    </row>
    <row r="84" spans="1:9">
      <c r="A84" s="696">
        <v>1</v>
      </c>
      <c r="B84" s="696"/>
      <c r="C84" s="697"/>
      <c r="D84" s="697"/>
      <c r="E84" s="697"/>
      <c r="F84" s="697"/>
      <c r="G84" s="505">
        <f>E84*F84</f>
        <v>0</v>
      </c>
      <c r="H84" s="697"/>
    </row>
    <row r="85" spans="1:9">
      <c r="A85" s="696">
        <v>2</v>
      </c>
      <c r="B85" s="696"/>
      <c r="C85" s="697"/>
      <c r="D85" s="697"/>
      <c r="E85" s="697"/>
      <c r="F85" s="697"/>
      <c r="G85" s="505">
        <f>E85*F85</f>
        <v>0</v>
      </c>
      <c r="H85" s="697"/>
    </row>
    <row r="86" spans="1:9">
      <c r="A86" s="696">
        <v>3</v>
      </c>
      <c r="B86" s="697" t="s">
        <v>526</v>
      </c>
      <c r="C86" s="697"/>
      <c r="D86" s="697"/>
      <c r="E86" s="697"/>
      <c r="F86" s="697"/>
      <c r="G86" s="505">
        <f>E86*F86</f>
        <v>0</v>
      </c>
      <c r="H86" s="697"/>
    </row>
    <row r="88" spans="1:9">
      <c r="A88" s="300" t="s">
        <v>329</v>
      </c>
      <c r="B88" s="300"/>
      <c r="E88" s="657"/>
      <c r="F88" s="657"/>
      <c r="G88" s="657"/>
      <c r="H88" s="657"/>
    </row>
    <row r="89" spans="1:9">
      <c r="A89" s="300"/>
      <c r="B89" s="300"/>
      <c r="E89" s="657"/>
      <c r="F89" s="657"/>
      <c r="G89" s="657"/>
      <c r="H89" s="657"/>
    </row>
    <row r="90" spans="1:9">
      <c r="A90" s="426" t="s">
        <v>330</v>
      </c>
      <c r="B90" s="426"/>
      <c r="E90" s="657"/>
      <c r="F90" s="657"/>
      <c r="G90" s="657"/>
      <c r="H90" s="657"/>
    </row>
    <row r="91" spans="1:9">
      <c r="A91" s="426" t="s">
        <v>332</v>
      </c>
      <c r="B91" s="426"/>
      <c r="E91" s="657"/>
      <c r="F91" s="657"/>
      <c r="G91" s="657"/>
      <c r="H91" s="657"/>
    </row>
    <row r="92" spans="1:9">
      <c r="A92" s="427"/>
      <c r="B92" s="427"/>
      <c r="E92" s="657"/>
      <c r="F92" s="657"/>
      <c r="G92" s="657"/>
      <c r="H92" s="657"/>
    </row>
    <row r="93" spans="1:9">
      <c r="A93" s="426" t="s">
        <v>333</v>
      </c>
      <c r="B93" s="426"/>
      <c r="E93" s="657"/>
      <c r="F93" s="657"/>
      <c r="G93" s="657"/>
      <c r="H93" s="657"/>
    </row>
    <row r="94" spans="1:9">
      <c r="B94" s="570"/>
    </row>
    <row r="95" spans="1:9">
      <c r="B95" s="570"/>
    </row>
    <row r="96" spans="1:9">
      <c r="I96" s="82"/>
    </row>
    <row r="97" spans="1:9">
      <c r="A97" s="655" t="s">
        <v>4444</v>
      </c>
      <c r="B97" s="82"/>
      <c r="I97" s="82"/>
    </row>
    <row r="98" spans="1:9">
      <c r="A98" s="168"/>
      <c r="B98" s="168"/>
      <c r="I98" s="82"/>
    </row>
    <row r="99" spans="1:9">
      <c r="G99" s="747" t="s">
        <v>254</v>
      </c>
      <c r="I99" s="82"/>
    </row>
    <row r="100" spans="1:9" ht="64.150000000000006" customHeight="1">
      <c r="A100" s="602" t="s">
        <v>2</v>
      </c>
      <c r="B100" s="602" t="s">
        <v>4424</v>
      </c>
      <c r="C100" s="602" t="s">
        <v>4425</v>
      </c>
      <c r="D100" s="602" t="s">
        <v>4087</v>
      </c>
      <c r="E100" s="602" t="s">
        <v>922</v>
      </c>
      <c r="F100" s="602" t="s">
        <v>20</v>
      </c>
      <c r="G100" s="602" t="s">
        <v>4432</v>
      </c>
    </row>
    <row r="101" spans="1:9">
      <c r="A101" s="517"/>
      <c r="B101" s="516" t="s">
        <v>20</v>
      </c>
      <c r="C101" s="517"/>
      <c r="D101" s="517"/>
      <c r="E101" s="517"/>
      <c r="F101" s="604">
        <f>SUM(F102:F104)</f>
        <v>0</v>
      </c>
      <c r="G101" s="517"/>
    </row>
    <row r="102" spans="1:9">
      <c r="A102" s="696">
        <v>1</v>
      </c>
      <c r="B102" s="696"/>
      <c r="C102" s="697"/>
      <c r="D102" s="697"/>
      <c r="E102" s="697"/>
      <c r="F102" s="505">
        <f>D102*E102</f>
        <v>0</v>
      </c>
      <c r="G102" s="697"/>
    </row>
    <row r="103" spans="1:9">
      <c r="A103" s="696">
        <v>2</v>
      </c>
      <c r="B103" s="696"/>
      <c r="C103" s="697"/>
      <c r="D103" s="697"/>
      <c r="E103" s="697"/>
      <c r="F103" s="505">
        <f>D103*E103</f>
        <v>0</v>
      </c>
      <c r="G103" s="697"/>
    </row>
    <row r="104" spans="1:9">
      <c r="A104" s="696">
        <v>3</v>
      </c>
      <c r="B104" s="697" t="s">
        <v>526</v>
      </c>
      <c r="C104" s="697"/>
      <c r="D104" s="697"/>
      <c r="E104" s="697"/>
      <c r="F104" s="505">
        <f>D104*E104</f>
        <v>0</v>
      </c>
      <c r="G104" s="697"/>
    </row>
    <row r="106" spans="1:9">
      <c r="A106" s="300" t="s">
        <v>329</v>
      </c>
      <c r="B106" s="300"/>
      <c r="E106" s="657"/>
      <c r="F106" s="657"/>
      <c r="G106" s="657"/>
    </row>
    <row r="107" spans="1:9">
      <c r="A107" s="300"/>
      <c r="B107" s="300"/>
      <c r="E107" s="657"/>
      <c r="F107" s="657"/>
      <c r="G107" s="657"/>
    </row>
    <row r="108" spans="1:9">
      <c r="A108" s="426" t="s">
        <v>330</v>
      </c>
      <c r="B108" s="426"/>
      <c r="E108" s="657"/>
      <c r="F108" s="657"/>
      <c r="G108" s="657"/>
    </row>
    <row r="109" spans="1:9">
      <c r="A109" s="426" t="s">
        <v>332</v>
      </c>
      <c r="B109" s="426"/>
      <c r="E109" s="657"/>
      <c r="F109" s="657"/>
      <c r="G109" s="657"/>
    </row>
    <row r="110" spans="1:9">
      <c r="A110" s="427"/>
      <c r="B110" s="427"/>
      <c r="E110" s="657"/>
      <c r="F110" s="657"/>
      <c r="G110" s="657"/>
    </row>
    <row r="111" spans="1:9">
      <c r="A111" s="426" t="s">
        <v>333</v>
      </c>
      <c r="B111" s="426"/>
      <c r="E111" s="657"/>
      <c r="F111" s="657"/>
      <c r="G111" s="657"/>
    </row>
  </sheetData>
  <sheetProtection sheet="1" formatColumns="0" insertRows="0" deleteRows="0"/>
  <pageMargins left="0.7" right="0.7" top="0.75" bottom="0.75" header="0.3" footer="0.3"/>
  <pageSetup paperSize="9" scale="57" fitToHeight="0" orientation="landscape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tabColor rgb="FF92D050"/>
    <outlinePr summaryBelow="0" summaryRight="0"/>
  </sheetPr>
  <dimension ref="A1:N147"/>
  <sheetViews>
    <sheetView workbookViewId="0">
      <selection sqref="A1:K17"/>
    </sheetView>
  </sheetViews>
  <sheetFormatPr defaultColWidth="8.85546875" defaultRowHeight="15.75" outlineLevelRow="1"/>
  <cols>
    <col min="1" max="1" width="4.28515625" style="168" customWidth="1"/>
    <col min="2" max="2" width="29" style="168" customWidth="1"/>
    <col min="3" max="3" width="13.28515625" style="168" hidden="1" customWidth="1"/>
    <col min="4" max="4" width="12.140625" style="168" hidden="1" customWidth="1"/>
    <col min="5" max="7" width="12.85546875" style="168" hidden="1" customWidth="1"/>
    <col min="8" max="9" width="17.140625" style="168" customWidth="1"/>
    <col min="10" max="10" width="17.7109375" style="169" customWidth="1"/>
    <col min="11" max="11" width="11.28515625" style="168" bestFit="1" customWidth="1"/>
    <col min="12" max="16384" width="8.85546875" style="168"/>
  </cols>
  <sheetData>
    <row r="1" spans="1:14">
      <c r="I1" s="169" t="s">
        <v>267</v>
      </c>
      <c r="J1" s="671" t="s">
        <v>4445</v>
      </c>
    </row>
    <row r="2" spans="1:14">
      <c r="A2" s="404" t="s">
        <v>4446</v>
      </c>
    </row>
    <row r="3" spans="1:14">
      <c r="A3" s="45"/>
      <c r="B3" s="404"/>
      <c r="J3" s="2463" t="s">
        <v>4052</v>
      </c>
      <c r="K3" s="2464">
        <v>1982</v>
      </c>
    </row>
    <row r="4" spans="1:14" s="255" customFormat="1" ht="14.25" customHeight="1">
      <c r="A4" s="82" t="s">
        <v>4447</v>
      </c>
      <c r="B4" s="221"/>
      <c r="C4" s="221"/>
      <c r="D4" s="221"/>
      <c r="E4" s="221"/>
      <c r="F4" s="221"/>
      <c r="G4" s="221"/>
      <c r="H4" s="221"/>
      <c r="K4" s="221"/>
      <c r="L4" s="221"/>
      <c r="M4" s="221"/>
      <c r="N4" s="221"/>
    </row>
    <row r="5" spans="1:14" ht="13.15" customHeight="1">
      <c r="A5" s="168" t="s">
        <v>990</v>
      </c>
      <c r="B5" s="386"/>
      <c r="C5" s="386"/>
      <c r="D5" s="386"/>
      <c r="E5" s="386"/>
      <c r="F5" s="386"/>
      <c r="G5" s="386"/>
      <c r="H5" s="386"/>
    </row>
    <row r="6" spans="1:14" ht="13.15" customHeight="1">
      <c r="A6" s="380"/>
      <c r="B6" s="380"/>
      <c r="C6" s="380"/>
      <c r="D6" s="380"/>
      <c r="E6" s="380"/>
      <c r="F6" s="380"/>
      <c r="G6" s="380"/>
      <c r="H6" s="380"/>
      <c r="J6" s="307" t="s">
        <v>254</v>
      </c>
    </row>
    <row r="7" spans="1:14" ht="51" customHeight="1">
      <c r="A7" s="381" t="s">
        <v>2</v>
      </c>
      <c r="B7" s="381" t="s">
        <v>478</v>
      </c>
      <c r="C7" s="381" t="s">
        <v>4054</v>
      </c>
      <c r="D7" s="381" t="s">
        <v>4055</v>
      </c>
      <c r="E7" s="381" t="s">
        <v>4056</v>
      </c>
      <c r="F7" s="405" t="s">
        <v>4057</v>
      </c>
      <c r="G7" s="381" t="s">
        <v>4058</v>
      </c>
      <c r="H7" s="381" t="s">
        <v>320</v>
      </c>
      <c r="I7" s="381" t="s">
        <v>7</v>
      </c>
      <c r="J7" s="381" t="s">
        <v>8</v>
      </c>
    </row>
    <row r="8" spans="1:14" s="186" customFormat="1" outlineLevel="1">
      <c r="A8" s="258" t="s">
        <v>563</v>
      </c>
      <c r="B8" s="259" t="s">
        <v>214</v>
      </c>
      <c r="C8" s="257"/>
      <c r="D8" s="753">
        <f>C8*$K$3</f>
        <v>0</v>
      </c>
      <c r="E8" s="259"/>
      <c r="F8" s="259"/>
      <c r="G8" s="259"/>
      <c r="H8" s="1907">
        <f>I8</f>
        <v>8902543</v>
      </c>
      <c r="I8" s="1908">
        <v>8902543</v>
      </c>
      <c r="J8" s="624"/>
    </row>
    <row r="9" spans="1:14" s="186" customFormat="1">
      <c r="A9" s="381"/>
      <c r="B9" s="382" t="s">
        <v>3445</v>
      </c>
      <c r="C9" s="381"/>
      <c r="D9" s="381"/>
      <c r="E9" s="381"/>
      <c r="F9" s="381"/>
      <c r="G9" s="381"/>
      <c r="H9" s="1909">
        <f>SUM(H8:H8)</f>
        <v>8902543</v>
      </c>
      <c r="I9" s="1910">
        <f>SUM(I8:I8)</f>
        <v>8902543</v>
      </c>
      <c r="J9" s="625">
        <f>SUM(J8:J8)</f>
        <v>0</v>
      </c>
    </row>
    <row r="10" spans="1:14">
      <c r="H10" s="226"/>
      <c r="I10" s="169"/>
      <c r="J10" s="168"/>
    </row>
    <row r="11" spans="1:14">
      <c r="A11" s="300"/>
      <c r="B11" s="514"/>
      <c r="C11" s="514"/>
      <c r="D11" s="1075"/>
      <c r="E11" s="1075"/>
      <c r="F11" s="293"/>
      <c r="I11" s="1075"/>
      <c r="K11" s="385"/>
    </row>
    <row r="12" spans="1:14" s="2162" customFormat="1">
      <c r="A12" s="1970" t="s">
        <v>368</v>
      </c>
      <c r="C12" s="1963"/>
      <c r="D12" s="2001"/>
      <c r="E12" s="2151"/>
      <c r="F12" s="1925"/>
      <c r="G12" s="1968"/>
    </row>
    <row r="13" spans="1:14" s="2162" customFormat="1">
      <c r="A13" s="1970" t="s">
        <v>370</v>
      </c>
      <c r="C13" s="1963"/>
      <c r="D13" s="2001"/>
      <c r="E13" s="2151"/>
      <c r="F13" s="1925"/>
      <c r="J13" s="1968" t="s">
        <v>371</v>
      </c>
    </row>
    <row r="14" spans="1:14" s="2162" customFormat="1">
      <c r="A14" s="1970"/>
      <c r="C14" s="1963"/>
      <c r="D14" s="2001"/>
      <c r="E14" s="2001"/>
      <c r="F14" s="1925"/>
      <c r="J14" s="2152"/>
    </row>
    <row r="15" spans="1:14" s="2162" customFormat="1">
      <c r="A15" s="1970" t="s">
        <v>372</v>
      </c>
      <c r="C15" s="1963"/>
      <c r="D15" s="2001"/>
      <c r="E15" s="2001"/>
      <c r="F15" s="1925"/>
      <c r="J15" s="1963" t="s">
        <v>373</v>
      </c>
    </row>
    <row r="16" spans="1:14" s="2162" customFormat="1">
      <c r="A16" s="1970"/>
      <c r="C16" s="1963"/>
      <c r="D16" s="2001"/>
      <c r="E16" s="2001"/>
      <c r="F16" s="1925"/>
      <c r="J16" s="2153"/>
    </row>
    <row r="17" spans="1:14" s="2162" customFormat="1">
      <c r="A17" s="1970" t="s">
        <v>375</v>
      </c>
      <c r="C17" s="2153"/>
      <c r="D17" s="2154"/>
      <c r="E17" s="2154"/>
      <c r="F17" s="1925"/>
      <c r="J17" s="1963" t="s">
        <v>376</v>
      </c>
    </row>
    <row r="18" spans="1:14">
      <c r="A18"/>
      <c r="B18"/>
      <c r="C18"/>
      <c r="D18"/>
      <c r="E18" s="580"/>
      <c r="F18"/>
      <c r="G18" s="380"/>
      <c r="H18" s="383"/>
      <c r="I18" s="384"/>
      <c r="J18" s="384"/>
    </row>
    <row r="19" spans="1:14">
      <c r="I19" s="169" t="s">
        <v>267</v>
      </c>
      <c r="J19" s="671" t="s">
        <v>4445</v>
      </c>
    </row>
    <row r="20" spans="1:14">
      <c r="A20" s="404" t="s">
        <v>4448</v>
      </c>
    </row>
    <row r="21" spans="1:14">
      <c r="A21" s="45"/>
      <c r="B21" s="404"/>
      <c r="J21" s="2463" t="s">
        <v>4052</v>
      </c>
      <c r="K21" s="2464">
        <v>1982</v>
      </c>
    </row>
    <row r="22" spans="1:14" s="255" customFormat="1" ht="14.25" customHeight="1">
      <c r="A22" s="82" t="s">
        <v>4449</v>
      </c>
      <c r="B22" s="221"/>
      <c r="C22" s="221"/>
      <c r="D22" s="221"/>
      <c r="E22" s="221"/>
      <c r="F22" s="221"/>
      <c r="G22" s="221"/>
      <c r="H22" s="221"/>
      <c r="K22" s="221"/>
      <c r="L22" s="221"/>
      <c r="M22" s="221"/>
      <c r="N22" s="221"/>
    </row>
    <row r="23" spans="1:14" ht="13.15" customHeight="1">
      <c r="A23" s="168" t="s">
        <v>990</v>
      </c>
      <c r="B23" s="386"/>
      <c r="C23" s="386"/>
      <c r="D23" s="386"/>
      <c r="E23" s="386"/>
      <c r="F23" s="386"/>
      <c r="G23" s="386"/>
      <c r="H23" s="386"/>
    </row>
    <row r="24" spans="1:14" ht="13.15" customHeight="1">
      <c r="A24" s="380"/>
      <c r="B24" s="380"/>
      <c r="C24" s="380"/>
      <c r="D24" s="380"/>
      <c r="E24" s="380"/>
      <c r="F24" s="380"/>
      <c r="G24" s="380"/>
      <c r="H24" s="380"/>
      <c r="J24" s="307" t="s">
        <v>254</v>
      </c>
    </row>
    <row r="25" spans="1:14" ht="51" customHeight="1">
      <c r="A25" s="381" t="s">
        <v>2</v>
      </c>
      <c r="B25" s="381" t="s">
        <v>478</v>
      </c>
      <c r="C25" s="381" t="s">
        <v>4054</v>
      </c>
      <c r="D25" s="381" t="s">
        <v>4055</v>
      </c>
      <c r="E25" s="381" t="s">
        <v>4056</v>
      </c>
      <c r="F25" s="405" t="s">
        <v>4057</v>
      </c>
      <c r="G25" s="381" t="s">
        <v>4058</v>
      </c>
      <c r="H25" s="381" t="s">
        <v>320</v>
      </c>
      <c r="I25" s="381" t="s">
        <v>7</v>
      </c>
      <c r="J25" s="381" t="s">
        <v>8</v>
      </c>
    </row>
    <row r="26" spans="1:14" s="186" customFormat="1" outlineLevel="1">
      <c r="A26" s="258" t="s">
        <v>563</v>
      </c>
      <c r="B26" s="259" t="s">
        <v>214</v>
      </c>
      <c r="C26" s="257"/>
      <c r="D26" s="753">
        <f>C26*$K$3</f>
        <v>0</v>
      </c>
      <c r="E26" s="259"/>
      <c r="F26" s="259"/>
      <c r="G26" s="259"/>
      <c r="H26" s="1907" t="e">
        <f>ROUND(#REF!,0)</f>
        <v>#REF!</v>
      </c>
      <c r="I26" s="1908" t="e">
        <f>H26</f>
        <v>#REF!</v>
      </c>
      <c r="J26" s="624"/>
    </row>
    <row r="27" spans="1:14" s="186" customFormat="1">
      <c r="A27" s="381"/>
      <c r="B27" s="382" t="s">
        <v>3445</v>
      </c>
      <c r="C27" s="381"/>
      <c r="D27" s="381"/>
      <c r="E27" s="381"/>
      <c r="F27" s="381"/>
      <c r="G27" s="381"/>
      <c r="H27" s="1909" t="e">
        <f>SUM(H26:H26)</f>
        <v>#REF!</v>
      </c>
      <c r="I27" s="1910" t="e">
        <f>SUM(I26:I26)</f>
        <v>#REF!</v>
      </c>
      <c r="J27" s="625">
        <f>SUM(J26:J26)</f>
        <v>0</v>
      </c>
    </row>
    <row r="28" spans="1:14">
      <c r="H28" s="226"/>
      <c r="I28" s="169"/>
      <c r="J28" s="168"/>
    </row>
    <row r="29" spans="1:14">
      <c r="A29" s="300"/>
      <c r="B29" s="514"/>
      <c r="C29" s="514"/>
      <c r="D29" s="1075"/>
      <c r="E29" s="1075"/>
      <c r="F29" s="293"/>
      <c r="I29" s="1075"/>
      <c r="K29" s="385"/>
    </row>
    <row r="30" spans="1:14" s="2162" customFormat="1">
      <c r="A30" s="1970" t="s">
        <v>368</v>
      </c>
      <c r="C30" s="1963"/>
      <c r="D30" s="2001"/>
      <c r="E30" s="2151"/>
      <c r="F30" s="1925"/>
      <c r="G30" s="1968"/>
    </row>
    <row r="31" spans="1:14" s="2162" customFormat="1">
      <c r="A31" s="1970" t="s">
        <v>370</v>
      </c>
      <c r="C31" s="1963"/>
      <c r="D31" s="2001"/>
      <c r="E31" s="2151"/>
      <c r="F31" s="1925"/>
      <c r="J31" s="1968" t="s">
        <v>371</v>
      </c>
    </row>
    <row r="32" spans="1:14" s="2162" customFormat="1">
      <c r="A32" s="1970"/>
      <c r="C32" s="1963"/>
      <c r="D32" s="2001"/>
      <c r="E32" s="2001"/>
      <c r="F32" s="1925"/>
      <c r="J32" s="2152"/>
    </row>
    <row r="33" spans="1:14" s="2162" customFormat="1">
      <c r="A33" s="1970" t="s">
        <v>372</v>
      </c>
      <c r="C33" s="1963"/>
      <c r="D33" s="2001"/>
      <c r="E33" s="2001"/>
      <c r="F33" s="1925"/>
      <c r="J33" s="1963" t="s">
        <v>373</v>
      </c>
    </row>
    <row r="34" spans="1:14" s="2162" customFormat="1">
      <c r="A34" s="1970"/>
      <c r="C34" s="1963"/>
      <c r="D34" s="2001"/>
      <c r="E34" s="2001"/>
      <c r="F34" s="1925"/>
      <c r="J34" s="2153"/>
    </row>
    <row r="35" spans="1:14" s="2162" customFormat="1">
      <c r="A35" s="1970" t="s">
        <v>375</v>
      </c>
      <c r="C35" s="2153"/>
      <c r="D35" s="2154"/>
      <c r="E35" s="2154"/>
      <c r="F35" s="1925"/>
      <c r="J35" s="1963" t="s">
        <v>376</v>
      </c>
    </row>
    <row r="37" spans="1:14">
      <c r="I37" s="169" t="s">
        <v>267</v>
      </c>
      <c r="J37" s="671" t="s">
        <v>4445</v>
      </c>
    </row>
    <row r="38" spans="1:14">
      <c r="A38" s="404" t="s">
        <v>4448</v>
      </c>
    </row>
    <row r="39" spans="1:14">
      <c r="A39" s="45"/>
      <c r="B39" s="404"/>
      <c r="J39" s="2463" t="s">
        <v>4052</v>
      </c>
      <c r="K39" s="2464">
        <v>1982</v>
      </c>
    </row>
    <row r="40" spans="1:14" s="255" customFormat="1" ht="14.25" customHeight="1">
      <c r="A40" s="82" t="s">
        <v>4450</v>
      </c>
      <c r="B40" s="221"/>
      <c r="C40" s="221"/>
      <c r="D40" s="221"/>
      <c r="E40" s="221"/>
      <c r="F40" s="221"/>
      <c r="G40" s="221"/>
      <c r="H40" s="221"/>
      <c r="K40" s="221"/>
      <c r="L40" s="221"/>
      <c r="M40" s="221"/>
      <c r="N40" s="221"/>
    </row>
    <row r="41" spans="1:14" ht="13.15" customHeight="1">
      <c r="A41" s="168" t="s">
        <v>990</v>
      </c>
      <c r="B41" s="386"/>
      <c r="C41" s="386"/>
      <c r="D41" s="386"/>
      <c r="E41" s="386"/>
      <c r="F41" s="386"/>
      <c r="G41" s="386"/>
      <c r="H41" s="386"/>
    </row>
    <row r="42" spans="1:14" ht="13.15" customHeight="1">
      <c r="A42" s="380"/>
      <c r="B42" s="380"/>
      <c r="C42" s="380"/>
      <c r="D42" s="380"/>
      <c r="E42" s="380"/>
      <c r="F42" s="380"/>
      <c r="G42" s="380"/>
      <c r="H42" s="380"/>
      <c r="J42" s="307" t="s">
        <v>254</v>
      </c>
    </row>
    <row r="43" spans="1:14" ht="51" customHeight="1">
      <c r="A43" s="381" t="s">
        <v>2</v>
      </c>
      <c r="B43" s="381" t="s">
        <v>478</v>
      </c>
      <c r="C43" s="381" t="s">
        <v>4054</v>
      </c>
      <c r="D43" s="381" t="s">
        <v>4055</v>
      </c>
      <c r="E43" s="381" t="s">
        <v>4056</v>
      </c>
      <c r="F43" s="405" t="s">
        <v>4057</v>
      </c>
      <c r="G43" s="381" t="s">
        <v>4058</v>
      </c>
      <c r="H43" s="381" t="s">
        <v>320</v>
      </c>
      <c r="I43" s="381" t="s">
        <v>7</v>
      </c>
      <c r="J43" s="381" t="s">
        <v>8</v>
      </c>
    </row>
    <row r="44" spans="1:14" s="186" customFormat="1" outlineLevel="1">
      <c r="A44" s="258" t="s">
        <v>563</v>
      </c>
      <c r="B44" s="259" t="s">
        <v>214</v>
      </c>
      <c r="C44" s="257"/>
      <c r="D44" s="753">
        <f>C44*$K$3</f>
        <v>0</v>
      </c>
      <c r="E44" s="259"/>
      <c r="F44" s="259"/>
      <c r="G44" s="259"/>
      <c r="H44" s="1907" t="e">
        <f>ROUND(#REF!,0)</f>
        <v>#REF!</v>
      </c>
      <c r="I44" s="1908" t="e">
        <f>H44</f>
        <v>#REF!</v>
      </c>
      <c r="J44" s="624"/>
    </row>
    <row r="45" spans="1:14" s="186" customFormat="1">
      <c r="A45" s="381"/>
      <c r="B45" s="382" t="s">
        <v>3445</v>
      </c>
      <c r="C45" s="381"/>
      <c r="D45" s="381"/>
      <c r="E45" s="381"/>
      <c r="F45" s="381"/>
      <c r="G45" s="381"/>
      <c r="H45" s="1909" t="e">
        <f>SUM(H44:H44)</f>
        <v>#REF!</v>
      </c>
      <c r="I45" s="1910" t="e">
        <f>SUM(I44:I44)</f>
        <v>#REF!</v>
      </c>
      <c r="J45" s="625">
        <f>SUM(J44:J44)</f>
        <v>0</v>
      </c>
    </row>
    <row r="46" spans="1:14">
      <c r="H46" s="226"/>
      <c r="I46" s="169"/>
      <c r="J46" s="168"/>
    </row>
    <row r="47" spans="1:14">
      <c r="A47" s="300"/>
      <c r="B47" s="514"/>
      <c r="C47" s="514"/>
      <c r="D47" s="1075"/>
      <c r="E47" s="1075"/>
      <c r="F47" s="293"/>
      <c r="I47" s="1075"/>
      <c r="K47" s="385"/>
    </row>
    <row r="48" spans="1:14" s="2162" customFormat="1">
      <c r="A48" s="1970" t="s">
        <v>368</v>
      </c>
      <c r="C48" s="1963"/>
      <c r="D48" s="2001"/>
      <c r="E48" s="2151"/>
      <c r="F48" s="1925"/>
      <c r="G48" s="1968"/>
    </row>
    <row r="49" spans="1:14" s="2162" customFormat="1">
      <c r="A49" s="1970" t="s">
        <v>370</v>
      </c>
      <c r="C49" s="1963"/>
      <c r="D49" s="2001"/>
      <c r="E49" s="2151"/>
      <c r="F49" s="1925"/>
      <c r="J49" s="1968" t="s">
        <v>371</v>
      </c>
    </row>
    <row r="50" spans="1:14" s="2162" customFormat="1">
      <c r="A50" s="1970"/>
      <c r="C50" s="1963"/>
      <c r="D50" s="2001"/>
      <c r="E50" s="2001"/>
      <c r="F50" s="1925"/>
      <c r="J50" s="2152"/>
    </row>
    <row r="51" spans="1:14" s="2162" customFormat="1">
      <c r="A51" s="1970" t="s">
        <v>372</v>
      </c>
      <c r="C51" s="1963"/>
      <c r="D51" s="2001"/>
      <c r="E51" s="2001"/>
      <c r="F51" s="1925"/>
      <c r="J51" s="1963" t="s">
        <v>373</v>
      </c>
    </row>
    <row r="52" spans="1:14" s="2162" customFormat="1">
      <c r="A52" s="1970"/>
      <c r="C52" s="1963"/>
      <c r="D52" s="2001"/>
      <c r="E52" s="2001"/>
      <c r="F52" s="1925"/>
      <c r="J52" s="2153"/>
    </row>
    <row r="53" spans="1:14" s="2162" customFormat="1">
      <c r="A53" s="1970" t="s">
        <v>375</v>
      </c>
      <c r="C53" s="2153"/>
      <c r="D53" s="2154"/>
      <c r="E53" s="2154"/>
      <c r="F53" s="1925"/>
      <c r="J53" s="1963" t="s">
        <v>376</v>
      </c>
    </row>
    <row r="55" spans="1:14">
      <c r="I55" s="169" t="s">
        <v>267</v>
      </c>
      <c r="J55" s="671" t="s">
        <v>4445</v>
      </c>
    </row>
    <row r="56" spans="1:14">
      <c r="A56" s="404" t="s">
        <v>4448</v>
      </c>
    </row>
    <row r="57" spans="1:14">
      <c r="A57" s="45"/>
      <c r="B57" s="404"/>
      <c r="J57" s="2463" t="s">
        <v>4052</v>
      </c>
      <c r="K57" s="2464">
        <v>1982</v>
      </c>
    </row>
    <row r="58" spans="1:14" s="255" customFormat="1" ht="14.25" customHeight="1">
      <c r="A58" s="82" t="s">
        <v>4451</v>
      </c>
      <c r="B58" s="221"/>
      <c r="C58" s="221"/>
      <c r="D58" s="221"/>
      <c r="E58" s="221"/>
      <c r="F58" s="221"/>
      <c r="G58" s="221"/>
      <c r="H58" s="221"/>
      <c r="K58" s="221"/>
      <c r="L58" s="221"/>
      <c r="M58" s="221"/>
      <c r="N58" s="221"/>
    </row>
    <row r="59" spans="1:14" ht="13.15" customHeight="1">
      <c r="A59" s="168" t="s">
        <v>990</v>
      </c>
      <c r="B59" s="386"/>
      <c r="C59" s="386"/>
      <c r="D59" s="386"/>
      <c r="E59" s="386"/>
      <c r="F59" s="386"/>
      <c r="G59" s="386"/>
      <c r="H59" s="386"/>
    </row>
    <row r="60" spans="1:14" ht="13.15" customHeight="1">
      <c r="A60" s="380"/>
      <c r="B60" s="380"/>
      <c r="C60" s="380"/>
      <c r="D60" s="380"/>
      <c r="E60" s="380"/>
      <c r="F60" s="380"/>
      <c r="G60" s="380"/>
      <c r="H60" s="380"/>
      <c r="J60" s="307" t="s">
        <v>254</v>
      </c>
    </row>
    <row r="61" spans="1:14" ht="51" customHeight="1">
      <c r="A61" s="381" t="s">
        <v>2</v>
      </c>
      <c r="B61" s="381" t="s">
        <v>478</v>
      </c>
      <c r="C61" s="381" t="s">
        <v>4054</v>
      </c>
      <c r="D61" s="381" t="s">
        <v>4055</v>
      </c>
      <c r="E61" s="381" t="s">
        <v>4056</v>
      </c>
      <c r="F61" s="405" t="s">
        <v>4057</v>
      </c>
      <c r="G61" s="381" t="s">
        <v>4058</v>
      </c>
      <c r="H61" s="381" t="s">
        <v>320</v>
      </c>
      <c r="I61" s="381" t="s">
        <v>7</v>
      </c>
      <c r="J61" s="381" t="s">
        <v>8</v>
      </c>
    </row>
    <row r="62" spans="1:14" s="186" customFormat="1" outlineLevel="1">
      <c r="A62" s="258" t="s">
        <v>563</v>
      </c>
      <c r="B62" s="259" t="s">
        <v>214</v>
      </c>
      <c r="C62" s="257"/>
      <c r="D62" s="753">
        <f>C62*$K$3</f>
        <v>0</v>
      </c>
      <c r="E62" s="259"/>
      <c r="F62" s="259"/>
      <c r="G62" s="259"/>
      <c r="H62" s="1907" t="e">
        <f>ROUND(#REF!,0)</f>
        <v>#REF!</v>
      </c>
      <c r="I62" s="1908" t="e">
        <f>H62</f>
        <v>#REF!</v>
      </c>
      <c r="J62" s="624"/>
    </row>
    <row r="63" spans="1:14" s="186" customFormat="1">
      <c r="A63" s="381"/>
      <c r="B63" s="382" t="s">
        <v>3445</v>
      </c>
      <c r="C63" s="381"/>
      <c r="D63" s="381"/>
      <c r="E63" s="381"/>
      <c r="F63" s="381"/>
      <c r="G63" s="381"/>
      <c r="H63" s="1909" t="e">
        <f>SUM(H62:H62)</f>
        <v>#REF!</v>
      </c>
      <c r="I63" s="1910" t="e">
        <f>SUM(I62:I62)</f>
        <v>#REF!</v>
      </c>
      <c r="J63" s="625">
        <f>SUM(J62:J62)</f>
        <v>0</v>
      </c>
    </row>
    <row r="64" spans="1:14">
      <c r="H64" s="226"/>
      <c r="I64" s="169"/>
      <c r="J64" s="168"/>
    </row>
    <row r="65" spans="1:14">
      <c r="A65" s="300"/>
      <c r="B65" s="514"/>
      <c r="C65" s="514"/>
      <c r="D65" s="1075"/>
      <c r="E65" s="1075"/>
      <c r="F65" s="293"/>
      <c r="I65" s="1075"/>
      <c r="K65" s="385"/>
    </row>
    <row r="66" spans="1:14" s="2162" customFormat="1">
      <c r="A66" s="1970" t="s">
        <v>368</v>
      </c>
      <c r="C66" s="1963"/>
      <c r="D66" s="2001"/>
      <c r="E66" s="2151"/>
      <c r="F66" s="1925"/>
      <c r="G66" s="1968"/>
    </row>
    <row r="67" spans="1:14" s="2162" customFormat="1">
      <c r="A67" s="1970" t="s">
        <v>370</v>
      </c>
      <c r="C67" s="1963"/>
      <c r="D67" s="2001"/>
      <c r="E67" s="2151"/>
      <c r="F67" s="1925"/>
      <c r="J67" s="1968" t="s">
        <v>371</v>
      </c>
    </row>
    <row r="68" spans="1:14" s="2162" customFormat="1">
      <c r="A68" s="1970"/>
      <c r="C68" s="1963"/>
      <c r="D68" s="2001"/>
      <c r="E68" s="2001"/>
      <c r="F68" s="1925"/>
      <c r="J68" s="2152"/>
    </row>
    <row r="69" spans="1:14" s="2162" customFormat="1">
      <c r="A69" s="1970" t="s">
        <v>372</v>
      </c>
      <c r="C69" s="1963"/>
      <c r="D69" s="2001"/>
      <c r="E69" s="2001"/>
      <c r="F69" s="1925"/>
      <c r="J69" s="1963" t="s">
        <v>373</v>
      </c>
    </row>
    <row r="70" spans="1:14" s="2162" customFormat="1">
      <c r="A70" s="1970"/>
      <c r="C70" s="1963"/>
      <c r="D70" s="2001"/>
      <c r="E70" s="2001"/>
      <c r="F70" s="1925"/>
      <c r="J70" s="2153"/>
    </row>
    <row r="71" spans="1:14" s="2162" customFormat="1">
      <c r="A71" s="1970" t="s">
        <v>375</v>
      </c>
      <c r="C71" s="2153"/>
      <c r="D71" s="2154"/>
      <c r="E71" s="2154"/>
      <c r="F71" s="1925"/>
      <c r="J71" s="1963" t="s">
        <v>376</v>
      </c>
    </row>
    <row r="73" spans="1:14">
      <c r="I73" s="169" t="s">
        <v>267</v>
      </c>
      <c r="J73" s="671" t="s">
        <v>4445</v>
      </c>
    </row>
    <row r="74" spans="1:14">
      <c r="A74" s="404" t="s">
        <v>4448</v>
      </c>
    </row>
    <row r="75" spans="1:14">
      <c r="A75" s="45"/>
      <c r="B75" s="404"/>
      <c r="J75" s="2463" t="s">
        <v>4052</v>
      </c>
      <c r="K75" s="2464">
        <v>1982</v>
      </c>
    </row>
    <row r="76" spans="1:14" s="255" customFormat="1" ht="14.25" customHeight="1">
      <c r="A76" s="82" t="s">
        <v>4452</v>
      </c>
      <c r="B76" s="221"/>
      <c r="C76" s="221"/>
      <c r="D76" s="221"/>
      <c r="E76" s="221"/>
      <c r="F76" s="221"/>
      <c r="G76" s="221"/>
      <c r="H76" s="221"/>
      <c r="K76" s="221"/>
      <c r="L76" s="221"/>
      <c r="M76" s="221"/>
      <c r="N76" s="221"/>
    </row>
    <row r="77" spans="1:14" ht="13.15" customHeight="1">
      <c r="A77" s="168" t="s">
        <v>990</v>
      </c>
      <c r="B77" s="386"/>
      <c r="C77" s="386"/>
      <c r="D77" s="386"/>
      <c r="E77" s="386"/>
      <c r="F77" s="386"/>
      <c r="G77" s="386"/>
      <c r="H77" s="386"/>
    </row>
    <row r="78" spans="1:14" ht="13.15" customHeight="1">
      <c r="A78" s="380"/>
      <c r="B78" s="380"/>
      <c r="C78" s="380"/>
      <c r="D78" s="380"/>
      <c r="E78" s="380"/>
      <c r="F78" s="380"/>
      <c r="G78" s="380"/>
      <c r="H78" s="380"/>
      <c r="J78" s="307" t="s">
        <v>254</v>
      </c>
    </row>
    <row r="79" spans="1:14" ht="51" customHeight="1">
      <c r="A79" s="381" t="s">
        <v>2</v>
      </c>
      <c r="B79" s="381" t="s">
        <v>478</v>
      </c>
      <c r="C79" s="381" t="s">
        <v>4054</v>
      </c>
      <c r="D79" s="381" t="s">
        <v>4055</v>
      </c>
      <c r="E79" s="381" t="s">
        <v>4056</v>
      </c>
      <c r="F79" s="405" t="s">
        <v>4057</v>
      </c>
      <c r="G79" s="381" t="s">
        <v>4058</v>
      </c>
      <c r="H79" s="381" t="s">
        <v>320</v>
      </c>
      <c r="I79" s="381" t="s">
        <v>7</v>
      </c>
      <c r="J79" s="381" t="s">
        <v>8</v>
      </c>
    </row>
    <row r="80" spans="1:14" s="186" customFormat="1" outlineLevel="1">
      <c r="A80" s="258" t="s">
        <v>563</v>
      </c>
      <c r="B80" s="259" t="s">
        <v>214</v>
      </c>
      <c r="C80" s="257"/>
      <c r="D80" s="753">
        <f>C80*$K$3</f>
        <v>0</v>
      </c>
      <c r="E80" s="259"/>
      <c r="F80" s="259"/>
      <c r="G80" s="259"/>
      <c r="H80" s="1907" t="e">
        <f>ROUND(#REF!,0)</f>
        <v>#REF!</v>
      </c>
      <c r="I80" s="1908" t="e">
        <f>H80</f>
        <v>#REF!</v>
      </c>
      <c r="J80" s="624"/>
    </row>
    <row r="81" spans="1:14" s="186" customFormat="1">
      <c r="A81" s="381"/>
      <c r="B81" s="382" t="s">
        <v>3445</v>
      </c>
      <c r="C81" s="381"/>
      <c r="D81" s="381"/>
      <c r="E81" s="381"/>
      <c r="F81" s="381"/>
      <c r="G81" s="381"/>
      <c r="H81" s="1909" t="e">
        <f>SUM(H80:H80)</f>
        <v>#REF!</v>
      </c>
      <c r="I81" s="1910" t="e">
        <f>SUM(I80:I80)</f>
        <v>#REF!</v>
      </c>
      <c r="J81" s="625">
        <f>SUM(J80:J80)</f>
        <v>0</v>
      </c>
    </row>
    <row r="82" spans="1:14">
      <c r="H82" s="226"/>
      <c r="I82" s="169"/>
      <c r="J82" s="168"/>
    </row>
    <row r="83" spans="1:14">
      <c r="A83" s="300"/>
      <c r="B83" s="514"/>
      <c r="C83" s="514"/>
      <c r="D83" s="1075"/>
      <c r="E83" s="1075"/>
      <c r="F83" s="293"/>
      <c r="I83" s="1075"/>
      <c r="K83" s="385"/>
    </row>
    <row r="84" spans="1:14" s="2162" customFormat="1">
      <c r="A84" s="1970" t="s">
        <v>368</v>
      </c>
      <c r="C84" s="1963"/>
      <c r="D84" s="2001"/>
      <c r="E84" s="2151"/>
      <c r="F84" s="1925"/>
      <c r="G84" s="1968"/>
    </row>
    <row r="85" spans="1:14" s="2162" customFormat="1">
      <c r="A85" s="1970" t="s">
        <v>370</v>
      </c>
      <c r="C85" s="1963"/>
      <c r="D85" s="2001"/>
      <c r="E85" s="2151"/>
      <c r="F85" s="1925"/>
      <c r="J85" s="1968" t="s">
        <v>371</v>
      </c>
    </row>
    <row r="86" spans="1:14" s="2162" customFormat="1">
      <c r="A86" s="1970"/>
      <c r="C86" s="1963"/>
      <c r="D86" s="2001"/>
      <c r="E86" s="2001"/>
      <c r="F86" s="1925"/>
      <c r="J86" s="2152"/>
    </row>
    <row r="87" spans="1:14" s="2162" customFormat="1">
      <c r="A87" s="1970" t="s">
        <v>372</v>
      </c>
      <c r="C87" s="1963"/>
      <c r="D87" s="2001"/>
      <c r="E87" s="2001"/>
      <c r="F87" s="1925"/>
      <c r="J87" s="1963" t="s">
        <v>373</v>
      </c>
    </row>
    <row r="88" spans="1:14" s="2162" customFormat="1">
      <c r="A88" s="1970"/>
      <c r="C88" s="1963"/>
      <c r="D88" s="2001"/>
      <c r="E88" s="2001"/>
      <c r="F88" s="1925"/>
      <c r="J88" s="2153"/>
    </row>
    <row r="89" spans="1:14" s="2162" customFormat="1">
      <c r="A89" s="1970" t="s">
        <v>375</v>
      </c>
      <c r="C89" s="2153"/>
      <c r="D89" s="2154"/>
      <c r="E89" s="2154"/>
      <c r="F89" s="1925"/>
      <c r="J89" s="1963" t="s">
        <v>376</v>
      </c>
    </row>
    <row r="91" spans="1:14">
      <c r="I91" s="169" t="s">
        <v>267</v>
      </c>
      <c r="J91" s="671" t="s">
        <v>4445</v>
      </c>
    </row>
    <row r="92" spans="1:14">
      <c r="A92" s="404" t="s">
        <v>4448</v>
      </c>
    </row>
    <row r="93" spans="1:14">
      <c r="A93" s="45"/>
      <c r="B93" s="404"/>
      <c r="J93" s="2494" t="s">
        <v>4052</v>
      </c>
      <c r="K93" s="2495">
        <v>1982</v>
      </c>
    </row>
    <row r="94" spans="1:14" s="255" customFormat="1" ht="14.25" customHeight="1">
      <c r="A94" s="82" t="s">
        <v>4453</v>
      </c>
      <c r="B94" s="221"/>
      <c r="C94" s="221"/>
      <c r="D94" s="221"/>
      <c r="E94" s="221"/>
      <c r="F94" s="221"/>
      <c r="G94" s="221"/>
      <c r="H94" s="221"/>
      <c r="K94" s="221"/>
      <c r="L94" s="221"/>
      <c r="M94" s="221"/>
      <c r="N94" s="221"/>
    </row>
    <row r="95" spans="1:14" ht="13.15" customHeight="1">
      <c r="A95" s="168" t="s">
        <v>990</v>
      </c>
      <c r="B95" s="386"/>
      <c r="C95" s="386"/>
      <c r="D95" s="386"/>
      <c r="E95" s="386"/>
      <c r="F95" s="386"/>
      <c r="G95" s="386"/>
      <c r="H95" s="386"/>
    </row>
    <row r="96" spans="1:14" ht="13.15" customHeight="1">
      <c r="A96" s="380"/>
      <c r="B96" s="380"/>
      <c r="C96" s="380"/>
      <c r="D96" s="380"/>
      <c r="E96" s="380"/>
      <c r="F96" s="380"/>
      <c r="G96" s="380"/>
      <c r="H96" s="380"/>
      <c r="J96" s="307" t="s">
        <v>254</v>
      </c>
    </row>
    <row r="97" spans="1:11" ht="51" customHeight="1">
      <c r="A97" s="381" t="s">
        <v>2</v>
      </c>
      <c r="B97" s="381" t="s">
        <v>478</v>
      </c>
      <c r="C97" s="381" t="s">
        <v>4054</v>
      </c>
      <c r="D97" s="381" t="s">
        <v>4055</v>
      </c>
      <c r="E97" s="381" t="s">
        <v>4056</v>
      </c>
      <c r="F97" s="405" t="s">
        <v>4057</v>
      </c>
      <c r="G97" s="381" t="s">
        <v>4058</v>
      </c>
      <c r="H97" s="381" t="s">
        <v>320</v>
      </c>
      <c r="I97" s="381" t="s">
        <v>7</v>
      </c>
      <c r="J97" s="381" t="s">
        <v>8</v>
      </c>
    </row>
    <row r="98" spans="1:11" s="186" customFormat="1" outlineLevel="1">
      <c r="A98" s="258" t="s">
        <v>563</v>
      </c>
      <c r="B98" s="259" t="s">
        <v>214</v>
      </c>
      <c r="C98" s="257"/>
      <c r="D98" s="753">
        <f>C98*$K$3</f>
        <v>0</v>
      </c>
      <c r="E98" s="259"/>
      <c r="F98" s="259"/>
      <c r="G98" s="259"/>
      <c r="H98" s="1907" t="e">
        <f>ROUND(#REF!,0)</f>
        <v>#REF!</v>
      </c>
      <c r="I98" s="1908" t="e">
        <f>H98</f>
        <v>#REF!</v>
      </c>
      <c r="J98" s="624"/>
    </row>
    <row r="99" spans="1:11" s="186" customFormat="1">
      <c r="A99" s="381"/>
      <c r="B99" s="382" t="s">
        <v>3445</v>
      </c>
      <c r="C99" s="381"/>
      <c r="D99" s="381"/>
      <c r="E99" s="381"/>
      <c r="F99" s="381"/>
      <c r="G99" s="381"/>
      <c r="H99" s="1909" t="e">
        <f>SUM(H98:H98)</f>
        <v>#REF!</v>
      </c>
      <c r="I99" s="1910" t="e">
        <f>SUM(I98:I98)</f>
        <v>#REF!</v>
      </c>
      <c r="J99" s="625">
        <f>SUM(J98:J98)</f>
        <v>0</v>
      </c>
    </row>
    <row r="100" spans="1:11">
      <c r="H100" s="226"/>
      <c r="I100" s="169"/>
      <c r="J100" s="168"/>
    </row>
    <row r="101" spans="1:11">
      <c r="A101" s="300"/>
      <c r="B101" s="514"/>
      <c r="C101" s="514"/>
      <c r="D101" s="1075"/>
      <c r="E101" s="1075"/>
      <c r="F101" s="293"/>
      <c r="I101" s="1075"/>
      <c r="K101" s="385"/>
    </row>
    <row r="102" spans="1:11" s="2162" customFormat="1">
      <c r="A102" s="1970" t="s">
        <v>368</v>
      </c>
      <c r="C102" s="1963"/>
      <c r="D102" s="2001"/>
      <c r="E102" s="2151"/>
      <c r="F102" s="1925"/>
      <c r="G102" s="1968"/>
    </row>
    <row r="103" spans="1:11" s="2162" customFormat="1">
      <c r="A103" s="1970" t="s">
        <v>370</v>
      </c>
      <c r="C103" s="1963"/>
      <c r="D103" s="2001"/>
      <c r="E103" s="2151"/>
      <c r="F103" s="1925"/>
      <c r="J103" s="1968" t="s">
        <v>371</v>
      </c>
    </row>
    <row r="104" spans="1:11" s="2162" customFormat="1">
      <c r="A104" s="1970"/>
      <c r="C104" s="1963"/>
      <c r="D104" s="2001"/>
      <c r="E104" s="2001"/>
      <c r="F104" s="1925"/>
      <c r="J104" s="2152"/>
    </row>
    <row r="105" spans="1:11" s="2162" customFormat="1">
      <c r="A105" s="1970" t="s">
        <v>372</v>
      </c>
      <c r="C105" s="1963"/>
      <c r="D105" s="2001"/>
      <c r="E105" s="2001"/>
      <c r="F105" s="1925"/>
      <c r="J105" s="1963" t="s">
        <v>373</v>
      </c>
    </row>
    <row r="106" spans="1:11" s="2162" customFormat="1">
      <c r="A106" s="1970"/>
      <c r="C106" s="1963"/>
      <c r="D106" s="2001"/>
      <c r="E106" s="2001"/>
      <c r="F106" s="1925"/>
      <c r="J106" s="2153"/>
    </row>
    <row r="107" spans="1:11" s="2162" customFormat="1">
      <c r="A107" s="1970" t="s">
        <v>375</v>
      </c>
      <c r="C107" s="2153"/>
      <c r="D107" s="2154"/>
      <c r="E107" s="2154"/>
      <c r="F107" s="1925"/>
      <c r="J107" s="1963" t="s">
        <v>376</v>
      </c>
    </row>
    <row r="110" spans="1:11">
      <c r="I110" s="169" t="s">
        <v>267</v>
      </c>
      <c r="J110" s="671" t="s">
        <v>4445</v>
      </c>
    </row>
    <row r="111" spans="1:11">
      <c r="A111" s="404" t="s">
        <v>4448</v>
      </c>
    </row>
    <row r="112" spans="1:11">
      <c r="A112" s="45"/>
      <c r="B112" s="404"/>
      <c r="J112" s="2463" t="s">
        <v>4052</v>
      </c>
      <c r="K112" s="2464">
        <v>1982</v>
      </c>
    </row>
    <row r="113" spans="1:14" s="255" customFormat="1" ht="14.25" customHeight="1">
      <c r="A113" s="82" t="s">
        <v>4454</v>
      </c>
      <c r="B113" s="221"/>
      <c r="C113" s="221"/>
      <c r="D113" s="221"/>
      <c r="E113" s="221"/>
      <c r="F113" s="221"/>
      <c r="G113" s="221"/>
      <c r="H113" s="221"/>
      <c r="K113" s="221"/>
      <c r="L113" s="221"/>
      <c r="M113" s="221"/>
      <c r="N113" s="221"/>
    </row>
    <row r="114" spans="1:14" ht="13.15" customHeight="1">
      <c r="A114" s="168" t="s">
        <v>990</v>
      </c>
      <c r="B114" s="386"/>
      <c r="C114" s="386"/>
      <c r="D114" s="386"/>
      <c r="E114" s="386"/>
      <c r="F114" s="386"/>
      <c r="G114" s="386"/>
      <c r="H114" s="386"/>
    </row>
    <row r="115" spans="1:14" ht="13.15" customHeight="1">
      <c r="A115" s="380"/>
      <c r="B115" s="380"/>
      <c r="C115" s="380"/>
      <c r="D115" s="380"/>
      <c r="E115" s="380"/>
      <c r="F115" s="380"/>
      <c r="G115" s="380"/>
      <c r="H115" s="380"/>
      <c r="J115" s="307" t="s">
        <v>254</v>
      </c>
    </row>
    <row r="116" spans="1:14" ht="51" customHeight="1">
      <c r="A116" s="381" t="s">
        <v>2</v>
      </c>
      <c r="B116" s="381" t="s">
        <v>478</v>
      </c>
      <c r="C116" s="381" t="s">
        <v>4054</v>
      </c>
      <c r="D116" s="381" t="s">
        <v>4055</v>
      </c>
      <c r="E116" s="381" t="s">
        <v>4056</v>
      </c>
      <c r="F116" s="405" t="s">
        <v>4057</v>
      </c>
      <c r="G116" s="381" t="s">
        <v>4058</v>
      </c>
      <c r="H116" s="381" t="s">
        <v>320</v>
      </c>
      <c r="I116" s="381" t="s">
        <v>7</v>
      </c>
      <c r="J116" s="381" t="s">
        <v>8</v>
      </c>
    </row>
    <row r="117" spans="1:14" s="186" customFormat="1" outlineLevel="1">
      <c r="A117" s="258" t="s">
        <v>563</v>
      </c>
      <c r="B117" s="259" t="s">
        <v>214</v>
      </c>
      <c r="C117" s="257"/>
      <c r="D117" s="753">
        <f>C117*$K$3</f>
        <v>0</v>
      </c>
      <c r="E117" s="259"/>
      <c r="F117" s="259"/>
      <c r="G117" s="259"/>
      <c r="H117" s="1907" t="e">
        <f>ROUND(#REF!,0)</f>
        <v>#REF!</v>
      </c>
      <c r="I117" s="1908" t="e">
        <f>H117</f>
        <v>#REF!</v>
      </c>
      <c r="J117" s="624"/>
    </row>
    <row r="118" spans="1:14" s="186" customFormat="1">
      <c r="A118" s="381"/>
      <c r="B118" s="382" t="s">
        <v>3445</v>
      </c>
      <c r="C118" s="381"/>
      <c r="D118" s="381"/>
      <c r="E118" s="381"/>
      <c r="F118" s="381"/>
      <c r="G118" s="381"/>
      <c r="H118" s="1909" t="e">
        <f>SUM(H117:H117)</f>
        <v>#REF!</v>
      </c>
      <c r="I118" s="1910" t="e">
        <f>SUM(I117:I117)</f>
        <v>#REF!</v>
      </c>
      <c r="J118" s="625">
        <f>SUM(J117:J117)</f>
        <v>0</v>
      </c>
    </row>
    <row r="119" spans="1:14">
      <c r="H119" s="226"/>
      <c r="I119" s="169"/>
      <c r="J119" s="168"/>
    </row>
    <row r="120" spans="1:14">
      <c r="A120" s="300"/>
      <c r="B120" s="514"/>
      <c r="C120" s="514"/>
      <c r="D120" s="1075"/>
      <c r="E120" s="1075"/>
      <c r="F120" s="293"/>
      <c r="I120" s="1075"/>
      <c r="K120" s="385"/>
    </row>
    <row r="121" spans="1:14" s="2162" customFormat="1">
      <c r="A121" s="1970" t="s">
        <v>368</v>
      </c>
      <c r="C121" s="1963"/>
      <c r="D121" s="2001"/>
      <c r="E121" s="2151"/>
      <c r="F121" s="1925"/>
      <c r="G121" s="1968"/>
    </row>
    <row r="122" spans="1:14" s="2162" customFormat="1">
      <c r="A122" s="1970" t="s">
        <v>370</v>
      </c>
      <c r="C122" s="1963"/>
      <c r="D122" s="2001"/>
      <c r="E122" s="2151"/>
      <c r="F122" s="1925"/>
      <c r="J122" s="1968" t="s">
        <v>371</v>
      </c>
    </row>
    <row r="123" spans="1:14" s="2162" customFormat="1">
      <c r="A123" s="1970"/>
      <c r="C123" s="1963"/>
      <c r="D123" s="2001"/>
      <c r="E123" s="2001"/>
      <c r="F123" s="1925"/>
      <c r="J123" s="2152"/>
    </row>
    <row r="124" spans="1:14" s="2162" customFormat="1">
      <c r="A124" s="1970" t="s">
        <v>372</v>
      </c>
      <c r="C124" s="1963"/>
      <c r="D124" s="2001"/>
      <c r="E124" s="2001"/>
      <c r="F124" s="1925"/>
      <c r="J124" s="1963" t="s">
        <v>373</v>
      </c>
    </row>
    <row r="125" spans="1:14" s="2162" customFormat="1">
      <c r="A125" s="1970"/>
      <c r="C125" s="1963"/>
      <c r="D125" s="2001"/>
      <c r="E125" s="2001"/>
      <c r="F125" s="1925"/>
      <c r="J125" s="2153"/>
    </row>
    <row r="126" spans="1:14" s="2162" customFormat="1">
      <c r="A126" s="1970" t="s">
        <v>375</v>
      </c>
      <c r="C126" s="2153"/>
      <c r="D126" s="2154"/>
      <c r="E126" s="2154"/>
      <c r="F126" s="1925"/>
      <c r="J126" s="1963" t="s">
        <v>376</v>
      </c>
    </row>
    <row r="129" spans="1:14">
      <c r="I129" s="169" t="s">
        <v>267</v>
      </c>
      <c r="J129" s="671" t="s">
        <v>4445</v>
      </c>
    </row>
    <row r="130" spans="1:14">
      <c r="A130" s="404" t="s">
        <v>4448</v>
      </c>
    </row>
    <row r="131" spans="1:14">
      <c r="A131" s="45"/>
      <c r="B131" s="404"/>
      <c r="J131" s="751" t="s">
        <v>4052</v>
      </c>
      <c r="K131" s="752">
        <v>1982</v>
      </c>
    </row>
    <row r="132" spans="1:14" s="255" customFormat="1" ht="14.25" customHeight="1">
      <c r="A132" s="82" t="s">
        <v>4455</v>
      </c>
      <c r="B132" s="221"/>
      <c r="C132" s="221"/>
      <c r="D132" s="221"/>
      <c r="E132" s="221"/>
      <c r="F132" s="221"/>
      <c r="G132" s="221"/>
      <c r="H132" s="221"/>
      <c r="K132" s="221"/>
      <c r="L132" s="221"/>
      <c r="M132" s="221"/>
      <c r="N132" s="221"/>
    </row>
    <row r="133" spans="1:14" ht="13.15" customHeight="1">
      <c r="A133" s="168" t="s">
        <v>990</v>
      </c>
      <c r="B133" s="386"/>
      <c r="C133" s="386"/>
      <c r="D133" s="386"/>
      <c r="E133" s="386"/>
      <c r="F133" s="386"/>
      <c r="G133" s="386"/>
      <c r="H133" s="386"/>
    </row>
    <row r="134" spans="1:14" ht="13.15" customHeight="1">
      <c r="A134" s="380"/>
      <c r="B134" s="380"/>
      <c r="C134" s="380"/>
      <c r="D134" s="380"/>
      <c r="E134" s="380"/>
      <c r="F134" s="380"/>
      <c r="G134" s="380"/>
      <c r="H134" s="380"/>
      <c r="J134" s="307" t="s">
        <v>254</v>
      </c>
    </row>
    <row r="135" spans="1:14" ht="51" customHeight="1">
      <c r="A135" s="381" t="s">
        <v>2</v>
      </c>
      <c r="B135" s="381" t="s">
        <v>478</v>
      </c>
      <c r="C135" s="381" t="s">
        <v>4054</v>
      </c>
      <c r="D135" s="381" t="s">
        <v>4055</v>
      </c>
      <c r="E135" s="381" t="s">
        <v>4056</v>
      </c>
      <c r="F135" s="405" t="s">
        <v>4057</v>
      </c>
      <c r="G135" s="381" t="s">
        <v>4058</v>
      </c>
      <c r="H135" s="381" t="s">
        <v>320</v>
      </c>
      <c r="I135" s="381" t="s">
        <v>7</v>
      </c>
      <c r="J135" s="381" t="s">
        <v>8</v>
      </c>
    </row>
    <row r="136" spans="1:14" s="186" customFormat="1" outlineLevel="1">
      <c r="A136" s="258" t="s">
        <v>563</v>
      </c>
      <c r="B136" s="259" t="s">
        <v>214</v>
      </c>
      <c r="C136" s="257"/>
      <c r="D136" s="753">
        <f>C136*$K$3</f>
        <v>0</v>
      </c>
      <c r="E136" s="259"/>
      <c r="F136" s="259"/>
      <c r="G136" s="259"/>
      <c r="H136" s="1907" t="e">
        <f>#REF!</f>
        <v>#REF!</v>
      </c>
      <c r="I136" s="1908" t="e">
        <f>H136</f>
        <v>#REF!</v>
      </c>
      <c r="J136" s="624"/>
    </row>
    <row r="137" spans="1:14" s="186" customFormat="1">
      <c r="A137" s="381"/>
      <c r="B137" s="382" t="s">
        <v>3445</v>
      </c>
      <c r="C137" s="381"/>
      <c r="D137" s="381"/>
      <c r="E137" s="381"/>
      <c r="F137" s="381"/>
      <c r="G137" s="381"/>
      <c r="H137" s="1909" t="e">
        <f>SUM(H136:H136)</f>
        <v>#REF!</v>
      </c>
      <c r="I137" s="1910" t="e">
        <f>SUM(I136:I136)</f>
        <v>#REF!</v>
      </c>
      <c r="J137" s="625">
        <f>SUM(J136:J136)</f>
        <v>0</v>
      </c>
    </row>
    <row r="138" spans="1:14">
      <c r="H138" s="226"/>
      <c r="I138" s="169"/>
      <c r="J138" s="168"/>
    </row>
    <row r="139" spans="1:14">
      <c r="A139" s="300"/>
      <c r="B139" s="514"/>
      <c r="C139" s="514"/>
      <c r="D139" s="1075"/>
      <c r="E139" s="1075"/>
      <c r="F139" s="293"/>
      <c r="I139" s="1075"/>
      <c r="K139" s="385"/>
    </row>
    <row r="140" spans="1:14" s="2162" customFormat="1">
      <c r="A140" s="1970" t="s">
        <v>368</v>
      </c>
      <c r="C140" s="1963"/>
      <c r="D140" s="2001"/>
      <c r="E140" s="2151"/>
      <c r="F140" s="1925"/>
      <c r="G140" s="1968"/>
    </row>
    <row r="141" spans="1:14" s="2162" customFormat="1">
      <c r="A141" s="1970" t="s">
        <v>370</v>
      </c>
      <c r="C141" s="1963"/>
      <c r="D141" s="2001"/>
      <c r="E141" s="2151"/>
      <c r="F141" s="1925"/>
      <c r="J141" s="1968" t="s">
        <v>371</v>
      </c>
    </row>
    <row r="142" spans="1:14" s="2162" customFormat="1">
      <c r="A142" s="1970"/>
      <c r="C142" s="1963"/>
      <c r="D142" s="2001"/>
      <c r="E142" s="2001"/>
      <c r="F142" s="1925"/>
      <c r="J142" s="2152"/>
    </row>
    <row r="143" spans="1:14" s="2162" customFormat="1">
      <c r="A143" s="1970" t="s">
        <v>372</v>
      </c>
      <c r="C143" s="1963"/>
      <c r="D143" s="2001"/>
      <c r="E143" s="2001"/>
      <c r="F143" s="1925"/>
      <c r="J143" s="1963" t="s">
        <v>373</v>
      </c>
    </row>
    <row r="144" spans="1:14" s="2162" customFormat="1">
      <c r="A144" s="1970"/>
      <c r="C144" s="1963"/>
      <c r="D144" s="2001"/>
      <c r="E144" s="2001"/>
      <c r="F144" s="1925"/>
      <c r="J144" s="2153"/>
    </row>
    <row r="145" spans="1:10" s="2162" customFormat="1">
      <c r="A145" s="1970" t="s">
        <v>375</v>
      </c>
      <c r="C145" s="2153"/>
      <c r="D145" s="2154"/>
      <c r="E145" s="2154"/>
      <c r="F145" s="1925"/>
      <c r="J145" s="1963" t="s">
        <v>376</v>
      </c>
    </row>
    <row r="147" spans="1:10">
      <c r="I147" s="2166"/>
    </row>
  </sheetData>
  <pageMargins left="0.62992125984251968" right="0.23622047244094491" top="0.94488188976377963" bottom="0.35433070866141736" header="0.31496062992125984" footer="0.31496062992125984"/>
  <pageSetup paperSize="9" scale="80" fitToHeight="0" orientation="landscape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tabColor rgb="FFFFFF00"/>
    <outlinePr summaryBelow="0" summaryRight="0"/>
  </sheetPr>
  <dimension ref="A1:K82"/>
  <sheetViews>
    <sheetView topLeftCell="A62" workbookViewId="0">
      <selection activeCell="C80" sqref="C80"/>
    </sheetView>
  </sheetViews>
  <sheetFormatPr defaultColWidth="9.140625" defaultRowHeight="12.75"/>
  <cols>
    <col min="1" max="1" width="6.5703125" style="1822" customWidth="1"/>
    <col min="2" max="2" width="32.42578125" style="1822" customWidth="1"/>
    <col min="3" max="3" width="13" style="1823" bestFit="1" customWidth="1"/>
    <col min="4" max="4" width="11.7109375" style="1822" customWidth="1"/>
    <col min="5" max="5" width="16.140625" style="1822" customWidth="1"/>
    <col min="6" max="6" width="11.28515625" style="1822" customWidth="1"/>
    <col min="7" max="7" width="15.5703125" style="1822" customWidth="1"/>
    <col min="8" max="8" width="12" style="1822" customWidth="1"/>
    <col min="9" max="9" width="16.85546875" style="1822" customWidth="1"/>
    <col min="10" max="10" width="11.5703125" style="1822" bestFit="1" customWidth="1"/>
    <col min="11" max="15" width="9.140625" style="1822"/>
    <col min="16" max="16" width="11.5703125" style="1822" customWidth="1"/>
    <col min="17" max="17" width="11.28515625" style="1822" customWidth="1"/>
    <col min="18" max="18" width="9.140625" style="1822"/>
    <col min="19" max="20" width="11.7109375" style="1822" customWidth="1"/>
    <col min="21" max="16384" width="9.140625" style="1822"/>
  </cols>
  <sheetData>
    <row r="1" spans="1:10">
      <c r="H1" s="1824" t="s">
        <v>267</v>
      </c>
      <c r="I1" s="1825" t="s">
        <v>1023</v>
      </c>
    </row>
    <row r="2" spans="1:10">
      <c r="A2" s="4390" t="s">
        <v>4456</v>
      </c>
      <c r="B2" s="4390"/>
      <c r="C2" s="4390"/>
      <c r="D2" s="4390"/>
      <c r="E2" s="4390"/>
      <c r="F2" s="4390"/>
      <c r="G2" s="4390"/>
      <c r="H2" s="4390"/>
      <c r="I2" s="4390"/>
      <c r="J2" s="1826"/>
    </row>
    <row r="3" spans="1:10">
      <c r="A3" s="1827"/>
      <c r="B3" s="1827"/>
      <c r="C3" s="1827"/>
      <c r="D3" s="1827"/>
      <c r="E3" s="1827"/>
      <c r="F3" s="1827"/>
      <c r="G3" s="1827"/>
      <c r="H3" s="1827"/>
      <c r="I3" s="1827"/>
      <c r="J3" s="1826"/>
    </row>
    <row r="4" spans="1:10" ht="18.75" customHeight="1">
      <c r="A4" s="1411" t="s">
        <v>4457</v>
      </c>
      <c r="J4" s="1826"/>
    </row>
    <row r="5" spans="1:10" hidden="1">
      <c r="A5" s="522" t="s">
        <v>1026</v>
      </c>
      <c r="B5" s="1828"/>
      <c r="C5" s="1828"/>
      <c r="D5" s="1828"/>
      <c r="E5" s="1828"/>
      <c r="F5" s="1828"/>
      <c r="G5" s="1828"/>
      <c r="H5" s="1828"/>
      <c r="I5" s="1828"/>
      <c r="J5" s="1826"/>
    </row>
    <row r="6" spans="1:10" hidden="1">
      <c r="A6" s="522"/>
      <c r="B6" s="1828"/>
      <c r="C6" s="1828"/>
      <c r="D6" s="1828"/>
      <c r="E6" s="1828"/>
      <c r="F6" s="1828"/>
      <c r="G6" s="1828"/>
      <c r="H6" s="1828"/>
      <c r="I6" s="1828"/>
      <c r="J6" s="1826"/>
    </row>
    <row r="7" spans="1:10" ht="15.6" hidden="1" customHeight="1">
      <c r="A7" s="4391" t="s">
        <v>1027</v>
      </c>
      <c r="B7" s="4391"/>
      <c r="C7" s="4391"/>
      <c r="D7" s="4391"/>
      <c r="E7" s="4391"/>
      <c r="F7" s="4391"/>
      <c r="G7" s="1828"/>
      <c r="H7" s="1829"/>
      <c r="I7" s="1828"/>
      <c r="J7" s="1826"/>
    </row>
    <row r="8" spans="1:10" s="1832" customFormat="1" ht="42.75" hidden="1" customHeight="1">
      <c r="A8" s="4392" t="s">
        <v>2</v>
      </c>
      <c r="B8" s="4392" t="s">
        <v>1028</v>
      </c>
      <c r="C8" s="4393" t="s">
        <v>1029</v>
      </c>
      <c r="D8" s="4392" t="s">
        <v>1030</v>
      </c>
      <c r="E8" s="4392" t="s">
        <v>1031</v>
      </c>
      <c r="F8" s="4392" t="s">
        <v>1032</v>
      </c>
      <c r="G8" s="4392" t="s">
        <v>1033</v>
      </c>
      <c r="H8" s="4392"/>
      <c r="I8" s="4392"/>
      <c r="J8" s="1824"/>
    </row>
    <row r="9" spans="1:10" s="1832" customFormat="1" ht="16.5" hidden="1" customHeight="1">
      <c r="A9" s="4392"/>
      <c r="B9" s="4392"/>
      <c r="C9" s="4394"/>
      <c r="D9" s="4392"/>
      <c r="E9" s="4392"/>
      <c r="F9" s="4392"/>
      <c r="G9" s="4392" t="s">
        <v>1034</v>
      </c>
      <c r="H9" s="4392" t="s">
        <v>1035</v>
      </c>
      <c r="I9" s="4392"/>
      <c r="J9" s="1824"/>
    </row>
    <row r="10" spans="1:10" s="1832" customFormat="1" ht="63.75" hidden="1">
      <c r="A10" s="4392"/>
      <c r="B10" s="4392"/>
      <c r="C10" s="4395"/>
      <c r="D10" s="4392"/>
      <c r="E10" s="4392"/>
      <c r="F10" s="4392"/>
      <c r="G10" s="4392"/>
      <c r="H10" s="1830" t="s">
        <v>1036</v>
      </c>
      <c r="I10" s="1830" t="s">
        <v>1037</v>
      </c>
      <c r="J10" s="1824"/>
    </row>
    <row r="11" spans="1:10" ht="25.5" hidden="1" customHeight="1">
      <c r="A11" s="1833">
        <v>1</v>
      </c>
      <c r="B11" s="1834"/>
      <c r="C11" s="1835"/>
      <c r="D11" s="2189">
        <v>2</v>
      </c>
      <c r="E11" s="1836">
        <v>12</v>
      </c>
      <c r="F11" s="1837">
        <v>100</v>
      </c>
      <c r="G11" s="1837"/>
      <c r="H11" s="1837"/>
      <c r="I11" s="1837"/>
      <c r="J11" s="1826"/>
    </row>
    <row r="12" spans="1:10" ht="18" hidden="1" customHeight="1">
      <c r="A12" s="1838"/>
      <c r="B12" s="1838"/>
      <c r="C12" s="1838"/>
      <c r="D12" s="1838"/>
      <c r="E12" s="1838"/>
      <c r="F12" s="1838"/>
      <c r="G12" s="1838"/>
      <c r="H12" s="1838"/>
      <c r="I12" s="1838"/>
      <c r="J12" s="1826"/>
    </row>
    <row r="13" spans="1:10" s="1842" customFormat="1" ht="21.75" hidden="1" customHeight="1">
      <c r="A13" s="1839"/>
      <c r="B13" s="4388" t="s">
        <v>1038</v>
      </c>
      <c r="C13" s="4388"/>
      <c r="D13" s="4388"/>
      <c r="E13" s="4388"/>
      <c r="F13" s="4388"/>
      <c r="G13" s="4388"/>
      <c r="H13" s="4388"/>
      <c r="I13" s="4388"/>
      <c r="J13" s="1841"/>
    </row>
    <row r="14" spans="1:10" s="1842" customFormat="1" ht="20.25" hidden="1" customHeight="1">
      <c r="A14" s="1839"/>
      <c r="B14" s="4389" t="s">
        <v>1039</v>
      </c>
      <c r="C14" s="4389"/>
      <c r="D14" s="4389"/>
      <c r="E14" s="4389"/>
      <c r="F14" s="4389"/>
      <c r="G14" s="4389"/>
      <c r="H14" s="4389"/>
      <c r="I14" s="1839"/>
      <c r="J14" s="1841"/>
    </row>
    <row r="15" spans="1:10" s="1842" customFormat="1" ht="16.5" hidden="1" customHeight="1">
      <c r="A15" s="1839"/>
      <c r="B15" s="4389" t="s">
        <v>1040</v>
      </c>
      <c r="C15" s="4389"/>
      <c r="D15" s="4389"/>
      <c r="E15" s="4389"/>
      <c r="F15" s="4389"/>
      <c r="G15" s="4389"/>
      <c r="H15" s="4389"/>
      <c r="I15" s="1841"/>
      <c r="J15" s="1841"/>
    </row>
    <row r="16" spans="1:10" s="1842" customFormat="1" ht="20.25" hidden="1" customHeight="1">
      <c r="A16" s="1839"/>
      <c r="B16" s="4389" t="s">
        <v>1041</v>
      </c>
      <c r="C16" s="4389"/>
      <c r="D16" s="4389"/>
      <c r="E16" s="4389"/>
      <c r="F16" s="4389"/>
      <c r="G16" s="4389"/>
      <c r="H16" s="4389"/>
      <c r="I16" s="1841"/>
      <c r="J16" s="1841"/>
    </row>
    <row r="17" spans="1:10" s="1842" customFormat="1" ht="15.75" hidden="1" customHeight="1">
      <c r="A17" s="1839"/>
      <c r="B17" s="1839"/>
      <c r="C17" s="1839"/>
      <c r="D17" s="1839"/>
      <c r="E17" s="1839"/>
      <c r="F17" s="1839"/>
      <c r="G17" s="1839"/>
      <c r="H17" s="1839"/>
      <c r="I17" s="1841"/>
      <c r="J17" s="1841"/>
    </row>
    <row r="18" spans="1:10" s="1842" customFormat="1" ht="20.25" hidden="1" customHeight="1">
      <c r="A18" s="4388" t="s">
        <v>1042</v>
      </c>
      <c r="B18" s="4388"/>
      <c r="C18" s="1839"/>
      <c r="D18" s="1839"/>
      <c r="E18" s="4388"/>
      <c r="F18" s="4388"/>
      <c r="G18" s="1839"/>
      <c r="H18" s="1839"/>
      <c r="I18" s="1839"/>
      <c r="J18" s="1841"/>
    </row>
    <row r="19" spans="1:10" s="1845" customFormat="1" ht="24.75" hidden="1" customHeight="1">
      <c r="A19" s="1843" t="s">
        <v>1043</v>
      </c>
      <c r="B19" s="1843"/>
      <c r="C19" s="1843"/>
      <c r="D19" s="1843"/>
      <c r="E19" s="1843"/>
      <c r="F19" s="1843"/>
      <c r="G19" s="1843"/>
      <c r="H19" s="1843"/>
      <c r="I19" s="1843"/>
      <c r="J19" s="1844"/>
    </row>
    <row r="20" spans="1:10" s="1850" customFormat="1" ht="15.75" hidden="1" customHeight="1">
      <c r="A20" s="1846" t="s">
        <v>1044</v>
      </c>
      <c r="B20" s="1847"/>
      <c r="C20" s="1848"/>
      <c r="D20" s="1849">
        <f>0.01*E11*F11*(1+0.01*(G11+H11+I11))</f>
        <v>12</v>
      </c>
      <c r="E20" s="1847" t="s">
        <v>1045</v>
      </c>
      <c r="F20" s="4400"/>
      <c r="G20" s="4400"/>
      <c r="H20" s="1848"/>
      <c r="I20" s="1847"/>
      <c r="J20" s="1847"/>
    </row>
    <row r="21" spans="1:10" s="1853" customFormat="1" ht="19.5" hidden="1" customHeight="1">
      <c r="A21" s="1843" t="s">
        <v>1046</v>
      </c>
      <c r="B21" s="1843"/>
      <c r="C21" s="1843"/>
      <c r="D21" s="1851"/>
      <c r="E21" s="1843"/>
      <c r="F21" s="1843"/>
      <c r="G21" s="1843"/>
      <c r="H21" s="1851"/>
      <c r="I21" s="1852"/>
      <c r="J21" s="1852"/>
    </row>
    <row r="22" spans="1:10" s="1850" customFormat="1" ht="21.75" hidden="1" customHeight="1">
      <c r="A22" s="1846" t="s">
        <v>1047</v>
      </c>
      <c r="B22" s="1847"/>
      <c r="C22" s="1848"/>
      <c r="D22" s="1849">
        <f>0.01*E11*F11*(1+0.01*(H11+I11))</f>
        <v>12</v>
      </c>
      <c r="E22" s="1847" t="s">
        <v>1045</v>
      </c>
      <c r="F22" s="4400"/>
      <c r="G22" s="4400"/>
      <c r="H22" s="1848"/>
      <c r="I22" s="1847"/>
      <c r="J22" s="1847"/>
    </row>
    <row r="23" spans="1:10" s="1842" customFormat="1" ht="11.65" hidden="1" customHeight="1">
      <c r="A23" s="1840"/>
      <c r="B23" s="1840"/>
      <c r="C23" s="1840"/>
      <c r="D23" s="1840"/>
      <c r="E23" s="1840"/>
      <c r="F23" s="1840"/>
      <c r="G23" s="1840"/>
      <c r="H23" s="1840"/>
      <c r="I23" s="1840"/>
      <c r="J23" s="1841"/>
    </row>
    <row r="24" spans="1:10" s="1842" customFormat="1" ht="50.25" hidden="1" customHeight="1">
      <c r="A24" s="4401" t="s">
        <v>1048</v>
      </c>
      <c r="B24" s="4401"/>
      <c r="C24" s="4401"/>
      <c r="D24" s="4401"/>
      <c r="E24" s="4401"/>
      <c r="F24" s="4401"/>
      <c r="G24" s="4401"/>
      <c r="H24" s="4401"/>
      <c r="I24" s="4401"/>
      <c r="J24" s="1841"/>
    </row>
    <row r="25" spans="1:10" ht="13.5" hidden="1" customHeight="1">
      <c r="A25" s="4402"/>
      <c r="B25" s="4402"/>
      <c r="C25" s="4402"/>
      <c r="D25" s="4402"/>
      <c r="E25" s="4402"/>
      <c r="F25" s="1826"/>
      <c r="G25" s="1854"/>
      <c r="H25" s="1826"/>
      <c r="I25" s="1827"/>
      <c r="J25" s="1826"/>
    </row>
    <row r="26" spans="1:10" s="1857" customFormat="1" ht="38.25" hidden="1">
      <c r="A26" s="1830" t="s">
        <v>34</v>
      </c>
      <c r="B26" s="1855" t="s">
        <v>1049</v>
      </c>
      <c r="C26" s="1831" t="s">
        <v>1050</v>
      </c>
      <c r="D26" s="1830" t="s">
        <v>1051</v>
      </c>
      <c r="E26" s="1830" t="s">
        <v>1052</v>
      </c>
      <c r="F26" s="1830" t="s">
        <v>1053</v>
      </c>
      <c r="G26" s="1830" t="s">
        <v>320</v>
      </c>
      <c r="H26" s="1856" t="s">
        <v>7</v>
      </c>
      <c r="I26" s="1856" t="s">
        <v>8</v>
      </c>
    </row>
    <row r="27" spans="1:10" ht="21" hidden="1" customHeight="1">
      <c r="A27" s="1858">
        <v>1</v>
      </c>
      <c r="B27" s="1858" t="s">
        <v>1054</v>
      </c>
      <c r="C27" s="1834"/>
      <c r="D27" s="1859"/>
      <c r="E27" s="1860">
        <f t="shared" ref="E27:E38" si="0">C27*D27</f>
        <v>0</v>
      </c>
      <c r="F27" s="1861"/>
      <c r="G27" s="1860">
        <f t="shared" ref="G27:G38" si="1">E27*F27</f>
        <v>0</v>
      </c>
      <c r="H27" s="1862"/>
      <c r="I27" s="1862"/>
    </row>
    <row r="28" spans="1:10" ht="21" hidden="1" customHeight="1">
      <c r="A28" s="1858">
        <v>2</v>
      </c>
      <c r="B28" s="1858" t="s">
        <v>1055</v>
      </c>
      <c r="C28" s="1834"/>
      <c r="D28" s="1859"/>
      <c r="E28" s="1860">
        <f t="shared" si="0"/>
        <v>0</v>
      </c>
      <c r="F28" s="1861"/>
      <c r="G28" s="1860">
        <f t="shared" si="1"/>
        <v>0</v>
      </c>
      <c r="H28" s="1862"/>
      <c r="I28" s="1862"/>
    </row>
    <row r="29" spans="1:10" ht="21" hidden="1" customHeight="1">
      <c r="A29" s="1858">
        <v>3</v>
      </c>
      <c r="B29" s="1858" t="s">
        <v>1056</v>
      </c>
      <c r="C29" s="1834"/>
      <c r="D29" s="1859"/>
      <c r="E29" s="1860">
        <f t="shared" si="0"/>
        <v>0</v>
      </c>
      <c r="F29" s="1861"/>
      <c r="G29" s="1860">
        <f t="shared" si="1"/>
        <v>0</v>
      </c>
      <c r="H29" s="1862"/>
      <c r="I29" s="1862"/>
    </row>
    <row r="30" spans="1:10" ht="21" hidden="1" customHeight="1">
      <c r="A30" s="1858">
        <v>4</v>
      </c>
      <c r="B30" s="1858" t="s">
        <v>1057</v>
      </c>
      <c r="C30" s="1834"/>
      <c r="D30" s="1859"/>
      <c r="E30" s="1860">
        <f t="shared" si="0"/>
        <v>0</v>
      </c>
      <c r="F30" s="1861"/>
      <c r="G30" s="1860">
        <f t="shared" si="1"/>
        <v>0</v>
      </c>
      <c r="H30" s="1862"/>
      <c r="I30" s="1862"/>
    </row>
    <row r="31" spans="1:10" ht="21" hidden="1" customHeight="1">
      <c r="A31" s="1858">
        <v>5</v>
      </c>
      <c r="B31" s="1858" t="s">
        <v>1058</v>
      </c>
      <c r="C31" s="1834"/>
      <c r="D31" s="1859"/>
      <c r="E31" s="1860">
        <f t="shared" si="0"/>
        <v>0</v>
      </c>
      <c r="F31" s="1861"/>
      <c r="G31" s="1860">
        <f t="shared" si="1"/>
        <v>0</v>
      </c>
      <c r="H31" s="1862"/>
      <c r="I31" s="1862"/>
    </row>
    <row r="32" spans="1:10" ht="21" hidden="1" customHeight="1">
      <c r="A32" s="1858">
        <v>6</v>
      </c>
      <c r="B32" s="1858" t="s">
        <v>1059</v>
      </c>
      <c r="C32" s="1834"/>
      <c r="D32" s="1859"/>
      <c r="E32" s="1860">
        <f t="shared" si="0"/>
        <v>0</v>
      </c>
      <c r="F32" s="1861"/>
      <c r="G32" s="1860">
        <f t="shared" si="1"/>
        <v>0</v>
      </c>
      <c r="H32" s="1862"/>
      <c r="I32" s="1862"/>
    </row>
    <row r="33" spans="1:11" ht="21" hidden="1" customHeight="1">
      <c r="A33" s="1858">
        <v>7</v>
      </c>
      <c r="B33" s="1858" t="s">
        <v>1060</v>
      </c>
      <c r="C33" s="1834"/>
      <c r="D33" s="1859"/>
      <c r="E33" s="1860">
        <f t="shared" si="0"/>
        <v>0</v>
      </c>
      <c r="F33" s="1861"/>
      <c r="G33" s="1860">
        <f t="shared" si="1"/>
        <v>0</v>
      </c>
      <c r="H33" s="1862"/>
      <c r="I33" s="1862"/>
    </row>
    <row r="34" spans="1:11" ht="21" hidden="1" customHeight="1">
      <c r="A34" s="1858">
        <v>8</v>
      </c>
      <c r="B34" s="1858" t="s">
        <v>1061</v>
      </c>
      <c r="C34" s="1834"/>
      <c r="D34" s="1859"/>
      <c r="E34" s="1860">
        <f t="shared" si="0"/>
        <v>0</v>
      </c>
      <c r="F34" s="1861"/>
      <c r="G34" s="1860">
        <f t="shared" si="1"/>
        <v>0</v>
      </c>
      <c r="H34" s="1862"/>
      <c r="I34" s="1862"/>
    </row>
    <row r="35" spans="1:11" ht="21" hidden="1" customHeight="1">
      <c r="A35" s="1858">
        <v>9</v>
      </c>
      <c r="B35" s="1858" t="s">
        <v>1062</v>
      </c>
      <c r="C35" s="1834"/>
      <c r="D35" s="1859"/>
      <c r="E35" s="1860">
        <f t="shared" si="0"/>
        <v>0</v>
      </c>
      <c r="F35" s="1861"/>
      <c r="G35" s="1860">
        <f t="shared" si="1"/>
        <v>0</v>
      </c>
      <c r="H35" s="1862"/>
      <c r="I35" s="1862"/>
    </row>
    <row r="36" spans="1:11" ht="21" hidden="1" customHeight="1">
      <c r="A36" s="1858">
        <v>10</v>
      </c>
      <c r="B36" s="1858" t="s">
        <v>1063</v>
      </c>
      <c r="C36" s="1834"/>
      <c r="D36" s="1859"/>
      <c r="E36" s="1860">
        <f t="shared" si="0"/>
        <v>0</v>
      </c>
      <c r="F36" s="1861"/>
      <c r="G36" s="1860">
        <f t="shared" si="1"/>
        <v>0</v>
      </c>
      <c r="H36" s="1862"/>
      <c r="I36" s="1862"/>
    </row>
    <row r="37" spans="1:11" ht="21" hidden="1" customHeight="1">
      <c r="A37" s="1858">
        <v>11</v>
      </c>
      <c r="B37" s="1858" t="s">
        <v>1064</v>
      </c>
      <c r="C37" s="1834"/>
      <c r="D37" s="1859"/>
      <c r="E37" s="1860">
        <f t="shared" si="0"/>
        <v>0</v>
      </c>
      <c r="F37" s="1861"/>
      <c r="G37" s="1860">
        <f t="shared" si="1"/>
        <v>0</v>
      </c>
      <c r="H37" s="1862"/>
      <c r="I37" s="1862"/>
    </row>
    <row r="38" spans="1:11" ht="21" hidden="1" customHeight="1">
      <c r="A38" s="1858">
        <v>12</v>
      </c>
      <c r="B38" s="1858" t="s">
        <v>1065</v>
      </c>
      <c r="C38" s="1834"/>
      <c r="D38" s="1859"/>
      <c r="E38" s="1860">
        <f t="shared" si="0"/>
        <v>0</v>
      </c>
      <c r="F38" s="1861"/>
      <c r="G38" s="1860">
        <f t="shared" si="1"/>
        <v>0</v>
      </c>
      <c r="H38" s="1862"/>
      <c r="I38" s="1862"/>
    </row>
    <row r="39" spans="1:11" ht="21" hidden="1" customHeight="1">
      <c r="A39" s="1858"/>
      <c r="B39" s="1863" t="s">
        <v>20</v>
      </c>
      <c r="C39" s="1830">
        <f>SUM(C27:C38)</f>
        <v>0</v>
      </c>
      <c r="D39" s="1830"/>
      <c r="E39" s="1864">
        <f>SUM(E27:E38)</f>
        <v>0</v>
      </c>
      <c r="F39" s="1864"/>
      <c r="G39" s="1864">
        <f>SUM(G27:G38)</f>
        <v>0</v>
      </c>
      <c r="H39" s="1864">
        <f>SUM(H27:H38)</f>
        <v>0</v>
      </c>
      <c r="I39" s="1864">
        <f>SUM(I27:I38)</f>
        <v>0</v>
      </c>
    </row>
    <row r="40" spans="1:11" ht="33.75" hidden="1" customHeight="1">
      <c r="A40" s="1858"/>
      <c r="B40" s="1858" t="s">
        <v>1066</v>
      </c>
      <c r="C40" s="1865"/>
      <c r="D40" s="1866"/>
      <c r="E40" s="1867"/>
      <c r="F40" s="1867"/>
      <c r="G40" s="1867"/>
      <c r="H40" s="1867"/>
      <c r="I40" s="1867"/>
    </row>
    <row r="41" spans="1:11" ht="34.5" hidden="1" customHeight="1">
      <c r="A41" s="1858"/>
      <c r="B41" s="1863" t="s">
        <v>1067</v>
      </c>
      <c r="C41" s="1866"/>
      <c r="D41" s="1866"/>
      <c r="E41" s="1868">
        <f>E39-E40</f>
        <v>0</v>
      </c>
      <c r="F41" s="1866"/>
      <c r="G41" s="1868">
        <f>G39-G40</f>
        <v>0</v>
      </c>
      <c r="H41" s="1868">
        <f>H39-H40</f>
        <v>0</v>
      </c>
      <c r="I41" s="1868">
        <f>I39-I40</f>
        <v>0</v>
      </c>
    </row>
    <row r="42" spans="1:11" ht="21" hidden="1" customHeight="1">
      <c r="A42" s="1869"/>
      <c r="B42" s="1870"/>
      <c r="C42" s="1870"/>
      <c r="D42" s="1828"/>
      <c r="E42" s="1871"/>
      <c r="F42" s="1871"/>
      <c r="G42" s="1871"/>
      <c r="H42" s="1871"/>
      <c r="I42" s="1871"/>
      <c r="J42" s="1826"/>
    </row>
    <row r="43" spans="1:11" ht="12.75" hidden="1" customHeight="1">
      <c r="A43" s="2190" t="s">
        <v>1069</v>
      </c>
      <c r="B43" s="2190"/>
      <c r="C43" s="2190"/>
      <c r="D43" s="2190"/>
      <c r="E43" s="2190"/>
      <c r="F43" s="2190"/>
      <c r="G43" s="2191"/>
      <c r="H43" s="2191"/>
      <c r="I43" s="1872"/>
      <c r="J43" s="1826"/>
    </row>
    <row r="44" spans="1:11">
      <c r="A44" s="2191"/>
      <c r="B44" s="2191"/>
      <c r="C44" s="2191"/>
      <c r="D44" s="2191"/>
      <c r="E44" s="2192"/>
      <c r="F44" s="2191"/>
      <c r="G44" s="2191"/>
      <c r="H44" s="2191"/>
    </row>
    <row r="45" spans="1:11" ht="15.75" customHeight="1">
      <c r="A45" s="4396" t="s">
        <v>1070</v>
      </c>
      <c r="B45" s="4396" t="s">
        <v>1071</v>
      </c>
      <c r="C45" s="4396" t="s">
        <v>1072</v>
      </c>
      <c r="D45" s="4396" t="s">
        <v>1073</v>
      </c>
      <c r="E45" s="4396" t="s">
        <v>1074</v>
      </c>
      <c r="F45" s="4396" t="s">
        <v>1075</v>
      </c>
      <c r="G45" s="4396" t="s">
        <v>1076</v>
      </c>
      <c r="H45" s="4396" t="s">
        <v>1077</v>
      </c>
      <c r="I45" s="4396" t="s">
        <v>345</v>
      </c>
    </row>
    <row r="46" spans="1:11">
      <c r="A46" s="4396"/>
      <c r="B46" s="4396"/>
      <c r="C46" s="4396"/>
      <c r="D46" s="4396"/>
      <c r="E46" s="4396"/>
      <c r="F46" s="4396"/>
      <c r="G46" s="4396"/>
      <c r="H46" s="4396"/>
      <c r="I46" s="4396"/>
    </row>
    <row r="47" spans="1:11" ht="50.25" customHeight="1">
      <c r="A47" s="2193">
        <v>1</v>
      </c>
      <c r="B47" s="2193" t="s">
        <v>4458</v>
      </c>
      <c r="C47" s="2194" t="s">
        <v>1080</v>
      </c>
      <c r="D47" s="1836">
        <v>6</v>
      </c>
      <c r="E47" s="1836">
        <v>44.375</v>
      </c>
      <c r="F47" s="1836">
        <v>7</v>
      </c>
      <c r="G47" s="1913">
        <f t="shared" ref="G47:G52" si="2">D47*E47*F47</f>
        <v>1863.75</v>
      </c>
      <c r="H47" s="1912">
        <f>145*1.12</f>
        <v>162.4</v>
      </c>
      <c r="I47" s="2195">
        <f t="shared" ref="I47:I52" si="3">G47*H47</f>
        <v>302673</v>
      </c>
      <c r="J47" s="2196"/>
      <c r="K47" s="2196"/>
    </row>
    <row r="48" spans="1:11" ht="59.25" customHeight="1">
      <c r="A48" s="2193">
        <v>2</v>
      </c>
      <c r="B48" s="2193" t="s">
        <v>4459</v>
      </c>
      <c r="C48" s="2194" t="s">
        <v>1080</v>
      </c>
      <c r="D48" s="1836">
        <v>8.9</v>
      </c>
      <c r="E48" s="1836">
        <v>61.75</v>
      </c>
      <c r="F48" s="1836">
        <v>5</v>
      </c>
      <c r="G48" s="1873">
        <f t="shared" si="2"/>
        <v>2747.875</v>
      </c>
      <c r="H48" s="1874">
        <f>185*1.12</f>
        <v>207.20000000000002</v>
      </c>
      <c r="I48" s="2195">
        <f t="shared" si="3"/>
        <v>569359.70000000007</v>
      </c>
      <c r="J48" s="2196"/>
      <c r="K48" s="2196"/>
    </row>
    <row r="49" spans="1:11" ht="59.25" customHeight="1">
      <c r="A49" s="2193">
        <v>3</v>
      </c>
      <c r="B49" s="2193" t="s">
        <v>1079</v>
      </c>
      <c r="C49" s="2194" t="s">
        <v>1080</v>
      </c>
      <c r="D49" s="1836">
        <v>6</v>
      </c>
      <c r="E49" s="1836">
        <v>44.375</v>
      </c>
      <c r="F49" s="1836">
        <v>7</v>
      </c>
      <c r="G49" s="1873">
        <f t="shared" si="2"/>
        <v>1863.75</v>
      </c>
      <c r="H49" s="1912">
        <f>145*1.12</f>
        <v>162.4</v>
      </c>
      <c r="I49" s="2195">
        <f t="shared" si="3"/>
        <v>302673</v>
      </c>
      <c r="J49" s="2196"/>
      <c r="K49" s="2196"/>
    </row>
    <row r="50" spans="1:11" ht="59.25" customHeight="1">
      <c r="A50" s="2193">
        <v>4</v>
      </c>
      <c r="B50" s="2193" t="s">
        <v>1081</v>
      </c>
      <c r="C50" s="2194" t="s">
        <v>1080</v>
      </c>
      <c r="D50" s="1836">
        <v>8.9</v>
      </c>
      <c r="E50" s="1836">
        <v>61.75</v>
      </c>
      <c r="F50" s="1836">
        <v>5</v>
      </c>
      <c r="G50" s="1873">
        <f t="shared" si="2"/>
        <v>2747.875</v>
      </c>
      <c r="H50" s="1874">
        <f>185*1.12</f>
        <v>207.20000000000002</v>
      </c>
      <c r="I50" s="2195">
        <f t="shared" si="3"/>
        <v>569359.70000000007</v>
      </c>
      <c r="J50" s="2196"/>
      <c r="K50" s="2196"/>
    </row>
    <row r="51" spans="1:11" ht="59.25" customHeight="1">
      <c r="A51" s="2193">
        <v>5</v>
      </c>
      <c r="B51" s="2193" t="s">
        <v>1082</v>
      </c>
      <c r="C51" s="2194" t="s">
        <v>1080</v>
      </c>
      <c r="D51" s="1836">
        <v>6</v>
      </c>
      <c r="E51" s="1836">
        <v>44.375</v>
      </c>
      <c r="F51" s="1836">
        <v>7</v>
      </c>
      <c r="G51" s="1873">
        <f t="shared" si="2"/>
        <v>1863.75</v>
      </c>
      <c r="H51" s="1912">
        <f>145*1.12</f>
        <v>162.4</v>
      </c>
      <c r="I51" s="2195">
        <f t="shared" si="3"/>
        <v>302673</v>
      </c>
      <c r="J51" s="2197"/>
      <c r="K51" s="2196"/>
    </row>
    <row r="52" spans="1:11" ht="59.25" customHeight="1">
      <c r="A52" s="2193">
        <v>6</v>
      </c>
      <c r="B52" s="2193" t="s">
        <v>1083</v>
      </c>
      <c r="C52" s="2194" t="s">
        <v>1080</v>
      </c>
      <c r="D52" s="1836">
        <v>8.9</v>
      </c>
      <c r="E52" s="1836">
        <v>61.75</v>
      </c>
      <c r="F52" s="1836">
        <v>5</v>
      </c>
      <c r="G52" s="1873">
        <f t="shared" si="2"/>
        <v>2747.875</v>
      </c>
      <c r="H52" s="1874">
        <f>185*1.12</f>
        <v>207.20000000000002</v>
      </c>
      <c r="I52" s="2195">
        <f t="shared" si="3"/>
        <v>569359.70000000007</v>
      </c>
      <c r="J52" s="2198"/>
      <c r="K52" s="2196"/>
    </row>
    <row r="53" spans="1:11" ht="22.5" customHeight="1">
      <c r="A53" s="2199">
        <v>7</v>
      </c>
      <c r="B53" s="2200" t="s">
        <v>3535</v>
      </c>
      <c r="C53" s="2201"/>
      <c r="D53" s="2202"/>
      <c r="E53" s="2202"/>
      <c r="F53" s="2202"/>
      <c r="G53" s="2203">
        <f>SUM(G47:G52)</f>
        <v>13834.875</v>
      </c>
      <c r="H53" s="2204"/>
      <c r="I53" s="2205">
        <f>SUM(I47:I52)</f>
        <v>2616098.1000000006</v>
      </c>
      <c r="J53" s="2196"/>
      <c r="K53" s="2196"/>
    </row>
    <row r="54" spans="1:11" ht="22.5" customHeight="1">
      <c r="A54" s="2206"/>
      <c r="B54" s="2207" t="s">
        <v>4460</v>
      </c>
      <c r="C54" s="2208"/>
      <c r="D54" s="2209"/>
      <c r="E54" s="2209"/>
      <c r="F54" s="2209"/>
      <c r="G54" s="2210">
        <f>G47+G49+G51</f>
        <v>5591.25</v>
      </c>
      <c r="H54" s="1912">
        <f>145*1.12</f>
        <v>162.4</v>
      </c>
      <c r="I54" s="2211">
        <f>G54*H54</f>
        <v>908019</v>
      </c>
      <c r="J54" s="2196"/>
      <c r="K54" s="2196"/>
    </row>
    <row r="55" spans="1:11" ht="22.5" customHeight="1">
      <c r="A55" s="2206"/>
      <c r="B55" s="2207" t="s">
        <v>4461</v>
      </c>
      <c r="C55" s="2208"/>
      <c r="D55" s="2209"/>
      <c r="E55" s="2209"/>
      <c r="F55" s="2209"/>
      <c r="G55" s="2210">
        <f>G48+G50+G52</f>
        <v>8243.625</v>
      </c>
      <c r="H55" s="1874">
        <f>185*1.12</f>
        <v>207.20000000000002</v>
      </c>
      <c r="I55" s="2211">
        <f>G55*H55</f>
        <v>1708079.1</v>
      </c>
      <c r="J55" s="2196"/>
      <c r="K55" s="2196"/>
    </row>
    <row r="56" spans="1:11" s="2219" customFormat="1" ht="51.75" customHeight="1">
      <c r="A56" s="2212">
        <v>10</v>
      </c>
      <c r="B56" s="2212" t="s">
        <v>1084</v>
      </c>
      <c r="C56" s="2213" t="s">
        <v>1080</v>
      </c>
      <c r="D56" s="2214">
        <v>0.95</v>
      </c>
      <c r="E56" s="2214">
        <v>120</v>
      </c>
      <c r="F56" s="2214">
        <v>5.7</v>
      </c>
      <c r="G56" s="2215">
        <f>D56*E56*F56</f>
        <v>649.80000000000007</v>
      </c>
      <c r="H56" s="1874">
        <f>111.61*1.12</f>
        <v>125.00320000000001</v>
      </c>
      <c r="I56" s="2217">
        <f>G56*H56</f>
        <v>81227.079360000018</v>
      </c>
      <c r="J56" s="2218"/>
      <c r="K56" s="2218"/>
    </row>
    <row r="57" spans="1:11" ht="30" customHeight="1">
      <c r="A57" s="2193">
        <v>11</v>
      </c>
      <c r="B57" s="1830" t="s">
        <v>20</v>
      </c>
      <c r="C57" s="2194"/>
      <c r="D57" s="1836"/>
      <c r="E57" s="1836"/>
      <c r="F57" s="1836"/>
      <c r="G57" s="1873">
        <f>G56</f>
        <v>649.80000000000007</v>
      </c>
      <c r="H57" s="2220"/>
      <c r="I57" s="2221">
        <f>I56</f>
        <v>81227.079360000018</v>
      </c>
      <c r="J57" s="2196"/>
      <c r="K57" s="2196"/>
    </row>
    <row r="58" spans="1:11" s="2219" customFormat="1" ht="54" customHeight="1">
      <c r="A58" s="2212">
        <v>14</v>
      </c>
      <c r="B58" s="2212" t="s">
        <v>1085</v>
      </c>
      <c r="C58" s="2213" t="s">
        <v>1080</v>
      </c>
      <c r="D58" s="2214">
        <v>0.95</v>
      </c>
      <c r="E58" s="2214">
        <v>120</v>
      </c>
      <c r="F58" s="2214">
        <v>5.7</v>
      </c>
      <c r="G58" s="2215">
        <f>D58*E58*F58</f>
        <v>649.80000000000007</v>
      </c>
      <c r="H58" s="2216">
        <f>H56</f>
        <v>125.00320000000001</v>
      </c>
      <c r="I58" s="2222">
        <f>G58*H58</f>
        <v>81227.079360000018</v>
      </c>
      <c r="J58" s="2218"/>
      <c r="K58" s="2218"/>
    </row>
    <row r="59" spans="1:11" ht="30" customHeight="1">
      <c r="A59" s="2193">
        <v>17</v>
      </c>
      <c r="B59" s="1830" t="s">
        <v>1067</v>
      </c>
      <c r="C59" s="1876"/>
      <c r="D59" s="1836"/>
      <c r="E59" s="1836"/>
      <c r="F59" s="1836"/>
      <c r="G59" s="1873">
        <f>G58</f>
        <v>649.80000000000007</v>
      </c>
      <c r="H59" s="1836"/>
      <c r="I59" s="1875">
        <f>I58</f>
        <v>81227.079360000018</v>
      </c>
      <c r="J59" s="2196"/>
      <c r="K59" s="2196"/>
    </row>
    <row r="60" spans="1:11" s="2219" customFormat="1" ht="51" customHeight="1">
      <c r="A60" s="2212">
        <v>18</v>
      </c>
      <c r="B60" s="2212" t="s">
        <v>4462</v>
      </c>
      <c r="C60" s="2213" t="s">
        <v>1080</v>
      </c>
      <c r="D60" s="2214">
        <v>0.95</v>
      </c>
      <c r="E60" s="2214">
        <v>120</v>
      </c>
      <c r="F60" s="2214">
        <v>5.7</v>
      </c>
      <c r="G60" s="2215">
        <f>D60*E60*F60</f>
        <v>649.80000000000007</v>
      </c>
      <c r="H60" s="2216">
        <f>H58</f>
        <v>125.00320000000001</v>
      </c>
      <c r="I60" s="2222">
        <f>G60*H60</f>
        <v>81227.079360000018</v>
      </c>
      <c r="J60" s="2223"/>
      <c r="K60" s="2218"/>
    </row>
    <row r="61" spans="1:11" ht="30" customHeight="1">
      <c r="A61" s="2193">
        <v>19</v>
      </c>
      <c r="B61" s="1830" t="s">
        <v>20</v>
      </c>
      <c r="C61" s="2194"/>
      <c r="D61" s="1836"/>
      <c r="E61" s="1836"/>
      <c r="F61" s="1836"/>
      <c r="G61" s="1873">
        <f>G60</f>
        <v>649.80000000000007</v>
      </c>
      <c r="H61" s="2220"/>
      <c r="I61" s="2224">
        <f>I60</f>
        <v>81227.079360000018</v>
      </c>
      <c r="J61" s="2196"/>
      <c r="K61" s="2196"/>
    </row>
    <row r="62" spans="1:11" ht="30" customHeight="1">
      <c r="A62" s="2225"/>
      <c r="B62" s="2226" t="s">
        <v>4463</v>
      </c>
      <c r="C62" s="2227"/>
      <c r="D62" s="2228"/>
      <c r="E62" s="2228"/>
      <c r="F62" s="2228"/>
      <c r="G62" s="2210">
        <f>G56+G58+G60</f>
        <v>1949.4</v>
      </c>
      <c r="H62" s="2229">
        <f>H60</f>
        <v>125.00320000000001</v>
      </c>
      <c r="I62" s="2230">
        <f>G62*H62</f>
        <v>243681.23808000001</v>
      </c>
      <c r="J62" s="2196"/>
      <c r="K62" s="2196"/>
    </row>
    <row r="63" spans="1:11" s="2239" customFormat="1" ht="51.75" customHeight="1">
      <c r="A63" s="2231">
        <v>22</v>
      </c>
      <c r="B63" s="2231" t="s">
        <v>4464</v>
      </c>
      <c r="C63" s="2232" t="s">
        <v>1080</v>
      </c>
      <c r="D63" s="2233">
        <v>1.46</v>
      </c>
      <c r="E63" s="2234">
        <f>ROUND(407/3,0)</f>
        <v>136</v>
      </c>
      <c r="F63" s="2233">
        <v>3</v>
      </c>
      <c r="G63" s="2235">
        <f>D63*E63*F63</f>
        <v>595.68000000000006</v>
      </c>
      <c r="H63" s="2236">
        <f>H62</f>
        <v>125.00320000000001</v>
      </c>
      <c r="I63" s="2237">
        <f>G63*H63</f>
        <v>74461.906176000019</v>
      </c>
      <c r="J63" s="2238"/>
      <c r="K63" s="2238"/>
    </row>
    <row r="64" spans="1:11" ht="30" customHeight="1">
      <c r="A64" s="2193">
        <v>23</v>
      </c>
      <c r="B64" s="1830" t="s">
        <v>20</v>
      </c>
      <c r="C64" s="2194"/>
      <c r="D64" s="1836"/>
      <c r="E64" s="1836"/>
      <c r="F64" s="1836"/>
      <c r="G64" s="1873">
        <f>G63</f>
        <v>595.68000000000006</v>
      </c>
      <c r="H64" s="2220"/>
      <c r="I64" s="2240">
        <f>I63</f>
        <v>74461.906176000019</v>
      </c>
      <c r="J64" s="2196"/>
      <c r="K64" s="2196"/>
    </row>
    <row r="65" spans="1:11" s="2239" customFormat="1" ht="50.25" customHeight="1">
      <c r="A65" s="2231">
        <v>26</v>
      </c>
      <c r="B65" s="2231" t="s">
        <v>1086</v>
      </c>
      <c r="C65" s="2232" t="s">
        <v>1080</v>
      </c>
      <c r="D65" s="2233">
        <v>1.46</v>
      </c>
      <c r="E65" s="2234">
        <f>ROUND(407/3,0)</f>
        <v>136</v>
      </c>
      <c r="F65" s="2233">
        <v>3</v>
      </c>
      <c r="G65" s="2235">
        <f>D65*E65*F65</f>
        <v>595.68000000000006</v>
      </c>
      <c r="H65" s="2236">
        <f>H63</f>
        <v>125.00320000000001</v>
      </c>
      <c r="I65" s="2237">
        <f>G65*H65</f>
        <v>74461.906176000019</v>
      </c>
      <c r="J65" s="2238"/>
      <c r="K65" s="2238"/>
    </row>
    <row r="66" spans="1:11" ht="30" customHeight="1">
      <c r="A66" s="2193">
        <v>27</v>
      </c>
      <c r="B66" s="1830" t="s">
        <v>20</v>
      </c>
      <c r="C66" s="2194"/>
      <c r="D66" s="1836"/>
      <c r="E66" s="1836"/>
      <c r="F66" s="1836"/>
      <c r="G66" s="1873">
        <f>G65</f>
        <v>595.68000000000006</v>
      </c>
      <c r="H66" s="2220"/>
      <c r="I66" s="2240">
        <f>I65</f>
        <v>74461.906176000019</v>
      </c>
      <c r="J66" s="2196"/>
      <c r="K66" s="2196"/>
    </row>
    <row r="67" spans="1:11" s="2239" customFormat="1" ht="34.5" customHeight="1">
      <c r="A67" s="2231">
        <v>30</v>
      </c>
      <c r="B67" s="2231" t="s">
        <v>1087</v>
      </c>
      <c r="C67" s="2232" t="s">
        <v>1080</v>
      </c>
      <c r="D67" s="2233">
        <v>1.46</v>
      </c>
      <c r="E67" s="2234">
        <f>ROUND(407/3,0)</f>
        <v>136</v>
      </c>
      <c r="F67" s="2233">
        <v>3</v>
      </c>
      <c r="G67" s="2235">
        <f>D67*E67*F67</f>
        <v>595.68000000000006</v>
      </c>
      <c r="H67" s="2236">
        <f>H65</f>
        <v>125.00320000000001</v>
      </c>
      <c r="I67" s="2237">
        <f>G67*H67</f>
        <v>74461.906176000019</v>
      </c>
      <c r="J67" s="2241"/>
      <c r="K67" s="2242"/>
    </row>
    <row r="68" spans="1:11">
      <c r="A68" s="1833"/>
      <c r="B68" s="1830" t="s">
        <v>20</v>
      </c>
      <c r="C68" s="2194"/>
      <c r="D68" s="1836"/>
      <c r="E68" s="1836"/>
      <c r="F68" s="1836"/>
      <c r="G68" s="1873">
        <f>G67</f>
        <v>595.68000000000006</v>
      </c>
      <c r="H68" s="2220"/>
      <c r="I68" s="2240">
        <f>I67</f>
        <v>74461.906176000019</v>
      </c>
      <c r="J68" s="2243"/>
      <c r="K68" s="2243"/>
    </row>
    <row r="69" spans="1:11">
      <c r="A69" s="2244"/>
      <c r="B69" s="2245" t="s">
        <v>4465</v>
      </c>
      <c r="C69" s="2246"/>
      <c r="D69" s="2233"/>
      <c r="E69" s="2233"/>
      <c r="F69" s="2233"/>
      <c r="G69" s="2247">
        <f>G63+G65+G67</f>
        <v>1787.0400000000002</v>
      </c>
      <c r="H69" s="2248">
        <f>H67</f>
        <v>125.00320000000001</v>
      </c>
      <c r="I69" s="2249">
        <f>G69*H69</f>
        <v>223385.71852800003</v>
      </c>
      <c r="J69" s="2243"/>
      <c r="K69" s="2243"/>
    </row>
    <row r="70" spans="1:11">
      <c r="A70" s="1833"/>
      <c r="B70" s="1830"/>
      <c r="C70" s="2250"/>
      <c r="D70" s="1836"/>
      <c r="E70" s="1836"/>
      <c r="F70" s="1836"/>
      <c r="G70" s="1873"/>
      <c r="H70" s="2251"/>
      <c r="I70" s="2240"/>
      <c r="J70" s="2243"/>
      <c r="K70" s="2243"/>
    </row>
    <row r="71" spans="1:11" ht="13.5">
      <c r="A71" s="2252"/>
      <c r="B71" s="4397" t="s">
        <v>1088</v>
      </c>
      <c r="C71" s="4398"/>
      <c r="D71" s="4398"/>
      <c r="E71" s="4398"/>
      <c r="F71" s="4398"/>
      <c r="G71" s="4398"/>
      <c r="H71" s="4399"/>
      <c r="I71" s="2253">
        <f>I54+I55+I62+I69</f>
        <v>3083165.0566080003</v>
      </c>
    </row>
    <row r="73" spans="1:11" s="1823" customFormat="1">
      <c r="A73" s="1826"/>
      <c r="B73" s="524"/>
      <c r="C73" s="1145" t="s">
        <v>254</v>
      </c>
      <c r="D73" s="1145" t="s">
        <v>4466</v>
      </c>
      <c r="E73" s="1522"/>
      <c r="F73" s="580"/>
      <c r="G73" s="580"/>
      <c r="H73" s="580"/>
      <c r="I73" s="580"/>
      <c r="J73" s="1877"/>
    </row>
    <row r="74" spans="1:11" s="1823" customFormat="1">
      <c r="A74" s="1826"/>
      <c r="B74" s="2172" t="s">
        <v>4467</v>
      </c>
      <c r="C74" s="2173">
        <f>I54</f>
        <v>908019</v>
      </c>
      <c r="D74" s="2174">
        <f>'гсм школа'!G47+'гсм школа'!G49</f>
        <v>1863.75</v>
      </c>
      <c r="E74" s="1522"/>
      <c r="F74" s="580"/>
      <c r="G74" s="580"/>
      <c r="H74" s="580"/>
      <c r="I74" s="580"/>
      <c r="J74" s="1877"/>
    </row>
    <row r="75" spans="1:11" s="1823" customFormat="1">
      <c r="A75" s="1826"/>
      <c r="B75" s="2172" t="s">
        <v>4468</v>
      </c>
      <c r="C75" s="2173">
        <f>I55</f>
        <v>1708079.1</v>
      </c>
      <c r="D75" s="2174">
        <f>'гсм школа'!G48+'гсм школа'!G50</f>
        <v>2747.8760000000002</v>
      </c>
      <c r="E75" s="1522"/>
      <c r="F75" s="580"/>
      <c r="G75" s="580"/>
      <c r="H75" s="580"/>
      <c r="I75" s="580"/>
      <c r="J75" s="1877"/>
    </row>
    <row r="76" spans="1:11" ht="15.75">
      <c r="A76" s="1826"/>
      <c r="B76" s="2175" t="s">
        <v>4469</v>
      </c>
      <c r="C76" s="2176">
        <f>I62</f>
        <v>243681.23808000001</v>
      </c>
      <c r="D76" s="2177">
        <f>'гсм школа'!G52+'гсм школа'!G54</f>
        <v>649.79999999999995</v>
      </c>
      <c r="E76" s="1523"/>
      <c r="F76" s="186"/>
      <c r="G76" s="580"/>
      <c r="H76" s="580"/>
      <c r="I76" s="580"/>
      <c r="J76" s="1826"/>
    </row>
    <row r="77" spans="1:11">
      <c r="A77" s="1826"/>
      <c r="B77" s="2175" t="s">
        <v>4465</v>
      </c>
      <c r="C77" s="2176">
        <f>I69</f>
        <v>223385.71852800003</v>
      </c>
      <c r="D77" s="2177">
        <f>'гсм школа'!G56+'гсм школа'!G58</f>
        <v>595.68000000000006</v>
      </c>
      <c r="E77" s="1523"/>
      <c r="F77" s="580"/>
      <c r="G77" s="580"/>
      <c r="H77" s="580"/>
      <c r="I77" s="580"/>
      <c r="J77" s="1826"/>
    </row>
    <row r="78" spans="1:11">
      <c r="A78" s="1826"/>
      <c r="B78" s="2178"/>
      <c r="C78" s="2179"/>
      <c r="D78" s="88"/>
      <c r="E78" s="1523"/>
      <c r="F78" s="580"/>
      <c r="G78" s="580"/>
      <c r="H78" s="580"/>
      <c r="I78" s="580"/>
      <c r="J78" s="1826"/>
    </row>
    <row r="79" spans="1:11">
      <c r="B79" s="2175" t="s">
        <v>4470</v>
      </c>
      <c r="C79" s="2176" t="s">
        <v>4466</v>
      </c>
      <c r="D79" s="2180" t="s">
        <v>4061</v>
      </c>
      <c r="E79" s="3012" t="s">
        <v>559</v>
      </c>
      <c r="F79" s="2659" t="s">
        <v>561</v>
      </c>
      <c r="G79" s="580"/>
      <c r="H79" s="580"/>
      <c r="I79" s="580"/>
    </row>
    <row r="80" spans="1:11" ht="38.25">
      <c r="B80" s="2181" t="s">
        <v>4471</v>
      </c>
      <c r="C80" s="2182">
        <f>(D74+D75)/1000*0.769*0.63*2269</f>
        <v>5069.3872030111806</v>
      </c>
      <c r="D80" s="2183" t="s">
        <v>4472</v>
      </c>
      <c r="E80" s="2182">
        <f>ROUND((D74+D75)/1000*0.769*0.63*'налог на транс 2.22.03'!N3,0)</f>
        <v>5373</v>
      </c>
      <c r="F80" s="2182">
        <f>ROUND((D74+D75)/1000*0.769*0.63*'налог на транс 2.22.03'!O3,0)</f>
        <v>5641</v>
      </c>
      <c r="G80" s="580"/>
      <c r="H80" s="580"/>
      <c r="I80" s="580"/>
    </row>
    <row r="81" spans="2:6" ht="38.25">
      <c r="B81" s="2184" t="s">
        <v>4473</v>
      </c>
      <c r="C81" s="2185">
        <f>(D76+D77)/1000*0.73*0.33*2269</f>
        <v>680.78198350800005</v>
      </c>
      <c r="D81" s="2186" t="s">
        <v>4474</v>
      </c>
      <c r="E81" s="2182">
        <f>ROUND((D76+D77)/1000*0.73*0.33*'налог на транс 2.22.03'!N3,0)</f>
        <v>722</v>
      </c>
      <c r="F81" s="2182">
        <f>ROUND((D76+D77)/1000*0.73*0.33*'налог на транс 2.22.03'!O3,0)</f>
        <v>758</v>
      </c>
    </row>
    <row r="82" spans="2:6">
      <c r="B82" s="2187" t="s">
        <v>20</v>
      </c>
      <c r="C82" s="2188">
        <f>C80+C81</f>
        <v>5750.1691865191806</v>
      </c>
      <c r="D82" s="2187"/>
    </row>
  </sheetData>
  <mergeCells count="31">
    <mergeCell ref="A18:B18"/>
    <mergeCell ref="G45:G46"/>
    <mergeCell ref="H45:H46"/>
    <mergeCell ref="I45:I46"/>
    <mergeCell ref="B71:H71"/>
    <mergeCell ref="F20:G20"/>
    <mergeCell ref="F22:G22"/>
    <mergeCell ref="A24:I24"/>
    <mergeCell ref="A25:E25"/>
    <mergeCell ref="A45:A46"/>
    <mergeCell ref="B45:B46"/>
    <mergeCell ref="C45:C46"/>
    <mergeCell ref="D45:D46"/>
    <mergeCell ref="E45:E46"/>
    <mergeCell ref="F45:F46"/>
    <mergeCell ref="E18:F18"/>
    <mergeCell ref="B13:I13"/>
    <mergeCell ref="B14:H14"/>
    <mergeCell ref="B15:H15"/>
    <mergeCell ref="B16:H16"/>
    <mergeCell ref="A2:I2"/>
    <mergeCell ref="A7:F7"/>
    <mergeCell ref="A8:A10"/>
    <mergeCell ref="B8:B10"/>
    <mergeCell ref="C8:C10"/>
    <mergeCell ref="D8:D10"/>
    <mergeCell ref="E8:E10"/>
    <mergeCell ref="F8:F10"/>
    <mergeCell ref="G8:I8"/>
    <mergeCell ref="G9:G10"/>
    <mergeCell ref="H9:I9"/>
  </mergeCells>
  <pageMargins left="0.62992125984251968" right="0.23622047244094491" top="0.94488188976377963" bottom="0.35433070866141736" header="0.31496062992125984" footer="0.31496062992125984"/>
  <pageSetup paperSize="9" scale="80" fitToHeight="0" orientation="landscape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tabColor rgb="FFFFFF00"/>
  </sheetPr>
  <dimension ref="A2:H47"/>
  <sheetViews>
    <sheetView view="pageBreakPreview" workbookViewId="0">
      <selection activeCell="H43" sqref="H43"/>
    </sheetView>
  </sheetViews>
  <sheetFormatPr defaultColWidth="9.140625" defaultRowHeight="15"/>
  <cols>
    <col min="1" max="1" width="9.140625" style="406"/>
    <col min="2" max="2" width="42.5703125" style="406" customWidth="1"/>
    <col min="3" max="3" width="17" style="406" customWidth="1"/>
    <col min="4" max="4" width="20" style="406" customWidth="1"/>
    <col min="5" max="5" width="23.5703125" style="406" customWidth="1"/>
    <col min="6" max="6" width="17" style="406" customWidth="1"/>
    <col min="7" max="7" width="16.28515625" style="406" customWidth="1"/>
    <col min="8" max="8" width="14.5703125" style="406" bestFit="1" customWidth="1"/>
    <col min="9" max="16384" width="9.140625" style="406"/>
  </cols>
  <sheetData>
    <row r="2" spans="1:8" s="2545" customFormat="1" ht="14.25">
      <c r="A2" s="2545" t="s">
        <v>4475</v>
      </c>
    </row>
    <row r="3" spans="1:8" s="2545" customFormat="1" ht="14.25"/>
    <row r="4" spans="1:8" s="2545" customFormat="1" ht="14.25">
      <c r="A4" s="2545" t="s">
        <v>4476</v>
      </c>
    </row>
    <row r="7" spans="1:8" ht="27.75" customHeight="1">
      <c r="A7" s="2547" t="s">
        <v>4477</v>
      </c>
      <c r="B7" s="2547" t="s">
        <v>478</v>
      </c>
      <c r="C7" s="2547" t="s">
        <v>4478</v>
      </c>
      <c r="D7" s="527" t="s">
        <v>4479</v>
      </c>
      <c r="E7" s="2547" t="s">
        <v>4480</v>
      </c>
      <c r="F7" s="406" t="s">
        <v>4481</v>
      </c>
    </row>
    <row r="8" spans="1:8">
      <c r="A8" s="2548"/>
      <c r="B8" s="2549" t="s">
        <v>4482</v>
      </c>
      <c r="C8" s="1186"/>
      <c r="D8" s="1186"/>
      <c r="E8" s="1186"/>
    </row>
    <row r="9" spans="1:8" s="3491" customFormat="1">
      <c r="A9" s="3500"/>
      <c r="B9" s="4403" t="s">
        <v>4483</v>
      </c>
      <c r="C9" s="4403"/>
      <c r="D9" s="4403"/>
      <c r="E9" s="3501">
        <f>SUM(E10:E23)</f>
        <v>529579.16999999993</v>
      </c>
      <c r="F9" s="3491">
        <v>10</v>
      </c>
      <c r="H9" s="3504">
        <f>SUM(H10:H15)</f>
        <v>423663.33600000001</v>
      </c>
    </row>
    <row r="10" spans="1:8">
      <c r="A10" s="2548" t="s">
        <v>161</v>
      </c>
      <c r="B10" s="2550" t="s">
        <v>4484</v>
      </c>
      <c r="C10" s="2550">
        <v>2</v>
      </c>
      <c r="D10" s="2550">
        <v>74260.55</v>
      </c>
      <c r="E10" s="2550">
        <f>D10*C10</f>
        <v>148521.1</v>
      </c>
      <c r="F10" s="406">
        <v>10</v>
      </c>
      <c r="G10" s="406">
        <f>E10*F10%</f>
        <v>14852.11</v>
      </c>
      <c r="H10" s="406">
        <f>E10-G10*2</f>
        <v>118816.88</v>
      </c>
    </row>
    <row r="11" spans="1:8">
      <c r="A11" s="2548" t="s">
        <v>4485</v>
      </c>
      <c r="B11" s="2550" t="s">
        <v>896</v>
      </c>
      <c r="C11" s="2550">
        <v>2</v>
      </c>
      <c r="D11" s="2550">
        <v>41883.54</v>
      </c>
      <c r="E11" s="2550">
        <f t="shared" ref="E11:E29" si="0">D11*C11</f>
        <v>83767.08</v>
      </c>
      <c r="F11" s="406">
        <v>10</v>
      </c>
      <c r="G11" s="406">
        <f t="shared" ref="G11:G15" si="1">E11*F11%</f>
        <v>8376.7080000000005</v>
      </c>
      <c r="H11" s="406">
        <f>E11-G11*2</f>
        <v>67013.664000000004</v>
      </c>
    </row>
    <row r="12" spans="1:8">
      <c r="A12" s="2548" t="s">
        <v>4486</v>
      </c>
      <c r="B12" s="2550" t="s">
        <v>818</v>
      </c>
      <c r="C12" s="2550">
        <v>4</v>
      </c>
      <c r="D12" s="2550">
        <v>5228.8900000000003</v>
      </c>
      <c r="E12" s="2550">
        <f t="shared" si="0"/>
        <v>20915.560000000001</v>
      </c>
      <c r="F12" s="406">
        <v>10</v>
      </c>
      <c r="G12" s="406">
        <f t="shared" si="1"/>
        <v>2091.556</v>
      </c>
      <c r="H12" s="406">
        <f t="shared" ref="H12:H44" si="2">E12-G12*2</f>
        <v>16732.448</v>
      </c>
    </row>
    <row r="13" spans="1:8">
      <c r="A13" s="2548" t="s">
        <v>4487</v>
      </c>
      <c r="B13" s="2550" t="s">
        <v>4488</v>
      </c>
      <c r="C13" s="2550">
        <v>1</v>
      </c>
      <c r="D13" s="2550">
        <v>226587.36</v>
      </c>
      <c r="E13" s="2550">
        <f t="shared" si="0"/>
        <v>226587.36</v>
      </c>
      <c r="F13" s="406">
        <v>10</v>
      </c>
      <c r="G13" s="406">
        <f t="shared" si="1"/>
        <v>22658.736000000001</v>
      </c>
      <c r="H13" s="406">
        <f t="shared" si="2"/>
        <v>181269.88799999998</v>
      </c>
    </row>
    <row r="14" spans="1:8" hidden="1">
      <c r="A14" s="2548" t="s">
        <v>4489</v>
      </c>
      <c r="B14" s="2550" t="s">
        <v>4490</v>
      </c>
      <c r="C14" s="2550">
        <v>1</v>
      </c>
      <c r="D14" s="2550"/>
      <c r="E14" s="2550">
        <f t="shared" si="0"/>
        <v>0</v>
      </c>
      <c r="F14" s="406">
        <v>10</v>
      </c>
      <c r="G14" s="406">
        <f t="shared" si="1"/>
        <v>0</v>
      </c>
      <c r="H14" s="406">
        <f t="shared" si="2"/>
        <v>0</v>
      </c>
    </row>
    <row r="15" spans="1:8" ht="17.25" customHeight="1">
      <c r="A15" s="2548" t="s">
        <v>4491</v>
      </c>
      <c r="B15" s="2550" t="s">
        <v>4492</v>
      </c>
      <c r="C15" s="2550">
        <v>1</v>
      </c>
      <c r="D15" s="2550">
        <v>49788.07</v>
      </c>
      <c r="E15" s="2550">
        <f t="shared" si="0"/>
        <v>49788.07</v>
      </c>
      <c r="F15" s="406">
        <v>10</v>
      </c>
      <c r="G15" s="406">
        <f t="shared" si="1"/>
        <v>4978.8070000000007</v>
      </c>
      <c r="H15" s="406">
        <f t="shared" si="2"/>
        <v>39830.455999999998</v>
      </c>
    </row>
    <row r="16" spans="1:8" hidden="1">
      <c r="A16" s="1186" t="s">
        <v>165</v>
      </c>
      <c r="B16" s="2550" t="s">
        <v>4488</v>
      </c>
      <c r="C16" s="2550">
        <v>1</v>
      </c>
      <c r="D16" s="2550"/>
      <c r="E16" s="2550">
        <f t="shared" si="0"/>
        <v>0</v>
      </c>
      <c r="F16" s="406">
        <v>10</v>
      </c>
      <c r="G16" s="406">
        <f t="shared" ref="G16:G44" si="3">E16*F16%</f>
        <v>0</v>
      </c>
      <c r="H16" s="406">
        <f t="shared" si="2"/>
        <v>0</v>
      </c>
    </row>
    <row r="17" spans="1:8" hidden="1">
      <c r="A17" s="1186" t="s">
        <v>4493</v>
      </c>
      <c r="B17" s="2550" t="s">
        <v>941</v>
      </c>
      <c r="C17" s="2550">
        <v>1</v>
      </c>
      <c r="D17" s="2550"/>
      <c r="E17" s="2550">
        <f t="shared" si="0"/>
        <v>0</v>
      </c>
      <c r="F17" s="406">
        <v>10</v>
      </c>
      <c r="G17" s="406">
        <f t="shared" si="3"/>
        <v>0</v>
      </c>
      <c r="H17" s="406">
        <f t="shared" si="2"/>
        <v>0</v>
      </c>
    </row>
    <row r="18" spans="1:8" hidden="1">
      <c r="A18" s="1186" t="s">
        <v>186</v>
      </c>
      <c r="B18" s="2550" t="s">
        <v>4494</v>
      </c>
      <c r="C18" s="2550">
        <v>1</v>
      </c>
      <c r="D18" s="2550"/>
      <c r="E18" s="2550">
        <f t="shared" si="0"/>
        <v>0</v>
      </c>
      <c r="F18" s="406">
        <v>10</v>
      </c>
      <c r="G18" s="406">
        <f t="shared" si="3"/>
        <v>0</v>
      </c>
      <c r="H18" s="406">
        <f t="shared" si="2"/>
        <v>0</v>
      </c>
    </row>
    <row r="19" spans="1:8" hidden="1">
      <c r="A19" s="1186" t="s">
        <v>190</v>
      </c>
      <c r="B19" s="2550" t="s">
        <v>943</v>
      </c>
      <c r="C19" s="2550">
        <v>1</v>
      </c>
      <c r="D19" s="2550"/>
      <c r="E19" s="2550">
        <f t="shared" si="0"/>
        <v>0</v>
      </c>
      <c r="F19" s="406">
        <v>10</v>
      </c>
      <c r="G19" s="406">
        <f t="shared" si="3"/>
        <v>0</v>
      </c>
      <c r="H19" s="406">
        <f t="shared" si="2"/>
        <v>0</v>
      </c>
    </row>
    <row r="20" spans="1:8" hidden="1">
      <c r="A20" s="1186" t="s">
        <v>4495</v>
      </c>
      <c r="B20" s="2550" t="s">
        <v>944</v>
      </c>
      <c r="C20" s="2550">
        <v>1</v>
      </c>
      <c r="D20" s="2550"/>
      <c r="E20" s="2550">
        <f t="shared" si="0"/>
        <v>0</v>
      </c>
      <c r="F20" s="406">
        <v>10</v>
      </c>
      <c r="G20" s="406">
        <f t="shared" si="3"/>
        <v>0</v>
      </c>
      <c r="H20" s="406">
        <f t="shared" si="2"/>
        <v>0</v>
      </c>
    </row>
    <row r="21" spans="1:8" hidden="1">
      <c r="A21" s="1186" t="s">
        <v>4496</v>
      </c>
      <c r="B21" s="2550" t="s">
        <v>4497</v>
      </c>
      <c r="C21" s="2550">
        <v>2</v>
      </c>
      <c r="D21" s="2550"/>
      <c r="E21" s="2550">
        <f t="shared" si="0"/>
        <v>0</v>
      </c>
      <c r="F21" s="406">
        <v>10</v>
      </c>
      <c r="G21" s="406">
        <f t="shared" si="3"/>
        <v>0</v>
      </c>
      <c r="H21" s="406">
        <f t="shared" si="2"/>
        <v>0</v>
      </c>
    </row>
    <row r="22" spans="1:8" hidden="1">
      <c r="A22" s="1186" t="s">
        <v>4498</v>
      </c>
      <c r="B22" s="2550" t="s">
        <v>4499</v>
      </c>
      <c r="C22" s="2550">
        <v>1</v>
      </c>
      <c r="D22" s="2550"/>
      <c r="E22" s="2550">
        <f t="shared" si="0"/>
        <v>0</v>
      </c>
      <c r="F22" s="406">
        <v>10</v>
      </c>
      <c r="G22" s="406">
        <f t="shared" si="3"/>
        <v>0</v>
      </c>
      <c r="H22" s="406">
        <f t="shared" si="2"/>
        <v>0</v>
      </c>
    </row>
    <row r="23" spans="1:8" hidden="1">
      <c r="A23" s="1186" t="s">
        <v>4500</v>
      </c>
      <c r="B23" s="2550" t="s">
        <v>942</v>
      </c>
      <c r="C23" s="2550">
        <v>4</v>
      </c>
      <c r="D23" s="2550"/>
      <c r="E23" s="2550">
        <f t="shared" si="0"/>
        <v>0</v>
      </c>
      <c r="F23" s="406">
        <v>10</v>
      </c>
      <c r="G23" s="406">
        <f t="shared" si="3"/>
        <v>0</v>
      </c>
      <c r="H23" s="406">
        <f t="shared" si="2"/>
        <v>0</v>
      </c>
    </row>
    <row r="24" spans="1:8" hidden="1">
      <c r="A24" s="1186" t="s">
        <v>180</v>
      </c>
      <c r="B24" s="2550" t="s">
        <v>4501</v>
      </c>
      <c r="C24" s="2550">
        <v>1</v>
      </c>
      <c r="D24" s="2550">
        <v>0</v>
      </c>
      <c r="E24" s="2550">
        <f t="shared" si="0"/>
        <v>0</v>
      </c>
      <c r="F24" s="406">
        <v>10</v>
      </c>
      <c r="G24" s="406">
        <f t="shared" si="3"/>
        <v>0</v>
      </c>
      <c r="H24" s="406">
        <f t="shared" si="2"/>
        <v>0</v>
      </c>
    </row>
    <row r="25" spans="1:8" hidden="1">
      <c r="A25" s="1186" t="s">
        <v>4502</v>
      </c>
      <c r="B25" s="2550" t="s">
        <v>4503</v>
      </c>
      <c r="C25" s="2550">
        <v>1</v>
      </c>
      <c r="D25" s="2550">
        <v>0</v>
      </c>
      <c r="E25" s="2550">
        <f t="shared" si="0"/>
        <v>0</v>
      </c>
      <c r="F25" s="406">
        <v>10</v>
      </c>
      <c r="G25" s="406">
        <f t="shared" si="3"/>
        <v>0</v>
      </c>
      <c r="H25" s="406">
        <f t="shared" si="2"/>
        <v>0</v>
      </c>
    </row>
    <row r="26" spans="1:8" hidden="1">
      <c r="A26" s="1186" t="s">
        <v>4504</v>
      </c>
      <c r="B26" s="2550" t="s">
        <v>4505</v>
      </c>
      <c r="C26" s="2550">
        <v>7</v>
      </c>
      <c r="D26" s="2550">
        <v>0</v>
      </c>
      <c r="E26" s="2550">
        <f t="shared" si="0"/>
        <v>0</v>
      </c>
      <c r="F26" s="406">
        <v>10</v>
      </c>
      <c r="G26" s="406">
        <f t="shared" si="3"/>
        <v>0</v>
      </c>
      <c r="H26" s="406">
        <f t="shared" si="2"/>
        <v>0</v>
      </c>
    </row>
    <row r="27" spans="1:8" hidden="1">
      <c r="A27" s="1186" t="s">
        <v>4506</v>
      </c>
      <c r="B27" s="2550" t="s">
        <v>4507</v>
      </c>
      <c r="C27" s="2550">
        <v>1</v>
      </c>
      <c r="D27" s="2550">
        <v>0</v>
      </c>
      <c r="E27" s="2550">
        <f t="shared" si="0"/>
        <v>0</v>
      </c>
      <c r="F27" s="406">
        <v>10</v>
      </c>
      <c r="G27" s="406">
        <f t="shared" si="3"/>
        <v>0</v>
      </c>
      <c r="H27" s="406">
        <f t="shared" si="2"/>
        <v>0</v>
      </c>
    </row>
    <row r="28" spans="1:8" hidden="1">
      <c r="A28" s="1186" t="s">
        <v>4508</v>
      </c>
      <c r="B28" s="2550" t="s">
        <v>4507</v>
      </c>
      <c r="C28" s="2550">
        <v>1</v>
      </c>
      <c r="D28" s="2550"/>
      <c r="E28" s="2550">
        <f t="shared" si="0"/>
        <v>0</v>
      </c>
      <c r="F28" s="406">
        <v>10</v>
      </c>
      <c r="G28" s="406">
        <f t="shared" si="3"/>
        <v>0</v>
      </c>
      <c r="H28" s="406">
        <f t="shared" si="2"/>
        <v>0</v>
      </c>
    </row>
    <row r="29" spans="1:8" hidden="1">
      <c r="A29" s="1186" t="s">
        <v>4509</v>
      </c>
      <c r="B29" s="2550" t="s">
        <v>872</v>
      </c>
      <c r="C29" s="2550">
        <v>1</v>
      </c>
      <c r="D29" s="2550"/>
      <c r="E29" s="2550">
        <f t="shared" si="0"/>
        <v>0</v>
      </c>
      <c r="F29" s="406">
        <v>10</v>
      </c>
      <c r="G29" s="406">
        <f t="shared" si="3"/>
        <v>0</v>
      </c>
      <c r="H29" s="406">
        <f t="shared" si="2"/>
        <v>0</v>
      </c>
    </row>
    <row r="30" spans="1:8" ht="31.5" hidden="1" customHeight="1">
      <c r="A30" s="1186"/>
      <c r="B30" s="4404" t="s">
        <v>4510</v>
      </c>
      <c r="C30" s="4404"/>
      <c r="D30" s="4404"/>
      <c r="E30" s="4404"/>
      <c r="F30" s="406" t="s">
        <v>4511</v>
      </c>
      <c r="G30" s="406" t="e">
        <f t="shared" si="3"/>
        <v>#VALUE!</v>
      </c>
      <c r="H30" s="406" t="e">
        <f t="shared" si="2"/>
        <v>#VALUE!</v>
      </c>
    </row>
    <row r="31" spans="1:8" hidden="1">
      <c r="A31" s="1186" t="s">
        <v>4512</v>
      </c>
      <c r="B31" s="2550" t="s">
        <v>4513</v>
      </c>
      <c r="C31" s="2550">
        <v>2</v>
      </c>
      <c r="D31" s="2550">
        <v>19446.560000000001</v>
      </c>
      <c r="E31" s="2550">
        <f t="shared" ref="E31:E39" si="4">D31*C31</f>
        <v>38893.120000000003</v>
      </c>
      <c r="F31" s="406">
        <v>3</v>
      </c>
      <c r="G31" s="406">
        <f t="shared" si="3"/>
        <v>1166.7936</v>
      </c>
      <c r="H31" s="406">
        <f t="shared" si="2"/>
        <v>36559.532800000001</v>
      </c>
    </row>
    <row r="32" spans="1:8" hidden="1">
      <c r="A32" s="1186" t="s">
        <v>4514</v>
      </c>
      <c r="B32" s="2550" t="s">
        <v>933</v>
      </c>
      <c r="C32" s="2550">
        <v>1</v>
      </c>
      <c r="D32" s="2550"/>
      <c r="E32" s="2550">
        <f t="shared" si="4"/>
        <v>0</v>
      </c>
      <c r="F32" s="406">
        <v>3</v>
      </c>
      <c r="G32" s="406">
        <f t="shared" si="3"/>
        <v>0</v>
      </c>
      <c r="H32" s="406">
        <f t="shared" si="2"/>
        <v>0</v>
      </c>
    </row>
    <row r="33" spans="1:8" hidden="1">
      <c r="A33" s="1186" t="s">
        <v>4515</v>
      </c>
      <c r="B33" s="2550" t="s">
        <v>4516</v>
      </c>
      <c r="C33" s="2550">
        <v>3</v>
      </c>
      <c r="D33" s="2550"/>
      <c r="E33" s="2550">
        <f t="shared" si="4"/>
        <v>0</v>
      </c>
      <c r="F33" s="406">
        <v>3</v>
      </c>
      <c r="G33" s="406">
        <f t="shared" si="3"/>
        <v>0</v>
      </c>
      <c r="H33" s="406">
        <f t="shared" si="2"/>
        <v>0</v>
      </c>
    </row>
    <row r="34" spans="1:8" hidden="1">
      <c r="A34" s="1186" t="s">
        <v>4517</v>
      </c>
      <c r="B34" s="2550" t="s">
        <v>4518</v>
      </c>
      <c r="C34" s="2550">
        <v>1</v>
      </c>
      <c r="D34" s="2550"/>
      <c r="E34" s="2550">
        <f t="shared" si="4"/>
        <v>0</v>
      </c>
      <c r="F34" s="406">
        <v>3</v>
      </c>
      <c r="G34" s="406">
        <f t="shared" si="3"/>
        <v>0</v>
      </c>
      <c r="H34" s="406">
        <f t="shared" si="2"/>
        <v>0</v>
      </c>
    </row>
    <row r="35" spans="1:8" hidden="1">
      <c r="A35" s="1186" t="s">
        <v>4519</v>
      </c>
      <c r="B35" s="2550" t="s">
        <v>4520</v>
      </c>
      <c r="C35" s="2550">
        <v>1</v>
      </c>
      <c r="D35" s="2550"/>
      <c r="E35" s="2550">
        <f t="shared" si="4"/>
        <v>0</v>
      </c>
      <c r="F35" s="406">
        <v>3</v>
      </c>
      <c r="G35" s="406">
        <f t="shared" si="3"/>
        <v>0</v>
      </c>
      <c r="H35" s="406">
        <f t="shared" si="2"/>
        <v>0</v>
      </c>
    </row>
    <row r="36" spans="1:8" hidden="1">
      <c r="A36" s="1186" t="s">
        <v>196</v>
      </c>
      <c r="B36" s="2550" t="s">
        <v>4521</v>
      </c>
      <c r="C36" s="2550">
        <v>1</v>
      </c>
      <c r="D36" s="2550"/>
      <c r="E36" s="2550">
        <f t="shared" si="4"/>
        <v>0</v>
      </c>
      <c r="F36" s="406">
        <v>3</v>
      </c>
      <c r="G36" s="406">
        <f t="shared" si="3"/>
        <v>0</v>
      </c>
      <c r="H36" s="406">
        <f t="shared" si="2"/>
        <v>0</v>
      </c>
    </row>
    <row r="37" spans="1:8" hidden="1">
      <c r="A37" s="1186" t="s">
        <v>4522</v>
      </c>
      <c r="B37" s="2550" t="s">
        <v>945</v>
      </c>
      <c r="C37" s="2550">
        <v>1</v>
      </c>
      <c r="D37" s="2550"/>
      <c r="E37" s="2550">
        <f t="shared" si="4"/>
        <v>0</v>
      </c>
      <c r="F37" s="406">
        <v>3</v>
      </c>
      <c r="G37" s="406">
        <f t="shared" si="3"/>
        <v>0</v>
      </c>
      <c r="H37" s="406">
        <f t="shared" si="2"/>
        <v>0</v>
      </c>
    </row>
    <row r="38" spans="1:8" hidden="1">
      <c r="A38" s="1186" t="s">
        <v>4523</v>
      </c>
      <c r="B38" s="2550" t="s">
        <v>4524</v>
      </c>
      <c r="C38" s="2550">
        <v>1</v>
      </c>
      <c r="D38" s="2550"/>
      <c r="E38" s="2550">
        <f t="shared" si="4"/>
        <v>0</v>
      </c>
      <c r="F38" s="406">
        <v>3</v>
      </c>
      <c r="G38" s="406">
        <f t="shared" si="3"/>
        <v>0</v>
      </c>
      <c r="H38" s="406">
        <f t="shared" si="2"/>
        <v>0</v>
      </c>
    </row>
    <row r="39" spans="1:8" hidden="1">
      <c r="A39" s="1186" t="s">
        <v>4525</v>
      </c>
      <c r="B39" s="2550" t="s">
        <v>4526</v>
      </c>
      <c r="C39" s="2550">
        <v>1</v>
      </c>
      <c r="D39" s="2550"/>
      <c r="E39" s="2550">
        <f t="shared" si="4"/>
        <v>0</v>
      </c>
      <c r="F39" s="406">
        <v>3</v>
      </c>
      <c r="G39" s="406">
        <f t="shared" si="3"/>
        <v>0</v>
      </c>
      <c r="H39" s="406">
        <f t="shared" si="2"/>
        <v>0</v>
      </c>
    </row>
    <row r="40" spans="1:8" ht="15.75" hidden="1" customHeight="1">
      <c r="A40" s="1186"/>
      <c r="B40" s="4404" t="s">
        <v>20</v>
      </c>
      <c r="C40" s="4404"/>
      <c r="D40" s="4404"/>
      <c r="E40" s="2550">
        <f>SUM(E31:E39)</f>
        <v>38893.120000000003</v>
      </c>
      <c r="G40" s="406">
        <f t="shared" si="3"/>
        <v>0</v>
      </c>
      <c r="H40" s="406">
        <f t="shared" si="2"/>
        <v>38893.120000000003</v>
      </c>
    </row>
    <row r="41" spans="1:8">
      <c r="A41" s="1186"/>
      <c r="B41" s="2551" t="s">
        <v>4527</v>
      </c>
      <c r="C41" s="2550"/>
      <c r="D41" s="2550"/>
      <c r="E41" s="2550"/>
      <c r="H41" s="406">
        <f t="shared" si="2"/>
        <v>0</v>
      </c>
    </row>
    <row r="42" spans="1:8" s="3491" customFormat="1">
      <c r="A42" s="3502"/>
      <c r="B42" s="3501" t="s">
        <v>4528</v>
      </c>
      <c r="C42" s="3501"/>
      <c r="D42" s="3501"/>
      <c r="E42" s="3501">
        <f>SUM(E43:E44)</f>
        <v>278000</v>
      </c>
      <c r="F42" s="3491">
        <v>10</v>
      </c>
      <c r="G42" s="406">
        <f>SUM(G43:G44)</f>
        <v>27800</v>
      </c>
      <c r="H42" s="3503">
        <f>SUM(H43:H44)</f>
        <v>222400</v>
      </c>
    </row>
    <row r="43" spans="1:8">
      <c r="A43" s="1186"/>
      <c r="B43" s="2550" t="s">
        <v>4529</v>
      </c>
      <c r="C43" s="2550">
        <v>2</v>
      </c>
      <c r="D43" s="2550">
        <v>103000</v>
      </c>
      <c r="E43" s="2550">
        <v>206000</v>
      </c>
      <c r="F43" s="406">
        <v>10</v>
      </c>
      <c r="G43" s="406">
        <f>E43*F43%</f>
        <v>20600</v>
      </c>
      <c r="H43" s="406">
        <f>E43-G43*2</f>
        <v>164800</v>
      </c>
    </row>
    <row r="44" spans="1:8">
      <c r="A44" s="1186"/>
      <c r="B44" s="2550" t="s">
        <v>4530</v>
      </c>
      <c r="C44" s="2550">
        <v>8</v>
      </c>
      <c r="D44" s="2550">
        <v>9000</v>
      </c>
      <c r="E44" s="2550">
        <v>72000</v>
      </c>
      <c r="F44" s="406">
        <v>10</v>
      </c>
      <c r="G44" s="406">
        <f t="shared" si="3"/>
        <v>7200</v>
      </c>
      <c r="H44" s="406">
        <f t="shared" si="2"/>
        <v>57600</v>
      </c>
    </row>
    <row r="46" spans="1:8" s="2545" customFormat="1" ht="42.75">
      <c r="A46" s="2544"/>
      <c r="B46" s="2552" t="s">
        <v>4531</v>
      </c>
      <c r="C46" s="2552" t="s">
        <v>4532</v>
      </c>
      <c r="D46" s="2552" t="s">
        <v>4533</v>
      </c>
      <c r="E46" s="2552" t="s">
        <v>4534</v>
      </c>
      <c r="F46" s="2545" t="s">
        <v>4535</v>
      </c>
    </row>
    <row r="47" spans="1:8">
      <c r="A47" s="2543"/>
      <c r="B47" s="2546">
        <v>2002178260</v>
      </c>
      <c r="C47" s="2546">
        <f>12562+2692.7-125.5+1074.9+269.9</f>
        <v>16474</v>
      </c>
      <c r="D47" s="2546">
        <f>B47/C47</f>
        <v>121535.64768726478</v>
      </c>
      <c r="E47" s="2546">
        <f>27*1.3</f>
        <v>35.1</v>
      </c>
      <c r="F47" s="406">
        <f>E47*D47</f>
        <v>4265901.2338229939</v>
      </c>
    </row>
  </sheetData>
  <mergeCells count="3">
    <mergeCell ref="B9:D9"/>
    <mergeCell ref="B30:E30"/>
    <mergeCell ref="B40:D40"/>
  </mergeCells>
  <pageMargins left="0.7" right="0.7" top="0.75" bottom="0.75" header="0.51180555555555496" footer="0.51180555555555496"/>
  <pageSetup paperSize="9" scale="59" firstPageNumber="0" orientation="portrait" r:id="rId1"/>
  <colBreaks count="1" manualBreakCount="1">
    <brk id="5" max="46" man="1"/>
  </colBreaks>
  <drawing r:id="rId2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tabColor rgb="FFFFFF00"/>
  </sheetPr>
  <dimension ref="A2:E19"/>
  <sheetViews>
    <sheetView view="pageBreakPreview" zoomScaleSheetLayoutView="100" workbookViewId="0">
      <selection sqref="A1:C19"/>
    </sheetView>
  </sheetViews>
  <sheetFormatPr defaultColWidth="9.140625" defaultRowHeight="18.75"/>
  <cols>
    <col min="1" max="1" width="8.28515625" style="2553" customWidth="1"/>
    <col min="2" max="2" width="50.140625" style="2553" customWidth="1"/>
    <col min="3" max="3" width="33" style="2553" customWidth="1"/>
    <col min="4" max="16384" width="9.140625" style="2553"/>
  </cols>
  <sheetData>
    <row r="2" spans="1:5">
      <c r="A2" s="3918" t="s">
        <v>4536</v>
      </c>
      <c r="B2" s="3918"/>
      <c r="C2" s="3918"/>
    </row>
    <row r="4" spans="1:5" s="2556" customFormat="1">
      <c r="A4" s="2554" t="s">
        <v>4477</v>
      </c>
      <c r="B4" s="2555" t="s">
        <v>4537</v>
      </c>
      <c r="C4" s="2554" t="s">
        <v>4538</v>
      </c>
    </row>
    <row r="5" spans="1:5" ht="131.25">
      <c r="A5" s="2557">
        <v>1</v>
      </c>
      <c r="B5" s="2558" t="s">
        <v>4539</v>
      </c>
      <c r="C5" s="2559" t="e">
        <f>#REF!</f>
        <v>#REF!</v>
      </c>
    </row>
    <row r="6" spans="1:5" ht="131.25">
      <c r="A6" s="2557">
        <v>2</v>
      </c>
      <c r="B6" s="2558" t="s">
        <v>4540</v>
      </c>
      <c r="C6" s="2559" t="e">
        <f>#REF!</f>
        <v>#REF!</v>
      </c>
    </row>
    <row r="7" spans="1:5" s="2556" customFormat="1">
      <c r="A7" s="2554"/>
      <c r="B7" s="2554" t="s">
        <v>20</v>
      </c>
      <c r="C7" s="2560" t="e">
        <f>ROUND(SUM(C5:C6),0)</f>
        <v>#REF!</v>
      </c>
    </row>
    <row r="8" spans="1:5">
      <c r="A8" s="4405" t="s">
        <v>4541</v>
      </c>
      <c r="B8" s="4405"/>
      <c r="C8" s="4405"/>
    </row>
    <row r="11" spans="1:5">
      <c r="A11" s="345" t="s">
        <v>23</v>
      </c>
      <c r="C11" s="2561" t="s">
        <v>448</v>
      </c>
      <c r="D11" s="406"/>
      <c r="E11" s="406"/>
    </row>
    <row r="13" spans="1:5">
      <c r="A13" s="345" t="s">
        <v>4542</v>
      </c>
      <c r="C13" s="2561" t="s">
        <v>450</v>
      </c>
      <c r="D13" s="406"/>
      <c r="E13" s="406"/>
    </row>
    <row r="14" spans="1:5">
      <c r="A14" s="345"/>
      <c r="C14" s="2561"/>
      <c r="D14" s="406"/>
      <c r="E14" s="406"/>
    </row>
    <row r="15" spans="1:5" hidden="1">
      <c r="A15" s="2562" t="s">
        <v>547</v>
      </c>
      <c r="C15" s="194"/>
      <c r="D15" s="406"/>
      <c r="E15" s="406"/>
    </row>
    <row r="16" spans="1:5" hidden="1">
      <c r="A16" s="2562" t="s">
        <v>548</v>
      </c>
      <c r="C16" s="2561" t="s">
        <v>374</v>
      </c>
      <c r="D16" s="406"/>
      <c r="E16" s="406"/>
    </row>
    <row r="17" spans="1:5">
      <c r="A17" s="2563" t="s">
        <v>372</v>
      </c>
      <c r="C17" s="2564" t="s">
        <v>373</v>
      </c>
      <c r="D17" s="406"/>
      <c r="E17" s="406"/>
    </row>
    <row r="19" spans="1:5">
      <c r="A19" s="2563" t="s">
        <v>375</v>
      </c>
      <c r="C19" s="2564" t="s">
        <v>377</v>
      </c>
    </row>
  </sheetData>
  <mergeCells count="2">
    <mergeCell ref="A2:C2"/>
    <mergeCell ref="A8:C8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tabColor rgb="FFFF0000"/>
  </sheetPr>
  <dimension ref="A2:G35"/>
  <sheetViews>
    <sheetView view="pageBreakPreview" zoomScaleSheetLayoutView="100" workbookViewId="0">
      <selection activeCell="B20" sqref="B20"/>
    </sheetView>
  </sheetViews>
  <sheetFormatPr defaultColWidth="9.140625" defaultRowHeight="15"/>
  <cols>
    <col min="1" max="1" width="73.7109375" style="2566" customWidth="1"/>
    <col min="2" max="2" width="15.28515625" style="2566" customWidth="1"/>
    <col min="3" max="3" width="11.5703125" style="2566" bestFit="1" customWidth="1"/>
    <col min="4" max="4" width="13.140625" style="2566" bestFit="1" customWidth="1"/>
    <col min="5" max="5" width="11.42578125" style="2566" bestFit="1" customWidth="1"/>
    <col min="6" max="6" width="9.140625" style="2566"/>
    <col min="7" max="7" width="13.140625" style="2566" bestFit="1" customWidth="1"/>
    <col min="8" max="16384" width="9.140625" style="2566"/>
  </cols>
  <sheetData>
    <row r="2" spans="1:6" ht="46.5" customHeight="1">
      <c r="A2" s="4406" t="s">
        <v>4543</v>
      </c>
      <c r="B2" s="4406"/>
      <c r="C2" s="4406"/>
      <c r="D2" s="2565"/>
      <c r="E2" s="2565"/>
      <c r="F2" s="2565"/>
    </row>
    <row r="4" spans="1:6">
      <c r="A4" s="2568" t="s">
        <v>679</v>
      </c>
      <c r="B4" s="2569" t="s">
        <v>692</v>
      </c>
      <c r="C4" s="2569" t="s">
        <v>681</v>
      </c>
    </row>
    <row r="5" spans="1:6">
      <c r="A5" s="2570" t="s">
        <v>682</v>
      </c>
      <c r="B5" s="2571">
        <f>ROUND(B7*B8*B9*B10*B11*B12*B13*B14*B15,0)</f>
        <v>3810890</v>
      </c>
      <c r="C5" s="2571">
        <f>ROUND(B5/12,0)</f>
        <v>317574</v>
      </c>
    </row>
    <row r="6" spans="1:6">
      <c r="A6" s="2570"/>
      <c r="B6" s="2570"/>
      <c r="C6" s="2570"/>
    </row>
    <row r="7" spans="1:6">
      <c r="A7" s="2570" t="s">
        <v>501</v>
      </c>
      <c r="B7" s="2571">
        <v>2121</v>
      </c>
      <c r="C7" s="2570"/>
    </row>
    <row r="8" spans="1:6">
      <c r="A8" s="2570" t="s">
        <v>683</v>
      </c>
      <c r="B8" s="2571">
        <v>2.5</v>
      </c>
      <c r="C8" s="2570"/>
    </row>
    <row r="9" spans="1:6">
      <c r="A9" s="2570" t="s">
        <v>684</v>
      </c>
      <c r="B9" s="2571">
        <f>'Площадь столовой новая'!C55</f>
        <v>739.40000000000009</v>
      </c>
      <c r="C9" s="2570"/>
      <c r="D9" s="2566">
        <v>739.4</v>
      </c>
    </row>
    <row r="10" spans="1:6">
      <c r="A10" s="2570" t="s">
        <v>685</v>
      </c>
      <c r="B10" s="2571">
        <v>0.8</v>
      </c>
      <c r="C10" s="2570"/>
    </row>
    <row r="11" spans="1:6">
      <c r="A11" s="2570" t="s">
        <v>686</v>
      </c>
      <c r="B11" s="2571">
        <v>0.9</v>
      </c>
      <c r="C11" s="2570"/>
    </row>
    <row r="12" spans="1:6">
      <c r="A12" s="2570" t="s">
        <v>687</v>
      </c>
      <c r="B12" s="2571">
        <v>1</v>
      </c>
      <c r="C12" s="2570"/>
    </row>
    <row r="13" spans="1:6">
      <c r="A13" s="2570" t="s">
        <v>688</v>
      </c>
      <c r="B13" s="2571">
        <v>3</v>
      </c>
      <c r="C13" s="2570"/>
    </row>
    <row r="14" spans="1:6">
      <c r="A14" s="2570" t="s">
        <v>689</v>
      </c>
      <c r="B14" s="2571">
        <v>0.5</v>
      </c>
      <c r="C14" s="2570"/>
    </row>
    <row r="15" spans="1:6" ht="16.5" customHeight="1">
      <c r="A15" s="2572" t="s">
        <v>690</v>
      </c>
      <c r="B15" s="2571">
        <v>0.9</v>
      </c>
      <c r="C15" s="2570"/>
    </row>
    <row r="17" spans="1:7">
      <c r="A17" s="2568" t="s">
        <v>691</v>
      </c>
      <c r="B17" s="2569" t="s">
        <v>692</v>
      </c>
      <c r="C17" s="2569" t="s">
        <v>681</v>
      </c>
    </row>
    <row r="18" spans="1:7">
      <c r="A18" s="2570" t="s">
        <v>4544</v>
      </c>
      <c r="B18" s="2571">
        <f>ROUND(B20*B22,0)</f>
        <v>3471953</v>
      </c>
      <c r="C18" s="2571">
        <f>ROUND(B18/12,0)</f>
        <v>289329</v>
      </c>
    </row>
    <row r="19" spans="1:7">
      <c r="A19" s="2570"/>
      <c r="B19" s="2570"/>
      <c r="C19" s="2570"/>
    </row>
    <row r="20" spans="1:7" ht="15.75" customHeight="1">
      <c r="A20" s="2572" t="s">
        <v>4545</v>
      </c>
      <c r="B20" s="2571">
        <f>'оборуд столов'!W231</f>
        <v>6943905</v>
      </c>
      <c r="C20" s="2570"/>
    </row>
    <row r="21" spans="1:7">
      <c r="A21" s="2572" t="s">
        <v>4546</v>
      </c>
      <c r="B21" s="2707"/>
      <c r="C21" s="2570"/>
    </row>
    <row r="22" spans="1:7" ht="49.5" customHeight="1">
      <c r="A22" s="2572" t="s">
        <v>695</v>
      </c>
      <c r="B22" s="2570">
        <v>0.5</v>
      </c>
      <c r="C22" s="2570"/>
    </row>
    <row r="23" spans="1:7">
      <c r="A23" s="2570"/>
      <c r="B23" s="2569" t="s">
        <v>692</v>
      </c>
      <c r="C23" s="2569" t="s">
        <v>681</v>
      </c>
    </row>
    <row r="24" spans="1:7">
      <c r="A24" s="2573" t="s">
        <v>697</v>
      </c>
      <c r="B24" s="2571">
        <f>B5+B18</f>
        <v>7282843</v>
      </c>
      <c r="C24" s="2571">
        <f>C5+C18</f>
        <v>606903</v>
      </c>
      <c r="D24" s="2709">
        <v>640000</v>
      </c>
      <c r="E24" s="2710">
        <f>C24-D24</f>
        <v>-33097</v>
      </c>
      <c r="F24" s="2711">
        <f>E24/D24*100</f>
        <v>-5.1714062499999995</v>
      </c>
      <c r="G24" s="2709">
        <v>582793</v>
      </c>
    </row>
    <row r="26" spans="1:7">
      <c r="A26" s="2567"/>
      <c r="B26" s="2567"/>
      <c r="C26" s="2567"/>
      <c r="D26" s="406"/>
    </row>
    <row r="28" spans="1:7">
      <c r="A28" s="345" t="s">
        <v>23</v>
      </c>
      <c r="B28" s="2561" t="s">
        <v>448</v>
      </c>
      <c r="C28" s="406"/>
    </row>
    <row r="30" spans="1:7">
      <c r="A30" s="345" t="s">
        <v>4542</v>
      </c>
      <c r="B30" s="2561" t="s">
        <v>450</v>
      </c>
      <c r="C30" s="406"/>
    </row>
    <row r="31" spans="1:7">
      <c r="A31" s="345"/>
      <c r="B31" s="2561"/>
      <c r="C31" s="406"/>
    </row>
    <row r="32" spans="1:7" hidden="1">
      <c r="A32" s="2562" t="s">
        <v>547</v>
      </c>
      <c r="B32" s="194"/>
      <c r="C32" s="406"/>
    </row>
    <row r="33" spans="1:3" hidden="1">
      <c r="A33" s="2562" t="s">
        <v>548</v>
      </c>
      <c r="B33" s="2561" t="s">
        <v>374</v>
      </c>
      <c r="C33" s="406"/>
    </row>
    <row r="34" spans="1:3" hidden="1">
      <c r="A34" s="188"/>
      <c r="B34" s="194"/>
      <c r="C34" s="406"/>
    </row>
    <row r="35" spans="1:3">
      <c r="A35" s="2563" t="s">
        <v>27</v>
      </c>
      <c r="B35" s="2564" t="s">
        <v>377</v>
      </c>
      <c r="C35" s="406"/>
    </row>
  </sheetData>
  <mergeCells count="1">
    <mergeCell ref="A2:C2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colBreaks count="1" manualBreakCount="1">
    <brk id="6" max="1048575" man="1"/>
  </colBreaks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tabColor rgb="FFFF0000"/>
    <outlinePr summaryBelow="0" summaryRight="0"/>
    <pageSetUpPr autoPageBreaks="0"/>
  </sheetPr>
  <dimension ref="A1:T829"/>
  <sheetViews>
    <sheetView topLeftCell="A681" workbookViewId="0">
      <selection activeCell="N195" sqref="N195:P195"/>
    </sheetView>
  </sheetViews>
  <sheetFormatPr defaultColWidth="8.7109375" defaultRowHeight="11.45" customHeight="1" outlineLevelRow="4"/>
  <cols>
    <col min="1" max="1" width="8.7109375" style="2867" customWidth="1"/>
    <col min="2" max="2" width="6.5703125" style="2867" customWidth="1"/>
    <col min="3" max="3" width="1.28515625" style="2867" customWidth="1"/>
    <col min="4" max="4" width="8.7109375" style="2867" customWidth="1"/>
    <col min="5" max="5" width="2.42578125" style="2867" customWidth="1"/>
    <col min="6" max="6" width="5.5703125" style="2867" customWidth="1"/>
    <col min="7" max="7" width="8.7109375" style="2867" customWidth="1"/>
    <col min="8" max="8" width="0.28515625" style="2867" customWidth="1"/>
    <col min="9" max="10" width="7.7109375" style="2867" customWidth="1"/>
    <col min="11" max="11" width="0.28515625" style="2867" customWidth="1"/>
    <col min="12" max="12" width="8.7109375" style="2867" customWidth="1"/>
    <col min="13" max="13" width="5.5703125" style="2867" customWidth="1"/>
    <col min="14" max="14" width="2.42578125" style="2867" customWidth="1"/>
    <col min="15" max="15" width="14.5703125" style="2867" customWidth="1"/>
    <col min="16" max="16" width="3.42578125" style="2867" customWidth="1"/>
    <col min="17" max="17" width="4.5703125" style="2867" customWidth="1"/>
    <col min="18" max="18" width="10.85546875" style="2867" customWidth="1"/>
    <col min="19" max="19" width="0.7109375" style="2867" customWidth="1"/>
    <col min="20" max="20" width="14.5703125" style="2867" customWidth="1"/>
    <col min="21" max="16384" width="8.7109375" style="2868"/>
  </cols>
  <sheetData>
    <row r="1" spans="1:19" ht="12.95" customHeight="1">
      <c r="A1" s="4407" t="s">
        <v>30</v>
      </c>
      <c r="B1" s="4407"/>
      <c r="C1" s="4407"/>
      <c r="D1" s="4407"/>
      <c r="E1" s="4407"/>
      <c r="F1" s="4407"/>
      <c r="G1" s="4407"/>
      <c r="H1" s="4407"/>
      <c r="I1" s="4407"/>
      <c r="J1" s="4407"/>
      <c r="K1" s="4407"/>
      <c r="L1" s="4407"/>
      <c r="M1" s="4407"/>
      <c r="N1" s="4407"/>
      <c r="O1" s="4407"/>
      <c r="P1" s="4407"/>
      <c r="Q1" s="4407"/>
      <c r="R1" s="4407"/>
      <c r="S1" s="4407"/>
    </row>
    <row r="2" spans="1:19" s="2867" customFormat="1" ht="9" customHeight="1"/>
    <row r="3" spans="1:19" s="2867" customFormat="1" ht="17.100000000000001" customHeight="1">
      <c r="A3" s="4408" t="s">
        <v>4547</v>
      </c>
      <c r="B3" s="4408"/>
      <c r="C3" s="4408"/>
      <c r="D3" s="4408"/>
      <c r="E3" s="4408"/>
      <c r="F3" s="4408"/>
      <c r="G3" s="4408"/>
      <c r="H3" s="4408"/>
      <c r="I3" s="4408"/>
      <c r="J3" s="4408"/>
      <c r="K3" s="4408"/>
      <c r="L3" s="4408"/>
      <c r="M3" s="4408"/>
      <c r="N3" s="4408"/>
      <c r="O3" s="4408"/>
      <c r="P3" s="4408"/>
      <c r="Q3" s="4408"/>
      <c r="R3" s="4408"/>
      <c r="S3" s="4408"/>
    </row>
    <row r="4" spans="1:19" s="2867" customFormat="1" ht="9" customHeight="1"/>
    <row r="5" spans="1:19" ht="11.1" customHeight="1">
      <c r="A5" s="4409" t="s">
        <v>4548</v>
      </c>
      <c r="B5" s="4409"/>
      <c r="C5" s="4409" t="s">
        <v>4549</v>
      </c>
      <c r="D5" s="4409"/>
      <c r="E5" s="4409"/>
      <c r="F5" s="4409"/>
      <c r="G5" s="4409"/>
      <c r="H5" s="4409"/>
      <c r="I5" s="4409"/>
      <c r="J5" s="4409"/>
      <c r="K5" s="4409"/>
      <c r="L5" s="4409"/>
      <c r="M5" s="4409"/>
      <c r="N5" s="4409"/>
      <c r="O5" s="4409"/>
      <c r="P5" s="4409"/>
      <c r="Q5" s="4409"/>
      <c r="R5" s="4409"/>
      <c r="S5" s="4409"/>
    </row>
    <row r="6" spans="1:19" s="2867" customFormat="1" ht="2.1" customHeight="1"/>
    <row r="7" spans="1:19" ht="11.1" customHeight="1">
      <c r="A7" s="4409" t="s">
        <v>4550</v>
      </c>
      <c r="B7" s="4409"/>
      <c r="C7" s="4409" t="s">
        <v>4551</v>
      </c>
      <c r="D7" s="4409"/>
      <c r="E7" s="4409"/>
      <c r="F7" s="4409"/>
      <c r="G7" s="4409"/>
      <c r="H7" s="4409"/>
      <c r="I7" s="4409"/>
      <c r="J7" s="4409"/>
      <c r="K7" s="4409"/>
      <c r="L7" s="4409"/>
      <c r="M7" s="4409"/>
      <c r="N7" s="4409"/>
      <c r="O7" s="4409"/>
      <c r="P7" s="4409"/>
      <c r="Q7" s="4409"/>
      <c r="R7" s="4409"/>
      <c r="S7" s="4409"/>
    </row>
    <row r="8" spans="1:19" s="2867" customFormat="1" ht="2.1" customHeight="1"/>
    <row r="9" spans="1:19" ht="11.25" hidden="1"/>
    <row r="10" spans="1:19" ht="11.25" hidden="1"/>
    <row r="11" spans="1:19" ht="11.25" hidden="1"/>
    <row r="12" spans="1:19" ht="11.25" hidden="1"/>
    <row r="13" spans="1:19" ht="11.25" hidden="1"/>
    <row r="14" spans="1:19" ht="11.25" hidden="1"/>
    <row r="15" spans="1:19" ht="11.25" hidden="1"/>
    <row r="16" spans="1:19" ht="11.25" hidden="1"/>
    <row r="17" ht="11.25" hidden="1"/>
    <row r="18" ht="11.25" hidden="1"/>
    <row r="19" ht="11.25" hidden="1"/>
    <row r="20" ht="11.25" hidden="1"/>
    <row r="21" ht="11.25" hidden="1"/>
    <row r="22" ht="11.25" hidden="1"/>
    <row r="23" ht="11.25" hidden="1"/>
    <row r="24" ht="11.25" hidden="1"/>
    <row r="25" ht="11.25" hidden="1"/>
    <row r="26" ht="11.25" hidden="1"/>
    <row r="27" ht="11.25" hidden="1"/>
    <row r="28" ht="11.25" hidden="1"/>
    <row r="29" ht="11.25" hidden="1"/>
    <row r="30" ht="11.25" hidden="1"/>
    <row r="31" ht="11.25" hidden="1"/>
    <row r="32" ht="11.25" hidden="1"/>
    <row r="33" ht="11.25" hidden="1"/>
    <row r="34" ht="11.25" hidden="1"/>
    <row r="35" ht="11.25" hidden="1"/>
    <row r="36" ht="11.25" hidden="1"/>
    <row r="37" ht="11.25" hidden="1"/>
    <row r="38" ht="11.25" hidden="1"/>
    <row r="39" ht="11.25" hidden="1"/>
    <row r="40" ht="11.25" hidden="1"/>
    <row r="41" ht="11.25" hidden="1"/>
    <row r="42" ht="11.25" hidden="1"/>
    <row r="43" ht="11.25" hidden="1"/>
    <row r="44" ht="11.25" hidden="1"/>
    <row r="45" ht="11.25" hidden="1"/>
    <row r="46" ht="11.25" hidden="1"/>
    <row r="47" ht="11.25" hidden="1"/>
    <row r="48" ht="11.25" hidden="1"/>
    <row r="49" ht="11.25" hidden="1"/>
    <row r="50" ht="11.25" hidden="1"/>
    <row r="51" ht="11.25" hidden="1"/>
    <row r="52" ht="11.25" hidden="1"/>
    <row r="53" ht="11.25" hidden="1"/>
    <row r="54" ht="11.25" hidden="1"/>
    <row r="55" ht="11.25" hidden="1"/>
    <row r="56" ht="11.25" hidden="1"/>
    <row r="57" ht="11.25" hidden="1"/>
    <row r="58" ht="11.25" hidden="1"/>
    <row r="59" ht="11.25" hidden="1"/>
    <row r="60" ht="11.25" hidden="1"/>
    <row r="61" ht="11.25" hidden="1"/>
    <row r="62" ht="11.25" hidden="1"/>
    <row r="63" ht="11.25" hidden="1"/>
    <row r="64" ht="11.25" hidden="1"/>
    <row r="65" ht="11.25" hidden="1"/>
    <row r="66" ht="11.25" hidden="1"/>
    <row r="67" ht="11.25" hidden="1"/>
    <row r="68" ht="11.25" hidden="1"/>
    <row r="69" ht="11.25" hidden="1"/>
    <row r="70" ht="11.25" hidden="1"/>
    <row r="71" ht="11.25" hidden="1"/>
    <row r="72" ht="11.25" hidden="1"/>
    <row r="73" ht="11.25" hidden="1"/>
    <row r="74" ht="11.25" hidden="1"/>
    <row r="75" ht="11.25" hidden="1"/>
    <row r="76" ht="11.25" hidden="1"/>
    <row r="77" ht="11.25" hidden="1"/>
    <row r="78" ht="11.25" hidden="1"/>
    <row r="79" ht="11.25" hidden="1"/>
    <row r="80" ht="11.25" hidden="1"/>
    <row r="81" ht="11.25" hidden="1"/>
    <row r="82" ht="11.25" hidden="1"/>
    <row r="83" ht="11.25" hidden="1"/>
    <row r="84" ht="11.25" hidden="1"/>
    <row r="85" ht="11.25" hidden="1"/>
    <row r="86" ht="11.25" hidden="1"/>
    <row r="87" ht="11.25" hidden="1"/>
    <row r="88" ht="11.25" hidden="1"/>
    <row r="89" ht="11.25" hidden="1"/>
    <row r="90" ht="11.25" hidden="1"/>
    <row r="91" ht="11.25" hidden="1"/>
    <row r="92" ht="11.25" hidden="1"/>
    <row r="93" ht="11.25" hidden="1"/>
    <row r="94" ht="11.25" hidden="1"/>
    <row r="95" ht="11.25" hidden="1"/>
    <row r="96" ht="11.25" hidden="1"/>
    <row r="97" ht="11.25" hidden="1"/>
    <row r="98" ht="11.25" hidden="1"/>
    <row r="99" ht="11.25" hidden="1"/>
    <row r="100" ht="11.25" hidden="1"/>
    <row r="101" ht="11.25" hidden="1"/>
    <row r="102" ht="11.25" hidden="1"/>
    <row r="103" ht="11.25" hidden="1"/>
    <row r="104" ht="11.25" hidden="1"/>
    <row r="105" ht="11.25" hidden="1"/>
    <row r="106" ht="11.25" hidden="1"/>
    <row r="107" ht="11.25" hidden="1"/>
    <row r="108" ht="11.25" hidden="1"/>
    <row r="109" ht="11.25" hidden="1"/>
    <row r="110" ht="11.25" hidden="1"/>
    <row r="111" ht="11.25" hidden="1"/>
    <row r="112" ht="11.25" hidden="1"/>
    <row r="113" ht="11.25" hidden="1"/>
    <row r="114" ht="11.25" hidden="1"/>
    <row r="115" ht="11.25" hidden="1"/>
    <row r="116" ht="11.25" hidden="1"/>
    <row r="117" ht="11.25" hidden="1"/>
    <row r="118" ht="11.25" hidden="1"/>
    <row r="119" ht="11.25" hidden="1"/>
    <row r="120" ht="11.25" hidden="1"/>
    <row r="121" ht="11.25" hidden="1"/>
    <row r="122" ht="11.25" hidden="1"/>
    <row r="123" ht="11.25" hidden="1"/>
    <row r="124" ht="11.25" hidden="1"/>
    <row r="125" ht="11.25" hidden="1"/>
    <row r="126" ht="11.25" hidden="1"/>
    <row r="127" ht="11.25" hidden="1"/>
    <row r="128" ht="11.25" hidden="1"/>
    <row r="129" ht="11.25" hidden="1"/>
    <row r="130" ht="11.25" hidden="1"/>
    <row r="131" ht="11.25" hidden="1"/>
    <row r="132" ht="11.25" hidden="1"/>
    <row r="133" ht="11.25" hidden="1"/>
    <row r="134" ht="11.25" hidden="1"/>
    <row r="135" ht="11.25" hidden="1"/>
    <row r="136" ht="11.25" hidden="1"/>
    <row r="137" ht="11.25" hidden="1"/>
    <row r="138" ht="11.25" hidden="1"/>
    <row r="139" ht="11.25" hidden="1"/>
    <row r="140" ht="11.25" hidden="1"/>
    <row r="141" ht="11.25" hidden="1"/>
    <row r="142" ht="11.25" hidden="1"/>
    <row r="143" ht="11.25" hidden="1"/>
    <row r="144" ht="11.25" hidden="1"/>
    <row r="145" ht="11.25" hidden="1"/>
    <row r="146" ht="11.25" hidden="1"/>
    <row r="147" ht="11.25" hidden="1"/>
    <row r="148" ht="11.25" hidden="1"/>
    <row r="149" ht="11.25" hidden="1"/>
    <row r="150" ht="11.25" hidden="1"/>
    <row r="151" ht="11.25" hidden="1"/>
    <row r="152" ht="11.25" hidden="1"/>
    <row r="153" ht="11.25" hidden="1"/>
    <row r="154" ht="11.25" hidden="1"/>
    <row r="155" ht="11.25" hidden="1"/>
    <row r="156" ht="11.25" hidden="1"/>
    <row r="157" ht="11.25" hidden="1"/>
    <row r="158" ht="11.25" hidden="1"/>
    <row r="159" ht="11.25" hidden="1"/>
    <row r="160" ht="11.25" hidden="1"/>
    <row r="161" ht="11.25" hidden="1"/>
    <row r="162" ht="11.25" hidden="1"/>
    <row r="163" ht="11.25" hidden="1"/>
    <row r="164" ht="11.25" hidden="1"/>
    <row r="165" ht="11.25" hidden="1"/>
    <row r="166" ht="11.25" hidden="1"/>
    <row r="167" ht="11.25" hidden="1"/>
    <row r="168" ht="11.25" hidden="1"/>
    <row r="169" ht="11.25" hidden="1"/>
    <row r="170" ht="11.25" hidden="1"/>
    <row r="171" ht="11.25" hidden="1"/>
    <row r="172" ht="11.25" hidden="1"/>
    <row r="173" ht="11.25" hidden="1"/>
    <row r="174" ht="11.25" hidden="1"/>
    <row r="175" ht="11.25" hidden="1"/>
    <row r="176" ht="11.25" hidden="1"/>
    <row r="177" spans="1:20" ht="11.25" hidden="1"/>
    <row r="178" spans="1:20" ht="11.25" hidden="1"/>
    <row r="179" spans="1:20" ht="11.25" hidden="1"/>
    <row r="180" spans="1:20" ht="11.25" hidden="1"/>
    <row r="181" spans="1:20" ht="11.25" hidden="1"/>
    <row r="182" spans="1:20" ht="11.25" hidden="1"/>
    <row r="183" spans="1:20" ht="11.25" hidden="1"/>
    <row r="184" spans="1:20" ht="11.25" hidden="1"/>
    <row r="185" spans="1:20" ht="11.25" hidden="1"/>
    <row r="186" spans="1:20" ht="11.25" hidden="1"/>
    <row r="187" spans="1:20" ht="11.25" hidden="1"/>
    <row r="188" spans="1:20" ht="11.25" hidden="1"/>
    <row r="189" spans="1:20" ht="11.25" hidden="1"/>
    <row r="190" spans="1:20" s="2867" customFormat="1" ht="9.9499999999999993" hidden="1" customHeight="1"/>
    <row r="191" spans="1:20" ht="12" customHeight="1">
      <c r="A191" s="4415" t="s">
        <v>926</v>
      </c>
      <c r="B191" s="4415"/>
      <c r="C191" s="4415"/>
      <c r="D191" s="4415"/>
      <c r="E191" s="4415"/>
      <c r="F191" s="4410" t="s">
        <v>4552</v>
      </c>
      <c r="G191" s="4410"/>
      <c r="H191" s="4410"/>
      <c r="I191" s="4410"/>
      <c r="J191" s="4410"/>
      <c r="K191" s="4410" t="s">
        <v>4553</v>
      </c>
      <c r="L191" s="4410"/>
      <c r="M191" s="4410"/>
      <c r="N191" s="4410"/>
      <c r="O191" s="4410"/>
      <c r="P191" s="4410"/>
      <c r="Q191" s="4410" t="s">
        <v>4554</v>
      </c>
      <c r="R191" s="4410"/>
      <c r="S191" s="4410"/>
      <c r="T191" s="4410"/>
    </row>
    <row r="192" spans="1:20" ht="11.1" customHeight="1">
      <c r="A192" s="4415" t="s">
        <v>4555</v>
      </c>
      <c r="B192" s="4415"/>
      <c r="C192" s="4415"/>
      <c r="D192" s="4415"/>
      <c r="E192" s="4415"/>
      <c r="F192" s="4410" t="s">
        <v>4556</v>
      </c>
      <c r="G192" s="4410"/>
      <c r="H192" s="4410"/>
      <c r="I192" s="4410" t="s">
        <v>4557</v>
      </c>
      <c r="J192" s="4410"/>
      <c r="K192" s="4410" t="s">
        <v>4556</v>
      </c>
      <c r="L192" s="4410"/>
      <c r="M192" s="4410"/>
      <c r="N192" s="4410" t="s">
        <v>4557</v>
      </c>
      <c r="O192" s="4410"/>
      <c r="P192" s="4410"/>
      <c r="Q192" s="4410" t="s">
        <v>4556</v>
      </c>
      <c r="R192" s="4410"/>
      <c r="S192" s="4410" t="s">
        <v>4557</v>
      </c>
      <c r="T192" s="4410"/>
    </row>
    <row r="193" spans="1:20" ht="11.1" customHeight="1">
      <c r="A193" s="4415"/>
      <c r="B193" s="4415"/>
      <c r="C193" s="4415"/>
      <c r="D193" s="4415"/>
      <c r="E193" s="4415"/>
      <c r="F193" s="4410"/>
      <c r="G193" s="4410"/>
      <c r="H193" s="4410"/>
      <c r="I193" s="4410"/>
      <c r="J193" s="4410"/>
      <c r="K193" s="4410"/>
      <c r="L193" s="4410"/>
      <c r="M193" s="4410"/>
      <c r="N193" s="4410"/>
      <c r="O193" s="4410"/>
      <c r="P193" s="4410"/>
      <c r="Q193" s="4410"/>
      <c r="R193" s="4410"/>
      <c r="S193" s="4410"/>
      <c r="T193" s="4410"/>
    </row>
    <row r="194" spans="1:20" ht="12" customHeight="1">
      <c r="A194" s="4411">
        <v>2420</v>
      </c>
      <c r="B194" s="4411"/>
      <c r="C194" s="4411"/>
      <c r="D194" s="4411"/>
      <c r="E194" s="4411"/>
      <c r="F194" s="2869"/>
      <c r="G194" s="2870"/>
      <c r="H194" s="2871"/>
      <c r="I194" s="4412">
        <v>4630272.8099999996</v>
      </c>
      <c r="J194" s="4412"/>
      <c r="K194" s="2869"/>
      <c r="L194" s="2870"/>
      <c r="M194" s="2871"/>
      <c r="N194" s="4412">
        <v>578658.75</v>
      </c>
      <c r="O194" s="4412"/>
      <c r="P194" s="4412"/>
      <c r="Q194" s="2869"/>
      <c r="R194" s="2871"/>
      <c r="S194" s="4412">
        <v>5208931.5599999996</v>
      </c>
      <c r="T194" s="4412"/>
    </row>
    <row r="195" spans="1:20" ht="12" customHeight="1" outlineLevel="1">
      <c r="A195" s="4413" t="s">
        <v>4558</v>
      </c>
      <c r="B195" s="4413"/>
      <c r="C195" s="4413"/>
      <c r="D195" s="4413"/>
      <c r="E195" s="4413"/>
      <c r="F195" s="2872"/>
      <c r="G195" s="2873"/>
      <c r="H195" s="2874"/>
      <c r="I195" s="4414">
        <v>4630272.8099999996</v>
      </c>
      <c r="J195" s="4414"/>
      <c r="K195" s="2872"/>
      <c r="L195" s="2873"/>
      <c r="M195" s="2874"/>
      <c r="N195" s="4414">
        <v>578658.75</v>
      </c>
      <c r="O195" s="4414"/>
      <c r="P195" s="4414"/>
      <c r="Q195" s="2872"/>
      <c r="R195" s="2874"/>
      <c r="S195" s="4414">
        <v>5208931.5599999996</v>
      </c>
      <c r="T195" s="4414"/>
    </row>
    <row r="196" spans="1:20" ht="36" customHeight="1" outlineLevel="2">
      <c r="A196" s="4419" t="s">
        <v>4559</v>
      </c>
      <c r="B196" s="4419"/>
      <c r="C196" s="4419"/>
      <c r="D196" s="4419"/>
      <c r="E196" s="4419"/>
      <c r="F196" s="2872"/>
      <c r="G196" s="2873"/>
      <c r="H196" s="2874"/>
      <c r="I196" s="4414">
        <v>1246392.57</v>
      </c>
      <c r="J196" s="4414"/>
      <c r="K196" s="2872"/>
      <c r="L196" s="2873"/>
      <c r="M196" s="2874"/>
      <c r="N196" s="4414">
        <v>155673.72</v>
      </c>
      <c r="O196" s="4414"/>
      <c r="P196" s="4414"/>
      <c r="Q196" s="2872"/>
      <c r="R196" s="2874"/>
      <c r="S196" s="4414">
        <v>1402066.29</v>
      </c>
      <c r="T196" s="4414"/>
    </row>
    <row r="197" spans="1:20" ht="12" customHeight="1" outlineLevel="3" collapsed="1">
      <c r="A197" s="4420" t="s">
        <v>4560</v>
      </c>
      <c r="B197" s="4420"/>
      <c r="C197" s="4420"/>
      <c r="D197" s="4420"/>
      <c r="E197" s="4420"/>
      <c r="F197" s="2872"/>
      <c r="G197" s="2873"/>
      <c r="H197" s="2874"/>
      <c r="I197" s="4414">
        <v>1188018.8799999999</v>
      </c>
      <c r="J197" s="4414"/>
      <c r="K197" s="2872"/>
      <c r="L197" s="2873"/>
      <c r="M197" s="2874"/>
      <c r="N197" s="4414">
        <v>148502.35999999999</v>
      </c>
      <c r="O197" s="4414"/>
      <c r="P197" s="4414"/>
      <c r="Q197" s="2872"/>
      <c r="R197" s="2874"/>
      <c r="S197" s="4414">
        <v>1336521.24</v>
      </c>
      <c r="T197" s="4414"/>
    </row>
    <row r="198" spans="1:20" s="2867" customFormat="1" ht="36" hidden="1" customHeight="1" outlineLevel="4">
      <c r="A198" s="4416" t="s">
        <v>826</v>
      </c>
      <c r="B198" s="4416"/>
      <c r="C198" s="4416"/>
      <c r="D198" s="4416"/>
      <c r="E198" s="4416"/>
      <c r="F198" s="2875"/>
      <c r="G198" s="2876"/>
      <c r="H198" s="2877"/>
      <c r="I198" s="4417">
        <v>2954.56</v>
      </c>
      <c r="J198" s="4417"/>
      <c r="K198" s="2875"/>
      <c r="L198" s="2876"/>
      <c r="M198" s="2877"/>
      <c r="N198" s="4418">
        <v>369.32</v>
      </c>
      <c r="O198" s="4418"/>
      <c r="P198" s="4418"/>
      <c r="Q198" s="2875"/>
      <c r="R198" s="2877"/>
      <c r="S198" s="4417">
        <v>3323.88</v>
      </c>
      <c r="T198" s="4417"/>
    </row>
    <row r="199" spans="1:20" s="2867" customFormat="1" ht="36" hidden="1" customHeight="1" outlineLevel="4">
      <c r="A199" s="4416" t="s">
        <v>826</v>
      </c>
      <c r="B199" s="4416"/>
      <c r="C199" s="4416"/>
      <c r="D199" s="4416"/>
      <c r="E199" s="4416"/>
      <c r="F199" s="2875"/>
      <c r="G199" s="2876"/>
      <c r="H199" s="2877"/>
      <c r="I199" s="4417">
        <v>2954.56</v>
      </c>
      <c r="J199" s="4417"/>
      <c r="K199" s="2875"/>
      <c r="L199" s="2876"/>
      <c r="M199" s="2877"/>
      <c r="N199" s="4418">
        <v>369.32</v>
      </c>
      <c r="O199" s="4418"/>
      <c r="P199" s="4418"/>
      <c r="Q199" s="2875"/>
      <c r="R199" s="2877"/>
      <c r="S199" s="4417">
        <v>3323.88</v>
      </c>
      <c r="T199" s="4417"/>
    </row>
    <row r="200" spans="1:20" s="2867" customFormat="1" ht="36" hidden="1" customHeight="1" outlineLevel="4">
      <c r="A200" s="4416" t="s">
        <v>826</v>
      </c>
      <c r="B200" s="4416"/>
      <c r="C200" s="4416"/>
      <c r="D200" s="4416"/>
      <c r="E200" s="4416"/>
      <c r="F200" s="2875"/>
      <c r="G200" s="2876"/>
      <c r="H200" s="2877"/>
      <c r="I200" s="4417">
        <v>2954.56</v>
      </c>
      <c r="J200" s="4417"/>
      <c r="K200" s="2875"/>
      <c r="L200" s="2876"/>
      <c r="M200" s="2877"/>
      <c r="N200" s="4418">
        <v>369.32</v>
      </c>
      <c r="O200" s="4418"/>
      <c r="P200" s="4418"/>
      <c r="Q200" s="2875"/>
      <c r="R200" s="2877"/>
      <c r="S200" s="4417">
        <v>3323.88</v>
      </c>
      <c r="T200" s="4417"/>
    </row>
    <row r="201" spans="1:20" s="2867" customFormat="1" ht="36" hidden="1" customHeight="1" outlineLevel="4">
      <c r="A201" s="4416" t="s">
        <v>826</v>
      </c>
      <c r="B201" s="4416"/>
      <c r="C201" s="4416"/>
      <c r="D201" s="4416"/>
      <c r="E201" s="4416"/>
      <c r="F201" s="2875"/>
      <c r="G201" s="2876"/>
      <c r="H201" s="2877"/>
      <c r="I201" s="4417">
        <v>2954.56</v>
      </c>
      <c r="J201" s="4417"/>
      <c r="K201" s="2875"/>
      <c r="L201" s="2876"/>
      <c r="M201" s="2877"/>
      <c r="N201" s="4418">
        <v>369.32</v>
      </c>
      <c r="O201" s="4418"/>
      <c r="P201" s="4418"/>
      <c r="Q201" s="2875"/>
      <c r="R201" s="2877"/>
      <c r="S201" s="4417">
        <v>3323.88</v>
      </c>
      <c r="T201" s="4417"/>
    </row>
    <row r="202" spans="1:20" s="2867" customFormat="1" ht="36" hidden="1" customHeight="1" outlineLevel="4">
      <c r="A202" s="4416" t="s">
        <v>826</v>
      </c>
      <c r="B202" s="4416"/>
      <c r="C202" s="4416"/>
      <c r="D202" s="4416"/>
      <c r="E202" s="4416"/>
      <c r="F202" s="2875"/>
      <c r="G202" s="2876"/>
      <c r="H202" s="2877"/>
      <c r="I202" s="4417">
        <v>2954.56</v>
      </c>
      <c r="J202" s="4417"/>
      <c r="K202" s="2875"/>
      <c r="L202" s="2876"/>
      <c r="M202" s="2877"/>
      <c r="N202" s="4418">
        <v>369.32</v>
      </c>
      <c r="O202" s="4418"/>
      <c r="P202" s="4418"/>
      <c r="Q202" s="2875"/>
      <c r="R202" s="2877"/>
      <c r="S202" s="4417">
        <v>3323.88</v>
      </c>
      <c r="T202" s="4417"/>
    </row>
    <row r="203" spans="1:20" s="2867" customFormat="1" ht="36" hidden="1" customHeight="1" outlineLevel="4">
      <c r="A203" s="4416" t="s">
        <v>826</v>
      </c>
      <c r="B203" s="4416"/>
      <c r="C203" s="4416"/>
      <c r="D203" s="4416"/>
      <c r="E203" s="4416"/>
      <c r="F203" s="2875"/>
      <c r="G203" s="2876"/>
      <c r="H203" s="2877"/>
      <c r="I203" s="4417">
        <v>2954.56</v>
      </c>
      <c r="J203" s="4417"/>
      <c r="K203" s="2875"/>
      <c r="L203" s="2876"/>
      <c r="M203" s="2877"/>
      <c r="N203" s="4418">
        <v>369.32</v>
      </c>
      <c r="O203" s="4418"/>
      <c r="P203" s="4418"/>
      <c r="Q203" s="2875"/>
      <c r="R203" s="2877"/>
      <c r="S203" s="4417">
        <v>3323.88</v>
      </c>
      <c r="T203" s="4417"/>
    </row>
    <row r="204" spans="1:20" s="2867" customFormat="1" ht="36" hidden="1" customHeight="1" outlineLevel="4">
      <c r="A204" s="4416" t="s">
        <v>826</v>
      </c>
      <c r="B204" s="4416"/>
      <c r="C204" s="4416"/>
      <c r="D204" s="4416"/>
      <c r="E204" s="4416"/>
      <c r="F204" s="2875"/>
      <c r="G204" s="2876"/>
      <c r="H204" s="2877"/>
      <c r="I204" s="4417">
        <v>2954.56</v>
      </c>
      <c r="J204" s="4417"/>
      <c r="K204" s="2875"/>
      <c r="L204" s="2876"/>
      <c r="M204" s="2877"/>
      <c r="N204" s="4418">
        <v>369.32</v>
      </c>
      <c r="O204" s="4418"/>
      <c r="P204" s="4418"/>
      <c r="Q204" s="2875"/>
      <c r="R204" s="2877"/>
      <c r="S204" s="4417">
        <v>3323.88</v>
      </c>
      <c r="T204" s="4417"/>
    </row>
    <row r="205" spans="1:20" s="2867" customFormat="1" ht="36" hidden="1" customHeight="1" outlineLevel="4">
      <c r="A205" s="4416" t="s">
        <v>826</v>
      </c>
      <c r="B205" s="4416"/>
      <c r="C205" s="4416"/>
      <c r="D205" s="4416"/>
      <c r="E205" s="4416"/>
      <c r="F205" s="2875"/>
      <c r="G205" s="2876"/>
      <c r="H205" s="2877"/>
      <c r="I205" s="4417">
        <v>2954.56</v>
      </c>
      <c r="J205" s="4417"/>
      <c r="K205" s="2875"/>
      <c r="L205" s="2876"/>
      <c r="M205" s="2877"/>
      <c r="N205" s="4418">
        <v>369.32</v>
      </c>
      <c r="O205" s="4418"/>
      <c r="P205" s="4418"/>
      <c r="Q205" s="2875"/>
      <c r="R205" s="2877"/>
      <c r="S205" s="4417">
        <v>3323.88</v>
      </c>
      <c r="T205" s="4417"/>
    </row>
    <row r="206" spans="1:20" s="2867" customFormat="1" ht="36" hidden="1" customHeight="1" outlineLevel="4">
      <c r="A206" s="4416" t="s">
        <v>826</v>
      </c>
      <c r="B206" s="4416"/>
      <c r="C206" s="4416"/>
      <c r="D206" s="4416"/>
      <c r="E206" s="4416"/>
      <c r="F206" s="2875"/>
      <c r="G206" s="2876"/>
      <c r="H206" s="2877"/>
      <c r="I206" s="4417">
        <v>2954.56</v>
      </c>
      <c r="J206" s="4417"/>
      <c r="K206" s="2875"/>
      <c r="L206" s="2876"/>
      <c r="M206" s="2877"/>
      <c r="N206" s="4418">
        <v>369.32</v>
      </c>
      <c r="O206" s="4418"/>
      <c r="P206" s="4418"/>
      <c r="Q206" s="2875"/>
      <c r="R206" s="2877"/>
      <c r="S206" s="4417">
        <v>3323.88</v>
      </c>
      <c r="T206" s="4417"/>
    </row>
    <row r="207" spans="1:20" s="2867" customFormat="1" ht="36" hidden="1" customHeight="1" outlineLevel="4">
      <c r="A207" s="4416" t="s">
        <v>826</v>
      </c>
      <c r="B207" s="4416"/>
      <c r="C207" s="4416"/>
      <c r="D207" s="4416"/>
      <c r="E207" s="4416"/>
      <c r="F207" s="2875"/>
      <c r="G207" s="2876"/>
      <c r="H207" s="2877"/>
      <c r="I207" s="4417">
        <v>2954.56</v>
      </c>
      <c r="J207" s="4417"/>
      <c r="K207" s="2875"/>
      <c r="L207" s="2876"/>
      <c r="M207" s="2877"/>
      <c r="N207" s="4418">
        <v>369.32</v>
      </c>
      <c r="O207" s="4418"/>
      <c r="P207" s="4418"/>
      <c r="Q207" s="2875"/>
      <c r="R207" s="2877"/>
      <c r="S207" s="4417">
        <v>3323.88</v>
      </c>
      <c r="T207" s="4417"/>
    </row>
    <row r="208" spans="1:20" s="2867" customFormat="1" ht="36" hidden="1" customHeight="1" outlineLevel="4">
      <c r="A208" s="4416" t="s">
        <v>826</v>
      </c>
      <c r="B208" s="4416"/>
      <c r="C208" s="4416"/>
      <c r="D208" s="4416"/>
      <c r="E208" s="4416"/>
      <c r="F208" s="2875"/>
      <c r="G208" s="2876"/>
      <c r="H208" s="2877"/>
      <c r="I208" s="4417">
        <v>2954.64</v>
      </c>
      <c r="J208" s="4417"/>
      <c r="K208" s="2875"/>
      <c r="L208" s="2876"/>
      <c r="M208" s="2877"/>
      <c r="N208" s="4418">
        <v>369.33</v>
      </c>
      <c r="O208" s="4418"/>
      <c r="P208" s="4418"/>
      <c r="Q208" s="2875"/>
      <c r="R208" s="2877"/>
      <c r="S208" s="4417">
        <v>3323.97</v>
      </c>
      <c r="T208" s="4417"/>
    </row>
    <row r="209" spans="1:20" s="2867" customFormat="1" ht="36" hidden="1" customHeight="1" outlineLevel="4">
      <c r="A209" s="4416" t="s">
        <v>826</v>
      </c>
      <c r="B209" s="4416"/>
      <c r="C209" s="4416"/>
      <c r="D209" s="4416"/>
      <c r="E209" s="4416"/>
      <c r="F209" s="2875"/>
      <c r="G209" s="2876"/>
      <c r="H209" s="2877"/>
      <c r="I209" s="4417">
        <v>2954.64</v>
      </c>
      <c r="J209" s="4417"/>
      <c r="K209" s="2875"/>
      <c r="L209" s="2876"/>
      <c r="M209" s="2877"/>
      <c r="N209" s="4418">
        <v>369.33</v>
      </c>
      <c r="O209" s="4418"/>
      <c r="P209" s="4418"/>
      <c r="Q209" s="2875"/>
      <c r="R209" s="2877"/>
      <c r="S209" s="4417">
        <v>3323.97</v>
      </c>
      <c r="T209" s="4417"/>
    </row>
    <row r="210" spans="1:20" s="2867" customFormat="1" ht="36" hidden="1" customHeight="1" outlineLevel="4">
      <c r="A210" s="4416" t="s">
        <v>826</v>
      </c>
      <c r="B210" s="4416"/>
      <c r="C210" s="4416"/>
      <c r="D210" s="4416"/>
      <c r="E210" s="4416"/>
      <c r="F210" s="2875"/>
      <c r="G210" s="2876"/>
      <c r="H210" s="2877"/>
      <c r="I210" s="4417">
        <v>2954.64</v>
      </c>
      <c r="J210" s="4417"/>
      <c r="K210" s="2875"/>
      <c r="L210" s="2876"/>
      <c r="M210" s="2877"/>
      <c r="N210" s="4418">
        <v>369.33</v>
      </c>
      <c r="O210" s="4418"/>
      <c r="P210" s="4418"/>
      <c r="Q210" s="2875"/>
      <c r="R210" s="2877"/>
      <c r="S210" s="4417">
        <v>3323.97</v>
      </c>
      <c r="T210" s="4417"/>
    </row>
    <row r="211" spans="1:20" s="2867" customFormat="1" ht="36" hidden="1" customHeight="1" outlineLevel="4">
      <c r="A211" s="4416" t="s">
        <v>826</v>
      </c>
      <c r="B211" s="4416"/>
      <c r="C211" s="4416"/>
      <c r="D211" s="4416"/>
      <c r="E211" s="4416"/>
      <c r="F211" s="2875"/>
      <c r="G211" s="2876"/>
      <c r="H211" s="2877"/>
      <c r="I211" s="4417">
        <v>2954.64</v>
      </c>
      <c r="J211" s="4417"/>
      <c r="K211" s="2875"/>
      <c r="L211" s="2876"/>
      <c r="M211" s="2877"/>
      <c r="N211" s="4418">
        <v>369.33</v>
      </c>
      <c r="O211" s="4418"/>
      <c r="P211" s="4418"/>
      <c r="Q211" s="2875"/>
      <c r="R211" s="2877"/>
      <c r="S211" s="4417">
        <v>3323.97</v>
      </c>
      <c r="T211" s="4417"/>
    </row>
    <row r="212" spans="1:20" s="2867" customFormat="1" ht="36" hidden="1" customHeight="1" outlineLevel="4">
      <c r="A212" s="4416" t="s">
        <v>826</v>
      </c>
      <c r="B212" s="4416"/>
      <c r="C212" s="4416"/>
      <c r="D212" s="4416"/>
      <c r="E212" s="4416"/>
      <c r="F212" s="2875"/>
      <c r="G212" s="2876"/>
      <c r="H212" s="2877"/>
      <c r="I212" s="4417">
        <v>2954.64</v>
      </c>
      <c r="J212" s="4417"/>
      <c r="K212" s="2875"/>
      <c r="L212" s="2876"/>
      <c r="M212" s="2877"/>
      <c r="N212" s="4418">
        <v>369.33</v>
      </c>
      <c r="O212" s="4418"/>
      <c r="P212" s="4418"/>
      <c r="Q212" s="2875"/>
      <c r="R212" s="2877"/>
      <c r="S212" s="4417">
        <v>3323.97</v>
      </c>
      <c r="T212" s="4417"/>
    </row>
    <row r="213" spans="1:20" s="2867" customFormat="1" ht="36" hidden="1" customHeight="1" outlineLevel="4">
      <c r="A213" s="4416" t="s">
        <v>826</v>
      </c>
      <c r="B213" s="4416"/>
      <c r="C213" s="4416"/>
      <c r="D213" s="4416"/>
      <c r="E213" s="4416"/>
      <c r="F213" s="2875"/>
      <c r="G213" s="2876"/>
      <c r="H213" s="2877"/>
      <c r="I213" s="4417">
        <v>2954.64</v>
      </c>
      <c r="J213" s="4417"/>
      <c r="K213" s="2875"/>
      <c r="L213" s="2876"/>
      <c r="M213" s="2877"/>
      <c r="N213" s="4418">
        <v>369.33</v>
      </c>
      <c r="O213" s="4418"/>
      <c r="P213" s="4418"/>
      <c r="Q213" s="2875"/>
      <c r="R213" s="2877"/>
      <c r="S213" s="4417">
        <v>3323.97</v>
      </c>
      <c r="T213" s="4417"/>
    </row>
    <row r="214" spans="1:20" s="2867" customFormat="1" ht="36" hidden="1" customHeight="1" outlineLevel="4">
      <c r="A214" s="4416" t="s">
        <v>826</v>
      </c>
      <c r="B214" s="4416"/>
      <c r="C214" s="4416"/>
      <c r="D214" s="4416"/>
      <c r="E214" s="4416"/>
      <c r="F214" s="2875"/>
      <c r="G214" s="2876"/>
      <c r="H214" s="2877"/>
      <c r="I214" s="4417">
        <v>2954.64</v>
      </c>
      <c r="J214" s="4417"/>
      <c r="K214" s="2875"/>
      <c r="L214" s="2876"/>
      <c r="M214" s="2877"/>
      <c r="N214" s="4418">
        <v>369.33</v>
      </c>
      <c r="O214" s="4418"/>
      <c r="P214" s="4418"/>
      <c r="Q214" s="2875"/>
      <c r="R214" s="2877"/>
      <c r="S214" s="4417">
        <v>3323.97</v>
      </c>
      <c r="T214" s="4417"/>
    </row>
    <row r="215" spans="1:20" s="2867" customFormat="1" ht="36" hidden="1" customHeight="1" outlineLevel="4">
      <c r="A215" s="4416" t="s">
        <v>826</v>
      </c>
      <c r="B215" s="4416"/>
      <c r="C215" s="4416"/>
      <c r="D215" s="4416"/>
      <c r="E215" s="4416"/>
      <c r="F215" s="2875"/>
      <c r="G215" s="2876"/>
      <c r="H215" s="2877"/>
      <c r="I215" s="4417">
        <v>2954.64</v>
      </c>
      <c r="J215" s="4417"/>
      <c r="K215" s="2875"/>
      <c r="L215" s="2876"/>
      <c r="M215" s="2877"/>
      <c r="N215" s="4418">
        <v>369.33</v>
      </c>
      <c r="O215" s="4418"/>
      <c r="P215" s="4418"/>
      <c r="Q215" s="2875"/>
      <c r="R215" s="2877"/>
      <c r="S215" s="4417">
        <v>3323.97</v>
      </c>
      <c r="T215" s="4417"/>
    </row>
    <row r="216" spans="1:20" s="2867" customFormat="1" ht="36" hidden="1" customHeight="1" outlineLevel="4">
      <c r="A216" s="4416" t="s">
        <v>826</v>
      </c>
      <c r="B216" s="4416"/>
      <c r="C216" s="4416"/>
      <c r="D216" s="4416"/>
      <c r="E216" s="4416"/>
      <c r="F216" s="2875"/>
      <c r="G216" s="2876"/>
      <c r="H216" s="2877"/>
      <c r="I216" s="4417">
        <v>2954.64</v>
      </c>
      <c r="J216" s="4417"/>
      <c r="K216" s="2875"/>
      <c r="L216" s="2876"/>
      <c r="M216" s="2877"/>
      <c r="N216" s="4418">
        <v>369.33</v>
      </c>
      <c r="O216" s="4418"/>
      <c r="P216" s="4418"/>
      <c r="Q216" s="2875"/>
      <c r="R216" s="2877"/>
      <c r="S216" s="4417">
        <v>3323.97</v>
      </c>
      <c r="T216" s="4417"/>
    </row>
    <row r="217" spans="1:20" s="2867" customFormat="1" ht="36" hidden="1" customHeight="1" outlineLevel="4">
      <c r="A217" s="4416" t="s">
        <v>826</v>
      </c>
      <c r="B217" s="4416"/>
      <c r="C217" s="4416"/>
      <c r="D217" s="4416"/>
      <c r="E217" s="4416"/>
      <c r="F217" s="2875"/>
      <c r="G217" s="2876"/>
      <c r="H217" s="2877"/>
      <c r="I217" s="4417">
        <v>2954.64</v>
      </c>
      <c r="J217" s="4417"/>
      <c r="K217" s="2875"/>
      <c r="L217" s="2876"/>
      <c r="M217" s="2877"/>
      <c r="N217" s="4418">
        <v>369.33</v>
      </c>
      <c r="O217" s="4418"/>
      <c r="P217" s="4418"/>
      <c r="Q217" s="2875"/>
      <c r="R217" s="2877"/>
      <c r="S217" s="4417">
        <v>3323.97</v>
      </c>
      <c r="T217" s="4417"/>
    </row>
    <row r="218" spans="1:20" s="2867" customFormat="1" ht="36" hidden="1" customHeight="1" outlineLevel="4">
      <c r="A218" s="4416" t="s">
        <v>826</v>
      </c>
      <c r="B218" s="4416"/>
      <c r="C218" s="4416"/>
      <c r="D218" s="4416"/>
      <c r="E218" s="4416"/>
      <c r="F218" s="2875"/>
      <c r="G218" s="2876"/>
      <c r="H218" s="2877"/>
      <c r="I218" s="4417">
        <v>2954.64</v>
      </c>
      <c r="J218" s="4417"/>
      <c r="K218" s="2875"/>
      <c r="L218" s="2876"/>
      <c r="M218" s="2877"/>
      <c r="N218" s="4418">
        <v>369.33</v>
      </c>
      <c r="O218" s="4418"/>
      <c r="P218" s="4418"/>
      <c r="Q218" s="2875"/>
      <c r="R218" s="2877"/>
      <c r="S218" s="4417">
        <v>3323.97</v>
      </c>
      <c r="T218" s="4417"/>
    </row>
    <row r="219" spans="1:20" s="2867" customFormat="1" ht="36" hidden="1" customHeight="1" outlineLevel="4">
      <c r="A219" s="4416" t="s">
        <v>826</v>
      </c>
      <c r="B219" s="4416"/>
      <c r="C219" s="4416"/>
      <c r="D219" s="4416"/>
      <c r="E219" s="4416"/>
      <c r="F219" s="2875"/>
      <c r="G219" s="2876"/>
      <c r="H219" s="2877"/>
      <c r="I219" s="4417">
        <v>2954.64</v>
      </c>
      <c r="J219" s="4417"/>
      <c r="K219" s="2875"/>
      <c r="L219" s="2876"/>
      <c r="M219" s="2877"/>
      <c r="N219" s="4418">
        <v>369.33</v>
      </c>
      <c r="O219" s="4418"/>
      <c r="P219" s="4418"/>
      <c r="Q219" s="2875"/>
      <c r="R219" s="2877"/>
      <c r="S219" s="4417">
        <v>3323.97</v>
      </c>
      <c r="T219" s="4417"/>
    </row>
    <row r="220" spans="1:20" s="2867" customFormat="1" ht="36" hidden="1" customHeight="1" outlineLevel="4">
      <c r="A220" s="4416" t="s">
        <v>826</v>
      </c>
      <c r="B220" s="4416"/>
      <c r="C220" s="4416"/>
      <c r="D220" s="4416"/>
      <c r="E220" s="4416"/>
      <c r="F220" s="2875"/>
      <c r="G220" s="2876"/>
      <c r="H220" s="2877"/>
      <c r="I220" s="4417">
        <v>2954.64</v>
      </c>
      <c r="J220" s="4417"/>
      <c r="K220" s="2875"/>
      <c r="L220" s="2876"/>
      <c r="M220" s="2877"/>
      <c r="N220" s="4418">
        <v>369.33</v>
      </c>
      <c r="O220" s="4418"/>
      <c r="P220" s="4418"/>
      <c r="Q220" s="2875"/>
      <c r="R220" s="2877"/>
      <c r="S220" s="4417">
        <v>3323.97</v>
      </c>
      <c r="T220" s="4417"/>
    </row>
    <row r="221" spans="1:20" s="2867" customFormat="1" ht="36" hidden="1" customHeight="1" outlineLevel="4">
      <c r="A221" s="4416" t="s">
        <v>826</v>
      </c>
      <c r="B221" s="4416"/>
      <c r="C221" s="4416"/>
      <c r="D221" s="4416"/>
      <c r="E221" s="4416"/>
      <c r="F221" s="2875"/>
      <c r="G221" s="2876"/>
      <c r="H221" s="2877"/>
      <c r="I221" s="4417">
        <v>2954.64</v>
      </c>
      <c r="J221" s="4417"/>
      <c r="K221" s="2875"/>
      <c r="L221" s="2876"/>
      <c r="M221" s="2877"/>
      <c r="N221" s="4418">
        <v>369.33</v>
      </c>
      <c r="O221" s="4418"/>
      <c r="P221" s="4418"/>
      <c r="Q221" s="2875"/>
      <c r="R221" s="2877"/>
      <c r="S221" s="4417">
        <v>3323.97</v>
      </c>
      <c r="T221" s="4417"/>
    </row>
    <row r="222" spans="1:20" s="2867" customFormat="1" ht="36" hidden="1" customHeight="1" outlineLevel="4">
      <c r="A222" s="4416" t="s">
        <v>826</v>
      </c>
      <c r="B222" s="4416"/>
      <c r="C222" s="4416"/>
      <c r="D222" s="4416"/>
      <c r="E222" s="4416"/>
      <c r="F222" s="2875"/>
      <c r="G222" s="2876"/>
      <c r="H222" s="2877"/>
      <c r="I222" s="4417">
        <v>2954.64</v>
      </c>
      <c r="J222" s="4417"/>
      <c r="K222" s="2875"/>
      <c r="L222" s="2876"/>
      <c r="M222" s="2877"/>
      <c r="N222" s="4418">
        <v>369.33</v>
      </c>
      <c r="O222" s="4418"/>
      <c r="P222" s="4418"/>
      <c r="Q222" s="2875"/>
      <c r="R222" s="2877"/>
      <c r="S222" s="4417">
        <v>3323.97</v>
      </c>
      <c r="T222" s="4417"/>
    </row>
    <row r="223" spans="1:20" s="2867" customFormat="1" ht="36" hidden="1" customHeight="1" outlineLevel="4">
      <c r="A223" s="4416" t="s">
        <v>826</v>
      </c>
      <c r="B223" s="4416"/>
      <c r="C223" s="4416"/>
      <c r="D223" s="4416"/>
      <c r="E223" s="4416"/>
      <c r="F223" s="2875"/>
      <c r="G223" s="2876"/>
      <c r="H223" s="2877"/>
      <c r="I223" s="4417">
        <v>2954.64</v>
      </c>
      <c r="J223" s="4417"/>
      <c r="K223" s="2875"/>
      <c r="L223" s="2876"/>
      <c r="M223" s="2877"/>
      <c r="N223" s="4418">
        <v>369.33</v>
      </c>
      <c r="O223" s="4418"/>
      <c r="P223" s="4418"/>
      <c r="Q223" s="2875"/>
      <c r="R223" s="2877"/>
      <c r="S223" s="4417">
        <v>3323.97</v>
      </c>
      <c r="T223" s="4417"/>
    </row>
    <row r="224" spans="1:20" s="2867" customFormat="1" ht="36" hidden="1" customHeight="1" outlineLevel="4">
      <c r="A224" s="4416" t="s">
        <v>826</v>
      </c>
      <c r="B224" s="4416"/>
      <c r="C224" s="4416"/>
      <c r="D224" s="4416"/>
      <c r="E224" s="4416"/>
      <c r="F224" s="2875"/>
      <c r="G224" s="2876"/>
      <c r="H224" s="2877"/>
      <c r="I224" s="4417">
        <v>2954.64</v>
      </c>
      <c r="J224" s="4417"/>
      <c r="K224" s="2875"/>
      <c r="L224" s="2876"/>
      <c r="M224" s="2877"/>
      <c r="N224" s="4418">
        <v>369.33</v>
      </c>
      <c r="O224" s="4418"/>
      <c r="P224" s="4418"/>
      <c r="Q224" s="2875"/>
      <c r="R224" s="2877"/>
      <c r="S224" s="4417">
        <v>3323.97</v>
      </c>
      <c r="T224" s="4417"/>
    </row>
    <row r="225" spans="1:20" s="2867" customFormat="1" ht="36" hidden="1" customHeight="1" outlineLevel="4">
      <c r="A225" s="4416" t="s">
        <v>826</v>
      </c>
      <c r="B225" s="4416"/>
      <c r="C225" s="4416"/>
      <c r="D225" s="4416"/>
      <c r="E225" s="4416"/>
      <c r="F225" s="2875"/>
      <c r="G225" s="2876"/>
      <c r="H225" s="2877"/>
      <c r="I225" s="4417">
        <v>2954.64</v>
      </c>
      <c r="J225" s="4417"/>
      <c r="K225" s="2875"/>
      <c r="L225" s="2876"/>
      <c r="M225" s="2877"/>
      <c r="N225" s="4418">
        <v>369.33</v>
      </c>
      <c r="O225" s="4418"/>
      <c r="P225" s="4418"/>
      <c r="Q225" s="2875"/>
      <c r="R225" s="2877"/>
      <c r="S225" s="4417">
        <v>3323.97</v>
      </c>
      <c r="T225" s="4417"/>
    </row>
    <row r="226" spans="1:20" s="2867" customFormat="1" ht="36" hidden="1" customHeight="1" outlineLevel="4">
      <c r="A226" s="4416" t="s">
        <v>826</v>
      </c>
      <c r="B226" s="4416"/>
      <c r="C226" s="4416"/>
      <c r="D226" s="4416"/>
      <c r="E226" s="4416"/>
      <c r="F226" s="2875"/>
      <c r="G226" s="2876"/>
      <c r="H226" s="2877"/>
      <c r="I226" s="4417">
        <v>2954.56</v>
      </c>
      <c r="J226" s="4417"/>
      <c r="K226" s="2875"/>
      <c r="L226" s="2876"/>
      <c r="M226" s="2877"/>
      <c r="N226" s="4418">
        <v>369.32</v>
      </c>
      <c r="O226" s="4418"/>
      <c r="P226" s="4418"/>
      <c r="Q226" s="2875"/>
      <c r="R226" s="2877"/>
      <c r="S226" s="4417">
        <v>3323.88</v>
      </c>
      <c r="T226" s="4417"/>
    </row>
    <row r="227" spans="1:20" s="2867" customFormat="1" ht="36" hidden="1" customHeight="1" outlineLevel="4">
      <c r="A227" s="4416" t="s">
        <v>826</v>
      </c>
      <c r="B227" s="4416"/>
      <c r="C227" s="4416"/>
      <c r="D227" s="4416"/>
      <c r="E227" s="4416"/>
      <c r="F227" s="2875"/>
      <c r="G227" s="2876"/>
      <c r="H227" s="2877"/>
      <c r="I227" s="4417">
        <v>2954.56</v>
      </c>
      <c r="J227" s="4417"/>
      <c r="K227" s="2875"/>
      <c r="L227" s="2876"/>
      <c r="M227" s="2877"/>
      <c r="N227" s="4418">
        <v>369.32</v>
      </c>
      <c r="O227" s="4418"/>
      <c r="P227" s="4418"/>
      <c r="Q227" s="2875"/>
      <c r="R227" s="2877"/>
      <c r="S227" s="4417">
        <v>3323.88</v>
      </c>
      <c r="T227" s="4417"/>
    </row>
    <row r="228" spans="1:20" s="2867" customFormat="1" ht="36" hidden="1" customHeight="1" outlineLevel="4">
      <c r="A228" s="4416" t="s">
        <v>826</v>
      </c>
      <c r="B228" s="4416"/>
      <c r="C228" s="4416"/>
      <c r="D228" s="4416"/>
      <c r="E228" s="4416"/>
      <c r="F228" s="2875"/>
      <c r="G228" s="2876"/>
      <c r="H228" s="2877"/>
      <c r="I228" s="4417">
        <v>2954.56</v>
      </c>
      <c r="J228" s="4417"/>
      <c r="K228" s="2875"/>
      <c r="L228" s="2876"/>
      <c r="M228" s="2877"/>
      <c r="N228" s="4418">
        <v>369.32</v>
      </c>
      <c r="O228" s="4418"/>
      <c r="P228" s="4418"/>
      <c r="Q228" s="2875"/>
      <c r="R228" s="2877"/>
      <c r="S228" s="4417">
        <v>3323.88</v>
      </c>
      <c r="T228" s="4417"/>
    </row>
    <row r="229" spans="1:20" s="2867" customFormat="1" ht="36" hidden="1" customHeight="1" outlineLevel="4">
      <c r="A229" s="4416" t="s">
        <v>826</v>
      </c>
      <c r="B229" s="4416"/>
      <c r="C229" s="4416"/>
      <c r="D229" s="4416"/>
      <c r="E229" s="4416"/>
      <c r="F229" s="2875"/>
      <c r="G229" s="2876"/>
      <c r="H229" s="2877"/>
      <c r="I229" s="4417">
        <v>2954.56</v>
      </c>
      <c r="J229" s="4417"/>
      <c r="K229" s="2875"/>
      <c r="L229" s="2876"/>
      <c r="M229" s="2877"/>
      <c r="N229" s="4418">
        <v>369.32</v>
      </c>
      <c r="O229" s="4418"/>
      <c r="P229" s="4418"/>
      <c r="Q229" s="2875"/>
      <c r="R229" s="2877"/>
      <c r="S229" s="4417">
        <v>3323.88</v>
      </c>
      <c r="T229" s="4417"/>
    </row>
    <row r="230" spans="1:20" s="2867" customFormat="1" ht="36" hidden="1" customHeight="1" outlineLevel="4">
      <c r="A230" s="4416" t="s">
        <v>826</v>
      </c>
      <c r="B230" s="4416"/>
      <c r="C230" s="4416"/>
      <c r="D230" s="4416"/>
      <c r="E230" s="4416"/>
      <c r="F230" s="2875"/>
      <c r="G230" s="2876"/>
      <c r="H230" s="2877"/>
      <c r="I230" s="4417">
        <v>2954.56</v>
      </c>
      <c r="J230" s="4417"/>
      <c r="K230" s="2875"/>
      <c r="L230" s="2876"/>
      <c r="M230" s="2877"/>
      <c r="N230" s="4418">
        <v>369.32</v>
      </c>
      <c r="O230" s="4418"/>
      <c r="P230" s="4418"/>
      <c r="Q230" s="2875"/>
      <c r="R230" s="2877"/>
      <c r="S230" s="4417">
        <v>3323.88</v>
      </c>
      <c r="T230" s="4417"/>
    </row>
    <row r="231" spans="1:20" s="2867" customFormat="1" ht="36" hidden="1" customHeight="1" outlineLevel="4">
      <c r="A231" s="4416" t="s">
        <v>834</v>
      </c>
      <c r="B231" s="4416"/>
      <c r="C231" s="4416"/>
      <c r="D231" s="4416"/>
      <c r="E231" s="4416"/>
      <c r="F231" s="2875"/>
      <c r="G231" s="2876"/>
      <c r="H231" s="2877"/>
      <c r="I231" s="4418">
        <v>333.04</v>
      </c>
      <c r="J231" s="4418"/>
      <c r="K231" s="2875"/>
      <c r="L231" s="2876"/>
      <c r="M231" s="2877"/>
      <c r="N231" s="4418">
        <v>41.63</v>
      </c>
      <c r="O231" s="4418"/>
      <c r="P231" s="4418"/>
      <c r="Q231" s="2875"/>
      <c r="R231" s="2877"/>
      <c r="S231" s="4418">
        <v>374.67</v>
      </c>
      <c r="T231" s="4418"/>
    </row>
    <row r="232" spans="1:20" s="2867" customFormat="1" ht="36" hidden="1" customHeight="1" outlineLevel="4">
      <c r="A232" s="4416" t="s">
        <v>834</v>
      </c>
      <c r="B232" s="4416"/>
      <c r="C232" s="4416"/>
      <c r="D232" s="4416"/>
      <c r="E232" s="4416"/>
      <c r="F232" s="2875"/>
      <c r="G232" s="2876"/>
      <c r="H232" s="2877"/>
      <c r="I232" s="4418">
        <v>333.04</v>
      </c>
      <c r="J232" s="4418"/>
      <c r="K232" s="2875"/>
      <c r="L232" s="2876"/>
      <c r="M232" s="2877"/>
      <c r="N232" s="4418">
        <v>41.63</v>
      </c>
      <c r="O232" s="4418"/>
      <c r="P232" s="4418"/>
      <c r="Q232" s="2875"/>
      <c r="R232" s="2877"/>
      <c r="S232" s="4418">
        <v>374.67</v>
      </c>
      <c r="T232" s="4418"/>
    </row>
    <row r="233" spans="1:20" s="2867" customFormat="1" ht="36" hidden="1" customHeight="1" outlineLevel="4">
      <c r="A233" s="4416" t="s">
        <v>834</v>
      </c>
      <c r="B233" s="4416"/>
      <c r="C233" s="4416"/>
      <c r="D233" s="4416"/>
      <c r="E233" s="4416"/>
      <c r="F233" s="2875"/>
      <c r="G233" s="2876"/>
      <c r="H233" s="2877"/>
      <c r="I233" s="4418">
        <v>333.04</v>
      </c>
      <c r="J233" s="4418"/>
      <c r="K233" s="2875"/>
      <c r="L233" s="2876"/>
      <c r="M233" s="2877"/>
      <c r="N233" s="4418">
        <v>41.63</v>
      </c>
      <c r="O233" s="4418"/>
      <c r="P233" s="4418"/>
      <c r="Q233" s="2875"/>
      <c r="R233" s="2877"/>
      <c r="S233" s="4418">
        <v>374.67</v>
      </c>
      <c r="T233" s="4418"/>
    </row>
    <row r="234" spans="1:20" s="2867" customFormat="1" ht="36" hidden="1" customHeight="1" outlineLevel="4">
      <c r="A234" s="4416" t="s">
        <v>834</v>
      </c>
      <c r="B234" s="4416"/>
      <c r="C234" s="4416"/>
      <c r="D234" s="4416"/>
      <c r="E234" s="4416"/>
      <c r="F234" s="2875"/>
      <c r="G234" s="2876"/>
      <c r="H234" s="2877"/>
      <c r="I234" s="4418">
        <v>333.04</v>
      </c>
      <c r="J234" s="4418"/>
      <c r="K234" s="2875"/>
      <c r="L234" s="2876"/>
      <c r="M234" s="2877"/>
      <c r="N234" s="4418">
        <v>41.63</v>
      </c>
      <c r="O234" s="4418"/>
      <c r="P234" s="4418"/>
      <c r="Q234" s="2875"/>
      <c r="R234" s="2877"/>
      <c r="S234" s="4418">
        <v>374.67</v>
      </c>
      <c r="T234" s="4418"/>
    </row>
    <row r="235" spans="1:20" s="2867" customFormat="1" ht="36" hidden="1" customHeight="1" outlineLevel="4">
      <c r="A235" s="4416" t="s">
        <v>834</v>
      </c>
      <c r="B235" s="4416"/>
      <c r="C235" s="4416"/>
      <c r="D235" s="4416"/>
      <c r="E235" s="4416"/>
      <c r="F235" s="2875"/>
      <c r="G235" s="2876"/>
      <c r="H235" s="2877"/>
      <c r="I235" s="4418">
        <v>333.04</v>
      </c>
      <c r="J235" s="4418"/>
      <c r="K235" s="2875"/>
      <c r="L235" s="2876"/>
      <c r="M235" s="2877"/>
      <c r="N235" s="4418">
        <v>41.63</v>
      </c>
      <c r="O235" s="4418"/>
      <c r="P235" s="4418"/>
      <c r="Q235" s="2875"/>
      <c r="R235" s="2877"/>
      <c r="S235" s="4418">
        <v>374.67</v>
      </c>
      <c r="T235" s="4418"/>
    </row>
    <row r="236" spans="1:20" s="2867" customFormat="1" ht="36" hidden="1" customHeight="1" outlineLevel="4">
      <c r="A236" s="4416" t="s">
        <v>834</v>
      </c>
      <c r="B236" s="4416"/>
      <c r="C236" s="4416"/>
      <c r="D236" s="4416"/>
      <c r="E236" s="4416"/>
      <c r="F236" s="2875"/>
      <c r="G236" s="2876"/>
      <c r="H236" s="2877"/>
      <c r="I236" s="4418">
        <v>333.04</v>
      </c>
      <c r="J236" s="4418"/>
      <c r="K236" s="2875"/>
      <c r="L236" s="2876"/>
      <c r="M236" s="2877"/>
      <c r="N236" s="4418">
        <v>41.63</v>
      </c>
      <c r="O236" s="4418"/>
      <c r="P236" s="4418"/>
      <c r="Q236" s="2875"/>
      <c r="R236" s="2877"/>
      <c r="S236" s="4418">
        <v>374.67</v>
      </c>
      <c r="T236" s="4418"/>
    </row>
    <row r="237" spans="1:20" s="2867" customFormat="1" ht="36" hidden="1" customHeight="1" outlineLevel="4">
      <c r="A237" s="4416" t="s">
        <v>834</v>
      </c>
      <c r="B237" s="4416"/>
      <c r="C237" s="4416"/>
      <c r="D237" s="4416"/>
      <c r="E237" s="4416"/>
      <c r="F237" s="2875"/>
      <c r="G237" s="2876"/>
      <c r="H237" s="2877"/>
      <c r="I237" s="4418">
        <v>333.04</v>
      </c>
      <c r="J237" s="4418"/>
      <c r="K237" s="2875"/>
      <c r="L237" s="2876"/>
      <c r="M237" s="2877"/>
      <c r="N237" s="4418">
        <v>41.63</v>
      </c>
      <c r="O237" s="4418"/>
      <c r="P237" s="4418"/>
      <c r="Q237" s="2875"/>
      <c r="R237" s="2877"/>
      <c r="S237" s="4418">
        <v>374.67</v>
      </c>
      <c r="T237" s="4418"/>
    </row>
    <row r="238" spans="1:20" s="2867" customFormat="1" ht="36" hidden="1" customHeight="1" outlineLevel="4">
      <c r="A238" s="4416" t="s">
        <v>834</v>
      </c>
      <c r="B238" s="4416"/>
      <c r="C238" s="4416"/>
      <c r="D238" s="4416"/>
      <c r="E238" s="4416"/>
      <c r="F238" s="2875"/>
      <c r="G238" s="2876"/>
      <c r="H238" s="2877"/>
      <c r="I238" s="4418">
        <v>333.04</v>
      </c>
      <c r="J238" s="4418"/>
      <c r="K238" s="2875"/>
      <c r="L238" s="2876"/>
      <c r="M238" s="2877"/>
      <c r="N238" s="4418">
        <v>41.63</v>
      </c>
      <c r="O238" s="4418"/>
      <c r="P238" s="4418"/>
      <c r="Q238" s="2875"/>
      <c r="R238" s="2877"/>
      <c r="S238" s="4418">
        <v>374.67</v>
      </c>
      <c r="T238" s="4418"/>
    </row>
    <row r="239" spans="1:20" s="2867" customFormat="1" ht="36" hidden="1" customHeight="1" outlineLevel="4">
      <c r="A239" s="4416" t="s">
        <v>834</v>
      </c>
      <c r="B239" s="4416"/>
      <c r="C239" s="4416"/>
      <c r="D239" s="4416"/>
      <c r="E239" s="4416"/>
      <c r="F239" s="2875"/>
      <c r="G239" s="2876"/>
      <c r="H239" s="2877"/>
      <c r="I239" s="4418">
        <v>333.04</v>
      </c>
      <c r="J239" s="4418"/>
      <c r="K239" s="2875"/>
      <c r="L239" s="2876"/>
      <c r="M239" s="2877"/>
      <c r="N239" s="4418">
        <v>41.63</v>
      </c>
      <c r="O239" s="4418"/>
      <c r="P239" s="4418"/>
      <c r="Q239" s="2875"/>
      <c r="R239" s="2877"/>
      <c r="S239" s="4418">
        <v>374.67</v>
      </c>
      <c r="T239" s="4418"/>
    </row>
    <row r="240" spans="1:20" s="2867" customFormat="1" ht="36" hidden="1" customHeight="1" outlineLevel="4">
      <c r="A240" s="4416" t="s">
        <v>834</v>
      </c>
      <c r="B240" s="4416"/>
      <c r="C240" s="4416"/>
      <c r="D240" s="4416"/>
      <c r="E240" s="4416"/>
      <c r="F240" s="2875"/>
      <c r="G240" s="2876"/>
      <c r="H240" s="2877"/>
      <c r="I240" s="4418">
        <v>333.04</v>
      </c>
      <c r="J240" s="4418"/>
      <c r="K240" s="2875"/>
      <c r="L240" s="2876"/>
      <c r="M240" s="2877"/>
      <c r="N240" s="4418">
        <v>41.63</v>
      </c>
      <c r="O240" s="4418"/>
      <c r="P240" s="4418"/>
      <c r="Q240" s="2875"/>
      <c r="R240" s="2877"/>
      <c r="S240" s="4418">
        <v>374.67</v>
      </c>
      <c r="T240" s="4418"/>
    </row>
    <row r="241" spans="1:20" s="2867" customFormat="1" ht="36" hidden="1" customHeight="1" outlineLevel="4">
      <c r="A241" s="4416" t="s">
        <v>834</v>
      </c>
      <c r="B241" s="4416"/>
      <c r="C241" s="4416"/>
      <c r="D241" s="4416"/>
      <c r="E241" s="4416"/>
      <c r="F241" s="2875"/>
      <c r="G241" s="2876"/>
      <c r="H241" s="2877"/>
      <c r="I241" s="4418">
        <v>333.04</v>
      </c>
      <c r="J241" s="4418"/>
      <c r="K241" s="2875"/>
      <c r="L241" s="2876"/>
      <c r="M241" s="2877"/>
      <c r="N241" s="4418">
        <v>41.63</v>
      </c>
      <c r="O241" s="4418"/>
      <c r="P241" s="4418"/>
      <c r="Q241" s="2875"/>
      <c r="R241" s="2877"/>
      <c r="S241" s="4418">
        <v>374.67</v>
      </c>
      <c r="T241" s="4418"/>
    </row>
    <row r="242" spans="1:20" s="2867" customFormat="1" ht="36" hidden="1" customHeight="1" outlineLevel="4">
      <c r="A242" s="4416" t="s">
        <v>834</v>
      </c>
      <c r="B242" s="4416"/>
      <c r="C242" s="4416"/>
      <c r="D242" s="4416"/>
      <c r="E242" s="4416"/>
      <c r="F242" s="2875"/>
      <c r="G242" s="2876"/>
      <c r="H242" s="2877"/>
      <c r="I242" s="4418">
        <v>333.04</v>
      </c>
      <c r="J242" s="4418"/>
      <c r="K242" s="2875"/>
      <c r="L242" s="2876"/>
      <c r="M242" s="2877"/>
      <c r="N242" s="4418">
        <v>41.63</v>
      </c>
      <c r="O242" s="4418"/>
      <c r="P242" s="4418"/>
      <c r="Q242" s="2875"/>
      <c r="R242" s="2877"/>
      <c r="S242" s="4418">
        <v>374.67</v>
      </c>
      <c r="T242" s="4418"/>
    </row>
    <row r="243" spans="1:20" s="2867" customFormat="1" ht="36" hidden="1" customHeight="1" outlineLevel="4">
      <c r="A243" s="4416" t="s">
        <v>834</v>
      </c>
      <c r="B243" s="4416"/>
      <c r="C243" s="4416"/>
      <c r="D243" s="4416"/>
      <c r="E243" s="4416"/>
      <c r="F243" s="2875"/>
      <c r="G243" s="2876"/>
      <c r="H243" s="2877"/>
      <c r="I243" s="4418">
        <v>333.04</v>
      </c>
      <c r="J243" s="4418"/>
      <c r="K243" s="2875"/>
      <c r="L243" s="2876"/>
      <c r="M243" s="2877"/>
      <c r="N243" s="4418">
        <v>41.63</v>
      </c>
      <c r="O243" s="4418"/>
      <c r="P243" s="4418"/>
      <c r="Q243" s="2875"/>
      <c r="R243" s="2877"/>
      <c r="S243" s="4418">
        <v>374.67</v>
      </c>
      <c r="T243" s="4418"/>
    </row>
    <row r="244" spans="1:20" s="2867" customFormat="1" ht="36" hidden="1" customHeight="1" outlineLevel="4">
      <c r="A244" s="4416" t="s">
        <v>834</v>
      </c>
      <c r="B244" s="4416"/>
      <c r="C244" s="4416"/>
      <c r="D244" s="4416"/>
      <c r="E244" s="4416"/>
      <c r="F244" s="2875"/>
      <c r="G244" s="2876"/>
      <c r="H244" s="2877"/>
      <c r="I244" s="4418">
        <v>333.04</v>
      </c>
      <c r="J244" s="4418"/>
      <c r="K244" s="2875"/>
      <c r="L244" s="2876"/>
      <c r="M244" s="2877"/>
      <c r="N244" s="4418">
        <v>41.63</v>
      </c>
      <c r="O244" s="4418"/>
      <c r="P244" s="4418"/>
      <c r="Q244" s="2875"/>
      <c r="R244" s="2877"/>
      <c r="S244" s="4418">
        <v>374.67</v>
      </c>
      <c r="T244" s="4418"/>
    </row>
    <row r="245" spans="1:20" s="2867" customFormat="1" ht="36" hidden="1" customHeight="1" outlineLevel="4">
      <c r="A245" s="4416" t="s">
        <v>834</v>
      </c>
      <c r="B245" s="4416"/>
      <c r="C245" s="4416"/>
      <c r="D245" s="4416"/>
      <c r="E245" s="4416"/>
      <c r="F245" s="2875"/>
      <c r="G245" s="2876"/>
      <c r="H245" s="2877"/>
      <c r="I245" s="4418">
        <v>333.04</v>
      </c>
      <c r="J245" s="4418"/>
      <c r="K245" s="2875"/>
      <c r="L245" s="2876"/>
      <c r="M245" s="2877"/>
      <c r="N245" s="4418">
        <v>41.63</v>
      </c>
      <c r="O245" s="4418"/>
      <c r="P245" s="4418"/>
      <c r="Q245" s="2875"/>
      <c r="R245" s="2877"/>
      <c r="S245" s="4418">
        <v>374.67</v>
      </c>
      <c r="T245" s="4418"/>
    </row>
    <row r="246" spans="1:20" s="2867" customFormat="1" ht="36" hidden="1" customHeight="1" outlineLevel="4">
      <c r="A246" s="4416" t="s">
        <v>834</v>
      </c>
      <c r="B246" s="4416"/>
      <c r="C246" s="4416"/>
      <c r="D246" s="4416"/>
      <c r="E246" s="4416"/>
      <c r="F246" s="2875"/>
      <c r="G246" s="2876"/>
      <c r="H246" s="2877"/>
      <c r="I246" s="4418">
        <v>333.04</v>
      </c>
      <c r="J246" s="4418"/>
      <c r="K246" s="2875"/>
      <c r="L246" s="2876"/>
      <c r="M246" s="2877"/>
      <c r="N246" s="4418">
        <v>41.63</v>
      </c>
      <c r="O246" s="4418"/>
      <c r="P246" s="4418"/>
      <c r="Q246" s="2875"/>
      <c r="R246" s="2877"/>
      <c r="S246" s="4418">
        <v>374.67</v>
      </c>
      <c r="T246" s="4418"/>
    </row>
    <row r="247" spans="1:20" s="2867" customFormat="1" ht="36" hidden="1" customHeight="1" outlineLevel="4">
      <c r="A247" s="4416" t="s">
        <v>834</v>
      </c>
      <c r="B247" s="4416"/>
      <c r="C247" s="4416"/>
      <c r="D247" s="4416"/>
      <c r="E247" s="4416"/>
      <c r="F247" s="2875"/>
      <c r="G247" s="2876"/>
      <c r="H247" s="2877"/>
      <c r="I247" s="4418">
        <v>333.04</v>
      </c>
      <c r="J247" s="4418"/>
      <c r="K247" s="2875"/>
      <c r="L247" s="2876"/>
      <c r="M247" s="2877"/>
      <c r="N247" s="4418">
        <v>41.63</v>
      </c>
      <c r="O247" s="4418"/>
      <c r="P247" s="4418"/>
      <c r="Q247" s="2875"/>
      <c r="R247" s="2877"/>
      <c r="S247" s="4418">
        <v>374.67</v>
      </c>
      <c r="T247" s="4418"/>
    </row>
    <row r="248" spans="1:20" s="2867" customFormat="1" ht="36" hidden="1" customHeight="1" outlineLevel="4">
      <c r="A248" s="4416" t="s">
        <v>834</v>
      </c>
      <c r="B248" s="4416"/>
      <c r="C248" s="4416"/>
      <c r="D248" s="4416"/>
      <c r="E248" s="4416"/>
      <c r="F248" s="2875"/>
      <c r="G248" s="2876"/>
      <c r="H248" s="2877"/>
      <c r="I248" s="4418">
        <v>333.04</v>
      </c>
      <c r="J248" s="4418"/>
      <c r="K248" s="2875"/>
      <c r="L248" s="2876"/>
      <c r="M248" s="2877"/>
      <c r="N248" s="4418">
        <v>41.63</v>
      </c>
      <c r="O248" s="4418"/>
      <c r="P248" s="4418"/>
      <c r="Q248" s="2875"/>
      <c r="R248" s="2877"/>
      <c r="S248" s="4418">
        <v>374.67</v>
      </c>
      <c r="T248" s="4418"/>
    </row>
    <row r="249" spans="1:20" s="2867" customFormat="1" ht="36" hidden="1" customHeight="1" outlineLevel="4">
      <c r="A249" s="4416" t="s">
        <v>834</v>
      </c>
      <c r="B249" s="4416"/>
      <c r="C249" s="4416"/>
      <c r="D249" s="4416"/>
      <c r="E249" s="4416"/>
      <c r="F249" s="2875"/>
      <c r="G249" s="2876"/>
      <c r="H249" s="2877"/>
      <c r="I249" s="4418">
        <v>333.04</v>
      </c>
      <c r="J249" s="4418"/>
      <c r="K249" s="2875"/>
      <c r="L249" s="2876"/>
      <c r="M249" s="2877"/>
      <c r="N249" s="4418">
        <v>41.63</v>
      </c>
      <c r="O249" s="4418"/>
      <c r="P249" s="4418"/>
      <c r="Q249" s="2875"/>
      <c r="R249" s="2877"/>
      <c r="S249" s="4418">
        <v>374.67</v>
      </c>
      <c r="T249" s="4418"/>
    </row>
    <row r="250" spans="1:20" s="2867" customFormat="1" ht="36" hidden="1" customHeight="1" outlineLevel="4">
      <c r="A250" s="4416" t="s">
        <v>834</v>
      </c>
      <c r="B250" s="4416"/>
      <c r="C250" s="4416"/>
      <c r="D250" s="4416"/>
      <c r="E250" s="4416"/>
      <c r="F250" s="2875"/>
      <c r="G250" s="2876"/>
      <c r="H250" s="2877"/>
      <c r="I250" s="4418">
        <v>333.04</v>
      </c>
      <c r="J250" s="4418"/>
      <c r="K250" s="2875"/>
      <c r="L250" s="2876"/>
      <c r="M250" s="2877"/>
      <c r="N250" s="4418">
        <v>41.63</v>
      </c>
      <c r="O250" s="4418"/>
      <c r="P250" s="4418"/>
      <c r="Q250" s="2875"/>
      <c r="R250" s="2877"/>
      <c r="S250" s="4418">
        <v>374.67</v>
      </c>
      <c r="T250" s="4418"/>
    </row>
    <row r="251" spans="1:20" s="2867" customFormat="1" ht="36" hidden="1" customHeight="1" outlineLevel="4">
      <c r="A251" s="4416" t="s">
        <v>834</v>
      </c>
      <c r="B251" s="4416"/>
      <c r="C251" s="4416"/>
      <c r="D251" s="4416"/>
      <c r="E251" s="4416"/>
      <c r="F251" s="2875"/>
      <c r="G251" s="2876"/>
      <c r="H251" s="2877"/>
      <c r="I251" s="4418">
        <v>333.04</v>
      </c>
      <c r="J251" s="4418"/>
      <c r="K251" s="2875"/>
      <c r="L251" s="2876"/>
      <c r="M251" s="2877"/>
      <c r="N251" s="4418">
        <v>41.63</v>
      </c>
      <c r="O251" s="4418"/>
      <c r="P251" s="4418"/>
      <c r="Q251" s="2875"/>
      <c r="R251" s="2877"/>
      <c r="S251" s="4418">
        <v>374.67</v>
      </c>
      <c r="T251" s="4418"/>
    </row>
    <row r="252" spans="1:20" s="2867" customFormat="1" ht="36" hidden="1" customHeight="1" outlineLevel="4">
      <c r="A252" s="4416" t="s">
        <v>834</v>
      </c>
      <c r="B252" s="4416"/>
      <c r="C252" s="4416"/>
      <c r="D252" s="4416"/>
      <c r="E252" s="4416"/>
      <c r="F252" s="2875"/>
      <c r="G252" s="2876"/>
      <c r="H252" s="2877"/>
      <c r="I252" s="4418">
        <v>333.04</v>
      </c>
      <c r="J252" s="4418"/>
      <c r="K252" s="2875"/>
      <c r="L252" s="2876"/>
      <c r="M252" s="2877"/>
      <c r="N252" s="4418">
        <v>41.63</v>
      </c>
      <c r="O252" s="4418"/>
      <c r="P252" s="4418"/>
      <c r="Q252" s="2875"/>
      <c r="R252" s="2877"/>
      <c r="S252" s="4418">
        <v>374.67</v>
      </c>
      <c r="T252" s="4418"/>
    </row>
    <row r="253" spans="1:20" s="2867" customFormat="1" ht="36" hidden="1" customHeight="1" outlineLevel="4">
      <c r="A253" s="4416" t="s">
        <v>834</v>
      </c>
      <c r="B253" s="4416"/>
      <c r="C253" s="4416"/>
      <c r="D253" s="4416"/>
      <c r="E253" s="4416"/>
      <c r="F253" s="2875"/>
      <c r="G253" s="2876"/>
      <c r="H253" s="2877"/>
      <c r="I253" s="4418">
        <v>333.04</v>
      </c>
      <c r="J253" s="4418"/>
      <c r="K253" s="2875"/>
      <c r="L253" s="2876"/>
      <c r="M253" s="2877"/>
      <c r="N253" s="4418">
        <v>41.63</v>
      </c>
      <c r="O253" s="4418"/>
      <c r="P253" s="4418"/>
      <c r="Q253" s="2875"/>
      <c r="R253" s="2877"/>
      <c r="S253" s="4418">
        <v>374.67</v>
      </c>
      <c r="T253" s="4418"/>
    </row>
    <row r="254" spans="1:20" s="2867" customFormat="1" ht="36" hidden="1" customHeight="1" outlineLevel="4">
      <c r="A254" s="4416" t="s">
        <v>834</v>
      </c>
      <c r="B254" s="4416"/>
      <c r="C254" s="4416"/>
      <c r="D254" s="4416"/>
      <c r="E254" s="4416"/>
      <c r="F254" s="2875"/>
      <c r="G254" s="2876"/>
      <c r="H254" s="2877"/>
      <c r="I254" s="4418">
        <v>333.04</v>
      </c>
      <c r="J254" s="4418"/>
      <c r="K254" s="2875"/>
      <c r="L254" s="2876"/>
      <c r="M254" s="2877"/>
      <c r="N254" s="4418">
        <v>41.63</v>
      </c>
      <c r="O254" s="4418"/>
      <c r="P254" s="4418"/>
      <c r="Q254" s="2875"/>
      <c r="R254" s="2877"/>
      <c r="S254" s="4418">
        <v>374.67</v>
      </c>
      <c r="T254" s="4418"/>
    </row>
    <row r="255" spans="1:20" s="2867" customFormat="1" ht="36" hidden="1" customHeight="1" outlineLevel="4">
      <c r="A255" s="4416" t="s">
        <v>834</v>
      </c>
      <c r="B255" s="4416"/>
      <c r="C255" s="4416"/>
      <c r="D255" s="4416"/>
      <c r="E255" s="4416"/>
      <c r="F255" s="2875"/>
      <c r="G255" s="2876"/>
      <c r="H255" s="2877"/>
      <c r="I255" s="4418">
        <v>333.04</v>
      </c>
      <c r="J255" s="4418"/>
      <c r="K255" s="2875"/>
      <c r="L255" s="2876"/>
      <c r="M255" s="2877"/>
      <c r="N255" s="4418">
        <v>41.63</v>
      </c>
      <c r="O255" s="4418"/>
      <c r="P255" s="4418"/>
      <c r="Q255" s="2875"/>
      <c r="R255" s="2877"/>
      <c r="S255" s="4418">
        <v>374.67</v>
      </c>
      <c r="T255" s="4418"/>
    </row>
    <row r="256" spans="1:20" s="2867" customFormat="1" ht="36" hidden="1" customHeight="1" outlineLevel="4">
      <c r="A256" s="4416" t="s">
        <v>834</v>
      </c>
      <c r="B256" s="4416"/>
      <c r="C256" s="4416"/>
      <c r="D256" s="4416"/>
      <c r="E256" s="4416"/>
      <c r="F256" s="2875"/>
      <c r="G256" s="2876"/>
      <c r="H256" s="2877"/>
      <c r="I256" s="4418">
        <v>333.04</v>
      </c>
      <c r="J256" s="4418"/>
      <c r="K256" s="2875"/>
      <c r="L256" s="2876"/>
      <c r="M256" s="2877"/>
      <c r="N256" s="4418">
        <v>41.63</v>
      </c>
      <c r="O256" s="4418"/>
      <c r="P256" s="4418"/>
      <c r="Q256" s="2875"/>
      <c r="R256" s="2877"/>
      <c r="S256" s="4418">
        <v>374.67</v>
      </c>
      <c r="T256" s="4418"/>
    </row>
    <row r="257" spans="1:20" s="2867" customFormat="1" ht="36" hidden="1" customHeight="1" outlineLevel="4">
      <c r="A257" s="4416" t="s">
        <v>834</v>
      </c>
      <c r="B257" s="4416"/>
      <c r="C257" s="4416"/>
      <c r="D257" s="4416"/>
      <c r="E257" s="4416"/>
      <c r="F257" s="2875"/>
      <c r="G257" s="2876"/>
      <c r="H257" s="2877"/>
      <c r="I257" s="4418">
        <v>333.04</v>
      </c>
      <c r="J257" s="4418"/>
      <c r="K257" s="2875"/>
      <c r="L257" s="2876"/>
      <c r="M257" s="2877"/>
      <c r="N257" s="4418">
        <v>41.63</v>
      </c>
      <c r="O257" s="4418"/>
      <c r="P257" s="4418"/>
      <c r="Q257" s="2875"/>
      <c r="R257" s="2877"/>
      <c r="S257" s="4418">
        <v>374.67</v>
      </c>
      <c r="T257" s="4418"/>
    </row>
    <row r="258" spans="1:20" s="2867" customFormat="1" ht="36" hidden="1" customHeight="1" outlineLevel="4">
      <c r="A258" s="4416" t="s">
        <v>834</v>
      </c>
      <c r="B258" s="4416"/>
      <c r="C258" s="4416"/>
      <c r="D258" s="4416"/>
      <c r="E258" s="4416"/>
      <c r="F258" s="2875"/>
      <c r="G258" s="2876"/>
      <c r="H258" s="2877"/>
      <c r="I258" s="4418">
        <v>333.04</v>
      </c>
      <c r="J258" s="4418"/>
      <c r="K258" s="2875"/>
      <c r="L258" s="2876"/>
      <c r="M258" s="2877"/>
      <c r="N258" s="4418">
        <v>41.63</v>
      </c>
      <c r="O258" s="4418"/>
      <c r="P258" s="4418"/>
      <c r="Q258" s="2875"/>
      <c r="R258" s="2877"/>
      <c r="S258" s="4418">
        <v>374.67</v>
      </c>
      <c r="T258" s="4418"/>
    </row>
    <row r="259" spans="1:20" s="2867" customFormat="1" ht="36" hidden="1" customHeight="1" outlineLevel="4">
      <c r="A259" s="4416" t="s">
        <v>834</v>
      </c>
      <c r="B259" s="4416"/>
      <c r="C259" s="4416"/>
      <c r="D259" s="4416"/>
      <c r="E259" s="4416"/>
      <c r="F259" s="2875"/>
      <c r="G259" s="2876"/>
      <c r="H259" s="2877"/>
      <c r="I259" s="4418">
        <v>333.04</v>
      </c>
      <c r="J259" s="4418"/>
      <c r="K259" s="2875"/>
      <c r="L259" s="2876"/>
      <c r="M259" s="2877"/>
      <c r="N259" s="4418">
        <v>41.63</v>
      </c>
      <c r="O259" s="4418"/>
      <c r="P259" s="4418"/>
      <c r="Q259" s="2875"/>
      <c r="R259" s="2877"/>
      <c r="S259" s="4418">
        <v>374.67</v>
      </c>
      <c r="T259" s="4418"/>
    </row>
    <row r="260" spans="1:20" s="2867" customFormat="1" ht="36" hidden="1" customHeight="1" outlineLevel="4">
      <c r="A260" s="4416" t="s">
        <v>834</v>
      </c>
      <c r="B260" s="4416"/>
      <c r="C260" s="4416"/>
      <c r="D260" s="4416"/>
      <c r="E260" s="4416"/>
      <c r="F260" s="2875"/>
      <c r="G260" s="2876"/>
      <c r="H260" s="2877"/>
      <c r="I260" s="4418">
        <v>333.04</v>
      </c>
      <c r="J260" s="4418"/>
      <c r="K260" s="2875"/>
      <c r="L260" s="2876"/>
      <c r="M260" s="2877"/>
      <c r="N260" s="4418">
        <v>41.63</v>
      </c>
      <c r="O260" s="4418"/>
      <c r="P260" s="4418"/>
      <c r="Q260" s="2875"/>
      <c r="R260" s="2877"/>
      <c r="S260" s="4418">
        <v>374.67</v>
      </c>
      <c r="T260" s="4418"/>
    </row>
    <row r="261" spans="1:20" s="2867" customFormat="1" ht="36" hidden="1" customHeight="1" outlineLevel="4">
      <c r="A261" s="4416" t="s">
        <v>834</v>
      </c>
      <c r="B261" s="4416"/>
      <c r="C261" s="4416"/>
      <c r="D261" s="4416"/>
      <c r="E261" s="4416"/>
      <c r="F261" s="2875"/>
      <c r="G261" s="2876"/>
      <c r="H261" s="2877"/>
      <c r="I261" s="4418">
        <v>333.04</v>
      </c>
      <c r="J261" s="4418"/>
      <c r="K261" s="2875"/>
      <c r="L261" s="2876"/>
      <c r="M261" s="2877"/>
      <c r="N261" s="4418">
        <v>41.63</v>
      </c>
      <c r="O261" s="4418"/>
      <c r="P261" s="4418"/>
      <c r="Q261" s="2875"/>
      <c r="R261" s="2877"/>
      <c r="S261" s="4418">
        <v>374.67</v>
      </c>
      <c r="T261" s="4418"/>
    </row>
    <row r="262" spans="1:20" s="2867" customFormat="1" ht="36" hidden="1" customHeight="1" outlineLevel="4">
      <c r="A262" s="4416" t="s">
        <v>834</v>
      </c>
      <c r="B262" s="4416"/>
      <c r="C262" s="4416"/>
      <c r="D262" s="4416"/>
      <c r="E262" s="4416"/>
      <c r="F262" s="2875"/>
      <c r="G262" s="2876"/>
      <c r="H262" s="2877"/>
      <c r="I262" s="4418">
        <v>333.04</v>
      </c>
      <c r="J262" s="4418"/>
      <c r="K262" s="2875"/>
      <c r="L262" s="2876"/>
      <c r="M262" s="2877"/>
      <c r="N262" s="4418">
        <v>41.63</v>
      </c>
      <c r="O262" s="4418"/>
      <c r="P262" s="4418"/>
      <c r="Q262" s="2875"/>
      <c r="R262" s="2877"/>
      <c r="S262" s="4418">
        <v>374.67</v>
      </c>
      <c r="T262" s="4418"/>
    </row>
    <row r="263" spans="1:20" s="2867" customFormat="1" ht="36" hidden="1" customHeight="1" outlineLevel="4">
      <c r="A263" s="4416" t="s">
        <v>834</v>
      </c>
      <c r="B263" s="4416"/>
      <c r="C263" s="4416"/>
      <c r="D263" s="4416"/>
      <c r="E263" s="4416"/>
      <c r="F263" s="2875"/>
      <c r="G263" s="2876"/>
      <c r="H263" s="2877"/>
      <c r="I263" s="4418">
        <v>333.04</v>
      </c>
      <c r="J263" s="4418"/>
      <c r="K263" s="2875"/>
      <c r="L263" s="2876"/>
      <c r="M263" s="2877"/>
      <c r="N263" s="4418">
        <v>41.63</v>
      </c>
      <c r="O263" s="4418"/>
      <c r="P263" s="4418"/>
      <c r="Q263" s="2875"/>
      <c r="R263" s="2877"/>
      <c r="S263" s="4418">
        <v>374.67</v>
      </c>
      <c r="T263" s="4418"/>
    </row>
    <row r="264" spans="1:20" s="2867" customFormat="1" ht="36" hidden="1" customHeight="1" outlineLevel="4">
      <c r="A264" s="4416" t="s">
        <v>834</v>
      </c>
      <c r="B264" s="4416"/>
      <c r="C264" s="4416"/>
      <c r="D264" s="4416"/>
      <c r="E264" s="4416"/>
      <c r="F264" s="2875"/>
      <c r="G264" s="2876"/>
      <c r="H264" s="2877"/>
      <c r="I264" s="4418">
        <v>333.04</v>
      </c>
      <c r="J264" s="4418"/>
      <c r="K264" s="2875"/>
      <c r="L264" s="2876"/>
      <c r="M264" s="2877"/>
      <c r="N264" s="4418">
        <v>41.63</v>
      </c>
      <c r="O264" s="4418"/>
      <c r="P264" s="4418"/>
      <c r="Q264" s="2875"/>
      <c r="R264" s="2877"/>
      <c r="S264" s="4418">
        <v>374.67</v>
      </c>
      <c r="T264" s="4418"/>
    </row>
    <row r="265" spans="1:20" s="2867" customFormat="1" ht="36" hidden="1" customHeight="1" outlineLevel="4">
      <c r="A265" s="4416" t="s">
        <v>834</v>
      </c>
      <c r="B265" s="4416"/>
      <c r="C265" s="4416"/>
      <c r="D265" s="4416"/>
      <c r="E265" s="4416"/>
      <c r="F265" s="2875"/>
      <c r="G265" s="2876"/>
      <c r="H265" s="2877"/>
      <c r="I265" s="4418">
        <v>333.04</v>
      </c>
      <c r="J265" s="4418"/>
      <c r="K265" s="2875"/>
      <c r="L265" s="2876"/>
      <c r="M265" s="2877"/>
      <c r="N265" s="4418">
        <v>41.63</v>
      </c>
      <c r="O265" s="4418"/>
      <c r="P265" s="4418"/>
      <c r="Q265" s="2875"/>
      <c r="R265" s="2877"/>
      <c r="S265" s="4418">
        <v>374.67</v>
      </c>
      <c r="T265" s="4418"/>
    </row>
    <row r="266" spans="1:20" s="2867" customFormat="1" ht="36" hidden="1" customHeight="1" outlineLevel="4">
      <c r="A266" s="4416" t="s">
        <v>834</v>
      </c>
      <c r="B266" s="4416"/>
      <c r="C266" s="4416"/>
      <c r="D266" s="4416"/>
      <c r="E266" s="4416"/>
      <c r="F266" s="2875"/>
      <c r="G266" s="2876"/>
      <c r="H266" s="2877"/>
      <c r="I266" s="4418">
        <v>333.04</v>
      </c>
      <c r="J266" s="4418"/>
      <c r="K266" s="2875"/>
      <c r="L266" s="2876"/>
      <c r="M266" s="2877"/>
      <c r="N266" s="4418">
        <v>41.63</v>
      </c>
      <c r="O266" s="4418"/>
      <c r="P266" s="4418"/>
      <c r="Q266" s="2875"/>
      <c r="R266" s="2877"/>
      <c r="S266" s="4418">
        <v>374.67</v>
      </c>
      <c r="T266" s="4418"/>
    </row>
    <row r="267" spans="1:20" s="2867" customFormat="1" ht="36" hidden="1" customHeight="1" outlineLevel="4">
      <c r="A267" s="4416" t="s">
        <v>834</v>
      </c>
      <c r="B267" s="4416"/>
      <c r="C267" s="4416"/>
      <c r="D267" s="4416"/>
      <c r="E267" s="4416"/>
      <c r="F267" s="2875"/>
      <c r="G267" s="2876"/>
      <c r="H267" s="2877"/>
      <c r="I267" s="4418">
        <v>333.04</v>
      </c>
      <c r="J267" s="4418"/>
      <c r="K267" s="2875"/>
      <c r="L267" s="2876"/>
      <c r="M267" s="2877"/>
      <c r="N267" s="4418">
        <v>41.63</v>
      </c>
      <c r="O267" s="4418"/>
      <c r="P267" s="4418"/>
      <c r="Q267" s="2875"/>
      <c r="R267" s="2877"/>
      <c r="S267" s="4418">
        <v>374.67</v>
      </c>
      <c r="T267" s="4418"/>
    </row>
    <row r="268" spans="1:20" s="2867" customFormat="1" ht="36" hidden="1" customHeight="1" outlineLevel="4">
      <c r="A268" s="4416" t="s">
        <v>834</v>
      </c>
      <c r="B268" s="4416"/>
      <c r="C268" s="4416"/>
      <c r="D268" s="4416"/>
      <c r="E268" s="4416"/>
      <c r="F268" s="2875"/>
      <c r="G268" s="2876"/>
      <c r="H268" s="2877"/>
      <c r="I268" s="4418">
        <v>333.04</v>
      </c>
      <c r="J268" s="4418"/>
      <c r="K268" s="2875"/>
      <c r="L268" s="2876"/>
      <c r="M268" s="2877"/>
      <c r="N268" s="4418">
        <v>41.63</v>
      </c>
      <c r="O268" s="4418"/>
      <c r="P268" s="4418"/>
      <c r="Q268" s="2875"/>
      <c r="R268" s="2877"/>
      <c r="S268" s="4418">
        <v>374.67</v>
      </c>
      <c r="T268" s="4418"/>
    </row>
    <row r="269" spans="1:20" s="2867" customFormat="1" ht="36" hidden="1" customHeight="1" outlineLevel="4">
      <c r="A269" s="4416" t="s">
        <v>834</v>
      </c>
      <c r="B269" s="4416"/>
      <c r="C269" s="4416"/>
      <c r="D269" s="4416"/>
      <c r="E269" s="4416"/>
      <c r="F269" s="2875"/>
      <c r="G269" s="2876"/>
      <c r="H269" s="2877"/>
      <c r="I269" s="4418">
        <v>333.04</v>
      </c>
      <c r="J269" s="4418"/>
      <c r="K269" s="2875"/>
      <c r="L269" s="2876"/>
      <c r="M269" s="2877"/>
      <c r="N269" s="4418">
        <v>41.63</v>
      </c>
      <c r="O269" s="4418"/>
      <c r="P269" s="4418"/>
      <c r="Q269" s="2875"/>
      <c r="R269" s="2877"/>
      <c r="S269" s="4418">
        <v>374.67</v>
      </c>
      <c r="T269" s="4418"/>
    </row>
    <row r="270" spans="1:20" s="2867" customFormat="1" ht="36" hidden="1" customHeight="1" outlineLevel="4">
      <c r="A270" s="4416" t="s">
        <v>834</v>
      </c>
      <c r="B270" s="4416"/>
      <c r="C270" s="4416"/>
      <c r="D270" s="4416"/>
      <c r="E270" s="4416"/>
      <c r="F270" s="2875"/>
      <c r="G270" s="2876"/>
      <c r="H270" s="2877"/>
      <c r="I270" s="4418">
        <v>333.04</v>
      </c>
      <c r="J270" s="4418"/>
      <c r="K270" s="2875"/>
      <c r="L270" s="2876"/>
      <c r="M270" s="2877"/>
      <c r="N270" s="4418">
        <v>41.63</v>
      </c>
      <c r="O270" s="4418"/>
      <c r="P270" s="4418"/>
      <c r="Q270" s="2875"/>
      <c r="R270" s="2877"/>
      <c r="S270" s="4418">
        <v>374.67</v>
      </c>
      <c r="T270" s="4418"/>
    </row>
    <row r="271" spans="1:20" s="2867" customFormat="1" ht="36" hidden="1" customHeight="1" outlineLevel="4">
      <c r="A271" s="4416" t="s">
        <v>834</v>
      </c>
      <c r="B271" s="4416"/>
      <c r="C271" s="4416"/>
      <c r="D271" s="4416"/>
      <c r="E271" s="4416"/>
      <c r="F271" s="2875"/>
      <c r="G271" s="2876"/>
      <c r="H271" s="2877"/>
      <c r="I271" s="4418">
        <v>333.04</v>
      </c>
      <c r="J271" s="4418"/>
      <c r="K271" s="2875"/>
      <c r="L271" s="2876"/>
      <c r="M271" s="2877"/>
      <c r="N271" s="4418">
        <v>41.63</v>
      </c>
      <c r="O271" s="4418"/>
      <c r="P271" s="4418"/>
      <c r="Q271" s="2875"/>
      <c r="R271" s="2877"/>
      <c r="S271" s="4418">
        <v>374.67</v>
      </c>
      <c r="T271" s="4418"/>
    </row>
    <row r="272" spans="1:20" s="2867" customFormat="1" ht="36" hidden="1" customHeight="1" outlineLevel="4">
      <c r="A272" s="4416" t="s">
        <v>834</v>
      </c>
      <c r="B272" s="4416"/>
      <c r="C272" s="4416"/>
      <c r="D272" s="4416"/>
      <c r="E272" s="4416"/>
      <c r="F272" s="2875"/>
      <c r="G272" s="2876"/>
      <c r="H272" s="2877"/>
      <c r="I272" s="4418">
        <v>333.04</v>
      </c>
      <c r="J272" s="4418"/>
      <c r="K272" s="2875"/>
      <c r="L272" s="2876"/>
      <c r="M272" s="2877"/>
      <c r="N272" s="4418">
        <v>41.63</v>
      </c>
      <c r="O272" s="4418"/>
      <c r="P272" s="4418"/>
      <c r="Q272" s="2875"/>
      <c r="R272" s="2877"/>
      <c r="S272" s="4418">
        <v>374.67</v>
      </c>
      <c r="T272" s="4418"/>
    </row>
    <row r="273" spans="1:20" s="2867" customFormat="1" ht="36" hidden="1" customHeight="1" outlineLevel="4">
      <c r="A273" s="4416" t="s">
        <v>834</v>
      </c>
      <c r="B273" s="4416"/>
      <c r="C273" s="4416"/>
      <c r="D273" s="4416"/>
      <c r="E273" s="4416"/>
      <c r="F273" s="2875"/>
      <c r="G273" s="2876"/>
      <c r="H273" s="2877"/>
      <c r="I273" s="4418">
        <v>333.04</v>
      </c>
      <c r="J273" s="4418"/>
      <c r="K273" s="2875"/>
      <c r="L273" s="2876"/>
      <c r="M273" s="2877"/>
      <c r="N273" s="4418">
        <v>41.63</v>
      </c>
      <c r="O273" s="4418"/>
      <c r="P273" s="4418"/>
      <c r="Q273" s="2875"/>
      <c r="R273" s="2877"/>
      <c r="S273" s="4418">
        <v>374.67</v>
      </c>
      <c r="T273" s="4418"/>
    </row>
    <row r="274" spans="1:20" s="2867" customFormat="1" ht="36" hidden="1" customHeight="1" outlineLevel="4">
      <c r="A274" s="4416" t="s">
        <v>834</v>
      </c>
      <c r="B274" s="4416"/>
      <c r="C274" s="4416"/>
      <c r="D274" s="4416"/>
      <c r="E274" s="4416"/>
      <c r="F274" s="2875"/>
      <c r="G274" s="2876"/>
      <c r="H274" s="2877"/>
      <c r="I274" s="4418">
        <v>333.04</v>
      </c>
      <c r="J274" s="4418"/>
      <c r="K274" s="2875"/>
      <c r="L274" s="2876"/>
      <c r="M274" s="2877"/>
      <c r="N274" s="4418">
        <v>41.63</v>
      </c>
      <c r="O274" s="4418"/>
      <c r="P274" s="4418"/>
      <c r="Q274" s="2875"/>
      <c r="R274" s="2877"/>
      <c r="S274" s="4418">
        <v>374.67</v>
      </c>
      <c r="T274" s="4418"/>
    </row>
    <row r="275" spans="1:20" s="2867" customFormat="1" ht="36" hidden="1" customHeight="1" outlineLevel="4">
      <c r="A275" s="4416" t="s">
        <v>834</v>
      </c>
      <c r="B275" s="4416"/>
      <c r="C275" s="4416"/>
      <c r="D275" s="4416"/>
      <c r="E275" s="4416"/>
      <c r="F275" s="2875"/>
      <c r="G275" s="2876"/>
      <c r="H275" s="2877"/>
      <c r="I275" s="4418">
        <v>333.04</v>
      </c>
      <c r="J275" s="4418"/>
      <c r="K275" s="2875"/>
      <c r="L275" s="2876"/>
      <c r="M275" s="2877"/>
      <c r="N275" s="4418">
        <v>41.63</v>
      </c>
      <c r="O275" s="4418"/>
      <c r="P275" s="4418"/>
      <c r="Q275" s="2875"/>
      <c r="R275" s="2877"/>
      <c r="S275" s="4418">
        <v>374.67</v>
      </c>
      <c r="T275" s="4418"/>
    </row>
    <row r="276" spans="1:20" s="2867" customFormat="1" ht="36" hidden="1" customHeight="1" outlineLevel="4">
      <c r="A276" s="4416" t="s">
        <v>834</v>
      </c>
      <c r="B276" s="4416"/>
      <c r="C276" s="4416"/>
      <c r="D276" s="4416"/>
      <c r="E276" s="4416"/>
      <c r="F276" s="2875"/>
      <c r="G276" s="2876"/>
      <c r="H276" s="2877"/>
      <c r="I276" s="4418">
        <v>333.04</v>
      </c>
      <c r="J276" s="4418"/>
      <c r="K276" s="2875"/>
      <c r="L276" s="2876"/>
      <c r="M276" s="2877"/>
      <c r="N276" s="4418">
        <v>41.63</v>
      </c>
      <c r="O276" s="4418"/>
      <c r="P276" s="4418"/>
      <c r="Q276" s="2875"/>
      <c r="R276" s="2877"/>
      <c r="S276" s="4418">
        <v>374.67</v>
      </c>
      <c r="T276" s="4418"/>
    </row>
    <row r="277" spans="1:20" s="2867" customFormat="1" ht="36" hidden="1" customHeight="1" outlineLevel="4">
      <c r="A277" s="4416" t="s">
        <v>834</v>
      </c>
      <c r="B277" s="4416"/>
      <c r="C277" s="4416"/>
      <c r="D277" s="4416"/>
      <c r="E277" s="4416"/>
      <c r="F277" s="2875"/>
      <c r="G277" s="2876"/>
      <c r="H277" s="2877"/>
      <c r="I277" s="4418">
        <v>333.04</v>
      </c>
      <c r="J277" s="4418"/>
      <c r="K277" s="2875"/>
      <c r="L277" s="2876"/>
      <c r="M277" s="2877"/>
      <c r="N277" s="4418">
        <v>41.63</v>
      </c>
      <c r="O277" s="4418"/>
      <c r="P277" s="4418"/>
      <c r="Q277" s="2875"/>
      <c r="R277" s="2877"/>
      <c r="S277" s="4418">
        <v>374.67</v>
      </c>
      <c r="T277" s="4418"/>
    </row>
    <row r="278" spans="1:20" s="2867" customFormat="1" ht="36" hidden="1" customHeight="1" outlineLevel="4">
      <c r="A278" s="4416" t="s">
        <v>834</v>
      </c>
      <c r="B278" s="4416"/>
      <c r="C278" s="4416"/>
      <c r="D278" s="4416"/>
      <c r="E278" s="4416"/>
      <c r="F278" s="2875"/>
      <c r="G278" s="2876"/>
      <c r="H278" s="2877"/>
      <c r="I278" s="4418">
        <v>333.12</v>
      </c>
      <c r="J278" s="4418"/>
      <c r="K278" s="2875"/>
      <c r="L278" s="2876"/>
      <c r="M278" s="2877"/>
      <c r="N278" s="4418">
        <v>41.64</v>
      </c>
      <c r="O278" s="4418"/>
      <c r="P278" s="4418"/>
      <c r="Q278" s="2875"/>
      <c r="R278" s="2877"/>
      <c r="S278" s="4418">
        <v>374.76</v>
      </c>
      <c r="T278" s="4418"/>
    </row>
    <row r="279" spans="1:20" s="2867" customFormat="1" ht="36" hidden="1" customHeight="1" outlineLevel="4">
      <c r="A279" s="4416" t="s">
        <v>834</v>
      </c>
      <c r="B279" s="4416"/>
      <c r="C279" s="4416"/>
      <c r="D279" s="4416"/>
      <c r="E279" s="4416"/>
      <c r="F279" s="2875"/>
      <c r="G279" s="2876"/>
      <c r="H279" s="2877"/>
      <c r="I279" s="4418">
        <v>333.12</v>
      </c>
      <c r="J279" s="4418"/>
      <c r="K279" s="2875"/>
      <c r="L279" s="2876"/>
      <c r="M279" s="2877"/>
      <c r="N279" s="4418">
        <v>41.64</v>
      </c>
      <c r="O279" s="4418"/>
      <c r="P279" s="4418"/>
      <c r="Q279" s="2875"/>
      <c r="R279" s="2877"/>
      <c r="S279" s="4418">
        <v>374.76</v>
      </c>
      <c r="T279" s="4418"/>
    </row>
    <row r="280" spans="1:20" s="2867" customFormat="1" ht="36" hidden="1" customHeight="1" outlineLevel="4">
      <c r="A280" s="4416" t="s">
        <v>834</v>
      </c>
      <c r="B280" s="4416"/>
      <c r="C280" s="4416"/>
      <c r="D280" s="4416"/>
      <c r="E280" s="4416"/>
      <c r="F280" s="2875"/>
      <c r="G280" s="2876"/>
      <c r="H280" s="2877"/>
      <c r="I280" s="4418">
        <v>333.12</v>
      </c>
      <c r="J280" s="4418"/>
      <c r="K280" s="2875"/>
      <c r="L280" s="2876"/>
      <c r="M280" s="2877"/>
      <c r="N280" s="4418">
        <v>41.64</v>
      </c>
      <c r="O280" s="4418"/>
      <c r="P280" s="4418"/>
      <c r="Q280" s="2875"/>
      <c r="R280" s="2877"/>
      <c r="S280" s="4418">
        <v>374.76</v>
      </c>
      <c r="T280" s="4418"/>
    </row>
    <row r="281" spans="1:20" s="2867" customFormat="1" ht="36" hidden="1" customHeight="1" outlineLevel="4">
      <c r="A281" s="4416" t="s">
        <v>834</v>
      </c>
      <c r="B281" s="4416"/>
      <c r="C281" s="4416"/>
      <c r="D281" s="4416"/>
      <c r="E281" s="4416"/>
      <c r="F281" s="2875"/>
      <c r="G281" s="2876"/>
      <c r="H281" s="2877"/>
      <c r="I281" s="4418">
        <v>333.04</v>
      </c>
      <c r="J281" s="4418"/>
      <c r="K281" s="2875"/>
      <c r="L281" s="2876"/>
      <c r="M281" s="2877"/>
      <c r="N281" s="4418">
        <v>41.63</v>
      </c>
      <c r="O281" s="4418"/>
      <c r="P281" s="4418"/>
      <c r="Q281" s="2875"/>
      <c r="R281" s="2877"/>
      <c r="S281" s="4418">
        <v>374.67</v>
      </c>
      <c r="T281" s="4418"/>
    </row>
    <row r="282" spans="1:20" s="2867" customFormat="1" ht="36" hidden="1" customHeight="1" outlineLevel="4">
      <c r="A282" s="4416" t="s">
        <v>834</v>
      </c>
      <c r="B282" s="4416"/>
      <c r="C282" s="4416"/>
      <c r="D282" s="4416"/>
      <c r="E282" s="4416"/>
      <c r="F282" s="2875"/>
      <c r="G282" s="2876"/>
      <c r="H282" s="2877"/>
      <c r="I282" s="4418">
        <v>333.04</v>
      </c>
      <c r="J282" s="4418"/>
      <c r="K282" s="2875"/>
      <c r="L282" s="2876"/>
      <c r="M282" s="2877"/>
      <c r="N282" s="4418">
        <v>41.63</v>
      </c>
      <c r="O282" s="4418"/>
      <c r="P282" s="4418"/>
      <c r="Q282" s="2875"/>
      <c r="R282" s="2877"/>
      <c r="S282" s="4418">
        <v>374.67</v>
      </c>
      <c r="T282" s="4418"/>
    </row>
    <row r="283" spans="1:20" s="2867" customFormat="1" ht="36" hidden="1" customHeight="1" outlineLevel="4">
      <c r="A283" s="4416" t="s">
        <v>834</v>
      </c>
      <c r="B283" s="4416"/>
      <c r="C283" s="4416"/>
      <c r="D283" s="4416"/>
      <c r="E283" s="4416"/>
      <c r="F283" s="2875"/>
      <c r="G283" s="2876"/>
      <c r="H283" s="2877"/>
      <c r="I283" s="4418">
        <v>333.04</v>
      </c>
      <c r="J283" s="4418"/>
      <c r="K283" s="2875"/>
      <c r="L283" s="2876"/>
      <c r="M283" s="2877"/>
      <c r="N283" s="4418">
        <v>41.63</v>
      </c>
      <c r="O283" s="4418"/>
      <c r="P283" s="4418"/>
      <c r="Q283" s="2875"/>
      <c r="R283" s="2877"/>
      <c r="S283" s="4418">
        <v>374.67</v>
      </c>
      <c r="T283" s="4418"/>
    </row>
    <row r="284" spans="1:20" s="2867" customFormat="1" ht="36" hidden="1" customHeight="1" outlineLevel="4">
      <c r="A284" s="4416" t="s">
        <v>834</v>
      </c>
      <c r="B284" s="4416"/>
      <c r="C284" s="4416"/>
      <c r="D284" s="4416"/>
      <c r="E284" s="4416"/>
      <c r="F284" s="2875"/>
      <c r="G284" s="2876"/>
      <c r="H284" s="2877"/>
      <c r="I284" s="4418">
        <v>333.04</v>
      </c>
      <c r="J284" s="4418"/>
      <c r="K284" s="2875"/>
      <c r="L284" s="2876"/>
      <c r="M284" s="2877"/>
      <c r="N284" s="4418">
        <v>41.63</v>
      </c>
      <c r="O284" s="4418"/>
      <c r="P284" s="4418"/>
      <c r="Q284" s="2875"/>
      <c r="R284" s="2877"/>
      <c r="S284" s="4418">
        <v>374.67</v>
      </c>
      <c r="T284" s="4418"/>
    </row>
    <row r="285" spans="1:20" s="2867" customFormat="1" ht="36" hidden="1" customHeight="1" outlineLevel="4">
      <c r="A285" s="4416" t="s">
        <v>834</v>
      </c>
      <c r="B285" s="4416"/>
      <c r="C285" s="4416"/>
      <c r="D285" s="4416"/>
      <c r="E285" s="4416"/>
      <c r="F285" s="2875"/>
      <c r="G285" s="2876"/>
      <c r="H285" s="2877"/>
      <c r="I285" s="4418">
        <v>333.04</v>
      </c>
      <c r="J285" s="4418"/>
      <c r="K285" s="2875"/>
      <c r="L285" s="2876"/>
      <c r="M285" s="2877"/>
      <c r="N285" s="4418">
        <v>41.63</v>
      </c>
      <c r="O285" s="4418"/>
      <c r="P285" s="4418"/>
      <c r="Q285" s="2875"/>
      <c r="R285" s="2877"/>
      <c r="S285" s="4418">
        <v>374.67</v>
      </c>
      <c r="T285" s="4418"/>
    </row>
    <row r="286" spans="1:20" s="2867" customFormat="1" ht="36" hidden="1" customHeight="1" outlineLevel="4">
      <c r="A286" s="4416" t="s">
        <v>834</v>
      </c>
      <c r="B286" s="4416"/>
      <c r="C286" s="4416"/>
      <c r="D286" s="4416"/>
      <c r="E286" s="4416"/>
      <c r="F286" s="2875"/>
      <c r="G286" s="2876"/>
      <c r="H286" s="2877"/>
      <c r="I286" s="4418">
        <v>333.12</v>
      </c>
      <c r="J286" s="4418"/>
      <c r="K286" s="2875"/>
      <c r="L286" s="2876"/>
      <c r="M286" s="2877"/>
      <c r="N286" s="4418">
        <v>41.64</v>
      </c>
      <c r="O286" s="4418"/>
      <c r="P286" s="4418"/>
      <c r="Q286" s="2875"/>
      <c r="R286" s="2877"/>
      <c r="S286" s="4418">
        <v>374.76</v>
      </c>
      <c r="T286" s="4418"/>
    </row>
    <row r="287" spans="1:20" s="2867" customFormat="1" ht="36" hidden="1" customHeight="1" outlineLevel="4">
      <c r="A287" s="4416" t="s">
        <v>834</v>
      </c>
      <c r="B287" s="4416"/>
      <c r="C287" s="4416"/>
      <c r="D287" s="4416"/>
      <c r="E287" s="4416"/>
      <c r="F287" s="2875"/>
      <c r="G287" s="2876"/>
      <c r="H287" s="2877"/>
      <c r="I287" s="4418">
        <v>333.12</v>
      </c>
      <c r="J287" s="4418"/>
      <c r="K287" s="2875"/>
      <c r="L287" s="2876"/>
      <c r="M287" s="2877"/>
      <c r="N287" s="4418">
        <v>41.64</v>
      </c>
      <c r="O287" s="4418"/>
      <c r="P287" s="4418"/>
      <c r="Q287" s="2875"/>
      <c r="R287" s="2877"/>
      <c r="S287" s="4418">
        <v>374.76</v>
      </c>
      <c r="T287" s="4418"/>
    </row>
    <row r="288" spans="1:20" s="2867" customFormat="1" ht="36" hidden="1" customHeight="1" outlineLevel="4">
      <c r="A288" s="4416" t="s">
        <v>834</v>
      </c>
      <c r="B288" s="4416"/>
      <c r="C288" s="4416"/>
      <c r="D288" s="4416"/>
      <c r="E288" s="4416"/>
      <c r="F288" s="2875"/>
      <c r="G288" s="2876"/>
      <c r="H288" s="2877"/>
      <c r="I288" s="4418">
        <v>333.12</v>
      </c>
      <c r="J288" s="4418"/>
      <c r="K288" s="2875"/>
      <c r="L288" s="2876"/>
      <c r="M288" s="2877"/>
      <c r="N288" s="4418">
        <v>41.64</v>
      </c>
      <c r="O288" s="4418"/>
      <c r="P288" s="4418"/>
      <c r="Q288" s="2875"/>
      <c r="R288" s="2877"/>
      <c r="S288" s="4418">
        <v>374.76</v>
      </c>
      <c r="T288" s="4418"/>
    </row>
    <row r="289" spans="1:20" s="2867" customFormat="1" ht="36" hidden="1" customHeight="1" outlineLevel="4">
      <c r="A289" s="4416" t="s">
        <v>834</v>
      </c>
      <c r="B289" s="4416"/>
      <c r="C289" s="4416"/>
      <c r="D289" s="4416"/>
      <c r="E289" s="4416"/>
      <c r="F289" s="2875"/>
      <c r="G289" s="2876"/>
      <c r="H289" s="2877"/>
      <c r="I289" s="4418">
        <v>333.12</v>
      </c>
      <c r="J289" s="4418"/>
      <c r="K289" s="2875"/>
      <c r="L289" s="2876"/>
      <c r="M289" s="2877"/>
      <c r="N289" s="4418">
        <v>41.64</v>
      </c>
      <c r="O289" s="4418"/>
      <c r="P289" s="4418"/>
      <c r="Q289" s="2875"/>
      <c r="R289" s="2877"/>
      <c r="S289" s="4418">
        <v>374.76</v>
      </c>
      <c r="T289" s="4418"/>
    </row>
    <row r="290" spans="1:20" s="2867" customFormat="1" ht="36" hidden="1" customHeight="1" outlineLevel="4">
      <c r="A290" s="4416" t="s">
        <v>834</v>
      </c>
      <c r="B290" s="4416"/>
      <c r="C290" s="4416"/>
      <c r="D290" s="4416"/>
      <c r="E290" s="4416"/>
      <c r="F290" s="2875"/>
      <c r="G290" s="2876"/>
      <c r="H290" s="2877"/>
      <c r="I290" s="4418">
        <v>333.12</v>
      </c>
      <c r="J290" s="4418"/>
      <c r="K290" s="2875"/>
      <c r="L290" s="2876"/>
      <c r="M290" s="2877"/>
      <c r="N290" s="4418">
        <v>41.64</v>
      </c>
      <c r="O290" s="4418"/>
      <c r="P290" s="4418"/>
      <c r="Q290" s="2875"/>
      <c r="R290" s="2877"/>
      <c r="S290" s="4418">
        <v>374.76</v>
      </c>
      <c r="T290" s="4418"/>
    </row>
    <row r="291" spans="1:20" s="2867" customFormat="1" ht="36" hidden="1" customHeight="1" outlineLevel="4">
      <c r="A291" s="4416" t="s">
        <v>834</v>
      </c>
      <c r="B291" s="4416"/>
      <c r="C291" s="4416"/>
      <c r="D291" s="4416"/>
      <c r="E291" s="4416"/>
      <c r="F291" s="2875"/>
      <c r="G291" s="2876"/>
      <c r="H291" s="2877"/>
      <c r="I291" s="4418">
        <v>333.12</v>
      </c>
      <c r="J291" s="4418"/>
      <c r="K291" s="2875"/>
      <c r="L291" s="2876"/>
      <c r="M291" s="2877"/>
      <c r="N291" s="4418">
        <v>41.64</v>
      </c>
      <c r="O291" s="4418"/>
      <c r="P291" s="4418"/>
      <c r="Q291" s="2875"/>
      <c r="R291" s="2877"/>
      <c r="S291" s="4418">
        <v>374.76</v>
      </c>
      <c r="T291" s="4418"/>
    </row>
    <row r="292" spans="1:20" s="2867" customFormat="1" ht="36" hidden="1" customHeight="1" outlineLevel="4">
      <c r="A292" s="4416" t="s">
        <v>834</v>
      </c>
      <c r="B292" s="4416"/>
      <c r="C292" s="4416"/>
      <c r="D292" s="4416"/>
      <c r="E292" s="4416"/>
      <c r="F292" s="2875"/>
      <c r="G292" s="2876"/>
      <c r="H292" s="2877"/>
      <c r="I292" s="4418">
        <v>333.12</v>
      </c>
      <c r="J292" s="4418"/>
      <c r="K292" s="2875"/>
      <c r="L292" s="2876"/>
      <c r="M292" s="2877"/>
      <c r="N292" s="4418">
        <v>41.64</v>
      </c>
      <c r="O292" s="4418"/>
      <c r="P292" s="4418"/>
      <c r="Q292" s="2875"/>
      <c r="R292" s="2877"/>
      <c r="S292" s="4418">
        <v>374.76</v>
      </c>
      <c r="T292" s="4418"/>
    </row>
    <row r="293" spans="1:20" s="2867" customFormat="1" ht="36" hidden="1" customHeight="1" outlineLevel="4">
      <c r="A293" s="4416" t="s">
        <v>834</v>
      </c>
      <c r="B293" s="4416"/>
      <c r="C293" s="4416"/>
      <c r="D293" s="4416"/>
      <c r="E293" s="4416"/>
      <c r="F293" s="2875"/>
      <c r="G293" s="2876"/>
      <c r="H293" s="2877"/>
      <c r="I293" s="4418">
        <v>333.12</v>
      </c>
      <c r="J293" s="4418"/>
      <c r="K293" s="2875"/>
      <c r="L293" s="2876"/>
      <c r="M293" s="2877"/>
      <c r="N293" s="4418">
        <v>41.64</v>
      </c>
      <c r="O293" s="4418"/>
      <c r="P293" s="4418"/>
      <c r="Q293" s="2875"/>
      <c r="R293" s="2877"/>
      <c r="S293" s="4418">
        <v>374.76</v>
      </c>
      <c r="T293" s="4418"/>
    </row>
    <row r="294" spans="1:20" s="2867" customFormat="1" ht="36" hidden="1" customHeight="1" outlineLevel="4">
      <c r="A294" s="4416" t="s">
        <v>834</v>
      </c>
      <c r="B294" s="4416"/>
      <c r="C294" s="4416"/>
      <c r="D294" s="4416"/>
      <c r="E294" s="4416"/>
      <c r="F294" s="2875"/>
      <c r="G294" s="2876"/>
      <c r="H294" s="2877"/>
      <c r="I294" s="4418">
        <v>333.12</v>
      </c>
      <c r="J294" s="4418"/>
      <c r="K294" s="2875"/>
      <c r="L294" s="2876"/>
      <c r="M294" s="2877"/>
      <c r="N294" s="4418">
        <v>41.64</v>
      </c>
      <c r="O294" s="4418"/>
      <c r="P294" s="4418"/>
      <c r="Q294" s="2875"/>
      <c r="R294" s="2877"/>
      <c r="S294" s="4418">
        <v>374.76</v>
      </c>
      <c r="T294" s="4418"/>
    </row>
    <row r="295" spans="1:20" s="2867" customFormat="1" ht="36" hidden="1" customHeight="1" outlineLevel="4">
      <c r="A295" s="4416" t="s">
        <v>834</v>
      </c>
      <c r="B295" s="4416"/>
      <c r="C295" s="4416"/>
      <c r="D295" s="4416"/>
      <c r="E295" s="4416"/>
      <c r="F295" s="2875"/>
      <c r="G295" s="2876"/>
      <c r="H295" s="2877"/>
      <c r="I295" s="4418">
        <v>333.12</v>
      </c>
      <c r="J295" s="4418"/>
      <c r="K295" s="2875"/>
      <c r="L295" s="2876"/>
      <c r="M295" s="2877"/>
      <c r="N295" s="4418">
        <v>41.64</v>
      </c>
      <c r="O295" s="4418"/>
      <c r="P295" s="4418"/>
      <c r="Q295" s="2875"/>
      <c r="R295" s="2877"/>
      <c r="S295" s="4418">
        <v>374.76</v>
      </c>
      <c r="T295" s="4418"/>
    </row>
    <row r="296" spans="1:20" s="2867" customFormat="1" ht="36" hidden="1" customHeight="1" outlineLevel="4">
      <c r="A296" s="4416" t="s">
        <v>834</v>
      </c>
      <c r="B296" s="4416"/>
      <c r="C296" s="4416"/>
      <c r="D296" s="4416"/>
      <c r="E296" s="4416"/>
      <c r="F296" s="2875"/>
      <c r="G296" s="2876"/>
      <c r="H296" s="2877"/>
      <c r="I296" s="4418">
        <v>333.12</v>
      </c>
      <c r="J296" s="4418"/>
      <c r="K296" s="2875"/>
      <c r="L296" s="2876"/>
      <c r="M296" s="2877"/>
      <c r="N296" s="4418">
        <v>41.64</v>
      </c>
      <c r="O296" s="4418"/>
      <c r="P296" s="4418"/>
      <c r="Q296" s="2875"/>
      <c r="R296" s="2877"/>
      <c r="S296" s="4418">
        <v>374.76</v>
      </c>
      <c r="T296" s="4418"/>
    </row>
    <row r="297" spans="1:20" s="2867" customFormat="1" ht="36" hidden="1" customHeight="1" outlineLevel="4">
      <c r="A297" s="4416" t="s">
        <v>834</v>
      </c>
      <c r="B297" s="4416"/>
      <c r="C297" s="4416"/>
      <c r="D297" s="4416"/>
      <c r="E297" s="4416"/>
      <c r="F297" s="2875"/>
      <c r="G297" s="2876"/>
      <c r="H297" s="2877"/>
      <c r="I297" s="4418">
        <v>333.12</v>
      </c>
      <c r="J297" s="4418"/>
      <c r="K297" s="2875"/>
      <c r="L297" s="2876"/>
      <c r="M297" s="2877"/>
      <c r="N297" s="4418">
        <v>41.64</v>
      </c>
      <c r="O297" s="4418"/>
      <c r="P297" s="4418"/>
      <c r="Q297" s="2875"/>
      <c r="R297" s="2877"/>
      <c r="S297" s="4418">
        <v>374.76</v>
      </c>
      <c r="T297" s="4418"/>
    </row>
    <row r="298" spans="1:20" s="2867" customFormat="1" ht="36" hidden="1" customHeight="1" outlineLevel="4">
      <c r="A298" s="4416" t="s">
        <v>834</v>
      </c>
      <c r="B298" s="4416"/>
      <c r="C298" s="4416"/>
      <c r="D298" s="4416"/>
      <c r="E298" s="4416"/>
      <c r="F298" s="2875"/>
      <c r="G298" s="2876"/>
      <c r="H298" s="2877"/>
      <c r="I298" s="4418">
        <v>333.12</v>
      </c>
      <c r="J298" s="4418"/>
      <c r="K298" s="2875"/>
      <c r="L298" s="2876"/>
      <c r="M298" s="2877"/>
      <c r="N298" s="4418">
        <v>41.64</v>
      </c>
      <c r="O298" s="4418"/>
      <c r="P298" s="4418"/>
      <c r="Q298" s="2875"/>
      <c r="R298" s="2877"/>
      <c r="S298" s="4418">
        <v>374.76</v>
      </c>
      <c r="T298" s="4418"/>
    </row>
    <row r="299" spans="1:20" s="2867" customFormat="1" ht="36" hidden="1" customHeight="1" outlineLevel="4">
      <c r="A299" s="4416" t="s">
        <v>834</v>
      </c>
      <c r="B299" s="4416"/>
      <c r="C299" s="4416"/>
      <c r="D299" s="4416"/>
      <c r="E299" s="4416"/>
      <c r="F299" s="2875"/>
      <c r="G299" s="2876"/>
      <c r="H299" s="2877"/>
      <c r="I299" s="4418">
        <v>333.12</v>
      </c>
      <c r="J299" s="4418"/>
      <c r="K299" s="2875"/>
      <c r="L299" s="2876"/>
      <c r="M299" s="2877"/>
      <c r="N299" s="4418">
        <v>41.64</v>
      </c>
      <c r="O299" s="4418"/>
      <c r="P299" s="4418"/>
      <c r="Q299" s="2875"/>
      <c r="R299" s="2877"/>
      <c r="S299" s="4418">
        <v>374.76</v>
      </c>
      <c r="T299" s="4418"/>
    </row>
    <row r="300" spans="1:20" s="2867" customFormat="1" ht="36" hidden="1" customHeight="1" outlineLevel="4">
      <c r="A300" s="4416" t="s">
        <v>834</v>
      </c>
      <c r="B300" s="4416"/>
      <c r="C300" s="4416"/>
      <c r="D300" s="4416"/>
      <c r="E300" s="4416"/>
      <c r="F300" s="2875"/>
      <c r="G300" s="2876"/>
      <c r="H300" s="2877"/>
      <c r="I300" s="4418">
        <v>333.12</v>
      </c>
      <c r="J300" s="4418"/>
      <c r="K300" s="2875"/>
      <c r="L300" s="2876"/>
      <c r="M300" s="2877"/>
      <c r="N300" s="4418">
        <v>41.64</v>
      </c>
      <c r="O300" s="4418"/>
      <c r="P300" s="4418"/>
      <c r="Q300" s="2875"/>
      <c r="R300" s="2877"/>
      <c r="S300" s="4418">
        <v>374.76</v>
      </c>
      <c r="T300" s="4418"/>
    </row>
    <row r="301" spans="1:20" s="2867" customFormat="1" ht="36" hidden="1" customHeight="1" outlineLevel="4">
      <c r="A301" s="4416" t="s">
        <v>834</v>
      </c>
      <c r="B301" s="4416"/>
      <c r="C301" s="4416"/>
      <c r="D301" s="4416"/>
      <c r="E301" s="4416"/>
      <c r="F301" s="2875"/>
      <c r="G301" s="2876"/>
      <c r="H301" s="2877"/>
      <c r="I301" s="4418">
        <v>333.12</v>
      </c>
      <c r="J301" s="4418"/>
      <c r="K301" s="2875"/>
      <c r="L301" s="2876"/>
      <c r="M301" s="2877"/>
      <c r="N301" s="4418">
        <v>41.64</v>
      </c>
      <c r="O301" s="4418"/>
      <c r="P301" s="4418"/>
      <c r="Q301" s="2875"/>
      <c r="R301" s="2877"/>
      <c r="S301" s="4418">
        <v>374.76</v>
      </c>
      <c r="T301" s="4418"/>
    </row>
    <row r="302" spans="1:20" s="2867" customFormat="1" ht="36" hidden="1" customHeight="1" outlineLevel="4">
      <c r="A302" s="4416" t="s">
        <v>834</v>
      </c>
      <c r="B302" s="4416"/>
      <c r="C302" s="4416"/>
      <c r="D302" s="4416"/>
      <c r="E302" s="4416"/>
      <c r="F302" s="2875"/>
      <c r="G302" s="2876"/>
      <c r="H302" s="2877"/>
      <c r="I302" s="4418">
        <v>333.12</v>
      </c>
      <c r="J302" s="4418"/>
      <c r="K302" s="2875"/>
      <c r="L302" s="2876"/>
      <c r="M302" s="2877"/>
      <c r="N302" s="4418">
        <v>41.64</v>
      </c>
      <c r="O302" s="4418"/>
      <c r="P302" s="4418"/>
      <c r="Q302" s="2875"/>
      <c r="R302" s="2877"/>
      <c r="S302" s="4418">
        <v>374.76</v>
      </c>
      <c r="T302" s="4418"/>
    </row>
    <row r="303" spans="1:20" s="2867" customFormat="1" ht="36" hidden="1" customHeight="1" outlineLevel="4">
      <c r="A303" s="4416" t="s">
        <v>834</v>
      </c>
      <c r="B303" s="4416"/>
      <c r="C303" s="4416"/>
      <c r="D303" s="4416"/>
      <c r="E303" s="4416"/>
      <c r="F303" s="2875"/>
      <c r="G303" s="2876"/>
      <c r="H303" s="2877"/>
      <c r="I303" s="4418">
        <v>333.12</v>
      </c>
      <c r="J303" s="4418"/>
      <c r="K303" s="2875"/>
      <c r="L303" s="2876"/>
      <c r="M303" s="2877"/>
      <c r="N303" s="4418">
        <v>41.64</v>
      </c>
      <c r="O303" s="4418"/>
      <c r="P303" s="4418"/>
      <c r="Q303" s="2875"/>
      <c r="R303" s="2877"/>
      <c r="S303" s="4418">
        <v>374.76</v>
      </c>
      <c r="T303" s="4418"/>
    </row>
    <row r="304" spans="1:20" s="2867" customFormat="1" ht="36" hidden="1" customHeight="1" outlineLevel="4">
      <c r="A304" s="4416" t="s">
        <v>834</v>
      </c>
      <c r="B304" s="4416"/>
      <c r="C304" s="4416"/>
      <c r="D304" s="4416"/>
      <c r="E304" s="4416"/>
      <c r="F304" s="2875"/>
      <c r="G304" s="2876"/>
      <c r="H304" s="2877"/>
      <c r="I304" s="4418">
        <v>333.12</v>
      </c>
      <c r="J304" s="4418"/>
      <c r="K304" s="2875"/>
      <c r="L304" s="2876"/>
      <c r="M304" s="2877"/>
      <c r="N304" s="4418">
        <v>41.64</v>
      </c>
      <c r="O304" s="4418"/>
      <c r="P304" s="4418"/>
      <c r="Q304" s="2875"/>
      <c r="R304" s="2877"/>
      <c r="S304" s="4418">
        <v>374.76</v>
      </c>
      <c r="T304" s="4418"/>
    </row>
    <row r="305" spans="1:20" s="2867" customFormat="1" ht="36" hidden="1" customHeight="1" outlineLevel="4">
      <c r="A305" s="4416" t="s">
        <v>834</v>
      </c>
      <c r="B305" s="4416"/>
      <c r="C305" s="4416"/>
      <c r="D305" s="4416"/>
      <c r="E305" s="4416"/>
      <c r="F305" s="2875"/>
      <c r="G305" s="2876"/>
      <c r="H305" s="2877"/>
      <c r="I305" s="4418">
        <v>333.12</v>
      </c>
      <c r="J305" s="4418"/>
      <c r="K305" s="2875"/>
      <c r="L305" s="2876"/>
      <c r="M305" s="2877"/>
      <c r="N305" s="4418">
        <v>41.64</v>
      </c>
      <c r="O305" s="4418"/>
      <c r="P305" s="4418"/>
      <c r="Q305" s="2875"/>
      <c r="R305" s="2877"/>
      <c r="S305" s="4418">
        <v>374.76</v>
      </c>
      <c r="T305" s="4418"/>
    </row>
    <row r="306" spans="1:20" s="2867" customFormat="1" ht="36" hidden="1" customHeight="1" outlineLevel="4">
      <c r="A306" s="4416" t="s">
        <v>834</v>
      </c>
      <c r="B306" s="4416"/>
      <c r="C306" s="4416"/>
      <c r="D306" s="4416"/>
      <c r="E306" s="4416"/>
      <c r="F306" s="2875"/>
      <c r="G306" s="2876"/>
      <c r="H306" s="2877"/>
      <c r="I306" s="4418">
        <v>333.12</v>
      </c>
      <c r="J306" s="4418"/>
      <c r="K306" s="2875"/>
      <c r="L306" s="2876"/>
      <c r="M306" s="2877"/>
      <c r="N306" s="4418">
        <v>41.64</v>
      </c>
      <c r="O306" s="4418"/>
      <c r="P306" s="4418"/>
      <c r="Q306" s="2875"/>
      <c r="R306" s="2877"/>
      <c r="S306" s="4418">
        <v>374.76</v>
      </c>
      <c r="T306" s="4418"/>
    </row>
    <row r="307" spans="1:20" s="2867" customFormat="1" ht="36" hidden="1" customHeight="1" outlineLevel="4">
      <c r="A307" s="4416" t="s">
        <v>834</v>
      </c>
      <c r="B307" s="4416"/>
      <c r="C307" s="4416"/>
      <c r="D307" s="4416"/>
      <c r="E307" s="4416"/>
      <c r="F307" s="2875"/>
      <c r="G307" s="2876"/>
      <c r="H307" s="2877"/>
      <c r="I307" s="4418">
        <v>333.12</v>
      </c>
      <c r="J307" s="4418"/>
      <c r="K307" s="2875"/>
      <c r="L307" s="2876"/>
      <c r="M307" s="2877"/>
      <c r="N307" s="4418">
        <v>41.64</v>
      </c>
      <c r="O307" s="4418"/>
      <c r="P307" s="4418"/>
      <c r="Q307" s="2875"/>
      <c r="R307" s="2877"/>
      <c r="S307" s="4418">
        <v>374.76</v>
      </c>
      <c r="T307" s="4418"/>
    </row>
    <row r="308" spans="1:20" s="2867" customFormat="1" ht="36" hidden="1" customHeight="1" outlineLevel="4">
      <c r="A308" s="4416" t="s">
        <v>834</v>
      </c>
      <c r="B308" s="4416"/>
      <c r="C308" s="4416"/>
      <c r="D308" s="4416"/>
      <c r="E308" s="4416"/>
      <c r="F308" s="2875"/>
      <c r="G308" s="2876"/>
      <c r="H308" s="2877"/>
      <c r="I308" s="4418">
        <v>333.12</v>
      </c>
      <c r="J308" s="4418"/>
      <c r="K308" s="2875"/>
      <c r="L308" s="2876"/>
      <c r="M308" s="2877"/>
      <c r="N308" s="4418">
        <v>41.64</v>
      </c>
      <c r="O308" s="4418"/>
      <c r="P308" s="4418"/>
      <c r="Q308" s="2875"/>
      <c r="R308" s="2877"/>
      <c r="S308" s="4418">
        <v>374.76</v>
      </c>
      <c r="T308" s="4418"/>
    </row>
    <row r="309" spans="1:20" s="2867" customFormat="1" ht="36" hidden="1" customHeight="1" outlineLevel="4">
      <c r="A309" s="4416" t="s">
        <v>834</v>
      </c>
      <c r="B309" s="4416"/>
      <c r="C309" s="4416"/>
      <c r="D309" s="4416"/>
      <c r="E309" s="4416"/>
      <c r="F309" s="2875"/>
      <c r="G309" s="2876"/>
      <c r="H309" s="2877"/>
      <c r="I309" s="4418">
        <v>333.12</v>
      </c>
      <c r="J309" s="4418"/>
      <c r="K309" s="2875"/>
      <c r="L309" s="2876"/>
      <c r="M309" s="2877"/>
      <c r="N309" s="4418">
        <v>41.64</v>
      </c>
      <c r="O309" s="4418"/>
      <c r="P309" s="4418"/>
      <c r="Q309" s="2875"/>
      <c r="R309" s="2877"/>
      <c r="S309" s="4418">
        <v>374.76</v>
      </c>
      <c r="T309" s="4418"/>
    </row>
    <row r="310" spans="1:20" s="2867" customFormat="1" ht="36" hidden="1" customHeight="1" outlineLevel="4">
      <c r="A310" s="4416" t="s">
        <v>834</v>
      </c>
      <c r="B310" s="4416"/>
      <c r="C310" s="4416"/>
      <c r="D310" s="4416"/>
      <c r="E310" s="4416"/>
      <c r="F310" s="2875"/>
      <c r="G310" s="2876"/>
      <c r="H310" s="2877"/>
      <c r="I310" s="4418">
        <v>333.12</v>
      </c>
      <c r="J310" s="4418"/>
      <c r="K310" s="2875"/>
      <c r="L310" s="2876"/>
      <c r="M310" s="2877"/>
      <c r="N310" s="4418">
        <v>41.64</v>
      </c>
      <c r="O310" s="4418"/>
      <c r="P310" s="4418"/>
      <c r="Q310" s="2875"/>
      <c r="R310" s="2877"/>
      <c r="S310" s="4418">
        <v>374.76</v>
      </c>
      <c r="T310" s="4418"/>
    </row>
    <row r="311" spans="1:20" s="2867" customFormat="1" ht="36" hidden="1" customHeight="1" outlineLevel="4">
      <c r="A311" s="4416" t="s">
        <v>834</v>
      </c>
      <c r="B311" s="4416"/>
      <c r="C311" s="4416"/>
      <c r="D311" s="4416"/>
      <c r="E311" s="4416"/>
      <c r="F311" s="2875"/>
      <c r="G311" s="2876"/>
      <c r="H311" s="2877"/>
      <c r="I311" s="4418">
        <v>333.12</v>
      </c>
      <c r="J311" s="4418"/>
      <c r="K311" s="2875"/>
      <c r="L311" s="2876"/>
      <c r="M311" s="2877"/>
      <c r="N311" s="4418">
        <v>41.64</v>
      </c>
      <c r="O311" s="4418"/>
      <c r="P311" s="4418"/>
      <c r="Q311" s="2875"/>
      <c r="R311" s="2877"/>
      <c r="S311" s="4418">
        <v>374.76</v>
      </c>
      <c r="T311" s="4418"/>
    </row>
    <row r="312" spans="1:20" s="2867" customFormat="1" ht="36" hidden="1" customHeight="1" outlineLevel="4">
      <c r="A312" s="4416" t="s">
        <v>834</v>
      </c>
      <c r="B312" s="4416"/>
      <c r="C312" s="4416"/>
      <c r="D312" s="4416"/>
      <c r="E312" s="4416"/>
      <c r="F312" s="2875"/>
      <c r="G312" s="2876"/>
      <c r="H312" s="2877"/>
      <c r="I312" s="4418">
        <v>333.12</v>
      </c>
      <c r="J312" s="4418"/>
      <c r="K312" s="2875"/>
      <c r="L312" s="2876"/>
      <c r="M312" s="2877"/>
      <c r="N312" s="4418">
        <v>41.64</v>
      </c>
      <c r="O312" s="4418"/>
      <c r="P312" s="4418"/>
      <c r="Q312" s="2875"/>
      <c r="R312" s="2877"/>
      <c r="S312" s="4418">
        <v>374.76</v>
      </c>
      <c r="T312" s="4418"/>
    </row>
    <row r="313" spans="1:20" s="2867" customFormat="1" ht="36" hidden="1" customHeight="1" outlineLevel="4">
      <c r="A313" s="4416" t="s">
        <v>834</v>
      </c>
      <c r="B313" s="4416"/>
      <c r="C313" s="4416"/>
      <c r="D313" s="4416"/>
      <c r="E313" s="4416"/>
      <c r="F313" s="2875"/>
      <c r="G313" s="2876"/>
      <c r="H313" s="2877"/>
      <c r="I313" s="4418">
        <v>333.12</v>
      </c>
      <c r="J313" s="4418"/>
      <c r="K313" s="2875"/>
      <c r="L313" s="2876"/>
      <c r="M313" s="2877"/>
      <c r="N313" s="4418">
        <v>41.64</v>
      </c>
      <c r="O313" s="4418"/>
      <c r="P313" s="4418"/>
      <c r="Q313" s="2875"/>
      <c r="R313" s="2877"/>
      <c r="S313" s="4418">
        <v>374.76</v>
      </c>
      <c r="T313" s="4418"/>
    </row>
    <row r="314" spans="1:20" s="2867" customFormat="1" ht="36" hidden="1" customHeight="1" outlineLevel="4">
      <c r="A314" s="4416" t="s">
        <v>834</v>
      </c>
      <c r="B314" s="4416"/>
      <c r="C314" s="4416"/>
      <c r="D314" s="4416"/>
      <c r="E314" s="4416"/>
      <c r="F314" s="2875"/>
      <c r="G314" s="2876"/>
      <c r="H314" s="2877"/>
      <c r="I314" s="4418">
        <v>333.12</v>
      </c>
      <c r="J314" s="4418"/>
      <c r="K314" s="2875"/>
      <c r="L314" s="2876"/>
      <c r="M314" s="2877"/>
      <c r="N314" s="4418">
        <v>41.64</v>
      </c>
      <c r="O314" s="4418"/>
      <c r="P314" s="4418"/>
      <c r="Q314" s="2875"/>
      <c r="R314" s="2877"/>
      <c r="S314" s="4418">
        <v>374.76</v>
      </c>
      <c r="T314" s="4418"/>
    </row>
    <row r="315" spans="1:20" s="2867" customFormat="1" ht="36" hidden="1" customHeight="1" outlineLevel="4">
      <c r="A315" s="4416" t="s">
        <v>834</v>
      </c>
      <c r="B315" s="4416"/>
      <c r="C315" s="4416"/>
      <c r="D315" s="4416"/>
      <c r="E315" s="4416"/>
      <c r="F315" s="2875"/>
      <c r="G315" s="2876"/>
      <c r="H315" s="2877"/>
      <c r="I315" s="4418">
        <v>333.12</v>
      </c>
      <c r="J315" s="4418"/>
      <c r="K315" s="2875"/>
      <c r="L315" s="2876"/>
      <c r="M315" s="2877"/>
      <c r="N315" s="4418">
        <v>41.64</v>
      </c>
      <c r="O315" s="4418"/>
      <c r="P315" s="4418"/>
      <c r="Q315" s="2875"/>
      <c r="R315" s="2877"/>
      <c r="S315" s="4418">
        <v>374.76</v>
      </c>
      <c r="T315" s="4418"/>
    </row>
    <row r="316" spans="1:20" s="2867" customFormat="1" ht="36" hidden="1" customHeight="1" outlineLevel="4">
      <c r="A316" s="4416" t="s">
        <v>834</v>
      </c>
      <c r="B316" s="4416"/>
      <c r="C316" s="4416"/>
      <c r="D316" s="4416"/>
      <c r="E316" s="4416"/>
      <c r="F316" s="2875"/>
      <c r="G316" s="2876"/>
      <c r="H316" s="2877"/>
      <c r="I316" s="4418">
        <v>333.12</v>
      </c>
      <c r="J316" s="4418"/>
      <c r="K316" s="2875"/>
      <c r="L316" s="2876"/>
      <c r="M316" s="2877"/>
      <c r="N316" s="4418">
        <v>41.64</v>
      </c>
      <c r="O316" s="4418"/>
      <c r="P316" s="4418"/>
      <c r="Q316" s="2875"/>
      <c r="R316" s="2877"/>
      <c r="S316" s="4418">
        <v>374.76</v>
      </c>
      <c r="T316" s="4418"/>
    </row>
    <row r="317" spans="1:20" s="2867" customFormat="1" ht="36" hidden="1" customHeight="1" outlineLevel="4">
      <c r="A317" s="4416" t="s">
        <v>834</v>
      </c>
      <c r="B317" s="4416"/>
      <c r="C317" s="4416"/>
      <c r="D317" s="4416"/>
      <c r="E317" s="4416"/>
      <c r="F317" s="2875"/>
      <c r="G317" s="2876"/>
      <c r="H317" s="2877"/>
      <c r="I317" s="4418">
        <v>333.12</v>
      </c>
      <c r="J317" s="4418"/>
      <c r="K317" s="2875"/>
      <c r="L317" s="2876"/>
      <c r="M317" s="2877"/>
      <c r="N317" s="4418">
        <v>41.64</v>
      </c>
      <c r="O317" s="4418"/>
      <c r="P317" s="4418"/>
      <c r="Q317" s="2875"/>
      <c r="R317" s="2877"/>
      <c r="S317" s="4418">
        <v>374.76</v>
      </c>
      <c r="T317" s="4418"/>
    </row>
    <row r="318" spans="1:20" s="2867" customFormat="1" ht="36" hidden="1" customHeight="1" outlineLevel="4">
      <c r="A318" s="4416" t="s">
        <v>834</v>
      </c>
      <c r="B318" s="4416"/>
      <c r="C318" s="4416"/>
      <c r="D318" s="4416"/>
      <c r="E318" s="4416"/>
      <c r="F318" s="2875"/>
      <c r="G318" s="2876"/>
      <c r="H318" s="2877"/>
      <c r="I318" s="4418">
        <v>333.12</v>
      </c>
      <c r="J318" s="4418"/>
      <c r="K318" s="2875"/>
      <c r="L318" s="2876"/>
      <c r="M318" s="2877"/>
      <c r="N318" s="4418">
        <v>41.64</v>
      </c>
      <c r="O318" s="4418"/>
      <c r="P318" s="4418"/>
      <c r="Q318" s="2875"/>
      <c r="R318" s="2877"/>
      <c r="S318" s="4418">
        <v>374.76</v>
      </c>
      <c r="T318" s="4418"/>
    </row>
    <row r="319" spans="1:20" s="2867" customFormat="1" ht="36" hidden="1" customHeight="1" outlineLevel="4">
      <c r="A319" s="4416" t="s">
        <v>834</v>
      </c>
      <c r="B319" s="4416"/>
      <c r="C319" s="4416"/>
      <c r="D319" s="4416"/>
      <c r="E319" s="4416"/>
      <c r="F319" s="2875"/>
      <c r="G319" s="2876"/>
      <c r="H319" s="2877"/>
      <c r="I319" s="4418">
        <v>333.12</v>
      </c>
      <c r="J319" s="4418"/>
      <c r="K319" s="2875"/>
      <c r="L319" s="2876"/>
      <c r="M319" s="2877"/>
      <c r="N319" s="4418">
        <v>41.64</v>
      </c>
      <c r="O319" s="4418"/>
      <c r="P319" s="4418"/>
      <c r="Q319" s="2875"/>
      <c r="R319" s="2877"/>
      <c r="S319" s="4418">
        <v>374.76</v>
      </c>
      <c r="T319" s="4418"/>
    </row>
    <row r="320" spans="1:20" s="2867" customFormat="1" ht="36" hidden="1" customHeight="1" outlineLevel="4">
      <c r="A320" s="4416" t="s">
        <v>834</v>
      </c>
      <c r="B320" s="4416"/>
      <c r="C320" s="4416"/>
      <c r="D320" s="4416"/>
      <c r="E320" s="4416"/>
      <c r="F320" s="2875"/>
      <c r="G320" s="2876"/>
      <c r="H320" s="2877"/>
      <c r="I320" s="4418">
        <v>333.12</v>
      </c>
      <c r="J320" s="4418"/>
      <c r="K320" s="2875"/>
      <c r="L320" s="2876"/>
      <c r="M320" s="2877"/>
      <c r="N320" s="4418">
        <v>41.64</v>
      </c>
      <c r="O320" s="4418"/>
      <c r="P320" s="4418"/>
      <c r="Q320" s="2875"/>
      <c r="R320" s="2877"/>
      <c r="S320" s="4418">
        <v>374.76</v>
      </c>
      <c r="T320" s="4418"/>
    </row>
    <row r="321" spans="1:20" s="2867" customFormat="1" ht="36" hidden="1" customHeight="1" outlineLevel="4">
      <c r="A321" s="4416" t="s">
        <v>834</v>
      </c>
      <c r="B321" s="4416"/>
      <c r="C321" s="4416"/>
      <c r="D321" s="4416"/>
      <c r="E321" s="4416"/>
      <c r="F321" s="2875"/>
      <c r="G321" s="2876"/>
      <c r="H321" s="2877"/>
      <c r="I321" s="4418">
        <v>333.12</v>
      </c>
      <c r="J321" s="4418"/>
      <c r="K321" s="2875"/>
      <c r="L321" s="2876"/>
      <c r="M321" s="2877"/>
      <c r="N321" s="4418">
        <v>41.64</v>
      </c>
      <c r="O321" s="4418"/>
      <c r="P321" s="4418"/>
      <c r="Q321" s="2875"/>
      <c r="R321" s="2877"/>
      <c r="S321" s="4418">
        <v>374.76</v>
      </c>
      <c r="T321" s="4418"/>
    </row>
    <row r="322" spans="1:20" s="2867" customFormat="1" ht="36" hidden="1" customHeight="1" outlineLevel="4">
      <c r="A322" s="4416" t="s">
        <v>834</v>
      </c>
      <c r="B322" s="4416"/>
      <c r="C322" s="4416"/>
      <c r="D322" s="4416"/>
      <c r="E322" s="4416"/>
      <c r="F322" s="2875"/>
      <c r="G322" s="2876"/>
      <c r="H322" s="2877"/>
      <c r="I322" s="4418">
        <v>333.12</v>
      </c>
      <c r="J322" s="4418"/>
      <c r="K322" s="2875"/>
      <c r="L322" s="2876"/>
      <c r="M322" s="2877"/>
      <c r="N322" s="4418">
        <v>41.64</v>
      </c>
      <c r="O322" s="4418"/>
      <c r="P322" s="4418"/>
      <c r="Q322" s="2875"/>
      <c r="R322" s="2877"/>
      <c r="S322" s="4418">
        <v>374.76</v>
      </c>
      <c r="T322" s="4418"/>
    </row>
    <row r="323" spans="1:20" s="2867" customFormat="1" ht="36" hidden="1" customHeight="1" outlineLevel="4">
      <c r="A323" s="4416" t="s">
        <v>834</v>
      </c>
      <c r="B323" s="4416"/>
      <c r="C323" s="4416"/>
      <c r="D323" s="4416"/>
      <c r="E323" s="4416"/>
      <c r="F323" s="2875"/>
      <c r="G323" s="2876"/>
      <c r="H323" s="2877"/>
      <c r="I323" s="4418">
        <v>333.12</v>
      </c>
      <c r="J323" s="4418"/>
      <c r="K323" s="2875"/>
      <c r="L323" s="2876"/>
      <c r="M323" s="2877"/>
      <c r="N323" s="4418">
        <v>41.64</v>
      </c>
      <c r="O323" s="4418"/>
      <c r="P323" s="4418"/>
      <c r="Q323" s="2875"/>
      <c r="R323" s="2877"/>
      <c r="S323" s="4418">
        <v>374.76</v>
      </c>
      <c r="T323" s="4418"/>
    </row>
    <row r="324" spans="1:20" s="2867" customFormat="1" ht="36" hidden="1" customHeight="1" outlineLevel="4">
      <c r="A324" s="4416" t="s">
        <v>834</v>
      </c>
      <c r="B324" s="4416"/>
      <c r="C324" s="4416"/>
      <c r="D324" s="4416"/>
      <c r="E324" s="4416"/>
      <c r="F324" s="2875"/>
      <c r="G324" s="2876"/>
      <c r="H324" s="2877"/>
      <c r="I324" s="4418">
        <v>333.12</v>
      </c>
      <c r="J324" s="4418"/>
      <c r="K324" s="2875"/>
      <c r="L324" s="2876"/>
      <c r="M324" s="2877"/>
      <c r="N324" s="4418">
        <v>41.64</v>
      </c>
      <c r="O324" s="4418"/>
      <c r="P324" s="4418"/>
      <c r="Q324" s="2875"/>
      <c r="R324" s="2877"/>
      <c r="S324" s="4418">
        <v>374.76</v>
      </c>
      <c r="T324" s="4418"/>
    </row>
    <row r="325" spans="1:20" s="2867" customFormat="1" ht="36" hidden="1" customHeight="1" outlineLevel="4">
      <c r="A325" s="4416" t="s">
        <v>834</v>
      </c>
      <c r="B325" s="4416"/>
      <c r="C325" s="4416"/>
      <c r="D325" s="4416"/>
      <c r="E325" s="4416"/>
      <c r="F325" s="2875"/>
      <c r="G325" s="2876"/>
      <c r="H325" s="2877"/>
      <c r="I325" s="4418">
        <v>333.12</v>
      </c>
      <c r="J325" s="4418"/>
      <c r="K325" s="2875"/>
      <c r="L325" s="2876"/>
      <c r="M325" s="2877"/>
      <c r="N325" s="4418">
        <v>41.64</v>
      </c>
      <c r="O325" s="4418"/>
      <c r="P325" s="4418"/>
      <c r="Q325" s="2875"/>
      <c r="R325" s="2877"/>
      <c r="S325" s="4418">
        <v>374.76</v>
      </c>
      <c r="T325" s="4418"/>
    </row>
    <row r="326" spans="1:20" s="2867" customFormat="1" ht="36" hidden="1" customHeight="1" outlineLevel="4">
      <c r="A326" s="4416" t="s">
        <v>834</v>
      </c>
      <c r="B326" s="4416"/>
      <c r="C326" s="4416"/>
      <c r="D326" s="4416"/>
      <c r="E326" s="4416"/>
      <c r="F326" s="2875"/>
      <c r="G326" s="2876"/>
      <c r="H326" s="2877"/>
      <c r="I326" s="4418">
        <v>333.12</v>
      </c>
      <c r="J326" s="4418"/>
      <c r="K326" s="2875"/>
      <c r="L326" s="2876"/>
      <c r="M326" s="2877"/>
      <c r="N326" s="4418">
        <v>41.64</v>
      </c>
      <c r="O326" s="4418"/>
      <c r="P326" s="4418"/>
      <c r="Q326" s="2875"/>
      <c r="R326" s="2877"/>
      <c r="S326" s="4418">
        <v>374.76</v>
      </c>
      <c r="T326" s="4418"/>
    </row>
    <row r="327" spans="1:20" s="2867" customFormat="1" ht="36" hidden="1" customHeight="1" outlineLevel="4">
      <c r="A327" s="4416" t="s">
        <v>834</v>
      </c>
      <c r="B327" s="4416"/>
      <c r="C327" s="4416"/>
      <c r="D327" s="4416"/>
      <c r="E327" s="4416"/>
      <c r="F327" s="2875"/>
      <c r="G327" s="2876"/>
      <c r="H327" s="2877"/>
      <c r="I327" s="4418">
        <v>333.12</v>
      </c>
      <c r="J327" s="4418"/>
      <c r="K327" s="2875"/>
      <c r="L327" s="2876"/>
      <c r="M327" s="2877"/>
      <c r="N327" s="4418">
        <v>41.64</v>
      </c>
      <c r="O327" s="4418"/>
      <c r="P327" s="4418"/>
      <c r="Q327" s="2875"/>
      <c r="R327" s="2877"/>
      <c r="S327" s="4418">
        <v>374.76</v>
      </c>
      <c r="T327" s="4418"/>
    </row>
    <row r="328" spans="1:20" s="2867" customFormat="1" ht="36" hidden="1" customHeight="1" outlineLevel="4">
      <c r="A328" s="4416" t="s">
        <v>834</v>
      </c>
      <c r="B328" s="4416"/>
      <c r="C328" s="4416"/>
      <c r="D328" s="4416"/>
      <c r="E328" s="4416"/>
      <c r="F328" s="2875"/>
      <c r="G328" s="2876"/>
      <c r="H328" s="2877"/>
      <c r="I328" s="4418">
        <v>333.12</v>
      </c>
      <c r="J328" s="4418"/>
      <c r="K328" s="2875"/>
      <c r="L328" s="2876"/>
      <c r="M328" s="2877"/>
      <c r="N328" s="4418">
        <v>41.64</v>
      </c>
      <c r="O328" s="4418"/>
      <c r="P328" s="4418"/>
      <c r="Q328" s="2875"/>
      <c r="R328" s="2877"/>
      <c r="S328" s="4418">
        <v>374.76</v>
      </c>
      <c r="T328" s="4418"/>
    </row>
    <row r="329" spans="1:20" s="2867" customFormat="1" ht="36" hidden="1" customHeight="1" outlineLevel="4">
      <c r="A329" s="4416" t="s">
        <v>834</v>
      </c>
      <c r="B329" s="4416"/>
      <c r="C329" s="4416"/>
      <c r="D329" s="4416"/>
      <c r="E329" s="4416"/>
      <c r="F329" s="2875"/>
      <c r="G329" s="2876"/>
      <c r="H329" s="2877"/>
      <c r="I329" s="4418">
        <v>333.12</v>
      </c>
      <c r="J329" s="4418"/>
      <c r="K329" s="2875"/>
      <c r="L329" s="2876"/>
      <c r="M329" s="2877"/>
      <c r="N329" s="4418">
        <v>41.64</v>
      </c>
      <c r="O329" s="4418"/>
      <c r="P329" s="4418"/>
      <c r="Q329" s="2875"/>
      <c r="R329" s="2877"/>
      <c r="S329" s="4418">
        <v>374.76</v>
      </c>
      <c r="T329" s="4418"/>
    </row>
    <row r="330" spans="1:20" s="2867" customFormat="1" ht="36" hidden="1" customHeight="1" outlineLevel="4">
      <c r="A330" s="4416" t="s">
        <v>834</v>
      </c>
      <c r="B330" s="4416"/>
      <c r="C330" s="4416"/>
      <c r="D330" s="4416"/>
      <c r="E330" s="4416"/>
      <c r="F330" s="2875"/>
      <c r="G330" s="2876"/>
      <c r="H330" s="2877"/>
      <c r="I330" s="4418">
        <v>333.12</v>
      </c>
      <c r="J330" s="4418"/>
      <c r="K330" s="2875"/>
      <c r="L330" s="2876"/>
      <c r="M330" s="2877"/>
      <c r="N330" s="4418">
        <v>41.64</v>
      </c>
      <c r="O330" s="4418"/>
      <c r="P330" s="4418"/>
      <c r="Q330" s="2875"/>
      <c r="R330" s="2877"/>
      <c r="S330" s="4418">
        <v>374.76</v>
      </c>
      <c r="T330" s="4418"/>
    </row>
    <row r="331" spans="1:20" s="2867" customFormat="1" ht="36" hidden="1" customHeight="1" outlineLevel="4">
      <c r="A331" s="4416" t="s">
        <v>834</v>
      </c>
      <c r="B331" s="4416"/>
      <c r="C331" s="4416"/>
      <c r="D331" s="4416"/>
      <c r="E331" s="4416"/>
      <c r="F331" s="2875"/>
      <c r="G331" s="2876"/>
      <c r="H331" s="2877"/>
      <c r="I331" s="4418">
        <v>333.12</v>
      </c>
      <c r="J331" s="4418"/>
      <c r="K331" s="2875"/>
      <c r="L331" s="2876"/>
      <c r="M331" s="2877"/>
      <c r="N331" s="4418">
        <v>41.64</v>
      </c>
      <c r="O331" s="4418"/>
      <c r="P331" s="4418"/>
      <c r="Q331" s="2875"/>
      <c r="R331" s="2877"/>
      <c r="S331" s="4418">
        <v>374.76</v>
      </c>
      <c r="T331" s="4418"/>
    </row>
    <row r="332" spans="1:20" s="2867" customFormat="1" ht="36" hidden="1" customHeight="1" outlineLevel="4">
      <c r="A332" s="4416" t="s">
        <v>834</v>
      </c>
      <c r="B332" s="4416"/>
      <c r="C332" s="4416"/>
      <c r="D332" s="4416"/>
      <c r="E332" s="4416"/>
      <c r="F332" s="2875"/>
      <c r="G332" s="2876"/>
      <c r="H332" s="2877"/>
      <c r="I332" s="4418">
        <v>333.12</v>
      </c>
      <c r="J332" s="4418"/>
      <c r="K332" s="2875"/>
      <c r="L332" s="2876"/>
      <c r="M332" s="2877"/>
      <c r="N332" s="4418">
        <v>41.64</v>
      </c>
      <c r="O332" s="4418"/>
      <c r="P332" s="4418"/>
      <c r="Q332" s="2875"/>
      <c r="R332" s="2877"/>
      <c r="S332" s="4418">
        <v>374.76</v>
      </c>
      <c r="T332" s="4418"/>
    </row>
    <row r="333" spans="1:20" s="2867" customFormat="1" ht="36" hidden="1" customHeight="1" outlineLevel="4">
      <c r="A333" s="4416" t="s">
        <v>834</v>
      </c>
      <c r="B333" s="4416"/>
      <c r="C333" s="4416"/>
      <c r="D333" s="4416"/>
      <c r="E333" s="4416"/>
      <c r="F333" s="2875"/>
      <c r="G333" s="2876"/>
      <c r="H333" s="2877"/>
      <c r="I333" s="4418">
        <v>333.12</v>
      </c>
      <c r="J333" s="4418"/>
      <c r="K333" s="2875"/>
      <c r="L333" s="2876"/>
      <c r="M333" s="2877"/>
      <c r="N333" s="4418">
        <v>41.64</v>
      </c>
      <c r="O333" s="4418"/>
      <c r="P333" s="4418"/>
      <c r="Q333" s="2875"/>
      <c r="R333" s="2877"/>
      <c r="S333" s="4418">
        <v>374.76</v>
      </c>
      <c r="T333" s="4418"/>
    </row>
    <row r="334" spans="1:20" s="2867" customFormat="1" ht="36" hidden="1" customHeight="1" outlineLevel="4">
      <c r="A334" s="4416" t="s">
        <v>834</v>
      </c>
      <c r="B334" s="4416"/>
      <c r="C334" s="4416"/>
      <c r="D334" s="4416"/>
      <c r="E334" s="4416"/>
      <c r="F334" s="2875"/>
      <c r="G334" s="2876"/>
      <c r="H334" s="2877"/>
      <c r="I334" s="4418">
        <v>333.12</v>
      </c>
      <c r="J334" s="4418"/>
      <c r="K334" s="2875"/>
      <c r="L334" s="2876"/>
      <c r="M334" s="2877"/>
      <c r="N334" s="4418">
        <v>41.64</v>
      </c>
      <c r="O334" s="4418"/>
      <c r="P334" s="4418"/>
      <c r="Q334" s="2875"/>
      <c r="R334" s="2877"/>
      <c r="S334" s="4418">
        <v>374.76</v>
      </c>
      <c r="T334" s="4418"/>
    </row>
    <row r="335" spans="1:20" s="2867" customFormat="1" ht="36" hidden="1" customHeight="1" outlineLevel="4">
      <c r="A335" s="4416" t="s">
        <v>834</v>
      </c>
      <c r="B335" s="4416"/>
      <c r="C335" s="4416"/>
      <c r="D335" s="4416"/>
      <c r="E335" s="4416"/>
      <c r="F335" s="2875"/>
      <c r="G335" s="2876"/>
      <c r="H335" s="2877"/>
      <c r="I335" s="4418">
        <v>333.12</v>
      </c>
      <c r="J335" s="4418"/>
      <c r="K335" s="2875"/>
      <c r="L335" s="2876"/>
      <c r="M335" s="2877"/>
      <c r="N335" s="4418">
        <v>41.64</v>
      </c>
      <c r="O335" s="4418"/>
      <c r="P335" s="4418"/>
      <c r="Q335" s="2875"/>
      <c r="R335" s="2877"/>
      <c r="S335" s="4418">
        <v>374.76</v>
      </c>
      <c r="T335" s="4418"/>
    </row>
    <row r="336" spans="1:20" s="2867" customFormat="1" ht="36" hidden="1" customHeight="1" outlineLevel="4">
      <c r="A336" s="4416" t="s">
        <v>834</v>
      </c>
      <c r="B336" s="4416"/>
      <c r="C336" s="4416"/>
      <c r="D336" s="4416"/>
      <c r="E336" s="4416"/>
      <c r="F336" s="2875"/>
      <c r="G336" s="2876"/>
      <c r="H336" s="2877"/>
      <c r="I336" s="4418">
        <v>333.12</v>
      </c>
      <c r="J336" s="4418"/>
      <c r="K336" s="2875"/>
      <c r="L336" s="2876"/>
      <c r="M336" s="2877"/>
      <c r="N336" s="4418">
        <v>41.64</v>
      </c>
      <c r="O336" s="4418"/>
      <c r="P336" s="4418"/>
      <c r="Q336" s="2875"/>
      <c r="R336" s="2877"/>
      <c r="S336" s="4418">
        <v>374.76</v>
      </c>
      <c r="T336" s="4418"/>
    </row>
    <row r="337" spans="1:20" s="2867" customFormat="1" ht="36" hidden="1" customHeight="1" outlineLevel="4">
      <c r="A337" s="4416" t="s">
        <v>834</v>
      </c>
      <c r="B337" s="4416"/>
      <c r="C337" s="4416"/>
      <c r="D337" s="4416"/>
      <c r="E337" s="4416"/>
      <c r="F337" s="2875"/>
      <c r="G337" s="2876"/>
      <c r="H337" s="2877"/>
      <c r="I337" s="4418">
        <v>333.12</v>
      </c>
      <c r="J337" s="4418"/>
      <c r="K337" s="2875"/>
      <c r="L337" s="2876"/>
      <c r="M337" s="2877"/>
      <c r="N337" s="4418">
        <v>41.64</v>
      </c>
      <c r="O337" s="4418"/>
      <c r="P337" s="4418"/>
      <c r="Q337" s="2875"/>
      <c r="R337" s="2877"/>
      <c r="S337" s="4418">
        <v>374.76</v>
      </c>
      <c r="T337" s="4418"/>
    </row>
    <row r="338" spans="1:20" s="2867" customFormat="1" ht="36" hidden="1" customHeight="1" outlineLevel="4">
      <c r="A338" s="4416" t="s">
        <v>834</v>
      </c>
      <c r="B338" s="4416"/>
      <c r="C338" s="4416"/>
      <c r="D338" s="4416"/>
      <c r="E338" s="4416"/>
      <c r="F338" s="2875"/>
      <c r="G338" s="2876"/>
      <c r="H338" s="2877"/>
      <c r="I338" s="4418">
        <v>333.12</v>
      </c>
      <c r="J338" s="4418"/>
      <c r="K338" s="2875"/>
      <c r="L338" s="2876"/>
      <c r="M338" s="2877"/>
      <c r="N338" s="4418">
        <v>41.64</v>
      </c>
      <c r="O338" s="4418"/>
      <c r="P338" s="4418"/>
      <c r="Q338" s="2875"/>
      <c r="R338" s="2877"/>
      <c r="S338" s="4418">
        <v>374.76</v>
      </c>
      <c r="T338" s="4418"/>
    </row>
    <row r="339" spans="1:20" s="2867" customFormat="1" ht="36" hidden="1" customHeight="1" outlineLevel="4">
      <c r="A339" s="4416" t="s">
        <v>834</v>
      </c>
      <c r="B339" s="4416"/>
      <c r="C339" s="4416"/>
      <c r="D339" s="4416"/>
      <c r="E339" s="4416"/>
      <c r="F339" s="2875"/>
      <c r="G339" s="2876"/>
      <c r="H339" s="2877"/>
      <c r="I339" s="4418">
        <v>333.12</v>
      </c>
      <c r="J339" s="4418"/>
      <c r="K339" s="2875"/>
      <c r="L339" s="2876"/>
      <c r="M339" s="2877"/>
      <c r="N339" s="4418">
        <v>41.64</v>
      </c>
      <c r="O339" s="4418"/>
      <c r="P339" s="4418"/>
      <c r="Q339" s="2875"/>
      <c r="R339" s="2877"/>
      <c r="S339" s="4418">
        <v>374.76</v>
      </c>
      <c r="T339" s="4418"/>
    </row>
    <row r="340" spans="1:20" s="2867" customFormat="1" ht="36" hidden="1" customHeight="1" outlineLevel="4">
      <c r="A340" s="4416" t="s">
        <v>834</v>
      </c>
      <c r="B340" s="4416"/>
      <c r="C340" s="4416"/>
      <c r="D340" s="4416"/>
      <c r="E340" s="4416"/>
      <c r="F340" s="2875"/>
      <c r="G340" s="2876"/>
      <c r="H340" s="2877"/>
      <c r="I340" s="4418">
        <v>333.12</v>
      </c>
      <c r="J340" s="4418"/>
      <c r="K340" s="2875"/>
      <c r="L340" s="2876"/>
      <c r="M340" s="2877"/>
      <c r="N340" s="4418">
        <v>41.64</v>
      </c>
      <c r="O340" s="4418"/>
      <c r="P340" s="4418"/>
      <c r="Q340" s="2875"/>
      <c r="R340" s="2877"/>
      <c r="S340" s="4418">
        <v>374.76</v>
      </c>
      <c r="T340" s="4418"/>
    </row>
    <row r="341" spans="1:20" s="2867" customFormat="1" ht="36" hidden="1" customHeight="1" outlineLevel="4">
      <c r="A341" s="4416" t="s">
        <v>834</v>
      </c>
      <c r="B341" s="4416"/>
      <c r="C341" s="4416"/>
      <c r="D341" s="4416"/>
      <c r="E341" s="4416"/>
      <c r="F341" s="2875"/>
      <c r="G341" s="2876"/>
      <c r="H341" s="2877"/>
      <c r="I341" s="4418">
        <v>333.12</v>
      </c>
      <c r="J341" s="4418"/>
      <c r="K341" s="2875"/>
      <c r="L341" s="2876"/>
      <c r="M341" s="2877"/>
      <c r="N341" s="4418">
        <v>41.64</v>
      </c>
      <c r="O341" s="4418"/>
      <c r="P341" s="4418"/>
      <c r="Q341" s="2875"/>
      <c r="R341" s="2877"/>
      <c r="S341" s="4418">
        <v>374.76</v>
      </c>
      <c r="T341" s="4418"/>
    </row>
    <row r="342" spans="1:20" s="2867" customFormat="1" ht="36" hidden="1" customHeight="1" outlineLevel="4">
      <c r="A342" s="4416" t="s">
        <v>834</v>
      </c>
      <c r="B342" s="4416"/>
      <c r="C342" s="4416"/>
      <c r="D342" s="4416"/>
      <c r="E342" s="4416"/>
      <c r="F342" s="2875"/>
      <c r="G342" s="2876"/>
      <c r="H342" s="2877"/>
      <c r="I342" s="4418">
        <v>333.12</v>
      </c>
      <c r="J342" s="4418"/>
      <c r="K342" s="2875"/>
      <c r="L342" s="2876"/>
      <c r="M342" s="2877"/>
      <c r="N342" s="4418">
        <v>41.64</v>
      </c>
      <c r="O342" s="4418"/>
      <c r="P342" s="4418"/>
      <c r="Q342" s="2875"/>
      <c r="R342" s="2877"/>
      <c r="S342" s="4418">
        <v>374.76</v>
      </c>
      <c r="T342" s="4418"/>
    </row>
    <row r="343" spans="1:20" s="2867" customFormat="1" ht="36" hidden="1" customHeight="1" outlineLevel="4">
      <c r="A343" s="4416" t="s">
        <v>834</v>
      </c>
      <c r="B343" s="4416"/>
      <c r="C343" s="4416"/>
      <c r="D343" s="4416"/>
      <c r="E343" s="4416"/>
      <c r="F343" s="2875"/>
      <c r="G343" s="2876"/>
      <c r="H343" s="2877"/>
      <c r="I343" s="4418">
        <v>333.12</v>
      </c>
      <c r="J343" s="4418"/>
      <c r="K343" s="2875"/>
      <c r="L343" s="2876"/>
      <c r="M343" s="2877"/>
      <c r="N343" s="4418">
        <v>41.64</v>
      </c>
      <c r="O343" s="4418"/>
      <c r="P343" s="4418"/>
      <c r="Q343" s="2875"/>
      <c r="R343" s="2877"/>
      <c r="S343" s="4418">
        <v>374.76</v>
      </c>
      <c r="T343" s="4418"/>
    </row>
    <row r="344" spans="1:20" s="2867" customFormat="1" ht="36" hidden="1" customHeight="1" outlineLevel="4">
      <c r="A344" s="4416" t="s">
        <v>834</v>
      </c>
      <c r="B344" s="4416"/>
      <c r="C344" s="4416"/>
      <c r="D344" s="4416"/>
      <c r="E344" s="4416"/>
      <c r="F344" s="2875"/>
      <c r="G344" s="2876"/>
      <c r="H344" s="2877"/>
      <c r="I344" s="4418">
        <v>333.12</v>
      </c>
      <c r="J344" s="4418"/>
      <c r="K344" s="2875"/>
      <c r="L344" s="2876"/>
      <c r="M344" s="2877"/>
      <c r="N344" s="4418">
        <v>41.64</v>
      </c>
      <c r="O344" s="4418"/>
      <c r="P344" s="4418"/>
      <c r="Q344" s="2875"/>
      <c r="R344" s="2877"/>
      <c r="S344" s="4418">
        <v>374.76</v>
      </c>
      <c r="T344" s="4418"/>
    </row>
    <row r="345" spans="1:20" s="2867" customFormat="1" ht="36" hidden="1" customHeight="1" outlineLevel="4">
      <c r="A345" s="4416" t="s">
        <v>834</v>
      </c>
      <c r="B345" s="4416"/>
      <c r="C345" s="4416"/>
      <c r="D345" s="4416"/>
      <c r="E345" s="4416"/>
      <c r="F345" s="2875"/>
      <c r="G345" s="2876"/>
      <c r="H345" s="2877"/>
      <c r="I345" s="4418">
        <v>333.12</v>
      </c>
      <c r="J345" s="4418"/>
      <c r="K345" s="2875"/>
      <c r="L345" s="2876"/>
      <c r="M345" s="2877"/>
      <c r="N345" s="4418">
        <v>41.64</v>
      </c>
      <c r="O345" s="4418"/>
      <c r="P345" s="4418"/>
      <c r="Q345" s="2875"/>
      <c r="R345" s="2877"/>
      <c r="S345" s="4418">
        <v>374.76</v>
      </c>
      <c r="T345" s="4418"/>
    </row>
    <row r="346" spans="1:20" s="2867" customFormat="1" ht="36" hidden="1" customHeight="1" outlineLevel="4">
      <c r="A346" s="4416" t="s">
        <v>834</v>
      </c>
      <c r="B346" s="4416"/>
      <c r="C346" s="4416"/>
      <c r="D346" s="4416"/>
      <c r="E346" s="4416"/>
      <c r="F346" s="2875"/>
      <c r="G346" s="2876"/>
      <c r="H346" s="2877"/>
      <c r="I346" s="4418">
        <v>333.12</v>
      </c>
      <c r="J346" s="4418"/>
      <c r="K346" s="2875"/>
      <c r="L346" s="2876"/>
      <c r="M346" s="2877"/>
      <c r="N346" s="4418">
        <v>41.64</v>
      </c>
      <c r="O346" s="4418"/>
      <c r="P346" s="4418"/>
      <c r="Q346" s="2875"/>
      <c r="R346" s="2877"/>
      <c r="S346" s="4418">
        <v>374.76</v>
      </c>
      <c r="T346" s="4418"/>
    </row>
    <row r="347" spans="1:20" s="2867" customFormat="1" ht="36" hidden="1" customHeight="1" outlineLevel="4">
      <c r="A347" s="4416" t="s">
        <v>834</v>
      </c>
      <c r="B347" s="4416"/>
      <c r="C347" s="4416"/>
      <c r="D347" s="4416"/>
      <c r="E347" s="4416"/>
      <c r="F347" s="2875"/>
      <c r="G347" s="2876"/>
      <c r="H347" s="2877"/>
      <c r="I347" s="4418">
        <v>333.12</v>
      </c>
      <c r="J347" s="4418"/>
      <c r="K347" s="2875"/>
      <c r="L347" s="2876"/>
      <c r="M347" s="2877"/>
      <c r="N347" s="4418">
        <v>41.64</v>
      </c>
      <c r="O347" s="4418"/>
      <c r="P347" s="4418"/>
      <c r="Q347" s="2875"/>
      <c r="R347" s="2877"/>
      <c r="S347" s="4418">
        <v>374.76</v>
      </c>
      <c r="T347" s="4418"/>
    </row>
    <row r="348" spans="1:20" s="2867" customFormat="1" ht="36" hidden="1" customHeight="1" outlineLevel="4">
      <c r="A348" s="4416" t="s">
        <v>834</v>
      </c>
      <c r="B348" s="4416"/>
      <c r="C348" s="4416"/>
      <c r="D348" s="4416"/>
      <c r="E348" s="4416"/>
      <c r="F348" s="2875"/>
      <c r="G348" s="2876"/>
      <c r="H348" s="2877"/>
      <c r="I348" s="4418">
        <v>333.12</v>
      </c>
      <c r="J348" s="4418"/>
      <c r="K348" s="2875"/>
      <c r="L348" s="2876"/>
      <c r="M348" s="2877"/>
      <c r="N348" s="4418">
        <v>41.64</v>
      </c>
      <c r="O348" s="4418"/>
      <c r="P348" s="4418"/>
      <c r="Q348" s="2875"/>
      <c r="R348" s="2877"/>
      <c r="S348" s="4418">
        <v>374.76</v>
      </c>
      <c r="T348" s="4418"/>
    </row>
    <row r="349" spans="1:20" s="2867" customFormat="1" ht="36" hidden="1" customHeight="1" outlineLevel="4">
      <c r="A349" s="4416" t="s">
        <v>834</v>
      </c>
      <c r="B349" s="4416"/>
      <c r="C349" s="4416"/>
      <c r="D349" s="4416"/>
      <c r="E349" s="4416"/>
      <c r="F349" s="2875"/>
      <c r="G349" s="2876"/>
      <c r="H349" s="2877"/>
      <c r="I349" s="4418">
        <v>333.12</v>
      </c>
      <c r="J349" s="4418"/>
      <c r="K349" s="2875"/>
      <c r="L349" s="2876"/>
      <c r="M349" s="2877"/>
      <c r="N349" s="4418">
        <v>41.64</v>
      </c>
      <c r="O349" s="4418"/>
      <c r="P349" s="4418"/>
      <c r="Q349" s="2875"/>
      <c r="R349" s="2877"/>
      <c r="S349" s="4418">
        <v>374.76</v>
      </c>
      <c r="T349" s="4418"/>
    </row>
    <row r="350" spans="1:20" s="2867" customFormat="1" ht="36" hidden="1" customHeight="1" outlineLevel="4">
      <c r="A350" s="4416" t="s">
        <v>834</v>
      </c>
      <c r="B350" s="4416"/>
      <c r="C350" s="4416"/>
      <c r="D350" s="4416"/>
      <c r="E350" s="4416"/>
      <c r="F350" s="2875"/>
      <c r="G350" s="2876"/>
      <c r="H350" s="2877"/>
      <c r="I350" s="4418">
        <v>333.12</v>
      </c>
      <c r="J350" s="4418"/>
      <c r="K350" s="2875"/>
      <c r="L350" s="2876"/>
      <c r="M350" s="2877"/>
      <c r="N350" s="4418">
        <v>41.64</v>
      </c>
      <c r="O350" s="4418"/>
      <c r="P350" s="4418"/>
      <c r="Q350" s="2875"/>
      <c r="R350" s="2877"/>
      <c r="S350" s="4418">
        <v>374.76</v>
      </c>
      <c r="T350" s="4418"/>
    </row>
    <row r="351" spans="1:20" s="2867" customFormat="1" ht="36" hidden="1" customHeight="1" outlineLevel="4">
      <c r="A351" s="4416" t="s">
        <v>834</v>
      </c>
      <c r="B351" s="4416"/>
      <c r="C351" s="4416"/>
      <c r="D351" s="4416"/>
      <c r="E351" s="4416"/>
      <c r="F351" s="2875"/>
      <c r="G351" s="2876"/>
      <c r="H351" s="2877"/>
      <c r="I351" s="4418">
        <v>333.12</v>
      </c>
      <c r="J351" s="4418"/>
      <c r="K351" s="2875"/>
      <c r="L351" s="2876"/>
      <c r="M351" s="2877"/>
      <c r="N351" s="4418">
        <v>41.64</v>
      </c>
      <c r="O351" s="4418"/>
      <c r="P351" s="4418"/>
      <c r="Q351" s="2875"/>
      <c r="R351" s="2877"/>
      <c r="S351" s="4418">
        <v>374.76</v>
      </c>
      <c r="T351" s="4418"/>
    </row>
    <row r="352" spans="1:20" s="2867" customFormat="1" ht="36" hidden="1" customHeight="1" outlineLevel="4">
      <c r="A352" s="4416" t="s">
        <v>834</v>
      </c>
      <c r="B352" s="4416"/>
      <c r="C352" s="4416"/>
      <c r="D352" s="4416"/>
      <c r="E352" s="4416"/>
      <c r="F352" s="2875"/>
      <c r="G352" s="2876"/>
      <c r="H352" s="2877"/>
      <c r="I352" s="4418">
        <v>333.12</v>
      </c>
      <c r="J352" s="4418"/>
      <c r="K352" s="2875"/>
      <c r="L352" s="2876"/>
      <c r="M352" s="2877"/>
      <c r="N352" s="4418">
        <v>41.64</v>
      </c>
      <c r="O352" s="4418"/>
      <c r="P352" s="4418"/>
      <c r="Q352" s="2875"/>
      <c r="R352" s="2877"/>
      <c r="S352" s="4418">
        <v>374.76</v>
      </c>
      <c r="T352" s="4418"/>
    </row>
    <row r="353" spans="1:20" s="2867" customFormat="1" ht="36" hidden="1" customHeight="1" outlineLevel="4">
      <c r="A353" s="4416" t="s">
        <v>834</v>
      </c>
      <c r="B353" s="4416"/>
      <c r="C353" s="4416"/>
      <c r="D353" s="4416"/>
      <c r="E353" s="4416"/>
      <c r="F353" s="2875"/>
      <c r="G353" s="2876"/>
      <c r="H353" s="2877"/>
      <c r="I353" s="4418">
        <v>333.12</v>
      </c>
      <c r="J353" s="4418"/>
      <c r="K353" s="2875"/>
      <c r="L353" s="2876"/>
      <c r="M353" s="2877"/>
      <c r="N353" s="4418">
        <v>41.64</v>
      </c>
      <c r="O353" s="4418"/>
      <c r="P353" s="4418"/>
      <c r="Q353" s="2875"/>
      <c r="R353" s="2877"/>
      <c r="S353" s="4418">
        <v>374.76</v>
      </c>
      <c r="T353" s="4418"/>
    </row>
    <row r="354" spans="1:20" s="2867" customFormat="1" ht="36" hidden="1" customHeight="1" outlineLevel="4">
      <c r="A354" s="4416" t="s">
        <v>834</v>
      </c>
      <c r="B354" s="4416"/>
      <c r="C354" s="4416"/>
      <c r="D354" s="4416"/>
      <c r="E354" s="4416"/>
      <c r="F354" s="2875"/>
      <c r="G354" s="2876"/>
      <c r="H354" s="2877"/>
      <c r="I354" s="4418">
        <v>333.12</v>
      </c>
      <c r="J354" s="4418"/>
      <c r="K354" s="2875"/>
      <c r="L354" s="2876"/>
      <c r="M354" s="2877"/>
      <c r="N354" s="4418">
        <v>41.64</v>
      </c>
      <c r="O354" s="4418"/>
      <c r="P354" s="4418"/>
      <c r="Q354" s="2875"/>
      <c r="R354" s="2877"/>
      <c r="S354" s="4418">
        <v>374.76</v>
      </c>
      <c r="T354" s="4418"/>
    </row>
    <row r="355" spans="1:20" s="2867" customFormat="1" ht="36" hidden="1" customHeight="1" outlineLevel="4">
      <c r="A355" s="4416" t="s">
        <v>834</v>
      </c>
      <c r="B355" s="4416"/>
      <c r="C355" s="4416"/>
      <c r="D355" s="4416"/>
      <c r="E355" s="4416"/>
      <c r="F355" s="2875"/>
      <c r="G355" s="2876"/>
      <c r="H355" s="2877"/>
      <c r="I355" s="4418">
        <v>333.12</v>
      </c>
      <c r="J355" s="4418"/>
      <c r="K355" s="2875"/>
      <c r="L355" s="2876"/>
      <c r="M355" s="2877"/>
      <c r="N355" s="4418">
        <v>41.64</v>
      </c>
      <c r="O355" s="4418"/>
      <c r="P355" s="4418"/>
      <c r="Q355" s="2875"/>
      <c r="R355" s="2877"/>
      <c r="S355" s="4418">
        <v>374.76</v>
      </c>
      <c r="T355" s="4418"/>
    </row>
    <row r="356" spans="1:20" s="2867" customFormat="1" ht="36" hidden="1" customHeight="1" outlineLevel="4">
      <c r="A356" s="4416" t="s">
        <v>834</v>
      </c>
      <c r="B356" s="4416"/>
      <c r="C356" s="4416"/>
      <c r="D356" s="4416"/>
      <c r="E356" s="4416"/>
      <c r="F356" s="2875"/>
      <c r="G356" s="2876"/>
      <c r="H356" s="2877"/>
      <c r="I356" s="4418">
        <v>333.12</v>
      </c>
      <c r="J356" s="4418"/>
      <c r="K356" s="2875"/>
      <c r="L356" s="2876"/>
      <c r="M356" s="2877"/>
      <c r="N356" s="4418">
        <v>41.64</v>
      </c>
      <c r="O356" s="4418"/>
      <c r="P356" s="4418"/>
      <c r="Q356" s="2875"/>
      <c r="R356" s="2877"/>
      <c r="S356" s="4418">
        <v>374.76</v>
      </c>
      <c r="T356" s="4418"/>
    </row>
    <row r="357" spans="1:20" s="2867" customFormat="1" ht="36" hidden="1" customHeight="1" outlineLevel="4">
      <c r="A357" s="4416" t="s">
        <v>834</v>
      </c>
      <c r="B357" s="4416"/>
      <c r="C357" s="4416"/>
      <c r="D357" s="4416"/>
      <c r="E357" s="4416"/>
      <c r="F357" s="2875"/>
      <c r="G357" s="2876"/>
      <c r="H357" s="2877"/>
      <c r="I357" s="4418">
        <v>333.12</v>
      </c>
      <c r="J357" s="4418"/>
      <c r="K357" s="2875"/>
      <c r="L357" s="2876"/>
      <c r="M357" s="2877"/>
      <c r="N357" s="4418">
        <v>41.64</v>
      </c>
      <c r="O357" s="4418"/>
      <c r="P357" s="4418"/>
      <c r="Q357" s="2875"/>
      <c r="R357" s="2877"/>
      <c r="S357" s="4418">
        <v>374.76</v>
      </c>
      <c r="T357" s="4418"/>
    </row>
    <row r="358" spans="1:20" s="2867" customFormat="1" ht="36" hidden="1" customHeight="1" outlineLevel="4">
      <c r="A358" s="4416" t="s">
        <v>834</v>
      </c>
      <c r="B358" s="4416"/>
      <c r="C358" s="4416"/>
      <c r="D358" s="4416"/>
      <c r="E358" s="4416"/>
      <c r="F358" s="2875"/>
      <c r="G358" s="2876"/>
      <c r="H358" s="2877"/>
      <c r="I358" s="4418">
        <v>333.12</v>
      </c>
      <c r="J358" s="4418"/>
      <c r="K358" s="2875"/>
      <c r="L358" s="2876"/>
      <c r="M358" s="2877"/>
      <c r="N358" s="4418">
        <v>41.64</v>
      </c>
      <c r="O358" s="4418"/>
      <c r="P358" s="4418"/>
      <c r="Q358" s="2875"/>
      <c r="R358" s="2877"/>
      <c r="S358" s="4418">
        <v>374.76</v>
      </c>
      <c r="T358" s="4418"/>
    </row>
    <row r="359" spans="1:20" s="2867" customFormat="1" ht="36" hidden="1" customHeight="1" outlineLevel="4">
      <c r="A359" s="4416" t="s">
        <v>834</v>
      </c>
      <c r="B359" s="4416"/>
      <c r="C359" s="4416"/>
      <c r="D359" s="4416"/>
      <c r="E359" s="4416"/>
      <c r="F359" s="2875"/>
      <c r="G359" s="2876"/>
      <c r="H359" s="2877"/>
      <c r="I359" s="4418">
        <v>333.12</v>
      </c>
      <c r="J359" s="4418"/>
      <c r="K359" s="2875"/>
      <c r="L359" s="2876"/>
      <c r="M359" s="2877"/>
      <c r="N359" s="4418">
        <v>41.64</v>
      </c>
      <c r="O359" s="4418"/>
      <c r="P359" s="4418"/>
      <c r="Q359" s="2875"/>
      <c r="R359" s="2877"/>
      <c r="S359" s="4418">
        <v>374.76</v>
      </c>
      <c r="T359" s="4418"/>
    </row>
    <row r="360" spans="1:20" s="2867" customFormat="1" ht="36" hidden="1" customHeight="1" outlineLevel="4">
      <c r="A360" s="4416" t="s">
        <v>834</v>
      </c>
      <c r="B360" s="4416"/>
      <c r="C360" s="4416"/>
      <c r="D360" s="4416"/>
      <c r="E360" s="4416"/>
      <c r="F360" s="2875"/>
      <c r="G360" s="2876"/>
      <c r="H360" s="2877"/>
      <c r="I360" s="4418">
        <v>333.12</v>
      </c>
      <c r="J360" s="4418"/>
      <c r="K360" s="2875"/>
      <c r="L360" s="2876"/>
      <c r="M360" s="2877"/>
      <c r="N360" s="4418">
        <v>41.64</v>
      </c>
      <c r="O360" s="4418"/>
      <c r="P360" s="4418"/>
      <c r="Q360" s="2875"/>
      <c r="R360" s="2877"/>
      <c r="S360" s="4418">
        <v>374.76</v>
      </c>
      <c r="T360" s="4418"/>
    </row>
    <row r="361" spans="1:20" s="2867" customFormat="1" ht="36" hidden="1" customHeight="1" outlineLevel="4">
      <c r="A361" s="4416" t="s">
        <v>834</v>
      </c>
      <c r="B361" s="4416"/>
      <c r="C361" s="4416"/>
      <c r="D361" s="4416"/>
      <c r="E361" s="4416"/>
      <c r="F361" s="2875"/>
      <c r="G361" s="2876"/>
      <c r="H361" s="2877"/>
      <c r="I361" s="4418">
        <v>333.12</v>
      </c>
      <c r="J361" s="4418"/>
      <c r="K361" s="2875"/>
      <c r="L361" s="2876"/>
      <c r="M361" s="2877"/>
      <c r="N361" s="4418">
        <v>41.64</v>
      </c>
      <c r="O361" s="4418"/>
      <c r="P361" s="4418"/>
      <c r="Q361" s="2875"/>
      <c r="R361" s="2877"/>
      <c r="S361" s="4418">
        <v>374.76</v>
      </c>
      <c r="T361" s="4418"/>
    </row>
    <row r="362" spans="1:20" s="2867" customFormat="1" ht="36" hidden="1" customHeight="1" outlineLevel="4">
      <c r="A362" s="4416" t="s">
        <v>834</v>
      </c>
      <c r="B362" s="4416"/>
      <c r="C362" s="4416"/>
      <c r="D362" s="4416"/>
      <c r="E362" s="4416"/>
      <c r="F362" s="2875"/>
      <c r="G362" s="2876"/>
      <c r="H362" s="2877"/>
      <c r="I362" s="4418">
        <v>333.12</v>
      </c>
      <c r="J362" s="4418"/>
      <c r="K362" s="2875"/>
      <c r="L362" s="2876"/>
      <c r="M362" s="2877"/>
      <c r="N362" s="4418">
        <v>41.64</v>
      </c>
      <c r="O362" s="4418"/>
      <c r="P362" s="4418"/>
      <c r="Q362" s="2875"/>
      <c r="R362" s="2877"/>
      <c r="S362" s="4418">
        <v>374.76</v>
      </c>
      <c r="T362" s="4418"/>
    </row>
    <row r="363" spans="1:20" s="2867" customFormat="1" ht="36" hidden="1" customHeight="1" outlineLevel="4">
      <c r="A363" s="4416" t="s">
        <v>827</v>
      </c>
      <c r="B363" s="4416"/>
      <c r="C363" s="4416"/>
      <c r="D363" s="4416"/>
      <c r="E363" s="4416"/>
      <c r="F363" s="2875"/>
      <c r="G363" s="2876"/>
      <c r="H363" s="2877"/>
      <c r="I363" s="4417">
        <v>2548.16</v>
      </c>
      <c r="J363" s="4417"/>
      <c r="K363" s="2875"/>
      <c r="L363" s="2876"/>
      <c r="M363" s="2877"/>
      <c r="N363" s="4418">
        <v>318.52</v>
      </c>
      <c r="O363" s="4418"/>
      <c r="P363" s="4418"/>
      <c r="Q363" s="2875"/>
      <c r="R363" s="2877"/>
      <c r="S363" s="4417">
        <v>2866.68</v>
      </c>
      <c r="T363" s="4417"/>
    </row>
    <row r="364" spans="1:20" s="2867" customFormat="1" ht="36" hidden="1" customHeight="1" outlineLevel="4">
      <c r="A364" s="4416" t="s">
        <v>827</v>
      </c>
      <c r="B364" s="4416"/>
      <c r="C364" s="4416"/>
      <c r="D364" s="4416"/>
      <c r="E364" s="4416"/>
      <c r="F364" s="2875"/>
      <c r="G364" s="2876"/>
      <c r="H364" s="2877"/>
      <c r="I364" s="4417">
        <v>2548.16</v>
      </c>
      <c r="J364" s="4417"/>
      <c r="K364" s="2875"/>
      <c r="L364" s="2876"/>
      <c r="M364" s="2877"/>
      <c r="N364" s="4418">
        <v>318.52</v>
      </c>
      <c r="O364" s="4418"/>
      <c r="P364" s="4418"/>
      <c r="Q364" s="2875"/>
      <c r="R364" s="2877"/>
      <c r="S364" s="4417">
        <v>2866.68</v>
      </c>
      <c r="T364" s="4417"/>
    </row>
    <row r="365" spans="1:20" s="2867" customFormat="1" ht="36" hidden="1" customHeight="1" outlineLevel="4">
      <c r="A365" s="4416" t="s">
        <v>827</v>
      </c>
      <c r="B365" s="4416"/>
      <c r="C365" s="4416"/>
      <c r="D365" s="4416"/>
      <c r="E365" s="4416"/>
      <c r="F365" s="2875"/>
      <c r="G365" s="2876"/>
      <c r="H365" s="2877"/>
      <c r="I365" s="4417">
        <v>2548.16</v>
      </c>
      <c r="J365" s="4417"/>
      <c r="K365" s="2875"/>
      <c r="L365" s="2876"/>
      <c r="M365" s="2877"/>
      <c r="N365" s="4418">
        <v>318.52</v>
      </c>
      <c r="O365" s="4418"/>
      <c r="P365" s="4418"/>
      <c r="Q365" s="2875"/>
      <c r="R365" s="2877"/>
      <c r="S365" s="4417">
        <v>2866.68</v>
      </c>
      <c r="T365" s="4417"/>
    </row>
    <row r="366" spans="1:20" s="2867" customFormat="1" ht="36" hidden="1" customHeight="1" outlineLevel="4">
      <c r="A366" s="4416" t="s">
        <v>827</v>
      </c>
      <c r="B366" s="4416"/>
      <c r="C366" s="4416"/>
      <c r="D366" s="4416"/>
      <c r="E366" s="4416"/>
      <c r="F366" s="2875"/>
      <c r="G366" s="2876"/>
      <c r="H366" s="2877"/>
      <c r="I366" s="4417">
        <v>2548.16</v>
      </c>
      <c r="J366" s="4417"/>
      <c r="K366" s="2875"/>
      <c r="L366" s="2876"/>
      <c r="M366" s="2877"/>
      <c r="N366" s="4418">
        <v>318.52</v>
      </c>
      <c r="O366" s="4418"/>
      <c r="P366" s="4418"/>
      <c r="Q366" s="2875"/>
      <c r="R366" s="2877"/>
      <c r="S366" s="4417">
        <v>2866.68</v>
      </c>
      <c r="T366" s="4417"/>
    </row>
    <row r="367" spans="1:20" s="2867" customFormat="1" ht="36" hidden="1" customHeight="1" outlineLevel="4">
      <c r="A367" s="4416" t="s">
        <v>827</v>
      </c>
      <c r="B367" s="4416"/>
      <c r="C367" s="4416"/>
      <c r="D367" s="4416"/>
      <c r="E367" s="4416"/>
      <c r="F367" s="2875"/>
      <c r="G367" s="2876"/>
      <c r="H367" s="2877"/>
      <c r="I367" s="4417">
        <v>2548.16</v>
      </c>
      <c r="J367" s="4417"/>
      <c r="K367" s="2875"/>
      <c r="L367" s="2876"/>
      <c r="M367" s="2877"/>
      <c r="N367" s="4418">
        <v>318.52</v>
      </c>
      <c r="O367" s="4418"/>
      <c r="P367" s="4418"/>
      <c r="Q367" s="2875"/>
      <c r="R367" s="2877"/>
      <c r="S367" s="4417">
        <v>2866.68</v>
      </c>
      <c r="T367" s="4417"/>
    </row>
    <row r="368" spans="1:20" s="2867" customFormat="1" ht="36" hidden="1" customHeight="1" outlineLevel="4">
      <c r="A368" s="4416" t="s">
        <v>827</v>
      </c>
      <c r="B368" s="4416"/>
      <c r="C368" s="4416"/>
      <c r="D368" s="4416"/>
      <c r="E368" s="4416"/>
      <c r="F368" s="2875"/>
      <c r="G368" s="2876"/>
      <c r="H368" s="2877"/>
      <c r="I368" s="4417">
        <v>2548.16</v>
      </c>
      <c r="J368" s="4417"/>
      <c r="K368" s="2875"/>
      <c r="L368" s="2876"/>
      <c r="M368" s="2877"/>
      <c r="N368" s="4418">
        <v>318.52</v>
      </c>
      <c r="O368" s="4418"/>
      <c r="P368" s="4418"/>
      <c r="Q368" s="2875"/>
      <c r="R368" s="2877"/>
      <c r="S368" s="4417">
        <v>2866.68</v>
      </c>
      <c r="T368" s="4417"/>
    </row>
    <row r="369" spans="1:20" s="2867" customFormat="1" ht="36" hidden="1" customHeight="1" outlineLevel="4">
      <c r="A369" s="4416" t="s">
        <v>827</v>
      </c>
      <c r="B369" s="4416"/>
      <c r="C369" s="4416"/>
      <c r="D369" s="4416"/>
      <c r="E369" s="4416"/>
      <c r="F369" s="2875"/>
      <c r="G369" s="2876"/>
      <c r="H369" s="2877"/>
      <c r="I369" s="4417">
        <v>2548.16</v>
      </c>
      <c r="J369" s="4417"/>
      <c r="K369" s="2875"/>
      <c r="L369" s="2876"/>
      <c r="M369" s="2877"/>
      <c r="N369" s="4418">
        <v>318.52</v>
      </c>
      <c r="O369" s="4418"/>
      <c r="P369" s="4418"/>
      <c r="Q369" s="2875"/>
      <c r="R369" s="2877"/>
      <c r="S369" s="4417">
        <v>2866.68</v>
      </c>
      <c r="T369" s="4417"/>
    </row>
    <row r="370" spans="1:20" s="2867" customFormat="1" ht="36" hidden="1" customHeight="1" outlineLevel="4">
      <c r="A370" s="4416" t="s">
        <v>827</v>
      </c>
      <c r="B370" s="4416"/>
      <c r="C370" s="4416"/>
      <c r="D370" s="4416"/>
      <c r="E370" s="4416"/>
      <c r="F370" s="2875"/>
      <c r="G370" s="2876"/>
      <c r="H370" s="2877"/>
      <c r="I370" s="4417">
        <v>2548.16</v>
      </c>
      <c r="J370" s="4417"/>
      <c r="K370" s="2875"/>
      <c r="L370" s="2876"/>
      <c r="M370" s="2877"/>
      <c r="N370" s="4418">
        <v>318.52</v>
      </c>
      <c r="O370" s="4418"/>
      <c r="P370" s="4418"/>
      <c r="Q370" s="2875"/>
      <c r="R370" s="2877"/>
      <c r="S370" s="4417">
        <v>2866.68</v>
      </c>
      <c r="T370" s="4417"/>
    </row>
    <row r="371" spans="1:20" s="2867" customFormat="1" ht="36" hidden="1" customHeight="1" outlineLevel="4">
      <c r="A371" s="4416" t="s">
        <v>827</v>
      </c>
      <c r="B371" s="4416"/>
      <c r="C371" s="4416"/>
      <c r="D371" s="4416"/>
      <c r="E371" s="4416"/>
      <c r="F371" s="2875"/>
      <c r="G371" s="2876"/>
      <c r="H371" s="2877"/>
      <c r="I371" s="4417">
        <v>2548.16</v>
      </c>
      <c r="J371" s="4417"/>
      <c r="K371" s="2875"/>
      <c r="L371" s="2876"/>
      <c r="M371" s="2877"/>
      <c r="N371" s="4418">
        <v>318.52</v>
      </c>
      <c r="O371" s="4418"/>
      <c r="P371" s="4418"/>
      <c r="Q371" s="2875"/>
      <c r="R371" s="2877"/>
      <c r="S371" s="4417">
        <v>2866.68</v>
      </c>
      <c r="T371" s="4417"/>
    </row>
    <row r="372" spans="1:20" s="2867" customFormat="1" ht="36" hidden="1" customHeight="1" outlineLevel="4">
      <c r="A372" s="4416" t="s">
        <v>827</v>
      </c>
      <c r="B372" s="4416"/>
      <c r="C372" s="4416"/>
      <c r="D372" s="4416"/>
      <c r="E372" s="4416"/>
      <c r="F372" s="2875"/>
      <c r="G372" s="2876"/>
      <c r="H372" s="2877"/>
      <c r="I372" s="4417">
        <v>2548.3200000000002</v>
      </c>
      <c r="J372" s="4417"/>
      <c r="K372" s="2875"/>
      <c r="L372" s="2876"/>
      <c r="M372" s="2877"/>
      <c r="N372" s="4418">
        <v>318.54000000000002</v>
      </c>
      <c r="O372" s="4418"/>
      <c r="P372" s="4418"/>
      <c r="Q372" s="2875"/>
      <c r="R372" s="2877"/>
      <c r="S372" s="4417">
        <v>2866.86</v>
      </c>
      <c r="T372" s="4417"/>
    </row>
    <row r="373" spans="1:20" s="2867" customFormat="1" ht="36" hidden="1" customHeight="1" outlineLevel="4">
      <c r="A373" s="4416" t="s">
        <v>827</v>
      </c>
      <c r="B373" s="4416"/>
      <c r="C373" s="4416"/>
      <c r="D373" s="4416"/>
      <c r="E373" s="4416"/>
      <c r="F373" s="2875"/>
      <c r="G373" s="2876"/>
      <c r="H373" s="2877"/>
      <c r="I373" s="4417">
        <v>2548.3200000000002</v>
      </c>
      <c r="J373" s="4417"/>
      <c r="K373" s="2875"/>
      <c r="L373" s="2876"/>
      <c r="M373" s="2877"/>
      <c r="N373" s="4418">
        <v>318.54000000000002</v>
      </c>
      <c r="O373" s="4418"/>
      <c r="P373" s="4418"/>
      <c r="Q373" s="2875"/>
      <c r="R373" s="2877"/>
      <c r="S373" s="4417">
        <v>2866.86</v>
      </c>
      <c r="T373" s="4417"/>
    </row>
    <row r="374" spans="1:20" s="2867" customFormat="1" ht="36" hidden="1" customHeight="1" outlineLevel="4">
      <c r="A374" s="4416" t="s">
        <v>827</v>
      </c>
      <c r="B374" s="4416"/>
      <c r="C374" s="4416"/>
      <c r="D374" s="4416"/>
      <c r="E374" s="4416"/>
      <c r="F374" s="2875"/>
      <c r="G374" s="2876"/>
      <c r="H374" s="2877"/>
      <c r="I374" s="4417">
        <v>2548.3200000000002</v>
      </c>
      <c r="J374" s="4417"/>
      <c r="K374" s="2875"/>
      <c r="L374" s="2876"/>
      <c r="M374" s="2877"/>
      <c r="N374" s="4418">
        <v>318.54000000000002</v>
      </c>
      <c r="O374" s="4418"/>
      <c r="P374" s="4418"/>
      <c r="Q374" s="2875"/>
      <c r="R374" s="2877"/>
      <c r="S374" s="4417">
        <v>2866.86</v>
      </c>
      <c r="T374" s="4417"/>
    </row>
    <row r="375" spans="1:20" s="2867" customFormat="1" ht="36" hidden="1" customHeight="1" outlineLevel="4">
      <c r="A375" s="4416" t="s">
        <v>827</v>
      </c>
      <c r="B375" s="4416"/>
      <c r="C375" s="4416"/>
      <c r="D375" s="4416"/>
      <c r="E375" s="4416"/>
      <c r="F375" s="2875"/>
      <c r="G375" s="2876"/>
      <c r="H375" s="2877"/>
      <c r="I375" s="4417">
        <v>2548.3200000000002</v>
      </c>
      <c r="J375" s="4417"/>
      <c r="K375" s="2875"/>
      <c r="L375" s="2876"/>
      <c r="M375" s="2877"/>
      <c r="N375" s="4418">
        <v>318.54000000000002</v>
      </c>
      <c r="O375" s="4418"/>
      <c r="P375" s="4418"/>
      <c r="Q375" s="2875"/>
      <c r="R375" s="2877"/>
      <c r="S375" s="4417">
        <v>2866.86</v>
      </c>
      <c r="T375" s="4417"/>
    </row>
    <row r="376" spans="1:20" s="2867" customFormat="1" ht="36" hidden="1" customHeight="1" outlineLevel="4">
      <c r="A376" s="4416" t="s">
        <v>827</v>
      </c>
      <c r="B376" s="4416"/>
      <c r="C376" s="4416"/>
      <c r="D376" s="4416"/>
      <c r="E376" s="4416"/>
      <c r="F376" s="2875"/>
      <c r="G376" s="2876"/>
      <c r="H376" s="2877"/>
      <c r="I376" s="4417">
        <v>2548.3200000000002</v>
      </c>
      <c r="J376" s="4417"/>
      <c r="K376" s="2875"/>
      <c r="L376" s="2876"/>
      <c r="M376" s="2877"/>
      <c r="N376" s="4418">
        <v>318.54000000000002</v>
      </c>
      <c r="O376" s="4418"/>
      <c r="P376" s="4418"/>
      <c r="Q376" s="2875"/>
      <c r="R376" s="2877"/>
      <c r="S376" s="4417">
        <v>2866.86</v>
      </c>
      <c r="T376" s="4417"/>
    </row>
    <row r="377" spans="1:20" s="2867" customFormat="1" ht="36" hidden="1" customHeight="1" outlineLevel="4">
      <c r="A377" s="4416" t="s">
        <v>827</v>
      </c>
      <c r="B377" s="4416"/>
      <c r="C377" s="4416"/>
      <c r="D377" s="4416"/>
      <c r="E377" s="4416"/>
      <c r="F377" s="2875"/>
      <c r="G377" s="2876"/>
      <c r="H377" s="2877"/>
      <c r="I377" s="4417">
        <v>2548.3200000000002</v>
      </c>
      <c r="J377" s="4417"/>
      <c r="K377" s="2875"/>
      <c r="L377" s="2876"/>
      <c r="M377" s="2877"/>
      <c r="N377" s="4418">
        <v>318.54000000000002</v>
      </c>
      <c r="O377" s="4418"/>
      <c r="P377" s="4418"/>
      <c r="Q377" s="2875"/>
      <c r="R377" s="2877"/>
      <c r="S377" s="4417">
        <v>2866.86</v>
      </c>
      <c r="T377" s="4417"/>
    </row>
    <row r="378" spans="1:20" s="2867" customFormat="1" ht="36" hidden="1" customHeight="1" outlineLevel="4">
      <c r="A378" s="4416" t="s">
        <v>827</v>
      </c>
      <c r="B378" s="4416"/>
      <c r="C378" s="4416"/>
      <c r="D378" s="4416"/>
      <c r="E378" s="4416"/>
      <c r="F378" s="2875"/>
      <c r="G378" s="2876"/>
      <c r="H378" s="2877"/>
      <c r="I378" s="4417">
        <v>2548.3200000000002</v>
      </c>
      <c r="J378" s="4417"/>
      <c r="K378" s="2875"/>
      <c r="L378" s="2876"/>
      <c r="M378" s="2877"/>
      <c r="N378" s="4418">
        <v>318.54000000000002</v>
      </c>
      <c r="O378" s="4418"/>
      <c r="P378" s="4418"/>
      <c r="Q378" s="2875"/>
      <c r="R378" s="2877"/>
      <c r="S378" s="4417">
        <v>2866.86</v>
      </c>
      <c r="T378" s="4417"/>
    </row>
    <row r="379" spans="1:20" s="2867" customFormat="1" ht="36" hidden="1" customHeight="1" outlineLevel="4">
      <c r="A379" s="4416" t="s">
        <v>827</v>
      </c>
      <c r="B379" s="4416"/>
      <c r="C379" s="4416"/>
      <c r="D379" s="4416"/>
      <c r="E379" s="4416"/>
      <c r="F379" s="2875"/>
      <c r="G379" s="2876"/>
      <c r="H379" s="2877"/>
      <c r="I379" s="4417">
        <v>2548.3200000000002</v>
      </c>
      <c r="J379" s="4417"/>
      <c r="K379" s="2875"/>
      <c r="L379" s="2876"/>
      <c r="M379" s="2877"/>
      <c r="N379" s="4418">
        <v>318.54000000000002</v>
      </c>
      <c r="O379" s="4418"/>
      <c r="P379" s="4418"/>
      <c r="Q379" s="2875"/>
      <c r="R379" s="2877"/>
      <c r="S379" s="4417">
        <v>2866.86</v>
      </c>
      <c r="T379" s="4417"/>
    </row>
    <row r="380" spans="1:20" s="2867" customFormat="1" ht="36" hidden="1" customHeight="1" outlineLevel="4">
      <c r="A380" s="4416" t="s">
        <v>827</v>
      </c>
      <c r="B380" s="4416"/>
      <c r="C380" s="4416"/>
      <c r="D380" s="4416"/>
      <c r="E380" s="4416"/>
      <c r="F380" s="2875"/>
      <c r="G380" s="2876"/>
      <c r="H380" s="2877"/>
      <c r="I380" s="4417">
        <v>2548.3200000000002</v>
      </c>
      <c r="J380" s="4417"/>
      <c r="K380" s="2875"/>
      <c r="L380" s="2876"/>
      <c r="M380" s="2877"/>
      <c r="N380" s="4418">
        <v>318.54000000000002</v>
      </c>
      <c r="O380" s="4418"/>
      <c r="P380" s="4418"/>
      <c r="Q380" s="2875"/>
      <c r="R380" s="2877"/>
      <c r="S380" s="4417">
        <v>2866.86</v>
      </c>
      <c r="T380" s="4417"/>
    </row>
    <row r="381" spans="1:20" s="2867" customFormat="1" ht="36" hidden="1" customHeight="1" outlineLevel="4">
      <c r="A381" s="4416" t="s">
        <v>827</v>
      </c>
      <c r="B381" s="4416"/>
      <c r="C381" s="4416"/>
      <c r="D381" s="4416"/>
      <c r="E381" s="4416"/>
      <c r="F381" s="2875"/>
      <c r="G381" s="2876"/>
      <c r="H381" s="2877"/>
      <c r="I381" s="4417">
        <v>2548.16</v>
      </c>
      <c r="J381" s="4417"/>
      <c r="K381" s="2875"/>
      <c r="L381" s="2876"/>
      <c r="M381" s="2877"/>
      <c r="N381" s="4418">
        <v>318.52</v>
      </c>
      <c r="O381" s="4418"/>
      <c r="P381" s="4418"/>
      <c r="Q381" s="2875"/>
      <c r="R381" s="2877"/>
      <c r="S381" s="4417">
        <v>2866.68</v>
      </c>
      <c r="T381" s="4417"/>
    </row>
    <row r="382" spans="1:20" s="2867" customFormat="1" ht="36" hidden="1" customHeight="1" outlineLevel="4">
      <c r="A382" s="4416" t="s">
        <v>837</v>
      </c>
      <c r="B382" s="4416"/>
      <c r="C382" s="4416"/>
      <c r="D382" s="4416"/>
      <c r="E382" s="4416"/>
      <c r="F382" s="2875"/>
      <c r="G382" s="2876"/>
      <c r="H382" s="2877"/>
      <c r="I382" s="4418">
        <v>333.12</v>
      </c>
      <c r="J382" s="4418"/>
      <c r="K382" s="2875"/>
      <c r="L382" s="2876"/>
      <c r="M382" s="2877"/>
      <c r="N382" s="4418">
        <v>41.64</v>
      </c>
      <c r="O382" s="4418"/>
      <c r="P382" s="4418"/>
      <c r="Q382" s="2875"/>
      <c r="R382" s="2877"/>
      <c r="S382" s="4418">
        <v>374.76</v>
      </c>
      <c r="T382" s="4418"/>
    </row>
    <row r="383" spans="1:20" s="2867" customFormat="1" ht="36" hidden="1" customHeight="1" outlineLevel="4">
      <c r="A383" s="4416" t="s">
        <v>837</v>
      </c>
      <c r="B383" s="4416"/>
      <c r="C383" s="4416"/>
      <c r="D383" s="4416"/>
      <c r="E383" s="4416"/>
      <c r="F383" s="2875"/>
      <c r="G383" s="2876"/>
      <c r="H383" s="2877"/>
      <c r="I383" s="4418">
        <v>333.12</v>
      </c>
      <c r="J383" s="4418"/>
      <c r="K383" s="2875"/>
      <c r="L383" s="2876"/>
      <c r="M383" s="2877"/>
      <c r="N383" s="4418">
        <v>41.64</v>
      </c>
      <c r="O383" s="4418"/>
      <c r="P383" s="4418"/>
      <c r="Q383" s="2875"/>
      <c r="R383" s="2877"/>
      <c r="S383" s="4418">
        <v>374.76</v>
      </c>
      <c r="T383" s="4418"/>
    </row>
    <row r="384" spans="1:20" s="2867" customFormat="1" ht="36" hidden="1" customHeight="1" outlineLevel="4">
      <c r="A384" s="4416" t="s">
        <v>837</v>
      </c>
      <c r="B384" s="4416"/>
      <c r="C384" s="4416"/>
      <c r="D384" s="4416"/>
      <c r="E384" s="4416"/>
      <c r="F384" s="2875"/>
      <c r="G384" s="2876"/>
      <c r="H384" s="2877"/>
      <c r="I384" s="4418">
        <v>333.12</v>
      </c>
      <c r="J384" s="4418"/>
      <c r="K384" s="2875"/>
      <c r="L384" s="2876"/>
      <c r="M384" s="2877"/>
      <c r="N384" s="4418">
        <v>41.64</v>
      </c>
      <c r="O384" s="4418"/>
      <c r="P384" s="4418"/>
      <c r="Q384" s="2875"/>
      <c r="R384" s="2877"/>
      <c r="S384" s="4418">
        <v>374.76</v>
      </c>
      <c r="T384" s="4418"/>
    </row>
    <row r="385" spans="1:20" s="2867" customFormat="1" ht="36" hidden="1" customHeight="1" outlineLevel="4">
      <c r="A385" s="4416" t="s">
        <v>837</v>
      </c>
      <c r="B385" s="4416"/>
      <c r="C385" s="4416"/>
      <c r="D385" s="4416"/>
      <c r="E385" s="4416"/>
      <c r="F385" s="2875"/>
      <c r="G385" s="2876"/>
      <c r="H385" s="2877"/>
      <c r="I385" s="4418">
        <v>333.12</v>
      </c>
      <c r="J385" s="4418"/>
      <c r="K385" s="2875"/>
      <c r="L385" s="2876"/>
      <c r="M385" s="2877"/>
      <c r="N385" s="4418">
        <v>41.64</v>
      </c>
      <c r="O385" s="4418"/>
      <c r="P385" s="4418"/>
      <c r="Q385" s="2875"/>
      <c r="R385" s="2877"/>
      <c r="S385" s="4418">
        <v>374.76</v>
      </c>
      <c r="T385" s="4418"/>
    </row>
    <row r="386" spans="1:20" s="2867" customFormat="1" ht="36" hidden="1" customHeight="1" outlineLevel="4">
      <c r="A386" s="4416" t="s">
        <v>837</v>
      </c>
      <c r="B386" s="4416"/>
      <c r="C386" s="4416"/>
      <c r="D386" s="4416"/>
      <c r="E386" s="4416"/>
      <c r="F386" s="2875"/>
      <c r="G386" s="2876"/>
      <c r="H386" s="2877"/>
      <c r="I386" s="4418">
        <v>333.12</v>
      </c>
      <c r="J386" s="4418"/>
      <c r="K386" s="2875"/>
      <c r="L386" s="2876"/>
      <c r="M386" s="2877"/>
      <c r="N386" s="4418">
        <v>41.64</v>
      </c>
      <c r="O386" s="4418"/>
      <c r="P386" s="4418"/>
      <c r="Q386" s="2875"/>
      <c r="R386" s="2877"/>
      <c r="S386" s="4418">
        <v>374.76</v>
      </c>
      <c r="T386" s="4418"/>
    </row>
    <row r="387" spans="1:20" s="2867" customFormat="1" ht="36" hidden="1" customHeight="1" outlineLevel="4">
      <c r="A387" s="4416" t="s">
        <v>837</v>
      </c>
      <c r="B387" s="4416"/>
      <c r="C387" s="4416"/>
      <c r="D387" s="4416"/>
      <c r="E387" s="4416"/>
      <c r="F387" s="2875"/>
      <c r="G387" s="2876"/>
      <c r="H387" s="2877"/>
      <c r="I387" s="4418">
        <v>333.12</v>
      </c>
      <c r="J387" s="4418"/>
      <c r="K387" s="2875"/>
      <c r="L387" s="2876"/>
      <c r="M387" s="2877"/>
      <c r="N387" s="4418">
        <v>41.64</v>
      </c>
      <c r="O387" s="4418"/>
      <c r="P387" s="4418"/>
      <c r="Q387" s="2875"/>
      <c r="R387" s="2877"/>
      <c r="S387" s="4418">
        <v>374.76</v>
      </c>
      <c r="T387" s="4418"/>
    </row>
    <row r="388" spans="1:20" s="2867" customFormat="1" ht="36" hidden="1" customHeight="1" outlineLevel="4">
      <c r="A388" s="4416" t="s">
        <v>837</v>
      </c>
      <c r="B388" s="4416"/>
      <c r="C388" s="4416"/>
      <c r="D388" s="4416"/>
      <c r="E388" s="4416"/>
      <c r="F388" s="2875"/>
      <c r="G388" s="2876"/>
      <c r="H388" s="2877"/>
      <c r="I388" s="4418">
        <v>333.12</v>
      </c>
      <c r="J388" s="4418"/>
      <c r="K388" s="2875"/>
      <c r="L388" s="2876"/>
      <c r="M388" s="2877"/>
      <c r="N388" s="4418">
        <v>41.64</v>
      </c>
      <c r="O388" s="4418"/>
      <c r="P388" s="4418"/>
      <c r="Q388" s="2875"/>
      <c r="R388" s="2877"/>
      <c r="S388" s="4418">
        <v>374.76</v>
      </c>
      <c r="T388" s="4418"/>
    </row>
    <row r="389" spans="1:20" s="2867" customFormat="1" ht="36" hidden="1" customHeight="1" outlineLevel="4">
      <c r="A389" s="4416" t="s">
        <v>837</v>
      </c>
      <c r="B389" s="4416"/>
      <c r="C389" s="4416"/>
      <c r="D389" s="4416"/>
      <c r="E389" s="4416"/>
      <c r="F389" s="2875"/>
      <c r="G389" s="2876"/>
      <c r="H389" s="2877"/>
      <c r="I389" s="4418">
        <v>333.12</v>
      </c>
      <c r="J389" s="4418"/>
      <c r="K389" s="2875"/>
      <c r="L389" s="2876"/>
      <c r="M389" s="2877"/>
      <c r="N389" s="4418">
        <v>41.64</v>
      </c>
      <c r="O389" s="4418"/>
      <c r="P389" s="4418"/>
      <c r="Q389" s="2875"/>
      <c r="R389" s="2877"/>
      <c r="S389" s="4418">
        <v>374.76</v>
      </c>
      <c r="T389" s="4418"/>
    </row>
    <row r="390" spans="1:20" s="2867" customFormat="1" ht="36" hidden="1" customHeight="1" outlineLevel="4">
      <c r="A390" s="4416" t="s">
        <v>837</v>
      </c>
      <c r="B390" s="4416"/>
      <c r="C390" s="4416"/>
      <c r="D390" s="4416"/>
      <c r="E390" s="4416"/>
      <c r="F390" s="2875"/>
      <c r="G390" s="2876"/>
      <c r="H390" s="2877"/>
      <c r="I390" s="4418">
        <v>333.12</v>
      </c>
      <c r="J390" s="4418"/>
      <c r="K390" s="2875"/>
      <c r="L390" s="2876"/>
      <c r="M390" s="2877"/>
      <c r="N390" s="4418">
        <v>41.64</v>
      </c>
      <c r="O390" s="4418"/>
      <c r="P390" s="4418"/>
      <c r="Q390" s="2875"/>
      <c r="R390" s="2877"/>
      <c r="S390" s="4418">
        <v>374.76</v>
      </c>
      <c r="T390" s="4418"/>
    </row>
    <row r="391" spans="1:20" s="2867" customFormat="1" ht="36" hidden="1" customHeight="1" outlineLevel="4">
      <c r="A391" s="4416" t="s">
        <v>837</v>
      </c>
      <c r="B391" s="4416"/>
      <c r="C391" s="4416"/>
      <c r="D391" s="4416"/>
      <c r="E391" s="4416"/>
      <c r="F391" s="2875"/>
      <c r="G391" s="2876"/>
      <c r="H391" s="2877"/>
      <c r="I391" s="4418">
        <v>333.12</v>
      </c>
      <c r="J391" s="4418"/>
      <c r="K391" s="2875"/>
      <c r="L391" s="2876"/>
      <c r="M391" s="2877"/>
      <c r="N391" s="4418">
        <v>41.64</v>
      </c>
      <c r="O391" s="4418"/>
      <c r="P391" s="4418"/>
      <c r="Q391" s="2875"/>
      <c r="R391" s="2877"/>
      <c r="S391" s="4418">
        <v>374.76</v>
      </c>
      <c r="T391" s="4418"/>
    </row>
    <row r="392" spans="1:20" s="2867" customFormat="1" ht="36" hidden="1" customHeight="1" outlineLevel="4">
      <c r="A392" s="4416" t="s">
        <v>837</v>
      </c>
      <c r="B392" s="4416"/>
      <c r="C392" s="4416"/>
      <c r="D392" s="4416"/>
      <c r="E392" s="4416"/>
      <c r="F392" s="2875"/>
      <c r="G392" s="2876"/>
      <c r="H392" s="2877"/>
      <c r="I392" s="4418">
        <v>333.12</v>
      </c>
      <c r="J392" s="4418"/>
      <c r="K392" s="2875"/>
      <c r="L392" s="2876"/>
      <c r="M392" s="2877"/>
      <c r="N392" s="4418">
        <v>41.64</v>
      </c>
      <c r="O392" s="4418"/>
      <c r="P392" s="4418"/>
      <c r="Q392" s="2875"/>
      <c r="R392" s="2877"/>
      <c r="S392" s="4418">
        <v>374.76</v>
      </c>
      <c r="T392" s="4418"/>
    </row>
    <row r="393" spans="1:20" s="2867" customFormat="1" ht="36" hidden="1" customHeight="1" outlineLevel="4">
      <c r="A393" s="4416" t="s">
        <v>837</v>
      </c>
      <c r="B393" s="4416"/>
      <c r="C393" s="4416"/>
      <c r="D393" s="4416"/>
      <c r="E393" s="4416"/>
      <c r="F393" s="2875"/>
      <c r="G393" s="2876"/>
      <c r="H393" s="2877"/>
      <c r="I393" s="4418">
        <v>333.12</v>
      </c>
      <c r="J393" s="4418"/>
      <c r="K393" s="2875"/>
      <c r="L393" s="2876"/>
      <c r="M393" s="2877"/>
      <c r="N393" s="4418">
        <v>41.64</v>
      </c>
      <c r="O393" s="4418"/>
      <c r="P393" s="4418"/>
      <c r="Q393" s="2875"/>
      <c r="R393" s="2877"/>
      <c r="S393" s="4418">
        <v>374.76</v>
      </c>
      <c r="T393" s="4418"/>
    </row>
    <row r="394" spans="1:20" s="2867" customFormat="1" ht="36" hidden="1" customHeight="1" outlineLevel="4">
      <c r="A394" s="4416" t="s">
        <v>837</v>
      </c>
      <c r="B394" s="4416"/>
      <c r="C394" s="4416"/>
      <c r="D394" s="4416"/>
      <c r="E394" s="4416"/>
      <c r="F394" s="2875"/>
      <c r="G394" s="2876"/>
      <c r="H394" s="2877"/>
      <c r="I394" s="4418">
        <v>333.12</v>
      </c>
      <c r="J394" s="4418"/>
      <c r="K394" s="2875"/>
      <c r="L394" s="2876"/>
      <c r="M394" s="2877"/>
      <c r="N394" s="4418">
        <v>41.64</v>
      </c>
      <c r="O394" s="4418"/>
      <c r="P394" s="4418"/>
      <c r="Q394" s="2875"/>
      <c r="R394" s="2877"/>
      <c r="S394" s="4418">
        <v>374.76</v>
      </c>
      <c r="T394" s="4418"/>
    </row>
    <row r="395" spans="1:20" s="2867" customFormat="1" ht="36" hidden="1" customHeight="1" outlineLevel="4">
      <c r="A395" s="4416" t="s">
        <v>837</v>
      </c>
      <c r="B395" s="4416"/>
      <c r="C395" s="4416"/>
      <c r="D395" s="4416"/>
      <c r="E395" s="4416"/>
      <c r="F395" s="2875"/>
      <c r="G395" s="2876"/>
      <c r="H395" s="2877"/>
      <c r="I395" s="4418">
        <v>333.12</v>
      </c>
      <c r="J395" s="4418"/>
      <c r="K395" s="2875"/>
      <c r="L395" s="2876"/>
      <c r="M395" s="2877"/>
      <c r="N395" s="4418">
        <v>41.64</v>
      </c>
      <c r="O395" s="4418"/>
      <c r="P395" s="4418"/>
      <c r="Q395" s="2875"/>
      <c r="R395" s="2877"/>
      <c r="S395" s="4418">
        <v>374.76</v>
      </c>
      <c r="T395" s="4418"/>
    </row>
    <row r="396" spans="1:20" s="2867" customFormat="1" ht="36" hidden="1" customHeight="1" outlineLevel="4">
      <c r="A396" s="4416" t="s">
        <v>837</v>
      </c>
      <c r="B396" s="4416"/>
      <c r="C396" s="4416"/>
      <c r="D396" s="4416"/>
      <c r="E396" s="4416"/>
      <c r="F396" s="2875"/>
      <c r="G396" s="2876"/>
      <c r="H396" s="2877"/>
      <c r="I396" s="4418">
        <v>333.12</v>
      </c>
      <c r="J396" s="4418"/>
      <c r="K396" s="2875"/>
      <c r="L396" s="2876"/>
      <c r="M396" s="2877"/>
      <c r="N396" s="4418">
        <v>41.64</v>
      </c>
      <c r="O396" s="4418"/>
      <c r="P396" s="4418"/>
      <c r="Q396" s="2875"/>
      <c r="R396" s="2877"/>
      <c r="S396" s="4418">
        <v>374.76</v>
      </c>
      <c r="T396" s="4418"/>
    </row>
    <row r="397" spans="1:20" s="2867" customFormat="1" ht="36" hidden="1" customHeight="1" outlineLevel="4">
      <c r="A397" s="4416" t="s">
        <v>837</v>
      </c>
      <c r="B397" s="4416"/>
      <c r="C397" s="4416"/>
      <c r="D397" s="4416"/>
      <c r="E397" s="4416"/>
      <c r="F397" s="2875"/>
      <c r="G397" s="2876"/>
      <c r="H397" s="2877"/>
      <c r="I397" s="4418">
        <v>333.12</v>
      </c>
      <c r="J397" s="4418"/>
      <c r="K397" s="2875"/>
      <c r="L397" s="2876"/>
      <c r="M397" s="2877"/>
      <c r="N397" s="4418">
        <v>41.64</v>
      </c>
      <c r="O397" s="4418"/>
      <c r="P397" s="4418"/>
      <c r="Q397" s="2875"/>
      <c r="R397" s="2877"/>
      <c r="S397" s="4418">
        <v>374.76</v>
      </c>
      <c r="T397" s="4418"/>
    </row>
    <row r="398" spans="1:20" s="2867" customFormat="1" ht="36" hidden="1" customHeight="1" outlineLevel="4">
      <c r="A398" s="4416" t="s">
        <v>837</v>
      </c>
      <c r="B398" s="4416"/>
      <c r="C398" s="4416"/>
      <c r="D398" s="4416"/>
      <c r="E398" s="4416"/>
      <c r="F398" s="2875"/>
      <c r="G398" s="2876"/>
      <c r="H398" s="2877"/>
      <c r="I398" s="4418">
        <v>333.12</v>
      </c>
      <c r="J398" s="4418"/>
      <c r="K398" s="2875"/>
      <c r="L398" s="2876"/>
      <c r="M398" s="2877"/>
      <c r="N398" s="4418">
        <v>41.64</v>
      </c>
      <c r="O398" s="4418"/>
      <c r="P398" s="4418"/>
      <c r="Q398" s="2875"/>
      <c r="R398" s="2877"/>
      <c r="S398" s="4418">
        <v>374.76</v>
      </c>
      <c r="T398" s="4418"/>
    </row>
    <row r="399" spans="1:20" s="2867" customFormat="1" ht="36" hidden="1" customHeight="1" outlineLevel="4">
      <c r="A399" s="4416" t="s">
        <v>837</v>
      </c>
      <c r="B399" s="4416"/>
      <c r="C399" s="4416"/>
      <c r="D399" s="4416"/>
      <c r="E399" s="4416"/>
      <c r="F399" s="2875"/>
      <c r="G399" s="2876"/>
      <c r="H399" s="2877"/>
      <c r="I399" s="4418">
        <v>333.12</v>
      </c>
      <c r="J399" s="4418"/>
      <c r="K399" s="2875"/>
      <c r="L399" s="2876"/>
      <c r="M399" s="2877"/>
      <c r="N399" s="4418">
        <v>41.64</v>
      </c>
      <c r="O399" s="4418"/>
      <c r="P399" s="4418"/>
      <c r="Q399" s="2875"/>
      <c r="R399" s="2877"/>
      <c r="S399" s="4418">
        <v>374.76</v>
      </c>
      <c r="T399" s="4418"/>
    </row>
    <row r="400" spans="1:20" s="2867" customFormat="1" ht="36" hidden="1" customHeight="1" outlineLevel="4">
      <c r="A400" s="4416" t="s">
        <v>837</v>
      </c>
      <c r="B400" s="4416"/>
      <c r="C400" s="4416"/>
      <c r="D400" s="4416"/>
      <c r="E400" s="4416"/>
      <c r="F400" s="2875"/>
      <c r="G400" s="2876"/>
      <c r="H400" s="2877"/>
      <c r="I400" s="4418">
        <v>333.12</v>
      </c>
      <c r="J400" s="4418"/>
      <c r="K400" s="2875"/>
      <c r="L400" s="2876"/>
      <c r="M400" s="2877"/>
      <c r="N400" s="4418">
        <v>41.64</v>
      </c>
      <c r="O400" s="4418"/>
      <c r="P400" s="4418"/>
      <c r="Q400" s="2875"/>
      <c r="R400" s="2877"/>
      <c r="S400" s="4418">
        <v>374.76</v>
      </c>
      <c r="T400" s="4418"/>
    </row>
    <row r="401" spans="1:20" s="2867" customFormat="1" ht="36" hidden="1" customHeight="1" outlineLevel="4">
      <c r="A401" s="4416" t="s">
        <v>837</v>
      </c>
      <c r="B401" s="4416"/>
      <c r="C401" s="4416"/>
      <c r="D401" s="4416"/>
      <c r="E401" s="4416"/>
      <c r="F401" s="2875"/>
      <c r="G401" s="2876"/>
      <c r="H401" s="2877"/>
      <c r="I401" s="4418">
        <v>333.12</v>
      </c>
      <c r="J401" s="4418"/>
      <c r="K401" s="2875"/>
      <c r="L401" s="2876"/>
      <c r="M401" s="2877"/>
      <c r="N401" s="4418">
        <v>41.64</v>
      </c>
      <c r="O401" s="4418"/>
      <c r="P401" s="4418"/>
      <c r="Q401" s="2875"/>
      <c r="R401" s="2877"/>
      <c r="S401" s="4418">
        <v>374.76</v>
      </c>
      <c r="T401" s="4418"/>
    </row>
    <row r="402" spans="1:20" s="2867" customFormat="1" ht="36" hidden="1" customHeight="1" outlineLevel="4">
      <c r="A402" s="4416" t="s">
        <v>837</v>
      </c>
      <c r="B402" s="4416"/>
      <c r="C402" s="4416"/>
      <c r="D402" s="4416"/>
      <c r="E402" s="4416"/>
      <c r="F402" s="2875"/>
      <c r="G402" s="2876"/>
      <c r="H402" s="2877"/>
      <c r="I402" s="4418">
        <v>333.12</v>
      </c>
      <c r="J402" s="4418"/>
      <c r="K402" s="2875"/>
      <c r="L402" s="2876"/>
      <c r="M402" s="2877"/>
      <c r="N402" s="4418">
        <v>41.64</v>
      </c>
      <c r="O402" s="4418"/>
      <c r="P402" s="4418"/>
      <c r="Q402" s="2875"/>
      <c r="R402" s="2877"/>
      <c r="S402" s="4418">
        <v>374.76</v>
      </c>
      <c r="T402" s="4418"/>
    </row>
    <row r="403" spans="1:20" s="2867" customFormat="1" ht="36" hidden="1" customHeight="1" outlineLevel="4">
      <c r="A403" s="4416" t="s">
        <v>837</v>
      </c>
      <c r="B403" s="4416"/>
      <c r="C403" s="4416"/>
      <c r="D403" s="4416"/>
      <c r="E403" s="4416"/>
      <c r="F403" s="2875"/>
      <c r="G403" s="2876"/>
      <c r="H403" s="2877"/>
      <c r="I403" s="4418">
        <v>333.12</v>
      </c>
      <c r="J403" s="4418"/>
      <c r="K403" s="2875"/>
      <c r="L403" s="2876"/>
      <c r="M403" s="2877"/>
      <c r="N403" s="4418">
        <v>41.64</v>
      </c>
      <c r="O403" s="4418"/>
      <c r="P403" s="4418"/>
      <c r="Q403" s="2875"/>
      <c r="R403" s="2877"/>
      <c r="S403" s="4418">
        <v>374.76</v>
      </c>
      <c r="T403" s="4418"/>
    </row>
    <row r="404" spans="1:20" s="2867" customFormat="1" ht="36" hidden="1" customHeight="1" outlineLevel="4">
      <c r="A404" s="4416" t="s">
        <v>837</v>
      </c>
      <c r="B404" s="4416"/>
      <c r="C404" s="4416"/>
      <c r="D404" s="4416"/>
      <c r="E404" s="4416"/>
      <c r="F404" s="2875"/>
      <c r="G404" s="2876"/>
      <c r="H404" s="2877"/>
      <c r="I404" s="4418">
        <v>333.12</v>
      </c>
      <c r="J404" s="4418"/>
      <c r="K404" s="2875"/>
      <c r="L404" s="2876"/>
      <c r="M404" s="2877"/>
      <c r="N404" s="4418">
        <v>41.64</v>
      </c>
      <c r="O404" s="4418"/>
      <c r="P404" s="4418"/>
      <c r="Q404" s="2875"/>
      <c r="R404" s="2877"/>
      <c r="S404" s="4418">
        <v>374.76</v>
      </c>
      <c r="T404" s="4418"/>
    </row>
    <row r="405" spans="1:20" s="2867" customFormat="1" ht="36" hidden="1" customHeight="1" outlineLevel="4">
      <c r="A405" s="4416" t="s">
        <v>837</v>
      </c>
      <c r="B405" s="4416"/>
      <c r="C405" s="4416"/>
      <c r="D405" s="4416"/>
      <c r="E405" s="4416"/>
      <c r="F405" s="2875"/>
      <c r="G405" s="2876"/>
      <c r="H405" s="2877"/>
      <c r="I405" s="4418">
        <v>333.12</v>
      </c>
      <c r="J405" s="4418"/>
      <c r="K405" s="2875"/>
      <c r="L405" s="2876"/>
      <c r="M405" s="2877"/>
      <c r="N405" s="4418">
        <v>41.64</v>
      </c>
      <c r="O405" s="4418"/>
      <c r="P405" s="4418"/>
      <c r="Q405" s="2875"/>
      <c r="R405" s="2877"/>
      <c r="S405" s="4418">
        <v>374.76</v>
      </c>
      <c r="T405" s="4418"/>
    </row>
    <row r="406" spans="1:20" s="2867" customFormat="1" ht="36" hidden="1" customHeight="1" outlineLevel="4">
      <c r="A406" s="4416" t="s">
        <v>837</v>
      </c>
      <c r="B406" s="4416"/>
      <c r="C406" s="4416"/>
      <c r="D406" s="4416"/>
      <c r="E406" s="4416"/>
      <c r="F406" s="2875"/>
      <c r="G406" s="2876"/>
      <c r="H406" s="2877"/>
      <c r="I406" s="4418">
        <v>333.12</v>
      </c>
      <c r="J406" s="4418"/>
      <c r="K406" s="2875"/>
      <c r="L406" s="2876"/>
      <c r="M406" s="2877"/>
      <c r="N406" s="4418">
        <v>41.64</v>
      </c>
      <c r="O406" s="4418"/>
      <c r="P406" s="4418"/>
      <c r="Q406" s="2875"/>
      <c r="R406" s="2877"/>
      <c r="S406" s="4418">
        <v>374.76</v>
      </c>
      <c r="T406" s="4418"/>
    </row>
    <row r="407" spans="1:20" s="2867" customFormat="1" ht="36" hidden="1" customHeight="1" outlineLevel="4">
      <c r="A407" s="4416" t="s">
        <v>837</v>
      </c>
      <c r="B407" s="4416"/>
      <c r="C407" s="4416"/>
      <c r="D407" s="4416"/>
      <c r="E407" s="4416"/>
      <c r="F407" s="2875"/>
      <c r="G407" s="2876"/>
      <c r="H407" s="2877"/>
      <c r="I407" s="4418">
        <v>333.12</v>
      </c>
      <c r="J407" s="4418"/>
      <c r="K407" s="2875"/>
      <c r="L407" s="2876"/>
      <c r="M407" s="2877"/>
      <c r="N407" s="4418">
        <v>41.64</v>
      </c>
      <c r="O407" s="4418"/>
      <c r="P407" s="4418"/>
      <c r="Q407" s="2875"/>
      <c r="R407" s="2877"/>
      <c r="S407" s="4418">
        <v>374.76</v>
      </c>
      <c r="T407" s="4418"/>
    </row>
    <row r="408" spans="1:20" s="2867" customFormat="1" ht="36" hidden="1" customHeight="1" outlineLevel="4">
      <c r="A408" s="4416" t="s">
        <v>837</v>
      </c>
      <c r="B408" s="4416"/>
      <c r="C408" s="4416"/>
      <c r="D408" s="4416"/>
      <c r="E408" s="4416"/>
      <c r="F408" s="2875"/>
      <c r="G408" s="2876"/>
      <c r="H408" s="2877"/>
      <c r="I408" s="4418">
        <v>333.12</v>
      </c>
      <c r="J408" s="4418"/>
      <c r="K408" s="2875"/>
      <c r="L408" s="2876"/>
      <c r="M408" s="2877"/>
      <c r="N408" s="4418">
        <v>41.64</v>
      </c>
      <c r="O408" s="4418"/>
      <c r="P408" s="4418"/>
      <c r="Q408" s="2875"/>
      <c r="R408" s="2877"/>
      <c r="S408" s="4418">
        <v>374.76</v>
      </c>
      <c r="T408" s="4418"/>
    </row>
    <row r="409" spans="1:20" s="2867" customFormat="1" ht="36" hidden="1" customHeight="1" outlineLevel="4">
      <c r="A409" s="4416" t="s">
        <v>837</v>
      </c>
      <c r="B409" s="4416"/>
      <c r="C409" s="4416"/>
      <c r="D409" s="4416"/>
      <c r="E409" s="4416"/>
      <c r="F409" s="2875"/>
      <c r="G409" s="2876"/>
      <c r="H409" s="2877"/>
      <c r="I409" s="4418">
        <v>333.12</v>
      </c>
      <c r="J409" s="4418"/>
      <c r="K409" s="2875"/>
      <c r="L409" s="2876"/>
      <c r="M409" s="2877"/>
      <c r="N409" s="4418">
        <v>41.64</v>
      </c>
      <c r="O409" s="4418"/>
      <c r="P409" s="4418"/>
      <c r="Q409" s="2875"/>
      <c r="R409" s="2877"/>
      <c r="S409" s="4418">
        <v>374.76</v>
      </c>
      <c r="T409" s="4418"/>
    </row>
    <row r="410" spans="1:20" s="2867" customFormat="1" ht="36" hidden="1" customHeight="1" outlineLevel="4">
      <c r="A410" s="4416" t="s">
        <v>837</v>
      </c>
      <c r="B410" s="4416"/>
      <c r="C410" s="4416"/>
      <c r="D410" s="4416"/>
      <c r="E410" s="4416"/>
      <c r="F410" s="2875"/>
      <c r="G410" s="2876"/>
      <c r="H410" s="2877"/>
      <c r="I410" s="4418">
        <v>333.12</v>
      </c>
      <c r="J410" s="4418"/>
      <c r="K410" s="2875"/>
      <c r="L410" s="2876"/>
      <c r="M410" s="2877"/>
      <c r="N410" s="4418">
        <v>41.64</v>
      </c>
      <c r="O410" s="4418"/>
      <c r="P410" s="4418"/>
      <c r="Q410" s="2875"/>
      <c r="R410" s="2877"/>
      <c r="S410" s="4418">
        <v>374.76</v>
      </c>
      <c r="T410" s="4418"/>
    </row>
    <row r="411" spans="1:20" s="2867" customFormat="1" ht="36" hidden="1" customHeight="1" outlineLevel="4">
      <c r="A411" s="4416" t="s">
        <v>837</v>
      </c>
      <c r="B411" s="4416"/>
      <c r="C411" s="4416"/>
      <c r="D411" s="4416"/>
      <c r="E411" s="4416"/>
      <c r="F411" s="2875"/>
      <c r="G411" s="2876"/>
      <c r="H411" s="2877"/>
      <c r="I411" s="4418">
        <v>333.12</v>
      </c>
      <c r="J411" s="4418"/>
      <c r="K411" s="2875"/>
      <c r="L411" s="2876"/>
      <c r="M411" s="2877"/>
      <c r="N411" s="4418">
        <v>41.64</v>
      </c>
      <c r="O411" s="4418"/>
      <c r="P411" s="4418"/>
      <c r="Q411" s="2875"/>
      <c r="R411" s="2877"/>
      <c r="S411" s="4418">
        <v>374.76</v>
      </c>
      <c r="T411" s="4418"/>
    </row>
    <row r="412" spans="1:20" s="2867" customFormat="1" ht="36" hidden="1" customHeight="1" outlineLevel="4">
      <c r="A412" s="4416" t="s">
        <v>837</v>
      </c>
      <c r="B412" s="4416"/>
      <c r="C412" s="4416"/>
      <c r="D412" s="4416"/>
      <c r="E412" s="4416"/>
      <c r="F412" s="2875"/>
      <c r="G412" s="2876"/>
      <c r="H412" s="2877"/>
      <c r="I412" s="4418">
        <v>333.12</v>
      </c>
      <c r="J412" s="4418"/>
      <c r="K412" s="2875"/>
      <c r="L412" s="2876"/>
      <c r="M412" s="2877"/>
      <c r="N412" s="4418">
        <v>41.64</v>
      </c>
      <c r="O412" s="4418"/>
      <c r="P412" s="4418"/>
      <c r="Q412" s="2875"/>
      <c r="R412" s="2877"/>
      <c r="S412" s="4418">
        <v>374.76</v>
      </c>
      <c r="T412" s="4418"/>
    </row>
    <row r="413" spans="1:20" s="2867" customFormat="1" ht="36" hidden="1" customHeight="1" outlineLevel="4">
      <c r="A413" s="4416" t="s">
        <v>837</v>
      </c>
      <c r="B413" s="4416"/>
      <c r="C413" s="4416"/>
      <c r="D413" s="4416"/>
      <c r="E413" s="4416"/>
      <c r="F413" s="2875"/>
      <c r="G413" s="2876"/>
      <c r="H413" s="2877"/>
      <c r="I413" s="4418">
        <v>333.12</v>
      </c>
      <c r="J413" s="4418"/>
      <c r="K413" s="2875"/>
      <c r="L413" s="2876"/>
      <c r="M413" s="2877"/>
      <c r="N413" s="4418">
        <v>41.64</v>
      </c>
      <c r="O413" s="4418"/>
      <c r="P413" s="4418"/>
      <c r="Q413" s="2875"/>
      <c r="R413" s="2877"/>
      <c r="S413" s="4418">
        <v>374.76</v>
      </c>
      <c r="T413" s="4418"/>
    </row>
    <row r="414" spans="1:20" s="2867" customFormat="1" ht="36" hidden="1" customHeight="1" outlineLevel="4">
      <c r="A414" s="4416" t="s">
        <v>837</v>
      </c>
      <c r="B414" s="4416"/>
      <c r="C414" s="4416"/>
      <c r="D414" s="4416"/>
      <c r="E414" s="4416"/>
      <c r="F414" s="2875"/>
      <c r="G414" s="2876"/>
      <c r="H414" s="2877"/>
      <c r="I414" s="4418">
        <v>333.12</v>
      </c>
      <c r="J414" s="4418"/>
      <c r="K414" s="2875"/>
      <c r="L414" s="2876"/>
      <c r="M414" s="2877"/>
      <c r="N414" s="4418">
        <v>41.64</v>
      </c>
      <c r="O414" s="4418"/>
      <c r="P414" s="4418"/>
      <c r="Q414" s="2875"/>
      <c r="R414" s="2877"/>
      <c r="S414" s="4418">
        <v>374.76</v>
      </c>
      <c r="T414" s="4418"/>
    </row>
    <row r="415" spans="1:20" s="2867" customFormat="1" ht="36" hidden="1" customHeight="1" outlineLevel="4">
      <c r="A415" s="4416" t="s">
        <v>837</v>
      </c>
      <c r="B415" s="4416"/>
      <c r="C415" s="4416"/>
      <c r="D415" s="4416"/>
      <c r="E415" s="4416"/>
      <c r="F415" s="2875"/>
      <c r="G415" s="2876"/>
      <c r="H415" s="2877"/>
      <c r="I415" s="4418">
        <v>333.12</v>
      </c>
      <c r="J415" s="4418"/>
      <c r="K415" s="2875"/>
      <c r="L415" s="2876"/>
      <c r="M415" s="2877"/>
      <c r="N415" s="4418">
        <v>41.64</v>
      </c>
      <c r="O415" s="4418"/>
      <c r="P415" s="4418"/>
      <c r="Q415" s="2875"/>
      <c r="R415" s="2877"/>
      <c r="S415" s="4418">
        <v>374.76</v>
      </c>
      <c r="T415" s="4418"/>
    </row>
    <row r="416" spans="1:20" s="2867" customFormat="1" ht="36" hidden="1" customHeight="1" outlineLevel="4">
      <c r="A416" s="4416" t="s">
        <v>837</v>
      </c>
      <c r="B416" s="4416"/>
      <c r="C416" s="4416"/>
      <c r="D416" s="4416"/>
      <c r="E416" s="4416"/>
      <c r="F416" s="2875"/>
      <c r="G416" s="2876"/>
      <c r="H416" s="2877"/>
      <c r="I416" s="4418">
        <v>333.12</v>
      </c>
      <c r="J416" s="4418"/>
      <c r="K416" s="2875"/>
      <c r="L416" s="2876"/>
      <c r="M416" s="2877"/>
      <c r="N416" s="4418">
        <v>41.64</v>
      </c>
      <c r="O416" s="4418"/>
      <c r="P416" s="4418"/>
      <c r="Q416" s="2875"/>
      <c r="R416" s="2877"/>
      <c r="S416" s="4418">
        <v>374.76</v>
      </c>
      <c r="T416" s="4418"/>
    </row>
    <row r="417" spans="1:20" s="2867" customFormat="1" ht="36" hidden="1" customHeight="1" outlineLevel="4">
      <c r="A417" s="4416" t="s">
        <v>837</v>
      </c>
      <c r="B417" s="4416"/>
      <c r="C417" s="4416"/>
      <c r="D417" s="4416"/>
      <c r="E417" s="4416"/>
      <c r="F417" s="2875"/>
      <c r="G417" s="2876"/>
      <c r="H417" s="2877"/>
      <c r="I417" s="4418">
        <v>333.12</v>
      </c>
      <c r="J417" s="4418"/>
      <c r="K417" s="2875"/>
      <c r="L417" s="2876"/>
      <c r="M417" s="2877"/>
      <c r="N417" s="4418">
        <v>41.64</v>
      </c>
      <c r="O417" s="4418"/>
      <c r="P417" s="4418"/>
      <c r="Q417" s="2875"/>
      <c r="R417" s="2877"/>
      <c r="S417" s="4418">
        <v>374.76</v>
      </c>
      <c r="T417" s="4418"/>
    </row>
    <row r="418" spans="1:20" s="2867" customFormat="1" ht="36" hidden="1" customHeight="1" outlineLevel="4">
      <c r="A418" s="4416" t="s">
        <v>837</v>
      </c>
      <c r="B418" s="4416"/>
      <c r="C418" s="4416"/>
      <c r="D418" s="4416"/>
      <c r="E418" s="4416"/>
      <c r="F418" s="2875"/>
      <c r="G418" s="2876"/>
      <c r="H418" s="2877"/>
      <c r="I418" s="4418">
        <v>333.12</v>
      </c>
      <c r="J418" s="4418"/>
      <c r="K418" s="2875"/>
      <c r="L418" s="2876"/>
      <c r="M418" s="2877"/>
      <c r="N418" s="4418">
        <v>41.64</v>
      </c>
      <c r="O418" s="4418"/>
      <c r="P418" s="4418"/>
      <c r="Q418" s="2875"/>
      <c r="R418" s="2877"/>
      <c r="S418" s="4418">
        <v>374.76</v>
      </c>
      <c r="T418" s="4418"/>
    </row>
    <row r="419" spans="1:20" s="2867" customFormat="1" ht="36" hidden="1" customHeight="1" outlineLevel="4">
      <c r="A419" s="4416" t="s">
        <v>837</v>
      </c>
      <c r="B419" s="4416"/>
      <c r="C419" s="4416"/>
      <c r="D419" s="4416"/>
      <c r="E419" s="4416"/>
      <c r="F419" s="2875"/>
      <c r="G419" s="2876"/>
      <c r="H419" s="2877"/>
      <c r="I419" s="4418">
        <v>333.12</v>
      </c>
      <c r="J419" s="4418"/>
      <c r="K419" s="2875"/>
      <c r="L419" s="2876"/>
      <c r="M419" s="2877"/>
      <c r="N419" s="4418">
        <v>41.64</v>
      </c>
      <c r="O419" s="4418"/>
      <c r="P419" s="4418"/>
      <c r="Q419" s="2875"/>
      <c r="R419" s="2877"/>
      <c r="S419" s="4418">
        <v>374.76</v>
      </c>
      <c r="T419" s="4418"/>
    </row>
    <row r="420" spans="1:20" s="2867" customFormat="1" ht="36" hidden="1" customHeight="1" outlineLevel="4">
      <c r="A420" s="4416" t="s">
        <v>837</v>
      </c>
      <c r="B420" s="4416"/>
      <c r="C420" s="4416"/>
      <c r="D420" s="4416"/>
      <c r="E420" s="4416"/>
      <c r="F420" s="2875"/>
      <c r="G420" s="2876"/>
      <c r="H420" s="2877"/>
      <c r="I420" s="4418">
        <v>333.12</v>
      </c>
      <c r="J420" s="4418"/>
      <c r="K420" s="2875"/>
      <c r="L420" s="2876"/>
      <c r="M420" s="2877"/>
      <c r="N420" s="4418">
        <v>41.64</v>
      </c>
      <c r="O420" s="4418"/>
      <c r="P420" s="4418"/>
      <c r="Q420" s="2875"/>
      <c r="R420" s="2877"/>
      <c r="S420" s="4418">
        <v>374.76</v>
      </c>
      <c r="T420" s="4418"/>
    </row>
    <row r="421" spans="1:20" s="2867" customFormat="1" ht="36" hidden="1" customHeight="1" outlineLevel="4">
      <c r="A421" s="4416" t="s">
        <v>837</v>
      </c>
      <c r="B421" s="4416"/>
      <c r="C421" s="4416"/>
      <c r="D421" s="4416"/>
      <c r="E421" s="4416"/>
      <c r="F421" s="2875"/>
      <c r="G421" s="2876"/>
      <c r="H421" s="2877"/>
      <c r="I421" s="4418">
        <v>333.12</v>
      </c>
      <c r="J421" s="4418"/>
      <c r="K421" s="2875"/>
      <c r="L421" s="2876"/>
      <c r="M421" s="2877"/>
      <c r="N421" s="4418">
        <v>41.64</v>
      </c>
      <c r="O421" s="4418"/>
      <c r="P421" s="4418"/>
      <c r="Q421" s="2875"/>
      <c r="R421" s="2877"/>
      <c r="S421" s="4418">
        <v>374.76</v>
      </c>
      <c r="T421" s="4418"/>
    </row>
    <row r="422" spans="1:20" s="2867" customFormat="1" ht="36" hidden="1" customHeight="1" outlineLevel="4">
      <c r="A422" s="4416" t="s">
        <v>837</v>
      </c>
      <c r="B422" s="4416"/>
      <c r="C422" s="4416"/>
      <c r="D422" s="4416"/>
      <c r="E422" s="4416"/>
      <c r="F422" s="2875"/>
      <c r="G422" s="2876"/>
      <c r="H422" s="2877"/>
      <c r="I422" s="4418">
        <v>333.12</v>
      </c>
      <c r="J422" s="4418"/>
      <c r="K422" s="2875"/>
      <c r="L422" s="2876"/>
      <c r="M422" s="2877"/>
      <c r="N422" s="4418">
        <v>41.64</v>
      </c>
      <c r="O422" s="4418"/>
      <c r="P422" s="4418"/>
      <c r="Q422" s="2875"/>
      <c r="R422" s="2877"/>
      <c r="S422" s="4418">
        <v>374.76</v>
      </c>
      <c r="T422" s="4418"/>
    </row>
    <row r="423" spans="1:20" s="2867" customFormat="1" ht="36" hidden="1" customHeight="1" outlineLevel="4">
      <c r="A423" s="4416" t="s">
        <v>837</v>
      </c>
      <c r="B423" s="4416"/>
      <c r="C423" s="4416"/>
      <c r="D423" s="4416"/>
      <c r="E423" s="4416"/>
      <c r="F423" s="2875"/>
      <c r="G423" s="2876"/>
      <c r="H423" s="2877"/>
      <c r="I423" s="4418">
        <v>333.12</v>
      </c>
      <c r="J423" s="4418"/>
      <c r="K423" s="2875"/>
      <c r="L423" s="2876"/>
      <c r="M423" s="2877"/>
      <c r="N423" s="4418">
        <v>41.64</v>
      </c>
      <c r="O423" s="4418"/>
      <c r="P423" s="4418"/>
      <c r="Q423" s="2875"/>
      <c r="R423" s="2877"/>
      <c r="S423" s="4418">
        <v>374.76</v>
      </c>
      <c r="T423" s="4418"/>
    </row>
    <row r="424" spans="1:20" s="2867" customFormat="1" ht="36" hidden="1" customHeight="1" outlineLevel="4">
      <c r="A424" s="4416" t="s">
        <v>837</v>
      </c>
      <c r="B424" s="4416"/>
      <c r="C424" s="4416"/>
      <c r="D424" s="4416"/>
      <c r="E424" s="4416"/>
      <c r="F424" s="2875"/>
      <c r="G424" s="2876"/>
      <c r="H424" s="2877"/>
      <c r="I424" s="4418">
        <v>333.12</v>
      </c>
      <c r="J424" s="4418"/>
      <c r="K424" s="2875"/>
      <c r="L424" s="2876"/>
      <c r="M424" s="2877"/>
      <c r="N424" s="4418">
        <v>41.64</v>
      </c>
      <c r="O424" s="4418"/>
      <c r="P424" s="4418"/>
      <c r="Q424" s="2875"/>
      <c r="R424" s="2877"/>
      <c r="S424" s="4418">
        <v>374.76</v>
      </c>
      <c r="T424" s="4418"/>
    </row>
    <row r="425" spans="1:20" s="2867" customFormat="1" ht="36" hidden="1" customHeight="1" outlineLevel="4">
      <c r="A425" s="4416" t="s">
        <v>837</v>
      </c>
      <c r="B425" s="4416"/>
      <c r="C425" s="4416"/>
      <c r="D425" s="4416"/>
      <c r="E425" s="4416"/>
      <c r="F425" s="2875"/>
      <c r="G425" s="2876"/>
      <c r="H425" s="2877"/>
      <c r="I425" s="4418">
        <v>333.12</v>
      </c>
      <c r="J425" s="4418"/>
      <c r="K425" s="2875"/>
      <c r="L425" s="2876"/>
      <c r="M425" s="2877"/>
      <c r="N425" s="4418">
        <v>41.64</v>
      </c>
      <c r="O425" s="4418"/>
      <c r="P425" s="4418"/>
      <c r="Q425" s="2875"/>
      <c r="R425" s="2877"/>
      <c r="S425" s="4418">
        <v>374.76</v>
      </c>
      <c r="T425" s="4418"/>
    </row>
    <row r="426" spans="1:20" s="2867" customFormat="1" ht="36" hidden="1" customHeight="1" outlineLevel="4">
      <c r="A426" s="4416" t="s">
        <v>837</v>
      </c>
      <c r="B426" s="4416"/>
      <c r="C426" s="4416"/>
      <c r="D426" s="4416"/>
      <c r="E426" s="4416"/>
      <c r="F426" s="2875"/>
      <c r="G426" s="2876"/>
      <c r="H426" s="2877"/>
      <c r="I426" s="4418">
        <v>333.12</v>
      </c>
      <c r="J426" s="4418"/>
      <c r="K426" s="2875"/>
      <c r="L426" s="2876"/>
      <c r="M426" s="2877"/>
      <c r="N426" s="4418">
        <v>41.64</v>
      </c>
      <c r="O426" s="4418"/>
      <c r="P426" s="4418"/>
      <c r="Q426" s="2875"/>
      <c r="R426" s="2877"/>
      <c r="S426" s="4418">
        <v>374.76</v>
      </c>
      <c r="T426" s="4418"/>
    </row>
    <row r="427" spans="1:20" s="2867" customFormat="1" ht="36" hidden="1" customHeight="1" outlineLevel="4">
      <c r="A427" s="4416" t="s">
        <v>837</v>
      </c>
      <c r="B427" s="4416"/>
      <c r="C427" s="4416"/>
      <c r="D427" s="4416"/>
      <c r="E427" s="4416"/>
      <c r="F427" s="2875"/>
      <c r="G427" s="2876"/>
      <c r="H427" s="2877"/>
      <c r="I427" s="4418">
        <v>333.12</v>
      </c>
      <c r="J427" s="4418"/>
      <c r="K427" s="2875"/>
      <c r="L427" s="2876"/>
      <c r="M427" s="2877"/>
      <c r="N427" s="4418">
        <v>41.64</v>
      </c>
      <c r="O427" s="4418"/>
      <c r="P427" s="4418"/>
      <c r="Q427" s="2875"/>
      <c r="R427" s="2877"/>
      <c r="S427" s="4418">
        <v>374.76</v>
      </c>
      <c r="T427" s="4418"/>
    </row>
    <row r="428" spans="1:20" s="2867" customFormat="1" ht="36" hidden="1" customHeight="1" outlineLevel="4">
      <c r="A428" s="4416" t="s">
        <v>837</v>
      </c>
      <c r="B428" s="4416"/>
      <c r="C428" s="4416"/>
      <c r="D428" s="4416"/>
      <c r="E428" s="4416"/>
      <c r="F428" s="2875"/>
      <c r="G428" s="2876"/>
      <c r="H428" s="2877"/>
      <c r="I428" s="4418">
        <v>333.12</v>
      </c>
      <c r="J428" s="4418"/>
      <c r="K428" s="2875"/>
      <c r="L428" s="2876"/>
      <c r="M428" s="2877"/>
      <c r="N428" s="4418">
        <v>41.64</v>
      </c>
      <c r="O428" s="4418"/>
      <c r="P428" s="4418"/>
      <c r="Q428" s="2875"/>
      <c r="R428" s="2877"/>
      <c r="S428" s="4418">
        <v>374.76</v>
      </c>
      <c r="T428" s="4418"/>
    </row>
    <row r="429" spans="1:20" s="2867" customFormat="1" ht="36" hidden="1" customHeight="1" outlineLevel="4">
      <c r="A429" s="4416" t="s">
        <v>837</v>
      </c>
      <c r="B429" s="4416"/>
      <c r="C429" s="4416"/>
      <c r="D429" s="4416"/>
      <c r="E429" s="4416"/>
      <c r="F429" s="2875"/>
      <c r="G429" s="2876"/>
      <c r="H429" s="2877"/>
      <c r="I429" s="4418">
        <v>333.12</v>
      </c>
      <c r="J429" s="4418"/>
      <c r="K429" s="2875"/>
      <c r="L429" s="2876"/>
      <c r="M429" s="2877"/>
      <c r="N429" s="4418">
        <v>41.64</v>
      </c>
      <c r="O429" s="4418"/>
      <c r="P429" s="4418"/>
      <c r="Q429" s="2875"/>
      <c r="R429" s="2877"/>
      <c r="S429" s="4418">
        <v>374.76</v>
      </c>
      <c r="T429" s="4418"/>
    </row>
    <row r="430" spans="1:20" s="2867" customFormat="1" ht="36" hidden="1" customHeight="1" outlineLevel="4">
      <c r="A430" s="4416" t="s">
        <v>837</v>
      </c>
      <c r="B430" s="4416"/>
      <c r="C430" s="4416"/>
      <c r="D430" s="4416"/>
      <c r="E430" s="4416"/>
      <c r="F430" s="2875"/>
      <c r="G430" s="2876"/>
      <c r="H430" s="2877"/>
      <c r="I430" s="4418">
        <v>333.12</v>
      </c>
      <c r="J430" s="4418"/>
      <c r="K430" s="2875"/>
      <c r="L430" s="2876"/>
      <c r="M430" s="2877"/>
      <c r="N430" s="4418">
        <v>41.64</v>
      </c>
      <c r="O430" s="4418"/>
      <c r="P430" s="4418"/>
      <c r="Q430" s="2875"/>
      <c r="R430" s="2877"/>
      <c r="S430" s="4418">
        <v>374.76</v>
      </c>
      <c r="T430" s="4418"/>
    </row>
    <row r="431" spans="1:20" s="2867" customFormat="1" ht="36" hidden="1" customHeight="1" outlineLevel="4">
      <c r="A431" s="4416" t="s">
        <v>837</v>
      </c>
      <c r="B431" s="4416"/>
      <c r="C431" s="4416"/>
      <c r="D431" s="4416"/>
      <c r="E431" s="4416"/>
      <c r="F431" s="2875"/>
      <c r="G431" s="2876"/>
      <c r="H431" s="2877"/>
      <c r="I431" s="4418">
        <v>333.12</v>
      </c>
      <c r="J431" s="4418"/>
      <c r="K431" s="2875"/>
      <c r="L431" s="2876"/>
      <c r="M431" s="2877"/>
      <c r="N431" s="4418">
        <v>41.64</v>
      </c>
      <c r="O431" s="4418"/>
      <c r="P431" s="4418"/>
      <c r="Q431" s="2875"/>
      <c r="R431" s="2877"/>
      <c r="S431" s="4418">
        <v>374.76</v>
      </c>
      <c r="T431" s="4418"/>
    </row>
    <row r="432" spans="1:20" s="2867" customFormat="1" ht="36" hidden="1" customHeight="1" outlineLevel="4">
      <c r="A432" s="4416" t="s">
        <v>837</v>
      </c>
      <c r="B432" s="4416"/>
      <c r="C432" s="4416"/>
      <c r="D432" s="4416"/>
      <c r="E432" s="4416"/>
      <c r="F432" s="2875"/>
      <c r="G432" s="2876"/>
      <c r="H432" s="2877"/>
      <c r="I432" s="4418">
        <v>333.12</v>
      </c>
      <c r="J432" s="4418"/>
      <c r="K432" s="2875"/>
      <c r="L432" s="2876"/>
      <c r="M432" s="2877"/>
      <c r="N432" s="4418">
        <v>41.64</v>
      </c>
      <c r="O432" s="4418"/>
      <c r="P432" s="4418"/>
      <c r="Q432" s="2875"/>
      <c r="R432" s="2877"/>
      <c r="S432" s="4418">
        <v>374.76</v>
      </c>
      <c r="T432" s="4418"/>
    </row>
    <row r="433" spans="1:20" s="2867" customFormat="1" ht="36" hidden="1" customHeight="1" outlineLevel="4">
      <c r="A433" s="4416" t="s">
        <v>837</v>
      </c>
      <c r="B433" s="4416"/>
      <c r="C433" s="4416"/>
      <c r="D433" s="4416"/>
      <c r="E433" s="4416"/>
      <c r="F433" s="2875"/>
      <c r="G433" s="2876"/>
      <c r="H433" s="2877"/>
      <c r="I433" s="4418">
        <v>333.12</v>
      </c>
      <c r="J433" s="4418"/>
      <c r="K433" s="2875"/>
      <c r="L433" s="2876"/>
      <c r="M433" s="2877"/>
      <c r="N433" s="4418">
        <v>41.64</v>
      </c>
      <c r="O433" s="4418"/>
      <c r="P433" s="4418"/>
      <c r="Q433" s="2875"/>
      <c r="R433" s="2877"/>
      <c r="S433" s="4418">
        <v>374.76</v>
      </c>
      <c r="T433" s="4418"/>
    </row>
    <row r="434" spans="1:20" s="2867" customFormat="1" ht="36" hidden="1" customHeight="1" outlineLevel="4">
      <c r="A434" s="4416" t="s">
        <v>837</v>
      </c>
      <c r="B434" s="4416"/>
      <c r="C434" s="4416"/>
      <c r="D434" s="4416"/>
      <c r="E434" s="4416"/>
      <c r="F434" s="2875"/>
      <c r="G434" s="2876"/>
      <c r="H434" s="2877"/>
      <c r="I434" s="4418">
        <v>333.12</v>
      </c>
      <c r="J434" s="4418"/>
      <c r="K434" s="2875"/>
      <c r="L434" s="2876"/>
      <c r="M434" s="2877"/>
      <c r="N434" s="4418">
        <v>41.64</v>
      </c>
      <c r="O434" s="4418"/>
      <c r="P434" s="4418"/>
      <c r="Q434" s="2875"/>
      <c r="R434" s="2877"/>
      <c r="S434" s="4418">
        <v>374.76</v>
      </c>
      <c r="T434" s="4418"/>
    </row>
    <row r="435" spans="1:20" s="2867" customFormat="1" ht="36" hidden="1" customHeight="1" outlineLevel="4">
      <c r="A435" s="4416" t="s">
        <v>837</v>
      </c>
      <c r="B435" s="4416"/>
      <c r="C435" s="4416"/>
      <c r="D435" s="4416"/>
      <c r="E435" s="4416"/>
      <c r="F435" s="2875"/>
      <c r="G435" s="2876"/>
      <c r="H435" s="2877"/>
      <c r="I435" s="4418">
        <v>333.12</v>
      </c>
      <c r="J435" s="4418"/>
      <c r="K435" s="2875"/>
      <c r="L435" s="2876"/>
      <c r="M435" s="2877"/>
      <c r="N435" s="4418">
        <v>41.64</v>
      </c>
      <c r="O435" s="4418"/>
      <c r="P435" s="4418"/>
      <c r="Q435" s="2875"/>
      <c r="R435" s="2877"/>
      <c r="S435" s="4418">
        <v>374.76</v>
      </c>
      <c r="T435" s="4418"/>
    </row>
    <row r="436" spans="1:20" s="2867" customFormat="1" ht="36" hidden="1" customHeight="1" outlineLevel="4">
      <c r="A436" s="4416" t="s">
        <v>837</v>
      </c>
      <c r="B436" s="4416"/>
      <c r="C436" s="4416"/>
      <c r="D436" s="4416"/>
      <c r="E436" s="4416"/>
      <c r="F436" s="2875"/>
      <c r="G436" s="2876"/>
      <c r="H436" s="2877"/>
      <c r="I436" s="4418">
        <v>333.12</v>
      </c>
      <c r="J436" s="4418"/>
      <c r="K436" s="2875"/>
      <c r="L436" s="2876"/>
      <c r="M436" s="2877"/>
      <c r="N436" s="4418">
        <v>41.64</v>
      </c>
      <c r="O436" s="4418"/>
      <c r="P436" s="4418"/>
      <c r="Q436" s="2875"/>
      <c r="R436" s="2877"/>
      <c r="S436" s="4418">
        <v>374.76</v>
      </c>
      <c r="T436" s="4418"/>
    </row>
    <row r="437" spans="1:20" s="2867" customFormat="1" ht="36" hidden="1" customHeight="1" outlineLevel="4">
      <c r="A437" s="4416" t="s">
        <v>837</v>
      </c>
      <c r="B437" s="4416"/>
      <c r="C437" s="4416"/>
      <c r="D437" s="4416"/>
      <c r="E437" s="4416"/>
      <c r="F437" s="2875"/>
      <c r="G437" s="2876"/>
      <c r="H437" s="2877"/>
      <c r="I437" s="4418">
        <v>333.12</v>
      </c>
      <c r="J437" s="4418"/>
      <c r="K437" s="2875"/>
      <c r="L437" s="2876"/>
      <c r="M437" s="2877"/>
      <c r="N437" s="4418">
        <v>41.64</v>
      </c>
      <c r="O437" s="4418"/>
      <c r="P437" s="4418"/>
      <c r="Q437" s="2875"/>
      <c r="R437" s="2877"/>
      <c r="S437" s="4418">
        <v>374.76</v>
      </c>
      <c r="T437" s="4418"/>
    </row>
    <row r="438" spans="1:20" s="2867" customFormat="1" ht="36" hidden="1" customHeight="1" outlineLevel="4">
      <c r="A438" s="4416" t="s">
        <v>837</v>
      </c>
      <c r="B438" s="4416"/>
      <c r="C438" s="4416"/>
      <c r="D438" s="4416"/>
      <c r="E438" s="4416"/>
      <c r="F438" s="2875"/>
      <c r="G438" s="2876"/>
      <c r="H438" s="2877"/>
      <c r="I438" s="4418">
        <v>333.12</v>
      </c>
      <c r="J438" s="4418"/>
      <c r="K438" s="2875"/>
      <c r="L438" s="2876"/>
      <c r="M438" s="2877"/>
      <c r="N438" s="4418">
        <v>41.64</v>
      </c>
      <c r="O438" s="4418"/>
      <c r="P438" s="4418"/>
      <c r="Q438" s="2875"/>
      <c r="R438" s="2877"/>
      <c r="S438" s="4418">
        <v>374.76</v>
      </c>
      <c r="T438" s="4418"/>
    </row>
    <row r="439" spans="1:20" s="2867" customFormat="1" ht="36" hidden="1" customHeight="1" outlineLevel="4">
      <c r="A439" s="4416" t="s">
        <v>837</v>
      </c>
      <c r="B439" s="4416"/>
      <c r="C439" s="4416"/>
      <c r="D439" s="4416"/>
      <c r="E439" s="4416"/>
      <c r="F439" s="2875"/>
      <c r="G439" s="2876"/>
      <c r="H439" s="2877"/>
      <c r="I439" s="4418">
        <v>333.12</v>
      </c>
      <c r="J439" s="4418"/>
      <c r="K439" s="2875"/>
      <c r="L439" s="2876"/>
      <c r="M439" s="2877"/>
      <c r="N439" s="4418">
        <v>41.64</v>
      </c>
      <c r="O439" s="4418"/>
      <c r="P439" s="4418"/>
      <c r="Q439" s="2875"/>
      <c r="R439" s="2877"/>
      <c r="S439" s="4418">
        <v>374.76</v>
      </c>
      <c r="T439" s="4418"/>
    </row>
    <row r="440" spans="1:20" s="2867" customFormat="1" ht="36" hidden="1" customHeight="1" outlineLevel="4">
      <c r="A440" s="4416" t="s">
        <v>837</v>
      </c>
      <c r="B440" s="4416"/>
      <c r="C440" s="4416"/>
      <c r="D440" s="4416"/>
      <c r="E440" s="4416"/>
      <c r="F440" s="2875"/>
      <c r="G440" s="2876"/>
      <c r="H440" s="2877"/>
      <c r="I440" s="4418">
        <v>333.12</v>
      </c>
      <c r="J440" s="4418"/>
      <c r="K440" s="2875"/>
      <c r="L440" s="2876"/>
      <c r="M440" s="2877"/>
      <c r="N440" s="4418">
        <v>41.64</v>
      </c>
      <c r="O440" s="4418"/>
      <c r="P440" s="4418"/>
      <c r="Q440" s="2875"/>
      <c r="R440" s="2877"/>
      <c r="S440" s="4418">
        <v>374.76</v>
      </c>
      <c r="T440" s="4418"/>
    </row>
    <row r="441" spans="1:20" s="2867" customFormat="1" ht="36" hidden="1" customHeight="1" outlineLevel="4">
      <c r="A441" s="4416" t="s">
        <v>837</v>
      </c>
      <c r="B441" s="4416"/>
      <c r="C441" s="4416"/>
      <c r="D441" s="4416"/>
      <c r="E441" s="4416"/>
      <c r="F441" s="2875"/>
      <c r="G441" s="2876"/>
      <c r="H441" s="2877"/>
      <c r="I441" s="4418">
        <v>333.12</v>
      </c>
      <c r="J441" s="4418"/>
      <c r="K441" s="2875"/>
      <c r="L441" s="2876"/>
      <c r="M441" s="2877"/>
      <c r="N441" s="4418">
        <v>41.64</v>
      </c>
      <c r="O441" s="4418"/>
      <c r="P441" s="4418"/>
      <c r="Q441" s="2875"/>
      <c r="R441" s="2877"/>
      <c r="S441" s="4418">
        <v>374.76</v>
      </c>
      <c r="T441" s="4418"/>
    </row>
    <row r="442" spans="1:20" s="2867" customFormat="1" ht="36" hidden="1" customHeight="1" outlineLevel="4">
      <c r="A442" s="4416" t="s">
        <v>837</v>
      </c>
      <c r="B442" s="4416"/>
      <c r="C442" s="4416"/>
      <c r="D442" s="4416"/>
      <c r="E442" s="4416"/>
      <c r="F442" s="2875"/>
      <c r="G442" s="2876"/>
      <c r="H442" s="2877"/>
      <c r="I442" s="4418">
        <v>333.04</v>
      </c>
      <c r="J442" s="4418"/>
      <c r="K442" s="2875"/>
      <c r="L442" s="2876"/>
      <c r="M442" s="2877"/>
      <c r="N442" s="4418">
        <v>41.63</v>
      </c>
      <c r="O442" s="4418"/>
      <c r="P442" s="4418"/>
      <c r="Q442" s="2875"/>
      <c r="R442" s="2877"/>
      <c r="S442" s="4418">
        <v>374.67</v>
      </c>
      <c r="T442" s="4418"/>
    </row>
    <row r="443" spans="1:20" s="2867" customFormat="1" ht="36" hidden="1" customHeight="1" outlineLevel="4">
      <c r="A443" s="4416" t="s">
        <v>837</v>
      </c>
      <c r="B443" s="4416"/>
      <c r="C443" s="4416"/>
      <c r="D443" s="4416"/>
      <c r="E443" s="4416"/>
      <c r="F443" s="2875"/>
      <c r="G443" s="2876"/>
      <c r="H443" s="2877"/>
      <c r="I443" s="4418">
        <v>333.12</v>
      </c>
      <c r="J443" s="4418"/>
      <c r="K443" s="2875"/>
      <c r="L443" s="2876"/>
      <c r="M443" s="2877"/>
      <c r="N443" s="4418">
        <v>41.64</v>
      </c>
      <c r="O443" s="4418"/>
      <c r="P443" s="4418"/>
      <c r="Q443" s="2875"/>
      <c r="R443" s="2877"/>
      <c r="S443" s="4418">
        <v>374.76</v>
      </c>
      <c r="T443" s="4418"/>
    </row>
    <row r="444" spans="1:20" s="2867" customFormat="1" ht="36" hidden="1" customHeight="1" outlineLevel="4">
      <c r="A444" s="4416" t="s">
        <v>837</v>
      </c>
      <c r="B444" s="4416"/>
      <c r="C444" s="4416"/>
      <c r="D444" s="4416"/>
      <c r="E444" s="4416"/>
      <c r="F444" s="2875"/>
      <c r="G444" s="2876"/>
      <c r="H444" s="2877"/>
      <c r="I444" s="4418">
        <v>333.12</v>
      </c>
      <c r="J444" s="4418"/>
      <c r="K444" s="2875"/>
      <c r="L444" s="2876"/>
      <c r="M444" s="2877"/>
      <c r="N444" s="4418">
        <v>41.64</v>
      </c>
      <c r="O444" s="4418"/>
      <c r="P444" s="4418"/>
      <c r="Q444" s="2875"/>
      <c r="R444" s="2877"/>
      <c r="S444" s="4418">
        <v>374.76</v>
      </c>
      <c r="T444" s="4418"/>
    </row>
    <row r="445" spans="1:20" s="2867" customFormat="1" ht="36" hidden="1" customHeight="1" outlineLevel="4">
      <c r="A445" s="4416" t="s">
        <v>837</v>
      </c>
      <c r="B445" s="4416"/>
      <c r="C445" s="4416"/>
      <c r="D445" s="4416"/>
      <c r="E445" s="4416"/>
      <c r="F445" s="2875"/>
      <c r="G445" s="2876"/>
      <c r="H445" s="2877"/>
      <c r="I445" s="4418">
        <v>333.12</v>
      </c>
      <c r="J445" s="4418"/>
      <c r="K445" s="2875"/>
      <c r="L445" s="2876"/>
      <c r="M445" s="2877"/>
      <c r="N445" s="4418">
        <v>41.64</v>
      </c>
      <c r="O445" s="4418"/>
      <c r="P445" s="4418"/>
      <c r="Q445" s="2875"/>
      <c r="R445" s="2877"/>
      <c r="S445" s="4418">
        <v>374.76</v>
      </c>
      <c r="T445" s="4418"/>
    </row>
    <row r="446" spans="1:20" s="2867" customFormat="1" ht="36" hidden="1" customHeight="1" outlineLevel="4">
      <c r="A446" s="4416" t="s">
        <v>837</v>
      </c>
      <c r="B446" s="4416"/>
      <c r="C446" s="4416"/>
      <c r="D446" s="4416"/>
      <c r="E446" s="4416"/>
      <c r="F446" s="2875"/>
      <c r="G446" s="2876"/>
      <c r="H446" s="2877"/>
      <c r="I446" s="4418">
        <v>333.04</v>
      </c>
      <c r="J446" s="4418"/>
      <c r="K446" s="2875"/>
      <c r="L446" s="2876"/>
      <c r="M446" s="2877"/>
      <c r="N446" s="4418">
        <v>41.63</v>
      </c>
      <c r="O446" s="4418"/>
      <c r="P446" s="4418"/>
      <c r="Q446" s="2875"/>
      <c r="R446" s="2877"/>
      <c r="S446" s="4418">
        <v>374.67</v>
      </c>
      <c r="T446" s="4418"/>
    </row>
    <row r="447" spans="1:20" s="2867" customFormat="1" ht="36" hidden="1" customHeight="1" outlineLevel="4">
      <c r="A447" s="4416" t="s">
        <v>837</v>
      </c>
      <c r="B447" s="4416"/>
      <c r="C447" s="4416"/>
      <c r="D447" s="4416"/>
      <c r="E447" s="4416"/>
      <c r="F447" s="2875"/>
      <c r="G447" s="2876"/>
      <c r="H447" s="2877"/>
      <c r="I447" s="4418">
        <v>333.04</v>
      </c>
      <c r="J447" s="4418"/>
      <c r="K447" s="2875"/>
      <c r="L447" s="2876"/>
      <c r="M447" s="2877"/>
      <c r="N447" s="4418">
        <v>41.63</v>
      </c>
      <c r="O447" s="4418"/>
      <c r="P447" s="4418"/>
      <c r="Q447" s="2875"/>
      <c r="R447" s="2877"/>
      <c r="S447" s="4418">
        <v>374.67</v>
      </c>
      <c r="T447" s="4418"/>
    </row>
    <row r="448" spans="1:20" s="2867" customFormat="1" ht="36" hidden="1" customHeight="1" outlineLevel="4">
      <c r="A448" s="4416" t="s">
        <v>837</v>
      </c>
      <c r="B448" s="4416"/>
      <c r="C448" s="4416"/>
      <c r="D448" s="4416"/>
      <c r="E448" s="4416"/>
      <c r="F448" s="2875"/>
      <c r="G448" s="2876"/>
      <c r="H448" s="2877"/>
      <c r="I448" s="4418">
        <v>333.04</v>
      </c>
      <c r="J448" s="4418"/>
      <c r="K448" s="2875"/>
      <c r="L448" s="2876"/>
      <c r="M448" s="2877"/>
      <c r="N448" s="4418">
        <v>41.63</v>
      </c>
      <c r="O448" s="4418"/>
      <c r="P448" s="4418"/>
      <c r="Q448" s="2875"/>
      <c r="R448" s="2877"/>
      <c r="S448" s="4418">
        <v>374.67</v>
      </c>
      <c r="T448" s="4418"/>
    </row>
    <row r="449" spans="1:20" s="2867" customFormat="1" ht="36" hidden="1" customHeight="1" outlineLevel="4">
      <c r="A449" s="4416" t="s">
        <v>837</v>
      </c>
      <c r="B449" s="4416"/>
      <c r="C449" s="4416"/>
      <c r="D449" s="4416"/>
      <c r="E449" s="4416"/>
      <c r="F449" s="2875"/>
      <c r="G449" s="2876"/>
      <c r="H449" s="2877"/>
      <c r="I449" s="4418">
        <v>333.04</v>
      </c>
      <c r="J449" s="4418"/>
      <c r="K449" s="2875"/>
      <c r="L449" s="2876"/>
      <c r="M449" s="2877"/>
      <c r="N449" s="4418">
        <v>41.63</v>
      </c>
      <c r="O449" s="4418"/>
      <c r="P449" s="4418"/>
      <c r="Q449" s="2875"/>
      <c r="R449" s="2877"/>
      <c r="S449" s="4418">
        <v>374.67</v>
      </c>
      <c r="T449" s="4418"/>
    </row>
    <row r="450" spans="1:20" s="2867" customFormat="1" ht="36" hidden="1" customHeight="1" outlineLevel="4">
      <c r="A450" s="4416" t="s">
        <v>837</v>
      </c>
      <c r="B450" s="4416"/>
      <c r="C450" s="4416"/>
      <c r="D450" s="4416"/>
      <c r="E450" s="4416"/>
      <c r="F450" s="2875"/>
      <c r="G450" s="2876"/>
      <c r="H450" s="2877"/>
      <c r="I450" s="4418">
        <v>333.04</v>
      </c>
      <c r="J450" s="4418"/>
      <c r="K450" s="2875"/>
      <c r="L450" s="2876"/>
      <c r="M450" s="2877"/>
      <c r="N450" s="4418">
        <v>41.63</v>
      </c>
      <c r="O450" s="4418"/>
      <c r="P450" s="4418"/>
      <c r="Q450" s="2875"/>
      <c r="R450" s="2877"/>
      <c r="S450" s="4418">
        <v>374.67</v>
      </c>
      <c r="T450" s="4418"/>
    </row>
    <row r="451" spans="1:20" s="2867" customFormat="1" ht="36" hidden="1" customHeight="1" outlineLevel="4">
      <c r="A451" s="4416" t="s">
        <v>837</v>
      </c>
      <c r="B451" s="4416"/>
      <c r="C451" s="4416"/>
      <c r="D451" s="4416"/>
      <c r="E451" s="4416"/>
      <c r="F451" s="2875"/>
      <c r="G451" s="2876"/>
      <c r="H451" s="2877"/>
      <c r="I451" s="4418">
        <v>333.04</v>
      </c>
      <c r="J451" s="4418"/>
      <c r="K451" s="2875"/>
      <c r="L451" s="2876"/>
      <c r="M451" s="2877"/>
      <c r="N451" s="4418">
        <v>41.63</v>
      </c>
      <c r="O451" s="4418"/>
      <c r="P451" s="4418"/>
      <c r="Q451" s="2875"/>
      <c r="R451" s="2877"/>
      <c r="S451" s="4418">
        <v>374.67</v>
      </c>
      <c r="T451" s="4418"/>
    </row>
    <row r="452" spans="1:20" s="2867" customFormat="1" ht="36" hidden="1" customHeight="1" outlineLevel="4">
      <c r="A452" s="4416" t="s">
        <v>837</v>
      </c>
      <c r="B452" s="4416"/>
      <c r="C452" s="4416"/>
      <c r="D452" s="4416"/>
      <c r="E452" s="4416"/>
      <c r="F452" s="2875"/>
      <c r="G452" s="2876"/>
      <c r="H452" s="2877"/>
      <c r="I452" s="4418">
        <v>333.04</v>
      </c>
      <c r="J452" s="4418"/>
      <c r="K452" s="2875"/>
      <c r="L452" s="2876"/>
      <c r="M452" s="2877"/>
      <c r="N452" s="4418">
        <v>41.63</v>
      </c>
      <c r="O452" s="4418"/>
      <c r="P452" s="4418"/>
      <c r="Q452" s="2875"/>
      <c r="R452" s="2877"/>
      <c r="S452" s="4418">
        <v>374.67</v>
      </c>
      <c r="T452" s="4418"/>
    </row>
    <row r="453" spans="1:20" s="2867" customFormat="1" ht="36" hidden="1" customHeight="1" outlineLevel="4">
      <c r="A453" s="4416" t="s">
        <v>837</v>
      </c>
      <c r="B453" s="4416"/>
      <c r="C453" s="4416"/>
      <c r="D453" s="4416"/>
      <c r="E453" s="4416"/>
      <c r="F453" s="2875"/>
      <c r="G453" s="2876"/>
      <c r="H453" s="2877"/>
      <c r="I453" s="4418">
        <v>333.04</v>
      </c>
      <c r="J453" s="4418"/>
      <c r="K453" s="2875"/>
      <c r="L453" s="2876"/>
      <c r="M453" s="2877"/>
      <c r="N453" s="4418">
        <v>41.63</v>
      </c>
      <c r="O453" s="4418"/>
      <c r="P453" s="4418"/>
      <c r="Q453" s="2875"/>
      <c r="R453" s="2877"/>
      <c r="S453" s="4418">
        <v>374.67</v>
      </c>
      <c r="T453" s="4418"/>
    </row>
    <row r="454" spans="1:20" s="2867" customFormat="1" ht="36" hidden="1" customHeight="1" outlineLevel="4">
      <c r="A454" s="4416" t="s">
        <v>837</v>
      </c>
      <c r="B454" s="4416"/>
      <c r="C454" s="4416"/>
      <c r="D454" s="4416"/>
      <c r="E454" s="4416"/>
      <c r="F454" s="2875"/>
      <c r="G454" s="2876"/>
      <c r="H454" s="2877"/>
      <c r="I454" s="4418">
        <v>333.04</v>
      </c>
      <c r="J454" s="4418"/>
      <c r="K454" s="2875"/>
      <c r="L454" s="2876"/>
      <c r="M454" s="2877"/>
      <c r="N454" s="4418">
        <v>41.63</v>
      </c>
      <c r="O454" s="4418"/>
      <c r="P454" s="4418"/>
      <c r="Q454" s="2875"/>
      <c r="R454" s="2877"/>
      <c r="S454" s="4418">
        <v>374.67</v>
      </c>
      <c r="T454" s="4418"/>
    </row>
    <row r="455" spans="1:20" s="2867" customFormat="1" ht="36" hidden="1" customHeight="1" outlineLevel="4">
      <c r="A455" s="4416" t="s">
        <v>837</v>
      </c>
      <c r="B455" s="4416"/>
      <c r="C455" s="4416"/>
      <c r="D455" s="4416"/>
      <c r="E455" s="4416"/>
      <c r="F455" s="2875"/>
      <c r="G455" s="2876"/>
      <c r="H455" s="2877"/>
      <c r="I455" s="4418">
        <v>333.04</v>
      </c>
      <c r="J455" s="4418"/>
      <c r="K455" s="2875"/>
      <c r="L455" s="2876"/>
      <c r="M455" s="2877"/>
      <c r="N455" s="4418">
        <v>41.63</v>
      </c>
      <c r="O455" s="4418"/>
      <c r="P455" s="4418"/>
      <c r="Q455" s="2875"/>
      <c r="R455" s="2877"/>
      <c r="S455" s="4418">
        <v>374.67</v>
      </c>
      <c r="T455" s="4418"/>
    </row>
    <row r="456" spans="1:20" s="2867" customFormat="1" ht="36" hidden="1" customHeight="1" outlineLevel="4">
      <c r="A456" s="4416" t="s">
        <v>837</v>
      </c>
      <c r="B456" s="4416"/>
      <c r="C456" s="4416"/>
      <c r="D456" s="4416"/>
      <c r="E456" s="4416"/>
      <c r="F456" s="2875"/>
      <c r="G456" s="2876"/>
      <c r="H456" s="2877"/>
      <c r="I456" s="4418">
        <v>333.04</v>
      </c>
      <c r="J456" s="4418"/>
      <c r="K456" s="2875"/>
      <c r="L456" s="2876"/>
      <c r="M456" s="2877"/>
      <c r="N456" s="4418">
        <v>41.63</v>
      </c>
      <c r="O456" s="4418"/>
      <c r="P456" s="4418"/>
      <c r="Q456" s="2875"/>
      <c r="R456" s="2877"/>
      <c r="S456" s="4418">
        <v>374.67</v>
      </c>
      <c r="T456" s="4418"/>
    </row>
    <row r="457" spans="1:20" s="2867" customFormat="1" ht="36" hidden="1" customHeight="1" outlineLevel="4">
      <c r="A457" s="4416" t="s">
        <v>837</v>
      </c>
      <c r="B457" s="4416"/>
      <c r="C457" s="4416"/>
      <c r="D457" s="4416"/>
      <c r="E457" s="4416"/>
      <c r="F457" s="2875"/>
      <c r="G457" s="2876"/>
      <c r="H457" s="2877"/>
      <c r="I457" s="4418">
        <v>333.04</v>
      </c>
      <c r="J457" s="4418"/>
      <c r="K457" s="2875"/>
      <c r="L457" s="2876"/>
      <c r="M457" s="2877"/>
      <c r="N457" s="4418">
        <v>41.63</v>
      </c>
      <c r="O457" s="4418"/>
      <c r="P457" s="4418"/>
      <c r="Q457" s="2875"/>
      <c r="R457" s="2877"/>
      <c r="S457" s="4418">
        <v>374.67</v>
      </c>
      <c r="T457" s="4418"/>
    </row>
    <row r="458" spans="1:20" s="2867" customFormat="1" ht="36" hidden="1" customHeight="1" outlineLevel="4">
      <c r="A458" s="4416" t="s">
        <v>837</v>
      </c>
      <c r="B458" s="4416"/>
      <c r="C458" s="4416"/>
      <c r="D458" s="4416"/>
      <c r="E458" s="4416"/>
      <c r="F458" s="2875"/>
      <c r="G458" s="2876"/>
      <c r="H458" s="2877"/>
      <c r="I458" s="4418">
        <v>333.04</v>
      </c>
      <c r="J458" s="4418"/>
      <c r="K458" s="2875"/>
      <c r="L458" s="2876"/>
      <c r="M458" s="2877"/>
      <c r="N458" s="4418">
        <v>41.63</v>
      </c>
      <c r="O458" s="4418"/>
      <c r="P458" s="4418"/>
      <c r="Q458" s="2875"/>
      <c r="R458" s="2877"/>
      <c r="S458" s="4418">
        <v>374.67</v>
      </c>
      <c r="T458" s="4418"/>
    </row>
    <row r="459" spans="1:20" s="2867" customFormat="1" ht="36" hidden="1" customHeight="1" outlineLevel="4">
      <c r="A459" s="4416" t="s">
        <v>837</v>
      </c>
      <c r="B459" s="4416"/>
      <c r="C459" s="4416"/>
      <c r="D459" s="4416"/>
      <c r="E459" s="4416"/>
      <c r="F459" s="2875"/>
      <c r="G459" s="2876"/>
      <c r="H459" s="2877"/>
      <c r="I459" s="4418">
        <v>333.04</v>
      </c>
      <c r="J459" s="4418"/>
      <c r="K459" s="2875"/>
      <c r="L459" s="2876"/>
      <c r="M459" s="2877"/>
      <c r="N459" s="4418">
        <v>41.63</v>
      </c>
      <c r="O459" s="4418"/>
      <c r="P459" s="4418"/>
      <c r="Q459" s="2875"/>
      <c r="R459" s="2877"/>
      <c r="S459" s="4418">
        <v>374.67</v>
      </c>
      <c r="T459" s="4418"/>
    </row>
    <row r="460" spans="1:20" s="2867" customFormat="1" ht="36" hidden="1" customHeight="1" outlineLevel="4">
      <c r="A460" s="4416" t="s">
        <v>837</v>
      </c>
      <c r="B460" s="4416"/>
      <c r="C460" s="4416"/>
      <c r="D460" s="4416"/>
      <c r="E460" s="4416"/>
      <c r="F460" s="2875"/>
      <c r="G460" s="2876"/>
      <c r="H460" s="2877"/>
      <c r="I460" s="4418">
        <v>333.04</v>
      </c>
      <c r="J460" s="4418"/>
      <c r="K460" s="2875"/>
      <c r="L460" s="2876"/>
      <c r="M460" s="2877"/>
      <c r="N460" s="4418">
        <v>41.63</v>
      </c>
      <c r="O460" s="4418"/>
      <c r="P460" s="4418"/>
      <c r="Q460" s="2875"/>
      <c r="R460" s="2877"/>
      <c r="S460" s="4418">
        <v>374.67</v>
      </c>
      <c r="T460" s="4418"/>
    </row>
    <row r="461" spans="1:20" s="2867" customFormat="1" ht="36" hidden="1" customHeight="1" outlineLevel="4">
      <c r="A461" s="4416" t="s">
        <v>837</v>
      </c>
      <c r="B461" s="4416"/>
      <c r="C461" s="4416"/>
      <c r="D461" s="4416"/>
      <c r="E461" s="4416"/>
      <c r="F461" s="2875"/>
      <c r="G461" s="2876"/>
      <c r="H461" s="2877"/>
      <c r="I461" s="4418">
        <v>333.04</v>
      </c>
      <c r="J461" s="4418"/>
      <c r="K461" s="2875"/>
      <c r="L461" s="2876"/>
      <c r="M461" s="2877"/>
      <c r="N461" s="4418">
        <v>41.63</v>
      </c>
      <c r="O461" s="4418"/>
      <c r="P461" s="4418"/>
      <c r="Q461" s="2875"/>
      <c r="R461" s="2877"/>
      <c r="S461" s="4418">
        <v>374.67</v>
      </c>
      <c r="T461" s="4418"/>
    </row>
    <row r="462" spans="1:20" s="2867" customFormat="1" ht="36" hidden="1" customHeight="1" outlineLevel="4">
      <c r="A462" s="4416" t="s">
        <v>837</v>
      </c>
      <c r="B462" s="4416"/>
      <c r="C462" s="4416"/>
      <c r="D462" s="4416"/>
      <c r="E462" s="4416"/>
      <c r="F462" s="2875"/>
      <c r="G462" s="2876"/>
      <c r="H462" s="2877"/>
      <c r="I462" s="4418">
        <v>333.04</v>
      </c>
      <c r="J462" s="4418"/>
      <c r="K462" s="2875"/>
      <c r="L462" s="2876"/>
      <c r="M462" s="2877"/>
      <c r="N462" s="4418">
        <v>41.63</v>
      </c>
      <c r="O462" s="4418"/>
      <c r="P462" s="4418"/>
      <c r="Q462" s="2875"/>
      <c r="R462" s="2877"/>
      <c r="S462" s="4418">
        <v>374.67</v>
      </c>
      <c r="T462" s="4418"/>
    </row>
    <row r="463" spans="1:20" s="2867" customFormat="1" ht="36" hidden="1" customHeight="1" outlineLevel="4">
      <c r="A463" s="4416" t="s">
        <v>837</v>
      </c>
      <c r="B463" s="4416"/>
      <c r="C463" s="4416"/>
      <c r="D463" s="4416"/>
      <c r="E463" s="4416"/>
      <c r="F463" s="2875"/>
      <c r="G463" s="2876"/>
      <c r="H463" s="2877"/>
      <c r="I463" s="4418">
        <v>333.04</v>
      </c>
      <c r="J463" s="4418"/>
      <c r="K463" s="2875"/>
      <c r="L463" s="2876"/>
      <c r="M463" s="2877"/>
      <c r="N463" s="4418">
        <v>41.63</v>
      </c>
      <c r="O463" s="4418"/>
      <c r="P463" s="4418"/>
      <c r="Q463" s="2875"/>
      <c r="R463" s="2877"/>
      <c r="S463" s="4418">
        <v>374.67</v>
      </c>
      <c r="T463" s="4418"/>
    </row>
    <row r="464" spans="1:20" s="2867" customFormat="1" ht="36" hidden="1" customHeight="1" outlineLevel="4">
      <c r="A464" s="4416" t="s">
        <v>837</v>
      </c>
      <c r="B464" s="4416"/>
      <c r="C464" s="4416"/>
      <c r="D464" s="4416"/>
      <c r="E464" s="4416"/>
      <c r="F464" s="2875"/>
      <c r="G464" s="2876"/>
      <c r="H464" s="2877"/>
      <c r="I464" s="4418">
        <v>333.04</v>
      </c>
      <c r="J464" s="4418"/>
      <c r="K464" s="2875"/>
      <c r="L464" s="2876"/>
      <c r="M464" s="2877"/>
      <c r="N464" s="4418">
        <v>41.63</v>
      </c>
      <c r="O464" s="4418"/>
      <c r="P464" s="4418"/>
      <c r="Q464" s="2875"/>
      <c r="R464" s="2877"/>
      <c r="S464" s="4418">
        <v>374.67</v>
      </c>
      <c r="T464" s="4418"/>
    </row>
    <row r="465" spans="1:20" s="2867" customFormat="1" ht="36" hidden="1" customHeight="1" outlineLevel="4">
      <c r="A465" s="4416" t="s">
        <v>837</v>
      </c>
      <c r="B465" s="4416"/>
      <c r="C465" s="4416"/>
      <c r="D465" s="4416"/>
      <c r="E465" s="4416"/>
      <c r="F465" s="2875"/>
      <c r="G465" s="2876"/>
      <c r="H465" s="2877"/>
      <c r="I465" s="4418">
        <v>333.04</v>
      </c>
      <c r="J465" s="4418"/>
      <c r="K465" s="2875"/>
      <c r="L465" s="2876"/>
      <c r="M465" s="2877"/>
      <c r="N465" s="4418">
        <v>41.63</v>
      </c>
      <c r="O465" s="4418"/>
      <c r="P465" s="4418"/>
      <c r="Q465" s="2875"/>
      <c r="R465" s="2877"/>
      <c r="S465" s="4418">
        <v>374.67</v>
      </c>
      <c r="T465" s="4418"/>
    </row>
    <row r="466" spans="1:20" s="2867" customFormat="1" ht="36" hidden="1" customHeight="1" outlineLevel="4">
      <c r="A466" s="4416" t="s">
        <v>837</v>
      </c>
      <c r="B466" s="4416"/>
      <c r="C466" s="4416"/>
      <c r="D466" s="4416"/>
      <c r="E466" s="4416"/>
      <c r="F466" s="2875"/>
      <c r="G466" s="2876"/>
      <c r="H466" s="2877"/>
      <c r="I466" s="4418">
        <v>333.04</v>
      </c>
      <c r="J466" s="4418"/>
      <c r="K466" s="2875"/>
      <c r="L466" s="2876"/>
      <c r="M466" s="2877"/>
      <c r="N466" s="4418">
        <v>41.63</v>
      </c>
      <c r="O466" s="4418"/>
      <c r="P466" s="4418"/>
      <c r="Q466" s="2875"/>
      <c r="R466" s="2877"/>
      <c r="S466" s="4418">
        <v>374.67</v>
      </c>
      <c r="T466" s="4418"/>
    </row>
    <row r="467" spans="1:20" s="2867" customFormat="1" ht="36" hidden="1" customHeight="1" outlineLevel="4">
      <c r="A467" s="4416" t="s">
        <v>837</v>
      </c>
      <c r="B467" s="4416"/>
      <c r="C467" s="4416"/>
      <c r="D467" s="4416"/>
      <c r="E467" s="4416"/>
      <c r="F467" s="2875"/>
      <c r="G467" s="2876"/>
      <c r="H467" s="2877"/>
      <c r="I467" s="4418">
        <v>333.04</v>
      </c>
      <c r="J467" s="4418"/>
      <c r="K467" s="2875"/>
      <c r="L467" s="2876"/>
      <c r="M467" s="2877"/>
      <c r="N467" s="4418">
        <v>41.63</v>
      </c>
      <c r="O467" s="4418"/>
      <c r="P467" s="4418"/>
      <c r="Q467" s="2875"/>
      <c r="R467" s="2877"/>
      <c r="S467" s="4418">
        <v>374.67</v>
      </c>
      <c r="T467" s="4418"/>
    </row>
    <row r="468" spans="1:20" s="2867" customFormat="1" ht="36" hidden="1" customHeight="1" outlineLevel="4">
      <c r="A468" s="4416" t="s">
        <v>837</v>
      </c>
      <c r="B468" s="4416"/>
      <c r="C468" s="4416"/>
      <c r="D468" s="4416"/>
      <c r="E468" s="4416"/>
      <c r="F468" s="2875"/>
      <c r="G468" s="2876"/>
      <c r="H468" s="2877"/>
      <c r="I468" s="4418">
        <v>333.04</v>
      </c>
      <c r="J468" s="4418"/>
      <c r="K468" s="2875"/>
      <c r="L468" s="2876"/>
      <c r="M468" s="2877"/>
      <c r="N468" s="4418">
        <v>41.63</v>
      </c>
      <c r="O468" s="4418"/>
      <c r="P468" s="4418"/>
      <c r="Q468" s="2875"/>
      <c r="R468" s="2877"/>
      <c r="S468" s="4418">
        <v>374.67</v>
      </c>
      <c r="T468" s="4418"/>
    </row>
    <row r="469" spans="1:20" s="2867" customFormat="1" ht="36" hidden="1" customHeight="1" outlineLevel="4">
      <c r="A469" s="4416" t="s">
        <v>837</v>
      </c>
      <c r="B469" s="4416"/>
      <c r="C469" s="4416"/>
      <c r="D469" s="4416"/>
      <c r="E469" s="4416"/>
      <c r="F469" s="2875"/>
      <c r="G469" s="2876"/>
      <c r="H469" s="2877"/>
      <c r="I469" s="4418">
        <v>333.04</v>
      </c>
      <c r="J469" s="4418"/>
      <c r="K469" s="2875"/>
      <c r="L469" s="2876"/>
      <c r="M469" s="2877"/>
      <c r="N469" s="4418">
        <v>41.63</v>
      </c>
      <c r="O469" s="4418"/>
      <c r="P469" s="4418"/>
      <c r="Q469" s="2875"/>
      <c r="R469" s="2877"/>
      <c r="S469" s="4418">
        <v>374.67</v>
      </c>
      <c r="T469" s="4418"/>
    </row>
    <row r="470" spans="1:20" s="2867" customFormat="1" ht="36" hidden="1" customHeight="1" outlineLevel="4">
      <c r="A470" s="4416" t="s">
        <v>837</v>
      </c>
      <c r="B470" s="4416"/>
      <c r="C470" s="4416"/>
      <c r="D470" s="4416"/>
      <c r="E470" s="4416"/>
      <c r="F470" s="2875"/>
      <c r="G470" s="2876"/>
      <c r="H470" s="2877"/>
      <c r="I470" s="4418">
        <v>333.04</v>
      </c>
      <c r="J470" s="4418"/>
      <c r="K470" s="2875"/>
      <c r="L470" s="2876"/>
      <c r="M470" s="2877"/>
      <c r="N470" s="4418">
        <v>41.63</v>
      </c>
      <c r="O470" s="4418"/>
      <c r="P470" s="4418"/>
      <c r="Q470" s="2875"/>
      <c r="R470" s="2877"/>
      <c r="S470" s="4418">
        <v>374.67</v>
      </c>
      <c r="T470" s="4418"/>
    </row>
    <row r="471" spans="1:20" s="2867" customFormat="1" ht="36" hidden="1" customHeight="1" outlineLevel="4">
      <c r="A471" s="4416" t="s">
        <v>837</v>
      </c>
      <c r="B471" s="4416"/>
      <c r="C471" s="4416"/>
      <c r="D471" s="4416"/>
      <c r="E471" s="4416"/>
      <c r="F471" s="2875"/>
      <c r="G471" s="2876"/>
      <c r="H471" s="2877"/>
      <c r="I471" s="4418">
        <v>333.04</v>
      </c>
      <c r="J471" s="4418"/>
      <c r="K471" s="2875"/>
      <c r="L471" s="2876"/>
      <c r="M471" s="2877"/>
      <c r="N471" s="4418">
        <v>41.63</v>
      </c>
      <c r="O471" s="4418"/>
      <c r="P471" s="4418"/>
      <c r="Q471" s="2875"/>
      <c r="R471" s="2877"/>
      <c r="S471" s="4418">
        <v>374.67</v>
      </c>
      <c r="T471" s="4418"/>
    </row>
    <row r="472" spans="1:20" s="2867" customFormat="1" ht="36" hidden="1" customHeight="1" outlineLevel="4">
      <c r="A472" s="4416" t="s">
        <v>837</v>
      </c>
      <c r="B472" s="4416"/>
      <c r="C472" s="4416"/>
      <c r="D472" s="4416"/>
      <c r="E472" s="4416"/>
      <c r="F472" s="2875"/>
      <c r="G472" s="2876"/>
      <c r="H472" s="2877"/>
      <c r="I472" s="4418">
        <v>333.04</v>
      </c>
      <c r="J472" s="4418"/>
      <c r="K472" s="2875"/>
      <c r="L472" s="2876"/>
      <c r="M472" s="2877"/>
      <c r="N472" s="4418">
        <v>41.63</v>
      </c>
      <c r="O472" s="4418"/>
      <c r="P472" s="4418"/>
      <c r="Q472" s="2875"/>
      <c r="R472" s="2877"/>
      <c r="S472" s="4418">
        <v>374.67</v>
      </c>
      <c r="T472" s="4418"/>
    </row>
    <row r="473" spans="1:20" s="2867" customFormat="1" ht="36" hidden="1" customHeight="1" outlineLevel="4">
      <c r="A473" s="4416" t="s">
        <v>837</v>
      </c>
      <c r="B473" s="4416"/>
      <c r="C473" s="4416"/>
      <c r="D473" s="4416"/>
      <c r="E473" s="4416"/>
      <c r="F473" s="2875"/>
      <c r="G473" s="2876"/>
      <c r="H473" s="2877"/>
      <c r="I473" s="4418">
        <v>333.04</v>
      </c>
      <c r="J473" s="4418"/>
      <c r="K473" s="2875"/>
      <c r="L473" s="2876"/>
      <c r="M473" s="2877"/>
      <c r="N473" s="4418">
        <v>41.63</v>
      </c>
      <c r="O473" s="4418"/>
      <c r="P473" s="4418"/>
      <c r="Q473" s="2875"/>
      <c r="R473" s="2877"/>
      <c r="S473" s="4418">
        <v>374.67</v>
      </c>
      <c r="T473" s="4418"/>
    </row>
    <row r="474" spans="1:20" s="2867" customFormat="1" ht="36" hidden="1" customHeight="1" outlineLevel="4">
      <c r="A474" s="4416" t="s">
        <v>837</v>
      </c>
      <c r="B474" s="4416"/>
      <c r="C474" s="4416"/>
      <c r="D474" s="4416"/>
      <c r="E474" s="4416"/>
      <c r="F474" s="2875"/>
      <c r="G474" s="2876"/>
      <c r="H474" s="2877"/>
      <c r="I474" s="4418">
        <v>333.04</v>
      </c>
      <c r="J474" s="4418"/>
      <c r="K474" s="2875"/>
      <c r="L474" s="2876"/>
      <c r="M474" s="2877"/>
      <c r="N474" s="4418">
        <v>41.63</v>
      </c>
      <c r="O474" s="4418"/>
      <c r="P474" s="4418"/>
      <c r="Q474" s="2875"/>
      <c r="R474" s="2877"/>
      <c r="S474" s="4418">
        <v>374.67</v>
      </c>
      <c r="T474" s="4418"/>
    </row>
    <row r="475" spans="1:20" s="2867" customFormat="1" ht="36" hidden="1" customHeight="1" outlineLevel="4">
      <c r="A475" s="4416" t="s">
        <v>837</v>
      </c>
      <c r="B475" s="4416"/>
      <c r="C475" s="4416"/>
      <c r="D475" s="4416"/>
      <c r="E475" s="4416"/>
      <c r="F475" s="2875"/>
      <c r="G475" s="2876"/>
      <c r="H475" s="2877"/>
      <c r="I475" s="4418">
        <v>333.04</v>
      </c>
      <c r="J475" s="4418"/>
      <c r="K475" s="2875"/>
      <c r="L475" s="2876"/>
      <c r="M475" s="2877"/>
      <c r="N475" s="4418">
        <v>41.63</v>
      </c>
      <c r="O475" s="4418"/>
      <c r="P475" s="4418"/>
      <c r="Q475" s="2875"/>
      <c r="R475" s="2877"/>
      <c r="S475" s="4418">
        <v>374.67</v>
      </c>
      <c r="T475" s="4418"/>
    </row>
    <row r="476" spans="1:20" s="2867" customFormat="1" ht="36" hidden="1" customHeight="1" outlineLevel="4">
      <c r="A476" s="4416" t="s">
        <v>837</v>
      </c>
      <c r="B476" s="4416"/>
      <c r="C476" s="4416"/>
      <c r="D476" s="4416"/>
      <c r="E476" s="4416"/>
      <c r="F476" s="2875"/>
      <c r="G476" s="2876"/>
      <c r="H476" s="2877"/>
      <c r="I476" s="4418">
        <v>333.04</v>
      </c>
      <c r="J476" s="4418"/>
      <c r="K476" s="2875"/>
      <c r="L476" s="2876"/>
      <c r="M476" s="2877"/>
      <c r="N476" s="4418">
        <v>41.63</v>
      </c>
      <c r="O476" s="4418"/>
      <c r="P476" s="4418"/>
      <c r="Q476" s="2875"/>
      <c r="R476" s="2877"/>
      <c r="S476" s="4418">
        <v>374.67</v>
      </c>
      <c r="T476" s="4418"/>
    </row>
    <row r="477" spans="1:20" s="2867" customFormat="1" ht="36" hidden="1" customHeight="1" outlineLevel="4">
      <c r="A477" s="4416" t="s">
        <v>837</v>
      </c>
      <c r="B477" s="4416"/>
      <c r="C477" s="4416"/>
      <c r="D477" s="4416"/>
      <c r="E477" s="4416"/>
      <c r="F477" s="2875"/>
      <c r="G477" s="2876"/>
      <c r="H477" s="2877"/>
      <c r="I477" s="4418">
        <v>333.04</v>
      </c>
      <c r="J477" s="4418"/>
      <c r="K477" s="2875"/>
      <c r="L477" s="2876"/>
      <c r="M477" s="2877"/>
      <c r="N477" s="4418">
        <v>41.63</v>
      </c>
      <c r="O477" s="4418"/>
      <c r="P477" s="4418"/>
      <c r="Q477" s="2875"/>
      <c r="R477" s="2877"/>
      <c r="S477" s="4418">
        <v>374.67</v>
      </c>
      <c r="T477" s="4418"/>
    </row>
    <row r="478" spans="1:20" s="2867" customFormat="1" ht="36" hidden="1" customHeight="1" outlineLevel="4">
      <c r="A478" s="4416" t="s">
        <v>837</v>
      </c>
      <c r="B478" s="4416"/>
      <c r="C478" s="4416"/>
      <c r="D478" s="4416"/>
      <c r="E478" s="4416"/>
      <c r="F478" s="2875"/>
      <c r="G478" s="2876"/>
      <c r="H478" s="2877"/>
      <c r="I478" s="4418">
        <v>333.04</v>
      </c>
      <c r="J478" s="4418"/>
      <c r="K478" s="2875"/>
      <c r="L478" s="2876"/>
      <c r="M478" s="2877"/>
      <c r="N478" s="4418">
        <v>41.63</v>
      </c>
      <c r="O478" s="4418"/>
      <c r="P478" s="4418"/>
      <c r="Q478" s="2875"/>
      <c r="R478" s="2877"/>
      <c r="S478" s="4418">
        <v>374.67</v>
      </c>
      <c r="T478" s="4418"/>
    </row>
    <row r="479" spans="1:20" s="2867" customFormat="1" ht="36" hidden="1" customHeight="1" outlineLevel="4">
      <c r="A479" s="4416" t="s">
        <v>837</v>
      </c>
      <c r="B479" s="4416"/>
      <c r="C479" s="4416"/>
      <c r="D479" s="4416"/>
      <c r="E479" s="4416"/>
      <c r="F479" s="2875"/>
      <c r="G479" s="2876"/>
      <c r="H479" s="2877"/>
      <c r="I479" s="4418">
        <v>333.04</v>
      </c>
      <c r="J479" s="4418"/>
      <c r="K479" s="2875"/>
      <c r="L479" s="2876"/>
      <c r="M479" s="2877"/>
      <c r="N479" s="4418">
        <v>41.63</v>
      </c>
      <c r="O479" s="4418"/>
      <c r="P479" s="4418"/>
      <c r="Q479" s="2875"/>
      <c r="R479" s="2877"/>
      <c r="S479" s="4418">
        <v>374.67</v>
      </c>
      <c r="T479" s="4418"/>
    </row>
    <row r="480" spans="1:20" s="2867" customFormat="1" ht="36" hidden="1" customHeight="1" outlineLevel="4">
      <c r="A480" s="4416" t="s">
        <v>837</v>
      </c>
      <c r="B480" s="4416"/>
      <c r="C480" s="4416"/>
      <c r="D480" s="4416"/>
      <c r="E480" s="4416"/>
      <c r="F480" s="2875"/>
      <c r="G480" s="2876"/>
      <c r="H480" s="2877"/>
      <c r="I480" s="4418">
        <v>333.04</v>
      </c>
      <c r="J480" s="4418"/>
      <c r="K480" s="2875"/>
      <c r="L480" s="2876"/>
      <c r="M480" s="2877"/>
      <c r="N480" s="4418">
        <v>41.63</v>
      </c>
      <c r="O480" s="4418"/>
      <c r="P480" s="4418"/>
      <c r="Q480" s="2875"/>
      <c r="R480" s="2877"/>
      <c r="S480" s="4418">
        <v>374.67</v>
      </c>
      <c r="T480" s="4418"/>
    </row>
    <row r="481" spans="1:20" s="2867" customFormat="1" ht="36" hidden="1" customHeight="1" outlineLevel="4">
      <c r="A481" s="4416" t="s">
        <v>837</v>
      </c>
      <c r="B481" s="4416"/>
      <c r="C481" s="4416"/>
      <c r="D481" s="4416"/>
      <c r="E481" s="4416"/>
      <c r="F481" s="2875"/>
      <c r="G481" s="2876"/>
      <c r="H481" s="2877"/>
      <c r="I481" s="4418">
        <v>333.04</v>
      </c>
      <c r="J481" s="4418"/>
      <c r="K481" s="2875"/>
      <c r="L481" s="2876"/>
      <c r="M481" s="2877"/>
      <c r="N481" s="4418">
        <v>41.63</v>
      </c>
      <c r="O481" s="4418"/>
      <c r="P481" s="4418"/>
      <c r="Q481" s="2875"/>
      <c r="R481" s="2877"/>
      <c r="S481" s="4418">
        <v>374.67</v>
      </c>
      <c r="T481" s="4418"/>
    </row>
    <row r="482" spans="1:20" s="2867" customFormat="1" ht="36" hidden="1" customHeight="1" outlineLevel="4">
      <c r="A482" s="4416" t="s">
        <v>837</v>
      </c>
      <c r="B482" s="4416"/>
      <c r="C482" s="4416"/>
      <c r="D482" s="4416"/>
      <c r="E482" s="4416"/>
      <c r="F482" s="2875"/>
      <c r="G482" s="2876"/>
      <c r="H482" s="2877"/>
      <c r="I482" s="4418">
        <v>333.04</v>
      </c>
      <c r="J482" s="4418"/>
      <c r="K482" s="2875"/>
      <c r="L482" s="2876"/>
      <c r="M482" s="2877"/>
      <c r="N482" s="4418">
        <v>41.63</v>
      </c>
      <c r="O482" s="4418"/>
      <c r="P482" s="4418"/>
      <c r="Q482" s="2875"/>
      <c r="R482" s="2877"/>
      <c r="S482" s="4418">
        <v>374.67</v>
      </c>
      <c r="T482" s="4418"/>
    </row>
    <row r="483" spans="1:20" s="2867" customFormat="1" ht="36" hidden="1" customHeight="1" outlineLevel="4">
      <c r="A483" s="4416" t="s">
        <v>837</v>
      </c>
      <c r="B483" s="4416"/>
      <c r="C483" s="4416"/>
      <c r="D483" s="4416"/>
      <c r="E483" s="4416"/>
      <c r="F483" s="2875"/>
      <c r="G483" s="2876"/>
      <c r="H483" s="2877"/>
      <c r="I483" s="4418">
        <v>333.04</v>
      </c>
      <c r="J483" s="4418"/>
      <c r="K483" s="2875"/>
      <c r="L483" s="2876"/>
      <c r="M483" s="2877"/>
      <c r="N483" s="4418">
        <v>41.63</v>
      </c>
      <c r="O483" s="4418"/>
      <c r="P483" s="4418"/>
      <c r="Q483" s="2875"/>
      <c r="R483" s="2877"/>
      <c r="S483" s="4418">
        <v>374.67</v>
      </c>
      <c r="T483" s="4418"/>
    </row>
    <row r="484" spans="1:20" s="2867" customFormat="1" ht="36" hidden="1" customHeight="1" outlineLevel="4">
      <c r="A484" s="4416" t="s">
        <v>837</v>
      </c>
      <c r="B484" s="4416"/>
      <c r="C484" s="4416"/>
      <c r="D484" s="4416"/>
      <c r="E484" s="4416"/>
      <c r="F484" s="2875"/>
      <c r="G484" s="2876"/>
      <c r="H484" s="2877"/>
      <c r="I484" s="4418">
        <v>333.04</v>
      </c>
      <c r="J484" s="4418"/>
      <c r="K484" s="2875"/>
      <c r="L484" s="2876"/>
      <c r="M484" s="2877"/>
      <c r="N484" s="4418">
        <v>41.63</v>
      </c>
      <c r="O484" s="4418"/>
      <c r="P484" s="4418"/>
      <c r="Q484" s="2875"/>
      <c r="R484" s="2877"/>
      <c r="S484" s="4418">
        <v>374.67</v>
      </c>
      <c r="T484" s="4418"/>
    </row>
    <row r="485" spans="1:20" s="2867" customFormat="1" ht="36" hidden="1" customHeight="1" outlineLevel="4">
      <c r="A485" s="4416" t="s">
        <v>837</v>
      </c>
      <c r="B485" s="4416"/>
      <c r="C485" s="4416"/>
      <c r="D485" s="4416"/>
      <c r="E485" s="4416"/>
      <c r="F485" s="2875"/>
      <c r="G485" s="2876"/>
      <c r="H485" s="2877"/>
      <c r="I485" s="4418">
        <v>333.04</v>
      </c>
      <c r="J485" s="4418"/>
      <c r="K485" s="2875"/>
      <c r="L485" s="2876"/>
      <c r="M485" s="2877"/>
      <c r="N485" s="4418">
        <v>41.63</v>
      </c>
      <c r="O485" s="4418"/>
      <c r="P485" s="4418"/>
      <c r="Q485" s="2875"/>
      <c r="R485" s="2877"/>
      <c r="S485" s="4418">
        <v>374.67</v>
      </c>
      <c r="T485" s="4418"/>
    </row>
    <row r="486" spans="1:20" s="2867" customFormat="1" ht="36" hidden="1" customHeight="1" outlineLevel="4">
      <c r="A486" s="4416" t="s">
        <v>837</v>
      </c>
      <c r="B486" s="4416"/>
      <c r="C486" s="4416"/>
      <c r="D486" s="4416"/>
      <c r="E486" s="4416"/>
      <c r="F486" s="2875"/>
      <c r="G486" s="2876"/>
      <c r="H486" s="2877"/>
      <c r="I486" s="4418">
        <v>333.04</v>
      </c>
      <c r="J486" s="4418"/>
      <c r="K486" s="2875"/>
      <c r="L486" s="2876"/>
      <c r="M486" s="2877"/>
      <c r="N486" s="4418">
        <v>41.63</v>
      </c>
      <c r="O486" s="4418"/>
      <c r="P486" s="4418"/>
      <c r="Q486" s="2875"/>
      <c r="R486" s="2877"/>
      <c r="S486" s="4418">
        <v>374.67</v>
      </c>
      <c r="T486" s="4418"/>
    </row>
    <row r="487" spans="1:20" s="2867" customFormat="1" ht="36" hidden="1" customHeight="1" outlineLevel="4">
      <c r="A487" s="4416" t="s">
        <v>837</v>
      </c>
      <c r="B487" s="4416"/>
      <c r="C487" s="4416"/>
      <c r="D487" s="4416"/>
      <c r="E487" s="4416"/>
      <c r="F487" s="2875"/>
      <c r="G487" s="2876"/>
      <c r="H487" s="2877"/>
      <c r="I487" s="4418">
        <v>333.04</v>
      </c>
      <c r="J487" s="4418"/>
      <c r="K487" s="2875"/>
      <c r="L487" s="2876"/>
      <c r="M487" s="2877"/>
      <c r="N487" s="4418">
        <v>41.63</v>
      </c>
      <c r="O487" s="4418"/>
      <c r="P487" s="4418"/>
      <c r="Q487" s="2875"/>
      <c r="R487" s="2877"/>
      <c r="S487" s="4418">
        <v>374.67</v>
      </c>
      <c r="T487" s="4418"/>
    </row>
    <row r="488" spans="1:20" s="2867" customFormat="1" ht="36" hidden="1" customHeight="1" outlineLevel="4">
      <c r="A488" s="4416" t="s">
        <v>837</v>
      </c>
      <c r="B488" s="4416"/>
      <c r="C488" s="4416"/>
      <c r="D488" s="4416"/>
      <c r="E488" s="4416"/>
      <c r="F488" s="2875"/>
      <c r="G488" s="2876"/>
      <c r="H488" s="2877"/>
      <c r="I488" s="4418">
        <v>333.04</v>
      </c>
      <c r="J488" s="4418"/>
      <c r="K488" s="2875"/>
      <c r="L488" s="2876"/>
      <c r="M488" s="2877"/>
      <c r="N488" s="4418">
        <v>41.63</v>
      </c>
      <c r="O488" s="4418"/>
      <c r="P488" s="4418"/>
      <c r="Q488" s="2875"/>
      <c r="R488" s="2877"/>
      <c r="S488" s="4418">
        <v>374.67</v>
      </c>
      <c r="T488" s="4418"/>
    </row>
    <row r="489" spans="1:20" s="2867" customFormat="1" ht="36" hidden="1" customHeight="1" outlineLevel="4">
      <c r="A489" s="4416" t="s">
        <v>837</v>
      </c>
      <c r="B489" s="4416"/>
      <c r="C489" s="4416"/>
      <c r="D489" s="4416"/>
      <c r="E489" s="4416"/>
      <c r="F489" s="2875"/>
      <c r="G489" s="2876"/>
      <c r="H489" s="2877"/>
      <c r="I489" s="4418">
        <v>333.04</v>
      </c>
      <c r="J489" s="4418"/>
      <c r="K489" s="2875"/>
      <c r="L489" s="2876"/>
      <c r="M489" s="2877"/>
      <c r="N489" s="4418">
        <v>41.63</v>
      </c>
      <c r="O489" s="4418"/>
      <c r="P489" s="4418"/>
      <c r="Q489" s="2875"/>
      <c r="R489" s="2877"/>
      <c r="S489" s="4418">
        <v>374.67</v>
      </c>
      <c r="T489" s="4418"/>
    </row>
    <row r="490" spans="1:20" s="2867" customFormat="1" ht="36" hidden="1" customHeight="1" outlineLevel="4">
      <c r="A490" s="4416" t="s">
        <v>837</v>
      </c>
      <c r="B490" s="4416"/>
      <c r="C490" s="4416"/>
      <c r="D490" s="4416"/>
      <c r="E490" s="4416"/>
      <c r="F490" s="2875"/>
      <c r="G490" s="2876"/>
      <c r="H490" s="2877"/>
      <c r="I490" s="4418">
        <v>333.04</v>
      </c>
      <c r="J490" s="4418"/>
      <c r="K490" s="2875"/>
      <c r="L490" s="2876"/>
      <c r="M490" s="2877"/>
      <c r="N490" s="4418">
        <v>41.63</v>
      </c>
      <c r="O490" s="4418"/>
      <c r="P490" s="4418"/>
      <c r="Q490" s="2875"/>
      <c r="R490" s="2877"/>
      <c r="S490" s="4418">
        <v>374.67</v>
      </c>
      <c r="T490" s="4418"/>
    </row>
    <row r="491" spans="1:20" s="2867" customFormat="1" ht="36" hidden="1" customHeight="1" outlineLevel="4">
      <c r="A491" s="4416" t="s">
        <v>837</v>
      </c>
      <c r="B491" s="4416"/>
      <c r="C491" s="4416"/>
      <c r="D491" s="4416"/>
      <c r="E491" s="4416"/>
      <c r="F491" s="2875"/>
      <c r="G491" s="2876"/>
      <c r="H491" s="2877"/>
      <c r="I491" s="4418">
        <v>333.04</v>
      </c>
      <c r="J491" s="4418"/>
      <c r="K491" s="2875"/>
      <c r="L491" s="2876"/>
      <c r="M491" s="2877"/>
      <c r="N491" s="4418">
        <v>41.63</v>
      </c>
      <c r="O491" s="4418"/>
      <c r="P491" s="4418"/>
      <c r="Q491" s="2875"/>
      <c r="R491" s="2877"/>
      <c r="S491" s="4418">
        <v>374.67</v>
      </c>
      <c r="T491" s="4418"/>
    </row>
    <row r="492" spans="1:20" s="2867" customFormat="1" ht="36" hidden="1" customHeight="1" outlineLevel="4">
      <c r="A492" s="4416" t="s">
        <v>837</v>
      </c>
      <c r="B492" s="4416"/>
      <c r="C492" s="4416"/>
      <c r="D492" s="4416"/>
      <c r="E492" s="4416"/>
      <c r="F492" s="2875"/>
      <c r="G492" s="2876"/>
      <c r="H492" s="2877"/>
      <c r="I492" s="4418">
        <v>333.12</v>
      </c>
      <c r="J492" s="4418"/>
      <c r="K492" s="2875"/>
      <c r="L492" s="2876"/>
      <c r="M492" s="2877"/>
      <c r="N492" s="4418">
        <v>41.64</v>
      </c>
      <c r="O492" s="4418"/>
      <c r="P492" s="4418"/>
      <c r="Q492" s="2875"/>
      <c r="R492" s="2877"/>
      <c r="S492" s="4418">
        <v>374.76</v>
      </c>
      <c r="T492" s="4418"/>
    </row>
    <row r="493" spans="1:20" s="2867" customFormat="1" ht="36" hidden="1" customHeight="1" outlineLevel="4">
      <c r="A493" s="4416" t="s">
        <v>837</v>
      </c>
      <c r="B493" s="4416"/>
      <c r="C493" s="4416"/>
      <c r="D493" s="4416"/>
      <c r="E493" s="4416"/>
      <c r="F493" s="2875"/>
      <c r="G493" s="2876"/>
      <c r="H493" s="2877"/>
      <c r="I493" s="4418">
        <v>333.12</v>
      </c>
      <c r="J493" s="4418"/>
      <c r="K493" s="2875"/>
      <c r="L493" s="2876"/>
      <c r="M493" s="2877"/>
      <c r="N493" s="4418">
        <v>41.64</v>
      </c>
      <c r="O493" s="4418"/>
      <c r="P493" s="4418"/>
      <c r="Q493" s="2875"/>
      <c r="R493" s="2877"/>
      <c r="S493" s="4418">
        <v>374.76</v>
      </c>
      <c r="T493" s="4418"/>
    </row>
    <row r="494" spans="1:20" s="2867" customFormat="1" ht="36" hidden="1" customHeight="1" outlineLevel="4">
      <c r="A494" s="4416" t="s">
        <v>837</v>
      </c>
      <c r="B494" s="4416"/>
      <c r="C494" s="4416"/>
      <c r="D494" s="4416"/>
      <c r="E494" s="4416"/>
      <c r="F494" s="2875"/>
      <c r="G494" s="2876"/>
      <c r="H494" s="2877"/>
      <c r="I494" s="4418">
        <v>333.12</v>
      </c>
      <c r="J494" s="4418"/>
      <c r="K494" s="2875"/>
      <c r="L494" s="2876"/>
      <c r="M494" s="2877"/>
      <c r="N494" s="4418">
        <v>41.64</v>
      </c>
      <c r="O494" s="4418"/>
      <c r="P494" s="4418"/>
      <c r="Q494" s="2875"/>
      <c r="R494" s="2877"/>
      <c r="S494" s="4418">
        <v>374.76</v>
      </c>
      <c r="T494" s="4418"/>
    </row>
    <row r="495" spans="1:20" s="2867" customFormat="1" ht="36" hidden="1" customHeight="1" outlineLevel="4">
      <c r="A495" s="4416" t="s">
        <v>837</v>
      </c>
      <c r="B495" s="4416"/>
      <c r="C495" s="4416"/>
      <c r="D495" s="4416"/>
      <c r="E495" s="4416"/>
      <c r="F495" s="2875"/>
      <c r="G495" s="2876"/>
      <c r="H495" s="2877"/>
      <c r="I495" s="4418">
        <v>333.12</v>
      </c>
      <c r="J495" s="4418"/>
      <c r="K495" s="2875"/>
      <c r="L495" s="2876"/>
      <c r="M495" s="2877"/>
      <c r="N495" s="4418">
        <v>41.64</v>
      </c>
      <c r="O495" s="4418"/>
      <c r="P495" s="4418"/>
      <c r="Q495" s="2875"/>
      <c r="R495" s="2877"/>
      <c r="S495" s="4418">
        <v>374.76</v>
      </c>
      <c r="T495" s="4418"/>
    </row>
    <row r="496" spans="1:20" s="2867" customFormat="1" ht="48" hidden="1" customHeight="1" outlineLevel="4">
      <c r="A496" s="4416" t="s">
        <v>783</v>
      </c>
      <c r="B496" s="4416"/>
      <c r="C496" s="4416"/>
      <c r="D496" s="4416"/>
      <c r="E496" s="4416"/>
      <c r="F496" s="2875"/>
      <c r="G496" s="2876"/>
      <c r="H496" s="2877"/>
      <c r="I496" s="4417">
        <v>5047.5200000000004</v>
      </c>
      <c r="J496" s="4417"/>
      <c r="K496" s="2875"/>
      <c r="L496" s="2876"/>
      <c r="M496" s="2877"/>
      <c r="N496" s="4418">
        <v>630.94000000000005</v>
      </c>
      <c r="O496" s="4418"/>
      <c r="P496" s="4418"/>
      <c r="Q496" s="2875"/>
      <c r="R496" s="2877"/>
      <c r="S496" s="4417">
        <v>5678.46</v>
      </c>
      <c r="T496" s="4417"/>
    </row>
    <row r="497" spans="1:20" s="2867" customFormat="1" ht="36" hidden="1" customHeight="1" outlineLevel="4">
      <c r="A497" s="4416" t="s">
        <v>877</v>
      </c>
      <c r="B497" s="4416"/>
      <c r="C497" s="4416"/>
      <c r="D497" s="4416"/>
      <c r="E497" s="4416"/>
      <c r="F497" s="2875"/>
      <c r="G497" s="2876"/>
      <c r="H497" s="2877"/>
      <c r="I497" s="4417">
        <v>11634.56</v>
      </c>
      <c r="J497" s="4417"/>
      <c r="K497" s="2875"/>
      <c r="L497" s="2876"/>
      <c r="M497" s="2877"/>
      <c r="N497" s="4417">
        <v>1454.32</v>
      </c>
      <c r="O497" s="4417"/>
      <c r="P497" s="4417"/>
      <c r="Q497" s="2875"/>
      <c r="R497" s="2877"/>
      <c r="S497" s="4417">
        <v>13088.88</v>
      </c>
      <c r="T497" s="4417"/>
    </row>
    <row r="498" spans="1:20" s="2867" customFormat="1" ht="36" hidden="1" customHeight="1" outlineLevel="4">
      <c r="A498" s="4416" t="s">
        <v>877</v>
      </c>
      <c r="B498" s="4416"/>
      <c r="C498" s="4416"/>
      <c r="D498" s="4416"/>
      <c r="E498" s="4416"/>
      <c r="F498" s="2875"/>
      <c r="G498" s="2876"/>
      <c r="H498" s="2877"/>
      <c r="I498" s="4417">
        <v>11634.64</v>
      </c>
      <c r="J498" s="4417"/>
      <c r="K498" s="2875"/>
      <c r="L498" s="2876"/>
      <c r="M498" s="2877"/>
      <c r="N498" s="4417">
        <v>1454.33</v>
      </c>
      <c r="O498" s="4417"/>
      <c r="P498" s="4417"/>
      <c r="Q498" s="2875"/>
      <c r="R498" s="2877"/>
      <c r="S498" s="4417">
        <v>13088.97</v>
      </c>
      <c r="T498" s="4417"/>
    </row>
    <row r="499" spans="1:20" s="2867" customFormat="1" ht="36" hidden="1" customHeight="1" outlineLevel="4">
      <c r="A499" s="4416" t="s">
        <v>887</v>
      </c>
      <c r="B499" s="4416"/>
      <c r="C499" s="4416"/>
      <c r="D499" s="4416"/>
      <c r="E499" s="4416"/>
      <c r="F499" s="2875"/>
      <c r="G499" s="2876"/>
      <c r="H499" s="2877"/>
      <c r="I499" s="4418">
        <v>883.36</v>
      </c>
      <c r="J499" s="4418"/>
      <c r="K499" s="2875"/>
      <c r="L499" s="2876"/>
      <c r="M499" s="2877"/>
      <c r="N499" s="4418">
        <v>110.42</v>
      </c>
      <c r="O499" s="4418"/>
      <c r="P499" s="4418"/>
      <c r="Q499" s="2875"/>
      <c r="R499" s="2877"/>
      <c r="S499" s="4418">
        <v>993.78</v>
      </c>
      <c r="T499" s="4418"/>
    </row>
    <row r="500" spans="1:20" s="2867" customFormat="1" ht="48" hidden="1" customHeight="1" outlineLevel="4">
      <c r="A500" s="4416" t="s">
        <v>4561</v>
      </c>
      <c r="B500" s="4416"/>
      <c r="C500" s="4416"/>
      <c r="D500" s="4416"/>
      <c r="E500" s="4416"/>
      <c r="F500" s="2875"/>
      <c r="G500" s="2876"/>
      <c r="H500" s="2877"/>
      <c r="I500" s="4417">
        <v>1240.8</v>
      </c>
      <c r="J500" s="4417"/>
      <c r="K500" s="2875"/>
      <c r="L500" s="2876"/>
      <c r="M500" s="2877"/>
      <c r="N500" s="4418">
        <v>155.1</v>
      </c>
      <c r="O500" s="4418"/>
      <c r="P500" s="4418"/>
      <c r="Q500" s="2875"/>
      <c r="R500" s="2877"/>
      <c r="S500" s="4417">
        <v>1395.9</v>
      </c>
      <c r="T500" s="4417"/>
    </row>
    <row r="501" spans="1:20" s="2867" customFormat="1" ht="48" hidden="1" customHeight="1" outlineLevel="4">
      <c r="A501" s="4416" t="s">
        <v>4561</v>
      </c>
      <c r="B501" s="4416"/>
      <c r="C501" s="4416"/>
      <c r="D501" s="4416"/>
      <c r="E501" s="4416"/>
      <c r="F501" s="2875"/>
      <c r="G501" s="2876"/>
      <c r="H501" s="2877"/>
      <c r="I501" s="4417">
        <v>1240.8</v>
      </c>
      <c r="J501" s="4417"/>
      <c r="K501" s="2875"/>
      <c r="L501" s="2876"/>
      <c r="M501" s="2877"/>
      <c r="N501" s="4418">
        <v>155.1</v>
      </c>
      <c r="O501" s="4418"/>
      <c r="P501" s="4418"/>
      <c r="Q501" s="2875"/>
      <c r="R501" s="2877"/>
      <c r="S501" s="4417">
        <v>1395.9</v>
      </c>
      <c r="T501" s="4417"/>
    </row>
    <row r="502" spans="1:20" s="2867" customFormat="1" ht="48" hidden="1" customHeight="1" outlineLevel="4">
      <c r="A502" s="4416" t="s">
        <v>4562</v>
      </c>
      <c r="B502" s="4416"/>
      <c r="C502" s="4416"/>
      <c r="D502" s="4416"/>
      <c r="E502" s="4416"/>
      <c r="F502" s="2875"/>
      <c r="G502" s="2876"/>
      <c r="H502" s="2877"/>
      <c r="I502" s="4417">
        <v>2698.08</v>
      </c>
      <c r="J502" s="4417"/>
      <c r="K502" s="2875"/>
      <c r="L502" s="2876"/>
      <c r="M502" s="2877"/>
      <c r="N502" s="4418">
        <v>337.26</v>
      </c>
      <c r="O502" s="4418"/>
      <c r="P502" s="4418"/>
      <c r="Q502" s="2875"/>
      <c r="R502" s="2877"/>
      <c r="S502" s="4417">
        <v>3035.34</v>
      </c>
      <c r="T502" s="4417"/>
    </row>
    <row r="503" spans="1:20" s="2867" customFormat="1" ht="48" hidden="1" customHeight="1" outlineLevel="4">
      <c r="A503" s="4416" t="s">
        <v>4562</v>
      </c>
      <c r="B503" s="4416"/>
      <c r="C503" s="4416"/>
      <c r="D503" s="4416"/>
      <c r="E503" s="4416"/>
      <c r="F503" s="2875"/>
      <c r="G503" s="2876"/>
      <c r="H503" s="2877"/>
      <c r="I503" s="4417">
        <v>2698.08</v>
      </c>
      <c r="J503" s="4417"/>
      <c r="K503" s="2875"/>
      <c r="L503" s="2876"/>
      <c r="M503" s="2877"/>
      <c r="N503" s="4418">
        <v>337.26</v>
      </c>
      <c r="O503" s="4418"/>
      <c r="P503" s="4418"/>
      <c r="Q503" s="2875"/>
      <c r="R503" s="2877"/>
      <c r="S503" s="4417">
        <v>3035.34</v>
      </c>
      <c r="T503" s="4417"/>
    </row>
    <row r="504" spans="1:20" s="2867" customFormat="1" ht="36" hidden="1" customHeight="1" outlineLevel="4">
      <c r="A504" s="4416" t="s">
        <v>4563</v>
      </c>
      <c r="B504" s="4416"/>
      <c r="C504" s="4416"/>
      <c r="D504" s="4416"/>
      <c r="E504" s="4416"/>
      <c r="F504" s="2875"/>
      <c r="G504" s="2876"/>
      <c r="H504" s="2877"/>
      <c r="I504" s="4417">
        <v>1117.1199999999999</v>
      </c>
      <c r="J504" s="4417"/>
      <c r="K504" s="2875"/>
      <c r="L504" s="2876"/>
      <c r="M504" s="2877"/>
      <c r="N504" s="4418">
        <v>139.63999999999999</v>
      </c>
      <c r="O504" s="4418"/>
      <c r="P504" s="4418"/>
      <c r="Q504" s="2875"/>
      <c r="R504" s="2877"/>
      <c r="S504" s="4417">
        <v>1256.76</v>
      </c>
      <c r="T504" s="4417"/>
    </row>
    <row r="505" spans="1:20" s="2867" customFormat="1" ht="36" hidden="1" customHeight="1" outlineLevel="4">
      <c r="A505" s="4416" t="s">
        <v>4563</v>
      </c>
      <c r="B505" s="4416"/>
      <c r="C505" s="4416"/>
      <c r="D505" s="4416"/>
      <c r="E505" s="4416"/>
      <c r="F505" s="2875"/>
      <c r="G505" s="2876"/>
      <c r="H505" s="2877"/>
      <c r="I505" s="4417">
        <v>1117.2</v>
      </c>
      <c r="J505" s="4417"/>
      <c r="K505" s="2875"/>
      <c r="L505" s="2876"/>
      <c r="M505" s="2877"/>
      <c r="N505" s="4418">
        <v>139.65</v>
      </c>
      <c r="O505" s="4418"/>
      <c r="P505" s="4418"/>
      <c r="Q505" s="2875"/>
      <c r="R505" s="2877"/>
      <c r="S505" s="4417">
        <v>1256.8499999999999</v>
      </c>
      <c r="T505" s="4417"/>
    </row>
    <row r="506" spans="1:20" s="2867" customFormat="1" ht="36" hidden="1" customHeight="1" outlineLevel="4">
      <c r="A506" s="4416" t="s">
        <v>4563</v>
      </c>
      <c r="B506" s="4416"/>
      <c r="C506" s="4416"/>
      <c r="D506" s="4416"/>
      <c r="E506" s="4416"/>
      <c r="F506" s="2875"/>
      <c r="G506" s="2876"/>
      <c r="H506" s="2877"/>
      <c r="I506" s="4417">
        <v>1117.2</v>
      </c>
      <c r="J506" s="4417"/>
      <c r="K506" s="2875"/>
      <c r="L506" s="2876"/>
      <c r="M506" s="2877"/>
      <c r="N506" s="4418">
        <v>139.65</v>
      </c>
      <c r="O506" s="4418"/>
      <c r="P506" s="4418"/>
      <c r="Q506" s="2875"/>
      <c r="R506" s="2877"/>
      <c r="S506" s="4417">
        <v>1256.8499999999999</v>
      </c>
      <c r="T506" s="4417"/>
    </row>
    <row r="507" spans="1:20" s="2867" customFormat="1" ht="36" hidden="1" customHeight="1" outlineLevel="4">
      <c r="A507" s="4416" t="s">
        <v>4563</v>
      </c>
      <c r="B507" s="4416"/>
      <c r="C507" s="4416"/>
      <c r="D507" s="4416"/>
      <c r="E507" s="4416"/>
      <c r="F507" s="2875"/>
      <c r="G507" s="2876"/>
      <c r="H507" s="2877"/>
      <c r="I507" s="4417">
        <v>1117.2</v>
      </c>
      <c r="J507" s="4417"/>
      <c r="K507" s="2875"/>
      <c r="L507" s="2876"/>
      <c r="M507" s="2877"/>
      <c r="N507" s="4418">
        <v>139.65</v>
      </c>
      <c r="O507" s="4418"/>
      <c r="P507" s="4418"/>
      <c r="Q507" s="2875"/>
      <c r="R507" s="2877"/>
      <c r="S507" s="4417">
        <v>1256.8499999999999</v>
      </c>
      <c r="T507" s="4417"/>
    </row>
    <row r="508" spans="1:20" s="2867" customFormat="1" ht="36" hidden="1" customHeight="1" outlineLevel="4">
      <c r="A508" s="4416" t="s">
        <v>4563</v>
      </c>
      <c r="B508" s="4416"/>
      <c r="C508" s="4416"/>
      <c r="D508" s="4416"/>
      <c r="E508" s="4416"/>
      <c r="F508" s="2875"/>
      <c r="G508" s="2876"/>
      <c r="H508" s="2877"/>
      <c r="I508" s="4417">
        <v>1117.2</v>
      </c>
      <c r="J508" s="4417"/>
      <c r="K508" s="2875"/>
      <c r="L508" s="2876"/>
      <c r="M508" s="2877"/>
      <c r="N508" s="4418">
        <v>139.65</v>
      </c>
      <c r="O508" s="4418"/>
      <c r="P508" s="4418"/>
      <c r="Q508" s="2875"/>
      <c r="R508" s="2877"/>
      <c r="S508" s="4417">
        <v>1256.8499999999999</v>
      </c>
      <c r="T508" s="4417"/>
    </row>
    <row r="509" spans="1:20" s="2867" customFormat="1" ht="36" hidden="1" customHeight="1" outlineLevel="4">
      <c r="A509" s="4416" t="s">
        <v>4563</v>
      </c>
      <c r="B509" s="4416"/>
      <c r="C509" s="4416"/>
      <c r="D509" s="4416"/>
      <c r="E509" s="4416"/>
      <c r="F509" s="2875"/>
      <c r="G509" s="2876"/>
      <c r="H509" s="2877"/>
      <c r="I509" s="4417">
        <v>1117.2</v>
      </c>
      <c r="J509" s="4417"/>
      <c r="K509" s="2875"/>
      <c r="L509" s="2876"/>
      <c r="M509" s="2877"/>
      <c r="N509" s="4418">
        <v>139.65</v>
      </c>
      <c r="O509" s="4418"/>
      <c r="P509" s="4418"/>
      <c r="Q509" s="2875"/>
      <c r="R509" s="2877"/>
      <c r="S509" s="4417">
        <v>1256.8499999999999</v>
      </c>
      <c r="T509" s="4417"/>
    </row>
    <row r="510" spans="1:20" s="2867" customFormat="1" ht="36" hidden="1" customHeight="1" outlineLevel="4">
      <c r="A510" s="4416" t="s">
        <v>4563</v>
      </c>
      <c r="B510" s="4416"/>
      <c r="C510" s="4416"/>
      <c r="D510" s="4416"/>
      <c r="E510" s="4416"/>
      <c r="F510" s="2875"/>
      <c r="G510" s="2876"/>
      <c r="H510" s="2877"/>
      <c r="I510" s="4417">
        <v>1117.2</v>
      </c>
      <c r="J510" s="4417"/>
      <c r="K510" s="2875"/>
      <c r="L510" s="2876"/>
      <c r="M510" s="2877"/>
      <c r="N510" s="4418">
        <v>139.65</v>
      </c>
      <c r="O510" s="4418"/>
      <c r="P510" s="4418"/>
      <c r="Q510" s="2875"/>
      <c r="R510" s="2877"/>
      <c r="S510" s="4417">
        <v>1256.8499999999999</v>
      </c>
      <c r="T510" s="4417"/>
    </row>
    <row r="511" spans="1:20" s="2867" customFormat="1" ht="36" hidden="1" customHeight="1" outlineLevel="4">
      <c r="A511" s="4416" t="s">
        <v>4563</v>
      </c>
      <c r="B511" s="4416"/>
      <c r="C511" s="4416"/>
      <c r="D511" s="4416"/>
      <c r="E511" s="4416"/>
      <c r="F511" s="2875"/>
      <c r="G511" s="2876"/>
      <c r="H511" s="2877"/>
      <c r="I511" s="4417">
        <v>1117.2</v>
      </c>
      <c r="J511" s="4417"/>
      <c r="K511" s="2875"/>
      <c r="L511" s="2876"/>
      <c r="M511" s="2877"/>
      <c r="N511" s="4418">
        <v>139.65</v>
      </c>
      <c r="O511" s="4418"/>
      <c r="P511" s="4418"/>
      <c r="Q511" s="2875"/>
      <c r="R511" s="2877"/>
      <c r="S511" s="4417">
        <v>1256.8499999999999</v>
      </c>
      <c r="T511" s="4417"/>
    </row>
    <row r="512" spans="1:20" s="2867" customFormat="1" ht="36" hidden="1" customHeight="1" outlineLevel="4">
      <c r="A512" s="4416" t="s">
        <v>4563</v>
      </c>
      <c r="B512" s="4416"/>
      <c r="C512" s="4416"/>
      <c r="D512" s="4416"/>
      <c r="E512" s="4416"/>
      <c r="F512" s="2875"/>
      <c r="G512" s="2876"/>
      <c r="H512" s="2877"/>
      <c r="I512" s="4417">
        <v>1117.2</v>
      </c>
      <c r="J512" s="4417"/>
      <c r="K512" s="2875"/>
      <c r="L512" s="2876"/>
      <c r="M512" s="2877"/>
      <c r="N512" s="4418">
        <v>139.65</v>
      </c>
      <c r="O512" s="4418"/>
      <c r="P512" s="4418"/>
      <c r="Q512" s="2875"/>
      <c r="R512" s="2877"/>
      <c r="S512" s="4417">
        <v>1256.8499999999999</v>
      </c>
      <c r="T512" s="4417"/>
    </row>
    <row r="513" spans="1:20" s="2867" customFormat="1" ht="36" hidden="1" customHeight="1" outlineLevel="4">
      <c r="A513" s="4416" t="s">
        <v>4563</v>
      </c>
      <c r="B513" s="4416"/>
      <c r="C513" s="4416"/>
      <c r="D513" s="4416"/>
      <c r="E513" s="4416"/>
      <c r="F513" s="2875"/>
      <c r="G513" s="2876"/>
      <c r="H513" s="2877"/>
      <c r="I513" s="4417">
        <v>1117.2</v>
      </c>
      <c r="J513" s="4417"/>
      <c r="K513" s="2875"/>
      <c r="L513" s="2876"/>
      <c r="M513" s="2877"/>
      <c r="N513" s="4418">
        <v>139.65</v>
      </c>
      <c r="O513" s="4418"/>
      <c r="P513" s="4418"/>
      <c r="Q513" s="2875"/>
      <c r="R513" s="2877"/>
      <c r="S513" s="4417">
        <v>1256.8499999999999</v>
      </c>
      <c r="T513" s="4417"/>
    </row>
    <row r="514" spans="1:20" s="2867" customFormat="1" ht="36" hidden="1" customHeight="1" outlineLevel="4">
      <c r="A514" s="4416" t="s">
        <v>4563</v>
      </c>
      <c r="B514" s="4416"/>
      <c r="C514" s="4416"/>
      <c r="D514" s="4416"/>
      <c r="E514" s="4416"/>
      <c r="F514" s="2875"/>
      <c r="G514" s="2876"/>
      <c r="H514" s="2877"/>
      <c r="I514" s="4417">
        <v>1117.2</v>
      </c>
      <c r="J514" s="4417"/>
      <c r="K514" s="2875"/>
      <c r="L514" s="2876"/>
      <c r="M514" s="2877"/>
      <c r="N514" s="4418">
        <v>139.65</v>
      </c>
      <c r="O514" s="4418"/>
      <c r="P514" s="4418"/>
      <c r="Q514" s="2875"/>
      <c r="R514" s="2877"/>
      <c r="S514" s="4417">
        <v>1256.8499999999999</v>
      </c>
      <c r="T514" s="4417"/>
    </row>
    <row r="515" spans="1:20" s="2867" customFormat="1" ht="36" hidden="1" customHeight="1" outlineLevel="4">
      <c r="A515" s="4416" t="s">
        <v>4563</v>
      </c>
      <c r="B515" s="4416"/>
      <c r="C515" s="4416"/>
      <c r="D515" s="4416"/>
      <c r="E515" s="4416"/>
      <c r="F515" s="2875"/>
      <c r="G515" s="2876"/>
      <c r="H515" s="2877"/>
      <c r="I515" s="4417">
        <v>1117.2</v>
      </c>
      <c r="J515" s="4417"/>
      <c r="K515" s="2875"/>
      <c r="L515" s="2876"/>
      <c r="M515" s="2877"/>
      <c r="N515" s="4418">
        <v>139.65</v>
      </c>
      <c r="O515" s="4418"/>
      <c r="P515" s="4418"/>
      <c r="Q515" s="2875"/>
      <c r="R515" s="2877"/>
      <c r="S515" s="4417">
        <v>1256.8499999999999</v>
      </c>
      <c r="T515" s="4417"/>
    </row>
    <row r="516" spans="1:20" s="2867" customFormat="1" ht="24" hidden="1" customHeight="1" outlineLevel="4">
      <c r="A516" s="4416" t="s">
        <v>4564</v>
      </c>
      <c r="B516" s="4416"/>
      <c r="C516" s="4416"/>
      <c r="D516" s="4416"/>
      <c r="E516" s="4416"/>
      <c r="F516" s="2875"/>
      <c r="G516" s="2876"/>
      <c r="H516" s="2877"/>
      <c r="I516" s="4417">
        <v>6527.44</v>
      </c>
      <c r="J516" s="4417"/>
      <c r="K516" s="2875"/>
      <c r="L516" s="2876"/>
      <c r="M516" s="2877"/>
      <c r="N516" s="4418">
        <v>815.93</v>
      </c>
      <c r="O516" s="4418"/>
      <c r="P516" s="4418"/>
      <c r="Q516" s="2875"/>
      <c r="R516" s="2877"/>
      <c r="S516" s="4417">
        <v>7343.37</v>
      </c>
      <c r="T516" s="4417"/>
    </row>
    <row r="517" spans="1:20" s="2867" customFormat="1" ht="24" hidden="1" customHeight="1" outlineLevel="4">
      <c r="A517" s="4416" t="s">
        <v>4564</v>
      </c>
      <c r="B517" s="4416"/>
      <c r="C517" s="4416"/>
      <c r="D517" s="4416"/>
      <c r="E517" s="4416"/>
      <c r="F517" s="2875"/>
      <c r="G517" s="2876"/>
      <c r="H517" s="2877"/>
      <c r="I517" s="4417">
        <v>6527.44</v>
      </c>
      <c r="J517" s="4417"/>
      <c r="K517" s="2875"/>
      <c r="L517" s="2876"/>
      <c r="M517" s="2877"/>
      <c r="N517" s="4418">
        <v>815.93</v>
      </c>
      <c r="O517" s="4418"/>
      <c r="P517" s="4418"/>
      <c r="Q517" s="2875"/>
      <c r="R517" s="2877"/>
      <c r="S517" s="4417">
        <v>7343.37</v>
      </c>
      <c r="T517" s="4417"/>
    </row>
    <row r="518" spans="1:20" s="2867" customFormat="1" ht="24" hidden="1" customHeight="1" outlineLevel="4">
      <c r="A518" s="4416" t="s">
        <v>4564</v>
      </c>
      <c r="B518" s="4416"/>
      <c r="C518" s="4416"/>
      <c r="D518" s="4416"/>
      <c r="E518" s="4416"/>
      <c r="F518" s="2875"/>
      <c r="G518" s="2876"/>
      <c r="H518" s="2877"/>
      <c r="I518" s="4417">
        <v>6527.44</v>
      </c>
      <c r="J518" s="4417"/>
      <c r="K518" s="2875"/>
      <c r="L518" s="2876"/>
      <c r="M518" s="2877"/>
      <c r="N518" s="4418">
        <v>815.93</v>
      </c>
      <c r="O518" s="4418"/>
      <c r="P518" s="4418"/>
      <c r="Q518" s="2875"/>
      <c r="R518" s="2877"/>
      <c r="S518" s="4417">
        <v>7343.37</v>
      </c>
      <c r="T518" s="4417"/>
    </row>
    <row r="519" spans="1:20" s="2867" customFormat="1" ht="24" hidden="1" customHeight="1" outlineLevel="4">
      <c r="A519" s="4416" t="s">
        <v>4564</v>
      </c>
      <c r="B519" s="4416"/>
      <c r="C519" s="4416"/>
      <c r="D519" s="4416"/>
      <c r="E519" s="4416"/>
      <c r="F519" s="2875"/>
      <c r="G519" s="2876"/>
      <c r="H519" s="2877"/>
      <c r="I519" s="4417">
        <v>6527.52</v>
      </c>
      <c r="J519" s="4417"/>
      <c r="K519" s="2875"/>
      <c r="L519" s="2876"/>
      <c r="M519" s="2877"/>
      <c r="N519" s="4418">
        <v>815.94</v>
      </c>
      <c r="O519" s="4418"/>
      <c r="P519" s="4418"/>
      <c r="Q519" s="2875"/>
      <c r="R519" s="2877"/>
      <c r="S519" s="4417">
        <v>7343.46</v>
      </c>
      <c r="T519" s="4417"/>
    </row>
    <row r="520" spans="1:20" s="2867" customFormat="1" ht="24" hidden="1" customHeight="1" outlineLevel="4">
      <c r="A520" s="4416" t="s">
        <v>4564</v>
      </c>
      <c r="B520" s="4416"/>
      <c r="C520" s="4416"/>
      <c r="D520" s="4416"/>
      <c r="E520" s="4416"/>
      <c r="F520" s="2875"/>
      <c r="G520" s="2876"/>
      <c r="H520" s="2877"/>
      <c r="I520" s="4417">
        <v>6527.52</v>
      </c>
      <c r="J520" s="4417"/>
      <c r="K520" s="2875"/>
      <c r="L520" s="2876"/>
      <c r="M520" s="2877"/>
      <c r="N520" s="4418">
        <v>815.94</v>
      </c>
      <c r="O520" s="4418"/>
      <c r="P520" s="4418"/>
      <c r="Q520" s="2875"/>
      <c r="R520" s="2877"/>
      <c r="S520" s="4417">
        <v>7343.46</v>
      </c>
      <c r="T520" s="4417"/>
    </row>
    <row r="521" spans="1:20" s="2867" customFormat="1" ht="24" hidden="1" customHeight="1" outlineLevel="4">
      <c r="A521" s="4416" t="s">
        <v>4564</v>
      </c>
      <c r="B521" s="4416"/>
      <c r="C521" s="4416"/>
      <c r="D521" s="4416"/>
      <c r="E521" s="4416"/>
      <c r="F521" s="2875"/>
      <c r="G521" s="2876"/>
      <c r="H521" s="2877"/>
      <c r="I521" s="4417">
        <v>6527.52</v>
      </c>
      <c r="J521" s="4417"/>
      <c r="K521" s="2875"/>
      <c r="L521" s="2876"/>
      <c r="M521" s="2877"/>
      <c r="N521" s="4418">
        <v>815.94</v>
      </c>
      <c r="O521" s="4418"/>
      <c r="P521" s="4418"/>
      <c r="Q521" s="2875"/>
      <c r="R521" s="2877"/>
      <c r="S521" s="4417">
        <v>7343.46</v>
      </c>
      <c r="T521" s="4417"/>
    </row>
    <row r="522" spans="1:20" s="2867" customFormat="1" ht="24" hidden="1" customHeight="1" outlineLevel="4">
      <c r="A522" s="4416" t="s">
        <v>4564</v>
      </c>
      <c r="B522" s="4416"/>
      <c r="C522" s="4416"/>
      <c r="D522" s="4416"/>
      <c r="E522" s="4416"/>
      <c r="F522" s="2875"/>
      <c r="G522" s="2876"/>
      <c r="H522" s="2877"/>
      <c r="I522" s="4417">
        <v>6527.52</v>
      </c>
      <c r="J522" s="4417"/>
      <c r="K522" s="2875"/>
      <c r="L522" s="2876"/>
      <c r="M522" s="2877"/>
      <c r="N522" s="4418">
        <v>815.94</v>
      </c>
      <c r="O522" s="4418"/>
      <c r="P522" s="4418"/>
      <c r="Q522" s="2875"/>
      <c r="R522" s="2877"/>
      <c r="S522" s="4417">
        <v>7343.46</v>
      </c>
      <c r="T522" s="4417"/>
    </row>
    <row r="523" spans="1:20" s="2867" customFormat="1" ht="24" hidden="1" customHeight="1" outlineLevel="4">
      <c r="A523" s="4416" t="s">
        <v>4564</v>
      </c>
      <c r="B523" s="4416"/>
      <c r="C523" s="4416"/>
      <c r="D523" s="4416"/>
      <c r="E523" s="4416"/>
      <c r="F523" s="2875"/>
      <c r="G523" s="2876"/>
      <c r="H523" s="2877"/>
      <c r="I523" s="4417">
        <v>6527.52</v>
      </c>
      <c r="J523" s="4417"/>
      <c r="K523" s="2875"/>
      <c r="L523" s="2876"/>
      <c r="M523" s="2877"/>
      <c r="N523" s="4418">
        <v>815.94</v>
      </c>
      <c r="O523" s="4418"/>
      <c r="P523" s="4418"/>
      <c r="Q523" s="2875"/>
      <c r="R523" s="2877"/>
      <c r="S523" s="4417">
        <v>7343.46</v>
      </c>
      <c r="T523" s="4417"/>
    </row>
    <row r="524" spans="1:20" s="2867" customFormat="1" ht="24" hidden="1" customHeight="1" outlineLevel="4">
      <c r="A524" s="4416" t="s">
        <v>4564</v>
      </c>
      <c r="B524" s="4416"/>
      <c r="C524" s="4416"/>
      <c r="D524" s="4416"/>
      <c r="E524" s="4416"/>
      <c r="F524" s="2875"/>
      <c r="G524" s="2876"/>
      <c r="H524" s="2877"/>
      <c r="I524" s="4417">
        <v>6527.44</v>
      </c>
      <c r="J524" s="4417"/>
      <c r="K524" s="2875"/>
      <c r="L524" s="2876"/>
      <c r="M524" s="2877"/>
      <c r="N524" s="4418">
        <v>815.93</v>
      </c>
      <c r="O524" s="4418"/>
      <c r="P524" s="4418"/>
      <c r="Q524" s="2875"/>
      <c r="R524" s="2877"/>
      <c r="S524" s="4417">
        <v>7343.37</v>
      </c>
      <c r="T524" s="4417"/>
    </row>
    <row r="525" spans="1:20" s="2867" customFormat="1" ht="24" hidden="1" customHeight="1" outlineLevel="4">
      <c r="A525" s="4416" t="s">
        <v>4564</v>
      </c>
      <c r="B525" s="4416"/>
      <c r="C525" s="4416"/>
      <c r="D525" s="4416"/>
      <c r="E525" s="4416"/>
      <c r="F525" s="2875"/>
      <c r="G525" s="2876"/>
      <c r="H525" s="2877"/>
      <c r="I525" s="4417">
        <v>6527.44</v>
      </c>
      <c r="J525" s="4417"/>
      <c r="K525" s="2875"/>
      <c r="L525" s="2876"/>
      <c r="M525" s="2877"/>
      <c r="N525" s="4418">
        <v>815.93</v>
      </c>
      <c r="O525" s="4418"/>
      <c r="P525" s="4418"/>
      <c r="Q525" s="2875"/>
      <c r="R525" s="2877"/>
      <c r="S525" s="4417">
        <v>7343.37</v>
      </c>
      <c r="T525" s="4417"/>
    </row>
    <row r="526" spans="1:20" s="2867" customFormat="1" ht="24" hidden="1" customHeight="1" outlineLevel="4">
      <c r="A526" s="4416" t="s">
        <v>4564</v>
      </c>
      <c r="B526" s="4416"/>
      <c r="C526" s="4416"/>
      <c r="D526" s="4416"/>
      <c r="E526" s="4416"/>
      <c r="F526" s="2875"/>
      <c r="G526" s="2876"/>
      <c r="H526" s="2877"/>
      <c r="I526" s="4417">
        <v>6527.44</v>
      </c>
      <c r="J526" s="4417"/>
      <c r="K526" s="2875"/>
      <c r="L526" s="2876"/>
      <c r="M526" s="2877"/>
      <c r="N526" s="4418">
        <v>815.93</v>
      </c>
      <c r="O526" s="4418"/>
      <c r="P526" s="4418"/>
      <c r="Q526" s="2875"/>
      <c r="R526" s="2877"/>
      <c r="S526" s="4417">
        <v>7343.37</v>
      </c>
      <c r="T526" s="4417"/>
    </row>
    <row r="527" spans="1:20" s="2867" customFormat="1" ht="24" hidden="1" customHeight="1" outlineLevel="4">
      <c r="A527" s="4416" t="s">
        <v>4564</v>
      </c>
      <c r="B527" s="4416"/>
      <c r="C527" s="4416"/>
      <c r="D527" s="4416"/>
      <c r="E527" s="4416"/>
      <c r="F527" s="2875"/>
      <c r="G527" s="2876"/>
      <c r="H527" s="2877"/>
      <c r="I527" s="4417">
        <v>6527.44</v>
      </c>
      <c r="J527" s="4417"/>
      <c r="K527" s="2875"/>
      <c r="L527" s="2876"/>
      <c r="M527" s="2877"/>
      <c r="N527" s="4418">
        <v>815.93</v>
      </c>
      <c r="O527" s="4418"/>
      <c r="P527" s="4418"/>
      <c r="Q527" s="2875"/>
      <c r="R527" s="2877"/>
      <c r="S527" s="4417">
        <v>7343.37</v>
      </c>
      <c r="T527" s="4417"/>
    </row>
    <row r="528" spans="1:20" s="2867" customFormat="1" ht="24" hidden="1" customHeight="1" outlineLevel="4">
      <c r="A528" s="4416" t="s">
        <v>4564</v>
      </c>
      <c r="B528" s="4416"/>
      <c r="C528" s="4416"/>
      <c r="D528" s="4416"/>
      <c r="E528" s="4416"/>
      <c r="F528" s="2875"/>
      <c r="G528" s="2876"/>
      <c r="H528" s="2877"/>
      <c r="I528" s="4417">
        <v>6527.52</v>
      </c>
      <c r="J528" s="4417"/>
      <c r="K528" s="2875"/>
      <c r="L528" s="2876"/>
      <c r="M528" s="2877"/>
      <c r="N528" s="4418">
        <v>815.94</v>
      </c>
      <c r="O528" s="4418"/>
      <c r="P528" s="4418"/>
      <c r="Q528" s="2875"/>
      <c r="R528" s="2877"/>
      <c r="S528" s="4417">
        <v>7343.46</v>
      </c>
      <c r="T528" s="4417"/>
    </row>
    <row r="529" spans="1:20" s="2867" customFormat="1" ht="24" hidden="1" customHeight="1" outlineLevel="4">
      <c r="A529" s="4416" t="s">
        <v>4564</v>
      </c>
      <c r="B529" s="4416"/>
      <c r="C529" s="4416"/>
      <c r="D529" s="4416"/>
      <c r="E529" s="4416"/>
      <c r="F529" s="2875"/>
      <c r="G529" s="2876"/>
      <c r="H529" s="2877"/>
      <c r="I529" s="4417">
        <v>6527.52</v>
      </c>
      <c r="J529" s="4417"/>
      <c r="K529" s="2875"/>
      <c r="L529" s="2876"/>
      <c r="M529" s="2877"/>
      <c r="N529" s="4418">
        <v>815.94</v>
      </c>
      <c r="O529" s="4418"/>
      <c r="P529" s="4418"/>
      <c r="Q529" s="2875"/>
      <c r="R529" s="2877"/>
      <c r="S529" s="4417">
        <v>7343.46</v>
      </c>
      <c r="T529" s="4417"/>
    </row>
    <row r="530" spans="1:20" s="2867" customFormat="1" ht="24" hidden="1" customHeight="1" outlineLevel="4">
      <c r="A530" s="4416" t="s">
        <v>4564</v>
      </c>
      <c r="B530" s="4416"/>
      <c r="C530" s="4416"/>
      <c r="D530" s="4416"/>
      <c r="E530" s="4416"/>
      <c r="F530" s="2875"/>
      <c r="G530" s="2876"/>
      <c r="H530" s="2877"/>
      <c r="I530" s="4417">
        <v>6527.52</v>
      </c>
      <c r="J530" s="4417"/>
      <c r="K530" s="2875"/>
      <c r="L530" s="2876"/>
      <c r="M530" s="2877"/>
      <c r="N530" s="4418">
        <v>815.94</v>
      </c>
      <c r="O530" s="4418"/>
      <c r="P530" s="4418"/>
      <c r="Q530" s="2875"/>
      <c r="R530" s="2877"/>
      <c r="S530" s="4417">
        <v>7343.46</v>
      </c>
      <c r="T530" s="4417"/>
    </row>
    <row r="531" spans="1:20" s="2867" customFormat="1" ht="24" hidden="1" customHeight="1" outlineLevel="4">
      <c r="A531" s="4416" t="s">
        <v>4564</v>
      </c>
      <c r="B531" s="4416"/>
      <c r="C531" s="4416"/>
      <c r="D531" s="4416"/>
      <c r="E531" s="4416"/>
      <c r="F531" s="2875"/>
      <c r="G531" s="2876"/>
      <c r="H531" s="2877"/>
      <c r="I531" s="4417">
        <v>6527.52</v>
      </c>
      <c r="J531" s="4417"/>
      <c r="K531" s="2875"/>
      <c r="L531" s="2876"/>
      <c r="M531" s="2877"/>
      <c r="N531" s="4418">
        <v>815.94</v>
      </c>
      <c r="O531" s="4418"/>
      <c r="P531" s="4418"/>
      <c r="Q531" s="2875"/>
      <c r="R531" s="2877"/>
      <c r="S531" s="4417">
        <v>7343.46</v>
      </c>
      <c r="T531" s="4417"/>
    </row>
    <row r="532" spans="1:20" s="2867" customFormat="1" ht="24" hidden="1" customHeight="1" outlineLevel="4">
      <c r="A532" s="4416" t="s">
        <v>4564</v>
      </c>
      <c r="B532" s="4416"/>
      <c r="C532" s="4416"/>
      <c r="D532" s="4416"/>
      <c r="E532" s="4416"/>
      <c r="F532" s="2875"/>
      <c r="G532" s="2876"/>
      <c r="H532" s="2877"/>
      <c r="I532" s="4417">
        <v>6527.52</v>
      </c>
      <c r="J532" s="4417"/>
      <c r="K532" s="2875"/>
      <c r="L532" s="2876"/>
      <c r="M532" s="2877"/>
      <c r="N532" s="4418">
        <v>815.94</v>
      </c>
      <c r="O532" s="4418"/>
      <c r="P532" s="4418"/>
      <c r="Q532" s="2875"/>
      <c r="R532" s="2877"/>
      <c r="S532" s="4417">
        <v>7343.46</v>
      </c>
      <c r="T532" s="4417"/>
    </row>
    <row r="533" spans="1:20" s="2867" customFormat="1" ht="24" hidden="1" customHeight="1" outlineLevel="4">
      <c r="A533" s="4416" t="s">
        <v>4564</v>
      </c>
      <c r="B533" s="4416"/>
      <c r="C533" s="4416"/>
      <c r="D533" s="4416"/>
      <c r="E533" s="4416"/>
      <c r="F533" s="2875"/>
      <c r="G533" s="2876"/>
      <c r="H533" s="2877"/>
      <c r="I533" s="4417">
        <v>4976.16</v>
      </c>
      <c r="J533" s="4417"/>
      <c r="K533" s="2875"/>
      <c r="L533" s="2876"/>
      <c r="M533" s="2877"/>
      <c r="N533" s="4418">
        <v>622.02</v>
      </c>
      <c r="O533" s="4418"/>
      <c r="P533" s="4418"/>
      <c r="Q533" s="2875"/>
      <c r="R533" s="2877"/>
      <c r="S533" s="4417">
        <v>5598.18</v>
      </c>
      <c r="T533" s="4417"/>
    </row>
    <row r="534" spans="1:20" s="2867" customFormat="1" ht="24" hidden="1" customHeight="1" outlineLevel="4">
      <c r="A534" s="4416" t="s">
        <v>4564</v>
      </c>
      <c r="B534" s="4416"/>
      <c r="C534" s="4416"/>
      <c r="D534" s="4416"/>
      <c r="E534" s="4416"/>
      <c r="F534" s="2875"/>
      <c r="G534" s="2876"/>
      <c r="H534" s="2877"/>
      <c r="I534" s="4417">
        <v>4976.16</v>
      </c>
      <c r="J534" s="4417"/>
      <c r="K534" s="2875"/>
      <c r="L534" s="2876"/>
      <c r="M534" s="2877"/>
      <c r="N534" s="4418">
        <v>622.02</v>
      </c>
      <c r="O534" s="4418"/>
      <c r="P534" s="4418"/>
      <c r="Q534" s="2875"/>
      <c r="R534" s="2877"/>
      <c r="S534" s="4417">
        <v>5598.18</v>
      </c>
      <c r="T534" s="4417"/>
    </row>
    <row r="535" spans="1:20" s="2867" customFormat="1" ht="24" hidden="1" customHeight="1" outlineLevel="4">
      <c r="A535" s="4416" t="s">
        <v>4564</v>
      </c>
      <c r="B535" s="4416"/>
      <c r="C535" s="4416"/>
      <c r="D535" s="4416"/>
      <c r="E535" s="4416"/>
      <c r="F535" s="2875"/>
      <c r="G535" s="2876"/>
      <c r="H535" s="2877"/>
      <c r="I535" s="4417">
        <v>4976.32</v>
      </c>
      <c r="J535" s="4417"/>
      <c r="K535" s="2875"/>
      <c r="L535" s="2876"/>
      <c r="M535" s="2877"/>
      <c r="N535" s="4418">
        <v>622.04</v>
      </c>
      <c r="O535" s="4418"/>
      <c r="P535" s="4418"/>
      <c r="Q535" s="2875"/>
      <c r="R535" s="2877"/>
      <c r="S535" s="4417">
        <v>5598.36</v>
      </c>
      <c r="T535" s="4417"/>
    </row>
    <row r="536" spans="1:20" s="2867" customFormat="1" ht="24" hidden="1" customHeight="1" outlineLevel="4">
      <c r="A536" s="4416" t="s">
        <v>4564</v>
      </c>
      <c r="B536" s="4416"/>
      <c r="C536" s="4416"/>
      <c r="D536" s="4416"/>
      <c r="E536" s="4416"/>
      <c r="F536" s="2875"/>
      <c r="G536" s="2876"/>
      <c r="H536" s="2877"/>
      <c r="I536" s="4417">
        <v>4976.32</v>
      </c>
      <c r="J536" s="4417"/>
      <c r="K536" s="2875"/>
      <c r="L536" s="2876"/>
      <c r="M536" s="2877"/>
      <c r="N536" s="4418">
        <v>622.04</v>
      </c>
      <c r="O536" s="4418"/>
      <c r="P536" s="4418"/>
      <c r="Q536" s="2875"/>
      <c r="R536" s="2877"/>
      <c r="S536" s="4417">
        <v>5598.36</v>
      </c>
      <c r="T536" s="4417"/>
    </row>
    <row r="537" spans="1:20" s="2867" customFormat="1" ht="24" hidden="1" customHeight="1" outlineLevel="4">
      <c r="A537" s="4416" t="s">
        <v>792</v>
      </c>
      <c r="B537" s="4416"/>
      <c r="C537" s="4416"/>
      <c r="D537" s="4416"/>
      <c r="E537" s="4416"/>
      <c r="F537" s="2875"/>
      <c r="G537" s="2876"/>
      <c r="H537" s="2877"/>
      <c r="I537" s="4417">
        <v>8221.52</v>
      </c>
      <c r="J537" s="4417"/>
      <c r="K537" s="2875"/>
      <c r="L537" s="2876"/>
      <c r="M537" s="2877"/>
      <c r="N537" s="4417">
        <v>1027.69</v>
      </c>
      <c r="O537" s="4417"/>
      <c r="P537" s="4417"/>
      <c r="Q537" s="2875"/>
      <c r="R537" s="2877"/>
      <c r="S537" s="4417">
        <v>9249.2099999999991</v>
      </c>
      <c r="T537" s="4417"/>
    </row>
    <row r="538" spans="1:20" s="2867" customFormat="1" ht="24" hidden="1" customHeight="1" outlineLevel="4">
      <c r="A538" s="4416" t="s">
        <v>792</v>
      </c>
      <c r="B538" s="4416"/>
      <c r="C538" s="4416"/>
      <c r="D538" s="4416"/>
      <c r="E538" s="4416"/>
      <c r="F538" s="2875"/>
      <c r="G538" s="2876"/>
      <c r="H538" s="2877"/>
      <c r="I538" s="4417">
        <v>8221.6</v>
      </c>
      <c r="J538" s="4417"/>
      <c r="K538" s="2875"/>
      <c r="L538" s="2876"/>
      <c r="M538" s="2877"/>
      <c r="N538" s="4417">
        <v>1027.7</v>
      </c>
      <c r="O538" s="4417"/>
      <c r="P538" s="4417"/>
      <c r="Q538" s="2875"/>
      <c r="R538" s="2877"/>
      <c r="S538" s="4417">
        <v>9249.2999999999993</v>
      </c>
      <c r="T538" s="4417"/>
    </row>
    <row r="539" spans="1:20" s="2867" customFormat="1" ht="24" hidden="1" customHeight="1" outlineLevel="4">
      <c r="A539" s="4416" t="s">
        <v>4565</v>
      </c>
      <c r="B539" s="4416"/>
      <c r="C539" s="4416"/>
      <c r="D539" s="4416"/>
      <c r="E539" s="4416"/>
      <c r="F539" s="2875"/>
      <c r="G539" s="2876"/>
      <c r="H539" s="2877"/>
      <c r="I539" s="4417">
        <v>4053.68</v>
      </c>
      <c r="J539" s="4417"/>
      <c r="K539" s="2875"/>
      <c r="L539" s="2876"/>
      <c r="M539" s="2877"/>
      <c r="N539" s="4418">
        <v>506.71</v>
      </c>
      <c r="O539" s="4418"/>
      <c r="P539" s="4418"/>
      <c r="Q539" s="2875"/>
      <c r="R539" s="2877"/>
      <c r="S539" s="4417">
        <v>4560.3900000000003</v>
      </c>
      <c r="T539" s="4417"/>
    </row>
    <row r="540" spans="1:20" s="2867" customFormat="1" ht="24" hidden="1" customHeight="1" outlineLevel="4">
      <c r="A540" s="4416" t="s">
        <v>4566</v>
      </c>
      <c r="B540" s="4416"/>
      <c r="C540" s="4416"/>
      <c r="D540" s="4416"/>
      <c r="E540" s="4416"/>
      <c r="F540" s="2875"/>
      <c r="G540" s="2876"/>
      <c r="H540" s="2877"/>
      <c r="I540" s="4417">
        <v>4015.2</v>
      </c>
      <c r="J540" s="4417"/>
      <c r="K540" s="2875"/>
      <c r="L540" s="2876"/>
      <c r="M540" s="2877"/>
      <c r="N540" s="4418">
        <v>501.9</v>
      </c>
      <c r="O540" s="4418"/>
      <c r="P540" s="4418"/>
      <c r="Q540" s="2875"/>
      <c r="R540" s="2877"/>
      <c r="S540" s="4417">
        <v>4517.1000000000004</v>
      </c>
      <c r="T540" s="4417"/>
    </row>
    <row r="541" spans="1:20" s="2867" customFormat="1" ht="24" hidden="1" customHeight="1" outlineLevel="4">
      <c r="A541" s="4416" t="s">
        <v>4566</v>
      </c>
      <c r="B541" s="4416"/>
      <c r="C541" s="4416"/>
      <c r="D541" s="4416"/>
      <c r="E541" s="4416"/>
      <c r="F541" s="2875"/>
      <c r="G541" s="2876"/>
      <c r="H541" s="2877"/>
      <c r="I541" s="4417">
        <v>4015.2</v>
      </c>
      <c r="J541" s="4417"/>
      <c r="K541" s="2875"/>
      <c r="L541" s="2876"/>
      <c r="M541" s="2877"/>
      <c r="N541" s="4418">
        <v>501.9</v>
      </c>
      <c r="O541" s="4418"/>
      <c r="P541" s="4418"/>
      <c r="Q541" s="2875"/>
      <c r="R541" s="2877"/>
      <c r="S541" s="4417">
        <v>4517.1000000000004</v>
      </c>
      <c r="T541" s="4417"/>
    </row>
    <row r="542" spans="1:20" s="2867" customFormat="1" ht="24" hidden="1" customHeight="1" outlineLevel="4">
      <c r="A542" s="4416" t="s">
        <v>4566</v>
      </c>
      <c r="B542" s="4416"/>
      <c r="C542" s="4416"/>
      <c r="D542" s="4416"/>
      <c r="E542" s="4416"/>
      <c r="F542" s="2875"/>
      <c r="G542" s="2876"/>
      <c r="H542" s="2877"/>
      <c r="I542" s="4417">
        <v>4015.36</v>
      </c>
      <c r="J542" s="4417"/>
      <c r="K542" s="2875"/>
      <c r="L542" s="2876"/>
      <c r="M542" s="2877"/>
      <c r="N542" s="4418">
        <v>501.92</v>
      </c>
      <c r="O542" s="4418"/>
      <c r="P542" s="4418"/>
      <c r="Q542" s="2875"/>
      <c r="R542" s="2877"/>
      <c r="S542" s="4417">
        <v>4517.28</v>
      </c>
      <c r="T542" s="4417"/>
    </row>
    <row r="543" spans="1:20" s="2867" customFormat="1" ht="24" hidden="1" customHeight="1" outlineLevel="4">
      <c r="A543" s="4416" t="s">
        <v>4566</v>
      </c>
      <c r="B543" s="4416"/>
      <c r="C543" s="4416"/>
      <c r="D543" s="4416"/>
      <c r="E543" s="4416"/>
      <c r="F543" s="2875"/>
      <c r="G543" s="2876"/>
      <c r="H543" s="2877"/>
      <c r="I543" s="4417">
        <v>4015.36</v>
      </c>
      <c r="J543" s="4417"/>
      <c r="K543" s="2875"/>
      <c r="L543" s="2876"/>
      <c r="M543" s="2877"/>
      <c r="N543" s="4418">
        <v>501.92</v>
      </c>
      <c r="O543" s="4418"/>
      <c r="P543" s="4418"/>
      <c r="Q543" s="2875"/>
      <c r="R543" s="2877"/>
      <c r="S543" s="4417">
        <v>4517.28</v>
      </c>
      <c r="T543" s="4417"/>
    </row>
    <row r="544" spans="1:20" s="2867" customFormat="1" ht="24" hidden="1" customHeight="1" outlineLevel="4">
      <c r="A544" s="4416" t="s">
        <v>4566</v>
      </c>
      <c r="B544" s="4416"/>
      <c r="C544" s="4416"/>
      <c r="D544" s="4416"/>
      <c r="E544" s="4416"/>
      <c r="F544" s="2875"/>
      <c r="G544" s="2876"/>
      <c r="H544" s="2877"/>
      <c r="I544" s="4417">
        <v>4015.36</v>
      </c>
      <c r="J544" s="4417"/>
      <c r="K544" s="2875"/>
      <c r="L544" s="2876"/>
      <c r="M544" s="2877"/>
      <c r="N544" s="4418">
        <v>501.92</v>
      </c>
      <c r="O544" s="4418"/>
      <c r="P544" s="4418"/>
      <c r="Q544" s="2875"/>
      <c r="R544" s="2877"/>
      <c r="S544" s="4417">
        <v>4517.28</v>
      </c>
      <c r="T544" s="4417"/>
    </row>
    <row r="545" spans="1:20" s="2867" customFormat="1" ht="24" hidden="1" customHeight="1" outlineLevel="4">
      <c r="A545" s="4416" t="s">
        <v>4566</v>
      </c>
      <c r="B545" s="4416"/>
      <c r="C545" s="4416"/>
      <c r="D545" s="4416"/>
      <c r="E545" s="4416"/>
      <c r="F545" s="2875"/>
      <c r="G545" s="2876"/>
      <c r="H545" s="2877"/>
      <c r="I545" s="4417">
        <v>4015.36</v>
      </c>
      <c r="J545" s="4417"/>
      <c r="K545" s="2875"/>
      <c r="L545" s="2876"/>
      <c r="M545" s="2877"/>
      <c r="N545" s="4418">
        <v>501.92</v>
      </c>
      <c r="O545" s="4418"/>
      <c r="P545" s="4418"/>
      <c r="Q545" s="2875"/>
      <c r="R545" s="2877"/>
      <c r="S545" s="4417">
        <v>4517.28</v>
      </c>
      <c r="T545" s="4417"/>
    </row>
    <row r="546" spans="1:20" s="2867" customFormat="1" ht="24" hidden="1" customHeight="1" outlineLevel="4">
      <c r="A546" s="4416" t="s">
        <v>4566</v>
      </c>
      <c r="B546" s="4416"/>
      <c r="C546" s="4416"/>
      <c r="D546" s="4416"/>
      <c r="E546" s="4416"/>
      <c r="F546" s="2875"/>
      <c r="G546" s="2876"/>
      <c r="H546" s="2877"/>
      <c r="I546" s="4417">
        <v>4015.36</v>
      </c>
      <c r="J546" s="4417"/>
      <c r="K546" s="2875"/>
      <c r="L546" s="2876"/>
      <c r="M546" s="2877"/>
      <c r="N546" s="4418">
        <v>501.92</v>
      </c>
      <c r="O546" s="4418"/>
      <c r="P546" s="4418"/>
      <c r="Q546" s="2875"/>
      <c r="R546" s="2877"/>
      <c r="S546" s="4417">
        <v>4517.28</v>
      </c>
      <c r="T546" s="4417"/>
    </row>
    <row r="547" spans="1:20" s="2867" customFormat="1" ht="24" hidden="1" customHeight="1" outlineLevel="4">
      <c r="A547" s="4416" t="s">
        <v>4566</v>
      </c>
      <c r="B547" s="4416"/>
      <c r="C547" s="4416"/>
      <c r="D547" s="4416"/>
      <c r="E547" s="4416"/>
      <c r="F547" s="2875"/>
      <c r="G547" s="2876"/>
      <c r="H547" s="2877"/>
      <c r="I547" s="4417">
        <v>4015.36</v>
      </c>
      <c r="J547" s="4417"/>
      <c r="K547" s="2875"/>
      <c r="L547" s="2876"/>
      <c r="M547" s="2877"/>
      <c r="N547" s="4418">
        <v>501.92</v>
      </c>
      <c r="O547" s="4418"/>
      <c r="P547" s="4418"/>
      <c r="Q547" s="2875"/>
      <c r="R547" s="2877"/>
      <c r="S547" s="4417">
        <v>4517.28</v>
      </c>
      <c r="T547" s="4417"/>
    </row>
    <row r="548" spans="1:20" s="2867" customFormat="1" ht="24" hidden="1" customHeight="1" outlineLevel="4">
      <c r="A548" s="4416" t="s">
        <v>4566</v>
      </c>
      <c r="B548" s="4416"/>
      <c r="C548" s="4416"/>
      <c r="D548" s="4416"/>
      <c r="E548" s="4416"/>
      <c r="F548" s="2875"/>
      <c r="G548" s="2876"/>
      <c r="H548" s="2877"/>
      <c r="I548" s="4417">
        <v>5211.04</v>
      </c>
      <c r="J548" s="4417"/>
      <c r="K548" s="2875"/>
      <c r="L548" s="2876"/>
      <c r="M548" s="2877"/>
      <c r="N548" s="4418">
        <v>651.38</v>
      </c>
      <c r="O548" s="4418"/>
      <c r="P548" s="4418"/>
      <c r="Q548" s="2875"/>
      <c r="R548" s="2877"/>
      <c r="S548" s="4417">
        <v>5862.42</v>
      </c>
      <c r="T548" s="4417"/>
    </row>
    <row r="549" spans="1:20" s="2867" customFormat="1" ht="24" hidden="1" customHeight="1" outlineLevel="4">
      <c r="A549" s="4416" t="s">
        <v>4566</v>
      </c>
      <c r="B549" s="4416"/>
      <c r="C549" s="4416"/>
      <c r="D549" s="4416"/>
      <c r="E549" s="4416"/>
      <c r="F549" s="2875"/>
      <c r="G549" s="2876"/>
      <c r="H549" s="2877"/>
      <c r="I549" s="4417">
        <v>5211.04</v>
      </c>
      <c r="J549" s="4417"/>
      <c r="K549" s="2875"/>
      <c r="L549" s="2876"/>
      <c r="M549" s="2877"/>
      <c r="N549" s="4418">
        <v>651.38</v>
      </c>
      <c r="O549" s="4418"/>
      <c r="P549" s="4418"/>
      <c r="Q549" s="2875"/>
      <c r="R549" s="2877"/>
      <c r="S549" s="4417">
        <v>5862.42</v>
      </c>
      <c r="T549" s="4417"/>
    </row>
    <row r="550" spans="1:20" s="2867" customFormat="1" ht="24" hidden="1" customHeight="1" outlineLevel="4">
      <c r="A550" s="4416" t="s">
        <v>4566</v>
      </c>
      <c r="B550" s="4416"/>
      <c r="C550" s="4416"/>
      <c r="D550" s="4416"/>
      <c r="E550" s="4416"/>
      <c r="F550" s="2875"/>
      <c r="G550" s="2876"/>
      <c r="H550" s="2877"/>
      <c r="I550" s="4417">
        <v>5211.12</v>
      </c>
      <c r="J550" s="4417"/>
      <c r="K550" s="2875"/>
      <c r="L550" s="2876"/>
      <c r="M550" s="2877"/>
      <c r="N550" s="4418">
        <v>651.39</v>
      </c>
      <c r="O550" s="4418"/>
      <c r="P550" s="4418"/>
      <c r="Q550" s="2875"/>
      <c r="R550" s="2877"/>
      <c r="S550" s="4417">
        <v>5862.51</v>
      </c>
      <c r="T550" s="4417"/>
    </row>
    <row r="551" spans="1:20" s="2867" customFormat="1" ht="24" hidden="1" customHeight="1" outlineLevel="4">
      <c r="A551" s="4416" t="s">
        <v>4566</v>
      </c>
      <c r="B551" s="4416"/>
      <c r="C551" s="4416"/>
      <c r="D551" s="4416"/>
      <c r="E551" s="4416"/>
      <c r="F551" s="2875"/>
      <c r="G551" s="2876"/>
      <c r="H551" s="2877"/>
      <c r="I551" s="4417">
        <v>4976.16</v>
      </c>
      <c r="J551" s="4417"/>
      <c r="K551" s="2875"/>
      <c r="L551" s="2876"/>
      <c r="M551" s="2877"/>
      <c r="N551" s="4418">
        <v>622.02</v>
      </c>
      <c r="O551" s="4418"/>
      <c r="P551" s="4418"/>
      <c r="Q551" s="2875"/>
      <c r="R551" s="2877"/>
      <c r="S551" s="4417">
        <v>5598.18</v>
      </c>
      <c r="T551" s="4417"/>
    </row>
    <row r="552" spans="1:20" s="2867" customFormat="1" ht="24" hidden="1" customHeight="1" outlineLevel="4">
      <c r="A552" s="4416" t="s">
        <v>4566</v>
      </c>
      <c r="B552" s="4416"/>
      <c r="C552" s="4416"/>
      <c r="D552" s="4416"/>
      <c r="E552" s="4416"/>
      <c r="F552" s="2875"/>
      <c r="G552" s="2876"/>
      <c r="H552" s="2877"/>
      <c r="I552" s="4417">
        <v>4976.16</v>
      </c>
      <c r="J552" s="4417"/>
      <c r="K552" s="2875"/>
      <c r="L552" s="2876"/>
      <c r="M552" s="2877"/>
      <c r="N552" s="4418">
        <v>622.02</v>
      </c>
      <c r="O552" s="4418"/>
      <c r="P552" s="4418"/>
      <c r="Q552" s="2875"/>
      <c r="R552" s="2877"/>
      <c r="S552" s="4417">
        <v>5598.18</v>
      </c>
      <c r="T552" s="4417"/>
    </row>
    <row r="553" spans="1:20" s="2867" customFormat="1" ht="24" hidden="1" customHeight="1" outlineLevel="4">
      <c r="A553" s="4416" t="s">
        <v>4566</v>
      </c>
      <c r="B553" s="4416"/>
      <c r="C553" s="4416"/>
      <c r="D553" s="4416"/>
      <c r="E553" s="4416"/>
      <c r="F553" s="2875"/>
      <c r="G553" s="2876"/>
      <c r="H553" s="2877"/>
      <c r="I553" s="4417">
        <v>4976.16</v>
      </c>
      <c r="J553" s="4417"/>
      <c r="K553" s="2875"/>
      <c r="L553" s="2876"/>
      <c r="M553" s="2877"/>
      <c r="N553" s="4418">
        <v>622.02</v>
      </c>
      <c r="O553" s="4418"/>
      <c r="P553" s="4418"/>
      <c r="Q553" s="2875"/>
      <c r="R553" s="2877"/>
      <c r="S553" s="4417">
        <v>5598.18</v>
      </c>
      <c r="T553" s="4417"/>
    </row>
    <row r="554" spans="1:20" s="2867" customFormat="1" ht="24" hidden="1" customHeight="1" outlineLevel="4">
      <c r="A554" s="4416" t="s">
        <v>4566</v>
      </c>
      <c r="B554" s="4416"/>
      <c r="C554" s="4416"/>
      <c r="D554" s="4416"/>
      <c r="E554" s="4416"/>
      <c r="F554" s="2875"/>
      <c r="G554" s="2876"/>
      <c r="H554" s="2877"/>
      <c r="I554" s="4417">
        <v>4976.16</v>
      </c>
      <c r="J554" s="4417"/>
      <c r="K554" s="2875"/>
      <c r="L554" s="2876"/>
      <c r="M554" s="2877"/>
      <c r="N554" s="4418">
        <v>622.02</v>
      </c>
      <c r="O554" s="4418"/>
      <c r="P554" s="4418"/>
      <c r="Q554" s="2875"/>
      <c r="R554" s="2877"/>
      <c r="S554" s="4417">
        <v>5598.18</v>
      </c>
      <c r="T554" s="4417"/>
    </row>
    <row r="555" spans="1:20" s="2867" customFormat="1" ht="24" hidden="1" customHeight="1" outlineLevel="4">
      <c r="A555" s="4416" t="s">
        <v>4566</v>
      </c>
      <c r="B555" s="4416"/>
      <c r="C555" s="4416"/>
      <c r="D555" s="4416"/>
      <c r="E555" s="4416"/>
      <c r="F555" s="2875"/>
      <c r="G555" s="2876"/>
      <c r="H555" s="2877"/>
      <c r="I555" s="4417">
        <v>4976.32</v>
      </c>
      <c r="J555" s="4417"/>
      <c r="K555" s="2875"/>
      <c r="L555" s="2876"/>
      <c r="M555" s="2877"/>
      <c r="N555" s="4418">
        <v>622.04</v>
      </c>
      <c r="O555" s="4418"/>
      <c r="P555" s="4418"/>
      <c r="Q555" s="2875"/>
      <c r="R555" s="2877"/>
      <c r="S555" s="4417">
        <v>5598.36</v>
      </c>
      <c r="T555" s="4417"/>
    </row>
    <row r="556" spans="1:20" s="2867" customFormat="1" ht="24" hidden="1" customHeight="1" outlineLevel="4">
      <c r="A556" s="4416" t="s">
        <v>4566</v>
      </c>
      <c r="B556" s="4416"/>
      <c r="C556" s="4416"/>
      <c r="D556" s="4416"/>
      <c r="E556" s="4416"/>
      <c r="F556" s="2875"/>
      <c r="G556" s="2876"/>
      <c r="H556" s="2877"/>
      <c r="I556" s="4417">
        <v>4976.32</v>
      </c>
      <c r="J556" s="4417"/>
      <c r="K556" s="2875"/>
      <c r="L556" s="2876"/>
      <c r="M556" s="2877"/>
      <c r="N556" s="4418">
        <v>622.04</v>
      </c>
      <c r="O556" s="4418"/>
      <c r="P556" s="4418"/>
      <c r="Q556" s="2875"/>
      <c r="R556" s="2877"/>
      <c r="S556" s="4417">
        <v>5598.36</v>
      </c>
      <c r="T556" s="4417"/>
    </row>
    <row r="557" spans="1:20" s="2867" customFormat="1" ht="24" hidden="1" customHeight="1" outlineLevel="4">
      <c r="A557" s="4416" t="s">
        <v>4566</v>
      </c>
      <c r="B557" s="4416"/>
      <c r="C557" s="4416"/>
      <c r="D557" s="4416"/>
      <c r="E557" s="4416"/>
      <c r="F557" s="2875"/>
      <c r="G557" s="2876"/>
      <c r="H557" s="2877"/>
      <c r="I557" s="4417">
        <v>4976.32</v>
      </c>
      <c r="J557" s="4417"/>
      <c r="K557" s="2875"/>
      <c r="L557" s="2876"/>
      <c r="M557" s="2877"/>
      <c r="N557" s="4418">
        <v>622.04</v>
      </c>
      <c r="O557" s="4418"/>
      <c r="P557" s="4418"/>
      <c r="Q557" s="2875"/>
      <c r="R557" s="2877"/>
      <c r="S557" s="4417">
        <v>5598.36</v>
      </c>
      <c r="T557" s="4417"/>
    </row>
    <row r="558" spans="1:20" s="2867" customFormat="1" ht="24" hidden="1" customHeight="1" outlineLevel="4">
      <c r="A558" s="4416" t="s">
        <v>963</v>
      </c>
      <c r="B558" s="4416"/>
      <c r="C558" s="4416"/>
      <c r="D558" s="4416"/>
      <c r="E558" s="4416"/>
      <c r="F558" s="2875"/>
      <c r="G558" s="2876"/>
      <c r="H558" s="2877"/>
      <c r="I558" s="4417">
        <v>6527.52</v>
      </c>
      <c r="J558" s="4417"/>
      <c r="K558" s="2875"/>
      <c r="L558" s="2876"/>
      <c r="M558" s="2877"/>
      <c r="N558" s="4418">
        <v>815.94</v>
      </c>
      <c r="O558" s="4418"/>
      <c r="P558" s="4418"/>
      <c r="Q558" s="2875"/>
      <c r="R558" s="2877"/>
      <c r="S558" s="4417">
        <v>7343.46</v>
      </c>
      <c r="T558" s="4417"/>
    </row>
    <row r="559" spans="1:20" s="2867" customFormat="1" ht="24" hidden="1" customHeight="1" outlineLevel="4">
      <c r="A559" s="4416" t="s">
        <v>964</v>
      </c>
      <c r="B559" s="4416"/>
      <c r="C559" s="4416"/>
      <c r="D559" s="4416"/>
      <c r="E559" s="4416"/>
      <c r="F559" s="2875"/>
      <c r="G559" s="2876"/>
      <c r="H559" s="2877"/>
      <c r="I559" s="4417">
        <v>5924.64</v>
      </c>
      <c r="J559" s="4417"/>
      <c r="K559" s="2875"/>
      <c r="L559" s="2876"/>
      <c r="M559" s="2877"/>
      <c r="N559" s="4418">
        <v>740.58</v>
      </c>
      <c r="O559" s="4418"/>
      <c r="P559" s="4418"/>
      <c r="Q559" s="2875"/>
      <c r="R559" s="2877"/>
      <c r="S559" s="4417">
        <v>6665.22</v>
      </c>
      <c r="T559" s="4417"/>
    </row>
    <row r="560" spans="1:20" s="2867" customFormat="1" ht="24" hidden="1" customHeight="1" outlineLevel="4">
      <c r="A560" s="4416" t="s">
        <v>964</v>
      </c>
      <c r="B560" s="4416"/>
      <c r="C560" s="4416"/>
      <c r="D560" s="4416"/>
      <c r="E560" s="4416"/>
      <c r="F560" s="2875"/>
      <c r="G560" s="2876"/>
      <c r="H560" s="2877"/>
      <c r="I560" s="4417">
        <v>5924.8</v>
      </c>
      <c r="J560" s="4417"/>
      <c r="K560" s="2875"/>
      <c r="L560" s="2876"/>
      <c r="M560" s="2877"/>
      <c r="N560" s="4418">
        <v>740.6</v>
      </c>
      <c r="O560" s="4418"/>
      <c r="P560" s="4418"/>
      <c r="Q560" s="2875"/>
      <c r="R560" s="2877"/>
      <c r="S560" s="4417">
        <v>6665.4</v>
      </c>
      <c r="T560" s="4417"/>
    </row>
    <row r="561" spans="1:20" s="2867" customFormat="1" ht="24" hidden="1" customHeight="1" outlineLevel="4">
      <c r="A561" s="4416" t="s">
        <v>965</v>
      </c>
      <c r="B561" s="4416"/>
      <c r="C561" s="4416"/>
      <c r="D561" s="4416"/>
      <c r="E561" s="4416"/>
      <c r="F561" s="2875"/>
      <c r="G561" s="2876"/>
      <c r="H561" s="2877"/>
      <c r="I561" s="4417">
        <v>5924.64</v>
      </c>
      <c r="J561" s="4417"/>
      <c r="K561" s="2875"/>
      <c r="L561" s="2876"/>
      <c r="M561" s="2877"/>
      <c r="N561" s="4418">
        <v>740.58</v>
      </c>
      <c r="O561" s="4418"/>
      <c r="P561" s="4418"/>
      <c r="Q561" s="2875"/>
      <c r="R561" s="2877"/>
      <c r="S561" s="4417">
        <v>6665.22</v>
      </c>
      <c r="T561" s="4417"/>
    </row>
    <row r="562" spans="1:20" s="2867" customFormat="1" ht="24" hidden="1" customHeight="1" outlineLevel="4">
      <c r="A562" s="4416" t="s">
        <v>965</v>
      </c>
      <c r="B562" s="4416"/>
      <c r="C562" s="4416"/>
      <c r="D562" s="4416"/>
      <c r="E562" s="4416"/>
      <c r="F562" s="2875"/>
      <c r="G562" s="2876"/>
      <c r="H562" s="2877"/>
      <c r="I562" s="4417">
        <v>5924.8</v>
      </c>
      <c r="J562" s="4417"/>
      <c r="K562" s="2875"/>
      <c r="L562" s="2876"/>
      <c r="M562" s="2877"/>
      <c r="N562" s="4418">
        <v>740.6</v>
      </c>
      <c r="O562" s="4418"/>
      <c r="P562" s="4418"/>
      <c r="Q562" s="2875"/>
      <c r="R562" s="2877"/>
      <c r="S562" s="4417">
        <v>6665.4</v>
      </c>
      <c r="T562" s="4417"/>
    </row>
    <row r="563" spans="1:20" s="2867" customFormat="1" ht="24" hidden="1" customHeight="1" outlineLevel="4">
      <c r="A563" s="4416" t="s">
        <v>895</v>
      </c>
      <c r="B563" s="4416"/>
      <c r="C563" s="4416"/>
      <c r="D563" s="4416"/>
      <c r="E563" s="4416"/>
      <c r="F563" s="2875"/>
      <c r="G563" s="2876"/>
      <c r="H563" s="2877"/>
      <c r="I563" s="4417">
        <v>3764.88</v>
      </c>
      <c r="J563" s="4417"/>
      <c r="K563" s="2875"/>
      <c r="L563" s="2876"/>
      <c r="M563" s="2877"/>
      <c r="N563" s="4418">
        <v>470.61</v>
      </c>
      <c r="O563" s="4418"/>
      <c r="P563" s="4418"/>
      <c r="Q563" s="2875"/>
      <c r="R563" s="2877"/>
      <c r="S563" s="4417">
        <v>4235.49</v>
      </c>
      <c r="T563" s="4417"/>
    </row>
    <row r="564" spans="1:20" s="2867" customFormat="1" ht="24" hidden="1" customHeight="1" outlineLevel="4">
      <c r="A564" s="4416" t="s">
        <v>895</v>
      </c>
      <c r="B564" s="4416"/>
      <c r="C564" s="4416"/>
      <c r="D564" s="4416"/>
      <c r="E564" s="4416"/>
      <c r="F564" s="2875"/>
      <c r="G564" s="2876"/>
      <c r="H564" s="2877"/>
      <c r="I564" s="4417">
        <v>3764.96</v>
      </c>
      <c r="J564" s="4417"/>
      <c r="K564" s="2875"/>
      <c r="L564" s="2876"/>
      <c r="M564" s="2877"/>
      <c r="N564" s="4418">
        <v>470.62</v>
      </c>
      <c r="O564" s="4418"/>
      <c r="P564" s="4418"/>
      <c r="Q564" s="2875"/>
      <c r="R564" s="2877"/>
      <c r="S564" s="4417">
        <v>4235.58</v>
      </c>
      <c r="T564" s="4417"/>
    </row>
    <row r="565" spans="1:20" s="2867" customFormat="1" ht="24" hidden="1" customHeight="1" outlineLevel="4">
      <c r="A565" s="4416" t="s">
        <v>794</v>
      </c>
      <c r="B565" s="4416"/>
      <c r="C565" s="4416"/>
      <c r="D565" s="4416"/>
      <c r="E565" s="4416"/>
      <c r="F565" s="2875"/>
      <c r="G565" s="2876"/>
      <c r="H565" s="2877"/>
      <c r="I565" s="4417">
        <v>5924.64</v>
      </c>
      <c r="J565" s="4417"/>
      <c r="K565" s="2875"/>
      <c r="L565" s="2876"/>
      <c r="M565" s="2877"/>
      <c r="N565" s="4418">
        <v>740.58</v>
      </c>
      <c r="O565" s="4418"/>
      <c r="P565" s="4418"/>
      <c r="Q565" s="2875"/>
      <c r="R565" s="2877"/>
      <c r="S565" s="4417">
        <v>6665.22</v>
      </c>
      <c r="T565" s="4417"/>
    </row>
    <row r="566" spans="1:20" s="2867" customFormat="1" ht="24" hidden="1" customHeight="1" outlineLevel="4">
      <c r="A566" s="4416" t="s">
        <v>794</v>
      </c>
      <c r="B566" s="4416"/>
      <c r="C566" s="4416"/>
      <c r="D566" s="4416"/>
      <c r="E566" s="4416"/>
      <c r="F566" s="2875"/>
      <c r="G566" s="2876"/>
      <c r="H566" s="2877"/>
      <c r="I566" s="4417">
        <v>5924.8</v>
      </c>
      <c r="J566" s="4417"/>
      <c r="K566" s="2875"/>
      <c r="L566" s="2876"/>
      <c r="M566" s="2877"/>
      <c r="N566" s="4418">
        <v>740.6</v>
      </c>
      <c r="O566" s="4418"/>
      <c r="P566" s="4418"/>
      <c r="Q566" s="2875"/>
      <c r="R566" s="2877"/>
      <c r="S566" s="4417">
        <v>6665.4</v>
      </c>
      <c r="T566" s="4417"/>
    </row>
    <row r="567" spans="1:20" s="2867" customFormat="1" ht="24" hidden="1" customHeight="1" outlineLevel="4">
      <c r="A567" s="4416" t="s">
        <v>799</v>
      </c>
      <c r="B567" s="4416"/>
      <c r="C567" s="4416"/>
      <c r="D567" s="4416"/>
      <c r="E567" s="4416"/>
      <c r="F567" s="2875"/>
      <c r="G567" s="2876"/>
      <c r="H567" s="2877"/>
      <c r="I567" s="4417">
        <v>6956.8</v>
      </c>
      <c r="J567" s="4417"/>
      <c r="K567" s="2875"/>
      <c r="L567" s="2876"/>
      <c r="M567" s="2877"/>
      <c r="N567" s="4418">
        <v>869.6</v>
      </c>
      <c r="O567" s="4418"/>
      <c r="P567" s="4418"/>
      <c r="Q567" s="2875"/>
      <c r="R567" s="2877"/>
      <c r="S567" s="4417">
        <v>7826.4</v>
      </c>
      <c r="T567" s="4417"/>
    </row>
    <row r="568" spans="1:20" s="2867" customFormat="1" ht="24" hidden="1" customHeight="1" outlineLevel="4">
      <c r="A568" s="4416" t="s">
        <v>795</v>
      </c>
      <c r="B568" s="4416"/>
      <c r="C568" s="4416"/>
      <c r="D568" s="4416"/>
      <c r="E568" s="4416"/>
      <c r="F568" s="2875"/>
      <c r="G568" s="2876"/>
      <c r="H568" s="2877"/>
      <c r="I568" s="4417">
        <v>3311.68</v>
      </c>
      <c r="J568" s="4417"/>
      <c r="K568" s="2875"/>
      <c r="L568" s="2876"/>
      <c r="M568" s="2877"/>
      <c r="N568" s="4418">
        <v>413.96</v>
      </c>
      <c r="O568" s="4418"/>
      <c r="P568" s="4418"/>
      <c r="Q568" s="2875"/>
      <c r="R568" s="2877"/>
      <c r="S568" s="4417">
        <v>3725.64</v>
      </c>
      <c r="T568" s="4417"/>
    </row>
    <row r="569" spans="1:20" s="2867" customFormat="1" ht="24" hidden="1" customHeight="1" outlineLevel="4">
      <c r="A569" s="4416" t="s">
        <v>795</v>
      </c>
      <c r="B569" s="4416"/>
      <c r="C569" s="4416"/>
      <c r="D569" s="4416"/>
      <c r="E569" s="4416"/>
      <c r="F569" s="2875"/>
      <c r="G569" s="2876"/>
      <c r="H569" s="2877"/>
      <c r="I569" s="4417">
        <v>3311.68</v>
      </c>
      <c r="J569" s="4417"/>
      <c r="K569" s="2875"/>
      <c r="L569" s="2876"/>
      <c r="M569" s="2877"/>
      <c r="N569" s="4418">
        <v>413.96</v>
      </c>
      <c r="O569" s="4418"/>
      <c r="P569" s="4418"/>
      <c r="Q569" s="2875"/>
      <c r="R569" s="2877"/>
      <c r="S569" s="4417">
        <v>3725.64</v>
      </c>
      <c r="T569" s="4417"/>
    </row>
    <row r="570" spans="1:20" s="2867" customFormat="1" ht="24" hidden="1" customHeight="1" outlineLevel="4">
      <c r="A570" s="4416" t="s">
        <v>796</v>
      </c>
      <c r="B570" s="4416"/>
      <c r="C570" s="4416"/>
      <c r="D570" s="4416"/>
      <c r="E570" s="4416"/>
      <c r="F570" s="2875"/>
      <c r="G570" s="2876"/>
      <c r="H570" s="2877"/>
      <c r="I570" s="4417">
        <v>3144.48</v>
      </c>
      <c r="J570" s="4417"/>
      <c r="K570" s="2875"/>
      <c r="L570" s="2876"/>
      <c r="M570" s="2877"/>
      <c r="N570" s="4418">
        <v>393.06</v>
      </c>
      <c r="O570" s="4418"/>
      <c r="P570" s="4418"/>
      <c r="Q570" s="2875"/>
      <c r="R570" s="2877"/>
      <c r="S570" s="4417">
        <v>3537.54</v>
      </c>
      <c r="T570" s="4417"/>
    </row>
    <row r="571" spans="1:20" s="2867" customFormat="1" ht="24" hidden="1" customHeight="1" outlineLevel="4">
      <c r="A571" s="4416" t="s">
        <v>796</v>
      </c>
      <c r="B571" s="4416"/>
      <c r="C571" s="4416"/>
      <c r="D571" s="4416"/>
      <c r="E571" s="4416"/>
      <c r="F571" s="2875"/>
      <c r="G571" s="2876"/>
      <c r="H571" s="2877"/>
      <c r="I571" s="4417">
        <v>3144.48</v>
      </c>
      <c r="J571" s="4417"/>
      <c r="K571" s="2875"/>
      <c r="L571" s="2876"/>
      <c r="M571" s="2877"/>
      <c r="N571" s="4418">
        <v>393.06</v>
      </c>
      <c r="O571" s="4418"/>
      <c r="P571" s="4418"/>
      <c r="Q571" s="2875"/>
      <c r="R571" s="2877"/>
      <c r="S571" s="4417">
        <v>3537.54</v>
      </c>
      <c r="T571" s="4417"/>
    </row>
    <row r="572" spans="1:20" s="2867" customFormat="1" ht="24" hidden="1" customHeight="1" outlineLevel="4">
      <c r="A572" s="4416" t="s">
        <v>796</v>
      </c>
      <c r="B572" s="4416"/>
      <c r="C572" s="4416"/>
      <c r="D572" s="4416"/>
      <c r="E572" s="4416"/>
      <c r="F572" s="2875"/>
      <c r="G572" s="2876"/>
      <c r="H572" s="2877"/>
      <c r="I572" s="4417">
        <v>3144.48</v>
      </c>
      <c r="J572" s="4417"/>
      <c r="K572" s="2875"/>
      <c r="L572" s="2876"/>
      <c r="M572" s="2877"/>
      <c r="N572" s="4418">
        <v>393.06</v>
      </c>
      <c r="O572" s="4418"/>
      <c r="P572" s="4418"/>
      <c r="Q572" s="2875"/>
      <c r="R572" s="2877"/>
      <c r="S572" s="4417">
        <v>3537.54</v>
      </c>
      <c r="T572" s="4417"/>
    </row>
    <row r="573" spans="1:20" s="2867" customFormat="1" ht="24" hidden="1" customHeight="1" outlineLevel="4">
      <c r="A573" s="4416" t="s">
        <v>796</v>
      </c>
      <c r="B573" s="4416"/>
      <c r="C573" s="4416"/>
      <c r="D573" s="4416"/>
      <c r="E573" s="4416"/>
      <c r="F573" s="2875"/>
      <c r="G573" s="2876"/>
      <c r="H573" s="2877"/>
      <c r="I573" s="4417">
        <v>3144.48</v>
      </c>
      <c r="J573" s="4417"/>
      <c r="K573" s="2875"/>
      <c r="L573" s="2876"/>
      <c r="M573" s="2877"/>
      <c r="N573" s="4418">
        <v>393.06</v>
      </c>
      <c r="O573" s="4418"/>
      <c r="P573" s="4418"/>
      <c r="Q573" s="2875"/>
      <c r="R573" s="2877"/>
      <c r="S573" s="4417">
        <v>3537.54</v>
      </c>
      <c r="T573" s="4417"/>
    </row>
    <row r="574" spans="1:20" s="2867" customFormat="1" ht="24" hidden="1" customHeight="1" outlineLevel="4">
      <c r="A574" s="4416" t="s">
        <v>796</v>
      </c>
      <c r="B574" s="4416"/>
      <c r="C574" s="4416"/>
      <c r="D574" s="4416"/>
      <c r="E574" s="4416"/>
      <c r="F574" s="2875"/>
      <c r="G574" s="2876"/>
      <c r="H574" s="2877"/>
      <c r="I574" s="4417">
        <v>3144.48</v>
      </c>
      <c r="J574" s="4417"/>
      <c r="K574" s="2875"/>
      <c r="L574" s="2876"/>
      <c r="M574" s="2877"/>
      <c r="N574" s="4418">
        <v>393.06</v>
      </c>
      <c r="O574" s="4418"/>
      <c r="P574" s="4418"/>
      <c r="Q574" s="2875"/>
      <c r="R574" s="2877"/>
      <c r="S574" s="4417">
        <v>3537.54</v>
      </c>
      <c r="T574" s="4417"/>
    </row>
    <row r="575" spans="1:20" s="2867" customFormat="1" ht="24" hidden="1" customHeight="1" outlineLevel="4">
      <c r="A575" s="4416" t="s">
        <v>796</v>
      </c>
      <c r="B575" s="4416"/>
      <c r="C575" s="4416"/>
      <c r="D575" s="4416"/>
      <c r="E575" s="4416"/>
      <c r="F575" s="2875"/>
      <c r="G575" s="2876"/>
      <c r="H575" s="2877"/>
      <c r="I575" s="4417">
        <v>3144.56</v>
      </c>
      <c r="J575" s="4417"/>
      <c r="K575" s="2875"/>
      <c r="L575" s="2876"/>
      <c r="M575" s="2877"/>
      <c r="N575" s="4418">
        <v>393.07</v>
      </c>
      <c r="O575" s="4418"/>
      <c r="P575" s="4418"/>
      <c r="Q575" s="2875"/>
      <c r="R575" s="2877"/>
      <c r="S575" s="4417">
        <v>3537.63</v>
      </c>
      <c r="T575" s="4417"/>
    </row>
    <row r="576" spans="1:20" s="2867" customFormat="1" ht="24" hidden="1" customHeight="1" outlineLevel="4">
      <c r="A576" s="4416" t="s">
        <v>797</v>
      </c>
      <c r="B576" s="4416"/>
      <c r="C576" s="4416"/>
      <c r="D576" s="4416"/>
      <c r="E576" s="4416"/>
      <c r="F576" s="2875"/>
      <c r="G576" s="2876"/>
      <c r="H576" s="2877"/>
      <c r="I576" s="4417">
        <v>4976.16</v>
      </c>
      <c r="J576" s="4417"/>
      <c r="K576" s="2875"/>
      <c r="L576" s="2876"/>
      <c r="M576" s="2877"/>
      <c r="N576" s="4418">
        <v>622.02</v>
      </c>
      <c r="O576" s="4418"/>
      <c r="P576" s="4418"/>
      <c r="Q576" s="2875"/>
      <c r="R576" s="2877"/>
      <c r="S576" s="4417">
        <v>5598.18</v>
      </c>
      <c r="T576" s="4417"/>
    </row>
    <row r="577" spans="1:20" s="2867" customFormat="1" ht="24" hidden="1" customHeight="1" outlineLevel="4">
      <c r="A577" s="4416" t="s">
        <v>797</v>
      </c>
      <c r="B577" s="4416"/>
      <c r="C577" s="4416"/>
      <c r="D577" s="4416"/>
      <c r="E577" s="4416"/>
      <c r="F577" s="2875"/>
      <c r="G577" s="2876"/>
      <c r="H577" s="2877"/>
      <c r="I577" s="4417">
        <v>4976.16</v>
      </c>
      <c r="J577" s="4417"/>
      <c r="K577" s="2875"/>
      <c r="L577" s="2876"/>
      <c r="M577" s="2877"/>
      <c r="N577" s="4418">
        <v>622.02</v>
      </c>
      <c r="O577" s="4418"/>
      <c r="P577" s="4418"/>
      <c r="Q577" s="2875"/>
      <c r="R577" s="2877"/>
      <c r="S577" s="4417">
        <v>5598.18</v>
      </c>
      <c r="T577" s="4417"/>
    </row>
    <row r="578" spans="1:20" s="2867" customFormat="1" ht="24" hidden="1" customHeight="1" outlineLevel="4">
      <c r="A578" s="4416" t="s">
        <v>797</v>
      </c>
      <c r="B578" s="4416"/>
      <c r="C578" s="4416"/>
      <c r="D578" s="4416"/>
      <c r="E578" s="4416"/>
      <c r="F578" s="2875"/>
      <c r="G578" s="2876"/>
      <c r="H578" s="2877"/>
      <c r="I578" s="4417">
        <v>4976.32</v>
      </c>
      <c r="J578" s="4417"/>
      <c r="K578" s="2875"/>
      <c r="L578" s="2876"/>
      <c r="M578" s="2877"/>
      <c r="N578" s="4418">
        <v>622.04</v>
      </c>
      <c r="O578" s="4418"/>
      <c r="P578" s="4418"/>
      <c r="Q578" s="2875"/>
      <c r="R578" s="2877"/>
      <c r="S578" s="4417">
        <v>5598.36</v>
      </c>
      <c r="T578" s="4417"/>
    </row>
    <row r="579" spans="1:20" s="2867" customFormat="1" ht="36" hidden="1" customHeight="1" outlineLevel="4">
      <c r="A579" s="4416" t="s">
        <v>4567</v>
      </c>
      <c r="B579" s="4416"/>
      <c r="C579" s="4416"/>
      <c r="D579" s="4416"/>
      <c r="E579" s="4416"/>
      <c r="F579" s="2875"/>
      <c r="G579" s="2876"/>
      <c r="H579" s="2877"/>
      <c r="I579" s="4417">
        <v>3311.68</v>
      </c>
      <c r="J579" s="4417"/>
      <c r="K579" s="2875"/>
      <c r="L579" s="2876"/>
      <c r="M579" s="2877"/>
      <c r="N579" s="4418">
        <v>413.96</v>
      </c>
      <c r="O579" s="4418"/>
      <c r="P579" s="4418"/>
      <c r="Q579" s="2875"/>
      <c r="R579" s="2877"/>
      <c r="S579" s="4417">
        <v>3725.64</v>
      </c>
      <c r="T579" s="4417"/>
    </row>
    <row r="580" spans="1:20" s="2867" customFormat="1" ht="36" hidden="1" customHeight="1" outlineLevel="4">
      <c r="A580" s="4416" t="s">
        <v>4567</v>
      </c>
      <c r="B580" s="4416"/>
      <c r="C580" s="4416"/>
      <c r="D580" s="4416"/>
      <c r="E580" s="4416"/>
      <c r="F580" s="2875"/>
      <c r="G580" s="2876"/>
      <c r="H580" s="2877"/>
      <c r="I580" s="4417">
        <v>3311.68</v>
      </c>
      <c r="J580" s="4417"/>
      <c r="K580" s="2875"/>
      <c r="L580" s="2876"/>
      <c r="M580" s="2877"/>
      <c r="N580" s="4418">
        <v>413.96</v>
      </c>
      <c r="O580" s="4418"/>
      <c r="P580" s="4418"/>
      <c r="Q580" s="2875"/>
      <c r="R580" s="2877"/>
      <c r="S580" s="4417">
        <v>3725.64</v>
      </c>
      <c r="T580" s="4417"/>
    </row>
    <row r="581" spans="1:20" s="2867" customFormat="1" ht="36" hidden="1" customHeight="1" outlineLevel="4">
      <c r="A581" s="4416" t="s">
        <v>4567</v>
      </c>
      <c r="B581" s="4416"/>
      <c r="C581" s="4416"/>
      <c r="D581" s="4416"/>
      <c r="E581" s="4416"/>
      <c r="F581" s="2875"/>
      <c r="G581" s="2876"/>
      <c r="H581" s="2877"/>
      <c r="I581" s="4417">
        <v>3311.68</v>
      </c>
      <c r="J581" s="4417"/>
      <c r="K581" s="2875"/>
      <c r="L581" s="2876"/>
      <c r="M581" s="2877"/>
      <c r="N581" s="4418">
        <v>413.96</v>
      </c>
      <c r="O581" s="4418"/>
      <c r="P581" s="4418"/>
      <c r="Q581" s="2875"/>
      <c r="R581" s="2877"/>
      <c r="S581" s="4417">
        <v>3725.64</v>
      </c>
      <c r="T581" s="4417"/>
    </row>
    <row r="582" spans="1:20" s="2867" customFormat="1" ht="36" hidden="1" customHeight="1" outlineLevel="4">
      <c r="A582" s="4416" t="s">
        <v>4567</v>
      </c>
      <c r="B582" s="4416"/>
      <c r="C582" s="4416"/>
      <c r="D582" s="4416"/>
      <c r="E582" s="4416"/>
      <c r="F582" s="2875"/>
      <c r="G582" s="2876"/>
      <c r="H582" s="2877"/>
      <c r="I582" s="4417">
        <v>3311.68</v>
      </c>
      <c r="J582" s="4417"/>
      <c r="K582" s="2875"/>
      <c r="L582" s="2876"/>
      <c r="M582" s="2877"/>
      <c r="N582" s="4418">
        <v>413.96</v>
      </c>
      <c r="O582" s="4418"/>
      <c r="P582" s="4418"/>
      <c r="Q582" s="2875"/>
      <c r="R582" s="2877"/>
      <c r="S582" s="4417">
        <v>3725.64</v>
      </c>
      <c r="T582" s="4417"/>
    </row>
    <row r="583" spans="1:20" s="2867" customFormat="1" ht="36" hidden="1" customHeight="1" outlineLevel="4">
      <c r="A583" s="4416" t="s">
        <v>4567</v>
      </c>
      <c r="B583" s="4416"/>
      <c r="C583" s="4416"/>
      <c r="D583" s="4416"/>
      <c r="E583" s="4416"/>
      <c r="F583" s="2875"/>
      <c r="G583" s="2876"/>
      <c r="H583" s="2877"/>
      <c r="I583" s="4417">
        <v>3311.68</v>
      </c>
      <c r="J583" s="4417"/>
      <c r="K583" s="2875"/>
      <c r="L583" s="2876"/>
      <c r="M583" s="2877"/>
      <c r="N583" s="4418">
        <v>413.96</v>
      </c>
      <c r="O583" s="4418"/>
      <c r="P583" s="4418"/>
      <c r="Q583" s="2875"/>
      <c r="R583" s="2877"/>
      <c r="S583" s="4417">
        <v>3725.64</v>
      </c>
      <c r="T583" s="4417"/>
    </row>
    <row r="584" spans="1:20" s="2867" customFormat="1" ht="36" hidden="1" customHeight="1" outlineLevel="4">
      <c r="A584" s="4416" t="s">
        <v>4567</v>
      </c>
      <c r="B584" s="4416"/>
      <c r="C584" s="4416"/>
      <c r="D584" s="4416"/>
      <c r="E584" s="4416"/>
      <c r="F584" s="2875"/>
      <c r="G584" s="2876"/>
      <c r="H584" s="2877"/>
      <c r="I584" s="4417">
        <v>3311.68</v>
      </c>
      <c r="J584" s="4417"/>
      <c r="K584" s="2875"/>
      <c r="L584" s="2876"/>
      <c r="M584" s="2877"/>
      <c r="N584" s="4418">
        <v>413.96</v>
      </c>
      <c r="O584" s="4418"/>
      <c r="P584" s="4418"/>
      <c r="Q584" s="2875"/>
      <c r="R584" s="2877"/>
      <c r="S584" s="4417">
        <v>3725.64</v>
      </c>
      <c r="T584" s="4417"/>
    </row>
    <row r="585" spans="1:20" s="2867" customFormat="1" ht="36" hidden="1" customHeight="1" outlineLevel="4">
      <c r="A585" s="4416" t="s">
        <v>4568</v>
      </c>
      <c r="B585" s="4416"/>
      <c r="C585" s="4416"/>
      <c r="D585" s="4416"/>
      <c r="E585" s="4416"/>
      <c r="F585" s="2875"/>
      <c r="G585" s="2876"/>
      <c r="H585" s="2877"/>
      <c r="I585" s="4417">
        <v>4976.16</v>
      </c>
      <c r="J585" s="4417"/>
      <c r="K585" s="2875"/>
      <c r="L585" s="2876"/>
      <c r="M585" s="2877"/>
      <c r="N585" s="4418">
        <v>622.02</v>
      </c>
      <c r="O585" s="4418"/>
      <c r="P585" s="4418"/>
      <c r="Q585" s="2875"/>
      <c r="R585" s="2877"/>
      <c r="S585" s="4417">
        <v>5598.18</v>
      </c>
      <c r="T585" s="4417"/>
    </row>
    <row r="586" spans="1:20" s="2867" customFormat="1" ht="36" hidden="1" customHeight="1" outlineLevel="4">
      <c r="A586" s="4416" t="s">
        <v>4569</v>
      </c>
      <c r="B586" s="4416"/>
      <c r="C586" s="4416"/>
      <c r="D586" s="4416"/>
      <c r="E586" s="4416"/>
      <c r="F586" s="2875"/>
      <c r="G586" s="2876"/>
      <c r="H586" s="2877"/>
      <c r="I586" s="4417">
        <v>5211.04</v>
      </c>
      <c r="J586" s="4417"/>
      <c r="K586" s="2875"/>
      <c r="L586" s="2876"/>
      <c r="M586" s="2877"/>
      <c r="N586" s="4418">
        <v>651.38</v>
      </c>
      <c r="O586" s="4418"/>
      <c r="P586" s="4418"/>
      <c r="Q586" s="2875"/>
      <c r="R586" s="2877"/>
      <c r="S586" s="4417">
        <v>5862.42</v>
      </c>
      <c r="T586" s="4417"/>
    </row>
    <row r="587" spans="1:20" s="2867" customFormat="1" ht="48" hidden="1" customHeight="1" outlineLevel="4">
      <c r="A587" s="4416" t="s">
        <v>798</v>
      </c>
      <c r="B587" s="4416"/>
      <c r="C587" s="4416"/>
      <c r="D587" s="4416"/>
      <c r="E587" s="4416"/>
      <c r="F587" s="2875"/>
      <c r="G587" s="2876"/>
      <c r="H587" s="2877"/>
      <c r="I587" s="4417">
        <v>7610.8</v>
      </c>
      <c r="J587" s="4417"/>
      <c r="K587" s="2875"/>
      <c r="L587" s="2876"/>
      <c r="M587" s="2877"/>
      <c r="N587" s="4418">
        <v>951.35</v>
      </c>
      <c r="O587" s="4418"/>
      <c r="P587" s="4418"/>
      <c r="Q587" s="2875"/>
      <c r="R587" s="2877"/>
      <c r="S587" s="4417">
        <v>8562.15</v>
      </c>
      <c r="T587" s="4417"/>
    </row>
    <row r="588" spans="1:20" s="2867" customFormat="1" ht="48" hidden="1" customHeight="1" outlineLevel="4">
      <c r="A588" s="4416" t="s">
        <v>798</v>
      </c>
      <c r="B588" s="4416"/>
      <c r="C588" s="4416"/>
      <c r="D588" s="4416"/>
      <c r="E588" s="4416"/>
      <c r="F588" s="2875"/>
      <c r="G588" s="2876"/>
      <c r="H588" s="2877"/>
      <c r="I588" s="4417">
        <v>7610.8</v>
      </c>
      <c r="J588" s="4417"/>
      <c r="K588" s="2875"/>
      <c r="L588" s="2876"/>
      <c r="M588" s="2877"/>
      <c r="N588" s="4418">
        <v>951.35</v>
      </c>
      <c r="O588" s="4418"/>
      <c r="P588" s="4418"/>
      <c r="Q588" s="2875"/>
      <c r="R588" s="2877"/>
      <c r="S588" s="4417">
        <v>8562.15</v>
      </c>
      <c r="T588" s="4417"/>
    </row>
    <row r="589" spans="1:20" s="2867" customFormat="1" ht="12" hidden="1" customHeight="1" outlineLevel="4">
      <c r="A589" s="4416" t="s">
        <v>4570</v>
      </c>
      <c r="B589" s="4416"/>
      <c r="C589" s="4416"/>
      <c r="D589" s="4416"/>
      <c r="E589" s="4416"/>
      <c r="F589" s="2875"/>
      <c r="G589" s="2876"/>
      <c r="H589" s="2877"/>
      <c r="I589" s="4417">
        <v>4017.04</v>
      </c>
      <c r="J589" s="4417"/>
      <c r="K589" s="2875"/>
      <c r="L589" s="2876"/>
      <c r="M589" s="2877"/>
      <c r="N589" s="4418">
        <v>502.13</v>
      </c>
      <c r="O589" s="4418"/>
      <c r="P589" s="4418"/>
      <c r="Q589" s="2875"/>
      <c r="R589" s="2877"/>
      <c r="S589" s="4417">
        <v>4519.17</v>
      </c>
      <c r="T589" s="4417"/>
    </row>
    <row r="590" spans="1:20" s="2867" customFormat="1" ht="12" hidden="1" customHeight="1" outlineLevel="4">
      <c r="A590" s="4416" t="s">
        <v>800</v>
      </c>
      <c r="B590" s="4416"/>
      <c r="C590" s="4416"/>
      <c r="D590" s="4416"/>
      <c r="E590" s="4416"/>
      <c r="F590" s="2875"/>
      <c r="G590" s="2876"/>
      <c r="H590" s="2877"/>
      <c r="I590" s="4417">
        <v>2906.88</v>
      </c>
      <c r="J590" s="4417"/>
      <c r="K590" s="2875"/>
      <c r="L590" s="2876"/>
      <c r="M590" s="2877"/>
      <c r="N590" s="4418">
        <v>363.36</v>
      </c>
      <c r="O590" s="4418"/>
      <c r="P590" s="4418"/>
      <c r="Q590" s="2875"/>
      <c r="R590" s="2877"/>
      <c r="S590" s="4417">
        <v>3270.24</v>
      </c>
      <c r="T590" s="4417"/>
    </row>
    <row r="591" spans="1:20" s="2867" customFormat="1" ht="12" hidden="1" customHeight="1" outlineLevel="4">
      <c r="A591" s="4416" t="s">
        <v>800</v>
      </c>
      <c r="B591" s="4416"/>
      <c r="C591" s="4416"/>
      <c r="D591" s="4416"/>
      <c r="E591" s="4416"/>
      <c r="F591" s="2875"/>
      <c r="G591" s="2876"/>
      <c r="H591" s="2877"/>
      <c r="I591" s="4417">
        <v>2906.96</v>
      </c>
      <c r="J591" s="4417"/>
      <c r="K591" s="2875"/>
      <c r="L591" s="2876"/>
      <c r="M591" s="2877"/>
      <c r="N591" s="4418">
        <v>363.37</v>
      </c>
      <c r="O591" s="4418"/>
      <c r="P591" s="4418"/>
      <c r="Q591" s="2875"/>
      <c r="R591" s="2877"/>
      <c r="S591" s="4417">
        <v>3270.33</v>
      </c>
      <c r="T591" s="4417"/>
    </row>
    <row r="592" spans="1:20" s="2867" customFormat="1" ht="24" hidden="1" customHeight="1" outlineLevel="4">
      <c r="A592" s="4416" t="s">
        <v>4571</v>
      </c>
      <c r="B592" s="4416"/>
      <c r="C592" s="4416"/>
      <c r="D592" s="4416"/>
      <c r="E592" s="4416"/>
      <c r="F592" s="2875"/>
      <c r="G592" s="2876"/>
      <c r="H592" s="2877"/>
      <c r="I592" s="4417">
        <v>4146.96</v>
      </c>
      <c r="J592" s="4417"/>
      <c r="K592" s="2875"/>
      <c r="L592" s="2876"/>
      <c r="M592" s="2877"/>
      <c r="N592" s="4418">
        <v>518.37</v>
      </c>
      <c r="O592" s="4418"/>
      <c r="P592" s="4418"/>
      <c r="Q592" s="2875"/>
      <c r="R592" s="2877"/>
      <c r="S592" s="4417">
        <v>4665.33</v>
      </c>
      <c r="T592" s="4417"/>
    </row>
    <row r="593" spans="1:20" s="2867" customFormat="1" ht="24" hidden="1" customHeight="1" outlineLevel="4">
      <c r="A593" s="4416" t="s">
        <v>4571</v>
      </c>
      <c r="B593" s="4416"/>
      <c r="C593" s="4416"/>
      <c r="D593" s="4416"/>
      <c r="E593" s="4416"/>
      <c r="F593" s="2875"/>
      <c r="G593" s="2876"/>
      <c r="H593" s="2877"/>
      <c r="I593" s="4417">
        <v>4146.96</v>
      </c>
      <c r="J593" s="4417"/>
      <c r="K593" s="2875"/>
      <c r="L593" s="2876"/>
      <c r="M593" s="2877"/>
      <c r="N593" s="4418">
        <v>518.37</v>
      </c>
      <c r="O593" s="4418"/>
      <c r="P593" s="4418"/>
      <c r="Q593" s="2875"/>
      <c r="R593" s="2877"/>
      <c r="S593" s="4417">
        <v>4665.33</v>
      </c>
      <c r="T593" s="4417"/>
    </row>
    <row r="594" spans="1:20" s="2867" customFormat="1" ht="24" hidden="1" customHeight="1" outlineLevel="4">
      <c r="A594" s="4416" t="s">
        <v>4571</v>
      </c>
      <c r="B594" s="4416"/>
      <c r="C594" s="4416"/>
      <c r="D594" s="4416"/>
      <c r="E594" s="4416"/>
      <c r="F594" s="2875"/>
      <c r="G594" s="2876"/>
      <c r="H594" s="2877"/>
      <c r="I594" s="4417">
        <v>4146.96</v>
      </c>
      <c r="J594" s="4417"/>
      <c r="K594" s="2875"/>
      <c r="L594" s="2876"/>
      <c r="M594" s="2877"/>
      <c r="N594" s="4418">
        <v>518.37</v>
      </c>
      <c r="O594" s="4418"/>
      <c r="P594" s="4418"/>
      <c r="Q594" s="2875"/>
      <c r="R594" s="2877"/>
      <c r="S594" s="4417">
        <v>4665.33</v>
      </c>
      <c r="T594" s="4417"/>
    </row>
    <row r="595" spans="1:20" s="2867" customFormat="1" ht="24" hidden="1" customHeight="1" outlineLevel="4">
      <c r="A595" s="4416" t="s">
        <v>801</v>
      </c>
      <c r="B595" s="4416"/>
      <c r="C595" s="4416"/>
      <c r="D595" s="4416"/>
      <c r="E595" s="4416"/>
      <c r="F595" s="2875"/>
      <c r="G595" s="2876"/>
      <c r="H595" s="2877"/>
      <c r="I595" s="4417">
        <v>4146.96</v>
      </c>
      <c r="J595" s="4417"/>
      <c r="K595" s="2875"/>
      <c r="L595" s="2876"/>
      <c r="M595" s="2877"/>
      <c r="N595" s="4418">
        <v>518.37</v>
      </c>
      <c r="O595" s="4418"/>
      <c r="P595" s="4418"/>
      <c r="Q595" s="2875"/>
      <c r="R595" s="2877"/>
      <c r="S595" s="4417">
        <v>4665.33</v>
      </c>
      <c r="T595" s="4417"/>
    </row>
    <row r="596" spans="1:20" s="2867" customFormat="1" ht="24" hidden="1" customHeight="1" outlineLevel="4">
      <c r="A596" s="4416" t="s">
        <v>801</v>
      </c>
      <c r="B596" s="4416"/>
      <c r="C596" s="4416"/>
      <c r="D596" s="4416"/>
      <c r="E596" s="4416"/>
      <c r="F596" s="2875"/>
      <c r="G596" s="2876"/>
      <c r="H596" s="2877"/>
      <c r="I596" s="4417">
        <v>4146.96</v>
      </c>
      <c r="J596" s="4417"/>
      <c r="K596" s="2875"/>
      <c r="L596" s="2876"/>
      <c r="M596" s="2877"/>
      <c r="N596" s="4418">
        <v>518.37</v>
      </c>
      <c r="O596" s="4418"/>
      <c r="P596" s="4418"/>
      <c r="Q596" s="2875"/>
      <c r="R596" s="2877"/>
      <c r="S596" s="4417">
        <v>4665.33</v>
      </c>
      <c r="T596" s="4417"/>
    </row>
    <row r="597" spans="1:20" s="2867" customFormat="1" ht="24" hidden="1" customHeight="1" outlineLevel="4">
      <c r="A597" s="4416" t="s">
        <v>801</v>
      </c>
      <c r="B597" s="4416"/>
      <c r="C597" s="4416"/>
      <c r="D597" s="4416"/>
      <c r="E597" s="4416"/>
      <c r="F597" s="2875"/>
      <c r="G597" s="2876"/>
      <c r="H597" s="2877"/>
      <c r="I597" s="4417">
        <v>4146.96</v>
      </c>
      <c r="J597" s="4417"/>
      <c r="K597" s="2875"/>
      <c r="L597" s="2876"/>
      <c r="M597" s="2877"/>
      <c r="N597" s="4418">
        <v>518.37</v>
      </c>
      <c r="O597" s="4418"/>
      <c r="P597" s="4418"/>
      <c r="Q597" s="2875"/>
      <c r="R597" s="2877"/>
      <c r="S597" s="4417">
        <v>4665.33</v>
      </c>
      <c r="T597" s="4417"/>
    </row>
    <row r="598" spans="1:20" s="2867" customFormat="1" ht="24" hidden="1" customHeight="1" outlineLevel="4">
      <c r="A598" s="4416" t="s">
        <v>801</v>
      </c>
      <c r="B598" s="4416"/>
      <c r="C598" s="4416"/>
      <c r="D598" s="4416"/>
      <c r="E598" s="4416"/>
      <c r="F598" s="2875"/>
      <c r="G598" s="2876"/>
      <c r="H598" s="2877"/>
      <c r="I598" s="4417">
        <v>4147.04</v>
      </c>
      <c r="J598" s="4417"/>
      <c r="K598" s="2875"/>
      <c r="L598" s="2876"/>
      <c r="M598" s="2877"/>
      <c r="N598" s="4418">
        <v>518.38</v>
      </c>
      <c r="O598" s="4418"/>
      <c r="P598" s="4418"/>
      <c r="Q598" s="2875"/>
      <c r="R598" s="2877"/>
      <c r="S598" s="4417">
        <v>4665.42</v>
      </c>
      <c r="T598" s="4417"/>
    </row>
    <row r="599" spans="1:20" s="2867" customFormat="1" ht="24" hidden="1" customHeight="1" outlineLevel="4">
      <c r="A599" s="4416" t="s">
        <v>803</v>
      </c>
      <c r="B599" s="4416"/>
      <c r="C599" s="4416"/>
      <c r="D599" s="4416"/>
      <c r="E599" s="4416"/>
      <c r="F599" s="2875"/>
      <c r="G599" s="2876"/>
      <c r="H599" s="2877"/>
      <c r="I599" s="4417">
        <v>3520</v>
      </c>
      <c r="J599" s="4417"/>
      <c r="K599" s="2875"/>
      <c r="L599" s="2876"/>
      <c r="M599" s="2877"/>
      <c r="N599" s="4418">
        <v>440</v>
      </c>
      <c r="O599" s="4418"/>
      <c r="P599" s="4418"/>
      <c r="Q599" s="2875"/>
      <c r="R599" s="2877"/>
      <c r="S599" s="4417">
        <v>3960</v>
      </c>
      <c r="T599" s="4417"/>
    </row>
    <row r="600" spans="1:20" s="2867" customFormat="1" ht="24" hidden="1" customHeight="1" outlineLevel="4">
      <c r="A600" s="4416" t="s">
        <v>803</v>
      </c>
      <c r="B600" s="4416"/>
      <c r="C600" s="4416"/>
      <c r="D600" s="4416"/>
      <c r="E600" s="4416"/>
      <c r="F600" s="2875"/>
      <c r="G600" s="2876"/>
      <c r="H600" s="2877"/>
      <c r="I600" s="4417">
        <v>3520</v>
      </c>
      <c r="J600" s="4417"/>
      <c r="K600" s="2875"/>
      <c r="L600" s="2876"/>
      <c r="M600" s="2877"/>
      <c r="N600" s="4418">
        <v>440</v>
      </c>
      <c r="O600" s="4418"/>
      <c r="P600" s="4418"/>
      <c r="Q600" s="2875"/>
      <c r="R600" s="2877"/>
      <c r="S600" s="4417">
        <v>3960</v>
      </c>
      <c r="T600" s="4417"/>
    </row>
    <row r="601" spans="1:20" s="2867" customFormat="1" ht="24" hidden="1" customHeight="1" outlineLevel="4">
      <c r="A601" s="4416" t="s">
        <v>803</v>
      </c>
      <c r="B601" s="4416"/>
      <c r="C601" s="4416"/>
      <c r="D601" s="4416"/>
      <c r="E601" s="4416"/>
      <c r="F601" s="2875"/>
      <c r="G601" s="2876"/>
      <c r="H601" s="2877"/>
      <c r="I601" s="4417">
        <v>2183.6</v>
      </c>
      <c r="J601" s="4417"/>
      <c r="K601" s="2875"/>
      <c r="L601" s="2876"/>
      <c r="M601" s="2877"/>
      <c r="N601" s="4418">
        <v>272.95</v>
      </c>
      <c r="O601" s="4418"/>
      <c r="P601" s="4418"/>
      <c r="Q601" s="2875"/>
      <c r="R601" s="2877"/>
      <c r="S601" s="4417">
        <v>2456.5500000000002</v>
      </c>
      <c r="T601" s="4417"/>
    </row>
    <row r="602" spans="1:20" s="2867" customFormat="1" ht="24" hidden="1" customHeight="1" outlineLevel="4">
      <c r="A602" s="4416" t="s">
        <v>804</v>
      </c>
      <c r="B602" s="4416"/>
      <c r="C602" s="4416"/>
      <c r="D602" s="4416"/>
      <c r="E602" s="4416"/>
      <c r="F602" s="2875"/>
      <c r="G602" s="2876"/>
      <c r="H602" s="2877"/>
      <c r="I602" s="4417">
        <v>3520</v>
      </c>
      <c r="J602" s="4417"/>
      <c r="K602" s="2875"/>
      <c r="L602" s="2876"/>
      <c r="M602" s="2877"/>
      <c r="N602" s="4418">
        <v>440</v>
      </c>
      <c r="O602" s="4418"/>
      <c r="P602" s="4418"/>
      <c r="Q602" s="2875"/>
      <c r="R602" s="2877"/>
      <c r="S602" s="4417">
        <v>3960</v>
      </c>
      <c r="T602" s="4417"/>
    </row>
    <row r="603" spans="1:20" s="2867" customFormat="1" ht="24" hidden="1" customHeight="1" outlineLevel="4">
      <c r="A603" s="4416" t="s">
        <v>804</v>
      </c>
      <c r="B603" s="4416"/>
      <c r="C603" s="4416"/>
      <c r="D603" s="4416"/>
      <c r="E603" s="4416"/>
      <c r="F603" s="2875"/>
      <c r="G603" s="2876"/>
      <c r="H603" s="2877"/>
      <c r="I603" s="4417">
        <v>3520</v>
      </c>
      <c r="J603" s="4417"/>
      <c r="K603" s="2875"/>
      <c r="L603" s="2876"/>
      <c r="M603" s="2877"/>
      <c r="N603" s="4418">
        <v>440</v>
      </c>
      <c r="O603" s="4418"/>
      <c r="P603" s="4418"/>
      <c r="Q603" s="2875"/>
      <c r="R603" s="2877"/>
      <c r="S603" s="4417">
        <v>3960</v>
      </c>
      <c r="T603" s="4417"/>
    </row>
    <row r="604" spans="1:20" s="2867" customFormat="1" ht="24" hidden="1" customHeight="1" outlineLevel="4">
      <c r="A604" s="4416" t="s">
        <v>805</v>
      </c>
      <c r="B604" s="4416"/>
      <c r="C604" s="4416"/>
      <c r="D604" s="4416"/>
      <c r="E604" s="4416"/>
      <c r="F604" s="2875"/>
      <c r="G604" s="2876"/>
      <c r="H604" s="2877"/>
      <c r="I604" s="4417">
        <v>3520</v>
      </c>
      <c r="J604" s="4417"/>
      <c r="K604" s="2875"/>
      <c r="L604" s="2876"/>
      <c r="M604" s="2877"/>
      <c r="N604" s="4418">
        <v>440</v>
      </c>
      <c r="O604" s="4418"/>
      <c r="P604" s="4418"/>
      <c r="Q604" s="2875"/>
      <c r="R604" s="2877"/>
      <c r="S604" s="4417">
        <v>3960</v>
      </c>
      <c r="T604" s="4417"/>
    </row>
    <row r="605" spans="1:20" s="2867" customFormat="1" ht="24" hidden="1" customHeight="1" outlineLevel="4">
      <c r="A605" s="4416" t="s">
        <v>805</v>
      </c>
      <c r="B605" s="4416"/>
      <c r="C605" s="4416"/>
      <c r="D605" s="4416"/>
      <c r="E605" s="4416"/>
      <c r="F605" s="2875"/>
      <c r="G605" s="2876"/>
      <c r="H605" s="2877"/>
      <c r="I605" s="4417">
        <v>3520</v>
      </c>
      <c r="J605" s="4417"/>
      <c r="K605" s="2875"/>
      <c r="L605" s="2876"/>
      <c r="M605" s="2877"/>
      <c r="N605" s="4418">
        <v>440</v>
      </c>
      <c r="O605" s="4418"/>
      <c r="P605" s="4418"/>
      <c r="Q605" s="2875"/>
      <c r="R605" s="2877"/>
      <c r="S605" s="4417">
        <v>3960</v>
      </c>
      <c r="T605" s="4417"/>
    </row>
    <row r="606" spans="1:20" s="2867" customFormat="1" ht="24" hidden="1" customHeight="1" outlineLevel="4">
      <c r="A606" s="4416" t="s">
        <v>805</v>
      </c>
      <c r="B606" s="4416"/>
      <c r="C606" s="4416"/>
      <c r="D606" s="4416"/>
      <c r="E606" s="4416"/>
      <c r="F606" s="2875"/>
      <c r="G606" s="2876"/>
      <c r="H606" s="2877"/>
      <c r="I606" s="4417">
        <v>3519.92</v>
      </c>
      <c r="J606" s="4417"/>
      <c r="K606" s="2875"/>
      <c r="L606" s="2876"/>
      <c r="M606" s="2877"/>
      <c r="N606" s="4418">
        <v>439.99</v>
      </c>
      <c r="O606" s="4418"/>
      <c r="P606" s="4418"/>
      <c r="Q606" s="2875"/>
      <c r="R606" s="2877"/>
      <c r="S606" s="4417">
        <v>3959.91</v>
      </c>
      <c r="T606" s="4417"/>
    </row>
    <row r="607" spans="1:20" s="2867" customFormat="1" ht="24" hidden="1" customHeight="1" outlineLevel="4">
      <c r="A607" s="4416" t="s">
        <v>805</v>
      </c>
      <c r="B607" s="4416"/>
      <c r="C607" s="4416"/>
      <c r="D607" s="4416"/>
      <c r="E607" s="4416"/>
      <c r="F607" s="2875"/>
      <c r="G607" s="2876"/>
      <c r="H607" s="2877"/>
      <c r="I607" s="4417">
        <v>3520</v>
      </c>
      <c r="J607" s="4417"/>
      <c r="K607" s="2875"/>
      <c r="L607" s="2876"/>
      <c r="M607" s="2877"/>
      <c r="N607" s="4418">
        <v>440</v>
      </c>
      <c r="O607" s="4418"/>
      <c r="P607" s="4418"/>
      <c r="Q607" s="2875"/>
      <c r="R607" s="2877"/>
      <c r="S607" s="4417">
        <v>3960</v>
      </c>
      <c r="T607" s="4417"/>
    </row>
    <row r="608" spans="1:20" s="2867" customFormat="1" ht="24" hidden="1" customHeight="1" outlineLevel="4">
      <c r="A608" s="4416" t="s">
        <v>805</v>
      </c>
      <c r="B608" s="4416"/>
      <c r="C608" s="4416"/>
      <c r="D608" s="4416"/>
      <c r="E608" s="4416"/>
      <c r="F608" s="2875"/>
      <c r="G608" s="2876"/>
      <c r="H608" s="2877"/>
      <c r="I608" s="4417">
        <v>3520</v>
      </c>
      <c r="J608" s="4417"/>
      <c r="K608" s="2875"/>
      <c r="L608" s="2876"/>
      <c r="M608" s="2877"/>
      <c r="N608" s="4418">
        <v>440</v>
      </c>
      <c r="O608" s="4418"/>
      <c r="P608" s="4418"/>
      <c r="Q608" s="2875"/>
      <c r="R608" s="2877"/>
      <c r="S608" s="4417">
        <v>3960</v>
      </c>
      <c r="T608" s="4417"/>
    </row>
    <row r="609" spans="1:20" s="2867" customFormat="1" ht="24" hidden="1" customHeight="1" outlineLevel="4">
      <c r="A609" s="4416" t="s">
        <v>805</v>
      </c>
      <c r="B609" s="4416"/>
      <c r="C609" s="4416"/>
      <c r="D609" s="4416"/>
      <c r="E609" s="4416"/>
      <c r="F609" s="2875"/>
      <c r="G609" s="2876"/>
      <c r="H609" s="2877"/>
      <c r="I609" s="4417">
        <v>3520</v>
      </c>
      <c r="J609" s="4417"/>
      <c r="K609" s="2875"/>
      <c r="L609" s="2876"/>
      <c r="M609" s="2877"/>
      <c r="N609" s="4418">
        <v>440</v>
      </c>
      <c r="O609" s="4418"/>
      <c r="P609" s="4418"/>
      <c r="Q609" s="2875"/>
      <c r="R609" s="2877"/>
      <c r="S609" s="4417">
        <v>3960</v>
      </c>
      <c r="T609" s="4417"/>
    </row>
    <row r="610" spans="1:20" s="2867" customFormat="1" ht="24" hidden="1" customHeight="1" outlineLevel="4">
      <c r="A610" s="4416" t="s">
        <v>805</v>
      </c>
      <c r="B610" s="4416"/>
      <c r="C610" s="4416"/>
      <c r="D610" s="4416"/>
      <c r="E610" s="4416"/>
      <c r="F610" s="2875"/>
      <c r="G610" s="2876"/>
      <c r="H610" s="2877"/>
      <c r="I610" s="4417">
        <v>3765.84</v>
      </c>
      <c r="J610" s="4417"/>
      <c r="K610" s="2875"/>
      <c r="L610" s="2876"/>
      <c r="M610" s="2877"/>
      <c r="N610" s="4418">
        <v>470.73</v>
      </c>
      <c r="O610" s="4418"/>
      <c r="P610" s="4418"/>
      <c r="Q610" s="2875"/>
      <c r="R610" s="2877"/>
      <c r="S610" s="4417">
        <v>4236.57</v>
      </c>
      <c r="T610" s="4417"/>
    </row>
    <row r="611" spans="1:20" s="2867" customFormat="1" ht="24" hidden="1" customHeight="1" outlineLevel="4">
      <c r="A611" s="4416" t="s">
        <v>806</v>
      </c>
      <c r="B611" s="4416"/>
      <c r="C611" s="4416"/>
      <c r="D611" s="4416"/>
      <c r="E611" s="4416"/>
      <c r="F611" s="2875"/>
      <c r="G611" s="2876"/>
      <c r="H611" s="2877"/>
      <c r="I611" s="4417">
        <v>4773.04</v>
      </c>
      <c r="J611" s="4417"/>
      <c r="K611" s="2875"/>
      <c r="L611" s="2876"/>
      <c r="M611" s="2877"/>
      <c r="N611" s="4418">
        <v>596.63</v>
      </c>
      <c r="O611" s="4418"/>
      <c r="P611" s="4418"/>
      <c r="Q611" s="2875"/>
      <c r="R611" s="2877"/>
      <c r="S611" s="4417">
        <v>5369.67</v>
      </c>
      <c r="T611" s="4417"/>
    </row>
    <row r="612" spans="1:20" s="2867" customFormat="1" ht="24" hidden="1" customHeight="1" outlineLevel="4">
      <c r="A612" s="4416" t="s">
        <v>806</v>
      </c>
      <c r="B612" s="4416"/>
      <c r="C612" s="4416"/>
      <c r="D612" s="4416"/>
      <c r="E612" s="4416"/>
      <c r="F612" s="2875"/>
      <c r="G612" s="2876"/>
      <c r="H612" s="2877"/>
      <c r="I612" s="4417">
        <v>4146.96</v>
      </c>
      <c r="J612" s="4417"/>
      <c r="K612" s="2875"/>
      <c r="L612" s="2876"/>
      <c r="M612" s="2877"/>
      <c r="N612" s="4418">
        <v>518.37</v>
      </c>
      <c r="O612" s="4418"/>
      <c r="P612" s="4418"/>
      <c r="Q612" s="2875"/>
      <c r="R612" s="2877"/>
      <c r="S612" s="4417">
        <v>4665.33</v>
      </c>
      <c r="T612" s="4417"/>
    </row>
    <row r="613" spans="1:20" s="2867" customFormat="1" ht="24" hidden="1" customHeight="1" outlineLevel="4">
      <c r="A613" s="4416" t="s">
        <v>806</v>
      </c>
      <c r="B613" s="4416"/>
      <c r="C613" s="4416"/>
      <c r="D613" s="4416"/>
      <c r="E613" s="4416"/>
      <c r="F613" s="2875"/>
      <c r="G613" s="2876"/>
      <c r="H613" s="2877"/>
      <c r="I613" s="4417">
        <v>4146.96</v>
      </c>
      <c r="J613" s="4417"/>
      <c r="K613" s="2875"/>
      <c r="L613" s="2876"/>
      <c r="M613" s="2877"/>
      <c r="N613" s="4418">
        <v>518.37</v>
      </c>
      <c r="O613" s="4418"/>
      <c r="P613" s="4418"/>
      <c r="Q613" s="2875"/>
      <c r="R613" s="2877"/>
      <c r="S613" s="4417">
        <v>4665.33</v>
      </c>
      <c r="T613" s="4417"/>
    </row>
    <row r="614" spans="1:20" s="2867" customFormat="1" ht="24" hidden="1" customHeight="1" outlineLevel="4">
      <c r="A614" s="4416" t="s">
        <v>806</v>
      </c>
      <c r="B614" s="4416"/>
      <c r="C614" s="4416"/>
      <c r="D614" s="4416"/>
      <c r="E614" s="4416"/>
      <c r="F614" s="2875"/>
      <c r="G614" s="2876"/>
      <c r="H614" s="2877"/>
      <c r="I614" s="4417">
        <v>4146.96</v>
      </c>
      <c r="J614" s="4417"/>
      <c r="K614" s="2875"/>
      <c r="L614" s="2876"/>
      <c r="M614" s="2877"/>
      <c r="N614" s="4418">
        <v>518.37</v>
      </c>
      <c r="O614" s="4418"/>
      <c r="P614" s="4418"/>
      <c r="Q614" s="2875"/>
      <c r="R614" s="2877"/>
      <c r="S614" s="4417">
        <v>4665.33</v>
      </c>
      <c r="T614" s="4417"/>
    </row>
    <row r="615" spans="1:20" s="2867" customFormat="1" ht="24" hidden="1" customHeight="1" outlineLevel="4">
      <c r="A615" s="4416" t="s">
        <v>806</v>
      </c>
      <c r="B615" s="4416"/>
      <c r="C615" s="4416"/>
      <c r="D615" s="4416"/>
      <c r="E615" s="4416"/>
      <c r="F615" s="2875"/>
      <c r="G615" s="2876"/>
      <c r="H615" s="2877"/>
      <c r="I615" s="4417">
        <v>4146.96</v>
      </c>
      <c r="J615" s="4417"/>
      <c r="K615" s="2875"/>
      <c r="L615" s="2876"/>
      <c r="M615" s="2877"/>
      <c r="N615" s="4418">
        <v>518.37</v>
      </c>
      <c r="O615" s="4418"/>
      <c r="P615" s="4418"/>
      <c r="Q615" s="2875"/>
      <c r="R615" s="2877"/>
      <c r="S615" s="4417">
        <v>4665.33</v>
      </c>
      <c r="T615" s="4417"/>
    </row>
    <row r="616" spans="1:20" s="2867" customFormat="1" ht="24" hidden="1" customHeight="1" outlineLevel="4">
      <c r="A616" s="4416" t="s">
        <v>806</v>
      </c>
      <c r="B616" s="4416"/>
      <c r="C616" s="4416"/>
      <c r="D616" s="4416"/>
      <c r="E616" s="4416"/>
      <c r="F616" s="2875"/>
      <c r="G616" s="2876"/>
      <c r="H616" s="2877"/>
      <c r="I616" s="4417">
        <v>4146.96</v>
      </c>
      <c r="J616" s="4417"/>
      <c r="K616" s="2875"/>
      <c r="L616" s="2876"/>
      <c r="M616" s="2877"/>
      <c r="N616" s="4418">
        <v>518.37</v>
      </c>
      <c r="O616" s="4418"/>
      <c r="P616" s="4418"/>
      <c r="Q616" s="2875"/>
      <c r="R616" s="2877"/>
      <c r="S616" s="4417">
        <v>4665.33</v>
      </c>
      <c r="T616" s="4417"/>
    </row>
    <row r="617" spans="1:20" s="2867" customFormat="1" ht="24" hidden="1" customHeight="1" outlineLevel="4">
      <c r="A617" s="4416" t="s">
        <v>806</v>
      </c>
      <c r="B617" s="4416"/>
      <c r="C617" s="4416"/>
      <c r="D617" s="4416"/>
      <c r="E617" s="4416"/>
      <c r="F617" s="2875"/>
      <c r="G617" s="2876"/>
      <c r="H617" s="2877"/>
      <c r="I617" s="4417">
        <v>4146.96</v>
      </c>
      <c r="J617" s="4417"/>
      <c r="K617" s="2875"/>
      <c r="L617" s="2876"/>
      <c r="M617" s="2877"/>
      <c r="N617" s="4418">
        <v>518.37</v>
      </c>
      <c r="O617" s="4418"/>
      <c r="P617" s="4418"/>
      <c r="Q617" s="2875"/>
      <c r="R617" s="2877"/>
      <c r="S617" s="4417">
        <v>4665.33</v>
      </c>
      <c r="T617" s="4417"/>
    </row>
    <row r="618" spans="1:20" s="2867" customFormat="1" ht="24" hidden="1" customHeight="1" outlineLevel="4">
      <c r="A618" s="4416" t="s">
        <v>806</v>
      </c>
      <c r="B618" s="4416"/>
      <c r="C618" s="4416"/>
      <c r="D618" s="4416"/>
      <c r="E618" s="4416"/>
      <c r="F618" s="2875"/>
      <c r="G618" s="2876"/>
      <c r="H618" s="2877"/>
      <c r="I618" s="4417">
        <v>4146.96</v>
      </c>
      <c r="J618" s="4417"/>
      <c r="K618" s="2875"/>
      <c r="L618" s="2876"/>
      <c r="M618" s="2877"/>
      <c r="N618" s="4418">
        <v>518.37</v>
      </c>
      <c r="O618" s="4418"/>
      <c r="P618" s="4418"/>
      <c r="Q618" s="2875"/>
      <c r="R618" s="2877"/>
      <c r="S618" s="4417">
        <v>4665.33</v>
      </c>
      <c r="T618" s="4417"/>
    </row>
    <row r="619" spans="1:20" s="2867" customFormat="1" ht="24" hidden="1" customHeight="1" outlineLevel="4">
      <c r="A619" s="4416" t="s">
        <v>806</v>
      </c>
      <c r="B619" s="4416"/>
      <c r="C619" s="4416"/>
      <c r="D619" s="4416"/>
      <c r="E619" s="4416"/>
      <c r="F619" s="2875"/>
      <c r="G619" s="2876"/>
      <c r="H619" s="2877"/>
      <c r="I619" s="4417">
        <v>4147.04</v>
      </c>
      <c r="J619" s="4417"/>
      <c r="K619" s="2875"/>
      <c r="L619" s="2876"/>
      <c r="M619" s="2877"/>
      <c r="N619" s="4418">
        <v>518.38</v>
      </c>
      <c r="O619" s="4418"/>
      <c r="P619" s="4418"/>
      <c r="Q619" s="2875"/>
      <c r="R619" s="2877"/>
      <c r="S619" s="4417">
        <v>4665.42</v>
      </c>
      <c r="T619" s="4417"/>
    </row>
    <row r="620" spans="1:20" s="2867" customFormat="1" ht="24" hidden="1" customHeight="1" outlineLevel="4">
      <c r="A620" s="4416" t="s">
        <v>806</v>
      </c>
      <c r="B620" s="4416"/>
      <c r="C620" s="4416"/>
      <c r="D620" s="4416"/>
      <c r="E620" s="4416"/>
      <c r="F620" s="2875"/>
      <c r="G620" s="2876"/>
      <c r="H620" s="2877"/>
      <c r="I620" s="4417">
        <v>4146.96</v>
      </c>
      <c r="J620" s="4417"/>
      <c r="K620" s="2875"/>
      <c r="L620" s="2876"/>
      <c r="M620" s="2877"/>
      <c r="N620" s="4418">
        <v>518.37</v>
      </c>
      <c r="O620" s="4418"/>
      <c r="P620" s="4418"/>
      <c r="Q620" s="2875"/>
      <c r="R620" s="2877"/>
      <c r="S620" s="4417">
        <v>4665.33</v>
      </c>
      <c r="T620" s="4417"/>
    </row>
    <row r="621" spans="1:20" s="2867" customFormat="1" ht="24" hidden="1" customHeight="1" outlineLevel="4">
      <c r="A621" s="4416" t="s">
        <v>807</v>
      </c>
      <c r="B621" s="4416"/>
      <c r="C621" s="4416"/>
      <c r="D621" s="4416"/>
      <c r="E621" s="4416"/>
      <c r="F621" s="2875"/>
      <c r="G621" s="2876"/>
      <c r="H621" s="2877"/>
      <c r="I621" s="4417">
        <v>4146.96</v>
      </c>
      <c r="J621" s="4417"/>
      <c r="K621" s="2875"/>
      <c r="L621" s="2876"/>
      <c r="M621" s="2877"/>
      <c r="N621" s="4418">
        <v>518.37</v>
      </c>
      <c r="O621" s="4418"/>
      <c r="P621" s="4418"/>
      <c r="Q621" s="2875"/>
      <c r="R621" s="2877"/>
      <c r="S621" s="4417">
        <v>4665.33</v>
      </c>
      <c r="T621" s="4417"/>
    </row>
    <row r="622" spans="1:20" s="2867" customFormat="1" ht="24" hidden="1" customHeight="1" outlineLevel="4">
      <c r="A622" s="4416" t="s">
        <v>807</v>
      </c>
      <c r="B622" s="4416"/>
      <c r="C622" s="4416"/>
      <c r="D622" s="4416"/>
      <c r="E622" s="4416"/>
      <c r="F622" s="2875"/>
      <c r="G622" s="2876"/>
      <c r="H622" s="2877"/>
      <c r="I622" s="4417">
        <v>4146.96</v>
      </c>
      <c r="J622" s="4417"/>
      <c r="K622" s="2875"/>
      <c r="L622" s="2876"/>
      <c r="M622" s="2877"/>
      <c r="N622" s="4418">
        <v>518.37</v>
      </c>
      <c r="O622" s="4418"/>
      <c r="P622" s="4418"/>
      <c r="Q622" s="2875"/>
      <c r="R622" s="2877"/>
      <c r="S622" s="4417">
        <v>4665.33</v>
      </c>
      <c r="T622" s="4417"/>
    </row>
    <row r="623" spans="1:20" s="2867" customFormat="1" ht="24" hidden="1" customHeight="1" outlineLevel="4">
      <c r="A623" s="4416" t="s">
        <v>808</v>
      </c>
      <c r="B623" s="4416"/>
      <c r="C623" s="4416"/>
      <c r="D623" s="4416"/>
      <c r="E623" s="4416"/>
      <c r="F623" s="2875"/>
      <c r="G623" s="2876"/>
      <c r="H623" s="2877"/>
      <c r="I623" s="4417">
        <v>5345.92</v>
      </c>
      <c r="J623" s="4417"/>
      <c r="K623" s="2875"/>
      <c r="L623" s="2876"/>
      <c r="M623" s="2877"/>
      <c r="N623" s="4418">
        <v>668.24</v>
      </c>
      <c r="O623" s="4418"/>
      <c r="P623" s="4418"/>
      <c r="Q623" s="2875"/>
      <c r="R623" s="2877"/>
      <c r="S623" s="4417">
        <v>6014.16</v>
      </c>
      <c r="T623" s="4417"/>
    </row>
    <row r="624" spans="1:20" s="2867" customFormat="1" ht="24" hidden="1" customHeight="1" outlineLevel="4">
      <c r="A624" s="4416" t="s">
        <v>4572</v>
      </c>
      <c r="B624" s="4416"/>
      <c r="C624" s="4416"/>
      <c r="D624" s="4416"/>
      <c r="E624" s="4416"/>
      <c r="F624" s="2875"/>
      <c r="G624" s="2876"/>
      <c r="H624" s="2877"/>
      <c r="I624" s="4417">
        <v>1957.36</v>
      </c>
      <c r="J624" s="4417"/>
      <c r="K624" s="2875"/>
      <c r="L624" s="2876"/>
      <c r="M624" s="2877"/>
      <c r="N624" s="4418">
        <v>244.67</v>
      </c>
      <c r="O624" s="4418"/>
      <c r="P624" s="4418"/>
      <c r="Q624" s="2875"/>
      <c r="R624" s="2877"/>
      <c r="S624" s="4417">
        <v>2202.0300000000002</v>
      </c>
      <c r="T624" s="4417"/>
    </row>
    <row r="625" spans="1:20" s="2867" customFormat="1" ht="24" hidden="1" customHeight="1" outlineLevel="4">
      <c r="A625" s="4416" t="s">
        <v>4572</v>
      </c>
      <c r="B625" s="4416"/>
      <c r="C625" s="4416"/>
      <c r="D625" s="4416"/>
      <c r="E625" s="4416"/>
      <c r="F625" s="2875"/>
      <c r="G625" s="2876"/>
      <c r="H625" s="2877"/>
      <c r="I625" s="4417">
        <v>1957.44</v>
      </c>
      <c r="J625" s="4417"/>
      <c r="K625" s="2875"/>
      <c r="L625" s="2876"/>
      <c r="M625" s="2877"/>
      <c r="N625" s="4418">
        <v>244.68</v>
      </c>
      <c r="O625" s="4418"/>
      <c r="P625" s="4418"/>
      <c r="Q625" s="2875"/>
      <c r="R625" s="2877"/>
      <c r="S625" s="4417">
        <v>2202.12</v>
      </c>
      <c r="T625" s="4417"/>
    </row>
    <row r="626" spans="1:20" s="2867" customFormat="1" ht="24" hidden="1" customHeight="1" outlineLevel="4">
      <c r="A626" s="4416" t="s">
        <v>809</v>
      </c>
      <c r="B626" s="4416"/>
      <c r="C626" s="4416"/>
      <c r="D626" s="4416"/>
      <c r="E626" s="4416"/>
      <c r="F626" s="2875"/>
      <c r="G626" s="2876"/>
      <c r="H626" s="2877"/>
      <c r="I626" s="4417">
        <v>1485.44</v>
      </c>
      <c r="J626" s="4417"/>
      <c r="K626" s="2875"/>
      <c r="L626" s="2876"/>
      <c r="M626" s="2877"/>
      <c r="N626" s="4418">
        <v>185.68</v>
      </c>
      <c r="O626" s="4418"/>
      <c r="P626" s="4418"/>
      <c r="Q626" s="2875"/>
      <c r="R626" s="2877"/>
      <c r="S626" s="4417">
        <v>1671.12</v>
      </c>
      <c r="T626" s="4417"/>
    </row>
    <row r="627" spans="1:20" s="2867" customFormat="1" ht="59.1" hidden="1" customHeight="1" outlineLevel="4">
      <c r="A627" s="4416" t="s">
        <v>897</v>
      </c>
      <c r="B627" s="4416"/>
      <c r="C627" s="4416"/>
      <c r="D627" s="4416"/>
      <c r="E627" s="4416"/>
      <c r="F627" s="2875"/>
      <c r="G627" s="2876"/>
      <c r="H627" s="2877"/>
      <c r="I627" s="4417">
        <v>8615.68</v>
      </c>
      <c r="J627" s="4417"/>
      <c r="K627" s="2875"/>
      <c r="L627" s="2876"/>
      <c r="M627" s="2877"/>
      <c r="N627" s="4417">
        <v>1076.96</v>
      </c>
      <c r="O627" s="4417"/>
      <c r="P627" s="4417"/>
      <c r="Q627" s="2875"/>
      <c r="R627" s="2877"/>
      <c r="S627" s="4417">
        <v>9692.64</v>
      </c>
      <c r="T627" s="4417"/>
    </row>
    <row r="628" spans="1:20" s="2867" customFormat="1" ht="59.1" hidden="1" customHeight="1" outlineLevel="4">
      <c r="A628" s="4416" t="s">
        <v>897</v>
      </c>
      <c r="B628" s="4416"/>
      <c r="C628" s="4416"/>
      <c r="D628" s="4416"/>
      <c r="E628" s="4416"/>
      <c r="F628" s="2875"/>
      <c r="G628" s="2876"/>
      <c r="H628" s="2877"/>
      <c r="I628" s="4417">
        <v>8615.68</v>
      </c>
      <c r="J628" s="4417"/>
      <c r="K628" s="2875"/>
      <c r="L628" s="2876"/>
      <c r="M628" s="2877"/>
      <c r="N628" s="4417">
        <v>1076.96</v>
      </c>
      <c r="O628" s="4417"/>
      <c r="P628" s="4417"/>
      <c r="Q628" s="2875"/>
      <c r="R628" s="2877"/>
      <c r="S628" s="4417">
        <v>9692.64</v>
      </c>
      <c r="T628" s="4417"/>
    </row>
    <row r="629" spans="1:20" s="2867" customFormat="1" ht="59.1" hidden="1" customHeight="1" outlineLevel="4">
      <c r="A629" s="4416" t="s">
        <v>897</v>
      </c>
      <c r="B629" s="4416"/>
      <c r="C629" s="4416"/>
      <c r="D629" s="4416"/>
      <c r="E629" s="4416"/>
      <c r="F629" s="2875"/>
      <c r="G629" s="2876"/>
      <c r="H629" s="2877"/>
      <c r="I629" s="4417">
        <v>8615.68</v>
      </c>
      <c r="J629" s="4417"/>
      <c r="K629" s="2875"/>
      <c r="L629" s="2876"/>
      <c r="M629" s="2877"/>
      <c r="N629" s="4417">
        <v>1076.96</v>
      </c>
      <c r="O629" s="4417"/>
      <c r="P629" s="4417"/>
      <c r="Q629" s="2875"/>
      <c r="R629" s="2877"/>
      <c r="S629" s="4417">
        <v>9692.64</v>
      </c>
      <c r="T629" s="4417"/>
    </row>
    <row r="630" spans="1:20" s="2867" customFormat="1" ht="59.1" hidden="1" customHeight="1" outlineLevel="4">
      <c r="A630" s="4416" t="s">
        <v>898</v>
      </c>
      <c r="B630" s="4416"/>
      <c r="C630" s="4416"/>
      <c r="D630" s="4416"/>
      <c r="E630" s="4416"/>
      <c r="F630" s="2875"/>
      <c r="G630" s="2876"/>
      <c r="H630" s="2877"/>
      <c r="I630" s="4417">
        <v>8615.68</v>
      </c>
      <c r="J630" s="4417"/>
      <c r="K630" s="2875"/>
      <c r="L630" s="2876"/>
      <c r="M630" s="2877"/>
      <c r="N630" s="4417">
        <v>1076.96</v>
      </c>
      <c r="O630" s="4417"/>
      <c r="P630" s="4417"/>
      <c r="Q630" s="2875"/>
      <c r="R630" s="2877"/>
      <c r="S630" s="4417">
        <v>9692.64</v>
      </c>
      <c r="T630" s="4417"/>
    </row>
    <row r="631" spans="1:20" s="2867" customFormat="1" ht="36" hidden="1" customHeight="1" outlineLevel="4">
      <c r="A631" s="4416" t="s">
        <v>4573</v>
      </c>
      <c r="B631" s="4416"/>
      <c r="C631" s="4416"/>
      <c r="D631" s="4416"/>
      <c r="E631" s="4416"/>
      <c r="F631" s="2875"/>
      <c r="G631" s="2876"/>
      <c r="H631" s="2877"/>
      <c r="I631" s="4417">
        <v>7072.4</v>
      </c>
      <c r="J631" s="4417"/>
      <c r="K631" s="2875"/>
      <c r="L631" s="2876"/>
      <c r="M631" s="2877"/>
      <c r="N631" s="4418">
        <v>884.05</v>
      </c>
      <c r="O631" s="4418"/>
      <c r="P631" s="4418"/>
      <c r="Q631" s="2875"/>
      <c r="R631" s="2877"/>
      <c r="S631" s="4417">
        <v>7956.45</v>
      </c>
      <c r="T631" s="4417"/>
    </row>
    <row r="632" spans="1:20" s="2867" customFormat="1" ht="36" hidden="1" customHeight="1" outlineLevel="4">
      <c r="A632" s="4416" t="s">
        <v>4573</v>
      </c>
      <c r="B632" s="4416"/>
      <c r="C632" s="4416"/>
      <c r="D632" s="4416"/>
      <c r="E632" s="4416"/>
      <c r="F632" s="2875"/>
      <c r="G632" s="2876"/>
      <c r="H632" s="2877"/>
      <c r="I632" s="4417">
        <v>7072.48</v>
      </c>
      <c r="J632" s="4417"/>
      <c r="K632" s="2875"/>
      <c r="L632" s="2876"/>
      <c r="M632" s="2877"/>
      <c r="N632" s="4418">
        <v>884.06</v>
      </c>
      <c r="O632" s="4418"/>
      <c r="P632" s="4418"/>
      <c r="Q632" s="2875"/>
      <c r="R632" s="2877"/>
      <c r="S632" s="4417">
        <v>7956.54</v>
      </c>
      <c r="T632" s="4417"/>
    </row>
    <row r="633" spans="1:20" s="2867" customFormat="1" ht="24" hidden="1" customHeight="1" outlineLevel="4">
      <c r="A633" s="4416" t="s">
        <v>4574</v>
      </c>
      <c r="B633" s="4416"/>
      <c r="C633" s="4416"/>
      <c r="D633" s="4416"/>
      <c r="E633" s="4416"/>
      <c r="F633" s="2875"/>
      <c r="G633" s="2876"/>
      <c r="H633" s="2877"/>
      <c r="I633" s="4417">
        <v>1701.6</v>
      </c>
      <c r="J633" s="4417"/>
      <c r="K633" s="2875"/>
      <c r="L633" s="2876"/>
      <c r="M633" s="2877"/>
      <c r="N633" s="4418">
        <v>212.7</v>
      </c>
      <c r="O633" s="4418"/>
      <c r="P633" s="4418"/>
      <c r="Q633" s="2875"/>
      <c r="R633" s="2877"/>
      <c r="S633" s="4417">
        <v>1914.3</v>
      </c>
      <c r="T633" s="4417"/>
    </row>
    <row r="634" spans="1:20" s="2867" customFormat="1" ht="24" hidden="1" customHeight="1" outlineLevel="4">
      <c r="A634" s="4416" t="s">
        <v>816</v>
      </c>
      <c r="B634" s="4416"/>
      <c r="C634" s="4416"/>
      <c r="D634" s="4416"/>
      <c r="E634" s="4416"/>
      <c r="F634" s="2875"/>
      <c r="G634" s="2876"/>
      <c r="H634" s="2877"/>
      <c r="I634" s="4417">
        <v>15733.04</v>
      </c>
      <c r="J634" s="4417"/>
      <c r="K634" s="2875"/>
      <c r="L634" s="2876"/>
      <c r="M634" s="2877"/>
      <c r="N634" s="4417">
        <v>1966.63</v>
      </c>
      <c r="O634" s="4417"/>
      <c r="P634" s="4417"/>
      <c r="Q634" s="2875"/>
      <c r="R634" s="2877"/>
      <c r="S634" s="4417">
        <v>17699.669999999998</v>
      </c>
      <c r="T634" s="4417"/>
    </row>
    <row r="635" spans="1:20" s="2867" customFormat="1" ht="24" hidden="1" customHeight="1" outlineLevel="4">
      <c r="A635" s="4416" t="s">
        <v>816</v>
      </c>
      <c r="B635" s="4416"/>
      <c r="C635" s="4416"/>
      <c r="D635" s="4416"/>
      <c r="E635" s="4416"/>
      <c r="F635" s="2875"/>
      <c r="G635" s="2876"/>
      <c r="H635" s="2877"/>
      <c r="I635" s="4417">
        <v>15733.12</v>
      </c>
      <c r="J635" s="4417"/>
      <c r="K635" s="2875"/>
      <c r="L635" s="2876"/>
      <c r="M635" s="2877"/>
      <c r="N635" s="4417">
        <v>1966.64</v>
      </c>
      <c r="O635" s="4417"/>
      <c r="P635" s="4417"/>
      <c r="Q635" s="2875"/>
      <c r="R635" s="2877"/>
      <c r="S635" s="4417">
        <v>17699.759999999998</v>
      </c>
      <c r="T635" s="4417"/>
    </row>
    <row r="636" spans="1:20" s="2867" customFormat="1" ht="24" hidden="1" customHeight="1" outlineLevel="4">
      <c r="A636" s="4416" t="s">
        <v>816</v>
      </c>
      <c r="B636" s="4416"/>
      <c r="C636" s="4416"/>
      <c r="D636" s="4416"/>
      <c r="E636" s="4416"/>
      <c r="F636" s="2875"/>
      <c r="G636" s="2876"/>
      <c r="H636" s="2877"/>
      <c r="I636" s="4417">
        <v>15733.12</v>
      </c>
      <c r="J636" s="4417"/>
      <c r="K636" s="2875"/>
      <c r="L636" s="2876"/>
      <c r="M636" s="2877"/>
      <c r="N636" s="4417">
        <v>1966.64</v>
      </c>
      <c r="O636" s="4417"/>
      <c r="P636" s="4417"/>
      <c r="Q636" s="2875"/>
      <c r="R636" s="2877"/>
      <c r="S636" s="4417">
        <v>17699.759999999998</v>
      </c>
      <c r="T636" s="4417"/>
    </row>
    <row r="637" spans="1:20" s="2867" customFormat="1" ht="24" hidden="1" customHeight="1" outlineLevel="4">
      <c r="A637" s="4416" t="s">
        <v>816</v>
      </c>
      <c r="B637" s="4416"/>
      <c r="C637" s="4416"/>
      <c r="D637" s="4416"/>
      <c r="E637" s="4416"/>
      <c r="F637" s="2875"/>
      <c r="G637" s="2876"/>
      <c r="H637" s="2877"/>
      <c r="I637" s="4417">
        <v>15733.12</v>
      </c>
      <c r="J637" s="4417"/>
      <c r="K637" s="2875"/>
      <c r="L637" s="2876"/>
      <c r="M637" s="2877"/>
      <c r="N637" s="4417">
        <v>1966.64</v>
      </c>
      <c r="O637" s="4417"/>
      <c r="P637" s="4417"/>
      <c r="Q637" s="2875"/>
      <c r="R637" s="2877"/>
      <c r="S637" s="4417">
        <v>17699.759999999998</v>
      </c>
      <c r="T637" s="4417"/>
    </row>
    <row r="638" spans="1:20" s="2867" customFormat="1" ht="36" hidden="1" customHeight="1" outlineLevel="4">
      <c r="A638" s="4416" t="s">
        <v>901</v>
      </c>
      <c r="B638" s="4416"/>
      <c r="C638" s="4416"/>
      <c r="D638" s="4416"/>
      <c r="E638" s="4416"/>
      <c r="F638" s="2875"/>
      <c r="G638" s="2876"/>
      <c r="H638" s="2877"/>
      <c r="I638" s="4417">
        <v>5610.08</v>
      </c>
      <c r="J638" s="4417"/>
      <c r="K638" s="2875"/>
      <c r="L638" s="2876"/>
      <c r="M638" s="2877"/>
      <c r="N638" s="4418">
        <v>701.26</v>
      </c>
      <c r="O638" s="4418"/>
      <c r="P638" s="4418"/>
      <c r="Q638" s="2875"/>
      <c r="R638" s="2877"/>
      <c r="S638" s="4417">
        <v>6311.34</v>
      </c>
      <c r="T638" s="4417"/>
    </row>
    <row r="639" spans="1:20" s="2867" customFormat="1" ht="36" hidden="1" customHeight="1" outlineLevel="4">
      <c r="A639" s="4416" t="s">
        <v>901</v>
      </c>
      <c r="B639" s="4416"/>
      <c r="C639" s="4416"/>
      <c r="D639" s="4416"/>
      <c r="E639" s="4416"/>
      <c r="F639" s="2875"/>
      <c r="G639" s="2876"/>
      <c r="H639" s="2877"/>
      <c r="I639" s="4417">
        <v>5610.08</v>
      </c>
      <c r="J639" s="4417"/>
      <c r="K639" s="2875"/>
      <c r="L639" s="2876"/>
      <c r="M639" s="2877"/>
      <c r="N639" s="4418">
        <v>701.26</v>
      </c>
      <c r="O639" s="4418"/>
      <c r="P639" s="4418"/>
      <c r="Q639" s="2875"/>
      <c r="R639" s="2877"/>
      <c r="S639" s="4417">
        <v>6311.34</v>
      </c>
      <c r="T639" s="4417"/>
    </row>
    <row r="640" spans="1:20" s="2867" customFormat="1" ht="36" hidden="1" customHeight="1" outlineLevel="4">
      <c r="A640" s="4416" t="s">
        <v>901</v>
      </c>
      <c r="B640" s="4416"/>
      <c r="C640" s="4416"/>
      <c r="D640" s="4416"/>
      <c r="E640" s="4416"/>
      <c r="F640" s="2875"/>
      <c r="G640" s="2876"/>
      <c r="H640" s="2877"/>
      <c r="I640" s="4417">
        <v>5610.16</v>
      </c>
      <c r="J640" s="4417"/>
      <c r="K640" s="2875"/>
      <c r="L640" s="2876"/>
      <c r="M640" s="2877"/>
      <c r="N640" s="4418">
        <v>701.27</v>
      </c>
      <c r="O640" s="4418"/>
      <c r="P640" s="4418"/>
      <c r="Q640" s="2875"/>
      <c r="R640" s="2877"/>
      <c r="S640" s="4417">
        <v>6311.43</v>
      </c>
      <c r="T640" s="4417"/>
    </row>
    <row r="641" spans="1:20" s="2867" customFormat="1" ht="24" hidden="1" customHeight="1" outlineLevel="4">
      <c r="A641" s="4416" t="s">
        <v>820</v>
      </c>
      <c r="B641" s="4416"/>
      <c r="C641" s="4416"/>
      <c r="D641" s="4416"/>
      <c r="E641" s="4416"/>
      <c r="F641" s="2875"/>
      <c r="G641" s="2876"/>
      <c r="H641" s="2877"/>
      <c r="I641" s="4417">
        <v>3750.8</v>
      </c>
      <c r="J641" s="4417"/>
      <c r="K641" s="2875"/>
      <c r="L641" s="2876"/>
      <c r="M641" s="2877"/>
      <c r="N641" s="4418">
        <v>468.85</v>
      </c>
      <c r="O641" s="4418"/>
      <c r="P641" s="4418"/>
      <c r="Q641" s="2875"/>
      <c r="R641" s="2877"/>
      <c r="S641" s="4417">
        <v>4219.6499999999996</v>
      </c>
      <c r="T641" s="4417"/>
    </row>
    <row r="642" spans="1:20" s="2867" customFormat="1" ht="24" hidden="1" customHeight="1" outlineLevel="4">
      <c r="A642" s="4416" t="s">
        <v>820</v>
      </c>
      <c r="B642" s="4416"/>
      <c r="C642" s="4416"/>
      <c r="D642" s="4416"/>
      <c r="E642" s="4416"/>
      <c r="F642" s="2875"/>
      <c r="G642" s="2876"/>
      <c r="H642" s="2877"/>
      <c r="I642" s="4417">
        <v>3750.8</v>
      </c>
      <c r="J642" s="4417"/>
      <c r="K642" s="2875"/>
      <c r="L642" s="2876"/>
      <c r="M642" s="2877"/>
      <c r="N642" s="4418">
        <v>468.85</v>
      </c>
      <c r="O642" s="4418"/>
      <c r="P642" s="4418"/>
      <c r="Q642" s="2875"/>
      <c r="R642" s="2877"/>
      <c r="S642" s="4417">
        <v>4219.6499999999996</v>
      </c>
      <c r="T642" s="4417"/>
    </row>
    <row r="643" spans="1:20" s="2867" customFormat="1" ht="24" hidden="1" customHeight="1" outlineLevel="4">
      <c r="A643" s="4416" t="s">
        <v>820</v>
      </c>
      <c r="B643" s="4416"/>
      <c r="C643" s="4416"/>
      <c r="D643" s="4416"/>
      <c r="E643" s="4416"/>
      <c r="F643" s="2875"/>
      <c r="G643" s="2876"/>
      <c r="H643" s="2877"/>
      <c r="I643" s="4417">
        <v>3750.8</v>
      </c>
      <c r="J643" s="4417"/>
      <c r="K643" s="2875"/>
      <c r="L643" s="2876"/>
      <c r="M643" s="2877"/>
      <c r="N643" s="4418">
        <v>468.85</v>
      </c>
      <c r="O643" s="4418"/>
      <c r="P643" s="4418"/>
      <c r="Q643" s="2875"/>
      <c r="R643" s="2877"/>
      <c r="S643" s="4417">
        <v>4219.6499999999996</v>
      </c>
      <c r="T643" s="4417"/>
    </row>
    <row r="644" spans="1:20" s="2867" customFormat="1" ht="24" hidden="1" customHeight="1" outlineLevel="4">
      <c r="A644" s="4416" t="s">
        <v>820</v>
      </c>
      <c r="B644" s="4416"/>
      <c r="C644" s="4416"/>
      <c r="D644" s="4416"/>
      <c r="E644" s="4416"/>
      <c r="F644" s="2875"/>
      <c r="G644" s="2876"/>
      <c r="H644" s="2877"/>
      <c r="I644" s="4417">
        <v>3750.8</v>
      </c>
      <c r="J644" s="4417"/>
      <c r="K644" s="2875"/>
      <c r="L644" s="2876"/>
      <c r="M644" s="2877"/>
      <c r="N644" s="4418">
        <v>468.85</v>
      </c>
      <c r="O644" s="4418"/>
      <c r="P644" s="4418"/>
      <c r="Q644" s="2875"/>
      <c r="R644" s="2877"/>
      <c r="S644" s="4417">
        <v>4219.6499999999996</v>
      </c>
      <c r="T644" s="4417"/>
    </row>
    <row r="645" spans="1:20" s="2867" customFormat="1" ht="24" hidden="1" customHeight="1" outlineLevel="4">
      <c r="A645" s="4416" t="s">
        <v>820</v>
      </c>
      <c r="B645" s="4416"/>
      <c r="C645" s="4416"/>
      <c r="D645" s="4416"/>
      <c r="E645" s="4416"/>
      <c r="F645" s="2875"/>
      <c r="G645" s="2876"/>
      <c r="H645" s="2877"/>
      <c r="I645" s="4417">
        <v>3750.8</v>
      </c>
      <c r="J645" s="4417"/>
      <c r="K645" s="2875"/>
      <c r="L645" s="2876"/>
      <c r="M645" s="2877"/>
      <c r="N645" s="4418">
        <v>468.85</v>
      </c>
      <c r="O645" s="4418"/>
      <c r="P645" s="4418"/>
      <c r="Q645" s="2875"/>
      <c r="R645" s="2877"/>
      <c r="S645" s="4417">
        <v>4219.6499999999996</v>
      </c>
      <c r="T645" s="4417"/>
    </row>
    <row r="646" spans="1:20" s="2867" customFormat="1" ht="24" hidden="1" customHeight="1" outlineLevel="4">
      <c r="A646" s="4416" t="s">
        <v>820</v>
      </c>
      <c r="B646" s="4416"/>
      <c r="C646" s="4416"/>
      <c r="D646" s="4416"/>
      <c r="E646" s="4416"/>
      <c r="F646" s="2875"/>
      <c r="G646" s="2876"/>
      <c r="H646" s="2877"/>
      <c r="I646" s="4417">
        <v>3750.8</v>
      </c>
      <c r="J646" s="4417"/>
      <c r="K646" s="2875"/>
      <c r="L646" s="2876"/>
      <c r="M646" s="2877"/>
      <c r="N646" s="4418">
        <v>468.85</v>
      </c>
      <c r="O646" s="4418"/>
      <c r="P646" s="4418"/>
      <c r="Q646" s="2875"/>
      <c r="R646" s="2877"/>
      <c r="S646" s="4417">
        <v>4219.6499999999996</v>
      </c>
      <c r="T646" s="4417"/>
    </row>
    <row r="647" spans="1:20" s="2867" customFormat="1" ht="24" hidden="1" customHeight="1" outlineLevel="4">
      <c r="A647" s="4416" t="s">
        <v>820</v>
      </c>
      <c r="B647" s="4416"/>
      <c r="C647" s="4416"/>
      <c r="D647" s="4416"/>
      <c r="E647" s="4416"/>
      <c r="F647" s="2875"/>
      <c r="G647" s="2876"/>
      <c r="H647" s="2877"/>
      <c r="I647" s="4417">
        <v>3750.8</v>
      </c>
      <c r="J647" s="4417"/>
      <c r="K647" s="2875"/>
      <c r="L647" s="2876"/>
      <c r="M647" s="2877"/>
      <c r="N647" s="4418">
        <v>468.85</v>
      </c>
      <c r="O647" s="4418"/>
      <c r="P647" s="4418"/>
      <c r="Q647" s="2875"/>
      <c r="R647" s="2877"/>
      <c r="S647" s="4417">
        <v>4219.6499999999996</v>
      </c>
      <c r="T647" s="4417"/>
    </row>
    <row r="648" spans="1:20" s="2867" customFormat="1" ht="24" hidden="1" customHeight="1" outlineLevel="4">
      <c r="A648" s="4416" t="s">
        <v>820</v>
      </c>
      <c r="B648" s="4416"/>
      <c r="C648" s="4416"/>
      <c r="D648" s="4416"/>
      <c r="E648" s="4416"/>
      <c r="F648" s="2875"/>
      <c r="G648" s="2876"/>
      <c r="H648" s="2877"/>
      <c r="I648" s="4417">
        <v>3750.8</v>
      </c>
      <c r="J648" s="4417"/>
      <c r="K648" s="2875"/>
      <c r="L648" s="2876"/>
      <c r="M648" s="2877"/>
      <c r="N648" s="4418">
        <v>468.85</v>
      </c>
      <c r="O648" s="4418"/>
      <c r="P648" s="4418"/>
      <c r="Q648" s="2875"/>
      <c r="R648" s="2877"/>
      <c r="S648" s="4417">
        <v>4219.6499999999996</v>
      </c>
      <c r="T648" s="4417"/>
    </row>
    <row r="649" spans="1:20" s="2867" customFormat="1" ht="24" hidden="1" customHeight="1" outlineLevel="4">
      <c r="A649" s="4416" t="s">
        <v>820</v>
      </c>
      <c r="B649" s="4416"/>
      <c r="C649" s="4416"/>
      <c r="D649" s="4416"/>
      <c r="E649" s="4416"/>
      <c r="F649" s="2875"/>
      <c r="G649" s="2876"/>
      <c r="H649" s="2877"/>
      <c r="I649" s="4417">
        <v>3750.8</v>
      </c>
      <c r="J649" s="4417"/>
      <c r="K649" s="2875"/>
      <c r="L649" s="2876"/>
      <c r="M649" s="2877"/>
      <c r="N649" s="4418">
        <v>468.85</v>
      </c>
      <c r="O649" s="4418"/>
      <c r="P649" s="4418"/>
      <c r="Q649" s="2875"/>
      <c r="R649" s="2877"/>
      <c r="S649" s="4417">
        <v>4219.6499999999996</v>
      </c>
      <c r="T649" s="4417"/>
    </row>
    <row r="650" spans="1:20" s="2867" customFormat="1" ht="24" hidden="1" customHeight="1" outlineLevel="4">
      <c r="A650" s="4416" t="s">
        <v>820</v>
      </c>
      <c r="B650" s="4416"/>
      <c r="C650" s="4416"/>
      <c r="D650" s="4416"/>
      <c r="E650" s="4416"/>
      <c r="F650" s="2875"/>
      <c r="G650" s="2876"/>
      <c r="H650" s="2877"/>
      <c r="I650" s="4417">
        <v>3750.8</v>
      </c>
      <c r="J650" s="4417"/>
      <c r="K650" s="2875"/>
      <c r="L650" s="2876"/>
      <c r="M650" s="2877"/>
      <c r="N650" s="4418">
        <v>468.85</v>
      </c>
      <c r="O650" s="4418"/>
      <c r="P650" s="4418"/>
      <c r="Q650" s="2875"/>
      <c r="R650" s="2877"/>
      <c r="S650" s="4417">
        <v>4219.6499999999996</v>
      </c>
      <c r="T650" s="4417"/>
    </row>
    <row r="651" spans="1:20" s="2867" customFormat="1" ht="24" hidden="1" customHeight="1" outlineLevel="4">
      <c r="A651" s="4416" t="s">
        <v>820</v>
      </c>
      <c r="B651" s="4416"/>
      <c r="C651" s="4416"/>
      <c r="D651" s="4416"/>
      <c r="E651" s="4416"/>
      <c r="F651" s="2875"/>
      <c r="G651" s="2876"/>
      <c r="H651" s="2877"/>
      <c r="I651" s="4417">
        <v>3750.8</v>
      </c>
      <c r="J651" s="4417"/>
      <c r="K651" s="2875"/>
      <c r="L651" s="2876"/>
      <c r="M651" s="2877"/>
      <c r="N651" s="4418">
        <v>468.85</v>
      </c>
      <c r="O651" s="4418"/>
      <c r="P651" s="4418"/>
      <c r="Q651" s="2875"/>
      <c r="R651" s="2877"/>
      <c r="S651" s="4417">
        <v>4219.6499999999996</v>
      </c>
      <c r="T651" s="4417"/>
    </row>
    <row r="652" spans="1:20" s="2867" customFormat="1" ht="24" hidden="1" customHeight="1" outlineLevel="4">
      <c r="A652" s="4416" t="s">
        <v>820</v>
      </c>
      <c r="B652" s="4416"/>
      <c r="C652" s="4416"/>
      <c r="D652" s="4416"/>
      <c r="E652" s="4416"/>
      <c r="F652" s="2875"/>
      <c r="G652" s="2876"/>
      <c r="H652" s="2877"/>
      <c r="I652" s="4417">
        <v>3750.8</v>
      </c>
      <c r="J652" s="4417"/>
      <c r="K652" s="2875"/>
      <c r="L652" s="2876"/>
      <c r="M652" s="2877"/>
      <c r="N652" s="4418">
        <v>468.85</v>
      </c>
      <c r="O652" s="4418"/>
      <c r="P652" s="4418"/>
      <c r="Q652" s="2875"/>
      <c r="R652" s="2877"/>
      <c r="S652" s="4417">
        <v>4219.6499999999996</v>
      </c>
      <c r="T652" s="4417"/>
    </row>
    <row r="653" spans="1:20" s="2867" customFormat="1" ht="24" hidden="1" customHeight="1" outlineLevel="4">
      <c r="A653" s="4416" t="s">
        <v>820</v>
      </c>
      <c r="B653" s="4416"/>
      <c r="C653" s="4416"/>
      <c r="D653" s="4416"/>
      <c r="E653" s="4416"/>
      <c r="F653" s="2875"/>
      <c r="G653" s="2876"/>
      <c r="H653" s="2877"/>
      <c r="I653" s="4417">
        <v>3750.8</v>
      </c>
      <c r="J653" s="4417"/>
      <c r="K653" s="2875"/>
      <c r="L653" s="2876"/>
      <c r="M653" s="2877"/>
      <c r="N653" s="4418">
        <v>468.85</v>
      </c>
      <c r="O653" s="4418"/>
      <c r="P653" s="4418"/>
      <c r="Q653" s="2875"/>
      <c r="R653" s="2877"/>
      <c r="S653" s="4417">
        <v>4219.6499999999996</v>
      </c>
      <c r="T653" s="4417"/>
    </row>
    <row r="654" spans="1:20" s="2867" customFormat="1" ht="24" hidden="1" customHeight="1" outlineLevel="4">
      <c r="A654" s="4416" t="s">
        <v>820</v>
      </c>
      <c r="B654" s="4416"/>
      <c r="C654" s="4416"/>
      <c r="D654" s="4416"/>
      <c r="E654" s="4416"/>
      <c r="F654" s="2875"/>
      <c r="G654" s="2876"/>
      <c r="H654" s="2877"/>
      <c r="I654" s="4417">
        <v>3750.8</v>
      </c>
      <c r="J654" s="4417"/>
      <c r="K654" s="2875"/>
      <c r="L654" s="2876"/>
      <c r="M654" s="2877"/>
      <c r="N654" s="4418">
        <v>468.85</v>
      </c>
      <c r="O654" s="4418"/>
      <c r="P654" s="4418"/>
      <c r="Q654" s="2875"/>
      <c r="R654" s="2877"/>
      <c r="S654" s="4417">
        <v>4219.6499999999996</v>
      </c>
      <c r="T654" s="4417"/>
    </row>
    <row r="655" spans="1:20" s="2867" customFormat="1" ht="24" hidden="1" customHeight="1" outlineLevel="4">
      <c r="A655" s="4416" t="s">
        <v>820</v>
      </c>
      <c r="B655" s="4416"/>
      <c r="C655" s="4416"/>
      <c r="D655" s="4416"/>
      <c r="E655" s="4416"/>
      <c r="F655" s="2875"/>
      <c r="G655" s="2876"/>
      <c r="H655" s="2877"/>
      <c r="I655" s="4417">
        <v>3750.8</v>
      </c>
      <c r="J655" s="4417"/>
      <c r="K655" s="2875"/>
      <c r="L655" s="2876"/>
      <c r="M655" s="2877"/>
      <c r="N655" s="4418">
        <v>468.85</v>
      </c>
      <c r="O655" s="4418"/>
      <c r="P655" s="4418"/>
      <c r="Q655" s="2875"/>
      <c r="R655" s="2877"/>
      <c r="S655" s="4417">
        <v>4219.6499999999996</v>
      </c>
      <c r="T655" s="4417"/>
    </row>
    <row r="656" spans="1:20" s="2867" customFormat="1" ht="24" hidden="1" customHeight="1" outlineLevel="4">
      <c r="A656" s="4416" t="s">
        <v>820</v>
      </c>
      <c r="B656" s="4416"/>
      <c r="C656" s="4416"/>
      <c r="D656" s="4416"/>
      <c r="E656" s="4416"/>
      <c r="F656" s="2875"/>
      <c r="G656" s="2876"/>
      <c r="H656" s="2877"/>
      <c r="I656" s="4417">
        <v>3750.8</v>
      </c>
      <c r="J656" s="4417"/>
      <c r="K656" s="2875"/>
      <c r="L656" s="2876"/>
      <c r="M656" s="2877"/>
      <c r="N656" s="4418">
        <v>468.85</v>
      </c>
      <c r="O656" s="4418"/>
      <c r="P656" s="4418"/>
      <c r="Q656" s="2875"/>
      <c r="R656" s="2877"/>
      <c r="S656" s="4417">
        <v>4219.6499999999996</v>
      </c>
      <c r="T656" s="4417"/>
    </row>
    <row r="657" spans="1:20" s="2867" customFormat="1" ht="24" hidden="1" customHeight="1" outlineLevel="4">
      <c r="A657" s="4416" t="s">
        <v>820</v>
      </c>
      <c r="B657" s="4416"/>
      <c r="C657" s="4416"/>
      <c r="D657" s="4416"/>
      <c r="E657" s="4416"/>
      <c r="F657" s="2875"/>
      <c r="G657" s="2876"/>
      <c r="H657" s="2877"/>
      <c r="I657" s="4417">
        <v>3750.8</v>
      </c>
      <c r="J657" s="4417"/>
      <c r="K657" s="2875"/>
      <c r="L657" s="2876"/>
      <c r="M657" s="2877"/>
      <c r="N657" s="4418">
        <v>468.85</v>
      </c>
      <c r="O657" s="4418"/>
      <c r="P657" s="4418"/>
      <c r="Q657" s="2875"/>
      <c r="R657" s="2877"/>
      <c r="S657" s="4417">
        <v>4219.6499999999996</v>
      </c>
      <c r="T657" s="4417"/>
    </row>
    <row r="658" spans="1:20" s="2867" customFormat="1" ht="24" hidden="1" customHeight="1" outlineLevel="4">
      <c r="A658" s="4416" t="s">
        <v>820</v>
      </c>
      <c r="B658" s="4416"/>
      <c r="C658" s="4416"/>
      <c r="D658" s="4416"/>
      <c r="E658" s="4416"/>
      <c r="F658" s="2875"/>
      <c r="G658" s="2876"/>
      <c r="H658" s="2877"/>
      <c r="I658" s="4417">
        <v>3750.8</v>
      </c>
      <c r="J658" s="4417"/>
      <c r="K658" s="2875"/>
      <c r="L658" s="2876"/>
      <c r="M658" s="2877"/>
      <c r="N658" s="4418">
        <v>468.85</v>
      </c>
      <c r="O658" s="4418"/>
      <c r="P658" s="4418"/>
      <c r="Q658" s="2875"/>
      <c r="R658" s="2877"/>
      <c r="S658" s="4417">
        <v>4219.6499999999996</v>
      </c>
      <c r="T658" s="4417"/>
    </row>
    <row r="659" spans="1:20" s="2867" customFormat="1" ht="24" hidden="1" customHeight="1" outlineLevel="4">
      <c r="A659" s="4416" t="s">
        <v>820</v>
      </c>
      <c r="B659" s="4416"/>
      <c r="C659" s="4416"/>
      <c r="D659" s="4416"/>
      <c r="E659" s="4416"/>
      <c r="F659" s="2875"/>
      <c r="G659" s="2876"/>
      <c r="H659" s="2877"/>
      <c r="I659" s="4417">
        <v>3750.8</v>
      </c>
      <c r="J659" s="4417"/>
      <c r="K659" s="2875"/>
      <c r="L659" s="2876"/>
      <c r="M659" s="2877"/>
      <c r="N659" s="4418">
        <v>468.85</v>
      </c>
      <c r="O659" s="4418"/>
      <c r="P659" s="4418"/>
      <c r="Q659" s="2875"/>
      <c r="R659" s="2877"/>
      <c r="S659" s="4417">
        <v>4219.6499999999996</v>
      </c>
      <c r="T659" s="4417"/>
    </row>
    <row r="660" spans="1:20" s="2867" customFormat="1" ht="24" hidden="1" customHeight="1" outlineLevel="4">
      <c r="A660" s="4416" t="s">
        <v>820</v>
      </c>
      <c r="B660" s="4416"/>
      <c r="C660" s="4416"/>
      <c r="D660" s="4416"/>
      <c r="E660" s="4416"/>
      <c r="F660" s="2875"/>
      <c r="G660" s="2876"/>
      <c r="H660" s="2877"/>
      <c r="I660" s="4417">
        <v>3750.8</v>
      </c>
      <c r="J660" s="4417"/>
      <c r="K660" s="2875"/>
      <c r="L660" s="2876"/>
      <c r="M660" s="2877"/>
      <c r="N660" s="4418">
        <v>468.85</v>
      </c>
      <c r="O660" s="4418"/>
      <c r="P660" s="4418"/>
      <c r="Q660" s="2875"/>
      <c r="R660" s="2877"/>
      <c r="S660" s="4417">
        <v>4219.6499999999996</v>
      </c>
      <c r="T660" s="4417"/>
    </row>
    <row r="661" spans="1:20" s="2867" customFormat="1" ht="24" hidden="1" customHeight="1" outlineLevel="4">
      <c r="A661" s="4416" t="s">
        <v>820</v>
      </c>
      <c r="B661" s="4416"/>
      <c r="C661" s="4416"/>
      <c r="D661" s="4416"/>
      <c r="E661" s="4416"/>
      <c r="F661" s="2875"/>
      <c r="G661" s="2876"/>
      <c r="H661" s="2877"/>
      <c r="I661" s="4417">
        <v>3750.8</v>
      </c>
      <c r="J661" s="4417"/>
      <c r="K661" s="2875"/>
      <c r="L661" s="2876"/>
      <c r="M661" s="2877"/>
      <c r="N661" s="4418">
        <v>468.85</v>
      </c>
      <c r="O661" s="4418"/>
      <c r="P661" s="4418"/>
      <c r="Q661" s="2875"/>
      <c r="R661" s="2877"/>
      <c r="S661" s="4417">
        <v>4219.6499999999996</v>
      </c>
      <c r="T661" s="4417"/>
    </row>
    <row r="662" spans="1:20" s="2867" customFormat="1" ht="24" hidden="1" customHeight="1" outlineLevel="4">
      <c r="A662" s="4416" t="s">
        <v>820</v>
      </c>
      <c r="B662" s="4416"/>
      <c r="C662" s="4416"/>
      <c r="D662" s="4416"/>
      <c r="E662" s="4416"/>
      <c r="F662" s="2875"/>
      <c r="G662" s="2876"/>
      <c r="H662" s="2877"/>
      <c r="I662" s="4417">
        <v>3750.8</v>
      </c>
      <c r="J662" s="4417"/>
      <c r="K662" s="2875"/>
      <c r="L662" s="2876"/>
      <c r="M662" s="2877"/>
      <c r="N662" s="4418">
        <v>468.85</v>
      </c>
      <c r="O662" s="4418"/>
      <c r="P662" s="4418"/>
      <c r="Q662" s="2875"/>
      <c r="R662" s="2877"/>
      <c r="S662" s="4417">
        <v>4219.6499999999996</v>
      </c>
      <c r="T662" s="4417"/>
    </row>
    <row r="663" spans="1:20" s="2867" customFormat="1" ht="24" hidden="1" customHeight="1" outlineLevel="4">
      <c r="A663" s="4416" t="s">
        <v>820</v>
      </c>
      <c r="B663" s="4416"/>
      <c r="C663" s="4416"/>
      <c r="D663" s="4416"/>
      <c r="E663" s="4416"/>
      <c r="F663" s="2875"/>
      <c r="G663" s="2876"/>
      <c r="H663" s="2877"/>
      <c r="I663" s="4417">
        <v>3750.8</v>
      </c>
      <c r="J663" s="4417"/>
      <c r="K663" s="2875"/>
      <c r="L663" s="2876"/>
      <c r="M663" s="2877"/>
      <c r="N663" s="4418">
        <v>468.85</v>
      </c>
      <c r="O663" s="4418"/>
      <c r="P663" s="4418"/>
      <c r="Q663" s="2875"/>
      <c r="R663" s="2877"/>
      <c r="S663" s="4417">
        <v>4219.6499999999996</v>
      </c>
      <c r="T663" s="4417"/>
    </row>
    <row r="664" spans="1:20" s="2867" customFormat="1" ht="24" hidden="1" customHeight="1" outlineLevel="4">
      <c r="A664" s="4416" t="s">
        <v>820</v>
      </c>
      <c r="B664" s="4416"/>
      <c r="C664" s="4416"/>
      <c r="D664" s="4416"/>
      <c r="E664" s="4416"/>
      <c r="F664" s="2875"/>
      <c r="G664" s="2876"/>
      <c r="H664" s="2877"/>
      <c r="I664" s="4417">
        <v>3750.8</v>
      </c>
      <c r="J664" s="4417"/>
      <c r="K664" s="2875"/>
      <c r="L664" s="2876"/>
      <c r="M664" s="2877"/>
      <c r="N664" s="4418">
        <v>468.85</v>
      </c>
      <c r="O664" s="4418"/>
      <c r="P664" s="4418"/>
      <c r="Q664" s="2875"/>
      <c r="R664" s="2877"/>
      <c r="S664" s="4417">
        <v>4219.6499999999996</v>
      </c>
      <c r="T664" s="4417"/>
    </row>
    <row r="665" spans="1:20" s="2867" customFormat="1" ht="24" hidden="1" customHeight="1" outlineLevel="4">
      <c r="A665" s="4416" t="s">
        <v>820</v>
      </c>
      <c r="B665" s="4416"/>
      <c r="C665" s="4416"/>
      <c r="D665" s="4416"/>
      <c r="E665" s="4416"/>
      <c r="F665" s="2875"/>
      <c r="G665" s="2876"/>
      <c r="H665" s="2877"/>
      <c r="I665" s="4417">
        <v>3750.64</v>
      </c>
      <c r="J665" s="4417"/>
      <c r="K665" s="2875"/>
      <c r="L665" s="2876"/>
      <c r="M665" s="2877"/>
      <c r="N665" s="4418">
        <v>468.83</v>
      </c>
      <c r="O665" s="4418"/>
      <c r="P665" s="4418"/>
      <c r="Q665" s="2875"/>
      <c r="R665" s="2877"/>
      <c r="S665" s="4417">
        <v>4219.47</v>
      </c>
      <c r="T665" s="4417"/>
    </row>
    <row r="666" spans="1:20" s="2867" customFormat="1" ht="36" hidden="1" customHeight="1" outlineLevel="4">
      <c r="A666" s="4416" t="s">
        <v>4575</v>
      </c>
      <c r="B666" s="4416"/>
      <c r="C666" s="4416"/>
      <c r="D666" s="4416"/>
      <c r="E666" s="4416"/>
      <c r="F666" s="2875"/>
      <c r="G666" s="2876"/>
      <c r="H666" s="2877"/>
      <c r="I666" s="4417">
        <v>4741.68</v>
      </c>
      <c r="J666" s="4417"/>
      <c r="K666" s="2875"/>
      <c r="L666" s="2876"/>
      <c r="M666" s="2877"/>
      <c r="N666" s="4418">
        <v>592.71</v>
      </c>
      <c r="O666" s="4418"/>
      <c r="P666" s="4418"/>
      <c r="Q666" s="2875"/>
      <c r="R666" s="2877"/>
      <c r="S666" s="4417">
        <v>5334.39</v>
      </c>
      <c r="T666" s="4417"/>
    </row>
    <row r="667" spans="1:20" s="2867" customFormat="1" ht="36" hidden="1" customHeight="1" outlineLevel="4">
      <c r="A667" s="4416" t="s">
        <v>4575</v>
      </c>
      <c r="B667" s="4416"/>
      <c r="C667" s="4416"/>
      <c r="D667" s="4416"/>
      <c r="E667" s="4416"/>
      <c r="F667" s="2875"/>
      <c r="G667" s="2876"/>
      <c r="H667" s="2877"/>
      <c r="I667" s="4417">
        <v>4741.68</v>
      </c>
      <c r="J667" s="4417"/>
      <c r="K667" s="2875"/>
      <c r="L667" s="2876"/>
      <c r="M667" s="2877"/>
      <c r="N667" s="4418">
        <v>592.71</v>
      </c>
      <c r="O667" s="4418"/>
      <c r="P667" s="4418"/>
      <c r="Q667" s="2875"/>
      <c r="R667" s="2877"/>
      <c r="S667" s="4417">
        <v>5334.39</v>
      </c>
      <c r="T667" s="4417"/>
    </row>
    <row r="668" spans="1:20" s="2867" customFormat="1" ht="36" hidden="1" customHeight="1" outlineLevel="4">
      <c r="A668" s="4416" t="s">
        <v>4494</v>
      </c>
      <c r="B668" s="4416"/>
      <c r="C668" s="4416"/>
      <c r="D668" s="4416"/>
      <c r="E668" s="4416"/>
      <c r="F668" s="2875"/>
      <c r="G668" s="2876"/>
      <c r="H668" s="2877"/>
      <c r="I668" s="4417">
        <v>4741.68</v>
      </c>
      <c r="J668" s="4417"/>
      <c r="K668" s="2875"/>
      <c r="L668" s="2876"/>
      <c r="M668" s="2877"/>
      <c r="N668" s="4418">
        <v>592.71</v>
      </c>
      <c r="O668" s="4418"/>
      <c r="P668" s="4418"/>
      <c r="Q668" s="2875"/>
      <c r="R668" s="2877"/>
      <c r="S668" s="4417">
        <v>5334.39</v>
      </c>
      <c r="T668" s="4417"/>
    </row>
    <row r="669" spans="1:20" s="2867" customFormat="1" ht="36" hidden="1" customHeight="1" outlineLevel="4">
      <c r="A669" s="4416" t="s">
        <v>4494</v>
      </c>
      <c r="B669" s="4416"/>
      <c r="C669" s="4416"/>
      <c r="D669" s="4416"/>
      <c r="E669" s="4416"/>
      <c r="F669" s="2875"/>
      <c r="G669" s="2876"/>
      <c r="H669" s="2877"/>
      <c r="I669" s="4417">
        <v>4741.68</v>
      </c>
      <c r="J669" s="4417"/>
      <c r="K669" s="2875"/>
      <c r="L669" s="2876"/>
      <c r="M669" s="2877"/>
      <c r="N669" s="4418">
        <v>592.71</v>
      </c>
      <c r="O669" s="4418"/>
      <c r="P669" s="4418"/>
      <c r="Q669" s="2875"/>
      <c r="R669" s="2877"/>
      <c r="S669" s="4417">
        <v>5334.39</v>
      </c>
      <c r="T669" s="4417"/>
    </row>
    <row r="670" spans="1:20" s="2867" customFormat="1" ht="36" hidden="1" customHeight="1" outlineLevel="4">
      <c r="A670" s="4416" t="s">
        <v>822</v>
      </c>
      <c r="B670" s="4416"/>
      <c r="C670" s="4416"/>
      <c r="D670" s="4416"/>
      <c r="E670" s="4416"/>
      <c r="F670" s="2875"/>
      <c r="G670" s="2876"/>
      <c r="H670" s="2877"/>
      <c r="I670" s="4417">
        <v>8831.52</v>
      </c>
      <c r="J670" s="4417"/>
      <c r="K670" s="2875"/>
      <c r="L670" s="2876"/>
      <c r="M670" s="2877"/>
      <c r="N670" s="4417">
        <v>1103.94</v>
      </c>
      <c r="O670" s="4417"/>
      <c r="P670" s="4417"/>
      <c r="Q670" s="2875"/>
      <c r="R670" s="2877"/>
      <c r="S670" s="4417">
        <v>9935.4599999999991</v>
      </c>
      <c r="T670" s="4417"/>
    </row>
    <row r="671" spans="1:20" s="2867" customFormat="1" ht="24" hidden="1" customHeight="1" outlineLevel="4">
      <c r="A671" s="4416" t="s">
        <v>4576</v>
      </c>
      <c r="B671" s="4416"/>
      <c r="C671" s="4416"/>
      <c r="D671" s="4416"/>
      <c r="E671" s="4416"/>
      <c r="F671" s="2875"/>
      <c r="G671" s="2876"/>
      <c r="H671" s="2877"/>
      <c r="I671" s="4417">
        <v>20096.16</v>
      </c>
      <c r="J671" s="4417"/>
      <c r="K671" s="2875"/>
      <c r="L671" s="2876"/>
      <c r="M671" s="2877"/>
      <c r="N671" s="4417">
        <v>2512.02</v>
      </c>
      <c r="O671" s="4417"/>
      <c r="P671" s="4417"/>
      <c r="Q671" s="2875"/>
      <c r="R671" s="2877"/>
      <c r="S671" s="4417">
        <v>22608.18</v>
      </c>
      <c r="T671" s="4417"/>
    </row>
    <row r="672" spans="1:20" s="2867" customFormat="1" ht="24" hidden="1" customHeight="1" outlineLevel="4">
      <c r="A672" s="4416" t="s">
        <v>4576</v>
      </c>
      <c r="B672" s="4416"/>
      <c r="C672" s="4416"/>
      <c r="D672" s="4416"/>
      <c r="E672" s="4416"/>
      <c r="F672" s="2875"/>
      <c r="G672" s="2876"/>
      <c r="H672" s="2877"/>
      <c r="I672" s="4417">
        <v>20096.16</v>
      </c>
      <c r="J672" s="4417"/>
      <c r="K672" s="2875"/>
      <c r="L672" s="2876"/>
      <c r="M672" s="2877"/>
      <c r="N672" s="4417">
        <v>2512.02</v>
      </c>
      <c r="O672" s="4417"/>
      <c r="P672" s="4417"/>
      <c r="Q672" s="2875"/>
      <c r="R672" s="2877"/>
      <c r="S672" s="4417">
        <v>22608.18</v>
      </c>
      <c r="T672" s="4417"/>
    </row>
    <row r="673" spans="1:20" s="2867" customFormat="1" ht="24" hidden="1" customHeight="1" outlineLevel="4">
      <c r="A673" s="4416" t="s">
        <v>4576</v>
      </c>
      <c r="B673" s="4416"/>
      <c r="C673" s="4416"/>
      <c r="D673" s="4416"/>
      <c r="E673" s="4416"/>
      <c r="F673" s="2875"/>
      <c r="G673" s="2876"/>
      <c r="H673" s="2877"/>
      <c r="I673" s="4417">
        <v>20096.16</v>
      </c>
      <c r="J673" s="4417"/>
      <c r="K673" s="2875"/>
      <c r="L673" s="2876"/>
      <c r="M673" s="2877"/>
      <c r="N673" s="4417">
        <v>2512.02</v>
      </c>
      <c r="O673" s="4417"/>
      <c r="P673" s="4417"/>
      <c r="Q673" s="2875"/>
      <c r="R673" s="2877"/>
      <c r="S673" s="4417">
        <v>22608.18</v>
      </c>
      <c r="T673" s="4417"/>
    </row>
    <row r="674" spans="1:20" s="2867" customFormat="1" ht="24" hidden="1" customHeight="1" outlineLevel="4">
      <c r="A674" s="4416" t="s">
        <v>4576</v>
      </c>
      <c r="B674" s="4416"/>
      <c r="C674" s="4416"/>
      <c r="D674" s="4416"/>
      <c r="E674" s="4416"/>
      <c r="F674" s="2875"/>
      <c r="G674" s="2876"/>
      <c r="H674" s="2877"/>
      <c r="I674" s="4417">
        <v>20096.16</v>
      </c>
      <c r="J674" s="4417"/>
      <c r="K674" s="2875"/>
      <c r="L674" s="2876"/>
      <c r="M674" s="2877"/>
      <c r="N674" s="4417">
        <v>2512.02</v>
      </c>
      <c r="O674" s="4417"/>
      <c r="P674" s="4417"/>
      <c r="Q674" s="2875"/>
      <c r="R674" s="2877"/>
      <c r="S674" s="4417">
        <v>22608.18</v>
      </c>
      <c r="T674" s="4417"/>
    </row>
    <row r="675" spans="1:20" s="2867" customFormat="1" ht="24" hidden="1" customHeight="1" outlineLevel="4">
      <c r="A675" s="4416" t="s">
        <v>4576</v>
      </c>
      <c r="B675" s="4416"/>
      <c r="C675" s="4416"/>
      <c r="D675" s="4416"/>
      <c r="E675" s="4416"/>
      <c r="F675" s="2875"/>
      <c r="G675" s="2876"/>
      <c r="H675" s="2877"/>
      <c r="I675" s="4417">
        <v>20096.16</v>
      </c>
      <c r="J675" s="4417"/>
      <c r="K675" s="2875"/>
      <c r="L675" s="2876"/>
      <c r="M675" s="2877"/>
      <c r="N675" s="4417">
        <v>2512.02</v>
      </c>
      <c r="O675" s="4417"/>
      <c r="P675" s="4417"/>
      <c r="Q675" s="2875"/>
      <c r="R675" s="2877"/>
      <c r="S675" s="4417">
        <v>22608.18</v>
      </c>
      <c r="T675" s="4417"/>
    </row>
    <row r="676" spans="1:20" s="2867" customFormat="1" ht="24" hidden="1" customHeight="1" outlineLevel="4">
      <c r="A676" s="4416" t="s">
        <v>4576</v>
      </c>
      <c r="B676" s="4416"/>
      <c r="C676" s="4416"/>
      <c r="D676" s="4416"/>
      <c r="E676" s="4416"/>
      <c r="F676" s="2875"/>
      <c r="G676" s="2876"/>
      <c r="H676" s="2877"/>
      <c r="I676" s="4417">
        <v>20096.16</v>
      </c>
      <c r="J676" s="4417"/>
      <c r="K676" s="2875"/>
      <c r="L676" s="2876"/>
      <c r="M676" s="2877"/>
      <c r="N676" s="4417">
        <v>2512.02</v>
      </c>
      <c r="O676" s="4417"/>
      <c r="P676" s="4417"/>
      <c r="Q676" s="2875"/>
      <c r="R676" s="2877"/>
      <c r="S676" s="4417">
        <v>22608.18</v>
      </c>
      <c r="T676" s="4417"/>
    </row>
    <row r="677" spans="1:20" s="2867" customFormat="1" ht="24" hidden="1" customHeight="1" outlineLevel="4">
      <c r="A677" s="4416" t="s">
        <v>4576</v>
      </c>
      <c r="B677" s="4416"/>
      <c r="C677" s="4416"/>
      <c r="D677" s="4416"/>
      <c r="E677" s="4416"/>
      <c r="F677" s="2875"/>
      <c r="G677" s="2876"/>
      <c r="H677" s="2877"/>
      <c r="I677" s="4417">
        <v>20096.16</v>
      </c>
      <c r="J677" s="4417"/>
      <c r="K677" s="2875"/>
      <c r="L677" s="2876"/>
      <c r="M677" s="2877"/>
      <c r="N677" s="4417">
        <v>2512.02</v>
      </c>
      <c r="O677" s="4417"/>
      <c r="P677" s="4417"/>
      <c r="Q677" s="2875"/>
      <c r="R677" s="2877"/>
      <c r="S677" s="4417">
        <v>22608.18</v>
      </c>
      <c r="T677" s="4417"/>
    </row>
    <row r="678" spans="1:20" ht="24" customHeight="1" outlineLevel="3">
      <c r="A678" s="4420" t="s">
        <v>4577</v>
      </c>
      <c r="B678" s="4420"/>
      <c r="C678" s="4420"/>
      <c r="D678" s="4420"/>
      <c r="E678" s="4420"/>
      <c r="F678" s="2872"/>
      <c r="G678" s="2873"/>
      <c r="H678" s="2874"/>
      <c r="I678" s="4414">
        <v>58373.69</v>
      </c>
      <c r="J678" s="4414"/>
      <c r="K678" s="2872"/>
      <c r="L678" s="2873"/>
      <c r="M678" s="2874"/>
      <c r="N678" s="4414">
        <v>7171.36</v>
      </c>
      <c r="O678" s="4414"/>
      <c r="P678" s="4414"/>
      <c r="Q678" s="2872"/>
      <c r="R678" s="2874"/>
      <c r="S678" s="4414">
        <v>65545.05</v>
      </c>
      <c r="T678" s="4414"/>
    </row>
    <row r="679" spans="1:20" s="2867" customFormat="1" ht="36" customHeight="1" outlineLevel="4">
      <c r="A679" s="4416" t="s">
        <v>872</v>
      </c>
      <c r="B679" s="4416"/>
      <c r="C679" s="4416"/>
      <c r="D679" s="4416"/>
      <c r="E679" s="4416"/>
      <c r="F679" s="2875"/>
      <c r="G679" s="2876"/>
      <c r="H679" s="2877"/>
      <c r="I679" s="4417">
        <v>4091.04</v>
      </c>
      <c r="J679" s="4417"/>
      <c r="K679" s="2875"/>
      <c r="L679" s="2876"/>
      <c r="M679" s="2877"/>
      <c r="N679" s="4418">
        <v>511.38</v>
      </c>
      <c r="O679" s="4418"/>
      <c r="P679" s="4418"/>
      <c r="Q679" s="2875"/>
      <c r="R679" s="2877"/>
      <c r="S679" s="4417">
        <v>4602.42</v>
      </c>
      <c r="T679" s="4417"/>
    </row>
    <row r="680" spans="1:20" s="2867" customFormat="1" ht="36" customHeight="1" outlineLevel="4">
      <c r="A680" s="4416" t="s">
        <v>872</v>
      </c>
      <c r="B680" s="4416"/>
      <c r="C680" s="4416"/>
      <c r="D680" s="4416"/>
      <c r="E680" s="4416"/>
      <c r="F680" s="2875"/>
      <c r="G680" s="2876"/>
      <c r="H680" s="2877"/>
      <c r="I680" s="4417">
        <v>4091.04</v>
      </c>
      <c r="J680" s="4417"/>
      <c r="K680" s="2875"/>
      <c r="L680" s="2876"/>
      <c r="M680" s="2877"/>
      <c r="N680" s="4418">
        <v>511.38</v>
      </c>
      <c r="O680" s="4418"/>
      <c r="P680" s="4418"/>
      <c r="Q680" s="2875"/>
      <c r="R680" s="2877"/>
      <c r="S680" s="4417">
        <v>4602.42</v>
      </c>
      <c r="T680" s="4417"/>
    </row>
    <row r="681" spans="1:20" s="2867" customFormat="1" ht="24" customHeight="1" outlineLevel="4">
      <c r="A681" s="4416" t="s">
        <v>966</v>
      </c>
      <c r="B681" s="4416"/>
      <c r="C681" s="4416"/>
      <c r="D681" s="4416"/>
      <c r="E681" s="4416"/>
      <c r="F681" s="2875"/>
      <c r="G681" s="2876"/>
      <c r="H681" s="2877"/>
      <c r="I681" s="4417">
        <v>1002.81</v>
      </c>
      <c r="J681" s="4417"/>
      <c r="K681" s="2875"/>
      <c r="L681" s="2876"/>
      <c r="M681" s="2877"/>
      <c r="N681" s="2875"/>
      <c r="O681" s="2876"/>
      <c r="P681" s="2877"/>
      <c r="Q681" s="2875"/>
      <c r="R681" s="2877"/>
      <c r="S681" s="4417">
        <v>1002.81</v>
      </c>
      <c r="T681" s="4417"/>
    </row>
    <row r="682" spans="1:20" s="2867" customFormat="1" ht="24" customHeight="1" outlineLevel="4">
      <c r="A682" s="4416" t="s">
        <v>830</v>
      </c>
      <c r="B682" s="4416"/>
      <c r="C682" s="4416"/>
      <c r="D682" s="4416"/>
      <c r="E682" s="4416"/>
      <c r="F682" s="2875"/>
      <c r="G682" s="2876"/>
      <c r="H682" s="2877"/>
      <c r="I682" s="4417">
        <v>2510.4</v>
      </c>
      <c r="J682" s="4417"/>
      <c r="K682" s="2875"/>
      <c r="L682" s="2876"/>
      <c r="M682" s="2877"/>
      <c r="N682" s="4418">
        <v>313.8</v>
      </c>
      <c r="O682" s="4418"/>
      <c r="P682" s="4418"/>
      <c r="Q682" s="2875"/>
      <c r="R682" s="2877"/>
      <c r="S682" s="4417">
        <v>2824.2</v>
      </c>
      <c r="T682" s="4417"/>
    </row>
    <row r="683" spans="1:20" s="2867" customFormat="1" ht="24" customHeight="1" outlineLevel="4">
      <c r="A683" s="4416" t="s">
        <v>830</v>
      </c>
      <c r="B683" s="4416"/>
      <c r="C683" s="4416"/>
      <c r="D683" s="4416"/>
      <c r="E683" s="4416"/>
      <c r="F683" s="2875"/>
      <c r="G683" s="2876"/>
      <c r="H683" s="2877"/>
      <c r="I683" s="4417">
        <v>2510.4</v>
      </c>
      <c r="J683" s="4417"/>
      <c r="K683" s="2875"/>
      <c r="L683" s="2876"/>
      <c r="M683" s="2877"/>
      <c r="N683" s="4418">
        <v>313.8</v>
      </c>
      <c r="O683" s="4418"/>
      <c r="P683" s="4418"/>
      <c r="Q683" s="2875"/>
      <c r="R683" s="2877"/>
      <c r="S683" s="4417">
        <v>2824.2</v>
      </c>
      <c r="T683" s="4417"/>
    </row>
    <row r="684" spans="1:20" s="2867" customFormat="1" ht="24" customHeight="1" outlineLevel="4">
      <c r="A684" s="4416" t="s">
        <v>830</v>
      </c>
      <c r="B684" s="4416"/>
      <c r="C684" s="4416"/>
      <c r="D684" s="4416"/>
      <c r="E684" s="4416"/>
      <c r="F684" s="2875"/>
      <c r="G684" s="2876"/>
      <c r="H684" s="2877"/>
      <c r="I684" s="4417">
        <v>2510.4</v>
      </c>
      <c r="J684" s="4417"/>
      <c r="K684" s="2875"/>
      <c r="L684" s="2876"/>
      <c r="M684" s="2877"/>
      <c r="N684" s="4418">
        <v>313.8</v>
      </c>
      <c r="O684" s="4418"/>
      <c r="P684" s="4418"/>
      <c r="Q684" s="2875"/>
      <c r="R684" s="2877"/>
      <c r="S684" s="4417">
        <v>2824.2</v>
      </c>
      <c r="T684" s="4417"/>
    </row>
    <row r="685" spans="1:20" s="2867" customFormat="1" ht="24" customHeight="1" outlineLevel="4">
      <c r="A685" s="4416" t="s">
        <v>830</v>
      </c>
      <c r="B685" s="4416"/>
      <c r="C685" s="4416"/>
      <c r="D685" s="4416"/>
      <c r="E685" s="4416"/>
      <c r="F685" s="2875"/>
      <c r="G685" s="2876"/>
      <c r="H685" s="2877"/>
      <c r="I685" s="4417">
        <v>2510.4</v>
      </c>
      <c r="J685" s="4417"/>
      <c r="K685" s="2875"/>
      <c r="L685" s="2876"/>
      <c r="M685" s="2877"/>
      <c r="N685" s="4418">
        <v>313.8</v>
      </c>
      <c r="O685" s="4418"/>
      <c r="P685" s="4418"/>
      <c r="Q685" s="2875"/>
      <c r="R685" s="2877"/>
      <c r="S685" s="4417">
        <v>2824.2</v>
      </c>
      <c r="T685" s="4417"/>
    </row>
    <row r="686" spans="1:20" s="2867" customFormat="1" ht="24" customHeight="1" outlineLevel="4">
      <c r="A686" s="4416" t="s">
        <v>830</v>
      </c>
      <c r="B686" s="4416"/>
      <c r="C686" s="4416"/>
      <c r="D686" s="4416"/>
      <c r="E686" s="4416"/>
      <c r="F686" s="2875"/>
      <c r="G686" s="2876"/>
      <c r="H686" s="2877"/>
      <c r="I686" s="4417">
        <v>6417.6</v>
      </c>
      <c r="J686" s="4417"/>
      <c r="K686" s="2875"/>
      <c r="L686" s="2876"/>
      <c r="M686" s="2877"/>
      <c r="N686" s="4418">
        <v>802.2</v>
      </c>
      <c r="O686" s="4418"/>
      <c r="P686" s="4418"/>
      <c r="Q686" s="2875"/>
      <c r="R686" s="2877"/>
      <c r="S686" s="4417">
        <v>7219.8</v>
      </c>
      <c r="T686" s="4417"/>
    </row>
    <row r="687" spans="1:20" s="2867" customFormat="1" ht="24" customHeight="1" outlineLevel="4">
      <c r="A687" s="4416" t="s">
        <v>830</v>
      </c>
      <c r="B687" s="4416"/>
      <c r="C687" s="4416"/>
      <c r="D687" s="4416"/>
      <c r="E687" s="4416"/>
      <c r="F687" s="2875"/>
      <c r="G687" s="2876"/>
      <c r="H687" s="2877"/>
      <c r="I687" s="4417">
        <v>6417.84</v>
      </c>
      <c r="J687" s="4417"/>
      <c r="K687" s="2875"/>
      <c r="L687" s="2876"/>
      <c r="M687" s="2877"/>
      <c r="N687" s="4418">
        <v>802.23</v>
      </c>
      <c r="O687" s="4418"/>
      <c r="P687" s="4418"/>
      <c r="Q687" s="2875"/>
      <c r="R687" s="2877"/>
      <c r="S687" s="4417">
        <v>7220.07</v>
      </c>
      <c r="T687" s="4417"/>
    </row>
    <row r="688" spans="1:20" s="2867" customFormat="1" ht="24" customHeight="1" outlineLevel="4">
      <c r="A688" s="4416" t="s">
        <v>830</v>
      </c>
      <c r="B688" s="4416"/>
      <c r="C688" s="4416"/>
      <c r="D688" s="4416"/>
      <c r="E688" s="4416"/>
      <c r="F688" s="2875"/>
      <c r="G688" s="2876"/>
      <c r="H688" s="2877"/>
      <c r="I688" s="4417">
        <v>6417.84</v>
      </c>
      <c r="J688" s="4417"/>
      <c r="K688" s="2875"/>
      <c r="L688" s="2876"/>
      <c r="M688" s="2877"/>
      <c r="N688" s="4418">
        <v>802.23</v>
      </c>
      <c r="O688" s="4418"/>
      <c r="P688" s="4418"/>
      <c r="Q688" s="2875"/>
      <c r="R688" s="2877"/>
      <c r="S688" s="4417">
        <v>7220.07</v>
      </c>
      <c r="T688" s="4417"/>
    </row>
    <row r="689" spans="1:20" s="2867" customFormat="1" ht="24" customHeight="1" outlineLevel="4">
      <c r="A689" s="4416" t="s">
        <v>830</v>
      </c>
      <c r="B689" s="4416"/>
      <c r="C689" s="4416"/>
      <c r="D689" s="4416"/>
      <c r="E689" s="4416"/>
      <c r="F689" s="2875"/>
      <c r="G689" s="2876"/>
      <c r="H689" s="2877"/>
      <c r="I689" s="4417">
        <v>2510.4</v>
      </c>
      <c r="J689" s="4417"/>
      <c r="K689" s="2875"/>
      <c r="L689" s="2876"/>
      <c r="M689" s="2877"/>
      <c r="N689" s="4418">
        <v>313.8</v>
      </c>
      <c r="O689" s="4418"/>
      <c r="P689" s="4418"/>
      <c r="Q689" s="2875"/>
      <c r="R689" s="2877"/>
      <c r="S689" s="4417">
        <v>2824.2</v>
      </c>
      <c r="T689" s="4417"/>
    </row>
    <row r="690" spans="1:20" s="2867" customFormat="1" ht="24" customHeight="1" outlineLevel="4">
      <c r="A690" s="4416" t="s">
        <v>830</v>
      </c>
      <c r="B690" s="4416"/>
      <c r="C690" s="4416"/>
      <c r="D690" s="4416"/>
      <c r="E690" s="4416"/>
      <c r="F690" s="2875"/>
      <c r="G690" s="2876"/>
      <c r="H690" s="2877"/>
      <c r="I690" s="4417">
        <v>2510.4</v>
      </c>
      <c r="J690" s="4417"/>
      <c r="K690" s="2875"/>
      <c r="L690" s="2876"/>
      <c r="M690" s="2877"/>
      <c r="N690" s="4418">
        <v>313.8</v>
      </c>
      <c r="O690" s="4418"/>
      <c r="P690" s="4418"/>
      <c r="Q690" s="2875"/>
      <c r="R690" s="2877"/>
      <c r="S690" s="4417">
        <v>2824.2</v>
      </c>
      <c r="T690" s="4417"/>
    </row>
    <row r="691" spans="1:20" s="2867" customFormat="1" ht="12" customHeight="1" outlineLevel="4">
      <c r="A691" s="4416" t="s">
        <v>4578</v>
      </c>
      <c r="B691" s="4416"/>
      <c r="C691" s="4416"/>
      <c r="D691" s="4416"/>
      <c r="E691" s="4416"/>
      <c r="F691" s="2875"/>
      <c r="G691" s="2876"/>
      <c r="H691" s="2877"/>
      <c r="I691" s="4417">
        <v>7436.56</v>
      </c>
      <c r="J691" s="4417"/>
      <c r="K691" s="2875"/>
      <c r="L691" s="2876"/>
      <c r="M691" s="2877"/>
      <c r="N691" s="4418">
        <v>929.57</v>
      </c>
      <c r="O691" s="4418"/>
      <c r="P691" s="4418"/>
      <c r="Q691" s="2875"/>
      <c r="R691" s="2877"/>
      <c r="S691" s="4417">
        <v>8366.1299999999992</v>
      </c>
      <c r="T691" s="4417"/>
    </row>
    <row r="692" spans="1:20" s="2867" customFormat="1" ht="24" customHeight="1" outlineLevel="4">
      <c r="A692" s="4416" t="s">
        <v>892</v>
      </c>
      <c r="B692" s="4416"/>
      <c r="C692" s="4416"/>
      <c r="D692" s="4416"/>
      <c r="E692" s="4416"/>
      <c r="F692" s="2875"/>
      <c r="G692" s="2876"/>
      <c r="H692" s="2877"/>
      <c r="I692" s="4417">
        <v>7436.56</v>
      </c>
      <c r="J692" s="4417"/>
      <c r="K692" s="2875"/>
      <c r="L692" s="2876"/>
      <c r="M692" s="2877"/>
      <c r="N692" s="4418">
        <v>929.57</v>
      </c>
      <c r="O692" s="4418"/>
      <c r="P692" s="4418"/>
      <c r="Q692" s="2875"/>
      <c r="R692" s="2877"/>
      <c r="S692" s="4417">
        <v>8366.1299999999992</v>
      </c>
      <c r="T692" s="4417"/>
    </row>
    <row r="693" spans="1:20" ht="12" customHeight="1" outlineLevel="2">
      <c r="A693" s="4419" t="s">
        <v>4579</v>
      </c>
      <c r="B693" s="4419"/>
      <c r="C693" s="4419"/>
      <c r="D693" s="4419"/>
      <c r="E693" s="4419"/>
      <c r="F693" s="2872"/>
      <c r="G693" s="2873"/>
      <c r="H693" s="2874"/>
      <c r="I693" s="4414">
        <v>3383880.24</v>
      </c>
      <c r="J693" s="4414"/>
      <c r="K693" s="2872"/>
      <c r="L693" s="2873"/>
      <c r="M693" s="2874"/>
      <c r="N693" s="4414">
        <v>422985.03</v>
      </c>
      <c r="O693" s="4414"/>
      <c r="P693" s="4414"/>
      <c r="Q693" s="2872"/>
      <c r="R693" s="2874"/>
      <c r="S693" s="4414">
        <v>3806865.27</v>
      </c>
      <c r="T693" s="4414"/>
    </row>
    <row r="694" spans="1:20" ht="36" customHeight="1" outlineLevel="3" collapsed="1">
      <c r="A694" s="4420" t="s">
        <v>4580</v>
      </c>
      <c r="B694" s="4420"/>
      <c r="C694" s="4420"/>
      <c r="D694" s="4420"/>
      <c r="E694" s="4420"/>
      <c r="F694" s="2872"/>
      <c r="G694" s="2873"/>
      <c r="H694" s="2874"/>
      <c r="I694" s="4414">
        <v>11531.76</v>
      </c>
      <c r="J694" s="4414"/>
      <c r="K694" s="2872"/>
      <c r="L694" s="2873"/>
      <c r="M694" s="2874"/>
      <c r="N694" s="4414">
        <v>1441.47</v>
      </c>
      <c r="O694" s="4414"/>
      <c r="P694" s="4414"/>
      <c r="Q694" s="2872"/>
      <c r="R694" s="2874"/>
      <c r="S694" s="4414">
        <v>12973.23</v>
      </c>
      <c r="T694" s="4414"/>
    </row>
    <row r="695" spans="1:20" s="2867" customFormat="1" ht="48" hidden="1" customHeight="1" outlineLevel="4">
      <c r="A695" s="4416" t="s">
        <v>4581</v>
      </c>
      <c r="B695" s="4416"/>
      <c r="C695" s="4416"/>
      <c r="D695" s="4416"/>
      <c r="E695" s="4416"/>
      <c r="F695" s="2875"/>
      <c r="G695" s="2876"/>
      <c r="H695" s="2877"/>
      <c r="I695" s="4417">
        <v>11531.76</v>
      </c>
      <c r="J695" s="4417"/>
      <c r="K695" s="2875"/>
      <c r="L695" s="2876"/>
      <c r="M695" s="2877"/>
      <c r="N695" s="4417">
        <v>1441.47</v>
      </c>
      <c r="O695" s="4417"/>
      <c r="P695" s="4417"/>
      <c r="Q695" s="2875"/>
      <c r="R695" s="2877"/>
      <c r="S695" s="4417">
        <v>12973.23</v>
      </c>
      <c r="T695" s="4417"/>
    </row>
    <row r="696" spans="1:20" ht="24" customHeight="1" outlineLevel="3" collapsed="1">
      <c r="A696" s="4420" t="s">
        <v>4582</v>
      </c>
      <c r="B696" s="4420"/>
      <c r="C696" s="4420"/>
      <c r="D696" s="4420"/>
      <c r="E696" s="4420"/>
      <c r="F696" s="2872"/>
      <c r="G696" s="2873"/>
      <c r="H696" s="2874"/>
      <c r="I696" s="4414">
        <v>3372348.48</v>
      </c>
      <c r="J696" s="4414"/>
      <c r="K696" s="2872"/>
      <c r="L696" s="2873"/>
      <c r="M696" s="2874"/>
      <c r="N696" s="4414">
        <v>421543.56</v>
      </c>
      <c r="O696" s="4414"/>
      <c r="P696" s="4414"/>
      <c r="Q696" s="2872"/>
      <c r="R696" s="2874"/>
      <c r="S696" s="4414">
        <v>3793892.04</v>
      </c>
      <c r="T696" s="4414"/>
    </row>
    <row r="697" spans="1:20" s="2867" customFormat="1" ht="48" hidden="1" customHeight="1" outlineLevel="4">
      <c r="A697" s="4416" t="s">
        <v>947</v>
      </c>
      <c r="B697" s="4416"/>
      <c r="C697" s="4416"/>
      <c r="D697" s="4416"/>
      <c r="E697" s="4416"/>
      <c r="F697" s="2875"/>
      <c r="G697" s="2876"/>
      <c r="H697" s="2877"/>
      <c r="I697" s="4417">
        <v>25619.439999999999</v>
      </c>
      <c r="J697" s="4417"/>
      <c r="K697" s="2875"/>
      <c r="L697" s="2876"/>
      <c r="M697" s="2877"/>
      <c r="N697" s="4417">
        <v>3202.43</v>
      </c>
      <c r="O697" s="4417"/>
      <c r="P697" s="4417"/>
      <c r="Q697" s="2875"/>
      <c r="R697" s="2877"/>
      <c r="S697" s="4417">
        <v>28821.87</v>
      </c>
      <c r="T697" s="4417"/>
    </row>
    <row r="698" spans="1:20" s="2867" customFormat="1" ht="48" hidden="1" customHeight="1" outlineLevel="4">
      <c r="A698" s="4416" t="s">
        <v>949</v>
      </c>
      <c r="B698" s="4416"/>
      <c r="C698" s="4416"/>
      <c r="D698" s="4416"/>
      <c r="E698" s="4416"/>
      <c r="F698" s="2875"/>
      <c r="G698" s="2876"/>
      <c r="H698" s="2877"/>
      <c r="I698" s="4417">
        <v>13929.44</v>
      </c>
      <c r="J698" s="4417"/>
      <c r="K698" s="2875"/>
      <c r="L698" s="2876"/>
      <c r="M698" s="2877"/>
      <c r="N698" s="4417">
        <v>1741.18</v>
      </c>
      <c r="O698" s="4417"/>
      <c r="P698" s="4417"/>
      <c r="Q698" s="2875"/>
      <c r="R698" s="2877"/>
      <c r="S698" s="4417">
        <v>15670.62</v>
      </c>
      <c r="T698" s="4417"/>
    </row>
    <row r="699" spans="1:20" s="2867" customFormat="1" ht="71.099999999999994" hidden="1" customHeight="1" outlineLevel="4">
      <c r="A699" s="4416" t="s">
        <v>950</v>
      </c>
      <c r="B699" s="4416"/>
      <c r="C699" s="4416"/>
      <c r="D699" s="4416"/>
      <c r="E699" s="4416"/>
      <c r="F699" s="2875"/>
      <c r="G699" s="2876"/>
      <c r="H699" s="2877"/>
      <c r="I699" s="4417">
        <v>93548.160000000003</v>
      </c>
      <c r="J699" s="4417"/>
      <c r="K699" s="2875"/>
      <c r="L699" s="2876"/>
      <c r="M699" s="2877"/>
      <c r="N699" s="4417">
        <v>11693.52</v>
      </c>
      <c r="O699" s="4417"/>
      <c r="P699" s="4417"/>
      <c r="Q699" s="2875"/>
      <c r="R699" s="2877"/>
      <c r="S699" s="4417">
        <v>105241.68</v>
      </c>
      <c r="T699" s="4417"/>
    </row>
    <row r="700" spans="1:20" s="2867" customFormat="1" ht="24" hidden="1" customHeight="1" outlineLevel="4">
      <c r="A700" s="4416" t="s">
        <v>951</v>
      </c>
      <c r="B700" s="4416"/>
      <c r="C700" s="4416"/>
      <c r="D700" s="4416"/>
      <c r="E700" s="4416"/>
      <c r="F700" s="2875"/>
      <c r="G700" s="2876"/>
      <c r="H700" s="2877"/>
      <c r="I700" s="4417">
        <v>10587.2</v>
      </c>
      <c r="J700" s="4417"/>
      <c r="K700" s="2875"/>
      <c r="L700" s="2876"/>
      <c r="M700" s="2877"/>
      <c r="N700" s="4417">
        <v>1323.4</v>
      </c>
      <c r="O700" s="4417"/>
      <c r="P700" s="4417"/>
      <c r="Q700" s="2875"/>
      <c r="R700" s="2877"/>
      <c r="S700" s="4417">
        <v>11910.6</v>
      </c>
      <c r="T700" s="4417"/>
    </row>
    <row r="701" spans="1:20" s="2867" customFormat="1" ht="48" hidden="1" customHeight="1" outlineLevel="4">
      <c r="A701" s="4416" t="s">
        <v>707</v>
      </c>
      <c r="B701" s="4416"/>
      <c r="C701" s="4416"/>
      <c r="D701" s="4416"/>
      <c r="E701" s="4416"/>
      <c r="F701" s="2875"/>
      <c r="G701" s="2876"/>
      <c r="H701" s="2877"/>
      <c r="I701" s="4417">
        <v>4278</v>
      </c>
      <c r="J701" s="4417"/>
      <c r="K701" s="2875"/>
      <c r="L701" s="2876"/>
      <c r="M701" s="2877"/>
      <c r="N701" s="4418">
        <v>534.75</v>
      </c>
      <c r="O701" s="4418"/>
      <c r="P701" s="4418"/>
      <c r="Q701" s="2875"/>
      <c r="R701" s="2877"/>
      <c r="S701" s="4417">
        <v>4812.75</v>
      </c>
      <c r="T701" s="4417"/>
    </row>
    <row r="702" spans="1:20" s="2867" customFormat="1" ht="36" hidden="1" customHeight="1" outlineLevel="4">
      <c r="A702" s="4416" t="s">
        <v>708</v>
      </c>
      <c r="B702" s="4416"/>
      <c r="C702" s="4416"/>
      <c r="D702" s="4416"/>
      <c r="E702" s="4416"/>
      <c r="F702" s="2875"/>
      <c r="G702" s="2876"/>
      <c r="H702" s="2877"/>
      <c r="I702" s="4417">
        <v>2479.44</v>
      </c>
      <c r="J702" s="4417"/>
      <c r="K702" s="2875"/>
      <c r="L702" s="2876"/>
      <c r="M702" s="2877"/>
      <c r="N702" s="4418">
        <v>309.93</v>
      </c>
      <c r="O702" s="4418"/>
      <c r="P702" s="4418"/>
      <c r="Q702" s="2875"/>
      <c r="R702" s="2877"/>
      <c r="S702" s="4417">
        <v>2789.37</v>
      </c>
      <c r="T702" s="4417"/>
    </row>
    <row r="703" spans="1:20" s="2867" customFormat="1" ht="36" hidden="1" customHeight="1" outlineLevel="4">
      <c r="A703" s="4416" t="s">
        <v>4583</v>
      </c>
      <c r="B703" s="4416"/>
      <c r="C703" s="4416"/>
      <c r="D703" s="4416"/>
      <c r="E703" s="4416"/>
      <c r="F703" s="2875"/>
      <c r="G703" s="2876"/>
      <c r="H703" s="2877"/>
      <c r="I703" s="4417">
        <v>2587.36</v>
      </c>
      <c r="J703" s="4417"/>
      <c r="K703" s="2875"/>
      <c r="L703" s="2876"/>
      <c r="M703" s="2877"/>
      <c r="N703" s="4418">
        <v>323.42</v>
      </c>
      <c r="O703" s="4418"/>
      <c r="P703" s="4418"/>
      <c r="Q703" s="2875"/>
      <c r="R703" s="2877"/>
      <c r="S703" s="4417">
        <v>2910.78</v>
      </c>
      <c r="T703" s="4417"/>
    </row>
    <row r="704" spans="1:20" s="2867" customFormat="1" ht="36" hidden="1" customHeight="1" outlineLevel="4">
      <c r="A704" s="4416" t="s">
        <v>4583</v>
      </c>
      <c r="B704" s="4416"/>
      <c r="C704" s="4416"/>
      <c r="D704" s="4416"/>
      <c r="E704" s="4416"/>
      <c r="F704" s="2875"/>
      <c r="G704" s="2876"/>
      <c r="H704" s="2877"/>
      <c r="I704" s="4417">
        <v>2479.44</v>
      </c>
      <c r="J704" s="4417"/>
      <c r="K704" s="2875"/>
      <c r="L704" s="2876"/>
      <c r="M704" s="2877"/>
      <c r="N704" s="4418">
        <v>309.93</v>
      </c>
      <c r="O704" s="4418"/>
      <c r="P704" s="4418"/>
      <c r="Q704" s="2875"/>
      <c r="R704" s="2877"/>
      <c r="S704" s="4417">
        <v>2789.37</v>
      </c>
      <c r="T704" s="4417"/>
    </row>
    <row r="705" spans="1:20" s="2867" customFormat="1" ht="36" hidden="1" customHeight="1" outlineLevel="4">
      <c r="A705" s="4416" t="s">
        <v>952</v>
      </c>
      <c r="B705" s="4416"/>
      <c r="C705" s="4416"/>
      <c r="D705" s="4416"/>
      <c r="E705" s="4416"/>
      <c r="F705" s="2875"/>
      <c r="G705" s="2876"/>
      <c r="H705" s="2877"/>
      <c r="I705" s="4417">
        <v>72842.64</v>
      </c>
      <c r="J705" s="4417"/>
      <c r="K705" s="2875"/>
      <c r="L705" s="2876"/>
      <c r="M705" s="2877"/>
      <c r="N705" s="4417">
        <v>9105.33</v>
      </c>
      <c r="O705" s="4417"/>
      <c r="P705" s="4417"/>
      <c r="Q705" s="2875"/>
      <c r="R705" s="2877"/>
      <c r="S705" s="4417">
        <v>81947.97</v>
      </c>
      <c r="T705" s="4417"/>
    </row>
    <row r="706" spans="1:20" s="2867" customFormat="1" ht="48" hidden="1" customHeight="1" outlineLevel="4">
      <c r="A706" s="4416" t="s">
        <v>870</v>
      </c>
      <c r="B706" s="4416"/>
      <c r="C706" s="4416"/>
      <c r="D706" s="4416"/>
      <c r="E706" s="4416"/>
      <c r="F706" s="2875"/>
      <c r="G706" s="2876"/>
      <c r="H706" s="2877"/>
      <c r="I706" s="4417">
        <v>7297.68</v>
      </c>
      <c r="J706" s="4417"/>
      <c r="K706" s="2875"/>
      <c r="L706" s="2876"/>
      <c r="M706" s="2877"/>
      <c r="N706" s="4418">
        <v>912.21</v>
      </c>
      <c r="O706" s="4418"/>
      <c r="P706" s="4418"/>
      <c r="Q706" s="2875"/>
      <c r="R706" s="2877"/>
      <c r="S706" s="4417">
        <v>8209.89</v>
      </c>
      <c r="T706" s="4417"/>
    </row>
    <row r="707" spans="1:20" s="2867" customFormat="1" ht="59.1" hidden="1" customHeight="1" outlineLevel="4">
      <c r="A707" s="4416" t="s">
        <v>871</v>
      </c>
      <c r="B707" s="4416"/>
      <c r="C707" s="4416"/>
      <c r="D707" s="4416"/>
      <c r="E707" s="4416"/>
      <c r="F707" s="2875"/>
      <c r="G707" s="2876"/>
      <c r="H707" s="2877"/>
      <c r="I707" s="4417">
        <v>4892.5600000000004</v>
      </c>
      <c r="J707" s="4417"/>
      <c r="K707" s="2875"/>
      <c r="L707" s="2876"/>
      <c r="M707" s="2877"/>
      <c r="N707" s="4418">
        <v>611.57000000000005</v>
      </c>
      <c r="O707" s="4418"/>
      <c r="P707" s="4418"/>
      <c r="Q707" s="2875"/>
      <c r="R707" s="2877"/>
      <c r="S707" s="4417">
        <v>5504.13</v>
      </c>
      <c r="T707" s="4417"/>
    </row>
    <row r="708" spans="1:20" s="2867" customFormat="1" ht="59.1" hidden="1" customHeight="1" outlineLevel="4">
      <c r="A708" s="4416" t="s">
        <v>953</v>
      </c>
      <c r="B708" s="4416"/>
      <c r="C708" s="4416"/>
      <c r="D708" s="4416"/>
      <c r="E708" s="4416"/>
      <c r="F708" s="2875"/>
      <c r="G708" s="2876"/>
      <c r="H708" s="2877"/>
      <c r="I708" s="4417">
        <v>4892.5600000000004</v>
      </c>
      <c r="J708" s="4417"/>
      <c r="K708" s="2875"/>
      <c r="L708" s="2876"/>
      <c r="M708" s="2877"/>
      <c r="N708" s="4418">
        <v>611.57000000000005</v>
      </c>
      <c r="O708" s="4418"/>
      <c r="P708" s="4418"/>
      <c r="Q708" s="2875"/>
      <c r="R708" s="2877"/>
      <c r="S708" s="4417">
        <v>5504.13</v>
      </c>
      <c r="T708" s="4417"/>
    </row>
    <row r="709" spans="1:20" s="2867" customFormat="1" ht="59.1" hidden="1" customHeight="1" outlineLevel="4">
      <c r="A709" s="4416" t="s">
        <v>873</v>
      </c>
      <c r="B709" s="4416"/>
      <c r="C709" s="4416"/>
      <c r="D709" s="4416"/>
      <c r="E709" s="4416"/>
      <c r="F709" s="2875"/>
      <c r="G709" s="2876"/>
      <c r="H709" s="2877"/>
      <c r="I709" s="4417">
        <v>23960.48</v>
      </c>
      <c r="J709" s="4417"/>
      <c r="K709" s="2875"/>
      <c r="L709" s="2876"/>
      <c r="M709" s="2877"/>
      <c r="N709" s="4417">
        <v>2995.06</v>
      </c>
      <c r="O709" s="4417"/>
      <c r="P709" s="4417"/>
      <c r="Q709" s="2875"/>
      <c r="R709" s="2877"/>
      <c r="S709" s="4417">
        <v>26955.54</v>
      </c>
      <c r="T709" s="4417"/>
    </row>
    <row r="710" spans="1:20" s="2867" customFormat="1" ht="59.1" hidden="1" customHeight="1" outlineLevel="4">
      <c r="A710" s="4416" t="s">
        <v>873</v>
      </c>
      <c r="B710" s="4416"/>
      <c r="C710" s="4416"/>
      <c r="D710" s="4416"/>
      <c r="E710" s="4416"/>
      <c r="F710" s="2875"/>
      <c r="G710" s="2876"/>
      <c r="H710" s="2877"/>
      <c r="I710" s="4417">
        <v>23960.560000000001</v>
      </c>
      <c r="J710" s="4417"/>
      <c r="K710" s="2875"/>
      <c r="L710" s="2876"/>
      <c r="M710" s="2877"/>
      <c r="N710" s="4417">
        <v>2995.07</v>
      </c>
      <c r="O710" s="4417"/>
      <c r="P710" s="4417"/>
      <c r="Q710" s="2875"/>
      <c r="R710" s="2877"/>
      <c r="S710" s="4417">
        <v>26955.63</v>
      </c>
      <c r="T710" s="4417"/>
    </row>
    <row r="711" spans="1:20" s="2867" customFormat="1" ht="36" hidden="1" customHeight="1" outlineLevel="4">
      <c r="A711" s="4416" t="s">
        <v>717</v>
      </c>
      <c r="B711" s="4416"/>
      <c r="C711" s="4416"/>
      <c r="D711" s="4416"/>
      <c r="E711" s="4416"/>
      <c r="F711" s="2875"/>
      <c r="G711" s="2876"/>
      <c r="H711" s="2877"/>
      <c r="I711" s="4417">
        <v>61016.800000000003</v>
      </c>
      <c r="J711" s="4417"/>
      <c r="K711" s="2875"/>
      <c r="L711" s="2876"/>
      <c r="M711" s="2877"/>
      <c r="N711" s="4417">
        <v>7627.1</v>
      </c>
      <c r="O711" s="4417"/>
      <c r="P711" s="4417"/>
      <c r="Q711" s="2875"/>
      <c r="R711" s="2877"/>
      <c r="S711" s="4417">
        <v>68643.899999999994</v>
      </c>
      <c r="T711" s="4417"/>
    </row>
    <row r="712" spans="1:20" s="2867" customFormat="1" ht="36" hidden="1" customHeight="1" outlineLevel="4">
      <c r="A712" s="4416" t="s">
        <v>718</v>
      </c>
      <c r="B712" s="4416"/>
      <c r="C712" s="4416"/>
      <c r="D712" s="4416"/>
      <c r="E712" s="4416"/>
      <c r="F712" s="2875"/>
      <c r="G712" s="2876"/>
      <c r="H712" s="2877"/>
      <c r="I712" s="4417">
        <v>61016.800000000003</v>
      </c>
      <c r="J712" s="4417"/>
      <c r="K712" s="2875"/>
      <c r="L712" s="2876"/>
      <c r="M712" s="2877"/>
      <c r="N712" s="4417">
        <v>7627.1</v>
      </c>
      <c r="O712" s="4417"/>
      <c r="P712" s="4417"/>
      <c r="Q712" s="2875"/>
      <c r="R712" s="2877"/>
      <c r="S712" s="4417">
        <v>68643.899999999994</v>
      </c>
      <c r="T712" s="4417"/>
    </row>
    <row r="713" spans="1:20" s="2867" customFormat="1" ht="36" hidden="1" customHeight="1" outlineLevel="4">
      <c r="A713" s="4416" t="s">
        <v>719</v>
      </c>
      <c r="B713" s="4416"/>
      <c r="C713" s="4416"/>
      <c r="D713" s="4416"/>
      <c r="E713" s="4416"/>
      <c r="F713" s="2875"/>
      <c r="G713" s="2876"/>
      <c r="H713" s="2877"/>
      <c r="I713" s="4417">
        <v>72180.479999999996</v>
      </c>
      <c r="J713" s="4417"/>
      <c r="K713" s="2875"/>
      <c r="L713" s="2876"/>
      <c r="M713" s="2877"/>
      <c r="N713" s="4417">
        <v>9022.56</v>
      </c>
      <c r="O713" s="4417"/>
      <c r="P713" s="4417"/>
      <c r="Q713" s="2875"/>
      <c r="R713" s="2877"/>
      <c r="S713" s="4417">
        <v>81203.039999999994</v>
      </c>
      <c r="T713" s="4417"/>
    </row>
    <row r="714" spans="1:20" s="2867" customFormat="1" ht="36" hidden="1" customHeight="1" outlineLevel="4">
      <c r="A714" s="4416" t="s">
        <v>720</v>
      </c>
      <c r="B714" s="4416"/>
      <c r="C714" s="4416"/>
      <c r="D714" s="4416"/>
      <c r="E714" s="4416"/>
      <c r="F714" s="2875"/>
      <c r="G714" s="2876"/>
      <c r="H714" s="2877"/>
      <c r="I714" s="4417">
        <v>39542.160000000003</v>
      </c>
      <c r="J714" s="4417"/>
      <c r="K714" s="2875"/>
      <c r="L714" s="2876"/>
      <c r="M714" s="2877"/>
      <c r="N714" s="4417">
        <v>4942.7700000000004</v>
      </c>
      <c r="O714" s="4417"/>
      <c r="P714" s="4417"/>
      <c r="Q714" s="2875"/>
      <c r="R714" s="2877"/>
      <c r="S714" s="4417">
        <v>44484.93</v>
      </c>
      <c r="T714" s="4417"/>
    </row>
    <row r="715" spans="1:20" s="2867" customFormat="1" ht="59.1" hidden="1" customHeight="1" outlineLevel="4">
      <c r="A715" s="4416" t="s">
        <v>954</v>
      </c>
      <c r="B715" s="4416"/>
      <c r="C715" s="4416"/>
      <c r="D715" s="4416"/>
      <c r="E715" s="4416"/>
      <c r="F715" s="2875"/>
      <c r="G715" s="2876"/>
      <c r="H715" s="2877"/>
      <c r="I715" s="4417">
        <v>48746.32</v>
      </c>
      <c r="J715" s="4417"/>
      <c r="K715" s="2875"/>
      <c r="L715" s="2876"/>
      <c r="M715" s="2877"/>
      <c r="N715" s="4417">
        <v>6093.29</v>
      </c>
      <c r="O715" s="4417"/>
      <c r="P715" s="4417"/>
      <c r="Q715" s="2875"/>
      <c r="R715" s="2877"/>
      <c r="S715" s="4417">
        <v>54839.61</v>
      </c>
      <c r="T715" s="4417"/>
    </row>
    <row r="716" spans="1:20" s="2867" customFormat="1" ht="24" hidden="1" customHeight="1" outlineLevel="4">
      <c r="A716" s="4416" t="s">
        <v>955</v>
      </c>
      <c r="B716" s="4416"/>
      <c r="C716" s="4416"/>
      <c r="D716" s="4416"/>
      <c r="E716" s="4416"/>
      <c r="F716" s="2875"/>
      <c r="G716" s="2876"/>
      <c r="H716" s="2877"/>
      <c r="I716" s="4417">
        <v>7192</v>
      </c>
      <c r="J716" s="4417"/>
      <c r="K716" s="2875"/>
      <c r="L716" s="2876"/>
      <c r="M716" s="2877"/>
      <c r="N716" s="4418">
        <v>899</v>
      </c>
      <c r="O716" s="4418"/>
      <c r="P716" s="4418"/>
      <c r="Q716" s="2875"/>
      <c r="R716" s="2877"/>
      <c r="S716" s="4417">
        <v>8091</v>
      </c>
      <c r="T716" s="4417"/>
    </row>
    <row r="717" spans="1:20" s="2867" customFormat="1" ht="36" hidden="1" customHeight="1" outlineLevel="4">
      <c r="A717" s="4416" t="s">
        <v>874</v>
      </c>
      <c r="B717" s="4416"/>
      <c r="C717" s="4416"/>
      <c r="D717" s="4416"/>
      <c r="E717" s="4416"/>
      <c r="F717" s="2875"/>
      <c r="G717" s="2876"/>
      <c r="H717" s="2877"/>
      <c r="I717" s="4417">
        <v>16216.4</v>
      </c>
      <c r="J717" s="4417"/>
      <c r="K717" s="2875"/>
      <c r="L717" s="2876"/>
      <c r="M717" s="2877"/>
      <c r="N717" s="4417">
        <v>2027.05</v>
      </c>
      <c r="O717" s="4417"/>
      <c r="P717" s="4417"/>
      <c r="Q717" s="2875"/>
      <c r="R717" s="2877"/>
      <c r="S717" s="4417">
        <v>18243.45</v>
      </c>
      <c r="T717" s="4417"/>
    </row>
    <row r="718" spans="1:20" s="2867" customFormat="1" ht="48" hidden="1" customHeight="1" outlineLevel="4">
      <c r="A718" s="4416" t="s">
        <v>722</v>
      </c>
      <c r="B718" s="4416"/>
      <c r="C718" s="4416"/>
      <c r="D718" s="4416"/>
      <c r="E718" s="4416"/>
      <c r="F718" s="2875"/>
      <c r="G718" s="2876"/>
      <c r="H718" s="2877"/>
      <c r="I718" s="4417">
        <v>37911.120000000003</v>
      </c>
      <c r="J718" s="4417"/>
      <c r="K718" s="2875"/>
      <c r="L718" s="2876"/>
      <c r="M718" s="2877"/>
      <c r="N718" s="4417">
        <v>4738.8900000000003</v>
      </c>
      <c r="O718" s="4417"/>
      <c r="P718" s="4417"/>
      <c r="Q718" s="2875"/>
      <c r="R718" s="2877"/>
      <c r="S718" s="4417">
        <v>42650.01</v>
      </c>
      <c r="T718" s="4417"/>
    </row>
    <row r="719" spans="1:20" s="2867" customFormat="1" ht="59.1" hidden="1" customHeight="1" outlineLevel="4">
      <c r="A719" s="4416" t="s">
        <v>956</v>
      </c>
      <c r="B719" s="4416"/>
      <c r="C719" s="4416"/>
      <c r="D719" s="4416"/>
      <c r="E719" s="4416"/>
      <c r="F719" s="2875"/>
      <c r="G719" s="2876"/>
      <c r="H719" s="2877"/>
      <c r="I719" s="4417">
        <v>17164.400000000001</v>
      </c>
      <c r="J719" s="4417"/>
      <c r="K719" s="2875"/>
      <c r="L719" s="2876"/>
      <c r="M719" s="2877"/>
      <c r="N719" s="4417">
        <v>2145.5500000000002</v>
      </c>
      <c r="O719" s="4417"/>
      <c r="P719" s="4417"/>
      <c r="Q719" s="2875"/>
      <c r="R719" s="2877"/>
      <c r="S719" s="4417">
        <v>19309.95</v>
      </c>
      <c r="T719" s="4417"/>
    </row>
    <row r="720" spans="1:20" s="2867" customFormat="1" ht="48" hidden="1" customHeight="1" outlineLevel="4">
      <c r="A720" s="4416" t="s">
        <v>875</v>
      </c>
      <c r="B720" s="4416"/>
      <c r="C720" s="4416"/>
      <c r="D720" s="4416"/>
      <c r="E720" s="4416"/>
      <c r="F720" s="2875"/>
      <c r="G720" s="2876"/>
      <c r="H720" s="2877"/>
      <c r="I720" s="4417">
        <v>26019.360000000001</v>
      </c>
      <c r="J720" s="4417"/>
      <c r="K720" s="2875"/>
      <c r="L720" s="2876"/>
      <c r="M720" s="2877"/>
      <c r="N720" s="4417">
        <v>3252.42</v>
      </c>
      <c r="O720" s="4417"/>
      <c r="P720" s="4417"/>
      <c r="Q720" s="2875"/>
      <c r="R720" s="2877"/>
      <c r="S720" s="4417">
        <v>29271.78</v>
      </c>
      <c r="T720" s="4417"/>
    </row>
    <row r="721" spans="1:20" s="2867" customFormat="1" ht="48" hidden="1" customHeight="1" outlineLevel="4">
      <c r="A721" s="4416" t="s">
        <v>875</v>
      </c>
      <c r="B721" s="4416"/>
      <c r="C721" s="4416"/>
      <c r="D721" s="4416"/>
      <c r="E721" s="4416"/>
      <c r="F721" s="2875"/>
      <c r="G721" s="2876"/>
      <c r="H721" s="2877"/>
      <c r="I721" s="4417">
        <v>26019.360000000001</v>
      </c>
      <c r="J721" s="4417"/>
      <c r="K721" s="2875"/>
      <c r="L721" s="2876"/>
      <c r="M721" s="2877"/>
      <c r="N721" s="4417">
        <v>3252.42</v>
      </c>
      <c r="O721" s="4417"/>
      <c r="P721" s="4417"/>
      <c r="Q721" s="2875"/>
      <c r="R721" s="2877"/>
      <c r="S721" s="4417">
        <v>29271.78</v>
      </c>
      <c r="T721" s="4417"/>
    </row>
    <row r="722" spans="1:20" s="2867" customFormat="1" ht="48" hidden="1" customHeight="1" outlineLevel="4">
      <c r="A722" s="4416" t="s">
        <v>876</v>
      </c>
      <c r="B722" s="4416"/>
      <c r="C722" s="4416"/>
      <c r="D722" s="4416"/>
      <c r="E722" s="4416"/>
      <c r="F722" s="2875"/>
      <c r="G722" s="2876"/>
      <c r="H722" s="2877"/>
      <c r="I722" s="4417">
        <v>16235.6</v>
      </c>
      <c r="J722" s="4417"/>
      <c r="K722" s="2875"/>
      <c r="L722" s="2876"/>
      <c r="M722" s="2877"/>
      <c r="N722" s="4417">
        <v>2029.45</v>
      </c>
      <c r="O722" s="4417"/>
      <c r="P722" s="4417"/>
      <c r="Q722" s="2875"/>
      <c r="R722" s="2877"/>
      <c r="S722" s="4417">
        <v>18265.05</v>
      </c>
      <c r="T722" s="4417"/>
    </row>
    <row r="723" spans="1:20" s="2867" customFormat="1" ht="48" hidden="1" customHeight="1" outlineLevel="4">
      <c r="A723" s="4416" t="s">
        <v>876</v>
      </c>
      <c r="B723" s="4416"/>
      <c r="C723" s="4416"/>
      <c r="D723" s="4416"/>
      <c r="E723" s="4416"/>
      <c r="F723" s="2875"/>
      <c r="G723" s="2876"/>
      <c r="H723" s="2877"/>
      <c r="I723" s="4417">
        <v>16235.6</v>
      </c>
      <c r="J723" s="4417"/>
      <c r="K723" s="2875"/>
      <c r="L723" s="2876"/>
      <c r="M723" s="2877"/>
      <c r="N723" s="4417">
        <v>2029.45</v>
      </c>
      <c r="O723" s="4417"/>
      <c r="P723" s="4417"/>
      <c r="Q723" s="2875"/>
      <c r="R723" s="2877"/>
      <c r="S723" s="4417">
        <v>18265.05</v>
      </c>
      <c r="T723" s="4417"/>
    </row>
    <row r="724" spans="1:20" s="2867" customFormat="1" ht="36" hidden="1" customHeight="1" outlineLevel="4">
      <c r="A724" s="4416" t="s">
        <v>726</v>
      </c>
      <c r="B724" s="4416"/>
      <c r="C724" s="4416"/>
      <c r="D724" s="4416"/>
      <c r="E724" s="4416"/>
      <c r="F724" s="2875"/>
      <c r="G724" s="2876"/>
      <c r="H724" s="2877"/>
      <c r="I724" s="4417">
        <v>4785.5200000000004</v>
      </c>
      <c r="J724" s="4417"/>
      <c r="K724" s="2875"/>
      <c r="L724" s="2876"/>
      <c r="M724" s="2877"/>
      <c r="N724" s="4418">
        <v>598.19000000000005</v>
      </c>
      <c r="O724" s="4418"/>
      <c r="P724" s="4418"/>
      <c r="Q724" s="2875"/>
      <c r="R724" s="2877"/>
      <c r="S724" s="4417">
        <v>5383.71</v>
      </c>
      <c r="T724" s="4417"/>
    </row>
    <row r="725" spans="1:20" s="2867" customFormat="1" ht="36" hidden="1" customHeight="1" outlineLevel="4">
      <c r="A725" s="4416" t="s">
        <v>957</v>
      </c>
      <c r="B725" s="4416"/>
      <c r="C725" s="4416"/>
      <c r="D725" s="4416"/>
      <c r="E725" s="4416"/>
      <c r="F725" s="2875"/>
      <c r="G725" s="2876"/>
      <c r="H725" s="2877"/>
      <c r="I725" s="4417">
        <v>15293.04</v>
      </c>
      <c r="J725" s="4417"/>
      <c r="K725" s="2875"/>
      <c r="L725" s="2876"/>
      <c r="M725" s="2877"/>
      <c r="N725" s="4417">
        <v>1911.63</v>
      </c>
      <c r="O725" s="4417"/>
      <c r="P725" s="4417"/>
      <c r="Q725" s="2875"/>
      <c r="R725" s="2877"/>
      <c r="S725" s="4417">
        <v>17204.669999999998</v>
      </c>
      <c r="T725" s="4417"/>
    </row>
    <row r="726" spans="1:20" s="2867" customFormat="1" ht="48" hidden="1" customHeight="1" outlineLevel="4">
      <c r="A726" s="4416" t="s">
        <v>727</v>
      </c>
      <c r="B726" s="4416"/>
      <c r="C726" s="4416"/>
      <c r="D726" s="4416"/>
      <c r="E726" s="4416"/>
      <c r="F726" s="2875"/>
      <c r="G726" s="2876"/>
      <c r="H726" s="2877"/>
      <c r="I726" s="4417">
        <v>10242.32</v>
      </c>
      <c r="J726" s="4417"/>
      <c r="K726" s="2875"/>
      <c r="L726" s="2876"/>
      <c r="M726" s="2877"/>
      <c r="N726" s="4417">
        <v>1280.29</v>
      </c>
      <c r="O726" s="4417"/>
      <c r="P726" s="4417"/>
      <c r="Q726" s="2875"/>
      <c r="R726" s="2877"/>
      <c r="S726" s="4417">
        <v>11522.61</v>
      </c>
      <c r="T726" s="4417"/>
    </row>
    <row r="727" spans="1:20" s="2867" customFormat="1" ht="59.1" hidden="1" customHeight="1" outlineLevel="4">
      <c r="A727" s="4416" t="s">
        <v>878</v>
      </c>
      <c r="B727" s="4416"/>
      <c r="C727" s="4416"/>
      <c r="D727" s="4416"/>
      <c r="E727" s="4416"/>
      <c r="F727" s="2875"/>
      <c r="G727" s="2876"/>
      <c r="H727" s="2877"/>
      <c r="I727" s="4417">
        <v>2625.52</v>
      </c>
      <c r="J727" s="4417"/>
      <c r="K727" s="2875"/>
      <c r="L727" s="2876"/>
      <c r="M727" s="2877"/>
      <c r="N727" s="4418">
        <v>328.19</v>
      </c>
      <c r="O727" s="4418"/>
      <c r="P727" s="4418"/>
      <c r="Q727" s="2875"/>
      <c r="R727" s="2877"/>
      <c r="S727" s="4417">
        <v>2953.71</v>
      </c>
      <c r="T727" s="4417"/>
    </row>
    <row r="728" spans="1:20" s="2867" customFormat="1" ht="59.1" hidden="1" customHeight="1" outlineLevel="4">
      <c r="A728" s="4416" t="s">
        <v>878</v>
      </c>
      <c r="B728" s="4416"/>
      <c r="C728" s="4416"/>
      <c r="D728" s="4416"/>
      <c r="E728" s="4416"/>
      <c r="F728" s="2875"/>
      <c r="G728" s="2876"/>
      <c r="H728" s="2877"/>
      <c r="I728" s="4417">
        <v>2625.52</v>
      </c>
      <c r="J728" s="4417"/>
      <c r="K728" s="2875"/>
      <c r="L728" s="2876"/>
      <c r="M728" s="2877"/>
      <c r="N728" s="4418">
        <v>328.19</v>
      </c>
      <c r="O728" s="4418"/>
      <c r="P728" s="4418"/>
      <c r="Q728" s="2875"/>
      <c r="R728" s="2877"/>
      <c r="S728" s="4417">
        <v>2953.71</v>
      </c>
      <c r="T728" s="4417"/>
    </row>
    <row r="729" spans="1:20" s="2867" customFormat="1" ht="59.1" hidden="1" customHeight="1" outlineLevel="4">
      <c r="A729" s="4416" t="s">
        <v>879</v>
      </c>
      <c r="B729" s="4416"/>
      <c r="C729" s="4416"/>
      <c r="D729" s="4416"/>
      <c r="E729" s="4416"/>
      <c r="F729" s="2875"/>
      <c r="G729" s="2876"/>
      <c r="H729" s="2877"/>
      <c r="I729" s="4417">
        <v>8615.68</v>
      </c>
      <c r="J729" s="4417"/>
      <c r="K729" s="2875"/>
      <c r="L729" s="2876"/>
      <c r="M729" s="2877"/>
      <c r="N729" s="4417">
        <v>1076.96</v>
      </c>
      <c r="O729" s="4417"/>
      <c r="P729" s="4417"/>
      <c r="Q729" s="2875"/>
      <c r="R729" s="2877"/>
      <c r="S729" s="4417">
        <v>9692.64</v>
      </c>
      <c r="T729" s="4417"/>
    </row>
    <row r="730" spans="1:20" s="2867" customFormat="1" ht="59.1" hidden="1" customHeight="1" outlineLevel="4">
      <c r="A730" s="4416" t="s">
        <v>879</v>
      </c>
      <c r="B730" s="4416"/>
      <c r="C730" s="4416"/>
      <c r="D730" s="4416"/>
      <c r="E730" s="4416"/>
      <c r="F730" s="2875"/>
      <c r="G730" s="2876"/>
      <c r="H730" s="2877"/>
      <c r="I730" s="4417">
        <v>8615.68</v>
      </c>
      <c r="J730" s="4417"/>
      <c r="K730" s="2875"/>
      <c r="L730" s="2876"/>
      <c r="M730" s="2877"/>
      <c r="N730" s="4417">
        <v>1076.96</v>
      </c>
      <c r="O730" s="4417"/>
      <c r="P730" s="4417"/>
      <c r="Q730" s="2875"/>
      <c r="R730" s="2877"/>
      <c r="S730" s="4417">
        <v>9692.64</v>
      </c>
      <c r="T730" s="4417"/>
    </row>
    <row r="731" spans="1:20" s="2867" customFormat="1" ht="59.1" hidden="1" customHeight="1" outlineLevel="4">
      <c r="A731" s="4416" t="s">
        <v>879</v>
      </c>
      <c r="B731" s="4416"/>
      <c r="C731" s="4416"/>
      <c r="D731" s="4416"/>
      <c r="E731" s="4416"/>
      <c r="F731" s="2875"/>
      <c r="G731" s="2876"/>
      <c r="H731" s="2877"/>
      <c r="I731" s="4417">
        <v>8615.68</v>
      </c>
      <c r="J731" s="4417"/>
      <c r="K731" s="2875"/>
      <c r="L731" s="2876"/>
      <c r="M731" s="2877"/>
      <c r="N731" s="4417">
        <v>1076.96</v>
      </c>
      <c r="O731" s="4417"/>
      <c r="P731" s="4417"/>
      <c r="Q731" s="2875"/>
      <c r="R731" s="2877"/>
      <c r="S731" s="4417">
        <v>9692.64</v>
      </c>
      <c r="T731" s="4417"/>
    </row>
    <row r="732" spans="1:20" s="2867" customFormat="1" ht="59.1" hidden="1" customHeight="1" outlineLevel="4">
      <c r="A732" s="4416" t="s">
        <v>879</v>
      </c>
      <c r="B732" s="4416"/>
      <c r="C732" s="4416"/>
      <c r="D732" s="4416"/>
      <c r="E732" s="4416"/>
      <c r="F732" s="2875"/>
      <c r="G732" s="2876"/>
      <c r="H732" s="2877"/>
      <c r="I732" s="4417">
        <v>8615.68</v>
      </c>
      <c r="J732" s="4417"/>
      <c r="K732" s="2875"/>
      <c r="L732" s="2876"/>
      <c r="M732" s="2877"/>
      <c r="N732" s="4417">
        <v>1076.96</v>
      </c>
      <c r="O732" s="4417"/>
      <c r="P732" s="4417"/>
      <c r="Q732" s="2875"/>
      <c r="R732" s="2877"/>
      <c r="S732" s="4417">
        <v>9692.64</v>
      </c>
      <c r="T732" s="4417"/>
    </row>
    <row r="733" spans="1:20" s="2867" customFormat="1" ht="59.1" hidden="1" customHeight="1" outlineLevel="4">
      <c r="A733" s="4416" t="s">
        <v>879</v>
      </c>
      <c r="B733" s="4416"/>
      <c r="C733" s="4416"/>
      <c r="D733" s="4416"/>
      <c r="E733" s="4416"/>
      <c r="F733" s="2875"/>
      <c r="G733" s="2876"/>
      <c r="H733" s="2877"/>
      <c r="I733" s="4417">
        <v>9046.48</v>
      </c>
      <c r="J733" s="4417"/>
      <c r="K733" s="2875"/>
      <c r="L733" s="2876"/>
      <c r="M733" s="2877"/>
      <c r="N733" s="4417">
        <v>1130.81</v>
      </c>
      <c r="O733" s="4417"/>
      <c r="P733" s="4417"/>
      <c r="Q733" s="2875"/>
      <c r="R733" s="2877"/>
      <c r="S733" s="4417">
        <v>10177.290000000001</v>
      </c>
      <c r="T733" s="4417"/>
    </row>
    <row r="734" spans="1:20" s="2867" customFormat="1" ht="48" hidden="1" customHeight="1" outlineLevel="4">
      <c r="A734" s="4416" t="s">
        <v>880</v>
      </c>
      <c r="B734" s="4416"/>
      <c r="C734" s="4416"/>
      <c r="D734" s="4416"/>
      <c r="E734" s="4416"/>
      <c r="F734" s="2875"/>
      <c r="G734" s="2876"/>
      <c r="H734" s="2877"/>
      <c r="I734" s="4417">
        <v>32670.799999999999</v>
      </c>
      <c r="J734" s="4417"/>
      <c r="K734" s="2875"/>
      <c r="L734" s="2876"/>
      <c r="M734" s="2877"/>
      <c r="N734" s="4417">
        <v>4083.85</v>
      </c>
      <c r="O734" s="4417"/>
      <c r="P734" s="4417"/>
      <c r="Q734" s="2875"/>
      <c r="R734" s="2877"/>
      <c r="S734" s="4417">
        <v>36754.65</v>
      </c>
      <c r="T734" s="4417"/>
    </row>
    <row r="735" spans="1:20" s="2867" customFormat="1" ht="48" hidden="1" customHeight="1" outlineLevel="4">
      <c r="A735" s="4416" t="s">
        <v>880</v>
      </c>
      <c r="B735" s="4416"/>
      <c r="C735" s="4416"/>
      <c r="D735" s="4416"/>
      <c r="E735" s="4416"/>
      <c r="F735" s="2875"/>
      <c r="G735" s="2876"/>
      <c r="H735" s="2877"/>
      <c r="I735" s="4417">
        <v>32670.880000000001</v>
      </c>
      <c r="J735" s="4417"/>
      <c r="K735" s="2875"/>
      <c r="L735" s="2876"/>
      <c r="M735" s="2877"/>
      <c r="N735" s="4417">
        <v>4083.86</v>
      </c>
      <c r="O735" s="4417"/>
      <c r="P735" s="4417"/>
      <c r="Q735" s="2875"/>
      <c r="R735" s="2877"/>
      <c r="S735" s="4417">
        <v>36754.74</v>
      </c>
      <c r="T735" s="4417"/>
    </row>
    <row r="736" spans="1:20" s="2867" customFormat="1" ht="48" hidden="1" customHeight="1" outlineLevel="4">
      <c r="A736" s="4416" t="s">
        <v>880</v>
      </c>
      <c r="B736" s="4416"/>
      <c r="C736" s="4416"/>
      <c r="D736" s="4416"/>
      <c r="E736" s="4416"/>
      <c r="F736" s="2875"/>
      <c r="G736" s="2876"/>
      <c r="H736" s="2877"/>
      <c r="I736" s="4417">
        <v>32670.880000000001</v>
      </c>
      <c r="J736" s="4417"/>
      <c r="K736" s="2875"/>
      <c r="L736" s="2876"/>
      <c r="M736" s="2877"/>
      <c r="N736" s="4417">
        <v>4083.86</v>
      </c>
      <c r="O736" s="4417"/>
      <c r="P736" s="4417"/>
      <c r="Q736" s="2875"/>
      <c r="R736" s="2877"/>
      <c r="S736" s="4417">
        <v>36754.74</v>
      </c>
      <c r="T736" s="4417"/>
    </row>
    <row r="737" spans="1:20" s="2867" customFormat="1" ht="48" hidden="1" customHeight="1" outlineLevel="4">
      <c r="A737" s="4416" t="s">
        <v>881</v>
      </c>
      <c r="B737" s="4416"/>
      <c r="C737" s="4416"/>
      <c r="D737" s="4416"/>
      <c r="E737" s="4416"/>
      <c r="F737" s="2875"/>
      <c r="G737" s="2876"/>
      <c r="H737" s="2877"/>
      <c r="I737" s="4417">
        <v>23956.32</v>
      </c>
      <c r="J737" s="4417"/>
      <c r="K737" s="2875"/>
      <c r="L737" s="2876"/>
      <c r="M737" s="2877"/>
      <c r="N737" s="4417">
        <v>2994.54</v>
      </c>
      <c r="O737" s="4417"/>
      <c r="P737" s="4417"/>
      <c r="Q737" s="2875"/>
      <c r="R737" s="2877"/>
      <c r="S737" s="4417">
        <v>26950.86</v>
      </c>
      <c r="T737" s="4417"/>
    </row>
    <row r="738" spans="1:20" s="2867" customFormat="1" ht="36" hidden="1" customHeight="1" outlineLevel="4">
      <c r="A738" s="4416" t="s">
        <v>958</v>
      </c>
      <c r="B738" s="4416"/>
      <c r="C738" s="4416"/>
      <c r="D738" s="4416"/>
      <c r="E738" s="4416"/>
      <c r="F738" s="2875"/>
      <c r="G738" s="2876"/>
      <c r="H738" s="2877"/>
      <c r="I738" s="4417">
        <v>48129.919999999998</v>
      </c>
      <c r="J738" s="4417"/>
      <c r="K738" s="2875"/>
      <c r="L738" s="2876"/>
      <c r="M738" s="2877"/>
      <c r="N738" s="4417">
        <v>6016.24</v>
      </c>
      <c r="O738" s="4417"/>
      <c r="P738" s="4417"/>
      <c r="Q738" s="2875"/>
      <c r="R738" s="2877"/>
      <c r="S738" s="4417">
        <v>54146.16</v>
      </c>
      <c r="T738" s="4417"/>
    </row>
    <row r="739" spans="1:20" s="2867" customFormat="1" ht="36" hidden="1" customHeight="1" outlineLevel="4">
      <c r="A739" s="4416" t="s">
        <v>882</v>
      </c>
      <c r="B739" s="4416"/>
      <c r="C739" s="4416"/>
      <c r="D739" s="4416"/>
      <c r="E739" s="4416"/>
      <c r="F739" s="2875"/>
      <c r="G739" s="2876"/>
      <c r="H739" s="2877"/>
      <c r="I739" s="4417">
        <v>18768.560000000001</v>
      </c>
      <c r="J739" s="4417"/>
      <c r="K739" s="2875"/>
      <c r="L739" s="2876"/>
      <c r="M739" s="2877"/>
      <c r="N739" s="4417">
        <v>2346.0700000000002</v>
      </c>
      <c r="O739" s="4417"/>
      <c r="P739" s="4417"/>
      <c r="Q739" s="2875"/>
      <c r="R739" s="2877"/>
      <c r="S739" s="4417">
        <v>21114.63</v>
      </c>
      <c r="T739" s="4417"/>
    </row>
    <row r="740" spans="1:20" s="2867" customFormat="1" ht="24" hidden="1" customHeight="1" outlineLevel="4">
      <c r="A740" s="4416" t="s">
        <v>738</v>
      </c>
      <c r="B740" s="4416"/>
      <c r="C740" s="4416"/>
      <c r="D740" s="4416"/>
      <c r="E740" s="4416"/>
      <c r="F740" s="2875"/>
      <c r="G740" s="2876"/>
      <c r="H740" s="2877"/>
      <c r="I740" s="4417">
        <v>8355.84</v>
      </c>
      <c r="J740" s="4417"/>
      <c r="K740" s="2875"/>
      <c r="L740" s="2876"/>
      <c r="M740" s="2877"/>
      <c r="N740" s="4417">
        <v>1044.48</v>
      </c>
      <c r="O740" s="4417"/>
      <c r="P740" s="4417"/>
      <c r="Q740" s="2875"/>
      <c r="R740" s="2877"/>
      <c r="S740" s="4417">
        <v>9400.32</v>
      </c>
      <c r="T740" s="4417"/>
    </row>
    <row r="741" spans="1:20" s="2867" customFormat="1" ht="24" hidden="1" customHeight="1" outlineLevel="4">
      <c r="A741" s="4416" t="s">
        <v>738</v>
      </c>
      <c r="B741" s="4416"/>
      <c r="C741" s="4416"/>
      <c r="D741" s="4416"/>
      <c r="E741" s="4416"/>
      <c r="F741" s="2875"/>
      <c r="G741" s="2876"/>
      <c r="H741" s="2877"/>
      <c r="I741" s="4417">
        <v>8355.84</v>
      </c>
      <c r="J741" s="4417"/>
      <c r="K741" s="2875"/>
      <c r="L741" s="2876"/>
      <c r="M741" s="2877"/>
      <c r="N741" s="4417">
        <v>1044.48</v>
      </c>
      <c r="O741" s="4417"/>
      <c r="P741" s="4417"/>
      <c r="Q741" s="2875"/>
      <c r="R741" s="2877"/>
      <c r="S741" s="4417">
        <v>9400.32</v>
      </c>
      <c r="T741" s="4417"/>
    </row>
    <row r="742" spans="1:20" s="2867" customFormat="1" ht="48" hidden="1" customHeight="1" outlineLevel="4">
      <c r="A742" s="4416" t="s">
        <v>739</v>
      </c>
      <c r="B742" s="4416"/>
      <c r="C742" s="4416"/>
      <c r="D742" s="4416"/>
      <c r="E742" s="4416"/>
      <c r="F742" s="2875"/>
      <c r="G742" s="2876"/>
      <c r="H742" s="2877"/>
      <c r="I742" s="4417">
        <v>12718.16</v>
      </c>
      <c r="J742" s="4417"/>
      <c r="K742" s="2875"/>
      <c r="L742" s="2876"/>
      <c r="M742" s="2877"/>
      <c r="N742" s="4417">
        <v>1589.77</v>
      </c>
      <c r="O742" s="4417"/>
      <c r="P742" s="4417"/>
      <c r="Q742" s="2875"/>
      <c r="R742" s="2877"/>
      <c r="S742" s="4417">
        <v>14307.93</v>
      </c>
      <c r="T742" s="4417"/>
    </row>
    <row r="743" spans="1:20" s="2867" customFormat="1" ht="48" hidden="1" customHeight="1" outlineLevel="4">
      <c r="A743" s="4416" t="s">
        <v>739</v>
      </c>
      <c r="B743" s="4416"/>
      <c r="C743" s="4416"/>
      <c r="D743" s="4416"/>
      <c r="E743" s="4416"/>
      <c r="F743" s="2875"/>
      <c r="G743" s="2876"/>
      <c r="H743" s="2877"/>
      <c r="I743" s="4417">
        <v>12718.16</v>
      </c>
      <c r="J743" s="4417"/>
      <c r="K743" s="2875"/>
      <c r="L743" s="2876"/>
      <c r="M743" s="2877"/>
      <c r="N743" s="4417">
        <v>1589.77</v>
      </c>
      <c r="O743" s="4417"/>
      <c r="P743" s="4417"/>
      <c r="Q743" s="2875"/>
      <c r="R743" s="2877"/>
      <c r="S743" s="4417">
        <v>14307.93</v>
      </c>
      <c r="T743" s="4417"/>
    </row>
    <row r="744" spans="1:20" s="2867" customFormat="1" ht="48" hidden="1" customHeight="1" outlineLevel="4">
      <c r="A744" s="4416" t="s">
        <v>739</v>
      </c>
      <c r="B744" s="4416"/>
      <c r="C744" s="4416"/>
      <c r="D744" s="4416"/>
      <c r="E744" s="4416"/>
      <c r="F744" s="2875"/>
      <c r="G744" s="2876"/>
      <c r="H744" s="2877"/>
      <c r="I744" s="4417">
        <v>12718.16</v>
      </c>
      <c r="J744" s="4417"/>
      <c r="K744" s="2875"/>
      <c r="L744" s="2876"/>
      <c r="M744" s="2877"/>
      <c r="N744" s="4417">
        <v>1589.77</v>
      </c>
      <c r="O744" s="4417"/>
      <c r="P744" s="4417"/>
      <c r="Q744" s="2875"/>
      <c r="R744" s="2877"/>
      <c r="S744" s="4417">
        <v>14307.93</v>
      </c>
      <c r="T744" s="4417"/>
    </row>
    <row r="745" spans="1:20" s="2867" customFormat="1" ht="48" hidden="1" customHeight="1" outlineLevel="4">
      <c r="A745" s="4416" t="s">
        <v>739</v>
      </c>
      <c r="B745" s="4416"/>
      <c r="C745" s="4416"/>
      <c r="D745" s="4416"/>
      <c r="E745" s="4416"/>
      <c r="F745" s="2875"/>
      <c r="G745" s="2876"/>
      <c r="H745" s="2877"/>
      <c r="I745" s="4417">
        <v>12718.16</v>
      </c>
      <c r="J745" s="4417"/>
      <c r="K745" s="2875"/>
      <c r="L745" s="2876"/>
      <c r="M745" s="2877"/>
      <c r="N745" s="4417">
        <v>1589.77</v>
      </c>
      <c r="O745" s="4417"/>
      <c r="P745" s="4417"/>
      <c r="Q745" s="2875"/>
      <c r="R745" s="2877"/>
      <c r="S745" s="4417">
        <v>14307.93</v>
      </c>
      <c r="T745" s="4417"/>
    </row>
    <row r="746" spans="1:20" s="2867" customFormat="1" ht="48" hidden="1" customHeight="1" outlineLevel="4">
      <c r="A746" s="4416" t="s">
        <v>739</v>
      </c>
      <c r="B746" s="4416"/>
      <c r="C746" s="4416"/>
      <c r="D746" s="4416"/>
      <c r="E746" s="4416"/>
      <c r="F746" s="2875"/>
      <c r="G746" s="2876"/>
      <c r="H746" s="2877"/>
      <c r="I746" s="4417">
        <v>12718.16</v>
      </c>
      <c r="J746" s="4417"/>
      <c r="K746" s="2875"/>
      <c r="L746" s="2876"/>
      <c r="M746" s="2877"/>
      <c r="N746" s="4417">
        <v>1589.77</v>
      </c>
      <c r="O746" s="4417"/>
      <c r="P746" s="4417"/>
      <c r="Q746" s="2875"/>
      <c r="R746" s="2877"/>
      <c r="S746" s="4417">
        <v>14307.93</v>
      </c>
      <c r="T746" s="4417"/>
    </row>
    <row r="747" spans="1:20" s="2867" customFormat="1" ht="48" hidden="1" customHeight="1" outlineLevel="4">
      <c r="A747" s="4416" t="s">
        <v>739</v>
      </c>
      <c r="B747" s="4416"/>
      <c r="C747" s="4416"/>
      <c r="D747" s="4416"/>
      <c r="E747" s="4416"/>
      <c r="F747" s="2875"/>
      <c r="G747" s="2876"/>
      <c r="H747" s="2877"/>
      <c r="I747" s="4417">
        <v>12718.16</v>
      </c>
      <c r="J747" s="4417"/>
      <c r="K747" s="2875"/>
      <c r="L747" s="2876"/>
      <c r="M747" s="2877"/>
      <c r="N747" s="4417">
        <v>1589.77</v>
      </c>
      <c r="O747" s="4417"/>
      <c r="P747" s="4417"/>
      <c r="Q747" s="2875"/>
      <c r="R747" s="2877"/>
      <c r="S747" s="4417">
        <v>14307.93</v>
      </c>
      <c r="T747" s="4417"/>
    </row>
    <row r="748" spans="1:20" s="2867" customFormat="1" ht="48" hidden="1" customHeight="1" outlineLevel="4">
      <c r="A748" s="4416" t="s">
        <v>739</v>
      </c>
      <c r="B748" s="4416"/>
      <c r="C748" s="4416"/>
      <c r="D748" s="4416"/>
      <c r="E748" s="4416"/>
      <c r="F748" s="2875"/>
      <c r="G748" s="2876"/>
      <c r="H748" s="2877"/>
      <c r="I748" s="4417">
        <v>12718.16</v>
      </c>
      <c r="J748" s="4417"/>
      <c r="K748" s="2875"/>
      <c r="L748" s="2876"/>
      <c r="M748" s="2877"/>
      <c r="N748" s="4417">
        <v>1589.77</v>
      </c>
      <c r="O748" s="4417"/>
      <c r="P748" s="4417"/>
      <c r="Q748" s="2875"/>
      <c r="R748" s="2877"/>
      <c r="S748" s="4417">
        <v>14307.93</v>
      </c>
      <c r="T748" s="4417"/>
    </row>
    <row r="749" spans="1:20" s="2867" customFormat="1" ht="48" hidden="1" customHeight="1" outlineLevel="4">
      <c r="A749" s="4416" t="s">
        <v>739</v>
      </c>
      <c r="B749" s="4416"/>
      <c r="C749" s="4416"/>
      <c r="D749" s="4416"/>
      <c r="E749" s="4416"/>
      <c r="F749" s="2875"/>
      <c r="G749" s="2876"/>
      <c r="H749" s="2877"/>
      <c r="I749" s="4417">
        <v>12718.32</v>
      </c>
      <c r="J749" s="4417"/>
      <c r="K749" s="2875"/>
      <c r="L749" s="2876"/>
      <c r="M749" s="2877"/>
      <c r="N749" s="4417">
        <v>1589.79</v>
      </c>
      <c r="O749" s="4417"/>
      <c r="P749" s="4417"/>
      <c r="Q749" s="2875"/>
      <c r="R749" s="2877"/>
      <c r="S749" s="4417">
        <v>14308.11</v>
      </c>
      <c r="T749" s="4417"/>
    </row>
    <row r="750" spans="1:20" s="2867" customFormat="1" ht="36" hidden="1" customHeight="1" outlineLevel="4">
      <c r="A750" s="4416" t="s">
        <v>883</v>
      </c>
      <c r="B750" s="4416"/>
      <c r="C750" s="4416"/>
      <c r="D750" s="4416"/>
      <c r="E750" s="4416"/>
      <c r="F750" s="2875"/>
      <c r="G750" s="2876"/>
      <c r="H750" s="2877"/>
      <c r="I750" s="4417">
        <v>37911.120000000003</v>
      </c>
      <c r="J750" s="4417"/>
      <c r="K750" s="2875"/>
      <c r="L750" s="2876"/>
      <c r="M750" s="2877"/>
      <c r="N750" s="4417">
        <v>4738.8900000000003</v>
      </c>
      <c r="O750" s="4417"/>
      <c r="P750" s="4417"/>
      <c r="Q750" s="2875"/>
      <c r="R750" s="2877"/>
      <c r="S750" s="4417">
        <v>42650.01</v>
      </c>
      <c r="T750" s="4417"/>
    </row>
    <row r="751" spans="1:20" s="2867" customFormat="1" ht="36" hidden="1" customHeight="1" outlineLevel="4">
      <c r="A751" s="4416" t="s">
        <v>741</v>
      </c>
      <c r="B751" s="4416"/>
      <c r="C751" s="4416"/>
      <c r="D751" s="4416"/>
      <c r="E751" s="4416"/>
      <c r="F751" s="2875"/>
      <c r="G751" s="2876"/>
      <c r="H751" s="2877"/>
      <c r="I751" s="4417">
        <v>29355.919999999998</v>
      </c>
      <c r="J751" s="4417"/>
      <c r="K751" s="2875"/>
      <c r="L751" s="2876"/>
      <c r="M751" s="2877"/>
      <c r="N751" s="4417">
        <v>3669.49</v>
      </c>
      <c r="O751" s="4417"/>
      <c r="P751" s="4417"/>
      <c r="Q751" s="2875"/>
      <c r="R751" s="2877"/>
      <c r="S751" s="4417">
        <v>33025.410000000003</v>
      </c>
      <c r="T751" s="4417"/>
    </row>
    <row r="752" spans="1:20" s="2867" customFormat="1" ht="36" hidden="1" customHeight="1" outlineLevel="4">
      <c r="A752" s="4416" t="s">
        <v>884</v>
      </c>
      <c r="B752" s="4416"/>
      <c r="C752" s="4416"/>
      <c r="D752" s="4416"/>
      <c r="E752" s="4416"/>
      <c r="F752" s="2875"/>
      <c r="G752" s="2876"/>
      <c r="H752" s="2877"/>
      <c r="I752" s="4417">
        <v>45878.64</v>
      </c>
      <c r="J752" s="4417"/>
      <c r="K752" s="2875"/>
      <c r="L752" s="2876"/>
      <c r="M752" s="2877"/>
      <c r="N752" s="4417">
        <v>5734.83</v>
      </c>
      <c r="O752" s="4417"/>
      <c r="P752" s="4417"/>
      <c r="Q752" s="2875"/>
      <c r="R752" s="2877"/>
      <c r="S752" s="4417">
        <v>51613.47</v>
      </c>
      <c r="T752" s="4417"/>
    </row>
    <row r="753" spans="1:20" s="2867" customFormat="1" ht="36" hidden="1" customHeight="1" outlineLevel="4">
      <c r="A753" s="4416" t="s">
        <v>885</v>
      </c>
      <c r="B753" s="4416"/>
      <c r="C753" s="4416"/>
      <c r="D753" s="4416"/>
      <c r="E753" s="4416"/>
      <c r="F753" s="2875"/>
      <c r="G753" s="2876"/>
      <c r="H753" s="2877"/>
      <c r="I753" s="4417">
        <v>22912.48</v>
      </c>
      <c r="J753" s="4417"/>
      <c r="K753" s="2875"/>
      <c r="L753" s="2876"/>
      <c r="M753" s="2877"/>
      <c r="N753" s="4417">
        <v>2864.06</v>
      </c>
      <c r="O753" s="4417"/>
      <c r="P753" s="4417"/>
      <c r="Q753" s="2875"/>
      <c r="R753" s="2877"/>
      <c r="S753" s="4417">
        <v>25776.54</v>
      </c>
      <c r="T753" s="4417"/>
    </row>
    <row r="754" spans="1:20" s="2867" customFormat="1" ht="36" hidden="1" customHeight="1" outlineLevel="4">
      <c r="A754" s="4416" t="s">
        <v>885</v>
      </c>
      <c r="B754" s="4416"/>
      <c r="C754" s="4416"/>
      <c r="D754" s="4416"/>
      <c r="E754" s="4416"/>
      <c r="F754" s="2875"/>
      <c r="G754" s="2876"/>
      <c r="H754" s="2877"/>
      <c r="I754" s="4417">
        <v>22912.48</v>
      </c>
      <c r="J754" s="4417"/>
      <c r="K754" s="2875"/>
      <c r="L754" s="2876"/>
      <c r="M754" s="2877"/>
      <c r="N754" s="4417">
        <v>2864.06</v>
      </c>
      <c r="O754" s="4417"/>
      <c r="P754" s="4417"/>
      <c r="Q754" s="2875"/>
      <c r="R754" s="2877"/>
      <c r="S754" s="4417">
        <v>25776.54</v>
      </c>
      <c r="T754" s="4417"/>
    </row>
    <row r="755" spans="1:20" s="2867" customFormat="1" ht="24" hidden="1" customHeight="1" outlineLevel="4">
      <c r="A755" s="4416" t="s">
        <v>886</v>
      </c>
      <c r="B755" s="4416"/>
      <c r="C755" s="4416"/>
      <c r="D755" s="4416"/>
      <c r="E755" s="4416"/>
      <c r="F755" s="2875"/>
      <c r="G755" s="2876"/>
      <c r="H755" s="2877"/>
      <c r="I755" s="4417">
        <v>2713.2</v>
      </c>
      <c r="J755" s="4417"/>
      <c r="K755" s="2875"/>
      <c r="L755" s="2876"/>
      <c r="M755" s="2877"/>
      <c r="N755" s="4418">
        <v>339.15</v>
      </c>
      <c r="O755" s="4418"/>
      <c r="P755" s="4418"/>
      <c r="Q755" s="2875"/>
      <c r="R755" s="2877"/>
      <c r="S755" s="4417">
        <v>3052.35</v>
      </c>
      <c r="T755" s="4417"/>
    </row>
    <row r="756" spans="1:20" s="2867" customFormat="1" ht="24" hidden="1" customHeight="1" outlineLevel="4">
      <c r="A756" s="4416" t="s">
        <v>744</v>
      </c>
      <c r="B756" s="4416"/>
      <c r="C756" s="4416"/>
      <c r="D756" s="4416"/>
      <c r="E756" s="4416"/>
      <c r="F756" s="2875"/>
      <c r="G756" s="2876"/>
      <c r="H756" s="2877"/>
      <c r="I756" s="4417">
        <v>2713.2</v>
      </c>
      <c r="J756" s="4417"/>
      <c r="K756" s="2875"/>
      <c r="L756" s="2876"/>
      <c r="M756" s="2877"/>
      <c r="N756" s="4418">
        <v>339.15</v>
      </c>
      <c r="O756" s="4418"/>
      <c r="P756" s="4418"/>
      <c r="Q756" s="2875"/>
      <c r="R756" s="2877"/>
      <c r="S756" s="4417">
        <v>3052.35</v>
      </c>
      <c r="T756" s="4417"/>
    </row>
    <row r="757" spans="1:20" s="2867" customFormat="1" ht="59.1" hidden="1" customHeight="1" outlineLevel="4">
      <c r="A757" s="4416" t="s">
        <v>888</v>
      </c>
      <c r="B757" s="4416"/>
      <c r="C757" s="4416"/>
      <c r="D757" s="4416"/>
      <c r="E757" s="4416"/>
      <c r="F757" s="2875"/>
      <c r="G757" s="2876"/>
      <c r="H757" s="2877"/>
      <c r="I757" s="4417">
        <v>93548.160000000003</v>
      </c>
      <c r="J757" s="4417"/>
      <c r="K757" s="2875"/>
      <c r="L757" s="2876"/>
      <c r="M757" s="2877"/>
      <c r="N757" s="4417">
        <v>11693.52</v>
      </c>
      <c r="O757" s="4417"/>
      <c r="P757" s="4417"/>
      <c r="Q757" s="2875"/>
      <c r="R757" s="2877"/>
      <c r="S757" s="4417">
        <v>105241.68</v>
      </c>
      <c r="T757" s="4417"/>
    </row>
    <row r="758" spans="1:20" s="2867" customFormat="1" ht="71.099999999999994" hidden="1" customHeight="1" outlineLevel="4">
      <c r="A758" s="4416" t="s">
        <v>889</v>
      </c>
      <c r="B758" s="4416"/>
      <c r="C758" s="4416"/>
      <c r="D758" s="4416"/>
      <c r="E758" s="4416"/>
      <c r="F758" s="2875"/>
      <c r="G758" s="2876"/>
      <c r="H758" s="2877"/>
      <c r="I758" s="4417">
        <v>9928.4</v>
      </c>
      <c r="J758" s="4417"/>
      <c r="K758" s="2875"/>
      <c r="L758" s="2876"/>
      <c r="M758" s="2877"/>
      <c r="N758" s="4417">
        <v>1241.05</v>
      </c>
      <c r="O758" s="4417"/>
      <c r="P758" s="4417"/>
      <c r="Q758" s="2875"/>
      <c r="R758" s="2877"/>
      <c r="S758" s="4417">
        <v>11169.45</v>
      </c>
      <c r="T758" s="4417"/>
    </row>
    <row r="759" spans="1:20" s="2867" customFormat="1" ht="71.099999999999994" hidden="1" customHeight="1" outlineLevel="4">
      <c r="A759" s="4416" t="s">
        <v>890</v>
      </c>
      <c r="B759" s="4416"/>
      <c r="C759" s="4416"/>
      <c r="D759" s="4416"/>
      <c r="E759" s="4416"/>
      <c r="F759" s="2875"/>
      <c r="G759" s="2876"/>
      <c r="H759" s="2877"/>
      <c r="I759" s="4417">
        <v>7931.84</v>
      </c>
      <c r="J759" s="4417"/>
      <c r="K759" s="2875"/>
      <c r="L759" s="2876"/>
      <c r="M759" s="2877"/>
      <c r="N759" s="4418">
        <v>991.48</v>
      </c>
      <c r="O759" s="4418"/>
      <c r="P759" s="4418"/>
      <c r="Q759" s="2875"/>
      <c r="R759" s="2877"/>
      <c r="S759" s="4417">
        <v>8923.32</v>
      </c>
      <c r="T759" s="4417"/>
    </row>
    <row r="760" spans="1:20" s="2867" customFormat="1" ht="71.099999999999994" hidden="1" customHeight="1" outlineLevel="4">
      <c r="A760" s="4416" t="s">
        <v>890</v>
      </c>
      <c r="B760" s="4416"/>
      <c r="C760" s="4416"/>
      <c r="D760" s="4416"/>
      <c r="E760" s="4416"/>
      <c r="F760" s="2875"/>
      <c r="G760" s="2876"/>
      <c r="H760" s="2877"/>
      <c r="I760" s="4417">
        <v>7931.84</v>
      </c>
      <c r="J760" s="4417"/>
      <c r="K760" s="2875"/>
      <c r="L760" s="2876"/>
      <c r="M760" s="2877"/>
      <c r="N760" s="4418">
        <v>991.48</v>
      </c>
      <c r="O760" s="4418"/>
      <c r="P760" s="4418"/>
      <c r="Q760" s="2875"/>
      <c r="R760" s="2877"/>
      <c r="S760" s="4417">
        <v>8923.32</v>
      </c>
      <c r="T760" s="4417"/>
    </row>
    <row r="761" spans="1:20" s="2867" customFormat="1" ht="36" hidden="1" customHeight="1" outlineLevel="4">
      <c r="A761" s="4416" t="s">
        <v>748</v>
      </c>
      <c r="B761" s="4416"/>
      <c r="C761" s="4416"/>
      <c r="D761" s="4416"/>
      <c r="E761" s="4416"/>
      <c r="F761" s="2875"/>
      <c r="G761" s="2876"/>
      <c r="H761" s="2877"/>
      <c r="I761" s="4417">
        <v>9413.52</v>
      </c>
      <c r="J761" s="4417"/>
      <c r="K761" s="2875"/>
      <c r="L761" s="2876"/>
      <c r="M761" s="2877"/>
      <c r="N761" s="4417">
        <v>1176.69</v>
      </c>
      <c r="O761" s="4417"/>
      <c r="P761" s="4417"/>
      <c r="Q761" s="2875"/>
      <c r="R761" s="2877"/>
      <c r="S761" s="4417">
        <v>10590.21</v>
      </c>
      <c r="T761" s="4417"/>
    </row>
    <row r="762" spans="1:20" s="2867" customFormat="1" ht="48" hidden="1" customHeight="1" outlineLevel="4">
      <c r="A762" s="4416" t="s">
        <v>749</v>
      </c>
      <c r="B762" s="4416"/>
      <c r="C762" s="4416"/>
      <c r="D762" s="4416"/>
      <c r="E762" s="4416"/>
      <c r="F762" s="2875"/>
      <c r="G762" s="2876"/>
      <c r="H762" s="2877"/>
      <c r="I762" s="4417">
        <v>21789.68</v>
      </c>
      <c r="J762" s="4417"/>
      <c r="K762" s="2875"/>
      <c r="L762" s="2876"/>
      <c r="M762" s="2877"/>
      <c r="N762" s="4417">
        <v>2723.71</v>
      </c>
      <c r="O762" s="4417"/>
      <c r="P762" s="4417"/>
      <c r="Q762" s="2875"/>
      <c r="R762" s="2877"/>
      <c r="S762" s="4417">
        <v>24513.39</v>
      </c>
      <c r="T762" s="4417"/>
    </row>
    <row r="763" spans="1:20" s="2867" customFormat="1" ht="24" hidden="1" customHeight="1" outlineLevel="4">
      <c r="A763" s="4416" t="s">
        <v>750</v>
      </c>
      <c r="B763" s="4416"/>
      <c r="C763" s="4416"/>
      <c r="D763" s="4416"/>
      <c r="E763" s="4416"/>
      <c r="F763" s="2875"/>
      <c r="G763" s="2876"/>
      <c r="H763" s="2877"/>
      <c r="I763" s="4417">
        <v>5822.4</v>
      </c>
      <c r="J763" s="4417"/>
      <c r="K763" s="2875"/>
      <c r="L763" s="2876"/>
      <c r="M763" s="2877"/>
      <c r="N763" s="4418">
        <v>727.8</v>
      </c>
      <c r="O763" s="4418"/>
      <c r="P763" s="4418"/>
      <c r="Q763" s="2875"/>
      <c r="R763" s="2877"/>
      <c r="S763" s="4417">
        <v>6550.2</v>
      </c>
      <c r="T763" s="4417"/>
    </row>
    <row r="764" spans="1:20" s="2867" customFormat="1" ht="24" hidden="1" customHeight="1" outlineLevel="4">
      <c r="A764" s="4416" t="s">
        <v>751</v>
      </c>
      <c r="B764" s="4416"/>
      <c r="C764" s="4416"/>
      <c r="D764" s="4416"/>
      <c r="E764" s="4416"/>
      <c r="F764" s="2875"/>
      <c r="G764" s="2876"/>
      <c r="H764" s="2877"/>
      <c r="I764" s="4417">
        <v>5822.4</v>
      </c>
      <c r="J764" s="4417"/>
      <c r="K764" s="2875"/>
      <c r="L764" s="2876"/>
      <c r="M764" s="2877"/>
      <c r="N764" s="4418">
        <v>727.8</v>
      </c>
      <c r="O764" s="4418"/>
      <c r="P764" s="4418"/>
      <c r="Q764" s="2875"/>
      <c r="R764" s="2877"/>
      <c r="S764" s="4417">
        <v>6550.2</v>
      </c>
      <c r="T764" s="4417"/>
    </row>
    <row r="765" spans="1:20" s="2867" customFormat="1" ht="24" hidden="1" customHeight="1" outlineLevel="4">
      <c r="A765" s="4416" t="s">
        <v>751</v>
      </c>
      <c r="B765" s="4416"/>
      <c r="C765" s="4416"/>
      <c r="D765" s="4416"/>
      <c r="E765" s="4416"/>
      <c r="F765" s="2875"/>
      <c r="G765" s="2876"/>
      <c r="H765" s="2877"/>
      <c r="I765" s="4417">
        <v>5822.4</v>
      </c>
      <c r="J765" s="4417"/>
      <c r="K765" s="2875"/>
      <c r="L765" s="2876"/>
      <c r="M765" s="2877"/>
      <c r="N765" s="4418">
        <v>727.8</v>
      </c>
      <c r="O765" s="4418"/>
      <c r="P765" s="4418"/>
      <c r="Q765" s="2875"/>
      <c r="R765" s="2877"/>
      <c r="S765" s="4417">
        <v>6550.2</v>
      </c>
      <c r="T765" s="4417"/>
    </row>
    <row r="766" spans="1:20" s="2867" customFormat="1" ht="24" hidden="1" customHeight="1" outlineLevel="4">
      <c r="A766" s="4416" t="s">
        <v>751</v>
      </c>
      <c r="B766" s="4416"/>
      <c r="C766" s="4416"/>
      <c r="D766" s="4416"/>
      <c r="E766" s="4416"/>
      <c r="F766" s="2875"/>
      <c r="G766" s="2876"/>
      <c r="H766" s="2877"/>
      <c r="I766" s="4417">
        <v>5822.4</v>
      </c>
      <c r="J766" s="4417"/>
      <c r="K766" s="2875"/>
      <c r="L766" s="2876"/>
      <c r="M766" s="2877"/>
      <c r="N766" s="4418">
        <v>727.8</v>
      </c>
      <c r="O766" s="4418"/>
      <c r="P766" s="4418"/>
      <c r="Q766" s="2875"/>
      <c r="R766" s="2877"/>
      <c r="S766" s="4417">
        <v>6550.2</v>
      </c>
      <c r="T766" s="4417"/>
    </row>
    <row r="767" spans="1:20" s="2867" customFormat="1" ht="24" hidden="1" customHeight="1" outlineLevel="4">
      <c r="A767" s="4416" t="s">
        <v>752</v>
      </c>
      <c r="B767" s="4416"/>
      <c r="C767" s="4416"/>
      <c r="D767" s="4416"/>
      <c r="E767" s="4416"/>
      <c r="F767" s="2875"/>
      <c r="G767" s="2876"/>
      <c r="H767" s="2877"/>
      <c r="I767" s="4417">
        <v>5822.4</v>
      </c>
      <c r="J767" s="4417"/>
      <c r="K767" s="2875"/>
      <c r="L767" s="2876"/>
      <c r="M767" s="2877"/>
      <c r="N767" s="4418">
        <v>727.8</v>
      </c>
      <c r="O767" s="4418"/>
      <c r="P767" s="4418"/>
      <c r="Q767" s="2875"/>
      <c r="R767" s="2877"/>
      <c r="S767" s="4417">
        <v>6550.2</v>
      </c>
      <c r="T767" s="4417"/>
    </row>
    <row r="768" spans="1:20" s="2867" customFormat="1" ht="24" hidden="1" customHeight="1" outlineLevel="4">
      <c r="A768" s="4416" t="s">
        <v>752</v>
      </c>
      <c r="B768" s="4416"/>
      <c r="C768" s="4416"/>
      <c r="D768" s="4416"/>
      <c r="E768" s="4416"/>
      <c r="F768" s="2875"/>
      <c r="G768" s="2876"/>
      <c r="H768" s="2877"/>
      <c r="I768" s="4417">
        <v>5822.4</v>
      </c>
      <c r="J768" s="4417"/>
      <c r="K768" s="2875"/>
      <c r="L768" s="2876"/>
      <c r="M768" s="2877"/>
      <c r="N768" s="4418">
        <v>727.8</v>
      </c>
      <c r="O768" s="4418"/>
      <c r="P768" s="4418"/>
      <c r="Q768" s="2875"/>
      <c r="R768" s="2877"/>
      <c r="S768" s="4417">
        <v>6550.2</v>
      </c>
      <c r="T768" s="4417"/>
    </row>
    <row r="769" spans="1:20" s="2867" customFormat="1" ht="24" hidden="1" customHeight="1" outlineLevel="4">
      <c r="A769" s="4416" t="s">
        <v>752</v>
      </c>
      <c r="B769" s="4416"/>
      <c r="C769" s="4416"/>
      <c r="D769" s="4416"/>
      <c r="E769" s="4416"/>
      <c r="F769" s="2875"/>
      <c r="G769" s="2876"/>
      <c r="H769" s="2877"/>
      <c r="I769" s="4417">
        <v>5822.4</v>
      </c>
      <c r="J769" s="4417"/>
      <c r="K769" s="2875"/>
      <c r="L769" s="2876"/>
      <c r="M769" s="2877"/>
      <c r="N769" s="4418">
        <v>727.8</v>
      </c>
      <c r="O769" s="4418"/>
      <c r="P769" s="4418"/>
      <c r="Q769" s="2875"/>
      <c r="R769" s="2877"/>
      <c r="S769" s="4417">
        <v>6550.2</v>
      </c>
      <c r="T769" s="4417"/>
    </row>
    <row r="770" spans="1:20" s="2867" customFormat="1" ht="36" hidden="1" customHeight="1" outlineLevel="4">
      <c r="A770" s="4416" t="s">
        <v>893</v>
      </c>
      <c r="B770" s="4416"/>
      <c r="C770" s="4416"/>
      <c r="D770" s="4416"/>
      <c r="E770" s="4416"/>
      <c r="F770" s="2875"/>
      <c r="G770" s="2876"/>
      <c r="H770" s="2877"/>
      <c r="I770" s="4417">
        <v>18928.96</v>
      </c>
      <c r="J770" s="4417"/>
      <c r="K770" s="2875"/>
      <c r="L770" s="2876"/>
      <c r="M770" s="2877"/>
      <c r="N770" s="4417">
        <v>2366.12</v>
      </c>
      <c r="O770" s="4417"/>
      <c r="P770" s="4417"/>
      <c r="Q770" s="2875"/>
      <c r="R770" s="2877"/>
      <c r="S770" s="4417">
        <v>21295.08</v>
      </c>
      <c r="T770" s="4417"/>
    </row>
    <row r="771" spans="1:20" s="2867" customFormat="1" ht="36" hidden="1" customHeight="1" outlineLevel="4">
      <c r="A771" s="4416" t="s">
        <v>894</v>
      </c>
      <c r="B771" s="4416"/>
      <c r="C771" s="4416"/>
      <c r="D771" s="4416"/>
      <c r="E771" s="4416"/>
      <c r="F771" s="2875"/>
      <c r="G771" s="2876"/>
      <c r="H771" s="2877"/>
      <c r="I771" s="4417">
        <v>24489.919999999998</v>
      </c>
      <c r="J771" s="4417"/>
      <c r="K771" s="2875"/>
      <c r="L771" s="2876"/>
      <c r="M771" s="2877"/>
      <c r="N771" s="4417">
        <v>3061.24</v>
      </c>
      <c r="O771" s="4417"/>
      <c r="P771" s="4417"/>
      <c r="Q771" s="2875"/>
      <c r="R771" s="2877"/>
      <c r="S771" s="4417">
        <v>27551.16</v>
      </c>
      <c r="T771" s="4417"/>
    </row>
    <row r="772" spans="1:20" s="2867" customFormat="1" ht="36" hidden="1" customHeight="1" outlineLevel="4">
      <c r="A772" s="4416" t="s">
        <v>959</v>
      </c>
      <c r="B772" s="4416"/>
      <c r="C772" s="4416"/>
      <c r="D772" s="4416"/>
      <c r="E772" s="4416"/>
      <c r="F772" s="2875"/>
      <c r="G772" s="2876"/>
      <c r="H772" s="2877"/>
      <c r="I772" s="4417">
        <v>12164.64</v>
      </c>
      <c r="J772" s="4417"/>
      <c r="K772" s="2875"/>
      <c r="L772" s="2876"/>
      <c r="M772" s="2877"/>
      <c r="N772" s="4417">
        <v>1520.58</v>
      </c>
      <c r="O772" s="4417"/>
      <c r="P772" s="4417"/>
      <c r="Q772" s="2875"/>
      <c r="R772" s="2877"/>
      <c r="S772" s="4417">
        <v>13685.22</v>
      </c>
      <c r="T772" s="4417"/>
    </row>
    <row r="773" spans="1:20" s="2867" customFormat="1" ht="48" hidden="1" customHeight="1" outlineLevel="4">
      <c r="A773" s="4416" t="s">
        <v>755</v>
      </c>
      <c r="B773" s="4416"/>
      <c r="C773" s="4416"/>
      <c r="D773" s="4416"/>
      <c r="E773" s="4416"/>
      <c r="F773" s="2875"/>
      <c r="G773" s="2876"/>
      <c r="H773" s="2877"/>
      <c r="I773" s="4417">
        <v>7325.52</v>
      </c>
      <c r="J773" s="4417"/>
      <c r="K773" s="2875"/>
      <c r="L773" s="2876"/>
      <c r="M773" s="2877"/>
      <c r="N773" s="4418">
        <v>915.69</v>
      </c>
      <c r="O773" s="4418"/>
      <c r="P773" s="4418"/>
      <c r="Q773" s="2875"/>
      <c r="R773" s="2877"/>
      <c r="S773" s="4417">
        <v>8241.2099999999991</v>
      </c>
      <c r="T773" s="4417"/>
    </row>
    <row r="774" spans="1:20" s="2867" customFormat="1" ht="48" hidden="1" customHeight="1" outlineLevel="4">
      <c r="A774" s="4416" t="s">
        <v>755</v>
      </c>
      <c r="B774" s="4416"/>
      <c r="C774" s="4416"/>
      <c r="D774" s="4416"/>
      <c r="E774" s="4416"/>
      <c r="F774" s="2875"/>
      <c r="G774" s="2876"/>
      <c r="H774" s="2877"/>
      <c r="I774" s="4417">
        <v>7325.52</v>
      </c>
      <c r="J774" s="4417"/>
      <c r="K774" s="2875"/>
      <c r="L774" s="2876"/>
      <c r="M774" s="2877"/>
      <c r="N774" s="4418">
        <v>915.69</v>
      </c>
      <c r="O774" s="4418"/>
      <c r="P774" s="4418"/>
      <c r="Q774" s="2875"/>
      <c r="R774" s="2877"/>
      <c r="S774" s="4417">
        <v>8241.2099999999991</v>
      </c>
      <c r="T774" s="4417"/>
    </row>
    <row r="775" spans="1:20" s="2867" customFormat="1" ht="59.1" hidden="1" customHeight="1" outlineLevel="4">
      <c r="A775" s="4416" t="s">
        <v>902</v>
      </c>
      <c r="B775" s="4416"/>
      <c r="C775" s="4416"/>
      <c r="D775" s="4416"/>
      <c r="E775" s="4416"/>
      <c r="F775" s="2875"/>
      <c r="G775" s="2876"/>
      <c r="H775" s="2877"/>
      <c r="I775" s="4417">
        <v>51386</v>
      </c>
      <c r="J775" s="4417"/>
      <c r="K775" s="2875"/>
      <c r="L775" s="2876"/>
      <c r="M775" s="2877"/>
      <c r="N775" s="4417">
        <v>6423.25</v>
      </c>
      <c r="O775" s="4417"/>
      <c r="P775" s="4417"/>
      <c r="Q775" s="2875"/>
      <c r="R775" s="2877"/>
      <c r="S775" s="4417">
        <v>57809.25</v>
      </c>
      <c r="T775" s="4417"/>
    </row>
    <row r="776" spans="1:20" s="2867" customFormat="1" ht="36" hidden="1" customHeight="1" outlineLevel="4">
      <c r="A776" s="4416" t="s">
        <v>903</v>
      </c>
      <c r="B776" s="4416"/>
      <c r="C776" s="4416"/>
      <c r="D776" s="4416"/>
      <c r="E776" s="4416"/>
      <c r="F776" s="2875"/>
      <c r="G776" s="2876"/>
      <c r="H776" s="2877"/>
      <c r="I776" s="4417">
        <v>25397.84</v>
      </c>
      <c r="J776" s="4417"/>
      <c r="K776" s="2875"/>
      <c r="L776" s="2876"/>
      <c r="M776" s="2877"/>
      <c r="N776" s="4417">
        <v>3174.73</v>
      </c>
      <c r="O776" s="4417"/>
      <c r="P776" s="4417"/>
      <c r="Q776" s="2875"/>
      <c r="R776" s="2877"/>
      <c r="S776" s="4417">
        <v>28572.57</v>
      </c>
      <c r="T776" s="4417"/>
    </row>
    <row r="777" spans="1:20" s="2867" customFormat="1" ht="36" hidden="1" customHeight="1" outlineLevel="4">
      <c r="A777" s="4416" t="s">
        <v>903</v>
      </c>
      <c r="B777" s="4416"/>
      <c r="C777" s="4416"/>
      <c r="D777" s="4416"/>
      <c r="E777" s="4416"/>
      <c r="F777" s="2875"/>
      <c r="G777" s="2876"/>
      <c r="H777" s="2877"/>
      <c r="I777" s="4417">
        <v>25397.84</v>
      </c>
      <c r="J777" s="4417"/>
      <c r="K777" s="2875"/>
      <c r="L777" s="2876"/>
      <c r="M777" s="2877"/>
      <c r="N777" s="4417">
        <v>3174.73</v>
      </c>
      <c r="O777" s="4417"/>
      <c r="P777" s="4417"/>
      <c r="Q777" s="2875"/>
      <c r="R777" s="2877"/>
      <c r="S777" s="4417">
        <v>28572.57</v>
      </c>
      <c r="T777" s="4417"/>
    </row>
    <row r="778" spans="1:20" s="2867" customFormat="1" ht="36" hidden="1" customHeight="1" outlineLevel="4">
      <c r="A778" s="4416" t="s">
        <v>903</v>
      </c>
      <c r="B778" s="4416"/>
      <c r="C778" s="4416"/>
      <c r="D778" s="4416"/>
      <c r="E778" s="4416"/>
      <c r="F778" s="2875"/>
      <c r="G778" s="2876"/>
      <c r="H778" s="2877"/>
      <c r="I778" s="4417">
        <v>25397.68</v>
      </c>
      <c r="J778" s="4417"/>
      <c r="K778" s="2875"/>
      <c r="L778" s="2876"/>
      <c r="M778" s="2877"/>
      <c r="N778" s="4417">
        <v>3174.71</v>
      </c>
      <c r="O778" s="4417"/>
      <c r="P778" s="4417"/>
      <c r="Q778" s="2875"/>
      <c r="R778" s="2877"/>
      <c r="S778" s="4417">
        <v>28572.39</v>
      </c>
      <c r="T778" s="4417"/>
    </row>
    <row r="779" spans="1:20" s="2867" customFormat="1" ht="36" hidden="1" customHeight="1" outlineLevel="4">
      <c r="A779" s="4416" t="s">
        <v>903</v>
      </c>
      <c r="B779" s="4416"/>
      <c r="C779" s="4416"/>
      <c r="D779" s="4416"/>
      <c r="E779" s="4416"/>
      <c r="F779" s="2875"/>
      <c r="G779" s="2876"/>
      <c r="H779" s="2877"/>
      <c r="I779" s="4417">
        <v>25397.84</v>
      </c>
      <c r="J779" s="4417"/>
      <c r="K779" s="2875"/>
      <c r="L779" s="2876"/>
      <c r="M779" s="2877"/>
      <c r="N779" s="4417">
        <v>3174.73</v>
      </c>
      <c r="O779" s="4417"/>
      <c r="P779" s="4417"/>
      <c r="Q779" s="2875"/>
      <c r="R779" s="2877"/>
      <c r="S779" s="4417">
        <v>28572.57</v>
      </c>
      <c r="T779" s="4417"/>
    </row>
    <row r="780" spans="1:20" s="2867" customFormat="1" ht="48" hidden="1" customHeight="1" outlineLevel="4">
      <c r="A780" s="4416" t="s">
        <v>904</v>
      </c>
      <c r="B780" s="4416"/>
      <c r="C780" s="4416"/>
      <c r="D780" s="4416"/>
      <c r="E780" s="4416"/>
      <c r="F780" s="2875"/>
      <c r="G780" s="2876"/>
      <c r="H780" s="2877"/>
      <c r="I780" s="4417">
        <v>14054.08</v>
      </c>
      <c r="J780" s="4417"/>
      <c r="K780" s="2875"/>
      <c r="L780" s="2876"/>
      <c r="M780" s="2877"/>
      <c r="N780" s="4417">
        <v>1756.76</v>
      </c>
      <c r="O780" s="4417"/>
      <c r="P780" s="4417"/>
      <c r="Q780" s="2875"/>
      <c r="R780" s="2877"/>
      <c r="S780" s="4417">
        <v>15810.84</v>
      </c>
      <c r="T780" s="4417"/>
    </row>
    <row r="781" spans="1:20" s="2867" customFormat="1" ht="48" hidden="1" customHeight="1" outlineLevel="4">
      <c r="A781" s="4416" t="s">
        <v>904</v>
      </c>
      <c r="B781" s="4416"/>
      <c r="C781" s="4416"/>
      <c r="D781" s="4416"/>
      <c r="E781" s="4416"/>
      <c r="F781" s="2875"/>
      <c r="G781" s="2876"/>
      <c r="H781" s="2877"/>
      <c r="I781" s="4417">
        <v>19876.48</v>
      </c>
      <c r="J781" s="4417"/>
      <c r="K781" s="2875"/>
      <c r="L781" s="2876"/>
      <c r="M781" s="2877"/>
      <c r="N781" s="4417">
        <v>2484.56</v>
      </c>
      <c r="O781" s="4417"/>
      <c r="P781" s="4417"/>
      <c r="Q781" s="2875"/>
      <c r="R781" s="2877"/>
      <c r="S781" s="4417">
        <v>22361.040000000001</v>
      </c>
      <c r="T781" s="4417"/>
    </row>
    <row r="782" spans="1:20" s="2867" customFormat="1" ht="48" hidden="1" customHeight="1" outlineLevel="4">
      <c r="A782" s="4416" t="s">
        <v>904</v>
      </c>
      <c r="B782" s="4416"/>
      <c r="C782" s="4416"/>
      <c r="D782" s="4416"/>
      <c r="E782" s="4416"/>
      <c r="F782" s="2875"/>
      <c r="G782" s="2876"/>
      <c r="H782" s="2877"/>
      <c r="I782" s="4417">
        <v>19876.560000000001</v>
      </c>
      <c r="J782" s="4417"/>
      <c r="K782" s="2875"/>
      <c r="L782" s="2876"/>
      <c r="M782" s="2877"/>
      <c r="N782" s="4417">
        <v>2484.5700000000002</v>
      </c>
      <c r="O782" s="4417"/>
      <c r="P782" s="4417"/>
      <c r="Q782" s="2875"/>
      <c r="R782" s="2877"/>
      <c r="S782" s="4417">
        <v>22361.13</v>
      </c>
      <c r="T782" s="4417"/>
    </row>
    <row r="783" spans="1:20" s="2867" customFormat="1" ht="48" hidden="1" customHeight="1" outlineLevel="4">
      <c r="A783" s="4416" t="s">
        <v>904</v>
      </c>
      <c r="B783" s="4416"/>
      <c r="C783" s="4416"/>
      <c r="D783" s="4416"/>
      <c r="E783" s="4416"/>
      <c r="F783" s="2875"/>
      <c r="G783" s="2876"/>
      <c r="H783" s="2877"/>
      <c r="I783" s="4417">
        <v>19876.48</v>
      </c>
      <c r="J783" s="4417"/>
      <c r="K783" s="2875"/>
      <c r="L783" s="2876"/>
      <c r="M783" s="2877"/>
      <c r="N783" s="4417">
        <v>2484.56</v>
      </c>
      <c r="O783" s="4417"/>
      <c r="P783" s="4417"/>
      <c r="Q783" s="2875"/>
      <c r="R783" s="2877"/>
      <c r="S783" s="4417">
        <v>22361.040000000001</v>
      </c>
      <c r="T783" s="4417"/>
    </row>
    <row r="784" spans="1:20" s="2867" customFormat="1" ht="48" hidden="1" customHeight="1" outlineLevel="4">
      <c r="A784" s="4416" t="s">
        <v>904</v>
      </c>
      <c r="B784" s="4416"/>
      <c r="C784" s="4416"/>
      <c r="D784" s="4416"/>
      <c r="E784" s="4416"/>
      <c r="F784" s="2875"/>
      <c r="G784" s="2876"/>
      <c r="H784" s="2877"/>
      <c r="I784" s="4417">
        <v>19876.560000000001</v>
      </c>
      <c r="J784" s="4417"/>
      <c r="K784" s="2875"/>
      <c r="L784" s="2876"/>
      <c r="M784" s="2877"/>
      <c r="N784" s="4417">
        <v>2484.5700000000002</v>
      </c>
      <c r="O784" s="4417"/>
      <c r="P784" s="4417"/>
      <c r="Q784" s="2875"/>
      <c r="R784" s="2877"/>
      <c r="S784" s="4417">
        <v>22361.13</v>
      </c>
      <c r="T784" s="4417"/>
    </row>
    <row r="785" spans="1:20" s="2867" customFormat="1" ht="36" hidden="1" customHeight="1" outlineLevel="4">
      <c r="A785" s="4416" t="s">
        <v>761</v>
      </c>
      <c r="B785" s="4416"/>
      <c r="C785" s="4416"/>
      <c r="D785" s="4416"/>
      <c r="E785" s="4416"/>
      <c r="F785" s="2875"/>
      <c r="G785" s="2876"/>
      <c r="H785" s="2877"/>
      <c r="I785" s="4417">
        <v>14054.08</v>
      </c>
      <c r="J785" s="4417"/>
      <c r="K785" s="2875"/>
      <c r="L785" s="2876"/>
      <c r="M785" s="2877"/>
      <c r="N785" s="4417">
        <v>1756.76</v>
      </c>
      <c r="O785" s="4417"/>
      <c r="P785" s="4417"/>
      <c r="Q785" s="2875"/>
      <c r="R785" s="2877"/>
      <c r="S785" s="4417">
        <v>15810.84</v>
      </c>
      <c r="T785" s="4417"/>
    </row>
    <row r="786" spans="1:20" s="2867" customFormat="1" ht="36" hidden="1" customHeight="1" outlineLevel="4">
      <c r="A786" s="4416" t="s">
        <v>761</v>
      </c>
      <c r="B786" s="4416"/>
      <c r="C786" s="4416"/>
      <c r="D786" s="4416"/>
      <c r="E786" s="4416"/>
      <c r="F786" s="2875"/>
      <c r="G786" s="2876"/>
      <c r="H786" s="2877"/>
      <c r="I786" s="4417">
        <v>14054.08</v>
      </c>
      <c r="J786" s="4417"/>
      <c r="K786" s="2875"/>
      <c r="L786" s="2876"/>
      <c r="M786" s="2877"/>
      <c r="N786" s="4417">
        <v>1756.76</v>
      </c>
      <c r="O786" s="4417"/>
      <c r="P786" s="4417"/>
      <c r="Q786" s="2875"/>
      <c r="R786" s="2877"/>
      <c r="S786" s="4417">
        <v>15810.84</v>
      </c>
      <c r="T786" s="4417"/>
    </row>
    <row r="787" spans="1:20" s="2867" customFormat="1" ht="36" hidden="1" customHeight="1" outlineLevel="4">
      <c r="A787" s="4416" t="s">
        <v>4584</v>
      </c>
      <c r="B787" s="4416"/>
      <c r="C787" s="4416"/>
      <c r="D787" s="4416"/>
      <c r="E787" s="4416"/>
      <c r="F787" s="2875"/>
      <c r="G787" s="2876"/>
      <c r="H787" s="2877"/>
      <c r="I787" s="4417">
        <v>5635.04</v>
      </c>
      <c r="J787" s="4417"/>
      <c r="K787" s="2875"/>
      <c r="L787" s="2876"/>
      <c r="M787" s="2877"/>
      <c r="N787" s="4418">
        <v>704.38</v>
      </c>
      <c r="O787" s="4418"/>
      <c r="P787" s="4418"/>
      <c r="Q787" s="2875"/>
      <c r="R787" s="2877"/>
      <c r="S787" s="4417">
        <v>6339.42</v>
      </c>
      <c r="T787" s="4417"/>
    </row>
    <row r="788" spans="1:20" s="2867" customFormat="1" ht="48" hidden="1" customHeight="1" outlineLevel="4">
      <c r="A788" s="4416" t="s">
        <v>906</v>
      </c>
      <c r="B788" s="4416"/>
      <c r="C788" s="4416"/>
      <c r="D788" s="4416"/>
      <c r="E788" s="4416"/>
      <c r="F788" s="2875"/>
      <c r="G788" s="2876"/>
      <c r="H788" s="2877"/>
      <c r="I788" s="4417">
        <v>18922.96</v>
      </c>
      <c r="J788" s="4417"/>
      <c r="K788" s="2875"/>
      <c r="L788" s="2876"/>
      <c r="M788" s="2877"/>
      <c r="N788" s="4417">
        <v>2365.37</v>
      </c>
      <c r="O788" s="4417"/>
      <c r="P788" s="4417"/>
      <c r="Q788" s="2875"/>
      <c r="R788" s="2877"/>
      <c r="S788" s="4417">
        <v>21288.33</v>
      </c>
      <c r="T788" s="4417"/>
    </row>
    <row r="789" spans="1:20" s="2867" customFormat="1" ht="36" hidden="1" customHeight="1" outlineLevel="4">
      <c r="A789" s="4416" t="s">
        <v>907</v>
      </c>
      <c r="B789" s="4416"/>
      <c r="C789" s="4416"/>
      <c r="D789" s="4416"/>
      <c r="E789" s="4416"/>
      <c r="F789" s="2875"/>
      <c r="G789" s="2876"/>
      <c r="H789" s="2877"/>
      <c r="I789" s="4417">
        <v>25619.439999999999</v>
      </c>
      <c r="J789" s="4417"/>
      <c r="K789" s="2875"/>
      <c r="L789" s="2876"/>
      <c r="M789" s="2877"/>
      <c r="N789" s="4417">
        <v>3202.43</v>
      </c>
      <c r="O789" s="4417"/>
      <c r="P789" s="4417"/>
      <c r="Q789" s="2875"/>
      <c r="R789" s="2877"/>
      <c r="S789" s="4417">
        <v>28821.87</v>
      </c>
      <c r="T789" s="4417"/>
    </row>
    <row r="790" spans="1:20" s="2867" customFormat="1" ht="36" hidden="1" customHeight="1" outlineLevel="4">
      <c r="A790" s="4416" t="s">
        <v>907</v>
      </c>
      <c r="B790" s="4416"/>
      <c r="C790" s="4416"/>
      <c r="D790" s="4416"/>
      <c r="E790" s="4416"/>
      <c r="F790" s="2875"/>
      <c r="G790" s="2876"/>
      <c r="H790" s="2877"/>
      <c r="I790" s="4417">
        <v>25619.52</v>
      </c>
      <c r="J790" s="4417"/>
      <c r="K790" s="2875"/>
      <c r="L790" s="2876"/>
      <c r="M790" s="2877"/>
      <c r="N790" s="4417">
        <v>3202.44</v>
      </c>
      <c r="O790" s="4417"/>
      <c r="P790" s="4417"/>
      <c r="Q790" s="2875"/>
      <c r="R790" s="2877"/>
      <c r="S790" s="4417">
        <v>28821.96</v>
      </c>
      <c r="T790" s="4417"/>
    </row>
    <row r="791" spans="1:20" s="2867" customFormat="1" ht="36" hidden="1" customHeight="1" outlineLevel="4">
      <c r="A791" s="4416" t="s">
        <v>908</v>
      </c>
      <c r="B791" s="4416"/>
      <c r="C791" s="4416"/>
      <c r="D791" s="4416"/>
      <c r="E791" s="4416"/>
      <c r="F791" s="2875"/>
      <c r="G791" s="2876"/>
      <c r="H791" s="2877"/>
      <c r="I791" s="4417">
        <v>25619.439999999999</v>
      </c>
      <c r="J791" s="4417"/>
      <c r="K791" s="2875"/>
      <c r="L791" s="2876"/>
      <c r="M791" s="2877"/>
      <c r="N791" s="4417">
        <v>3202.43</v>
      </c>
      <c r="O791" s="4417"/>
      <c r="P791" s="4417"/>
      <c r="Q791" s="2875"/>
      <c r="R791" s="2877"/>
      <c r="S791" s="4417">
        <v>28821.87</v>
      </c>
      <c r="T791" s="4417"/>
    </row>
    <row r="792" spans="1:20" s="2867" customFormat="1" ht="36" hidden="1" customHeight="1" outlineLevel="4">
      <c r="A792" s="4416" t="s">
        <v>908</v>
      </c>
      <c r="B792" s="4416"/>
      <c r="C792" s="4416"/>
      <c r="D792" s="4416"/>
      <c r="E792" s="4416"/>
      <c r="F792" s="2875"/>
      <c r="G792" s="2876"/>
      <c r="H792" s="2877"/>
      <c r="I792" s="4417">
        <v>25619.439999999999</v>
      </c>
      <c r="J792" s="4417"/>
      <c r="K792" s="2875"/>
      <c r="L792" s="2876"/>
      <c r="M792" s="2877"/>
      <c r="N792" s="4417">
        <v>3202.43</v>
      </c>
      <c r="O792" s="4417"/>
      <c r="P792" s="4417"/>
      <c r="Q792" s="2875"/>
      <c r="R792" s="2877"/>
      <c r="S792" s="4417">
        <v>28821.87</v>
      </c>
      <c r="T792" s="4417"/>
    </row>
    <row r="793" spans="1:20" s="2867" customFormat="1" ht="36" hidden="1" customHeight="1" outlineLevel="4">
      <c r="A793" s="4416" t="s">
        <v>908</v>
      </c>
      <c r="B793" s="4416"/>
      <c r="C793" s="4416"/>
      <c r="D793" s="4416"/>
      <c r="E793" s="4416"/>
      <c r="F793" s="2875"/>
      <c r="G793" s="2876"/>
      <c r="H793" s="2877"/>
      <c r="I793" s="4417">
        <v>25619.439999999999</v>
      </c>
      <c r="J793" s="4417"/>
      <c r="K793" s="2875"/>
      <c r="L793" s="2876"/>
      <c r="M793" s="2877"/>
      <c r="N793" s="4417">
        <v>3202.43</v>
      </c>
      <c r="O793" s="4417"/>
      <c r="P793" s="4417"/>
      <c r="Q793" s="2875"/>
      <c r="R793" s="2877"/>
      <c r="S793" s="4417">
        <v>28821.87</v>
      </c>
      <c r="T793" s="4417"/>
    </row>
    <row r="794" spans="1:20" s="2867" customFormat="1" ht="36" hidden="1" customHeight="1" outlineLevel="4">
      <c r="A794" s="4416" t="s">
        <v>909</v>
      </c>
      <c r="B794" s="4416"/>
      <c r="C794" s="4416"/>
      <c r="D794" s="4416"/>
      <c r="E794" s="4416"/>
      <c r="F794" s="2875"/>
      <c r="G794" s="2876"/>
      <c r="H794" s="2877"/>
      <c r="I794" s="4417">
        <v>25619.439999999999</v>
      </c>
      <c r="J794" s="4417"/>
      <c r="K794" s="2875"/>
      <c r="L794" s="2876"/>
      <c r="M794" s="2877"/>
      <c r="N794" s="4417">
        <v>3202.43</v>
      </c>
      <c r="O794" s="4417"/>
      <c r="P794" s="4417"/>
      <c r="Q794" s="2875"/>
      <c r="R794" s="2877"/>
      <c r="S794" s="4417">
        <v>28821.87</v>
      </c>
      <c r="T794" s="4417"/>
    </row>
    <row r="795" spans="1:20" s="2867" customFormat="1" ht="36" hidden="1" customHeight="1" outlineLevel="4">
      <c r="A795" s="4416" t="s">
        <v>910</v>
      </c>
      <c r="B795" s="4416"/>
      <c r="C795" s="4416"/>
      <c r="D795" s="4416"/>
      <c r="E795" s="4416"/>
      <c r="F795" s="2875"/>
      <c r="G795" s="2876"/>
      <c r="H795" s="2877"/>
      <c r="I795" s="4417">
        <v>28529.52</v>
      </c>
      <c r="J795" s="4417"/>
      <c r="K795" s="2875"/>
      <c r="L795" s="2876"/>
      <c r="M795" s="2877"/>
      <c r="N795" s="4417">
        <v>3566.19</v>
      </c>
      <c r="O795" s="4417"/>
      <c r="P795" s="4417"/>
      <c r="Q795" s="2875"/>
      <c r="R795" s="2877"/>
      <c r="S795" s="4417">
        <v>32095.71</v>
      </c>
      <c r="T795" s="4417"/>
    </row>
    <row r="796" spans="1:20" s="2867" customFormat="1" ht="36" hidden="1" customHeight="1" outlineLevel="4">
      <c r="A796" s="4416" t="s">
        <v>910</v>
      </c>
      <c r="B796" s="4416"/>
      <c r="C796" s="4416"/>
      <c r="D796" s="4416"/>
      <c r="E796" s="4416"/>
      <c r="F796" s="2875"/>
      <c r="G796" s="2876"/>
      <c r="H796" s="2877"/>
      <c r="I796" s="4417">
        <v>28529.52</v>
      </c>
      <c r="J796" s="4417"/>
      <c r="K796" s="2875"/>
      <c r="L796" s="2876"/>
      <c r="M796" s="2877"/>
      <c r="N796" s="4417">
        <v>3566.19</v>
      </c>
      <c r="O796" s="4417"/>
      <c r="P796" s="4417"/>
      <c r="Q796" s="2875"/>
      <c r="R796" s="2877"/>
      <c r="S796" s="4417">
        <v>32095.71</v>
      </c>
      <c r="T796" s="4417"/>
    </row>
    <row r="797" spans="1:20" s="2867" customFormat="1" ht="48" hidden="1" customHeight="1" outlineLevel="4">
      <c r="A797" s="4416" t="s">
        <v>911</v>
      </c>
      <c r="B797" s="4416"/>
      <c r="C797" s="4416"/>
      <c r="D797" s="4416"/>
      <c r="E797" s="4416"/>
      <c r="F797" s="2875"/>
      <c r="G797" s="2876"/>
      <c r="H797" s="2877"/>
      <c r="I797" s="4417">
        <v>84404.56</v>
      </c>
      <c r="J797" s="4417"/>
      <c r="K797" s="2875"/>
      <c r="L797" s="2876"/>
      <c r="M797" s="2877"/>
      <c r="N797" s="4417">
        <v>10550.57</v>
      </c>
      <c r="O797" s="4417"/>
      <c r="P797" s="4417"/>
      <c r="Q797" s="2875"/>
      <c r="R797" s="2877"/>
      <c r="S797" s="4417">
        <v>94955.13</v>
      </c>
      <c r="T797" s="4417"/>
    </row>
    <row r="798" spans="1:20" s="2867" customFormat="1" ht="48" hidden="1" customHeight="1" outlineLevel="4">
      <c r="A798" s="4416" t="s">
        <v>911</v>
      </c>
      <c r="B798" s="4416"/>
      <c r="C798" s="4416"/>
      <c r="D798" s="4416"/>
      <c r="E798" s="4416"/>
      <c r="F798" s="2875"/>
      <c r="G798" s="2876"/>
      <c r="H798" s="2877"/>
      <c r="I798" s="4417">
        <v>84404.64</v>
      </c>
      <c r="J798" s="4417"/>
      <c r="K798" s="2875"/>
      <c r="L798" s="2876"/>
      <c r="M798" s="2877"/>
      <c r="N798" s="4417">
        <v>10550.58</v>
      </c>
      <c r="O798" s="4417"/>
      <c r="P798" s="4417"/>
      <c r="Q798" s="2875"/>
      <c r="R798" s="2877"/>
      <c r="S798" s="4417">
        <v>94955.22</v>
      </c>
      <c r="T798" s="4417"/>
    </row>
    <row r="799" spans="1:20" s="2867" customFormat="1" ht="48" hidden="1" customHeight="1" outlineLevel="4">
      <c r="A799" s="4416" t="s">
        <v>911</v>
      </c>
      <c r="B799" s="4416"/>
      <c r="C799" s="4416"/>
      <c r="D799" s="4416"/>
      <c r="E799" s="4416"/>
      <c r="F799" s="2875"/>
      <c r="G799" s="2876"/>
      <c r="H799" s="2877"/>
      <c r="I799" s="4417">
        <v>84404.64</v>
      </c>
      <c r="J799" s="4417"/>
      <c r="K799" s="2875"/>
      <c r="L799" s="2876"/>
      <c r="M799" s="2877"/>
      <c r="N799" s="4417">
        <v>10550.58</v>
      </c>
      <c r="O799" s="4417"/>
      <c r="P799" s="4417"/>
      <c r="Q799" s="2875"/>
      <c r="R799" s="2877"/>
      <c r="S799" s="4417">
        <v>94955.22</v>
      </c>
      <c r="T799" s="4417"/>
    </row>
    <row r="800" spans="1:20" s="2867" customFormat="1" ht="48" hidden="1" customHeight="1" outlineLevel="4">
      <c r="A800" s="4416" t="s">
        <v>911</v>
      </c>
      <c r="B800" s="4416"/>
      <c r="C800" s="4416"/>
      <c r="D800" s="4416"/>
      <c r="E800" s="4416"/>
      <c r="F800" s="2875"/>
      <c r="G800" s="2876"/>
      <c r="H800" s="2877"/>
      <c r="I800" s="4417">
        <v>84404.64</v>
      </c>
      <c r="J800" s="4417"/>
      <c r="K800" s="2875"/>
      <c r="L800" s="2876"/>
      <c r="M800" s="2877"/>
      <c r="N800" s="4417">
        <v>10550.58</v>
      </c>
      <c r="O800" s="4417"/>
      <c r="P800" s="4417"/>
      <c r="Q800" s="2875"/>
      <c r="R800" s="2877"/>
      <c r="S800" s="4417">
        <v>94955.22</v>
      </c>
      <c r="T800" s="4417"/>
    </row>
    <row r="801" spans="1:20" s="2867" customFormat="1" ht="48" hidden="1" customHeight="1" outlineLevel="4">
      <c r="A801" s="4416" t="s">
        <v>911</v>
      </c>
      <c r="B801" s="4416"/>
      <c r="C801" s="4416"/>
      <c r="D801" s="4416"/>
      <c r="E801" s="4416"/>
      <c r="F801" s="2875"/>
      <c r="G801" s="2876"/>
      <c r="H801" s="2877"/>
      <c r="I801" s="4417">
        <v>84404.64</v>
      </c>
      <c r="J801" s="4417"/>
      <c r="K801" s="2875"/>
      <c r="L801" s="2876"/>
      <c r="M801" s="2877"/>
      <c r="N801" s="4417">
        <v>10550.58</v>
      </c>
      <c r="O801" s="4417"/>
      <c r="P801" s="4417"/>
      <c r="Q801" s="2875"/>
      <c r="R801" s="2877"/>
      <c r="S801" s="4417">
        <v>94955.22</v>
      </c>
      <c r="T801" s="4417"/>
    </row>
    <row r="802" spans="1:20" s="2867" customFormat="1" ht="59.1" hidden="1" customHeight="1" outlineLevel="4">
      <c r="A802" s="4416" t="s">
        <v>912</v>
      </c>
      <c r="B802" s="4416"/>
      <c r="C802" s="4416"/>
      <c r="D802" s="4416"/>
      <c r="E802" s="4416"/>
      <c r="F802" s="2875"/>
      <c r="G802" s="2876"/>
      <c r="H802" s="2877"/>
      <c r="I802" s="4417">
        <v>113172.48</v>
      </c>
      <c r="J802" s="4417"/>
      <c r="K802" s="2875"/>
      <c r="L802" s="2876"/>
      <c r="M802" s="2877"/>
      <c r="N802" s="4417">
        <v>14146.56</v>
      </c>
      <c r="O802" s="4417"/>
      <c r="P802" s="4417"/>
      <c r="Q802" s="2875"/>
      <c r="R802" s="2877"/>
      <c r="S802" s="4417">
        <v>127319.03999999999</v>
      </c>
      <c r="T802" s="4417"/>
    </row>
    <row r="803" spans="1:20" s="2867" customFormat="1" ht="48" hidden="1" customHeight="1" outlineLevel="4">
      <c r="A803" s="4416" t="s">
        <v>913</v>
      </c>
      <c r="B803" s="4416"/>
      <c r="C803" s="4416"/>
      <c r="D803" s="4416"/>
      <c r="E803" s="4416"/>
      <c r="F803" s="2875"/>
      <c r="G803" s="2876"/>
      <c r="H803" s="2877"/>
      <c r="I803" s="4417">
        <v>4892.5600000000004</v>
      </c>
      <c r="J803" s="4417"/>
      <c r="K803" s="2875"/>
      <c r="L803" s="2876"/>
      <c r="M803" s="2877"/>
      <c r="N803" s="4418">
        <v>611.57000000000005</v>
      </c>
      <c r="O803" s="4418"/>
      <c r="P803" s="4418"/>
      <c r="Q803" s="2875"/>
      <c r="R803" s="2877"/>
      <c r="S803" s="4417">
        <v>5504.13</v>
      </c>
      <c r="T803" s="4417"/>
    </row>
    <row r="804" spans="1:20" s="2867" customFormat="1" ht="48" hidden="1" customHeight="1" outlineLevel="4">
      <c r="A804" s="4416" t="s">
        <v>913</v>
      </c>
      <c r="B804" s="4416"/>
      <c r="C804" s="4416"/>
      <c r="D804" s="4416"/>
      <c r="E804" s="4416"/>
      <c r="F804" s="2875"/>
      <c r="G804" s="2876"/>
      <c r="H804" s="2877"/>
      <c r="I804" s="4417">
        <v>4892.5600000000004</v>
      </c>
      <c r="J804" s="4417"/>
      <c r="K804" s="2875"/>
      <c r="L804" s="2876"/>
      <c r="M804" s="2877"/>
      <c r="N804" s="4418">
        <v>611.57000000000005</v>
      </c>
      <c r="O804" s="4418"/>
      <c r="P804" s="4418"/>
      <c r="Q804" s="2875"/>
      <c r="R804" s="2877"/>
      <c r="S804" s="4417">
        <v>5504.13</v>
      </c>
      <c r="T804" s="4417"/>
    </row>
    <row r="805" spans="1:20" s="2867" customFormat="1" ht="59.1" hidden="1" customHeight="1" outlineLevel="4">
      <c r="A805" s="4416" t="s">
        <v>914</v>
      </c>
      <c r="B805" s="4416"/>
      <c r="C805" s="4416"/>
      <c r="D805" s="4416"/>
      <c r="E805" s="4416"/>
      <c r="F805" s="2875"/>
      <c r="G805" s="2876"/>
      <c r="H805" s="2877"/>
      <c r="I805" s="4417">
        <v>199522.48</v>
      </c>
      <c r="J805" s="4417"/>
      <c r="K805" s="2875"/>
      <c r="L805" s="2876"/>
      <c r="M805" s="2877"/>
      <c r="N805" s="4417">
        <v>24940.31</v>
      </c>
      <c r="O805" s="4417"/>
      <c r="P805" s="4417"/>
      <c r="Q805" s="2875"/>
      <c r="R805" s="2877"/>
      <c r="S805" s="4417">
        <v>224462.79</v>
      </c>
      <c r="T805" s="4417"/>
    </row>
    <row r="806" spans="1:20" s="2867" customFormat="1" ht="48" hidden="1" customHeight="1" outlineLevel="4">
      <c r="A806" s="4416" t="s">
        <v>915</v>
      </c>
      <c r="B806" s="4416"/>
      <c r="C806" s="4416"/>
      <c r="D806" s="4416"/>
      <c r="E806" s="4416"/>
      <c r="F806" s="2875"/>
      <c r="G806" s="2876"/>
      <c r="H806" s="2877"/>
      <c r="I806" s="4417">
        <v>4177.84</v>
      </c>
      <c r="J806" s="4417"/>
      <c r="K806" s="2875"/>
      <c r="L806" s="2876"/>
      <c r="M806" s="2877"/>
      <c r="N806" s="4418">
        <v>522.23</v>
      </c>
      <c r="O806" s="4418"/>
      <c r="P806" s="4418"/>
      <c r="Q806" s="2875"/>
      <c r="R806" s="2877"/>
      <c r="S806" s="4417">
        <v>4700.07</v>
      </c>
      <c r="T806" s="4417"/>
    </row>
    <row r="807" spans="1:20" s="2867" customFormat="1" ht="48" hidden="1" customHeight="1" outlineLevel="4">
      <c r="A807" s="4416" t="s">
        <v>915</v>
      </c>
      <c r="B807" s="4416"/>
      <c r="C807" s="4416"/>
      <c r="D807" s="4416"/>
      <c r="E807" s="4416"/>
      <c r="F807" s="2875"/>
      <c r="G807" s="2876"/>
      <c r="H807" s="2877"/>
      <c r="I807" s="4417">
        <v>4177.92</v>
      </c>
      <c r="J807" s="4417"/>
      <c r="K807" s="2875"/>
      <c r="L807" s="2876"/>
      <c r="M807" s="2877"/>
      <c r="N807" s="4418">
        <v>522.24</v>
      </c>
      <c r="O807" s="4418"/>
      <c r="P807" s="4418"/>
      <c r="Q807" s="2875"/>
      <c r="R807" s="2877"/>
      <c r="S807" s="4417">
        <v>4700.16</v>
      </c>
      <c r="T807" s="4417"/>
    </row>
    <row r="808" spans="1:20" s="2867" customFormat="1" ht="59.1" hidden="1" customHeight="1" outlineLevel="4">
      <c r="A808" s="4416" t="s">
        <v>772</v>
      </c>
      <c r="B808" s="4416"/>
      <c r="C808" s="4416"/>
      <c r="D808" s="4416"/>
      <c r="E808" s="4416"/>
      <c r="F808" s="2875"/>
      <c r="G808" s="2876"/>
      <c r="H808" s="2877"/>
      <c r="I808" s="4417">
        <v>43231.68</v>
      </c>
      <c r="J808" s="4417"/>
      <c r="K808" s="2875"/>
      <c r="L808" s="2876"/>
      <c r="M808" s="2877"/>
      <c r="N808" s="4417">
        <v>5403.96</v>
      </c>
      <c r="O808" s="4417"/>
      <c r="P808" s="4417"/>
      <c r="Q808" s="2875"/>
      <c r="R808" s="2877"/>
      <c r="S808" s="4417">
        <v>48635.64</v>
      </c>
      <c r="T808" s="4417"/>
    </row>
    <row r="809" spans="1:20" s="2867" customFormat="1" ht="59.1" hidden="1" customHeight="1" outlineLevel="4">
      <c r="A809" s="4416" t="s">
        <v>772</v>
      </c>
      <c r="B809" s="4416"/>
      <c r="C809" s="4416"/>
      <c r="D809" s="4416"/>
      <c r="E809" s="4416"/>
      <c r="F809" s="2875"/>
      <c r="G809" s="2876"/>
      <c r="H809" s="2877"/>
      <c r="I809" s="4417">
        <v>43231.839999999997</v>
      </c>
      <c r="J809" s="4417"/>
      <c r="K809" s="2875"/>
      <c r="L809" s="2876"/>
      <c r="M809" s="2877"/>
      <c r="N809" s="4417">
        <v>5403.98</v>
      </c>
      <c r="O809" s="4417"/>
      <c r="P809" s="4417"/>
      <c r="Q809" s="2875"/>
      <c r="R809" s="2877"/>
      <c r="S809" s="4417">
        <v>48635.82</v>
      </c>
      <c r="T809" s="4417"/>
    </row>
    <row r="810" spans="1:20" s="2867" customFormat="1" ht="48" hidden="1" customHeight="1" outlineLevel="4">
      <c r="A810" s="4416" t="s">
        <v>773</v>
      </c>
      <c r="B810" s="4416"/>
      <c r="C810" s="4416"/>
      <c r="D810" s="4416"/>
      <c r="E810" s="4416"/>
      <c r="F810" s="2875"/>
      <c r="G810" s="2876"/>
      <c r="H810" s="2877"/>
      <c r="I810" s="4417">
        <v>50259.44</v>
      </c>
      <c r="J810" s="4417"/>
      <c r="K810" s="2875"/>
      <c r="L810" s="2876"/>
      <c r="M810" s="2877"/>
      <c r="N810" s="4417">
        <v>6282.43</v>
      </c>
      <c r="O810" s="4417"/>
      <c r="P810" s="4417"/>
      <c r="Q810" s="2875"/>
      <c r="R810" s="2877"/>
      <c r="S810" s="4417">
        <v>56541.87</v>
      </c>
      <c r="T810" s="4417"/>
    </row>
    <row r="811" spans="1:20" s="2867" customFormat="1" ht="59.1" hidden="1" customHeight="1" outlineLevel="4">
      <c r="A811" s="4416" t="s">
        <v>916</v>
      </c>
      <c r="B811" s="4416"/>
      <c r="C811" s="4416"/>
      <c r="D811" s="4416"/>
      <c r="E811" s="4416"/>
      <c r="F811" s="2875"/>
      <c r="G811" s="2876"/>
      <c r="H811" s="2877"/>
      <c r="I811" s="4417">
        <v>120816.88</v>
      </c>
      <c r="J811" s="4417"/>
      <c r="K811" s="2875"/>
      <c r="L811" s="2876"/>
      <c r="M811" s="2877"/>
      <c r="N811" s="4417">
        <v>15102.11</v>
      </c>
      <c r="O811" s="4417"/>
      <c r="P811" s="4417"/>
      <c r="Q811" s="2875"/>
      <c r="R811" s="2877"/>
      <c r="S811" s="4417">
        <v>135918.99</v>
      </c>
      <c r="T811" s="4417"/>
    </row>
    <row r="812" spans="1:20" s="2867" customFormat="1" ht="59.1" hidden="1" customHeight="1" outlineLevel="4">
      <c r="A812" s="4416" t="s">
        <v>916</v>
      </c>
      <c r="B812" s="4416"/>
      <c r="C812" s="4416"/>
      <c r="D812" s="4416"/>
      <c r="E812" s="4416"/>
      <c r="F812" s="2875"/>
      <c r="G812" s="2876"/>
      <c r="H812" s="2877"/>
      <c r="I812" s="4417">
        <v>120816.96000000001</v>
      </c>
      <c r="J812" s="4417"/>
      <c r="K812" s="2875"/>
      <c r="L812" s="2876"/>
      <c r="M812" s="2877"/>
      <c r="N812" s="4417">
        <v>15102.12</v>
      </c>
      <c r="O812" s="4417"/>
      <c r="P812" s="4417"/>
      <c r="Q812" s="2875"/>
      <c r="R812" s="2877"/>
      <c r="S812" s="4417">
        <v>135919.07999999999</v>
      </c>
      <c r="T812" s="4417"/>
    </row>
    <row r="813" spans="1:20" s="2867" customFormat="1" ht="59.1" hidden="1" customHeight="1" outlineLevel="4">
      <c r="A813" s="4416" t="s">
        <v>916</v>
      </c>
      <c r="B813" s="4416"/>
      <c r="C813" s="4416"/>
      <c r="D813" s="4416"/>
      <c r="E813" s="4416"/>
      <c r="F813" s="2875"/>
      <c r="G813" s="2876"/>
      <c r="H813" s="2877"/>
      <c r="I813" s="4417">
        <v>120816.96000000001</v>
      </c>
      <c r="J813" s="4417"/>
      <c r="K813" s="2875"/>
      <c r="L813" s="2876"/>
      <c r="M813" s="2877"/>
      <c r="N813" s="4417">
        <v>15102.12</v>
      </c>
      <c r="O813" s="4417"/>
      <c r="P813" s="4417"/>
      <c r="Q813" s="2875"/>
      <c r="R813" s="2877"/>
      <c r="S813" s="4417">
        <v>135919.07999999999</v>
      </c>
      <c r="T813" s="4417"/>
    </row>
    <row r="814" spans="1:20" s="2867" customFormat="1" ht="59.1" hidden="1" customHeight="1" outlineLevel="4">
      <c r="A814" s="4416" t="s">
        <v>775</v>
      </c>
      <c r="B814" s="4416"/>
      <c r="C814" s="4416"/>
      <c r="D814" s="4416"/>
      <c r="E814" s="4416"/>
      <c r="F814" s="2875"/>
      <c r="G814" s="2876"/>
      <c r="H814" s="2877"/>
      <c r="I814" s="4417">
        <v>5053.2</v>
      </c>
      <c r="J814" s="4417"/>
      <c r="K814" s="2875"/>
      <c r="L814" s="2876"/>
      <c r="M814" s="2877"/>
      <c r="N814" s="4418">
        <v>631.65</v>
      </c>
      <c r="O814" s="4418"/>
      <c r="P814" s="4418"/>
      <c r="Q814" s="2875"/>
      <c r="R814" s="2877"/>
      <c r="S814" s="4417">
        <v>5684.85</v>
      </c>
      <c r="T814" s="4417"/>
    </row>
    <row r="815" spans="1:20" s="2867" customFormat="1" ht="59.1" hidden="1" customHeight="1" outlineLevel="4">
      <c r="A815" s="4416" t="s">
        <v>917</v>
      </c>
      <c r="B815" s="4416"/>
      <c r="C815" s="4416"/>
      <c r="D815" s="4416"/>
      <c r="E815" s="4416"/>
      <c r="F815" s="2875"/>
      <c r="G815" s="2876"/>
      <c r="H815" s="2877"/>
      <c r="I815" s="4417">
        <v>5053.2</v>
      </c>
      <c r="J815" s="4417"/>
      <c r="K815" s="2875"/>
      <c r="L815" s="2876"/>
      <c r="M815" s="2877"/>
      <c r="N815" s="4418">
        <v>631.65</v>
      </c>
      <c r="O815" s="4418"/>
      <c r="P815" s="4418"/>
      <c r="Q815" s="2875"/>
      <c r="R815" s="2877"/>
      <c r="S815" s="4417">
        <v>5684.85</v>
      </c>
      <c r="T815" s="4417"/>
    </row>
    <row r="816" spans="1:20" s="2867" customFormat="1" ht="59.1" hidden="1" customHeight="1" outlineLevel="4">
      <c r="A816" s="4416" t="s">
        <v>917</v>
      </c>
      <c r="B816" s="4416"/>
      <c r="C816" s="4416"/>
      <c r="D816" s="4416"/>
      <c r="E816" s="4416"/>
      <c r="F816" s="2875"/>
      <c r="G816" s="2876"/>
      <c r="H816" s="2877"/>
      <c r="I816" s="4417">
        <v>5053.2</v>
      </c>
      <c r="J816" s="4417"/>
      <c r="K816" s="2875"/>
      <c r="L816" s="2876"/>
      <c r="M816" s="2877"/>
      <c r="N816" s="4418">
        <v>631.65</v>
      </c>
      <c r="O816" s="4418"/>
      <c r="P816" s="4418"/>
      <c r="Q816" s="2875"/>
      <c r="R816" s="2877"/>
      <c r="S816" s="4417">
        <v>5684.85</v>
      </c>
      <c r="T816" s="4417"/>
    </row>
    <row r="817" spans="1:20" s="2867" customFormat="1" ht="59.1" hidden="1" customHeight="1" outlineLevel="4">
      <c r="A817" s="4416" t="s">
        <v>917</v>
      </c>
      <c r="B817" s="4416"/>
      <c r="C817" s="4416"/>
      <c r="D817" s="4416"/>
      <c r="E817" s="4416"/>
      <c r="F817" s="2875"/>
      <c r="G817" s="2876"/>
      <c r="H817" s="2877"/>
      <c r="I817" s="4417">
        <v>5053.2</v>
      </c>
      <c r="J817" s="4417"/>
      <c r="K817" s="2875"/>
      <c r="L817" s="2876"/>
      <c r="M817" s="2877"/>
      <c r="N817" s="4418">
        <v>631.65</v>
      </c>
      <c r="O817" s="4418"/>
      <c r="P817" s="4418"/>
      <c r="Q817" s="2875"/>
      <c r="R817" s="2877"/>
      <c r="S817" s="4417">
        <v>5684.85</v>
      </c>
      <c r="T817" s="4417"/>
    </row>
    <row r="818" spans="1:20" s="2867" customFormat="1" ht="59.1" hidden="1" customHeight="1" outlineLevel="4">
      <c r="A818" s="4416" t="s">
        <v>917</v>
      </c>
      <c r="B818" s="4416"/>
      <c r="C818" s="4416"/>
      <c r="D818" s="4416"/>
      <c r="E818" s="4416"/>
      <c r="F818" s="2875"/>
      <c r="G818" s="2876"/>
      <c r="H818" s="2877"/>
      <c r="I818" s="4417">
        <v>5053.2</v>
      </c>
      <c r="J818" s="4417"/>
      <c r="K818" s="2875"/>
      <c r="L818" s="2876"/>
      <c r="M818" s="2877"/>
      <c r="N818" s="4418">
        <v>631.65</v>
      </c>
      <c r="O818" s="4418"/>
      <c r="P818" s="4418"/>
      <c r="Q818" s="2875"/>
      <c r="R818" s="2877"/>
      <c r="S818" s="4417">
        <v>5684.85</v>
      </c>
      <c r="T818" s="4417"/>
    </row>
    <row r="819" spans="1:20" s="2867" customFormat="1" ht="59.1" hidden="1" customHeight="1" outlineLevel="4">
      <c r="A819" s="4416" t="s">
        <v>917</v>
      </c>
      <c r="B819" s="4416"/>
      <c r="C819" s="4416"/>
      <c r="D819" s="4416"/>
      <c r="E819" s="4416"/>
      <c r="F819" s="2875"/>
      <c r="G819" s="2876"/>
      <c r="H819" s="2877"/>
      <c r="I819" s="4417">
        <v>5053.2</v>
      </c>
      <c r="J819" s="4417"/>
      <c r="K819" s="2875"/>
      <c r="L819" s="2876"/>
      <c r="M819" s="2877"/>
      <c r="N819" s="4418">
        <v>631.65</v>
      </c>
      <c r="O819" s="4418"/>
      <c r="P819" s="4418"/>
      <c r="Q819" s="2875"/>
      <c r="R819" s="2877"/>
      <c r="S819" s="4417">
        <v>5684.85</v>
      </c>
      <c r="T819" s="4417"/>
    </row>
    <row r="820" spans="1:20" s="2867" customFormat="1" ht="59.1" hidden="1" customHeight="1" outlineLevel="4">
      <c r="A820" s="4416" t="s">
        <v>917</v>
      </c>
      <c r="B820" s="4416"/>
      <c r="C820" s="4416"/>
      <c r="D820" s="4416"/>
      <c r="E820" s="4416"/>
      <c r="F820" s="2875"/>
      <c r="G820" s="2876"/>
      <c r="H820" s="2877"/>
      <c r="I820" s="4417">
        <v>5053.2</v>
      </c>
      <c r="J820" s="4417"/>
      <c r="K820" s="2875"/>
      <c r="L820" s="2876"/>
      <c r="M820" s="2877"/>
      <c r="N820" s="4418">
        <v>631.65</v>
      </c>
      <c r="O820" s="4418"/>
      <c r="P820" s="4418"/>
      <c r="Q820" s="2875"/>
      <c r="R820" s="2877"/>
      <c r="S820" s="4417">
        <v>5684.85</v>
      </c>
      <c r="T820" s="4417"/>
    </row>
    <row r="821" spans="1:20" s="2867" customFormat="1" ht="59.1" hidden="1" customHeight="1" outlineLevel="4">
      <c r="A821" s="4416" t="s">
        <v>917</v>
      </c>
      <c r="B821" s="4416"/>
      <c r="C821" s="4416"/>
      <c r="D821" s="4416"/>
      <c r="E821" s="4416"/>
      <c r="F821" s="2875"/>
      <c r="G821" s="2876"/>
      <c r="H821" s="2877"/>
      <c r="I821" s="4417">
        <v>5053.2</v>
      </c>
      <c r="J821" s="4417"/>
      <c r="K821" s="2875"/>
      <c r="L821" s="2876"/>
      <c r="M821" s="2877"/>
      <c r="N821" s="4418">
        <v>631.65</v>
      </c>
      <c r="O821" s="4418"/>
      <c r="P821" s="4418"/>
      <c r="Q821" s="2875"/>
      <c r="R821" s="2877"/>
      <c r="S821" s="4417">
        <v>5684.85</v>
      </c>
      <c r="T821" s="4417"/>
    </row>
    <row r="822" spans="1:20" s="2867" customFormat="1" ht="59.1" hidden="1" customHeight="1" outlineLevel="4">
      <c r="A822" s="4416" t="s">
        <v>917</v>
      </c>
      <c r="B822" s="4416"/>
      <c r="C822" s="4416"/>
      <c r="D822" s="4416"/>
      <c r="E822" s="4416"/>
      <c r="F822" s="2875"/>
      <c r="G822" s="2876"/>
      <c r="H822" s="2877"/>
      <c r="I822" s="4417">
        <v>5053.2</v>
      </c>
      <c r="J822" s="4417"/>
      <c r="K822" s="2875"/>
      <c r="L822" s="2876"/>
      <c r="M822" s="2877"/>
      <c r="N822" s="4418">
        <v>631.65</v>
      </c>
      <c r="O822" s="4418"/>
      <c r="P822" s="4418"/>
      <c r="Q822" s="2875"/>
      <c r="R822" s="2877"/>
      <c r="S822" s="4417">
        <v>5684.85</v>
      </c>
      <c r="T822" s="4417"/>
    </row>
    <row r="823" spans="1:20" s="2867" customFormat="1" ht="59.1" hidden="1" customHeight="1" outlineLevel="4">
      <c r="A823" s="4416" t="s">
        <v>917</v>
      </c>
      <c r="B823" s="4416"/>
      <c r="C823" s="4416"/>
      <c r="D823" s="4416"/>
      <c r="E823" s="4416"/>
      <c r="F823" s="2875"/>
      <c r="G823" s="2876"/>
      <c r="H823" s="2877"/>
      <c r="I823" s="4417">
        <v>5053.2</v>
      </c>
      <c r="J823" s="4417"/>
      <c r="K823" s="2875"/>
      <c r="L823" s="2876"/>
      <c r="M823" s="2877"/>
      <c r="N823" s="4418">
        <v>631.65</v>
      </c>
      <c r="O823" s="4418"/>
      <c r="P823" s="4418"/>
      <c r="Q823" s="2875"/>
      <c r="R823" s="2877"/>
      <c r="S823" s="4417">
        <v>5684.85</v>
      </c>
      <c r="T823" s="4417"/>
    </row>
    <row r="824" spans="1:20" s="2867" customFormat="1" ht="71.099999999999994" hidden="1" customHeight="1" outlineLevel="4">
      <c r="A824" s="4416" t="s">
        <v>918</v>
      </c>
      <c r="B824" s="4416"/>
      <c r="C824" s="4416"/>
      <c r="D824" s="4416"/>
      <c r="E824" s="4416"/>
      <c r="F824" s="2875"/>
      <c r="G824" s="2876"/>
      <c r="H824" s="2877"/>
      <c r="I824" s="4417">
        <v>8615.68</v>
      </c>
      <c r="J824" s="4417"/>
      <c r="K824" s="2875"/>
      <c r="L824" s="2876"/>
      <c r="M824" s="2877"/>
      <c r="N824" s="4417">
        <v>1076.96</v>
      </c>
      <c r="O824" s="4417"/>
      <c r="P824" s="4417"/>
      <c r="Q824" s="2875"/>
      <c r="R824" s="2877"/>
      <c r="S824" s="4417">
        <v>9692.64</v>
      </c>
      <c r="T824" s="4417"/>
    </row>
    <row r="826" spans="1:20" ht="11.45" customHeight="1">
      <c r="O826" s="2878">
        <f>N194*12</f>
        <v>6943905</v>
      </c>
      <c r="T826" s="2878"/>
    </row>
    <row r="827" spans="1:20" ht="11.45" customHeight="1">
      <c r="O827" s="2878"/>
    </row>
    <row r="829" spans="1:20" ht="11.45" customHeight="1">
      <c r="O829" s="2878"/>
    </row>
  </sheetData>
  <mergeCells count="2540">
    <mergeCell ref="A824:E824"/>
    <mergeCell ref="I824:J824"/>
    <mergeCell ref="N824:P824"/>
    <mergeCell ref="S824:T824"/>
    <mergeCell ref="A822:E822"/>
    <mergeCell ref="I822:J822"/>
    <mergeCell ref="N822:P822"/>
    <mergeCell ref="S822:T822"/>
    <mergeCell ref="A823:E823"/>
    <mergeCell ref="I823:J823"/>
    <mergeCell ref="N823:P823"/>
    <mergeCell ref="S823:T823"/>
    <mergeCell ref="A820:E820"/>
    <mergeCell ref="I820:J820"/>
    <mergeCell ref="N820:P820"/>
    <mergeCell ref="S820:T820"/>
    <mergeCell ref="A821:E821"/>
    <mergeCell ref="I821:J821"/>
    <mergeCell ref="N821:P821"/>
    <mergeCell ref="S821:T821"/>
    <mergeCell ref="A818:E818"/>
    <mergeCell ref="I818:J818"/>
    <mergeCell ref="N818:P818"/>
    <mergeCell ref="S818:T818"/>
    <mergeCell ref="A819:E819"/>
    <mergeCell ref="I819:J819"/>
    <mergeCell ref="N819:P819"/>
    <mergeCell ref="S819:T819"/>
    <mergeCell ref="A816:E816"/>
    <mergeCell ref="I816:J816"/>
    <mergeCell ref="N816:P816"/>
    <mergeCell ref="S816:T816"/>
    <mergeCell ref="A817:E817"/>
    <mergeCell ref="I817:J817"/>
    <mergeCell ref="N817:P817"/>
    <mergeCell ref="S817:T817"/>
    <mergeCell ref="A814:E814"/>
    <mergeCell ref="I814:J814"/>
    <mergeCell ref="N814:P814"/>
    <mergeCell ref="S814:T814"/>
    <mergeCell ref="A815:E815"/>
    <mergeCell ref="I815:J815"/>
    <mergeCell ref="N815:P815"/>
    <mergeCell ref="S815:T815"/>
    <mergeCell ref="A812:E812"/>
    <mergeCell ref="I812:J812"/>
    <mergeCell ref="N812:P812"/>
    <mergeCell ref="S812:T812"/>
    <mergeCell ref="A813:E813"/>
    <mergeCell ref="I813:J813"/>
    <mergeCell ref="N813:P813"/>
    <mergeCell ref="S813:T813"/>
    <mergeCell ref="A810:E810"/>
    <mergeCell ref="I810:J810"/>
    <mergeCell ref="N810:P810"/>
    <mergeCell ref="S810:T810"/>
    <mergeCell ref="A811:E811"/>
    <mergeCell ref="I811:J811"/>
    <mergeCell ref="N811:P811"/>
    <mergeCell ref="S811:T811"/>
    <mergeCell ref="A808:E808"/>
    <mergeCell ref="I808:J808"/>
    <mergeCell ref="N808:P808"/>
    <mergeCell ref="S808:T808"/>
    <mergeCell ref="A809:E809"/>
    <mergeCell ref="I809:J809"/>
    <mergeCell ref="N809:P809"/>
    <mergeCell ref="S809:T809"/>
    <mergeCell ref="A806:E806"/>
    <mergeCell ref="I806:J806"/>
    <mergeCell ref="N806:P806"/>
    <mergeCell ref="S806:T806"/>
    <mergeCell ref="A807:E807"/>
    <mergeCell ref="I807:J807"/>
    <mergeCell ref="N807:P807"/>
    <mergeCell ref="S807:T807"/>
    <mergeCell ref="A804:E804"/>
    <mergeCell ref="I804:J804"/>
    <mergeCell ref="N804:P804"/>
    <mergeCell ref="S804:T804"/>
    <mergeCell ref="A805:E805"/>
    <mergeCell ref="I805:J805"/>
    <mergeCell ref="N805:P805"/>
    <mergeCell ref="S805:T805"/>
    <mergeCell ref="A802:E802"/>
    <mergeCell ref="I802:J802"/>
    <mergeCell ref="N802:P802"/>
    <mergeCell ref="S802:T802"/>
    <mergeCell ref="A803:E803"/>
    <mergeCell ref="I803:J803"/>
    <mergeCell ref="N803:P803"/>
    <mergeCell ref="S803:T803"/>
    <mergeCell ref="A800:E800"/>
    <mergeCell ref="I800:J800"/>
    <mergeCell ref="N800:P800"/>
    <mergeCell ref="S800:T800"/>
    <mergeCell ref="A801:E801"/>
    <mergeCell ref="I801:J801"/>
    <mergeCell ref="N801:P801"/>
    <mergeCell ref="S801:T801"/>
    <mergeCell ref="A798:E798"/>
    <mergeCell ref="I798:J798"/>
    <mergeCell ref="N798:P798"/>
    <mergeCell ref="S798:T798"/>
    <mergeCell ref="A799:E799"/>
    <mergeCell ref="I799:J799"/>
    <mergeCell ref="N799:P799"/>
    <mergeCell ref="S799:T799"/>
    <mergeCell ref="A796:E796"/>
    <mergeCell ref="I796:J796"/>
    <mergeCell ref="N796:P796"/>
    <mergeCell ref="S796:T796"/>
    <mergeCell ref="A797:E797"/>
    <mergeCell ref="I797:J797"/>
    <mergeCell ref="N797:P797"/>
    <mergeCell ref="S797:T797"/>
    <mergeCell ref="A794:E794"/>
    <mergeCell ref="I794:J794"/>
    <mergeCell ref="N794:P794"/>
    <mergeCell ref="S794:T794"/>
    <mergeCell ref="A795:E795"/>
    <mergeCell ref="I795:J795"/>
    <mergeCell ref="N795:P795"/>
    <mergeCell ref="S795:T795"/>
    <mergeCell ref="A792:E792"/>
    <mergeCell ref="I792:J792"/>
    <mergeCell ref="N792:P792"/>
    <mergeCell ref="S792:T792"/>
    <mergeCell ref="A793:E793"/>
    <mergeCell ref="I793:J793"/>
    <mergeCell ref="N793:P793"/>
    <mergeCell ref="S793:T793"/>
    <mergeCell ref="A790:E790"/>
    <mergeCell ref="I790:J790"/>
    <mergeCell ref="N790:P790"/>
    <mergeCell ref="S790:T790"/>
    <mergeCell ref="A791:E791"/>
    <mergeCell ref="I791:J791"/>
    <mergeCell ref="N791:P791"/>
    <mergeCell ref="S791:T791"/>
    <mergeCell ref="A788:E788"/>
    <mergeCell ref="I788:J788"/>
    <mergeCell ref="N788:P788"/>
    <mergeCell ref="S788:T788"/>
    <mergeCell ref="A789:E789"/>
    <mergeCell ref="I789:J789"/>
    <mergeCell ref="N789:P789"/>
    <mergeCell ref="S789:T789"/>
    <mergeCell ref="A786:E786"/>
    <mergeCell ref="I786:J786"/>
    <mergeCell ref="N786:P786"/>
    <mergeCell ref="S786:T786"/>
    <mergeCell ref="A787:E787"/>
    <mergeCell ref="I787:J787"/>
    <mergeCell ref="N787:P787"/>
    <mergeCell ref="S787:T787"/>
    <mergeCell ref="A784:E784"/>
    <mergeCell ref="I784:J784"/>
    <mergeCell ref="N784:P784"/>
    <mergeCell ref="S784:T784"/>
    <mergeCell ref="A785:E785"/>
    <mergeCell ref="I785:J785"/>
    <mergeCell ref="N785:P785"/>
    <mergeCell ref="S785:T785"/>
    <mergeCell ref="A782:E782"/>
    <mergeCell ref="I782:J782"/>
    <mergeCell ref="N782:P782"/>
    <mergeCell ref="S782:T782"/>
    <mergeCell ref="A783:E783"/>
    <mergeCell ref="I783:J783"/>
    <mergeCell ref="N783:P783"/>
    <mergeCell ref="S783:T783"/>
    <mergeCell ref="A780:E780"/>
    <mergeCell ref="I780:J780"/>
    <mergeCell ref="N780:P780"/>
    <mergeCell ref="S780:T780"/>
    <mergeCell ref="A781:E781"/>
    <mergeCell ref="I781:J781"/>
    <mergeCell ref="N781:P781"/>
    <mergeCell ref="S781:T781"/>
    <mergeCell ref="A778:E778"/>
    <mergeCell ref="I778:J778"/>
    <mergeCell ref="N778:P778"/>
    <mergeCell ref="S778:T778"/>
    <mergeCell ref="A779:E779"/>
    <mergeCell ref="I779:J779"/>
    <mergeCell ref="N779:P779"/>
    <mergeCell ref="S779:T779"/>
    <mergeCell ref="A776:E776"/>
    <mergeCell ref="I776:J776"/>
    <mergeCell ref="N776:P776"/>
    <mergeCell ref="S776:T776"/>
    <mergeCell ref="A777:E777"/>
    <mergeCell ref="I777:J777"/>
    <mergeCell ref="N777:P777"/>
    <mergeCell ref="S777:T777"/>
    <mergeCell ref="A774:E774"/>
    <mergeCell ref="I774:J774"/>
    <mergeCell ref="N774:P774"/>
    <mergeCell ref="S774:T774"/>
    <mergeCell ref="A775:E775"/>
    <mergeCell ref="I775:J775"/>
    <mergeCell ref="N775:P775"/>
    <mergeCell ref="S775:T775"/>
    <mergeCell ref="A772:E772"/>
    <mergeCell ref="I772:J772"/>
    <mergeCell ref="N772:P772"/>
    <mergeCell ref="S772:T772"/>
    <mergeCell ref="A773:E773"/>
    <mergeCell ref="I773:J773"/>
    <mergeCell ref="N773:P773"/>
    <mergeCell ref="S773:T773"/>
    <mergeCell ref="A770:E770"/>
    <mergeCell ref="I770:J770"/>
    <mergeCell ref="N770:P770"/>
    <mergeCell ref="S770:T770"/>
    <mergeCell ref="A771:E771"/>
    <mergeCell ref="I771:J771"/>
    <mergeCell ref="N771:P771"/>
    <mergeCell ref="S771:T771"/>
    <mergeCell ref="A768:E768"/>
    <mergeCell ref="I768:J768"/>
    <mergeCell ref="N768:P768"/>
    <mergeCell ref="S768:T768"/>
    <mergeCell ref="A769:E769"/>
    <mergeCell ref="I769:J769"/>
    <mergeCell ref="N769:P769"/>
    <mergeCell ref="S769:T769"/>
    <mergeCell ref="A766:E766"/>
    <mergeCell ref="I766:J766"/>
    <mergeCell ref="N766:P766"/>
    <mergeCell ref="S766:T766"/>
    <mergeCell ref="A767:E767"/>
    <mergeCell ref="I767:J767"/>
    <mergeCell ref="N767:P767"/>
    <mergeCell ref="S767:T767"/>
    <mergeCell ref="A764:E764"/>
    <mergeCell ref="I764:J764"/>
    <mergeCell ref="N764:P764"/>
    <mergeCell ref="S764:T764"/>
    <mergeCell ref="A765:E765"/>
    <mergeCell ref="I765:J765"/>
    <mergeCell ref="N765:P765"/>
    <mergeCell ref="S765:T765"/>
    <mergeCell ref="A762:E762"/>
    <mergeCell ref="I762:J762"/>
    <mergeCell ref="N762:P762"/>
    <mergeCell ref="S762:T762"/>
    <mergeCell ref="A763:E763"/>
    <mergeCell ref="I763:J763"/>
    <mergeCell ref="N763:P763"/>
    <mergeCell ref="S763:T763"/>
    <mergeCell ref="A760:E760"/>
    <mergeCell ref="I760:J760"/>
    <mergeCell ref="N760:P760"/>
    <mergeCell ref="S760:T760"/>
    <mergeCell ref="A761:E761"/>
    <mergeCell ref="I761:J761"/>
    <mergeCell ref="N761:P761"/>
    <mergeCell ref="S761:T761"/>
    <mergeCell ref="A758:E758"/>
    <mergeCell ref="I758:J758"/>
    <mergeCell ref="N758:P758"/>
    <mergeCell ref="S758:T758"/>
    <mergeCell ref="A759:E759"/>
    <mergeCell ref="I759:J759"/>
    <mergeCell ref="N759:P759"/>
    <mergeCell ref="S759:T759"/>
    <mergeCell ref="A756:E756"/>
    <mergeCell ref="I756:J756"/>
    <mergeCell ref="N756:P756"/>
    <mergeCell ref="S756:T756"/>
    <mergeCell ref="A757:E757"/>
    <mergeCell ref="I757:J757"/>
    <mergeCell ref="N757:P757"/>
    <mergeCell ref="S757:T757"/>
    <mergeCell ref="A754:E754"/>
    <mergeCell ref="I754:J754"/>
    <mergeCell ref="N754:P754"/>
    <mergeCell ref="S754:T754"/>
    <mergeCell ref="A755:E755"/>
    <mergeCell ref="I755:J755"/>
    <mergeCell ref="N755:P755"/>
    <mergeCell ref="S755:T755"/>
    <mergeCell ref="A752:E752"/>
    <mergeCell ref="I752:J752"/>
    <mergeCell ref="N752:P752"/>
    <mergeCell ref="S752:T752"/>
    <mergeCell ref="A753:E753"/>
    <mergeCell ref="I753:J753"/>
    <mergeCell ref="N753:P753"/>
    <mergeCell ref="S753:T753"/>
    <mergeCell ref="A750:E750"/>
    <mergeCell ref="I750:J750"/>
    <mergeCell ref="N750:P750"/>
    <mergeCell ref="S750:T750"/>
    <mergeCell ref="A751:E751"/>
    <mergeCell ref="I751:J751"/>
    <mergeCell ref="N751:P751"/>
    <mergeCell ref="S751:T751"/>
    <mergeCell ref="A748:E748"/>
    <mergeCell ref="I748:J748"/>
    <mergeCell ref="N748:P748"/>
    <mergeCell ref="S748:T748"/>
    <mergeCell ref="A749:E749"/>
    <mergeCell ref="I749:J749"/>
    <mergeCell ref="N749:P749"/>
    <mergeCell ref="S749:T749"/>
    <mergeCell ref="A746:E746"/>
    <mergeCell ref="I746:J746"/>
    <mergeCell ref="N746:P746"/>
    <mergeCell ref="S746:T746"/>
    <mergeCell ref="A747:E747"/>
    <mergeCell ref="I747:J747"/>
    <mergeCell ref="N747:P747"/>
    <mergeCell ref="S747:T747"/>
    <mergeCell ref="A744:E744"/>
    <mergeCell ref="I744:J744"/>
    <mergeCell ref="N744:P744"/>
    <mergeCell ref="S744:T744"/>
    <mergeCell ref="A745:E745"/>
    <mergeCell ref="I745:J745"/>
    <mergeCell ref="N745:P745"/>
    <mergeCell ref="S745:T745"/>
    <mergeCell ref="A742:E742"/>
    <mergeCell ref="I742:J742"/>
    <mergeCell ref="N742:P742"/>
    <mergeCell ref="S742:T742"/>
    <mergeCell ref="A743:E743"/>
    <mergeCell ref="I743:J743"/>
    <mergeCell ref="N743:P743"/>
    <mergeCell ref="S743:T743"/>
    <mergeCell ref="A740:E740"/>
    <mergeCell ref="I740:J740"/>
    <mergeCell ref="N740:P740"/>
    <mergeCell ref="S740:T740"/>
    <mergeCell ref="A741:E741"/>
    <mergeCell ref="I741:J741"/>
    <mergeCell ref="N741:P741"/>
    <mergeCell ref="S741:T741"/>
    <mergeCell ref="A738:E738"/>
    <mergeCell ref="I738:J738"/>
    <mergeCell ref="N738:P738"/>
    <mergeCell ref="S738:T738"/>
    <mergeCell ref="A739:E739"/>
    <mergeCell ref="I739:J739"/>
    <mergeCell ref="N739:P739"/>
    <mergeCell ref="S739:T739"/>
    <mergeCell ref="A736:E736"/>
    <mergeCell ref="I736:J736"/>
    <mergeCell ref="N736:P736"/>
    <mergeCell ref="S736:T736"/>
    <mergeCell ref="A737:E737"/>
    <mergeCell ref="I737:J737"/>
    <mergeCell ref="N737:P737"/>
    <mergeCell ref="S737:T737"/>
    <mergeCell ref="A734:E734"/>
    <mergeCell ref="I734:J734"/>
    <mergeCell ref="N734:P734"/>
    <mergeCell ref="S734:T734"/>
    <mergeCell ref="A735:E735"/>
    <mergeCell ref="I735:J735"/>
    <mergeCell ref="N735:P735"/>
    <mergeCell ref="S735:T735"/>
    <mergeCell ref="A732:E732"/>
    <mergeCell ref="I732:J732"/>
    <mergeCell ref="N732:P732"/>
    <mergeCell ref="S732:T732"/>
    <mergeCell ref="A733:E733"/>
    <mergeCell ref="I733:J733"/>
    <mergeCell ref="N733:P733"/>
    <mergeCell ref="S733:T733"/>
    <mergeCell ref="A730:E730"/>
    <mergeCell ref="I730:J730"/>
    <mergeCell ref="N730:P730"/>
    <mergeCell ref="S730:T730"/>
    <mergeCell ref="A731:E731"/>
    <mergeCell ref="I731:J731"/>
    <mergeCell ref="N731:P731"/>
    <mergeCell ref="S731:T731"/>
    <mergeCell ref="A728:E728"/>
    <mergeCell ref="I728:J728"/>
    <mergeCell ref="N728:P728"/>
    <mergeCell ref="S728:T728"/>
    <mergeCell ref="A729:E729"/>
    <mergeCell ref="I729:J729"/>
    <mergeCell ref="N729:P729"/>
    <mergeCell ref="S729:T729"/>
    <mergeCell ref="A726:E726"/>
    <mergeCell ref="I726:J726"/>
    <mergeCell ref="N726:P726"/>
    <mergeCell ref="S726:T726"/>
    <mergeCell ref="A727:E727"/>
    <mergeCell ref="I727:J727"/>
    <mergeCell ref="N727:P727"/>
    <mergeCell ref="S727:T727"/>
    <mergeCell ref="A724:E724"/>
    <mergeCell ref="I724:J724"/>
    <mergeCell ref="N724:P724"/>
    <mergeCell ref="S724:T724"/>
    <mergeCell ref="A725:E725"/>
    <mergeCell ref="I725:J725"/>
    <mergeCell ref="N725:P725"/>
    <mergeCell ref="S725:T725"/>
    <mergeCell ref="A722:E722"/>
    <mergeCell ref="I722:J722"/>
    <mergeCell ref="N722:P722"/>
    <mergeCell ref="S722:T722"/>
    <mergeCell ref="A723:E723"/>
    <mergeCell ref="I723:J723"/>
    <mergeCell ref="N723:P723"/>
    <mergeCell ref="S723:T723"/>
    <mergeCell ref="A720:E720"/>
    <mergeCell ref="I720:J720"/>
    <mergeCell ref="N720:P720"/>
    <mergeCell ref="S720:T720"/>
    <mergeCell ref="A721:E721"/>
    <mergeCell ref="I721:J721"/>
    <mergeCell ref="N721:P721"/>
    <mergeCell ref="S721:T721"/>
    <mergeCell ref="A718:E718"/>
    <mergeCell ref="I718:J718"/>
    <mergeCell ref="N718:P718"/>
    <mergeCell ref="S718:T718"/>
    <mergeCell ref="A719:E719"/>
    <mergeCell ref="I719:J719"/>
    <mergeCell ref="N719:P719"/>
    <mergeCell ref="S719:T719"/>
    <mergeCell ref="A716:E716"/>
    <mergeCell ref="I716:J716"/>
    <mergeCell ref="N716:P716"/>
    <mergeCell ref="S716:T716"/>
    <mergeCell ref="A717:E717"/>
    <mergeCell ref="I717:J717"/>
    <mergeCell ref="N717:P717"/>
    <mergeCell ref="S717:T717"/>
    <mergeCell ref="A714:E714"/>
    <mergeCell ref="I714:J714"/>
    <mergeCell ref="N714:P714"/>
    <mergeCell ref="S714:T714"/>
    <mergeCell ref="A715:E715"/>
    <mergeCell ref="I715:J715"/>
    <mergeCell ref="N715:P715"/>
    <mergeCell ref="S715:T715"/>
    <mergeCell ref="A712:E712"/>
    <mergeCell ref="I712:J712"/>
    <mergeCell ref="N712:P712"/>
    <mergeCell ref="S712:T712"/>
    <mergeCell ref="A713:E713"/>
    <mergeCell ref="I713:J713"/>
    <mergeCell ref="N713:P713"/>
    <mergeCell ref="S713:T713"/>
    <mergeCell ref="A710:E710"/>
    <mergeCell ref="I710:J710"/>
    <mergeCell ref="N710:P710"/>
    <mergeCell ref="S710:T710"/>
    <mergeCell ref="A711:E711"/>
    <mergeCell ref="I711:J711"/>
    <mergeCell ref="N711:P711"/>
    <mergeCell ref="S711:T711"/>
    <mergeCell ref="A708:E708"/>
    <mergeCell ref="I708:J708"/>
    <mergeCell ref="N708:P708"/>
    <mergeCell ref="S708:T708"/>
    <mergeCell ref="A709:E709"/>
    <mergeCell ref="I709:J709"/>
    <mergeCell ref="N709:P709"/>
    <mergeCell ref="S709:T709"/>
    <mergeCell ref="A706:E706"/>
    <mergeCell ref="I706:J706"/>
    <mergeCell ref="N706:P706"/>
    <mergeCell ref="S706:T706"/>
    <mergeCell ref="A707:E707"/>
    <mergeCell ref="I707:J707"/>
    <mergeCell ref="N707:P707"/>
    <mergeCell ref="S707:T707"/>
    <mergeCell ref="A704:E704"/>
    <mergeCell ref="I704:J704"/>
    <mergeCell ref="N704:P704"/>
    <mergeCell ref="S704:T704"/>
    <mergeCell ref="A705:E705"/>
    <mergeCell ref="I705:J705"/>
    <mergeCell ref="N705:P705"/>
    <mergeCell ref="S705:T705"/>
    <mergeCell ref="A702:E702"/>
    <mergeCell ref="I702:J702"/>
    <mergeCell ref="N702:P702"/>
    <mergeCell ref="S702:T702"/>
    <mergeCell ref="A703:E703"/>
    <mergeCell ref="I703:J703"/>
    <mergeCell ref="N703:P703"/>
    <mergeCell ref="S703:T703"/>
    <mergeCell ref="A700:E700"/>
    <mergeCell ref="I700:J700"/>
    <mergeCell ref="N700:P700"/>
    <mergeCell ref="S700:T700"/>
    <mergeCell ref="A701:E701"/>
    <mergeCell ref="I701:J701"/>
    <mergeCell ref="N701:P701"/>
    <mergeCell ref="S701:T701"/>
    <mergeCell ref="A698:E698"/>
    <mergeCell ref="I698:J698"/>
    <mergeCell ref="N698:P698"/>
    <mergeCell ref="S698:T698"/>
    <mergeCell ref="A699:E699"/>
    <mergeCell ref="I699:J699"/>
    <mergeCell ref="N699:P699"/>
    <mergeCell ref="S699:T699"/>
    <mergeCell ref="A696:E696"/>
    <mergeCell ref="I696:J696"/>
    <mergeCell ref="N696:P696"/>
    <mergeCell ref="S696:T696"/>
    <mergeCell ref="A697:E697"/>
    <mergeCell ref="I697:J697"/>
    <mergeCell ref="N697:P697"/>
    <mergeCell ref="S697:T697"/>
    <mergeCell ref="A694:E694"/>
    <mergeCell ref="I694:J694"/>
    <mergeCell ref="N694:P694"/>
    <mergeCell ref="S694:T694"/>
    <mergeCell ref="A695:E695"/>
    <mergeCell ref="I695:J695"/>
    <mergeCell ref="N695:P695"/>
    <mergeCell ref="S695:T695"/>
    <mergeCell ref="A692:E692"/>
    <mergeCell ref="I692:J692"/>
    <mergeCell ref="N692:P692"/>
    <mergeCell ref="S692:T692"/>
    <mergeCell ref="A693:E693"/>
    <mergeCell ref="I693:J693"/>
    <mergeCell ref="N693:P693"/>
    <mergeCell ref="S693:T693"/>
    <mergeCell ref="A690:E690"/>
    <mergeCell ref="I690:J690"/>
    <mergeCell ref="N690:P690"/>
    <mergeCell ref="S690:T690"/>
    <mergeCell ref="A691:E691"/>
    <mergeCell ref="I691:J691"/>
    <mergeCell ref="N691:P691"/>
    <mergeCell ref="S691:T691"/>
    <mergeCell ref="A688:E688"/>
    <mergeCell ref="I688:J688"/>
    <mergeCell ref="N688:P688"/>
    <mergeCell ref="S688:T688"/>
    <mergeCell ref="A689:E689"/>
    <mergeCell ref="I689:J689"/>
    <mergeCell ref="N689:P689"/>
    <mergeCell ref="S689:T689"/>
    <mergeCell ref="A686:E686"/>
    <mergeCell ref="I686:J686"/>
    <mergeCell ref="N686:P686"/>
    <mergeCell ref="S686:T686"/>
    <mergeCell ref="A687:E687"/>
    <mergeCell ref="I687:J687"/>
    <mergeCell ref="N687:P687"/>
    <mergeCell ref="S687:T687"/>
    <mergeCell ref="A684:E684"/>
    <mergeCell ref="I684:J684"/>
    <mergeCell ref="N684:P684"/>
    <mergeCell ref="S684:T684"/>
    <mergeCell ref="A685:E685"/>
    <mergeCell ref="I685:J685"/>
    <mergeCell ref="N685:P685"/>
    <mergeCell ref="S685:T685"/>
    <mergeCell ref="A682:E682"/>
    <mergeCell ref="I682:J682"/>
    <mergeCell ref="N682:P682"/>
    <mergeCell ref="S682:T682"/>
    <mergeCell ref="A683:E683"/>
    <mergeCell ref="I683:J683"/>
    <mergeCell ref="N683:P683"/>
    <mergeCell ref="S683:T683"/>
    <mergeCell ref="A680:E680"/>
    <mergeCell ref="I680:J680"/>
    <mergeCell ref="N680:P680"/>
    <mergeCell ref="S680:T680"/>
    <mergeCell ref="A681:E681"/>
    <mergeCell ref="I681:J681"/>
    <mergeCell ref="S681:T681"/>
    <mergeCell ref="A678:E678"/>
    <mergeCell ref="I678:J678"/>
    <mergeCell ref="N678:P678"/>
    <mergeCell ref="S678:T678"/>
    <mergeCell ref="A679:E679"/>
    <mergeCell ref="I679:J679"/>
    <mergeCell ref="N679:P679"/>
    <mergeCell ref="S679:T679"/>
    <mergeCell ref="A676:E676"/>
    <mergeCell ref="I676:J676"/>
    <mergeCell ref="N676:P676"/>
    <mergeCell ref="S676:T676"/>
    <mergeCell ref="A677:E677"/>
    <mergeCell ref="I677:J677"/>
    <mergeCell ref="N677:P677"/>
    <mergeCell ref="S677:T677"/>
    <mergeCell ref="A674:E674"/>
    <mergeCell ref="I674:J674"/>
    <mergeCell ref="N674:P674"/>
    <mergeCell ref="S674:T674"/>
    <mergeCell ref="A675:E675"/>
    <mergeCell ref="I675:J675"/>
    <mergeCell ref="N675:P675"/>
    <mergeCell ref="S675:T675"/>
    <mergeCell ref="A672:E672"/>
    <mergeCell ref="I672:J672"/>
    <mergeCell ref="N672:P672"/>
    <mergeCell ref="S672:T672"/>
    <mergeCell ref="A673:E673"/>
    <mergeCell ref="I673:J673"/>
    <mergeCell ref="N673:P673"/>
    <mergeCell ref="S673:T673"/>
    <mergeCell ref="A670:E670"/>
    <mergeCell ref="I670:J670"/>
    <mergeCell ref="N670:P670"/>
    <mergeCell ref="S670:T670"/>
    <mergeCell ref="A671:E671"/>
    <mergeCell ref="I671:J671"/>
    <mergeCell ref="N671:P671"/>
    <mergeCell ref="S671:T671"/>
    <mergeCell ref="A668:E668"/>
    <mergeCell ref="I668:J668"/>
    <mergeCell ref="N668:P668"/>
    <mergeCell ref="S668:T668"/>
    <mergeCell ref="A669:E669"/>
    <mergeCell ref="I669:J669"/>
    <mergeCell ref="N669:P669"/>
    <mergeCell ref="S669:T669"/>
    <mergeCell ref="A666:E666"/>
    <mergeCell ref="I666:J666"/>
    <mergeCell ref="N666:P666"/>
    <mergeCell ref="S666:T666"/>
    <mergeCell ref="A667:E667"/>
    <mergeCell ref="I667:J667"/>
    <mergeCell ref="N667:P667"/>
    <mergeCell ref="S667:T667"/>
    <mergeCell ref="A664:E664"/>
    <mergeCell ref="I664:J664"/>
    <mergeCell ref="N664:P664"/>
    <mergeCell ref="S664:T664"/>
    <mergeCell ref="A665:E665"/>
    <mergeCell ref="I665:J665"/>
    <mergeCell ref="N665:P665"/>
    <mergeCell ref="S665:T665"/>
    <mergeCell ref="A662:E662"/>
    <mergeCell ref="I662:J662"/>
    <mergeCell ref="N662:P662"/>
    <mergeCell ref="S662:T662"/>
    <mergeCell ref="A663:E663"/>
    <mergeCell ref="I663:J663"/>
    <mergeCell ref="N663:P663"/>
    <mergeCell ref="S663:T663"/>
    <mergeCell ref="A660:E660"/>
    <mergeCell ref="I660:J660"/>
    <mergeCell ref="N660:P660"/>
    <mergeCell ref="S660:T660"/>
    <mergeCell ref="A661:E661"/>
    <mergeCell ref="I661:J661"/>
    <mergeCell ref="N661:P661"/>
    <mergeCell ref="S661:T661"/>
    <mergeCell ref="A658:E658"/>
    <mergeCell ref="I658:J658"/>
    <mergeCell ref="N658:P658"/>
    <mergeCell ref="S658:T658"/>
    <mergeCell ref="A659:E659"/>
    <mergeCell ref="I659:J659"/>
    <mergeCell ref="N659:P659"/>
    <mergeCell ref="S659:T659"/>
    <mergeCell ref="A656:E656"/>
    <mergeCell ref="I656:J656"/>
    <mergeCell ref="N656:P656"/>
    <mergeCell ref="S656:T656"/>
    <mergeCell ref="A657:E657"/>
    <mergeCell ref="I657:J657"/>
    <mergeCell ref="N657:P657"/>
    <mergeCell ref="S657:T657"/>
    <mergeCell ref="A654:E654"/>
    <mergeCell ref="I654:J654"/>
    <mergeCell ref="N654:P654"/>
    <mergeCell ref="S654:T654"/>
    <mergeCell ref="A655:E655"/>
    <mergeCell ref="I655:J655"/>
    <mergeCell ref="N655:P655"/>
    <mergeCell ref="S655:T655"/>
    <mergeCell ref="A652:E652"/>
    <mergeCell ref="I652:J652"/>
    <mergeCell ref="N652:P652"/>
    <mergeCell ref="S652:T652"/>
    <mergeCell ref="A653:E653"/>
    <mergeCell ref="I653:J653"/>
    <mergeCell ref="N653:P653"/>
    <mergeCell ref="S653:T653"/>
    <mergeCell ref="A650:E650"/>
    <mergeCell ref="I650:J650"/>
    <mergeCell ref="N650:P650"/>
    <mergeCell ref="S650:T650"/>
    <mergeCell ref="A651:E651"/>
    <mergeCell ref="I651:J651"/>
    <mergeCell ref="N651:P651"/>
    <mergeCell ref="S651:T651"/>
    <mergeCell ref="A648:E648"/>
    <mergeCell ref="I648:J648"/>
    <mergeCell ref="N648:P648"/>
    <mergeCell ref="S648:T648"/>
    <mergeCell ref="A649:E649"/>
    <mergeCell ref="I649:J649"/>
    <mergeCell ref="N649:P649"/>
    <mergeCell ref="S649:T649"/>
    <mergeCell ref="A646:E646"/>
    <mergeCell ref="I646:J646"/>
    <mergeCell ref="N646:P646"/>
    <mergeCell ref="S646:T646"/>
    <mergeCell ref="A647:E647"/>
    <mergeCell ref="I647:J647"/>
    <mergeCell ref="N647:P647"/>
    <mergeCell ref="S647:T647"/>
    <mergeCell ref="A644:E644"/>
    <mergeCell ref="I644:J644"/>
    <mergeCell ref="N644:P644"/>
    <mergeCell ref="S644:T644"/>
    <mergeCell ref="A645:E645"/>
    <mergeCell ref="I645:J645"/>
    <mergeCell ref="N645:P645"/>
    <mergeCell ref="S645:T645"/>
    <mergeCell ref="A642:E642"/>
    <mergeCell ref="I642:J642"/>
    <mergeCell ref="N642:P642"/>
    <mergeCell ref="S642:T642"/>
    <mergeCell ref="A643:E643"/>
    <mergeCell ref="I643:J643"/>
    <mergeCell ref="N643:P643"/>
    <mergeCell ref="S643:T643"/>
    <mergeCell ref="A640:E640"/>
    <mergeCell ref="I640:J640"/>
    <mergeCell ref="N640:P640"/>
    <mergeCell ref="S640:T640"/>
    <mergeCell ref="A641:E641"/>
    <mergeCell ref="I641:J641"/>
    <mergeCell ref="N641:P641"/>
    <mergeCell ref="S641:T641"/>
    <mergeCell ref="A638:E638"/>
    <mergeCell ref="I638:J638"/>
    <mergeCell ref="N638:P638"/>
    <mergeCell ref="S638:T638"/>
    <mergeCell ref="A639:E639"/>
    <mergeCell ref="I639:J639"/>
    <mergeCell ref="N639:P639"/>
    <mergeCell ref="S639:T639"/>
    <mergeCell ref="A636:E636"/>
    <mergeCell ref="I636:J636"/>
    <mergeCell ref="N636:P636"/>
    <mergeCell ref="S636:T636"/>
    <mergeCell ref="A637:E637"/>
    <mergeCell ref="I637:J637"/>
    <mergeCell ref="N637:P637"/>
    <mergeCell ref="S637:T637"/>
    <mergeCell ref="A634:E634"/>
    <mergeCell ref="I634:J634"/>
    <mergeCell ref="N634:P634"/>
    <mergeCell ref="S634:T634"/>
    <mergeCell ref="A635:E635"/>
    <mergeCell ref="I635:J635"/>
    <mergeCell ref="N635:P635"/>
    <mergeCell ref="S635:T635"/>
    <mergeCell ref="A632:E632"/>
    <mergeCell ref="I632:J632"/>
    <mergeCell ref="N632:P632"/>
    <mergeCell ref="S632:T632"/>
    <mergeCell ref="A633:E633"/>
    <mergeCell ref="I633:J633"/>
    <mergeCell ref="N633:P633"/>
    <mergeCell ref="S633:T633"/>
    <mergeCell ref="A630:E630"/>
    <mergeCell ref="I630:J630"/>
    <mergeCell ref="N630:P630"/>
    <mergeCell ref="S630:T630"/>
    <mergeCell ref="A631:E631"/>
    <mergeCell ref="I631:J631"/>
    <mergeCell ref="N631:P631"/>
    <mergeCell ref="S631:T631"/>
    <mergeCell ref="A628:E628"/>
    <mergeCell ref="I628:J628"/>
    <mergeCell ref="N628:P628"/>
    <mergeCell ref="S628:T628"/>
    <mergeCell ref="A629:E629"/>
    <mergeCell ref="I629:J629"/>
    <mergeCell ref="N629:P629"/>
    <mergeCell ref="S629:T629"/>
    <mergeCell ref="A626:E626"/>
    <mergeCell ref="I626:J626"/>
    <mergeCell ref="N626:P626"/>
    <mergeCell ref="S626:T626"/>
    <mergeCell ref="A627:E627"/>
    <mergeCell ref="I627:J627"/>
    <mergeCell ref="N627:P627"/>
    <mergeCell ref="S627:T627"/>
    <mergeCell ref="A624:E624"/>
    <mergeCell ref="I624:J624"/>
    <mergeCell ref="N624:P624"/>
    <mergeCell ref="S624:T624"/>
    <mergeCell ref="A625:E625"/>
    <mergeCell ref="I625:J625"/>
    <mergeCell ref="N625:P625"/>
    <mergeCell ref="S625:T625"/>
    <mergeCell ref="A622:E622"/>
    <mergeCell ref="I622:J622"/>
    <mergeCell ref="N622:P622"/>
    <mergeCell ref="S622:T622"/>
    <mergeCell ref="A623:E623"/>
    <mergeCell ref="I623:J623"/>
    <mergeCell ref="N623:P623"/>
    <mergeCell ref="S623:T623"/>
    <mergeCell ref="A620:E620"/>
    <mergeCell ref="I620:J620"/>
    <mergeCell ref="N620:P620"/>
    <mergeCell ref="S620:T620"/>
    <mergeCell ref="A621:E621"/>
    <mergeCell ref="I621:J621"/>
    <mergeCell ref="N621:P621"/>
    <mergeCell ref="S621:T621"/>
    <mergeCell ref="A618:E618"/>
    <mergeCell ref="I618:J618"/>
    <mergeCell ref="N618:P618"/>
    <mergeCell ref="S618:T618"/>
    <mergeCell ref="A619:E619"/>
    <mergeCell ref="I619:J619"/>
    <mergeCell ref="N619:P619"/>
    <mergeCell ref="S619:T619"/>
    <mergeCell ref="A616:E616"/>
    <mergeCell ref="I616:J616"/>
    <mergeCell ref="N616:P616"/>
    <mergeCell ref="S616:T616"/>
    <mergeCell ref="A617:E617"/>
    <mergeCell ref="I617:J617"/>
    <mergeCell ref="N617:P617"/>
    <mergeCell ref="S617:T617"/>
    <mergeCell ref="A614:E614"/>
    <mergeCell ref="I614:J614"/>
    <mergeCell ref="N614:P614"/>
    <mergeCell ref="S614:T614"/>
    <mergeCell ref="A615:E615"/>
    <mergeCell ref="I615:J615"/>
    <mergeCell ref="N615:P615"/>
    <mergeCell ref="S615:T615"/>
    <mergeCell ref="A612:E612"/>
    <mergeCell ref="I612:J612"/>
    <mergeCell ref="N612:P612"/>
    <mergeCell ref="S612:T612"/>
    <mergeCell ref="A613:E613"/>
    <mergeCell ref="I613:J613"/>
    <mergeCell ref="N613:P613"/>
    <mergeCell ref="S613:T613"/>
    <mergeCell ref="A610:E610"/>
    <mergeCell ref="I610:J610"/>
    <mergeCell ref="N610:P610"/>
    <mergeCell ref="S610:T610"/>
    <mergeCell ref="A611:E611"/>
    <mergeCell ref="I611:J611"/>
    <mergeCell ref="N611:P611"/>
    <mergeCell ref="S611:T611"/>
    <mergeCell ref="A608:E608"/>
    <mergeCell ref="I608:J608"/>
    <mergeCell ref="N608:P608"/>
    <mergeCell ref="S608:T608"/>
    <mergeCell ref="A609:E609"/>
    <mergeCell ref="I609:J609"/>
    <mergeCell ref="N609:P609"/>
    <mergeCell ref="S609:T609"/>
    <mergeCell ref="A606:E606"/>
    <mergeCell ref="I606:J606"/>
    <mergeCell ref="N606:P606"/>
    <mergeCell ref="S606:T606"/>
    <mergeCell ref="A607:E607"/>
    <mergeCell ref="I607:J607"/>
    <mergeCell ref="N607:P607"/>
    <mergeCell ref="S607:T607"/>
    <mergeCell ref="A604:E604"/>
    <mergeCell ref="I604:J604"/>
    <mergeCell ref="N604:P604"/>
    <mergeCell ref="S604:T604"/>
    <mergeCell ref="A605:E605"/>
    <mergeCell ref="I605:J605"/>
    <mergeCell ref="N605:P605"/>
    <mergeCell ref="S605:T605"/>
    <mergeCell ref="A602:E602"/>
    <mergeCell ref="I602:J602"/>
    <mergeCell ref="N602:P602"/>
    <mergeCell ref="S602:T602"/>
    <mergeCell ref="A603:E603"/>
    <mergeCell ref="I603:J603"/>
    <mergeCell ref="N603:P603"/>
    <mergeCell ref="S603:T603"/>
    <mergeCell ref="A600:E600"/>
    <mergeCell ref="I600:J600"/>
    <mergeCell ref="N600:P600"/>
    <mergeCell ref="S600:T600"/>
    <mergeCell ref="A601:E601"/>
    <mergeCell ref="I601:J601"/>
    <mergeCell ref="N601:P601"/>
    <mergeCell ref="S601:T601"/>
    <mergeCell ref="A598:E598"/>
    <mergeCell ref="I598:J598"/>
    <mergeCell ref="N598:P598"/>
    <mergeCell ref="S598:T598"/>
    <mergeCell ref="A599:E599"/>
    <mergeCell ref="I599:J599"/>
    <mergeCell ref="N599:P599"/>
    <mergeCell ref="S599:T599"/>
    <mergeCell ref="A596:E596"/>
    <mergeCell ref="I596:J596"/>
    <mergeCell ref="N596:P596"/>
    <mergeCell ref="S596:T596"/>
    <mergeCell ref="A597:E597"/>
    <mergeCell ref="I597:J597"/>
    <mergeCell ref="N597:P597"/>
    <mergeCell ref="S597:T597"/>
    <mergeCell ref="A594:E594"/>
    <mergeCell ref="I594:J594"/>
    <mergeCell ref="N594:P594"/>
    <mergeCell ref="S594:T594"/>
    <mergeCell ref="A595:E595"/>
    <mergeCell ref="I595:J595"/>
    <mergeCell ref="N595:P595"/>
    <mergeCell ref="S595:T595"/>
    <mergeCell ref="A592:E592"/>
    <mergeCell ref="I592:J592"/>
    <mergeCell ref="N592:P592"/>
    <mergeCell ref="S592:T592"/>
    <mergeCell ref="A593:E593"/>
    <mergeCell ref="I593:J593"/>
    <mergeCell ref="N593:P593"/>
    <mergeCell ref="S593:T593"/>
    <mergeCell ref="A590:E590"/>
    <mergeCell ref="I590:J590"/>
    <mergeCell ref="N590:P590"/>
    <mergeCell ref="S590:T590"/>
    <mergeCell ref="A591:E591"/>
    <mergeCell ref="I591:J591"/>
    <mergeCell ref="N591:P591"/>
    <mergeCell ref="S591:T591"/>
    <mergeCell ref="A588:E588"/>
    <mergeCell ref="I588:J588"/>
    <mergeCell ref="N588:P588"/>
    <mergeCell ref="S588:T588"/>
    <mergeCell ref="A589:E589"/>
    <mergeCell ref="I589:J589"/>
    <mergeCell ref="N589:P589"/>
    <mergeCell ref="S589:T589"/>
    <mergeCell ref="A586:E586"/>
    <mergeCell ref="I586:J586"/>
    <mergeCell ref="N586:P586"/>
    <mergeCell ref="S586:T586"/>
    <mergeCell ref="A587:E587"/>
    <mergeCell ref="I587:J587"/>
    <mergeCell ref="N587:P587"/>
    <mergeCell ref="S587:T587"/>
    <mergeCell ref="A584:E584"/>
    <mergeCell ref="I584:J584"/>
    <mergeCell ref="N584:P584"/>
    <mergeCell ref="S584:T584"/>
    <mergeCell ref="A585:E585"/>
    <mergeCell ref="I585:J585"/>
    <mergeCell ref="N585:P585"/>
    <mergeCell ref="S585:T585"/>
    <mergeCell ref="A582:E582"/>
    <mergeCell ref="I582:J582"/>
    <mergeCell ref="N582:P582"/>
    <mergeCell ref="S582:T582"/>
    <mergeCell ref="A583:E583"/>
    <mergeCell ref="I583:J583"/>
    <mergeCell ref="N583:P583"/>
    <mergeCell ref="S583:T583"/>
    <mergeCell ref="A580:E580"/>
    <mergeCell ref="I580:J580"/>
    <mergeCell ref="N580:P580"/>
    <mergeCell ref="S580:T580"/>
    <mergeCell ref="A581:E581"/>
    <mergeCell ref="I581:J581"/>
    <mergeCell ref="N581:P581"/>
    <mergeCell ref="S581:T581"/>
    <mergeCell ref="A578:E578"/>
    <mergeCell ref="I578:J578"/>
    <mergeCell ref="N578:P578"/>
    <mergeCell ref="S578:T578"/>
    <mergeCell ref="A579:E579"/>
    <mergeCell ref="I579:J579"/>
    <mergeCell ref="N579:P579"/>
    <mergeCell ref="S579:T579"/>
    <mergeCell ref="A576:E576"/>
    <mergeCell ref="I576:J576"/>
    <mergeCell ref="N576:P576"/>
    <mergeCell ref="S576:T576"/>
    <mergeCell ref="A577:E577"/>
    <mergeCell ref="I577:J577"/>
    <mergeCell ref="N577:P577"/>
    <mergeCell ref="S577:T577"/>
    <mergeCell ref="A574:E574"/>
    <mergeCell ref="I574:J574"/>
    <mergeCell ref="N574:P574"/>
    <mergeCell ref="S574:T574"/>
    <mergeCell ref="A575:E575"/>
    <mergeCell ref="I575:J575"/>
    <mergeCell ref="N575:P575"/>
    <mergeCell ref="S575:T575"/>
    <mergeCell ref="A572:E572"/>
    <mergeCell ref="I572:J572"/>
    <mergeCell ref="N572:P572"/>
    <mergeCell ref="S572:T572"/>
    <mergeCell ref="A573:E573"/>
    <mergeCell ref="I573:J573"/>
    <mergeCell ref="N573:P573"/>
    <mergeCell ref="S573:T573"/>
    <mergeCell ref="A570:E570"/>
    <mergeCell ref="I570:J570"/>
    <mergeCell ref="N570:P570"/>
    <mergeCell ref="S570:T570"/>
    <mergeCell ref="A571:E571"/>
    <mergeCell ref="I571:J571"/>
    <mergeCell ref="N571:P571"/>
    <mergeCell ref="S571:T571"/>
    <mergeCell ref="A568:E568"/>
    <mergeCell ref="I568:J568"/>
    <mergeCell ref="N568:P568"/>
    <mergeCell ref="S568:T568"/>
    <mergeCell ref="A569:E569"/>
    <mergeCell ref="I569:J569"/>
    <mergeCell ref="N569:P569"/>
    <mergeCell ref="S569:T569"/>
    <mergeCell ref="A566:E566"/>
    <mergeCell ref="I566:J566"/>
    <mergeCell ref="N566:P566"/>
    <mergeCell ref="S566:T566"/>
    <mergeCell ref="A567:E567"/>
    <mergeCell ref="I567:J567"/>
    <mergeCell ref="N567:P567"/>
    <mergeCell ref="S567:T567"/>
    <mergeCell ref="A564:E564"/>
    <mergeCell ref="I564:J564"/>
    <mergeCell ref="N564:P564"/>
    <mergeCell ref="S564:T564"/>
    <mergeCell ref="A565:E565"/>
    <mergeCell ref="I565:J565"/>
    <mergeCell ref="N565:P565"/>
    <mergeCell ref="S565:T565"/>
    <mergeCell ref="A562:E562"/>
    <mergeCell ref="I562:J562"/>
    <mergeCell ref="N562:P562"/>
    <mergeCell ref="S562:T562"/>
    <mergeCell ref="A563:E563"/>
    <mergeCell ref="I563:J563"/>
    <mergeCell ref="N563:P563"/>
    <mergeCell ref="S563:T563"/>
    <mergeCell ref="A560:E560"/>
    <mergeCell ref="I560:J560"/>
    <mergeCell ref="N560:P560"/>
    <mergeCell ref="S560:T560"/>
    <mergeCell ref="A561:E561"/>
    <mergeCell ref="I561:J561"/>
    <mergeCell ref="N561:P561"/>
    <mergeCell ref="S561:T561"/>
    <mergeCell ref="A558:E558"/>
    <mergeCell ref="I558:J558"/>
    <mergeCell ref="N558:P558"/>
    <mergeCell ref="S558:T558"/>
    <mergeCell ref="A559:E559"/>
    <mergeCell ref="I559:J559"/>
    <mergeCell ref="N559:P559"/>
    <mergeCell ref="S559:T559"/>
    <mergeCell ref="A556:E556"/>
    <mergeCell ref="I556:J556"/>
    <mergeCell ref="N556:P556"/>
    <mergeCell ref="S556:T556"/>
    <mergeCell ref="A557:E557"/>
    <mergeCell ref="I557:J557"/>
    <mergeCell ref="N557:P557"/>
    <mergeCell ref="S557:T557"/>
    <mergeCell ref="A554:E554"/>
    <mergeCell ref="I554:J554"/>
    <mergeCell ref="N554:P554"/>
    <mergeCell ref="S554:T554"/>
    <mergeCell ref="A555:E555"/>
    <mergeCell ref="I555:J555"/>
    <mergeCell ref="N555:P555"/>
    <mergeCell ref="S555:T555"/>
    <mergeCell ref="A552:E552"/>
    <mergeCell ref="I552:J552"/>
    <mergeCell ref="N552:P552"/>
    <mergeCell ref="S552:T552"/>
    <mergeCell ref="A553:E553"/>
    <mergeCell ref="I553:J553"/>
    <mergeCell ref="N553:P553"/>
    <mergeCell ref="S553:T553"/>
    <mergeCell ref="A550:E550"/>
    <mergeCell ref="I550:J550"/>
    <mergeCell ref="N550:P550"/>
    <mergeCell ref="S550:T550"/>
    <mergeCell ref="A551:E551"/>
    <mergeCell ref="I551:J551"/>
    <mergeCell ref="N551:P551"/>
    <mergeCell ref="S551:T551"/>
    <mergeCell ref="A548:E548"/>
    <mergeCell ref="I548:J548"/>
    <mergeCell ref="N548:P548"/>
    <mergeCell ref="S548:T548"/>
    <mergeCell ref="A549:E549"/>
    <mergeCell ref="I549:J549"/>
    <mergeCell ref="N549:P549"/>
    <mergeCell ref="S549:T549"/>
    <mergeCell ref="A546:E546"/>
    <mergeCell ref="I546:J546"/>
    <mergeCell ref="N546:P546"/>
    <mergeCell ref="S546:T546"/>
    <mergeCell ref="A547:E547"/>
    <mergeCell ref="I547:J547"/>
    <mergeCell ref="N547:P547"/>
    <mergeCell ref="S547:T547"/>
    <mergeCell ref="A544:E544"/>
    <mergeCell ref="I544:J544"/>
    <mergeCell ref="N544:P544"/>
    <mergeCell ref="S544:T544"/>
    <mergeCell ref="A545:E545"/>
    <mergeCell ref="I545:J545"/>
    <mergeCell ref="N545:P545"/>
    <mergeCell ref="S545:T545"/>
    <mergeCell ref="A542:E542"/>
    <mergeCell ref="I542:J542"/>
    <mergeCell ref="N542:P542"/>
    <mergeCell ref="S542:T542"/>
    <mergeCell ref="A543:E543"/>
    <mergeCell ref="I543:J543"/>
    <mergeCell ref="N543:P543"/>
    <mergeCell ref="S543:T543"/>
    <mergeCell ref="A540:E540"/>
    <mergeCell ref="I540:J540"/>
    <mergeCell ref="N540:P540"/>
    <mergeCell ref="S540:T540"/>
    <mergeCell ref="A541:E541"/>
    <mergeCell ref="I541:J541"/>
    <mergeCell ref="N541:P541"/>
    <mergeCell ref="S541:T541"/>
    <mergeCell ref="A538:E538"/>
    <mergeCell ref="I538:J538"/>
    <mergeCell ref="N538:P538"/>
    <mergeCell ref="S538:T538"/>
    <mergeCell ref="A539:E539"/>
    <mergeCell ref="I539:J539"/>
    <mergeCell ref="N539:P539"/>
    <mergeCell ref="S539:T539"/>
    <mergeCell ref="A536:E536"/>
    <mergeCell ref="I536:J536"/>
    <mergeCell ref="N536:P536"/>
    <mergeCell ref="S536:T536"/>
    <mergeCell ref="A537:E537"/>
    <mergeCell ref="I537:J537"/>
    <mergeCell ref="N537:P537"/>
    <mergeCell ref="S537:T537"/>
    <mergeCell ref="A534:E534"/>
    <mergeCell ref="I534:J534"/>
    <mergeCell ref="N534:P534"/>
    <mergeCell ref="S534:T534"/>
    <mergeCell ref="A535:E535"/>
    <mergeCell ref="I535:J535"/>
    <mergeCell ref="N535:P535"/>
    <mergeCell ref="S535:T535"/>
    <mergeCell ref="A532:E532"/>
    <mergeCell ref="I532:J532"/>
    <mergeCell ref="N532:P532"/>
    <mergeCell ref="S532:T532"/>
    <mergeCell ref="A533:E533"/>
    <mergeCell ref="I533:J533"/>
    <mergeCell ref="N533:P533"/>
    <mergeCell ref="S533:T533"/>
    <mergeCell ref="A530:E530"/>
    <mergeCell ref="I530:J530"/>
    <mergeCell ref="N530:P530"/>
    <mergeCell ref="S530:T530"/>
    <mergeCell ref="A531:E531"/>
    <mergeCell ref="I531:J531"/>
    <mergeCell ref="N531:P531"/>
    <mergeCell ref="S531:T531"/>
    <mergeCell ref="A528:E528"/>
    <mergeCell ref="I528:J528"/>
    <mergeCell ref="N528:P528"/>
    <mergeCell ref="S528:T528"/>
    <mergeCell ref="A529:E529"/>
    <mergeCell ref="I529:J529"/>
    <mergeCell ref="N529:P529"/>
    <mergeCell ref="S529:T529"/>
    <mergeCell ref="A526:E526"/>
    <mergeCell ref="I526:J526"/>
    <mergeCell ref="N526:P526"/>
    <mergeCell ref="S526:T526"/>
    <mergeCell ref="A527:E527"/>
    <mergeCell ref="I527:J527"/>
    <mergeCell ref="N527:P527"/>
    <mergeCell ref="S527:T527"/>
    <mergeCell ref="A524:E524"/>
    <mergeCell ref="I524:J524"/>
    <mergeCell ref="N524:P524"/>
    <mergeCell ref="S524:T524"/>
    <mergeCell ref="A525:E525"/>
    <mergeCell ref="I525:J525"/>
    <mergeCell ref="N525:P525"/>
    <mergeCell ref="S525:T525"/>
    <mergeCell ref="A522:E522"/>
    <mergeCell ref="I522:J522"/>
    <mergeCell ref="N522:P522"/>
    <mergeCell ref="S522:T522"/>
    <mergeCell ref="A523:E523"/>
    <mergeCell ref="I523:J523"/>
    <mergeCell ref="N523:P523"/>
    <mergeCell ref="S523:T523"/>
    <mergeCell ref="A520:E520"/>
    <mergeCell ref="I520:J520"/>
    <mergeCell ref="N520:P520"/>
    <mergeCell ref="S520:T520"/>
    <mergeCell ref="A521:E521"/>
    <mergeCell ref="I521:J521"/>
    <mergeCell ref="N521:P521"/>
    <mergeCell ref="S521:T521"/>
    <mergeCell ref="A518:E518"/>
    <mergeCell ref="I518:J518"/>
    <mergeCell ref="N518:P518"/>
    <mergeCell ref="S518:T518"/>
    <mergeCell ref="A519:E519"/>
    <mergeCell ref="I519:J519"/>
    <mergeCell ref="N519:P519"/>
    <mergeCell ref="S519:T519"/>
    <mergeCell ref="A516:E516"/>
    <mergeCell ref="I516:J516"/>
    <mergeCell ref="N516:P516"/>
    <mergeCell ref="S516:T516"/>
    <mergeCell ref="A517:E517"/>
    <mergeCell ref="I517:J517"/>
    <mergeCell ref="N517:P517"/>
    <mergeCell ref="S517:T517"/>
    <mergeCell ref="A514:E514"/>
    <mergeCell ref="I514:J514"/>
    <mergeCell ref="N514:P514"/>
    <mergeCell ref="S514:T514"/>
    <mergeCell ref="A515:E515"/>
    <mergeCell ref="I515:J515"/>
    <mergeCell ref="N515:P515"/>
    <mergeCell ref="S515:T515"/>
    <mergeCell ref="A512:E512"/>
    <mergeCell ref="I512:J512"/>
    <mergeCell ref="N512:P512"/>
    <mergeCell ref="S512:T512"/>
    <mergeCell ref="A513:E513"/>
    <mergeCell ref="I513:J513"/>
    <mergeCell ref="N513:P513"/>
    <mergeCell ref="S513:T513"/>
    <mergeCell ref="A510:E510"/>
    <mergeCell ref="I510:J510"/>
    <mergeCell ref="N510:P510"/>
    <mergeCell ref="S510:T510"/>
    <mergeCell ref="A511:E511"/>
    <mergeCell ref="I511:J511"/>
    <mergeCell ref="N511:P511"/>
    <mergeCell ref="S511:T511"/>
    <mergeCell ref="A508:E508"/>
    <mergeCell ref="I508:J508"/>
    <mergeCell ref="N508:P508"/>
    <mergeCell ref="S508:T508"/>
    <mergeCell ref="A509:E509"/>
    <mergeCell ref="I509:J509"/>
    <mergeCell ref="N509:P509"/>
    <mergeCell ref="S509:T509"/>
    <mergeCell ref="A506:E506"/>
    <mergeCell ref="I506:J506"/>
    <mergeCell ref="N506:P506"/>
    <mergeCell ref="S506:T506"/>
    <mergeCell ref="A507:E507"/>
    <mergeCell ref="I507:J507"/>
    <mergeCell ref="N507:P507"/>
    <mergeCell ref="S507:T507"/>
    <mergeCell ref="A504:E504"/>
    <mergeCell ref="I504:J504"/>
    <mergeCell ref="N504:P504"/>
    <mergeCell ref="S504:T504"/>
    <mergeCell ref="A505:E505"/>
    <mergeCell ref="I505:J505"/>
    <mergeCell ref="N505:P505"/>
    <mergeCell ref="S505:T505"/>
    <mergeCell ref="A502:E502"/>
    <mergeCell ref="I502:J502"/>
    <mergeCell ref="N502:P502"/>
    <mergeCell ref="S502:T502"/>
    <mergeCell ref="A503:E503"/>
    <mergeCell ref="I503:J503"/>
    <mergeCell ref="N503:P503"/>
    <mergeCell ref="S503:T503"/>
    <mergeCell ref="A500:E500"/>
    <mergeCell ref="I500:J500"/>
    <mergeCell ref="N500:P500"/>
    <mergeCell ref="S500:T500"/>
    <mergeCell ref="A501:E501"/>
    <mergeCell ref="I501:J501"/>
    <mergeCell ref="N501:P501"/>
    <mergeCell ref="S501:T501"/>
    <mergeCell ref="A498:E498"/>
    <mergeCell ref="I498:J498"/>
    <mergeCell ref="N498:P498"/>
    <mergeCell ref="S498:T498"/>
    <mergeCell ref="A499:E499"/>
    <mergeCell ref="I499:J499"/>
    <mergeCell ref="N499:P499"/>
    <mergeCell ref="S499:T499"/>
    <mergeCell ref="A496:E496"/>
    <mergeCell ref="I496:J496"/>
    <mergeCell ref="N496:P496"/>
    <mergeCell ref="S496:T496"/>
    <mergeCell ref="A497:E497"/>
    <mergeCell ref="I497:J497"/>
    <mergeCell ref="N497:P497"/>
    <mergeCell ref="S497:T497"/>
    <mergeCell ref="A494:E494"/>
    <mergeCell ref="I494:J494"/>
    <mergeCell ref="N494:P494"/>
    <mergeCell ref="S494:T494"/>
    <mergeCell ref="A495:E495"/>
    <mergeCell ref="I495:J495"/>
    <mergeCell ref="N495:P495"/>
    <mergeCell ref="S495:T495"/>
    <mergeCell ref="A492:E492"/>
    <mergeCell ref="I492:J492"/>
    <mergeCell ref="N492:P492"/>
    <mergeCell ref="S492:T492"/>
    <mergeCell ref="A493:E493"/>
    <mergeCell ref="I493:J493"/>
    <mergeCell ref="N493:P493"/>
    <mergeCell ref="S493:T493"/>
    <mergeCell ref="A490:E490"/>
    <mergeCell ref="I490:J490"/>
    <mergeCell ref="N490:P490"/>
    <mergeCell ref="S490:T490"/>
    <mergeCell ref="A491:E491"/>
    <mergeCell ref="I491:J491"/>
    <mergeCell ref="N491:P491"/>
    <mergeCell ref="S491:T491"/>
    <mergeCell ref="A488:E488"/>
    <mergeCell ref="I488:J488"/>
    <mergeCell ref="N488:P488"/>
    <mergeCell ref="S488:T488"/>
    <mergeCell ref="A489:E489"/>
    <mergeCell ref="I489:J489"/>
    <mergeCell ref="N489:P489"/>
    <mergeCell ref="S489:T489"/>
    <mergeCell ref="A486:E486"/>
    <mergeCell ref="I486:J486"/>
    <mergeCell ref="N486:P486"/>
    <mergeCell ref="S486:T486"/>
    <mergeCell ref="A487:E487"/>
    <mergeCell ref="I487:J487"/>
    <mergeCell ref="N487:P487"/>
    <mergeCell ref="S487:T487"/>
    <mergeCell ref="A484:E484"/>
    <mergeCell ref="I484:J484"/>
    <mergeCell ref="N484:P484"/>
    <mergeCell ref="S484:T484"/>
    <mergeCell ref="A485:E485"/>
    <mergeCell ref="I485:J485"/>
    <mergeCell ref="N485:P485"/>
    <mergeCell ref="S485:T485"/>
    <mergeCell ref="A482:E482"/>
    <mergeCell ref="I482:J482"/>
    <mergeCell ref="N482:P482"/>
    <mergeCell ref="S482:T482"/>
    <mergeCell ref="A483:E483"/>
    <mergeCell ref="I483:J483"/>
    <mergeCell ref="N483:P483"/>
    <mergeCell ref="S483:T483"/>
    <mergeCell ref="A480:E480"/>
    <mergeCell ref="I480:J480"/>
    <mergeCell ref="N480:P480"/>
    <mergeCell ref="S480:T480"/>
    <mergeCell ref="A481:E481"/>
    <mergeCell ref="I481:J481"/>
    <mergeCell ref="N481:P481"/>
    <mergeCell ref="S481:T481"/>
    <mergeCell ref="A478:E478"/>
    <mergeCell ref="I478:J478"/>
    <mergeCell ref="N478:P478"/>
    <mergeCell ref="S478:T478"/>
    <mergeCell ref="A479:E479"/>
    <mergeCell ref="I479:J479"/>
    <mergeCell ref="N479:P479"/>
    <mergeCell ref="S479:T479"/>
    <mergeCell ref="A476:E476"/>
    <mergeCell ref="I476:J476"/>
    <mergeCell ref="N476:P476"/>
    <mergeCell ref="S476:T476"/>
    <mergeCell ref="A477:E477"/>
    <mergeCell ref="I477:J477"/>
    <mergeCell ref="N477:P477"/>
    <mergeCell ref="S477:T477"/>
    <mergeCell ref="A474:E474"/>
    <mergeCell ref="I474:J474"/>
    <mergeCell ref="N474:P474"/>
    <mergeCell ref="S474:T474"/>
    <mergeCell ref="A475:E475"/>
    <mergeCell ref="I475:J475"/>
    <mergeCell ref="N475:P475"/>
    <mergeCell ref="S475:T475"/>
    <mergeCell ref="A472:E472"/>
    <mergeCell ref="I472:J472"/>
    <mergeCell ref="N472:P472"/>
    <mergeCell ref="S472:T472"/>
    <mergeCell ref="A473:E473"/>
    <mergeCell ref="I473:J473"/>
    <mergeCell ref="N473:P473"/>
    <mergeCell ref="S473:T473"/>
    <mergeCell ref="A470:E470"/>
    <mergeCell ref="I470:J470"/>
    <mergeCell ref="N470:P470"/>
    <mergeCell ref="S470:T470"/>
    <mergeCell ref="A471:E471"/>
    <mergeCell ref="I471:J471"/>
    <mergeCell ref="N471:P471"/>
    <mergeCell ref="S471:T471"/>
    <mergeCell ref="A468:E468"/>
    <mergeCell ref="I468:J468"/>
    <mergeCell ref="N468:P468"/>
    <mergeCell ref="S468:T468"/>
    <mergeCell ref="A469:E469"/>
    <mergeCell ref="I469:J469"/>
    <mergeCell ref="N469:P469"/>
    <mergeCell ref="S469:T469"/>
    <mergeCell ref="A466:E466"/>
    <mergeCell ref="I466:J466"/>
    <mergeCell ref="N466:P466"/>
    <mergeCell ref="S466:T466"/>
    <mergeCell ref="A467:E467"/>
    <mergeCell ref="I467:J467"/>
    <mergeCell ref="N467:P467"/>
    <mergeCell ref="S467:T467"/>
    <mergeCell ref="A464:E464"/>
    <mergeCell ref="I464:J464"/>
    <mergeCell ref="N464:P464"/>
    <mergeCell ref="S464:T464"/>
    <mergeCell ref="A465:E465"/>
    <mergeCell ref="I465:J465"/>
    <mergeCell ref="N465:P465"/>
    <mergeCell ref="S465:T465"/>
    <mergeCell ref="A462:E462"/>
    <mergeCell ref="I462:J462"/>
    <mergeCell ref="N462:P462"/>
    <mergeCell ref="S462:T462"/>
    <mergeCell ref="A463:E463"/>
    <mergeCell ref="I463:J463"/>
    <mergeCell ref="N463:P463"/>
    <mergeCell ref="S463:T463"/>
    <mergeCell ref="A460:E460"/>
    <mergeCell ref="I460:J460"/>
    <mergeCell ref="N460:P460"/>
    <mergeCell ref="S460:T460"/>
    <mergeCell ref="A461:E461"/>
    <mergeCell ref="I461:J461"/>
    <mergeCell ref="N461:P461"/>
    <mergeCell ref="S461:T461"/>
    <mergeCell ref="A458:E458"/>
    <mergeCell ref="I458:J458"/>
    <mergeCell ref="N458:P458"/>
    <mergeCell ref="S458:T458"/>
    <mergeCell ref="A459:E459"/>
    <mergeCell ref="I459:J459"/>
    <mergeCell ref="N459:P459"/>
    <mergeCell ref="S459:T459"/>
    <mergeCell ref="A456:E456"/>
    <mergeCell ref="I456:J456"/>
    <mergeCell ref="N456:P456"/>
    <mergeCell ref="S456:T456"/>
    <mergeCell ref="A457:E457"/>
    <mergeCell ref="I457:J457"/>
    <mergeCell ref="N457:P457"/>
    <mergeCell ref="S457:T457"/>
    <mergeCell ref="A454:E454"/>
    <mergeCell ref="I454:J454"/>
    <mergeCell ref="N454:P454"/>
    <mergeCell ref="S454:T454"/>
    <mergeCell ref="A455:E455"/>
    <mergeCell ref="I455:J455"/>
    <mergeCell ref="N455:P455"/>
    <mergeCell ref="S455:T455"/>
    <mergeCell ref="A452:E452"/>
    <mergeCell ref="I452:J452"/>
    <mergeCell ref="N452:P452"/>
    <mergeCell ref="S452:T452"/>
    <mergeCell ref="A453:E453"/>
    <mergeCell ref="I453:J453"/>
    <mergeCell ref="N453:P453"/>
    <mergeCell ref="S453:T453"/>
    <mergeCell ref="A450:E450"/>
    <mergeCell ref="I450:J450"/>
    <mergeCell ref="N450:P450"/>
    <mergeCell ref="S450:T450"/>
    <mergeCell ref="A451:E451"/>
    <mergeCell ref="I451:J451"/>
    <mergeCell ref="N451:P451"/>
    <mergeCell ref="S451:T451"/>
    <mergeCell ref="A448:E448"/>
    <mergeCell ref="I448:J448"/>
    <mergeCell ref="N448:P448"/>
    <mergeCell ref="S448:T448"/>
    <mergeCell ref="A449:E449"/>
    <mergeCell ref="I449:J449"/>
    <mergeCell ref="N449:P449"/>
    <mergeCell ref="S449:T449"/>
    <mergeCell ref="A446:E446"/>
    <mergeCell ref="I446:J446"/>
    <mergeCell ref="N446:P446"/>
    <mergeCell ref="S446:T446"/>
    <mergeCell ref="A447:E447"/>
    <mergeCell ref="I447:J447"/>
    <mergeCell ref="N447:P447"/>
    <mergeCell ref="S447:T447"/>
    <mergeCell ref="A444:E444"/>
    <mergeCell ref="I444:J444"/>
    <mergeCell ref="N444:P444"/>
    <mergeCell ref="S444:T444"/>
    <mergeCell ref="A445:E445"/>
    <mergeCell ref="I445:J445"/>
    <mergeCell ref="N445:P445"/>
    <mergeCell ref="S445:T445"/>
    <mergeCell ref="A442:E442"/>
    <mergeCell ref="I442:J442"/>
    <mergeCell ref="N442:P442"/>
    <mergeCell ref="S442:T442"/>
    <mergeCell ref="A443:E443"/>
    <mergeCell ref="I443:J443"/>
    <mergeCell ref="N443:P443"/>
    <mergeCell ref="S443:T443"/>
    <mergeCell ref="A440:E440"/>
    <mergeCell ref="I440:J440"/>
    <mergeCell ref="N440:P440"/>
    <mergeCell ref="S440:T440"/>
    <mergeCell ref="A441:E441"/>
    <mergeCell ref="I441:J441"/>
    <mergeCell ref="N441:P441"/>
    <mergeCell ref="S441:T441"/>
    <mergeCell ref="A438:E438"/>
    <mergeCell ref="I438:J438"/>
    <mergeCell ref="N438:P438"/>
    <mergeCell ref="S438:T438"/>
    <mergeCell ref="A439:E439"/>
    <mergeCell ref="I439:J439"/>
    <mergeCell ref="N439:P439"/>
    <mergeCell ref="S439:T439"/>
    <mergeCell ref="A436:E436"/>
    <mergeCell ref="I436:J436"/>
    <mergeCell ref="N436:P436"/>
    <mergeCell ref="S436:T436"/>
    <mergeCell ref="A437:E437"/>
    <mergeCell ref="I437:J437"/>
    <mergeCell ref="N437:P437"/>
    <mergeCell ref="S437:T437"/>
    <mergeCell ref="A434:E434"/>
    <mergeCell ref="I434:J434"/>
    <mergeCell ref="N434:P434"/>
    <mergeCell ref="S434:T434"/>
    <mergeCell ref="A435:E435"/>
    <mergeCell ref="I435:J435"/>
    <mergeCell ref="N435:P435"/>
    <mergeCell ref="S435:T435"/>
    <mergeCell ref="A432:E432"/>
    <mergeCell ref="I432:J432"/>
    <mergeCell ref="N432:P432"/>
    <mergeCell ref="S432:T432"/>
    <mergeCell ref="A433:E433"/>
    <mergeCell ref="I433:J433"/>
    <mergeCell ref="N433:P433"/>
    <mergeCell ref="S433:T433"/>
    <mergeCell ref="A430:E430"/>
    <mergeCell ref="I430:J430"/>
    <mergeCell ref="N430:P430"/>
    <mergeCell ref="S430:T430"/>
    <mergeCell ref="A431:E431"/>
    <mergeCell ref="I431:J431"/>
    <mergeCell ref="N431:P431"/>
    <mergeCell ref="S431:T431"/>
    <mergeCell ref="A428:E428"/>
    <mergeCell ref="I428:J428"/>
    <mergeCell ref="N428:P428"/>
    <mergeCell ref="S428:T428"/>
    <mergeCell ref="A429:E429"/>
    <mergeCell ref="I429:J429"/>
    <mergeCell ref="N429:P429"/>
    <mergeCell ref="S429:T429"/>
    <mergeCell ref="A426:E426"/>
    <mergeCell ref="I426:J426"/>
    <mergeCell ref="N426:P426"/>
    <mergeCell ref="S426:T426"/>
    <mergeCell ref="A427:E427"/>
    <mergeCell ref="I427:J427"/>
    <mergeCell ref="N427:P427"/>
    <mergeCell ref="S427:T427"/>
    <mergeCell ref="A424:E424"/>
    <mergeCell ref="I424:J424"/>
    <mergeCell ref="N424:P424"/>
    <mergeCell ref="S424:T424"/>
    <mergeCell ref="A425:E425"/>
    <mergeCell ref="I425:J425"/>
    <mergeCell ref="N425:P425"/>
    <mergeCell ref="S425:T425"/>
    <mergeCell ref="A422:E422"/>
    <mergeCell ref="I422:J422"/>
    <mergeCell ref="N422:P422"/>
    <mergeCell ref="S422:T422"/>
    <mergeCell ref="A423:E423"/>
    <mergeCell ref="I423:J423"/>
    <mergeCell ref="N423:P423"/>
    <mergeCell ref="S423:T423"/>
    <mergeCell ref="A420:E420"/>
    <mergeCell ref="I420:J420"/>
    <mergeCell ref="N420:P420"/>
    <mergeCell ref="S420:T420"/>
    <mergeCell ref="A421:E421"/>
    <mergeCell ref="I421:J421"/>
    <mergeCell ref="N421:P421"/>
    <mergeCell ref="S421:T421"/>
    <mergeCell ref="A418:E418"/>
    <mergeCell ref="I418:J418"/>
    <mergeCell ref="N418:P418"/>
    <mergeCell ref="S418:T418"/>
    <mergeCell ref="A419:E419"/>
    <mergeCell ref="I419:J419"/>
    <mergeCell ref="N419:P419"/>
    <mergeCell ref="S419:T419"/>
    <mergeCell ref="A416:E416"/>
    <mergeCell ref="I416:J416"/>
    <mergeCell ref="N416:P416"/>
    <mergeCell ref="S416:T416"/>
    <mergeCell ref="A417:E417"/>
    <mergeCell ref="I417:J417"/>
    <mergeCell ref="N417:P417"/>
    <mergeCell ref="S417:T417"/>
    <mergeCell ref="A414:E414"/>
    <mergeCell ref="I414:J414"/>
    <mergeCell ref="N414:P414"/>
    <mergeCell ref="S414:T414"/>
    <mergeCell ref="A415:E415"/>
    <mergeCell ref="I415:J415"/>
    <mergeCell ref="N415:P415"/>
    <mergeCell ref="S415:T415"/>
    <mergeCell ref="A412:E412"/>
    <mergeCell ref="I412:J412"/>
    <mergeCell ref="N412:P412"/>
    <mergeCell ref="S412:T412"/>
    <mergeCell ref="A413:E413"/>
    <mergeCell ref="I413:J413"/>
    <mergeCell ref="N413:P413"/>
    <mergeCell ref="S413:T413"/>
    <mergeCell ref="A410:E410"/>
    <mergeCell ref="I410:J410"/>
    <mergeCell ref="N410:P410"/>
    <mergeCell ref="S410:T410"/>
    <mergeCell ref="A411:E411"/>
    <mergeCell ref="I411:J411"/>
    <mergeCell ref="N411:P411"/>
    <mergeCell ref="S411:T411"/>
    <mergeCell ref="A408:E408"/>
    <mergeCell ref="I408:J408"/>
    <mergeCell ref="N408:P408"/>
    <mergeCell ref="S408:T408"/>
    <mergeCell ref="A409:E409"/>
    <mergeCell ref="I409:J409"/>
    <mergeCell ref="N409:P409"/>
    <mergeCell ref="S409:T409"/>
    <mergeCell ref="A406:E406"/>
    <mergeCell ref="I406:J406"/>
    <mergeCell ref="N406:P406"/>
    <mergeCell ref="S406:T406"/>
    <mergeCell ref="A407:E407"/>
    <mergeCell ref="I407:J407"/>
    <mergeCell ref="N407:P407"/>
    <mergeCell ref="S407:T407"/>
    <mergeCell ref="A404:E404"/>
    <mergeCell ref="I404:J404"/>
    <mergeCell ref="N404:P404"/>
    <mergeCell ref="S404:T404"/>
    <mergeCell ref="A405:E405"/>
    <mergeCell ref="I405:J405"/>
    <mergeCell ref="N405:P405"/>
    <mergeCell ref="S405:T405"/>
    <mergeCell ref="A402:E402"/>
    <mergeCell ref="I402:J402"/>
    <mergeCell ref="N402:P402"/>
    <mergeCell ref="S402:T402"/>
    <mergeCell ref="A403:E403"/>
    <mergeCell ref="I403:J403"/>
    <mergeCell ref="N403:P403"/>
    <mergeCell ref="S403:T403"/>
    <mergeCell ref="A400:E400"/>
    <mergeCell ref="I400:J400"/>
    <mergeCell ref="N400:P400"/>
    <mergeCell ref="S400:T400"/>
    <mergeCell ref="A401:E401"/>
    <mergeCell ref="I401:J401"/>
    <mergeCell ref="N401:P401"/>
    <mergeCell ref="S401:T401"/>
    <mergeCell ref="A398:E398"/>
    <mergeCell ref="I398:J398"/>
    <mergeCell ref="N398:P398"/>
    <mergeCell ref="S398:T398"/>
    <mergeCell ref="A399:E399"/>
    <mergeCell ref="I399:J399"/>
    <mergeCell ref="N399:P399"/>
    <mergeCell ref="S399:T399"/>
    <mergeCell ref="A396:E396"/>
    <mergeCell ref="I396:J396"/>
    <mergeCell ref="N396:P396"/>
    <mergeCell ref="S396:T396"/>
    <mergeCell ref="A397:E397"/>
    <mergeCell ref="I397:J397"/>
    <mergeCell ref="N397:P397"/>
    <mergeCell ref="S397:T397"/>
    <mergeCell ref="A394:E394"/>
    <mergeCell ref="I394:J394"/>
    <mergeCell ref="N394:P394"/>
    <mergeCell ref="S394:T394"/>
    <mergeCell ref="A395:E395"/>
    <mergeCell ref="I395:J395"/>
    <mergeCell ref="N395:P395"/>
    <mergeCell ref="S395:T395"/>
    <mergeCell ref="A392:E392"/>
    <mergeCell ref="I392:J392"/>
    <mergeCell ref="N392:P392"/>
    <mergeCell ref="S392:T392"/>
    <mergeCell ref="A393:E393"/>
    <mergeCell ref="I393:J393"/>
    <mergeCell ref="N393:P393"/>
    <mergeCell ref="S393:T393"/>
    <mergeCell ref="A390:E390"/>
    <mergeCell ref="I390:J390"/>
    <mergeCell ref="N390:P390"/>
    <mergeCell ref="S390:T390"/>
    <mergeCell ref="A391:E391"/>
    <mergeCell ref="I391:J391"/>
    <mergeCell ref="N391:P391"/>
    <mergeCell ref="S391:T391"/>
    <mergeCell ref="A388:E388"/>
    <mergeCell ref="I388:J388"/>
    <mergeCell ref="N388:P388"/>
    <mergeCell ref="S388:T388"/>
    <mergeCell ref="A389:E389"/>
    <mergeCell ref="I389:J389"/>
    <mergeCell ref="N389:P389"/>
    <mergeCell ref="S389:T389"/>
    <mergeCell ref="A386:E386"/>
    <mergeCell ref="I386:J386"/>
    <mergeCell ref="N386:P386"/>
    <mergeCell ref="S386:T386"/>
    <mergeCell ref="A387:E387"/>
    <mergeCell ref="I387:J387"/>
    <mergeCell ref="N387:P387"/>
    <mergeCell ref="S387:T387"/>
    <mergeCell ref="A384:E384"/>
    <mergeCell ref="I384:J384"/>
    <mergeCell ref="N384:P384"/>
    <mergeCell ref="S384:T384"/>
    <mergeCell ref="A385:E385"/>
    <mergeCell ref="I385:J385"/>
    <mergeCell ref="N385:P385"/>
    <mergeCell ref="S385:T385"/>
    <mergeCell ref="A382:E382"/>
    <mergeCell ref="I382:J382"/>
    <mergeCell ref="N382:P382"/>
    <mergeCell ref="S382:T382"/>
    <mergeCell ref="A383:E383"/>
    <mergeCell ref="I383:J383"/>
    <mergeCell ref="N383:P383"/>
    <mergeCell ref="S383:T383"/>
    <mergeCell ref="A380:E380"/>
    <mergeCell ref="I380:J380"/>
    <mergeCell ref="N380:P380"/>
    <mergeCell ref="S380:T380"/>
    <mergeCell ref="A381:E381"/>
    <mergeCell ref="I381:J381"/>
    <mergeCell ref="N381:P381"/>
    <mergeCell ref="S381:T381"/>
    <mergeCell ref="A378:E378"/>
    <mergeCell ref="I378:J378"/>
    <mergeCell ref="N378:P378"/>
    <mergeCell ref="S378:T378"/>
    <mergeCell ref="A379:E379"/>
    <mergeCell ref="I379:J379"/>
    <mergeCell ref="N379:P379"/>
    <mergeCell ref="S379:T379"/>
    <mergeCell ref="A376:E376"/>
    <mergeCell ref="I376:J376"/>
    <mergeCell ref="N376:P376"/>
    <mergeCell ref="S376:T376"/>
    <mergeCell ref="A377:E377"/>
    <mergeCell ref="I377:J377"/>
    <mergeCell ref="N377:P377"/>
    <mergeCell ref="S377:T377"/>
    <mergeCell ref="A374:E374"/>
    <mergeCell ref="I374:J374"/>
    <mergeCell ref="N374:P374"/>
    <mergeCell ref="S374:T374"/>
    <mergeCell ref="A375:E375"/>
    <mergeCell ref="I375:J375"/>
    <mergeCell ref="N375:P375"/>
    <mergeCell ref="S375:T375"/>
    <mergeCell ref="A372:E372"/>
    <mergeCell ref="I372:J372"/>
    <mergeCell ref="N372:P372"/>
    <mergeCell ref="S372:T372"/>
    <mergeCell ref="A373:E373"/>
    <mergeCell ref="I373:J373"/>
    <mergeCell ref="N373:P373"/>
    <mergeCell ref="S373:T373"/>
    <mergeCell ref="A370:E370"/>
    <mergeCell ref="I370:J370"/>
    <mergeCell ref="N370:P370"/>
    <mergeCell ref="S370:T370"/>
    <mergeCell ref="A371:E371"/>
    <mergeCell ref="I371:J371"/>
    <mergeCell ref="N371:P371"/>
    <mergeCell ref="S371:T371"/>
    <mergeCell ref="A368:E368"/>
    <mergeCell ref="I368:J368"/>
    <mergeCell ref="N368:P368"/>
    <mergeCell ref="S368:T368"/>
    <mergeCell ref="A369:E369"/>
    <mergeCell ref="I369:J369"/>
    <mergeCell ref="N369:P369"/>
    <mergeCell ref="S369:T369"/>
    <mergeCell ref="A366:E366"/>
    <mergeCell ref="I366:J366"/>
    <mergeCell ref="N366:P366"/>
    <mergeCell ref="S366:T366"/>
    <mergeCell ref="A367:E367"/>
    <mergeCell ref="I367:J367"/>
    <mergeCell ref="N367:P367"/>
    <mergeCell ref="S367:T367"/>
    <mergeCell ref="A364:E364"/>
    <mergeCell ref="I364:J364"/>
    <mergeCell ref="N364:P364"/>
    <mergeCell ref="S364:T364"/>
    <mergeCell ref="A365:E365"/>
    <mergeCell ref="I365:J365"/>
    <mergeCell ref="N365:P365"/>
    <mergeCell ref="S365:T365"/>
    <mergeCell ref="A362:E362"/>
    <mergeCell ref="I362:J362"/>
    <mergeCell ref="N362:P362"/>
    <mergeCell ref="S362:T362"/>
    <mergeCell ref="A363:E363"/>
    <mergeCell ref="I363:J363"/>
    <mergeCell ref="N363:P363"/>
    <mergeCell ref="S363:T363"/>
    <mergeCell ref="A360:E360"/>
    <mergeCell ref="I360:J360"/>
    <mergeCell ref="N360:P360"/>
    <mergeCell ref="S360:T360"/>
    <mergeCell ref="A361:E361"/>
    <mergeCell ref="I361:J361"/>
    <mergeCell ref="N361:P361"/>
    <mergeCell ref="S361:T361"/>
    <mergeCell ref="A358:E358"/>
    <mergeCell ref="I358:J358"/>
    <mergeCell ref="N358:P358"/>
    <mergeCell ref="S358:T358"/>
    <mergeCell ref="A359:E359"/>
    <mergeCell ref="I359:J359"/>
    <mergeCell ref="N359:P359"/>
    <mergeCell ref="S359:T359"/>
    <mergeCell ref="A356:E356"/>
    <mergeCell ref="I356:J356"/>
    <mergeCell ref="N356:P356"/>
    <mergeCell ref="S356:T356"/>
    <mergeCell ref="A357:E357"/>
    <mergeCell ref="I357:J357"/>
    <mergeCell ref="N357:P357"/>
    <mergeCell ref="S357:T357"/>
    <mergeCell ref="A354:E354"/>
    <mergeCell ref="I354:J354"/>
    <mergeCell ref="N354:P354"/>
    <mergeCell ref="S354:T354"/>
    <mergeCell ref="A355:E355"/>
    <mergeCell ref="I355:J355"/>
    <mergeCell ref="N355:P355"/>
    <mergeCell ref="S355:T355"/>
    <mergeCell ref="A352:E352"/>
    <mergeCell ref="I352:J352"/>
    <mergeCell ref="N352:P352"/>
    <mergeCell ref="S352:T352"/>
    <mergeCell ref="A353:E353"/>
    <mergeCell ref="I353:J353"/>
    <mergeCell ref="N353:P353"/>
    <mergeCell ref="S353:T353"/>
    <mergeCell ref="A350:E350"/>
    <mergeCell ref="I350:J350"/>
    <mergeCell ref="N350:P350"/>
    <mergeCell ref="S350:T350"/>
    <mergeCell ref="A351:E351"/>
    <mergeCell ref="I351:J351"/>
    <mergeCell ref="N351:P351"/>
    <mergeCell ref="S351:T351"/>
    <mergeCell ref="A348:E348"/>
    <mergeCell ref="I348:J348"/>
    <mergeCell ref="N348:P348"/>
    <mergeCell ref="S348:T348"/>
    <mergeCell ref="A349:E349"/>
    <mergeCell ref="I349:J349"/>
    <mergeCell ref="N349:P349"/>
    <mergeCell ref="S349:T349"/>
    <mergeCell ref="A346:E346"/>
    <mergeCell ref="I346:J346"/>
    <mergeCell ref="N346:P346"/>
    <mergeCell ref="S346:T346"/>
    <mergeCell ref="A347:E347"/>
    <mergeCell ref="I347:J347"/>
    <mergeCell ref="N347:P347"/>
    <mergeCell ref="S347:T347"/>
    <mergeCell ref="A344:E344"/>
    <mergeCell ref="I344:J344"/>
    <mergeCell ref="N344:P344"/>
    <mergeCell ref="S344:T344"/>
    <mergeCell ref="A345:E345"/>
    <mergeCell ref="I345:J345"/>
    <mergeCell ref="N345:P345"/>
    <mergeCell ref="S345:T345"/>
    <mergeCell ref="A342:E342"/>
    <mergeCell ref="I342:J342"/>
    <mergeCell ref="N342:P342"/>
    <mergeCell ref="S342:T342"/>
    <mergeCell ref="A343:E343"/>
    <mergeCell ref="I343:J343"/>
    <mergeCell ref="N343:P343"/>
    <mergeCell ref="S343:T343"/>
    <mergeCell ref="A340:E340"/>
    <mergeCell ref="I340:J340"/>
    <mergeCell ref="N340:P340"/>
    <mergeCell ref="S340:T340"/>
    <mergeCell ref="A341:E341"/>
    <mergeCell ref="I341:J341"/>
    <mergeCell ref="N341:P341"/>
    <mergeCell ref="S341:T341"/>
    <mergeCell ref="A338:E338"/>
    <mergeCell ref="I338:J338"/>
    <mergeCell ref="N338:P338"/>
    <mergeCell ref="S338:T338"/>
    <mergeCell ref="A339:E339"/>
    <mergeCell ref="I339:J339"/>
    <mergeCell ref="N339:P339"/>
    <mergeCell ref="S339:T339"/>
    <mergeCell ref="A336:E336"/>
    <mergeCell ref="I336:J336"/>
    <mergeCell ref="N336:P336"/>
    <mergeCell ref="S336:T336"/>
    <mergeCell ref="A337:E337"/>
    <mergeCell ref="I337:J337"/>
    <mergeCell ref="N337:P337"/>
    <mergeCell ref="S337:T337"/>
    <mergeCell ref="A334:E334"/>
    <mergeCell ref="I334:J334"/>
    <mergeCell ref="N334:P334"/>
    <mergeCell ref="S334:T334"/>
    <mergeCell ref="A335:E335"/>
    <mergeCell ref="I335:J335"/>
    <mergeCell ref="N335:P335"/>
    <mergeCell ref="S335:T335"/>
    <mergeCell ref="A332:E332"/>
    <mergeCell ref="I332:J332"/>
    <mergeCell ref="N332:P332"/>
    <mergeCell ref="S332:T332"/>
    <mergeCell ref="A333:E333"/>
    <mergeCell ref="I333:J333"/>
    <mergeCell ref="N333:P333"/>
    <mergeCell ref="S333:T333"/>
    <mergeCell ref="A330:E330"/>
    <mergeCell ref="I330:J330"/>
    <mergeCell ref="N330:P330"/>
    <mergeCell ref="S330:T330"/>
    <mergeCell ref="A331:E331"/>
    <mergeCell ref="I331:J331"/>
    <mergeCell ref="N331:P331"/>
    <mergeCell ref="S331:T331"/>
    <mergeCell ref="A328:E328"/>
    <mergeCell ref="I328:J328"/>
    <mergeCell ref="N328:P328"/>
    <mergeCell ref="S328:T328"/>
    <mergeCell ref="A329:E329"/>
    <mergeCell ref="I329:J329"/>
    <mergeCell ref="N329:P329"/>
    <mergeCell ref="S329:T329"/>
    <mergeCell ref="A326:E326"/>
    <mergeCell ref="I326:J326"/>
    <mergeCell ref="N326:P326"/>
    <mergeCell ref="S326:T326"/>
    <mergeCell ref="A327:E327"/>
    <mergeCell ref="I327:J327"/>
    <mergeCell ref="N327:P327"/>
    <mergeCell ref="S327:T327"/>
    <mergeCell ref="A324:E324"/>
    <mergeCell ref="I324:J324"/>
    <mergeCell ref="N324:P324"/>
    <mergeCell ref="S324:T324"/>
    <mergeCell ref="A325:E325"/>
    <mergeCell ref="I325:J325"/>
    <mergeCell ref="N325:P325"/>
    <mergeCell ref="S325:T325"/>
    <mergeCell ref="A322:E322"/>
    <mergeCell ref="I322:J322"/>
    <mergeCell ref="N322:P322"/>
    <mergeCell ref="S322:T322"/>
    <mergeCell ref="A323:E323"/>
    <mergeCell ref="I323:J323"/>
    <mergeCell ref="N323:P323"/>
    <mergeCell ref="S323:T323"/>
    <mergeCell ref="A320:E320"/>
    <mergeCell ref="I320:J320"/>
    <mergeCell ref="N320:P320"/>
    <mergeCell ref="S320:T320"/>
    <mergeCell ref="A321:E321"/>
    <mergeCell ref="I321:J321"/>
    <mergeCell ref="N321:P321"/>
    <mergeCell ref="S321:T321"/>
    <mergeCell ref="A318:E318"/>
    <mergeCell ref="I318:J318"/>
    <mergeCell ref="N318:P318"/>
    <mergeCell ref="S318:T318"/>
    <mergeCell ref="A319:E319"/>
    <mergeCell ref="I319:J319"/>
    <mergeCell ref="N319:P319"/>
    <mergeCell ref="S319:T319"/>
    <mergeCell ref="A316:E316"/>
    <mergeCell ref="I316:J316"/>
    <mergeCell ref="N316:P316"/>
    <mergeCell ref="S316:T316"/>
    <mergeCell ref="A317:E317"/>
    <mergeCell ref="I317:J317"/>
    <mergeCell ref="N317:P317"/>
    <mergeCell ref="S317:T317"/>
    <mergeCell ref="A314:E314"/>
    <mergeCell ref="I314:J314"/>
    <mergeCell ref="N314:P314"/>
    <mergeCell ref="S314:T314"/>
    <mergeCell ref="A315:E315"/>
    <mergeCell ref="I315:J315"/>
    <mergeCell ref="N315:P315"/>
    <mergeCell ref="S315:T315"/>
    <mergeCell ref="A312:E312"/>
    <mergeCell ref="I312:J312"/>
    <mergeCell ref="N312:P312"/>
    <mergeCell ref="S312:T312"/>
    <mergeCell ref="A313:E313"/>
    <mergeCell ref="I313:J313"/>
    <mergeCell ref="N313:P313"/>
    <mergeCell ref="S313:T313"/>
    <mergeCell ref="A310:E310"/>
    <mergeCell ref="I310:J310"/>
    <mergeCell ref="N310:P310"/>
    <mergeCell ref="S310:T310"/>
    <mergeCell ref="A311:E311"/>
    <mergeCell ref="I311:J311"/>
    <mergeCell ref="N311:P311"/>
    <mergeCell ref="S311:T311"/>
    <mergeCell ref="A308:E308"/>
    <mergeCell ref="I308:J308"/>
    <mergeCell ref="N308:P308"/>
    <mergeCell ref="S308:T308"/>
    <mergeCell ref="A309:E309"/>
    <mergeCell ref="I309:J309"/>
    <mergeCell ref="N309:P309"/>
    <mergeCell ref="S309:T309"/>
    <mergeCell ref="A306:E306"/>
    <mergeCell ref="I306:J306"/>
    <mergeCell ref="N306:P306"/>
    <mergeCell ref="S306:T306"/>
    <mergeCell ref="A307:E307"/>
    <mergeCell ref="I307:J307"/>
    <mergeCell ref="N307:P307"/>
    <mergeCell ref="S307:T307"/>
    <mergeCell ref="A304:E304"/>
    <mergeCell ref="I304:J304"/>
    <mergeCell ref="N304:P304"/>
    <mergeCell ref="S304:T304"/>
    <mergeCell ref="A305:E305"/>
    <mergeCell ref="I305:J305"/>
    <mergeCell ref="N305:P305"/>
    <mergeCell ref="S305:T305"/>
    <mergeCell ref="A302:E302"/>
    <mergeCell ref="I302:J302"/>
    <mergeCell ref="N302:P302"/>
    <mergeCell ref="S302:T302"/>
    <mergeCell ref="A303:E303"/>
    <mergeCell ref="I303:J303"/>
    <mergeCell ref="N303:P303"/>
    <mergeCell ref="S303:T303"/>
    <mergeCell ref="A300:E300"/>
    <mergeCell ref="I300:J300"/>
    <mergeCell ref="N300:P300"/>
    <mergeCell ref="S300:T300"/>
    <mergeCell ref="A301:E301"/>
    <mergeCell ref="I301:J301"/>
    <mergeCell ref="N301:P301"/>
    <mergeCell ref="S301:T301"/>
    <mergeCell ref="A298:E298"/>
    <mergeCell ref="I298:J298"/>
    <mergeCell ref="N298:P298"/>
    <mergeCell ref="S298:T298"/>
    <mergeCell ref="A299:E299"/>
    <mergeCell ref="I299:J299"/>
    <mergeCell ref="N299:P299"/>
    <mergeCell ref="S299:T299"/>
    <mergeCell ref="A296:E296"/>
    <mergeCell ref="I296:J296"/>
    <mergeCell ref="N296:P296"/>
    <mergeCell ref="S296:T296"/>
    <mergeCell ref="A297:E297"/>
    <mergeCell ref="I297:J297"/>
    <mergeCell ref="N297:P297"/>
    <mergeCell ref="S297:T297"/>
    <mergeCell ref="A294:E294"/>
    <mergeCell ref="I294:J294"/>
    <mergeCell ref="N294:P294"/>
    <mergeCell ref="S294:T294"/>
    <mergeCell ref="A295:E295"/>
    <mergeCell ref="I295:J295"/>
    <mergeCell ref="N295:P295"/>
    <mergeCell ref="S295:T295"/>
    <mergeCell ref="A292:E292"/>
    <mergeCell ref="I292:J292"/>
    <mergeCell ref="N292:P292"/>
    <mergeCell ref="S292:T292"/>
    <mergeCell ref="A293:E293"/>
    <mergeCell ref="I293:J293"/>
    <mergeCell ref="N293:P293"/>
    <mergeCell ref="S293:T293"/>
    <mergeCell ref="A290:E290"/>
    <mergeCell ref="I290:J290"/>
    <mergeCell ref="N290:P290"/>
    <mergeCell ref="S290:T290"/>
    <mergeCell ref="A291:E291"/>
    <mergeCell ref="I291:J291"/>
    <mergeCell ref="N291:P291"/>
    <mergeCell ref="S291:T291"/>
    <mergeCell ref="A288:E288"/>
    <mergeCell ref="I288:J288"/>
    <mergeCell ref="N288:P288"/>
    <mergeCell ref="S288:T288"/>
    <mergeCell ref="A289:E289"/>
    <mergeCell ref="I289:J289"/>
    <mergeCell ref="N289:P289"/>
    <mergeCell ref="S289:T289"/>
    <mergeCell ref="A286:E286"/>
    <mergeCell ref="I286:J286"/>
    <mergeCell ref="N286:P286"/>
    <mergeCell ref="S286:T286"/>
    <mergeCell ref="A287:E287"/>
    <mergeCell ref="I287:J287"/>
    <mergeCell ref="N287:P287"/>
    <mergeCell ref="S287:T287"/>
    <mergeCell ref="A284:E284"/>
    <mergeCell ref="I284:J284"/>
    <mergeCell ref="N284:P284"/>
    <mergeCell ref="S284:T284"/>
    <mergeCell ref="A285:E285"/>
    <mergeCell ref="I285:J285"/>
    <mergeCell ref="N285:P285"/>
    <mergeCell ref="S285:T285"/>
    <mergeCell ref="A282:E282"/>
    <mergeCell ref="I282:J282"/>
    <mergeCell ref="N282:P282"/>
    <mergeCell ref="S282:T282"/>
    <mergeCell ref="A283:E283"/>
    <mergeCell ref="I283:J283"/>
    <mergeCell ref="N283:P283"/>
    <mergeCell ref="S283:T283"/>
    <mergeCell ref="A280:E280"/>
    <mergeCell ref="I280:J280"/>
    <mergeCell ref="N280:P280"/>
    <mergeCell ref="S280:T280"/>
    <mergeCell ref="A281:E281"/>
    <mergeCell ref="I281:J281"/>
    <mergeCell ref="N281:P281"/>
    <mergeCell ref="S281:T281"/>
    <mergeCell ref="A278:E278"/>
    <mergeCell ref="I278:J278"/>
    <mergeCell ref="N278:P278"/>
    <mergeCell ref="S278:T278"/>
    <mergeCell ref="A279:E279"/>
    <mergeCell ref="I279:J279"/>
    <mergeCell ref="N279:P279"/>
    <mergeCell ref="S279:T279"/>
    <mergeCell ref="A276:E276"/>
    <mergeCell ref="I276:J276"/>
    <mergeCell ref="N276:P276"/>
    <mergeCell ref="S276:T276"/>
    <mergeCell ref="A277:E277"/>
    <mergeCell ref="I277:J277"/>
    <mergeCell ref="N277:P277"/>
    <mergeCell ref="S277:T277"/>
    <mergeCell ref="A274:E274"/>
    <mergeCell ref="I274:J274"/>
    <mergeCell ref="N274:P274"/>
    <mergeCell ref="S274:T274"/>
    <mergeCell ref="A275:E275"/>
    <mergeCell ref="I275:J275"/>
    <mergeCell ref="N275:P275"/>
    <mergeCell ref="S275:T275"/>
    <mergeCell ref="A272:E272"/>
    <mergeCell ref="I272:J272"/>
    <mergeCell ref="N272:P272"/>
    <mergeCell ref="S272:T272"/>
    <mergeCell ref="A273:E273"/>
    <mergeCell ref="I273:J273"/>
    <mergeCell ref="N273:P273"/>
    <mergeCell ref="S273:T273"/>
    <mergeCell ref="A270:E270"/>
    <mergeCell ref="I270:J270"/>
    <mergeCell ref="N270:P270"/>
    <mergeCell ref="S270:T270"/>
    <mergeCell ref="A271:E271"/>
    <mergeCell ref="I271:J271"/>
    <mergeCell ref="N271:P271"/>
    <mergeCell ref="S271:T271"/>
    <mergeCell ref="A268:E268"/>
    <mergeCell ref="I268:J268"/>
    <mergeCell ref="N268:P268"/>
    <mergeCell ref="S268:T268"/>
    <mergeCell ref="A269:E269"/>
    <mergeCell ref="I269:J269"/>
    <mergeCell ref="N269:P269"/>
    <mergeCell ref="S269:T269"/>
    <mergeCell ref="A266:E266"/>
    <mergeCell ref="I266:J266"/>
    <mergeCell ref="N266:P266"/>
    <mergeCell ref="S266:T266"/>
    <mergeCell ref="A267:E267"/>
    <mergeCell ref="I267:J267"/>
    <mergeCell ref="N267:P267"/>
    <mergeCell ref="S267:T267"/>
    <mergeCell ref="A264:E264"/>
    <mergeCell ref="I264:J264"/>
    <mergeCell ref="N264:P264"/>
    <mergeCell ref="S264:T264"/>
    <mergeCell ref="A265:E265"/>
    <mergeCell ref="I265:J265"/>
    <mergeCell ref="N265:P265"/>
    <mergeCell ref="S265:T265"/>
    <mergeCell ref="A262:E262"/>
    <mergeCell ref="I262:J262"/>
    <mergeCell ref="N262:P262"/>
    <mergeCell ref="S262:T262"/>
    <mergeCell ref="A263:E263"/>
    <mergeCell ref="I263:J263"/>
    <mergeCell ref="N263:P263"/>
    <mergeCell ref="S263:T263"/>
    <mergeCell ref="A260:E260"/>
    <mergeCell ref="I260:J260"/>
    <mergeCell ref="N260:P260"/>
    <mergeCell ref="S260:T260"/>
    <mergeCell ref="A261:E261"/>
    <mergeCell ref="I261:J261"/>
    <mergeCell ref="N261:P261"/>
    <mergeCell ref="S261:T261"/>
    <mergeCell ref="A258:E258"/>
    <mergeCell ref="I258:J258"/>
    <mergeCell ref="N258:P258"/>
    <mergeCell ref="S258:T258"/>
    <mergeCell ref="A259:E259"/>
    <mergeCell ref="I259:J259"/>
    <mergeCell ref="N259:P259"/>
    <mergeCell ref="S259:T259"/>
    <mergeCell ref="A256:E256"/>
    <mergeCell ref="I256:J256"/>
    <mergeCell ref="N256:P256"/>
    <mergeCell ref="S256:T256"/>
    <mergeCell ref="A257:E257"/>
    <mergeCell ref="I257:J257"/>
    <mergeCell ref="N257:P257"/>
    <mergeCell ref="S257:T257"/>
    <mergeCell ref="A254:E254"/>
    <mergeCell ref="I254:J254"/>
    <mergeCell ref="N254:P254"/>
    <mergeCell ref="S254:T254"/>
    <mergeCell ref="A255:E255"/>
    <mergeCell ref="I255:J255"/>
    <mergeCell ref="N255:P255"/>
    <mergeCell ref="S255:T255"/>
    <mergeCell ref="A252:E252"/>
    <mergeCell ref="I252:J252"/>
    <mergeCell ref="N252:P252"/>
    <mergeCell ref="S252:T252"/>
    <mergeCell ref="A253:E253"/>
    <mergeCell ref="I253:J253"/>
    <mergeCell ref="N253:P253"/>
    <mergeCell ref="S253:T253"/>
    <mergeCell ref="A250:E250"/>
    <mergeCell ref="I250:J250"/>
    <mergeCell ref="N250:P250"/>
    <mergeCell ref="S250:T250"/>
    <mergeCell ref="A251:E251"/>
    <mergeCell ref="I251:J251"/>
    <mergeCell ref="N251:P251"/>
    <mergeCell ref="S251:T251"/>
    <mergeCell ref="A248:E248"/>
    <mergeCell ref="I248:J248"/>
    <mergeCell ref="N248:P248"/>
    <mergeCell ref="S248:T248"/>
    <mergeCell ref="A249:E249"/>
    <mergeCell ref="I249:J249"/>
    <mergeCell ref="N249:P249"/>
    <mergeCell ref="S249:T249"/>
    <mergeCell ref="A246:E246"/>
    <mergeCell ref="I246:J246"/>
    <mergeCell ref="N246:P246"/>
    <mergeCell ref="S246:T246"/>
    <mergeCell ref="A247:E247"/>
    <mergeCell ref="I247:J247"/>
    <mergeCell ref="N247:P247"/>
    <mergeCell ref="S247:T247"/>
    <mergeCell ref="A244:E244"/>
    <mergeCell ref="I244:J244"/>
    <mergeCell ref="N244:P244"/>
    <mergeCell ref="S244:T244"/>
    <mergeCell ref="A245:E245"/>
    <mergeCell ref="I245:J245"/>
    <mergeCell ref="N245:P245"/>
    <mergeCell ref="S245:T245"/>
    <mergeCell ref="A242:E242"/>
    <mergeCell ref="I242:J242"/>
    <mergeCell ref="N242:P242"/>
    <mergeCell ref="S242:T242"/>
    <mergeCell ref="A243:E243"/>
    <mergeCell ref="I243:J243"/>
    <mergeCell ref="N243:P243"/>
    <mergeCell ref="S243:T243"/>
    <mergeCell ref="A240:E240"/>
    <mergeCell ref="I240:J240"/>
    <mergeCell ref="N240:P240"/>
    <mergeCell ref="S240:T240"/>
    <mergeCell ref="A241:E241"/>
    <mergeCell ref="I241:J241"/>
    <mergeCell ref="N241:P241"/>
    <mergeCell ref="S241:T241"/>
    <mergeCell ref="A238:E238"/>
    <mergeCell ref="I238:J238"/>
    <mergeCell ref="N238:P238"/>
    <mergeCell ref="S238:T238"/>
    <mergeCell ref="A239:E239"/>
    <mergeCell ref="I239:J239"/>
    <mergeCell ref="N239:P239"/>
    <mergeCell ref="S239:T239"/>
    <mergeCell ref="A236:E236"/>
    <mergeCell ref="I236:J236"/>
    <mergeCell ref="N236:P236"/>
    <mergeCell ref="S236:T236"/>
    <mergeCell ref="A237:E237"/>
    <mergeCell ref="I237:J237"/>
    <mergeCell ref="N237:P237"/>
    <mergeCell ref="S237:T237"/>
    <mergeCell ref="A234:E234"/>
    <mergeCell ref="I234:J234"/>
    <mergeCell ref="N234:P234"/>
    <mergeCell ref="S234:T234"/>
    <mergeCell ref="A235:E235"/>
    <mergeCell ref="I235:J235"/>
    <mergeCell ref="N235:P235"/>
    <mergeCell ref="S235:T235"/>
    <mergeCell ref="A232:E232"/>
    <mergeCell ref="I232:J232"/>
    <mergeCell ref="N232:P232"/>
    <mergeCell ref="S232:T232"/>
    <mergeCell ref="A233:E233"/>
    <mergeCell ref="I233:J233"/>
    <mergeCell ref="N233:P233"/>
    <mergeCell ref="S233:T233"/>
    <mergeCell ref="A230:E230"/>
    <mergeCell ref="I230:J230"/>
    <mergeCell ref="N230:P230"/>
    <mergeCell ref="S230:T230"/>
    <mergeCell ref="A231:E231"/>
    <mergeCell ref="I231:J231"/>
    <mergeCell ref="N231:P231"/>
    <mergeCell ref="S231:T231"/>
    <mergeCell ref="A228:E228"/>
    <mergeCell ref="I228:J228"/>
    <mergeCell ref="N228:P228"/>
    <mergeCell ref="S228:T228"/>
    <mergeCell ref="A229:E229"/>
    <mergeCell ref="I229:J229"/>
    <mergeCell ref="N229:P229"/>
    <mergeCell ref="S229:T229"/>
    <mergeCell ref="A226:E226"/>
    <mergeCell ref="I226:J226"/>
    <mergeCell ref="N226:P226"/>
    <mergeCell ref="S226:T226"/>
    <mergeCell ref="A227:E227"/>
    <mergeCell ref="I227:J227"/>
    <mergeCell ref="N227:P227"/>
    <mergeCell ref="S227:T227"/>
    <mergeCell ref="A224:E224"/>
    <mergeCell ref="I224:J224"/>
    <mergeCell ref="N224:P224"/>
    <mergeCell ref="S224:T224"/>
    <mergeCell ref="A225:E225"/>
    <mergeCell ref="I225:J225"/>
    <mergeCell ref="N225:P225"/>
    <mergeCell ref="S225:T225"/>
    <mergeCell ref="A222:E222"/>
    <mergeCell ref="I222:J222"/>
    <mergeCell ref="N222:P222"/>
    <mergeCell ref="S222:T222"/>
    <mergeCell ref="A223:E223"/>
    <mergeCell ref="I223:J223"/>
    <mergeCell ref="N223:P223"/>
    <mergeCell ref="S223:T223"/>
    <mergeCell ref="A220:E220"/>
    <mergeCell ref="I220:J220"/>
    <mergeCell ref="N220:P220"/>
    <mergeCell ref="S220:T220"/>
    <mergeCell ref="A221:E221"/>
    <mergeCell ref="I221:J221"/>
    <mergeCell ref="N221:P221"/>
    <mergeCell ref="S221:T221"/>
    <mergeCell ref="A218:E218"/>
    <mergeCell ref="I218:J218"/>
    <mergeCell ref="N218:P218"/>
    <mergeCell ref="S218:T218"/>
    <mergeCell ref="A219:E219"/>
    <mergeCell ref="I219:J219"/>
    <mergeCell ref="N219:P219"/>
    <mergeCell ref="S219:T219"/>
    <mergeCell ref="A216:E216"/>
    <mergeCell ref="I216:J216"/>
    <mergeCell ref="N216:P216"/>
    <mergeCell ref="S216:T216"/>
    <mergeCell ref="A217:E217"/>
    <mergeCell ref="I217:J217"/>
    <mergeCell ref="N217:P217"/>
    <mergeCell ref="S217:T217"/>
    <mergeCell ref="A214:E214"/>
    <mergeCell ref="I214:J214"/>
    <mergeCell ref="N214:P214"/>
    <mergeCell ref="S214:T214"/>
    <mergeCell ref="A215:E215"/>
    <mergeCell ref="I215:J215"/>
    <mergeCell ref="N215:P215"/>
    <mergeCell ref="S215:T215"/>
    <mergeCell ref="A212:E212"/>
    <mergeCell ref="I212:J212"/>
    <mergeCell ref="N212:P212"/>
    <mergeCell ref="S212:T212"/>
    <mergeCell ref="A213:E213"/>
    <mergeCell ref="I213:J213"/>
    <mergeCell ref="N213:P213"/>
    <mergeCell ref="S213:T213"/>
    <mergeCell ref="A210:E210"/>
    <mergeCell ref="I210:J210"/>
    <mergeCell ref="N210:P210"/>
    <mergeCell ref="S210:T210"/>
    <mergeCell ref="A211:E211"/>
    <mergeCell ref="I211:J211"/>
    <mergeCell ref="N211:P211"/>
    <mergeCell ref="S211:T211"/>
    <mergeCell ref="A208:E208"/>
    <mergeCell ref="I208:J208"/>
    <mergeCell ref="N208:P208"/>
    <mergeCell ref="S208:T208"/>
    <mergeCell ref="A209:E209"/>
    <mergeCell ref="I209:J209"/>
    <mergeCell ref="N209:P209"/>
    <mergeCell ref="S209:T209"/>
    <mergeCell ref="A206:E206"/>
    <mergeCell ref="I206:J206"/>
    <mergeCell ref="N206:P206"/>
    <mergeCell ref="S206:T206"/>
    <mergeCell ref="A207:E207"/>
    <mergeCell ref="I207:J207"/>
    <mergeCell ref="N207:P207"/>
    <mergeCell ref="S207:T207"/>
    <mergeCell ref="A204:E204"/>
    <mergeCell ref="I204:J204"/>
    <mergeCell ref="N204:P204"/>
    <mergeCell ref="S204:T204"/>
    <mergeCell ref="A205:E205"/>
    <mergeCell ref="I205:J205"/>
    <mergeCell ref="N205:P205"/>
    <mergeCell ref="S205:T205"/>
    <mergeCell ref="A202:E202"/>
    <mergeCell ref="I202:J202"/>
    <mergeCell ref="N202:P202"/>
    <mergeCell ref="S202:T202"/>
    <mergeCell ref="A203:E203"/>
    <mergeCell ref="I203:J203"/>
    <mergeCell ref="N203:P203"/>
    <mergeCell ref="S203:T203"/>
    <mergeCell ref="A200:E200"/>
    <mergeCell ref="I200:J200"/>
    <mergeCell ref="N200:P200"/>
    <mergeCell ref="S200:T200"/>
    <mergeCell ref="A201:E201"/>
    <mergeCell ref="I201:J201"/>
    <mergeCell ref="N201:P201"/>
    <mergeCell ref="S201:T201"/>
    <mergeCell ref="A198:E198"/>
    <mergeCell ref="I198:J198"/>
    <mergeCell ref="N198:P198"/>
    <mergeCell ref="S198:T198"/>
    <mergeCell ref="A199:E199"/>
    <mergeCell ref="I199:J199"/>
    <mergeCell ref="N199:P199"/>
    <mergeCell ref="S199:T199"/>
    <mergeCell ref="A196:E196"/>
    <mergeCell ref="I196:J196"/>
    <mergeCell ref="N196:P196"/>
    <mergeCell ref="S196:T196"/>
    <mergeCell ref="A197:E197"/>
    <mergeCell ref="I197:J197"/>
    <mergeCell ref="N197:P197"/>
    <mergeCell ref="S197:T197"/>
    <mergeCell ref="A1:S1"/>
    <mergeCell ref="A3:S3"/>
    <mergeCell ref="A5:B5"/>
    <mergeCell ref="C5:S5"/>
    <mergeCell ref="A7:B7"/>
    <mergeCell ref="C7:S7"/>
    <mergeCell ref="S192:T193"/>
    <mergeCell ref="A194:E194"/>
    <mergeCell ref="I194:J194"/>
    <mergeCell ref="N194:P194"/>
    <mergeCell ref="S194:T194"/>
    <mergeCell ref="A195:E195"/>
    <mergeCell ref="I195:J195"/>
    <mergeCell ref="N195:P195"/>
    <mergeCell ref="S195:T195"/>
    <mergeCell ref="A191:E191"/>
    <mergeCell ref="F191:J191"/>
    <mergeCell ref="K191:P191"/>
    <mergeCell ref="Q191:T191"/>
    <mergeCell ref="A192:E193"/>
    <mergeCell ref="F192:H193"/>
    <mergeCell ref="I192:J193"/>
    <mergeCell ref="K192:M193"/>
    <mergeCell ref="N192:P193"/>
    <mergeCell ref="Q192:R193"/>
  </mergeCells>
  <pageMargins left="0.75" right="0.75" top="1" bottom="1" header="0.5" footer="0.5"/>
  <drawing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tabColor rgb="FFFF0000"/>
  </sheetPr>
  <dimension ref="A1:W277"/>
  <sheetViews>
    <sheetView topLeftCell="A216" workbookViewId="0">
      <selection activeCell="B245" sqref="B245"/>
    </sheetView>
  </sheetViews>
  <sheetFormatPr defaultColWidth="9" defaultRowHeight="15"/>
  <cols>
    <col min="1" max="1" width="6.42578125" style="2773" customWidth="1"/>
    <col min="2" max="2" width="42.140625" style="2865" customWidth="1"/>
    <col min="3" max="3" width="0.140625" style="2781" hidden="1" customWidth="1"/>
    <col min="4" max="4" width="12.28515625" style="2782" hidden="1" customWidth="1"/>
    <col min="5" max="5" width="14.7109375" style="2782" hidden="1" customWidth="1"/>
    <col min="6" max="6" width="10" style="2782" hidden="1" customWidth="1"/>
    <col min="7" max="7" width="17.28515625" style="2783" hidden="1" customWidth="1"/>
    <col min="8" max="8" width="21" style="2783" hidden="1" customWidth="1"/>
    <col min="9" max="9" width="17.85546875" style="2783" hidden="1" customWidth="1"/>
    <col min="10" max="10" width="11.5703125" style="2774" customWidth="1"/>
    <col min="11" max="11" width="19.28515625" style="2774" hidden="1" customWidth="1"/>
    <col min="12" max="12" width="13.140625" style="2778" hidden="1" customWidth="1"/>
    <col min="13" max="13" width="0.140625" style="2778" hidden="1" customWidth="1"/>
    <col min="14" max="14" width="23.85546875" style="2774" hidden="1" customWidth="1"/>
    <col min="15" max="15" width="10.5703125" style="2778" hidden="1" customWidth="1"/>
    <col min="16" max="16" width="11.28515625" style="2778" hidden="1" customWidth="1"/>
    <col min="17" max="17" width="11" style="2778" hidden="1" customWidth="1"/>
    <col min="18" max="18" width="6.7109375" style="2779" customWidth="1"/>
    <col min="19" max="19" width="14.140625" style="2784" customWidth="1"/>
    <col min="20" max="20" width="15.85546875" style="2785" customWidth="1"/>
    <col min="21" max="22" width="9" style="2774"/>
    <col min="23" max="23" width="12.140625" style="2774" bestFit="1" customWidth="1"/>
    <col min="24" max="256" width="9" style="2774"/>
    <col min="257" max="257" width="6.42578125" style="2774" customWidth="1"/>
    <col min="258" max="258" width="42.140625" style="2774" customWidth="1"/>
    <col min="259" max="265" width="0" style="2774" hidden="1" customWidth="1"/>
    <col min="266" max="266" width="11.5703125" style="2774" customWidth="1"/>
    <col min="267" max="273" width="0" style="2774" hidden="1" customWidth="1"/>
    <col min="274" max="274" width="6.7109375" style="2774" customWidth="1"/>
    <col min="275" max="275" width="14.140625" style="2774" customWidth="1"/>
    <col min="276" max="276" width="15.85546875" style="2774" customWidth="1"/>
    <col min="277" max="512" width="9" style="2774"/>
    <col min="513" max="513" width="6.42578125" style="2774" customWidth="1"/>
    <col min="514" max="514" width="42.140625" style="2774" customWidth="1"/>
    <col min="515" max="521" width="0" style="2774" hidden="1" customWidth="1"/>
    <col min="522" max="522" width="11.5703125" style="2774" customWidth="1"/>
    <col min="523" max="529" width="0" style="2774" hidden="1" customWidth="1"/>
    <col min="530" max="530" width="6.7109375" style="2774" customWidth="1"/>
    <col min="531" max="531" width="14.140625" style="2774" customWidth="1"/>
    <col min="532" max="532" width="15.85546875" style="2774" customWidth="1"/>
    <col min="533" max="768" width="9" style="2774"/>
    <col min="769" max="769" width="6.42578125" style="2774" customWidth="1"/>
    <col min="770" max="770" width="42.140625" style="2774" customWidth="1"/>
    <col min="771" max="777" width="0" style="2774" hidden="1" customWidth="1"/>
    <col min="778" max="778" width="11.5703125" style="2774" customWidth="1"/>
    <col min="779" max="785" width="0" style="2774" hidden="1" customWidth="1"/>
    <col min="786" max="786" width="6.7109375" style="2774" customWidth="1"/>
    <col min="787" max="787" width="14.140625" style="2774" customWidth="1"/>
    <col min="788" max="788" width="15.85546875" style="2774" customWidth="1"/>
    <col min="789" max="1024" width="9" style="2774"/>
    <col min="1025" max="1025" width="6.42578125" style="2774" customWidth="1"/>
    <col min="1026" max="1026" width="42.140625" style="2774" customWidth="1"/>
    <col min="1027" max="1033" width="0" style="2774" hidden="1" customWidth="1"/>
    <col min="1034" max="1034" width="11.5703125" style="2774" customWidth="1"/>
    <col min="1035" max="1041" width="0" style="2774" hidden="1" customWidth="1"/>
    <col min="1042" max="1042" width="6.7109375" style="2774" customWidth="1"/>
    <col min="1043" max="1043" width="14.140625" style="2774" customWidth="1"/>
    <col min="1044" max="1044" width="15.85546875" style="2774" customWidth="1"/>
    <col min="1045" max="1280" width="9" style="2774"/>
    <col min="1281" max="1281" width="6.42578125" style="2774" customWidth="1"/>
    <col min="1282" max="1282" width="42.140625" style="2774" customWidth="1"/>
    <col min="1283" max="1289" width="0" style="2774" hidden="1" customWidth="1"/>
    <col min="1290" max="1290" width="11.5703125" style="2774" customWidth="1"/>
    <col min="1291" max="1297" width="0" style="2774" hidden="1" customWidth="1"/>
    <col min="1298" max="1298" width="6.7109375" style="2774" customWidth="1"/>
    <col min="1299" max="1299" width="14.140625" style="2774" customWidth="1"/>
    <col min="1300" max="1300" width="15.85546875" style="2774" customWidth="1"/>
    <col min="1301" max="1536" width="9" style="2774"/>
    <col min="1537" max="1537" width="6.42578125" style="2774" customWidth="1"/>
    <col min="1538" max="1538" width="42.140625" style="2774" customWidth="1"/>
    <col min="1539" max="1545" width="0" style="2774" hidden="1" customWidth="1"/>
    <col min="1546" max="1546" width="11.5703125" style="2774" customWidth="1"/>
    <col min="1547" max="1553" width="0" style="2774" hidden="1" customWidth="1"/>
    <col min="1554" max="1554" width="6.7109375" style="2774" customWidth="1"/>
    <col min="1555" max="1555" width="14.140625" style="2774" customWidth="1"/>
    <col min="1556" max="1556" width="15.85546875" style="2774" customWidth="1"/>
    <col min="1557" max="1792" width="9" style="2774"/>
    <col min="1793" max="1793" width="6.42578125" style="2774" customWidth="1"/>
    <col min="1794" max="1794" width="42.140625" style="2774" customWidth="1"/>
    <col min="1795" max="1801" width="0" style="2774" hidden="1" customWidth="1"/>
    <col min="1802" max="1802" width="11.5703125" style="2774" customWidth="1"/>
    <col min="1803" max="1809" width="0" style="2774" hidden="1" customWidth="1"/>
    <col min="1810" max="1810" width="6.7109375" style="2774" customWidth="1"/>
    <col min="1811" max="1811" width="14.140625" style="2774" customWidth="1"/>
    <col min="1812" max="1812" width="15.85546875" style="2774" customWidth="1"/>
    <col min="1813" max="2048" width="9" style="2774"/>
    <col min="2049" max="2049" width="6.42578125" style="2774" customWidth="1"/>
    <col min="2050" max="2050" width="42.140625" style="2774" customWidth="1"/>
    <col min="2051" max="2057" width="0" style="2774" hidden="1" customWidth="1"/>
    <col min="2058" max="2058" width="11.5703125" style="2774" customWidth="1"/>
    <col min="2059" max="2065" width="0" style="2774" hidden="1" customWidth="1"/>
    <col min="2066" max="2066" width="6.7109375" style="2774" customWidth="1"/>
    <col min="2067" max="2067" width="14.140625" style="2774" customWidth="1"/>
    <col min="2068" max="2068" width="15.85546875" style="2774" customWidth="1"/>
    <col min="2069" max="2304" width="9" style="2774"/>
    <col min="2305" max="2305" width="6.42578125" style="2774" customWidth="1"/>
    <col min="2306" max="2306" width="42.140625" style="2774" customWidth="1"/>
    <col min="2307" max="2313" width="0" style="2774" hidden="1" customWidth="1"/>
    <col min="2314" max="2314" width="11.5703125" style="2774" customWidth="1"/>
    <col min="2315" max="2321" width="0" style="2774" hidden="1" customWidth="1"/>
    <col min="2322" max="2322" width="6.7109375" style="2774" customWidth="1"/>
    <col min="2323" max="2323" width="14.140625" style="2774" customWidth="1"/>
    <col min="2324" max="2324" width="15.85546875" style="2774" customWidth="1"/>
    <col min="2325" max="2560" width="9" style="2774"/>
    <col min="2561" max="2561" width="6.42578125" style="2774" customWidth="1"/>
    <col min="2562" max="2562" width="42.140625" style="2774" customWidth="1"/>
    <col min="2563" max="2569" width="0" style="2774" hidden="1" customWidth="1"/>
    <col min="2570" max="2570" width="11.5703125" style="2774" customWidth="1"/>
    <col min="2571" max="2577" width="0" style="2774" hidden="1" customWidth="1"/>
    <col min="2578" max="2578" width="6.7109375" style="2774" customWidth="1"/>
    <col min="2579" max="2579" width="14.140625" style="2774" customWidth="1"/>
    <col min="2580" max="2580" width="15.85546875" style="2774" customWidth="1"/>
    <col min="2581" max="2816" width="9" style="2774"/>
    <col min="2817" max="2817" width="6.42578125" style="2774" customWidth="1"/>
    <col min="2818" max="2818" width="42.140625" style="2774" customWidth="1"/>
    <col min="2819" max="2825" width="0" style="2774" hidden="1" customWidth="1"/>
    <col min="2826" max="2826" width="11.5703125" style="2774" customWidth="1"/>
    <col min="2827" max="2833" width="0" style="2774" hidden="1" customWidth="1"/>
    <col min="2834" max="2834" width="6.7109375" style="2774" customWidth="1"/>
    <col min="2835" max="2835" width="14.140625" style="2774" customWidth="1"/>
    <col min="2836" max="2836" width="15.85546875" style="2774" customWidth="1"/>
    <col min="2837" max="3072" width="9" style="2774"/>
    <col min="3073" max="3073" width="6.42578125" style="2774" customWidth="1"/>
    <col min="3074" max="3074" width="42.140625" style="2774" customWidth="1"/>
    <col min="3075" max="3081" width="0" style="2774" hidden="1" customWidth="1"/>
    <col min="3082" max="3082" width="11.5703125" style="2774" customWidth="1"/>
    <col min="3083" max="3089" width="0" style="2774" hidden="1" customWidth="1"/>
    <col min="3090" max="3090" width="6.7109375" style="2774" customWidth="1"/>
    <col min="3091" max="3091" width="14.140625" style="2774" customWidth="1"/>
    <col min="3092" max="3092" width="15.85546875" style="2774" customWidth="1"/>
    <col min="3093" max="3328" width="9" style="2774"/>
    <col min="3329" max="3329" width="6.42578125" style="2774" customWidth="1"/>
    <col min="3330" max="3330" width="42.140625" style="2774" customWidth="1"/>
    <col min="3331" max="3337" width="0" style="2774" hidden="1" customWidth="1"/>
    <col min="3338" max="3338" width="11.5703125" style="2774" customWidth="1"/>
    <col min="3339" max="3345" width="0" style="2774" hidden="1" customWidth="1"/>
    <col min="3346" max="3346" width="6.7109375" style="2774" customWidth="1"/>
    <col min="3347" max="3347" width="14.140625" style="2774" customWidth="1"/>
    <col min="3348" max="3348" width="15.85546875" style="2774" customWidth="1"/>
    <col min="3349" max="3584" width="9" style="2774"/>
    <col min="3585" max="3585" width="6.42578125" style="2774" customWidth="1"/>
    <col min="3586" max="3586" width="42.140625" style="2774" customWidth="1"/>
    <col min="3587" max="3593" width="0" style="2774" hidden="1" customWidth="1"/>
    <col min="3594" max="3594" width="11.5703125" style="2774" customWidth="1"/>
    <col min="3595" max="3601" width="0" style="2774" hidden="1" customWidth="1"/>
    <col min="3602" max="3602" width="6.7109375" style="2774" customWidth="1"/>
    <col min="3603" max="3603" width="14.140625" style="2774" customWidth="1"/>
    <col min="3604" max="3604" width="15.85546875" style="2774" customWidth="1"/>
    <col min="3605" max="3840" width="9" style="2774"/>
    <col min="3841" max="3841" width="6.42578125" style="2774" customWidth="1"/>
    <col min="3842" max="3842" width="42.140625" style="2774" customWidth="1"/>
    <col min="3843" max="3849" width="0" style="2774" hidden="1" customWidth="1"/>
    <col min="3850" max="3850" width="11.5703125" style="2774" customWidth="1"/>
    <col min="3851" max="3857" width="0" style="2774" hidden="1" customWidth="1"/>
    <col min="3858" max="3858" width="6.7109375" style="2774" customWidth="1"/>
    <col min="3859" max="3859" width="14.140625" style="2774" customWidth="1"/>
    <col min="3860" max="3860" width="15.85546875" style="2774" customWidth="1"/>
    <col min="3861" max="4096" width="9" style="2774"/>
    <col min="4097" max="4097" width="6.42578125" style="2774" customWidth="1"/>
    <col min="4098" max="4098" width="42.140625" style="2774" customWidth="1"/>
    <col min="4099" max="4105" width="0" style="2774" hidden="1" customWidth="1"/>
    <col min="4106" max="4106" width="11.5703125" style="2774" customWidth="1"/>
    <col min="4107" max="4113" width="0" style="2774" hidden="1" customWidth="1"/>
    <col min="4114" max="4114" width="6.7109375" style="2774" customWidth="1"/>
    <col min="4115" max="4115" width="14.140625" style="2774" customWidth="1"/>
    <col min="4116" max="4116" width="15.85546875" style="2774" customWidth="1"/>
    <col min="4117" max="4352" width="9" style="2774"/>
    <col min="4353" max="4353" width="6.42578125" style="2774" customWidth="1"/>
    <col min="4354" max="4354" width="42.140625" style="2774" customWidth="1"/>
    <col min="4355" max="4361" width="0" style="2774" hidden="1" customWidth="1"/>
    <col min="4362" max="4362" width="11.5703125" style="2774" customWidth="1"/>
    <col min="4363" max="4369" width="0" style="2774" hidden="1" customWidth="1"/>
    <col min="4370" max="4370" width="6.7109375" style="2774" customWidth="1"/>
    <col min="4371" max="4371" width="14.140625" style="2774" customWidth="1"/>
    <col min="4372" max="4372" width="15.85546875" style="2774" customWidth="1"/>
    <col min="4373" max="4608" width="9" style="2774"/>
    <col min="4609" max="4609" width="6.42578125" style="2774" customWidth="1"/>
    <col min="4610" max="4610" width="42.140625" style="2774" customWidth="1"/>
    <col min="4611" max="4617" width="0" style="2774" hidden="1" customWidth="1"/>
    <col min="4618" max="4618" width="11.5703125" style="2774" customWidth="1"/>
    <col min="4619" max="4625" width="0" style="2774" hidden="1" customWidth="1"/>
    <col min="4626" max="4626" width="6.7109375" style="2774" customWidth="1"/>
    <col min="4627" max="4627" width="14.140625" style="2774" customWidth="1"/>
    <col min="4628" max="4628" width="15.85546875" style="2774" customWidth="1"/>
    <col min="4629" max="4864" width="9" style="2774"/>
    <col min="4865" max="4865" width="6.42578125" style="2774" customWidth="1"/>
    <col min="4866" max="4866" width="42.140625" style="2774" customWidth="1"/>
    <col min="4867" max="4873" width="0" style="2774" hidden="1" customWidth="1"/>
    <col min="4874" max="4874" width="11.5703125" style="2774" customWidth="1"/>
    <col min="4875" max="4881" width="0" style="2774" hidden="1" customWidth="1"/>
    <col min="4882" max="4882" width="6.7109375" style="2774" customWidth="1"/>
    <col min="4883" max="4883" width="14.140625" style="2774" customWidth="1"/>
    <col min="4884" max="4884" width="15.85546875" style="2774" customWidth="1"/>
    <col min="4885" max="5120" width="9" style="2774"/>
    <col min="5121" max="5121" width="6.42578125" style="2774" customWidth="1"/>
    <col min="5122" max="5122" width="42.140625" style="2774" customWidth="1"/>
    <col min="5123" max="5129" width="0" style="2774" hidden="1" customWidth="1"/>
    <col min="5130" max="5130" width="11.5703125" style="2774" customWidth="1"/>
    <col min="5131" max="5137" width="0" style="2774" hidden="1" customWidth="1"/>
    <col min="5138" max="5138" width="6.7109375" style="2774" customWidth="1"/>
    <col min="5139" max="5139" width="14.140625" style="2774" customWidth="1"/>
    <col min="5140" max="5140" width="15.85546875" style="2774" customWidth="1"/>
    <col min="5141" max="5376" width="9" style="2774"/>
    <col min="5377" max="5377" width="6.42578125" style="2774" customWidth="1"/>
    <col min="5378" max="5378" width="42.140625" style="2774" customWidth="1"/>
    <col min="5379" max="5385" width="0" style="2774" hidden="1" customWidth="1"/>
    <col min="5386" max="5386" width="11.5703125" style="2774" customWidth="1"/>
    <col min="5387" max="5393" width="0" style="2774" hidden="1" customWidth="1"/>
    <col min="5394" max="5394" width="6.7109375" style="2774" customWidth="1"/>
    <col min="5395" max="5395" width="14.140625" style="2774" customWidth="1"/>
    <col min="5396" max="5396" width="15.85546875" style="2774" customWidth="1"/>
    <col min="5397" max="5632" width="9" style="2774"/>
    <col min="5633" max="5633" width="6.42578125" style="2774" customWidth="1"/>
    <col min="5634" max="5634" width="42.140625" style="2774" customWidth="1"/>
    <col min="5635" max="5641" width="0" style="2774" hidden="1" customWidth="1"/>
    <col min="5642" max="5642" width="11.5703125" style="2774" customWidth="1"/>
    <col min="5643" max="5649" width="0" style="2774" hidden="1" customWidth="1"/>
    <col min="5650" max="5650" width="6.7109375" style="2774" customWidth="1"/>
    <col min="5651" max="5651" width="14.140625" style="2774" customWidth="1"/>
    <col min="5652" max="5652" width="15.85546875" style="2774" customWidth="1"/>
    <col min="5653" max="5888" width="9" style="2774"/>
    <col min="5889" max="5889" width="6.42578125" style="2774" customWidth="1"/>
    <col min="5890" max="5890" width="42.140625" style="2774" customWidth="1"/>
    <col min="5891" max="5897" width="0" style="2774" hidden="1" customWidth="1"/>
    <col min="5898" max="5898" width="11.5703125" style="2774" customWidth="1"/>
    <col min="5899" max="5905" width="0" style="2774" hidden="1" customWidth="1"/>
    <col min="5906" max="5906" width="6.7109375" style="2774" customWidth="1"/>
    <col min="5907" max="5907" width="14.140625" style="2774" customWidth="1"/>
    <col min="5908" max="5908" width="15.85546875" style="2774" customWidth="1"/>
    <col min="5909" max="6144" width="9" style="2774"/>
    <col min="6145" max="6145" width="6.42578125" style="2774" customWidth="1"/>
    <col min="6146" max="6146" width="42.140625" style="2774" customWidth="1"/>
    <col min="6147" max="6153" width="0" style="2774" hidden="1" customWidth="1"/>
    <col min="6154" max="6154" width="11.5703125" style="2774" customWidth="1"/>
    <col min="6155" max="6161" width="0" style="2774" hidden="1" customWidth="1"/>
    <col min="6162" max="6162" width="6.7109375" style="2774" customWidth="1"/>
    <col min="6163" max="6163" width="14.140625" style="2774" customWidth="1"/>
    <col min="6164" max="6164" width="15.85546875" style="2774" customWidth="1"/>
    <col min="6165" max="6400" width="9" style="2774"/>
    <col min="6401" max="6401" width="6.42578125" style="2774" customWidth="1"/>
    <col min="6402" max="6402" width="42.140625" style="2774" customWidth="1"/>
    <col min="6403" max="6409" width="0" style="2774" hidden="1" customWidth="1"/>
    <col min="6410" max="6410" width="11.5703125" style="2774" customWidth="1"/>
    <col min="6411" max="6417" width="0" style="2774" hidden="1" customWidth="1"/>
    <col min="6418" max="6418" width="6.7109375" style="2774" customWidth="1"/>
    <col min="6419" max="6419" width="14.140625" style="2774" customWidth="1"/>
    <col min="6420" max="6420" width="15.85546875" style="2774" customWidth="1"/>
    <col min="6421" max="6656" width="9" style="2774"/>
    <col min="6657" max="6657" width="6.42578125" style="2774" customWidth="1"/>
    <col min="6658" max="6658" width="42.140625" style="2774" customWidth="1"/>
    <col min="6659" max="6665" width="0" style="2774" hidden="1" customWidth="1"/>
    <col min="6666" max="6666" width="11.5703125" style="2774" customWidth="1"/>
    <col min="6667" max="6673" width="0" style="2774" hidden="1" customWidth="1"/>
    <col min="6674" max="6674" width="6.7109375" style="2774" customWidth="1"/>
    <col min="6675" max="6675" width="14.140625" style="2774" customWidth="1"/>
    <col min="6676" max="6676" width="15.85546875" style="2774" customWidth="1"/>
    <col min="6677" max="6912" width="9" style="2774"/>
    <col min="6913" max="6913" width="6.42578125" style="2774" customWidth="1"/>
    <col min="6914" max="6914" width="42.140625" style="2774" customWidth="1"/>
    <col min="6915" max="6921" width="0" style="2774" hidden="1" customWidth="1"/>
    <col min="6922" max="6922" width="11.5703125" style="2774" customWidth="1"/>
    <col min="6923" max="6929" width="0" style="2774" hidden="1" customWidth="1"/>
    <col min="6930" max="6930" width="6.7109375" style="2774" customWidth="1"/>
    <col min="6931" max="6931" width="14.140625" style="2774" customWidth="1"/>
    <col min="6932" max="6932" width="15.85546875" style="2774" customWidth="1"/>
    <col min="6933" max="7168" width="9" style="2774"/>
    <col min="7169" max="7169" width="6.42578125" style="2774" customWidth="1"/>
    <col min="7170" max="7170" width="42.140625" style="2774" customWidth="1"/>
    <col min="7171" max="7177" width="0" style="2774" hidden="1" customWidth="1"/>
    <col min="7178" max="7178" width="11.5703125" style="2774" customWidth="1"/>
    <col min="7179" max="7185" width="0" style="2774" hidden="1" customWidth="1"/>
    <col min="7186" max="7186" width="6.7109375" style="2774" customWidth="1"/>
    <col min="7187" max="7187" width="14.140625" style="2774" customWidth="1"/>
    <col min="7188" max="7188" width="15.85546875" style="2774" customWidth="1"/>
    <col min="7189" max="7424" width="9" style="2774"/>
    <col min="7425" max="7425" width="6.42578125" style="2774" customWidth="1"/>
    <col min="7426" max="7426" width="42.140625" style="2774" customWidth="1"/>
    <col min="7427" max="7433" width="0" style="2774" hidden="1" customWidth="1"/>
    <col min="7434" max="7434" width="11.5703125" style="2774" customWidth="1"/>
    <col min="7435" max="7441" width="0" style="2774" hidden="1" customWidth="1"/>
    <col min="7442" max="7442" width="6.7109375" style="2774" customWidth="1"/>
    <col min="7443" max="7443" width="14.140625" style="2774" customWidth="1"/>
    <col min="7444" max="7444" width="15.85546875" style="2774" customWidth="1"/>
    <col min="7445" max="7680" width="9" style="2774"/>
    <col min="7681" max="7681" width="6.42578125" style="2774" customWidth="1"/>
    <col min="7682" max="7682" width="42.140625" style="2774" customWidth="1"/>
    <col min="7683" max="7689" width="0" style="2774" hidden="1" customWidth="1"/>
    <col min="7690" max="7690" width="11.5703125" style="2774" customWidth="1"/>
    <col min="7691" max="7697" width="0" style="2774" hidden="1" customWidth="1"/>
    <col min="7698" max="7698" width="6.7109375" style="2774" customWidth="1"/>
    <col min="7699" max="7699" width="14.140625" style="2774" customWidth="1"/>
    <col min="7700" max="7700" width="15.85546875" style="2774" customWidth="1"/>
    <col min="7701" max="7936" width="9" style="2774"/>
    <col min="7937" max="7937" width="6.42578125" style="2774" customWidth="1"/>
    <col min="7938" max="7938" width="42.140625" style="2774" customWidth="1"/>
    <col min="7939" max="7945" width="0" style="2774" hidden="1" customWidth="1"/>
    <col min="7946" max="7946" width="11.5703125" style="2774" customWidth="1"/>
    <col min="7947" max="7953" width="0" style="2774" hidden="1" customWidth="1"/>
    <col min="7954" max="7954" width="6.7109375" style="2774" customWidth="1"/>
    <col min="7955" max="7955" width="14.140625" style="2774" customWidth="1"/>
    <col min="7956" max="7956" width="15.85546875" style="2774" customWidth="1"/>
    <col min="7957" max="8192" width="9" style="2774"/>
    <col min="8193" max="8193" width="6.42578125" style="2774" customWidth="1"/>
    <col min="8194" max="8194" width="42.140625" style="2774" customWidth="1"/>
    <col min="8195" max="8201" width="0" style="2774" hidden="1" customWidth="1"/>
    <col min="8202" max="8202" width="11.5703125" style="2774" customWidth="1"/>
    <col min="8203" max="8209" width="0" style="2774" hidden="1" customWidth="1"/>
    <col min="8210" max="8210" width="6.7109375" style="2774" customWidth="1"/>
    <col min="8211" max="8211" width="14.140625" style="2774" customWidth="1"/>
    <col min="8212" max="8212" width="15.85546875" style="2774" customWidth="1"/>
    <col min="8213" max="8448" width="9" style="2774"/>
    <col min="8449" max="8449" width="6.42578125" style="2774" customWidth="1"/>
    <col min="8450" max="8450" width="42.140625" style="2774" customWidth="1"/>
    <col min="8451" max="8457" width="0" style="2774" hidden="1" customWidth="1"/>
    <col min="8458" max="8458" width="11.5703125" style="2774" customWidth="1"/>
    <col min="8459" max="8465" width="0" style="2774" hidden="1" customWidth="1"/>
    <col min="8466" max="8466" width="6.7109375" style="2774" customWidth="1"/>
    <col min="8467" max="8467" width="14.140625" style="2774" customWidth="1"/>
    <col min="8468" max="8468" width="15.85546875" style="2774" customWidth="1"/>
    <col min="8469" max="8704" width="9" style="2774"/>
    <col min="8705" max="8705" width="6.42578125" style="2774" customWidth="1"/>
    <col min="8706" max="8706" width="42.140625" style="2774" customWidth="1"/>
    <col min="8707" max="8713" width="0" style="2774" hidden="1" customWidth="1"/>
    <col min="8714" max="8714" width="11.5703125" style="2774" customWidth="1"/>
    <col min="8715" max="8721" width="0" style="2774" hidden="1" customWidth="1"/>
    <col min="8722" max="8722" width="6.7109375" style="2774" customWidth="1"/>
    <col min="8723" max="8723" width="14.140625" style="2774" customWidth="1"/>
    <col min="8724" max="8724" width="15.85546875" style="2774" customWidth="1"/>
    <col min="8725" max="8960" width="9" style="2774"/>
    <col min="8961" max="8961" width="6.42578125" style="2774" customWidth="1"/>
    <col min="8962" max="8962" width="42.140625" style="2774" customWidth="1"/>
    <col min="8963" max="8969" width="0" style="2774" hidden="1" customWidth="1"/>
    <col min="8970" max="8970" width="11.5703125" style="2774" customWidth="1"/>
    <col min="8971" max="8977" width="0" style="2774" hidden="1" customWidth="1"/>
    <col min="8978" max="8978" width="6.7109375" style="2774" customWidth="1"/>
    <col min="8979" max="8979" width="14.140625" style="2774" customWidth="1"/>
    <col min="8980" max="8980" width="15.85546875" style="2774" customWidth="1"/>
    <col min="8981" max="9216" width="9" style="2774"/>
    <col min="9217" max="9217" width="6.42578125" style="2774" customWidth="1"/>
    <col min="9218" max="9218" width="42.140625" style="2774" customWidth="1"/>
    <col min="9219" max="9225" width="0" style="2774" hidden="1" customWidth="1"/>
    <col min="9226" max="9226" width="11.5703125" style="2774" customWidth="1"/>
    <col min="9227" max="9233" width="0" style="2774" hidden="1" customWidth="1"/>
    <col min="9234" max="9234" width="6.7109375" style="2774" customWidth="1"/>
    <col min="9235" max="9235" width="14.140625" style="2774" customWidth="1"/>
    <col min="9236" max="9236" width="15.85546875" style="2774" customWidth="1"/>
    <col min="9237" max="9472" width="9" style="2774"/>
    <col min="9473" max="9473" width="6.42578125" style="2774" customWidth="1"/>
    <col min="9474" max="9474" width="42.140625" style="2774" customWidth="1"/>
    <col min="9475" max="9481" width="0" style="2774" hidden="1" customWidth="1"/>
    <col min="9482" max="9482" width="11.5703125" style="2774" customWidth="1"/>
    <col min="9483" max="9489" width="0" style="2774" hidden="1" customWidth="1"/>
    <col min="9490" max="9490" width="6.7109375" style="2774" customWidth="1"/>
    <col min="9491" max="9491" width="14.140625" style="2774" customWidth="1"/>
    <col min="9492" max="9492" width="15.85546875" style="2774" customWidth="1"/>
    <col min="9493" max="9728" width="9" style="2774"/>
    <col min="9729" max="9729" width="6.42578125" style="2774" customWidth="1"/>
    <col min="9730" max="9730" width="42.140625" style="2774" customWidth="1"/>
    <col min="9731" max="9737" width="0" style="2774" hidden="1" customWidth="1"/>
    <col min="9738" max="9738" width="11.5703125" style="2774" customWidth="1"/>
    <col min="9739" max="9745" width="0" style="2774" hidden="1" customWidth="1"/>
    <col min="9746" max="9746" width="6.7109375" style="2774" customWidth="1"/>
    <col min="9747" max="9747" width="14.140625" style="2774" customWidth="1"/>
    <col min="9748" max="9748" width="15.85546875" style="2774" customWidth="1"/>
    <col min="9749" max="9984" width="9" style="2774"/>
    <col min="9985" max="9985" width="6.42578125" style="2774" customWidth="1"/>
    <col min="9986" max="9986" width="42.140625" style="2774" customWidth="1"/>
    <col min="9987" max="9993" width="0" style="2774" hidden="1" customWidth="1"/>
    <col min="9994" max="9994" width="11.5703125" style="2774" customWidth="1"/>
    <col min="9995" max="10001" width="0" style="2774" hidden="1" customWidth="1"/>
    <col min="10002" max="10002" width="6.7109375" style="2774" customWidth="1"/>
    <col min="10003" max="10003" width="14.140625" style="2774" customWidth="1"/>
    <col min="10004" max="10004" width="15.85546875" style="2774" customWidth="1"/>
    <col min="10005" max="10240" width="9" style="2774"/>
    <col min="10241" max="10241" width="6.42578125" style="2774" customWidth="1"/>
    <col min="10242" max="10242" width="42.140625" style="2774" customWidth="1"/>
    <col min="10243" max="10249" width="0" style="2774" hidden="1" customWidth="1"/>
    <col min="10250" max="10250" width="11.5703125" style="2774" customWidth="1"/>
    <col min="10251" max="10257" width="0" style="2774" hidden="1" customWidth="1"/>
    <col min="10258" max="10258" width="6.7109375" style="2774" customWidth="1"/>
    <col min="10259" max="10259" width="14.140625" style="2774" customWidth="1"/>
    <col min="10260" max="10260" width="15.85546875" style="2774" customWidth="1"/>
    <col min="10261" max="10496" width="9" style="2774"/>
    <col min="10497" max="10497" width="6.42578125" style="2774" customWidth="1"/>
    <col min="10498" max="10498" width="42.140625" style="2774" customWidth="1"/>
    <col min="10499" max="10505" width="0" style="2774" hidden="1" customWidth="1"/>
    <col min="10506" max="10506" width="11.5703125" style="2774" customWidth="1"/>
    <col min="10507" max="10513" width="0" style="2774" hidden="1" customWidth="1"/>
    <col min="10514" max="10514" width="6.7109375" style="2774" customWidth="1"/>
    <col min="10515" max="10515" width="14.140625" style="2774" customWidth="1"/>
    <col min="10516" max="10516" width="15.85546875" style="2774" customWidth="1"/>
    <col min="10517" max="10752" width="9" style="2774"/>
    <col min="10753" max="10753" width="6.42578125" style="2774" customWidth="1"/>
    <col min="10754" max="10754" width="42.140625" style="2774" customWidth="1"/>
    <col min="10755" max="10761" width="0" style="2774" hidden="1" customWidth="1"/>
    <col min="10762" max="10762" width="11.5703125" style="2774" customWidth="1"/>
    <col min="10763" max="10769" width="0" style="2774" hidden="1" customWidth="1"/>
    <col min="10770" max="10770" width="6.7109375" style="2774" customWidth="1"/>
    <col min="10771" max="10771" width="14.140625" style="2774" customWidth="1"/>
    <col min="10772" max="10772" width="15.85546875" style="2774" customWidth="1"/>
    <col min="10773" max="11008" width="9" style="2774"/>
    <col min="11009" max="11009" width="6.42578125" style="2774" customWidth="1"/>
    <col min="11010" max="11010" width="42.140625" style="2774" customWidth="1"/>
    <col min="11011" max="11017" width="0" style="2774" hidden="1" customWidth="1"/>
    <col min="11018" max="11018" width="11.5703125" style="2774" customWidth="1"/>
    <col min="11019" max="11025" width="0" style="2774" hidden="1" customWidth="1"/>
    <col min="11026" max="11026" width="6.7109375" style="2774" customWidth="1"/>
    <col min="11027" max="11027" width="14.140625" style="2774" customWidth="1"/>
    <col min="11028" max="11028" width="15.85546875" style="2774" customWidth="1"/>
    <col min="11029" max="11264" width="9" style="2774"/>
    <col min="11265" max="11265" width="6.42578125" style="2774" customWidth="1"/>
    <col min="11266" max="11266" width="42.140625" style="2774" customWidth="1"/>
    <col min="11267" max="11273" width="0" style="2774" hidden="1" customWidth="1"/>
    <col min="11274" max="11274" width="11.5703125" style="2774" customWidth="1"/>
    <col min="11275" max="11281" width="0" style="2774" hidden="1" customWidth="1"/>
    <col min="11282" max="11282" width="6.7109375" style="2774" customWidth="1"/>
    <col min="11283" max="11283" width="14.140625" style="2774" customWidth="1"/>
    <col min="11284" max="11284" width="15.85546875" style="2774" customWidth="1"/>
    <col min="11285" max="11520" width="9" style="2774"/>
    <col min="11521" max="11521" width="6.42578125" style="2774" customWidth="1"/>
    <col min="11522" max="11522" width="42.140625" style="2774" customWidth="1"/>
    <col min="11523" max="11529" width="0" style="2774" hidden="1" customWidth="1"/>
    <col min="11530" max="11530" width="11.5703125" style="2774" customWidth="1"/>
    <col min="11531" max="11537" width="0" style="2774" hidden="1" customWidth="1"/>
    <col min="11538" max="11538" width="6.7109375" style="2774" customWidth="1"/>
    <col min="11539" max="11539" width="14.140625" style="2774" customWidth="1"/>
    <col min="11540" max="11540" width="15.85546875" style="2774" customWidth="1"/>
    <col min="11541" max="11776" width="9" style="2774"/>
    <col min="11777" max="11777" width="6.42578125" style="2774" customWidth="1"/>
    <col min="11778" max="11778" width="42.140625" style="2774" customWidth="1"/>
    <col min="11779" max="11785" width="0" style="2774" hidden="1" customWidth="1"/>
    <col min="11786" max="11786" width="11.5703125" style="2774" customWidth="1"/>
    <col min="11787" max="11793" width="0" style="2774" hidden="1" customWidth="1"/>
    <col min="11794" max="11794" width="6.7109375" style="2774" customWidth="1"/>
    <col min="11795" max="11795" width="14.140625" style="2774" customWidth="1"/>
    <col min="11796" max="11796" width="15.85546875" style="2774" customWidth="1"/>
    <col min="11797" max="12032" width="9" style="2774"/>
    <col min="12033" max="12033" width="6.42578125" style="2774" customWidth="1"/>
    <col min="12034" max="12034" width="42.140625" style="2774" customWidth="1"/>
    <col min="12035" max="12041" width="0" style="2774" hidden="1" customWidth="1"/>
    <col min="12042" max="12042" width="11.5703125" style="2774" customWidth="1"/>
    <col min="12043" max="12049" width="0" style="2774" hidden="1" customWidth="1"/>
    <col min="12050" max="12050" width="6.7109375" style="2774" customWidth="1"/>
    <col min="12051" max="12051" width="14.140625" style="2774" customWidth="1"/>
    <col min="12052" max="12052" width="15.85546875" style="2774" customWidth="1"/>
    <col min="12053" max="12288" width="9" style="2774"/>
    <col min="12289" max="12289" width="6.42578125" style="2774" customWidth="1"/>
    <col min="12290" max="12290" width="42.140625" style="2774" customWidth="1"/>
    <col min="12291" max="12297" width="0" style="2774" hidden="1" customWidth="1"/>
    <col min="12298" max="12298" width="11.5703125" style="2774" customWidth="1"/>
    <col min="12299" max="12305" width="0" style="2774" hidden="1" customWidth="1"/>
    <col min="12306" max="12306" width="6.7109375" style="2774" customWidth="1"/>
    <col min="12307" max="12307" width="14.140625" style="2774" customWidth="1"/>
    <col min="12308" max="12308" width="15.85546875" style="2774" customWidth="1"/>
    <col min="12309" max="12544" width="9" style="2774"/>
    <col min="12545" max="12545" width="6.42578125" style="2774" customWidth="1"/>
    <col min="12546" max="12546" width="42.140625" style="2774" customWidth="1"/>
    <col min="12547" max="12553" width="0" style="2774" hidden="1" customWidth="1"/>
    <col min="12554" max="12554" width="11.5703125" style="2774" customWidth="1"/>
    <col min="12555" max="12561" width="0" style="2774" hidden="1" customWidth="1"/>
    <col min="12562" max="12562" width="6.7109375" style="2774" customWidth="1"/>
    <col min="12563" max="12563" width="14.140625" style="2774" customWidth="1"/>
    <col min="12564" max="12564" width="15.85546875" style="2774" customWidth="1"/>
    <col min="12565" max="12800" width="9" style="2774"/>
    <col min="12801" max="12801" width="6.42578125" style="2774" customWidth="1"/>
    <col min="12802" max="12802" width="42.140625" style="2774" customWidth="1"/>
    <col min="12803" max="12809" width="0" style="2774" hidden="1" customWidth="1"/>
    <col min="12810" max="12810" width="11.5703125" style="2774" customWidth="1"/>
    <col min="12811" max="12817" width="0" style="2774" hidden="1" customWidth="1"/>
    <col min="12818" max="12818" width="6.7109375" style="2774" customWidth="1"/>
    <col min="12819" max="12819" width="14.140625" style="2774" customWidth="1"/>
    <col min="12820" max="12820" width="15.85546875" style="2774" customWidth="1"/>
    <col min="12821" max="13056" width="9" style="2774"/>
    <col min="13057" max="13057" width="6.42578125" style="2774" customWidth="1"/>
    <col min="13058" max="13058" width="42.140625" style="2774" customWidth="1"/>
    <col min="13059" max="13065" width="0" style="2774" hidden="1" customWidth="1"/>
    <col min="13066" max="13066" width="11.5703125" style="2774" customWidth="1"/>
    <col min="13067" max="13073" width="0" style="2774" hidden="1" customWidth="1"/>
    <col min="13074" max="13074" width="6.7109375" style="2774" customWidth="1"/>
    <col min="13075" max="13075" width="14.140625" style="2774" customWidth="1"/>
    <col min="13076" max="13076" width="15.85546875" style="2774" customWidth="1"/>
    <col min="13077" max="13312" width="9" style="2774"/>
    <col min="13313" max="13313" width="6.42578125" style="2774" customWidth="1"/>
    <col min="13314" max="13314" width="42.140625" style="2774" customWidth="1"/>
    <col min="13315" max="13321" width="0" style="2774" hidden="1" customWidth="1"/>
    <col min="13322" max="13322" width="11.5703125" style="2774" customWidth="1"/>
    <col min="13323" max="13329" width="0" style="2774" hidden="1" customWidth="1"/>
    <col min="13330" max="13330" width="6.7109375" style="2774" customWidth="1"/>
    <col min="13331" max="13331" width="14.140625" style="2774" customWidth="1"/>
    <col min="13332" max="13332" width="15.85546875" style="2774" customWidth="1"/>
    <col min="13333" max="13568" width="9" style="2774"/>
    <col min="13569" max="13569" width="6.42578125" style="2774" customWidth="1"/>
    <col min="13570" max="13570" width="42.140625" style="2774" customWidth="1"/>
    <col min="13571" max="13577" width="0" style="2774" hidden="1" customWidth="1"/>
    <col min="13578" max="13578" width="11.5703125" style="2774" customWidth="1"/>
    <col min="13579" max="13585" width="0" style="2774" hidden="1" customWidth="1"/>
    <col min="13586" max="13586" width="6.7109375" style="2774" customWidth="1"/>
    <col min="13587" max="13587" width="14.140625" style="2774" customWidth="1"/>
    <col min="13588" max="13588" width="15.85546875" style="2774" customWidth="1"/>
    <col min="13589" max="13824" width="9" style="2774"/>
    <col min="13825" max="13825" width="6.42578125" style="2774" customWidth="1"/>
    <col min="13826" max="13826" width="42.140625" style="2774" customWidth="1"/>
    <col min="13827" max="13833" width="0" style="2774" hidden="1" customWidth="1"/>
    <col min="13834" max="13834" width="11.5703125" style="2774" customWidth="1"/>
    <col min="13835" max="13841" width="0" style="2774" hidden="1" customWidth="1"/>
    <col min="13842" max="13842" width="6.7109375" style="2774" customWidth="1"/>
    <col min="13843" max="13843" width="14.140625" style="2774" customWidth="1"/>
    <col min="13844" max="13844" width="15.85546875" style="2774" customWidth="1"/>
    <col min="13845" max="14080" width="9" style="2774"/>
    <col min="14081" max="14081" width="6.42578125" style="2774" customWidth="1"/>
    <col min="14082" max="14082" width="42.140625" style="2774" customWidth="1"/>
    <col min="14083" max="14089" width="0" style="2774" hidden="1" customWidth="1"/>
    <col min="14090" max="14090" width="11.5703125" style="2774" customWidth="1"/>
    <col min="14091" max="14097" width="0" style="2774" hidden="1" customWidth="1"/>
    <col min="14098" max="14098" width="6.7109375" style="2774" customWidth="1"/>
    <col min="14099" max="14099" width="14.140625" style="2774" customWidth="1"/>
    <col min="14100" max="14100" width="15.85546875" style="2774" customWidth="1"/>
    <col min="14101" max="14336" width="9" style="2774"/>
    <col min="14337" max="14337" width="6.42578125" style="2774" customWidth="1"/>
    <col min="14338" max="14338" width="42.140625" style="2774" customWidth="1"/>
    <col min="14339" max="14345" width="0" style="2774" hidden="1" customWidth="1"/>
    <col min="14346" max="14346" width="11.5703125" style="2774" customWidth="1"/>
    <col min="14347" max="14353" width="0" style="2774" hidden="1" customWidth="1"/>
    <col min="14354" max="14354" width="6.7109375" style="2774" customWidth="1"/>
    <col min="14355" max="14355" width="14.140625" style="2774" customWidth="1"/>
    <col min="14356" max="14356" width="15.85546875" style="2774" customWidth="1"/>
    <col min="14357" max="14592" width="9" style="2774"/>
    <col min="14593" max="14593" width="6.42578125" style="2774" customWidth="1"/>
    <col min="14594" max="14594" width="42.140625" style="2774" customWidth="1"/>
    <col min="14595" max="14601" width="0" style="2774" hidden="1" customWidth="1"/>
    <col min="14602" max="14602" width="11.5703125" style="2774" customWidth="1"/>
    <col min="14603" max="14609" width="0" style="2774" hidden="1" customWidth="1"/>
    <col min="14610" max="14610" width="6.7109375" style="2774" customWidth="1"/>
    <col min="14611" max="14611" width="14.140625" style="2774" customWidth="1"/>
    <col min="14612" max="14612" width="15.85546875" style="2774" customWidth="1"/>
    <col min="14613" max="14848" width="9" style="2774"/>
    <col min="14849" max="14849" width="6.42578125" style="2774" customWidth="1"/>
    <col min="14850" max="14850" width="42.140625" style="2774" customWidth="1"/>
    <col min="14851" max="14857" width="0" style="2774" hidden="1" customWidth="1"/>
    <col min="14858" max="14858" width="11.5703125" style="2774" customWidth="1"/>
    <col min="14859" max="14865" width="0" style="2774" hidden="1" customWidth="1"/>
    <col min="14866" max="14866" width="6.7109375" style="2774" customWidth="1"/>
    <col min="14867" max="14867" width="14.140625" style="2774" customWidth="1"/>
    <col min="14868" max="14868" width="15.85546875" style="2774" customWidth="1"/>
    <col min="14869" max="15104" width="9" style="2774"/>
    <col min="15105" max="15105" width="6.42578125" style="2774" customWidth="1"/>
    <col min="15106" max="15106" width="42.140625" style="2774" customWidth="1"/>
    <col min="15107" max="15113" width="0" style="2774" hidden="1" customWidth="1"/>
    <col min="15114" max="15114" width="11.5703125" style="2774" customWidth="1"/>
    <col min="15115" max="15121" width="0" style="2774" hidden="1" customWidth="1"/>
    <col min="15122" max="15122" width="6.7109375" style="2774" customWidth="1"/>
    <col min="15123" max="15123" width="14.140625" style="2774" customWidth="1"/>
    <col min="15124" max="15124" width="15.85546875" style="2774" customWidth="1"/>
    <col min="15125" max="15360" width="9" style="2774"/>
    <col min="15361" max="15361" width="6.42578125" style="2774" customWidth="1"/>
    <col min="15362" max="15362" width="42.140625" style="2774" customWidth="1"/>
    <col min="15363" max="15369" width="0" style="2774" hidden="1" customWidth="1"/>
    <col min="15370" max="15370" width="11.5703125" style="2774" customWidth="1"/>
    <col min="15371" max="15377" width="0" style="2774" hidden="1" customWidth="1"/>
    <col min="15378" max="15378" width="6.7109375" style="2774" customWidth="1"/>
    <col min="15379" max="15379" width="14.140625" style="2774" customWidth="1"/>
    <col min="15380" max="15380" width="15.85546875" style="2774" customWidth="1"/>
    <col min="15381" max="15616" width="9" style="2774"/>
    <col min="15617" max="15617" width="6.42578125" style="2774" customWidth="1"/>
    <col min="15618" max="15618" width="42.140625" style="2774" customWidth="1"/>
    <col min="15619" max="15625" width="0" style="2774" hidden="1" customWidth="1"/>
    <col min="15626" max="15626" width="11.5703125" style="2774" customWidth="1"/>
    <col min="15627" max="15633" width="0" style="2774" hidden="1" customWidth="1"/>
    <col min="15634" max="15634" width="6.7109375" style="2774" customWidth="1"/>
    <col min="15635" max="15635" width="14.140625" style="2774" customWidth="1"/>
    <col min="15636" max="15636" width="15.85546875" style="2774" customWidth="1"/>
    <col min="15637" max="15872" width="9" style="2774"/>
    <col min="15873" max="15873" width="6.42578125" style="2774" customWidth="1"/>
    <col min="15874" max="15874" width="42.140625" style="2774" customWidth="1"/>
    <col min="15875" max="15881" width="0" style="2774" hidden="1" customWidth="1"/>
    <col min="15882" max="15882" width="11.5703125" style="2774" customWidth="1"/>
    <col min="15883" max="15889" width="0" style="2774" hidden="1" customWidth="1"/>
    <col min="15890" max="15890" width="6.7109375" style="2774" customWidth="1"/>
    <col min="15891" max="15891" width="14.140625" style="2774" customWidth="1"/>
    <col min="15892" max="15892" width="15.85546875" style="2774" customWidth="1"/>
    <col min="15893" max="16128" width="9" style="2774"/>
    <col min="16129" max="16129" width="6.42578125" style="2774" customWidth="1"/>
    <col min="16130" max="16130" width="42.140625" style="2774" customWidth="1"/>
    <col min="16131" max="16137" width="0" style="2774" hidden="1" customWidth="1"/>
    <col min="16138" max="16138" width="11.5703125" style="2774" customWidth="1"/>
    <col min="16139" max="16145" width="0" style="2774" hidden="1" customWidth="1"/>
    <col min="16146" max="16146" width="6.7109375" style="2774" customWidth="1"/>
    <col min="16147" max="16147" width="14.140625" style="2774" customWidth="1"/>
    <col min="16148" max="16148" width="15.85546875" style="2774" customWidth="1"/>
    <col min="16149" max="16384" width="9" style="2774"/>
  </cols>
  <sheetData>
    <row r="1" spans="1:20">
      <c r="B1" s="4421" t="s">
        <v>4585</v>
      </c>
      <c r="C1" s="4422"/>
      <c r="D1" s="4422"/>
      <c r="E1" s="4422"/>
      <c r="F1" s="4422"/>
      <c r="G1" s="4422"/>
      <c r="H1" s="4422"/>
      <c r="I1" s="4422"/>
      <c r="J1" s="4422"/>
      <c r="K1" s="4422"/>
      <c r="L1" s="4422"/>
      <c r="M1" s="4422"/>
      <c r="N1" s="4422"/>
      <c r="O1" s="4422"/>
      <c r="P1" s="4422"/>
      <c r="Q1" s="4422"/>
      <c r="R1" s="4422"/>
      <c r="S1" s="4422"/>
      <c r="T1" s="4422"/>
    </row>
    <row r="2" spans="1:20" ht="15.75" customHeight="1">
      <c r="A2" s="1423"/>
      <c r="B2" s="2775"/>
      <c r="C2" s="2776"/>
      <c r="D2" s="2776"/>
      <c r="E2" s="2776"/>
      <c r="F2" s="2776"/>
      <c r="G2" s="2776"/>
      <c r="H2" s="2776"/>
      <c r="I2" s="2776"/>
      <c r="J2" s="2777" t="s">
        <v>4586</v>
      </c>
      <c r="S2" s="2777"/>
      <c r="T2" s="2777"/>
    </row>
    <row r="3" spans="1:20" ht="14.25" customHeight="1" thickBot="1">
      <c r="A3" s="2780"/>
      <c r="B3" s="1431"/>
    </row>
    <row r="4" spans="1:20" ht="31.5" customHeight="1" thickBot="1">
      <c r="A4" s="2786" t="s">
        <v>2</v>
      </c>
      <c r="B4" s="2787" t="s">
        <v>478</v>
      </c>
      <c r="C4" s="2788" t="s">
        <v>4587</v>
      </c>
      <c r="D4" s="2789" t="s">
        <v>4588</v>
      </c>
      <c r="E4" s="2789" t="s">
        <v>4589</v>
      </c>
      <c r="F4" s="2789" t="s">
        <v>4478</v>
      </c>
      <c r="G4" s="2790" t="s">
        <v>4590</v>
      </c>
      <c r="H4" s="2790" t="s">
        <v>4591</v>
      </c>
      <c r="I4" s="2790" t="s">
        <v>4480</v>
      </c>
      <c r="J4" s="2791" t="s">
        <v>4587</v>
      </c>
      <c r="K4" s="2792" t="s">
        <v>4592</v>
      </c>
      <c r="L4" s="2793" t="s">
        <v>4593</v>
      </c>
      <c r="M4" s="2794" t="s">
        <v>4594</v>
      </c>
      <c r="N4" s="2795" t="s">
        <v>4595</v>
      </c>
      <c r="O4" s="2793" t="s">
        <v>4596</v>
      </c>
      <c r="P4" s="2793" t="s">
        <v>4597</v>
      </c>
      <c r="Q4" s="2796" t="s">
        <v>4594</v>
      </c>
      <c r="R4" s="2797" t="s">
        <v>4023</v>
      </c>
      <c r="S4" s="2798" t="s">
        <v>4590</v>
      </c>
      <c r="T4" s="2799" t="s">
        <v>4480</v>
      </c>
    </row>
    <row r="5" spans="1:20" ht="27" customHeight="1">
      <c r="A5" s="2800" t="s">
        <v>563</v>
      </c>
      <c r="B5" s="4423" t="s">
        <v>4598</v>
      </c>
      <c r="C5" s="4424"/>
      <c r="D5" s="4424"/>
      <c r="E5" s="4424"/>
      <c r="F5" s="4424"/>
      <c r="G5" s="4424"/>
      <c r="H5" s="2801"/>
      <c r="I5" s="2802">
        <f>SUM(I7:I209)</f>
        <v>54310366</v>
      </c>
      <c r="J5" s="2803"/>
      <c r="K5" s="2804">
        <f>SUM(K6:K209)</f>
        <v>0</v>
      </c>
      <c r="L5" s="2805"/>
      <c r="M5" s="2806">
        <f>K5/I5*100</f>
        <v>0</v>
      </c>
      <c r="N5" s="2804">
        <f>SUM(N6:N209)</f>
        <v>52389280</v>
      </c>
      <c r="O5" s="2805"/>
      <c r="P5" s="2805"/>
      <c r="Q5" s="2807">
        <f>N5/I5*100</f>
        <v>96.462763664674995</v>
      </c>
      <c r="R5" s="2808"/>
      <c r="S5" s="2809"/>
      <c r="T5" s="2810"/>
    </row>
    <row r="6" spans="1:20">
      <c r="A6" s="2811"/>
      <c r="B6" s="2812" t="s">
        <v>4599</v>
      </c>
      <c r="C6" s="2813"/>
      <c r="D6" s="2814"/>
      <c r="E6" s="2814"/>
      <c r="F6" s="2814"/>
      <c r="G6" s="2815"/>
      <c r="H6" s="2816"/>
      <c r="I6" s="2817"/>
      <c r="J6" s="2811"/>
      <c r="K6" s="2811"/>
      <c r="L6" s="2818"/>
      <c r="M6" s="2819"/>
      <c r="N6" s="2811"/>
      <c r="O6" s="2818"/>
      <c r="P6" s="2818"/>
      <c r="Q6" s="2820"/>
      <c r="R6" s="2821"/>
      <c r="S6" s="2822"/>
      <c r="T6" s="2823"/>
    </row>
    <row r="7" spans="1:20" ht="25.5">
      <c r="A7" s="2824" t="s">
        <v>4600</v>
      </c>
      <c r="B7" s="2825" t="s">
        <v>4601</v>
      </c>
      <c r="C7" s="2813"/>
      <c r="D7" s="2814">
        <v>1</v>
      </c>
      <c r="E7" s="2814">
        <v>1</v>
      </c>
      <c r="F7" s="2814">
        <f>E7*D7</f>
        <v>1</v>
      </c>
      <c r="G7" s="2815">
        <v>51371</v>
      </c>
      <c r="H7" s="2816"/>
      <c r="I7" s="2826">
        <f>G7*F7</f>
        <v>51371</v>
      </c>
      <c r="J7" s="2827"/>
      <c r="K7" s="2828">
        <f>L7*G7</f>
        <v>0</v>
      </c>
      <c r="L7" s="2819"/>
      <c r="M7" s="2819">
        <f>K7/I7*100</f>
        <v>0</v>
      </c>
      <c r="N7" s="2828">
        <f>O7*G7</f>
        <v>51371</v>
      </c>
      <c r="O7" s="2819">
        <v>1</v>
      </c>
      <c r="P7" s="2819">
        <f>F7-O7</f>
        <v>0</v>
      </c>
      <c r="Q7" s="2820">
        <f>N7/I7*100</f>
        <v>100</v>
      </c>
      <c r="R7" s="2820">
        <f>'[68]Адм ноябрь 2014 - 35 820 766'!$D$20</f>
        <v>1</v>
      </c>
      <c r="S7" s="2829">
        <f>'[68]Адм ноябрь 2014 - 35 820 766'!$L$20</f>
        <v>44918.570165933554</v>
      </c>
      <c r="T7" s="2830">
        <f>R7*S7</f>
        <v>44918.570165933554</v>
      </c>
    </row>
    <row r="8" spans="1:20">
      <c r="A8" s="2824" t="s">
        <v>4602</v>
      </c>
      <c r="B8" s="2831" t="s">
        <v>4603</v>
      </c>
      <c r="C8" s="2813"/>
      <c r="D8" s="2814">
        <v>1</v>
      </c>
      <c r="E8" s="2814">
        <v>1</v>
      </c>
      <c r="F8" s="2814">
        <f>E8*D8</f>
        <v>1</v>
      </c>
      <c r="G8" s="2815">
        <v>32581</v>
      </c>
      <c r="H8" s="2816"/>
      <c r="I8" s="2826">
        <f>G8*F8</f>
        <v>32581</v>
      </c>
      <c r="J8" s="2827"/>
      <c r="K8" s="2828">
        <f t="shared" ref="K8:K82" si="0">L8*G8</f>
        <v>0</v>
      </c>
      <c r="L8" s="2819"/>
      <c r="M8" s="2819">
        <f t="shared" ref="M8:M82" si="1">K8/I8*100</f>
        <v>0</v>
      </c>
      <c r="N8" s="2828">
        <f t="shared" ref="N8:N82" si="2">O8*G8</f>
        <v>32581</v>
      </c>
      <c r="O8" s="2819">
        <v>1</v>
      </c>
      <c r="P8" s="2819">
        <f t="shared" ref="P8:P82" si="3">F8-O8</f>
        <v>0</v>
      </c>
      <c r="Q8" s="2820">
        <f t="shared" ref="Q8:Q82" si="4">N8/I8*100</f>
        <v>100</v>
      </c>
      <c r="R8" s="2820">
        <f>'[68]Адм сентябрь 2013 -6 599 928'!$D$19+'[68]Адм ноябрь 2014 - 35 820 766'!$D$22</f>
        <v>1</v>
      </c>
      <c r="S8" s="2829">
        <f>'[68]Адм сентябрь 2013 -6 599 928'!$L$19*0.9+'[68]Адм ноябрь 2014 - 35 820 766'!$L$22*0.1</f>
        <v>28488.673321910333</v>
      </c>
      <c r="T8" s="2830">
        <f>R8*S8</f>
        <v>28488.673321910333</v>
      </c>
    </row>
    <row r="9" spans="1:20">
      <c r="A9" s="2824" t="s">
        <v>4604</v>
      </c>
      <c r="B9" s="2831" t="s">
        <v>4605</v>
      </c>
      <c r="C9" s="2813"/>
      <c r="D9" s="2814">
        <v>1</v>
      </c>
      <c r="E9" s="2814">
        <v>1</v>
      </c>
      <c r="F9" s="2814">
        <f>E9*D9</f>
        <v>1</v>
      </c>
      <c r="G9" s="2815">
        <v>32581</v>
      </c>
      <c r="H9" s="2816"/>
      <c r="I9" s="2826">
        <f>G9*F9</f>
        <v>32581</v>
      </c>
      <c r="J9" s="2827"/>
      <c r="K9" s="2828">
        <f t="shared" si="0"/>
        <v>0</v>
      </c>
      <c r="L9" s="2819"/>
      <c r="M9" s="2819">
        <f t="shared" si="1"/>
        <v>0</v>
      </c>
      <c r="N9" s="2828">
        <f t="shared" si="2"/>
        <v>32581</v>
      </c>
      <c r="O9" s="2819">
        <v>1</v>
      </c>
      <c r="P9" s="2819">
        <f t="shared" si="3"/>
        <v>0</v>
      </c>
      <c r="Q9" s="2820">
        <f t="shared" si="4"/>
        <v>100</v>
      </c>
      <c r="R9" s="2820">
        <f>'[68]Адм сентябрь 2013 -6 599 928'!$D$21+'[68]Адм ноябрь 2014 - 35 820 766'!$D$24</f>
        <v>1</v>
      </c>
      <c r="S9" s="2829">
        <f>'[68]Адм сентябрь 2013 -6 599 928'!$L$21*0.9+'[68]Адм ноябрь 2014 - 35 820 766'!$L$24*0.1</f>
        <v>28488.673321910333</v>
      </c>
      <c r="T9" s="2830">
        <f>R9*S9</f>
        <v>28488.673321910333</v>
      </c>
    </row>
    <row r="10" spans="1:20">
      <c r="A10" s="2811"/>
      <c r="B10" s="2832" t="s">
        <v>4606</v>
      </c>
      <c r="C10" s="2813"/>
      <c r="D10" s="2814"/>
      <c r="E10" s="2814"/>
      <c r="F10" s="2833"/>
      <c r="G10" s="2834"/>
      <c r="H10" s="2816"/>
      <c r="I10" s="2817"/>
      <c r="J10" s="2811"/>
      <c r="K10" s="2828"/>
      <c r="L10" s="2819"/>
      <c r="M10" s="2819"/>
      <c r="N10" s="2828"/>
      <c r="O10" s="2819"/>
      <c r="P10" s="2819"/>
      <c r="Q10" s="2820"/>
      <c r="R10" s="2820"/>
      <c r="S10" s="2829"/>
      <c r="T10" s="2830"/>
    </row>
    <row r="11" spans="1:20">
      <c r="A11" s="2824" t="s">
        <v>4607</v>
      </c>
      <c r="B11" s="2835" t="s">
        <v>4608</v>
      </c>
      <c r="C11" s="2813"/>
      <c r="D11" s="2814">
        <v>1</v>
      </c>
      <c r="E11" s="2814">
        <v>1</v>
      </c>
      <c r="F11" s="2833">
        <f>D11*E11</f>
        <v>1</v>
      </c>
      <c r="G11" s="2816">
        <v>89300</v>
      </c>
      <c r="H11" s="2816"/>
      <c r="I11" s="2826">
        <f>G11*F11</f>
        <v>89300</v>
      </c>
      <c r="J11" s="1072"/>
      <c r="K11" s="2828">
        <f t="shared" si="0"/>
        <v>0</v>
      </c>
      <c r="L11" s="2819"/>
      <c r="M11" s="2819">
        <f t="shared" si="1"/>
        <v>0</v>
      </c>
      <c r="N11" s="2828">
        <f t="shared" si="2"/>
        <v>89300</v>
      </c>
      <c r="O11" s="2819">
        <v>1</v>
      </c>
      <c r="P11" s="2819">
        <f t="shared" si="3"/>
        <v>0</v>
      </c>
      <c r="Q11" s="2820">
        <f t="shared" si="4"/>
        <v>100</v>
      </c>
      <c r="R11" s="2820">
        <f>'[68]Адм сентябрь 2013 -6 599 928'!$D$24</f>
        <v>1</v>
      </c>
      <c r="S11" s="2829">
        <f>'[68]Адм сентябрь 2013 -6 599 928'!$L$24</f>
        <v>78083.521873930906</v>
      </c>
      <c r="T11" s="2830">
        <f t="shared" ref="T11:T17" si="5">R11*S11</f>
        <v>78083.521873930906</v>
      </c>
    </row>
    <row r="12" spans="1:20" s="2837" customFormat="1" ht="25.5">
      <c r="A12" s="2836" t="s">
        <v>4609</v>
      </c>
      <c r="B12" s="2835" t="s">
        <v>4562</v>
      </c>
      <c r="C12" s="2813"/>
      <c r="D12" s="2814">
        <v>1</v>
      </c>
      <c r="E12" s="2814">
        <v>1</v>
      </c>
      <c r="F12" s="2833">
        <f>D12*E12</f>
        <v>1</v>
      </c>
      <c r="G12" s="2816">
        <v>47300</v>
      </c>
      <c r="H12" s="2816"/>
      <c r="I12" s="2826">
        <f>G12*F12</f>
        <v>47300</v>
      </c>
      <c r="J12" s="1072"/>
      <c r="K12" s="2828">
        <f>L12*G12</f>
        <v>0</v>
      </c>
      <c r="L12" s="2819"/>
      <c r="M12" s="2819">
        <f>K12/I12*100</f>
        <v>0</v>
      </c>
      <c r="N12" s="2828">
        <f>O12*G12</f>
        <v>47300</v>
      </c>
      <c r="O12" s="2819">
        <v>1</v>
      </c>
      <c r="P12" s="2819">
        <f>F12-O12</f>
        <v>0</v>
      </c>
      <c r="Q12" s="2820">
        <f>N12/I12*100</f>
        <v>100</v>
      </c>
      <c r="R12" s="2820">
        <v>1</v>
      </c>
      <c r="S12" s="2829">
        <f>'[69]адм корпус март 2015 г 7 606 74'!$L$132</f>
        <v>28330.422898592213</v>
      </c>
      <c r="T12" s="2829">
        <f t="shared" si="5"/>
        <v>28330.422898592213</v>
      </c>
    </row>
    <row r="13" spans="1:20" s="2837" customFormat="1" ht="30.75" customHeight="1">
      <c r="A13" s="2836" t="s">
        <v>4609</v>
      </c>
      <c r="B13" s="2835" t="s">
        <v>4561</v>
      </c>
      <c r="C13" s="2813"/>
      <c r="D13" s="2814"/>
      <c r="E13" s="2814"/>
      <c r="F13" s="2833"/>
      <c r="G13" s="2816"/>
      <c r="H13" s="2816"/>
      <c r="I13" s="2826"/>
      <c r="J13" s="1072"/>
      <c r="K13" s="2828"/>
      <c r="L13" s="2819"/>
      <c r="M13" s="2819"/>
      <c r="N13" s="2828"/>
      <c r="O13" s="2819"/>
      <c r="P13" s="2819"/>
      <c r="Q13" s="2820"/>
      <c r="R13" s="2820">
        <v>1</v>
      </c>
      <c r="S13" s="2829">
        <f>'[69]адм корпус март 2015 г 7 606 74'!$L$134</f>
        <v>13028.493805563874</v>
      </c>
      <c r="T13" s="2829">
        <f t="shared" si="5"/>
        <v>13028.493805563874</v>
      </c>
    </row>
    <row r="14" spans="1:20" s="2837" customFormat="1" ht="25.5">
      <c r="A14" s="2836" t="s">
        <v>4610</v>
      </c>
      <c r="B14" s="2835" t="s">
        <v>872</v>
      </c>
      <c r="C14" s="2813"/>
      <c r="D14" s="2814">
        <v>1</v>
      </c>
      <c r="E14" s="2814">
        <v>1</v>
      </c>
      <c r="F14" s="2833">
        <f>D14*E14</f>
        <v>1</v>
      </c>
      <c r="G14" s="2816">
        <v>32800</v>
      </c>
      <c r="H14" s="2816"/>
      <c r="I14" s="2826">
        <f>G14*F14</f>
        <v>32800</v>
      </c>
      <c r="J14" s="1072"/>
      <c r="K14" s="2828">
        <f>L14*G14</f>
        <v>0</v>
      </c>
      <c r="L14" s="2819"/>
      <c r="M14" s="2819">
        <f>K14/I14*100</f>
        <v>0</v>
      </c>
      <c r="N14" s="2828">
        <f>O14*G14</f>
        <v>0</v>
      </c>
      <c r="O14" s="2819"/>
      <c r="P14" s="2819">
        <f>F14-O14</f>
        <v>1</v>
      </c>
      <c r="Q14" s="2820">
        <f>N14/I14*100</f>
        <v>0</v>
      </c>
      <c r="R14" s="2820">
        <f>'[69]адм 1 951 768'!$D$19</f>
        <v>1</v>
      </c>
      <c r="S14" s="2829">
        <f>'[69]адм 1 951 768'!$L$19</f>
        <v>30683.181003200832</v>
      </c>
      <c r="T14" s="2838">
        <f t="shared" si="5"/>
        <v>30683.181003200832</v>
      </c>
    </row>
    <row r="15" spans="1:20" s="403" customFormat="1">
      <c r="A15" s="2607" t="s">
        <v>4611</v>
      </c>
      <c r="B15" s="2609" t="s">
        <v>4574</v>
      </c>
      <c r="C15" s="1067"/>
      <c r="D15" s="2602">
        <v>1</v>
      </c>
      <c r="E15" s="2602">
        <v>1</v>
      </c>
      <c r="F15" s="2603">
        <f>D15*E15</f>
        <v>1</v>
      </c>
      <c r="G15" s="2604">
        <v>19100</v>
      </c>
      <c r="H15" s="2604"/>
      <c r="I15" s="2605">
        <f>G15*F15</f>
        <v>19100</v>
      </c>
      <c r="J15" s="365"/>
      <c r="K15" s="2839">
        <f>L15*G15</f>
        <v>0</v>
      </c>
      <c r="L15" s="2840"/>
      <c r="M15" s="2840">
        <f>K15/I15*100</f>
        <v>0</v>
      </c>
      <c r="N15" s="2839">
        <f>O15*G15</f>
        <v>19100</v>
      </c>
      <c r="O15" s="2840">
        <v>1</v>
      </c>
      <c r="P15" s="2840">
        <f>F15-O15</f>
        <v>0</v>
      </c>
      <c r="Q15" s="2841">
        <f>N15/I15*100</f>
        <v>100</v>
      </c>
      <c r="R15" s="2841">
        <f>'[69]Адм март 2015 - 10 826 761'!$D$20</f>
        <v>1</v>
      </c>
      <c r="S15" s="2842">
        <f>'[69]Адм март 2015 - 10 826 761'!$L$20</f>
        <v>17867.329149646052</v>
      </c>
      <c r="T15" s="2838">
        <f t="shared" si="5"/>
        <v>17867.329149646052</v>
      </c>
    </row>
    <row r="16" spans="1:20" s="2837" customFormat="1" ht="25.5">
      <c r="A16" s="2836" t="s">
        <v>4612</v>
      </c>
      <c r="B16" s="2835" t="s">
        <v>4581</v>
      </c>
      <c r="C16" s="2813"/>
      <c r="D16" s="2814">
        <v>1</v>
      </c>
      <c r="E16" s="2814">
        <v>1</v>
      </c>
      <c r="F16" s="2833">
        <f>D16*E16</f>
        <v>1</v>
      </c>
      <c r="G16" s="2816">
        <v>92455</v>
      </c>
      <c r="H16" s="2816"/>
      <c r="I16" s="2826">
        <f>G16*F16</f>
        <v>92455</v>
      </c>
      <c r="J16" s="1072"/>
      <c r="K16" s="2828">
        <f>L16*G16</f>
        <v>0</v>
      </c>
      <c r="L16" s="2819"/>
      <c r="M16" s="2819">
        <f>K16/I16*100</f>
        <v>0</v>
      </c>
      <c r="N16" s="2828">
        <f>O16*G16</f>
        <v>92455</v>
      </c>
      <c r="O16" s="2819">
        <v>1</v>
      </c>
      <c r="P16" s="2819">
        <f>F16-O16</f>
        <v>0</v>
      </c>
      <c r="Q16" s="2820">
        <f>N16/I16*100</f>
        <v>100</v>
      </c>
      <c r="R16" s="2820">
        <f>'[69]Адм март 2015 - 38 922 227'!$D$19</f>
        <v>1</v>
      </c>
      <c r="S16" s="2829">
        <f>'[69]Адм март 2015 - 38 922 227'!$L$19</f>
        <v>86488.195128194347</v>
      </c>
      <c r="T16" s="2838">
        <f t="shared" si="5"/>
        <v>86488.195128194347</v>
      </c>
    </row>
    <row r="17" spans="1:20">
      <c r="A17" s="2824" t="s">
        <v>4613</v>
      </c>
      <c r="B17" s="2835" t="s">
        <v>4575</v>
      </c>
      <c r="C17" s="2813"/>
      <c r="D17" s="2814">
        <v>2</v>
      </c>
      <c r="E17" s="2814">
        <v>1</v>
      </c>
      <c r="F17" s="2833">
        <f>D17*E17</f>
        <v>2</v>
      </c>
      <c r="G17" s="2816">
        <v>56940</v>
      </c>
      <c r="H17" s="2816"/>
      <c r="I17" s="2826">
        <f>G17*F17</f>
        <v>113880</v>
      </c>
      <c r="J17" s="1072"/>
      <c r="K17" s="2828">
        <f t="shared" si="0"/>
        <v>0</v>
      </c>
      <c r="L17" s="2819"/>
      <c r="M17" s="2819">
        <f t="shared" si="1"/>
        <v>0</v>
      </c>
      <c r="N17" s="2828">
        <f t="shared" si="2"/>
        <v>113880</v>
      </c>
      <c r="O17" s="2819">
        <v>2</v>
      </c>
      <c r="P17" s="2819">
        <f t="shared" si="3"/>
        <v>0</v>
      </c>
      <c r="Q17" s="2820">
        <f t="shared" si="4"/>
        <v>100</v>
      </c>
      <c r="R17" s="2820">
        <f>'[68]Адм ноябрь 2014 - 17 872 571'!$D$24</f>
        <v>2</v>
      </c>
      <c r="S17" s="2829">
        <f>'[68]Адм ноябрь 2014 - 17 872 571'!$L$24</f>
        <v>49788.070005315778</v>
      </c>
      <c r="T17" s="2830">
        <f t="shared" si="5"/>
        <v>99576.140010631556</v>
      </c>
    </row>
    <row r="18" spans="1:20">
      <c r="A18" s="2811"/>
      <c r="B18" s="2832" t="s">
        <v>4614</v>
      </c>
      <c r="C18" s="2813"/>
      <c r="D18" s="2814"/>
      <c r="E18" s="2814"/>
      <c r="F18" s="2833"/>
      <c r="G18" s="2843"/>
      <c r="H18" s="2816"/>
      <c r="I18" s="2817"/>
      <c r="J18" s="2811"/>
      <c r="K18" s="2828"/>
      <c r="L18" s="2819"/>
      <c r="M18" s="2819"/>
      <c r="N18" s="2828"/>
      <c r="O18" s="2819"/>
      <c r="P18" s="2819"/>
      <c r="Q18" s="2820"/>
      <c r="R18" s="2820"/>
      <c r="S18" s="2829"/>
      <c r="T18" s="2830"/>
    </row>
    <row r="19" spans="1:20">
      <c r="A19" s="2824" t="s">
        <v>4615</v>
      </c>
      <c r="B19" s="2844" t="s">
        <v>4616</v>
      </c>
      <c r="C19" s="2813"/>
      <c r="D19" s="2814">
        <v>4</v>
      </c>
      <c r="E19" s="2814">
        <v>1</v>
      </c>
      <c r="F19" s="2833">
        <f>D19*E19</f>
        <v>4</v>
      </c>
      <c r="G19" s="2816">
        <v>14355</v>
      </c>
      <c r="H19" s="2816"/>
      <c r="I19" s="2826">
        <f>G19*F19</f>
        <v>57420</v>
      </c>
      <c r="J19" s="2827"/>
      <c r="K19" s="2828">
        <f t="shared" si="0"/>
        <v>0</v>
      </c>
      <c r="L19" s="2819"/>
      <c r="M19" s="2819">
        <f t="shared" si="1"/>
        <v>0</v>
      </c>
      <c r="N19" s="2828">
        <f t="shared" si="2"/>
        <v>57420</v>
      </c>
      <c r="O19" s="2819">
        <v>4</v>
      </c>
      <c r="P19" s="2819">
        <f t="shared" si="3"/>
        <v>0</v>
      </c>
      <c r="Q19" s="2820">
        <f t="shared" si="4"/>
        <v>100</v>
      </c>
      <c r="R19" s="2820">
        <f>'[68]Адм сентябрь 2013 -6 599 928'!$D$27+'[68]Адм ноябрь 2014 - 35 820 766'!$D$27</f>
        <v>4</v>
      </c>
      <c r="S19" s="2829">
        <f>('[68]Адм сентябрь 2013 -6 599 928'!$L$27*3.6+'[68]Адм ноябрь 2014 - 35 820 766'!$L$27*0.4)/4</f>
        <v>12551.953571569649</v>
      </c>
      <c r="T19" s="2830">
        <f>R19*S19</f>
        <v>50207.814286278597</v>
      </c>
    </row>
    <row r="20" spans="1:20">
      <c r="A20" s="2824" t="s">
        <v>4617</v>
      </c>
      <c r="B20" s="2844" t="s">
        <v>4566</v>
      </c>
      <c r="C20" s="2813"/>
      <c r="D20" s="2814">
        <v>8</v>
      </c>
      <c r="E20" s="2814">
        <v>1</v>
      </c>
      <c r="F20" s="2833">
        <f>D20*E20</f>
        <v>8</v>
      </c>
      <c r="G20" s="2816">
        <v>48217</v>
      </c>
      <c r="H20" s="2816"/>
      <c r="I20" s="2826">
        <f>G20*F20</f>
        <v>385736</v>
      </c>
      <c r="J20" s="2827"/>
      <c r="K20" s="2828">
        <f t="shared" si="0"/>
        <v>0</v>
      </c>
      <c r="L20" s="2819"/>
      <c r="M20" s="2819">
        <f t="shared" si="1"/>
        <v>0</v>
      </c>
      <c r="N20" s="2828">
        <f t="shared" si="2"/>
        <v>385736</v>
      </c>
      <c r="O20" s="2819">
        <v>8</v>
      </c>
      <c r="P20" s="2819">
        <f t="shared" si="3"/>
        <v>0</v>
      </c>
      <c r="Q20" s="2820">
        <f t="shared" si="4"/>
        <v>100</v>
      </c>
      <c r="R20" s="2820">
        <f>'[68]Адм ноябрь 2014 - 35 820 766'!$D$29</f>
        <v>8</v>
      </c>
      <c r="S20" s="2829">
        <f>'[68]Адм ноябрь 2014 - 35 820 766'!$L$29</f>
        <v>42160.717530870003</v>
      </c>
      <c r="T20" s="2830">
        <f>R20*S20</f>
        <v>337285.74024696002</v>
      </c>
    </row>
    <row r="21" spans="1:20">
      <c r="A21" s="2811"/>
      <c r="B21" s="2832" t="s">
        <v>4618</v>
      </c>
      <c r="C21" s="2813"/>
      <c r="D21" s="2814"/>
      <c r="E21" s="2814"/>
      <c r="F21" s="2833"/>
      <c r="G21" s="2816"/>
      <c r="H21" s="2816"/>
      <c r="I21" s="2817"/>
      <c r="J21" s="2811"/>
      <c r="K21" s="2828"/>
      <c r="L21" s="2819"/>
      <c r="M21" s="2819"/>
      <c r="N21" s="2828"/>
      <c r="O21" s="2819"/>
      <c r="P21" s="2819"/>
      <c r="Q21" s="2820"/>
      <c r="R21" s="2820"/>
      <c r="S21" s="2829"/>
      <c r="T21" s="2830"/>
    </row>
    <row r="22" spans="1:20" ht="25.5">
      <c r="A22" s="2824" t="s">
        <v>4619</v>
      </c>
      <c r="B22" s="2845" t="s">
        <v>4620</v>
      </c>
      <c r="C22" s="2813"/>
      <c r="D22" s="2814">
        <v>1</v>
      </c>
      <c r="E22" s="2814">
        <v>1</v>
      </c>
      <c r="F22" s="2833">
        <f>D22*E22</f>
        <v>1</v>
      </c>
      <c r="G22" s="2816">
        <v>168766</v>
      </c>
      <c r="H22" s="2816"/>
      <c r="I22" s="2826">
        <f>G22*F22</f>
        <v>168766</v>
      </c>
      <c r="J22" s="2827"/>
      <c r="K22" s="2828">
        <f t="shared" si="0"/>
        <v>0</v>
      </c>
      <c r="L22" s="2819"/>
      <c r="M22" s="2819">
        <f t="shared" si="1"/>
        <v>0</v>
      </c>
      <c r="N22" s="2828">
        <f t="shared" si="2"/>
        <v>168766</v>
      </c>
      <c r="O22" s="2819">
        <v>1</v>
      </c>
      <c r="P22" s="2819">
        <f t="shared" si="3"/>
        <v>0</v>
      </c>
      <c r="Q22" s="2820">
        <f t="shared" si="4"/>
        <v>100</v>
      </c>
      <c r="R22" s="2820">
        <f>'[68]Адм июль 2013 - 21 827 307'!$D$21+'[68]Адм ноябрь 2014 - 35 820 766'!$D$32</f>
        <v>1</v>
      </c>
      <c r="S22" s="2829">
        <f>'[68]Адм июль 2013 - 21 827 307'!$L$21*0.9+'[68]Адм ноябрь 2014 - 35 820 766'!$L$32*0.1</f>
        <v>147568.22137366069</v>
      </c>
      <c r="T22" s="2830">
        <f t="shared" ref="T22:T27" si="6">R22*S22</f>
        <v>147568.22137366069</v>
      </c>
    </row>
    <row r="23" spans="1:20" ht="41.25" customHeight="1">
      <c r="A23" s="2824" t="s">
        <v>4621</v>
      </c>
      <c r="B23" s="2845" t="s">
        <v>879</v>
      </c>
      <c r="C23" s="2813"/>
      <c r="D23" s="2814">
        <v>1</v>
      </c>
      <c r="E23" s="2814">
        <v>1</v>
      </c>
      <c r="F23" s="2833">
        <f t="shared" ref="F23:F31" si="7">D23*E23</f>
        <v>1</v>
      </c>
      <c r="G23" s="2816">
        <v>103460</v>
      </c>
      <c r="H23" s="2816"/>
      <c r="I23" s="2826">
        <f t="shared" ref="I23:I31" si="8">G23*F23</f>
        <v>103460</v>
      </c>
      <c r="J23" s="2827"/>
      <c r="K23" s="2828">
        <f t="shared" si="0"/>
        <v>0</v>
      </c>
      <c r="L23" s="2819"/>
      <c r="M23" s="2819">
        <f t="shared" si="1"/>
        <v>0</v>
      </c>
      <c r="N23" s="2828">
        <f t="shared" si="2"/>
        <v>103460</v>
      </c>
      <c r="O23" s="2819">
        <v>1</v>
      </c>
      <c r="P23" s="2819">
        <f t="shared" si="3"/>
        <v>0</v>
      </c>
      <c r="Q23" s="2820">
        <f t="shared" si="4"/>
        <v>100</v>
      </c>
      <c r="R23" s="2820">
        <f>'[68]Адм ноябрь 2014 - 35 820 766'!$D$34</f>
        <v>1</v>
      </c>
      <c r="S23" s="2829">
        <f>'[68]Адм ноябрь 2014 - 35 820 766'!$L$34</f>
        <v>90464.944874054709</v>
      </c>
      <c r="T23" s="2830">
        <f t="shared" si="6"/>
        <v>90464.944874054709</v>
      </c>
    </row>
    <row r="24" spans="1:20" ht="38.25">
      <c r="A24" s="2824" t="s">
        <v>4622</v>
      </c>
      <c r="B24" s="2845" t="s">
        <v>4623</v>
      </c>
      <c r="C24" s="2813"/>
      <c r="D24" s="2814">
        <v>1</v>
      </c>
      <c r="E24" s="2814">
        <v>1</v>
      </c>
      <c r="F24" s="2833">
        <f t="shared" si="7"/>
        <v>1</v>
      </c>
      <c r="G24" s="2816">
        <v>474834</v>
      </c>
      <c r="H24" s="2816"/>
      <c r="I24" s="2826">
        <f t="shared" si="8"/>
        <v>474834</v>
      </c>
      <c r="J24" s="2827"/>
      <c r="K24" s="2828">
        <f t="shared" si="0"/>
        <v>0</v>
      </c>
      <c r="L24" s="2819"/>
      <c r="M24" s="2819">
        <f t="shared" si="1"/>
        <v>0</v>
      </c>
      <c r="N24" s="2828">
        <f t="shared" si="2"/>
        <v>474834</v>
      </c>
      <c r="O24" s="2819">
        <v>1</v>
      </c>
      <c r="P24" s="2819">
        <f t="shared" si="3"/>
        <v>0</v>
      </c>
      <c r="Q24" s="2820">
        <f t="shared" si="4"/>
        <v>100</v>
      </c>
      <c r="R24" s="2820">
        <f>'[68]Адм ноябрь 2014 - 35 820 766'!$D$36</f>
        <v>1</v>
      </c>
      <c r="S24" s="2829">
        <f>'[68]Адм ноябрь 2014 - 35 820 766'!$L$36</f>
        <v>415192.6838631162</v>
      </c>
      <c r="T24" s="2830">
        <f t="shared" si="6"/>
        <v>415192.6838631162</v>
      </c>
    </row>
    <row r="25" spans="1:20">
      <c r="A25" s="2824" t="s">
        <v>4624</v>
      </c>
      <c r="B25" s="2845" t="s">
        <v>809</v>
      </c>
      <c r="C25" s="2813"/>
      <c r="D25" s="2814">
        <v>1</v>
      </c>
      <c r="E25" s="2814">
        <v>1</v>
      </c>
      <c r="F25" s="2833">
        <f t="shared" si="7"/>
        <v>1</v>
      </c>
      <c r="G25" s="2816">
        <v>17838</v>
      </c>
      <c r="H25" s="2816"/>
      <c r="I25" s="2826">
        <f t="shared" si="8"/>
        <v>17838</v>
      </c>
      <c r="J25" s="2827"/>
      <c r="K25" s="2828">
        <f t="shared" si="0"/>
        <v>0</v>
      </c>
      <c r="L25" s="2819"/>
      <c r="M25" s="2819">
        <f t="shared" si="1"/>
        <v>0</v>
      </c>
      <c r="N25" s="2828">
        <f t="shared" si="2"/>
        <v>17838</v>
      </c>
      <c r="O25" s="2819">
        <v>1</v>
      </c>
      <c r="P25" s="2819">
        <f t="shared" si="3"/>
        <v>0</v>
      </c>
      <c r="Q25" s="2820">
        <f t="shared" si="4"/>
        <v>100</v>
      </c>
      <c r="R25" s="2820">
        <f>'[68]Адм ноябрь 2014 - 35 820 766'!$D$38</f>
        <v>1</v>
      </c>
      <c r="S25" s="2829">
        <f>'[68]Адм ноябрь 2014 - 35 820 766'!$L$38</f>
        <v>15597.470164980001</v>
      </c>
      <c r="T25" s="2830">
        <f t="shared" si="6"/>
        <v>15597.470164980001</v>
      </c>
    </row>
    <row r="26" spans="1:20">
      <c r="A26" s="2824" t="s">
        <v>4625</v>
      </c>
      <c r="B26" s="2845" t="s">
        <v>806</v>
      </c>
      <c r="C26" s="2813"/>
      <c r="D26" s="2814">
        <v>1</v>
      </c>
      <c r="E26" s="2814">
        <v>1</v>
      </c>
      <c r="F26" s="2833">
        <f t="shared" si="7"/>
        <v>1</v>
      </c>
      <c r="G26" s="2816">
        <v>57316</v>
      </c>
      <c r="H26" s="2816"/>
      <c r="I26" s="2826">
        <f t="shared" si="8"/>
        <v>57316</v>
      </c>
      <c r="J26" s="2827"/>
      <c r="K26" s="2828">
        <f t="shared" si="0"/>
        <v>0</v>
      </c>
      <c r="L26" s="2819"/>
      <c r="M26" s="2819">
        <f t="shared" si="1"/>
        <v>0</v>
      </c>
      <c r="N26" s="2828">
        <f t="shared" si="2"/>
        <v>57316</v>
      </c>
      <c r="O26" s="2819">
        <v>1</v>
      </c>
      <c r="P26" s="2819">
        <f t="shared" si="3"/>
        <v>0</v>
      </c>
      <c r="Q26" s="2820">
        <f t="shared" si="4"/>
        <v>100</v>
      </c>
      <c r="R26" s="2820">
        <f>'[68]Адм ноябрь 2014 - 35 820 766'!$D$40</f>
        <v>1</v>
      </c>
      <c r="S26" s="2829">
        <f>'[68]Адм ноябрь 2014 - 35 820 766'!$L$40</f>
        <v>50116.849512207751</v>
      </c>
      <c r="T26" s="2830">
        <f t="shared" si="6"/>
        <v>50116.849512207751</v>
      </c>
    </row>
    <row r="27" spans="1:20" ht="38.25">
      <c r="A27" s="2824" t="s">
        <v>4626</v>
      </c>
      <c r="B27" s="2845" t="s">
        <v>4627</v>
      </c>
      <c r="C27" s="2813"/>
      <c r="D27" s="2814">
        <v>1</v>
      </c>
      <c r="E27" s="2814">
        <v>1</v>
      </c>
      <c r="F27" s="2833">
        <f t="shared" si="7"/>
        <v>1</v>
      </c>
      <c r="G27" s="2816">
        <v>325223</v>
      </c>
      <c r="H27" s="2816"/>
      <c r="I27" s="2826">
        <f t="shared" si="8"/>
        <v>325223</v>
      </c>
      <c r="J27" s="1072" t="s">
        <v>4628</v>
      </c>
      <c r="K27" s="2828">
        <f t="shared" si="0"/>
        <v>0</v>
      </c>
      <c r="L27" s="2819"/>
      <c r="M27" s="2819">
        <f t="shared" si="1"/>
        <v>0</v>
      </c>
      <c r="N27" s="2828">
        <f t="shared" si="2"/>
        <v>325223</v>
      </c>
      <c r="O27" s="2819">
        <v>1</v>
      </c>
      <c r="P27" s="2819">
        <f t="shared" si="3"/>
        <v>0</v>
      </c>
      <c r="Q27" s="2820">
        <f t="shared" si="4"/>
        <v>100</v>
      </c>
      <c r="R27" s="2820">
        <f>'[68]Адм ноябрь 2014 - 35 820 766'!$D$42</f>
        <v>1</v>
      </c>
      <c r="S27" s="2829">
        <f>'[68]Адм ноябрь 2014 - 35 820 766'!$L$42</f>
        <v>398066.77624681697</v>
      </c>
      <c r="T27" s="2830">
        <f t="shared" si="6"/>
        <v>398066.77624681697</v>
      </c>
    </row>
    <row r="28" spans="1:20" ht="25.5">
      <c r="A28" s="2824" t="s">
        <v>4629</v>
      </c>
      <c r="B28" s="2845" t="s">
        <v>907</v>
      </c>
      <c r="C28" s="2813"/>
      <c r="D28" s="2814">
        <v>1</v>
      </c>
      <c r="E28" s="2814">
        <v>1</v>
      </c>
      <c r="F28" s="2833">
        <f t="shared" si="7"/>
        <v>1</v>
      </c>
      <c r="G28" s="2816">
        <v>307646</v>
      </c>
      <c r="H28" s="2816"/>
      <c r="I28" s="2826">
        <f t="shared" si="8"/>
        <v>307646</v>
      </c>
      <c r="J28" s="2827"/>
      <c r="K28" s="2828">
        <f t="shared" si="0"/>
        <v>0</v>
      </c>
      <c r="L28" s="2819"/>
      <c r="M28" s="2819">
        <f t="shared" si="1"/>
        <v>0</v>
      </c>
      <c r="N28" s="2828">
        <f t="shared" si="2"/>
        <v>307646</v>
      </c>
      <c r="O28" s="2819">
        <v>1</v>
      </c>
      <c r="P28" s="2819">
        <f t="shared" si="3"/>
        <v>0</v>
      </c>
      <c r="Q28" s="2820">
        <f t="shared" si="4"/>
        <v>100</v>
      </c>
      <c r="R28" s="2820">
        <f>'[68]Адм ноябрь 2014 - 35 820 766'!$D$44</f>
        <v>1</v>
      </c>
      <c r="S28" s="2829">
        <f>'[68]Адм ноябрь 2014 - 35 820 766'!$L$44</f>
        <v>269004.26972017711</v>
      </c>
      <c r="T28" s="2830">
        <f>R28*S28</f>
        <v>269004.26972017711</v>
      </c>
    </row>
    <row r="29" spans="1:20">
      <c r="A29" s="2824" t="s">
        <v>4630</v>
      </c>
      <c r="B29" s="2845" t="s">
        <v>751</v>
      </c>
      <c r="C29" s="2813"/>
      <c r="D29" s="2814">
        <v>1</v>
      </c>
      <c r="E29" s="2814">
        <v>1</v>
      </c>
      <c r="F29" s="2833">
        <f t="shared" si="7"/>
        <v>1</v>
      </c>
      <c r="G29" s="2816">
        <v>69917</v>
      </c>
      <c r="H29" s="2816"/>
      <c r="I29" s="2826">
        <f t="shared" si="8"/>
        <v>69917</v>
      </c>
      <c r="J29" s="2827"/>
      <c r="K29" s="2828">
        <f t="shared" si="0"/>
        <v>0</v>
      </c>
      <c r="L29" s="2819"/>
      <c r="M29" s="2819">
        <f t="shared" si="1"/>
        <v>0</v>
      </c>
      <c r="N29" s="2828">
        <f t="shared" si="2"/>
        <v>69917</v>
      </c>
      <c r="O29" s="2819">
        <v>1</v>
      </c>
      <c r="P29" s="2819">
        <f t="shared" si="3"/>
        <v>0</v>
      </c>
      <c r="Q29" s="2820">
        <f t="shared" si="4"/>
        <v>100</v>
      </c>
      <c r="R29" s="2820">
        <f>'[68]Адм август 2013 - 3 706 599'!$D$20+'[68]Адм ноябрь 2014 - 35 820 766'!$D$46</f>
        <v>1</v>
      </c>
      <c r="S29" s="2829">
        <f>'[68]Адм август 2013 - 3 706 599'!$L$20*0.9+'[68]Адм ноябрь 2014 - 35 820 766'!$L$46*0.1</f>
        <v>61135.107483038468</v>
      </c>
      <c r="T29" s="2830">
        <f>R29*S29</f>
        <v>61135.107483038468</v>
      </c>
    </row>
    <row r="30" spans="1:20" ht="25.5">
      <c r="A30" s="2824" t="s">
        <v>4631</v>
      </c>
      <c r="B30" s="2845" t="s">
        <v>4632</v>
      </c>
      <c r="C30" s="2813"/>
      <c r="D30" s="2814">
        <v>1</v>
      </c>
      <c r="E30" s="2814">
        <v>1</v>
      </c>
      <c r="F30" s="2833">
        <f t="shared" si="7"/>
        <v>1</v>
      </c>
      <c r="G30" s="2816">
        <v>29774</v>
      </c>
      <c r="H30" s="2816"/>
      <c r="I30" s="2826">
        <f t="shared" si="8"/>
        <v>29774</v>
      </c>
      <c r="J30" s="2827"/>
      <c r="K30" s="2828">
        <f t="shared" si="0"/>
        <v>0</v>
      </c>
      <c r="L30" s="2819"/>
      <c r="M30" s="2819">
        <f t="shared" si="1"/>
        <v>0</v>
      </c>
      <c r="N30" s="2828">
        <f t="shared" si="2"/>
        <v>29774</v>
      </c>
      <c r="O30" s="2819">
        <v>1</v>
      </c>
      <c r="P30" s="2819">
        <f t="shared" si="3"/>
        <v>0</v>
      </c>
      <c r="Q30" s="2820">
        <f t="shared" si="4"/>
        <v>100</v>
      </c>
      <c r="R30" s="2820">
        <f>'[68]Адм сентябрь 2013 -6 599 928'!$D$30</f>
        <v>1</v>
      </c>
      <c r="S30" s="2829">
        <f>'[68]Адм сентябрь 2013 -6 599 928'!$L$30</f>
        <v>26034.258202166871</v>
      </c>
      <c r="T30" s="2830">
        <f>R30*S30</f>
        <v>26034.258202166871</v>
      </c>
    </row>
    <row r="31" spans="1:20" ht="38.25">
      <c r="A31" s="2824" t="s">
        <v>4633</v>
      </c>
      <c r="B31" s="2845" t="s">
        <v>4634</v>
      </c>
      <c r="C31" s="2813"/>
      <c r="D31" s="2814">
        <v>1</v>
      </c>
      <c r="E31" s="2814">
        <v>1</v>
      </c>
      <c r="F31" s="2833">
        <f t="shared" si="7"/>
        <v>1</v>
      </c>
      <c r="G31" s="2816">
        <v>43343</v>
      </c>
      <c r="H31" s="2816"/>
      <c r="I31" s="2826">
        <f t="shared" si="8"/>
        <v>43343</v>
      </c>
      <c r="J31" s="2827"/>
      <c r="K31" s="2828">
        <f t="shared" si="0"/>
        <v>0</v>
      </c>
      <c r="L31" s="2819"/>
      <c r="M31" s="2819">
        <f t="shared" si="1"/>
        <v>0</v>
      </c>
      <c r="N31" s="2828">
        <f t="shared" si="2"/>
        <v>43343</v>
      </c>
      <c r="O31" s="2819">
        <v>1</v>
      </c>
      <c r="P31" s="2819">
        <f t="shared" si="3"/>
        <v>0</v>
      </c>
      <c r="Q31" s="2820">
        <f t="shared" si="4"/>
        <v>100</v>
      </c>
      <c r="R31" s="2820">
        <f>'[68]Адм сентябрь 2013 -6 599 928'!$D$32+'[68]Адм ноябрь 2014 - 35 820 766'!$D$48</f>
        <v>1</v>
      </c>
      <c r="S31" s="2829">
        <f>'[68]Адм сентябрь 2013 -6 599 928'!$L$32*0.9+'[68]Адм ноябрь 2014 - 35 820 766'!$L$48*0.1</f>
        <v>37898.929112541009</v>
      </c>
      <c r="T31" s="2830">
        <f>R31*S31</f>
        <v>37898.929112541009</v>
      </c>
    </row>
    <row r="32" spans="1:20">
      <c r="A32" s="2811"/>
      <c r="B32" s="2846" t="s">
        <v>4635</v>
      </c>
      <c r="C32" s="2813"/>
      <c r="D32" s="2814"/>
      <c r="E32" s="2814"/>
      <c r="F32" s="2833"/>
      <c r="G32" s="2843"/>
      <c r="H32" s="2816"/>
      <c r="I32" s="2817"/>
      <c r="J32" s="2811"/>
      <c r="K32" s="2828"/>
      <c r="L32" s="2819"/>
      <c r="M32" s="2819"/>
      <c r="N32" s="2828"/>
      <c r="O32" s="2819"/>
      <c r="P32" s="2819"/>
      <c r="Q32" s="2820"/>
      <c r="R32" s="2820"/>
      <c r="S32" s="2829"/>
      <c r="T32" s="2830"/>
    </row>
    <row r="33" spans="1:20" ht="25.5">
      <c r="A33" s="2824" t="s">
        <v>4636</v>
      </c>
      <c r="B33" s="2845" t="s">
        <v>905</v>
      </c>
      <c r="C33" s="2813"/>
      <c r="D33" s="2814">
        <v>1</v>
      </c>
      <c r="E33" s="2814">
        <v>1</v>
      </c>
      <c r="F33" s="2833">
        <f>D33*E33</f>
        <v>1</v>
      </c>
      <c r="G33" s="2816">
        <v>168766</v>
      </c>
      <c r="H33" s="2816"/>
      <c r="I33" s="2826">
        <f>G33*F33</f>
        <v>168766</v>
      </c>
      <c r="J33" s="2827"/>
      <c r="K33" s="2828">
        <f t="shared" si="0"/>
        <v>0</v>
      </c>
      <c r="L33" s="2819"/>
      <c r="M33" s="2819">
        <f t="shared" si="1"/>
        <v>0</v>
      </c>
      <c r="N33" s="2828">
        <f t="shared" si="2"/>
        <v>168766</v>
      </c>
      <c r="O33" s="2819">
        <v>1</v>
      </c>
      <c r="P33" s="2819">
        <f t="shared" si="3"/>
        <v>0</v>
      </c>
      <c r="Q33" s="2820">
        <f t="shared" si="4"/>
        <v>100</v>
      </c>
      <c r="R33" s="2820">
        <f>'[68]Адм июль 2013 - 21 827 307'!$D$24+'[68]Адм ноябрь 2014 - 35 820 766'!$D$51</f>
        <v>1</v>
      </c>
      <c r="S33" s="2829">
        <f>'[68]Адм июль 2013 - 21 827 307'!$L$24*0.9+'[68]Адм ноябрь 2014 - 35 820 766'!$L$51*0.1</f>
        <v>147568.22137366069</v>
      </c>
      <c r="T33" s="2830">
        <f t="shared" ref="T33:T47" si="9">R33*S33</f>
        <v>147568.22137366069</v>
      </c>
    </row>
    <row r="34" spans="1:20" ht="43.5" customHeight="1">
      <c r="A34" s="2824" t="s">
        <v>4637</v>
      </c>
      <c r="B34" s="2845" t="s">
        <v>878</v>
      </c>
      <c r="C34" s="2813"/>
      <c r="D34" s="2814">
        <v>1</v>
      </c>
      <c r="E34" s="2814">
        <v>1</v>
      </c>
      <c r="F34" s="2833">
        <f t="shared" ref="F34:F47" si="10">D34*E34</f>
        <v>1</v>
      </c>
      <c r="G34" s="2816">
        <v>31528</v>
      </c>
      <c r="H34" s="2816"/>
      <c r="I34" s="2826">
        <f t="shared" ref="I34:I47" si="11">G34*F34</f>
        <v>31528</v>
      </c>
      <c r="J34" s="2827"/>
      <c r="K34" s="2828">
        <f t="shared" si="0"/>
        <v>0</v>
      </c>
      <c r="L34" s="2819"/>
      <c r="M34" s="2819">
        <f t="shared" si="1"/>
        <v>0</v>
      </c>
      <c r="N34" s="2828">
        <f t="shared" si="2"/>
        <v>31528</v>
      </c>
      <c r="O34" s="2819">
        <v>1</v>
      </c>
      <c r="P34" s="2819">
        <f t="shared" si="3"/>
        <v>0</v>
      </c>
      <c r="Q34" s="2820">
        <f t="shared" si="4"/>
        <v>100</v>
      </c>
      <c r="R34" s="2820">
        <f>'[68]Адм ноябрь 2014 - 35 820 766'!$D$53</f>
        <v>1</v>
      </c>
      <c r="S34" s="2829">
        <f>'[68]Адм ноябрь 2014 - 35 820 766'!$L$53</f>
        <v>27567.934165534349</v>
      </c>
      <c r="T34" s="2830">
        <f t="shared" si="9"/>
        <v>27567.934165534349</v>
      </c>
    </row>
    <row r="35" spans="1:20">
      <c r="A35" s="2824" t="s">
        <v>4638</v>
      </c>
      <c r="B35" s="2845" t="s">
        <v>805</v>
      </c>
      <c r="C35" s="2813"/>
      <c r="D35" s="2814">
        <v>2</v>
      </c>
      <c r="E35" s="2814">
        <v>1</v>
      </c>
      <c r="F35" s="2833">
        <f t="shared" si="10"/>
        <v>2</v>
      </c>
      <c r="G35" s="2816">
        <v>42269</v>
      </c>
      <c r="H35" s="2816"/>
      <c r="I35" s="2826">
        <f t="shared" si="11"/>
        <v>84538</v>
      </c>
      <c r="J35" s="2827"/>
      <c r="K35" s="2828">
        <f t="shared" si="0"/>
        <v>0</v>
      </c>
      <c r="L35" s="2819"/>
      <c r="M35" s="2819">
        <f t="shared" si="1"/>
        <v>0</v>
      </c>
      <c r="N35" s="2828">
        <f t="shared" si="2"/>
        <v>84538</v>
      </c>
      <c r="O35" s="2819">
        <v>2</v>
      </c>
      <c r="P35" s="2819">
        <f t="shared" si="3"/>
        <v>0</v>
      </c>
      <c r="Q35" s="2820">
        <f t="shared" si="4"/>
        <v>100</v>
      </c>
      <c r="R35" s="2820">
        <f>'[68]Адм ноябрь 2014 - 42 219 574'!$D$19</f>
        <v>2</v>
      </c>
      <c r="S35" s="2829">
        <f>'[68]Адм ноябрь 2014 - 42 219 574'!$L$19</f>
        <v>36959.826397257893</v>
      </c>
      <c r="T35" s="2830">
        <f t="shared" si="9"/>
        <v>73919.652794515787</v>
      </c>
    </row>
    <row r="36" spans="1:20" ht="25.5">
      <c r="A36" s="2824" t="s">
        <v>4639</v>
      </c>
      <c r="B36" s="2845" t="s">
        <v>4640</v>
      </c>
      <c r="C36" s="2813"/>
      <c r="D36" s="2814">
        <v>2</v>
      </c>
      <c r="E36" s="2814">
        <v>1</v>
      </c>
      <c r="F36" s="2833">
        <f t="shared" si="10"/>
        <v>2</v>
      </c>
      <c r="G36" s="2816">
        <v>87967</v>
      </c>
      <c r="H36" s="2816"/>
      <c r="I36" s="2826">
        <f t="shared" si="11"/>
        <v>175934</v>
      </c>
      <c r="J36" s="2827"/>
      <c r="K36" s="2828">
        <f t="shared" si="0"/>
        <v>0</v>
      </c>
      <c r="L36" s="2819"/>
      <c r="M36" s="2819">
        <f t="shared" si="1"/>
        <v>0</v>
      </c>
      <c r="N36" s="2828">
        <f t="shared" si="2"/>
        <v>175934</v>
      </c>
      <c r="O36" s="2819">
        <v>2</v>
      </c>
      <c r="P36" s="2819">
        <f t="shared" si="3"/>
        <v>0</v>
      </c>
      <c r="Q36" s="2820">
        <f t="shared" si="4"/>
        <v>100</v>
      </c>
      <c r="R36" s="2820">
        <f>'[68]Адм сентябрь 2013 -6 599 928'!$D$35</f>
        <v>2</v>
      </c>
      <c r="S36" s="2829">
        <f>'[68]Адм сентябрь 2013 -6 599 928'!$L$35</f>
        <v>76917.956774258593</v>
      </c>
      <c r="T36" s="2830">
        <f t="shared" si="9"/>
        <v>153835.91354851719</v>
      </c>
    </row>
    <row r="37" spans="1:20" ht="25.5">
      <c r="A37" s="2824" t="s">
        <v>4641</v>
      </c>
      <c r="B37" s="2845" t="s">
        <v>882</v>
      </c>
      <c r="C37" s="2813"/>
      <c r="D37" s="2814">
        <v>1</v>
      </c>
      <c r="E37" s="2814">
        <v>1</v>
      </c>
      <c r="F37" s="2833">
        <f t="shared" si="10"/>
        <v>1</v>
      </c>
      <c r="G37" s="2816">
        <v>225379</v>
      </c>
      <c r="H37" s="2816"/>
      <c r="I37" s="2826">
        <f t="shared" si="11"/>
        <v>225379</v>
      </c>
      <c r="J37" s="2827"/>
      <c r="K37" s="2828">
        <f t="shared" si="0"/>
        <v>0</v>
      </c>
      <c r="L37" s="2819"/>
      <c r="M37" s="2819">
        <f t="shared" si="1"/>
        <v>0</v>
      </c>
      <c r="N37" s="2828">
        <f t="shared" si="2"/>
        <v>225379</v>
      </c>
      <c r="O37" s="2819">
        <v>1</v>
      </c>
      <c r="P37" s="2819">
        <f t="shared" si="3"/>
        <v>0</v>
      </c>
      <c r="Q37" s="2820">
        <f t="shared" si="4"/>
        <v>100</v>
      </c>
      <c r="R37" s="2820">
        <f>'[68]Адм ноябрь 2014 - 35 820 766'!$D$55</f>
        <v>1</v>
      </c>
      <c r="S37" s="2829">
        <f>'[68]Адм ноябрь 2014 - 35 820 766'!$L$55</f>
        <v>197070.36329399626</v>
      </c>
      <c r="T37" s="2830">
        <f t="shared" si="9"/>
        <v>197070.36329399626</v>
      </c>
    </row>
    <row r="38" spans="1:20" ht="25.5">
      <c r="A38" s="2824" t="s">
        <v>4642</v>
      </c>
      <c r="B38" s="2845" t="s">
        <v>4643</v>
      </c>
      <c r="C38" s="2813"/>
      <c r="D38" s="2814">
        <v>1</v>
      </c>
      <c r="E38" s="2814">
        <v>1</v>
      </c>
      <c r="F38" s="2833">
        <f t="shared" si="10"/>
        <v>1</v>
      </c>
      <c r="G38" s="2816">
        <v>352514</v>
      </c>
      <c r="H38" s="2816"/>
      <c r="I38" s="2826">
        <f t="shared" si="11"/>
        <v>352514</v>
      </c>
      <c r="J38" s="2827"/>
      <c r="K38" s="2828">
        <f t="shared" si="0"/>
        <v>0</v>
      </c>
      <c r="L38" s="2819"/>
      <c r="M38" s="2819">
        <f t="shared" si="1"/>
        <v>0</v>
      </c>
      <c r="N38" s="2828">
        <f t="shared" si="2"/>
        <v>352514</v>
      </c>
      <c r="O38" s="2819">
        <v>1</v>
      </c>
      <c r="P38" s="2819">
        <f t="shared" si="3"/>
        <v>0</v>
      </c>
      <c r="Q38" s="2820">
        <f t="shared" si="4"/>
        <v>100</v>
      </c>
      <c r="R38" s="2820">
        <f>'[68]Адм ноябрь 2014 - 35 820 766'!$D$57</f>
        <v>1</v>
      </c>
      <c r="S38" s="2829">
        <f>'[68]Адм ноябрь 2014 - 35 820 766'!$L$57</f>
        <v>308236.64076682035</v>
      </c>
      <c r="T38" s="2830">
        <f t="shared" si="9"/>
        <v>308236.64076682035</v>
      </c>
    </row>
    <row r="39" spans="1:20">
      <c r="A39" s="2824" t="s">
        <v>4644</v>
      </c>
      <c r="B39" s="2831" t="s">
        <v>4572</v>
      </c>
      <c r="C39" s="2847"/>
      <c r="D39" s="2814">
        <v>2</v>
      </c>
      <c r="E39" s="2814">
        <v>1</v>
      </c>
      <c r="F39" s="2833">
        <f t="shared" si="10"/>
        <v>2</v>
      </c>
      <c r="G39" s="2848">
        <v>23505</v>
      </c>
      <c r="H39" s="2816"/>
      <c r="I39" s="2826">
        <f t="shared" si="11"/>
        <v>47010</v>
      </c>
      <c r="J39" s="2827"/>
      <c r="K39" s="2828">
        <f t="shared" si="0"/>
        <v>0</v>
      </c>
      <c r="L39" s="2819"/>
      <c r="M39" s="2819">
        <f t="shared" si="1"/>
        <v>0</v>
      </c>
      <c r="N39" s="2828">
        <f t="shared" si="2"/>
        <v>47010</v>
      </c>
      <c r="O39" s="2819">
        <v>2</v>
      </c>
      <c r="P39" s="2819">
        <f t="shared" si="3"/>
        <v>0</v>
      </c>
      <c r="Q39" s="2820">
        <f t="shared" si="4"/>
        <v>100</v>
      </c>
      <c r="R39" s="2820">
        <f>'[68]Адм ноябрь 2014 - 42 219 574'!$D$21</f>
        <v>2</v>
      </c>
      <c r="S39" s="2829">
        <f>'[68]Адм ноябрь 2014 - 42 219 574'!$L$21</f>
        <v>20552.659430721596</v>
      </c>
      <c r="T39" s="2830">
        <f t="shared" si="9"/>
        <v>41105.318861443193</v>
      </c>
    </row>
    <row r="40" spans="1:20">
      <c r="A40" s="2824" t="s">
        <v>4645</v>
      </c>
      <c r="B40" s="2831" t="s">
        <v>726</v>
      </c>
      <c r="C40" s="2847"/>
      <c r="D40" s="2814">
        <v>1</v>
      </c>
      <c r="E40" s="2814">
        <v>1</v>
      </c>
      <c r="F40" s="2833">
        <f t="shared" si="10"/>
        <v>1</v>
      </c>
      <c r="G40" s="2848">
        <v>57466</v>
      </c>
      <c r="H40" s="2816"/>
      <c r="I40" s="2826">
        <f t="shared" si="11"/>
        <v>57466</v>
      </c>
      <c r="J40" s="2827"/>
      <c r="K40" s="2828">
        <f t="shared" si="0"/>
        <v>0</v>
      </c>
      <c r="L40" s="2819"/>
      <c r="M40" s="2819">
        <f t="shared" si="1"/>
        <v>0</v>
      </c>
      <c r="N40" s="2828">
        <f t="shared" si="2"/>
        <v>57466</v>
      </c>
      <c r="O40" s="2819">
        <v>1</v>
      </c>
      <c r="P40" s="2819">
        <f t="shared" si="3"/>
        <v>0</v>
      </c>
      <c r="Q40" s="2820">
        <f t="shared" si="4"/>
        <v>100</v>
      </c>
      <c r="R40" s="2820">
        <f>'[68]Адм ноябрь 2014 - 35 820 766'!$D$59</f>
        <v>1</v>
      </c>
      <c r="S40" s="2829">
        <f>'[68]Адм ноябрь 2014 - 35 820 766'!$L$59</f>
        <v>50248.010056776897</v>
      </c>
      <c r="T40" s="2830">
        <f t="shared" si="9"/>
        <v>50248.010056776897</v>
      </c>
    </row>
    <row r="41" spans="1:20" ht="25.5">
      <c r="A41" s="2824" t="s">
        <v>4646</v>
      </c>
      <c r="B41" s="2831" t="s">
        <v>907</v>
      </c>
      <c r="C41" s="2847"/>
      <c r="D41" s="2814">
        <v>2</v>
      </c>
      <c r="E41" s="2814">
        <v>1</v>
      </c>
      <c r="F41" s="2833">
        <f t="shared" si="10"/>
        <v>2</v>
      </c>
      <c r="G41" s="2816">
        <v>307646</v>
      </c>
      <c r="H41" s="2816"/>
      <c r="I41" s="2826">
        <f t="shared" si="11"/>
        <v>615292</v>
      </c>
      <c r="J41" s="2827"/>
      <c r="K41" s="2828">
        <f t="shared" si="0"/>
        <v>0</v>
      </c>
      <c r="L41" s="2819"/>
      <c r="M41" s="2819">
        <f t="shared" si="1"/>
        <v>0</v>
      </c>
      <c r="N41" s="2828">
        <f t="shared" si="2"/>
        <v>615292</v>
      </c>
      <c r="O41" s="2819">
        <v>2</v>
      </c>
      <c r="P41" s="2819">
        <f t="shared" si="3"/>
        <v>0</v>
      </c>
      <c r="Q41" s="2820">
        <f t="shared" si="4"/>
        <v>100</v>
      </c>
      <c r="R41" s="2820">
        <f>'[68]Адм ноябрь 2014 - 42 219 574'!$D$23+'[68]Адм ноябрь 2014 - 35 820 766'!$D$61</f>
        <v>2</v>
      </c>
      <c r="S41" s="2829">
        <f>('[68]Адм ноябрь 2014 - 42 219 574'!$L$23*1.8+'[68]Адм ноябрь 2014 - 35 820 766'!$L$61*0.2)/2</f>
        <v>269004.26390334079</v>
      </c>
      <c r="T41" s="2830">
        <f t="shared" si="9"/>
        <v>538008.52780668158</v>
      </c>
    </row>
    <row r="42" spans="1:20" ht="25.5">
      <c r="A42" s="2824" t="s">
        <v>4647</v>
      </c>
      <c r="B42" s="2831" t="s">
        <v>869</v>
      </c>
      <c r="C42" s="2847"/>
      <c r="D42" s="2814">
        <v>1</v>
      </c>
      <c r="E42" s="2814">
        <v>1</v>
      </c>
      <c r="F42" s="2833">
        <f t="shared" si="10"/>
        <v>1</v>
      </c>
      <c r="G42" s="2816">
        <v>31069</v>
      </c>
      <c r="H42" s="2816"/>
      <c r="I42" s="2826">
        <f t="shared" si="11"/>
        <v>31069</v>
      </c>
      <c r="J42" s="2827"/>
      <c r="K42" s="2828">
        <f t="shared" si="0"/>
        <v>0</v>
      </c>
      <c r="L42" s="2819"/>
      <c r="M42" s="2819">
        <f t="shared" si="1"/>
        <v>0</v>
      </c>
      <c r="N42" s="2828">
        <f t="shared" si="2"/>
        <v>31069</v>
      </c>
      <c r="O42" s="2819">
        <v>1</v>
      </c>
      <c r="P42" s="2819">
        <f t="shared" si="3"/>
        <v>0</v>
      </c>
      <c r="Q42" s="2820">
        <f t="shared" si="4"/>
        <v>100</v>
      </c>
      <c r="R42" s="2820">
        <f>'[68]Адм ноябрь 2014 - 42 219 574'!$D$25</f>
        <v>1</v>
      </c>
      <c r="S42" s="2829">
        <f>'[68]Адм ноябрь 2014 - 42 219 574'!$L$25</f>
        <v>27166.597954292156</v>
      </c>
      <c r="T42" s="2830">
        <f t="shared" si="9"/>
        <v>27166.597954292156</v>
      </c>
    </row>
    <row r="43" spans="1:20">
      <c r="A43" s="2824" t="s">
        <v>4648</v>
      </c>
      <c r="B43" s="2831" t="s">
        <v>804</v>
      </c>
      <c r="C43" s="2847"/>
      <c r="D43" s="2814">
        <v>2</v>
      </c>
      <c r="E43" s="2814">
        <v>1</v>
      </c>
      <c r="F43" s="2833">
        <f t="shared" si="10"/>
        <v>2</v>
      </c>
      <c r="G43" s="2848">
        <v>42269</v>
      </c>
      <c r="H43" s="2816"/>
      <c r="I43" s="2826">
        <f t="shared" si="11"/>
        <v>84538</v>
      </c>
      <c r="J43" s="2827"/>
      <c r="K43" s="2828">
        <f t="shared" si="0"/>
        <v>0</v>
      </c>
      <c r="L43" s="2819"/>
      <c r="M43" s="2819">
        <f t="shared" si="1"/>
        <v>0</v>
      </c>
      <c r="N43" s="2828">
        <f t="shared" si="2"/>
        <v>84538</v>
      </c>
      <c r="O43" s="2819">
        <v>2</v>
      </c>
      <c r="P43" s="2819">
        <f t="shared" si="3"/>
        <v>0</v>
      </c>
      <c r="Q43" s="2820">
        <f t="shared" si="4"/>
        <v>100</v>
      </c>
      <c r="R43" s="2820">
        <f>'[68]Адм ноябрь 2014 - 42 219 574'!$D$27</f>
        <v>2</v>
      </c>
      <c r="S43" s="2829">
        <f>'[68]Адм ноябрь 2014 - 42 219 574'!$L$27</f>
        <v>36959.826397257893</v>
      </c>
      <c r="T43" s="2830">
        <f t="shared" si="9"/>
        <v>73919.652794515787</v>
      </c>
    </row>
    <row r="44" spans="1:20" ht="25.5">
      <c r="A44" s="2824" t="s">
        <v>4649</v>
      </c>
      <c r="B44" s="2831" t="s">
        <v>749</v>
      </c>
      <c r="C44" s="2847"/>
      <c r="D44" s="2814">
        <v>1</v>
      </c>
      <c r="E44" s="2814">
        <v>1</v>
      </c>
      <c r="F44" s="2833">
        <f t="shared" si="10"/>
        <v>1</v>
      </c>
      <c r="G44" s="2848">
        <v>261657</v>
      </c>
      <c r="H44" s="2816"/>
      <c r="I44" s="2826">
        <f t="shared" si="11"/>
        <v>261657</v>
      </c>
      <c r="J44" s="2827"/>
      <c r="K44" s="2828">
        <f t="shared" si="0"/>
        <v>0</v>
      </c>
      <c r="L44" s="2819"/>
      <c r="M44" s="2819">
        <f t="shared" si="1"/>
        <v>0</v>
      </c>
      <c r="N44" s="2828">
        <f t="shared" si="2"/>
        <v>261657</v>
      </c>
      <c r="O44" s="2819">
        <v>1</v>
      </c>
      <c r="P44" s="2819">
        <f t="shared" si="3"/>
        <v>0</v>
      </c>
      <c r="Q44" s="2820">
        <f t="shared" si="4"/>
        <v>100</v>
      </c>
      <c r="R44" s="2820">
        <f>'[68]Адм сентябрь 2013 -6 599 928'!$D$37</f>
        <v>1</v>
      </c>
      <c r="S44" s="2829">
        <f>'[68]Адм сентябрь 2013 -6 599 928'!$L$37</f>
        <v>228791.72606638516</v>
      </c>
      <c r="T44" s="2830">
        <f t="shared" si="9"/>
        <v>228791.72606638516</v>
      </c>
    </row>
    <row r="45" spans="1:20" ht="25.5">
      <c r="A45" s="2824" t="s">
        <v>4650</v>
      </c>
      <c r="B45" s="2831" t="s">
        <v>906</v>
      </c>
      <c r="C45" s="2847"/>
      <c r="D45" s="2814">
        <v>1</v>
      </c>
      <c r="E45" s="2814">
        <v>1</v>
      </c>
      <c r="F45" s="2833">
        <f t="shared" si="10"/>
        <v>1</v>
      </c>
      <c r="G45" s="2848">
        <v>227232</v>
      </c>
      <c r="H45" s="2816"/>
      <c r="I45" s="2826">
        <f t="shared" si="11"/>
        <v>227232</v>
      </c>
      <c r="J45" s="2827"/>
      <c r="K45" s="2828">
        <f t="shared" si="0"/>
        <v>0</v>
      </c>
      <c r="L45" s="2819"/>
      <c r="M45" s="2819">
        <f t="shared" si="1"/>
        <v>0</v>
      </c>
      <c r="N45" s="2828">
        <f t="shared" si="2"/>
        <v>227232</v>
      </c>
      <c r="O45" s="2819">
        <v>1</v>
      </c>
      <c r="P45" s="2819">
        <f t="shared" si="3"/>
        <v>0</v>
      </c>
      <c r="Q45" s="2820">
        <f t="shared" si="4"/>
        <v>100</v>
      </c>
      <c r="R45" s="2820">
        <f>'[68]Адм июль 2013 - 21 827 307'!$D$26+'[68]Адм ноябрь 2014 - 35 820 766'!$D$63</f>
        <v>1</v>
      </c>
      <c r="S45" s="2829">
        <f>'[68]Адм июль 2013 - 21 827 307'!$L$26*0.9+'[68]Адм ноябрь 2014 - 35 820 766'!$L$63*0.1</f>
        <v>198690.6279852906</v>
      </c>
      <c r="T45" s="2830">
        <f t="shared" si="9"/>
        <v>198690.6279852906</v>
      </c>
    </row>
    <row r="46" spans="1:20">
      <c r="A46" s="2824" t="s">
        <v>4651</v>
      </c>
      <c r="B46" s="2831" t="s">
        <v>751</v>
      </c>
      <c r="C46" s="2847"/>
      <c r="D46" s="2814">
        <v>1</v>
      </c>
      <c r="E46" s="2814">
        <v>1</v>
      </c>
      <c r="F46" s="2833">
        <f t="shared" si="10"/>
        <v>1</v>
      </c>
      <c r="G46" s="2848">
        <v>69917</v>
      </c>
      <c r="H46" s="2816"/>
      <c r="I46" s="2826">
        <f t="shared" si="11"/>
        <v>69917</v>
      </c>
      <c r="J46" s="2827"/>
      <c r="K46" s="2828">
        <f t="shared" si="0"/>
        <v>0</v>
      </c>
      <c r="L46" s="2819"/>
      <c r="M46" s="2819">
        <f t="shared" si="1"/>
        <v>0</v>
      </c>
      <c r="N46" s="2828">
        <f t="shared" si="2"/>
        <v>69917</v>
      </c>
      <c r="O46" s="2819">
        <v>1</v>
      </c>
      <c r="P46" s="2819">
        <f t="shared" si="3"/>
        <v>0</v>
      </c>
      <c r="Q46" s="2820">
        <f t="shared" si="4"/>
        <v>100</v>
      </c>
      <c r="R46" s="2820">
        <f>'[68]Адм август 2013 - 3 706 599'!$D$23+'[68]Адм ноябрь 2014 - 42 219 574'!$D$29</f>
        <v>1</v>
      </c>
      <c r="S46" s="2829">
        <f>'[68]Адм август 2013 - 3 706 599'!$L$23*0.9+'[68]Адм ноябрь 2014 - 42 219 574'!$L$29*0.1</f>
        <v>61135.107336154033</v>
      </c>
      <c r="T46" s="2830">
        <f t="shared" si="9"/>
        <v>61135.107336154033</v>
      </c>
    </row>
    <row r="47" spans="1:20" ht="38.25">
      <c r="A47" s="2824" t="s">
        <v>4652</v>
      </c>
      <c r="B47" s="2831" t="s">
        <v>4653</v>
      </c>
      <c r="C47" s="2847"/>
      <c r="D47" s="2814">
        <v>1</v>
      </c>
      <c r="E47" s="2814">
        <v>1</v>
      </c>
      <c r="F47" s="2833">
        <f t="shared" si="10"/>
        <v>1</v>
      </c>
      <c r="G47" s="2848">
        <v>43343</v>
      </c>
      <c r="H47" s="2816"/>
      <c r="I47" s="2826">
        <f t="shared" si="11"/>
        <v>43343</v>
      </c>
      <c r="J47" s="2827"/>
      <c r="K47" s="2828">
        <f t="shared" si="0"/>
        <v>0</v>
      </c>
      <c r="L47" s="2819"/>
      <c r="M47" s="2819">
        <f t="shared" si="1"/>
        <v>0</v>
      </c>
      <c r="N47" s="2828">
        <f t="shared" si="2"/>
        <v>43343</v>
      </c>
      <c r="O47" s="2819">
        <v>1</v>
      </c>
      <c r="P47" s="2819">
        <f t="shared" si="3"/>
        <v>0</v>
      </c>
      <c r="Q47" s="2820">
        <f t="shared" si="4"/>
        <v>100</v>
      </c>
      <c r="R47" s="2820">
        <f>'[68]Адм сентябрь 2013 -6 599 928'!$D$39+'[68]Адм ноябрь 2014 - 35 820 766'!$D$65</f>
        <v>1</v>
      </c>
      <c r="S47" s="2829">
        <f>'[68]Адм сентябрь 2013 -6 599 928'!$L$39*0.9+'[68]Адм ноябрь 2014 - 35 820 766'!$L$65*0.1</f>
        <v>37898.929112541009</v>
      </c>
      <c r="T47" s="2830">
        <f t="shared" si="9"/>
        <v>37898.929112541009</v>
      </c>
    </row>
    <row r="48" spans="1:20">
      <c r="A48" s="2811"/>
      <c r="B48" s="2849" t="s">
        <v>4654</v>
      </c>
      <c r="C48" s="2847"/>
      <c r="D48" s="2814"/>
      <c r="E48" s="2814"/>
      <c r="F48" s="2814"/>
      <c r="G48" s="2815"/>
      <c r="H48" s="2816"/>
      <c r="I48" s="2817"/>
      <c r="J48" s="2811"/>
      <c r="K48" s="2828"/>
      <c r="L48" s="2819"/>
      <c r="M48" s="2819"/>
      <c r="N48" s="2828"/>
      <c r="O48" s="2819"/>
      <c r="P48" s="2819"/>
      <c r="Q48" s="2820"/>
      <c r="R48" s="2820"/>
      <c r="S48" s="2829"/>
      <c r="T48" s="2830"/>
    </row>
    <row r="49" spans="1:20" ht="25.5">
      <c r="A49" s="2824" t="s">
        <v>4655</v>
      </c>
      <c r="B49" s="2831" t="s">
        <v>905</v>
      </c>
      <c r="C49" s="2847"/>
      <c r="D49" s="2814">
        <v>1</v>
      </c>
      <c r="E49" s="2814">
        <v>1</v>
      </c>
      <c r="F49" s="2814">
        <f>D49*E49</f>
        <v>1</v>
      </c>
      <c r="G49" s="2815">
        <v>168766</v>
      </c>
      <c r="H49" s="2816"/>
      <c r="I49" s="2826">
        <f>G49*F49</f>
        <v>168766</v>
      </c>
      <c r="J49" s="2827"/>
      <c r="K49" s="2828">
        <f t="shared" si="0"/>
        <v>0</v>
      </c>
      <c r="L49" s="2819"/>
      <c r="M49" s="2819">
        <f t="shared" si="1"/>
        <v>0</v>
      </c>
      <c r="N49" s="2828">
        <f t="shared" si="2"/>
        <v>168766</v>
      </c>
      <c r="O49" s="2819">
        <v>1</v>
      </c>
      <c r="P49" s="2819">
        <f t="shared" si="3"/>
        <v>0</v>
      </c>
      <c r="Q49" s="2820">
        <f t="shared" si="4"/>
        <v>100</v>
      </c>
      <c r="R49" s="2820">
        <f>'[68]Адм июль 2013 - 21 827 307'!$D$29+'[68]Адм ноябрь 2014 - 35 820 766'!$D$68</f>
        <v>1</v>
      </c>
      <c r="S49" s="2829">
        <f>'[68]Адм июль 2013 - 21 827 307'!$L$29*0.9+'[68]Адм ноябрь 2014 - 35 820 766'!$L$68*0.1</f>
        <v>147568.22137366069</v>
      </c>
      <c r="T49" s="2830">
        <f t="shared" ref="T49:T54" si="12">R49*S49</f>
        <v>147568.22137366069</v>
      </c>
    </row>
    <row r="50" spans="1:20" s="2837" customFormat="1" ht="25.5">
      <c r="A50" s="2836" t="s">
        <v>4656</v>
      </c>
      <c r="B50" s="2831" t="s">
        <v>823</v>
      </c>
      <c r="C50" s="2847"/>
      <c r="D50" s="2814">
        <v>1</v>
      </c>
      <c r="E50" s="2814">
        <v>1</v>
      </c>
      <c r="F50" s="2814">
        <f>D50*E50</f>
        <v>1</v>
      </c>
      <c r="G50" s="2815">
        <v>32800</v>
      </c>
      <c r="H50" s="2816"/>
      <c r="I50" s="2826">
        <f>G50*F50</f>
        <v>32800</v>
      </c>
      <c r="J50" s="1072"/>
      <c r="K50" s="2828">
        <f>L50*G50</f>
        <v>0</v>
      </c>
      <c r="L50" s="2819"/>
      <c r="M50" s="2819">
        <f>K50/I50*100</f>
        <v>0</v>
      </c>
      <c r="N50" s="2828">
        <f>O50*G50</f>
        <v>0</v>
      </c>
      <c r="O50" s="2819"/>
      <c r="P50" s="2819">
        <f>F50-O50</f>
        <v>1</v>
      </c>
      <c r="Q50" s="2820">
        <f>N50/I50*100</f>
        <v>0</v>
      </c>
      <c r="R50" s="2820">
        <v>1</v>
      </c>
      <c r="S50" s="2829">
        <f>'[69]адм 1 951 768'!$L$22</f>
        <v>30683.181003200832</v>
      </c>
      <c r="T50" s="2838">
        <f t="shared" si="12"/>
        <v>30683.181003200832</v>
      </c>
    </row>
    <row r="51" spans="1:20" s="2837" customFormat="1" ht="25.5">
      <c r="A51" s="2836" t="s">
        <v>4657</v>
      </c>
      <c r="B51" s="2831" t="s">
        <v>4562</v>
      </c>
      <c r="C51" s="2847"/>
      <c r="D51" s="2814">
        <v>1</v>
      </c>
      <c r="E51" s="2814">
        <v>1</v>
      </c>
      <c r="F51" s="2814">
        <f>D51*E51</f>
        <v>1</v>
      </c>
      <c r="G51" s="2816">
        <v>47300</v>
      </c>
      <c r="H51" s="2816"/>
      <c r="I51" s="2826">
        <f>G51*F51</f>
        <v>47300</v>
      </c>
      <c r="J51" s="1072"/>
      <c r="K51" s="2828">
        <f>L51*G51</f>
        <v>0</v>
      </c>
      <c r="L51" s="2819"/>
      <c r="M51" s="2819">
        <f>K51/I51*100</f>
        <v>0</v>
      </c>
      <c r="N51" s="2828">
        <f>O51*G51</f>
        <v>47300</v>
      </c>
      <c r="O51" s="2819">
        <v>1</v>
      </c>
      <c r="P51" s="2819">
        <f>F51-O51</f>
        <v>0</v>
      </c>
      <c r="Q51" s="2820">
        <f>N51/I51*100</f>
        <v>100</v>
      </c>
      <c r="R51" s="2820">
        <f>'[69]адм корпус март 2015 г 7 606 74'!$D$137</f>
        <v>1</v>
      </c>
      <c r="S51" s="2829">
        <f>'[69]адм корпус март 2015 г 7 606 74'!$L$137</f>
        <v>28330.422898592213</v>
      </c>
      <c r="T51" s="2838">
        <f t="shared" si="12"/>
        <v>28330.422898592213</v>
      </c>
    </row>
    <row r="52" spans="1:20" s="2837" customFormat="1" ht="25.5">
      <c r="A52" s="2836" t="s">
        <v>4657</v>
      </c>
      <c r="B52" s="2831" t="s">
        <v>4561</v>
      </c>
      <c r="C52" s="2847"/>
      <c r="D52" s="2814"/>
      <c r="E52" s="2814"/>
      <c r="F52" s="2814"/>
      <c r="G52" s="2816"/>
      <c r="H52" s="2816"/>
      <c r="I52" s="2826"/>
      <c r="J52" s="1072"/>
      <c r="K52" s="2828"/>
      <c r="L52" s="2819"/>
      <c r="M52" s="2819"/>
      <c r="N52" s="2828"/>
      <c r="O52" s="2819"/>
      <c r="P52" s="2819"/>
      <c r="Q52" s="2820"/>
      <c r="R52" s="2820">
        <f>'[69]адм корпус март 2015 г 7 606 74'!$D$139</f>
        <v>1</v>
      </c>
      <c r="S52" s="2829">
        <f>'[69]адм корпус март 2015 г 7 606 74'!$L$139</f>
        <v>13028.493805563874</v>
      </c>
      <c r="T52" s="2838">
        <f t="shared" si="12"/>
        <v>13028.493805563874</v>
      </c>
    </row>
    <row r="53" spans="1:20">
      <c r="A53" s="2824" t="s">
        <v>4658</v>
      </c>
      <c r="B53" s="2831" t="s">
        <v>892</v>
      </c>
      <c r="C53" s="2847"/>
      <c r="D53" s="2814">
        <v>1</v>
      </c>
      <c r="E53" s="2814">
        <v>1</v>
      </c>
      <c r="F53" s="2814">
        <f>D53*E53</f>
        <v>1</v>
      </c>
      <c r="G53" s="2816">
        <v>89300</v>
      </c>
      <c r="H53" s="2816"/>
      <c r="I53" s="2826">
        <f>G53*F53</f>
        <v>89300</v>
      </c>
      <c r="J53" s="1072"/>
      <c r="K53" s="2828">
        <f t="shared" si="0"/>
        <v>0</v>
      </c>
      <c r="L53" s="2819"/>
      <c r="M53" s="2819">
        <f t="shared" si="1"/>
        <v>0</v>
      </c>
      <c r="N53" s="2828">
        <f t="shared" si="2"/>
        <v>89300</v>
      </c>
      <c r="O53" s="2819">
        <v>1</v>
      </c>
      <c r="P53" s="2819">
        <f t="shared" si="3"/>
        <v>0</v>
      </c>
      <c r="Q53" s="2820">
        <f t="shared" si="4"/>
        <v>100</v>
      </c>
      <c r="R53" s="2820">
        <f>'[68]Адм сентябрь 2013 -6 599 928'!$D$42</f>
        <v>1</v>
      </c>
      <c r="S53" s="2829">
        <f>'[68]Адм сентябрь 2013 -6 599 928'!$L$42</f>
        <v>78083.521873930906</v>
      </c>
      <c r="T53" s="2830">
        <f t="shared" si="12"/>
        <v>78083.521873930906</v>
      </c>
    </row>
    <row r="54" spans="1:20">
      <c r="A54" s="2824" t="s">
        <v>4659</v>
      </c>
      <c r="B54" s="2831" t="s">
        <v>4494</v>
      </c>
      <c r="C54" s="2847"/>
      <c r="D54" s="2814">
        <v>2</v>
      </c>
      <c r="E54" s="2814">
        <v>1</v>
      </c>
      <c r="F54" s="2814">
        <f>D54*E54</f>
        <v>2</v>
      </c>
      <c r="G54" s="2815">
        <v>56940</v>
      </c>
      <c r="H54" s="2816"/>
      <c r="I54" s="2826">
        <f>G54*F54</f>
        <v>113880</v>
      </c>
      <c r="J54" s="1072"/>
      <c r="K54" s="2828">
        <f t="shared" si="0"/>
        <v>0</v>
      </c>
      <c r="L54" s="2819"/>
      <c r="M54" s="2819">
        <f t="shared" si="1"/>
        <v>0</v>
      </c>
      <c r="N54" s="2828">
        <f t="shared" si="2"/>
        <v>113880</v>
      </c>
      <c r="O54" s="2819">
        <v>2</v>
      </c>
      <c r="P54" s="2819">
        <f t="shared" si="3"/>
        <v>0</v>
      </c>
      <c r="Q54" s="2820">
        <f t="shared" si="4"/>
        <v>100</v>
      </c>
      <c r="R54" s="2820">
        <f>'[68]Адм ноябрь 2014 - 17 872 571'!$D$31</f>
        <v>2</v>
      </c>
      <c r="S54" s="2829">
        <f>'[68]Адм ноябрь 2014 - 17 872 571'!$L$31</f>
        <v>49788.070005315778</v>
      </c>
      <c r="T54" s="2830">
        <f t="shared" si="12"/>
        <v>99576.140010631556</v>
      </c>
    </row>
    <row r="55" spans="1:20">
      <c r="A55" s="2811"/>
      <c r="B55" s="2849" t="s">
        <v>4660</v>
      </c>
      <c r="C55" s="2847"/>
      <c r="D55" s="2814"/>
      <c r="E55" s="2814"/>
      <c r="F55" s="2814"/>
      <c r="G55" s="2815"/>
      <c r="H55" s="2816"/>
      <c r="I55" s="2817"/>
      <c r="J55" s="2811"/>
      <c r="K55" s="2828"/>
      <c r="L55" s="2819"/>
      <c r="M55" s="2819"/>
      <c r="N55" s="2828"/>
      <c r="O55" s="2819"/>
      <c r="P55" s="2819"/>
      <c r="Q55" s="2820"/>
      <c r="R55" s="2820"/>
      <c r="S55" s="2829"/>
      <c r="T55" s="2830"/>
    </row>
    <row r="56" spans="1:20" ht="25.5">
      <c r="A56" s="2824" t="s">
        <v>4661</v>
      </c>
      <c r="B56" s="2831" t="s">
        <v>905</v>
      </c>
      <c r="C56" s="2847"/>
      <c r="D56" s="2814">
        <v>1</v>
      </c>
      <c r="E56" s="2814">
        <v>1</v>
      </c>
      <c r="F56" s="2814">
        <f t="shared" ref="F56:F62" si="13">D56*E56</f>
        <v>1</v>
      </c>
      <c r="G56" s="2815">
        <v>168766</v>
      </c>
      <c r="H56" s="2816"/>
      <c r="I56" s="2826">
        <f t="shared" ref="I56:I62" si="14">G56*F56</f>
        <v>168766</v>
      </c>
      <c r="J56" s="2827"/>
      <c r="K56" s="2828">
        <f t="shared" si="0"/>
        <v>0</v>
      </c>
      <c r="L56" s="2819"/>
      <c r="M56" s="2819">
        <f t="shared" si="1"/>
        <v>0</v>
      </c>
      <c r="N56" s="2828">
        <f t="shared" si="2"/>
        <v>168766</v>
      </c>
      <c r="O56" s="2819">
        <v>1</v>
      </c>
      <c r="P56" s="2819">
        <f t="shared" si="3"/>
        <v>0</v>
      </c>
      <c r="Q56" s="2820">
        <f t="shared" si="4"/>
        <v>100</v>
      </c>
      <c r="R56" s="2820">
        <f>'[68]Адм июль 2013 - 21 827 307'!$D$32+'[68]Адм ноябрь 2014 - 35 820 766'!$D$71</f>
        <v>1</v>
      </c>
      <c r="S56" s="2829">
        <f>'[68]Адм июль 2013 - 21 827 307'!$L$32*0.9+'[68]Адм ноябрь 2014 - 35 820 766'!$L$71*0.1</f>
        <v>147568.22137366069</v>
      </c>
      <c r="T56" s="2830">
        <f t="shared" ref="T56:T62" si="15">R56*S56</f>
        <v>147568.22137366069</v>
      </c>
    </row>
    <row r="57" spans="1:20" s="403" customFormat="1" ht="51">
      <c r="A57" s="2607" t="s">
        <v>4662</v>
      </c>
      <c r="B57" s="2612" t="s">
        <v>4663</v>
      </c>
      <c r="C57" s="2850"/>
      <c r="D57" s="2602">
        <v>1</v>
      </c>
      <c r="E57" s="2602">
        <v>1</v>
      </c>
      <c r="F57" s="2602">
        <f>D57*E57</f>
        <v>1</v>
      </c>
      <c r="G57" s="2615">
        <v>34156</v>
      </c>
      <c r="H57" s="2604"/>
      <c r="I57" s="2605">
        <f>G57*F57</f>
        <v>34156</v>
      </c>
      <c r="J57" s="1556"/>
      <c r="K57" s="2839">
        <f>L57*G57</f>
        <v>0</v>
      </c>
      <c r="L57" s="2840"/>
      <c r="M57" s="2840">
        <f>K57/I57*100</f>
        <v>0</v>
      </c>
      <c r="N57" s="2839">
        <f>O57*G57</f>
        <v>0</v>
      </c>
      <c r="O57" s="2840">
        <v>0</v>
      </c>
      <c r="P57" s="2840">
        <f>F57-O57</f>
        <v>1</v>
      </c>
      <c r="Q57" s="2841">
        <f>N57/I57*100</f>
        <v>0</v>
      </c>
      <c r="R57" s="2841">
        <f>'[69]Адм март 2015 - 16 674 105'!$D$18</f>
        <v>1</v>
      </c>
      <c r="S57" s="2842">
        <f>'[69]Адм март 2015 - 16 674 105'!$L$18</f>
        <v>31894.6041089473</v>
      </c>
      <c r="T57" s="2838">
        <f>R57*S57</f>
        <v>31894.6041089473</v>
      </c>
    </row>
    <row r="58" spans="1:20" ht="25.5">
      <c r="A58" s="2824" t="s">
        <v>4664</v>
      </c>
      <c r="B58" s="2831" t="s">
        <v>903</v>
      </c>
      <c r="C58" s="2847"/>
      <c r="D58" s="2814">
        <v>1</v>
      </c>
      <c r="E58" s="2814">
        <v>1</v>
      </c>
      <c r="F58" s="2814">
        <f t="shared" si="13"/>
        <v>1</v>
      </c>
      <c r="G58" s="2815">
        <v>304984</v>
      </c>
      <c r="H58" s="2816"/>
      <c r="I58" s="2826">
        <f t="shared" si="14"/>
        <v>304984</v>
      </c>
      <c r="J58" s="2827"/>
      <c r="K58" s="2828">
        <f t="shared" si="0"/>
        <v>0</v>
      </c>
      <c r="L58" s="2819"/>
      <c r="M58" s="2819">
        <f t="shared" si="1"/>
        <v>0</v>
      </c>
      <c r="N58" s="2828">
        <f t="shared" si="2"/>
        <v>304984</v>
      </c>
      <c r="O58" s="2819">
        <v>1</v>
      </c>
      <c r="P58" s="2819">
        <f t="shared" si="3"/>
        <v>0</v>
      </c>
      <c r="Q58" s="2820">
        <f t="shared" si="4"/>
        <v>100</v>
      </c>
      <c r="R58" s="2820">
        <f>'[68]Адм июль 2013 - 21 827 307'!$D$34+'[68]Адм ноябрь 2014 - 35 820 766'!$D$73</f>
        <v>1</v>
      </c>
      <c r="S58" s="2829">
        <f>'[68]Адм июль 2013 - 21 827 307'!$L$34*0.9+'[68]Адм ноябрь 2014 - 35 820 766'!$L$73*0.1</f>
        <v>266676.62112408149</v>
      </c>
      <c r="T58" s="2830">
        <f t="shared" si="15"/>
        <v>266676.62112408149</v>
      </c>
    </row>
    <row r="59" spans="1:20">
      <c r="A59" s="2824" t="s">
        <v>4665</v>
      </c>
      <c r="B59" s="2831" t="s">
        <v>803</v>
      </c>
      <c r="C59" s="2847"/>
      <c r="D59" s="2814">
        <v>1</v>
      </c>
      <c r="E59" s="2814">
        <v>1</v>
      </c>
      <c r="F59" s="2814">
        <f t="shared" si="13"/>
        <v>1</v>
      </c>
      <c r="G59" s="2815">
        <v>42269</v>
      </c>
      <c r="H59" s="2816"/>
      <c r="I59" s="2826">
        <f t="shared" si="14"/>
        <v>42269</v>
      </c>
      <c r="J59" s="2827"/>
      <c r="K59" s="2828">
        <f t="shared" si="0"/>
        <v>0</v>
      </c>
      <c r="L59" s="2819"/>
      <c r="M59" s="2819">
        <f t="shared" si="1"/>
        <v>0</v>
      </c>
      <c r="N59" s="2828">
        <f t="shared" si="2"/>
        <v>42269</v>
      </c>
      <c r="O59" s="2819">
        <v>1</v>
      </c>
      <c r="P59" s="2819">
        <f t="shared" si="3"/>
        <v>0</v>
      </c>
      <c r="Q59" s="2820">
        <f t="shared" si="4"/>
        <v>100</v>
      </c>
      <c r="R59" s="2820">
        <f>'[68]Адм ноябрь 2014 - 42 219 574'!$D$32</f>
        <v>1</v>
      </c>
      <c r="S59" s="2829">
        <f>'[68]Адм ноябрь 2014 - 42 219 574'!$L$32</f>
        <v>36959.826397257893</v>
      </c>
      <c r="T59" s="2830">
        <f t="shared" si="15"/>
        <v>36959.826397257893</v>
      </c>
    </row>
    <row r="60" spans="1:20">
      <c r="A60" s="2824" t="s">
        <v>4666</v>
      </c>
      <c r="B60" s="2831" t="s">
        <v>795</v>
      </c>
      <c r="C60" s="2847"/>
      <c r="D60" s="2814">
        <v>2</v>
      </c>
      <c r="E60" s="2814">
        <v>1</v>
      </c>
      <c r="F60" s="2814">
        <f t="shared" si="13"/>
        <v>2</v>
      </c>
      <c r="G60" s="2815">
        <v>39768</v>
      </c>
      <c r="H60" s="2816"/>
      <c r="I60" s="2826">
        <f t="shared" si="14"/>
        <v>79536</v>
      </c>
      <c r="J60" s="2827"/>
      <c r="K60" s="2828">
        <f t="shared" si="0"/>
        <v>0</v>
      </c>
      <c r="L60" s="2819"/>
      <c r="M60" s="2819">
        <f t="shared" si="1"/>
        <v>0</v>
      </c>
      <c r="N60" s="2828">
        <f t="shared" si="2"/>
        <v>79536</v>
      </c>
      <c r="O60" s="2819">
        <v>2</v>
      </c>
      <c r="P60" s="2819">
        <f t="shared" si="3"/>
        <v>0</v>
      </c>
      <c r="Q60" s="2820">
        <f t="shared" si="4"/>
        <v>100</v>
      </c>
      <c r="R60" s="2820">
        <f>'[68]Адм ноябрь 2014 - 42 219 574'!$D$34</f>
        <v>2</v>
      </c>
      <c r="S60" s="2829">
        <f>'[68]Адм ноябрь 2014 - 42 219 574'!$L$34</f>
        <v>34772.954149477737</v>
      </c>
      <c r="T60" s="2830">
        <f t="shared" si="15"/>
        <v>69545.908298955474</v>
      </c>
    </row>
    <row r="61" spans="1:20">
      <c r="A61" s="2824" t="s">
        <v>4667</v>
      </c>
      <c r="B61" s="2831" t="s">
        <v>751</v>
      </c>
      <c r="C61" s="2847"/>
      <c r="D61" s="2814">
        <v>1</v>
      </c>
      <c r="E61" s="2814">
        <v>1</v>
      </c>
      <c r="F61" s="2814">
        <f t="shared" si="13"/>
        <v>1</v>
      </c>
      <c r="G61" s="2815">
        <v>69917</v>
      </c>
      <c r="H61" s="2816"/>
      <c r="I61" s="2826">
        <f t="shared" si="14"/>
        <v>69917</v>
      </c>
      <c r="J61" s="2827"/>
      <c r="K61" s="2828">
        <f t="shared" si="0"/>
        <v>0</v>
      </c>
      <c r="L61" s="2819"/>
      <c r="M61" s="2819">
        <f t="shared" si="1"/>
        <v>0</v>
      </c>
      <c r="N61" s="2828">
        <f t="shared" si="2"/>
        <v>69917</v>
      </c>
      <c r="O61" s="2819">
        <v>1</v>
      </c>
      <c r="P61" s="2819">
        <f t="shared" si="3"/>
        <v>0</v>
      </c>
      <c r="Q61" s="2820">
        <f t="shared" si="4"/>
        <v>100</v>
      </c>
      <c r="R61" s="2820">
        <f>'[68]Адм август 2013 - 3 706 599'!$D$26+'[68]Адм ноябрь 2014 - 42 219 574'!$D$36</f>
        <v>1</v>
      </c>
      <c r="S61" s="2829">
        <f>'[68]Адм август 2013 - 3 706 599'!$L$26*0.9+'[68]Адм ноябрь 2014 - 42 219 574'!$L$36*0.1</f>
        <v>61135.107336154033</v>
      </c>
      <c r="T61" s="2830">
        <f t="shared" si="15"/>
        <v>61135.107336154033</v>
      </c>
    </row>
    <row r="62" spans="1:20" ht="39.75" customHeight="1">
      <c r="A62" s="2824" t="s">
        <v>4668</v>
      </c>
      <c r="B62" s="2831" t="s">
        <v>879</v>
      </c>
      <c r="C62" s="2847"/>
      <c r="D62" s="2814">
        <v>2</v>
      </c>
      <c r="E62" s="2814">
        <v>1</v>
      </c>
      <c r="F62" s="2814">
        <f t="shared" si="13"/>
        <v>2</v>
      </c>
      <c r="G62" s="2815">
        <v>103460</v>
      </c>
      <c r="H62" s="2816"/>
      <c r="I62" s="2826">
        <f t="shared" si="14"/>
        <v>206920</v>
      </c>
      <c r="J62" s="2827"/>
      <c r="K62" s="2828">
        <f t="shared" si="0"/>
        <v>0</v>
      </c>
      <c r="L62" s="2819"/>
      <c r="M62" s="2819">
        <f t="shared" si="1"/>
        <v>0</v>
      </c>
      <c r="N62" s="2828">
        <f t="shared" si="2"/>
        <v>206920</v>
      </c>
      <c r="O62" s="2819">
        <v>2</v>
      </c>
      <c r="P62" s="2819">
        <f t="shared" si="3"/>
        <v>0</v>
      </c>
      <c r="Q62" s="2820">
        <f t="shared" si="4"/>
        <v>100</v>
      </c>
      <c r="R62" s="2820">
        <f>'[68]Адм ноябрь 2014 - 35 820 766'!$D$75</f>
        <v>2</v>
      </c>
      <c r="S62" s="2829">
        <f>'[68]Адм ноябрь 2014 - 35 820 766'!$L$75</f>
        <v>90464.944874054709</v>
      </c>
      <c r="T62" s="2830">
        <f t="shared" si="15"/>
        <v>180929.88974810942</v>
      </c>
    </row>
    <row r="63" spans="1:20">
      <c r="A63" s="2811"/>
      <c r="B63" s="2851" t="s">
        <v>4669</v>
      </c>
      <c r="C63" s="2847"/>
      <c r="D63" s="2814"/>
      <c r="E63" s="2814"/>
      <c r="F63" s="2814"/>
      <c r="G63" s="2815"/>
      <c r="H63" s="2816"/>
      <c r="I63" s="2817"/>
      <c r="J63" s="2811"/>
      <c r="K63" s="2828"/>
      <c r="L63" s="2819"/>
      <c r="M63" s="2819"/>
      <c r="N63" s="2828"/>
      <c r="O63" s="2819"/>
      <c r="P63" s="2819"/>
      <c r="Q63" s="2820"/>
      <c r="R63" s="2820"/>
      <c r="S63" s="2829"/>
      <c r="T63" s="2830"/>
    </row>
    <row r="64" spans="1:20" ht="38.25">
      <c r="A64" s="2824" t="s">
        <v>4670</v>
      </c>
      <c r="B64" s="2831" t="s">
        <v>4671</v>
      </c>
      <c r="C64" s="2847"/>
      <c r="D64" s="2814">
        <v>1</v>
      </c>
      <c r="E64" s="2814">
        <v>1</v>
      </c>
      <c r="F64" s="2814">
        <f>D64*E64</f>
        <v>1</v>
      </c>
      <c r="G64" s="2815">
        <v>43343</v>
      </c>
      <c r="H64" s="2816"/>
      <c r="I64" s="2826">
        <f>G64*F64</f>
        <v>43343</v>
      </c>
      <c r="J64" s="2827"/>
      <c r="K64" s="2828">
        <f t="shared" si="0"/>
        <v>0</v>
      </c>
      <c r="L64" s="2819"/>
      <c r="M64" s="2819">
        <f t="shared" si="1"/>
        <v>0</v>
      </c>
      <c r="N64" s="2828">
        <f t="shared" si="2"/>
        <v>43343</v>
      </c>
      <c r="O64" s="2819">
        <v>1</v>
      </c>
      <c r="P64" s="2819">
        <f t="shared" si="3"/>
        <v>0</v>
      </c>
      <c r="Q64" s="2820">
        <f t="shared" si="4"/>
        <v>100</v>
      </c>
      <c r="R64" s="2820">
        <f>'[68]Адм сентябрь 2013 -6 599 928'!$D$45+'[68]Адм ноябрь 2014 - 35 820 766'!$D$78</f>
        <v>1</v>
      </c>
      <c r="S64" s="2829">
        <f>'[68]Адм сентябрь 2013 -6 599 928'!$L$45*0.9+'[68]Адм ноябрь 2014 - 35 820 766'!$L$78*0.1</f>
        <v>37898.929112541009</v>
      </c>
      <c r="T64" s="2830">
        <f t="shared" ref="T64:T73" si="16">R64*S64</f>
        <v>37898.929112541009</v>
      </c>
    </row>
    <row r="65" spans="1:20" ht="25.5">
      <c r="A65" s="2824" t="s">
        <v>4672</v>
      </c>
      <c r="B65" s="2831" t="s">
        <v>904</v>
      </c>
      <c r="C65" s="2847"/>
      <c r="D65" s="2814">
        <v>1</v>
      </c>
      <c r="E65" s="2814">
        <v>1</v>
      </c>
      <c r="F65" s="2814">
        <f t="shared" ref="F65:F78" si="17">D65*E65</f>
        <v>1</v>
      </c>
      <c r="G65" s="2815">
        <v>168766</v>
      </c>
      <c r="H65" s="2816"/>
      <c r="I65" s="2826">
        <f t="shared" ref="I65:I78" si="18">G65*F65</f>
        <v>168766</v>
      </c>
      <c r="J65" s="2827"/>
      <c r="K65" s="2828">
        <f t="shared" si="0"/>
        <v>0</v>
      </c>
      <c r="L65" s="2819"/>
      <c r="M65" s="2819">
        <f t="shared" si="1"/>
        <v>0</v>
      </c>
      <c r="N65" s="2828">
        <f t="shared" si="2"/>
        <v>168766</v>
      </c>
      <c r="O65" s="2819">
        <v>1</v>
      </c>
      <c r="P65" s="2819">
        <f t="shared" si="3"/>
        <v>0</v>
      </c>
      <c r="Q65" s="2820">
        <f t="shared" si="4"/>
        <v>100</v>
      </c>
      <c r="R65" s="2820">
        <f>'[68]Адм июль 2013 - 21 827 307'!$D$37+'[68]Адм ноябрь 2014 - 35 820 766'!$D$80</f>
        <v>1</v>
      </c>
      <c r="S65" s="2829">
        <f>'[68]Адм июль 2013 - 21 827 307'!$L$37*0.9+'[68]Адм ноябрь 2014 - 35 820 766'!$L$80*0.1</f>
        <v>147568.22137366069</v>
      </c>
      <c r="T65" s="2830">
        <f t="shared" si="16"/>
        <v>147568.22137366069</v>
      </c>
    </row>
    <row r="66" spans="1:20" ht="25.5">
      <c r="A66" s="2824" t="s">
        <v>4673</v>
      </c>
      <c r="B66" s="2831" t="s">
        <v>881</v>
      </c>
      <c r="C66" s="2847"/>
      <c r="D66" s="2814">
        <v>1</v>
      </c>
      <c r="E66" s="2814">
        <v>1</v>
      </c>
      <c r="F66" s="2814">
        <f t="shared" si="17"/>
        <v>1</v>
      </c>
      <c r="G66" s="2815">
        <v>287674</v>
      </c>
      <c r="H66" s="2816"/>
      <c r="I66" s="2826">
        <f t="shared" si="18"/>
        <v>287674</v>
      </c>
      <c r="J66" s="2827"/>
      <c r="K66" s="2828">
        <f t="shared" si="0"/>
        <v>0</v>
      </c>
      <c r="L66" s="2819"/>
      <c r="M66" s="2819">
        <f t="shared" si="1"/>
        <v>0</v>
      </c>
      <c r="N66" s="2828">
        <f t="shared" si="2"/>
        <v>287674</v>
      </c>
      <c r="O66" s="2819">
        <v>1</v>
      </c>
      <c r="P66" s="2819">
        <f t="shared" si="3"/>
        <v>0</v>
      </c>
      <c r="Q66" s="2820">
        <f t="shared" si="4"/>
        <v>100</v>
      </c>
      <c r="R66" s="2820">
        <f>'[68]Адм ноябрь 2014 - 35 820 766'!$D$82</f>
        <v>1</v>
      </c>
      <c r="S66" s="2829">
        <f>'[68]Адм ноябрь 2014 - 35 820 766'!$L$82</f>
        <v>251540.834377839</v>
      </c>
      <c r="T66" s="2830">
        <f t="shared" si="16"/>
        <v>251540.834377839</v>
      </c>
    </row>
    <row r="67" spans="1:20" ht="38.25">
      <c r="A67" s="2824" t="s">
        <v>4674</v>
      </c>
      <c r="B67" s="2831" t="s">
        <v>4675</v>
      </c>
      <c r="C67" s="2847"/>
      <c r="D67" s="2814">
        <v>1</v>
      </c>
      <c r="E67" s="2814">
        <v>1</v>
      </c>
      <c r="F67" s="2814">
        <f t="shared" si="17"/>
        <v>1</v>
      </c>
      <c r="G67" s="2815">
        <v>103460</v>
      </c>
      <c r="H67" s="2816"/>
      <c r="I67" s="2826">
        <f t="shared" si="18"/>
        <v>103460</v>
      </c>
      <c r="J67" s="2827"/>
      <c r="K67" s="2828">
        <f t="shared" si="0"/>
        <v>0</v>
      </c>
      <c r="L67" s="2819"/>
      <c r="M67" s="2819">
        <f t="shared" si="1"/>
        <v>0</v>
      </c>
      <c r="N67" s="2828">
        <f t="shared" si="2"/>
        <v>103460</v>
      </c>
      <c r="O67" s="2819">
        <v>1</v>
      </c>
      <c r="P67" s="2819">
        <f t="shared" si="3"/>
        <v>0</v>
      </c>
      <c r="Q67" s="2820">
        <f t="shared" si="4"/>
        <v>100</v>
      </c>
      <c r="R67" s="2820">
        <f>'[68]Адм ноябрь 2014 - 35 820 766'!$D$84</f>
        <v>1</v>
      </c>
      <c r="S67" s="2829">
        <f>'[68]Адм ноябрь 2014 - 35 820 766'!$L$84</f>
        <v>90464.944874054709</v>
      </c>
      <c r="T67" s="2830">
        <f t="shared" si="16"/>
        <v>90464.944874054709</v>
      </c>
    </row>
    <row r="68" spans="1:20" ht="25.5">
      <c r="A68" s="2824" t="s">
        <v>4676</v>
      </c>
      <c r="B68" s="2831" t="s">
        <v>885</v>
      </c>
      <c r="C68" s="2847"/>
      <c r="D68" s="2814">
        <v>1</v>
      </c>
      <c r="E68" s="2814">
        <v>1</v>
      </c>
      <c r="F68" s="2814">
        <f t="shared" si="17"/>
        <v>1</v>
      </c>
      <c r="G68" s="2815">
        <v>275140</v>
      </c>
      <c r="H68" s="2816"/>
      <c r="I68" s="2826">
        <f t="shared" si="18"/>
        <v>275140</v>
      </c>
      <c r="J68" s="2827"/>
      <c r="K68" s="2828">
        <f t="shared" si="0"/>
        <v>0</v>
      </c>
      <c r="L68" s="2819"/>
      <c r="M68" s="2819">
        <f t="shared" si="1"/>
        <v>0</v>
      </c>
      <c r="N68" s="2828">
        <f t="shared" si="2"/>
        <v>275140</v>
      </c>
      <c r="O68" s="2819">
        <v>1</v>
      </c>
      <c r="P68" s="2819">
        <f t="shared" si="3"/>
        <v>0</v>
      </c>
      <c r="Q68" s="2820">
        <f t="shared" si="4"/>
        <v>100</v>
      </c>
      <c r="R68" s="2820">
        <f>'[68]Адм сентябрь 2013 -6 599 928'!$D$47+'[68]Адм ноябрь 2014 - 35 820 766'!$D$86</f>
        <v>1</v>
      </c>
      <c r="S68" s="2829">
        <f>'[68]Адм сентябрь 2013 -6 599 928'!$L$47*0.9+'[68]Адм ноябрь 2014 - 35 820 766'!$L$86*0.1</f>
        <v>240581.20803983611</v>
      </c>
      <c r="T68" s="2830">
        <f t="shared" si="16"/>
        <v>240581.20803983611</v>
      </c>
    </row>
    <row r="69" spans="1:20" ht="25.5">
      <c r="A69" s="2824" t="s">
        <v>4677</v>
      </c>
      <c r="B69" s="2831" t="s">
        <v>884</v>
      </c>
      <c r="C69" s="2847"/>
      <c r="D69" s="2814">
        <v>1</v>
      </c>
      <c r="E69" s="2814">
        <v>1</v>
      </c>
      <c r="F69" s="2814">
        <f t="shared" si="17"/>
        <v>1</v>
      </c>
      <c r="G69" s="2815">
        <v>550924</v>
      </c>
      <c r="H69" s="2816"/>
      <c r="I69" s="2826">
        <f t="shared" si="18"/>
        <v>550924</v>
      </c>
      <c r="J69" s="2827"/>
      <c r="K69" s="2828">
        <f t="shared" si="0"/>
        <v>0</v>
      </c>
      <c r="L69" s="2819"/>
      <c r="M69" s="2819">
        <f t="shared" si="1"/>
        <v>0</v>
      </c>
      <c r="N69" s="2828">
        <f t="shared" si="2"/>
        <v>550924</v>
      </c>
      <c r="O69" s="2819">
        <v>1</v>
      </c>
      <c r="P69" s="2819">
        <f t="shared" si="3"/>
        <v>0</v>
      </c>
      <c r="Q69" s="2820">
        <f t="shared" si="4"/>
        <v>100</v>
      </c>
      <c r="R69" s="2820">
        <f>'[68]Адм сентябрь 2013 -6 599 928'!$D$49+'[68]Адм ноябрь 2014 - 35 820 766'!$D$88</f>
        <v>1</v>
      </c>
      <c r="S69" s="2829">
        <f>'[68]Адм сентябрь 2013 -6 599 928'!$L$49*0.9+'[68]Адм ноябрь 2014 - 35 820 766'!$L$88*0.1</f>
        <v>481725.52135062579</v>
      </c>
      <c r="T69" s="2830">
        <f t="shared" si="16"/>
        <v>481725.52135062579</v>
      </c>
    </row>
    <row r="70" spans="1:20" ht="38.25" customHeight="1">
      <c r="A70" s="2824" t="s">
        <v>4678</v>
      </c>
      <c r="B70" s="2831" t="s">
        <v>902</v>
      </c>
      <c r="C70" s="2847"/>
      <c r="D70" s="2814">
        <v>1</v>
      </c>
      <c r="E70" s="2814">
        <v>1</v>
      </c>
      <c r="F70" s="2814">
        <f t="shared" si="17"/>
        <v>1</v>
      </c>
      <c r="G70" s="2815">
        <v>617058</v>
      </c>
      <c r="H70" s="2816"/>
      <c r="I70" s="2826">
        <f t="shared" si="18"/>
        <v>617058</v>
      </c>
      <c r="J70" s="2827"/>
      <c r="K70" s="2828">
        <f t="shared" si="0"/>
        <v>0</v>
      </c>
      <c r="L70" s="2819"/>
      <c r="M70" s="2819">
        <f t="shared" si="1"/>
        <v>0</v>
      </c>
      <c r="N70" s="2828">
        <f t="shared" si="2"/>
        <v>617058</v>
      </c>
      <c r="O70" s="2819">
        <v>1</v>
      </c>
      <c r="P70" s="2819">
        <f t="shared" si="3"/>
        <v>0</v>
      </c>
      <c r="Q70" s="2820">
        <f t="shared" si="4"/>
        <v>100</v>
      </c>
      <c r="R70" s="2820">
        <f>'[68]Адм сентябрь 2013 -6 599 928'!$D$51+'[68]Адм ноябрь 2014 - 35 820 766'!$D$90</f>
        <v>1</v>
      </c>
      <c r="S70" s="2829">
        <f>'[68]Адм сентябрь 2013 -6 599 928'!$L$51*0.9+'[68]Адм ноябрь 2014 - 35 820 766'!$L$90*0.1</f>
        <v>539552.79015401297</v>
      </c>
      <c r="T70" s="2830">
        <f t="shared" si="16"/>
        <v>539552.79015401297</v>
      </c>
    </row>
    <row r="71" spans="1:20" s="2837" customFormat="1">
      <c r="A71" s="2836" t="s">
        <v>4679</v>
      </c>
      <c r="B71" s="2831" t="s">
        <v>805</v>
      </c>
      <c r="C71" s="2847"/>
      <c r="D71" s="2814">
        <v>5</v>
      </c>
      <c r="E71" s="2814">
        <v>1</v>
      </c>
      <c r="F71" s="2814">
        <f>D71*E71</f>
        <v>5</v>
      </c>
      <c r="G71" s="2815">
        <v>42269</v>
      </c>
      <c r="H71" s="2816"/>
      <c r="I71" s="2826">
        <f>G71*F71</f>
        <v>211345</v>
      </c>
      <c r="J71" s="2827"/>
      <c r="K71" s="2828">
        <f>L71*G71</f>
        <v>0</v>
      </c>
      <c r="L71" s="2819"/>
      <c r="M71" s="2819">
        <f>K71/I71*100</f>
        <v>0</v>
      </c>
      <c r="N71" s="2828">
        <f>O71*G71</f>
        <v>169076</v>
      </c>
      <c r="O71" s="2819">
        <v>4</v>
      </c>
      <c r="P71" s="2819">
        <f>F71-O71</f>
        <v>1</v>
      </c>
      <c r="Q71" s="2820">
        <f>N71/I71*100</f>
        <v>80</v>
      </c>
      <c r="R71" s="2820">
        <v>1</v>
      </c>
      <c r="S71" s="2829">
        <v>39541</v>
      </c>
      <c r="T71" s="2838">
        <f>R71*S71</f>
        <v>39541</v>
      </c>
    </row>
    <row r="72" spans="1:20" s="403" customFormat="1" ht="51">
      <c r="A72" s="2607" t="s">
        <v>4680</v>
      </c>
      <c r="B72" s="2612" t="s">
        <v>4681</v>
      </c>
      <c r="C72" s="2850"/>
      <c r="D72" s="2602">
        <v>1</v>
      </c>
      <c r="E72" s="2602">
        <v>1</v>
      </c>
      <c r="F72" s="2602">
        <f>D72*E72</f>
        <v>1</v>
      </c>
      <c r="G72" s="2615">
        <v>2174477</v>
      </c>
      <c r="H72" s="2604"/>
      <c r="I72" s="2605">
        <f>G72*F72</f>
        <v>2174477</v>
      </c>
      <c r="J72" s="2618" t="s">
        <v>4682</v>
      </c>
      <c r="K72" s="2839">
        <f>L72*G72</f>
        <v>0</v>
      </c>
      <c r="L72" s="2840"/>
      <c r="M72" s="2840">
        <f>K72/I72*100</f>
        <v>0</v>
      </c>
      <c r="N72" s="2839">
        <f>O72*G72</f>
        <v>2174477</v>
      </c>
      <c r="O72" s="2840">
        <v>1</v>
      </c>
      <c r="P72" s="2840">
        <f>F72-O72</f>
        <v>0</v>
      </c>
      <c r="Q72" s="2841">
        <f>N72/I72*100</f>
        <v>100</v>
      </c>
      <c r="R72" s="2841">
        <f>'[69]Адм ноябрь 2014 - 42 219 574'!$D$41+'[69]Адм март 2015 - 38 922 227'!$D$24</f>
        <v>1</v>
      </c>
      <c r="S72" s="2842">
        <f>'[69]Адм ноябрь 2014 - 42 219 574'!$L$41*0.9+'[69]Адм март 2015 - 38 922 227'!$L$24*0.1</f>
        <v>2094985.7886658818</v>
      </c>
      <c r="T72" s="2838">
        <f>R72*S72</f>
        <v>2094985.7886658818</v>
      </c>
    </row>
    <row r="73" spans="1:20">
      <c r="A73" s="2824" t="s">
        <v>4679</v>
      </c>
      <c r="B73" s="2831" t="s">
        <v>805</v>
      </c>
      <c r="C73" s="2847"/>
      <c r="D73" s="2814">
        <v>5</v>
      </c>
      <c r="E73" s="2814">
        <v>1</v>
      </c>
      <c r="F73" s="2814">
        <f t="shared" si="17"/>
        <v>5</v>
      </c>
      <c r="G73" s="2815">
        <v>42269</v>
      </c>
      <c r="H73" s="2816"/>
      <c r="I73" s="2826">
        <f t="shared" si="18"/>
        <v>211345</v>
      </c>
      <c r="J73" s="2827"/>
      <c r="K73" s="2828">
        <f t="shared" si="0"/>
        <v>0</v>
      </c>
      <c r="L73" s="2819"/>
      <c r="M73" s="2819">
        <f t="shared" si="1"/>
        <v>0</v>
      </c>
      <c r="N73" s="2828">
        <f t="shared" si="2"/>
        <v>169076</v>
      </c>
      <c r="O73" s="2819">
        <v>4</v>
      </c>
      <c r="P73" s="2819">
        <f t="shared" si="3"/>
        <v>1</v>
      </c>
      <c r="Q73" s="2820">
        <f t="shared" si="4"/>
        <v>80</v>
      </c>
      <c r="R73" s="2820">
        <f>'[68]Адм ноябрь 2014 - 42 219 574'!$D$39</f>
        <v>4</v>
      </c>
      <c r="S73" s="2829">
        <f>'[68]Адм ноябрь 2014 - 42 219 574'!$L$39</f>
        <v>36959.826397257893</v>
      </c>
      <c r="T73" s="2830">
        <f t="shared" si="16"/>
        <v>147839.30558903157</v>
      </c>
    </row>
    <row r="74" spans="1:20" ht="25.5">
      <c r="A74" s="2824" t="s">
        <v>4683</v>
      </c>
      <c r="B74" s="2831" t="s">
        <v>913</v>
      </c>
      <c r="C74" s="2847"/>
      <c r="D74" s="2814">
        <v>1</v>
      </c>
      <c r="E74" s="2814">
        <v>1</v>
      </c>
      <c r="F74" s="2814">
        <f t="shared" si="17"/>
        <v>1</v>
      </c>
      <c r="G74" s="2815">
        <v>58751</v>
      </c>
      <c r="H74" s="2816"/>
      <c r="I74" s="2826">
        <f t="shared" si="18"/>
        <v>58751</v>
      </c>
      <c r="J74" s="2827"/>
      <c r="K74" s="2828">
        <f t="shared" si="0"/>
        <v>0</v>
      </c>
      <c r="L74" s="2819"/>
      <c r="M74" s="2819">
        <f t="shared" si="1"/>
        <v>0</v>
      </c>
      <c r="N74" s="2828">
        <f t="shared" si="2"/>
        <v>58751</v>
      </c>
      <c r="O74" s="2819">
        <v>1</v>
      </c>
      <c r="P74" s="2819">
        <f t="shared" si="3"/>
        <v>0</v>
      </c>
      <c r="Q74" s="2820">
        <f t="shared" si="4"/>
        <v>100</v>
      </c>
      <c r="R74" s="2820">
        <f>'[68]Адм июль 2013 - 21 827 307'!$D$39+'[68]Адм ноябрь 2014 - 35 820 766'!$D$92</f>
        <v>1</v>
      </c>
      <c r="S74" s="2829">
        <f>'[68]Адм июль 2013 - 21 827 307'!$L$39*0.9+'[68]Адм ноябрь 2014 - 35 820 766'!$L$92*0.1</f>
        <v>51371.609523628955</v>
      </c>
      <c r="T74" s="2830">
        <f>R74*S74</f>
        <v>51371.609523628955</v>
      </c>
    </row>
    <row r="75" spans="1:20" ht="51">
      <c r="A75" s="2824" t="s">
        <v>4684</v>
      </c>
      <c r="B75" s="2831" t="s">
        <v>4685</v>
      </c>
      <c r="C75" s="2847"/>
      <c r="D75" s="2814">
        <v>1</v>
      </c>
      <c r="E75" s="2814">
        <v>1</v>
      </c>
      <c r="F75" s="2814">
        <f t="shared" si="17"/>
        <v>1</v>
      </c>
      <c r="G75" s="2815">
        <v>95247</v>
      </c>
      <c r="H75" s="2816"/>
      <c r="I75" s="2826">
        <f t="shared" si="18"/>
        <v>95247</v>
      </c>
      <c r="J75" s="2827"/>
      <c r="K75" s="2828">
        <f t="shared" si="0"/>
        <v>0</v>
      </c>
      <c r="L75" s="2819"/>
      <c r="M75" s="2819">
        <f t="shared" si="1"/>
        <v>0</v>
      </c>
      <c r="N75" s="2828">
        <f t="shared" si="2"/>
        <v>95247</v>
      </c>
      <c r="O75" s="2819">
        <v>1</v>
      </c>
      <c r="P75" s="2819">
        <f t="shared" si="3"/>
        <v>0</v>
      </c>
      <c r="Q75" s="2820">
        <f t="shared" si="4"/>
        <v>100</v>
      </c>
      <c r="R75" s="2820">
        <f>'[68]Адм ноябрь 2014 - 42 219 574'!$D$43+'[68]Адм ноябрь 2014 - 35 820 766'!$D$94</f>
        <v>1</v>
      </c>
      <c r="S75" s="2829">
        <f>'[68]Адм ноябрь 2014 - 42 219 574'!$L$43*0.9+'[68]Адм ноябрь 2014 - 35 820 766'!$L$94*0.1</f>
        <v>83283.547708705461</v>
      </c>
      <c r="T75" s="2830">
        <f>R75*S75</f>
        <v>83283.547708705461</v>
      </c>
    </row>
    <row r="76" spans="1:20" ht="25.5">
      <c r="A76" s="2824" t="s">
        <v>4686</v>
      </c>
      <c r="B76" s="2831" t="s">
        <v>4569</v>
      </c>
      <c r="C76" s="2847"/>
      <c r="D76" s="2814">
        <v>1</v>
      </c>
      <c r="E76" s="2814">
        <v>1</v>
      </c>
      <c r="F76" s="2814">
        <f t="shared" si="17"/>
        <v>1</v>
      </c>
      <c r="G76" s="2815">
        <v>62576</v>
      </c>
      <c r="H76" s="2816"/>
      <c r="I76" s="2826">
        <f t="shared" si="18"/>
        <v>62576</v>
      </c>
      <c r="J76" s="2827"/>
      <c r="K76" s="2828">
        <f t="shared" si="0"/>
        <v>0</v>
      </c>
      <c r="L76" s="2819"/>
      <c r="M76" s="2819">
        <f t="shared" si="1"/>
        <v>0</v>
      </c>
      <c r="N76" s="2828">
        <f t="shared" si="2"/>
        <v>62576</v>
      </c>
      <c r="O76" s="2819">
        <v>1</v>
      </c>
      <c r="P76" s="2819">
        <f t="shared" si="3"/>
        <v>0</v>
      </c>
      <c r="Q76" s="2820">
        <f t="shared" si="4"/>
        <v>100</v>
      </c>
      <c r="R76" s="2820">
        <f>'[68]Адм ноябрь 2014 - 42 219 574'!$D$45</f>
        <v>1</v>
      </c>
      <c r="S76" s="2829">
        <f>'[68]Адм ноябрь 2014 - 42 219 574'!$L$45</f>
        <v>54716.170255284596</v>
      </c>
      <c r="T76" s="2830">
        <f>R76*S76</f>
        <v>54716.170255284596</v>
      </c>
    </row>
    <row r="77" spans="1:20" ht="25.5">
      <c r="A77" s="2824" t="s">
        <v>4687</v>
      </c>
      <c r="B77" s="2831" t="s">
        <v>817</v>
      </c>
      <c r="C77" s="2847"/>
      <c r="D77" s="2814">
        <v>3</v>
      </c>
      <c r="E77" s="2814">
        <v>1</v>
      </c>
      <c r="F77" s="2814">
        <f t="shared" si="17"/>
        <v>3</v>
      </c>
      <c r="G77" s="2815">
        <v>67368</v>
      </c>
      <c r="H77" s="2816"/>
      <c r="I77" s="2826">
        <f t="shared" si="18"/>
        <v>202104</v>
      </c>
      <c r="J77" s="2827"/>
      <c r="K77" s="2828">
        <f t="shared" si="0"/>
        <v>0</v>
      </c>
      <c r="L77" s="2819"/>
      <c r="M77" s="2819">
        <f t="shared" si="1"/>
        <v>0</v>
      </c>
      <c r="N77" s="2828">
        <f t="shared" si="2"/>
        <v>202104</v>
      </c>
      <c r="O77" s="2819">
        <v>3</v>
      </c>
      <c r="P77" s="2819">
        <f t="shared" si="3"/>
        <v>0</v>
      </c>
      <c r="Q77" s="2820">
        <f t="shared" si="4"/>
        <v>100</v>
      </c>
      <c r="R77" s="2820">
        <f>'[68]Адм ноябрь 2014 - 42 219 574'!$D$47</f>
        <v>3</v>
      </c>
      <c r="S77" s="2829">
        <f>'[68]Адм ноябрь 2014 - 42 219 574'!$L$47</f>
        <v>58906.281502130572</v>
      </c>
      <c r="T77" s="2830">
        <f t="shared" ref="T77:T82" si="19">R77*S77</f>
        <v>176718.84450639173</v>
      </c>
    </row>
    <row r="78" spans="1:20" ht="25.5">
      <c r="A78" s="2824" t="s">
        <v>4688</v>
      </c>
      <c r="B78" s="2831" t="s">
        <v>869</v>
      </c>
      <c r="C78" s="2847"/>
      <c r="D78" s="2814">
        <v>1</v>
      </c>
      <c r="E78" s="2814">
        <v>1</v>
      </c>
      <c r="F78" s="2814">
        <f t="shared" si="17"/>
        <v>1</v>
      </c>
      <c r="G78" s="2816">
        <v>29774</v>
      </c>
      <c r="H78" s="2816"/>
      <c r="I78" s="2826">
        <f t="shared" si="18"/>
        <v>29774</v>
      </c>
      <c r="J78" s="2827"/>
      <c r="K78" s="2828">
        <f t="shared" si="0"/>
        <v>0</v>
      </c>
      <c r="L78" s="2819"/>
      <c r="M78" s="2819">
        <f t="shared" si="1"/>
        <v>0</v>
      </c>
      <c r="N78" s="2828">
        <f t="shared" si="2"/>
        <v>29774</v>
      </c>
      <c r="O78" s="2819">
        <v>1</v>
      </c>
      <c r="P78" s="2819">
        <f t="shared" si="3"/>
        <v>0</v>
      </c>
      <c r="Q78" s="2820">
        <f t="shared" si="4"/>
        <v>100</v>
      </c>
      <c r="R78" s="2820">
        <f>'[68]Адм ноябрь 2014 - 42 219 574'!$D$49</f>
        <v>1</v>
      </c>
      <c r="S78" s="2829">
        <f>'[68]Адм ноябрь 2014 - 42 219 574'!$L$49</f>
        <v>26034.253063219861</v>
      </c>
      <c r="T78" s="2830">
        <f t="shared" si="19"/>
        <v>26034.253063219861</v>
      </c>
    </row>
    <row r="79" spans="1:20">
      <c r="A79" s="2811"/>
      <c r="B79" s="2851" t="s">
        <v>4689</v>
      </c>
      <c r="C79" s="2847"/>
      <c r="D79" s="2814"/>
      <c r="E79" s="2814"/>
      <c r="F79" s="2814"/>
      <c r="G79" s="2815"/>
      <c r="H79" s="2816"/>
      <c r="I79" s="2817"/>
      <c r="J79" s="2811"/>
      <c r="K79" s="2828"/>
      <c r="L79" s="2819"/>
      <c r="M79" s="2819"/>
      <c r="N79" s="2828"/>
      <c r="O79" s="2819"/>
      <c r="P79" s="2819"/>
      <c r="Q79" s="2820"/>
      <c r="R79" s="2820"/>
      <c r="S79" s="2829"/>
      <c r="T79" s="2830"/>
    </row>
    <row r="80" spans="1:20">
      <c r="A80" s="2824" t="s">
        <v>4690</v>
      </c>
      <c r="B80" s="2831" t="s">
        <v>4616</v>
      </c>
      <c r="C80" s="2847"/>
      <c r="D80" s="2814">
        <v>3</v>
      </c>
      <c r="E80" s="2814">
        <v>1</v>
      </c>
      <c r="F80" s="2814">
        <f>D80*E80</f>
        <v>3</v>
      </c>
      <c r="G80" s="2815">
        <v>36698</v>
      </c>
      <c r="H80" s="2816"/>
      <c r="I80" s="2826">
        <f>G80*F80</f>
        <v>110094</v>
      </c>
      <c r="J80" s="2827"/>
      <c r="K80" s="2828">
        <f t="shared" si="0"/>
        <v>0</v>
      </c>
      <c r="L80" s="2819"/>
      <c r="M80" s="2819">
        <f t="shared" si="1"/>
        <v>0</v>
      </c>
      <c r="N80" s="2828">
        <f t="shared" si="2"/>
        <v>110094</v>
      </c>
      <c r="O80" s="2819">
        <v>3</v>
      </c>
      <c r="P80" s="2819">
        <f t="shared" si="3"/>
        <v>0</v>
      </c>
      <c r="Q80" s="2820">
        <f t="shared" si="4"/>
        <v>100</v>
      </c>
      <c r="R80" s="2820">
        <f>'[68]Адм ноябрь 2014 - 35 820 766'!$D$97</f>
        <v>3</v>
      </c>
      <c r="S80" s="2829">
        <f>'[68]Адм ноябрь 2014 - 35 820 766'!$L$97</f>
        <v>32088.568387221152</v>
      </c>
      <c r="T80" s="2830">
        <f t="shared" si="19"/>
        <v>96265.705161663456</v>
      </c>
    </row>
    <row r="81" spans="1:20">
      <c r="A81" s="2824" t="s">
        <v>4691</v>
      </c>
      <c r="B81" s="2831" t="s">
        <v>4566</v>
      </c>
      <c r="C81" s="2847"/>
      <c r="D81" s="2814">
        <v>3</v>
      </c>
      <c r="E81" s="2814">
        <v>1</v>
      </c>
      <c r="F81" s="2814">
        <f>D81*E81</f>
        <v>3</v>
      </c>
      <c r="G81" s="2815">
        <v>62576</v>
      </c>
      <c r="H81" s="2816"/>
      <c r="I81" s="2826">
        <f>G81*F81</f>
        <v>187728</v>
      </c>
      <c r="J81" s="2827"/>
      <c r="K81" s="2828">
        <f t="shared" si="0"/>
        <v>0</v>
      </c>
      <c r="L81" s="2819"/>
      <c r="M81" s="2819">
        <f t="shared" si="1"/>
        <v>0</v>
      </c>
      <c r="N81" s="2828">
        <f t="shared" si="2"/>
        <v>187728</v>
      </c>
      <c r="O81" s="2819">
        <v>3</v>
      </c>
      <c r="P81" s="2819">
        <f t="shared" si="3"/>
        <v>0</v>
      </c>
      <c r="Q81" s="2820">
        <f t="shared" si="4"/>
        <v>100</v>
      </c>
      <c r="R81" s="2820">
        <f>'[68]Адм ноябрь 2014 - 35 820 766'!$D$99</f>
        <v>3</v>
      </c>
      <c r="S81" s="2829">
        <f>'[68]Адм ноябрь 2014 - 35 820 766'!$L$99</f>
        <v>54716.171569906503</v>
      </c>
      <c r="T81" s="2830">
        <f t="shared" si="19"/>
        <v>164148.51470971951</v>
      </c>
    </row>
    <row r="82" spans="1:20">
      <c r="A82" s="2824" t="s">
        <v>4692</v>
      </c>
      <c r="B82" s="2831" t="s">
        <v>4565</v>
      </c>
      <c r="C82" s="2847"/>
      <c r="D82" s="2814">
        <v>1</v>
      </c>
      <c r="E82" s="2814">
        <v>1</v>
      </c>
      <c r="F82" s="2814">
        <f>D82*E82</f>
        <v>1</v>
      </c>
      <c r="G82" s="2815">
        <v>48678</v>
      </c>
      <c r="H82" s="2816"/>
      <c r="I82" s="2826">
        <f>G82*F82</f>
        <v>48678</v>
      </c>
      <c r="J82" s="2827"/>
      <c r="K82" s="2828">
        <f t="shared" si="0"/>
        <v>0</v>
      </c>
      <c r="L82" s="2819"/>
      <c r="M82" s="2819">
        <f t="shared" si="1"/>
        <v>0</v>
      </c>
      <c r="N82" s="2828">
        <f t="shared" si="2"/>
        <v>48678</v>
      </c>
      <c r="O82" s="2819">
        <v>1</v>
      </c>
      <c r="P82" s="2819">
        <f t="shared" si="3"/>
        <v>0</v>
      </c>
      <c r="Q82" s="2820">
        <f t="shared" si="4"/>
        <v>100</v>
      </c>
      <c r="R82" s="2820">
        <f>'[68]Адм ноябрь 2014 - 35 820 766'!$D$101</f>
        <v>1</v>
      </c>
      <c r="S82" s="2829">
        <f>'[68]Адм ноябрь 2014 - 35 820 766'!$L$101</f>
        <v>42563.814915781506</v>
      </c>
      <c r="T82" s="2830">
        <f t="shared" si="19"/>
        <v>42563.814915781506</v>
      </c>
    </row>
    <row r="83" spans="1:20">
      <c r="A83" s="2811"/>
      <c r="B83" s="2851" t="s">
        <v>4693</v>
      </c>
      <c r="C83" s="2847"/>
      <c r="D83" s="2814"/>
      <c r="E83" s="2814"/>
      <c r="F83" s="2814"/>
      <c r="G83" s="2815"/>
      <c r="H83" s="2816"/>
      <c r="I83" s="2817"/>
      <c r="J83" s="2811"/>
      <c r="K83" s="2828"/>
      <c r="L83" s="2819"/>
      <c r="M83" s="2819"/>
      <c r="N83" s="2828"/>
      <c r="O83" s="2819"/>
      <c r="P83" s="2819"/>
      <c r="Q83" s="2820"/>
      <c r="R83" s="2820"/>
      <c r="S83" s="2829"/>
      <c r="T83" s="2830"/>
    </row>
    <row r="84" spans="1:20" ht="25.5">
      <c r="A84" s="2824" t="s">
        <v>4694</v>
      </c>
      <c r="B84" s="2831" t="s">
        <v>719</v>
      </c>
      <c r="C84" s="2847"/>
      <c r="D84" s="2814">
        <v>1</v>
      </c>
      <c r="E84" s="2814">
        <v>1</v>
      </c>
      <c r="F84" s="2814">
        <f>D84*E84</f>
        <v>1</v>
      </c>
      <c r="G84" s="2815">
        <v>866765</v>
      </c>
      <c r="H84" s="2816"/>
      <c r="I84" s="2826">
        <f>G84*F84</f>
        <v>866765</v>
      </c>
      <c r="J84" s="2827"/>
      <c r="K84" s="2828">
        <f t="shared" ref="K84:K130" si="20">L84*G84</f>
        <v>0</v>
      </c>
      <c r="L84" s="2819"/>
      <c r="M84" s="2819">
        <f t="shared" ref="M84:M130" si="21">K84/I84*100</f>
        <v>0</v>
      </c>
      <c r="N84" s="2828">
        <f t="shared" ref="N84:N130" si="22">O84*G84</f>
        <v>866765</v>
      </c>
      <c r="O84" s="2819">
        <v>1</v>
      </c>
      <c r="P84" s="2819">
        <f t="shared" ref="P84:P130" si="23">F84-O84</f>
        <v>0</v>
      </c>
      <c r="Q84" s="2820">
        <f t="shared" ref="Q84:Q130" si="24">N84/I84*100</f>
        <v>100</v>
      </c>
      <c r="R84" s="2820">
        <f>'[68]Адм ноябрь 2014 - 42 219 574'!$D$52+'[68]Адм ноябрь 2014 - 35 820 766'!$D$104</f>
        <v>1</v>
      </c>
      <c r="S84" s="2829">
        <f>'[68]Адм ноябрь 2014 - 42 219 574'!$L$52*0.9+'[68]Адм ноябрь 2014 - 35 820 766'!$L$104*0.1</f>
        <v>757895.3445804154</v>
      </c>
      <c r="T84" s="2830">
        <f t="shared" ref="T84:T98" si="25">R84*S84</f>
        <v>757895.3445804154</v>
      </c>
    </row>
    <row r="85" spans="1:20" ht="25.5">
      <c r="A85" s="2824" t="s">
        <v>4695</v>
      </c>
      <c r="B85" s="2831" t="s">
        <v>880</v>
      </c>
      <c r="C85" s="2847"/>
      <c r="D85" s="2814">
        <v>4</v>
      </c>
      <c r="E85" s="2814">
        <v>1</v>
      </c>
      <c r="F85" s="2814">
        <f t="shared" ref="F85:F94" si="26">D85*E85</f>
        <v>4</v>
      </c>
      <c r="G85" s="2815">
        <v>392321</v>
      </c>
      <c r="H85" s="2816"/>
      <c r="I85" s="2826">
        <f t="shared" ref="I85:I94" si="27">G85*F85</f>
        <v>1569284</v>
      </c>
      <c r="J85" s="2827"/>
      <c r="K85" s="2828">
        <f t="shared" si="20"/>
        <v>0</v>
      </c>
      <c r="L85" s="2819"/>
      <c r="M85" s="2819">
        <f t="shared" si="21"/>
        <v>0</v>
      </c>
      <c r="N85" s="2828">
        <f t="shared" si="22"/>
        <v>1176963</v>
      </c>
      <c r="O85" s="2819">
        <v>3</v>
      </c>
      <c r="P85" s="2819">
        <f t="shared" si="23"/>
        <v>1</v>
      </c>
      <c r="Q85" s="2820">
        <f t="shared" si="24"/>
        <v>75</v>
      </c>
      <c r="R85" s="2820">
        <v>3</v>
      </c>
      <c r="S85" s="2829">
        <f>'[68]Адм ноябрь 2014 - 42 219 574'!$L$54</f>
        <v>343043.67778882565</v>
      </c>
      <c r="T85" s="2830">
        <f t="shared" si="25"/>
        <v>1029131.0333664769</v>
      </c>
    </row>
    <row r="86" spans="1:20">
      <c r="A86" s="2824" t="s">
        <v>4696</v>
      </c>
      <c r="B86" s="2831" t="s">
        <v>796</v>
      </c>
      <c r="C86" s="2847"/>
      <c r="D86" s="2814">
        <v>6</v>
      </c>
      <c r="E86" s="2814">
        <v>1</v>
      </c>
      <c r="F86" s="2814">
        <f t="shared" si="26"/>
        <v>6</v>
      </c>
      <c r="G86" s="2815">
        <v>37760</v>
      </c>
      <c r="H86" s="2816"/>
      <c r="I86" s="2826">
        <f t="shared" si="27"/>
        <v>226560</v>
      </c>
      <c r="J86" s="2827"/>
      <c r="K86" s="2828">
        <f t="shared" si="20"/>
        <v>0</v>
      </c>
      <c r="L86" s="2819"/>
      <c r="M86" s="2819">
        <f t="shared" si="21"/>
        <v>0</v>
      </c>
      <c r="N86" s="2828">
        <f t="shared" si="22"/>
        <v>226560</v>
      </c>
      <c r="O86" s="2819">
        <v>6</v>
      </c>
      <c r="P86" s="2819">
        <f t="shared" si="23"/>
        <v>0</v>
      </c>
      <c r="Q86" s="2820">
        <f t="shared" si="24"/>
        <v>100</v>
      </c>
      <c r="R86" s="2820">
        <f>'[68]Адм ноябрь 2014 - 42 219 574'!$D$56</f>
        <v>6</v>
      </c>
      <c r="S86" s="2829">
        <f>'[68]Адм ноябрь 2014 - 42 219 574'!$L$56</f>
        <v>33017.177456909638</v>
      </c>
      <c r="T86" s="2830">
        <f t="shared" si="25"/>
        <v>198103.06474145781</v>
      </c>
    </row>
    <row r="87" spans="1:20">
      <c r="A87" s="2824" t="s">
        <v>4697</v>
      </c>
      <c r="B87" s="2831" t="s">
        <v>964</v>
      </c>
      <c r="C87" s="2847"/>
      <c r="D87" s="2814">
        <v>2</v>
      </c>
      <c r="E87" s="2814">
        <v>1</v>
      </c>
      <c r="F87" s="2814">
        <f t="shared" si="26"/>
        <v>2</v>
      </c>
      <c r="G87" s="2815">
        <v>71146</v>
      </c>
      <c r="H87" s="2816"/>
      <c r="I87" s="2826">
        <f t="shared" si="27"/>
        <v>142292</v>
      </c>
      <c r="J87" s="2827"/>
      <c r="K87" s="2828">
        <f t="shared" si="20"/>
        <v>0</v>
      </c>
      <c r="L87" s="2819"/>
      <c r="M87" s="2819">
        <f t="shared" si="21"/>
        <v>0</v>
      </c>
      <c r="N87" s="2828">
        <f t="shared" si="22"/>
        <v>142292</v>
      </c>
      <c r="O87" s="2819">
        <v>2</v>
      </c>
      <c r="P87" s="2819">
        <f t="shared" si="23"/>
        <v>0</v>
      </c>
      <c r="Q87" s="2820">
        <f t="shared" si="24"/>
        <v>100</v>
      </c>
      <c r="R87" s="2820">
        <f>'[68]Адм ноябрь 2014 - 42 219 574'!$D$58</f>
        <v>2</v>
      </c>
      <c r="S87" s="2829">
        <f>'[68]Адм ноябрь 2014 - 42 219 574'!$L$58</f>
        <v>62209.727111241416</v>
      </c>
      <c r="T87" s="2830">
        <f t="shared" si="25"/>
        <v>124419.45422248283</v>
      </c>
    </row>
    <row r="88" spans="1:20">
      <c r="A88" s="2824" t="s">
        <v>4698</v>
      </c>
      <c r="B88" s="2831" t="s">
        <v>797</v>
      </c>
      <c r="C88" s="2847"/>
      <c r="D88" s="2814">
        <v>3</v>
      </c>
      <c r="E88" s="2814">
        <v>1</v>
      </c>
      <c r="F88" s="2814">
        <f t="shared" si="26"/>
        <v>3</v>
      </c>
      <c r="G88" s="2815">
        <v>59756</v>
      </c>
      <c r="H88" s="2816"/>
      <c r="I88" s="2826">
        <f t="shared" si="27"/>
        <v>179268</v>
      </c>
      <c r="J88" s="2827"/>
      <c r="K88" s="2828">
        <f t="shared" si="20"/>
        <v>0</v>
      </c>
      <c r="L88" s="2819"/>
      <c r="M88" s="2819">
        <f t="shared" si="21"/>
        <v>0</v>
      </c>
      <c r="N88" s="2828">
        <f t="shared" si="22"/>
        <v>179268</v>
      </c>
      <c r="O88" s="2819">
        <v>3</v>
      </c>
      <c r="P88" s="2819">
        <f t="shared" si="23"/>
        <v>0</v>
      </c>
      <c r="Q88" s="2820">
        <f t="shared" si="24"/>
        <v>100</v>
      </c>
      <c r="R88" s="2820">
        <f>'[68]Адм ноябрь 2014 - 42 219 574'!$D$60</f>
        <v>3</v>
      </c>
      <c r="S88" s="2829">
        <f>'[68]Адм ноябрь 2014 - 42 219 574'!$L$60</f>
        <v>52250.377548816832</v>
      </c>
      <c r="T88" s="2830">
        <f t="shared" si="25"/>
        <v>156751.13264645048</v>
      </c>
    </row>
    <row r="89" spans="1:20" ht="25.5">
      <c r="A89" s="2824" t="s">
        <v>4699</v>
      </c>
      <c r="B89" s="2831" t="s">
        <v>718</v>
      </c>
      <c r="C89" s="2847"/>
      <c r="D89" s="2814">
        <v>1</v>
      </c>
      <c r="E89" s="2814">
        <v>1</v>
      </c>
      <c r="F89" s="2814">
        <f t="shared" si="26"/>
        <v>1</v>
      </c>
      <c r="G89" s="2815">
        <v>732707</v>
      </c>
      <c r="H89" s="2816"/>
      <c r="I89" s="2826">
        <f t="shared" si="27"/>
        <v>732707</v>
      </c>
      <c r="J89" s="2827"/>
      <c r="K89" s="2828">
        <f t="shared" si="20"/>
        <v>0</v>
      </c>
      <c r="L89" s="2819"/>
      <c r="M89" s="2819">
        <f t="shared" si="21"/>
        <v>0</v>
      </c>
      <c r="N89" s="2828">
        <f t="shared" si="22"/>
        <v>732707</v>
      </c>
      <c r="O89" s="2819">
        <v>1</v>
      </c>
      <c r="P89" s="2819">
        <f t="shared" si="23"/>
        <v>0</v>
      </c>
      <c r="Q89" s="2820">
        <f t="shared" si="24"/>
        <v>100</v>
      </c>
      <c r="R89" s="2820">
        <f>'[68]Адм ноябрь 2014 - 42 219 574'!$D$62+'[68]Адм ноябрь 2014 - 35 820 766'!$D$106</f>
        <v>1</v>
      </c>
      <c r="S89" s="2829">
        <f>'[68]Адм ноябрь 2014 - 42 219 574'!$L$62*0.9+'[68]Адм ноябрь 2014 - 35 820 766'!$L$106*0.1</f>
        <v>640675.64647040609</v>
      </c>
      <c r="T89" s="2830">
        <f t="shared" si="25"/>
        <v>640675.64647040609</v>
      </c>
    </row>
    <row r="90" spans="1:20">
      <c r="A90" s="2824" t="s">
        <v>4700</v>
      </c>
      <c r="B90" s="2831" t="s">
        <v>794</v>
      </c>
      <c r="C90" s="2847"/>
      <c r="D90" s="2814">
        <v>2</v>
      </c>
      <c r="E90" s="2814">
        <v>1</v>
      </c>
      <c r="F90" s="2814">
        <f t="shared" si="26"/>
        <v>2</v>
      </c>
      <c r="G90" s="2815">
        <v>71146</v>
      </c>
      <c r="H90" s="2816"/>
      <c r="I90" s="2826">
        <f t="shared" si="27"/>
        <v>142292</v>
      </c>
      <c r="J90" s="2827"/>
      <c r="K90" s="2828">
        <f t="shared" si="20"/>
        <v>0</v>
      </c>
      <c r="L90" s="2819"/>
      <c r="M90" s="2819">
        <f t="shared" si="21"/>
        <v>0</v>
      </c>
      <c r="N90" s="2828">
        <f t="shared" si="22"/>
        <v>142292</v>
      </c>
      <c r="O90" s="2819">
        <v>2</v>
      </c>
      <c r="P90" s="2819">
        <f t="shared" si="23"/>
        <v>0</v>
      </c>
      <c r="Q90" s="2820">
        <f t="shared" si="24"/>
        <v>100</v>
      </c>
      <c r="R90" s="2820">
        <f>'[68]Адм ноябрь 2014 - 42 219 574'!$D$64</f>
        <v>2</v>
      </c>
      <c r="S90" s="2829">
        <f>'[68]Адм ноябрь 2014 - 42 219 574'!$L$64</f>
        <v>62209.727111241416</v>
      </c>
      <c r="T90" s="2830">
        <f t="shared" si="25"/>
        <v>124419.45422248283</v>
      </c>
    </row>
    <row r="91" spans="1:20">
      <c r="A91" s="2824" t="s">
        <v>4701</v>
      </c>
      <c r="B91" s="2831" t="s">
        <v>895</v>
      </c>
      <c r="C91" s="2847"/>
      <c r="D91" s="2814">
        <v>2</v>
      </c>
      <c r="E91" s="2814">
        <v>1</v>
      </c>
      <c r="F91" s="2814">
        <f t="shared" si="26"/>
        <v>2</v>
      </c>
      <c r="G91" s="2815">
        <v>45210</v>
      </c>
      <c r="H91" s="2816"/>
      <c r="I91" s="2826">
        <f t="shared" si="27"/>
        <v>90420</v>
      </c>
      <c r="J91" s="2827"/>
      <c r="K91" s="2828">
        <f t="shared" si="20"/>
        <v>0</v>
      </c>
      <c r="L91" s="2819"/>
      <c r="M91" s="2819">
        <f t="shared" si="21"/>
        <v>0</v>
      </c>
      <c r="N91" s="2828">
        <f t="shared" si="22"/>
        <v>90420</v>
      </c>
      <c r="O91" s="2819">
        <v>2</v>
      </c>
      <c r="P91" s="2819">
        <f t="shared" si="23"/>
        <v>0</v>
      </c>
      <c r="Q91" s="2820">
        <f t="shared" si="24"/>
        <v>100</v>
      </c>
      <c r="R91" s="2820">
        <f>'[68]Адм ноябрь 2014 - 42 219 574'!$D$66</f>
        <v>2</v>
      </c>
      <c r="S91" s="2829">
        <f>'[68]Адм ноябрь 2014 - 42 219 574'!$L$66</f>
        <v>39531.413591252218</v>
      </c>
      <c r="T91" s="2830">
        <f t="shared" si="25"/>
        <v>79062.827182504436</v>
      </c>
    </row>
    <row r="92" spans="1:20" ht="25.5">
      <c r="A92" s="2824" t="s">
        <v>4702</v>
      </c>
      <c r="B92" s="2831" t="s">
        <v>717</v>
      </c>
      <c r="C92" s="2847"/>
      <c r="D92" s="2814">
        <v>1</v>
      </c>
      <c r="E92" s="2814">
        <v>1</v>
      </c>
      <c r="F92" s="2814">
        <f t="shared" si="26"/>
        <v>1</v>
      </c>
      <c r="G92" s="2815">
        <v>732707</v>
      </c>
      <c r="H92" s="2816"/>
      <c r="I92" s="2826">
        <f t="shared" si="27"/>
        <v>732707</v>
      </c>
      <c r="J92" s="2827"/>
      <c r="K92" s="2828">
        <f t="shared" si="20"/>
        <v>0</v>
      </c>
      <c r="L92" s="2819"/>
      <c r="M92" s="2819">
        <f t="shared" si="21"/>
        <v>0</v>
      </c>
      <c r="N92" s="2828">
        <f t="shared" si="22"/>
        <v>732707</v>
      </c>
      <c r="O92" s="2819">
        <v>1</v>
      </c>
      <c r="P92" s="2819">
        <f t="shared" si="23"/>
        <v>0</v>
      </c>
      <c r="Q92" s="2820">
        <f t="shared" si="24"/>
        <v>100</v>
      </c>
      <c r="R92" s="2820">
        <f>'[68]Адм июль 2013 - 21 827 307'!$D$42+'[68]Адм ноябрь 2014 - 35 820 766'!$D$108</f>
        <v>1</v>
      </c>
      <c r="S92" s="2829">
        <f>'[68]Адм июль 2013 - 21 827 307'!$L$42*0.9+'[68]Адм ноябрь 2014 - 35 820 766'!$L$108*0.1</f>
        <v>640675.66032410983</v>
      </c>
      <c r="T92" s="2830">
        <f>R92*S92</f>
        <v>640675.66032410983</v>
      </c>
    </row>
    <row r="93" spans="1:20">
      <c r="A93" s="2824" t="s">
        <v>4703</v>
      </c>
      <c r="B93" s="2831" t="s">
        <v>965</v>
      </c>
      <c r="C93" s="2847"/>
      <c r="D93" s="2814">
        <v>2</v>
      </c>
      <c r="E93" s="2814">
        <v>1</v>
      </c>
      <c r="F93" s="2814">
        <f t="shared" si="26"/>
        <v>2</v>
      </c>
      <c r="G93" s="2815">
        <v>71146</v>
      </c>
      <c r="H93" s="2816"/>
      <c r="I93" s="2826">
        <f t="shared" si="27"/>
        <v>142292</v>
      </c>
      <c r="J93" s="2827"/>
      <c r="K93" s="2828">
        <f t="shared" si="20"/>
        <v>0</v>
      </c>
      <c r="L93" s="2819"/>
      <c r="M93" s="2819">
        <f t="shared" si="21"/>
        <v>0</v>
      </c>
      <c r="N93" s="2828">
        <f t="shared" si="22"/>
        <v>142292</v>
      </c>
      <c r="O93" s="2819">
        <v>2</v>
      </c>
      <c r="P93" s="2819">
        <f t="shared" si="23"/>
        <v>0</v>
      </c>
      <c r="Q93" s="2820">
        <f t="shared" si="24"/>
        <v>100</v>
      </c>
      <c r="R93" s="2820">
        <f>'[68]Адм ноябрь 2014 - 42 219 574'!$D$68</f>
        <v>2</v>
      </c>
      <c r="S93" s="2829">
        <f>'[68]Адм ноябрь 2014 - 42 219 574'!$L$68</f>
        <v>62209.727111241416</v>
      </c>
      <c r="T93" s="2830">
        <f t="shared" si="25"/>
        <v>124419.45422248283</v>
      </c>
    </row>
    <row r="94" spans="1:20">
      <c r="A94" s="2824" t="s">
        <v>4704</v>
      </c>
      <c r="B94" s="2831" t="s">
        <v>799</v>
      </c>
      <c r="C94" s="2847"/>
      <c r="D94" s="2814">
        <v>1</v>
      </c>
      <c r="E94" s="2814">
        <v>1</v>
      </c>
      <c r="F94" s="2814">
        <f t="shared" si="26"/>
        <v>1</v>
      </c>
      <c r="G94" s="2815">
        <v>83539</v>
      </c>
      <c r="H94" s="2816"/>
      <c r="I94" s="2826">
        <f t="shared" si="27"/>
        <v>83539</v>
      </c>
      <c r="J94" s="2827"/>
      <c r="K94" s="2828">
        <f t="shared" si="20"/>
        <v>0</v>
      </c>
      <c r="L94" s="2819"/>
      <c r="M94" s="2819">
        <f t="shared" si="21"/>
        <v>0</v>
      </c>
      <c r="N94" s="2828">
        <f t="shared" si="22"/>
        <v>83539</v>
      </c>
      <c r="O94" s="2819">
        <v>1</v>
      </c>
      <c r="P94" s="2819">
        <f t="shared" si="23"/>
        <v>0</v>
      </c>
      <c r="Q94" s="2820">
        <f t="shared" si="24"/>
        <v>100</v>
      </c>
      <c r="R94" s="2820">
        <f>'[68]Адм ноябрь 2014 - 42 219 574'!$D$70</f>
        <v>1</v>
      </c>
      <c r="S94" s="2829">
        <f>'[68]Адм ноябрь 2014 - 42 219 574'!$L$70</f>
        <v>73046.126560428122</v>
      </c>
      <c r="T94" s="2830">
        <f t="shared" si="25"/>
        <v>73046.126560428122</v>
      </c>
    </row>
    <row r="95" spans="1:20">
      <c r="A95" s="2811"/>
      <c r="B95" s="2851" t="s">
        <v>4705</v>
      </c>
      <c r="C95" s="2847"/>
      <c r="D95" s="2814"/>
      <c r="E95" s="2814"/>
      <c r="F95" s="2814"/>
      <c r="G95" s="2815"/>
      <c r="H95" s="2816"/>
      <c r="I95" s="2817"/>
      <c r="J95" s="2811"/>
      <c r="K95" s="2828"/>
      <c r="L95" s="2819"/>
      <c r="M95" s="2819"/>
      <c r="N95" s="2828"/>
      <c r="O95" s="2819"/>
      <c r="P95" s="2819"/>
      <c r="Q95" s="2820"/>
      <c r="R95" s="2820"/>
      <c r="S95" s="2829"/>
      <c r="T95" s="2830"/>
    </row>
    <row r="96" spans="1:20" ht="36" customHeight="1">
      <c r="A96" s="2824" t="s">
        <v>4706</v>
      </c>
      <c r="B96" s="2831" t="s">
        <v>879</v>
      </c>
      <c r="C96" s="2847"/>
      <c r="D96" s="2814">
        <v>1</v>
      </c>
      <c r="E96" s="2814">
        <v>1</v>
      </c>
      <c r="F96" s="2814">
        <f>D96*E96</f>
        <v>1</v>
      </c>
      <c r="G96" s="2815">
        <v>103460</v>
      </c>
      <c r="H96" s="2816"/>
      <c r="I96" s="2826">
        <f>G96*F96</f>
        <v>103460</v>
      </c>
      <c r="J96" s="2827"/>
      <c r="K96" s="2828">
        <f t="shared" si="20"/>
        <v>0</v>
      </c>
      <c r="L96" s="2819"/>
      <c r="M96" s="2819">
        <f t="shared" si="21"/>
        <v>0</v>
      </c>
      <c r="N96" s="2828">
        <f t="shared" si="22"/>
        <v>103460</v>
      </c>
      <c r="O96" s="2819">
        <v>1</v>
      </c>
      <c r="P96" s="2819">
        <f t="shared" si="23"/>
        <v>0</v>
      </c>
      <c r="Q96" s="2820">
        <f t="shared" si="24"/>
        <v>100</v>
      </c>
      <c r="R96" s="2820">
        <f>'[68]Адм ноябрь 2014 - 35 820 766'!$D$113</f>
        <v>1</v>
      </c>
      <c r="S96" s="2829">
        <f>'[68]Адм ноябрь 2014 - 35 820 766'!$L$113</f>
        <v>90464.944874054709</v>
      </c>
      <c r="T96" s="2830">
        <f t="shared" si="25"/>
        <v>90464.944874054709</v>
      </c>
    </row>
    <row r="97" spans="1:20">
      <c r="A97" s="2811"/>
      <c r="B97" s="2851" t="s">
        <v>4707</v>
      </c>
      <c r="C97" s="2847"/>
      <c r="D97" s="2814"/>
      <c r="E97" s="2814"/>
      <c r="F97" s="2814"/>
      <c r="G97" s="2815"/>
      <c r="H97" s="2816"/>
      <c r="I97" s="2817"/>
      <c r="J97" s="2811"/>
      <c r="K97" s="2828"/>
      <c r="L97" s="2819"/>
      <c r="M97" s="2819"/>
      <c r="N97" s="2828"/>
      <c r="O97" s="2819"/>
      <c r="P97" s="2819"/>
      <c r="Q97" s="2820"/>
      <c r="R97" s="2820"/>
      <c r="S97" s="2829"/>
      <c r="T97" s="2830"/>
    </row>
    <row r="98" spans="1:20" ht="25.5">
      <c r="A98" s="2824" t="s">
        <v>4708</v>
      </c>
      <c r="B98" s="2831" t="s">
        <v>870</v>
      </c>
      <c r="C98" s="2847"/>
      <c r="D98" s="2814">
        <v>1</v>
      </c>
      <c r="E98" s="2814">
        <v>1</v>
      </c>
      <c r="F98" s="2814">
        <f>D98*E98</f>
        <v>1</v>
      </c>
      <c r="G98" s="2815">
        <v>87633</v>
      </c>
      <c r="H98" s="2816"/>
      <c r="I98" s="2826">
        <f>G98*F98</f>
        <v>87633</v>
      </c>
      <c r="J98" s="2827"/>
      <c r="K98" s="2828">
        <f t="shared" si="20"/>
        <v>0</v>
      </c>
      <c r="L98" s="2819"/>
      <c r="M98" s="2819">
        <f t="shared" si="21"/>
        <v>0</v>
      </c>
      <c r="N98" s="2828">
        <f t="shared" si="22"/>
        <v>87633</v>
      </c>
      <c r="O98" s="2819">
        <v>1</v>
      </c>
      <c r="P98" s="2819">
        <f t="shared" si="23"/>
        <v>0</v>
      </c>
      <c r="Q98" s="2820">
        <f t="shared" si="24"/>
        <v>100</v>
      </c>
      <c r="R98" s="2820">
        <f>'[68]Адм ноябрь 2014 - 35 820 766'!$D$116</f>
        <v>1</v>
      </c>
      <c r="S98" s="2829">
        <f>'[68]Адм ноябрь 2014 - 35 820 766'!$L$116</f>
        <v>76625.904796808711</v>
      </c>
      <c r="T98" s="2830">
        <f t="shared" si="25"/>
        <v>76625.904796808711</v>
      </c>
    </row>
    <row r="99" spans="1:20">
      <c r="A99" s="2811"/>
      <c r="B99" s="2851" t="s">
        <v>4709</v>
      </c>
      <c r="C99" s="2847"/>
      <c r="D99" s="2814"/>
      <c r="E99" s="2814"/>
      <c r="F99" s="2814"/>
      <c r="G99" s="2815"/>
      <c r="H99" s="2816"/>
      <c r="I99" s="2817"/>
      <c r="J99" s="2811"/>
      <c r="K99" s="2828"/>
      <c r="L99" s="2819"/>
      <c r="M99" s="2819"/>
      <c r="N99" s="2828"/>
      <c r="O99" s="2819"/>
      <c r="P99" s="2819"/>
      <c r="Q99" s="2820"/>
      <c r="R99" s="2820"/>
      <c r="S99" s="2829"/>
      <c r="T99" s="2830"/>
    </row>
    <row r="100" spans="1:20">
      <c r="A100" s="2824" t="s">
        <v>4710</v>
      </c>
      <c r="B100" s="2831" t="s">
        <v>4564</v>
      </c>
      <c r="C100" s="2847"/>
      <c r="D100" s="2814">
        <v>9</v>
      </c>
      <c r="E100" s="2814">
        <v>1</v>
      </c>
      <c r="F100" s="2814">
        <f>D100*E100</f>
        <v>9</v>
      </c>
      <c r="G100" s="2815">
        <v>78384</v>
      </c>
      <c r="H100" s="2816"/>
      <c r="I100" s="2826">
        <f>G100*F100</f>
        <v>705456</v>
      </c>
      <c r="J100" s="2827"/>
      <c r="K100" s="2828">
        <f t="shared" si="20"/>
        <v>0</v>
      </c>
      <c r="L100" s="2819"/>
      <c r="M100" s="2819">
        <f t="shared" si="21"/>
        <v>0</v>
      </c>
      <c r="N100" s="2828">
        <f t="shared" si="22"/>
        <v>627072</v>
      </c>
      <c r="O100" s="2819">
        <v>8</v>
      </c>
      <c r="P100" s="2819">
        <f t="shared" si="23"/>
        <v>1</v>
      </c>
      <c r="Q100" s="2820">
        <f t="shared" si="24"/>
        <v>88.888888888888886</v>
      </c>
      <c r="R100" s="2820">
        <v>8</v>
      </c>
      <c r="S100" s="2829">
        <f>'[68]Адм ноябрь 2014 - 42 219 574'!$L$75</f>
        <v>68538.610624179113</v>
      </c>
      <c r="T100" s="2830">
        <f t="shared" ref="T100:T110" si="28">R100*S100</f>
        <v>548308.8849934329</v>
      </c>
    </row>
    <row r="101" spans="1:20" s="2837" customFormat="1">
      <c r="A101" s="2836" t="s">
        <v>4710</v>
      </c>
      <c r="B101" s="2831" t="s">
        <v>4564</v>
      </c>
      <c r="C101" s="2847"/>
      <c r="D101" s="2814">
        <v>9</v>
      </c>
      <c r="E101" s="2814">
        <v>1</v>
      </c>
      <c r="F101" s="2814">
        <f>D101*E101</f>
        <v>9</v>
      </c>
      <c r="G101" s="2815">
        <v>78384</v>
      </c>
      <c r="H101" s="2816"/>
      <c r="I101" s="2826">
        <f>G101*F101</f>
        <v>705456</v>
      </c>
      <c r="J101" s="2827"/>
      <c r="K101" s="2828">
        <f>L101*G101</f>
        <v>0</v>
      </c>
      <c r="L101" s="2819"/>
      <c r="M101" s="2819">
        <f>K101/I101*100</f>
        <v>0</v>
      </c>
      <c r="N101" s="2828">
        <f>O101*G101</f>
        <v>705456</v>
      </c>
      <c r="O101" s="2819">
        <v>9</v>
      </c>
      <c r="P101" s="2819">
        <f>F101-O101</f>
        <v>0</v>
      </c>
      <c r="Q101" s="2820">
        <f>N101/I101*100</f>
        <v>100</v>
      </c>
      <c r="R101" s="2820">
        <f>'[69]Адм ноябрь 2014 - 42 219 574'!$D$75-8</f>
        <v>1</v>
      </c>
      <c r="S101" s="2829">
        <f>'[69]Адм ноябрь 2014 - 42 219 574'!$L$75</f>
        <v>68538.610624179113</v>
      </c>
      <c r="T101" s="2838">
        <f>R101*S101</f>
        <v>68538.610624179113</v>
      </c>
    </row>
    <row r="102" spans="1:20" ht="26.25" customHeight="1">
      <c r="A102" s="2824" t="s">
        <v>4711</v>
      </c>
      <c r="B102" s="2831" t="s">
        <v>4712</v>
      </c>
      <c r="C102" s="2847"/>
      <c r="D102" s="2814">
        <v>1</v>
      </c>
      <c r="E102" s="2814">
        <v>1</v>
      </c>
      <c r="F102" s="2814">
        <f t="shared" ref="F102:F110" si="29">D102*E102</f>
        <v>1</v>
      </c>
      <c r="G102" s="2815">
        <v>60612</v>
      </c>
      <c r="H102" s="2816"/>
      <c r="I102" s="2826">
        <f t="shared" ref="I102:I110" si="30">G102*F102</f>
        <v>60612</v>
      </c>
      <c r="J102" s="2852" t="s">
        <v>4713</v>
      </c>
      <c r="K102" s="2828">
        <f t="shared" si="20"/>
        <v>0</v>
      </c>
      <c r="L102" s="2819"/>
      <c r="M102" s="2819">
        <f t="shared" si="21"/>
        <v>0</v>
      </c>
      <c r="N102" s="2828">
        <f t="shared" si="22"/>
        <v>60612</v>
      </c>
      <c r="O102" s="2819">
        <v>1</v>
      </c>
      <c r="P102" s="2819">
        <f t="shared" si="23"/>
        <v>0</v>
      </c>
      <c r="Q102" s="2820">
        <f t="shared" si="24"/>
        <v>100</v>
      </c>
      <c r="R102" s="2820">
        <f>'[68]Адм ноябрь 2014 - 35 820 766'!$D$119</f>
        <v>1</v>
      </c>
      <c r="S102" s="2829">
        <f>'[68]Адм ноябрь 2014 - 35 820 766'!$L$119</f>
        <v>52998.857839969947</v>
      </c>
      <c r="T102" s="2830">
        <f t="shared" si="28"/>
        <v>52998.857839969947</v>
      </c>
    </row>
    <row r="103" spans="1:20" ht="38.25">
      <c r="A103" s="2824" t="s">
        <v>4714</v>
      </c>
      <c r="B103" s="2831" t="s">
        <v>4715</v>
      </c>
      <c r="C103" s="2847"/>
      <c r="D103" s="2814">
        <v>1</v>
      </c>
      <c r="E103" s="2814">
        <v>1</v>
      </c>
      <c r="F103" s="2814">
        <f t="shared" si="29"/>
        <v>1</v>
      </c>
      <c r="G103" s="2815">
        <v>1123355</v>
      </c>
      <c r="H103" s="2816"/>
      <c r="I103" s="2826">
        <f t="shared" si="30"/>
        <v>1123355</v>
      </c>
      <c r="J103" s="2827"/>
      <c r="K103" s="2828">
        <f t="shared" si="20"/>
        <v>0</v>
      </c>
      <c r="L103" s="2819"/>
      <c r="M103" s="2819">
        <f t="shared" si="21"/>
        <v>0</v>
      </c>
      <c r="N103" s="2828">
        <f t="shared" si="22"/>
        <v>1123355</v>
      </c>
      <c r="O103" s="2819">
        <v>1</v>
      </c>
      <c r="P103" s="2819">
        <f t="shared" si="23"/>
        <v>0</v>
      </c>
      <c r="Q103" s="2820">
        <f t="shared" si="24"/>
        <v>100</v>
      </c>
      <c r="R103" s="2820">
        <f>'[68]Адм июль 2013 - 21 827 307'!$D$45+'[68]Адм ноябрь 2014 - 35 820 766'!$D$121</f>
        <v>1</v>
      </c>
      <c r="S103" s="2829">
        <f>'[68]Адм июль 2013 - 21 827 307'!$L$45*0.9+'[68]Адм ноябрь 2014 - 35 820 766'!$L$121*0.1</f>
        <v>982256.49978935043</v>
      </c>
      <c r="T103" s="2830">
        <f t="shared" si="28"/>
        <v>982256.49978935043</v>
      </c>
    </row>
    <row r="104" spans="1:20" ht="38.25">
      <c r="A104" s="2824" t="s">
        <v>4716</v>
      </c>
      <c r="B104" s="2831" t="s">
        <v>4717</v>
      </c>
      <c r="C104" s="2847"/>
      <c r="D104" s="2814">
        <v>1</v>
      </c>
      <c r="E104" s="2814">
        <v>1</v>
      </c>
      <c r="F104" s="2814">
        <f t="shared" si="29"/>
        <v>1</v>
      </c>
      <c r="G104" s="2815">
        <v>58751</v>
      </c>
      <c r="H104" s="2816"/>
      <c r="I104" s="2826">
        <f t="shared" si="30"/>
        <v>58751</v>
      </c>
      <c r="J104" s="2827"/>
      <c r="K104" s="2828">
        <f t="shared" si="20"/>
        <v>0</v>
      </c>
      <c r="L104" s="2819"/>
      <c r="M104" s="2819">
        <f t="shared" si="21"/>
        <v>0</v>
      </c>
      <c r="N104" s="2828">
        <f t="shared" si="22"/>
        <v>58751</v>
      </c>
      <c r="O104" s="2819">
        <v>1</v>
      </c>
      <c r="P104" s="2819">
        <f t="shared" si="23"/>
        <v>0</v>
      </c>
      <c r="Q104" s="2820">
        <f t="shared" si="24"/>
        <v>100</v>
      </c>
      <c r="R104" s="2820">
        <f>'[68]Адм июль 2013 - 21 827 307'!$D$47+'[68]Адм ноябрь 2014 - 35 820 766'!$D$123</f>
        <v>1</v>
      </c>
      <c r="S104" s="2829">
        <f>'[68]Адм июль 2013 - 21 827 307'!$L$47*0.9+'[68]Адм ноябрь 2014 - 35 820 766'!$L$123*0.1</f>
        <v>51371.609523628955</v>
      </c>
      <c r="T104" s="2830">
        <f t="shared" si="28"/>
        <v>51371.609523628955</v>
      </c>
    </row>
    <row r="105" spans="1:20" ht="51">
      <c r="A105" s="2824" t="s">
        <v>4718</v>
      </c>
      <c r="B105" s="2831" t="s">
        <v>4719</v>
      </c>
      <c r="C105" s="2847"/>
      <c r="D105" s="2814">
        <v>1</v>
      </c>
      <c r="E105" s="2814">
        <v>1</v>
      </c>
      <c r="F105" s="2814">
        <f t="shared" si="29"/>
        <v>1</v>
      </c>
      <c r="G105" s="2815">
        <v>119223</v>
      </c>
      <c r="H105" s="2816"/>
      <c r="I105" s="2826">
        <f t="shared" si="30"/>
        <v>119223</v>
      </c>
      <c r="J105" s="2827"/>
      <c r="K105" s="2828">
        <f t="shared" si="20"/>
        <v>0</v>
      </c>
      <c r="L105" s="2819"/>
      <c r="M105" s="2819">
        <f t="shared" si="21"/>
        <v>0</v>
      </c>
      <c r="N105" s="2828">
        <f t="shared" si="22"/>
        <v>119223</v>
      </c>
      <c r="O105" s="2819">
        <v>1</v>
      </c>
      <c r="P105" s="2819">
        <f t="shared" si="23"/>
        <v>0</v>
      </c>
      <c r="Q105" s="2820">
        <f t="shared" si="24"/>
        <v>100</v>
      </c>
      <c r="R105" s="2820">
        <f>'[68]Адм ноябрь 2014 - 42 219 574'!$D$77+'[68]Адм ноябрь 2014 - 35 820 766'!$D$125</f>
        <v>1</v>
      </c>
      <c r="S105" s="2829">
        <f>'[68]Адм ноябрь 2014 - 42 219 574'!$L$77*0.9+'[68]Адм ноябрь 2014 - 35 820 766'!$L$125*0.1</f>
        <v>104248.05001623947</v>
      </c>
      <c r="T105" s="2830">
        <f t="shared" si="28"/>
        <v>104248.05001623947</v>
      </c>
    </row>
    <row r="106" spans="1:20" ht="38.25">
      <c r="A106" s="2824" t="s">
        <v>4720</v>
      </c>
      <c r="B106" s="2831" t="s">
        <v>4721</v>
      </c>
      <c r="C106" s="2847"/>
      <c r="D106" s="2814">
        <v>1</v>
      </c>
      <c r="E106" s="2814">
        <v>1</v>
      </c>
      <c r="F106" s="2814">
        <f t="shared" si="29"/>
        <v>1</v>
      </c>
      <c r="G106" s="2815">
        <v>103460</v>
      </c>
      <c r="H106" s="2816"/>
      <c r="I106" s="2826">
        <f t="shared" si="30"/>
        <v>103460</v>
      </c>
      <c r="J106" s="2827"/>
      <c r="K106" s="2828">
        <f t="shared" si="20"/>
        <v>0</v>
      </c>
      <c r="L106" s="2819"/>
      <c r="M106" s="2819">
        <f t="shared" si="21"/>
        <v>0</v>
      </c>
      <c r="N106" s="2828">
        <f t="shared" si="22"/>
        <v>103460</v>
      </c>
      <c r="O106" s="2819">
        <v>1</v>
      </c>
      <c r="P106" s="2819">
        <f t="shared" si="23"/>
        <v>0</v>
      </c>
      <c r="Q106" s="2820">
        <f t="shared" si="24"/>
        <v>100</v>
      </c>
      <c r="R106" s="2820">
        <f>'[68]Адм ноябрь 2014 - 35 820 766'!$D$127</f>
        <v>1</v>
      </c>
      <c r="S106" s="2829">
        <f>'[68]Адм ноябрь 2014 - 35 820 766'!$L$127</f>
        <v>90464.944874054709</v>
      </c>
      <c r="T106" s="2830">
        <f t="shared" si="28"/>
        <v>90464.944874054709</v>
      </c>
    </row>
    <row r="107" spans="1:20" ht="25.5">
      <c r="A107" s="2824" t="s">
        <v>4722</v>
      </c>
      <c r="B107" s="2831" t="s">
        <v>4723</v>
      </c>
      <c r="C107" s="2847"/>
      <c r="D107" s="2814">
        <v>2</v>
      </c>
      <c r="E107" s="2814">
        <v>1</v>
      </c>
      <c r="F107" s="2814">
        <f t="shared" si="29"/>
        <v>2</v>
      </c>
      <c r="G107" s="2815">
        <v>50050</v>
      </c>
      <c r="H107" s="2816"/>
      <c r="I107" s="2826">
        <f t="shared" si="30"/>
        <v>100100</v>
      </c>
      <c r="J107" s="2827"/>
      <c r="K107" s="2828">
        <f t="shared" si="20"/>
        <v>0</v>
      </c>
      <c r="L107" s="2819"/>
      <c r="M107" s="2819">
        <f t="shared" si="21"/>
        <v>0</v>
      </c>
      <c r="N107" s="2828">
        <f t="shared" si="22"/>
        <v>100100</v>
      </c>
      <c r="O107" s="2819">
        <v>2</v>
      </c>
      <c r="P107" s="2819">
        <f t="shared" si="23"/>
        <v>0</v>
      </c>
      <c r="Q107" s="2820">
        <f t="shared" si="24"/>
        <v>100</v>
      </c>
      <c r="R107" s="2820">
        <f>'[68]Адм ноябрь 2014 - 35 820 766'!$D$129</f>
        <v>2</v>
      </c>
      <c r="S107" s="2829">
        <f>'[68]Адм ноябрь 2014 - 35 820 766'!$L$129</f>
        <v>43763.49131931195</v>
      </c>
      <c r="T107" s="2830">
        <f t="shared" si="28"/>
        <v>87526.9826386239</v>
      </c>
    </row>
    <row r="108" spans="1:20">
      <c r="A108" s="2824" t="s">
        <v>4724</v>
      </c>
      <c r="B108" s="2831" t="s">
        <v>803</v>
      </c>
      <c r="C108" s="2847"/>
      <c r="D108" s="2814">
        <v>1</v>
      </c>
      <c r="E108" s="2814">
        <v>1</v>
      </c>
      <c r="F108" s="2814">
        <f t="shared" si="29"/>
        <v>1</v>
      </c>
      <c r="G108" s="2815">
        <v>42269</v>
      </c>
      <c r="H108" s="2816"/>
      <c r="I108" s="2826">
        <f t="shared" si="30"/>
        <v>42269</v>
      </c>
      <c r="J108" s="2827"/>
      <c r="K108" s="2828">
        <f t="shared" si="20"/>
        <v>0</v>
      </c>
      <c r="L108" s="2819"/>
      <c r="M108" s="2819">
        <f t="shared" si="21"/>
        <v>0</v>
      </c>
      <c r="N108" s="2828">
        <f t="shared" si="22"/>
        <v>42269</v>
      </c>
      <c r="O108" s="2819">
        <v>1</v>
      </c>
      <c r="P108" s="2819">
        <f t="shared" si="23"/>
        <v>0</v>
      </c>
      <c r="Q108" s="2820">
        <f t="shared" si="24"/>
        <v>100</v>
      </c>
      <c r="R108" s="2820">
        <f>'[68]Адм ноябрь 2014 - 35 820 766'!$D$131</f>
        <v>1</v>
      </c>
      <c r="S108" s="2829">
        <f>'[68]Адм ноябрь 2014 - 35 820 766'!$L$131</f>
        <v>36959.827285262247</v>
      </c>
      <c r="T108" s="2830">
        <f t="shared" si="28"/>
        <v>36959.827285262247</v>
      </c>
    </row>
    <row r="109" spans="1:20" ht="39" customHeight="1">
      <c r="A109" s="2824" t="s">
        <v>4725</v>
      </c>
      <c r="B109" s="2831" t="s">
        <v>878</v>
      </c>
      <c r="C109" s="2847"/>
      <c r="D109" s="2814">
        <v>1</v>
      </c>
      <c r="E109" s="2814">
        <v>1</v>
      </c>
      <c r="F109" s="2814">
        <f t="shared" si="29"/>
        <v>1</v>
      </c>
      <c r="G109" s="2815">
        <v>31528</v>
      </c>
      <c r="H109" s="2816"/>
      <c r="I109" s="2826">
        <f t="shared" si="30"/>
        <v>31528</v>
      </c>
      <c r="J109" s="2827"/>
      <c r="K109" s="2828">
        <f t="shared" si="20"/>
        <v>0</v>
      </c>
      <c r="L109" s="2819"/>
      <c r="M109" s="2819">
        <f t="shared" si="21"/>
        <v>0</v>
      </c>
      <c r="N109" s="2828">
        <f t="shared" si="22"/>
        <v>31528</v>
      </c>
      <c r="O109" s="2819">
        <v>1</v>
      </c>
      <c r="P109" s="2819">
        <f t="shared" si="23"/>
        <v>0</v>
      </c>
      <c r="Q109" s="2820">
        <f t="shared" si="24"/>
        <v>100</v>
      </c>
      <c r="R109" s="2820">
        <f>'[68]Адм ноябрь 2014 - 35 820 766'!$D$133</f>
        <v>1</v>
      </c>
      <c r="S109" s="2829">
        <f>'[68]Адм ноябрь 2014 - 35 820 766'!$L$133</f>
        <v>27567.934165534349</v>
      </c>
      <c r="T109" s="2830">
        <f t="shared" si="28"/>
        <v>27567.934165534349</v>
      </c>
    </row>
    <row r="110" spans="1:20" ht="35.25" customHeight="1">
      <c r="A110" s="2824" t="s">
        <v>4726</v>
      </c>
      <c r="B110" s="2831" t="s">
        <v>879</v>
      </c>
      <c r="C110" s="2847"/>
      <c r="D110" s="2814">
        <v>1</v>
      </c>
      <c r="E110" s="2814">
        <v>1</v>
      </c>
      <c r="F110" s="2814">
        <f t="shared" si="29"/>
        <v>1</v>
      </c>
      <c r="G110" s="2815">
        <v>108633</v>
      </c>
      <c r="H110" s="2816"/>
      <c r="I110" s="2826">
        <f t="shared" si="30"/>
        <v>108633</v>
      </c>
      <c r="J110" s="2827"/>
      <c r="K110" s="2828">
        <f t="shared" si="20"/>
        <v>0</v>
      </c>
      <c r="L110" s="2819"/>
      <c r="M110" s="2819">
        <f t="shared" si="21"/>
        <v>0</v>
      </c>
      <c r="N110" s="2828">
        <f t="shared" si="22"/>
        <v>108633</v>
      </c>
      <c r="O110" s="2819">
        <v>1</v>
      </c>
      <c r="P110" s="2819">
        <f t="shared" si="23"/>
        <v>0</v>
      </c>
      <c r="Q110" s="2820">
        <f t="shared" si="24"/>
        <v>100</v>
      </c>
      <c r="R110" s="2820">
        <f>'[68]Адм ноябрь 2014 - 35 820 766'!$D$135</f>
        <v>1</v>
      </c>
      <c r="S110" s="2829">
        <f>'[68]Адм ноябрь 2014 - 35 820 766'!$L$135</f>
        <v>94988.189995075052</v>
      </c>
      <c r="T110" s="2830">
        <f t="shared" si="28"/>
        <v>94988.189995075052</v>
      </c>
    </row>
    <row r="111" spans="1:20">
      <c r="A111" s="2811"/>
      <c r="B111" s="2851" t="s">
        <v>4727</v>
      </c>
      <c r="C111" s="2847"/>
      <c r="D111" s="2814"/>
      <c r="E111" s="2814"/>
      <c r="F111" s="2814"/>
      <c r="G111" s="2815"/>
      <c r="H111" s="2816"/>
      <c r="I111" s="2817"/>
      <c r="J111" s="2811"/>
      <c r="K111" s="2828"/>
      <c r="L111" s="2819"/>
      <c r="M111" s="2819"/>
      <c r="N111" s="2828"/>
      <c r="O111" s="2819"/>
      <c r="P111" s="2819"/>
      <c r="Q111" s="2820"/>
      <c r="R111" s="2820"/>
      <c r="S111" s="2829"/>
      <c r="T111" s="2830"/>
    </row>
    <row r="112" spans="1:20">
      <c r="A112" s="2824" t="s">
        <v>4728</v>
      </c>
      <c r="B112" s="2831" t="s">
        <v>4564</v>
      </c>
      <c r="C112" s="2847"/>
      <c r="D112" s="2814">
        <v>9</v>
      </c>
      <c r="E112" s="2814">
        <v>1</v>
      </c>
      <c r="F112" s="2814">
        <f>D112*E112</f>
        <v>9</v>
      </c>
      <c r="G112" s="2815">
        <v>78384</v>
      </c>
      <c r="H112" s="2816"/>
      <c r="I112" s="2826">
        <f>G112*F112</f>
        <v>705456</v>
      </c>
      <c r="J112" s="2827"/>
      <c r="K112" s="2828">
        <f t="shared" si="20"/>
        <v>0</v>
      </c>
      <c r="L112" s="2819"/>
      <c r="M112" s="2819">
        <f t="shared" si="21"/>
        <v>0</v>
      </c>
      <c r="N112" s="2828">
        <f t="shared" si="22"/>
        <v>705456</v>
      </c>
      <c r="O112" s="2819">
        <v>9</v>
      </c>
      <c r="P112" s="2819">
        <f t="shared" si="23"/>
        <v>0</v>
      </c>
      <c r="Q112" s="2820">
        <f t="shared" si="24"/>
        <v>100</v>
      </c>
      <c r="R112" s="2820">
        <f>'[68]Адм ноябрь 2014 - 42 219 574'!$D$80</f>
        <v>9</v>
      </c>
      <c r="S112" s="2829">
        <f>'[68]Адм ноябрь 2014 - 42 219 574'!$L$80</f>
        <v>68538.610624179113</v>
      </c>
      <c r="T112" s="2830">
        <f>R112*S112</f>
        <v>616847.49561761203</v>
      </c>
    </row>
    <row r="113" spans="1:20" ht="24.75" customHeight="1">
      <c r="A113" s="2824" t="s">
        <v>4729</v>
      </c>
      <c r="B113" s="2831" t="s">
        <v>4567</v>
      </c>
      <c r="C113" s="2847"/>
      <c r="D113" s="2814">
        <v>1</v>
      </c>
      <c r="E113" s="2814">
        <v>1</v>
      </c>
      <c r="F113" s="2814">
        <f>D113*E113</f>
        <v>1</v>
      </c>
      <c r="G113" s="2815">
        <v>39768</v>
      </c>
      <c r="H113" s="2816"/>
      <c r="I113" s="2826">
        <f>G113*F113</f>
        <v>39768</v>
      </c>
      <c r="J113" s="2827"/>
      <c r="K113" s="2828">
        <f t="shared" si="20"/>
        <v>0</v>
      </c>
      <c r="L113" s="2819"/>
      <c r="M113" s="2819">
        <f t="shared" si="21"/>
        <v>0</v>
      </c>
      <c r="N113" s="2828">
        <f t="shared" si="22"/>
        <v>39768</v>
      </c>
      <c r="O113" s="2819">
        <v>1</v>
      </c>
      <c r="P113" s="2819">
        <f t="shared" si="23"/>
        <v>0</v>
      </c>
      <c r="Q113" s="2820">
        <f t="shared" si="24"/>
        <v>100</v>
      </c>
      <c r="R113" s="2820">
        <f>'[68]Адм ноябрь 2014 - 42 219 574'!$D$82</f>
        <v>1</v>
      </c>
      <c r="S113" s="2829">
        <f>'[68]Адм ноябрь 2014 - 42 219 574'!$L$82</f>
        <v>34772.954149477737</v>
      </c>
      <c r="T113" s="2830">
        <f>R113*S113</f>
        <v>34772.954149477737</v>
      </c>
    </row>
    <row r="114" spans="1:20">
      <c r="A114" s="2811"/>
      <c r="B114" s="2849" t="s">
        <v>4730</v>
      </c>
      <c r="C114" s="2847"/>
      <c r="D114" s="2814"/>
      <c r="E114" s="2814"/>
      <c r="F114" s="2814"/>
      <c r="G114" s="2815"/>
      <c r="H114" s="2816"/>
      <c r="I114" s="2817"/>
      <c r="J114" s="2811"/>
      <c r="K114" s="2828"/>
      <c r="L114" s="2819"/>
      <c r="M114" s="2819"/>
      <c r="N114" s="2828"/>
      <c r="O114" s="2819"/>
      <c r="P114" s="2819"/>
      <c r="Q114" s="2820"/>
      <c r="R114" s="2820"/>
      <c r="S114" s="2829"/>
      <c r="T114" s="2830"/>
    </row>
    <row r="115" spans="1:20" ht="38.25">
      <c r="A115" s="2824" t="s">
        <v>4731</v>
      </c>
      <c r="B115" s="2831" t="s">
        <v>4732</v>
      </c>
      <c r="C115" s="2847"/>
      <c r="D115" s="2814">
        <v>1</v>
      </c>
      <c r="E115" s="2814">
        <v>1</v>
      </c>
      <c r="F115" s="2814">
        <f>D115*E115</f>
        <v>1</v>
      </c>
      <c r="G115" s="2815">
        <v>43343</v>
      </c>
      <c r="H115" s="2816"/>
      <c r="I115" s="2826">
        <f>G115*F115</f>
        <v>43343</v>
      </c>
      <c r="J115" s="2827"/>
      <c r="K115" s="2828">
        <f t="shared" si="20"/>
        <v>0</v>
      </c>
      <c r="L115" s="2819"/>
      <c r="M115" s="2819">
        <f t="shared" si="21"/>
        <v>0</v>
      </c>
      <c r="N115" s="2828">
        <f t="shared" si="22"/>
        <v>43343</v>
      </c>
      <c r="O115" s="2819">
        <v>1</v>
      </c>
      <c r="P115" s="2819">
        <f t="shared" si="23"/>
        <v>0</v>
      </c>
      <c r="Q115" s="2820">
        <f t="shared" si="24"/>
        <v>100</v>
      </c>
      <c r="R115" s="2820">
        <f>'[68]Адм сентябрь 2013 -6 599 928'!$D$54+'[68]Адм ноябрь 2014 - 35 820 766'!$D$138</f>
        <v>1</v>
      </c>
      <c r="S115" s="2829">
        <f>'[68]Адм сентябрь 2013 -6 599 928'!$L$54*0.9+'[68]Адм ноябрь 2014 - 35 820 766'!$L$138*0.1</f>
        <v>37898.929112541009</v>
      </c>
      <c r="T115" s="2830">
        <f>R115*S115</f>
        <v>37898.929112541009</v>
      </c>
    </row>
    <row r="116" spans="1:20">
      <c r="A116" s="2824" t="s">
        <v>4733</v>
      </c>
      <c r="B116" s="2831" t="s">
        <v>751</v>
      </c>
      <c r="C116" s="2847"/>
      <c r="D116" s="2814">
        <v>1</v>
      </c>
      <c r="E116" s="2814">
        <v>1</v>
      </c>
      <c r="F116" s="2814">
        <f>D116*E116</f>
        <v>1</v>
      </c>
      <c r="G116" s="2815">
        <v>69917</v>
      </c>
      <c r="H116" s="2816"/>
      <c r="I116" s="2826">
        <f>G116*F116</f>
        <v>69917</v>
      </c>
      <c r="J116" s="2827"/>
      <c r="K116" s="2828">
        <f t="shared" si="20"/>
        <v>0</v>
      </c>
      <c r="L116" s="2819"/>
      <c r="M116" s="2819">
        <f t="shared" si="21"/>
        <v>0</v>
      </c>
      <c r="N116" s="2828">
        <f t="shared" si="22"/>
        <v>69917</v>
      </c>
      <c r="O116" s="2819">
        <v>1</v>
      </c>
      <c r="P116" s="2819">
        <f t="shared" si="23"/>
        <v>0</v>
      </c>
      <c r="Q116" s="2820">
        <f t="shared" si="24"/>
        <v>100</v>
      </c>
      <c r="R116" s="2820">
        <f>'[68]Адм ноябрь 2014 - 42 219 574'!$D$85</f>
        <v>1</v>
      </c>
      <c r="S116" s="2829">
        <f>'[68]Адм ноябрь 2014 - 42 219 574'!$L$85</f>
        <v>61135.097952830576</v>
      </c>
      <c r="T116" s="2830">
        <f>R116*S116</f>
        <v>61135.097952830576</v>
      </c>
    </row>
    <row r="117" spans="1:20">
      <c r="A117" s="2824" t="s">
        <v>4734</v>
      </c>
      <c r="B117" s="2831" t="s">
        <v>807</v>
      </c>
      <c r="C117" s="2847"/>
      <c r="D117" s="2814">
        <v>1</v>
      </c>
      <c r="E117" s="2814">
        <v>1</v>
      </c>
      <c r="F117" s="2814">
        <f>D117*E117</f>
        <v>1</v>
      </c>
      <c r="G117" s="2815">
        <v>49798</v>
      </c>
      <c r="H117" s="2816"/>
      <c r="I117" s="2826">
        <f>G117*F117</f>
        <v>49798</v>
      </c>
      <c r="J117" s="2827"/>
      <c r="K117" s="2828">
        <f t="shared" si="20"/>
        <v>0</v>
      </c>
      <c r="L117" s="2819"/>
      <c r="M117" s="2819">
        <f t="shared" si="21"/>
        <v>0</v>
      </c>
      <c r="N117" s="2828">
        <f t="shared" si="22"/>
        <v>49798</v>
      </c>
      <c r="O117" s="2819">
        <v>1</v>
      </c>
      <c r="P117" s="2819">
        <f t="shared" si="23"/>
        <v>0</v>
      </c>
      <c r="Q117" s="2820">
        <f t="shared" si="24"/>
        <v>100</v>
      </c>
      <c r="R117" s="2820">
        <f>'[68]Адм ноябрь 2014 - 42 219 574'!$D$87</f>
        <v>1</v>
      </c>
      <c r="S117" s="2829">
        <f>'[68]Адм ноябрь 2014 - 42 219 574'!$L$87</f>
        <v>43543.134614748837</v>
      </c>
      <c r="T117" s="2830">
        <f>R117*S117</f>
        <v>43543.134614748837</v>
      </c>
    </row>
    <row r="118" spans="1:20" ht="25.5">
      <c r="A118" s="2824" t="s">
        <v>4735</v>
      </c>
      <c r="B118" s="2831" t="s">
        <v>893</v>
      </c>
      <c r="C118" s="2847"/>
      <c r="D118" s="2814">
        <v>1</v>
      </c>
      <c r="E118" s="2814">
        <v>1</v>
      </c>
      <c r="F118" s="2814">
        <f>D118*E118</f>
        <v>1</v>
      </c>
      <c r="G118" s="2815">
        <v>227304</v>
      </c>
      <c r="H118" s="2816"/>
      <c r="I118" s="2826">
        <f>G118*F118</f>
        <v>227304</v>
      </c>
      <c r="J118" s="2827"/>
      <c r="K118" s="2828">
        <f t="shared" si="20"/>
        <v>0</v>
      </c>
      <c r="L118" s="2819"/>
      <c r="M118" s="2819">
        <f t="shared" si="21"/>
        <v>0</v>
      </c>
      <c r="N118" s="2828">
        <f t="shared" si="22"/>
        <v>227304</v>
      </c>
      <c r="O118" s="2819">
        <v>1</v>
      </c>
      <c r="P118" s="2819">
        <f t="shared" si="23"/>
        <v>0</v>
      </c>
      <c r="Q118" s="2820">
        <f t="shared" si="24"/>
        <v>100</v>
      </c>
      <c r="R118" s="2820">
        <f>'[68]Адм июль 2013 - 21 827 307'!$D$50+'[68]Адм ноябрь 2014 - 35 820 766'!$D$140</f>
        <v>1</v>
      </c>
      <c r="S118" s="2829">
        <f>'[68]Адм июль 2013 - 21 827 307'!$L$50*0.9+'[68]Адм ноябрь 2014 - 35 820 766'!$L$140*0.1</f>
        <v>198753.58674482972</v>
      </c>
      <c r="T118" s="2830">
        <f>R118*S118</f>
        <v>198753.58674482972</v>
      </c>
    </row>
    <row r="119" spans="1:20" ht="25.5">
      <c r="A119" s="2824" t="s">
        <v>4736</v>
      </c>
      <c r="B119" s="2831" t="s">
        <v>822</v>
      </c>
      <c r="C119" s="2847"/>
      <c r="D119" s="2814">
        <v>1</v>
      </c>
      <c r="E119" s="2814">
        <v>1</v>
      </c>
      <c r="F119" s="2814">
        <f>D119*E119</f>
        <v>1</v>
      </c>
      <c r="G119" s="2815">
        <v>106052</v>
      </c>
      <c r="H119" s="2816"/>
      <c r="I119" s="2826">
        <f>G119*F119</f>
        <v>106052</v>
      </c>
      <c r="J119" s="2827"/>
      <c r="K119" s="2828">
        <f t="shared" si="20"/>
        <v>0</v>
      </c>
      <c r="L119" s="2819"/>
      <c r="M119" s="2819">
        <f t="shared" si="21"/>
        <v>0</v>
      </c>
      <c r="N119" s="2828">
        <f t="shared" si="22"/>
        <v>106052</v>
      </c>
      <c r="O119" s="2819">
        <v>1</v>
      </c>
      <c r="P119" s="2819">
        <f t="shared" si="23"/>
        <v>0</v>
      </c>
      <c r="Q119" s="2820">
        <f t="shared" si="24"/>
        <v>100</v>
      </c>
      <c r="R119" s="2820">
        <f>'[68]Адм ноябрь 2014 - 42 219 574'!$D$89</f>
        <v>1</v>
      </c>
      <c r="S119" s="2829">
        <f>'[68]Адм ноябрь 2014 - 42 219 574'!$L$89</f>
        <v>92731.373082183956</v>
      </c>
      <c r="T119" s="2830">
        <f>R119*S119</f>
        <v>92731.373082183956</v>
      </c>
    </row>
    <row r="120" spans="1:20">
      <c r="A120" s="2811"/>
      <c r="B120" s="2849" t="s">
        <v>4737</v>
      </c>
      <c r="C120" s="2853"/>
      <c r="D120" s="2814"/>
      <c r="E120" s="2814"/>
      <c r="F120" s="2814"/>
      <c r="G120" s="2815"/>
      <c r="H120" s="2816"/>
      <c r="I120" s="2817"/>
      <c r="J120" s="2811"/>
      <c r="K120" s="2828"/>
      <c r="L120" s="2819"/>
      <c r="M120" s="2819"/>
      <c r="N120" s="2828"/>
      <c r="O120" s="2819"/>
      <c r="P120" s="2819"/>
      <c r="Q120" s="2820"/>
      <c r="R120" s="2820"/>
      <c r="S120" s="2829"/>
      <c r="T120" s="2830"/>
    </row>
    <row r="121" spans="1:20" ht="38.25">
      <c r="A121" s="2824" t="s">
        <v>4738</v>
      </c>
      <c r="B121" s="2831" t="s">
        <v>4675</v>
      </c>
      <c r="C121" s="2853"/>
      <c r="D121" s="2814">
        <v>1</v>
      </c>
      <c r="E121" s="2814">
        <v>1</v>
      </c>
      <c r="F121" s="2814">
        <f t="shared" ref="F121:F130" si="31">D121*E121</f>
        <v>1</v>
      </c>
      <c r="G121" s="2815">
        <v>103460</v>
      </c>
      <c r="H121" s="2816"/>
      <c r="I121" s="2826">
        <f t="shared" ref="I121:I130" si="32">G121*F121</f>
        <v>103460</v>
      </c>
      <c r="J121" s="2827"/>
      <c r="K121" s="2828">
        <f t="shared" si="20"/>
        <v>0</v>
      </c>
      <c r="L121" s="2819"/>
      <c r="M121" s="2819">
        <f t="shared" si="21"/>
        <v>0</v>
      </c>
      <c r="N121" s="2828">
        <f t="shared" si="22"/>
        <v>103460</v>
      </c>
      <c r="O121" s="2819">
        <v>1</v>
      </c>
      <c r="P121" s="2819">
        <f t="shared" si="23"/>
        <v>0</v>
      </c>
      <c r="Q121" s="2820">
        <f t="shared" si="24"/>
        <v>100</v>
      </c>
      <c r="R121" s="2820">
        <f>'[68]Адм ноябрь 2014 - 35 820 766'!$D$143</f>
        <v>1</v>
      </c>
      <c r="S121" s="2829">
        <f>'[68]Адм ноябрь 2014 - 35 820 766'!$L$143</f>
        <v>90464.944874054709</v>
      </c>
      <c r="T121" s="2830">
        <f t="shared" ref="T121:T130" si="33">R121*S121</f>
        <v>90464.944874054709</v>
      </c>
    </row>
    <row r="122" spans="1:20" s="403" customFormat="1" ht="51">
      <c r="A122" s="2607" t="s">
        <v>4739</v>
      </c>
      <c r="B122" s="2612" t="s">
        <v>4663</v>
      </c>
      <c r="C122" s="2618"/>
      <c r="D122" s="2602">
        <v>1</v>
      </c>
      <c r="E122" s="2602">
        <v>1</v>
      </c>
      <c r="F122" s="2602">
        <f>D122*E122</f>
        <v>1</v>
      </c>
      <c r="G122" s="2615">
        <v>34156</v>
      </c>
      <c r="H122" s="2604"/>
      <c r="I122" s="2605">
        <f>G122*F122</f>
        <v>34156</v>
      </c>
      <c r="J122" s="1556"/>
      <c r="K122" s="2839">
        <f>L122*G122</f>
        <v>0</v>
      </c>
      <c r="L122" s="2840"/>
      <c r="M122" s="2840">
        <f>K122/I122*100</f>
        <v>0</v>
      </c>
      <c r="N122" s="2839">
        <f>O122*G122</f>
        <v>0</v>
      </c>
      <c r="O122" s="2840"/>
      <c r="P122" s="2840">
        <f>F122-O122</f>
        <v>1</v>
      </c>
      <c r="Q122" s="2841">
        <f>N122/I122*100</f>
        <v>0</v>
      </c>
      <c r="R122" s="2841">
        <f>'[69]Адм март 2015 - 16 674 105'!$D$21</f>
        <v>1</v>
      </c>
      <c r="S122" s="2842">
        <f>'[69]Адм март 2015 - 16 674 105'!$L$21</f>
        <v>31894.6041089473</v>
      </c>
      <c r="T122" s="2838">
        <f>R122*S122</f>
        <v>31894.6041089473</v>
      </c>
    </row>
    <row r="123" spans="1:20" ht="25.5">
      <c r="A123" s="2824" t="s">
        <v>4740</v>
      </c>
      <c r="B123" s="2831" t="s">
        <v>874</v>
      </c>
      <c r="C123" s="2853"/>
      <c r="D123" s="2814">
        <v>1</v>
      </c>
      <c r="E123" s="2814">
        <v>1</v>
      </c>
      <c r="F123" s="2814">
        <f t="shared" si="31"/>
        <v>1</v>
      </c>
      <c r="G123" s="2815">
        <v>194731</v>
      </c>
      <c r="H123" s="2816"/>
      <c r="I123" s="2826">
        <f t="shared" si="32"/>
        <v>194731</v>
      </c>
      <c r="J123" s="2827"/>
      <c r="K123" s="2828">
        <f t="shared" si="20"/>
        <v>0</v>
      </c>
      <c r="L123" s="2819"/>
      <c r="M123" s="2819">
        <f t="shared" si="21"/>
        <v>0</v>
      </c>
      <c r="N123" s="2828">
        <f t="shared" si="22"/>
        <v>194731</v>
      </c>
      <c r="O123" s="2819">
        <v>1</v>
      </c>
      <c r="P123" s="2819">
        <f t="shared" si="23"/>
        <v>0</v>
      </c>
      <c r="Q123" s="2820">
        <f t="shared" si="24"/>
        <v>100</v>
      </c>
      <c r="R123" s="2820">
        <f>'[68]Адм сентябрь 2013 -6 599 928'!$D$57+'[68]Адм ноябрь 2014 - 35 820 766'!$D$145</f>
        <v>1</v>
      </c>
      <c r="S123" s="2829">
        <f>'[68]Адм сентябрь 2013 -6 599 928'!$L$57*0.9+'[68]Адм ноябрь 2014 - 35 820 766'!$L$145*0.1</f>
        <v>170271.92806037812</v>
      </c>
      <c r="T123" s="2830">
        <f t="shared" si="33"/>
        <v>170271.92806037812</v>
      </c>
    </row>
    <row r="124" spans="1:20">
      <c r="A124" s="2824" t="s">
        <v>4741</v>
      </c>
      <c r="B124" s="2831" t="s">
        <v>4571</v>
      </c>
      <c r="C124" s="2853"/>
      <c r="D124" s="2814">
        <v>3</v>
      </c>
      <c r="E124" s="2814">
        <v>1</v>
      </c>
      <c r="F124" s="2814">
        <f t="shared" si="31"/>
        <v>3</v>
      </c>
      <c r="G124" s="2815">
        <v>49798</v>
      </c>
      <c r="H124" s="2816"/>
      <c r="I124" s="2826">
        <f t="shared" si="32"/>
        <v>149394</v>
      </c>
      <c r="J124" s="2827"/>
      <c r="K124" s="2828">
        <f t="shared" si="20"/>
        <v>0</v>
      </c>
      <c r="L124" s="2819"/>
      <c r="M124" s="2819">
        <f t="shared" si="21"/>
        <v>0</v>
      </c>
      <c r="N124" s="2828">
        <f t="shared" si="22"/>
        <v>149394</v>
      </c>
      <c r="O124" s="2819">
        <v>3</v>
      </c>
      <c r="P124" s="2819">
        <f t="shared" si="23"/>
        <v>0</v>
      </c>
      <c r="Q124" s="2820">
        <f t="shared" si="24"/>
        <v>100</v>
      </c>
      <c r="R124" s="2820">
        <f>'[68]Адм ноябрь 2014 - 42 219 574'!$D$92</f>
        <v>3</v>
      </c>
      <c r="S124" s="2829">
        <f>'[68]Адм ноябрь 2014 - 42 219 574'!$L$92</f>
        <v>43543.134614748837</v>
      </c>
      <c r="T124" s="2830">
        <f t="shared" si="33"/>
        <v>130629.40384424651</v>
      </c>
    </row>
    <row r="125" spans="1:20" ht="38.25">
      <c r="A125" s="2824" t="s">
        <v>4742</v>
      </c>
      <c r="B125" s="2831" t="s">
        <v>4634</v>
      </c>
      <c r="C125" s="2853"/>
      <c r="D125" s="2814">
        <v>1</v>
      </c>
      <c r="E125" s="2814">
        <v>1</v>
      </c>
      <c r="F125" s="2814">
        <f t="shared" si="31"/>
        <v>1</v>
      </c>
      <c r="G125" s="2815">
        <v>43343</v>
      </c>
      <c r="H125" s="2816"/>
      <c r="I125" s="2826">
        <f t="shared" si="32"/>
        <v>43343</v>
      </c>
      <c r="J125" s="2827"/>
      <c r="K125" s="2828">
        <f t="shared" si="20"/>
        <v>0</v>
      </c>
      <c r="L125" s="2819"/>
      <c r="M125" s="2819">
        <f t="shared" si="21"/>
        <v>0</v>
      </c>
      <c r="N125" s="2828">
        <f t="shared" si="22"/>
        <v>43343</v>
      </c>
      <c r="O125" s="2819">
        <v>1</v>
      </c>
      <c r="P125" s="2819">
        <f t="shared" si="23"/>
        <v>0</v>
      </c>
      <c r="Q125" s="2820">
        <f t="shared" si="24"/>
        <v>100</v>
      </c>
      <c r="R125" s="2820">
        <f>'[68]Адм сентябрь 2013 -6 599 928'!$D$59+'[68]Адм ноябрь 2014 - 35 820 766'!$D$147</f>
        <v>1</v>
      </c>
      <c r="S125" s="2829">
        <f>'[68]Адм сентябрь 2013 -6 599 928'!$L$59*0.9+'[68]Адм ноябрь 2014 - 35 820 766'!$L$147*0.1</f>
        <v>37898.929112541009</v>
      </c>
      <c r="T125" s="2830">
        <f t="shared" si="33"/>
        <v>37898.929112541009</v>
      </c>
    </row>
    <row r="126" spans="1:20">
      <c r="A126" s="2824" t="s">
        <v>4743</v>
      </c>
      <c r="B126" s="2831" t="s">
        <v>752</v>
      </c>
      <c r="C126" s="2853"/>
      <c r="D126" s="2814">
        <v>1</v>
      </c>
      <c r="E126" s="2814">
        <v>1</v>
      </c>
      <c r="F126" s="2814">
        <f t="shared" si="31"/>
        <v>1</v>
      </c>
      <c r="G126" s="2815">
        <v>69917</v>
      </c>
      <c r="H126" s="2816"/>
      <c r="I126" s="2826">
        <f t="shared" si="32"/>
        <v>69917</v>
      </c>
      <c r="J126" s="2827"/>
      <c r="K126" s="2828">
        <f t="shared" si="20"/>
        <v>0</v>
      </c>
      <c r="L126" s="2819"/>
      <c r="M126" s="2819">
        <f t="shared" si="21"/>
        <v>0</v>
      </c>
      <c r="N126" s="2828">
        <f t="shared" si="22"/>
        <v>69917</v>
      </c>
      <c r="O126" s="2819">
        <v>1</v>
      </c>
      <c r="P126" s="2819">
        <f t="shared" si="23"/>
        <v>0</v>
      </c>
      <c r="Q126" s="2820">
        <f t="shared" si="24"/>
        <v>100</v>
      </c>
      <c r="R126" s="2820">
        <f>'[68]Адм ноябрь 2014 - 42 219 574'!$D$94</f>
        <v>1</v>
      </c>
      <c r="S126" s="2829">
        <f>'[68]Адм ноябрь 2014 - 42 219 574'!$L$94</f>
        <v>61135.097952830576</v>
      </c>
      <c r="T126" s="2830">
        <f t="shared" si="33"/>
        <v>61135.097952830576</v>
      </c>
    </row>
    <row r="127" spans="1:20">
      <c r="A127" s="2824" t="s">
        <v>4744</v>
      </c>
      <c r="B127" s="2831" t="s">
        <v>4567</v>
      </c>
      <c r="C127" s="2853"/>
      <c r="D127" s="2814">
        <v>1</v>
      </c>
      <c r="E127" s="2814">
        <v>1</v>
      </c>
      <c r="F127" s="2814">
        <f t="shared" si="31"/>
        <v>1</v>
      </c>
      <c r="G127" s="2815">
        <v>39768</v>
      </c>
      <c r="H127" s="2816"/>
      <c r="I127" s="2826">
        <f t="shared" si="32"/>
        <v>39768</v>
      </c>
      <c r="J127" s="2827"/>
      <c r="K127" s="2828">
        <f t="shared" si="20"/>
        <v>0</v>
      </c>
      <c r="L127" s="2819"/>
      <c r="M127" s="2819">
        <f t="shared" si="21"/>
        <v>0</v>
      </c>
      <c r="N127" s="2828">
        <f t="shared" si="22"/>
        <v>39768</v>
      </c>
      <c r="O127" s="2819">
        <v>1</v>
      </c>
      <c r="P127" s="2819">
        <f t="shared" si="23"/>
        <v>0</v>
      </c>
      <c r="Q127" s="2820">
        <f t="shared" si="24"/>
        <v>100</v>
      </c>
      <c r="R127" s="2820">
        <f>'[68]Адм ноябрь 2014 - 42 219 574'!$D$96</f>
        <v>1</v>
      </c>
      <c r="S127" s="2829">
        <f>'[68]Адм ноябрь 2014 - 42 219 574'!$L$96</f>
        <v>34772.954149477737</v>
      </c>
      <c r="T127" s="2830">
        <f t="shared" si="33"/>
        <v>34772.954149477737</v>
      </c>
    </row>
    <row r="128" spans="1:20" ht="25.5">
      <c r="A128" s="2824" t="s">
        <v>4745</v>
      </c>
      <c r="B128" s="2831" t="s">
        <v>908</v>
      </c>
      <c r="C128" s="2853"/>
      <c r="D128" s="2814">
        <v>1</v>
      </c>
      <c r="E128" s="2814">
        <v>1</v>
      </c>
      <c r="F128" s="2814">
        <f t="shared" si="31"/>
        <v>1</v>
      </c>
      <c r="G128" s="2815">
        <v>307646</v>
      </c>
      <c r="H128" s="2816"/>
      <c r="I128" s="2826">
        <f t="shared" si="32"/>
        <v>307646</v>
      </c>
      <c r="J128" s="2827"/>
      <c r="K128" s="2828">
        <f t="shared" si="20"/>
        <v>0</v>
      </c>
      <c r="L128" s="2819"/>
      <c r="M128" s="2819">
        <f t="shared" si="21"/>
        <v>0</v>
      </c>
      <c r="N128" s="2828">
        <f t="shared" si="22"/>
        <v>307646</v>
      </c>
      <c r="O128" s="2819">
        <v>1</v>
      </c>
      <c r="P128" s="2819">
        <f t="shared" si="23"/>
        <v>0</v>
      </c>
      <c r="Q128" s="2820">
        <f t="shared" si="24"/>
        <v>100</v>
      </c>
      <c r="R128" s="2820">
        <f>'[68]Адм ноябрь 2014 - 35 820 766'!$D$149</f>
        <v>1</v>
      </c>
      <c r="S128" s="2829">
        <f>'[68]Адм ноябрь 2014 - 35 820 766'!$L$149</f>
        <v>269004.26972017711</v>
      </c>
      <c r="T128" s="2830">
        <f t="shared" si="33"/>
        <v>269004.26972017711</v>
      </c>
    </row>
    <row r="129" spans="1:20" ht="27" customHeight="1">
      <c r="A129" s="2824" t="s">
        <v>4746</v>
      </c>
      <c r="B129" s="2831" t="s">
        <v>894</v>
      </c>
      <c r="C129" s="2853"/>
      <c r="D129" s="2814">
        <v>1</v>
      </c>
      <c r="E129" s="2814">
        <v>1</v>
      </c>
      <c r="F129" s="2814">
        <f t="shared" si="31"/>
        <v>1</v>
      </c>
      <c r="G129" s="2815">
        <v>294082</v>
      </c>
      <c r="H129" s="2816"/>
      <c r="I129" s="2826">
        <f t="shared" si="32"/>
        <v>294082</v>
      </c>
      <c r="J129" s="2827"/>
      <c r="K129" s="2828">
        <f t="shared" si="20"/>
        <v>0</v>
      </c>
      <c r="L129" s="2819"/>
      <c r="M129" s="2819">
        <f t="shared" si="21"/>
        <v>0</v>
      </c>
      <c r="N129" s="2828">
        <f t="shared" si="22"/>
        <v>294082</v>
      </c>
      <c r="O129" s="2819">
        <v>1</v>
      </c>
      <c r="P129" s="2819">
        <f t="shared" si="23"/>
        <v>0</v>
      </c>
      <c r="Q129" s="2820">
        <f t="shared" si="24"/>
        <v>100</v>
      </c>
      <c r="R129" s="2820">
        <f>'[68]Адм ноябрь 2014 - 35 820 766'!$D$151</f>
        <v>1</v>
      </c>
      <c r="S129" s="2829">
        <f>'[68]Адм ноябрь 2014 - 35 820 766'!$L$151</f>
        <v>257143.9517085804</v>
      </c>
      <c r="T129" s="2830">
        <f t="shared" si="33"/>
        <v>257143.9517085804</v>
      </c>
    </row>
    <row r="130" spans="1:20" ht="25.5">
      <c r="A130" s="2824" t="s">
        <v>4747</v>
      </c>
      <c r="B130" s="2831" t="s">
        <v>905</v>
      </c>
      <c r="C130" s="2853"/>
      <c r="D130" s="2814">
        <v>1</v>
      </c>
      <c r="E130" s="2814">
        <v>1</v>
      </c>
      <c r="F130" s="2814">
        <f t="shared" si="31"/>
        <v>1</v>
      </c>
      <c r="G130" s="2815">
        <v>165107</v>
      </c>
      <c r="H130" s="2816"/>
      <c r="I130" s="2826">
        <f t="shared" si="32"/>
        <v>165107</v>
      </c>
      <c r="J130" s="2827"/>
      <c r="K130" s="2828">
        <f t="shared" si="20"/>
        <v>0</v>
      </c>
      <c r="L130" s="2819"/>
      <c r="M130" s="2819">
        <f t="shared" si="21"/>
        <v>0</v>
      </c>
      <c r="N130" s="2828">
        <f t="shared" si="22"/>
        <v>165107</v>
      </c>
      <c r="O130" s="2819">
        <v>1</v>
      </c>
      <c r="P130" s="2819">
        <f t="shared" si="23"/>
        <v>0</v>
      </c>
      <c r="Q130" s="2820">
        <f t="shared" si="24"/>
        <v>100</v>
      </c>
      <c r="R130" s="2820">
        <f>'[68]Адм июль 2013 - 21 827 307'!$D$53+'[68]Адм ноябрь 2014 - 35 820 766'!$D$153</f>
        <v>1</v>
      </c>
      <c r="S130" s="2829">
        <f>'[68]Адм июль 2013 - 21 827 307'!$L$53*0.9+'[68]Адм ноябрь 2014 - 35 820 766'!$L$153*0.1</f>
        <v>144368.80834886941</v>
      </c>
      <c r="T130" s="2830">
        <f t="shared" si="33"/>
        <v>144368.80834886941</v>
      </c>
    </row>
    <row r="131" spans="1:20">
      <c r="A131" s="2811"/>
      <c r="B131" s="2849" t="s">
        <v>4748</v>
      </c>
      <c r="C131" s="2853"/>
      <c r="D131" s="2814"/>
      <c r="E131" s="2814"/>
      <c r="F131" s="2814"/>
      <c r="G131" s="2815"/>
      <c r="H131" s="2816"/>
      <c r="I131" s="2817"/>
      <c r="J131" s="2811"/>
      <c r="K131" s="2828"/>
      <c r="L131" s="2819"/>
      <c r="M131" s="2819"/>
      <c r="N131" s="2828"/>
      <c r="O131" s="2819"/>
      <c r="P131" s="2819"/>
      <c r="Q131" s="2820"/>
      <c r="R131" s="2820"/>
      <c r="S131" s="2829"/>
      <c r="T131" s="2830"/>
    </row>
    <row r="132" spans="1:20">
      <c r="A132" s="2824" t="s">
        <v>4749</v>
      </c>
      <c r="B132" s="2831" t="s">
        <v>752</v>
      </c>
      <c r="C132" s="2853"/>
      <c r="D132" s="2814">
        <v>1</v>
      </c>
      <c r="E132" s="2814">
        <v>1</v>
      </c>
      <c r="F132" s="2814">
        <f>D132*E132</f>
        <v>1</v>
      </c>
      <c r="G132" s="2815">
        <v>69917</v>
      </c>
      <c r="H132" s="2816"/>
      <c r="I132" s="2826">
        <f>G132*F132</f>
        <v>69917</v>
      </c>
      <c r="J132" s="2827"/>
      <c r="K132" s="2828">
        <f t="shared" ref="K132:K187" si="34">L132*G132</f>
        <v>0</v>
      </c>
      <c r="L132" s="2819"/>
      <c r="M132" s="2819">
        <f t="shared" ref="M132:M187" si="35">K132/I132*100</f>
        <v>0</v>
      </c>
      <c r="N132" s="2828">
        <f t="shared" ref="N132:N187" si="36">O132*G132</f>
        <v>69917</v>
      </c>
      <c r="O132" s="2819">
        <v>1</v>
      </c>
      <c r="P132" s="2819">
        <f t="shared" ref="P132:P187" si="37">F132-O132</f>
        <v>0</v>
      </c>
      <c r="Q132" s="2820">
        <f t="shared" ref="Q132:Q187" si="38">N132/I132*100</f>
        <v>100</v>
      </c>
      <c r="R132" s="2820">
        <f>'[68]Адм ноябрь 2014 - 42 219 574'!$D$99</f>
        <v>1</v>
      </c>
      <c r="S132" s="2829">
        <f>'[68]Адм ноябрь 2014 - 42 219 574'!$L$99</f>
        <v>61135.097952830576</v>
      </c>
      <c r="T132" s="2830">
        <f t="shared" ref="T132:T137" si="39">R132*S132</f>
        <v>61135.097952830576</v>
      </c>
    </row>
    <row r="133" spans="1:20">
      <c r="A133" s="2824" t="s">
        <v>4750</v>
      </c>
      <c r="B133" s="2831" t="s">
        <v>806</v>
      </c>
      <c r="C133" s="2853"/>
      <c r="D133" s="2814">
        <v>8</v>
      </c>
      <c r="E133" s="2814">
        <v>1</v>
      </c>
      <c r="F133" s="2814">
        <f t="shared" ref="F133:F155" si="40">D133*E133</f>
        <v>8</v>
      </c>
      <c r="G133" s="2815">
        <v>49798</v>
      </c>
      <c r="H133" s="2816"/>
      <c r="I133" s="2826">
        <f t="shared" ref="I133:I155" si="41">G133*F133</f>
        <v>398384</v>
      </c>
      <c r="J133" s="2827"/>
      <c r="K133" s="2828">
        <f t="shared" si="34"/>
        <v>0</v>
      </c>
      <c r="L133" s="2819"/>
      <c r="M133" s="2819">
        <f t="shared" si="35"/>
        <v>0</v>
      </c>
      <c r="N133" s="2828">
        <f t="shared" si="36"/>
        <v>398384</v>
      </c>
      <c r="O133" s="2819">
        <v>8</v>
      </c>
      <c r="P133" s="2819">
        <f t="shared" si="37"/>
        <v>0</v>
      </c>
      <c r="Q133" s="2820">
        <f t="shared" si="38"/>
        <v>100</v>
      </c>
      <c r="R133" s="2820">
        <f>'[68]Адм ноябрь 2014 - 42 219 574'!$D$101</f>
        <v>8</v>
      </c>
      <c r="S133" s="2829">
        <f>'[68]Адм ноябрь 2014 - 42 219 574'!$L$101</f>
        <v>43543.134614748837</v>
      </c>
      <c r="T133" s="2830">
        <f t="shared" si="39"/>
        <v>348345.07691799069</v>
      </c>
    </row>
    <row r="134" spans="1:20" ht="25.5">
      <c r="A134" s="2824" t="s">
        <v>4751</v>
      </c>
      <c r="B134" s="2831" t="s">
        <v>903</v>
      </c>
      <c r="C134" s="2853"/>
      <c r="D134" s="2814">
        <v>1</v>
      </c>
      <c r="E134" s="2814">
        <v>1</v>
      </c>
      <c r="F134" s="2814">
        <f t="shared" si="40"/>
        <v>1</v>
      </c>
      <c r="G134" s="2815">
        <v>304984</v>
      </c>
      <c r="H134" s="2816"/>
      <c r="I134" s="2826">
        <f t="shared" si="41"/>
        <v>304984</v>
      </c>
      <c r="J134" s="2827"/>
      <c r="K134" s="2828">
        <f t="shared" si="34"/>
        <v>0</v>
      </c>
      <c r="L134" s="2819"/>
      <c r="M134" s="2819">
        <f t="shared" si="35"/>
        <v>0</v>
      </c>
      <c r="N134" s="2828">
        <f t="shared" si="36"/>
        <v>304984</v>
      </c>
      <c r="O134" s="2819">
        <v>1</v>
      </c>
      <c r="P134" s="2819">
        <f t="shared" si="37"/>
        <v>0</v>
      </c>
      <c r="Q134" s="2820">
        <f t="shared" si="38"/>
        <v>100</v>
      </c>
      <c r="R134" s="2820">
        <f>'[68]Адм июль 2013 - 21 827 307'!$D$56+'[68]Адм ноябрь 2014 - 35 820 766'!$D$156</f>
        <v>1</v>
      </c>
      <c r="S134" s="2829">
        <f>'[68]Адм июль 2013 - 21 827 307'!$L$56*0.9+'[68]Адм ноябрь 2014 - 35 820 766'!$L$156*0.1</f>
        <v>266676.62112408149</v>
      </c>
      <c r="T134" s="2830">
        <f t="shared" si="39"/>
        <v>266676.62112408149</v>
      </c>
    </row>
    <row r="135" spans="1:20" ht="25.5">
      <c r="A135" s="2824" t="s">
        <v>4752</v>
      </c>
      <c r="B135" s="2831" t="s">
        <v>905</v>
      </c>
      <c r="C135" s="2853"/>
      <c r="D135" s="2814">
        <v>1</v>
      </c>
      <c r="E135" s="2814">
        <v>1</v>
      </c>
      <c r="F135" s="2814">
        <f t="shared" si="40"/>
        <v>1</v>
      </c>
      <c r="G135" s="2815">
        <v>168766</v>
      </c>
      <c r="H135" s="2816"/>
      <c r="I135" s="2826">
        <f t="shared" si="41"/>
        <v>168766</v>
      </c>
      <c r="J135" s="2827"/>
      <c r="K135" s="2828">
        <f t="shared" si="34"/>
        <v>0</v>
      </c>
      <c r="L135" s="2819"/>
      <c r="M135" s="2819">
        <f t="shared" si="35"/>
        <v>0</v>
      </c>
      <c r="N135" s="2828">
        <f t="shared" si="36"/>
        <v>168766</v>
      </c>
      <c r="O135" s="2819">
        <v>1</v>
      </c>
      <c r="P135" s="2819">
        <f t="shared" si="37"/>
        <v>0</v>
      </c>
      <c r="Q135" s="2820">
        <f t="shared" si="38"/>
        <v>100</v>
      </c>
      <c r="R135" s="2820">
        <f>'[68]Адм июль 2013 - 21 827 307'!$D$58+'[68]Адм ноябрь 2014 - 35 820 766'!$D$158</f>
        <v>1</v>
      </c>
      <c r="S135" s="2829">
        <f>'[68]Адм июль 2013 - 21 827 307'!$L$58*0.9+'[68]Адм ноябрь 2014 - 35 820 766'!$L$158*0.1</f>
        <v>147568.22137366069</v>
      </c>
      <c r="T135" s="2830">
        <f t="shared" si="39"/>
        <v>147568.22137366069</v>
      </c>
    </row>
    <row r="136" spans="1:20" ht="38.25">
      <c r="A136" s="2824" t="s">
        <v>4753</v>
      </c>
      <c r="B136" s="2831" t="s">
        <v>4634</v>
      </c>
      <c r="C136" s="2853"/>
      <c r="D136" s="2814">
        <v>2</v>
      </c>
      <c r="E136" s="2814">
        <v>1</v>
      </c>
      <c r="F136" s="2814">
        <f t="shared" si="40"/>
        <v>2</v>
      </c>
      <c r="G136" s="2815">
        <v>43343</v>
      </c>
      <c r="H136" s="2816"/>
      <c r="I136" s="2826">
        <f t="shared" si="41"/>
        <v>86686</v>
      </c>
      <c r="J136" s="2827"/>
      <c r="K136" s="2828">
        <f t="shared" si="34"/>
        <v>0</v>
      </c>
      <c r="L136" s="2819"/>
      <c r="M136" s="2819">
        <f t="shared" si="35"/>
        <v>0</v>
      </c>
      <c r="N136" s="2828">
        <f t="shared" si="36"/>
        <v>86686</v>
      </c>
      <c r="O136" s="2819">
        <v>2</v>
      </c>
      <c r="P136" s="2819">
        <f t="shared" si="37"/>
        <v>0</v>
      </c>
      <c r="Q136" s="2820">
        <f t="shared" si="38"/>
        <v>100</v>
      </c>
      <c r="R136" s="2820">
        <f>'[68]Адм сентябрь 2013 -6 599 928'!$D$62+'[68]Адм ноябрь 2014 - 35 820 766'!$D$160</f>
        <v>2</v>
      </c>
      <c r="S136" s="2829">
        <f>('[68]Адм сентябрь 2013 -6 599 928'!$L$62*1.8+'[68]Адм ноябрь 2014 - 35 820 766'!$L$160*0.2)/2</f>
        <v>37898.929112541009</v>
      </c>
      <c r="T136" s="2830">
        <f t="shared" si="39"/>
        <v>75797.858225082018</v>
      </c>
    </row>
    <row r="137" spans="1:20" ht="38.25">
      <c r="A137" s="2824" t="s">
        <v>4754</v>
      </c>
      <c r="B137" s="2831" t="s">
        <v>722</v>
      </c>
      <c r="C137" s="2853"/>
      <c r="D137" s="2814">
        <v>1</v>
      </c>
      <c r="E137" s="2814">
        <v>1</v>
      </c>
      <c r="F137" s="2814">
        <f t="shared" si="40"/>
        <v>1</v>
      </c>
      <c r="G137" s="2815">
        <v>325223</v>
      </c>
      <c r="H137" s="2816"/>
      <c r="I137" s="2826">
        <f t="shared" si="41"/>
        <v>325223</v>
      </c>
      <c r="J137" s="1072" t="s">
        <v>4755</v>
      </c>
      <c r="K137" s="2828">
        <f t="shared" si="34"/>
        <v>0</v>
      </c>
      <c r="L137" s="2819"/>
      <c r="M137" s="2819">
        <f t="shared" si="35"/>
        <v>0</v>
      </c>
      <c r="N137" s="2828">
        <f t="shared" si="36"/>
        <v>325223</v>
      </c>
      <c r="O137" s="2819">
        <v>1</v>
      </c>
      <c r="P137" s="2819">
        <f t="shared" si="37"/>
        <v>0</v>
      </c>
      <c r="Q137" s="2820">
        <f t="shared" si="38"/>
        <v>100</v>
      </c>
      <c r="R137" s="2820">
        <f>'[68]Адм ноябрь 2014 - 35 820 766'!$D$162</f>
        <v>1</v>
      </c>
      <c r="S137" s="2829">
        <f>'[68]Адм ноябрь 2014 - 35 820 766'!$L$162</f>
        <v>398066.77624681697</v>
      </c>
      <c r="T137" s="2830">
        <f t="shared" si="39"/>
        <v>398066.77624681697</v>
      </c>
    </row>
    <row r="138" spans="1:20" ht="25.5">
      <c r="A138" s="2824" t="s">
        <v>4756</v>
      </c>
      <c r="B138" s="2831" t="s">
        <v>4568</v>
      </c>
      <c r="C138" s="2853"/>
      <c r="D138" s="2814">
        <v>1</v>
      </c>
      <c r="E138" s="2814">
        <v>1</v>
      </c>
      <c r="F138" s="2814">
        <f t="shared" si="40"/>
        <v>1</v>
      </c>
      <c r="G138" s="2815">
        <v>59756</v>
      </c>
      <c r="H138" s="2816"/>
      <c r="I138" s="2826">
        <f t="shared" si="41"/>
        <v>59756</v>
      </c>
      <c r="J138" s="2827"/>
      <c r="K138" s="2828">
        <f t="shared" si="34"/>
        <v>0</v>
      </c>
      <c r="L138" s="2819"/>
      <c r="M138" s="2819">
        <f t="shared" si="35"/>
        <v>0</v>
      </c>
      <c r="N138" s="2828">
        <f t="shared" si="36"/>
        <v>59756</v>
      </c>
      <c r="O138" s="2819">
        <v>1</v>
      </c>
      <c r="P138" s="2819">
        <f t="shared" si="37"/>
        <v>0</v>
      </c>
      <c r="Q138" s="2820">
        <f t="shared" si="38"/>
        <v>100</v>
      </c>
      <c r="R138" s="2820">
        <f>'[68]Адм ноябрь 2014 - 42 219 574'!$D$103</f>
        <v>1</v>
      </c>
      <c r="S138" s="2829">
        <f>'[68]Адм ноябрь 2014 - 42 219 574'!$L$103</f>
        <v>52250.377548816832</v>
      </c>
      <c r="T138" s="2830">
        <f>R138*S138</f>
        <v>52250.377548816832</v>
      </c>
    </row>
    <row r="139" spans="1:20" ht="25.5">
      <c r="A139" s="2824" t="s">
        <v>4757</v>
      </c>
      <c r="B139" s="2831" t="s">
        <v>908</v>
      </c>
      <c r="C139" s="2853"/>
      <c r="D139" s="2814">
        <v>1</v>
      </c>
      <c r="E139" s="2814">
        <v>1</v>
      </c>
      <c r="F139" s="2814">
        <f t="shared" si="40"/>
        <v>1</v>
      </c>
      <c r="G139" s="2815">
        <v>307646</v>
      </c>
      <c r="H139" s="2816"/>
      <c r="I139" s="2826">
        <f t="shared" si="41"/>
        <v>307646</v>
      </c>
      <c r="J139" s="2827"/>
      <c r="K139" s="2828">
        <f t="shared" si="34"/>
        <v>0</v>
      </c>
      <c r="L139" s="2819"/>
      <c r="M139" s="2819">
        <f t="shared" si="35"/>
        <v>0</v>
      </c>
      <c r="N139" s="2828">
        <f t="shared" si="36"/>
        <v>307646</v>
      </c>
      <c r="O139" s="2819">
        <v>1</v>
      </c>
      <c r="P139" s="2819">
        <f t="shared" si="37"/>
        <v>0</v>
      </c>
      <c r="Q139" s="2820">
        <f t="shared" si="38"/>
        <v>100</v>
      </c>
      <c r="R139" s="2820">
        <f>'[68]Адм ноябрь 2014 - 42 219 574'!$D$105+'[68]Адм ноябрь 2014 - 35 820 766'!$D$164</f>
        <v>1</v>
      </c>
      <c r="S139" s="2829">
        <f>'[68]Адм ноябрь 2014 - 42 219 574'!$L$105*0.9+'[68]Адм ноябрь 2014 - 35 820 766'!$L$164*0.1</f>
        <v>269004.26390334079</v>
      </c>
      <c r="T139" s="2830">
        <f>R139*S139</f>
        <v>269004.26390334079</v>
      </c>
    </row>
    <row r="140" spans="1:20" ht="25.5">
      <c r="A140" s="2824" t="s">
        <v>4758</v>
      </c>
      <c r="B140" s="2831" t="s">
        <v>913</v>
      </c>
      <c r="C140" s="2853"/>
      <c r="D140" s="2814">
        <v>1</v>
      </c>
      <c r="E140" s="2814">
        <v>1</v>
      </c>
      <c r="F140" s="2814">
        <f t="shared" si="40"/>
        <v>1</v>
      </c>
      <c r="G140" s="2815">
        <v>58751</v>
      </c>
      <c r="H140" s="2816"/>
      <c r="I140" s="2826">
        <f t="shared" si="41"/>
        <v>58751</v>
      </c>
      <c r="J140" s="2827"/>
      <c r="K140" s="2828">
        <f t="shared" si="34"/>
        <v>0</v>
      </c>
      <c r="L140" s="2819"/>
      <c r="M140" s="2819">
        <f t="shared" si="35"/>
        <v>0</v>
      </c>
      <c r="N140" s="2828">
        <f t="shared" si="36"/>
        <v>58751</v>
      </c>
      <c r="O140" s="2819">
        <v>1</v>
      </c>
      <c r="P140" s="2819">
        <f t="shared" si="37"/>
        <v>0</v>
      </c>
      <c r="Q140" s="2820">
        <f t="shared" si="38"/>
        <v>100</v>
      </c>
      <c r="R140" s="2820">
        <f>'[68]Адм июль 2013 - 21 827 307'!$D$60+'[68]Адм ноябрь 2014 - 35 820 766'!$D$166</f>
        <v>1</v>
      </c>
      <c r="S140" s="2829">
        <f>'[68]Адм июль 2013 - 21 827 307'!$L$60*0.9+'[68]Адм ноябрь 2014 - 35 820 766'!$L$166*0.1</f>
        <v>51371.609523628955</v>
      </c>
      <c r="T140" s="2830">
        <f t="shared" ref="T140:T154" si="42">R140*S140</f>
        <v>51371.609523628955</v>
      </c>
    </row>
    <row r="141" spans="1:20" ht="51">
      <c r="A141" s="2824" t="s">
        <v>4759</v>
      </c>
      <c r="B141" s="2831" t="s">
        <v>4685</v>
      </c>
      <c r="C141" s="2853"/>
      <c r="D141" s="2814">
        <v>1</v>
      </c>
      <c r="E141" s="2814">
        <v>1</v>
      </c>
      <c r="F141" s="2814">
        <f t="shared" si="40"/>
        <v>1</v>
      </c>
      <c r="G141" s="2815">
        <v>95247</v>
      </c>
      <c r="H141" s="2816"/>
      <c r="I141" s="2826">
        <f t="shared" si="41"/>
        <v>95247</v>
      </c>
      <c r="J141" s="2827"/>
      <c r="K141" s="2828">
        <f t="shared" si="34"/>
        <v>0</v>
      </c>
      <c r="L141" s="2819"/>
      <c r="M141" s="2819">
        <f t="shared" si="35"/>
        <v>0</v>
      </c>
      <c r="N141" s="2828">
        <f t="shared" si="36"/>
        <v>95247</v>
      </c>
      <c r="O141" s="2819">
        <v>1</v>
      </c>
      <c r="P141" s="2819">
        <f t="shared" si="37"/>
        <v>0</v>
      </c>
      <c r="Q141" s="2820">
        <f t="shared" si="38"/>
        <v>100</v>
      </c>
      <c r="R141" s="2820">
        <f>'[68]Адм ноябрь 2014 - 42 219 574'!$D$109+'[68]Адм ноябрь 2014 - 35 820 766'!$D$168</f>
        <v>1</v>
      </c>
      <c r="S141" s="2829">
        <f>'[68]Адм ноябрь 2014 - 42 219 574'!$L$109*0.9+'[68]Адм ноябрь 2014 - 35 820 766'!$L$168*0.1</f>
        <v>83283.547708705461</v>
      </c>
      <c r="T141" s="2830">
        <f t="shared" si="42"/>
        <v>83283.547708705461</v>
      </c>
    </row>
    <row r="142" spans="1:20">
      <c r="A142" s="2824" t="s">
        <v>4760</v>
      </c>
      <c r="B142" s="2831" t="s">
        <v>803</v>
      </c>
      <c r="C142" s="2853"/>
      <c r="D142" s="2814">
        <v>1</v>
      </c>
      <c r="E142" s="2814">
        <v>1</v>
      </c>
      <c r="F142" s="2814">
        <f t="shared" si="40"/>
        <v>1</v>
      </c>
      <c r="G142" s="2815">
        <v>26222</v>
      </c>
      <c r="H142" s="2816"/>
      <c r="I142" s="2826">
        <f t="shared" si="41"/>
        <v>26222</v>
      </c>
      <c r="J142" s="2827"/>
      <c r="K142" s="2828">
        <f t="shared" si="34"/>
        <v>0</v>
      </c>
      <c r="L142" s="2819"/>
      <c r="M142" s="2819">
        <f t="shared" si="35"/>
        <v>0</v>
      </c>
      <c r="N142" s="2828">
        <f t="shared" si="36"/>
        <v>26222</v>
      </c>
      <c r="O142" s="2819">
        <v>1</v>
      </c>
      <c r="P142" s="2819">
        <f t="shared" si="37"/>
        <v>0</v>
      </c>
      <c r="Q142" s="2820">
        <f t="shared" si="38"/>
        <v>100</v>
      </c>
      <c r="R142" s="2820">
        <f>'[68]Адм ноябрь 2014 - 42 219 574'!$D$111</f>
        <v>1</v>
      </c>
      <c r="S142" s="2829">
        <f>'[68]Адм ноябрь 2014 - 42 219 574'!$L$111</f>
        <v>22928.38672575774</v>
      </c>
      <c r="T142" s="2830">
        <f t="shared" si="42"/>
        <v>22928.38672575774</v>
      </c>
    </row>
    <row r="143" spans="1:20">
      <c r="A143" s="2824" t="s">
        <v>4761</v>
      </c>
      <c r="B143" s="2831" t="s">
        <v>807</v>
      </c>
      <c r="C143" s="2853"/>
      <c r="D143" s="2814">
        <v>1</v>
      </c>
      <c r="E143" s="2814">
        <v>1</v>
      </c>
      <c r="F143" s="2814">
        <f t="shared" si="40"/>
        <v>1</v>
      </c>
      <c r="G143" s="2815">
        <v>49798</v>
      </c>
      <c r="H143" s="2816"/>
      <c r="I143" s="2826">
        <f t="shared" si="41"/>
        <v>49798</v>
      </c>
      <c r="J143" s="2827"/>
      <c r="K143" s="2828">
        <f t="shared" si="34"/>
        <v>0</v>
      </c>
      <c r="L143" s="2819"/>
      <c r="M143" s="2819">
        <f t="shared" si="35"/>
        <v>0</v>
      </c>
      <c r="N143" s="2828">
        <f t="shared" si="36"/>
        <v>49798</v>
      </c>
      <c r="O143" s="2819">
        <v>1</v>
      </c>
      <c r="P143" s="2819">
        <f t="shared" si="37"/>
        <v>0</v>
      </c>
      <c r="Q143" s="2820">
        <f t="shared" si="38"/>
        <v>100</v>
      </c>
      <c r="R143" s="2820">
        <f>'[68]Адм ноябрь 2014 - 42 219 574'!$D$113</f>
        <v>1</v>
      </c>
      <c r="S143" s="2829">
        <f>'[68]Адм ноябрь 2014 - 42 219 574'!$L$113</f>
        <v>43543.134614748837</v>
      </c>
      <c r="T143" s="2830">
        <f t="shared" si="42"/>
        <v>43543.134614748837</v>
      </c>
    </row>
    <row r="144" spans="1:20">
      <c r="A144" s="2824" t="s">
        <v>4762</v>
      </c>
      <c r="B144" s="2831" t="s">
        <v>806</v>
      </c>
      <c r="C144" s="2853"/>
      <c r="D144" s="2814">
        <v>1</v>
      </c>
      <c r="E144" s="2814">
        <v>1</v>
      </c>
      <c r="F144" s="2814">
        <f t="shared" si="40"/>
        <v>1</v>
      </c>
      <c r="G144" s="2815">
        <v>49798</v>
      </c>
      <c r="H144" s="2816"/>
      <c r="I144" s="2826">
        <f t="shared" si="41"/>
        <v>49798</v>
      </c>
      <c r="J144" s="2827"/>
      <c r="K144" s="2828">
        <f t="shared" si="34"/>
        <v>0</v>
      </c>
      <c r="L144" s="2819"/>
      <c r="M144" s="2819">
        <f t="shared" si="35"/>
        <v>0</v>
      </c>
      <c r="N144" s="2828">
        <f t="shared" si="36"/>
        <v>49798</v>
      </c>
      <c r="O144" s="2819">
        <v>1</v>
      </c>
      <c r="P144" s="2819">
        <f t="shared" si="37"/>
        <v>0</v>
      </c>
      <c r="Q144" s="2820">
        <f t="shared" si="38"/>
        <v>100</v>
      </c>
      <c r="R144" s="2820">
        <f>'[68]Адм ноябрь 2014 - 42 219 574'!$D$115</f>
        <v>1</v>
      </c>
      <c r="S144" s="2829">
        <f>'[68]Адм ноябрь 2014 - 42 219 574'!$L$115</f>
        <v>43543.134614748837</v>
      </c>
      <c r="T144" s="2830">
        <f t="shared" si="42"/>
        <v>43543.134614748837</v>
      </c>
    </row>
    <row r="145" spans="1:20" ht="38.25">
      <c r="A145" s="2824" t="s">
        <v>4763</v>
      </c>
      <c r="B145" s="2831" t="s">
        <v>4675</v>
      </c>
      <c r="C145" s="2853"/>
      <c r="D145" s="2814">
        <v>1</v>
      </c>
      <c r="E145" s="2814">
        <v>1</v>
      </c>
      <c r="F145" s="2814">
        <f t="shared" si="40"/>
        <v>1</v>
      </c>
      <c r="G145" s="2815">
        <v>103460</v>
      </c>
      <c r="H145" s="2816"/>
      <c r="I145" s="2826">
        <f t="shared" si="41"/>
        <v>103460</v>
      </c>
      <c r="J145" s="2827"/>
      <c r="K145" s="2828">
        <f t="shared" si="34"/>
        <v>0</v>
      </c>
      <c r="L145" s="2819"/>
      <c r="M145" s="2819">
        <f t="shared" si="35"/>
        <v>0</v>
      </c>
      <c r="N145" s="2828">
        <f t="shared" si="36"/>
        <v>103460</v>
      </c>
      <c r="O145" s="2819">
        <v>1</v>
      </c>
      <c r="P145" s="2819">
        <f t="shared" si="37"/>
        <v>0</v>
      </c>
      <c r="Q145" s="2820">
        <f t="shared" si="38"/>
        <v>100</v>
      </c>
      <c r="R145" s="2820">
        <f>'[68]Адм ноябрь 2014 - 42 219 574'!$D$117+'[68]Адм ноябрь 2014 - 35 820 766'!$D$170</f>
        <v>1</v>
      </c>
      <c r="S145" s="2829">
        <f>'[68]Адм ноябрь 2014 - 42 219 574'!$L$117*0.9+'[68]Адм ноябрь 2014 - 35 820 766'!$L$170*0.1</f>
        <v>90464.94291787839</v>
      </c>
      <c r="T145" s="2830">
        <f t="shared" si="42"/>
        <v>90464.94291787839</v>
      </c>
    </row>
    <row r="146" spans="1:20" ht="25.5">
      <c r="A146" s="2824" t="s">
        <v>4764</v>
      </c>
      <c r="B146" s="2831" t="s">
        <v>885</v>
      </c>
      <c r="C146" s="2853"/>
      <c r="D146" s="2814">
        <v>1</v>
      </c>
      <c r="E146" s="2814">
        <v>1</v>
      </c>
      <c r="F146" s="2814">
        <f t="shared" si="40"/>
        <v>1</v>
      </c>
      <c r="G146" s="2815">
        <v>275140</v>
      </c>
      <c r="H146" s="2816"/>
      <c r="I146" s="2826">
        <f t="shared" si="41"/>
        <v>275140</v>
      </c>
      <c r="J146" s="2827"/>
      <c r="K146" s="2828">
        <f t="shared" si="34"/>
        <v>0</v>
      </c>
      <c r="L146" s="2819"/>
      <c r="M146" s="2819">
        <f t="shared" si="35"/>
        <v>0</v>
      </c>
      <c r="N146" s="2828">
        <f t="shared" si="36"/>
        <v>275140</v>
      </c>
      <c r="O146" s="2819">
        <v>1</v>
      </c>
      <c r="P146" s="2819">
        <f t="shared" si="37"/>
        <v>0</v>
      </c>
      <c r="Q146" s="2820">
        <f t="shared" si="38"/>
        <v>100</v>
      </c>
      <c r="R146" s="2820">
        <f>'[68]Адм ноябрь 2014 - 42 219 574'!$D$119</f>
        <v>1</v>
      </c>
      <c r="S146" s="2829">
        <f>'[68]Адм ноябрь 2014 - 42 219 574'!$L$119</f>
        <v>240581.1647219455</v>
      </c>
      <c r="T146" s="2830">
        <f t="shared" si="42"/>
        <v>240581.1647219455</v>
      </c>
    </row>
    <row r="147" spans="1:20" ht="38.25">
      <c r="A147" s="2824" t="s">
        <v>4765</v>
      </c>
      <c r="B147" s="2831" t="s">
        <v>4766</v>
      </c>
      <c r="C147" s="2853"/>
      <c r="D147" s="2814">
        <v>3</v>
      </c>
      <c r="E147" s="2814">
        <v>1</v>
      </c>
      <c r="F147" s="2814">
        <f t="shared" si="40"/>
        <v>3</v>
      </c>
      <c r="G147" s="2815">
        <v>1444729</v>
      </c>
      <c r="H147" s="2816"/>
      <c r="I147" s="2826">
        <f t="shared" si="41"/>
        <v>4334187</v>
      </c>
      <c r="J147" s="2827"/>
      <c r="K147" s="2828">
        <f t="shared" si="34"/>
        <v>0</v>
      </c>
      <c r="L147" s="2819"/>
      <c r="M147" s="2819">
        <f t="shared" si="35"/>
        <v>0</v>
      </c>
      <c r="N147" s="2828">
        <f t="shared" si="36"/>
        <v>4334187</v>
      </c>
      <c r="O147" s="2819">
        <v>3</v>
      </c>
      <c r="P147" s="2819">
        <f t="shared" si="37"/>
        <v>0</v>
      </c>
      <c r="Q147" s="2820">
        <f t="shared" si="38"/>
        <v>100</v>
      </c>
      <c r="R147" s="2820">
        <f>'[68]Адм июль 2013 - 21 827 307'!$D$62+'[68]Адм ноябрь 2014 - 42 219 574'!$D$121+'[68]Адм ноябрь 2014 - 20 095 541'!$D$20</f>
        <v>3</v>
      </c>
      <c r="S147" s="2829">
        <f>('[68]Адм июль 2013 - 21 827 307'!$L$62*1.8+'[68]Адм ноябрь 2014 - 42 219 574'!$L$121*0.9+'[68]Адм ноябрь 2014 - 20 095 541'!$L$20*0.3)/3</f>
        <v>1268577.7193738678</v>
      </c>
      <c r="T147" s="2830">
        <f t="shared" si="42"/>
        <v>3805733.1581216035</v>
      </c>
    </row>
    <row r="148" spans="1:20" ht="38.25">
      <c r="A148" s="2824" t="s">
        <v>4767</v>
      </c>
      <c r="B148" s="2831" t="s">
        <v>912</v>
      </c>
      <c r="C148" s="2853"/>
      <c r="D148" s="2814">
        <v>1</v>
      </c>
      <c r="E148" s="2814">
        <v>1</v>
      </c>
      <c r="F148" s="2814">
        <f t="shared" si="40"/>
        <v>1</v>
      </c>
      <c r="G148" s="2815">
        <v>1359009</v>
      </c>
      <c r="H148" s="2816"/>
      <c r="I148" s="2826">
        <f t="shared" si="41"/>
        <v>1359009</v>
      </c>
      <c r="J148" s="2827"/>
      <c r="K148" s="2828">
        <f t="shared" si="34"/>
        <v>0</v>
      </c>
      <c r="L148" s="2819"/>
      <c r="M148" s="2819">
        <f t="shared" si="35"/>
        <v>0</v>
      </c>
      <c r="N148" s="2828">
        <f t="shared" si="36"/>
        <v>1359009</v>
      </c>
      <c r="O148" s="2819">
        <v>1</v>
      </c>
      <c r="P148" s="2819">
        <f t="shared" si="37"/>
        <v>0</v>
      </c>
      <c r="Q148" s="2820">
        <f t="shared" si="38"/>
        <v>100</v>
      </c>
      <c r="R148" s="2820">
        <f>'[68]Адм ноябрь 2014 - 42 219 574'!$D$123+'[68]Адм ноябрь 2014 - 17 872 571'!$D$34</f>
        <v>1</v>
      </c>
      <c r="S148" s="2829">
        <f>'[68]Адм ноябрь 2014 - 42 219 574'!$L$123*0.9+'[68]Адм ноябрь 2014 - 17 872 571'!$L$34*0.1</f>
        <v>1188311.2670027285</v>
      </c>
      <c r="T148" s="2830">
        <f t="shared" si="42"/>
        <v>1188311.2670027285</v>
      </c>
    </row>
    <row r="149" spans="1:20" ht="25.5">
      <c r="A149" s="2824" t="s">
        <v>4768</v>
      </c>
      <c r="B149" s="2831" t="s">
        <v>4769</v>
      </c>
      <c r="C149" s="2853"/>
      <c r="D149" s="2814">
        <v>8</v>
      </c>
      <c r="E149" s="2814">
        <v>1</v>
      </c>
      <c r="F149" s="2814">
        <f t="shared" si="40"/>
        <v>8</v>
      </c>
      <c r="G149" s="2815">
        <v>152724</v>
      </c>
      <c r="H149" s="2816"/>
      <c r="I149" s="2826">
        <f t="shared" si="41"/>
        <v>1221792</v>
      </c>
      <c r="J149" s="2827"/>
      <c r="K149" s="2828">
        <f t="shared" si="34"/>
        <v>0</v>
      </c>
      <c r="L149" s="2819"/>
      <c r="M149" s="2819">
        <f t="shared" si="35"/>
        <v>0</v>
      </c>
      <c r="N149" s="2828">
        <f t="shared" si="36"/>
        <v>1221792</v>
      </c>
      <c r="O149" s="2819">
        <v>8</v>
      </c>
      <c r="P149" s="2819">
        <f t="shared" si="37"/>
        <v>0</v>
      </c>
      <c r="Q149" s="2820">
        <f t="shared" si="38"/>
        <v>100</v>
      </c>
      <c r="R149" s="2820">
        <f>'[68]Адм ноябрь 2014 - 42 219 574'!$D$125</f>
        <v>8</v>
      </c>
      <c r="S149" s="2829">
        <f>'[68]Адм ноябрь 2014 - 42 219 574'!$L$125</f>
        <v>133541.17210908767</v>
      </c>
      <c r="T149" s="2830">
        <f t="shared" si="42"/>
        <v>1068329.3768727013</v>
      </c>
    </row>
    <row r="150" spans="1:20" ht="25.5">
      <c r="A150" s="2824" t="s">
        <v>4770</v>
      </c>
      <c r="B150" s="2831" t="s">
        <v>911</v>
      </c>
      <c r="C150" s="2853"/>
      <c r="D150" s="2814">
        <v>5</v>
      </c>
      <c r="E150" s="2814">
        <v>1</v>
      </c>
      <c r="F150" s="2814">
        <f t="shared" si="40"/>
        <v>5</v>
      </c>
      <c r="G150" s="2815">
        <v>1013556</v>
      </c>
      <c r="H150" s="2816"/>
      <c r="I150" s="2826">
        <f t="shared" si="41"/>
        <v>5067780</v>
      </c>
      <c r="J150" s="2827"/>
      <c r="K150" s="2828">
        <f t="shared" si="34"/>
        <v>0</v>
      </c>
      <c r="L150" s="2819"/>
      <c r="M150" s="2819">
        <f t="shared" si="35"/>
        <v>0</v>
      </c>
      <c r="N150" s="2828">
        <f t="shared" si="36"/>
        <v>5067780</v>
      </c>
      <c r="O150" s="2819">
        <v>5</v>
      </c>
      <c r="P150" s="2819">
        <f t="shared" si="37"/>
        <v>0</v>
      </c>
      <c r="Q150" s="2820">
        <f t="shared" si="38"/>
        <v>100</v>
      </c>
      <c r="R150" s="2820">
        <f>'[68]Адм июль 2013 - 21 827 307'!$D$64+'[68]Адм ноябрь 2014 - 42 219 574'!$D$127+'[68]Адм ноябрь 2014 - 17 872 571'!$D$36</f>
        <v>5.0000000000000009</v>
      </c>
      <c r="S150" s="2829">
        <f>('[68]Адм июль 2013 - 21 827 307'!$L$64*0.9+'[68]Адм ноябрь 2014 - 42 219 574'!$L$127*3.7+'[68]Адм ноябрь 2014 - 17 872 571'!$L$36*0.4)/5</f>
        <v>886248.73117547762</v>
      </c>
      <c r="T150" s="2830">
        <f t="shared" si="42"/>
        <v>4431243.655877389</v>
      </c>
    </row>
    <row r="151" spans="1:20" ht="38.25">
      <c r="A151" s="2824" t="s">
        <v>4771</v>
      </c>
      <c r="B151" s="2831" t="s">
        <v>873</v>
      </c>
      <c r="C151" s="2853"/>
      <c r="D151" s="2814">
        <v>2</v>
      </c>
      <c r="E151" s="2814">
        <v>1</v>
      </c>
      <c r="F151" s="2814">
        <f t="shared" si="40"/>
        <v>2</v>
      </c>
      <c r="G151" s="2815">
        <v>287725</v>
      </c>
      <c r="H151" s="2816"/>
      <c r="I151" s="2826">
        <f t="shared" si="41"/>
        <v>575450</v>
      </c>
      <c r="J151" s="2827"/>
      <c r="K151" s="2828">
        <f t="shared" si="34"/>
        <v>0</v>
      </c>
      <c r="L151" s="2819"/>
      <c r="M151" s="2819">
        <f t="shared" si="35"/>
        <v>0</v>
      </c>
      <c r="N151" s="2828">
        <f t="shared" si="36"/>
        <v>575450</v>
      </c>
      <c r="O151" s="2819">
        <v>2</v>
      </c>
      <c r="P151" s="2819">
        <f t="shared" si="37"/>
        <v>0</v>
      </c>
      <c r="Q151" s="2820">
        <f t="shared" si="38"/>
        <v>100</v>
      </c>
      <c r="R151" s="2820">
        <f>'[68]Адм ноябрь 2014 - 42 219 574'!$D$129+'[68]Адм ноябрь 2014 - 35 820 766'!$D$172</f>
        <v>2</v>
      </c>
      <c r="S151" s="2829">
        <f>('[68]Адм ноябрь 2014 - 42 219 574'!$L$129*1.8+'[68]Адм ноябрь 2014 - 35 820 766'!$L$172*0.2)/2</f>
        <v>251585.42649456923</v>
      </c>
      <c r="T151" s="2830">
        <f t="shared" si="42"/>
        <v>503170.85298913845</v>
      </c>
    </row>
    <row r="152" spans="1:20">
      <c r="A152" s="2824" t="s">
        <v>4772</v>
      </c>
      <c r="B152" s="2831" t="s">
        <v>801</v>
      </c>
      <c r="C152" s="2853"/>
      <c r="D152" s="2814">
        <v>4</v>
      </c>
      <c r="E152" s="2814">
        <v>1</v>
      </c>
      <c r="F152" s="2814">
        <f t="shared" si="40"/>
        <v>4</v>
      </c>
      <c r="G152" s="2815">
        <v>49798</v>
      </c>
      <c r="H152" s="2816"/>
      <c r="I152" s="2826">
        <f t="shared" si="41"/>
        <v>199192</v>
      </c>
      <c r="J152" s="2827"/>
      <c r="K152" s="2828">
        <f t="shared" si="34"/>
        <v>0</v>
      </c>
      <c r="L152" s="2819"/>
      <c r="M152" s="2819">
        <f t="shared" si="35"/>
        <v>0</v>
      </c>
      <c r="N152" s="2828">
        <f t="shared" si="36"/>
        <v>199192</v>
      </c>
      <c r="O152" s="2819">
        <v>4</v>
      </c>
      <c r="P152" s="2819">
        <f t="shared" si="37"/>
        <v>0</v>
      </c>
      <c r="Q152" s="2820">
        <f t="shared" si="38"/>
        <v>100</v>
      </c>
      <c r="R152" s="2820">
        <f>'[68]Адм ноябрь 2014 - 42 219 574'!$D$131</f>
        <v>4</v>
      </c>
      <c r="S152" s="2829">
        <f>'[68]Адм ноябрь 2014 - 42 219 574'!$L$131</f>
        <v>43543.134614748837</v>
      </c>
      <c r="T152" s="2830">
        <f t="shared" si="42"/>
        <v>174172.53845899535</v>
      </c>
    </row>
    <row r="153" spans="1:20" ht="25.5">
      <c r="A153" s="2824" t="s">
        <v>4773</v>
      </c>
      <c r="B153" s="2831" t="s">
        <v>773</v>
      </c>
      <c r="C153" s="2853"/>
      <c r="D153" s="2814">
        <v>1</v>
      </c>
      <c r="E153" s="2814">
        <v>1</v>
      </c>
      <c r="F153" s="2814">
        <f t="shared" si="40"/>
        <v>1</v>
      </c>
      <c r="G153" s="2815">
        <v>603530</v>
      </c>
      <c r="H153" s="2816"/>
      <c r="I153" s="2826">
        <f t="shared" si="41"/>
        <v>603530</v>
      </c>
      <c r="J153" s="2827"/>
      <c r="K153" s="2828">
        <f t="shared" si="34"/>
        <v>0</v>
      </c>
      <c r="L153" s="2819"/>
      <c r="M153" s="2819">
        <f t="shared" si="35"/>
        <v>0</v>
      </c>
      <c r="N153" s="2828">
        <f t="shared" si="36"/>
        <v>603530</v>
      </c>
      <c r="O153" s="2819">
        <v>1</v>
      </c>
      <c r="P153" s="2819">
        <f t="shared" si="37"/>
        <v>0</v>
      </c>
      <c r="Q153" s="2820">
        <f t="shared" si="38"/>
        <v>100</v>
      </c>
      <c r="R153" s="2820">
        <f>'[68]Адм ноябрь 2014 - 42 219 574'!$D$133+'[68]Адм ноябрь 2014 - 17 872 571'!$D$38</f>
        <v>1</v>
      </c>
      <c r="S153" s="2829">
        <f>'[68]Адм ноябрь 2014 - 42 219 574'!$L$133*0.9+'[68]Адм ноябрь 2014 - 17 872 571'!$L$38*0.1</f>
        <v>527723.88008548063</v>
      </c>
      <c r="T153" s="2830">
        <f t="shared" si="42"/>
        <v>527723.88008548063</v>
      </c>
    </row>
    <row r="154" spans="1:20" ht="38.25">
      <c r="A154" s="2824" t="s">
        <v>4774</v>
      </c>
      <c r="B154" s="2831" t="s">
        <v>4775</v>
      </c>
      <c r="C154" s="2853"/>
      <c r="D154" s="2814">
        <v>1</v>
      </c>
      <c r="E154" s="2814">
        <v>1</v>
      </c>
      <c r="F154" s="2814">
        <f t="shared" si="40"/>
        <v>1</v>
      </c>
      <c r="G154" s="2815">
        <v>103460</v>
      </c>
      <c r="H154" s="2816"/>
      <c r="I154" s="2826">
        <f t="shared" si="41"/>
        <v>103460</v>
      </c>
      <c r="J154" s="2827"/>
      <c r="K154" s="2828">
        <f t="shared" si="34"/>
        <v>0</v>
      </c>
      <c r="L154" s="2819"/>
      <c r="M154" s="2819">
        <f t="shared" si="35"/>
        <v>0</v>
      </c>
      <c r="N154" s="2828">
        <f t="shared" si="36"/>
        <v>103460</v>
      </c>
      <c r="O154" s="2819">
        <v>1</v>
      </c>
      <c r="P154" s="2819">
        <f t="shared" si="37"/>
        <v>0</v>
      </c>
      <c r="Q154" s="2820">
        <f t="shared" si="38"/>
        <v>100</v>
      </c>
      <c r="R154" s="2820">
        <f>'[68]Адм ноябрь 2014 - 35 820 766'!$D$174</f>
        <v>1</v>
      </c>
      <c r="S154" s="2829">
        <f>'[68]Адм ноябрь 2014 - 35 820 766'!$L$174</f>
        <v>90464.944874054709</v>
      </c>
      <c r="T154" s="2830">
        <f t="shared" si="42"/>
        <v>90464.944874054709</v>
      </c>
    </row>
    <row r="155" spans="1:20" ht="38.25">
      <c r="A155" s="2824" t="s">
        <v>4776</v>
      </c>
      <c r="B155" s="2831" t="s">
        <v>4777</v>
      </c>
      <c r="C155" s="2853"/>
      <c r="D155" s="2814">
        <v>2</v>
      </c>
      <c r="E155" s="2814">
        <v>1</v>
      </c>
      <c r="F155" s="2814">
        <f t="shared" si="40"/>
        <v>2</v>
      </c>
      <c r="G155" s="2815">
        <v>519140</v>
      </c>
      <c r="H155" s="2816"/>
      <c r="I155" s="2826">
        <f t="shared" si="41"/>
        <v>1038280</v>
      </c>
      <c r="J155" s="2827"/>
      <c r="K155" s="2828">
        <f t="shared" si="34"/>
        <v>0</v>
      </c>
      <c r="L155" s="2819"/>
      <c r="M155" s="2819">
        <f t="shared" si="35"/>
        <v>0</v>
      </c>
      <c r="N155" s="2828">
        <f t="shared" si="36"/>
        <v>1038280</v>
      </c>
      <c r="O155" s="2819">
        <v>2</v>
      </c>
      <c r="P155" s="2819">
        <f t="shared" si="37"/>
        <v>0</v>
      </c>
      <c r="Q155" s="2820">
        <f t="shared" si="38"/>
        <v>100</v>
      </c>
      <c r="R155" s="2820">
        <f>'[68]Адм июль 2013 - 21 827 307'!$D$66+'[68]Адм ноябрь 2014 - 17 872 571'!$D$40</f>
        <v>2</v>
      </c>
      <c r="S155" s="2829">
        <f>('[68]Адм июль 2013 - 21 827 307'!$L$66*1.8+'[68]Адм ноябрь 2014 - 17 872 571'!$L$40*0.2)/2</f>
        <v>453933.65646105102</v>
      </c>
      <c r="T155" s="2830">
        <f>R155*S155</f>
        <v>907867.31292210205</v>
      </c>
    </row>
    <row r="156" spans="1:20">
      <c r="A156" s="2811"/>
      <c r="B156" s="2849" t="s">
        <v>4778</v>
      </c>
      <c r="C156" s="2853"/>
      <c r="D156" s="2814"/>
      <c r="E156" s="2814"/>
      <c r="F156" s="2814"/>
      <c r="G156" s="2815"/>
      <c r="H156" s="2816"/>
      <c r="I156" s="2817"/>
      <c r="J156" s="2811"/>
      <c r="K156" s="2828"/>
      <c r="L156" s="2819"/>
      <c r="M156" s="2819"/>
      <c r="N156" s="2828"/>
      <c r="O156" s="2819"/>
      <c r="P156" s="2819"/>
      <c r="Q156" s="2820"/>
      <c r="R156" s="2820"/>
      <c r="S156" s="2829"/>
      <c r="T156" s="2830"/>
    </row>
    <row r="157" spans="1:20">
      <c r="A157" s="2824" t="s">
        <v>4779</v>
      </c>
      <c r="B157" s="2831" t="s">
        <v>4564</v>
      </c>
      <c r="C157" s="2853"/>
      <c r="D157" s="2814">
        <v>4</v>
      </c>
      <c r="E157" s="2814">
        <v>1</v>
      </c>
      <c r="F157" s="2814">
        <f>D157*E157</f>
        <v>4</v>
      </c>
      <c r="G157" s="2815">
        <v>59756</v>
      </c>
      <c r="H157" s="2816"/>
      <c r="I157" s="2826">
        <f>G157*F157</f>
        <v>239024</v>
      </c>
      <c r="J157" s="2827"/>
      <c r="K157" s="2828">
        <f t="shared" si="34"/>
        <v>0</v>
      </c>
      <c r="L157" s="2819"/>
      <c r="M157" s="2819">
        <f t="shared" si="35"/>
        <v>0</v>
      </c>
      <c r="N157" s="2828">
        <f t="shared" si="36"/>
        <v>239024</v>
      </c>
      <c r="O157" s="2819">
        <v>4</v>
      </c>
      <c r="P157" s="2819">
        <f t="shared" si="37"/>
        <v>0</v>
      </c>
      <c r="Q157" s="2820">
        <f t="shared" si="38"/>
        <v>100</v>
      </c>
      <c r="R157" s="2820">
        <f>'[68]Адм ноябрь 2014 - 42 219 574'!$D$136</f>
        <v>4</v>
      </c>
      <c r="S157" s="2829">
        <f>'[68]Адм ноябрь 2014 - 42 219 574'!$L$136</f>
        <v>52250.377548816832</v>
      </c>
      <c r="T157" s="2830">
        <f>R157*S157</f>
        <v>209001.51019526733</v>
      </c>
    </row>
    <row r="158" spans="1:20" ht="38.25">
      <c r="A158" s="2824" t="s">
        <v>4780</v>
      </c>
      <c r="B158" s="2831" t="s">
        <v>4781</v>
      </c>
      <c r="C158" s="2853"/>
      <c r="D158" s="2814">
        <v>1</v>
      </c>
      <c r="E158" s="2814">
        <v>1</v>
      </c>
      <c r="F158" s="2814">
        <f>D158*E158</f>
        <v>1</v>
      </c>
      <c r="G158" s="2815">
        <v>122992</v>
      </c>
      <c r="H158" s="2816"/>
      <c r="I158" s="2826">
        <f>G158*F158</f>
        <v>122992</v>
      </c>
      <c r="J158" s="2827"/>
      <c r="K158" s="2828">
        <f t="shared" si="34"/>
        <v>0</v>
      </c>
      <c r="L158" s="2819"/>
      <c r="M158" s="2819">
        <f t="shared" si="35"/>
        <v>0</v>
      </c>
      <c r="N158" s="2828">
        <f t="shared" si="36"/>
        <v>122992</v>
      </c>
      <c r="O158" s="2819">
        <v>1</v>
      </c>
      <c r="P158" s="2819">
        <f t="shared" si="37"/>
        <v>0</v>
      </c>
      <c r="Q158" s="2820">
        <f t="shared" si="38"/>
        <v>100</v>
      </c>
      <c r="R158" s="2820">
        <f>'[68]Адм ноябрь 2014 - 35 820 766'!$D$177</f>
        <v>1</v>
      </c>
      <c r="S158" s="2829">
        <f>'[68]Адм ноябрь 2014 - 35 820 766'!$L$177</f>
        <v>107543.64403411155</v>
      </c>
      <c r="T158" s="2830">
        <f>R158*S158</f>
        <v>107543.64403411155</v>
      </c>
    </row>
    <row r="159" spans="1:20" ht="25.5">
      <c r="A159" s="2824" t="s">
        <v>4782</v>
      </c>
      <c r="B159" s="2831" t="s">
        <v>887</v>
      </c>
      <c r="C159" s="2853"/>
      <c r="D159" s="2814">
        <v>1</v>
      </c>
      <c r="E159" s="2814">
        <v>1</v>
      </c>
      <c r="F159" s="2814">
        <f>D159*E159</f>
        <v>1</v>
      </c>
      <c r="G159" s="2815">
        <v>10607</v>
      </c>
      <c r="H159" s="2816"/>
      <c r="I159" s="2826">
        <f>G159*F159</f>
        <v>10607</v>
      </c>
      <c r="J159" s="2827"/>
      <c r="K159" s="2828">
        <f t="shared" si="34"/>
        <v>0</v>
      </c>
      <c r="L159" s="2819"/>
      <c r="M159" s="2819">
        <f t="shared" si="35"/>
        <v>0</v>
      </c>
      <c r="N159" s="2828">
        <f t="shared" si="36"/>
        <v>10607</v>
      </c>
      <c r="O159" s="2819">
        <v>1</v>
      </c>
      <c r="P159" s="2819">
        <f t="shared" si="37"/>
        <v>0</v>
      </c>
      <c r="Q159" s="2820">
        <f t="shared" si="38"/>
        <v>100</v>
      </c>
      <c r="R159" s="2820">
        <f>'[68]Адм ноябрь 2014 - 35 820 766'!$D$179</f>
        <v>1</v>
      </c>
      <c r="S159" s="2829">
        <f>'[68]Адм ноябрь 2014 - 35 820 766'!$L$179</f>
        <v>9274.7210520758999</v>
      </c>
      <c r="T159" s="2830">
        <f>R159*S159</f>
        <v>9274.7210520758999</v>
      </c>
    </row>
    <row r="160" spans="1:20">
      <c r="A160" s="2811"/>
      <c r="B160" s="2849" t="s">
        <v>4783</v>
      </c>
      <c r="C160" s="2853"/>
      <c r="D160" s="2814"/>
      <c r="E160" s="2814"/>
      <c r="F160" s="2814"/>
      <c r="G160" s="2815"/>
      <c r="H160" s="2816"/>
      <c r="I160" s="2817"/>
      <c r="J160" s="2811"/>
      <c r="K160" s="2828"/>
      <c r="L160" s="2819"/>
      <c r="M160" s="2819"/>
      <c r="N160" s="2828"/>
      <c r="O160" s="2819"/>
      <c r="P160" s="2819"/>
      <c r="Q160" s="2820"/>
      <c r="R160" s="2820"/>
      <c r="S160" s="2829"/>
      <c r="T160" s="2830"/>
    </row>
    <row r="161" spans="1:20">
      <c r="A161" s="2824" t="s">
        <v>4784</v>
      </c>
      <c r="B161" s="2854" t="s">
        <v>4567</v>
      </c>
      <c r="C161" s="2831"/>
      <c r="D161" s="2814">
        <v>4</v>
      </c>
      <c r="E161" s="2814">
        <v>1</v>
      </c>
      <c r="F161" s="2814">
        <f t="shared" ref="F161:F166" si="43">D161*E161</f>
        <v>4</v>
      </c>
      <c r="G161" s="2855">
        <v>39768</v>
      </c>
      <c r="H161" s="2816"/>
      <c r="I161" s="2856">
        <f t="shared" ref="I161:I166" si="44">G161*F161</f>
        <v>159072</v>
      </c>
      <c r="J161" s="2827"/>
      <c r="K161" s="2828">
        <f t="shared" si="34"/>
        <v>0</v>
      </c>
      <c r="L161" s="2819"/>
      <c r="M161" s="2819">
        <f t="shared" si="35"/>
        <v>0</v>
      </c>
      <c r="N161" s="2828">
        <f t="shared" si="36"/>
        <v>159072</v>
      </c>
      <c r="O161" s="2819">
        <v>4</v>
      </c>
      <c r="P161" s="2819">
        <f t="shared" si="37"/>
        <v>0</v>
      </c>
      <c r="Q161" s="2820">
        <f t="shared" si="38"/>
        <v>100</v>
      </c>
      <c r="R161" s="2820">
        <f>'[68]Адм ноябрь 2014 - 42 219 574'!$D$139</f>
        <v>4</v>
      </c>
      <c r="S161" s="2829">
        <f>'[68]Адм ноябрь 2014 - 42 219 574'!$L$139</f>
        <v>34772.954149477737</v>
      </c>
      <c r="T161" s="2830">
        <f t="shared" ref="T161:T166" si="45">R161*S161</f>
        <v>139091.81659791095</v>
      </c>
    </row>
    <row r="162" spans="1:20">
      <c r="A162" s="2824" t="s">
        <v>4785</v>
      </c>
      <c r="B162" s="2854" t="s">
        <v>816</v>
      </c>
      <c r="C162" s="2831"/>
      <c r="D162" s="2814">
        <v>4</v>
      </c>
      <c r="E162" s="2814">
        <v>1</v>
      </c>
      <c r="F162" s="2814">
        <f t="shared" si="43"/>
        <v>4</v>
      </c>
      <c r="G162" s="2855">
        <v>188928</v>
      </c>
      <c r="H162" s="2816"/>
      <c r="I162" s="2856">
        <f t="shared" si="44"/>
        <v>755712</v>
      </c>
      <c r="J162" s="2827"/>
      <c r="K162" s="2828">
        <f t="shared" si="34"/>
        <v>0</v>
      </c>
      <c r="L162" s="2819"/>
      <c r="M162" s="2819">
        <f t="shared" si="35"/>
        <v>0</v>
      </c>
      <c r="N162" s="2828">
        <f t="shared" si="36"/>
        <v>755712</v>
      </c>
      <c r="O162" s="2819">
        <v>4</v>
      </c>
      <c r="P162" s="2819">
        <f t="shared" si="37"/>
        <v>0</v>
      </c>
      <c r="Q162" s="2820">
        <f t="shared" si="38"/>
        <v>100</v>
      </c>
      <c r="R162" s="2820">
        <f>'[68]Адм ноябрь 2014 - 42 219 574'!$D$141</f>
        <v>4</v>
      </c>
      <c r="S162" s="2829">
        <f>'[68]Адм ноябрь 2014 - 42 219 574'!$L$141</f>
        <v>165197.77387037332</v>
      </c>
      <c r="T162" s="2830">
        <f t="shared" si="45"/>
        <v>660791.09548149328</v>
      </c>
    </row>
    <row r="163" spans="1:20" ht="25.5">
      <c r="A163" s="2824" t="s">
        <v>4786</v>
      </c>
      <c r="B163" s="2854" t="s">
        <v>905</v>
      </c>
      <c r="C163" s="2831"/>
      <c r="D163" s="2814">
        <v>1</v>
      </c>
      <c r="E163" s="2814">
        <v>1</v>
      </c>
      <c r="F163" s="2814">
        <f t="shared" si="43"/>
        <v>1</v>
      </c>
      <c r="G163" s="2855">
        <v>168766</v>
      </c>
      <c r="H163" s="2816"/>
      <c r="I163" s="2856">
        <f t="shared" si="44"/>
        <v>168766</v>
      </c>
      <c r="J163" s="2827"/>
      <c r="K163" s="2828">
        <f t="shared" si="34"/>
        <v>0</v>
      </c>
      <c r="L163" s="2819"/>
      <c r="M163" s="2819">
        <f t="shared" si="35"/>
        <v>0</v>
      </c>
      <c r="N163" s="2828">
        <f t="shared" si="36"/>
        <v>168766</v>
      </c>
      <c r="O163" s="2819">
        <v>1</v>
      </c>
      <c r="P163" s="2819">
        <f t="shared" si="37"/>
        <v>0</v>
      </c>
      <c r="Q163" s="2820">
        <f t="shared" si="38"/>
        <v>100</v>
      </c>
      <c r="R163" s="2820">
        <f>'[68]Адм июль 2013 - 21 827 307'!$D$69+'[68]Адм ноябрь 2014 - 35 820 766'!$D$182</f>
        <v>1</v>
      </c>
      <c r="S163" s="2829">
        <f>'[68]Адм июль 2013 - 21 827 307'!$L$69*0.9+'[68]Адм ноябрь 2014 - 35 820 766'!$L$182*0.1</f>
        <v>147568.22137366069</v>
      </c>
      <c r="T163" s="2830">
        <f t="shared" si="45"/>
        <v>147568.22137366069</v>
      </c>
    </row>
    <row r="164" spans="1:20" ht="25.5">
      <c r="A164" s="2824" t="s">
        <v>4787</v>
      </c>
      <c r="B164" s="2854" t="s">
        <v>908</v>
      </c>
      <c r="C164" s="2831"/>
      <c r="D164" s="2814">
        <v>1</v>
      </c>
      <c r="E164" s="2814">
        <v>1</v>
      </c>
      <c r="F164" s="2814">
        <f t="shared" si="43"/>
        <v>1</v>
      </c>
      <c r="G164" s="2855">
        <v>307646</v>
      </c>
      <c r="H164" s="2816"/>
      <c r="I164" s="2856">
        <f t="shared" si="44"/>
        <v>307646</v>
      </c>
      <c r="J164" s="2827"/>
      <c r="K164" s="2828">
        <f t="shared" si="34"/>
        <v>0</v>
      </c>
      <c r="L164" s="2819"/>
      <c r="M164" s="2819">
        <f t="shared" si="35"/>
        <v>0</v>
      </c>
      <c r="N164" s="2828">
        <f t="shared" si="36"/>
        <v>307646</v>
      </c>
      <c r="O164" s="2819">
        <v>1</v>
      </c>
      <c r="P164" s="2819">
        <f t="shared" si="37"/>
        <v>0</v>
      </c>
      <c r="Q164" s="2820">
        <f t="shared" si="38"/>
        <v>100</v>
      </c>
      <c r="R164" s="2820">
        <f>'[68]Адм ноябрь 2014 - 35 820 766'!$D$184</f>
        <v>1</v>
      </c>
      <c r="S164" s="2829">
        <f>'[68]Адм ноябрь 2014 - 35 820 766'!$L$184</f>
        <v>269004.26972017711</v>
      </c>
      <c r="T164" s="2830">
        <f t="shared" si="45"/>
        <v>269004.26972017711</v>
      </c>
    </row>
    <row r="165" spans="1:20" ht="25.5">
      <c r="A165" s="2824" t="s">
        <v>4788</v>
      </c>
      <c r="B165" s="2854" t="s">
        <v>4789</v>
      </c>
      <c r="C165" s="2831"/>
      <c r="D165" s="2814">
        <v>2</v>
      </c>
      <c r="E165" s="2814">
        <v>1</v>
      </c>
      <c r="F165" s="2814">
        <f t="shared" si="43"/>
        <v>2</v>
      </c>
      <c r="G165" s="2855">
        <v>304984</v>
      </c>
      <c r="H165" s="2816"/>
      <c r="I165" s="2856">
        <f t="shared" si="44"/>
        <v>609968</v>
      </c>
      <c r="J165" s="2827"/>
      <c r="K165" s="2828">
        <f t="shared" si="34"/>
        <v>0</v>
      </c>
      <c r="L165" s="2819"/>
      <c r="M165" s="2819">
        <f t="shared" si="35"/>
        <v>0</v>
      </c>
      <c r="N165" s="2828">
        <f t="shared" si="36"/>
        <v>609968</v>
      </c>
      <c r="O165" s="2819">
        <v>2</v>
      </c>
      <c r="P165" s="2819">
        <f t="shared" si="37"/>
        <v>0</v>
      </c>
      <c r="Q165" s="2820">
        <f t="shared" si="38"/>
        <v>100</v>
      </c>
      <c r="R165" s="2820">
        <f>'[68]Адм июль 2013 - 21 827 307'!$D$71+'[68]Адм ноябрь 2014 - 35 820 766'!$D$186</f>
        <v>2</v>
      </c>
      <c r="S165" s="2829">
        <f>('[68]Адм июль 2013 - 21 827 307'!$L$71*1.8+'[68]Адм ноябрь 2014 - 35 820 766'!$L$186*0.2)/2</f>
        <v>266676.62112408149</v>
      </c>
      <c r="T165" s="2830">
        <f t="shared" si="45"/>
        <v>533353.24224816298</v>
      </c>
    </row>
    <row r="166" spans="1:20" ht="38.25">
      <c r="A166" s="2824" t="s">
        <v>4790</v>
      </c>
      <c r="B166" s="2854" t="s">
        <v>4653</v>
      </c>
      <c r="C166" s="2831"/>
      <c r="D166" s="2814">
        <v>3</v>
      </c>
      <c r="E166" s="2814">
        <v>1</v>
      </c>
      <c r="F166" s="2814">
        <f t="shared" si="43"/>
        <v>3</v>
      </c>
      <c r="G166" s="2855">
        <v>43343</v>
      </c>
      <c r="H166" s="2816"/>
      <c r="I166" s="2856">
        <f t="shared" si="44"/>
        <v>130029</v>
      </c>
      <c r="J166" s="2827"/>
      <c r="K166" s="2828">
        <f t="shared" si="34"/>
        <v>0</v>
      </c>
      <c r="L166" s="2819"/>
      <c r="M166" s="2819">
        <f t="shared" si="35"/>
        <v>0</v>
      </c>
      <c r="N166" s="2828">
        <f t="shared" si="36"/>
        <v>130029</v>
      </c>
      <c r="O166" s="2819">
        <v>3</v>
      </c>
      <c r="P166" s="2819">
        <f t="shared" si="37"/>
        <v>0</v>
      </c>
      <c r="Q166" s="2820">
        <f t="shared" si="38"/>
        <v>100</v>
      </c>
      <c r="R166" s="2820">
        <f>'[68]Адм сентябрь 2013 -6 599 928'!$D$65+'[68]Адм ноябрь 2014 - 17 872 571'!$D$43</f>
        <v>3</v>
      </c>
      <c r="S166" s="2829">
        <f>('[68]Адм сентябрь 2013 -6 599 928'!$L$65*2.7+'[68]Адм ноябрь 2014 - 17 872 571'!$L$43*0.3)/3</f>
        <v>37898.929323221273</v>
      </c>
      <c r="T166" s="2830">
        <f t="shared" si="45"/>
        <v>113696.78796966383</v>
      </c>
    </row>
    <row r="167" spans="1:20" ht="25.5">
      <c r="A167" s="2811"/>
      <c r="B167" s="2849" t="s">
        <v>4791</v>
      </c>
      <c r="C167" s="2853"/>
      <c r="D167" s="2814"/>
      <c r="E167" s="2814"/>
      <c r="F167" s="2814"/>
      <c r="G167" s="2815"/>
      <c r="H167" s="2816"/>
      <c r="I167" s="2817"/>
      <c r="J167" s="2811"/>
      <c r="K167" s="2828"/>
      <c r="L167" s="2819"/>
      <c r="M167" s="2819"/>
      <c r="N167" s="2828"/>
      <c r="O167" s="2819"/>
      <c r="P167" s="2819"/>
      <c r="Q167" s="2820"/>
      <c r="R167" s="2820"/>
      <c r="S167" s="2829"/>
      <c r="T167" s="2830"/>
    </row>
    <row r="168" spans="1:20" ht="25.5">
      <c r="A168" s="2824" t="s">
        <v>4792</v>
      </c>
      <c r="B168" s="2831" t="s">
        <v>877</v>
      </c>
      <c r="C168" s="2853"/>
      <c r="D168" s="2814">
        <v>2</v>
      </c>
      <c r="E168" s="2814">
        <v>1</v>
      </c>
      <c r="F168" s="2814">
        <f>D168*E168</f>
        <v>2</v>
      </c>
      <c r="G168" s="2815">
        <v>139712</v>
      </c>
      <c r="H168" s="2816"/>
      <c r="I168" s="2826">
        <f>G168*F168</f>
        <v>279424</v>
      </c>
      <c r="J168" s="2827"/>
      <c r="K168" s="2828">
        <f t="shared" si="34"/>
        <v>0</v>
      </c>
      <c r="L168" s="2819"/>
      <c r="M168" s="2819">
        <f t="shared" si="35"/>
        <v>0</v>
      </c>
      <c r="N168" s="2828">
        <f t="shared" si="36"/>
        <v>279424</v>
      </c>
      <c r="O168" s="2819">
        <v>2</v>
      </c>
      <c r="P168" s="2819">
        <f t="shared" si="37"/>
        <v>0</v>
      </c>
      <c r="Q168" s="2820">
        <f t="shared" si="38"/>
        <v>100</v>
      </c>
      <c r="R168" s="2820">
        <f>'[68]Адм июль 2013 - 21 827 307'!$D$74+'[68]Адм ноябрь 2014 - 35 820 766'!$D$189</f>
        <v>2</v>
      </c>
      <c r="S168" s="2829">
        <f>('[68]Адм июль 2013 - 21 827 307'!$L$74*1.8+'[68]Адм ноябрь 2014 - 35 820 766'!$L$189*0.2)/2</f>
        <v>122163.53405350365</v>
      </c>
      <c r="T168" s="2830">
        <f>R168*S168</f>
        <v>244327.0681070073</v>
      </c>
    </row>
    <row r="169" spans="1:20">
      <c r="A169" s="2824" t="s">
        <v>4793</v>
      </c>
      <c r="B169" s="2831" t="s">
        <v>738</v>
      </c>
      <c r="C169" s="2853"/>
      <c r="D169" s="2814">
        <v>2</v>
      </c>
      <c r="E169" s="2814">
        <v>1</v>
      </c>
      <c r="F169" s="2814">
        <f t="shared" ref="F169:F174" si="46">D169*E169</f>
        <v>2</v>
      </c>
      <c r="G169" s="2815">
        <v>100339</v>
      </c>
      <c r="H169" s="2816"/>
      <c r="I169" s="2826">
        <f t="shared" ref="I169:I174" si="47">G169*F169</f>
        <v>200678</v>
      </c>
      <c r="J169" s="2827"/>
      <c r="K169" s="2828">
        <f t="shared" si="34"/>
        <v>0</v>
      </c>
      <c r="L169" s="2819"/>
      <c r="M169" s="2819">
        <f t="shared" si="35"/>
        <v>0</v>
      </c>
      <c r="N169" s="2828">
        <f t="shared" si="36"/>
        <v>200678</v>
      </c>
      <c r="O169" s="2819">
        <v>2</v>
      </c>
      <c r="P169" s="2819">
        <f t="shared" si="37"/>
        <v>0</v>
      </c>
      <c r="Q169" s="2820">
        <f t="shared" si="38"/>
        <v>100</v>
      </c>
      <c r="R169" s="2820">
        <f>'[68]Адм июль 2013 - 21 827 307'!$D$76+'[68]Адм ноябрь 2014 - 35 820 766'!$D$191</f>
        <v>2</v>
      </c>
      <c r="S169" s="2829">
        <f>('[68]Адм июль 2013 - 21 827 307'!$L$76*1.8+'[68]Адм ноябрь 2014 - 35 820 766'!$L$191*0.2)/2</f>
        <v>87735.960719427152</v>
      </c>
      <c r="T169" s="2830">
        <f t="shared" ref="T169:T174" si="48">R169*S169</f>
        <v>175471.9214388543</v>
      </c>
    </row>
    <row r="170" spans="1:20" ht="25.5">
      <c r="A170" s="2824" t="s">
        <v>4794</v>
      </c>
      <c r="B170" s="2831" t="s">
        <v>915</v>
      </c>
      <c r="C170" s="2853"/>
      <c r="D170" s="2814">
        <v>2</v>
      </c>
      <c r="E170" s="2814">
        <v>1</v>
      </c>
      <c r="F170" s="2814">
        <f t="shared" si="46"/>
        <v>2</v>
      </c>
      <c r="G170" s="2815">
        <v>50169</v>
      </c>
      <c r="H170" s="2816"/>
      <c r="I170" s="2826">
        <f t="shared" si="47"/>
        <v>100338</v>
      </c>
      <c r="J170" s="2827"/>
      <c r="K170" s="2828">
        <f t="shared" si="34"/>
        <v>0</v>
      </c>
      <c r="L170" s="2819"/>
      <c r="M170" s="2819">
        <f t="shared" si="35"/>
        <v>0</v>
      </c>
      <c r="N170" s="2828">
        <f t="shared" si="36"/>
        <v>100338</v>
      </c>
      <c r="O170" s="2819">
        <v>2</v>
      </c>
      <c r="P170" s="2819">
        <f t="shared" si="37"/>
        <v>0</v>
      </c>
      <c r="Q170" s="2820">
        <f t="shared" si="38"/>
        <v>100</v>
      </c>
      <c r="R170" s="2820">
        <f>'[68]Адм ноябрь 2014 - 42 219 574'!$D$144+'[68]Адм ноябрь 2014 - 35 820 766'!$D$193</f>
        <v>2</v>
      </c>
      <c r="S170" s="2829">
        <f>('[68]Адм ноябрь 2014 - 42 219 574'!$L$144*1.8+'[68]Адм ноябрь 2014 - 35 820 766'!$L$193*0.2)/2</f>
        <v>43867.544261251118</v>
      </c>
      <c r="T170" s="2830">
        <f t="shared" si="48"/>
        <v>87735.088522502236</v>
      </c>
    </row>
    <row r="171" spans="1:20" ht="50.25" customHeight="1">
      <c r="A171" s="2824" t="s">
        <v>4795</v>
      </c>
      <c r="B171" s="2831" t="s">
        <v>4796</v>
      </c>
      <c r="C171" s="2853"/>
      <c r="D171" s="2814">
        <v>2</v>
      </c>
      <c r="E171" s="2814">
        <v>1</v>
      </c>
      <c r="F171" s="2814">
        <f t="shared" si="46"/>
        <v>2</v>
      </c>
      <c r="G171" s="2815">
        <v>194962</v>
      </c>
      <c r="H171" s="2816"/>
      <c r="I171" s="2826">
        <f t="shared" si="47"/>
        <v>389924</v>
      </c>
      <c r="J171" s="2827"/>
      <c r="K171" s="2828">
        <f t="shared" si="34"/>
        <v>0</v>
      </c>
      <c r="L171" s="2819"/>
      <c r="M171" s="2819">
        <f t="shared" si="35"/>
        <v>0</v>
      </c>
      <c r="N171" s="2828">
        <f t="shared" si="36"/>
        <v>389924</v>
      </c>
      <c r="O171" s="2819">
        <v>2</v>
      </c>
      <c r="P171" s="2819">
        <f t="shared" si="37"/>
        <v>0</v>
      </c>
      <c r="Q171" s="2820">
        <f t="shared" si="38"/>
        <v>100</v>
      </c>
      <c r="R171" s="2820">
        <f>'[68]Адм июль 2013 - 21 827 307'!$D$78+'[68]Адм ноябрь 2014 - 35 820 766'!$D$195</f>
        <v>2</v>
      </c>
      <c r="S171" s="2829">
        <f>('[68]Адм июль 2013 - 21 827 307'!$L$78*1.8+'[68]Адм ноябрь 2014 - 35 820 766'!$L$195*0.2)/2</f>
        <v>170473.87472195717</v>
      </c>
      <c r="T171" s="2830">
        <f t="shared" si="48"/>
        <v>340947.74944391433</v>
      </c>
    </row>
    <row r="172" spans="1:20" ht="62.25" customHeight="1">
      <c r="A172" s="2824" t="s">
        <v>4797</v>
      </c>
      <c r="B172" s="2831" t="s">
        <v>4798</v>
      </c>
      <c r="C172" s="2853"/>
      <c r="D172" s="2814">
        <v>2</v>
      </c>
      <c r="E172" s="2814">
        <v>1</v>
      </c>
      <c r="F172" s="2814">
        <f t="shared" si="46"/>
        <v>2</v>
      </c>
      <c r="G172" s="2815">
        <v>312448</v>
      </c>
      <c r="H172" s="2816"/>
      <c r="I172" s="2826">
        <f t="shared" si="47"/>
        <v>624896</v>
      </c>
      <c r="J172" s="2827"/>
      <c r="K172" s="2828">
        <f t="shared" si="34"/>
        <v>0</v>
      </c>
      <c r="L172" s="2819"/>
      <c r="M172" s="2819">
        <f t="shared" si="35"/>
        <v>0</v>
      </c>
      <c r="N172" s="2828">
        <f t="shared" si="36"/>
        <v>624896</v>
      </c>
      <c r="O172" s="2819">
        <v>2</v>
      </c>
      <c r="P172" s="2819">
        <f t="shared" si="37"/>
        <v>0</v>
      </c>
      <c r="Q172" s="2820">
        <f t="shared" si="38"/>
        <v>100</v>
      </c>
      <c r="R172" s="2820">
        <f>'[68]Адм июль 2013 - 21 827 307'!$D$80+'[68]Адм ноябрь 2014 - 35 820 766'!$D$197</f>
        <v>2</v>
      </c>
      <c r="S172" s="2829">
        <f>('[68]Адм июль 2013 - 21 827 307'!$L$80*1.8+'[68]Адм ноябрь 2014 - 35 820 766'!$L$197*0.2)/2</f>
        <v>273203.1052922979</v>
      </c>
      <c r="T172" s="2830">
        <f t="shared" si="48"/>
        <v>546406.2105845958</v>
      </c>
    </row>
    <row r="173" spans="1:20" ht="38.25">
      <c r="A173" s="2824" t="s">
        <v>4799</v>
      </c>
      <c r="B173" s="2831" t="s">
        <v>4800</v>
      </c>
      <c r="C173" s="2853"/>
      <c r="D173" s="2814">
        <v>2</v>
      </c>
      <c r="E173" s="2814">
        <v>1</v>
      </c>
      <c r="F173" s="2814">
        <f t="shared" si="46"/>
        <v>2</v>
      </c>
      <c r="G173" s="2815">
        <v>342591</v>
      </c>
      <c r="H173" s="2816"/>
      <c r="I173" s="2826">
        <f t="shared" si="47"/>
        <v>685182</v>
      </c>
      <c r="J173" s="2827"/>
      <c r="K173" s="2828">
        <f t="shared" si="34"/>
        <v>0</v>
      </c>
      <c r="L173" s="2819"/>
      <c r="M173" s="2819">
        <f t="shared" si="35"/>
        <v>0</v>
      </c>
      <c r="N173" s="2828">
        <f t="shared" si="36"/>
        <v>685182</v>
      </c>
      <c r="O173" s="2819">
        <v>2</v>
      </c>
      <c r="P173" s="2819">
        <f t="shared" si="37"/>
        <v>0</v>
      </c>
      <c r="Q173" s="2820">
        <f t="shared" si="38"/>
        <v>100</v>
      </c>
      <c r="R173" s="2820">
        <f>'[68]Адм июль 2013 - 21 827 307'!$D$82+'[68]Адм ноябрь 2014 - 35 820 766'!$D$199</f>
        <v>2</v>
      </c>
      <c r="S173" s="2829">
        <f>('[68]Адм июль 2013 - 21 827 307'!$L$82*1.8+'[68]Адм ноябрь 2014 - 35 820 766'!$L$199*0.2)/2</f>
        <v>299560.00670354208</v>
      </c>
      <c r="T173" s="2830">
        <f t="shared" si="48"/>
        <v>599120.01340708416</v>
      </c>
    </row>
    <row r="174" spans="1:20" ht="25.5">
      <c r="A174" s="2824" t="s">
        <v>4801</v>
      </c>
      <c r="B174" s="2831" t="s">
        <v>748</v>
      </c>
      <c r="C174" s="2853"/>
      <c r="D174" s="2814">
        <v>1</v>
      </c>
      <c r="E174" s="2814">
        <v>1</v>
      </c>
      <c r="F174" s="2814">
        <f t="shared" si="46"/>
        <v>1</v>
      </c>
      <c r="G174" s="2815">
        <v>113040</v>
      </c>
      <c r="H174" s="2816"/>
      <c r="I174" s="2826">
        <f t="shared" si="47"/>
        <v>113040</v>
      </c>
      <c r="J174" s="2827"/>
      <c r="K174" s="2828">
        <f t="shared" si="34"/>
        <v>0</v>
      </c>
      <c r="L174" s="2819"/>
      <c r="M174" s="2819">
        <f t="shared" si="35"/>
        <v>0</v>
      </c>
      <c r="N174" s="2828">
        <f t="shared" si="36"/>
        <v>113040</v>
      </c>
      <c r="O174" s="2819">
        <v>1</v>
      </c>
      <c r="P174" s="2819">
        <f t="shared" si="37"/>
        <v>0</v>
      </c>
      <c r="Q174" s="2820">
        <f t="shared" si="38"/>
        <v>100</v>
      </c>
      <c r="R174" s="2820">
        <f>'[68]Адм ноябрь 2014 - 42 219 574'!$D$146</f>
        <v>1</v>
      </c>
      <c r="S174" s="2829">
        <f>'[68]Адм ноябрь 2014 - 42 219 574'!$L$146</f>
        <v>98841.662768366339</v>
      </c>
      <c r="T174" s="2830">
        <f t="shared" si="48"/>
        <v>98841.662768366339</v>
      </c>
    </row>
    <row r="175" spans="1:20">
      <c r="A175" s="2811"/>
      <c r="B175" s="2849" t="s">
        <v>4802</v>
      </c>
      <c r="C175" s="2853"/>
      <c r="D175" s="2814"/>
      <c r="E175" s="2814"/>
      <c r="F175" s="2814"/>
      <c r="G175" s="2815"/>
      <c r="H175" s="2816"/>
      <c r="I175" s="2817"/>
      <c r="J175" s="2811"/>
      <c r="K175" s="2828"/>
      <c r="L175" s="2819"/>
      <c r="M175" s="2819"/>
      <c r="N175" s="2828"/>
      <c r="O175" s="2819"/>
      <c r="P175" s="2819"/>
      <c r="Q175" s="2820"/>
      <c r="R175" s="2820"/>
      <c r="S175" s="2829"/>
      <c r="T175" s="2830"/>
    </row>
    <row r="176" spans="1:20">
      <c r="A176" s="2824" t="s">
        <v>4803</v>
      </c>
      <c r="B176" s="2831" t="s">
        <v>808</v>
      </c>
      <c r="C176" s="2853"/>
      <c r="D176" s="2814">
        <v>1</v>
      </c>
      <c r="E176" s="2814">
        <v>1</v>
      </c>
      <c r="F176" s="2814">
        <f>D176*E176</f>
        <v>1</v>
      </c>
      <c r="G176" s="2815">
        <v>64195</v>
      </c>
      <c r="H176" s="2816"/>
      <c r="I176" s="2826">
        <f>G176*F176</f>
        <v>64195</v>
      </c>
      <c r="J176" s="2827"/>
      <c r="K176" s="2828">
        <f t="shared" si="34"/>
        <v>0</v>
      </c>
      <c r="L176" s="2819"/>
      <c r="M176" s="2819">
        <f t="shared" si="35"/>
        <v>0</v>
      </c>
      <c r="N176" s="2828">
        <f t="shared" si="36"/>
        <v>64195</v>
      </c>
      <c r="O176" s="2819">
        <v>1</v>
      </c>
      <c r="P176" s="2819">
        <f t="shared" si="37"/>
        <v>0</v>
      </c>
      <c r="Q176" s="2820">
        <f t="shared" si="38"/>
        <v>100</v>
      </c>
      <c r="R176" s="2820">
        <f>'[68]Адм ноябрь 2014 - 42 219 574'!$D$149</f>
        <v>1</v>
      </c>
      <c r="S176" s="2829">
        <f>'[68]Адм ноябрь 2014 - 42 219 574'!$L$149</f>
        <v>56131.808330652537</v>
      </c>
      <c r="T176" s="2830">
        <f>R176*S176</f>
        <v>56131.808330652537</v>
      </c>
    </row>
    <row r="177" spans="1:20">
      <c r="A177" s="2824" t="s">
        <v>4804</v>
      </c>
      <c r="B177" s="2831" t="s">
        <v>752</v>
      </c>
      <c r="C177" s="2853"/>
      <c r="D177" s="2814">
        <v>1</v>
      </c>
      <c r="E177" s="2814">
        <v>1</v>
      </c>
      <c r="F177" s="2814">
        <f>D177*E177</f>
        <v>1</v>
      </c>
      <c r="G177" s="2815">
        <v>69917</v>
      </c>
      <c r="H177" s="2816"/>
      <c r="I177" s="2826">
        <f>G177*F177</f>
        <v>69917</v>
      </c>
      <c r="J177" s="2827"/>
      <c r="K177" s="2828">
        <f t="shared" si="34"/>
        <v>0</v>
      </c>
      <c r="L177" s="2819"/>
      <c r="M177" s="2819">
        <f t="shared" si="35"/>
        <v>0</v>
      </c>
      <c r="N177" s="2828">
        <f t="shared" si="36"/>
        <v>69917</v>
      </c>
      <c r="O177" s="2819">
        <v>1</v>
      </c>
      <c r="P177" s="2819">
        <f t="shared" si="37"/>
        <v>0</v>
      </c>
      <c r="Q177" s="2820">
        <f t="shared" si="38"/>
        <v>100</v>
      </c>
      <c r="R177" s="2820">
        <f>'[68]Адм ноябрь 2014 - 42 219 574'!$D$151</f>
        <v>1</v>
      </c>
      <c r="S177" s="2829">
        <f>'[68]Адм ноябрь 2014 - 42 219 574'!$L$151</f>
        <v>61135.097952830576</v>
      </c>
      <c r="T177" s="2830">
        <f>R177*S177</f>
        <v>61135.097952830576</v>
      </c>
    </row>
    <row r="178" spans="1:20" ht="25.5">
      <c r="A178" s="2811"/>
      <c r="B178" s="2849" t="s">
        <v>4805</v>
      </c>
      <c r="C178" s="2853"/>
      <c r="D178" s="2814"/>
      <c r="E178" s="2814"/>
      <c r="F178" s="2814"/>
      <c r="G178" s="2815"/>
      <c r="H178" s="2816"/>
      <c r="I178" s="2817"/>
      <c r="J178" s="2811"/>
      <c r="K178" s="2828"/>
      <c r="L178" s="2819"/>
      <c r="M178" s="2819"/>
      <c r="N178" s="2828"/>
      <c r="O178" s="2819"/>
      <c r="P178" s="2819"/>
      <c r="Q178" s="2820"/>
      <c r="R178" s="2820"/>
      <c r="S178" s="2829"/>
      <c r="T178" s="2830"/>
    </row>
    <row r="179" spans="1:20" ht="25.5">
      <c r="A179" s="2811"/>
      <c r="B179" s="2812" t="s">
        <v>4806</v>
      </c>
      <c r="C179" s="2853"/>
      <c r="D179" s="2814"/>
      <c r="E179" s="2814"/>
      <c r="F179" s="2814"/>
      <c r="G179" s="2815"/>
      <c r="H179" s="2816"/>
      <c r="I179" s="2817"/>
      <c r="J179" s="2811"/>
      <c r="K179" s="2828"/>
      <c r="L179" s="2819"/>
      <c r="M179" s="2819"/>
      <c r="N179" s="2828"/>
      <c r="O179" s="2819"/>
      <c r="P179" s="2819"/>
      <c r="Q179" s="2820"/>
      <c r="R179" s="2820"/>
      <c r="S179" s="2829"/>
      <c r="T179" s="2830"/>
    </row>
    <row r="180" spans="1:20">
      <c r="A180" s="2824" t="s">
        <v>4807</v>
      </c>
      <c r="B180" s="2857" t="s">
        <v>4563</v>
      </c>
      <c r="C180" s="2853"/>
      <c r="D180" s="2814">
        <v>6</v>
      </c>
      <c r="E180" s="2814">
        <v>2</v>
      </c>
      <c r="F180" s="2814">
        <f>D180*E180</f>
        <v>12</v>
      </c>
      <c r="G180" s="2815">
        <v>13416</v>
      </c>
      <c r="H180" s="2816"/>
      <c r="I180" s="2826">
        <f>G180*F180</f>
        <v>160992</v>
      </c>
      <c r="J180" s="1072"/>
      <c r="K180" s="2828">
        <f t="shared" si="34"/>
        <v>0</v>
      </c>
      <c r="L180" s="2819"/>
      <c r="M180" s="2819">
        <f t="shared" si="35"/>
        <v>0</v>
      </c>
      <c r="N180" s="2828">
        <f t="shared" si="36"/>
        <v>160992</v>
      </c>
      <c r="O180" s="2819">
        <v>12</v>
      </c>
      <c r="P180" s="2819">
        <f t="shared" si="37"/>
        <v>0</v>
      </c>
      <c r="Q180" s="2820">
        <f t="shared" si="38"/>
        <v>100</v>
      </c>
      <c r="R180" s="2820">
        <f>'[68]Адм ноябрь 2014 - 17 872 571'!$D$47</f>
        <v>12</v>
      </c>
      <c r="S180" s="2829">
        <f>'[68]Адм ноябрь 2014 - 17 872 571'!$L$47</f>
        <v>11730.898718704349</v>
      </c>
      <c r="T180" s="2830">
        <f t="shared" ref="T180:T187" si="49">R180*S180</f>
        <v>140770.78462445218</v>
      </c>
    </row>
    <row r="181" spans="1:20" s="2837" customFormat="1" ht="38.25">
      <c r="A181" s="2836" t="s">
        <v>4808</v>
      </c>
      <c r="B181" s="2831" t="s">
        <v>4809</v>
      </c>
      <c r="C181" s="2853"/>
      <c r="D181" s="2814">
        <v>18</v>
      </c>
      <c r="E181" s="2814">
        <v>1</v>
      </c>
      <c r="F181" s="2814">
        <f>D181*E181</f>
        <v>18</v>
      </c>
      <c r="G181" s="2815">
        <v>54600</v>
      </c>
      <c r="H181" s="2816"/>
      <c r="I181" s="2826">
        <f>G181*F181</f>
        <v>982800</v>
      </c>
      <c r="J181" s="1072"/>
      <c r="K181" s="2828">
        <f>L181*G181</f>
        <v>0</v>
      </c>
      <c r="L181" s="2819"/>
      <c r="M181" s="2819">
        <f>K181/I181*100</f>
        <v>0</v>
      </c>
      <c r="N181" s="2828">
        <f>O181*G181</f>
        <v>982800</v>
      </c>
      <c r="O181" s="2819">
        <v>18</v>
      </c>
      <c r="P181" s="2819">
        <f>F181-O181</f>
        <v>0</v>
      </c>
      <c r="Q181" s="2820">
        <f>N181/I181*100</f>
        <v>100</v>
      </c>
      <c r="R181" s="2820">
        <f>'[69]Адм ноябрь 2014 - 6 331 009'!$D$19</f>
        <v>18</v>
      </c>
      <c r="S181" s="2829">
        <f>'[69]адм корпус март 2015 г 7 606 74'!$L$142</f>
        <v>26756.496364121194</v>
      </c>
      <c r="T181" s="2838">
        <f t="shared" si="49"/>
        <v>481616.93455418153</v>
      </c>
    </row>
    <row r="182" spans="1:20" s="2837" customFormat="1" ht="25.5">
      <c r="A182" s="2836" t="s">
        <v>4808</v>
      </c>
      <c r="B182" s="2831" t="s">
        <v>837</v>
      </c>
      <c r="C182" s="2853"/>
      <c r="D182" s="2814"/>
      <c r="E182" s="2814"/>
      <c r="F182" s="2814"/>
      <c r="G182" s="2815"/>
      <c r="H182" s="2816"/>
      <c r="I182" s="2826"/>
      <c r="J182" s="1072"/>
      <c r="K182" s="2828"/>
      <c r="L182" s="2819"/>
      <c r="M182" s="2819"/>
      <c r="N182" s="2828"/>
      <c r="O182" s="2819"/>
      <c r="P182" s="2819"/>
      <c r="Q182" s="2820"/>
      <c r="R182" s="2820">
        <v>108</v>
      </c>
      <c r="S182" s="2829">
        <f>'[69]адм корпус март 2015 г 7 606 74'!$L$144</f>
        <v>3497.586218614917</v>
      </c>
      <c r="T182" s="2838">
        <f t="shared" si="49"/>
        <v>377739.31161041104</v>
      </c>
    </row>
    <row r="183" spans="1:20" s="2837" customFormat="1" ht="25.5">
      <c r="A183" s="2836" t="s">
        <v>4810</v>
      </c>
      <c r="B183" s="2831" t="s">
        <v>826</v>
      </c>
      <c r="C183" s="2853"/>
      <c r="D183" s="2814">
        <v>23</v>
      </c>
      <c r="E183" s="2814">
        <v>1</v>
      </c>
      <c r="F183" s="2814">
        <f>D183*E183</f>
        <v>23</v>
      </c>
      <c r="G183" s="2815">
        <v>51480</v>
      </c>
      <c r="H183" s="2816"/>
      <c r="I183" s="2826">
        <f>G183*F183</f>
        <v>1184040</v>
      </c>
      <c r="J183" s="1072"/>
      <c r="K183" s="2828">
        <f>L183*G183</f>
        <v>0</v>
      </c>
      <c r="L183" s="2819"/>
      <c r="M183" s="2819">
        <f>K183/I183*100</f>
        <v>0</v>
      </c>
      <c r="N183" s="2828">
        <f>O183*G183</f>
        <v>1184040</v>
      </c>
      <c r="O183" s="2819">
        <v>23</v>
      </c>
      <c r="P183" s="2819">
        <f>F183-O183</f>
        <v>0</v>
      </c>
      <c r="Q183" s="2820">
        <f>N183/I183*100</f>
        <v>100</v>
      </c>
      <c r="R183" s="2820">
        <f>'[69]Адм ноябрь 2014 - 6 331 009'!$D$21</f>
        <v>23</v>
      </c>
      <c r="S183" s="2829">
        <f>'[69]адм корпус март 2015 г 7 606 74'!$L$146</f>
        <v>31023.554947123204</v>
      </c>
      <c r="T183" s="2838">
        <f t="shared" si="49"/>
        <v>713541.76378383371</v>
      </c>
    </row>
    <row r="184" spans="1:20" s="2837" customFormat="1" ht="29.25" customHeight="1">
      <c r="A184" s="2836" t="s">
        <v>4810</v>
      </c>
      <c r="B184" s="2831" t="s">
        <v>834</v>
      </c>
      <c r="C184" s="2853"/>
      <c r="D184" s="2814"/>
      <c r="E184" s="2814"/>
      <c r="F184" s="2814"/>
      <c r="G184" s="2815"/>
      <c r="H184" s="2816"/>
      <c r="I184" s="2826"/>
      <c r="J184" s="1072"/>
      <c r="K184" s="2828"/>
      <c r="L184" s="2819"/>
      <c r="M184" s="2819"/>
      <c r="N184" s="2828"/>
      <c r="O184" s="2819"/>
      <c r="P184" s="2819"/>
      <c r="Q184" s="2820"/>
      <c r="R184" s="2820">
        <v>92</v>
      </c>
      <c r="S184" s="2829">
        <f>'[69]адм корпус март 2015 г 7 606 74'!$L$148</f>
        <v>3497.586218614917</v>
      </c>
      <c r="T184" s="2838">
        <f t="shared" si="49"/>
        <v>321777.93211257237</v>
      </c>
    </row>
    <row r="185" spans="1:20" s="403" customFormat="1">
      <c r="A185" s="2607" t="s">
        <v>4811</v>
      </c>
      <c r="B185" s="2633" t="s">
        <v>820</v>
      </c>
      <c r="C185" s="2618"/>
      <c r="D185" s="2602">
        <v>25</v>
      </c>
      <c r="E185" s="2602">
        <v>1</v>
      </c>
      <c r="F185" s="2602">
        <f>D185*E185</f>
        <v>25</v>
      </c>
      <c r="G185" s="2615">
        <v>42100</v>
      </c>
      <c r="H185" s="2604"/>
      <c r="I185" s="2605">
        <f>G185*F185</f>
        <v>1052500</v>
      </c>
      <c r="J185" s="365"/>
      <c r="K185" s="2839">
        <f>L185*G185</f>
        <v>0</v>
      </c>
      <c r="L185" s="2840"/>
      <c r="M185" s="2840">
        <f>K185/I185*100</f>
        <v>0</v>
      </c>
      <c r="N185" s="2839">
        <f>O185*G185</f>
        <v>294700</v>
      </c>
      <c r="O185" s="2840">
        <v>7</v>
      </c>
      <c r="P185" s="2840">
        <f>F185-O185</f>
        <v>18</v>
      </c>
      <c r="Q185" s="2841">
        <f>N185/I185*100</f>
        <v>28.000000000000004</v>
      </c>
      <c r="R185" s="2841">
        <f>'[69]Адм март 2015 - 38 922 227'!$D$34+'[69]адм 1 951 768'!$D$26</f>
        <v>25</v>
      </c>
      <c r="S185" s="2842">
        <f>'[69]Адм март 2015 - 38 922 227'!$L$34</f>
        <v>39382.973222434535</v>
      </c>
      <c r="T185" s="2838">
        <f t="shared" si="49"/>
        <v>984574.33056086337</v>
      </c>
    </row>
    <row r="186" spans="1:20" s="2837" customFormat="1">
      <c r="A186" s="2836" t="s">
        <v>4812</v>
      </c>
      <c r="B186" s="2857" t="s">
        <v>4516</v>
      </c>
      <c r="C186" s="2853"/>
      <c r="D186" s="2814">
        <v>2</v>
      </c>
      <c r="E186" s="2814">
        <v>2</v>
      </c>
      <c r="F186" s="2814">
        <f>D186*E186</f>
        <v>4</v>
      </c>
      <c r="G186" s="2815">
        <v>17000</v>
      </c>
      <c r="H186" s="2816"/>
      <c r="I186" s="2826">
        <f>G186*F186</f>
        <v>68000</v>
      </c>
      <c r="J186" s="1072"/>
      <c r="K186" s="2828">
        <f>L186*G186</f>
        <v>0</v>
      </c>
      <c r="L186" s="2819"/>
      <c r="M186" s="2819">
        <f>K186/I186*100</f>
        <v>0</v>
      </c>
      <c r="N186" s="2828">
        <f>O186*G186</f>
        <v>0</v>
      </c>
      <c r="O186" s="2819"/>
      <c r="P186" s="2819">
        <f>F186-O186</f>
        <v>4</v>
      </c>
      <c r="Q186" s="2820">
        <f>N186/I186*100</f>
        <v>0</v>
      </c>
      <c r="R186" s="2820">
        <v>4</v>
      </c>
      <c r="S186" s="2829">
        <f>'[69]адм 1 951 768'!$L$28</f>
        <v>15902.861971670711</v>
      </c>
      <c r="T186" s="2838">
        <f t="shared" si="49"/>
        <v>63611.447886682843</v>
      </c>
    </row>
    <row r="187" spans="1:20">
      <c r="A187" s="2824" t="s">
        <v>4813</v>
      </c>
      <c r="B187" s="2857" t="s">
        <v>4573</v>
      </c>
      <c r="C187" s="2853"/>
      <c r="D187" s="2814">
        <v>1</v>
      </c>
      <c r="E187" s="2814">
        <v>2</v>
      </c>
      <c r="F187" s="2814">
        <f>D187*E187</f>
        <v>2</v>
      </c>
      <c r="G187" s="2815">
        <v>81500</v>
      </c>
      <c r="H187" s="2816"/>
      <c r="I187" s="2826">
        <f>G187*F187</f>
        <v>163000</v>
      </c>
      <c r="J187" s="1072"/>
      <c r="K187" s="2828">
        <f t="shared" si="34"/>
        <v>0</v>
      </c>
      <c r="L187" s="2819"/>
      <c r="M187" s="2819">
        <f t="shared" si="35"/>
        <v>0</v>
      </c>
      <c r="N187" s="2828">
        <f t="shared" si="36"/>
        <v>163000</v>
      </c>
      <c r="O187" s="2819">
        <v>2</v>
      </c>
      <c r="P187" s="2819">
        <f t="shared" si="37"/>
        <v>0</v>
      </c>
      <c r="Q187" s="2820">
        <f t="shared" si="38"/>
        <v>100</v>
      </c>
      <c r="R187" s="2820">
        <f>'[68]Адм ноябрь 2014 - 20 095 541'!$D$24</f>
        <v>2</v>
      </c>
      <c r="S187" s="2829">
        <f>'[68]Адм ноябрь 2014 - 20 095 541'!$L$24</f>
        <v>74260.546256765258</v>
      </c>
      <c r="T187" s="2830">
        <f t="shared" si="49"/>
        <v>148521.09251353052</v>
      </c>
    </row>
    <row r="188" spans="1:20">
      <c r="A188" s="2811"/>
      <c r="B188" s="2812" t="s">
        <v>4814</v>
      </c>
      <c r="C188" s="2853"/>
      <c r="D188" s="2814"/>
      <c r="E188" s="2814"/>
      <c r="F188" s="2814"/>
      <c r="G188" s="2815"/>
      <c r="H188" s="2816"/>
      <c r="I188" s="2817"/>
      <c r="J188" s="2811"/>
      <c r="K188" s="2828"/>
      <c r="L188" s="2819"/>
      <c r="M188" s="2819"/>
      <c r="N188" s="2828"/>
      <c r="O188" s="2819"/>
      <c r="P188" s="2819"/>
      <c r="Q188" s="2820"/>
      <c r="R188" s="2820"/>
      <c r="S188" s="2829"/>
      <c r="T188" s="2830"/>
    </row>
    <row r="189" spans="1:20" s="2837" customFormat="1" ht="25.5">
      <c r="A189" s="2836" t="s">
        <v>4815</v>
      </c>
      <c r="B189" s="2857" t="s">
        <v>4584</v>
      </c>
      <c r="C189" s="2853"/>
      <c r="D189" s="2814">
        <v>1</v>
      </c>
      <c r="E189" s="2814">
        <v>1</v>
      </c>
      <c r="F189" s="2814">
        <f>D189*E189</f>
        <v>1</v>
      </c>
      <c r="G189" s="2815">
        <v>63250</v>
      </c>
      <c r="H189" s="2816"/>
      <c r="I189" s="2826">
        <f>G189*F189</f>
        <v>63250</v>
      </c>
      <c r="J189" s="1072"/>
      <c r="K189" s="2828">
        <f>L189*G189</f>
        <v>0</v>
      </c>
      <c r="L189" s="2819"/>
      <c r="M189" s="2819">
        <f>K189/I189*100</f>
        <v>0</v>
      </c>
      <c r="N189" s="2828">
        <f>O189*G189</f>
        <v>0</v>
      </c>
      <c r="O189" s="2819"/>
      <c r="P189" s="2819">
        <f>F189-O189</f>
        <v>1</v>
      </c>
      <c r="Q189" s="2820">
        <f>N189/I189*100</f>
        <v>0</v>
      </c>
      <c r="R189" s="2820">
        <f>'[69]Адм март 2015 - 38 922 227'!$D$37</f>
        <v>1</v>
      </c>
      <c r="S189" s="2829">
        <f>'[69]Адм март 2015 - 38 922 227'!$L$37</f>
        <v>59168.010754259951</v>
      </c>
      <c r="T189" s="2838">
        <f>R189*S189</f>
        <v>59168.010754259951</v>
      </c>
    </row>
    <row r="190" spans="1:20" s="403" customFormat="1">
      <c r="A190" s="2607" t="s">
        <v>4816</v>
      </c>
      <c r="B190" s="2633" t="s">
        <v>966</v>
      </c>
      <c r="C190" s="2618"/>
      <c r="D190" s="2602">
        <v>1</v>
      </c>
      <c r="E190" s="2602">
        <v>1</v>
      </c>
      <c r="F190" s="2602">
        <f>D190*E190</f>
        <v>1</v>
      </c>
      <c r="G190" s="2615">
        <v>21440</v>
      </c>
      <c r="H190" s="2604"/>
      <c r="I190" s="2605">
        <f>G190*F190</f>
        <v>21440</v>
      </c>
      <c r="J190" s="365"/>
      <c r="K190" s="2839">
        <f>L190*G190</f>
        <v>0</v>
      </c>
      <c r="L190" s="2840"/>
      <c r="M190" s="2840">
        <f>K190/I190*100</f>
        <v>0</v>
      </c>
      <c r="N190" s="2839">
        <f>O190*G190</f>
        <v>0</v>
      </c>
      <c r="O190" s="2840"/>
      <c r="P190" s="2840">
        <f>F190-O190</f>
        <v>1</v>
      </c>
      <c r="Q190" s="2841">
        <f>N190/I190*100</f>
        <v>0</v>
      </c>
      <c r="R190" s="2841">
        <f>'[69]Адм март 2015 - 38 922 227'!$D$39</f>
        <v>1</v>
      </c>
      <c r="S190" s="2842">
        <f>'[69]Адм март 2015 - 38 922 227'!$L$39</f>
        <v>20056.322711479472</v>
      </c>
      <c r="T190" s="2838">
        <f>R190*S190</f>
        <v>20056.322711479472</v>
      </c>
    </row>
    <row r="191" spans="1:20" s="403" customFormat="1">
      <c r="A191" s="2607" t="s">
        <v>4817</v>
      </c>
      <c r="B191" s="263" t="s">
        <v>4818</v>
      </c>
      <c r="C191" s="2618"/>
      <c r="D191" s="2602">
        <v>1</v>
      </c>
      <c r="E191" s="2602">
        <v>1</v>
      </c>
      <c r="F191" s="2602">
        <f>D191*E191</f>
        <v>1</v>
      </c>
      <c r="G191" s="2615">
        <v>10760</v>
      </c>
      <c r="H191" s="2604"/>
      <c r="I191" s="2605">
        <f>G191*F191</f>
        <v>10760</v>
      </c>
      <c r="J191" s="365"/>
      <c r="K191" s="2839">
        <f>L191*G191</f>
        <v>0</v>
      </c>
      <c r="L191" s="2840"/>
      <c r="M191" s="2840">
        <f>K191/I191*100</f>
        <v>0</v>
      </c>
      <c r="N191" s="2839">
        <f>O191*G191</f>
        <v>0</v>
      </c>
      <c r="O191" s="2840"/>
      <c r="P191" s="2840">
        <f>F191-O191</f>
        <v>1</v>
      </c>
      <c r="Q191" s="2841">
        <f>N191/I191*100</f>
        <v>0</v>
      </c>
      <c r="R191" s="2841">
        <f>'[69]Адм март 2015 - 38 922 227'!$D$41</f>
        <v>1</v>
      </c>
      <c r="S191" s="2842">
        <f>'[69]Адм март 2015 - 38 922 227'!$L$41</f>
        <v>10065.574911195959</v>
      </c>
      <c r="T191" s="2838">
        <f>R191*S191</f>
        <v>10065.574911195959</v>
      </c>
    </row>
    <row r="192" spans="1:20" s="2837" customFormat="1" ht="25.5">
      <c r="A192" s="2836" t="s">
        <v>4819</v>
      </c>
      <c r="B192" s="2857" t="s">
        <v>826</v>
      </c>
      <c r="C192" s="2853"/>
      <c r="D192" s="2814">
        <v>2</v>
      </c>
      <c r="E192" s="2814">
        <v>1</v>
      </c>
      <c r="F192" s="2814">
        <f>D192*E192</f>
        <v>2</v>
      </c>
      <c r="G192" s="2815">
        <v>51480</v>
      </c>
      <c r="H192" s="2816"/>
      <c r="I192" s="2826">
        <f>G192*F192</f>
        <v>102960</v>
      </c>
      <c r="J192" s="1072"/>
      <c r="K192" s="2828">
        <f>L192*G192</f>
        <v>0</v>
      </c>
      <c r="L192" s="2819"/>
      <c r="M192" s="2819">
        <f>K192/I192*100</f>
        <v>0</v>
      </c>
      <c r="N192" s="2828">
        <f>O192*G192</f>
        <v>102960</v>
      </c>
      <c r="O192" s="2819">
        <v>2</v>
      </c>
      <c r="P192" s="2819">
        <f>F192-O192</f>
        <v>0</v>
      </c>
      <c r="Q192" s="2820">
        <f>N192/I192*100</f>
        <v>100</v>
      </c>
      <c r="R192" s="2820">
        <f>'[69]адм корпус март 2015 г 7 606 74'!$D$151</f>
        <v>2</v>
      </c>
      <c r="S192" s="2829">
        <f>'[69]адм корпус март 2015 г 7 606 74'!$L$151</f>
        <v>31023.554947123204</v>
      </c>
      <c r="T192" s="2838">
        <f>R192*S192</f>
        <v>62047.109894246409</v>
      </c>
    </row>
    <row r="193" spans="1:20" s="2837" customFormat="1" ht="25.5">
      <c r="A193" s="2836" t="s">
        <v>4819</v>
      </c>
      <c r="B193" s="2857" t="s">
        <v>834</v>
      </c>
      <c r="C193" s="2853"/>
      <c r="D193" s="2814"/>
      <c r="E193" s="2814"/>
      <c r="F193" s="2814"/>
      <c r="G193" s="2815"/>
      <c r="H193" s="2816"/>
      <c r="I193" s="2826"/>
      <c r="J193" s="1072"/>
      <c r="K193" s="2828"/>
      <c r="L193" s="2819"/>
      <c r="M193" s="2819"/>
      <c r="N193" s="2828"/>
      <c r="O193" s="2819"/>
      <c r="P193" s="2819"/>
      <c r="Q193" s="2820"/>
      <c r="R193" s="2820">
        <f>'[69]адм корпус март 2015 г 7 606 74'!$D$153</f>
        <v>8</v>
      </c>
      <c r="S193" s="2829">
        <f>'[69]адм корпус март 2015 г 7 606 74'!$L$153</f>
        <v>3497.586218614917</v>
      </c>
      <c r="T193" s="2838">
        <f>R193*S193</f>
        <v>27980.689748919336</v>
      </c>
    </row>
    <row r="194" spans="1:20">
      <c r="A194" s="2811"/>
      <c r="B194" s="2812" t="s">
        <v>4820</v>
      </c>
      <c r="C194" s="2853"/>
      <c r="D194" s="2814"/>
      <c r="E194" s="2814"/>
      <c r="F194" s="2814"/>
      <c r="G194" s="2815"/>
      <c r="H194" s="2816"/>
      <c r="I194" s="2817"/>
      <c r="J194" s="2811"/>
      <c r="K194" s="2828"/>
      <c r="L194" s="2819"/>
      <c r="M194" s="2819"/>
      <c r="N194" s="2828"/>
      <c r="O194" s="2819"/>
      <c r="P194" s="2819"/>
      <c r="Q194" s="2820"/>
      <c r="R194" s="2820"/>
      <c r="S194" s="2829"/>
      <c r="T194" s="2830"/>
    </row>
    <row r="195" spans="1:20">
      <c r="A195" s="2824" t="s">
        <v>4821</v>
      </c>
      <c r="B195" s="2857" t="s">
        <v>4576</v>
      </c>
      <c r="C195" s="2853"/>
      <c r="D195" s="2814">
        <v>7</v>
      </c>
      <c r="E195" s="2814">
        <v>1</v>
      </c>
      <c r="F195" s="2814">
        <f>D195*E195</f>
        <v>7</v>
      </c>
      <c r="G195" s="2815">
        <v>241321</v>
      </c>
      <c r="H195" s="2816"/>
      <c r="I195" s="2826">
        <f>G195*F195</f>
        <v>1689247</v>
      </c>
      <c r="J195" s="2813"/>
      <c r="K195" s="2828">
        <f t="shared" ref="K195:K227" si="50">L195*G195</f>
        <v>0</v>
      </c>
      <c r="L195" s="2819"/>
      <c r="M195" s="2819">
        <f t="shared" ref="M195:M227" si="51">K195/I195*100</f>
        <v>0</v>
      </c>
      <c r="N195" s="2828">
        <f t="shared" ref="N195:N227" si="52">O195*G195</f>
        <v>1689247</v>
      </c>
      <c r="O195" s="2819">
        <v>7</v>
      </c>
      <c r="P195" s="2819">
        <f t="shared" ref="P195:P227" si="53">F195-O195</f>
        <v>0</v>
      </c>
      <c r="Q195" s="2820">
        <f t="shared" ref="Q195:Q227" si="54">N195/I195*100</f>
        <v>100</v>
      </c>
      <c r="R195" s="2820">
        <f>'[68]Адм июль 2013 - 21 827 307'!$D$85+'[68]Адм ноябрь 2014 - 42 219 574'!$D$154</f>
        <v>7</v>
      </c>
      <c r="S195" s="2829">
        <f>('[68]Адм июль 2013 - 21 827 307'!$L$85*6.3+'[68]Адм ноябрь 2014 - 42 219 574'!$L$154*0.7)/7</f>
        <v>211009.97555566666</v>
      </c>
      <c r="T195" s="2830">
        <f>R195*S195</f>
        <v>1477069.8288896666</v>
      </c>
    </row>
    <row r="196" spans="1:20">
      <c r="A196" s="2811"/>
      <c r="B196" s="2812" t="s">
        <v>4822</v>
      </c>
      <c r="C196" s="2853"/>
      <c r="D196" s="2814"/>
      <c r="E196" s="2814"/>
      <c r="F196" s="2814"/>
      <c r="G196" s="2815"/>
      <c r="H196" s="2816"/>
      <c r="I196" s="2817"/>
      <c r="J196" s="2811"/>
      <c r="K196" s="2828"/>
      <c r="L196" s="2819"/>
      <c r="M196" s="2819"/>
      <c r="N196" s="2828"/>
      <c r="O196" s="2819"/>
      <c r="P196" s="2819"/>
      <c r="Q196" s="2820"/>
      <c r="R196" s="2820"/>
      <c r="S196" s="2829"/>
      <c r="T196" s="2830"/>
    </row>
    <row r="197" spans="1:20">
      <c r="A197" s="2824" t="s">
        <v>4823</v>
      </c>
      <c r="B197" s="2857" t="s">
        <v>4824</v>
      </c>
      <c r="C197" s="2853"/>
      <c r="D197" s="2814">
        <v>4</v>
      </c>
      <c r="E197" s="2814">
        <v>1</v>
      </c>
      <c r="F197" s="2814">
        <f>D197*E197</f>
        <v>4</v>
      </c>
      <c r="G197" s="2815">
        <v>93600</v>
      </c>
      <c r="H197" s="2816"/>
      <c r="I197" s="2826">
        <f>G197*F197</f>
        <v>374400</v>
      </c>
      <c r="J197" s="2813"/>
      <c r="K197" s="2828">
        <f t="shared" si="50"/>
        <v>0</v>
      </c>
      <c r="L197" s="2819"/>
      <c r="M197" s="2819">
        <f t="shared" si="51"/>
        <v>0</v>
      </c>
      <c r="N197" s="2828">
        <f t="shared" si="52"/>
        <v>374400</v>
      </c>
      <c r="O197" s="2819">
        <v>4</v>
      </c>
      <c r="P197" s="2819">
        <f t="shared" si="53"/>
        <v>0</v>
      </c>
      <c r="Q197" s="2820">
        <f t="shared" si="54"/>
        <v>100</v>
      </c>
      <c r="R197" s="2820">
        <f>'[68]Адм ноябрь 2014 - 42 219 574'!$D$157</f>
        <v>4</v>
      </c>
      <c r="S197" s="2829">
        <f>'[68]Адм ноябрь 2014 - 42 219 574'!$L$157</f>
        <v>81843.413679104386</v>
      </c>
      <c r="T197" s="2830">
        <f t="shared" ref="T197:T209" si="55">R197*S197</f>
        <v>327373.65471641754</v>
      </c>
    </row>
    <row r="198" spans="1:20" s="403" customFormat="1" ht="20.45" customHeight="1">
      <c r="A198" s="2607" t="s">
        <v>4825</v>
      </c>
      <c r="B198" s="2633" t="s">
        <v>4570</v>
      </c>
      <c r="C198" s="2618"/>
      <c r="D198" s="2602">
        <v>1</v>
      </c>
      <c r="E198" s="2602">
        <v>1</v>
      </c>
      <c r="F198" s="2602">
        <f>D198*E198</f>
        <v>1</v>
      </c>
      <c r="G198" s="2615">
        <v>45089</v>
      </c>
      <c r="H198" s="2604"/>
      <c r="I198" s="2605">
        <f t="shared" ref="I198:I209" si="56">G198*F198</f>
        <v>45089</v>
      </c>
      <c r="J198" s="365"/>
      <c r="K198" s="2839">
        <f t="shared" si="50"/>
        <v>0</v>
      </c>
      <c r="L198" s="2840"/>
      <c r="M198" s="2840">
        <f t="shared" si="51"/>
        <v>0</v>
      </c>
      <c r="N198" s="2839">
        <f t="shared" si="52"/>
        <v>0</v>
      </c>
      <c r="O198" s="2840"/>
      <c r="P198" s="2840">
        <f t="shared" si="53"/>
        <v>1</v>
      </c>
      <c r="Q198" s="2841">
        <f t="shared" si="54"/>
        <v>0</v>
      </c>
      <c r="R198" s="2841">
        <f>'[69]Адм март 2015 - 38 922 227'!$D$44</f>
        <v>1</v>
      </c>
      <c r="S198" s="2842">
        <f>'[69]Адм март 2015 - 38 922 227'!$L$44</f>
        <v>42179.077276518401</v>
      </c>
      <c r="T198" s="2838">
        <f t="shared" si="55"/>
        <v>42179.077276518401</v>
      </c>
    </row>
    <row r="199" spans="1:20" s="403" customFormat="1">
      <c r="A199" s="2607" t="s">
        <v>4826</v>
      </c>
      <c r="B199" s="2633" t="s">
        <v>4827</v>
      </c>
      <c r="C199" s="2618"/>
      <c r="D199" s="2602"/>
      <c r="E199" s="2602"/>
      <c r="F199" s="2602">
        <v>1</v>
      </c>
      <c r="G199" s="2615">
        <v>1207988</v>
      </c>
      <c r="H199" s="2604"/>
      <c r="I199" s="2605">
        <f t="shared" si="56"/>
        <v>1207988</v>
      </c>
      <c r="J199" s="1556"/>
      <c r="K199" s="2839">
        <f t="shared" si="50"/>
        <v>0</v>
      </c>
      <c r="L199" s="2840"/>
      <c r="M199" s="2840">
        <f t="shared" si="51"/>
        <v>0</v>
      </c>
      <c r="N199" s="2839">
        <f t="shared" si="52"/>
        <v>1207988</v>
      </c>
      <c r="O199" s="2840">
        <v>1</v>
      </c>
      <c r="P199" s="2840">
        <f t="shared" si="53"/>
        <v>0</v>
      </c>
      <c r="Q199" s="2841">
        <f t="shared" si="54"/>
        <v>100</v>
      </c>
      <c r="R199" s="2841">
        <f>'[69]Адм март 2015 - 38 922 227'!$D$47</f>
        <v>1</v>
      </c>
      <c r="S199" s="2842">
        <f>'[69]Адм март 2015 - 38 922 227'!$L$47</f>
        <v>1130027.6062268948</v>
      </c>
      <c r="T199" s="2838">
        <f t="shared" si="55"/>
        <v>1130027.6062268948</v>
      </c>
    </row>
    <row r="200" spans="1:20" s="403" customFormat="1" ht="25.5">
      <c r="A200" s="2607" t="s">
        <v>4828</v>
      </c>
      <c r="B200" s="2633" t="s">
        <v>4829</v>
      </c>
      <c r="C200" s="2618"/>
      <c r="D200" s="2602"/>
      <c r="E200" s="2602"/>
      <c r="F200" s="2602">
        <v>1</v>
      </c>
      <c r="G200" s="2615">
        <v>918800</v>
      </c>
      <c r="H200" s="2604"/>
      <c r="I200" s="2605">
        <f t="shared" si="56"/>
        <v>918800</v>
      </c>
      <c r="J200" s="1556"/>
      <c r="K200" s="2839">
        <f t="shared" si="50"/>
        <v>0</v>
      </c>
      <c r="L200" s="2840"/>
      <c r="M200" s="2840">
        <f t="shared" si="51"/>
        <v>0</v>
      </c>
      <c r="N200" s="2839">
        <f t="shared" si="52"/>
        <v>918800</v>
      </c>
      <c r="O200" s="2840">
        <v>1</v>
      </c>
      <c r="P200" s="2840">
        <f t="shared" si="53"/>
        <v>0</v>
      </c>
      <c r="Q200" s="2841">
        <f t="shared" si="54"/>
        <v>100</v>
      </c>
      <c r="R200" s="2841">
        <f>'[69]Адм март 2015 - 38 922 227'!$D$49</f>
        <v>1</v>
      </c>
      <c r="S200" s="2842">
        <f>'[69]Адм март 2015 - 38 922 227'!$L$49</f>
        <v>859503.02882648888</v>
      </c>
      <c r="T200" s="2838">
        <f t="shared" si="55"/>
        <v>859503.02882648888</v>
      </c>
    </row>
    <row r="201" spans="1:20" s="403" customFormat="1">
      <c r="A201" s="2607" t="s">
        <v>4830</v>
      </c>
      <c r="B201" s="2633" t="s">
        <v>4831</v>
      </c>
      <c r="C201" s="2618"/>
      <c r="D201" s="2602">
        <v>250</v>
      </c>
      <c r="E201" s="2602">
        <v>1</v>
      </c>
      <c r="F201" s="2602">
        <f>D201*E201</f>
        <v>250</v>
      </c>
      <c r="G201" s="2615">
        <v>1065</v>
      </c>
      <c r="H201" s="2604"/>
      <c r="I201" s="2605">
        <f t="shared" si="56"/>
        <v>266250</v>
      </c>
      <c r="J201" s="1556"/>
      <c r="K201" s="2839">
        <f t="shared" si="50"/>
        <v>0</v>
      </c>
      <c r="L201" s="2840"/>
      <c r="M201" s="2840">
        <f t="shared" si="51"/>
        <v>0</v>
      </c>
      <c r="N201" s="2839">
        <f t="shared" si="52"/>
        <v>266250</v>
      </c>
      <c r="O201" s="2840">
        <v>250</v>
      </c>
      <c r="P201" s="2840">
        <f t="shared" si="53"/>
        <v>0</v>
      </c>
      <c r="Q201" s="2841">
        <f t="shared" si="54"/>
        <v>100</v>
      </c>
      <c r="R201" s="2841">
        <f>'[69]Адм март 2015 - 38 922 227'!$D$51</f>
        <v>250</v>
      </c>
      <c r="S201" s="2842">
        <f>'[69]Адм март 2015 - 38 922 227'!$L$51</f>
        <v>996.25655712570006</v>
      </c>
      <c r="T201" s="2838">
        <f t="shared" si="55"/>
        <v>249064.13928142501</v>
      </c>
    </row>
    <row r="202" spans="1:20" s="403" customFormat="1">
      <c r="A202" s="2607" t="s">
        <v>4832</v>
      </c>
      <c r="B202" s="2633" t="s">
        <v>4833</v>
      </c>
      <c r="C202" s="2618"/>
      <c r="D202" s="2602">
        <v>8</v>
      </c>
      <c r="E202" s="2602">
        <v>1</v>
      </c>
      <c r="F202" s="2602">
        <f>D202*E202</f>
        <v>8</v>
      </c>
      <c r="G202" s="2615">
        <v>10449</v>
      </c>
      <c r="H202" s="2604"/>
      <c r="I202" s="2605">
        <f t="shared" si="56"/>
        <v>83592</v>
      </c>
      <c r="J202" s="365"/>
      <c r="K202" s="2839">
        <f t="shared" si="50"/>
        <v>0</v>
      </c>
      <c r="L202" s="2840"/>
      <c r="M202" s="2840">
        <f t="shared" si="51"/>
        <v>0</v>
      </c>
      <c r="N202" s="2839">
        <f t="shared" si="52"/>
        <v>0</v>
      </c>
      <c r="O202" s="2840"/>
      <c r="P202" s="2840">
        <f t="shared" si="53"/>
        <v>8</v>
      </c>
      <c r="Q202" s="2841">
        <f t="shared" si="54"/>
        <v>0</v>
      </c>
      <c r="R202" s="2841">
        <f>'[69]Адм март 2015 - 38 922 227'!$D$53</f>
        <v>8</v>
      </c>
      <c r="S202" s="2842">
        <f>'[69]Адм март 2015 - 38 922 227'!$L$53</f>
        <v>9774.6461955967516</v>
      </c>
      <c r="T202" s="2838">
        <f t="shared" si="55"/>
        <v>78197.169564774013</v>
      </c>
    </row>
    <row r="203" spans="1:20" s="403" customFormat="1" ht="25.5">
      <c r="A203" s="2607" t="s">
        <v>4834</v>
      </c>
      <c r="B203" s="2633" t="s">
        <v>4835</v>
      </c>
      <c r="C203" s="2618"/>
      <c r="D203" s="2602">
        <v>4</v>
      </c>
      <c r="E203" s="2602">
        <v>1</v>
      </c>
      <c r="F203" s="2602">
        <f>D203*E203</f>
        <v>4</v>
      </c>
      <c r="G203" s="2615">
        <v>45500</v>
      </c>
      <c r="H203" s="2604"/>
      <c r="I203" s="2605">
        <f t="shared" si="56"/>
        <v>182000</v>
      </c>
      <c r="J203" s="365"/>
      <c r="K203" s="2839">
        <f t="shared" si="50"/>
        <v>0</v>
      </c>
      <c r="L203" s="2840"/>
      <c r="M203" s="2840">
        <f t="shared" si="51"/>
        <v>0</v>
      </c>
      <c r="N203" s="2839">
        <f t="shared" si="52"/>
        <v>0</v>
      </c>
      <c r="O203" s="2840"/>
      <c r="P203" s="2840">
        <f t="shared" si="53"/>
        <v>4</v>
      </c>
      <c r="Q203" s="2841">
        <f t="shared" si="54"/>
        <v>0</v>
      </c>
      <c r="R203" s="2841">
        <f>'[69]адм 10 227 206 '!$D$19</f>
        <v>4</v>
      </c>
      <c r="S203" s="2842">
        <f>'[69]адм 10 227 206 '!$L$19</f>
        <v>42563.546343464055</v>
      </c>
      <c r="T203" s="2838">
        <f t="shared" si="55"/>
        <v>170254.18537385622</v>
      </c>
    </row>
    <row r="204" spans="1:20">
      <c r="A204" s="2824" t="s">
        <v>4836</v>
      </c>
      <c r="B204" s="2857" t="s">
        <v>4837</v>
      </c>
      <c r="C204" s="2853"/>
      <c r="D204" s="2814">
        <v>16</v>
      </c>
      <c r="E204" s="2814">
        <v>1</v>
      </c>
      <c r="F204" s="2814">
        <f t="shared" ref="F204:F209" si="57">D204*E204</f>
        <v>16</v>
      </c>
      <c r="G204" s="2815">
        <v>18200</v>
      </c>
      <c r="H204" s="2816"/>
      <c r="I204" s="2826">
        <f t="shared" si="56"/>
        <v>291200</v>
      </c>
      <c r="J204" s="1072"/>
      <c r="K204" s="2828">
        <f t="shared" si="50"/>
        <v>0</v>
      </c>
      <c r="L204" s="2819"/>
      <c r="M204" s="2819">
        <f t="shared" si="51"/>
        <v>0</v>
      </c>
      <c r="N204" s="2828">
        <f t="shared" si="52"/>
        <v>291200</v>
      </c>
      <c r="O204" s="2819">
        <v>16</v>
      </c>
      <c r="P204" s="2819">
        <f t="shared" si="53"/>
        <v>0</v>
      </c>
      <c r="Q204" s="2820">
        <f t="shared" si="54"/>
        <v>100</v>
      </c>
      <c r="R204" s="2820">
        <f>'[68]Адм август 2013 - 3 571 993'!$D$20</f>
        <v>16</v>
      </c>
      <c r="S204" s="2829">
        <f>'[68]Адм август 2013 - 3 571 993'!$L$20</f>
        <v>15914.004562231201</v>
      </c>
      <c r="T204" s="2830">
        <f t="shared" si="55"/>
        <v>254624.07299569921</v>
      </c>
    </row>
    <row r="205" spans="1:20">
      <c r="A205" s="2824" t="s">
        <v>4838</v>
      </c>
      <c r="B205" s="2857" t="s">
        <v>1865</v>
      </c>
      <c r="C205" s="2853"/>
      <c r="D205" s="2814">
        <v>21</v>
      </c>
      <c r="E205" s="2814">
        <v>1</v>
      </c>
      <c r="F205" s="2814">
        <f t="shared" si="57"/>
        <v>21</v>
      </c>
      <c r="G205" s="2815">
        <v>8700</v>
      </c>
      <c r="H205" s="2816"/>
      <c r="I205" s="2826">
        <f t="shared" si="56"/>
        <v>182700</v>
      </c>
      <c r="J205" s="1072"/>
      <c r="K205" s="2828">
        <f t="shared" si="50"/>
        <v>0</v>
      </c>
      <c r="L205" s="2819"/>
      <c r="M205" s="2819">
        <f t="shared" si="51"/>
        <v>0</v>
      </c>
      <c r="N205" s="2828">
        <f t="shared" si="52"/>
        <v>182700</v>
      </c>
      <c r="O205" s="2819">
        <v>21</v>
      </c>
      <c r="P205" s="2819">
        <f t="shared" si="53"/>
        <v>0</v>
      </c>
      <c r="Q205" s="2820">
        <f t="shared" si="54"/>
        <v>100</v>
      </c>
      <c r="R205" s="2820">
        <f>'[68]Адм август 2013 - 3 706 599'!$D$29</f>
        <v>21</v>
      </c>
      <c r="S205" s="2829">
        <f>'[68]Адм август 2013 - 3 706 599'!$L$29</f>
        <v>7607.1490190978393</v>
      </c>
      <c r="T205" s="2830">
        <f t="shared" si="55"/>
        <v>159750.12940105461</v>
      </c>
    </row>
    <row r="206" spans="1:20">
      <c r="A206" s="2824" t="s">
        <v>4839</v>
      </c>
      <c r="B206" s="2857" t="s">
        <v>4840</v>
      </c>
      <c r="C206" s="2853"/>
      <c r="D206" s="2814">
        <v>13</v>
      </c>
      <c r="E206" s="2814">
        <v>1</v>
      </c>
      <c r="F206" s="2814">
        <f t="shared" si="57"/>
        <v>13</v>
      </c>
      <c r="G206" s="2815">
        <v>17260</v>
      </c>
      <c r="H206" s="2816"/>
      <c r="I206" s="2826">
        <f t="shared" si="56"/>
        <v>224380</v>
      </c>
      <c r="J206" s="1072"/>
      <c r="K206" s="2828">
        <f t="shared" si="50"/>
        <v>0</v>
      </c>
      <c r="L206" s="2819"/>
      <c r="M206" s="2819">
        <f t="shared" si="51"/>
        <v>0</v>
      </c>
      <c r="N206" s="2828">
        <f t="shared" si="52"/>
        <v>224380</v>
      </c>
      <c r="O206" s="2819">
        <v>13</v>
      </c>
      <c r="P206" s="2819">
        <f t="shared" si="53"/>
        <v>0</v>
      </c>
      <c r="Q206" s="2820">
        <f t="shared" si="54"/>
        <v>100</v>
      </c>
      <c r="R206" s="2820">
        <f>'[68]Адм август 2013 - 3 706 599'!$D$31</f>
        <v>13</v>
      </c>
      <c r="S206" s="2829">
        <f>'[68]Адм август 2013 - 3 706 599'!$L$31</f>
        <v>15092.0617002904</v>
      </c>
      <c r="T206" s="2830">
        <f t="shared" si="55"/>
        <v>196196.8021037752</v>
      </c>
    </row>
    <row r="207" spans="1:20">
      <c r="A207" s="2824" t="s">
        <v>4841</v>
      </c>
      <c r="B207" s="2857" t="s">
        <v>4842</v>
      </c>
      <c r="C207" s="2853"/>
      <c r="D207" s="2814">
        <v>12</v>
      </c>
      <c r="E207" s="2814">
        <v>1</v>
      </c>
      <c r="F207" s="2814">
        <f t="shared" si="57"/>
        <v>12</v>
      </c>
      <c r="G207" s="2815">
        <v>8500</v>
      </c>
      <c r="H207" s="2816"/>
      <c r="I207" s="2826">
        <f t="shared" si="56"/>
        <v>102000</v>
      </c>
      <c r="J207" s="1072"/>
      <c r="K207" s="2828">
        <f t="shared" si="50"/>
        <v>0</v>
      </c>
      <c r="L207" s="2819"/>
      <c r="M207" s="2819">
        <f t="shared" si="51"/>
        <v>0</v>
      </c>
      <c r="N207" s="2828">
        <f t="shared" si="52"/>
        <v>102000</v>
      </c>
      <c r="O207" s="2819">
        <v>12</v>
      </c>
      <c r="P207" s="2819">
        <f t="shared" si="53"/>
        <v>0</v>
      </c>
      <c r="Q207" s="2820">
        <f t="shared" si="54"/>
        <v>100</v>
      </c>
      <c r="R207" s="2820">
        <f>'[68]Адм ноябрь 2014 - 20 095 541'!$D$27</f>
        <v>12</v>
      </c>
      <c r="S207" s="2829">
        <f>'[68]Адм ноябрь 2014 - 20 095 541'!$L$27</f>
        <v>7744.964268508601</v>
      </c>
      <c r="T207" s="2830">
        <f t="shared" si="55"/>
        <v>92939.571222103215</v>
      </c>
    </row>
    <row r="208" spans="1:20">
      <c r="A208" s="2824" t="s">
        <v>4843</v>
      </c>
      <c r="B208" s="2857" t="s">
        <v>4844</v>
      </c>
      <c r="C208" s="2853"/>
      <c r="D208" s="2814">
        <v>12</v>
      </c>
      <c r="E208" s="2814">
        <v>1</v>
      </c>
      <c r="F208" s="2814">
        <f t="shared" si="57"/>
        <v>12</v>
      </c>
      <c r="G208" s="2815">
        <v>13992</v>
      </c>
      <c r="H208" s="2816"/>
      <c r="I208" s="2826">
        <f t="shared" si="56"/>
        <v>167904</v>
      </c>
      <c r="J208" s="1072"/>
      <c r="K208" s="2828">
        <f t="shared" si="50"/>
        <v>0</v>
      </c>
      <c r="L208" s="2819"/>
      <c r="M208" s="2819">
        <f t="shared" si="51"/>
        <v>0</v>
      </c>
      <c r="N208" s="2828">
        <f t="shared" si="52"/>
        <v>167904</v>
      </c>
      <c r="O208" s="2819">
        <v>12</v>
      </c>
      <c r="P208" s="2819">
        <f t="shared" si="53"/>
        <v>0</v>
      </c>
      <c r="Q208" s="2820">
        <f t="shared" si="54"/>
        <v>100</v>
      </c>
      <c r="R208" s="2820">
        <f>'[68]Адм август 2013 - 3 706 599'!$D$33</f>
        <v>12</v>
      </c>
      <c r="S208" s="2829">
        <f>'[68]Адм август 2013 - 3 706 599'!$L$33</f>
        <v>12234.54870858912</v>
      </c>
      <c r="T208" s="2830">
        <f t="shared" si="55"/>
        <v>146814.58450306943</v>
      </c>
    </row>
    <row r="209" spans="1:20">
      <c r="A209" s="2824" t="s">
        <v>4845</v>
      </c>
      <c r="B209" s="2857" t="s">
        <v>4846</v>
      </c>
      <c r="C209" s="2853"/>
      <c r="D209" s="2814">
        <v>2</v>
      </c>
      <c r="E209" s="2814">
        <v>1</v>
      </c>
      <c r="F209" s="2814">
        <f t="shared" si="57"/>
        <v>2</v>
      </c>
      <c r="G209" s="2815">
        <v>62000</v>
      </c>
      <c r="H209" s="2816"/>
      <c r="I209" s="2826">
        <f t="shared" si="56"/>
        <v>124000</v>
      </c>
      <c r="J209" s="1072"/>
      <c r="K209" s="2828">
        <f t="shared" si="50"/>
        <v>0</v>
      </c>
      <c r="L209" s="2819"/>
      <c r="M209" s="2819">
        <f t="shared" si="51"/>
        <v>0</v>
      </c>
      <c r="N209" s="2828">
        <f t="shared" si="52"/>
        <v>124000</v>
      </c>
      <c r="O209" s="2819">
        <v>2</v>
      </c>
      <c r="P209" s="2819">
        <f t="shared" si="53"/>
        <v>0</v>
      </c>
      <c r="Q209" s="2820">
        <f t="shared" si="54"/>
        <v>100</v>
      </c>
      <c r="R209" s="2820">
        <f>'[68]Адм ноябрь 2014 - 17 872 571'!$D$50</f>
        <v>2</v>
      </c>
      <c r="S209" s="2829">
        <f>'[68]Адм ноябрь 2014 - 17 872 571'!$L$50</f>
        <v>54212.525734093892</v>
      </c>
      <c r="T209" s="2830">
        <f t="shared" si="55"/>
        <v>108425.05146818778</v>
      </c>
    </row>
    <row r="210" spans="1:20" ht="25.5">
      <c r="A210" s="2858">
        <v>2</v>
      </c>
      <c r="B210" s="2812" t="s">
        <v>4847</v>
      </c>
      <c r="C210" s="2853"/>
      <c r="D210" s="2814"/>
      <c r="E210" s="2814"/>
      <c r="F210" s="2814"/>
      <c r="G210" s="2815"/>
      <c r="H210" s="2816"/>
      <c r="I210" s="2817">
        <f>SUM(I211:I229)</f>
        <v>6359230</v>
      </c>
      <c r="J210" s="2811"/>
      <c r="K210" s="2828">
        <f>SUM(K211:K229)</f>
        <v>0</v>
      </c>
      <c r="L210" s="2819"/>
      <c r="M210" s="2819">
        <f t="shared" si="51"/>
        <v>0</v>
      </c>
      <c r="N210" s="2828">
        <f>SUM(N211:N229)</f>
        <v>6359230</v>
      </c>
      <c r="O210" s="2819"/>
      <c r="P210" s="2819"/>
      <c r="Q210" s="2820">
        <f t="shared" si="54"/>
        <v>100</v>
      </c>
      <c r="R210" s="2820"/>
      <c r="S210" s="2829"/>
      <c r="T210" s="2830"/>
    </row>
    <row r="211" spans="1:20" ht="25.5">
      <c r="A211" s="2811" t="s">
        <v>4848</v>
      </c>
      <c r="B211" s="2857" t="s">
        <v>947</v>
      </c>
      <c r="C211" s="2853"/>
      <c r="D211" s="2814">
        <v>1</v>
      </c>
      <c r="E211" s="2814">
        <v>1</v>
      </c>
      <c r="F211" s="2814">
        <f>D211*E211</f>
        <v>1</v>
      </c>
      <c r="G211" s="2815">
        <v>307646</v>
      </c>
      <c r="H211" s="2816"/>
      <c r="I211" s="2826">
        <f>G211*F211</f>
        <v>307646</v>
      </c>
      <c r="J211" s="2827"/>
      <c r="K211" s="2828">
        <f t="shared" si="50"/>
        <v>0</v>
      </c>
      <c r="L211" s="2819"/>
      <c r="M211" s="2819">
        <f t="shared" si="51"/>
        <v>0</v>
      </c>
      <c r="N211" s="2828">
        <f t="shared" si="52"/>
        <v>307646</v>
      </c>
      <c r="O211" s="2819">
        <v>1</v>
      </c>
      <c r="P211" s="2819">
        <f t="shared" si="53"/>
        <v>0</v>
      </c>
      <c r="Q211" s="2820">
        <f t="shared" si="54"/>
        <v>100</v>
      </c>
      <c r="R211" s="2820">
        <f>'[68]Адм ноябрь 2014 - 42 219 574'!$D$167+'[68]Адм ноябрь 2014 - 35 820 766'!$D$209</f>
        <v>1</v>
      </c>
      <c r="S211" s="2829">
        <f>'[68]Адм ноябрь 2014 - 42 219 574'!$L$167*0.9+'[68]Адм ноябрь 2014 - 35 820 766'!$L$209*0.1</f>
        <v>269004.26390334079</v>
      </c>
      <c r="T211" s="2830">
        <f t="shared" ref="T211:T219" si="58">R211*S211</f>
        <v>269004.26390334079</v>
      </c>
    </row>
    <row r="212" spans="1:20" ht="25.5">
      <c r="A212" s="2811" t="s">
        <v>4849</v>
      </c>
      <c r="B212" s="2857" t="s">
        <v>952</v>
      </c>
      <c r="C212" s="2853"/>
      <c r="D212" s="2814">
        <v>1</v>
      </c>
      <c r="E212" s="2814">
        <v>1</v>
      </c>
      <c r="F212" s="2814">
        <f t="shared" ref="F212:F223" si="59">D212*E212</f>
        <v>1</v>
      </c>
      <c r="G212" s="2815">
        <v>874716</v>
      </c>
      <c r="H212" s="2816"/>
      <c r="I212" s="2826">
        <f t="shared" ref="I212:I223" si="60">G212*F212</f>
        <v>874716</v>
      </c>
      <c r="J212" s="2827"/>
      <c r="K212" s="2828">
        <f t="shared" si="50"/>
        <v>0</v>
      </c>
      <c r="L212" s="2819"/>
      <c r="M212" s="2819">
        <f t="shared" si="51"/>
        <v>0</v>
      </c>
      <c r="N212" s="2828">
        <f t="shared" si="52"/>
        <v>874716</v>
      </c>
      <c r="O212" s="2819">
        <v>1</v>
      </c>
      <c r="P212" s="2819">
        <f t="shared" si="53"/>
        <v>0</v>
      </c>
      <c r="Q212" s="2820">
        <f t="shared" si="54"/>
        <v>100</v>
      </c>
      <c r="R212" s="2820">
        <f>'[68]Адм июль 2013 - 21 827 307'!$D$95+'[68]Адм ноябрь 2014 - 35 820 766'!$D$211</f>
        <v>1</v>
      </c>
      <c r="S212" s="2829">
        <f>'[68]Адм июль 2013 - 21 827 307'!$L$95*0.9+'[68]Адм ноябрь 2014 - 35 820 766'!$L$211*0.1</f>
        <v>764847.6764503005</v>
      </c>
      <c r="T212" s="2830">
        <f t="shared" si="58"/>
        <v>764847.6764503005</v>
      </c>
    </row>
    <row r="213" spans="1:20" ht="25.5">
      <c r="A213" s="2811" t="s">
        <v>4850</v>
      </c>
      <c r="B213" s="2857" t="s">
        <v>958</v>
      </c>
      <c r="C213" s="2853"/>
      <c r="D213" s="2814">
        <v>1</v>
      </c>
      <c r="E213" s="2814">
        <v>1</v>
      </c>
      <c r="F213" s="2814">
        <f t="shared" si="59"/>
        <v>1</v>
      </c>
      <c r="G213" s="2815">
        <v>577958</v>
      </c>
      <c r="H213" s="2816"/>
      <c r="I213" s="2826">
        <f t="shared" si="60"/>
        <v>577958</v>
      </c>
      <c r="J213" s="2827"/>
      <c r="K213" s="2828">
        <f t="shared" si="50"/>
        <v>0</v>
      </c>
      <c r="L213" s="2819"/>
      <c r="M213" s="2819">
        <f t="shared" si="51"/>
        <v>0</v>
      </c>
      <c r="N213" s="2828">
        <f t="shared" si="52"/>
        <v>577958</v>
      </c>
      <c r="O213" s="2819">
        <v>1</v>
      </c>
      <c r="P213" s="2819">
        <f t="shared" si="53"/>
        <v>0</v>
      </c>
      <c r="Q213" s="2820">
        <f t="shared" si="54"/>
        <v>100</v>
      </c>
      <c r="R213" s="2820">
        <f>'[68]Адм ноябрь 2014 - 42 219 574'!$D$169+'[68]Адм ноябрь 2014 - 35 820 766'!$D$213</f>
        <v>1</v>
      </c>
      <c r="S213" s="2829">
        <f>'[68]Адм ноябрь 2014 - 42 219 574'!$L$169*0.9+'[68]Адм ноябрь 2014 - 35 820 766'!$L$213*0.1</f>
        <v>505363.83856730949</v>
      </c>
      <c r="T213" s="2830">
        <f t="shared" si="58"/>
        <v>505363.83856730949</v>
      </c>
    </row>
    <row r="214" spans="1:20" ht="38.25">
      <c r="A214" s="2811" t="s">
        <v>4851</v>
      </c>
      <c r="B214" s="2857" t="s">
        <v>4852</v>
      </c>
      <c r="C214" s="2853"/>
      <c r="D214" s="2814">
        <v>1</v>
      </c>
      <c r="E214" s="2814">
        <v>1</v>
      </c>
      <c r="F214" s="2814">
        <f t="shared" si="59"/>
        <v>1</v>
      </c>
      <c r="G214" s="2815">
        <v>585360</v>
      </c>
      <c r="H214" s="2816"/>
      <c r="I214" s="2826">
        <f t="shared" si="60"/>
        <v>585360</v>
      </c>
      <c r="J214" s="2827"/>
      <c r="K214" s="2828">
        <f t="shared" si="50"/>
        <v>0</v>
      </c>
      <c r="L214" s="2819"/>
      <c r="M214" s="2819">
        <f t="shared" si="51"/>
        <v>0</v>
      </c>
      <c r="N214" s="2828">
        <f t="shared" si="52"/>
        <v>585360</v>
      </c>
      <c r="O214" s="2819">
        <v>1</v>
      </c>
      <c r="P214" s="2819">
        <f t="shared" si="53"/>
        <v>0</v>
      </c>
      <c r="Q214" s="2820">
        <f t="shared" si="54"/>
        <v>100</v>
      </c>
      <c r="R214" s="2820">
        <f>'[68]Адм июль 2013 - 21 827 307'!$D$97+'[68]Адм ноябрь 2014 - 35 820 766'!$D$215</f>
        <v>1</v>
      </c>
      <c r="S214" s="2829">
        <f>'[68]Адм июль 2013 - 21 827 307'!$L$97*0.9+'[68]Адм ноябрь 2014 - 35 820 766'!$L$215*0.1</f>
        <v>511836.12035519042</v>
      </c>
      <c r="T214" s="2830">
        <f t="shared" si="58"/>
        <v>511836.12035519042</v>
      </c>
    </row>
    <row r="215" spans="1:20" ht="38.25">
      <c r="A215" s="2811" t="s">
        <v>4853</v>
      </c>
      <c r="B215" s="2857" t="s">
        <v>4854</v>
      </c>
      <c r="C215" s="2853"/>
      <c r="D215" s="2814">
        <v>1</v>
      </c>
      <c r="E215" s="2814">
        <v>1</v>
      </c>
      <c r="F215" s="2814">
        <f t="shared" si="59"/>
        <v>1</v>
      </c>
      <c r="G215" s="2815">
        <v>206115</v>
      </c>
      <c r="H215" s="2816"/>
      <c r="I215" s="2826">
        <f t="shared" si="60"/>
        <v>206115</v>
      </c>
      <c r="J215" s="2827"/>
      <c r="K215" s="2828">
        <f t="shared" si="50"/>
        <v>0</v>
      </c>
      <c r="L215" s="2819"/>
      <c r="M215" s="2819">
        <f t="shared" si="51"/>
        <v>0</v>
      </c>
      <c r="N215" s="2828">
        <f t="shared" si="52"/>
        <v>206115</v>
      </c>
      <c r="O215" s="2819">
        <v>1</v>
      </c>
      <c r="P215" s="2819">
        <f t="shared" si="53"/>
        <v>0</v>
      </c>
      <c r="Q215" s="2820">
        <f t="shared" si="54"/>
        <v>100</v>
      </c>
      <c r="R215" s="2820">
        <f>'[68]Адм ноябрь 2014 - 42 219 574'!$D$171+'[68]Адм ноябрь 2014 - 35 820 766'!$D$217</f>
        <v>1</v>
      </c>
      <c r="S215" s="2829">
        <f>'[68]Адм ноябрь 2014 - 42 219 574'!$L$171*0.9+'[68]Адм ноябрь 2014 - 35 820 766'!$L$217*0.1</f>
        <v>180226.00437211123</v>
      </c>
      <c r="T215" s="2830">
        <f t="shared" si="58"/>
        <v>180226.00437211123</v>
      </c>
    </row>
    <row r="216" spans="1:20" s="403" customFormat="1" ht="38.25">
      <c r="A216" s="1474" t="s">
        <v>4855</v>
      </c>
      <c r="B216" s="2633" t="s">
        <v>4856</v>
      </c>
      <c r="C216" s="2618"/>
      <c r="D216" s="2602">
        <v>1</v>
      </c>
      <c r="E216" s="2602">
        <v>1</v>
      </c>
      <c r="F216" s="2602">
        <f>D216*E216</f>
        <v>1</v>
      </c>
      <c r="G216" s="2615">
        <v>1123355</v>
      </c>
      <c r="H216" s="2604"/>
      <c r="I216" s="2605">
        <f>G216*F216</f>
        <v>1123355</v>
      </c>
      <c r="J216" s="1556"/>
      <c r="K216" s="2839">
        <f>L216*G216</f>
        <v>0</v>
      </c>
      <c r="L216" s="2840"/>
      <c r="M216" s="2840">
        <f t="shared" si="51"/>
        <v>0</v>
      </c>
      <c r="N216" s="2839">
        <f>O216*G216</f>
        <v>1123355</v>
      </c>
      <c r="O216" s="2840">
        <v>1</v>
      </c>
      <c r="P216" s="2840">
        <f>F216-O216</f>
        <v>0</v>
      </c>
      <c r="Q216" s="2841">
        <f>N216/I216*100</f>
        <v>100</v>
      </c>
      <c r="R216" s="2841">
        <f>'[69]Адм июль 2013 - 21 827 307'!$D$99+'[69]Адм ноябрь 2014 - 35 820 766'!$D$219</f>
        <v>1</v>
      </c>
      <c r="S216" s="2842">
        <f>'[69]Адм июль 2013 - 21 827 307'!$L$99*0.9+'[69]Адм ноябрь 2014 - 35 820 766'!$L$219*0.1</f>
        <v>982256.49978935043</v>
      </c>
      <c r="T216" s="2838">
        <f>R216*S216</f>
        <v>982256.49978935043</v>
      </c>
    </row>
    <row r="217" spans="1:20" ht="38.25">
      <c r="A217" s="2811" t="s">
        <v>4857</v>
      </c>
      <c r="B217" s="2857" t="s">
        <v>4858</v>
      </c>
      <c r="C217" s="2853"/>
      <c r="D217" s="2814">
        <v>1</v>
      </c>
      <c r="E217" s="2814">
        <v>1</v>
      </c>
      <c r="F217" s="2814">
        <f t="shared" si="59"/>
        <v>1</v>
      </c>
      <c r="G217" s="2815">
        <v>58751</v>
      </c>
      <c r="H217" s="2816"/>
      <c r="I217" s="2826">
        <f t="shared" si="60"/>
        <v>58751</v>
      </c>
      <c r="J217" s="2827"/>
      <c r="K217" s="2828">
        <f t="shared" si="50"/>
        <v>0</v>
      </c>
      <c r="L217" s="2819"/>
      <c r="M217" s="2819">
        <f t="shared" si="51"/>
        <v>0</v>
      </c>
      <c r="N217" s="2828">
        <f t="shared" si="52"/>
        <v>58751</v>
      </c>
      <c r="O217" s="2819">
        <v>1</v>
      </c>
      <c r="P217" s="2819">
        <f t="shared" si="53"/>
        <v>0</v>
      </c>
      <c r="Q217" s="2820">
        <f t="shared" si="54"/>
        <v>100</v>
      </c>
      <c r="R217" s="2820">
        <f>'[68]Адм июль 2013 - 21 827 307'!$D$101+'[68]Адм ноябрь 2014 - 35 820 766'!$D$221</f>
        <v>1</v>
      </c>
      <c r="S217" s="2829">
        <f>'[68]Адм июль 2013 - 21 827 307'!$L$101*0.9+'[68]Адм ноябрь 2014 - 35 820 766'!$L$221*0.1</f>
        <v>51371.609523628955</v>
      </c>
      <c r="T217" s="2830">
        <f t="shared" si="58"/>
        <v>51371.609523628955</v>
      </c>
    </row>
    <row r="218" spans="1:20">
      <c r="A218" s="2811" t="s">
        <v>4859</v>
      </c>
      <c r="B218" s="2857" t="s">
        <v>955</v>
      </c>
      <c r="C218" s="2853"/>
      <c r="D218" s="2814">
        <v>1</v>
      </c>
      <c r="E218" s="2814">
        <v>1</v>
      </c>
      <c r="F218" s="2814">
        <f t="shared" si="59"/>
        <v>1</v>
      </c>
      <c r="G218" s="2815">
        <v>86364</v>
      </c>
      <c r="H218" s="2816"/>
      <c r="I218" s="2826">
        <f t="shared" si="60"/>
        <v>86364</v>
      </c>
      <c r="J218" s="2827"/>
      <c r="K218" s="2828">
        <f t="shared" si="50"/>
        <v>0</v>
      </c>
      <c r="L218" s="2819"/>
      <c r="M218" s="2819">
        <f t="shared" si="51"/>
        <v>0</v>
      </c>
      <c r="N218" s="2828">
        <f t="shared" si="52"/>
        <v>86364</v>
      </c>
      <c r="O218" s="2819">
        <v>1</v>
      </c>
      <c r="P218" s="2819">
        <f t="shared" si="53"/>
        <v>0</v>
      </c>
      <c r="Q218" s="2820">
        <f t="shared" si="54"/>
        <v>100</v>
      </c>
      <c r="R218" s="2820">
        <f>'[68]Адм июль 2013 - 21 827 307'!$D$103+'[68]Адм ноябрь 2014 - 35 820 766'!$D$223</f>
        <v>1</v>
      </c>
      <c r="S218" s="2829">
        <f>'[68]Адм июль 2013 - 21 827 307'!$L$103*0.9+'[68]Адм ноябрь 2014 - 35 820 766'!$L$223*0.1</f>
        <v>75516.293806873815</v>
      </c>
      <c r="T218" s="2830">
        <f t="shared" si="58"/>
        <v>75516.293806873815</v>
      </c>
    </row>
    <row r="219" spans="1:20" ht="25.5">
      <c r="A219" s="2811" t="s">
        <v>4860</v>
      </c>
      <c r="B219" s="2857" t="s">
        <v>949</v>
      </c>
      <c r="C219" s="2853"/>
      <c r="D219" s="2814">
        <v>1</v>
      </c>
      <c r="E219" s="2814">
        <v>1</v>
      </c>
      <c r="F219" s="2814">
        <f t="shared" si="59"/>
        <v>1</v>
      </c>
      <c r="G219" s="2815">
        <v>167269</v>
      </c>
      <c r="H219" s="2816"/>
      <c r="I219" s="2826">
        <f t="shared" si="60"/>
        <v>167269</v>
      </c>
      <c r="J219" s="2827"/>
      <c r="K219" s="2828">
        <f t="shared" si="50"/>
        <v>0</v>
      </c>
      <c r="L219" s="2819"/>
      <c r="M219" s="2819">
        <f t="shared" si="51"/>
        <v>0</v>
      </c>
      <c r="N219" s="2828">
        <f t="shared" si="52"/>
        <v>167269</v>
      </c>
      <c r="O219" s="2819">
        <v>1</v>
      </c>
      <c r="P219" s="2819">
        <f t="shared" si="53"/>
        <v>0</v>
      </c>
      <c r="Q219" s="2820">
        <f t="shared" si="54"/>
        <v>100</v>
      </c>
      <c r="R219" s="2820">
        <f>'[68]Адм ноябрь 2014 - 35 820 766'!$D$225</f>
        <v>1</v>
      </c>
      <c r="S219" s="2829">
        <f>'[68]Адм ноябрь 2014 - 35 820 766'!$L$225</f>
        <v>146259.24805412654</v>
      </c>
      <c r="T219" s="2830">
        <f t="shared" si="58"/>
        <v>146259.24805412654</v>
      </c>
    </row>
    <row r="220" spans="1:20" ht="25.5">
      <c r="A220" s="2811" t="s">
        <v>4861</v>
      </c>
      <c r="B220" s="2857" t="s">
        <v>904</v>
      </c>
      <c r="C220" s="2853"/>
      <c r="D220" s="2814">
        <v>2</v>
      </c>
      <c r="E220" s="2814">
        <v>1</v>
      </c>
      <c r="F220" s="2814">
        <f t="shared" si="59"/>
        <v>2</v>
      </c>
      <c r="G220" s="2815">
        <v>238683</v>
      </c>
      <c r="H220" s="2816"/>
      <c r="I220" s="2826">
        <f t="shared" si="60"/>
        <v>477366</v>
      </c>
      <c r="J220" s="2827"/>
      <c r="K220" s="2828">
        <f t="shared" si="50"/>
        <v>0</v>
      </c>
      <c r="L220" s="2819"/>
      <c r="M220" s="2819">
        <f t="shared" si="51"/>
        <v>0</v>
      </c>
      <c r="N220" s="2828">
        <f t="shared" si="52"/>
        <v>477366</v>
      </c>
      <c r="O220" s="2819">
        <v>2</v>
      </c>
      <c r="P220" s="2819">
        <f t="shared" si="53"/>
        <v>0</v>
      </c>
      <c r="Q220" s="2820">
        <f t="shared" si="54"/>
        <v>100</v>
      </c>
      <c r="R220" s="2820">
        <f>'[68]Адм июль 2013 - 21 827 307'!$D$105+'[68]Адм ноябрь 2014 - 35 820 766'!$D$227</f>
        <v>2</v>
      </c>
      <c r="S220" s="2829">
        <f>('[68]Адм июль 2013 - 21 827 307'!$L$105*1.8+'[68]Адм ноябрь 2014 - 35 820 766'!$L$227*0.2)/2</f>
        <v>208703.32079533563</v>
      </c>
      <c r="T220" s="2830">
        <f>R220*S220</f>
        <v>417406.64159067126</v>
      </c>
    </row>
    <row r="221" spans="1:20">
      <c r="A221" s="2811" t="s">
        <v>4862</v>
      </c>
      <c r="B221" s="2857" t="s">
        <v>951</v>
      </c>
      <c r="C221" s="2853"/>
      <c r="D221" s="2814">
        <v>1</v>
      </c>
      <c r="E221" s="2814">
        <v>1</v>
      </c>
      <c r="F221" s="2814">
        <f t="shared" si="59"/>
        <v>1</v>
      </c>
      <c r="G221" s="2815">
        <v>127135</v>
      </c>
      <c r="H221" s="2816"/>
      <c r="I221" s="2826">
        <f t="shared" si="60"/>
        <v>127135</v>
      </c>
      <c r="J221" s="2827"/>
      <c r="K221" s="2828">
        <f t="shared" si="50"/>
        <v>0</v>
      </c>
      <c r="L221" s="2819"/>
      <c r="M221" s="2819">
        <f t="shared" si="51"/>
        <v>0</v>
      </c>
      <c r="N221" s="2828">
        <f t="shared" si="52"/>
        <v>127135</v>
      </c>
      <c r="O221" s="2819">
        <v>1</v>
      </c>
      <c r="P221" s="2819">
        <f t="shared" si="53"/>
        <v>0</v>
      </c>
      <c r="Q221" s="2820">
        <f t="shared" si="54"/>
        <v>100</v>
      </c>
      <c r="R221" s="2820">
        <f>'[68]Адм ноябрь 2014 - 35 820 766'!$D$229</f>
        <v>1</v>
      </c>
      <c r="S221" s="2829">
        <f>'[68]Адм ноябрь 2014 - 35 820 766'!$L$229</f>
        <v>111166.25624600025</v>
      </c>
      <c r="T221" s="2830">
        <f>R221*S221</f>
        <v>111166.25624600025</v>
      </c>
    </row>
    <row r="222" spans="1:20">
      <c r="A222" s="2811" t="s">
        <v>4863</v>
      </c>
      <c r="B222" s="2857" t="s">
        <v>957</v>
      </c>
      <c r="C222" s="2853"/>
      <c r="D222" s="2814">
        <v>1</v>
      </c>
      <c r="E222" s="2814">
        <v>1</v>
      </c>
      <c r="F222" s="2814">
        <f t="shared" si="59"/>
        <v>1</v>
      </c>
      <c r="G222" s="2815">
        <v>183643</v>
      </c>
      <c r="H222" s="2816"/>
      <c r="I222" s="2826">
        <f t="shared" si="60"/>
        <v>183643</v>
      </c>
      <c r="J222" s="2827"/>
      <c r="K222" s="2828">
        <f t="shared" si="50"/>
        <v>0</v>
      </c>
      <c r="L222" s="2819"/>
      <c r="M222" s="2819">
        <f t="shared" si="51"/>
        <v>0</v>
      </c>
      <c r="N222" s="2828">
        <f t="shared" si="52"/>
        <v>183643</v>
      </c>
      <c r="O222" s="2819">
        <v>1</v>
      </c>
      <c r="P222" s="2819">
        <f t="shared" si="53"/>
        <v>0</v>
      </c>
      <c r="Q222" s="2820">
        <f t="shared" si="54"/>
        <v>100</v>
      </c>
      <c r="R222" s="2820">
        <f>'[68]Адм ноябрь 2014 - 35 820 766'!$D$231</f>
        <v>1</v>
      </c>
      <c r="S222" s="2829">
        <f>'[68]Адм ноябрь 2014 - 35 820 766'!$L$231</f>
        <v>160576.61338000846</v>
      </c>
      <c r="T222" s="2830">
        <f>R222*S222</f>
        <v>160576.61338000846</v>
      </c>
    </row>
    <row r="223" spans="1:20" ht="25.5">
      <c r="A223" s="2811" t="s">
        <v>4864</v>
      </c>
      <c r="B223" s="2857" t="s">
        <v>959</v>
      </c>
      <c r="C223" s="2853"/>
      <c r="D223" s="2814">
        <v>1</v>
      </c>
      <c r="E223" s="2814">
        <v>1</v>
      </c>
      <c r="F223" s="2814">
        <f t="shared" si="59"/>
        <v>1</v>
      </c>
      <c r="G223" s="2815">
        <v>146077</v>
      </c>
      <c r="H223" s="2816"/>
      <c r="I223" s="2826">
        <f t="shared" si="60"/>
        <v>146077</v>
      </c>
      <c r="J223" s="2827"/>
      <c r="K223" s="2828">
        <f t="shared" si="50"/>
        <v>0</v>
      </c>
      <c r="L223" s="2819"/>
      <c r="M223" s="2819">
        <f t="shared" si="51"/>
        <v>0</v>
      </c>
      <c r="N223" s="2828">
        <f t="shared" si="52"/>
        <v>146077</v>
      </c>
      <c r="O223" s="2819">
        <v>1</v>
      </c>
      <c r="P223" s="2819">
        <f t="shared" si="53"/>
        <v>0</v>
      </c>
      <c r="Q223" s="2820">
        <f t="shared" si="54"/>
        <v>100</v>
      </c>
      <c r="R223" s="2820">
        <f>'[68]Адм сентябрь 2013 -6 599 928'!$D$75</f>
        <v>1</v>
      </c>
      <c r="S223" s="2829">
        <f>'[68]Адм сентябрь 2013 -6 599 928'!$L$75</f>
        <v>127729.08082302524</v>
      </c>
      <c r="T223" s="2830">
        <f>R223*S223</f>
        <v>127729.08082302524</v>
      </c>
    </row>
    <row r="224" spans="1:20">
      <c r="A224" s="2811"/>
      <c r="B224" s="2812" t="s">
        <v>4865</v>
      </c>
      <c r="C224" s="2853"/>
      <c r="D224" s="2814"/>
      <c r="E224" s="2814"/>
      <c r="F224" s="2814"/>
      <c r="G224" s="2815"/>
      <c r="H224" s="2816"/>
      <c r="I224" s="2817"/>
      <c r="J224" s="2811"/>
      <c r="K224" s="2828"/>
      <c r="L224" s="2819"/>
      <c r="M224" s="2819"/>
      <c r="N224" s="2828"/>
      <c r="O224" s="2819"/>
      <c r="P224" s="2819"/>
      <c r="Q224" s="2820"/>
      <c r="R224" s="2820"/>
      <c r="S224" s="2829"/>
      <c r="T224" s="2830"/>
    </row>
    <row r="225" spans="1:23">
      <c r="A225" s="2811" t="s">
        <v>4866</v>
      </c>
      <c r="B225" s="2857" t="s">
        <v>4566</v>
      </c>
      <c r="C225" s="2853"/>
      <c r="D225" s="2814">
        <v>7</v>
      </c>
      <c r="E225" s="2814">
        <v>1</v>
      </c>
      <c r="F225" s="2814">
        <f>D225*E225</f>
        <v>7</v>
      </c>
      <c r="G225" s="2815">
        <v>59756</v>
      </c>
      <c r="H225" s="2816"/>
      <c r="I225" s="2826">
        <f>G225*F225</f>
        <v>418292</v>
      </c>
      <c r="J225" s="2827"/>
      <c r="K225" s="2828">
        <f t="shared" si="50"/>
        <v>0</v>
      </c>
      <c r="L225" s="2819"/>
      <c r="M225" s="2819">
        <f t="shared" si="51"/>
        <v>0</v>
      </c>
      <c r="N225" s="2828">
        <f t="shared" si="52"/>
        <v>418292</v>
      </c>
      <c r="O225" s="2819">
        <v>7</v>
      </c>
      <c r="P225" s="2819">
        <f t="shared" si="53"/>
        <v>0</v>
      </c>
      <c r="Q225" s="2820">
        <f t="shared" si="54"/>
        <v>100</v>
      </c>
      <c r="R225" s="2820">
        <f>'[68]Адм ноябрь 2014 - 42 219 574'!$D$174</f>
        <v>7</v>
      </c>
      <c r="S225" s="2829">
        <f>'[68]Адм ноябрь 2014 - 42 219 574'!$L$174</f>
        <v>52250.377548816832</v>
      </c>
      <c r="T225" s="2830">
        <f>R225*S225</f>
        <v>365752.64284171781</v>
      </c>
    </row>
    <row r="226" spans="1:23">
      <c r="A226" s="2811" t="s">
        <v>4867</v>
      </c>
      <c r="B226" s="2857" t="s">
        <v>4616</v>
      </c>
      <c r="C226" s="2853"/>
      <c r="D226" s="2814">
        <v>2</v>
      </c>
      <c r="E226" s="2814">
        <v>1</v>
      </c>
      <c r="F226" s="2814">
        <f>D226*E226</f>
        <v>2</v>
      </c>
      <c r="G226" s="2815">
        <v>14355</v>
      </c>
      <c r="H226" s="2816"/>
      <c r="I226" s="2826">
        <f>G226*F226</f>
        <v>28710</v>
      </c>
      <c r="J226" s="2827"/>
      <c r="K226" s="2828">
        <f t="shared" si="50"/>
        <v>0</v>
      </c>
      <c r="L226" s="2819"/>
      <c r="M226" s="2819">
        <f t="shared" si="51"/>
        <v>0</v>
      </c>
      <c r="N226" s="2828">
        <f t="shared" si="52"/>
        <v>28710</v>
      </c>
      <c r="O226" s="2819">
        <v>2</v>
      </c>
      <c r="P226" s="2819">
        <f t="shared" si="53"/>
        <v>0</v>
      </c>
      <c r="Q226" s="2820">
        <f t="shared" si="54"/>
        <v>100</v>
      </c>
      <c r="R226" s="2820">
        <f>'[68]Адм ноябрь 2014 - 35 820 766'!$D$234</f>
        <v>2</v>
      </c>
      <c r="S226" s="2829">
        <f>'[68]Адм ноябрь 2014 - 35 820 766'!$L$234</f>
        <v>12551.95161310125</v>
      </c>
      <c r="T226" s="2830">
        <f>R226*S226</f>
        <v>25103.903226202499</v>
      </c>
    </row>
    <row r="227" spans="1:23">
      <c r="A227" s="2811" t="s">
        <v>4868</v>
      </c>
      <c r="B227" s="2857" t="s">
        <v>803</v>
      </c>
      <c r="C227" s="2853"/>
      <c r="D227" s="2814">
        <v>1</v>
      </c>
      <c r="E227" s="2814">
        <v>1</v>
      </c>
      <c r="F227" s="2814">
        <f>D227*E227</f>
        <v>1</v>
      </c>
      <c r="G227" s="2815">
        <v>26222</v>
      </c>
      <c r="H227" s="2816"/>
      <c r="I227" s="2826">
        <f>G227*F227</f>
        <v>26222</v>
      </c>
      <c r="J227" s="2827"/>
      <c r="K227" s="2828">
        <f t="shared" si="50"/>
        <v>0</v>
      </c>
      <c r="L227" s="2819"/>
      <c r="M227" s="2819">
        <f t="shared" si="51"/>
        <v>0</v>
      </c>
      <c r="N227" s="2828">
        <f t="shared" si="52"/>
        <v>26222</v>
      </c>
      <c r="O227" s="2819">
        <v>1</v>
      </c>
      <c r="P227" s="2819">
        <f t="shared" si="53"/>
        <v>0</v>
      </c>
      <c r="Q227" s="2820">
        <f t="shared" si="54"/>
        <v>100</v>
      </c>
      <c r="R227" s="2820">
        <f>'[68]Адм ноябрь 2014 - 42 219 574'!$D$176</f>
        <v>1</v>
      </c>
      <c r="S227" s="2829">
        <f>'[68]Адм ноябрь 2014 - 42 219 574'!$L$176</f>
        <v>22928.38672575774</v>
      </c>
      <c r="T227" s="2830">
        <f>R227*S227</f>
        <v>22928.38672575774</v>
      </c>
    </row>
    <row r="228" spans="1:23" ht="25.5">
      <c r="A228" s="2811" t="s">
        <v>4869</v>
      </c>
      <c r="B228" s="2857" t="s">
        <v>904</v>
      </c>
      <c r="C228" s="2853"/>
      <c r="D228" s="2814">
        <v>2</v>
      </c>
      <c r="E228" s="2814">
        <v>1</v>
      </c>
      <c r="F228" s="2814">
        <f>D228*E228</f>
        <v>2</v>
      </c>
      <c r="G228" s="2815">
        <v>238683</v>
      </c>
      <c r="H228" s="2816"/>
      <c r="I228" s="2826">
        <f>G228*F228</f>
        <v>477366</v>
      </c>
      <c r="J228" s="2827"/>
      <c r="K228" s="2828">
        <f>L228*G228</f>
        <v>0</v>
      </c>
      <c r="L228" s="2819"/>
      <c r="M228" s="2819">
        <f>K228/I228*100</f>
        <v>0</v>
      </c>
      <c r="N228" s="2828">
        <f>O228*G228</f>
        <v>477366</v>
      </c>
      <c r="O228" s="2819">
        <v>2</v>
      </c>
      <c r="P228" s="2819">
        <f>F228-O228</f>
        <v>0</v>
      </c>
      <c r="Q228" s="2820">
        <f>N228/I228*100</f>
        <v>100</v>
      </c>
      <c r="R228" s="2820">
        <f>'[68]Адм июль 2013 - 21 827 307'!$D$108+'[68]Адм ноябрь 2014 - 35 820 766'!$D$236</f>
        <v>2</v>
      </c>
      <c r="S228" s="2829">
        <f>('[68]Адм июль 2013 - 21 827 307'!$L$108*1.8+'[68]Адм ноябрь 2014 - 35 820 766'!$L$236*0.2)/2</f>
        <v>208703.32079533563</v>
      </c>
      <c r="T228" s="2830">
        <f>R228*S228</f>
        <v>417406.64159067126</v>
      </c>
    </row>
    <row r="229" spans="1:23" s="403" customFormat="1">
      <c r="A229" s="1474" t="s">
        <v>4870</v>
      </c>
      <c r="B229" s="2633" t="s">
        <v>4871</v>
      </c>
      <c r="C229" s="2618"/>
      <c r="D229" s="2602">
        <v>3</v>
      </c>
      <c r="E229" s="2602">
        <v>1</v>
      </c>
      <c r="F229" s="2602">
        <f>D229*E229</f>
        <v>3</v>
      </c>
      <c r="G229" s="2615">
        <v>162295</v>
      </c>
      <c r="H229" s="2604"/>
      <c r="I229" s="2605">
        <f>G229*F229</f>
        <v>486885</v>
      </c>
      <c r="J229" s="1556"/>
      <c r="K229" s="2839">
        <f>L229*G229</f>
        <v>0</v>
      </c>
      <c r="L229" s="2840"/>
      <c r="M229" s="2840">
        <f>K229/I229*100</f>
        <v>0</v>
      </c>
      <c r="N229" s="2839">
        <f>O229*G229</f>
        <v>486885</v>
      </c>
      <c r="O229" s="2840">
        <v>3</v>
      </c>
      <c r="P229" s="2840">
        <f>F229-O229</f>
        <v>0</v>
      </c>
      <c r="Q229" s="2841">
        <f>N229/I229*100</f>
        <v>100</v>
      </c>
      <c r="R229" s="2841">
        <f>'[69]Адм март 2015 - 38 922 227'!$D$64</f>
        <v>3</v>
      </c>
      <c r="S229" s="2842">
        <f>'[69]Адм март 2015 - 38 922 227'!$L$64</f>
        <v>151820.892485005</v>
      </c>
      <c r="T229" s="2838">
        <f>R229*S229</f>
        <v>455462.67745501501</v>
      </c>
    </row>
    <row r="230" spans="1:23" ht="22.9" customHeight="1">
      <c r="A230" s="2859"/>
      <c r="B230" s="2860" t="s">
        <v>3117</v>
      </c>
      <c r="C230" s="2827"/>
      <c r="D230" s="2861"/>
      <c r="E230" s="2861"/>
      <c r="F230" s="2861"/>
      <c r="G230" s="2816"/>
      <c r="H230" s="2816"/>
      <c r="I230" s="2816"/>
      <c r="J230" s="2862"/>
      <c r="K230" s="2811"/>
      <c r="L230" s="2818"/>
      <c r="M230" s="2818"/>
      <c r="N230" s="2811"/>
      <c r="O230" s="2818"/>
      <c r="P230" s="2818"/>
      <c r="Q230" s="2818"/>
      <c r="R230" s="2863"/>
      <c r="S230" s="2864"/>
      <c r="T230" s="2823">
        <f>SUM(T7:T229)</f>
        <v>52637782.292297922</v>
      </c>
      <c r="U230" s="2879" t="s">
        <v>4872</v>
      </c>
    </row>
    <row r="231" spans="1:23">
      <c r="J231" s="2866"/>
      <c r="T231" s="2785">
        <f>'мес амортиз'!N194</f>
        <v>578658.75</v>
      </c>
      <c r="U231" s="2879" t="s">
        <v>4873</v>
      </c>
      <c r="W231" s="2880">
        <f>T231*12</f>
        <v>6943905</v>
      </c>
    </row>
    <row r="232" spans="1:23">
      <c r="J232" s="2866"/>
      <c r="T232" s="2785">
        <f>(T230-T231*11)</f>
        <v>46272536.042297922</v>
      </c>
      <c r="U232" s="2879" t="s">
        <v>4874</v>
      </c>
    </row>
    <row r="233" spans="1:23">
      <c r="J233" s="2866"/>
    </row>
    <row r="234" spans="1:23">
      <c r="J234" s="2866"/>
    </row>
    <row r="235" spans="1:23">
      <c r="J235" s="2866"/>
    </row>
    <row r="236" spans="1:23">
      <c r="J236" s="2866"/>
    </row>
    <row r="237" spans="1:23">
      <c r="J237" s="2866"/>
      <c r="T237" s="2785">
        <f>T230*0.1</f>
        <v>5263778.229229793</v>
      </c>
    </row>
    <row r="238" spans="1:23">
      <c r="J238" s="2866"/>
    </row>
    <row r="239" spans="1:23">
      <c r="J239" s="2866"/>
    </row>
    <row r="240" spans="1:23">
      <c r="J240" s="2866"/>
    </row>
    <row r="241" spans="10:10">
      <c r="J241" s="2866"/>
    </row>
    <row r="242" spans="10:10">
      <c r="J242" s="2866"/>
    </row>
    <row r="243" spans="10:10">
      <c r="J243" s="2866"/>
    </row>
    <row r="244" spans="10:10">
      <c r="J244" s="2866"/>
    </row>
    <row r="245" spans="10:10">
      <c r="J245" s="2866"/>
    </row>
    <row r="246" spans="10:10">
      <c r="J246" s="2866"/>
    </row>
    <row r="247" spans="10:10">
      <c r="J247" s="2866"/>
    </row>
    <row r="248" spans="10:10">
      <c r="J248" s="2866"/>
    </row>
    <row r="249" spans="10:10">
      <c r="J249" s="2866"/>
    </row>
    <row r="250" spans="10:10">
      <c r="J250" s="2866"/>
    </row>
    <row r="251" spans="10:10">
      <c r="J251" s="2866"/>
    </row>
    <row r="252" spans="10:10">
      <c r="J252" s="2866"/>
    </row>
    <row r="253" spans="10:10">
      <c r="J253" s="2866"/>
    </row>
    <row r="254" spans="10:10">
      <c r="J254" s="2866"/>
    </row>
    <row r="255" spans="10:10">
      <c r="J255" s="2866"/>
    </row>
    <row r="256" spans="10:10">
      <c r="J256" s="2866"/>
    </row>
    <row r="257" spans="10:10">
      <c r="J257" s="2866"/>
    </row>
    <row r="258" spans="10:10">
      <c r="J258" s="2866"/>
    </row>
    <row r="259" spans="10:10">
      <c r="J259" s="2866"/>
    </row>
    <row r="260" spans="10:10">
      <c r="J260" s="2866"/>
    </row>
    <row r="261" spans="10:10">
      <c r="J261" s="2866"/>
    </row>
    <row r="262" spans="10:10">
      <c r="J262" s="2866"/>
    </row>
    <row r="263" spans="10:10">
      <c r="J263" s="2866"/>
    </row>
    <row r="264" spans="10:10">
      <c r="J264" s="2866"/>
    </row>
    <row r="265" spans="10:10">
      <c r="J265" s="2866"/>
    </row>
    <row r="266" spans="10:10">
      <c r="J266" s="2866"/>
    </row>
    <row r="267" spans="10:10">
      <c r="J267" s="2866"/>
    </row>
    <row r="268" spans="10:10">
      <c r="J268" s="2866"/>
    </row>
    <row r="269" spans="10:10">
      <c r="J269" s="2866"/>
    </row>
    <row r="270" spans="10:10">
      <c r="J270" s="2866"/>
    </row>
    <row r="271" spans="10:10">
      <c r="J271" s="2866"/>
    </row>
    <row r="272" spans="10:10">
      <c r="J272" s="2866"/>
    </row>
    <row r="273" spans="10:10">
      <c r="J273" s="2866"/>
    </row>
    <row r="274" spans="10:10">
      <c r="J274" s="2866"/>
    </row>
    <row r="275" spans="10:10">
      <c r="J275" s="2866"/>
    </row>
    <row r="276" spans="10:10">
      <c r="J276" s="2866"/>
    </row>
    <row r="277" spans="10:10">
      <c r="J277" s="2866"/>
    </row>
  </sheetData>
  <autoFilter ref="A4:T230" xr:uid="{00000000-0009-0000-0000-00008E000000}"/>
  <mergeCells count="2">
    <mergeCell ref="B1:T1"/>
    <mergeCell ref="B5:G5"/>
  </mergeCells>
  <pageMargins left="0.25" right="0.25" top="0.75" bottom="0.75" header="0.3" footer="0.3"/>
  <pageSetup paperSize="9" orientation="portrait" r:id="rId1"/>
  <drawing r:id="rId2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tabColor rgb="FFFFFF00"/>
  </sheetPr>
  <dimension ref="A1:C55"/>
  <sheetViews>
    <sheetView topLeftCell="A25" workbookViewId="0">
      <selection activeCell="M44" sqref="M44"/>
    </sheetView>
  </sheetViews>
  <sheetFormatPr defaultRowHeight="15"/>
  <cols>
    <col min="1" max="1" width="3.85546875" customWidth="1"/>
    <col min="2" max="2" width="30.85546875" customWidth="1"/>
    <col min="3" max="3" width="18.7109375" customWidth="1"/>
  </cols>
  <sheetData>
    <row r="1" spans="1:3">
      <c r="B1" s="4425" t="s">
        <v>4875</v>
      </c>
      <c r="C1" s="4425"/>
    </row>
    <row r="2" spans="1:3" s="2574" customFormat="1">
      <c r="A2" s="1718"/>
      <c r="B2" s="1718" t="s">
        <v>4876</v>
      </c>
      <c r="C2" s="1718" t="s">
        <v>4877</v>
      </c>
    </row>
    <row r="3" spans="1:3">
      <c r="A3" s="376"/>
      <c r="B3" s="1718" t="s">
        <v>4878</v>
      </c>
      <c r="C3" s="376"/>
    </row>
    <row r="4" spans="1:3" ht="30">
      <c r="A4" s="376"/>
      <c r="B4" s="2575" t="s">
        <v>4879</v>
      </c>
      <c r="C4" s="2576">
        <f>304.1+C5+C6+C7+C8+C9+C10</f>
        <v>357.00000000000006</v>
      </c>
    </row>
    <row r="5" spans="1:3">
      <c r="A5" s="376"/>
      <c r="B5" s="376" t="s">
        <v>4880</v>
      </c>
      <c r="C5" s="2576">
        <v>5.3</v>
      </c>
    </row>
    <row r="6" spans="1:3">
      <c r="A6" s="376"/>
      <c r="B6" s="376" t="s">
        <v>4881</v>
      </c>
      <c r="C6" s="2576">
        <v>9.6</v>
      </c>
    </row>
    <row r="7" spans="1:3">
      <c r="A7" s="376"/>
      <c r="B7" s="376" t="s">
        <v>4882</v>
      </c>
      <c r="C7" s="2576">
        <v>11.7</v>
      </c>
    </row>
    <row r="8" spans="1:3">
      <c r="A8" s="376"/>
      <c r="B8" s="376" t="s">
        <v>850</v>
      </c>
      <c r="C8" s="2576">
        <v>6.3</v>
      </c>
    </row>
    <row r="9" spans="1:3">
      <c r="A9" s="376"/>
      <c r="B9" s="376" t="s">
        <v>4883</v>
      </c>
      <c r="C9" s="2576">
        <v>7.9</v>
      </c>
    </row>
    <row r="10" spans="1:3">
      <c r="A10" s="376"/>
      <c r="B10" s="2575" t="s">
        <v>4884</v>
      </c>
      <c r="C10" s="2576">
        <v>12.1</v>
      </c>
    </row>
    <row r="11" spans="1:3">
      <c r="A11" s="376"/>
      <c r="B11" s="376" t="s">
        <v>4885</v>
      </c>
      <c r="C11" s="376">
        <v>94.3</v>
      </c>
    </row>
    <row r="12" spans="1:3" ht="0.75" customHeight="1">
      <c r="A12" s="376"/>
      <c r="B12" s="376" t="s">
        <v>4886</v>
      </c>
      <c r="C12" s="376"/>
    </row>
    <row r="13" spans="1:3">
      <c r="A13" s="376"/>
      <c r="B13" s="376" t="s">
        <v>861</v>
      </c>
      <c r="C13" s="376">
        <v>24.4</v>
      </c>
    </row>
    <row r="14" spans="1:3">
      <c r="A14" s="376"/>
      <c r="B14" s="376" t="s">
        <v>862</v>
      </c>
      <c r="C14" s="376">
        <v>12.6</v>
      </c>
    </row>
    <row r="15" spans="1:3">
      <c r="A15" s="376"/>
      <c r="B15" s="376" t="s">
        <v>4887</v>
      </c>
      <c r="C15" s="376">
        <v>7.9</v>
      </c>
    </row>
    <row r="16" spans="1:3">
      <c r="A16" s="376"/>
      <c r="B16" s="376" t="s">
        <v>863</v>
      </c>
      <c r="C16" s="376">
        <v>23.3</v>
      </c>
    </row>
    <row r="17" spans="1:3">
      <c r="A17" s="376"/>
      <c r="B17" s="376" t="s">
        <v>864</v>
      </c>
      <c r="C17" s="376">
        <v>126</v>
      </c>
    </row>
    <row r="18" spans="1:3">
      <c r="A18" s="376"/>
      <c r="B18" s="376" t="e">
        <f>B20*B22*B21</f>
        <v>#REF!</v>
      </c>
      <c r="C18" s="376">
        <v>73</v>
      </c>
    </row>
    <row r="19" spans="1:3">
      <c r="A19" s="376"/>
      <c r="B19" s="376" t="s">
        <v>4888</v>
      </c>
      <c r="C19" s="376">
        <v>8.8000000000000007</v>
      </c>
    </row>
    <row r="20" spans="1:3">
      <c r="A20" s="376"/>
      <c r="B20" s="376" t="e">
        <f>'мебель изм.амортиз'!I73+'оргтех столовой'!T86+#REF!</f>
        <v>#REF!</v>
      </c>
      <c r="C20" s="376">
        <v>9</v>
      </c>
    </row>
    <row r="21" spans="1:3">
      <c r="A21" s="376"/>
      <c r="B21" s="376" t="s">
        <v>4889</v>
      </c>
      <c r="C21" s="376">
        <v>13.9</v>
      </c>
    </row>
    <row r="22" spans="1:3">
      <c r="A22" s="376"/>
      <c r="B22" s="376" t="s">
        <v>856</v>
      </c>
      <c r="C22" s="376">
        <v>38.6</v>
      </c>
    </row>
    <row r="23" spans="1:3">
      <c r="A23" s="376"/>
      <c r="B23" s="376" t="s">
        <v>4890</v>
      </c>
      <c r="C23" s="376">
        <v>10.8</v>
      </c>
    </row>
    <row r="24" spans="1:3">
      <c r="A24" s="376"/>
      <c r="B24" s="376" t="s">
        <v>4891</v>
      </c>
      <c r="C24" s="376">
        <v>123.5</v>
      </c>
    </row>
    <row r="25" spans="1:3">
      <c r="A25" s="376"/>
      <c r="B25" s="376" t="s">
        <v>844</v>
      </c>
      <c r="C25" s="376">
        <v>7.4</v>
      </c>
    </row>
    <row r="26" spans="1:3">
      <c r="A26" s="376"/>
      <c r="B26" s="376" t="s">
        <v>843</v>
      </c>
      <c r="C26" s="376">
        <v>19.8</v>
      </c>
    </row>
    <row r="27" spans="1:3">
      <c r="A27" s="376"/>
      <c r="B27" s="376" t="s">
        <v>4892</v>
      </c>
      <c r="C27" s="376">
        <v>6.2</v>
      </c>
    </row>
    <row r="28" spans="1:3">
      <c r="A28" s="376"/>
      <c r="B28" s="376" t="s">
        <v>4893</v>
      </c>
      <c r="C28" s="376">
        <v>9.8000000000000007</v>
      </c>
    </row>
    <row r="29" spans="1:3">
      <c r="A29" s="376"/>
      <c r="B29" s="376" t="s">
        <v>846</v>
      </c>
      <c r="C29" s="376">
        <v>17.2</v>
      </c>
    </row>
    <row r="30" spans="1:3">
      <c r="A30" s="376"/>
      <c r="B30" s="376" t="s">
        <v>847</v>
      </c>
      <c r="C30" s="376">
        <v>14.5</v>
      </c>
    </row>
    <row r="31" spans="1:3">
      <c r="A31" s="376"/>
      <c r="B31" s="376" t="s">
        <v>4894</v>
      </c>
      <c r="C31" s="376">
        <v>23.2</v>
      </c>
    </row>
    <row r="32" spans="1:3">
      <c r="A32" s="376"/>
      <c r="B32" s="376" t="s">
        <v>4895</v>
      </c>
      <c r="C32" s="376">
        <v>9.6</v>
      </c>
    </row>
    <row r="33" spans="1:3">
      <c r="A33" s="376"/>
      <c r="B33" s="376" t="s">
        <v>4896</v>
      </c>
      <c r="C33" s="376">
        <v>8.1999999999999993</v>
      </c>
    </row>
    <row r="34" spans="1:3">
      <c r="A34" s="376"/>
      <c r="B34" s="376" t="s">
        <v>4897</v>
      </c>
      <c r="C34" s="376">
        <v>4.2</v>
      </c>
    </row>
    <row r="35" spans="1:3">
      <c r="A35" s="376"/>
      <c r="B35" s="376" t="s">
        <v>4897</v>
      </c>
      <c r="C35" s="376">
        <v>4.5</v>
      </c>
    </row>
    <row r="36" spans="1:3">
      <c r="A36" s="376"/>
      <c r="B36" s="376" t="s">
        <v>4898</v>
      </c>
      <c r="C36" s="376">
        <v>27.2</v>
      </c>
    </row>
    <row r="37" spans="1:3" s="2574" customFormat="1">
      <c r="A37" s="1718"/>
      <c r="B37" s="1718" t="s">
        <v>3117</v>
      </c>
      <c r="C37" s="1718">
        <f>C4+C11+C13+C14+C15+C16+C17+C18+C19+C20+C21+C22+C23+C24+C25+C26+C27+C28+C29+C30+C31+C32+C33+C34+C35+C36</f>
        <v>1074.9000000000001</v>
      </c>
    </row>
    <row r="38" spans="1:3">
      <c r="A38" s="376"/>
      <c r="B38" s="1718" t="s">
        <v>4899</v>
      </c>
      <c r="C38" s="376"/>
    </row>
    <row r="39" spans="1:3">
      <c r="A39" s="376"/>
      <c r="B39" s="376" t="s">
        <v>4900</v>
      </c>
      <c r="C39" s="376">
        <v>21.5</v>
      </c>
    </row>
    <row r="40" spans="1:3">
      <c r="A40" s="376"/>
      <c r="B40" s="376" t="s">
        <v>4901</v>
      </c>
      <c r="C40" s="2576">
        <v>248.4</v>
      </c>
    </row>
    <row r="41" spans="1:3" s="2574" customFormat="1">
      <c r="A41" s="1718"/>
      <c r="B41" s="1718" t="s">
        <v>3117</v>
      </c>
      <c r="C41" s="1718">
        <f>SUM(C39:C40)</f>
        <v>269.89999999999998</v>
      </c>
    </row>
    <row r="42" spans="1:3">
      <c r="A42" s="376"/>
      <c r="B42" s="1718" t="s">
        <v>490</v>
      </c>
      <c r="C42" s="376"/>
    </row>
    <row r="43" spans="1:3">
      <c r="A43" s="376"/>
      <c r="B43" s="376" t="s">
        <v>4902</v>
      </c>
      <c r="C43" s="376">
        <v>32.9</v>
      </c>
    </row>
    <row r="44" spans="1:3">
      <c r="A44" s="376"/>
      <c r="B44" s="376" t="s">
        <v>4903</v>
      </c>
      <c r="C44" s="376">
        <v>24.4</v>
      </c>
    </row>
    <row r="45" spans="1:3">
      <c r="A45" s="376"/>
      <c r="B45" s="376" t="s">
        <v>4904</v>
      </c>
      <c r="C45" s="376">
        <v>30.9</v>
      </c>
    </row>
    <row r="46" spans="1:3">
      <c r="A46" s="376"/>
      <c r="B46" s="376" t="s">
        <v>4905</v>
      </c>
      <c r="C46" s="376">
        <v>20.100000000000001</v>
      </c>
    </row>
    <row r="47" spans="1:3">
      <c r="A47" s="376"/>
      <c r="B47" s="376" t="s">
        <v>4906</v>
      </c>
      <c r="C47" s="376">
        <v>6.6</v>
      </c>
    </row>
    <row r="48" spans="1:3">
      <c r="A48" s="376"/>
      <c r="B48" s="376" t="s">
        <v>4907</v>
      </c>
      <c r="C48" s="376">
        <v>10</v>
      </c>
    </row>
    <row r="49" spans="1:3">
      <c r="A49" s="376"/>
      <c r="B49" s="376" t="s">
        <v>854</v>
      </c>
      <c r="C49" s="376">
        <v>79</v>
      </c>
    </row>
    <row r="50" spans="1:3">
      <c r="A50" s="376"/>
      <c r="B50" s="376" t="s">
        <v>4908</v>
      </c>
      <c r="C50" s="376">
        <v>11.4</v>
      </c>
    </row>
    <row r="51" spans="1:3">
      <c r="A51" s="376"/>
      <c r="B51" s="376" t="s">
        <v>4909</v>
      </c>
      <c r="C51" s="376">
        <v>11.3</v>
      </c>
    </row>
    <row r="52" spans="1:3">
      <c r="A52" s="376"/>
      <c r="B52" s="1718" t="s">
        <v>3117</v>
      </c>
      <c r="C52" s="2577">
        <f>SUM(C43:C51)</f>
        <v>226.6</v>
      </c>
    </row>
    <row r="53" spans="1:3" ht="18.75">
      <c r="A53" s="376"/>
      <c r="B53" s="1718" t="s">
        <v>3445</v>
      </c>
      <c r="C53" s="2578">
        <f>C37+C41+C52</f>
        <v>1571.4</v>
      </c>
    </row>
    <row r="54" spans="1:3" ht="18.75">
      <c r="A54" s="376"/>
      <c r="B54" s="376" t="s">
        <v>4910</v>
      </c>
      <c r="C54" s="2579">
        <f>C53-C4-C40</f>
        <v>966.00000000000011</v>
      </c>
    </row>
    <row r="55" spans="1:3" ht="18.75">
      <c r="A55" s="376"/>
      <c r="B55" s="376" t="s">
        <v>4911</v>
      </c>
      <c r="C55" s="2579">
        <f>C53-C4-C40-C52</f>
        <v>739.40000000000009</v>
      </c>
    </row>
  </sheetData>
  <mergeCells count="1">
    <mergeCell ref="B1:C1"/>
  </mergeCells>
  <pageMargins left="0.7" right="0.7" top="0.75" bottom="0.75" header="0.3" footer="0.3"/>
  <pageSetup paperSize="9" scale="96" orientation="portrait"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tabColor rgb="FFFFFF00"/>
    <pageSetUpPr fitToPage="1"/>
  </sheetPr>
  <dimension ref="A1:I68"/>
  <sheetViews>
    <sheetView topLeftCell="A52" workbookViewId="0">
      <selection activeCell="B5" sqref="B5"/>
    </sheetView>
  </sheetViews>
  <sheetFormatPr defaultColWidth="22.42578125" defaultRowHeight="18.75"/>
  <cols>
    <col min="1" max="16384" width="22.42578125" style="2581"/>
  </cols>
  <sheetData>
    <row r="1" spans="1:3">
      <c r="A1" s="2580" t="s">
        <v>4912</v>
      </c>
    </row>
    <row r="2" spans="1:3">
      <c r="B2" s="2556" t="s">
        <v>4913</v>
      </c>
    </row>
    <row r="3" spans="1:3">
      <c r="B3" s="2556"/>
    </row>
    <row r="4" spans="1:3">
      <c r="A4" s="2553" t="s">
        <v>4914</v>
      </c>
    </row>
    <row r="5" spans="1:3">
      <c r="A5" s="2553"/>
      <c r="B5" s="2581" t="e">
        <f>ROUND(B7*B8*B9*B10*B11*B12*B13*B14*B15,0)</f>
        <v>#VALUE!</v>
      </c>
      <c r="C5" s="2581" t="e">
        <f>ROUND(B5/12,0)</f>
        <v>#VALUE!</v>
      </c>
    </row>
    <row r="6" spans="1:3">
      <c r="A6" s="2582" t="s">
        <v>4915</v>
      </c>
    </row>
    <row r="7" spans="1:3">
      <c r="A7" s="2582" t="s">
        <v>4916</v>
      </c>
      <c r="B7" s="2553" t="s">
        <v>4917</v>
      </c>
    </row>
    <row r="8" spans="1:3">
      <c r="A8" s="2582" t="s">
        <v>4918</v>
      </c>
      <c r="B8" s="2553" t="s">
        <v>4919</v>
      </c>
    </row>
    <row r="9" spans="1:3">
      <c r="A9" s="2582" t="s">
        <v>4920</v>
      </c>
      <c r="B9" s="2553" t="s">
        <v>4921</v>
      </c>
    </row>
    <row r="10" spans="1:3">
      <c r="A10" s="2582" t="s">
        <v>4922</v>
      </c>
      <c r="B10" s="2553" t="s">
        <v>4923</v>
      </c>
    </row>
    <row r="11" spans="1:3">
      <c r="A11" s="2582" t="s">
        <v>4924</v>
      </c>
      <c r="B11" s="2553" t="s">
        <v>4925</v>
      </c>
    </row>
    <row r="12" spans="1:3">
      <c r="A12" s="2582" t="s">
        <v>4926</v>
      </c>
      <c r="B12" s="2553" t="s">
        <v>4927</v>
      </c>
    </row>
    <row r="13" spans="1:3">
      <c r="A13" s="2582" t="s">
        <v>4928</v>
      </c>
      <c r="B13" s="2553" t="s">
        <v>4929</v>
      </c>
    </row>
    <row r="14" spans="1:3">
      <c r="A14" s="2582" t="s">
        <v>4930</v>
      </c>
      <c r="B14" s="2553" t="s">
        <v>4931</v>
      </c>
    </row>
    <row r="15" spans="1:3">
      <c r="A15" s="2582" t="s">
        <v>4932</v>
      </c>
      <c r="B15" s="2553" t="s">
        <v>4933</v>
      </c>
    </row>
    <row r="17" spans="1:9">
      <c r="A17" s="2582" t="s">
        <v>4934</v>
      </c>
      <c r="B17" s="2553">
        <v>0.8</v>
      </c>
    </row>
    <row r="18" spans="1:9">
      <c r="A18" s="2553" t="s">
        <v>4935</v>
      </c>
      <c r="B18" s="2553" t="e">
        <f>B20*B22*B21</f>
        <v>#REF!</v>
      </c>
    </row>
    <row r="19" spans="1:9">
      <c r="A19" s="2553" t="s">
        <v>4936</v>
      </c>
      <c r="B19" s="2553">
        <v>1</v>
      </c>
    </row>
    <row r="20" spans="1:9">
      <c r="A20" s="2553" t="s">
        <v>4937</v>
      </c>
      <c r="B20" s="2553" t="e">
        <f>'мебель изм.амортиз'!I73+'оргтех столовой'!T86+#REF!</f>
        <v>#REF!</v>
      </c>
    </row>
    <row r="21" spans="1:9">
      <c r="A21" s="2553" t="s">
        <v>4938</v>
      </c>
      <c r="B21" s="2553">
        <v>0.5</v>
      </c>
    </row>
    <row r="22" spans="1:9">
      <c r="A22" s="2553" t="s">
        <v>4939</v>
      </c>
      <c r="B22" s="2553">
        <v>0.9</v>
      </c>
    </row>
    <row r="23" spans="1:9" ht="21" customHeight="1">
      <c r="D23" s="2583">
        <f>2.5*1982*1536.6*0.8*0.9*1*3*0.5*0.9</f>
        <v>7400665.1160000004</v>
      </c>
    </row>
    <row r="24" spans="1:9">
      <c r="A24" s="2553" t="s">
        <v>4940</v>
      </c>
      <c r="D24" s="2584" t="s">
        <v>681</v>
      </c>
      <c r="E24" s="2585">
        <f>7400665/12</f>
        <v>616722.08333333337</v>
      </c>
      <c r="F24" s="2586" t="s">
        <v>4941</v>
      </c>
      <c r="I24" s="2587">
        <f>(2.5*1982*739.4*0.8*0.9*1*3*0.5*0.9)/12</f>
        <v>296761.88700000005</v>
      </c>
    </row>
    <row r="25" spans="1:9">
      <c r="D25" s="2584"/>
      <c r="E25" s="2585"/>
      <c r="I25" s="2588">
        <f>I24+H40</f>
        <v>485722.40033333341</v>
      </c>
    </row>
    <row r="26" spans="1:9">
      <c r="A26" s="2553" t="s">
        <v>4942</v>
      </c>
      <c r="D26" s="2584" t="s">
        <v>681</v>
      </c>
      <c r="E26" s="2585">
        <f>4739681/12</f>
        <v>394973.41666666669</v>
      </c>
      <c r="F26" s="2589" t="s">
        <v>4943</v>
      </c>
    </row>
    <row r="27" spans="1:9">
      <c r="D27" s="2584"/>
      <c r="E27" s="2585"/>
      <c r="F27" s="2589" t="s">
        <v>4944</v>
      </c>
      <c r="I27" s="2581">
        <v>296761.88700000005</v>
      </c>
    </row>
    <row r="28" spans="1:9">
      <c r="A28" s="2553" t="s">
        <v>4945</v>
      </c>
      <c r="B28" s="2553"/>
      <c r="C28" s="2553"/>
      <c r="D28" s="2584" t="s">
        <v>681</v>
      </c>
      <c r="E28" s="2585">
        <f>3757646/12</f>
        <v>313137.16666666669</v>
      </c>
      <c r="F28" s="2553" t="s">
        <v>4946</v>
      </c>
    </row>
    <row r="29" spans="1:9">
      <c r="B29" s="2583">
        <f>2.5*1982*1048.31*0.8*0.9*1*3*0.5*0.9</f>
        <v>5048933.5205999995</v>
      </c>
      <c r="F29" s="2553" t="s">
        <v>4947</v>
      </c>
    </row>
    <row r="30" spans="1:9">
      <c r="B30" s="2583">
        <f>2.5*1982*834.64*0.8*0.9*1*3*0.5*0.9</f>
        <v>4019843.2463999996</v>
      </c>
    </row>
    <row r="31" spans="1:9">
      <c r="A31" s="2556" t="s">
        <v>4948</v>
      </c>
    </row>
    <row r="33" spans="1:8">
      <c r="A33" s="2553" t="s">
        <v>4949</v>
      </c>
    </row>
    <row r="34" spans="1:8">
      <c r="A34" s="2553"/>
    </row>
    <row r="35" spans="1:8">
      <c r="A35" s="2553" t="s">
        <v>4950</v>
      </c>
    </row>
    <row r="36" spans="1:8">
      <c r="A36" s="2553" t="s">
        <v>4951</v>
      </c>
    </row>
    <row r="37" spans="1:8">
      <c r="A37" s="2553" t="s">
        <v>4952</v>
      </c>
    </row>
    <row r="38" spans="1:8">
      <c r="A38" s="2553" t="s">
        <v>4953</v>
      </c>
    </row>
    <row r="40" spans="1:8">
      <c r="A40" s="4426" t="s">
        <v>4954</v>
      </c>
      <c r="B40" s="4426"/>
      <c r="C40" s="2556" t="s">
        <v>4955</v>
      </c>
      <c r="G40" s="2584" t="s">
        <v>681</v>
      </c>
      <c r="H40" s="2590">
        <f>2267526.16/12</f>
        <v>188960.51333333334</v>
      </c>
    </row>
    <row r="41" spans="1:8">
      <c r="A41" s="2584"/>
      <c r="B41" s="2553"/>
      <c r="C41" s="2556"/>
      <c r="G41" s="2584"/>
      <c r="H41" s="2553"/>
    </row>
    <row r="42" spans="1:8">
      <c r="A42" s="4426" t="s">
        <v>4956</v>
      </c>
      <c r="B42" s="4426"/>
      <c r="C42" s="2556" t="s">
        <v>4957</v>
      </c>
      <c r="G42" s="2584" t="s">
        <v>681</v>
      </c>
      <c r="H42" s="2590">
        <f>2953473.5/12</f>
        <v>246122.79166666666</v>
      </c>
    </row>
    <row r="44" spans="1:8" s="2556" customFormat="1">
      <c r="A44" s="2556" t="s">
        <v>2163</v>
      </c>
      <c r="B44" s="2591">
        <v>5220999.66</v>
      </c>
      <c r="G44" s="2556" t="s">
        <v>4958</v>
      </c>
      <c r="H44" s="2592">
        <f>H40+H42</f>
        <v>435083.30499999999</v>
      </c>
    </row>
    <row r="46" spans="1:8">
      <c r="A46" s="2553" t="s">
        <v>4959</v>
      </c>
    </row>
    <row r="47" spans="1:8">
      <c r="A47" s="2553" t="s">
        <v>4960</v>
      </c>
    </row>
    <row r="48" spans="1:8">
      <c r="A48" s="2553" t="s">
        <v>4961</v>
      </c>
    </row>
    <row r="49" spans="1:3">
      <c r="A49" s="2556" t="s">
        <v>4962</v>
      </c>
    </row>
    <row r="51" spans="1:3">
      <c r="A51" s="2593" t="s">
        <v>478</v>
      </c>
      <c r="B51" s="2593" t="s">
        <v>4963</v>
      </c>
      <c r="C51" s="2593" t="s">
        <v>4964</v>
      </c>
    </row>
    <row r="52" spans="1:3">
      <c r="A52" s="2594" t="s">
        <v>4250</v>
      </c>
      <c r="B52" s="2595">
        <f>[70]вода!L9</f>
        <v>1970323.2</v>
      </c>
      <c r="C52" s="2595">
        <f>B52/12</f>
        <v>164193.60000000001</v>
      </c>
    </row>
    <row r="53" spans="1:3" ht="37.5" customHeight="1">
      <c r="A53" s="2596" t="s">
        <v>4965</v>
      </c>
      <c r="B53" s="2595">
        <f>[70]ээ!V10</f>
        <v>827471.88207749091</v>
      </c>
      <c r="C53" s="2595">
        <f>B53/12</f>
        <v>68955.990173124243</v>
      </c>
    </row>
    <row r="54" spans="1:3">
      <c r="A54" s="2594" t="s">
        <v>3420</v>
      </c>
      <c r="B54" s="2595">
        <f>[70]дизтопл!AE13</f>
        <v>5332361.4927308168</v>
      </c>
      <c r="C54" s="2595">
        <f>B54/12</f>
        <v>444363.45772756805</v>
      </c>
    </row>
    <row r="55" spans="1:3">
      <c r="A55" s="2554" t="s">
        <v>20</v>
      </c>
      <c r="B55" s="2597">
        <f>SUM(B52:B54)</f>
        <v>8130156.5748083079</v>
      </c>
      <c r="C55" s="2597">
        <f>SUM(C52:C54)</f>
        <v>677513.04790069233</v>
      </c>
    </row>
    <row r="57" spans="1:3">
      <c r="A57" s="2553" t="s">
        <v>4966</v>
      </c>
    </row>
    <row r="59" spans="1:3">
      <c r="A59" s="2556" t="s">
        <v>4967</v>
      </c>
    </row>
    <row r="61" spans="1:3">
      <c r="A61" s="2598">
        <f>7400665+B44+B55</f>
        <v>20751821.234808307</v>
      </c>
      <c r="B61" s="2553" t="s">
        <v>4968</v>
      </c>
    </row>
    <row r="62" spans="1:3">
      <c r="A62" s="2598">
        <f>A61/12</f>
        <v>1729318.4362340255</v>
      </c>
      <c r="B62" s="2553" t="s">
        <v>681</v>
      </c>
    </row>
    <row r="63" spans="1:3">
      <c r="A63" s="2587"/>
      <c r="B63" s="2553"/>
    </row>
    <row r="64" spans="1:3">
      <c r="A64" s="2598">
        <f>4739681+2267526.16+2953473.5+B55</f>
        <v>18090837.234808307</v>
      </c>
      <c r="B64" s="2553" t="s">
        <v>4969</v>
      </c>
    </row>
    <row r="65" spans="1:2">
      <c r="A65" s="2598">
        <f>A64/12</f>
        <v>1507569.769567359</v>
      </c>
      <c r="B65" s="2553" t="s">
        <v>681</v>
      </c>
    </row>
    <row r="66" spans="1:2">
      <c r="A66" s="2587"/>
      <c r="B66" s="2553"/>
    </row>
    <row r="67" spans="1:2">
      <c r="A67" s="2598">
        <f>3757646+B44+B55</f>
        <v>17108802.234808307</v>
      </c>
      <c r="B67" s="2553" t="s">
        <v>4970</v>
      </c>
    </row>
    <row r="68" spans="1:2">
      <c r="A68" s="2598">
        <f>A67/12</f>
        <v>1425733.519567359</v>
      </c>
      <c r="B68" s="2553" t="s">
        <v>681</v>
      </c>
    </row>
  </sheetData>
  <mergeCells count="2">
    <mergeCell ref="A40:B40"/>
    <mergeCell ref="A42:B42"/>
  </mergeCells>
  <pageMargins left="0.39370078740157483" right="0" top="0.39370078740157483" bottom="0" header="0.31496062992125984" footer="0.31496062992125984"/>
  <pageSetup paperSize="9" scale="78" fitToWidth="2" fitToHeight="2" orientation="landscape" r:id="rId1"/>
  <rowBreaks count="1" manualBreakCount="1">
    <brk id="68" max="15" man="1"/>
  </rowBreaks>
  <colBreaks count="1" manualBreakCount="1">
    <brk id="10" max="67" man="1"/>
  </colBreaks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tabColor rgb="FFFFFF00"/>
  </sheetPr>
  <dimension ref="A2:S75"/>
  <sheetViews>
    <sheetView view="pageBreakPreview" topLeftCell="A66" zoomScaleSheetLayoutView="100" workbookViewId="0">
      <selection activeCell="I72" sqref="I72"/>
    </sheetView>
  </sheetViews>
  <sheetFormatPr defaultRowHeight="15"/>
  <cols>
    <col min="1" max="1" width="3.85546875" customWidth="1"/>
    <col min="2" max="2" width="41.5703125" bestFit="1" customWidth="1"/>
    <col min="3" max="3" width="9.140625" customWidth="1"/>
    <col min="4" max="5" width="9.140625" hidden="1" customWidth="1"/>
    <col min="6" max="6" width="0" hidden="1" customWidth="1"/>
    <col min="7" max="7" width="13.42578125" customWidth="1"/>
    <col min="8" max="8" width="9.140625" customWidth="1"/>
    <col min="9" max="9" width="23.7109375" customWidth="1"/>
    <col min="10" max="10" width="6" hidden="1" customWidth="1"/>
    <col min="11" max="11" width="21.5703125" hidden="1" customWidth="1"/>
    <col min="12" max="16" width="0" hidden="1" customWidth="1"/>
    <col min="17" max="17" width="3.28515625" customWidth="1"/>
    <col min="256" max="256" width="2.7109375" bestFit="1" customWidth="1"/>
    <col min="257" max="257" width="41.5703125" bestFit="1" customWidth="1"/>
    <col min="262" max="262" width="13.42578125" customWidth="1"/>
    <col min="512" max="512" width="2.7109375" bestFit="1" customWidth="1"/>
    <col min="513" max="513" width="41.5703125" bestFit="1" customWidth="1"/>
    <col min="518" max="518" width="13.42578125" customWidth="1"/>
    <col min="768" max="768" width="2.7109375" bestFit="1" customWidth="1"/>
    <col min="769" max="769" width="41.5703125" bestFit="1" customWidth="1"/>
    <col min="774" max="774" width="13.42578125" customWidth="1"/>
    <col min="1024" max="1024" width="2.7109375" bestFit="1" customWidth="1"/>
    <col min="1025" max="1025" width="41.5703125" bestFit="1" customWidth="1"/>
    <col min="1030" max="1030" width="13.42578125" customWidth="1"/>
    <col min="1280" max="1280" width="2.7109375" bestFit="1" customWidth="1"/>
    <col min="1281" max="1281" width="41.5703125" bestFit="1" customWidth="1"/>
    <col min="1286" max="1286" width="13.42578125" customWidth="1"/>
    <col min="1536" max="1536" width="2.7109375" bestFit="1" customWidth="1"/>
    <col min="1537" max="1537" width="41.5703125" bestFit="1" customWidth="1"/>
    <col min="1542" max="1542" width="13.42578125" customWidth="1"/>
    <col min="1792" max="1792" width="2.7109375" bestFit="1" customWidth="1"/>
    <col min="1793" max="1793" width="41.5703125" bestFit="1" customWidth="1"/>
    <col min="1798" max="1798" width="13.42578125" customWidth="1"/>
    <col min="2048" max="2048" width="2.7109375" bestFit="1" customWidth="1"/>
    <col min="2049" max="2049" width="41.5703125" bestFit="1" customWidth="1"/>
    <col min="2054" max="2054" width="13.42578125" customWidth="1"/>
    <col min="2304" max="2304" width="2.7109375" bestFit="1" customWidth="1"/>
    <col min="2305" max="2305" width="41.5703125" bestFit="1" customWidth="1"/>
    <col min="2310" max="2310" width="13.42578125" customWidth="1"/>
    <col min="2560" max="2560" width="2.7109375" bestFit="1" customWidth="1"/>
    <col min="2561" max="2561" width="41.5703125" bestFit="1" customWidth="1"/>
    <col min="2566" max="2566" width="13.42578125" customWidth="1"/>
    <col min="2816" max="2816" width="2.7109375" bestFit="1" customWidth="1"/>
    <col min="2817" max="2817" width="41.5703125" bestFit="1" customWidth="1"/>
    <col min="2822" max="2822" width="13.42578125" customWidth="1"/>
    <col min="3072" max="3072" width="2.7109375" bestFit="1" customWidth="1"/>
    <col min="3073" max="3073" width="41.5703125" bestFit="1" customWidth="1"/>
    <col min="3078" max="3078" width="13.42578125" customWidth="1"/>
    <col min="3328" max="3328" width="2.7109375" bestFit="1" customWidth="1"/>
    <col min="3329" max="3329" width="41.5703125" bestFit="1" customWidth="1"/>
    <col min="3334" max="3334" width="13.42578125" customWidth="1"/>
    <col min="3584" max="3584" width="2.7109375" bestFit="1" customWidth="1"/>
    <col min="3585" max="3585" width="41.5703125" bestFit="1" customWidth="1"/>
    <col min="3590" max="3590" width="13.42578125" customWidth="1"/>
    <col min="3840" max="3840" width="2.7109375" bestFit="1" customWidth="1"/>
    <col min="3841" max="3841" width="41.5703125" bestFit="1" customWidth="1"/>
    <col min="3846" max="3846" width="13.42578125" customWidth="1"/>
    <col min="4096" max="4096" width="2.7109375" bestFit="1" customWidth="1"/>
    <col min="4097" max="4097" width="41.5703125" bestFit="1" customWidth="1"/>
    <col min="4102" max="4102" width="13.42578125" customWidth="1"/>
    <col min="4352" max="4352" width="2.7109375" bestFit="1" customWidth="1"/>
    <col min="4353" max="4353" width="41.5703125" bestFit="1" customWidth="1"/>
    <col min="4358" max="4358" width="13.42578125" customWidth="1"/>
    <col min="4608" max="4608" width="2.7109375" bestFit="1" customWidth="1"/>
    <col min="4609" max="4609" width="41.5703125" bestFit="1" customWidth="1"/>
    <col min="4614" max="4614" width="13.42578125" customWidth="1"/>
    <col min="4864" max="4864" width="2.7109375" bestFit="1" customWidth="1"/>
    <col min="4865" max="4865" width="41.5703125" bestFit="1" customWidth="1"/>
    <col min="4870" max="4870" width="13.42578125" customWidth="1"/>
    <col min="5120" max="5120" width="2.7109375" bestFit="1" customWidth="1"/>
    <col min="5121" max="5121" width="41.5703125" bestFit="1" customWidth="1"/>
    <col min="5126" max="5126" width="13.42578125" customWidth="1"/>
    <col min="5376" max="5376" width="2.7109375" bestFit="1" customWidth="1"/>
    <col min="5377" max="5377" width="41.5703125" bestFit="1" customWidth="1"/>
    <col min="5382" max="5382" width="13.42578125" customWidth="1"/>
    <col min="5632" max="5632" width="2.7109375" bestFit="1" customWidth="1"/>
    <col min="5633" max="5633" width="41.5703125" bestFit="1" customWidth="1"/>
    <col min="5638" max="5638" width="13.42578125" customWidth="1"/>
    <col min="5888" max="5888" width="2.7109375" bestFit="1" customWidth="1"/>
    <col min="5889" max="5889" width="41.5703125" bestFit="1" customWidth="1"/>
    <col min="5894" max="5894" width="13.42578125" customWidth="1"/>
    <col min="6144" max="6144" width="2.7109375" bestFit="1" customWidth="1"/>
    <col min="6145" max="6145" width="41.5703125" bestFit="1" customWidth="1"/>
    <col min="6150" max="6150" width="13.42578125" customWidth="1"/>
    <col min="6400" max="6400" width="2.7109375" bestFit="1" customWidth="1"/>
    <col min="6401" max="6401" width="41.5703125" bestFit="1" customWidth="1"/>
    <col min="6406" max="6406" width="13.42578125" customWidth="1"/>
    <col min="6656" max="6656" width="2.7109375" bestFit="1" customWidth="1"/>
    <col min="6657" max="6657" width="41.5703125" bestFit="1" customWidth="1"/>
    <col min="6662" max="6662" width="13.42578125" customWidth="1"/>
    <col min="6912" max="6912" width="2.7109375" bestFit="1" customWidth="1"/>
    <col min="6913" max="6913" width="41.5703125" bestFit="1" customWidth="1"/>
    <col min="6918" max="6918" width="13.42578125" customWidth="1"/>
    <col min="7168" max="7168" width="2.7109375" bestFit="1" customWidth="1"/>
    <col min="7169" max="7169" width="41.5703125" bestFit="1" customWidth="1"/>
    <col min="7174" max="7174" width="13.42578125" customWidth="1"/>
    <col min="7424" max="7424" width="2.7109375" bestFit="1" customWidth="1"/>
    <col min="7425" max="7425" width="41.5703125" bestFit="1" customWidth="1"/>
    <col min="7430" max="7430" width="13.42578125" customWidth="1"/>
    <col min="7680" max="7680" width="2.7109375" bestFit="1" customWidth="1"/>
    <col min="7681" max="7681" width="41.5703125" bestFit="1" customWidth="1"/>
    <col min="7686" max="7686" width="13.42578125" customWidth="1"/>
    <col min="7936" max="7936" width="2.7109375" bestFit="1" customWidth="1"/>
    <col min="7937" max="7937" width="41.5703125" bestFit="1" customWidth="1"/>
    <col min="7942" max="7942" width="13.42578125" customWidth="1"/>
    <col min="8192" max="8192" width="2.7109375" bestFit="1" customWidth="1"/>
    <col min="8193" max="8193" width="41.5703125" bestFit="1" customWidth="1"/>
    <col min="8198" max="8198" width="13.42578125" customWidth="1"/>
    <col min="8448" max="8448" width="2.7109375" bestFit="1" customWidth="1"/>
    <col min="8449" max="8449" width="41.5703125" bestFit="1" customWidth="1"/>
    <col min="8454" max="8454" width="13.42578125" customWidth="1"/>
    <col min="8704" max="8704" width="2.7109375" bestFit="1" customWidth="1"/>
    <col min="8705" max="8705" width="41.5703125" bestFit="1" customWidth="1"/>
    <col min="8710" max="8710" width="13.42578125" customWidth="1"/>
    <col min="8960" max="8960" width="2.7109375" bestFit="1" customWidth="1"/>
    <col min="8961" max="8961" width="41.5703125" bestFit="1" customWidth="1"/>
    <col min="8966" max="8966" width="13.42578125" customWidth="1"/>
    <col min="9216" max="9216" width="2.7109375" bestFit="1" customWidth="1"/>
    <col min="9217" max="9217" width="41.5703125" bestFit="1" customWidth="1"/>
    <col min="9222" max="9222" width="13.42578125" customWidth="1"/>
    <col min="9472" max="9472" width="2.7109375" bestFit="1" customWidth="1"/>
    <col min="9473" max="9473" width="41.5703125" bestFit="1" customWidth="1"/>
    <col min="9478" max="9478" width="13.42578125" customWidth="1"/>
    <col min="9728" max="9728" width="2.7109375" bestFit="1" customWidth="1"/>
    <col min="9729" max="9729" width="41.5703125" bestFit="1" customWidth="1"/>
    <col min="9734" max="9734" width="13.42578125" customWidth="1"/>
    <col min="9984" max="9984" width="2.7109375" bestFit="1" customWidth="1"/>
    <col min="9985" max="9985" width="41.5703125" bestFit="1" customWidth="1"/>
    <col min="9990" max="9990" width="13.42578125" customWidth="1"/>
    <col min="10240" max="10240" width="2.7109375" bestFit="1" customWidth="1"/>
    <col min="10241" max="10241" width="41.5703125" bestFit="1" customWidth="1"/>
    <col min="10246" max="10246" width="13.42578125" customWidth="1"/>
    <col min="10496" max="10496" width="2.7109375" bestFit="1" customWidth="1"/>
    <col min="10497" max="10497" width="41.5703125" bestFit="1" customWidth="1"/>
    <col min="10502" max="10502" width="13.42578125" customWidth="1"/>
    <col min="10752" max="10752" width="2.7109375" bestFit="1" customWidth="1"/>
    <col min="10753" max="10753" width="41.5703125" bestFit="1" customWidth="1"/>
    <col min="10758" max="10758" width="13.42578125" customWidth="1"/>
    <col min="11008" max="11008" width="2.7109375" bestFit="1" customWidth="1"/>
    <col min="11009" max="11009" width="41.5703125" bestFit="1" customWidth="1"/>
    <col min="11014" max="11014" width="13.42578125" customWidth="1"/>
    <col min="11264" max="11264" width="2.7109375" bestFit="1" customWidth="1"/>
    <col min="11265" max="11265" width="41.5703125" bestFit="1" customWidth="1"/>
    <col min="11270" max="11270" width="13.42578125" customWidth="1"/>
    <col min="11520" max="11520" width="2.7109375" bestFit="1" customWidth="1"/>
    <col min="11521" max="11521" width="41.5703125" bestFit="1" customWidth="1"/>
    <col min="11526" max="11526" width="13.42578125" customWidth="1"/>
    <col min="11776" max="11776" width="2.7109375" bestFit="1" customWidth="1"/>
    <col min="11777" max="11777" width="41.5703125" bestFit="1" customWidth="1"/>
    <col min="11782" max="11782" width="13.42578125" customWidth="1"/>
    <col min="12032" max="12032" width="2.7109375" bestFit="1" customWidth="1"/>
    <col min="12033" max="12033" width="41.5703125" bestFit="1" customWidth="1"/>
    <col min="12038" max="12038" width="13.42578125" customWidth="1"/>
    <col min="12288" max="12288" width="2.7109375" bestFit="1" customWidth="1"/>
    <col min="12289" max="12289" width="41.5703125" bestFit="1" customWidth="1"/>
    <col min="12294" max="12294" width="13.42578125" customWidth="1"/>
    <col min="12544" max="12544" width="2.7109375" bestFit="1" customWidth="1"/>
    <col min="12545" max="12545" width="41.5703125" bestFit="1" customWidth="1"/>
    <col min="12550" max="12550" width="13.42578125" customWidth="1"/>
    <col min="12800" max="12800" width="2.7109375" bestFit="1" customWidth="1"/>
    <col min="12801" max="12801" width="41.5703125" bestFit="1" customWidth="1"/>
    <col min="12806" max="12806" width="13.42578125" customWidth="1"/>
    <col min="13056" max="13056" width="2.7109375" bestFit="1" customWidth="1"/>
    <col min="13057" max="13057" width="41.5703125" bestFit="1" customWidth="1"/>
    <col min="13062" max="13062" width="13.42578125" customWidth="1"/>
    <col min="13312" max="13312" width="2.7109375" bestFit="1" customWidth="1"/>
    <col min="13313" max="13313" width="41.5703125" bestFit="1" customWidth="1"/>
    <col min="13318" max="13318" width="13.42578125" customWidth="1"/>
    <col min="13568" max="13568" width="2.7109375" bestFit="1" customWidth="1"/>
    <col min="13569" max="13569" width="41.5703125" bestFit="1" customWidth="1"/>
    <col min="13574" max="13574" width="13.42578125" customWidth="1"/>
    <col min="13824" max="13824" width="2.7109375" bestFit="1" customWidth="1"/>
    <col min="13825" max="13825" width="41.5703125" bestFit="1" customWidth="1"/>
    <col min="13830" max="13830" width="13.42578125" customWidth="1"/>
    <col min="14080" max="14080" width="2.7109375" bestFit="1" customWidth="1"/>
    <col min="14081" max="14081" width="41.5703125" bestFit="1" customWidth="1"/>
    <col min="14086" max="14086" width="13.42578125" customWidth="1"/>
    <col min="14336" max="14336" width="2.7109375" bestFit="1" customWidth="1"/>
    <col min="14337" max="14337" width="41.5703125" bestFit="1" customWidth="1"/>
    <col min="14342" max="14342" width="13.42578125" customWidth="1"/>
    <col min="14592" max="14592" width="2.7109375" bestFit="1" customWidth="1"/>
    <col min="14593" max="14593" width="41.5703125" bestFit="1" customWidth="1"/>
    <col min="14598" max="14598" width="13.42578125" customWidth="1"/>
    <col min="14848" max="14848" width="2.7109375" bestFit="1" customWidth="1"/>
    <col min="14849" max="14849" width="41.5703125" bestFit="1" customWidth="1"/>
    <col min="14854" max="14854" width="13.42578125" customWidth="1"/>
    <col min="15104" max="15104" width="2.7109375" bestFit="1" customWidth="1"/>
    <col min="15105" max="15105" width="41.5703125" bestFit="1" customWidth="1"/>
    <col min="15110" max="15110" width="13.42578125" customWidth="1"/>
    <col min="15360" max="15360" width="2.7109375" bestFit="1" customWidth="1"/>
    <col min="15361" max="15361" width="41.5703125" bestFit="1" customWidth="1"/>
    <col min="15366" max="15366" width="13.42578125" customWidth="1"/>
    <col min="15616" max="15616" width="2.7109375" bestFit="1" customWidth="1"/>
    <col min="15617" max="15617" width="41.5703125" bestFit="1" customWidth="1"/>
    <col min="15622" max="15622" width="13.42578125" customWidth="1"/>
    <col min="15872" max="15872" width="2.7109375" bestFit="1" customWidth="1"/>
    <col min="15873" max="15873" width="41.5703125" bestFit="1" customWidth="1"/>
    <col min="15878" max="15878" width="13.42578125" customWidth="1"/>
    <col min="16128" max="16128" width="2.7109375" bestFit="1" customWidth="1"/>
    <col min="16129" max="16129" width="41.5703125" bestFit="1" customWidth="1"/>
    <col min="16134" max="16134" width="13.42578125" customWidth="1"/>
  </cols>
  <sheetData>
    <row r="2" spans="1:17" ht="25.5">
      <c r="A2" s="2599" t="s">
        <v>34</v>
      </c>
      <c r="B2" s="2599" t="s">
        <v>478</v>
      </c>
      <c r="C2" s="2599" t="s">
        <v>4</v>
      </c>
      <c r="D2" s="2599"/>
      <c r="E2" s="2599"/>
      <c r="F2" s="2599"/>
      <c r="G2" s="2599" t="s">
        <v>4971</v>
      </c>
      <c r="H2" s="2599" t="s">
        <v>4972</v>
      </c>
      <c r="I2" s="2599" t="s">
        <v>4973</v>
      </c>
    </row>
    <row r="3" spans="1:17" s="403" customFormat="1">
      <c r="A3" s="2600">
        <v>1</v>
      </c>
      <c r="B3" s="2601" t="s">
        <v>818</v>
      </c>
      <c r="C3" s="2602">
        <v>1</v>
      </c>
      <c r="D3" s="2602">
        <v>1</v>
      </c>
      <c r="E3" s="2603">
        <v>1</v>
      </c>
      <c r="F3" s="2604">
        <v>6400</v>
      </c>
      <c r="G3" s="2605">
        <v>6400</v>
      </c>
      <c r="H3" s="2606">
        <v>0.1</v>
      </c>
      <c r="I3" s="2605">
        <f t="shared" ref="I3:I66" si="0">G3*H3</f>
        <v>640</v>
      </c>
      <c r="J3" s="2607" t="s">
        <v>4974</v>
      </c>
      <c r="K3" s="2601" t="s">
        <v>818</v>
      </c>
      <c r="L3" s="2608"/>
      <c r="M3" s="2602">
        <v>1</v>
      </c>
      <c r="N3" s="2602">
        <v>1</v>
      </c>
      <c r="O3" s="2603">
        <f t="shared" ref="O3:O66" si="1">M3*N3</f>
        <v>1</v>
      </c>
      <c r="P3" s="2604">
        <v>6400</v>
      </c>
      <c r="Q3" s="2605">
        <f t="shared" ref="Q3:Q66" si="2">P3*O3</f>
        <v>6400</v>
      </c>
    </row>
    <row r="4" spans="1:17" s="403" customFormat="1" ht="38.25">
      <c r="A4" s="2600">
        <v>2</v>
      </c>
      <c r="B4" s="2609" t="s">
        <v>4975</v>
      </c>
      <c r="C4" s="2602">
        <v>1</v>
      </c>
      <c r="D4" s="2602">
        <v>1</v>
      </c>
      <c r="E4" s="2603">
        <v>1</v>
      </c>
      <c r="F4" s="2604">
        <v>47300</v>
      </c>
      <c r="G4" s="2605">
        <v>47300</v>
      </c>
      <c r="H4" s="2606">
        <v>0.1</v>
      </c>
      <c r="I4" s="2605">
        <f t="shared" si="0"/>
        <v>4730</v>
      </c>
      <c r="J4" s="2607" t="s">
        <v>4609</v>
      </c>
      <c r="K4" s="2609" t="s">
        <v>4975</v>
      </c>
      <c r="L4" s="1067"/>
      <c r="M4" s="2602">
        <v>1</v>
      </c>
      <c r="N4" s="2602">
        <v>1</v>
      </c>
      <c r="O4" s="2603">
        <f t="shared" si="1"/>
        <v>1</v>
      </c>
      <c r="P4" s="2604">
        <v>47300</v>
      </c>
      <c r="Q4" s="2605">
        <f t="shared" si="2"/>
        <v>47300</v>
      </c>
    </row>
    <row r="5" spans="1:17" s="403" customFormat="1" ht="25.5">
      <c r="A5" s="2600">
        <v>3</v>
      </c>
      <c r="B5" s="2609" t="e">
        <f>ROUND(B7*B8*B9*B10*B11*B12*B13*B14*B15,0)</f>
        <v>#VALUE!</v>
      </c>
      <c r="C5" s="2602" t="e">
        <f>ROUND(B5/12,0)</f>
        <v>#VALUE!</v>
      </c>
      <c r="D5" s="2602">
        <v>1</v>
      </c>
      <c r="E5" s="2603">
        <v>1</v>
      </c>
      <c r="F5" s="2604">
        <v>89300</v>
      </c>
      <c r="G5" s="2605">
        <v>89300</v>
      </c>
      <c r="H5" s="2606">
        <v>0.1</v>
      </c>
      <c r="I5" s="2605">
        <f t="shared" si="0"/>
        <v>8930</v>
      </c>
      <c r="J5" s="2607" t="s">
        <v>4611</v>
      </c>
      <c r="K5" s="2609" t="s">
        <v>4574</v>
      </c>
      <c r="L5" s="1067"/>
      <c r="M5" s="2602">
        <v>1</v>
      </c>
      <c r="N5" s="2602">
        <v>1</v>
      </c>
      <c r="O5" s="2603">
        <f t="shared" si="1"/>
        <v>1</v>
      </c>
      <c r="P5" s="2604">
        <v>19100</v>
      </c>
      <c r="Q5" s="2605">
        <f t="shared" si="2"/>
        <v>19100</v>
      </c>
    </row>
    <row r="6" spans="1:17" s="403" customFormat="1">
      <c r="A6" s="2600">
        <v>4</v>
      </c>
      <c r="B6" s="2609" t="s">
        <v>4574</v>
      </c>
      <c r="C6" s="2602">
        <v>1</v>
      </c>
      <c r="D6" s="2602">
        <v>1</v>
      </c>
      <c r="E6" s="2603">
        <v>1</v>
      </c>
      <c r="F6" s="2604">
        <v>19100</v>
      </c>
      <c r="G6" s="2605">
        <v>19100</v>
      </c>
      <c r="H6" s="2606">
        <v>0.1</v>
      </c>
      <c r="I6" s="2605">
        <f t="shared" si="0"/>
        <v>1910</v>
      </c>
      <c r="J6" s="2607" t="s">
        <v>4607</v>
      </c>
      <c r="K6" s="2609" t="s">
        <v>4608</v>
      </c>
      <c r="L6" s="1067"/>
      <c r="M6" s="2602">
        <v>1</v>
      </c>
      <c r="N6" s="2602">
        <v>1</v>
      </c>
      <c r="O6" s="2603">
        <f t="shared" si="1"/>
        <v>1</v>
      </c>
      <c r="P6" s="2604">
        <v>89300</v>
      </c>
      <c r="Q6" s="2605">
        <f t="shared" si="2"/>
        <v>89300</v>
      </c>
    </row>
    <row r="7" spans="1:17" s="403" customFormat="1" ht="38.25">
      <c r="A7" s="2600">
        <v>5</v>
      </c>
      <c r="B7" s="2609" t="s">
        <v>4575</v>
      </c>
      <c r="C7" s="2602">
        <v>2</v>
      </c>
      <c r="D7" s="2602">
        <v>1</v>
      </c>
      <c r="E7" s="2603">
        <v>2</v>
      </c>
      <c r="F7" s="2604">
        <v>56940</v>
      </c>
      <c r="G7" s="2605">
        <v>113880</v>
      </c>
      <c r="H7" s="2606">
        <v>0.1</v>
      </c>
      <c r="I7" s="2605">
        <f t="shared" si="0"/>
        <v>11388</v>
      </c>
      <c r="J7" s="2607" t="s">
        <v>4613</v>
      </c>
      <c r="K7" s="2609" t="s">
        <v>4575</v>
      </c>
      <c r="L7" s="1067"/>
      <c r="M7" s="2602">
        <v>2</v>
      </c>
      <c r="N7" s="2602">
        <v>1</v>
      </c>
      <c r="O7" s="2603">
        <f t="shared" si="1"/>
        <v>2</v>
      </c>
      <c r="P7" s="2604">
        <v>56940</v>
      </c>
      <c r="Q7" s="2605">
        <f t="shared" si="2"/>
        <v>113880</v>
      </c>
    </row>
    <row r="8" spans="1:17" s="403" customFormat="1" ht="25.5">
      <c r="A8" s="2600">
        <v>6</v>
      </c>
      <c r="B8" s="2610" t="s">
        <v>4566</v>
      </c>
      <c r="C8" s="2602">
        <v>8</v>
      </c>
      <c r="D8" s="2602">
        <v>1</v>
      </c>
      <c r="E8" s="2603">
        <f>C8*D8</f>
        <v>8</v>
      </c>
      <c r="F8" s="2604">
        <v>48217</v>
      </c>
      <c r="G8" s="2605">
        <f>F8*E8</f>
        <v>385736</v>
      </c>
      <c r="H8" s="2606">
        <v>0.08</v>
      </c>
      <c r="I8" s="2605">
        <f t="shared" si="0"/>
        <v>30858.880000000001</v>
      </c>
      <c r="J8" s="2607" t="s">
        <v>4617</v>
      </c>
      <c r="K8" s="2610" t="s">
        <v>4566</v>
      </c>
      <c r="L8" s="1067"/>
      <c r="M8" s="2602">
        <v>8</v>
      </c>
      <c r="N8" s="2602">
        <v>1</v>
      </c>
      <c r="O8" s="2603">
        <f t="shared" si="1"/>
        <v>8</v>
      </c>
      <c r="P8" s="2604">
        <v>48217</v>
      </c>
      <c r="Q8" s="2605">
        <f t="shared" si="2"/>
        <v>385736</v>
      </c>
    </row>
    <row r="9" spans="1:17" s="403" customFormat="1" ht="25.5">
      <c r="A9" s="2600">
        <v>7</v>
      </c>
      <c r="B9" s="2611" t="s">
        <v>809</v>
      </c>
      <c r="C9" s="2602">
        <v>1</v>
      </c>
      <c r="D9" s="2602">
        <v>1</v>
      </c>
      <c r="E9" s="2603">
        <v>1</v>
      </c>
      <c r="F9" s="2604">
        <v>17838</v>
      </c>
      <c r="G9" s="2605">
        <v>17838</v>
      </c>
      <c r="H9" s="2606">
        <v>0.08</v>
      </c>
      <c r="I9" s="2605">
        <f t="shared" si="0"/>
        <v>1427.04</v>
      </c>
      <c r="J9" s="2607" t="s">
        <v>4624</v>
      </c>
      <c r="K9" s="2611" t="s">
        <v>809</v>
      </c>
      <c r="L9" s="1067"/>
      <c r="M9" s="2602">
        <v>1</v>
      </c>
      <c r="N9" s="2602">
        <v>1</v>
      </c>
      <c r="O9" s="2603">
        <f t="shared" si="1"/>
        <v>1</v>
      </c>
      <c r="P9" s="2604">
        <v>17838</v>
      </c>
      <c r="Q9" s="2605">
        <f t="shared" si="2"/>
        <v>17838</v>
      </c>
    </row>
    <row r="10" spans="1:17" s="403" customFormat="1" ht="25.5">
      <c r="A10" s="2600">
        <v>8</v>
      </c>
      <c r="B10" s="2611" t="s">
        <v>806</v>
      </c>
      <c r="C10" s="2602">
        <v>1</v>
      </c>
      <c r="D10" s="2602">
        <v>1</v>
      </c>
      <c r="E10" s="2603">
        <v>1</v>
      </c>
      <c r="F10" s="2604">
        <v>57316</v>
      </c>
      <c r="G10" s="2605">
        <v>57316</v>
      </c>
      <c r="H10" s="2606">
        <v>0.08</v>
      </c>
      <c r="I10" s="2605">
        <f t="shared" si="0"/>
        <v>4585.28</v>
      </c>
      <c r="J10" s="2607" t="s">
        <v>4625</v>
      </c>
      <c r="K10" s="2611" t="s">
        <v>806</v>
      </c>
      <c r="L10" s="1067"/>
      <c r="M10" s="2602">
        <v>1</v>
      </c>
      <c r="N10" s="2602">
        <v>1</v>
      </c>
      <c r="O10" s="2603">
        <f t="shared" si="1"/>
        <v>1</v>
      </c>
      <c r="P10" s="2604">
        <v>57316</v>
      </c>
      <c r="Q10" s="2605">
        <f t="shared" si="2"/>
        <v>57316</v>
      </c>
    </row>
    <row r="11" spans="1:17" s="403" customFormat="1" ht="25.5">
      <c r="A11" s="2600">
        <v>9</v>
      </c>
      <c r="B11" s="2611" t="s">
        <v>805</v>
      </c>
      <c r="C11" s="2602">
        <v>2</v>
      </c>
      <c r="D11" s="2602">
        <v>1</v>
      </c>
      <c r="E11" s="2603">
        <v>2</v>
      </c>
      <c r="F11" s="2604">
        <v>42269</v>
      </c>
      <c r="G11" s="2605">
        <v>84538</v>
      </c>
      <c r="H11" s="2606">
        <v>0.08</v>
      </c>
      <c r="I11" s="2605">
        <f t="shared" si="0"/>
        <v>6763.04</v>
      </c>
      <c r="J11" s="2607" t="s">
        <v>4638</v>
      </c>
      <c r="K11" s="2611" t="s">
        <v>805</v>
      </c>
      <c r="L11" s="1067"/>
      <c r="M11" s="2602">
        <v>2</v>
      </c>
      <c r="N11" s="2602">
        <v>1</v>
      </c>
      <c r="O11" s="2603">
        <f t="shared" si="1"/>
        <v>2</v>
      </c>
      <c r="P11" s="2604">
        <v>42269</v>
      </c>
      <c r="Q11" s="2605">
        <f t="shared" si="2"/>
        <v>84538</v>
      </c>
    </row>
    <row r="12" spans="1:17" s="403" customFormat="1" ht="25.5">
      <c r="A12" s="2600">
        <v>10</v>
      </c>
      <c r="B12" s="2612" t="s">
        <v>4572</v>
      </c>
      <c r="C12" s="2602">
        <v>2</v>
      </c>
      <c r="D12" s="2602">
        <v>1</v>
      </c>
      <c r="E12" s="2603">
        <v>2</v>
      </c>
      <c r="F12" s="2613">
        <v>23505</v>
      </c>
      <c r="G12" s="2605">
        <v>47010</v>
      </c>
      <c r="H12" s="2606">
        <v>0.08</v>
      </c>
      <c r="I12" s="2605">
        <f t="shared" si="0"/>
        <v>3760.8</v>
      </c>
      <c r="J12" s="2607" t="s">
        <v>4644</v>
      </c>
      <c r="K12" s="2612" t="s">
        <v>4572</v>
      </c>
      <c r="L12" s="2614"/>
      <c r="M12" s="2602">
        <v>2</v>
      </c>
      <c r="N12" s="2602">
        <v>1</v>
      </c>
      <c r="O12" s="2603">
        <f t="shared" si="1"/>
        <v>2</v>
      </c>
      <c r="P12" s="2613">
        <v>23505</v>
      </c>
      <c r="Q12" s="2605">
        <f t="shared" si="2"/>
        <v>47010</v>
      </c>
    </row>
    <row r="13" spans="1:17" s="403" customFormat="1" ht="25.5">
      <c r="A13" s="2600">
        <v>11</v>
      </c>
      <c r="B13" s="2612" t="s">
        <v>804</v>
      </c>
      <c r="C13" s="2602">
        <v>2</v>
      </c>
      <c r="D13" s="2602">
        <v>1</v>
      </c>
      <c r="E13" s="2603">
        <v>2</v>
      </c>
      <c r="F13" s="2613">
        <v>42269</v>
      </c>
      <c r="G13" s="2605">
        <v>84538</v>
      </c>
      <c r="H13" s="2606">
        <v>0.08</v>
      </c>
      <c r="I13" s="2605">
        <f t="shared" si="0"/>
        <v>6763.04</v>
      </c>
      <c r="J13" s="2607" t="s">
        <v>4648</v>
      </c>
      <c r="K13" s="2612" t="s">
        <v>804</v>
      </c>
      <c r="L13" s="2614"/>
      <c r="M13" s="2602">
        <v>2</v>
      </c>
      <c r="N13" s="2602">
        <v>1</v>
      </c>
      <c r="O13" s="2603">
        <f t="shared" si="1"/>
        <v>2</v>
      </c>
      <c r="P13" s="2613">
        <v>42269</v>
      </c>
      <c r="Q13" s="2605">
        <f t="shared" si="2"/>
        <v>84538</v>
      </c>
    </row>
    <row r="14" spans="1:17" s="403" customFormat="1" ht="38.25">
      <c r="A14" s="2600">
        <v>12</v>
      </c>
      <c r="B14" s="2612" t="s">
        <v>4975</v>
      </c>
      <c r="C14" s="2602">
        <v>1</v>
      </c>
      <c r="D14" s="2602">
        <v>1</v>
      </c>
      <c r="E14" s="2602">
        <v>1</v>
      </c>
      <c r="F14" s="2604">
        <v>47300</v>
      </c>
      <c r="G14" s="2605">
        <v>47300</v>
      </c>
      <c r="H14" s="2606">
        <v>0.1</v>
      </c>
      <c r="I14" s="2605">
        <f t="shared" si="0"/>
        <v>4730</v>
      </c>
      <c r="J14" s="2607" t="s">
        <v>4657</v>
      </c>
      <c r="K14" s="2612" t="s">
        <v>4975</v>
      </c>
      <c r="L14" s="2614"/>
      <c r="M14" s="2602">
        <v>1</v>
      </c>
      <c r="N14" s="2602">
        <v>1</v>
      </c>
      <c r="O14" s="2602">
        <f t="shared" si="1"/>
        <v>1</v>
      </c>
      <c r="P14" s="2604">
        <v>47300</v>
      </c>
      <c r="Q14" s="2605">
        <f t="shared" si="2"/>
        <v>47300</v>
      </c>
    </row>
    <row r="15" spans="1:17" s="403" customFormat="1">
      <c r="A15" s="2600">
        <v>13</v>
      </c>
      <c r="B15" s="2612" t="s">
        <v>4608</v>
      </c>
      <c r="C15" s="2602">
        <v>1</v>
      </c>
      <c r="D15" s="2602">
        <v>1</v>
      </c>
      <c r="E15" s="2602">
        <v>1</v>
      </c>
      <c r="F15" s="2604">
        <v>89300</v>
      </c>
      <c r="G15" s="2605">
        <v>89300</v>
      </c>
      <c r="H15" s="2606">
        <v>0.1</v>
      </c>
      <c r="I15" s="2605">
        <f t="shared" si="0"/>
        <v>8930</v>
      </c>
      <c r="J15" s="2607" t="s">
        <v>4658</v>
      </c>
      <c r="K15" s="2612" t="s">
        <v>4608</v>
      </c>
      <c r="L15" s="2614"/>
      <c r="M15" s="2602">
        <v>1</v>
      </c>
      <c r="N15" s="2602">
        <v>1</v>
      </c>
      <c r="O15" s="2602">
        <f t="shared" si="1"/>
        <v>1</v>
      </c>
      <c r="P15" s="2604">
        <v>89300</v>
      </c>
      <c r="Q15" s="2605">
        <f t="shared" si="2"/>
        <v>89300</v>
      </c>
    </row>
    <row r="16" spans="1:17" s="403" customFormat="1">
      <c r="A16" s="2600">
        <v>14</v>
      </c>
      <c r="B16" s="2612" t="s">
        <v>818</v>
      </c>
      <c r="C16" s="2602">
        <v>3</v>
      </c>
      <c r="D16" s="2602">
        <v>1</v>
      </c>
      <c r="E16" s="2602">
        <v>3</v>
      </c>
      <c r="F16" s="2604">
        <v>6400</v>
      </c>
      <c r="G16" s="2605">
        <v>19200</v>
      </c>
      <c r="H16" s="2606">
        <v>0.1</v>
      </c>
      <c r="I16" s="2605">
        <f t="shared" si="0"/>
        <v>1920</v>
      </c>
      <c r="J16" s="2607" t="s">
        <v>4976</v>
      </c>
      <c r="K16" s="2612" t="s">
        <v>818</v>
      </c>
      <c r="L16" s="2614"/>
      <c r="M16" s="2602">
        <v>3</v>
      </c>
      <c r="N16" s="2602">
        <v>1</v>
      </c>
      <c r="O16" s="2602">
        <f t="shared" si="1"/>
        <v>3</v>
      </c>
      <c r="P16" s="2604">
        <v>6400</v>
      </c>
      <c r="Q16" s="2605">
        <f t="shared" si="2"/>
        <v>19200</v>
      </c>
    </row>
    <row r="17" spans="1:19" s="403" customFormat="1" ht="38.25">
      <c r="A17" s="2600">
        <v>15</v>
      </c>
      <c r="B17" s="2612" t="s">
        <v>4494</v>
      </c>
      <c r="C17" s="2602">
        <v>2</v>
      </c>
      <c r="D17" s="2602">
        <v>1</v>
      </c>
      <c r="E17" s="2602">
        <v>2</v>
      </c>
      <c r="F17" s="2615">
        <v>56940</v>
      </c>
      <c r="G17" s="2605">
        <v>113880</v>
      </c>
      <c r="H17" s="2606">
        <v>0.1</v>
      </c>
      <c r="I17" s="2605">
        <f t="shared" si="0"/>
        <v>11388</v>
      </c>
      <c r="J17" s="2607" t="s">
        <v>4659</v>
      </c>
      <c r="K17" s="2612" t="s">
        <v>4494</v>
      </c>
      <c r="L17" s="2614"/>
      <c r="M17" s="2602">
        <v>2</v>
      </c>
      <c r="N17" s="2602">
        <v>1</v>
      </c>
      <c r="O17" s="2602">
        <f t="shared" si="1"/>
        <v>2</v>
      </c>
      <c r="P17" s="2615">
        <v>56940</v>
      </c>
      <c r="Q17" s="2605">
        <f t="shared" si="2"/>
        <v>113880</v>
      </c>
    </row>
    <row r="18" spans="1:19" s="403" customFormat="1" ht="25.5">
      <c r="A18" s="2600">
        <v>16</v>
      </c>
      <c r="B18" s="2612" t="e">
        <f>B20*B22*B21</f>
        <v>#REF!</v>
      </c>
      <c r="C18" s="2602">
        <v>1</v>
      </c>
      <c r="D18" s="2602">
        <v>1</v>
      </c>
      <c r="E18" s="2602">
        <v>1</v>
      </c>
      <c r="F18" s="2615">
        <v>42269</v>
      </c>
      <c r="G18" s="2605">
        <v>42269</v>
      </c>
      <c r="H18" s="2606">
        <v>0.08</v>
      </c>
      <c r="I18" s="2605">
        <f t="shared" si="0"/>
        <v>3381.52</v>
      </c>
      <c r="J18" s="2607" t="s">
        <v>4665</v>
      </c>
      <c r="K18" s="2612" t="s">
        <v>803</v>
      </c>
      <c r="L18" s="2614"/>
      <c r="M18" s="2602">
        <v>1</v>
      </c>
      <c r="N18" s="2602">
        <v>1</v>
      </c>
      <c r="O18" s="2602">
        <f t="shared" si="1"/>
        <v>1</v>
      </c>
      <c r="P18" s="2615">
        <v>42269</v>
      </c>
      <c r="Q18" s="2605">
        <f t="shared" si="2"/>
        <v>42269</v>
      </c>
      <c r="S18" s="2616" t="s">
        <v>4977</v>
      </c>
    </row>
    <row r="19" spans="1:19" s="403" customFormat="1" ht="25.5">
      <c r="A19" s="2600">
        <v>17</v>
      </c>
      <c r="B19" s="2612" t="s">
        <v>795</v>
      </c>
      <c r="C19" s="2602">
        <v>2</v>
      </c>
      <c r="D19" s="2602">
        <v>1</v>
      </c>
      <c r="E19" s="2602">
        <v>2</v>
      </c>
      <c r="F19" s="2615">
        <v>39768</v>
      </c>
      <c r="G19" s="2605">
        <v>79536</v>
      </c>
      <c r="H19" s="2606">
        <v>0.08</v>
      </c>
      <c r="I19" s="2605">
        <f t="shared" si="0"/>
        <v>6362.88</v>
      </c>
      <c r="J19" s="2607" t="s">
        <v>4666</v>
      </c>
      <c r="K19" s="2612" t="s">
        <v>795</v>
      </c>
      <c r="L19" s="2614"/>
      <c r="M19" s="2602">
        <v>2</v>
      </c>
      <c r="N19" s="2602">
        <v>1</v>
      </c>
      <c r="O19" s="2602">
        <f t="shared" si="1"/>
        <v>2</v>
      </c>
      <c r="P19" s="2615">
        <v>39768</v>
      </c>
      <c r="Q19" s="2605">
        <f t="shared" si="2"/>
        <v>79536</v>
      </c>
    </row>
    <row r="20" spans="1:19" s="403" customFormat="1" ht="63.75">
      <c r="A20" s="2600">
        <v>18</v>
      </c>
      <c r="B20" s="2705" t="e">
        <f>'мебель изм.амортиз'!I73+'оргтех столовой'!T86+#REF!</f>
        <v>#REF!</v>
      </c>
      <c r="C20" s="2602">
        <v>1</v>
      </c>
      <c r="D20" s="2602">
        <v>1</v>
      </c>
      <c r="E20" s="2602">
        <v>1</v>
      </c>
      <c r="F20" s="2615">
        <v>103460</v>
      </c>
      <c r="G20" s="2605">
        <v>103460</v>
      </c>
      <c r="H20" s="2606">
        <v>0.08</v>
      </c>
      <c r="I20" s="2605">
        <f>G20*H20</f>
        <v>8276.7999999999993</v>
      </c>
      <c r="J20" s="2607" t="s">
        <v>4674</v>
      </c>
      <c r="K20" s="2612" t="s">
        <v>4675</v>
      </c>
      <c r="L20" s="2614"/>
      <c r="M20" s="2602">
        <v>1</v>
      </c>
      <c r="N20" s="2602">
        <v>1</v>
      </c>
      <c r="O20" s="2602">
        <f t="shared" si="1"/>
        <v>1</v>
      </c>
      <c r="P20" s="2615">
        <v>103460</v>
      </c>
      <c r="Q20" s="2605">
        <f t="shared" si="2"/>
        <v>103460</v>
      </c>
    </row>
    <row r="21" spans="1:19" s="403" customFormat="1" ht="25.5">
      <c r="A21" s="2600">
        <v>19</v>
      </c>
      <c r="B21" s="2612" t="s">
        <v>805</v>
      </c>
      <c r="C21" s="2602">
        <v>5</v>
      </c>
      <c r="D21" s="2602">
        <v>1</v>
      </c>
      <c r="E21" s="2602">
        <v>5</v>
      </c>
      <c r="F21" s="2615">
        <v>42269</v>
      </c>
      <c r="G21" s="2605">
        <v>211345</v>
      </c>
      <c r="H21" s="2606">
        <v>0.08</v>
      </c>
      <c r="I21" s="2605">
        <f t="shared" si="0"/>
        <v>16907.599999999999</v>
      </c>
      <c r="J21" s="2607" t="s">
        <v>4679</v>
      </c>
      <c r="K21" s="2612" t="s">
        <v>805</v>
      </c>
      <c r="L21" s="2614"/>
      <c r="M21" s="2602">
        <v>5</v>
      </c>
      <c r="N21" s="2602">
        <v>1</v>
      </c>
      <c r="O21" s="2602">
        <f t="shared" si="1"/>
        <v>5</v>
      </c>
      <c r="P21" s="2615">
        <v>42269</v>
      </c>
      <c r="Q21" s="2605">
        <f t="shared" si="2"/>
        <v>211345</v>
      </c>
    </row>
    <row r="22" spans="1:19" s="403" customFormat="1" ht="51">
      <c r="A22" s="2600">
        <v>20</v>
      </c>
      <c r="B22" s="2612" t="s">
        <v>817</v>
      </c>
      <c r="C22" s="2602">
        <v>3</v>
      </c>
      <c r="D22" s="2602">
        <v>1</v>
      </c>
      <c r="E22" s="2602">
        <f>C22*D22</f>
        <v>3</v>
      </c>
      <c r="F22" s="2615">
        <v>67368</v>
      </c>
      <c r="G22" s="2605">
        <f>F22*E22</f>
        <v>202104</v>
      </c>
      <c r="H22" s="2606">
        <v>0.08</v>
      </c>
      <c r="I22" s="2605">
        <f t="shared" si="0"/>
        <v>16168.32</v>
      </c>
      <c r="J22" s="2607" t="s">
        <v>4687</v>
      </c>
      <c r="K22" s="2612" t="s">
        <v>817</v>
      </c>
      <c r="L22" s="2614"/>
      <c r="M22" s="2602">
        <v>3</v>
      </c>
      <c r="N22" s="2602">
        <v>1</v>
      </c>
      <c r="O22" s="2602">
        <f t="shared" si="1"/>
        <v>3</v>
      </c>
      <c r="P22" s="2615">
        <v>67368</v>
      </c>
      <c r="Q22" s="2605">
        <f t="shared" si="2"/>
        <v>202104</v>
      </c>
    </row>
    <row r="23" spans="1:19" s="403" customFormat="1" ht="25.5">
      <c r="A23" s="2600">
        <v>21</v>
      </c>
      <c r="B23" s="2612" t="s">
        <v>4566</v>
      </c>
      <c r="C23" s="2602">
        <v>3</v>
      </c>
      <c r="D23" s="2602">
        <v>1</v>
      </c>
      <c r="E23" s="2602">
        <v>3</v>
      </c>
      <c r="F23" s="2615">
        <v>62576</v>
      </c>
      <c r="G23" s="2605">
        <v>187728</v>
      </c>
      <c r="H23" s="2606">
        <v>0.08</v>
      </c>
      <c r="I23" s="2605">
        <f t="shared" si="0"/>
        <v>15018.24</v>
      </c>
      <c r="J23" s="2607" t="s">
        <v>4691</v>
      </c>
      <c r="K23" s="2612" t="s">
        <v>4566</v>
      </c>
      <c r="L23" s="2614"/>
      <c r="M23" s="2602">
        <v>3</v>
      </c>
      <c r="N23" s="2602">
        <v>1</v>
      </c>
      <c r="O23" s="2602">
        <f t="shared" si="1"/>
        <v>3</v>
      </c>
      <c r="P23" s="2615">
        <v>62576</v>
      </c>
      <c r="Q23" s="2605">
        <f t="shared" si="2"/>
        <v>187728</v>
      </c>
    </row>
    <row r="24" spans="1:19" s="403" customFormat="1" ht="25.5">
      <c r="A24" s="2600">
        <v>22</v>
      </c>
      <c r="B24" s="2612" t="s">
        <v>4565</v>
      </c>
      <c r="C24" s="2602">
        <v>1</v>
      </c>
      <c r="D24" s="2602">
        <v>1</v>
      </c>
      <c r="E24" s="2602">
        <v>1</v>
      </c>
      <c r="F24" s="2615">
        <v>48678</v>
      </c>
      <c r="G24" s="2605">
        <v>48678</v>
      </c>
      <c r="H24" s="2606">
        <v>0.08</v>
      </c>
      <c r="I24" s="2605">
        <f t="shared" si="0"/>
        <v>3894.2400000000002</v>
      </c>
      <c r="J24" s="2607" t="s">
        <v>4692</v>
      </c>
      <c r="K24" s="2612" t="s">
        <v>4565</v>
      </c>
      <c r="L24" s="2614"/>
      <c r="M24" s="2602">
        <v>1</v>
      </c>
      <c r="N24" s="2602">
        <v>1</v>
      </c>
      <c r="O24" s="2602">
        <f t="shared" si="1"/>
        <v>1</v>
      </c>
      <c r="P24" s="2615">
        <v>48678</v>
      </c>
      <c r="Q24" s="2605">
        <f t="shared" si="2"/>
        <v>48678</v>
      </c>
    </row>
    <row r="25" spans="1:19" s="403" customFormat="1" ht="25.5">
      <c r="A25" s="2600">
        <v>23</v>
      </c>
      <c r="B25" s="2612" t="s">
        <v>796</v>
      </c>
      <c r="C25" s="2602">
        <v>6</v>
      </c>
      <c r="D25" s="2602">
        <v>1</v>
      </c>
      <c r="E25" s="2602">
        <v>6</v>
      </c>
      <c r="F25" s="2615">
        <v>37760</v>
      </c>
      <c r="G25" s="2605">
        <v>226560</v>
      </c>
      <c r="H25" s="2606">
        <v>0.08</v>
      </c>
      <c r="I25" s="2605">
        <f t="shared" si="0"/>
        <v>18124.8</v>
      </c>
      <c r="J25" s="2607" t="s">
        <v>4696</v>
      </c>
      <c r="K25" s="2612" t="s">
        <v>796</v>
      </c>
      <c r="L25" s="2614"/>
      <c r="M25" s="2602">
        <v>6</v>
      </c>
      <c r="N25" s="2602">
        <v>1</v>
      </c>
      <c r="O25" s="2602">
        <f t="shared" si="1"/>
        <v>6</v>
      </c>
      <c r="P25" s="2615">
        <v>37760</v>
      </c>
      <c r="Q25" s="2605">
        <f t="shared" si="2"/>
        <v>226560</v>
      </c>
    </row>
    <row r="26" spans="1:19" s="403" customFormat="1" ht="25.5">
      <c r="A26" s="2600">
        <v>24</v>
      </c>
      <c r="B26" s="2612" t="s">
        <v>964</v>
      </c>
      <c r="C26" s="2602">
        <v>2</v>
      </c>
      <c r="D26" s="2602">
        <v>1</v>
      </c>
      <c r="E26" s="2602">
        <v>2</v>
      </c>
      <c r="F26" s="2615">
        <v>71146</v>
      </c>
      <c r="G26" s="2605">
        <v>142292</v>
      </c>
      <c r="H26" s="2606">
        <v>0.08</v>
      </c>
      <c r="I26" s="2605">
        <f t="shared" si="0"/>
        <v>11383.36</v>
      </c>
      <c r="J26" s="2607" t="s">
        <v>4697</v>
      </c>
      <c r="K26" s="2612" t="s">
        <v>964</v>
      </c>
      <c r="L26" s="2614"/>
      <c r="M26" s="2602">
        <v>2</v>
      </c>
      <c r="N26" s="2602">
        <v>1</v>
      </c>
      <c r="O26" s="2602">
        <f t="shared" si="1"/>
        <v>2</v>
      </c>
      <c r="P26" s="2615">
        <v>71146</v>
      </c>
      <c r="Q26" s="2605">
        <f t="shared" si="2"/>
        <v>142292</v>
      </c>
    </row>
    <row r="27" spans="1:19" s="403" customFormat="1" ht="25.5">
      <c r="A27" s="2600">
        <v>25</v>
      </c>
      <c r="B27" s="2612" t="s">
        <v>797</v>
      </c>
      <c r="C27" s="2602">
        <v>3</v>
      </c>
      <c r="D27" s="2602">
        <v>1</v>
      </c>
      <c r="E27" s="2602">
        <v>3</v>
      </c>
      <c r="F27" s="2615">
        <v>59756</v>
      </c>
      <c r="G27" s="2605">
        <v>179268</v>
      </c>
      <c r="H27" s="2606">
        <v>0.08</v>
      </c>
      <c r="I27" s="2605">
        <f t="shared" si="0"/>
        <v>14341.44</v>
      </c>
      <c r="J27" s="2607" t="s">
        <v>4698</v>
      </c>
      <c r="K27" s="2612" t="s">
        <v>797</v>
      </c>
      <c r="L27" s="2614"/>
      <c r="M27" s="2602">
        <v>3</v>
      </c>
      <c r="N27" s="2602">
        <v>1</v>
      </c>
      <c r="O27" s="2602">
        <f t="shared" si="1"/>
        <v>3</v>
      </c>
      <c r="P27" s="2615">
        <v>59756</v>
      </c>
      <c r="Q27" s="2605">
        <f t="shared" si="2"/>
        <v>179268</v>
      </c>
    </row>
    <row r="28" spans="1:19" s="403" customFormat="1" ht="25.5">
      <c r="A28" s="2600">
        <v>26</v>
      </c>
      <c r="B28" s="2612" t="s">
        <v>794</v>
      </c>
      <c r="C28" s="2602">
        <v>2</v>
      </c>
      <c r="D28" s="2602">
        <v>1</v>
      </c>
      <c r="E28" s="2602">
        <v>2</v>
      </c>
      <c r="F28" s="2615">
        <v>71146</v>
      </c>
      <c r="G28" s="2605">
        <v>142292</v>
      </c>
      <c r="H28" s="2606">
        <v>0.08</v>
      </c>
      <c r="I28" s="2605">
        <f t="shared" si="0"/>
        <v>11383.36</v>
      </c>
      <c r="J28" s="2607" t="s">
        <v>4700</v>
      </c>
      <c r="K28" s="2612" t="s">
        <v>794</v>
      </c>
      <c r="L28" s="2614"/>
      <c r="M28" s="2602">
        <v>2</v>
      </c>
      <c r="N28" s="2602">
        <v>1</v>
      </c>
      <c r="O28" s="2602">
        <f t="shared" si="1"/>
        <v>2</v>
      </c>
      <c r="P28" s="2615">
        <v>71146</v>
      </c>
      <c r="Q28" s="2605">
        <f t="shared" si="2"/>
        <v>142292</v>
      </c>
    </row>
    <row r="29" spans="1:19" s="403" customFormat="1" ht="25.5">
      <c r="A29" s="2600">
        <v>27</v>
      </c>
      <c r="B29" s="2612" t="s">
        <v>895</v>
      </c>
      <c r="C29" s="2602">
        <v>2</v>
      </c>
      <c r="D29" s="2602">
        <v>1</v>
      </c>
      <c r="E29" s="2602">
        <v>2</v>
      </c>
      <c r="F29" s="2615">
        <v>45210</v>
      </c>
      <c r="G29" s="2605">
        <v>90420</v>
      </c>
      <c r="H29" s="2606">
        <v>0.08</v>
      </c>
      <c r="I29" s="2605">
        <f t="shared" si="0"/>
        <v>7233.6</v>
      </c>
      <c r="J29" s="2607" t="s">
        <v>4701</v>
      </c>
      <c r="K29" s="2612" t="s">
        <v>895</v>
      </c>
      <c r="L29" s="2614"/>
      <c r="M29" s="2602">
        <v>2</v>
      </c>
      <c r="N29" s="2602">
        <v>1</v>
      </c>
      <c r="O29" s="2602">
        <f t="shared" si="1"/>
        <v>2</v>
      </c>
      <c r="P29" s="2615">
        <v>45210</v>
      </c>
      <c r="Q29" s="2605">
        <f t="shared" si="2"/>
        <v>90420</v>
      </c>
    </row>
    <row r="30" spans="1:19" s="403" customFormat="1" ht="25.5">
      <c r="A30" s="2600">
        <v>28</v>
      </c>
      <c r="B30" s="2612" t="s">
        <v>965</v>
      </c>
      <c r="C30" s="2602">
        <v>2</v>
      </c>
      <c r="D30" s="2602">
        <v>1</v>
      </c>
      <c r="E30" s="2602">
        <v>2</v>
      </c>
      <c r="F30" s="2615">
        <v>71146</v>
      </c>
      <c r="G30" s="2605">
        <v>142292</v>
      </c>
      <c r="H30" s="2606">
        <v>0.08</v>
      </c>
      <c r="I30" s="2605">
        <f t="shared" si="0"/>
        <v>11383.36</v>
      </c>
      <c r="J30" s="2607" t="s">
        <v>4703</v>
      </c>
      <c r="K30" s="2612" t="s">
        <v>965</v>
      </c>
      <c r="L30" s="2614"/>
      <c r="M30" s="2602">
        <v>2</v>
      </c>
      <c r="N30" s="2602">
        <v>1</v>
      </c>
      <c r="O30" s="2602">
        <f t="shared" si="1"/>
        <v>2</v>
      </c>
      <c r="P30" s="2615">
        <v>71146</v>
      </c>
      <c r="Q30" s="2605">
        <f t="shared" si="2"/>
        <v>142292</v>
      </c>
    </row>
    <row r="31" spans="1:19" s="403" customFormat="1" ht="25.5">
      <c r="A31" s="2600">
        <v>29</v>
      </c>
      <c r="B31" s="2612" t="s">
        <v>799</v>
      </c>
      <c r="C31" s="2602">
        <v>1</v>
      </c>
      <c r="D31" s="2602">
        <v>1</v>
      </c>
      <c r="E31" s="2602">
        <v>1</v>
      </c>
      <c r="F31" s="2615">
        <v>83539</v>
      </c>
      <c r="G31" s="2605">
        <v>83539</v>
      </c>
      <c r="H31" s="2606">
        <v>0.08</v>
      </c>
      <c r="I31" s="2605">
        <f t="shared" si="0"/>
        <v>6683.12</v>
      </c>
      <c r="J31" s="2607" t="s">
        <v>4704</v>
      </c>
      <c r="K31" s="2612" t="s">
        <v>799</v>
      </c>
      <c r="L31" s="2614"/>
      <c r="M31" s="2602">
        <v>1</v>
      </c>
      <c r="N31" s="2602">
        <v>1</v>
      </c>
      <c r="O31" s="2602">
        <f t="shared" si="1"/>
        <v>1</v>
      </c>
      <c r="P31" s="2615">
        <v>83539</v>
      </c>
      <c r="Q31" s="2605">
        <f t="shared" si="2"/>
        <v>83539</v>
      </c>
    </row>
    <row r="32" spans="1:19" s="403" customFormat="1" ht="25.5">
      <c r="A32" s="2600">
        <v>30</v>
      </c>
      <c r="B32" s="2612" t="s">
        <v>4564</v>
      </c>
      <c r="C32" s="2602">
        <v>9</v>
      </c>
      <c r="D32" s="2602">
        <v>1</v>
      </c>
      <c r="E32" s="2602">
        <v>9</v>
      </c>
      <c r="F32" s="2615">
        <v>78384</v>
      </c>
      <c r="G32" s="2605">
        <v>705456</v>
      </c>
      <c r="H32" s="2606">
        <v>0.08</v>
      </c>
      <c r="I32" s="2605">
        <f t="shared" si="0"/>
        <v>56436.480000000003</v>
      </c>
      <c r="J32" s="2607" t="s">
        <v>4710</v>
      </c>
      <c r="K32" s="2612" t="s">
        <v>4564</v>
      </c>
      <c r="L32" s="2614"/>
      <c r="M32" s="2602">
        <v>9</v>
      </c>
      <c r="N32" s="2602">
        <v>1</v>
      </c>
      <c r="O32" s="2602">
        <f t="shared" si="1"/>
        <v>9</v>
      </c>
      <c r="P32" s="2615">
        <v>78384</v>
      </c>
      <c r="Q32" s="2605">
        <f t="shared" si="2"/>
        <v>705456</v>
      </c>
    </row>
    <row r="33" spans="1:17" s="403" customFormat="1" ht="38.25">
      <c r="A33" s="2600">
        <v>31</v>
      </c>
      <c r="B33" s="2612" t="s">
        <v>4712</v>
      </c>
      <c r="C33" s="2602">
        <v>1</v>
      </c>
      <c r="D33" s="2602">
        <v>1</v>
      </c>
      <c r="E33" s="2602">
        <v>1</v>
      </c>
      <c r="F33" s="2615">
        <v>60612</v>
      </c>
      <c r="G33" s="2605">
        <v>60612</v>
      </c>
      <c r="H33" s="2606">
        <v>0.08</v>
      </c>
      <c r="I33" s="2605">
        <f t="shared" si="0"/>
        <v>4848.96</v>
      </c>
      <c r="J33" s="2607" t="s">
        <v>4711</v>
      </c>
      <c r="K33" s="2612" t="s">
        <v>4712</v>
      </c>
      <c r="L33" s="2614"/>
      <c r="M33" s="2602">
        <v>1</v>
      </c>
      <c r="N33" s="2602">
        <v>1</v>
      </c>
      <c r="O33" s="2602">
        <f t="shared" si="1"/>
        <v>1</v>
      </c>
      <c r="P33" s="2615">
        <v>60612</v>
      </c>
      <c r="Q33" s="2605">
        <f t="shared" si="2"/>
        <v>60612</v>
      </c>
    </row>
    <row r="34" spans="1:17" s="403" customFormat="1" ht="25.5">
      <c r="A34" s="2600">
        <v>32</v>
      </c>
      <c r="B34" s="2612" t="s">
        <v>803</v>
      </c>
      <c r="C34" s="2602">
        <v>1</v>
      </c>
      <c r="D34" s="2602">
        <v>1</v>
      </c>
      <c r="E34" s="2602">
        <v>1</v>
      </c>
      <c r="F34" s="2615">
        <v>42269</v>
      </c>
      <c r="G34" s="2605">
        <v>42269</v>
      </c>
      <c r="H34" s="2606">
        <v>0.08</v>
      </c>
      <c r="I34" s="2605">
        <f t="shared" si="0"/>
        <v>3381.52</v>
      </c>
      <c r="J34" s="2607" t="s">
        <v>4724</v>
      </c>
      <c r="K34" s="2612" t="s">
        <v>803</v>
      </c>
      <c r="L34" s="2614"/>
      <c r="M34" s="2602">
        <v>1</v>
      </c>
      <c r="N34" s="2602">
        <v>1</v>
      </c>
      <c r="O34" s="2602">
        <f t="shared" si="1"/>
        <v>1</v>
      </c>
      <c r="P34" s="2615">
        <v>42269</v>
      </c>
      <c r="Q34" s="2605">
        <f t="shared" si="2"/>
        <v>42269</v>
      </c>
    </row>
    <row r="35" spans="1:17" s="403" customFormat="1" ht="63.75">
      <c r="A35" s="2600">
        <v>33</v>
      </c>
      <c r="B35" s="2611" t="s">
        <v>878</v>
      </c>
      <c r="C35" s="2602">
        <v>1</v>
      </c>
      <c r="D35" s="2602">
        <v>1</v>
      </c>
      <c r="E35" s="2603">
        <v>1</v>
      </c>
      <c r="F35" s="2604">
        <v>31528</v>
      </c>
      <c r="G35" s="2605">
        <v>31528</v>
      </c>
      <c r="H35" s="2606">
        <v>0.08</v>
      </c>
      <c r="I35" s="2605">
        <f t="shared" si="0"/>
        <v>2522.2400000000002</v>
      </c>
      <c r="J35" s="2607" t="s">
        <v>4725</v>
      </c>
      <c r="K35" s="2612" t="s">
        <v>878</v>
      </c>
      <c r="L35" s="2614"/>
      <c r="M35" s="2602">
        <v>1</v>
      </c>
      <c r="N35" s="2602">
        <v>1</v>
      </c>
      <c r="O35" s="2602">
        <f t="shared" si="1"/>
        <v>1</v>
      </c>
      <c r="P35" s="2615">
        <v>31528</v>
      </c>
      <c r="Q35" s="2605">
        <f t="shared" si="2"/>
        <v>31528</v>
      </c>
    </row>
    <row r="36" spans="1:17" s="403" customFormat="1" ht="25.5">
      <c r="A36" s="2600">
        <v>34</v>
      </c>
      <c r="B36" s="2612" t="s">
        <v>4564</v>
      </c>
      <c r="C36" s="2602">
        <v>9</v>
      </c>
      <c r="D36" s="2602">
        <v>1</v>
      </c>
      <c r="E36" s="2602">
        <v>9</v>
      </c>
      <c r="F36" s="2615">
        <v>78384</v>
      </c>
      <c r="G36" s="2605">
        <v>705456</v>
      </c>
      <c r="H36" s="2606">
        <v>0.08</v>
      </c>
      <c r="I36" s="2605">
        <f t="shared" si="0"/>
        <v>56436.480000000003</v>
      </c>
      <c r="J36" s="2607" t="s">
        <v>4728</v>
      </c>
      <c r="K36" s="2612" t="s">
        <v>4564</v>
      </c>
      <c r="L36" s="2614"/>
      <c r="M36" s="2602">
        <v>9</v>
      </c>
      <c r="N36" s="2602">
        <v>1</v>
      </c>
      <c r="O36" s="2602">
        <f t="shared" si="1"/>
        <v>9</v>
      </c>
      <c r="P36" s="2615">
        <v>78384</v>
      </c>
      <c r="Q36" s="2605">
        <f t="shared" si="2"/>
        <v>705456</v>
      </c>
    </row>
    <row r="37" spans="1:17" s="403" customFormat="1" ht="63.75">
      <c r="A37" s="2600">
        <v>35</v>
      </c>
      <c r="B37" s="2612" t="s">
        <v>879</v>
      </c>
      <c r="C37" s="2602">
        <v>2</v>
      </c>
      <c r="D37" s="2602">
        <v>1</v>
      </c>
      <c r="E37" s="2602">
        <v>2</v>
      </c>
      <c r="F37" s="2615">
        <v>103460</v>
      </c>
      <c r="G37" s="2605">
        <v>206920</v>
      </c>
      <c r="H37" s="2606">
        <v>0.08</v>
      </c>
      <c r="I37" s="2605">
        <f t="shared" si="0"/>
        <v>16553.599999999999</v>
      </c>
      <c r="J37" s="2607" t="s">
        <v>4668</v>
      </c>
      <c r="K37" s="2617" t="s">
        <v>879</v>
      </c>
      <c r="L37" s="2614"/>
      <c r="M37" s="2602">
        <v>2</v>
      </c>
      <c r="N37" s="2602">
        <v>1</v>
      </c>
      <c r="O37" s="2602">
        <f t="shared" si="1"/>
        <v>2</v>
      </c>
      <c r="P37" s="2615">
        <v>103460</v>
      </c>
      <c r="Q37" s="2605">
        <f t="shared" si="2"/>
        <v>206920</v>
      </c>
    </row>
    <row r="38" spans="1:17" s="403" customFormat="1" ht="25.5">
      <c r="A38" s="2600">
        <v>36</v>
      </c>
      <c r="B38" s="2612" t="s">
        <v>807</v>
      </c>
      <c r="C38" s="2602">
        <v>1</v>
      </c>
      <c r="D38" s="2602">
        <v>1</v>
      </c>
      <c r="E38" s="2602">
        <v>1</v>
      </c>
      <c r="F38" s="2615">
        <v>49798</v>
      </c>
      <c r="G38" s="2605">
        <v>49798</v>
      </c>
      <c r="H38" s="2606">
        <v>0.08</v>
      </c>
      <c r="I38" s="2605">
        <f t="shared" si="0"/>
        <v>3983.84</v>
      </c>
      <c r="J38" s="2607" t="s">
        <v>4734</v>
      </c>
      <c r="K38" s="2612" t="s">
        <v>807</v>
      </c>
      <c r="L38" s="2614"/>
      <c r="M38" s="2602">
        <v>1</v>
      </c>
      <c r="N38" s="2602">
        <v>1</v>
      </c>
      <c r="O38" s="2602">
        <f t="shared" si="1"/>
        <v>1</v>
      </c>
      <c r="P38" s="2615">
        <v>49798</v>
      </c>
      <c r="Q38" s="2605">
        <f t="shared" si="2"/>
        <v>49798</v>
      </c>
    </row>
    <row r="39" spans="1:17" s="403" customFormat="1" ht="38.25">
      <c r="A39" s="2600">
        <v>37</v>
      </c>
      <c r="B39" s="2612" t="s">
        <v>822</v>
      </c>
      <c r="C39" s="2602">
        <v>1</v>
      </c>
      <c r="D39" s="2602">
        <v>1</v>
      </c>
      <c r="E39" s="2602">
        <v>1</v>
      </c>
      <c r="F39" s="2615">
        <v>106052</v>
      </c>
      <c r="G39" s="2605">
        <v>106052</v>
      </c>
      <c r="H39" s="2606">
        <v>0.08</v>
      </c>
      <c r="I39" s="2605">
        <f t="shared" si="0"/>
        <v>8484.16</v>
      </c>
      <c r="J39" s="2607" t="s">
        <v>4736</v>
      </c>
      <c r="K39" s="2612" t="s">
        <v>822</v>
      </c>
      <c r="L39" s="2614"/>
      <c r="M39" s="2602">
        <v>1</v>
      </c>
      <c r="N39" s="2602">
        <v>1</v>
      </c>
      <c r="O39" s="2602">
        <f t="shared" si="1"/>
        <v>1</v>
      </c>
      <c r="P39" s="2615">
        <v>106052</v>
      </c>
      <c r="Q39" s="2605">
        <f t="shared" si="2"/>
        <v>106052</v>
      </c>
    </row>
    <row r="40" spans="1:17" s="403" customFormat="1" ht="63.75">
      <c r="A40" s="2600">
        <v>38</v>
      </c>
      <c r="B40" s="2612" t="s">
        <v>4675</v>
      </c>
      <c r="C40" s="2602">
        <v>1</v>
      </c>
      <c r="D40" s="2602">
        <v>1</v>
      </c>
      <c r="E40" s="2602">
        <v>1</v>
      </c>
      <c r="F40" s="2615">
        <v>103460</v>
      </c>
      <c r="G40" s="2605">
        <v>103460</v>
      </c>
      <c r="H40" s="2606">
        <v>0.08</v>
      </c>
      <c r="I40" s="2605">
        <f t="shared" si="0"/>
        <v>8276.7999999999993</v>
      </c>
      <c r="J40" s="2607" t="s">
        <v>4738</v>
      </c>
      <c r="K40" s="2612" t="s">
        <v>4675</v>
      </c>
      <c r="L40" s="2618"/>
      <c r="M40" s="2602">
        <v>1</v>
      </c>
      <c r="N40" s="2602">
        <v>1</v>
      </c>
      <c r="O40" s="2602">
        <f t="shared" si="1"/>
        <v>1</v>
      </c>
      <c r="P40" s="2615">
        <v>103460</v>
      </c>
      <c r="Q40" s="2605">
        <f t="shared" si="2"/>
        <v>103460</v>
      </c>
    </row>
    <row r="41" spans="1:17" s="403" customFormat="1" ht="25.5">
      <c r="A41" s="2600">
        <v>39</v>
      </c>
      <c r="B41" s="2612" t="s">
        <v>4571</v>
      </c>
      <c r="C41" s="2602">
        <v>3</v>
      </c>
      <c r="D41" s="2602">
        <v>1</v>
      </c>
      <c r="E41" s="2602">
        <v>3</v>
      </c>
      <c r="F41" s="2615">
        <v>49798</v>
      </c>
      <c r="G41" s="2605">
        <v>149394</v>
      </c>
      <c r="H41" s="2606">
        <v>0.08</v>
      </c>
      <c r="I41" s="2605">
        <f t="shared" si="0"/>
        <v>11951.52</v>
      </c>
      <c r="J41" s="2607" t="s">
        <v>4741</v>
      </c>
      <c r="K41" s="2612" t="s">
        <v>4571</v>
      </c>
      <c r="L41" s="2618"/>
      <c r="M41" s="2602">
        <v>3</v>
      </c>
      <c r="N41" s="2602">
        <v>1</v>
      </c>
      <c r="O41" s="2602">
        <f t="shared" si="1"/>
        <v>3</v>
      </c>
      <c r="P41" s="2615">
        <v>49798</v>
      </c>
      <c r="Q41" s="2605">
        <f t="shared" si="2"/>
        <v>149394</v>
      </c>
    </row>
    <row r="42" spans="1:17" s="403" customFormat="1" ht="25.5">
      <c r="A42" s="2600">
        <v>40</v>
      </c>
      <c r="B42" s="2612" t="s">
        <v>806</v>
      </c>
      <c r="C42" s="2602">
        <v>8</v>
      </c>
      <c r="D42" s="2602">
        <v>1</v>
      </c>
      <c r="E42" s="2602">
        <f>C42*D42</f>
        <v>8</v>
      </c>
      <c r="F42" s="2615">
        <v>49798</v>
      </c>
      <c r="G42" s="2605">
        <f>F42*E42</f>
        <v>398384</v>
      </c>
      <c r="H42" s="2606">
        <v>0.08</v>
      </c>
      <c r="I42" s="2605">
        <f t="shared" si="0"/>
        <v>31870.720000000001</v>
      </c>
      <c r="J42" s="2607" t="s">
        <v>4750</v>
      </c>
      <c r="K42" s="2612" t="s">
        <v>806</v>
      </c>
      <c r="L42" s="2618"/>
      <c r="M42" s="2602">
        <v>8</v>
      </c>
      <c r="N42" s="2602">
        <v>1</v>
      </c>
      <c r="O42" s="2602">
        <f t="shared" si="1"/>
        <v>8</v>
      </c>
      <c r="P42" s="2615">
        <v>49798</v>
      </c>
      <c r="Q42" s="2605">
        <f t="shared" si="2"/>
        <v>398384</v>
      </c>
    </row>
    <row r="43" spans="1:17" s="403" customFormat="1" ht="63.75">
      <c r="A43" s="2600">
        <v>41</v>
      </c>
      <c r="B43" s="2611" t="s">
        <v>879</v>
      </c>
      <c r="C43" s="2602">
        <v>1</v>
      </c>
      <c r="D43" s="2602">
        <v>1</v>
      </c>
      <c r="E43" s="2603">
        <f>C43*D43</f>
        <v>1</v>
      </c>
      <c r="F43" s="2604">
        <v>103460</v>
      </c>
      <c r="G43" s="2605">
        <f>F43*E43</f>
        <v>103460</v>
      </c>
      <c r="H43" s="2606">
        <v>0.08</v>
      </c>
      <c r="I43" s="2605">
        <f t="shared" si="0"/>
        <v>8276.7999999999993</v>
      </c>
      <c r="J43" s="2607" t="s">
        <v>4621</v>
      </c>
      <c r="K43" s="2619" t="s">
        <v>879</v>
      </c>
      <c r="L43" s="1067"/>
      <c r="M43" s="2602">
        <v>1</v>
      </c>
      <c r="N43" s="2602">
        <v>1</v>
      </c>
      <c r="O43" s="2603">
        <f t="shared" si="1"/>
        <v>1</v>
      </c>
      <c r="P43" s="2604">
        <v>103460</v>
      </c>
      <c r="Q43" s="2605">
        <f t="shared" si="2"/>
        <v>103460</v>
      </c>
    </row>
    <row r="44" spans="1:17" s="403" customFormat="1" ht="25.5">
      <c r="A44" s="2600">
        <v>42</v>
      </c>
      <c r="B44" s="2612" t="s">
        <v>803</v>
      </c>
      <c r="C44" s="2602">
        <v>1</v>
      </c>
      <c r="D44" s="2602">
        <v>1</v>
      </c>
      <c r="E44" s="2602">
        <v>1</v>
      </c>
      <c r="F44" s="2615">
        <v>26222</v>
      </c>
      <c r="G44" s="2605">
        <v>26222</v>
      </c>
      <c r="H44" s="2606">
        <v>0.08</v>
      </c>
      <c r="I44" s="2605">
        <f t="shared" si="0"/>
        <v>2097.7600000000002</v>
      </c>
      <c r="J44" s="2607" t="s">
        <v>4760</v>
      </c>
      <c r="K44" s="2612" t="s">
        <v>803</v>
      </c>
      <c r="L44" s="2618"/>
      <c r="M44" s="2602">
        <v>1</v>
      </c>
      <c r="N44" s="2602">
        <v>1</v>
      </c>
      <c r="O44" s="2602">
        <f t="shared" si="1"/>
        <v>1</v>
      </c>
      <c r="P44" s="2615">
        <v>26222</v>
      </c>
      <c r="Q44" s="2605">
        <f t="shared" si="2"/>
        <v>26222</v>
      </c>
    </row>
    <row r="45" spans="1:17" s="403" customFormat="1" ht="25.5">
      <c r="A45" s="2600">
        <v>43</v>
      </c>
      <c r="B45" s="2612" t="s">
        <v>807</v>
      </c>
      <c r="C45" s="2602">
        <v>1</v>
      </c>
      <c r="D45" s="2602">
        <v>1</v>
      </c>
      <c r="E45" s="2602">
        <v>1</v>
      </c>
      <c r="F45" s="2615">
        <v>49798</v>
      </c>
      <c r="G45" s="2605">
        <v>49798</v>
      </c>
      <c r="H45" s="2606">
        <v>0.08</v>
      </c>
      <c r="I45" s="2605">
        <f t="shared" si="0"/>
        <v>3983.84</v>
      </c>
      <c r="J45" s="2607" t="s">
        <v>4761</v>
      </c>
      <c r="K45" s="2612" t="s">
        <v>807</v>
      </c>
      <c r="L45" s="2618"/>
      <c r="M45" s="2602">
        <v>1</v>
      </c>
      <c r="N45" s="2602">
        <v>1</v>
      </c>
      <c r="O45" s="2602">
        <f t="shared" si="1"/>
        <v>1</v>
      </c>
      <c r="P45" s="2615">
        <v>49798</v>
      </c>
      <c r="Q45" s="2605">
        <f t="shared" si="2"/>
        <v>49798</v>
      </c>
    </row>
    <row r="46" spans="1:17" s="403" customFormat="1" ht="25.5">
      <c r="A46" s="2600">
        <v>44</v>
      </c>
      <c r="B46" s="2612" t="s">
        <v>806</v>
      </c>
      <c r="C46" s="2602">
        <v>1</v>
      </c>
      <c r="D46" s="2602">
        <v>1</v>
      </c>
      <c r="E46" s="2602">
        <v>1</v>
      </c>
      <c r="F46" s="2615">
        <v>49798</v>
      </c>
      <c r="G46" s="2605">
        <v>49798</v>
      </c>
      <c r="H46" s="2606">
        <v>0.08</v>
      </c>
      <c r="I46" s="2605">
        <f t="shared" si="0"/>
        <v>3983.84</v>
      </c>
      <c r="J46" s="2607" t="s">
        <v>4762</v>
      </c>
      <c r="K46" s="2612" t="s">
        <v>806</v>
      </c>
      <c r="L46" s="2618"/>
      <c r="M46" s="2602">
        <v>1</v>
      </c>
      <c r="N46" s="2602">
        <v>1</v>
      </c>
      <c r="O46" s="2602">
        <f t="shared" si="1"/>
        <v>1</v>
      </c>
      <c r="P46" s="2615">
        <v>49798</v>
      </c>
      <c r="Q46" s="2605">
        <f t="shared" si="2"/>
        <v>49798</v>
      </c>
    </row>
    <row r="47" spans="1:17" s="403" customFormat="1" ht="63.75">
      <c r="A47" s="2600">
        <v>45</v>
      </c>
      <c r="B47" s="2612" t="s">
        <v>4675</v>
      </c>
      <c r="C47" s="2602">
        <v>1</v>
      </c>
      <c r="D47" s="2602">
        <v>1</v>
      </c>
      <c r="E47" s="2602">
        <v>1</v>
      </c>
      <c r="F47" s="2615">
        <v>103460</v>
      </c>
      <c r="G47" s="2605">
        <v>103460</v>
      </c>
      <c r="H47" s="2606">
        <v>0.08</v>
      </c>
      <c r="I47" s="2605">
        <f t="shared" si="0"/>
        <v>8276.7999999999993</v>
      </c>
      <c r="J47" s="2607" t="s">
        <v>4763</v>
      </c>
      <c r="K47" s="2612" t="s">
        <v>4675</v>
      </c>
      <c r="L47" s="2618"/>
      <c r="M47" s="2602">
        <v>1</v>
      </c>
      <c r="N47" s="2602">
        <v>1</v>
      </c>
      <c r="O47" s="2602">
        <f t="shared" si="1"/>
        <v>1</v>
      </c>
      <c r="P47" s="2615">
        <v>103460</v>
      </c>
      <c r="Q47" s="2605">
        <f t="shared" si="2"/>
        <v>103460</v>
      </c>
    </row>
    <row r="48" spans="1:17" s="403" customFormat="1" ht="25.5">
      <c r="A48" s="2600">
        <v>46</v>
      </c>
      <c r="B48" s="2612" t="s">
        <v>801</v>
      </c>
      <c r="C48" s="2602">
        <v>4</v>
      </c>
      <c r="D48" s="2602">
        <v>1</v>
      </c>
      <c r="E48" s="2602">
        <f>C48*D48</f>
        <v>4</v>
      </c>
      <c r="F48" s="2615">
        <v>49798</v>
      </c>
      <c r="G48" s="2605">
        <f>F48*E48</f>
        <v>199192</v>
      </c>
      <c r="H48" s="2606">
        <v>0.08</v>
      </c>
      <c r="I48" s="2605">
        <f t="shared" si="0"/>
        <v>15935.36</v>
      </c>
      <c r="J48" s="2607" t="s">
        <v>4772</v>
      </c>
      <c r="K48" s="2612" t="s">
        <v>801</v>
      </c>
      <c r="L48" s="2618"/>
      <c r="M48" s="2602">
        <v>4</v>
      </c>
      <c r="N48" s="2602">
        <v>1</v>
      </c>
      <c r="O48" s="2602">
        <f t="shared" si="1"/>
        <v>4</v>
      </c>
      <c r="P48" s="2615">
        <v>49798</v>
      </c>
      <c r="Q48" s="2605">
        <f t="shared" si="2"/>
        <v>199192</v>
      </c>
    </row>
    <row r="49" spans="1:19" s="403" customFormat="1" ht="63.75">
      <c r="A49" s="2600">
        <v>47</v>
      </c>
      <c r="B49" s="2612" t="s">
        <v>4775</v>
      </c>
      <c r="C49" s="2602">
        <v>1</v>
      </c>
      <c r="D49" s="2602">
        <v>1</v>
      </c>
      <c r="E49" s="2602">
        <f>C49*D49</f>
        <v>1</v>
      </c>
      <c r="F49" s="2615">
        <v>103460</v>
      </c>
      <c r="G49" s="2605">
        <f>F49*E49</f>
        <v>103460</v>
      </c>
      <c r="H49" s="2606">
        <v>0.08</v>
      </c>
      <c r="I49" s="2605">
        <f t="shared" si="0"/>
        <v>8276.7999999999993</v>
      </c>
      <c r="J49" s="2607" t="s">
        <v>4774</v>
      </c>
      <c r="K49" s="2612" t="s">
        <v>4775</v>
      </c>
      <c r="L49" s="2618"/>
      <c r="M49" s="2602">
        <v>1</v>
      </c>
      <c r="N49" s="2602">
        <v>1</v>
      </c>
      <c r="O49" s="2602">
        <f t="shared" si="1"/>
        <v>1</v>
      </c>
      <c r="P49" s="2615">
        <v>103460</v>
      </c>
      <c r="Q49" s="2605">
        <f t="shared" si="2"/>
        <v>103460</v>
      </c>
    </row>
    <row r="50" spans="1:19" s="403" customFormat="1" ht="25.5">
      <c r="A50" s="2600">
        <v>48</v>
      </c>
      <c r="B50" s="2612" t="s">
        <v>4564</v>
      </c>
      <c r="C50" s="2602">
        <v>4</v>
      </c>
      <c r="D50" s="2602">
        <v>1</v>
      </c>
      <c r="E50" s="2602">
        <f>C50*D50</f>
        <v>4</v>
      </c>
      <c r="F50" s="2615">
        <v>59756</v>
      </c>
      <c r="G50" s="2605">
        <f>F50*E50</f>
        <v>239024</v>
      </c>
      <c r="H50" s="2606">
        <v>0.08</v>
      </c>
      <c r="I50" s="2605">
        <f t="shared" si="0"/>
        <v>19121.920000000002</v>
      </c>
      <c r="J50" s="2607" t="s">
        <v>4779</v>
      </c>
      <c r="K50" s="2612" t="s">
        <v>4564</v>
      </c>
      <c r="L50" s="2618"/>
      <c r="M50" s="2602">
        <v>4</v>
      </c>
      <c r="N50" s="2602">
        <v>1</v>
      </c>
      <c r="O50" s="2602">
        <f t="shared" si="1"/>
        <v>4</v>
      </c>
      <c r="P50" s="2615">
        <v>59756</v>
      </c>
      <c r="Q50" s="2605">
        <f t="shared" si="2"/>
        <v>239024</v>
      </c>
    </row>
    <row r="51" spans="1:19" s="403" customFormat="1" ht="76.5">
      <c r="A51" s="2600">
        <v>49</v>
      </c>
      <c r="B51" s="2612" t="s">
        <v>4781</v>
      </c>
      <c r="C51" s="2602">
        <v>1</v>
      </c>
      <c r="D51" s="2602">
        <v>1</v>
      </c>
      <c r="E51" s="2602">
        <v>1</v>
      </c>
      <c r="F51" s="2615">
        <v>122992</v>
      </c>
      <c r="G51" s="2605">
        <v>122992</v>
      </c>
      <c r="H51" s="2606">
        <v>0.08</v>
      </c>
      <c r="I51" s="2605">
        <f t="shared" si="0"/>
        <v>9839.36</v>
      </c>
      <c r="J51" s="2607" t="s">
        <v>4780</v>
      </c>
      <c r="K51" s="2612" t="s">
        <v>4781</v>
      </c>
      <c r="L51" s="2618"/>
      <c r="M51" s="2602">
        <v>1</v>
      </c>
      <c r="N51" s="2602">
        <v>1</v>
      </c>
      <c r="O51" s="2602">
        <f t="shared" si="1"/>
        <v>1</v>
      </c>
      <c r="P51" s="2615">
        <v>122992</v>
      </c>
      <c r="Q51" s="2605">
        <f t="shared" si="2"/>
        <v>122992</v>
      </c>
    </row>
    <row r="52" spans="1:19" s="403" customFormat="1" ht="38.25">
      <c r="A52" s="2600">
        <v>50</v>
      </c>
      <c r="B52" s="2612" t="s">
        <v>887</v>
      </c>
      <c r="C52" s="2602">
        <v>1</v>
      </c>
      <c r="D52" s="2602">
        <v>1</v>
      </c>
      <c r="E52" s="2602">
        <v>1</v>
      </c>
      <c r="F52" s="2615">
        <v>10607</v>
      </c>
      <c r="G52" s="2605">
        <v>10607</v>
      </c>
      <c r="H52" s="2606">
        <v>0.08</v>
      </c>
      <c r="I52" s="2605">
        <f t="shared" si="0"/>
        <v>848.56000000000006</v>
      </c>
      <c r="J52" s="2607" t="s">
        <v>4782</v>
      </c>
      <c r="K52" s="2612" t="s">
        <v>887</v>
      </c>
      <c r="L52" s="2618"/>
      <c r="M52" s="2602">
        <v>1</v>
      </c>
      <c r="N52" s="2602">
        <v>1</v>
      </c>
      <c r="O52" s="2602">
        <f t="shared" si="1"/>
        <v>1</v>
      </c>
      <c r="P52" s="2615">
        <v>10607</v>
      </c>
      <c r="Q52" s="2605">
        <f t="shared" si="2"/>
        <v>10607</v>
      </c>
    </row>
    <row r="53" spans="1:19" s="403" customFormat="1" ht="25.5">
      <c r="A53" s="2600">
        <v>51</v>
      </c>
      <c r="B53" s="2620" t="s">
        <v>816</v>
      </c>
      <c r="C53" s="2602">
        <v>4</v>
      </c>
      <c r="D53" s="2602">
        <v>1</v>
      </c>
      <c r="E53" s="2602">
        <f>C53*D53</f>
        <v>4</v>
      </c>
      <c r="F53" s="2621">
        <v>188928</v>
      </c>
      <c r="G53" s="2622">
        <f>F53*E53</f>
        <v>755712</v>
      </c>
      <c r="H53" s="2606">
        <v>0.08</v>
      </c>
      <c r="I53" s="2605">
        <f t="shared" si="0"/>
        <v>60456.959999999999</v>
      </c>
      <c r="J53" s="2607" t="s">
        <v>4785</v>
      </c>
      <c r="K53" s="2620" t="s">
        <v>816</v>
      </c>
      <c r="L53" s="2612"/>
      <c r="M53" s="2602">
        <v>4</v>
      </c>
      <c r="N53" s="2602">
        <v>1</v>
      </c>
      <c r="O53" s="2602">
        <f t="shared" si="1"/>
        <v>4</v>
      </c>
      <c r="P53" s="2621">
        <v>188928</v>
      </c>
      <c r="Q53" s="2622">
        <f t="shared" si="2"/>
        <v>755712</v>
      </c>
    </row>
    <row r="54" spans="1:19" s="403" customFormat="1" ht="38.25">
      <c r="A54" s="2600">
        <v>52</v>
      </c>
      <c r="B54" s="2612" t="s">
        <v>877</v>
      </c>
      <c r="C54" s="2602">
        <v>2</v>
      </c>
      <c r="D54" s="2602">
        <v>1</v>
      </c>
      <c r="E54" s="2602">
        <f>C54*D54</f>
        <v>2</v>
      </c>
      <c r="F54" s="2615">
        <v>139712</v>
      </c>
      <c r="G54" s="2605">
        <f>F54*E54</f>
        <v>279424</v>
      </c>
      <c r="H54" s="2606">
        <v>0.1</v>
      </c>
      <c r="I54" s="2605">
        <f t="shared" si="0"/>
        <v>27942.400000000001</v>
      </c>
      <c r="J54" s="2607" t="s">
        <v>4792</v>
      </c>
      <c r="K54" s="2612" t="s">
        <v>877</v>
      </c>
      <c r="L54" s="2618"/>
      <c r="M54" s="2602">
        <v>2</v>
      </c>
      <c r="N54" s="2602">
        <v>1</v>
      </c>
      <c r="O54" s="2602">
        <f t="shared" si="1"/>
        <v>2</v>
      </c>
      <c r="P54" s="2615">
        <v>139712</v>
      </c>
      <c r="Q54" s="2605">
        <f t="shared" si="2"/>
        <v>279424</v>
      </c>
      <c r="S54" s="580" t="s">
        <v>4978</v>
      </c>
    </row>
    <row r="55" spans="1:19" s="403" customFormat="1" ht="25.5">
      <c r="A55" s="2600">
        <v>53</v>
      </c>
      <c r="B55" s="2612" t="s">
        <v>808</v>
      </c>
      <c r="C55" s="2602">
        <v>1</v>
      </c>
      <c r="D55" s="2602">
        <v>1</v>
      </c>
      <c r="E55" s="2602">
        <f>C55*D55</f>
        <v>1</v>
      </c>
      <c r="F55" s="2615">
        <v>64195</v>
      </c>
      <c r="G55" s="2605">
        <f>F55*E55</f>
        <v>64195</v>
      </c>
      <c r="H55" s="2606">
        <v>0.08</v>
      </c>
      <c r="I55" s="2605">
        <f t="shared" si="0"/>
        <v>5135.6000000000004</v>
      </c>
      <c r="J55" s="2607" t="s">
        <v>4803</v>
      </c>
      <c r="K55" s="2612" t="s">
        <v>808</v>
      </c>
      <c r="L55" s="2618"/>
      <c r="M55" s="2602">
        <v>1</v>
      </c>
      <c r="N55" s="2602">
        <v>1</v>
      </c>
      <c r="O55" s="2602">
        <f t="shared" si="1"/>
        <v>1</v>
      </c>
      <c r="P55" s="2615">
        <v>64195</v>
      </c>
      <c r="Q55" s="2605">
        <f t="shared" si="2"/>
        <v>64195</v>
      </c>
    </row>
    <row r="56" spans="1:19" s="2631" customFormat="1" ht="25.5">
      <c r="A56" s="2623">
        <v>54</v>
      </c>
      <c r="B56" s="2624" t="s">
        <v>4979</v>
      </c>
      <c r="C56" s="2625">
        <v>18</v>
      </c>
      <c r="D56" s="2625">
        <v>1</v>
      </c>
      <c r="E56" s="2625">
        <v>18</v>
      </c>
      <c r="F56" s="2626">
        <v>54600</v>
      </c>
      <c r="G56" s="2627">
        <v>982800</v>
      </c>
      <c r="H56" s="2628">
        <v>0.1</v>
      </c>
      <c r="I56" s="2627">
        <f t="shared" si="0"/>
        <v>98280</v>
      </c>
      <c r="J56" s="2629" t="s">
        <v>4808</v>
      </c>
      <c r="K56" s="2624" t="s">
        <v>4979</v>
      </c>
      <c r="L56" s="2630"/>
      <c r="M56" s="2625">
        <v>18</v>
      </c>
      <c r="N56" s="2625">
        <v>1</v>
      </c>
      <c r="O56" s="2625">
        <f t="shared" si="1"/>
        <v>18</v>
      </c>
      <c r="P56" s="2626">
        <v>54600</v>
      </c>
      <c r="Q56" s="2627">
        <f t="shared" si="2"/>
        <v>982800</v>
      </c>
      <c r="S56" s="2632" t="s">
        <v>4980</v>
      </c>
    </row>
    <row r="57" spans="1:19" s="2631" customFormat="1" ht="25.5">
      <c r="A57" s="2623">
        <v>55</v>
      </c>
      <c r="B57" s="2624" t="s">
        <v>4981</v>
      </c>
      <c r="C57" s="2625">
        <v>23</v>
      </c>
      <c r="D57" s="2625">
        <v>1</v>
      </c>
      <c r="E57" s="2625">
        <v>23</v>
      </c>
      <c r="F57" s="2626">
        <v>51480</v>
      </c>
      <c r="G57" s="2627">
        <v>1184040</v>
      </c>
      <c r="H57" s="2628">
        <v>0.1</v>
      </c>
      <c r="I57" s="2627">
        <f t="shared" si="0"/>
        <v>118404</v>
      </c>
      <c r="J57" s="2629" t="s">
        <v>4810</v>
      </c>
      <c r="K57" s="2624" t="s">
        <v>4981</v>
      </c>
      <c r="L57" s="2630"/>
      <c r="M57" s="2625">
        <v>23</v>
      </c>
      <c r="N57" s="2625">
        <v>1</v>
      </c>
      <c r="O57" s="2625">
        <f t="shared" si="1"/>
        <v>23</v>
      </c>
      <c r="P57" s="2626">
        <v>51480</v>
      </c>
      <c r="Q57" s="2627">
        <f t="shared" si="2"/>
        <v>1184040</v>
      </c>
      <c r="S57" s="2632" t="s">
        <v>4980</v>
      </c>
    </row>
    <row r="58" spans="1:19" s="403" customFormat="1" ht="25.5">
      <c r="A58" s="2600">
        <v>56</v>
      </c>
      <c r="B58" s="2633" t="s">
        <v>820</v>
      </c>
      <c r="C58" s="2602">
        <v>25</v>
      </c>
      <c r="D58" s="2602">
        <v>1</v>
      </c>
      <c r="E58" s="2602">
        <v>25</v>
      </c>
      <c r="F58" s="2615">
        <v>42100</v>
      </c>
      <c r="G58" s="2605">
        <v>1052500</v>
      </c>
      <c r="H58" s="2606">
        <v>0.1</v>
      </c>
      <c r="I58" s="2605">
        <f t="shared" si="0"/>
        <v>105250</v>
      </c>
      <c r="J58" s="2607" t="s">
        <v>4811</v>
      </c>
      <c r="K58" s="2633" t="s">
        <v>820</v>
      </c>
      <c r="L58" s="2618"/>
      <c r="M58" s="2602">
        <v>25</v>
      </c>
      <c r="N58" s="2602">
        <v>1</v>
      </c>
      <c r="O58" s="2602">
        <f t="shared" si="1"/>
        <v>25</v>
      </c>
      <c r="P58" s="2615">
        <v>42100</v>
      </c>
      <c r="Q58" s="2605">
        <f t="shared" si="2"/>
        <v>1052500</v>
      </c>
      <c r="S58" s="580" t="s">
        <v>4483</v>
      </c>
    </row>
    <row r="59" spans="1:19" s="403" customFormat="1" ht="38.25">
      <c r="A59" s="2600">
        <v>57</v>
      </c>
      <c r="B59" s="2633" t="s">
        <v>4563</v>
      </c>
      <c r="C59" s="2602">
        <v>6</v>
      </c>
      <c r="D59" s="2602">
        <v>2</v>
      </c>
      <c r="E59" s="2602">
        <v>12</v>
      </c>
      <c r="F59" s="2615">
        <v>13416</v>
      </c>
      <c r="G59" s="2605">
        <v>160992</v>
      </c>
      <c r="H59" s="2606">
        <v>0.1</v>
      </c>
      <c r="I59" s="2605">
        <f t="shared" si="0"/>
        <v>16099.2</v>
      </c>
      <c r="J59" s="2607" t="s">
        <v>4807</v>
      </c>
      <c r="K59" s="2633" t="s">
        <v>4563</v>
      </c>
      <c r="L59" s="2618"/>
      <c r="M59" s="2602">
        <v>6</v>
      </c>
      <c r="N59" s="2602">
        <v>2</v>
      </c>
      <c r="O59" s="2602">
        <f t="shared" si="1"/>
        <v>12</v>
      </c>
      <c r="P59" s="2615">
        <v>13416</v>
      </c>
      <c r="Q59" s="2605">
        <f t="shared" si="2"/>
        <v>160992</v>
      </c>
    </row>
    <row r="60" spans="1:19" s="403" customFormat="1" ht="25.5">
      <c r="A60" s="2600">
        <v>58</v>
      </c>
      <c r="B60" s="2633" t="s">
        <v>4573</v>
      </c>
      <c r="C60" s="2602">
        <v>1</v>
      </c>
      <c r="D60" s="2602">
        <v>2</v>
      </c>
      <c r="E60" s="2602">
        <v>2</v>
      </c>
      <c r="F60" s="2615">
        <v>81500</v>
      </c>
      <c r="G60" s="2605">
        <v>163000</v>
      </c>
      <c r="H60" s="2606">
        <v>0.1</v>
      </c>
      <c r="I60" s="2605">
        <f t="shared" si="0"/>
        <v>16300</v>
      </c>
      <c r="J60" s="2607" t="s">
        <v>4813</v>
      </c>
      <c r="K60" s="2633" t="s">
        <v>4573</v>
      </c>
      <c r="L60" s="2618"/>
      <c r="M60" s="2602">
        <v>1</v>
      </c>
      <c r="N60" s="2602">
        <v>2</v>
      </c>
      <c r="O60" s="2602">
        <f t="shared" si="1"/>
        <v>2</v>
      </c>
      <c r="P60" s="2615">
        <v>81500</v>
      </c>
      <c r="Q60" s="2605">
        <f t="shared" si="2"/>
        <v>163000</v>
      </c>
    </row>
    <row r="61" spans="1:19" s="403" customFormat="1" ht="25.5">
      <c r="A61" s="2600">
        <v>59</v>
      </c>
      <c r="B61" s="2633" t="s">
        <v>4982</v>
      </c>
      <c r="C61" s="2602">
        <v>1</v>
      </c>
      <c r="D61" s="2602">
        <v>1</v>
      </c>
      <c r="E61" s="2602">
        <v>1</v>
      </c>
      <c r="F61" s="2615">
        <v>139077</v>
      </c>
      <c r="G61" s="2605">
        <v>139077</v>
      </c>
      <c r="H61" s="2606">
        <v>0.1</v>
      </c>
      <c r="I61" s="2605">
        <f t="shared" si="0"/>
        <v>13907.7</v>
      </c>
      <c r="J61" s="2607" t="s">
        <v>4983</v>
      </c>
      <c r="K61" s="2633" t="s">
        <v>4982</v>
      </c>
      <c r="L61" s="2618"/>
      <c r="M61" s="2602">
        <v>1</v>
      </c>
      <c r="N61" s="2602">
        <v>1</v>
      </c>
      <c r="O61" s="2602">
        <f t="shared" si="1"/>
        <v>1</v>
      </c>
      <c r="P61" s="2615">
        <v>139077</v>
      </c>
      <c r="Q61" s="2605">
        <f t="shared" si="2"/>
        <v>139077</v>
      </c>
    </row>
    <row r="62" spans="1:19" s="403" customFormat="1" ht="25.5">
      <c r="A62" s="2600">
        <v>60</v>
      </c>
      <c r="B62" s="2633" t="s">
        <v>4984</v>
      </c>
      <c r="C62" s="2602">
        <v>1</v>
      </c>
      <c r="D62" s="2602">
        <v>1</v>
      </c>
      <c r="E62" s="2602">
        <v>1</v>
      </c>
      <c r="F62" s="2615">
        <v>95893</v>
      </c>
      <c r="G62" s="2605">
        <v>95893</v>
      </c>
      <c r="H62" s="2606">
        <v>0.1</v>
      </c>
      <c r="I62" s="2605">
        <f t="shared" si="0"/>
        <v>9589.3000000000011</v>
      </c>
      <c r="J62" s="2607" t="s">
        <v>4985</v>
      </c>
      <c r="K62" s="2633" t="s">
        <v>4984</v>
      </c>
      <c r="L62" s="2618"/>
      <c r="M62" s="2602">
        <v>1</v>
      </c>
      <c r="N62" s="2602">
        <v>1</v>
      </c>
      <c r="O62" s="2602">
        <f t="shared" si="1"/>
        <v>1</v>
      </c>
      <c r="P62" s="2615">
        <v>95893</v>
      </c>
      <c r="Q62" s="2605">
        <f t="shared" si="2"/>
        <v>95893</v>
      </c>
    </row>
    <row r="63" spans="1:19" s="403" customFormat="1" ht="25.5">
      <c r="A63" s="2600">
        <v>61</v>
      </c>
      <c r="B63" s="2633" t="s">
        <v>4981</v>
      </c>
      <c r="C63" s="2602">
        <v>2</v>
      </c>
      <c r="D63" s="2602">
        <v>1</v>
      </c>
      <c r="E63" s="2602">
        <v>2</v>
      </c>
      <c r="F63" s="2615">
        <v>51480</v>
      </c>
      <c r="G63" s="2605">
        <v>102960</v>
      </c>
      <c r="H63" s="2606">
        <v>0.1</v>
      </c>
      <c r="I63" s="2605">
        <f t="shared" si="0"/>
        <v>10296</v>
      </c>
      <c r="J63" s="2607" t="s">
        <v>4819</v>
      </c>
      <c r="K63" s="2633" t="s">
        <v>4981</v>
      </c>
      <c r="L63" s="2618"/>
      <c r="M63" s="2602">
        <v>2</v>
      </c>
      <c r="N63" s="2602">
        <v>1</v>
      </c>
      <c r="O63" s="2602">
        <f t="shared" si="1"/>
        <v>2</v>
      </c>
      <c r="P63" s="2615">
        <v>51480</v>
      </c>
      <c r="Q63" s="2605">
        <f t="shared" si="2"/>
        <v>102960</v>
      </c>
      <c r="S63" s="580"/>
    </row>
    <row r="64" spans="1:19" s="403" customFormat="1" ht="25.5">
      <c r="A64" s="2600">
        <v>62</v>
      </c>
      <c r="B64" s="2633" t="s">
        <v>4576</v>
      </c>
      <c r="C64" s="2602">
        <v>7</v>
      </c>
      <c r="D64" s="2602">
        <v>1</v>
      </c>
      <c r="E64" s="2602">
        <f t="shared" ref="E64:E68" si="3">C64*D64</f>
        <v>7</v>
      </c>
      <c r="F64" s="2615">
        <v>241321</v>
      </c>
      <c r="G64" s="2605">
        <f t="shared" ref="G64:G68" si="4">F64*E64</f>
        <v>1689247</v>
      </c>
      <c r="H64" s="2606">
        <v>0.1</v>
      </c>
      <c r="I64" s="2605">
        <f t="shared" si="0"/>
        <v>168924.7</v>
      </c>
      <c r="J64" s="2607" t="s">
        <v>4821</v>
      </c>
      <c r="K64" s="2633" t="s">
        <v>4576</v>
      </c>
      <c r="L64" s="2618"/>
      <c r="M64" s="2602">
        <v>7</v>
      </c>
      <c r="N64" s="2602">
        <v>1</v>
      </c>
      <c r="O64" s="2602">
        <f t="shared" si="1"/>
        <v>7</v>
      </c>
      <c r="P64" s="2615">
        <v>241321</v>
      </c>
      <c r="Q64" s="2605">
        <f t="shared" si="2"/>
        <v>1689247</v>
      </c>
      <c r="S64" s="580" t="s">
        <v>4483</v>
      </c>
    </row>
    <row r="65" spans="1:19" s="403" customFormat="1">
      <c r="A65" s="2600">
        <v>63</v>
      </c>
      <c r="B65" s="2633" t="s">
        <v>4570</v>
      </c>
      <c r="C65" s="2602">
        <v>1</v>
      </c>
      <c r="D65" s="2602">
        <v>1</v>
      </c>
      <c r="E65" s="2602">
        <f t="shared" si="3"/>
        <v>1</v>
      </c>
      <c r="F65" s="2615">
        <v>45089</v>
      </c>
      <c r="G65" s="2605">
        <f t="shared" si="4"/>
        <v>45089</v>
      </c>
      <c r="H65" s="2606">
        <v>0.1</v>
      </c>
      <c r="I65" s="2605">
        <f t="shared" si="0"/>
        <v>4508.9000000000005</v>
      </c>
      <c r="J65" s="2607" t="s">
        <v>4825</v>
      </c>
      <c r="K65" s="2633" t="s">
        <v>4570</v>
      </c>
      <c r="L65" s="2618"/>
      <c r="M65" s="2602">
        <v>1</v>
      </c>
      <c r="N65" s="2602">
        <v>1</v>
      </c>
      <c r="O65" s="2602">
        <f t="shared" si="1"/>
        <v>1</v>
      </c>
      <c r="P65" s="2615">
        <v>45089</v>
      </c>
      <c r="Q65" s="2605">
        <f t="shared" si="2"/>
        <v>45089</v>
      </c>
      <c r="S65" s="580" t="s">
        <v>4483</v>
      </c>
    </row>
    <row r="66" spans="1:19" s="403" customFormat="1" ht="25.5">
      <c r="A66" s="2600">
        <v>64</v>
      </c>
      <c r="B66" s="2633" t="s">
        <v>4566</v>
      </c>
      <c r="C66" s="2602">
        <v>7</v>
      </c>
      <c r="D66" s="2602">
        <v>1</v>
      </c>
      <c r="E66" s="2602">
        <f t="shared" si="3"/>
        <v>7</v>
      </c>
      <c r="F66" s="2615">
        <v>59756</v>
      </c>
      <c r="G66" s="2605">
        <f t="shared" si="4"/>
        <v>418292</v>
      </c>
      <c r="H66" s="2606">
        <v>0.08</v>
      </c>
      <c r="I66" s="2605">
        <f t="shared" si="0"/>
        <v>33463.360000000001</v>
      </c>
      <c r="J66" s="1474" t="s">
        <v>4866</v>
      </c>
      <c r="K66" s="2633" t="s">
        <v>4566</v>
      </c>
      <c r="L66" s="2618"/>
      <c r="M66" s="2602">
        <v>7</v>
      </c>
      <c r="N66" s="2602">
        <v>1</v>
      </c>
      <c r="O66" s="2602">
        <f t="shared" si="1"/>
        <v>7</v>
      </c>
      <c r="P66" s="2615">
        <v>59756</v>
      </c>
      <c r="Q66" s="2605">
        <f t="shared" si="2"/>
        <v>418292</v>
      </c>
      <c r="S66" s="2616" t="s">
        <v>4977</v>
      </c>
    </row>
    <row r="67" spans="1:19" s="403" customFormat="1" ht="25.5">
      <c r="A67" s="2600">
        <v>65</v>
      </c>
      <c r="B67" s="2633" t="s">
        <v>803</v>
      </c>
      <c r="C67" s="2602">
        <v>1</v>
      </c>
      <c r="D67" s="2602">
        <v>1</v>
      </c>
      <c r="E67" s="2602">
        <f t="shared" si="3"/>
        <v>1</v>
      </c>
      <c r="F67" s="2615">
        <v>26222</v>
      </c>
      <c r="G67" s="2605">
        <f t="shared" si="4"/>
        <v>26222</v>
      </c>
      <c r="H67" s="2606">
        <v>0.08</v>
      </c>
      <c r="I67" s="2605">
        <f t="shared" ref="I67:I70" si="5">G67*H67</f>
        <v>2097.7600000000002</v>
      </c>
      <c r="J67" s="1474" t="s">
        <v>4868</v>
      </c>
      <c r="K67" s="2633" t="s">
        <v>803</v>
      </c>
      <c r="L67" s="2618"/>
      <c r="M67" s="2602">
        <v>1</v>
      </c>
      <c r="N67" s="2602">
        <v>1</v>
      </c>
      <c r="O67" s="2602">
        <f t="shared" ref="O67:O71" si="6">M67*N67</f>
        <v>1</v>
      </c>
      <c r="P67" s="2615">
        <v>26222</v>
      </c>
      <c r="Q67" s="2605">
        <f t="shared" ref="Q67:Q71" si="7">P67*O67</f>
        <v>26222</v>
      </c>
      <c r="S67" s="2616" t="s">
        <v>4977</v>
      </c>
    </row>
    <row r="68" spans="1:19" s="403" customFormat="1" ht="63.75">
      <c r="A68" s="2600">
        <v>66</v>
      </c>
      <c r="B68" s="2618" t="s">
        <v>879</v>
      </c>
      <c r="C68" s="2602">
        <v>1</v>
      </c>
      <c r="D68" s="2602">
        <v>1</v>
      </c>
      <c r="E68" s="2602">
        <f t="shared" si="3"/>
        <v>1</v>
      </c>
      <c r="F68" s="2615">
        <v>103460</v>
      </c>
      <c r="G68" s="2605">
        <f t="shared" si="4"/>
        <v>103460</v>
      </c>
      <c r="H68" s="2606">
        <v>0.08</v>
      </c>
      <c r="I68" s="2605">
        <f t="shared" si="5"/>
        <v>8276.7999999999993</v>
      </c>
      <c r="J68" s="2607" t="s">
        <v>4706</v>
      </c>
      <c r="K68" s="2634" t="s">
        <v>879</v>
      </c>
      <c r="L68" s="2614"/>
      <c r="M68" s="2602">
        <v>1</v>
      </c>
      <c r="N68" s="2602">
        <v>1</v>
      </c>
      <c r="O68" s="2602">
        <f t="shared" si="6"/>
        <v>1</v>
      </c>
      <c r="P68" s="2615">
        <v>103460</v>
      </c>
      <c r="Q68" s="2605">
        <f t="shared" si="7"/>
        <v>103460</v>
      </c>
      <c r="S68" s="2616" t="s">
        <v>4977</v>
      </c>
    </row>
    <row r="69" spans="1:19" s="403" customFormat="1" ht="76.5">
      <c r="A69" s="2600">
        <v>67</v>
      </c>
      <c r="B69" s="2612" t="s">
        <v>4721</v>
      </c>
      <c r="C69" s="2602">
        <v>1</v>
      </c>
      <c r="D69" s="2602">
        <v>1</v>
      </c>
      <c r="E69" s="2602">
        <v>1</v>
      </c>
      <c r="F69" s="2615">
        <v>103460</v>
      </c>
      <c r="G69" s="2605">
        <v>103460</v>
      </c>
      <c r="H69" s="2606">
        <v>0.08</v>
      </c>
      <c r="I69" s="2605">
        <f t="shared" si="5"/>
        <v>8276.7999999999993</v>
      </c>
      <c r="J69" s="2607" t="s">
        <v>4720</v>
      </c>
      <c r="K69" s="2617" t="s">
        <v>4721</v>
      </c>
      <c r="L69" s="2614"/>
      <c r="M69" s="2602">
        <v>1</v>
      </c>
      <c r="N69" s="2602">
        <v>1</v>
      </c>
      <c r="O69" s="2602">
        <f t="shared" si="6"/>
        <v>1</v>
      </c>
      <c r="P69" s="2615">
        <v>103460</v>
      </c>
      <c r="Q69" s="2605">
        <f t="shared" si="7"/>
        <v>103460</v>
      </c>
      <c r="S69" s="2616" t="s">
        <v>4977</v>
      </c>
    </row>
    <row r="70" spans="1:19" s="403" customFormat="1" ht="63.75">
      <c r="A70" s="2600">
        <v>68</v>
      </c>
      <c r="B70" s="2612" t="s">
        <v>878</v>
      </c>
      <c r="C70" s="2602">
        <v>1</v>
      </c>
      <c r="D70" s="2602">
        <v>1</v>
      </c>
      <c r="E70" s="2602">
        <v>1</v>
      </c>
      <c r="F70" s="2615">
        <v>31528</v>
      </c>
      <c r="G70" s="2605">
        <v>31528</v>
      </c>
      <c r="H70" s="2606">
        <v>0.08</v>
      </c>
      <c r="I70" s="2605">
        <f t="shared" si="5"/>
        <v>2522.2400000000002</v>
      </c>
      <c r="J70" s="2607" t="s">
        <v>4637</v>
      </c>
      <c r="K70" s="2619" t="s">
        <v>878</v>
      </c>
      <c r="L70" s="1067"/>
      <c r="M70" s="2602">
        <v>1</v>
      </c>
      <c r="N70" s="2602">
        <v>1</v>
      </c>
      <c r="O70" s="2603">
        <f t="shared" si="6"/>
        <v>1</v>
      </c>
      <c r="P70" s="2604">
        <v>31528</v>
      </c>
      <c r="Q70" s="2605">
        <f t="shared" si="7"/>
        <v>31528</v>
      </c>
      <c r="S70" s="2616" t="s">
        <v>4977</v>
      </c>
    </row>
    <row r="71" spans="1:19" s="403" customFormat="1" ht="63.75">
      <c r="A71" s="2600">
        <v>69</v>
      </c>
      <c r="B71" s="2612" t="s">
        <v>879</v>
      </c>
      <c r="C71" s="2602">
        <v>1</v>
      </c>
      <c r="D71" s="2602">
        <v>1</v>
      </c>
      <c r="E71" s="2602">
        <v>1</v>
      </c>
      <c r="F71" s="2615">
        <v>108633</v>
      </c>
      <c r="G71" s="2605">
        <v>108633</v>
      </c>
      <c r="H71" s="2606">
        <v>0.08</v>
      </c>
      <c r="I71" s="2605">
        <f>G71*H71</f>
        <v>8690.64</v>
      </c>
      <c r="J71" s="2607" t="s">
        <v>4726</v>
      </c>
      <c r="K71" s="2617" t="s">
        <v>879</v>
      </c>
      <c r="L71" s="2614"/>
      <c r="M71" s="2602">
        <v>1</v>
      </c>
      <c r="N71" s="2602">
        <v>1</v>
      </c>
      <c r="O71" s="2602">
        <f t="shared" si="6"/>
        <v>1</v>
      </c>
      <c r="P71" s="2615">
        <v>108633</v>
      </c>
      <c r="Q71" s="2605">
        <f t="shared" si="7"/>
        <v>108633</v>
      </c>
      <c r="S71" s="2616" t="s">
        <v>4977</v>
      </c>
    </row>
    <row r="72" spans="1:19" s="406" customFormat="1">
      <c r="A72" s="1186"/>
      <c r="B72" s="2635" t="s">
        <v>20</v>
      </c>
      <c r="C72" s="1186"/>
      <c r="D72" s="1186"/>
      <c r="E72" s="1186"/>
      <c r="F72" s="1186"/>
      <c r="G72" s="2636">
        <f>SUM(G3:G71)</f>
        <v>14178285</v>
      </c>
      <c r="H72" s="1300"/>
      <c r="I72" s="2636">
        <f>SUM(I3:I71)</f>
        <v>1263076.44</v>
      </c>
    </row>
    <row r="73" spans="1:19" ht="18.75">
      <c r="I73" s="2637">
        <f>I72-I56-I57</f>
        <v>1046392.44</v>
      </c>
    </row>
    <row r="74" spans="1:19">
      <c r="G74" s="2770">
        <f>G72*10%-I57-I56</f>
        <v>1201144.5</v>
      </c>
    </row>
    <row r="75" spans="1:19">
      <c r="I75" s="2770"/>
    </row>
  </sheetData>
  <pageMargins left="0.7" right="0.7" top="0.75" bottom="0.75" header="0.3" footer="0.3"/>
  <pageSetup paperSize="9" scale="98" orientation="portrait" r:id="rId1"/>
  <colBreaks count="1" manualBreakCount="1">
    <brk id="17" max="1048575" man="1"/>
  </colBreaks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tabColor rgb="FFFFFF00"/>
  </sheetPr>
  <dimension ref="A3:Z89"/>
  <sheetViews>
    <sheetView view="pageBreakPreview" topLeftCell="A70" zoomScale="75" zoomScaleSheetLayoutView="75" workbookViewId="0">
      <selection activeCell="T86" sqref="T86"/>
    </sheetView>
  </sheetViews>
  <sheetFormatPr defaultRowHeight="15"/>
  <cols>
    <col min="1" max="1" width="3.7109375" customWidth="1"/>
    <col min="2" max="2" width="41.5703125" bestFit="1" customWidth="1"/>
    <col min="3" max="4" width="0" hidden="1" customWidth="1"/>
    <col min="6" max="6" width="10.28515625" customWidth="1"/>
    <col min="7" max="7" width="13.140625" bestFit="1" customWidth="1"/>
    <col min="8" max="8" width="0" hidden="1" customWidth="1"/>
    <col min="9" max="9" width="12.5703125" hidden="1" customWidth="1"/>
    <col min="10" max="10" width="6.42578125" hidden="1" customWidth="1"/>
    <col min="11" max="11" width="22.140625" hidden="1" customWidth="1"/>
    <col min="12" max="15" width="0" hidden="1" customWidth="1"/>
    <col min="16" max="16" width="10.140625" hidden="1" customWidth="1"/>
    <col min="17" max="18" width="0" hidden="1" customWidth="1"/>
    <col min="20" max="20" width="22" bestFit="1" customWidth="1"/>
    <col min="257" max="257" width="2.7109375" bestFit="1" customWidth="1"/>
    <col min="258" max="258" width="41.5703125" bestFit="1" customWidth="1"/>
    <col min="262" max="262" width="10.28515625" customWidth="1"/>
    <col min="263" max="263" width="13.140625" bestFit="1" customWidth="1"/>
    <col min="513" max="513" width="2.7109375" bestFit="1" customWidth="1"/>
    <col min="514" max="514" width="41.5703125" bestFit="1" customWidth="1"/>
    <col min="518" max="518" width="10.28515625" customWidth="1"/>
    <col min="519" max="519" width="13.140625" bestFit="1" customWidth="1"/>
    <col min="769" max="769" width="2.7109375" bestFit="1" customWidth="1"/>
    <col min="770" max="770" width="41.5703125" bestFit="1" customWidth="1"/>
    <col min="774" max="774" width="10.28515625" customWidth="1"/>
    <col min="775" max="775" width="13.140625" bestFit="1" customWidth="1"/>
    <col min="1025" max="1025" width="2.7109375" bestFit="1" customWidth="1"/>
    <col min="1026" max="1026" width="41.5703125" bestFit="1" customWidth="1"/>
    <col min="1030" max="1030" width="10.28515625" customWidth="1"/>
    <col min="1031" max="1031" width="13.140625" bestFit="1" customWidth="1"/>
    <col min="1281" max="1281" width="2.7109375" bestFit="1" customWidth="1"/>
    <col min="1282" max="1282" width="41.5703125" bestFit="1" customWidth="1"/>
    <col min="1286" max="1286" width="10.28515625" customWidth="1"/>
    <col min="1287" max="1287" width="13.140625" bestFit="1" customWidth="1"/>
    <col min="1537" max="1537" width="2.7109375" bestFit="1" customWidth="1"/>
    <col min="1538" max="1538" width="41.5703125" bestFit="1" customWidth="1"/>
    <col min="1542" max="1542" width="10.28515625" customWidth="1"/>
    <col min="1543" max="1543" width="13.140625" bestFit="1" customWidth="1"/>
    <col min="1793" max="1793" width="2.7109375" bestFit="1" customWidth="1"/>
    <col min="1794" max="1794" width="41.5703125" bestFit="1" customWidth="1"/>
    <col min="1798" max="1798" width="10.28515625" customWidth="1"/>
    <col min="1799" max="1799" width="13.140625" bestFit="1" customWidth="1"/>
    <col min="2049" max="2049" width="2.7109375" bestFit="1" customWidth="1"/>
    <col min="2050" max="2050" width="41.5703125" bestFit="1" customWidth="1"/>
    <col min="2054" max="2054" width="10.28515625" customWidth="1"/>
    <col min="2055" max="2055" width="13.140625" bestFit="1" customWidth="1"/>
    <col min="2305" max="2305" width="2.7109375" bestFit="1" customWidth="1"/>
    <col min="2306" max="2306" width="41.5703125" bestFit="1" customWidth="1"/>
    <col min="2310" max="2310" width="10.28515625" customWidth="1"/>
    <col min="2311" max="2311" width="13.140625" bestFit="1" customWidth="1"/>
    <col min="2561" max="2561" width="2.7109375" bestFit="1" customWidth="1"/>
    <col min="2562" max="2562" width="41.5703125" bestFit="1" customWidth="1"/>
    <col min="2566" max="2566" width="10.28515625" customWidth="1"/>
    <col min="2567" max="2567" width="13.140625" bestFit="1" customWidth="1"/>
    <col min="2817" max="2817" width="2.7109375" bestFit="1" customWidth="1"/>
    <col min="2818" max="2818" width="41.5703125" bestFit="1" customWidth="1"/>
    <col min="2822" max="2822" width="10.28515625" customWidth="1"/>
    <col min="2823" max="2823" width="13.140625" bestFit="1" customWidth="1"/>
    <col min="3073" max="3073" width="2.7109375" bestFit="1" customWidth="1"/>
    <col min="3074" max="3074" width="41.5703125" bestFit="1" customWidth="1"/>
    <col min="3078" max="3078" width="10.28515625" customWidth="1"/>
    <col min="3079" max="3079" width="13.140625" bestFit="1" customWidth="1"/>
    <col min="3329" max="3329" width="2.7109375" bestFit="1" customWidth="1"/>
    <col min="3330" max="3330" width="41.5703125" bestFit="1" customWidth="1"/>
    <col min="3334" max="3334" width="10.28515625" customWidth="1"/>
    <col min="3335" max="3335" width="13.140625" bestFit="1" customWidth="1"/>
    <col min="3585" max="3585" width="2.7109375" bestFit="1" customWidth="1"/>
    <col min="3586" max="3586" width="41.5703125" bestFit="1" customWidth="1"/>
    <col min="3590" max="3590" width="10.28515625" customWidth="1"/>
    <col min="3591" max="3591" width="13.140625" bestFit="1" customWidth="1"/>
    <col min="3841" max="3841" width="2.7109375" bestFit="1" customWidth="1"/>
    <col min="3842" max="3842" width="41.5703125" bestFit="1" customWidth="1"/>
    <col min="3846" max="3846" width="10.28515625" customWidth="1"/>
    <col min="3847" max="3847" width="13.140625" bestFit="1" customWidth="1"/>
    <col min="4097" max="4097" width="2.7109375" bestFit="1" customWidth="1"/>
    <col min="4098" max="4098" width="41.5703125" bestFit="1" customWidth="1"/>
    <col min="4102" max="4102" width="10.28515625" customWidth="1"/>
    <col min="4103" max="4103" width="13.140625" bestFit="1" customWidth="1"/>
    <col min="4353" max="4353" width="2.7109375" bestFit="1" customWidth="1"/>
    <col min="4354" max="4354" width="41.5703125" bestFit="1" customWidth="1"/>
    <col min="4358" max="4358" width="10.28515625" customWidth="1"/>
    <col min="4359" max="4359" width="13.140625" bestFit="1" customWidth="1"/>
    <col min="4609" max="4609" width="2.7109375" bestFit="1" customWidth="1"/>
    <col min="4610" max="4610" width="41.5703125" bestFit="1" customWidth="1"/>
    <col min="4614" max="4614" width="10.28515625" customWidth="1"/>
    <col min="4615" max="4615" width="13.140625" bestFit="1" customWidth="1"/>
    <col min="4865" max="4865" width="2.7109375" bestFit="1" customWidth="1"/>
    <col min="4866" max="4866" width="41.5703125" bestFit="1" customWidth="1"/>
    <col min="4870" max="4870" width="10.28515625" customWidth="1"/>
    <col min="4871" max="4871" width="13.140625" bestFit="1" customWidth="1"/>
    <col min="5121" max="5121" width="2.7109375" bestFit="1" customWidth="1"/>
    <col min="5122" max="5122" width="41.5703125" bestFit="1" customWidth="1"/>
    <col min="5126" max="5126" width="10.28515625" customWidth="1"/>
    <col min="5127" max="5127" width="13.140625" bestFit="1" customWidth="1"/>
    <col min="5377" max="5377" width="2.7109375" bestFit="1" customWidth="1"/>
    <col min="5378" max="5378" width="41.5703125" bestFit="1" customWidth="1"/>
    <col min="5382" max="5382" width="10.28515625" customWidth="1"/>
    <col min="5383" max="5383" width="13.140625" bestFit="1" customWidth="1"/>
    <col min="5633" max="5633" width="2.7109375" bestFit="1" customWidth="1"/>
    <col min="5634" max="5634" width="41.5703125" bestFit="1" customWidth="1"/>
    <col min="5638" max="5638" width="10.28515625" customWidth="1"/>
    <col min="5639" max="5639" width="13.140625" bestFit="1" customWidth="1"/>
    <col min="5889" max="5889" width="2.7109375" bestFit="1" customWidth="1"/>
    <col min="5890" max="5890" width="41.5703125" bestFit="1" customWidth="1"/>
    <col min="5894" max="5894" width="10.28515625" customWidth="1"/>
    <col min="5895" max="5895" width="13.140625" bestFit="1" customWidth="1"/>
    <col min="6145" max="6145" width="2.7109375" bestFit="1" customWidth="1"/>
    <col min="6146" max="6146" width="41.5703125" bestFit="1" customWidth="1"/>
    <col min="6150" max="6150" width="10.28515625" customWidth="1"/>
    <col min="6151" max="6151" width="13.140625" bestFit="1" customWidth="1"/>
    <col min="6401" max="6401" width="2.7109375" bestFit="1" customWidth="1"/>
    <col min="6402" max="6402" width="41.5703125" bestFit="1" customWidth="1"/>
    <col min="6406" max="6406" width="10.28515625" customWidth="1"/>
    <col min="6407" max="6407" width="13.140625" bestFit="1" customWidth="1"/>
    <col min="6657" max="6657" width="2.7109375" bestFit="1" customWidth="1"/>
    <col min="6658" max="6658" width="41.5703125" bestFit="1" customWidth="1"/>
    <col min="6662" max="6662" width="10.28515625" customWidth="1"/>
    <col min="6663" max="6663" width="13.140625" bestFit="1" customWidth="1"/>
    <col min="6913" max="6913" width="2.7109375" bestFit="1" customWidth="1"/>
    <col min="6914" max="6914" width="41.5703125" bestFit="1" customWidth="1"/>
    <col min="6918" max="6918" width="10.28515625" customWidth="1"/>
    <col min="6919" max="6919" width="13.140625" bestFit="1" customWidth="1"/>
    <col min="7169" max="7169" width="2.7109375" bestFit="1" customWidth="1"/>
    <col min="7170" max="7170" width="41.5703125" bestFit="1" customWidth="1"/>
    <col min="7174" max="7174" width="10.28515625" customWidth="1"/>
    <col min="7175" max="7175" width="13.140625" bestFit="1" customWidth="1"/>
    <col min="7425" max="7425" width="2.7109375" bestFit="1" customWidth="1"/>
    <col min="7426" max="7426" width="41.5703125" bestFit="1" customWidth="1"/>
    <col min="7430" max="7430" width="10.28515625" customWidth="1"/>
    <col min="7431" max="7431" width="13.140625" bestFit="1" customWidth="1"/>
    <col min="7681" max="7681" width="2.7109375" bestFit="1" customWidth="1"/>
    <col min="7682" max="7682" width="41.5703125" bestFit="1" customWidth="1"/>
    <col min="7686" max="7686" width="10.28515625" customWidth="1"/>
    <col min="7687" max="7687" width="13.140625" bestFit="1" customWidth="1"/>
    <col min="7937" max="7937" width="2.7109375" bestFit="1" customWidth="1"/>
    <col min="7938" max="7938" width="41.5703125" bestFit="1" customWidth="1"/>
    <col min="7942" max="7942" width="10.28515625" customWidth="1"/>
    <col min="7943" max="7943" width="13.140625" bestFit="1" customWidth="1"/>
    <col min="8193" max="8193" width="2.7109375" bestFit="1" customWidth="1"/>
    <col min="8194" max="8194" width="41.5703125" bestFit="1" customWidth="1"/>
    <col min="8198" max="8198" width="10.28515625" customWidth="1"/>
    <col min="8199" max="8199" width="13.140625" bestFit="1" customWidth="1"/>
    <col min="8449" max="8449" width="2.7109375" bestFit="1" customWidth="1"/>
    <col min="8450" max="8450" width="41.5703125" bestFit="1" customWidth="1"/>
    <col min="8454" max="8454" width="10.28515625" customWidth="1"/>
    <col min="8455" max="8455" width="13.140625" bestFit="1" customWidth="1"/>
    <col min="8705" max="8705" width="2.7109375" bestFit="1" customWidth="1"/>
    <col min="8706" max="8706" width="41.5703125" bestFit="1" customWidth="1"/>
    <col min="8710" max="8710" width="10.28515625" customWidth="1"/>
    <col min="8711" max="8711" width="13.140625" bestFit="1" customWidth="1"/>
    <col min="8961" max="8961" width="2.7109375" bestFit="1" customWidth="1"/>
    <col min="8962" max="8962" width="41.5703125" bestFit="1" customWidth="1"/>
    <col min="8966" max="8966" width="10.28515625" customWidth="1"/>
    <col min="8967" max="8967" width="13.140625" bestFit="1" customWidth="1"/>
    <col min="9217" max="9217" width="2.7109375" bestFit="1" customWidth="1"/>
    <col min="9218" max="9218" width="41.5703125" bestFit="1" customWidth="1"/>
    <col min="9222" max="9222" width="10.28515625" customWidth="1"/>
    <col min="9223" max="9223" width="13.140625" bestFit="1" customWidth="1"/>
    <col min="9473" max="9473" width="2.7109375" bestFit="1" customWidth="1"/>
    <col min="9474" max="9474" width="41.5703125" bestFit="1" customWidth="1"/>
    <col min="9478" max="9478" width="10.28515625" customWidth="1"/>
    <col min="9479" max="9479" width="13.140625" bestFit="1" customWidth="1"/>
    <col min="9729" max="9729" width="2.7109375" bestFit="1" customWidth="1"/>
    <col min="9730" max="9730" width="41.5703125" bestFit="1" customWidth="1"/>
    <col min="9734" max="9734" width="10.28515625" customWidth="1"/>
    <col min="9735" max="9735" width="13.140625" bestFit="1" customWidth="1"/>
    <col min="9985" max="9985" width="2.7109375" bestFit="1" customWidth="1"/>
    <col min="9986" max="9986" width="41.5703125" bestFit="1" customWidth="1"/>
    <col min="9990" max="9990" width="10.28515625" customWidth="1"/>
    <col min="9991" max="9991" width="13.140625" bestFit="1" customWidth="1"/>
    <col min="10241" max="10241" width="2.7109375" bestFit="1" customWidth="1"/>
    <col min="10242" max="10242" width="41.5703125" bestFit="1" customWidth="1"/>
    <col min="10246" max="10246" width="10.28515625" customWidth="1"/>
    <col min="10247" max="10247" width="13.140625" bestFit="1" customWidth="1"/>
    <col min="10497" max="10497" width="2.7109375" bestFit="1" customWidth="1"/>
    <col min="10498" max="10498" width="41.5703125" bestFit="1" customWidth="1"/>
    <col min="10502" max="10502" width="10.28515625" customWidth="1"/>
    <col min="10503" max="10503" width="13.140625" bestFit="1" customWidth="1"/>
    <col min="10753" max="10753" width="2.7109375" bestFit="1" customWidth="1"/>
    <col min="10754" max="10754" width="41.5703125" bestFit="1" customWidth="1"/>
    <col min="10758" max="10758" width="10.28515625" customWidth="1"/>
    <col min="10759" max="10759" width="13.140625" bestFit="1" customWidth="1"/>
    <col min="11009" max="11009" width="2.7109375" bestFit="1" customWidth="1"/>
    <col min="11010" max="11010" width="41.5703125" bestFit="1" customWidth="1"/>
    <col min="11014" max="11014" width="10.28515625" customWidth="1"/>
    <col min="11015" max="11015" width="13.140625" bestFit="1" customWidth="1"/>
    <col min="11265" max="11265" width="2.7109375" bestFit="1" customWidth="1"/>
    <col min="11266" max="11266" width="41.5703125" bestFit="1" customWidth="1"/>
    <col min="11270" max="11270" width="10.28515625" customWidth="1"/>
    <col min="11271" max="11271" width="13.140625" bestFit="1" customWidth="1"/>
    <col min="11521" max="11521" width="2.7109375" bestFit="1" customWidth="1"/>
    <col min="11522" max="11522" width="41.5703125" bestFit="1" customWidth="1"/>
    <col min="11526" max="11526" width="10.28515625" customWidth="1"/>
    <col min="11527" max="11527" width="13.140625" bestFit="1" customWidth="1"/>
    <col min="11777" max="11777" width="2.7109375" bestFit="1" customWidth="1"/>
    <col min="11778" max="11778" width="41.5703125" bestFit="1" customWidth="1"/>
    <col min="11782" max="11782" width="10.28515625" customWidth="1"/>
    <col min="11783" max="11783" width="13.140625" bestFit="1" customWidth="1"/>
    <col min="12033" max="12033" width="2.7109375" bestFit="1" customWidth="1"/>
    <col min="12034" max="12034" width="41.5703125" bestFit="1" customWidth="1"/>
    <col min="12038" max="12038" width="10.28515625" customWidth="1"/>
    <col min="12039" max="12039" width="13.140625" bestFit="1" customWidth="1"/>
    <col min="12289" max="12289" width="2.7109375" bestFit="1" customWidth="1"/>
    <col min="12290" max="12290" width="41.5703125" bestFit="1" customWidth="1"/>
    <col min="12294" max="12294" width="10.28515625" customWidth="1"/>
    <col min="12295" max="12295" width="13.140625" bestFit="1" customWidth="1"/>
    <col min="12545" max="12545" width="2.7109375" bestFit="1" customWidth="1"/>
    <col min="12546" max="12546" width="41.5703125" bestFit="1" customWidth="1"/>
    <col min="12550" max="12550" width="10.28515625" customWidth="1"/>
    <col min="12551" max="12551" width="13.140625" bestFit="1" customWidth="1"/>
    <col min="12801" max="12801" width="2.7109375" bestFit="1" customWidth="1"/>
    <col min="12802" max="12802" width="41.5703125" bestFit="1" customWidth="1"/>
    <col min="12806" max="12806" width="10.28515625" customWidth="1"/>
    <col min="12807" max="12807" width="13.140625" bestFit="1" customWidth="1"/>
    <col min="13057" max="13057" width="2.7109375" bestFit="1" customWidth="1"/>
    <col min="13058" max="13058" width="41.5703125" bestFit="1" customWidth="1"/>
    <col min="13062" max="13062" width="10.28515625" customWidth="1"/>
    <col min="13063" max="13063" width="13.140625" bestFit="1" customWidth="1"/>
    <col min="13313" max="13313" width="2.7109375" bestFit="1" customWidth="1"/>
    <col min="13314" max="13314" width="41.5703125" bestFit="1" customWidth="1"/>
    <col min="13318" max="13318" width="10.28515625" customWidth="1"/>
    <col min="13319" max="13319" width="13.140625" bestFit="1" customWidth="1"/>
    <col min="13569" max="13569" width="2.7109375" bestFit="1" customWidth="1"/>
    <col min="13570" max="13570" width="41.5703125" bestFit="1" customWidth="1"/>
    <col min="13574" max="13574" width="10.28515625" customWidth="1"/>
    <col min="13575" max="13575" width="13.140625" bestFit="1" customWidth="1"/>
    <col min="13825" max="13825" width="2.7109375" bestFit="1" customWidth="1"/>
    <col min="13826" max="13826" width="41.5703125" bestFit="1" customWidth="1"/>
    <col min="13830" max="13830" width="10.28515625" customWidth="1"/>
    <col min="13831" max="13831" width="13.140625" bestFit="1" customWidth="1"/>
    <col min="14081" max="14081" width="2.7109375" bestFit="1" customWidth="1"/>
    <col min="14082" max="14082" width="41.5703125" bestFit="1" customWidth="1"/>
    <col min="14086" max="14086" width="10.28515625" customWidth="1"/>
    <col min="14087" max="14087" width="13.140625" bestFit="1" customWidth="1"/>
    <col min="14337" max="14337" width="2.7109375" bestFit="1" customWidth="1"/>
    <col min="14338" max="14338" width="41.5703125" bestFit="1" customWidth="1"/>
    <col min="14342" max="14342" width="10.28515625" customWidth="1"/>
    <col min="14343" max="14343" width="13.140625" bestFit="1" customWidth="1"/>
    <col min="14593" max="14593" width="2.7109375" bestFit="1" customWidth="1"/>
    <col min="14594" max="14594" width="41.5703125" bestFit="1" customWidth="1"/>
    <col min="14598" max="14598" width="10.28515625" customWidth="1"/>
    <col min="14599" max="14599" width="13.140625" bestFit="1" customWidth="1"/>
    <col min="14849" max="14849" width="2.7109375" bestFit="1" customWidth="1"/>
    <col min="14850" max="14850" width="41.5703125" bestFit="1" customWidth="1"/>
    <col min="14854" max="14854" width="10.28515625" customWidth="1"/>
    <col min="14855" max="14855" width="13.140625" bestFit="1" customWidth="1"/>
    <col min="15105" max="15105" width="2.7109375" bestFit="1" customWidth="1"/>
    <col min="15106" max="15106" width="41.5703125" bestFit="1" customWidth="1"/>
    <col min="15110" max="15110" width="10.28515625" customWidth="1"/>
    <col min="15111" max="15111" width="13.140625" bestFit="1" customWidth="1"/>
    <col min="15361" max="15361" width="2.7109375" bestFit="1" customWidth="1"/>
    <col min="15362" max="15362" width="41.5703125" bestFit="1" customWidth="1"/>
    <col min="15366" max="15366" width="10.28515625" customWidth="1"/>
    <col min="15367" max="15367" width="13.140625" bestFit="1" customWidth="1"/>
    <col min="15617" max="15617" width="2.7109375" bestFit="1" customWidth="1"/>
    <col min="15618" max="15618" width="41.5703125" bestFit="1" customWidth="1"/>
    <col min="15622" max="15622" width="10.28515625" customWidth="1"/>
    <col min="15623" max="15623" width="13.140625" bestFit="1" customWidth="1"/>
    <col min="15873" max="15873" width="2.7109375" bestFit="1" customWidth="1"/>
    <col min="15874" max="15874" width="41.5703125" bestFit="1" customWidth="1"/>
    <col min="15878" max="15878" width="10.28515625" customWidth="1"/>
    <col min="15879" max="15879" width="13.140625" bestFit="1" customWidth="1"/>
    <col min="16129" max="16129" width="2.7109375" bestFit="1" customWidth="1"/>
    <col min="16130" max="16130" width="41.5703125" bestFit="1" customWidth="1"/>
    <col min="16134" max="16134" width="10.28515625" customWidth="1"/>
    <col min="16135" max="16135" width="13.140625" bestFit="1" customWidth="1"/>
  </cols>
  <sheetData>
    <row r="3" spans="1:26" ht="25.5">
      <c r="A3" s="2599" t="s">
        <v>34</v>
      </c>
      <c r="B3" s="2599" t="s">
        <v>478</v>
      </c>
      <c r="C3" s="2599" t="s">
        <v>4</v>
      </c>
      <c r="D3" s="2599"/>
      <c r="E3" s="2599" t="s">
        <v>4023</v>
      </c>
      <c r="F3" s="2599" t="s">
        <v>4986</v>
      </c>
      <c r="G3" s="2599" t="s">
        <v>20</v>
      </c>
      <c r="S3" s="2599" t="s">
        <v>4987</v>
      </c>
      <c r="T3" s="2599" t="s">
        <v>4988</v>
      </c>
    </row>
    <row r="4" spans="1:26" s="403" customFormat="1" ht="36" customHeight="1">
      <c r="A4" s="2600">
        <v>1</v>
      </c>
      <c r="B4" s="1579" t="s">
        <v>4601</v>
      </c>
      <c r="C4" s="2602">
        <v>1</v>
      </c>
      <c r="D4" s="2602">
        <v>1</v>
      </c>
      <c r="E4" s="2602">
        <f>D4*C4</f>
        <v>1</v>
      </c>
      <c r="F4" s="2615">
        <v>51371</v>
      </c>
      <c r="G4" s="2605">
        <f>F4*E4</f>
        <v>51371</v>
      </c>
      <c r="H4" s="2606">
        <v>0.25</v>
      </c>
      <c r="I4" s="2605">
        <f>G4*H4</f>
        <v>12842.75</v>
      </c>
      <c r="J4" s="2607" t="s">
        <v>4600</v>
      </c>
      <c r="K4" s="1579" t="s">
        <v>4601</v>
      </c>
      <c r="L4" s="2608"/>
      <c r="M4" s="2602">
        <v>1</v>
      </c>
      <c r="N4" s="2602">
        <v>1</v>
      </c>
      <c r="O4" s="2602">
        <f>N4*M4</f>
        <v>1</v>
      </c>
      <c r="P4" s="2615">
        <v>51371</v>
      </c>
      <c r="R4" s="2638">
        <f t="shared" ref="R4:R67" si="0">P4*O4</f>
        <v>51371</v>
      </c>
      <c r="S4" s="2639">
        <v>0.1</v>
      </c>
      <c r="T4" s="2605">
        <f>G4*S4</f>
        <v>5137.1000000000004</v>
      </c>
      <c r="U4" s="2640" t="s">
        <v>4989</v>
      </c>
      <c r="Z4" s="2640" t="s">
        <v>4990</v>
      </c>
    </row>
    <row r="5" spans="1:26" s="403" customFormat="1">
      <c r="A5" s="2600">
        <v>2</v>
      </c>
      <c r="B5" s="2609" t="e">
        <f>ROUND(B7*B8*B9*B10*B11*B12*B13*B14*B15,0)</f>
        <v>#VALUE!</v>
      </c>
      <c r="C5" s="2602" t="e">
        <f>ROUND(B5/12,0)</f>
        <v>#VALUE!</v>
      </c>
      <c r="D5" s="2602">
        <v>1</v>
      </c>
      <c r="E5" s="2603">
        <v>1</v>
      </c>
      <c r="F5" s="2604">
        <v>271339</v>
      </c>
      <c r="G5" s="2605">
        <v>271339</v>
      </c>
      <c r="H5" s="2606">
        <v>0.25</v>
      </c>
      <c r="I5" s="2605">
        <f t="shared" ref="I5:I68" si="1">G5*H5</f>
        <v>67834.75</v>
      </c>
      <c r="J5" s="2607" t="s">
        <v>4991</v>
      </c>
      <c r="K5" s="2609" t="s">
        <v>4992</v>
      </c>
      <c r="L5" s="1067"/>
      <c r="M5" s="2602">
        <v>1</v>
      </c>
      <c r="N5" s="2602">
        <v>1</v>
      </c>
      <c r="O5" s="2603">
        <f t="shared" ref="O5:O37" si="2">M5*N5</f>
        <v>1</v>
      </c>
      <c r="P5" s="2604">
        <v>271339</v>
      </c>
      <c r="Q5" s="2641"/>
      <c r="R5" s="2638">
        <f t="shared" si="0"/>
        <v>271339</v>
      </c>
      <c r="S5" s="2606">
        <v>0.15</v>
      </c>
      <c r="T5" s="2605">
        <f>G5*S5</f>
        <v>40700.85</v>
      </c>
      <c r="U5" s="580"/>
    </row>
    <row r="6" spans="1:26" s="403" customFormat="1" ht="33" customHeight="1">
      <c r="A6" s="2600">
        <v>3</v>
      </c>
      <c r="B6" s="2609" t="s">
        <v>4581</v>
      </c>
      <c r="C6" s="2602">
        <v>1</v>
      </c>
      <c r="D6" s="2602">
        <v>1</v>
      </c>
      <c r="E6" s="2603">
        <v>1</v>
      </c>
      <c r="F6" s="2604">
        <v>92455</v>
      </c>
      <c r="G6" s="2605">
        <v>92455</v>
      </c>
      <c r="H6" s="2606">
        <v>0.25</v>
      </c>
      <c r="I6" s="2605">
        <f t="shared" si="1"/>
        <v>23113.75</v>
      </c>
      <c r="J6" s="2607" t="s">
        <v>4612</v>
      </c>
      <c r="K6" s="2609" t="s">
        <v>4581</v>
      </c>
      <c r="L6" s="1067"/>
      <c r="M6" s="2602">
        <v>1</v>
      </c>
      <c r="N6" s="2602">
        <v>1</v>
      </c>
      <c r="O6" s="2603">
        <f t="shared" si="2"/>
        <v>1</v>
      </c>
      <c r="P6" s="2604">
        <v>92455</v>
      </c>
      <c r="Q6" s="2641"/>
      <c r="R6" s="2638">
        <f t="shared" si="0"/>
        <v>92455</v>
      </c>
      <c r="S6" s="2606">
        <v>0.15</v>
      </c>
      <c r="T6" s="2605">
        <f t="shared" ref="T6:T69" si="3">G6*S6</f>
        <v>13868.25</v>
      </c>
    </row>
    <row r="7" spans="1:26" s="403" customFormat="1" ht="30" customHeight="1">
      <c r="A7" s="2600">
        <v>4</v>
      </c>
      <c r="B7" s="2611" t="s">
        <v>4620</v>
      </c>
      <c r="C7" s="2602">
        <v>1</v>
      </c>
      <c r="D7" s="2602">
        <v>1</v>
      </c>
      <c r="E7" s="2603">
        <v>1</v>
      </c>
      <c r="F7" s="2604">
        <v>168766</v>
      </c>
      <c r="G7" s="2605">
        <v>168766</v>
      </c>
      <c r="H7" s="2606">
        <v>0.25</v>
      </c>
      <c r="I7" s="2605">
        <f t="shared" si="1"/>
        <v>42191.5</v>
      </c>
      <c r="J7" s="2607" t="s">
        <v>4619</v>
      </c>
      <c r="K7" s="2611" t="s">
        <v>4620</v>
      </c>
      <c r="L7" s="1067"/>
      <c r="M7" s="2602">
        <v>1</v>
      </c>
      <c r="N7" s="2602">
        <v>1</v>
      </c>
      <c r="O7" s="2603">
        <f t="shared" si="2"/>
        <v>1</v>
      </c>
      <c r="P7" s="2604">
        <v>168766</v>
      </c>
      <c r="Q7" s="2641"/>
      <c r="R7" s="2638">
        <f t="shared" si="0"/>
        <v>168766</v>
      </c>
      <c r="S7" s="2606">
        <v>0.08</v>
      </c>
      <c r="T7" s="2605">
        <f t="shared" si="3"/>
        <v>13501.28</v>
      </c>
      <c r="U7" s="403" t="s">
        <v>4993</v>
      </c>
      <c r="Z7" s="580" t="s">
        <v>4994</v>
      </c>
    </row>
    <row r="8" spans="1:26" s="403" customFormat="1" ht="40.5" customHeight="1">
      <c r="A8" s="2600">
        <v>5</v>
      </c>
      <c r="B8" s="2611" t="s">
        <v>4623</v>
      </c>
      <c r="C8" s="2602">
        <v>1</v>
      </c>
      <c r="D8" s="2602">
        <v>1</v>
      </c>
      <c r="E8" s="2603">
        <v>1</v>
      </c>
      <c r="F8" s="2604">
        <v>474834</v>
      </c>
      <c r="G8" s="2605">
        <v>474834</v>
      </c>
      <c r="H8" s="2606">
        <v>0.25</v>
      </c>
      <c r="I8" s="2605">
        <f t="shared" si="1"/>
        <v>118708.5</v>
      </c>
      <c r="J8" s="2607" t="s">
        <v>4622</v>
      </c>
      <c r="K8" s="2611" t="s">
        <v>4623</v>
      </c>
      <c r="L8" s="1067"/>
      <c r="M8" s="2602">
        <v>1</v>
      </c>
      <c r="N8" s="2602">
        <v>1</v>
      </c>
      <c r="O8" s="2603">
        <f t="shared" si="2"/>
        <v>1</v>
      </c>
      <c r="P8" s="2604">
        <v>474834</v>
      </c>
      <c r="Q8" s="2641"/>
      <c r="R8" s="2638">
        <f t="shared" si="0"/>
        <v>474834</v>
      </c>
      <c r="S8" s="2606">
        <v>0.08</v>
      </c>
      <c r="T8" s="2605">
        <f t="shared" si="3"/>
        <v>37986.720000000001</v>
      </c>
    </row>
    <row r="9" spans="1:26" s="403" customFormat="1" ht="28.5" customHeight="1">
      <c r="A9" s="2600">
        <v>6</v>
      </c>
      <c r="B9" s="2611" t="s">
        <v>4627</v>
      </c>
      <c r="C9" s="2602">
        <v>1</v>
      </c>
      <c r="D9" s="2602">
        <v>1</v>
      </c>
      <c r="E9" s="2603">
        <v>1</v>
      </c>
      <c r="F9" s="2604">
        <v>325223</v>
      </c>
      <c r="G9" s="2605">
        <v>325223</v>
      </c>
      <c r="H9" s="2606">
        <v>0.25</v>
      </c>
      <c r="I9" s="2605">
        <f t="shared" si="1"/>
        <v>81305.75</v>
      </c>
      <c r="J9" s="2607" t="s">
        <v>4626</v>
      </c>
      <c r="K9" s="2611" t="s">
        <v>4627</v>
      </c>
      <c r="L9" s="1067"/>
      <c r="M9" s="2602">
        <v>1</v>
      </c>
      <c r="N9" s="2602">
        <v>1</v>
      </c>
      <c r="O9" s="2603">
        <f t="shared" si="2"/>
        <v>1</v>
      </c>
      <c r="P9" s="2604">
        <v>325223</v>
      </c>
      <c r="Q9" s="2641"/>
      <c r="R9" s="2638">
        <f t="shared" si="0"/>
        <v>325223</v>
      </c>
      <c r="S9" s="2606">
        <v>0.08</v>
      </c>
      <c r="T9" s="2605">
        <f t="shared" si="3"/>
        <v>26017.84</v>
      </c>
    </row>
    <row r="10" spans="1:26" s="403" customFormat="1" ht="30" customHeight="1">
      <c r="A10" s="2600">
        <v>7</v>
      </c>
      <c r="B10" s="2611" t="s">
        <v>907</v>
      </c>
      <c r="C10" s="2602">
        <v>1</v>
      </c>
      <c r="D10" s="2602">
        <v>1</v>
      </c>
      <c r="E10" s="2603">
        <v>1</v>
      </c>
      <c r="F10" s="2604">
        <v>307646</v>
      </c>
      <c r="G10" s="2605">
        <v>307646</v>
      </c>
      <c r="H10" s="2606">
        <v>0.25</v>
      </c>
      <c r="I10" s="2605">
        <f t="shared" si="1"/>
        <v>76911.5</v>
      </c>
      <c r="J10" s="2607" t="s">
        <v>4629</v>
      </c>
      <c r="K10" s="2611" t="s">
        <v>907</v>
      </c>
      <c r="L10" s="1067"/>
      <c r="M10" s="2602">
        <v>1</v>
      </c>
      <c r="N10" s="2602">
        <v>1</v>
      </c>
      <c r="O10" s="2603">
        <f t="shared" si="2"/>
        <v>1</v>
      </c>
      <c r="P10" s="2604">
        <v>307646</v>
      </c>
      <c r="Q10" s="2641"/>
      <c r="R10" s="2638">
        <f t="shared" si="0"/>
        <v>307646</v>
      </c>
      <c r="S10" s="2606">
        <v>0.08</v>
      </c>
      <c r="T10" s="2605">
        <f t="shared" si="3"/>
        <v>24611.68</v>
      </c>
      <c r="U10" s="403" t="s">
        <v>4995</v>
      </c>
    </row>
    <row r="11" spans="1:26" s="403" customFormat="1" ht="32.25" customHeight="1">
      <c r="A11" s="2600">
        <v>8</v>
      </c>
      <c r="B11" s="2611" t="s">
        <v>4632</v>
      </c>
      <c r="C11" s="2602">
        <v>1</v>
      </c>
      <c r="D11" s="2602">
        <v>1</v>
      </c>
      <c r="E11" s="2603">
        <v>1</v>
      </c>
      <c r="F11" s="2604">
        <v>29774</v>
      </c>
      <c r="G11" s="2605">
        <v>29774</v>
      </c>
      <c r="H11" s="2606">
        <v>0.25</v>
      </c>
      <c r="I11" s="2605">
        <f t="shared" si="1"/>
        <v>7443.5</v>
      </c>
      <c r="J11" s="2607" t="s">
        <v>4631</v>
      </c>
      <c r="K11" s="2611" t="s">
        <v>4632</v>
      </c>
      <c r="L11" s="1067"/>
      <c r="M11" s="2602">
        <v>1</v>
      </c>
      <c r="N11" s="2602">
        <v>1</v>
      </c>
      <c r="O11" s="2603">
        <f t="shared" si="2"/>
        <v>1</v>
      </c>
      <c r="P11" s="2604">
        <v>29774</v>
      </c>
      <c r="Q11" s="2641"/>
      <c r="R11" s="2638">
        <f t="shared" si="0"/>
        <v>29774</v>
      </c>
      <c r="S11" s="2606">
        <v>0.1</v>
      </c>
      <c r="T11" s="2605">
        <f t="shared" si="3"/>
        <v>2977.4</v>
      </c>
    </row>
    <row r="12" spans="1:26" s="403" customFormat="1" ht="29.25" customHeight="1">
      <c r="A12" s="2600">
        <v>9</v>
      </c>
      <c r="B12" s="2611" t="s">
        <v>905</v>
      </c>
      <c r="C12" s="2602">
        <v>1</v>
      </c>
      <c r="D12" s="2602">
        <v>1</v>
      </c>
      <c r="E12" s="2603">
        <v>1</v>
      </c>
      <c r="F12" s="2604">
        <v>168766</v>
      </c>
      <c r="G12" s="2605">
        <v>168766</v>
      </c>
      <c r="H12" s="2606">
        <v>0.25</v>
      </c>
      <c r="I12" s="2605">
        <f t="shared" si="1"/>
        <v>42191.5</v>
      </c>
      <c r="J12" s="2607" t="s">
        <v>4636</v>
      </c>
      <c r="K12" s="2611" t="s">
        <v>905</v>
      </c>
      <c r="L12" s="1067"/>
      <c r="M12" s="2602">
        <v>1</v>
      </c>
      <c r="N12" s="2602">
        <v>1</v>
      </c>
      <c r="O12" s="2603">
        <f t="shared" si="2"/>
        <v>1</v>
      </c>
      <c r="P12" s="2604">
        <v>168766</v>
      </c>
      <c r="Q12" s="2641"/>
      <c r="R12" s="2638">
        <f t="shared" si="0"/>
        <v>168766</v>
      </c>
      <c r="S12" s="2606">
        <v>0.08</v>
      </c>
      <c r="T12" s="2605">
        <f t="shared" si="3"/>
        <v>13501.28</v>
      </c>
    </row>
    <row r="13" spans="1:26" s="403" customFormat="1" ht="29.25" customHeight="1">
      <c r="A13" s="2600">
        <v>10</v>
      </c>
      <c r="B13" s="2611" t="s">
        <v>4640</v>
      </c>
      <c r="C13" s="2602">
        <v>2</v>
      </c>
      <c r="D13" s="2602">
        <v>1</v>
      </c>
      <c r="E13" s="2603">
        <v>2</v>
      </c>
      <c r="F13" s="2604">
        <v>87967</v>
      </c>
      <c r="G13" s="2605">
        <v>175934</v>
      </c>
      <c r="H13" s="2606">
        <v>0.25</v>
      </c>
      <c r="I13" s="2605">
        <f t="shared" si="1"/>
        <v>43983.5</v>
      </c>
      <c r="J13" s="2607" t="s">
        <v>4639</v>
      </c>
      <c r="K13" s="2611" t="s">
        <v>4640</v>
      </c>
      <c r="L13" s="1067"/>
      <c r="M13" s="2602">
        <v>2</v>
      </c>
      <c r="N13" s="2602">
        <v>1</v>
      </c>
      <c r="O13" s="2603">
        <f t="shared" si="2"/>
        <v>2</v>
      </c>
      <c r="P13" s="2604">
        <v>87967</v>
      </c>
      <c r="Q13" s="2641"/>
      <c r="R13" s="2638">
        <f t="shared" si="0"/>
        <v>175934</v>
      </c>
      <c r="S13" s="2606">
        <v>0.08</v>
      </c>
      <c r="T13" s="2605">
        <f t="shared" si="3"/>
        <v>14074.720000000001</v>
      </c>
    </row>
    <row r="14" spans="1:26" s="403" customFormat="1" ht="30" customHeight="1">
      <c r="A14" s="2600">
        <v>11</v>
      </c>
      <c r="B14" s="2611" t="s">
        <v>882</v>
      </c>
      <c r="C14" s="2602">
        <v>1</v>
      </c>
      <c r="D14" s="2602">
        <v>1</v>
      </c>
      <c r="E14" s="2603">
        <v>1</v>
      </c>
      <c r="F14" s="2604">
        <v>225379</v>
      </c>
      <c r="G14" s="2605">
        <v>225379</v>
      </c>
      <c r="H14" s="2606">
        <v>0.25</v>
      </c>
      <c r="I14" s="2605">
        <f t="shared" si="1"/>
        <v>56344.75</v>
      </c>
      <c r="J14" s="2607" t="s">
        <v>4641</v>
      </c>
      <c r="K14" s="2611" t="s">
        <v>882</v>
      </c>
      <c r="L14" s="1067"/>
      <c r="M14" s="2602">
        <v>1</v>
      </c>
      <c r="N14" s="2602">
        <v>1</v>
      </c>
      <c r="O14" s="2603">
        <f t="shared" si="2"/>
        <v>1</v>
      </c>
      <c r="P14" s="2604">
        <v>225379</v>
      </c>
      <c r="Q14" s="2641"/>
      <c r="R14" s="2638">
        <f t="shared" si="0"/>
        <v>225379</v>
      </c>
      <c r="S14" s="2606">
        <v>0.08</v>
      </c>
      <c r="T14" s="2605">
        <f t="shared" si="3"/>
        <v>18030.32</v>
      </c>
    </row>
    <row r="15" spans="1:26" s="403" customFormat="1" ht="26.25" customHeight="1">
      <c r="A15" s="2600">
        <v>12</v>
      </c>
      <c r="B15" s="2611" t="s">
        <v>4643</v>
      </c>
      <c r="C15" s="2602">
        <v>1</v>
      </c>
      <c r="D15" s="2602">
        <v>1</v>
      </c>
      <c r="E15" s="2603">
        <v>1</v>
      </c>
      <c r="F15" s="2604">
        <v>352514</v>
      </c>
      <c r="G15" s="2605">
        <v>352514</v>
      </c>
      <c r="H15" s="2606">
        <v>0.25</v>
      </c>
      <c r="I15" s="2605">
        <f t="shared" si="1"/>
        <v>88128.5</v>
      </c>
      <c r="J15" s="2607" t="s">
        <v>4642</v>
      </c>
      <c r="K15" s="2611" t="s">
        <v>4643</v>
      </c>
      <c r="L15" s="1067"/>
      <c r="M15" s="2602">
        <v>1</v>
      </c>
      <c r="N15" s="2602">
        <v>1</v>
      </c>
      <c r="O15" s="2603">
        <f t="shared" si="2"/>
        <v>1</v>
      </c>
      <c r="P15" s="2604">
        <v>352514</v>
      </c>
      <c r="Q15" s="2641"/>
      <c r="R15" s="2638">
        <f t="shared" si="0"/>
        <v>352514</v>
      </c>
      <c r="S15" s="2606">
        <v>0.08</v>
      </c>
      <c r="T15" s="2605">
        <f t="shared" si="3"/>
        <v>28201.119999999999</v>
      </c>
    </row>
    <row r="16" spans="1:26" s="403" customFormat="1" ht="28.5" customHeight="1">
      <c r="A16" s="2600">
        <v>13</v>
      </c>
      <c r="B16" s="2612" t="s">
        <v>907</v>
      </c>
      <c r="C16" s="2602">
        <v>2</v>
      </c>
      <c r="D16" s="2602">
        <v>1</v>
      </c>
      <c r="E16" s="2603">
        <v>2</v>
      </c>
      <c r="F16" s="2604">
        <v>307646</v>
      </c>
      <c r="G16" s="2605">
        <v>615292</v>
      </c>
      <c r="H16" s="2606">
        <v>0.25</v>
      </c>
      <c r="I16" s="2605">
        <f t="shared" si="1"/>
        <v>153823</v>
      </c>
      <c r="J16" s="2607" t="s">
        <v>4646</v>
      </c>
      <c r="K16" s="2612" t="s">
        <v>907</v>
      </c>
      <c r="L16" s="2614"/>
      <c r="M16" s="2602">
        <v>2</v>
      </c>
      <c r="N16" s="2602">
        <v>1</v>
      </c>
      <c r="O16" s="2603">
        <f t="shared" si="2"/>
        <v>2</v>
      </c>
      <c r="P16" s="2604">
        <v>307646</v>
      </c>
      <c r="Q16" s="2641"/>
      <c r="R16" s="2638">
        <f t="shared" si="0"/>
        <v>615292</v>
      </c>
      <c r="S16" s="2606">
        <v>0.08</v>
      </c>
      <c r="T16" s="2605">
        <f t="shared" si="3"/>
        <v>49223.360000000001</v>
      </c>
    </row>
    <row r="17" spans="1:21" s="403" customFormat="1" ht="28.5" customHeight="1">
      <c r="A17" s="2600">
        <v>14</v>
      </c>
      <c r="B17" s="2612" t="s">
        <v>869</v>
      </c>
      <c r="C17" s="2602">
        <v>1</v>
      </c>
      <c r="D17" s="2602">
        <v>1</v>
      </c>
      <c r="E17" s="2603">
        <v>1</v>
      </c>
      <c r="F17" s="2604">
        <v>31069</v>
      </c>
      <c r="G17" s="2605">
        <v>31069</v>
      </c>
      <c r="H17" s="2606">
        <v>0.25</v>
      </c>
      <c r="I17" s="2605">
        <f t="shared" si="1"/>
        <v>7767.25</v>
      </c>
      <c r="J17" s="2607" t="s">
        <v>4647</v>
      </c>
      <c r="K17" s="2612" t="s">
        <v>869</v>
      </c>
      <c r="L17" s="2614"/>
      <c r="M17" s="2602">
        <v>1</v>
      </c>
      <c r="N17" s="2602">
        <v>1</v>
      </c>
      <c r="O17" s="2603">
        <f t="shared" si="2"/>
        <v>1</v>
      </c>
      <c r="P17" s="2604">
        <v>31069</v>
      </c>
      <c r="Q17" s="2641"/>
      <c r="R17" s="2638">
        <f t="shared" si="0"/>
        <v>31069</v>
      </c>
      <c r="S17" s="2606">
        <v>0.1</v>
      </c>
      <c r="T17" s="2605">
        <f t="shared" si="3"/>
        <v>3106.9</v>
      </c>
    </row>
    <row r="18" spans="1:21" s="403" customFormat="1" ht="30" customHeight="1">
      <c r="A18" s="2600">
        <v>15</v>
      </c>
      <c r="B18" s="2612" t="e">
        <f>B20*B22*B21</f>
        <v>#REF!</v>
      </c>
      <c r="C18" s="2602">
        <v>1</v>
      </c>
      <c r="D18" s="2602">
        <v>1</v>
      </c>
      <c r="E18" s="2603">
        <v>1</v>
      </c>
      <c r="F18" s="2613">
        <v>261657</v>
      </c>
      <c r="G18" s="2605">
        <v>261657</v>
      </c>
      <c r="H18" s="2606">
        <v>0.25</v>
      </c>
      <c r="I18" s="2605">
        <f t="shared" si="1"/>
        <v>65414.25</v>
      </c>
      <c r="J18" s="2607" t="s">
        <v>4649</v>
      </c>
      <c r="K18" s="2612" t="s">
        <v>749</v>
      </c>
      <c r="L18" s="2614"/>
      <c r="M18" s="2602">
        <v>1</v>
      </c>
      <c r="N18" s="2602">
        <v>1</v>
      </c>
      <c r="O18" s="2603">
        <f t="shared" si="2"/>
        <v>1</v>
      </c>
      <c r="P18" s="2613">
        <v>261657</v>
      </c>
      <c r="Q18" s="2641"/>
      <c r="R18" s="2638">
        <f t="shared" si="0"/>
        <v>261657</v>
      </c>
      <c r="S18" s="2606">
        <v>0.08</v>
      </c>
      <c r="T18" s="2605">
        <f t="shared" si="3"/>
        <v>20932.560000000001</v>
      </c>
    </row>
    <row r="19" spans="1:21" s="403" customFormat="1" ht="27" customHeight="1">
      <c r="A19" s="2600">
        <v>16</v>
      </c>
      <c r="B19" s="2612" t="s">
        <v>906</v>
      </c>
      <c r="C19" s="2602">
        <v>1</v>
      </c>
      <c r="D19" s="2602">
        <v>1</v>
      </c>
      <c r="E19" s="2603">
        <v>1</v>
      </c>
      <c r="F19" s="2613">
        <v>227232</v>
      </c>
      <c r="G19" s="2605">
        <v>227232</v>
      </c>
      <c r="H19" s="2606">
        <v>0.25</v>
      </c>
      <c r="I19" s="2605">
        <f t="shared" si="1"/>
        <v>56808</v>
      </c>
      <c r="J19" s="2607" t="s">
        <v>4650</v>
      </c>
      <c r="K19" s="2612" t="s">
        <v>906</v>
      </c>
      <c r="L19" s="2614"/>
      <c r="M19" s="2602">
        <v>1</v>
      </c>
      <c r="N19" s="2602">
        <v>1</v>
      </c>
      <c r="O19" s="2603">
        <f t="shared" si="2"/>
        <v>1</v>
      </c>
      <c r="P19" s="2613">
        <v>227232</v>
      </c>
      <c r="Q19" s="2641"/>
      <c r="R19" s="2638">
        <f t="shared" si="0"/>
        <v>227232</v>
      </c>
      <c r="S19" s="2606">
        <v>0.08</v>
      </c>
      <c r="T19" s="2605">
        <f t="shared" si="3"/>
        <v>18178.560000000001</v>
      </c>
    </row>
    <row r="20" spans="1:21" s="403" customFormat="1" ht="48" customHeight="1">
      <c r="A20" s="2600">
        <v>17</v>
      </c>
      <c r="B20" s="2705" t="e">
        <f>'мебель изм.амортиз'!I73+'оргтех столовой'!T86+#REF!</f>
        <v>#REF!</v>
      </c>
      <c r="C20" s="2602">
        <v>1</v>
      </c>
      <c r="D20" s="2602">
        <v>1</v>
      </c>
      <c r="E20" s="2603">
        <v>1</v>
      </c>
      <c r="F20" s="2613">
        <v>43343</v>
      </c>
      <c r="G20" s="2605">
        <v>43343</v>
      </c>
      <c r="H20" s="2606">
        <v>0.25</v>
      </c>
      <c r="I20" s="2605">
        <f t="shared" si="1"/>
        <v>10835.75</v>
      </c>
      <c r="J20" s="2607" t="s">
        <v>4652</v>
      </c>
      <c r="K20" s="2612" t="s">
        <v>4653</v>
      </c>
      <c r="L20" s="2614"/>
      <c r="M20" s="2602">
        <v>1</v>
      </c>
      <c r="N20" s="2602">
        <v>1</v>
      </c>
      <c r="O20" s="2603">
        <f t="shared" si="2"/>
        <v>1</v>
      </c>
      <c r="P20" s="2613">
        <v>43343</v>
      </c>
      <c r="Q20" s="2641"/>
      <c r="R20" s="2638">
        <f t="shared" si="0"/>
        <v>43343</v>
      </c>
      <c r="S20" s="2606">
        <v>0.08</v>
      </c>
      <c r="T20" s="2605">
        <f t="shared" si="3"/>
        <v>3467.44</v>
      </c>
    </row>
    <row r="21" spans="1:21" s="403" customFormat="1" ht="33" customHeight="1">
      <c r="A21" s="2600">
        <v>18</v>
      </c>
      <c r="B21" s="2612" t="s">
        <v>905</v>
      </c>
      <c r="C21" s="2602">
        <v>1</v>
      </c>
      <c r="D21" s="2602">
        <v>1</v>
      </c>
      <c r="E21" s="2602">
        <v>1</v>
      </c>
      <c r="F21" s="2615">
        <v>168766</v>
      </c>
      <c r="G21" s="2605">
        <v>168766</v>
      </c>
      <c r="H21" s="2606">
        <v>0.25</v>
      </c>
      <c r="I21" s="2605">
        <f t="shared" si="1"/>
        <v>42191.5</v>
      </c>
      <c r="J21" s="2607" t="s">
        <v>4655</v>
      </c>
      <c r="K21" s="2612" t="s">
        <v>905</v>
      </c>
      <c r="L21" s="2614"/>
      <c r="M21" s="2602">
        <v>1</v>
      </c>
      <c r="N21" s="2602">
        <v>1</v>
      </c>
      <c r="O21" s="2602">
        <f t="shared" si="2"/>
        <v>1</v>
      </c>
      <c r="P21" s="2615">
        <v>168766</v>
      </c>
      <c r="Q21" s="2641"/>
      <c r="R21" s="2638">
        <f t="shared" si="0"/>
        <v>168766</v>
      </c>
      <c r="S21" s="2606">
        <v>0.08</v>
      </c>
      <c r="T21" s="2605">
        <f t="shared" si="3"/>
        <v>13501.28</v>
      </c>
    </row>
    <row r="22" spans="1:21" s="403" customFormat="1">
      <c r="A22" s="2600">
        <v>19</v>
      </c>
      <c r="B22" s="2612" t="s">
        <v>4992</v>
      </c>
      <c r="C22" s="2602">
        <v>1</v>
      </c>
      <c r="D22" s="2602">
        <v>1</v>
      </c>
      <c r="E22" s="2602">
        <v>1</v>
      </c>
      <c r="F22" s="2615">
        <v>271339</v>
      </c>
      <c r="G22" s="2605">
        <v>271339</v>
      </c>
      <c r="H22" s="2606">
        <v>0.25</v>
      </c>
      <c r="I22" s="2605">
        <f t="shared" si="1"/>
        <v>67834.75</v>
      </c>
      <c r="J22" s="2607" t="s">
        <v>4996</v>
      </c>
      <c r="K22" s="2612" t="s">
        <v>4992</v>
      </c>
      <c r="L22" s="2614"/>
      <c r="M22" s="2602">
        <v>1</v>
      </c>
      <c r="N22" s="2602">
        <v>1</v>
      </c>
      <c r="O22" s="2602">
        <f t="shared" si="2"/>
        <v>1</v>
      </c>
      <c r="P22" s="2615">
        <v>271339</v>
      </c>
      <c r="Q22" s="2641"/>
      <c r="R22" s="2638">
        <f t="shared" si="0"/>
        <v>271339</v>
      </c>
      <c r="S22" s="2606">
        <v>0.15</v>
      </c>
      <c r="T22" s="2605">
        <f t="shared" si="3"/>
        <v>40700.85</v>
      </c>
    </row>
    <row r="23" spans="1:21" s="403" customFormat="1" ht="27.75" customHeight="1">
      <c r="A23" s="2600">
        <v>20</v>
      </c>
      <c r="B23" s="2612" t="s">
        <v>905</v>
      </c>
      <c r="C23" s="2602">
        <v>1</v>
      </c>
      <c r="D23" s="2602">
        <v>1</v>
      </c>
      <c r="E23" s="2602">
        <v>1</v>
      </c>
      <c r="F23" s="2615">
        <v>168766</v>
      </c>
      <c r="G23" s="2605">
        <v>168766</v>
      </c>
      <c r="H23" s="2606">
        <v>0.25</v>
      </c>
      <c r="I23" s="2605">
        <f t="shared" si="1"/>
        <v>42191.5</v>
      </c>
      <c r="J23" s="2607" t="s">
        <v>4661</v>
      </c>
      <c r="K23" s="2612" t="s">
        <v>905</v>
      </c>
      <c r="L23" s="2614"/>
      <c r="M23" s="2602">
        <v>1</v>
      </c>
      <c r="N23" s="2602">
        <v>1</v>
      </c>
      <c r="O23" s="2602">
        <f t="shared" si="2"/>
        <v>1</v>
      </c>
      <c r="P23" s="2615">
        <v>168766</v>
      </c>
      <c r="Q23" s="2641"/>
      <c r="R23" s="2638">
        <f t="shared" si="0"/>
        <v>168766</v>
      </c>
      <c r="S23" s="2606">
        <v>0.08</v>
      </c>
      <c r="T23" s="2605">
        <f t="shared" si="3"/>
        <v>13501.28</v>
      </c>
    </row>
    <row r="24" spans="1:21" s="403" customFormat="1" ht="29.25" customHeight="1">
      <c r="A24" s="2600">
        <v>21</v>
      </c>
      <c r="B24" s="2612" t="s">
        <v>903</v>
      </c>
      <c r="C24" s="2602">
        <v>1</v>
      </c>
      <c r="D24" s="2602">
        <v>1</v>
      </c>
      <c r="E24" s="2602">
        <v>1</v>
      </c>
      <c r="F24" s="2615">
        <v>304984</v>
      </c>
      <c r="G24" s="2605">
        <v>304984</v>
      </c>
      <c r="H24" s="2606">
        <v>0.25</v>
      </c>
      <c r="I24" s="2605">
        <f t="shared" si="1"/>
        <v>76246</v>
      </c>
      <c r="J24" s="2607" t="s">
        <v>4664</v>
      </c>
      <c r="K24" s="2612" t="s">
        <v>903</v>
      </c>
      <c r="L24" s="2614"/>
      <c r="M24" s="2602">
        <v>1</v>
      </c>
      <c r="N24" s="2602">
        <v>1</v>
      </c>
      <c r="O24" s="2602">
        <f t="shared" si="2"/>
        <v>1</v>
      </c>
      <c r="P24" s="2615">
        <v>304984</v>
      </c>
      <c r="Q24" s="2641"/>
      <c r="R24" s="2638">
        <f t="shared" si="0"/>
        <v>304984</v>
      </c>
      <c r="S24" s="2606">
        <v>0.08</v>
      </c>
      <c r="T24" s="2605">
        <f t="shared" si="3"/>
        <v>24398.720000000001</v>
      </c>
    </row>
    <row r="25" spans="1:21" s="403" customFormat="1" ht="45" customHeight="1">
      <c r="A25" s="2600">
        <v>22</v>
      </c>
      <c r="B25" s="2612" t="s">
        <v>4671</v>
      </c>
      <c r="C25" s="2602">
        <v>1</v>
      </c>
      <c r="D25" s="2602">
        <v>1</v>
      </c>
      <c r="E25" s="2602">
        <v>1</v>
      </c>
      <c r="F25" s="2615">
        <v>43343</v>
      </c>
      <c r="G25" s="2605">
        <v>43343</v>
      </c>
      <c r="H25" s="2606">
        <v>0.25</v>
      </c>
      <c r="I25" s="2605">
        <f t="shared" si="1"/>
        <v>10835.75</v>
      </c>
      <c r="J25" s="2607" t="s">
        <v>4670</v>
      </c>
      <c r="K25" s="2612" t="s">
        <v>4671</v>
      </c>
      <c r="L25" s="2614"/>
      <c r="M25" s="2602">
        <v>1</v>
      </c>
      <c r="N25" s="2602">
        <v>1</v>
      </c>
      <c r="O25" s="2602">
        <f t="shared" si="2"/>
        <v>1</v>
      </c>
      <c r="P25" s="2615">
        <v>43343</v>
      </c>
      <c r="Q25" s="2641"/>
      <c r="R25" s="2638">
        <f t="shared" si="0"/>
        <v>43343</v>
      </c>
      <c r="S25" s="2606">
        <v>0.08</v>
      </c>
      <c r="T25" s="2605">
        <f t="shared" si="3"/>
        <v>3467.44</v>
      </c>
    </row>
    <row r="26" spans="1:21" s="403" customFormat="1" ht="26.25" customHeight="1">
      <c r="A26" s="2600">
        <v>23</v>
      </c>
      <c r="B26" s="2612" t="s">
        <v>904</v>
      </c>
      <c r="C26" s="2602">
        <v>1</v>
      </c>
      <c r="D26" s="2602">
        <v>1</v>
      </c>
      <c r="E26" s="2602">
        <v>1</v>
      </c>
      <c r="F26" s="2615">
        <v>168766</v>
      </c>
      <c r="G26" s="2605">
        <v>168766</v>
      </c>
      <c r="H26" s="2606">
        <v>0.25</v>
      </c>
      <c r="I26" s="2605">
        <f t="shared" si="1"/>
        <v>42191.5</v>
      </c>
      <c r="J26" s="2607" t="s">
        <v>4672</v>
      </c>
      <c r="K26" s="2612" t="s">
        <v>904</v>
      </c>
      <c r="L26" s="2614"/>
      <c r="M26" s="2602">
        <v>1</v>
      </c>
      <c r="N26" s="2602">
        <v>1</v>
      </c>
      <c r="O26" s="2602">
        <f t="shared" si="2"/>
        <v>1</v>
      </c>
      <c r="P26" s="2615">
        <v>168766</v>
      </c>
      <c r="Q26" s="2641"/>
      <c r="R26" s="2638">
        <f t="shared" si="0"/>
        <v>168766</v>
      </c>
      <c r="S26" s="2606">
        <v>0.08</v>
      </c>
      <c r="T26" s="2605">
        <f t="shared" si="3"/>
        <v>13501.28</v>
      </c>
    </row>
    <row r="27" spans="1:21" s="403" customFormat="1" ht="33" customHeight="1">
      <c r="A27" s="2600">
        <v>24</v>
      </c>
      <c r="B27" s="2612" t="s">
        <v>881</v>
      </c>
      <c r="C27" s="2602">
        <v>1</v>
      </c>
      <c r="D27" s="2602">
        <v>1</v>
      </c>
      <c r="E27" s="2602">
        <v>1</v>
      </c>
      <c r="F27" s="2615">
        <v>287674</v>
      </c>
      <c r="G27" s="2605">
        <v>287674</v>
      </c>
      <c r="H27" s="2606">
        <v>0.25</v>
      </c>
      <c r="I27" s="2605">
        <f t="shared" si="1"/>
        <v>71918.5</v>
      </c>
      <c r="J27" s="2607" t="s">
        <v>4673</v>
      </c>
      <c r="K27" s="2612" t="s">
        <v>881</v>
      </c>
      <c r="L27" s="2614"/>
      <c r="M27" s="2602">
        <v>1</v>
      </c>
      <c r="N27" s="2602">
        <v>1</v>
      </c>
      <c r="O27" s="2602">
        <f t="shared" si="2"/>
        <v>1</v>
      </c>
      <c r="P27" s="2615">
        <v>287674</v>
      </c>
      <c r="Q27" s="2641"/>
      <c r="R27" s="2638">
        <f t="shared" si="0"/>
        <v>287674</v>
      </c>
      <c r="S27" s="2606">
        <v>0.08</v>
      </c>
      <c r="T27" s="2605">
        <f t="shared" si="3"/>
        <v>23013.920000000002</v>
      </c>
    </row>
    <row r="28" spans="1:21" s="403" customFormat="1" ht="27.75" customHeight="1">
      <c r="A28" s="2600">
        <v>25</v>
      </c>
      <c r="B28" s="2612" t="s">
        <v>885</v>
      </c>
      <c r="C28" s="2602">
        <v>1</v>
      </c>
      <c r="D28" s="2602">
        <v>1</v>
      </c>
      <c r="E28" s="2602">
        <v>1</v>
      </c>
      <c r="F28" s="2615">
        <v>275140</v>
      </c>
      <c r="G28" s="2605">
        <v>275140</v>
      </c>
      <c r="H28" s="2606">
        <v>0.25</v>
      </c>
      <c r="I28" s="2605">
        <f t="shared" si="1"/>
        <v>68785</v>
      </c>
      <c r="J28" s="2607" t="s">
        <v>4676</v>
      </c>
      <c r="K28" s="2612" t="s">
        <v>885</v>
      </c>
      <c r="L28" s="2614"/>
      <c r="M28" s="2602">
        <v>1</v>
      </c>
      <c r="N28" s="2602">
        <v>1</v>
      </c>
      <c r="O28" s="2602">
        <f t="shared" si="2"/>
        <v>1</v>
      </c>
      <c r="P28" s="2615">
        <v>275140</v>
      </c>
      <c r="Q28" s="2641"/>
      <c r="R28" s="2638">
        <f t="shared" si="0"/>
        <v>275140</v>
      </c>
      <c r="S28" s="2606">
        <v>0.08</v>
      </c>
      <c r="T28" s="2605">
        <f t="shared" si="3"/>
        <v>22011.200000000001</v>
      </c>
    </row>
    <row r="29" spans="1:21" s="403" customFormat="1" ht="28.5" customHeight="1">
      <c r="A29" s="2600">
        <v>26</v>
      </c>
      <c r="B29" s="2612" t="s">
        <v>884</v>
      </c>
      <c r="C29" s="2602">
        <v>1</v>
      </c>
      <c r="D29" s="2602">
        <v>1</v>
      </c>
      <c r="E29" s="2602">
        <v>1</v>
      </c>
      <c r="F29" s="2615">
        <v>550924</v>
      </c>
      <c r="G29" s="2605">
        <v>550924</v>
      </c>
      <c r="H29" s="2606">
        <v>0.25</v>
      </c>
      <c r="I29" s="2605">
        <f t="shared" si="1"/>
        <v>137731</v>
      </c>
      <c r="J29" s="2607" t="s">
        <v>4677</v>
      </c>
      <c r="K29" s="2612" t="s">
        <v>884</v>
      </c>
      <c r="L29" s="2614"/>
      <c r="M29" s="2602">
        <v>1</v>
      </c>
      <c r="N29" s="2602">
        <v>1</v>
      </c>
      <c r="O29" s="2602">
        <f t="shared" si="2"/>
        <v>1</v>
      </c>
      <c r="P29" s="2615">
        <v>550924</v>
      </c>
      <c r="Q29" s="2641"/>
      <c r="R29" s="2638">
        <f t="shared" si="0"/>
        <v>550924</v>
      </c>
      <c r="S29" s="2606">
        <v>0.08</v>
      </c>
      <c r="T29" s="2605">
        <f t="shared" si="3"/>
        <v>44073.919999999998</v>
      </c>
      <c r="U29" s="403" t="s">
        <v>4995</v>
      </c>
    </row>
    <row r="30" spans="1:21" s="403" customFormat="1" ht="29.25" customHeight="1">
      <c r="A30" s="2600">
        <v>27</v>
      </c>
      <c r="B30" s="2612" t="s">
        <v>902</v>
      </c>
      <c r="C30" s="2602">
        <v>1</v>
      </c>
      <c r="D30" s="2602">
        <v>1</v>
      </c>
      <c r="E30" s="2602">
        <v>1</v>
      </c>
      <c r="F30" s="2615">
        <v>617058</v>
      </c>
      <c r="G30" s="2605">
        <v>617058</v>
      </c>
      <c r="H30" s="2606">
        <v>0.25</v>
      </c>
      <c r="I30" s="2605">
        <f t="shared" si="1"/>
        <v>154264.5</v>
      </c>
      <c r="J30" s="2607" t="s">
        <v>4678</v>
      </c>
      <c r="K30" s="2612" t="s">
        <v>902</v>
      </c>
      <c r="L30" s="2614"/>
      <c r="M30" s="2602">
        <v>1</v>
      </c>
      <c r="N30" s="2602">
        <v>1</v>
      </c>
      <c r="O30" s="2602">
        <f t="shared" si="2"/>
        <v>1</v>
      </c>
      <c r="P30" s="2615">
        <v>617058</v>
      </c>
      <c r="Q30" s="2641"/>
      <c r="R30" s="2638">
        <f t="shared" si="0"/>
        <v>617058</v>
      </c>
      <c r="S30" s="2606">
        <v>0.08</v>
      </c>
      <c r="T30" s="2605">
        <f t="shared" si="3"/>
        <v>49364.639999999999</v>
      </c>
    </row>
    <row r="31" spans="1:21" s="403" customFormat="1" ht="43.5" customHeight="1">
      <c r="A31" s="2600">
        <v>28</v>
      </c>
      <c r="B31" s="2612" t="s">
        <v>4997</v>
      </c>
      <c r="C31" s="2602">
        <v>1</v>
      </c>
      <c r="D31" s="2602">
        <v>1</v>
      </c>
      <c r="E31" s="2602">
        <v>1</v>
      </c>
      <c r="F31" s="2615">
        <v>2174477</v>
      </c>
      <c r="G31" s="2605">
        <v>2174477</v>
      </c>
      <c r="H31" s="2606">
        <v>0.25</v>
      </c>
      <c r="I31" s="2605">
        <f t="shared" si="1"/>
        <v>543619.25</v>
      </c>
      <c r="J31" s="2607" t="s">
        <v>4680</v>
      </c>
      <c r="K31" s="2612" t="s">
        <v>4997</v>
      </c>
      <c r="L31" s="2614"/>
      <c r="M31" s="2602">
        <v>1</v>
      </c>
      <c r="N31" s="2602">
        <v>1</v>
      </c>
      <c r="O31" s="2602">
        <f t="shared" si="2"/>
        <v>1</v>
      </c>
      <c r="P31" s="2615">
        <v>2174477</v>
      </c>
      <c r="Q31" s="2641"/>
      <c r="R31" s="2638">
        <f t="shared" si="0"/>
        <v>2174477</v>
      </c>
      <c r="S31" s="2606">
        <v>0.08</v>
      </c>
      <c r="T31" s="2605">
        <f t="shared" si="3"/>
        <v>173958.16</v>
      </c>
    </row>
    <row r="32" spans="1:21" s="403" customFormat="1" ht="18" customHeight="1">
      <c r="A32" s="2600">
        <v>29</v>
      </c>
      <c r="B32" s="2612" t="s">
        <v>4998</v>
      </c>
      <c r="C32" s="2602">
        <v>1</v>
      </c>
      <c r="D32" s="2602">
        <v>1</v>
      </c>
      <c r="E32" s="2602">
        <f>C32*D32</f>
        <v>1</v>
      </c>
      <c r="F32" s="2615">
        <v>204831</v>
      </c>
      <c r="G32" s="2605">
        <f>F32*E32</f>
        <v>204831</v>
      </c>
      <c r="H32" s="2606">
        <v>0.25</v>
      </c>
      <c r="I32" s="2605">
        <f t="shared" si="1"/>
        <v>51207.75</v>
      </c>
      <c r="J32" s="2607" t="s">
        <v>4999</v>
      </c>
      <c r="K32" s="2612" t="s">
        <v>4998</v>
      </c>
      <c r="L32" s="2614"/>
      <c r="M32" s="2602">
        <v>1</v>
      </c>
      <c r="N32" s="2602">
        <v>1</v>
      </c>
      <c r="O32" s="2602">
        <f t="shared" si="2"/>
        <v>1</v>
      </c>
      <c r="P32" s="2615">
        <v>204831</v>
      </c>
      <c r="Q32" s="2641"/>
      <c r="R32" s="2638">
        <f t="shared" si="0"/>
        <v>204831</v>
      </c>
      <c r="S32" s="2606">
        <v>0.08</v>
      </c>
      <c r="T32" s="2605">
        <f t="shared" si="3"/>
        <v>16386.48</v>
      </c>
    </row>
    <row r="33" spans="1:20" s="403" customFormat="1" ht="51" customHeight="1">
      <c r="A33" s="2600">
        <v>30</v>
      </c>
      <c r="B33" s="2612" t="s">
        <v>4685</v>
      </c>
      <c r="C33" s="2602">
        <v>1</v>
      </c>
      <c r="D33" s="2602">
        <v>1</v>
      </c>
      <c r="E33" s="2602">
        <f>C33*D33</f>
        <v>1</v>
      </c>
      <c r="F33" s="2615">
        <v>95247</v>
      </c>
      <c r="G33" s="2605">
        <f>F33*E33</f>
        <v>95247</v>
      </c>
      <c r="H33" s="2606">
        <v>0.25</v>
      </c>
      <c r="I33" s="2605">
        <f t="shared" si="1"/>
        <v>23811.75</v>
      </c>
      <c r="J33" s="2607" t="s">
        <v>4684</v>
      </c>
      <c r="K33" s="2612" t="s">
        <v>4685</v>
      </c>
      <c r="L33" s="2614"/>
      <c r="M33" s="2602">
        <v>1</v>
      </c>
      <c r="N33" s="2602">
        <v>1</v>
      </c>
      <c r="O33" s="2602">
        <f t="shared" si="2"/>
        <v>1</v>
      </c>
      <c r="P33" s="2615">
        <v>95247</v>
      </c>
      <c r="Q33" s="2641"/>
      <c r="R33" s="2638">
        <f t="shared" si="0"/>
        <v>95247</v>
      </c>
      <c r="S33" s="2606">
        <v>0.08</v>
      </c>
      <c r="T33" s="2605">
        <f t="shared" si="3"/>
        <v>7619.76</v>
      </c>
    </row>
    <row r="34" spans="1:20" s="403" customFormat="1" ht="27.75" customHeight="1">
      <c r="A34" s="2600">
        <v>31</v>
      </c>
      <c r="B34" s="2612" t="s">
        <v>869</v>
      </c>
      <c r="C34" s="2602">
        <v>1</v>
      </c>
      <c r="D34" s="2602">
        <v>1</v>
      </c>
      <c r="E34" s="2602">
        <f>C34*D34</f>
        <v>1</v>
      </c>
      <c r="F34" s="2604">
        <v>29774</v>
      </c>
      <c r="G34" s="2605">
        <f>F34*E34</f>
        <v>29774</v>
      </c>
      <c r="H34" s="2606">
        <v>0.25</v>
      </c>
      <c r="I34" s="2605">
        <f t="shared" si="1"/>
        <v>7443.5</v>
      </c>
      <c r="J34" s="2607" t="s">
        <v>4688</v>
      </c>
      <c r="K34" s="2612" t="s">
        <v>869</v>
      </c>
      <c r="L34" s="2614"/>
      <c r="M34" s="2602">
        <v>1</v>
      </c>
      <c r="N34" s="2602">
        <v>1</v>
      </c>
      <c r="O34" s="2602">
        <f t="shared" si="2"/>
        <v>1</v>
      </c>
      <c r="P34" s="2604">
        <v>29774</v>
      </c>
      <c r="Q34" s="2641"/>
      <c r="R34" s="2638">
        <f t="shared" si="0"/>
        <v>29774</v>
      </c>
      <c r="S34" s="2606">
        <v>0.1</v>
      </c>
      <c r="T34" s="2605">
        <f t="shared" si="3"/>
        <v>2977.4</v>
      </c>
    </row>
    <row r="35" spans="1:20" s="403" customFormat="1" ht="32.25" customHeight="1">
      <c r="A35" s="2600">
        <v>32</v>
      </c>
      <c r="B35" s="2612" t="s">
        <v>719</v>
      </c>
      <c r="C35" s="2602">
        <v>1</v>
      </c>
      <c r="D35" s="2602">
        <v>1</v>
      </c>
      <c r="E35" s="2602">
        <v>1</v>
      </c>
      <c r="F35" s="2615">
        <v>866765</v>
      </c>
      <c r="G35" s="2605">
        <v>866765</v>
      </c>
      <c r="H35" s="2606">
        <v>0.25</v>
      </c>
      <c r="I35" s="2605">
        <f t="shared" si="1"/>
        <v>216691.25</v>
      </c>
      <c r="J35" s="2607" t="s">
        <v>4694</v>
      </c>
      <c r="K35" s="2612" t="s">
        <v>719</v>
      </c>
      <c r="L35" s="2614"/>
      <c r="M35" s="2602">
        <v>1</v>
      </c>
      <c r="N35" s="2602">
        <v>1</v>
      </c>
      <c r="O35" s="2602">
        <f t="shared" si="2"/>
        <v>1</v>
      </c>
      <c r="P35" s="2615">
        <v>866765</v>
      </c>
      <c r="Q35" s="2641"/>
      <c r="R35" s="2638">
        <f t="shared" si="0"/>
        <v>866765</v>
      </c>
      <c r="S35" s="2606">
        <v>0.08</v>
      </c>
      <c r="T35" s="2605">
        <f t="shared" si="3"/>
        <v>69341.2</v>
      </c>
    </row>
    <row r="36" spans="1:20" s="403" customFormat="1" ht="35.25" customHeight="1">
      <c r="A36" s="2600">
        <v>33</v>
      </c>
      <c r="B36" s="2612" t="s">
        <v>880</v>
      </c>
      <c r="C36" s="2602">
        <v>4</v>
      </c>
      <c r="D36" s="2602">
        <v>1</v>
      </c>
      <c r="E36" s="2602">
        <v>4</v>
      </c>
      <c r="F36" s="2615">
        <v>392321</v>
      </c>
      <c r="G36" s="2605">
        <v>1569284</v>
      </c>
      <c r="H36" s="2606">
        <v>0.25</v>
      </c>
      <c r="I36" s="2605">
        <f t="shared" si="1"/>
        <v>392321</v>
      </c>
      <c r="J36" s="2607" t="s">
        <v>4695</v>
      </c>
      <c r="K36" s="2612" t="s">
        <v>880</v>
      </c>
      <c r="L36" s="2614"/>
      <c r="M36" s="2602">
        <v>4</v>
      </c>
      <c r="N36" s="2602">
        <v>1</v>
      </c>
      <c r="O36" s="2602">
        <f t="shared" si="2"/>
        <v>4</v>
      </c>
      <c r="P36" s="2615">
        <v>392321</v>
      </c>
      <c r="Q36" s="2641"/>
      <c r="R36" s="2638">
        <f t="shared" si="0"/>
        <v>1569284</v>
      </c>
      <c r="S36" s="2606">
        <v>0.08</v>
      </c>
      <c r="T36" s="2605">
        <f t="shared" si="3"/>
        <v>125542.72</v>
      </c>
    </row>
    <row r="37" spans="1:20" s="403" customFormat="1" ht="31.5" customHeight="1">
      <c r="A37" s="2600">
        <v>34</v>
      </c>
      <c r="B37" s="2612" t="s">
        <v>718</v>
      </c>
      <c r="C37" s="2602">
        <v>1</v>
      </c>
      <c r="D37" s="2602">
        <v>1</v>
      </c>
      <c r="E37" s="2602">
        <v>1</v>
      </c>
      <c r="F37" s="2615">
        <v>732707</v>
      </c>
      <c r="G37" s="2605">
        <v>732707</v>
      </c>
      <c r="H37" s="2606">
        <v>0.25</v>
      </c>
      <c r="I37" s="2605">
        <f t="shared" si="1"/>
        <v>183176.75</v>
      </c>
      <c r="J37" s="2607" t="s">
        <v>4699</v>
      </c>
      <c r="K37" s="2612" t="s">
        <v>718</v>
      </c>
      <c r="L37" s="2614"/>
      <c r="M37" s="2602">
        <v>1</v>
      </c>
      <c r="N37" s="2602">
        <v>1</v>
      </c>
      <c r="O37" s="2602">
        <f t="shared" si="2"/>
        <v>1</v>
      </c>
      <c r="P37" s="2615">
        <v>732707</v>
      </c>
      <c r="Q37" s="2641"/>
      <c r="R37" s="2638">
        <f t="shared" si="0"/>
        <v>732707</v>
      </c>
      <c r="S37" s="2606">
        <v>0.08</v>
      </c>
      <c r="T37" s="2605">
        <f t="shared" si="3"/>
        <v>58616.56</v>
      </c>
    </row>
    <row r="38" spans="1:20" s="403" customFormat="1" ht="25.5">
      <c r="A38" s="2600">
        <v>35</v>
      </c>
      <c r="B38" s="2612" t="s">
        <v>5000</v>
      </c>
      <c r="C38" s="2602">
        <v>1</v>
      </c>
      <c r="D38" s="2602">
        <v>1</v>
      </c>
      <c r="E38" s="2602">
        <v>1</v>
      </c>
      <c r="F38" s="2615">
        <v>732707</v>
      </c>
      <c r="G38" s="2605">
        <v>732707</v>
      </c>
      <c r="H38" s="2606">
        <v>0.25</v>
      </c>
      <c r="I38" s="2605">
        <f t="shared" si="1"/>
        <v>183176.75</v>
      </c>
      <c r="J38" s="2607" t="s">
        <v>5001</v>
      </c>
      <c r="K38" s="2612" t="s">
        <v>5000</v>
      </c>
      <c r="L38" s="2614"/>
      <c r="M38" s="2602">
        <v>1</v>
      </c>
      <c r="N38" s="2602">
        <v>1</v>
      </c>
      <c r="O38" s="2602">
        <v>1</v>
      </c>
      <c r="P38" s="2615">
        <v>732707</v>
      </c>
      <c r="Q38" s="2641"/>
      <c r="R38" s="2638">
        <f t="shared" si="0"/>
        <v>732707</v>
      </c>
      <c r="S38" s="2606">
        <v>0.08</v>
      </c>
      <c r="T38" s="2605">
        <f t="shared" si="3"/>
        <v>58616.56</v>
      </c>
    </row>
    <row r="39" spans="1:20" s="403" customFormat="1" ht="27" customHeight="1">
      <c r="A39" s="2600">
        <v>36</v>
      </c>
      <c r="B39" s="2612" t="s">
        <v>717</v>
      </c>
      <c r="C39" s="2602">
        <v>1</v>
      </c>
      <c r="D39" s="2602">
        <v>1</v>
      </c>
      <c r="E39" s="2602">
        <v>1</v>
      </c>
      <c r="F39" s="2615">
        <v>732707</v>
      </c>
      <c r="G39" s="2605">
        <v>732707</v>
      </c>
      <c r="H39" s="2606">
        <v>0.25</v>
      </c>
      <c r="I39" s="2605">
        <f t="shared" si="1"/>
        <v>183176.75</v>
      </c>
      <c r="J39" s="2607" t="s">
        <v>4702</v>
      </c>
      <c r="K39" s="2612" t="s">
        <v>717</v>
      </c>
      <c r="L39" s="2614"/>
      <c r="M39" s="2602">
        <v>1</v>
      </c>
      <c r="N39" s="2602">
        <v>1</v>
      </c>
      <c r="O39" s="2602">
        <f t="shared" ref="O39:O54" si="4">M39*N39</f>
        <v>1</v>
      </c>
      <c r="P39" s="2615">
        <v>732707</v>
      </c>
      <c r="Q39" s="2641"/>
      <c r="R39" s="2638">
        <f t="shared" si="0"/>
        <v>732707</v>
      </c>
      <c r="S39" s="2606">
        <v>0.08</v>
      </c>
      <c r="T39" s="2605">
        <f t="shared" si="3"/>
        <v>58616.56</v>
      </c>
    </row>
    <row r="40" spans="1:20" s="403" customFormat="1" ht="31.5" customHeight="1">
      <c r="A40" s="2600">
        <v>37</v>
      </c>
      <c r="B40" s="2612" t="s">
        <v>5002</v>
      </c>
      <c r="C40" s="2602">
        <v>1</v>
      </c>
      <c r="D40" s="2602">
        <v>1</v>
      </c>
      <c r="E40" s="2602">
        <v>1</v>
      </c>
      <c r="F40" s="2615">
        <v>457362</v>
      </c>
      <c r="G40" s="2605">
        <v>457362</v>
      </c>
      <c r="H40" s="2606">
        <v>0.25</v>
      </c>
      <c r="I40" s="2605">
        <f t="shared" si="1"/>
        <v>114340.5</v>
      </c>
      <c r="J40" s="2607" t="s">
        <v>5003</v>
      </c>
      <c r="K40" s="2612" t="s">
        <v>5002</v>
      </c>
      <c r="L40" s="2614"/>
      <c r="M40" s="2602">
        <v>1</v>
      </c>
      <c r="N40" s="2602">
        <v>1</v>
      </c>
      <c r="O40" s="2602">
        <f t="shared" si="4"/>
        <v>1</v>
      </c>
      <c r="P40" s="2615">
        <v>457362</v>
      </c>
      <c r="Q40" s="2641"/>
      <c r="R40" s="2638">
        <f t="shared" si="0"/>
        <v>457362</v>
      </c>
      <c r="S40" s="2606">
        <v>0.08</v>
      </c>
      <c r="T40" s="2605">
        <f t="shared" si="3"/>
        <v>36588.959999999999</v>
      </c>
    </row>
    <row r="41" spans="1:20" s="403" customFormat="1" ht="44.25" customHeight="1">
      <c r="A41" s="2600">
        <v>38</v>
      </c>
      <c r="B41" s="2612" t="s">
        <v>4715</v>
      </c>
      <c r="C41" s="2602">
        <v>1</v>
      </c>
      <c r="D41" s="2602">
        <v>1</v>
      </c>
      <c r="E41" s="2602">
        <v>1</v>
      </c>
      <c r="F41" s="2615">
        <v>1123355</v>
      </c>
      <c r="G41" s="2605">
        <v>1123355</v>
      </c>
      <c r="H41" s="2606">
        <v>0.25</v>
      </c>
      <c r="I41" s="2605">
        <f t="shared" si="1"/>
        <v>280838.75</v>
      </c>
      <c r="J41" s="2607" t="s">
        <v>4714</v>
      </c>
      <c r="K41" s="2612" t="s">
        <v>4715</v>
      </c>
      <c r="L41" s="2614"/>
      <c r="M41" s="2602">
        <v>1</v>
      </c>
      <c r="N41" s="2602">
        <v>1</v>
      </c>
      <c r="O41" s="2602">
        <f t="shared" si="4"/>
        <v>1</v>
      </c>
      <c r="P41" s="2615">
        <v>1123355</v>
      </c>
      <c r="Q41" s="2641"/>
      <c r="R41" s="2638">
        <f t="shared" si="0"/>
        <v>1123355</v>
      </c>
      <c r="S41" s="2606">
        <v>0.08</v>
      </c>
      <c r="T41" s="2605">
        <f t="shared" si="3"/>
        <v>89868.400000000009</v>
      </c>
    </row>
    <row r="42" spans="1:20" s="403" customFormat="1" ht="48" customHeight="1">
      <c r="A42" s="2600">
        <v>39</v>
      </c>
      <c r="B42" s="2612" t="s">
        <v>4719</v>
      </c>
      <c r="C42" s="2602">
        <v>1</v>
      </c>
      <c r="D42" s="2602">
        <v>1</v>
      </c>
      <c r="E42" s="2602">
        <v>1</v>
      </c>
      <c r="F42" s="2615">
        <v>119223</v>
      </c>
      <c r="G42" s="2605">
        <v>119223</v>
      </c>
      <c r="H42" s="2606">
        <v>0.25</v>
      </c>
      <c r="I42" s="2605">
        <f t="shared" si="1"/>
        <v>29805.75</v>
      </c>
      <c r="J42" s="2607" t="s">
        <v>4718</v>
      </c>
      <c r="K42" s="2612" t="s">
        <v>4719</v>
      </c>
      <c r="L42" s="2614"/>
      <c r="M42" s="2602">
        <v>1</v>
      </c>
      <c r="N42" s="2602">
        <v>1</v>
      </c>
      <c r="O42" s="2602">
        <f t="shared" si="4"/>
        <v>1</v>
      </c>
      <c r="P42" s="2615">
        <v>119223</v>
      </c>
      <c r="Q42" s="2641"/>
      <c r="R42" s="2638">
        <f t="shared" si="0"/>
        <v>119223</v>
      </c>
      <c r="S42" s="2606">
        <v>0.08</v>
      </c>
      <c r="T42" s="2605">
        <f t="shared" si="3"/>
        <v>9537.84</v>
      </c>
    </row>
    <row r="43" spans="1:20" s="403" customFormat="1" ht="45" customHeight="1">
      <c r="A43" s="2600">
        <v>40</v>
      </c>
      <c r="B43" s="2612" t="s">
        <v>4732</v>
      </c>
      <c r="C43" s="2602">
        <v>1</v>
      </c>
      <c r="D43" s="2602">
        <v>1</v>
      </c>
      <c r="E43" s="2602">
        <v>1</v>
      </c>
      <c r="F43" s="2615">
        <v>43343</v>
      </c>
      <c r="G43" s="2605">
        <v>43343</v>
      </c>
      <c r="H43" s="2606">
        <v>0.25</v>
      </c>
      <c r="I43" s="2605">
        <f t="shared" si="1"/>
        <v>10835.75</v>
      </c>
      <c r="J43" s="2607" t="s">
        <v>4731</v>
      </c>
      <c r="K43" s="2612" t="s">
        <v>4732</v>
      </c>
      <c r="L43" s="2614"/>
      <c r="M43" s="2602">
        <v>1</v>
      </c>
      <c r="N43" s="2602">
        <v>1</v>
      </c>
      <c r="O43" s="2602">
        <f t="shared" si="4"/>
        <v>1</v>
      </c>
      <c r="P43" s="2615">
        <v>43343</v>
      </c>
      <c r="Q43" s="2641"/>
      <c r="R43" s="2638">
        <f t="shared" si="0"/>
        <v>43343</v>
      </c>
      <c r="S43" s="2606">
        <v>0.08</v>
      </c>
      <c r="T43" s="2605">
        <f t="shared" si="3"/>
        <v>3467.44</v>
      </c>
    </row>
    <row r="44" spans="1:20" s="403" customFormat="1" ht="32.25" customHeight="1">
      <c r="A44" s="2600">
        <v>41</v>
      </c>
      <c r="B44" s="2612" t="s">
        <v>893</v>
      </c>
      <c r="C44" s="2602">
        <v>1</v>
      </c>
      <c r="D44" s="2602">
        <v>1</v>
      </c>
      <c r="E44" s="2602">
        <v>1</v>
      </c>
      <c r="F44" s="2615">
        <v>227304</v>
      </c>
      <c r="G44" s="2605">
        <v>227304</v>
      </c>
      <c r="H44" s="2606">
        <v>0.25</v>
      </c>
      <c r="I44" s="2605">
        <f t="shared" si="1"/>
        <v>56826</v>
      </c>
      <c r="J44" s="2607" t="s">
        <v>4735</v>
      </c>
      <c r="K44" s="2612" t="s">
        <v>893</v>
      </c>
      <c r="L44" s="2614"/>
      <c r="M44" s="2602">
        <v>1</v>
      </c>
      <c r="N44" s="2602">
        <v>1</v>
      </c>
      <c r="O44" s="2602">
        <f t="shared" si="4"/>
        <v>1</v>
      </c>
      <c r="P44" s="2615">
        <v>227304</v>
      </c>
      <c r="Q44" s="2641"/>
      <c r="R44" s="2638">
        <f t="shared" si="0"/>
        <v>227304</v>
      </c>
      <c r="S44" s="2606">
        <v>0.08</v>
      </c>
      <c r="T44" s="2605">
        <f t="shared" si="3"/>
        <v>18184.32</v>
      </c>
    </row>
    <row r="45" spans="1:20" s="403" customFormat="1" ht="25.5">
      <c r="A45" s="2600">
        <v>42</v>
      </c>
      <c r="B45" s="2612" t="s">
        <v>874</v>
      </c>
      <c r="C45" s="2602">
        <v>1</v>
      </c>
      <c r="D45" s="2602">
        <v>1</v>
      </c>
      <c r="E45" s="2602">
        <v>1</v>
      </c>
      <c r="F45" s="2615">
        <v>194731</v>
      </c>
      <c r="G45" s="2605">
        <v>194731</v>
      </c>
      <c r="H45" s="2606">
        <v>0.25</v>
      </c>
      <c r="I45" s="2605">
        <f t="shared" si="1"/>
        <v>48682.75</v>
      </c>
      <c r="J45" s="2607" t="s">
        <v>4740</v>
      </c>
      <c r="K45" s="2612" t="s">
        <v>874</v>
      </c>
      <c r="L45" s="2618"/>
      <c r="M45" s="2602">
        <v>1</v>
      </c>
      <c r="N45" s="2602">
        <v>1</v>
      </c>
      <c r="O45" s="2602">
        <f t="shared" si="4"/>
        <v>1</v>
      </c>
      <c r="P45" s="2615">
        <v>194731</v>
      </c>
      <c r="Q45" s="2641"/>
      <c r="R45" s="2638">
        <f t="shared" si="0"/>
        <v>194731</v>
      </c>
      <c r="S45" s="2606">
        <v>0.08</v>
      </c>
      <c r="T45" s="2605">
        <f t="shared" si="3"/>
        <v>15578.48</v>
      </c>
    </row>
    <row r="46" spans="1:20" s="403" customFormat="1" ht="41.25" customHeight="1">
      <c r="A46" s="2600">
        <v>43</v>
      </c>
      <c r="B46" s="2612" t="s">
        <v>4634</v>
      </c>
      <c r="C46" s="2602">
        <v>1</v>
      </c>
      <c r="D46" s="2602">
        <v>1</v>
      </c>
      <c r="E46" s="2602">
        <v>1</v>
      </c>
      <c r="F46" s="2615">
        <v>43343</v>
      </c>
      <c r="G46" s="2605">
        <v>43343</v>
      </c>
      <c r="H46" s="2606">
        <v>0.25</v>
      </c>
      <c r="I46" s="2605">
        <f t="shared" si="1"/>
        <v>10835.75</v>
      </c>
      <c r="J46" s="2607" t="s">
        <v>4742</v>
      </c>
      <c r="K46" s="2612" t="s">
        <v>4634</v>
      </c>
      <c r="L46" s="2618"/>
      <c r="M46" s="2602">
        <v>1</v>
      </c>
      <c r="N46" s="2602">
        <v>1</v>
      </c>
      <c r="O46" s="2602">
        <f t="shared" si="4"/>
        <v>1</v>
      </c>
      <c r="P46" s="2615">
        <v>43343</v>
      </c>
      <c r="Q46" s="2641"/>
      <c r="R46" s="2638">
        <f t="shared" si="0"/>
        <v>43343</v>
      </c>
      <c r="S46" s="2606">
        <v>0.08</v>
      </c>
      <c r="T46" s="2605">
        <f t="shared" si="3"/>
        <v>3467.44</v>
      </c>
    </row>
    <row r="47" spans="1:20" s="403" customFormat="1" ht="38.25">
      <c r="A47" s="2600">
        <v>44</v>
      </c>
      <c r="B47" s="2612" t="s">
        <v>908</v>
      </c>
      <c r="C47" s="2602">
        <v>1</v>
      </c>
      <c r="D47" s="2602">
        <v>1</v>
      </c>
      <c r="E47" s="2602">
        <v>1</v>
      </c>
      <c r="F47" s="2615">
        <v>307646</v>
      </c>
      <c r="G47" s="2605">
        <v>307646</v>
      </c>
      <c r="H47" s="2606">
        <v>0.25</v>
      </c>
      <c r="I47" s="2605">
        <f t="shared" si="1"/>
        <v>76911.5</v>
      </c>
      <c r="J47" s="2607" t="s">
        <v>4745</v>
      </c>
      <c r="K47" s="2612" t="s">
        <v>908</v>
      </c>
      <c r="L47" s="2618"/>
      <c r="M47" s="2602">
        <v>1</v>
      </c>
      <c r="N47" s="2602">
        <v>1</v>
      </c>
      <c r="O47" s="2602">
        <f t="shared" si="4"/>
        <v>1</v>
      </c>
      <c r="P47" s="2615">
        <v>307646</v>
      </c>
      <c r="Q47" s="2641"/>
      <c r="R47" s="2638">
        <f t="shared" si="0"/>
        <v>307646</v>
      </c>
      <c r="S47" s="2606">
        <v>0.08</v>
      </c>
      <c r="T47" s="2605">
        <f t="shared" si="3"/>
        <v>24611.68</v>
      </c>
    </row>
    <row r="48" spans="1:20" s="403" customFormat="1" ht="22.5" customHeight="1">
      <c r="A48" s="2600">
        <v>45</v>
      </c>
      <c r="B48" s="2612" t="s">
        <v>894</v>
      </c>
      <c r="C48" s="2602">
        <v>1</v>
      </c>
      <c r="D48" s="2602">
        <v>1</v>
      </c>
      <c r="E48" s="2602">
        <v>1</v>
      </c>
      <c r="F48" s="2615">
        <v>294082</v>
      </c>
      <c r="G48" s="2605">
        <v>294082</v>
      </c>
      <c r="H48" s="2606">
        <v>0.25</v>
      </c>
      <c r="I48" s="2605">
        <f t="shared" si="1"/>
        <v>73520.5</v>
      </c>
      <c r="J48" s="2607" t="s">
        <v>4746</v>
      </c>
      <c r="K48" s="2612" t="s">
        <v>894</v>
      </c>
      <c r="L48" s="2618"/>
      <c r="M48" s="2602">
        <v>1</v>
      </c>
      <c r="N48" s="2602">
        <v>1</v>
      </c>
      <c r="O48" s="2602">
        <f t="shared" si="4"/>
        <v>1</v>
      </c>
      <c r="P48" s="2615">
        <v>294082</v>
      </c>
      <c r="Q48" s="2641"/>
      <c r="R48" s="2638">
        <f t="shared" si="0"/>
        <v>294082</v>
      </c>
      <c r="S48" s="2606">
        <v>0.08</v>
      </c>
      <c r="T48" s="2605">
        <f t="shared" si="3"/>
        <v>23526.560000000001</v>
      </c>
    </row>
    <row r="49" spans="1:20" s="403" customFormat="1" ht="30" customHeight="1">
      <c r="A49" s="2600">
        <v>46</v>
      </c>
      <c r="B49" s="2612" t="s">
        <v>905</v>
      </c>
      <c r="C49" s="2602">
        <v>1</v>
      </c>
      <c r="D49" s="2602">
        <v>1</v>
      </c>
      <c r="E49" s="2602">
        <v>1</v>
      </c>
      <c r="F49" s="2615">
        <v>165107</v>
      </c>
      <c r="G49" s="2605">
        <v>165107</v>
      </c>
      <c r="H49" s="2606">
        <v>0.25</v>
      </c>
      <c r="I49" s="2605">
        <f t="shared" si="1"/>
        <v>41276.75</v>
      </c>
      <c r="J49" s="2607" t="s">
        <v>4747</v>
      </c>
      <c r="K49" s="2612" t="s">
        <v>905</v>
      </c>
      <c r="L49" s="2618"/>
      <c r="M49" s="2602">
        <v>1</v>
      </c>
      <c r="N49" s="2602">
        <v>1</v>
      </c>
      <c r="O49" s="2602">
        <f t="shared" si="4"/>
        <v>1</v>
      </c>
      <c r="P49" s="2615">
        <v>165107</v>
      </c>
      <c r="Q49" s="2641"/>
      <c r="R49" s="2638">
        <f t="shared" si="0"/>
        <v>165107</v>
      </c>
      <c r="S49" s="2606">
        <v>0.08</v>
      </c>
      <c r="T49" s="2605">
        <f t="shared" si="3"/>
        <v>13208.56</v>
      </c>
    </row>
    <row r="50" spans="1:20" s="403" customFormat="1" ht="28.5" customHeight="1">
      <c r="A50" s="2600">
        <v>47</v>
      </c>
      <c r="B50" s="2612" t="s">
        <v>903</v>
      </c>
      <c r="C50" s="2602">
        <v>1</v>
      </c>
      <c r="D50" s="2602">
        <v>1</v>
      </c>
      <c r="E50" s="2602">
        <v>1</v>
      </c>
      <c r="F50" s="2615">
        <v>304984</v>
      </c>
      <c r="G50" s="2605">
        <v>304984</v>
      </c>
      <c r="H50" s="2606">
        <v>0.25</v>
      </c>
      <c r="I50" s="2605">
        <f t="shared" si="1"/>
        <v>76246</v>
      </c>
      <c r="J50" s="2607" t="s">
        <v>4751</v>
      </c>
      <c r="K50" s="2612" t="s">
        <v>903</v>
      </c>
      <c r="L50" s="2618"/>
      <c r="M50" s="2602">
        <v>1</v>
      </c>
      <c r="N50" s="2602">
        <v>1</v>
      </c>
      <c r="O50" s="2602">
        <f t="shared" si="4"/>
        <v>1</v>
      </c>
      <c r="P50" s="2615">
        <v>304984</v>
      </c>
      <c r="Q50" s="2641"/>
      <c r="R50" s="2638">
        <f t="shared" si="0"/>
        <v>304984</v>
      </c>
      <c r="S50" s="2606">
        <v>0.08</v>
      </c>
      <c r="T50" s="2605">
        <f t="shared" si="3"/>
        <v>24398.720000000001</v>
      </c>
    </row>
    <row r="51" spans="1:20" s="403" customFormat="1" ht="33" customHeight="1">
      <c r="A51" s="2600">
        <v>48</v>
      </c>
      <c r="B51" s="2612" t="s">
        <v>905</v>
      </c>
      <c r="C51" s="2602">
        <v>1</v>
      </c>
      <c r="D51" s="2602">
        <v>1</v>
      </c>
      <c r="E51" s="2602">
        <v>1</v>
      </c>
      <c r="F51" s="2615">
        <v>168766</v>
      </c>
      <c r="G51" s="2605">
        <v>168766</v>
      </c>
      <c r="H51" s="2606">
        <v>0.25</v>
      </c>
      <c r="I51" s="2605">
        <f t="shared" si="1"/>
        <v>42191.5</v>
      </c>
      <c r="J51" s="2607" t="s">
        <v>4752</v>
      </c>
      <c r="K51" s="2612" t="s">
        <v>905</v>
      </c>
      <c r="L51" s="2618"/>
      <c r="M51" s="2602">
        <v>1</v>
      </c>
      <c r="N51" s="2602">
        <v>1</v>
      </c>
      <c r="O51" s="2602">
        <f t="shared" si="4"/>
        <v>1</v>
      </c>
      <c r="P51" s="2615">
        <v>168766</v>
      </c>
      <c r="Q51" s="2641"/>
      <c r="R51" s="2638">
        <f t="shared" si="0"/>
        <v>168766</v>
      </c>
      <c r="S51" s="2606">
        <v>0.08</v>
      </c>
      <c r="T51" s="2605">
        <f t="shared" si="3"/>
        <v>13501.28</v>
      </c>
    </row>
    <row r="52" spans="1:20" s="403" customFormat="1" ht="42.75" customHeight="1">
      <c r="A52" s="2600">
        <v>49</v>
      </c>
      <c r="B52" s="2612" t="s">
        <v>4634</v>
      </c>
      <c r="C52" s="2602">
        <v>2</v>
      </c>
      <c r="D52" s="2602">
        <v>1</v>
      </c>
      <c r="E52" s="2602">
        <v>2</v>
      </c>
      <c r="F52" s="2615">
        <v>43343</v>
      </c>
      <c r="G52" s="2605">
        <v>86686</v>
      </c>
      <c r="H52" s="2606">
        <v>0.25</v>
      </c>
      <c r="I52" s="2605">
        <f t="shared" si="1"/>
        <v>21671.5</v>
      </c>
      <c r="J52" s="2607" t="s">
        <v>4753</v>
      </c>
      <c r="K52" s="2612" t="s">
        <v>4634</v>
      </c>
      <c r="L52" s="2618"/>
      <c r="M52" s="2602">
        <v>2</v>
      </c>
      <c r="N52" s="2602">
        <v>1</v>
      </c>
      <c r="O52" s="2602">
        <f t="shared" si="4"/>
        <v>2</v>
      </c>
      <c r="P52" s="2615">
        <v>43343</v>
      </c>
      <c r="Q52" s="2641"/>
      <c r="R52" s="2638">
        <f t="shared" si="0"/>
        <v>86686</v>
      </c>
      <c r="S52" s="2606">
        <v>0.08</v>
      </c>
      <c r="T52" s="2605">
        <f t="shared" si="3"/>
        <v>6934.88</v>
      </c>
    </row>
    <row r="53" spans="1:20" s="403" customFormat="1" ht="32.25" customHeight="1">
      <c r="A53" s="2600">
        <v>50</v>
      </c>
      <c r="B53" s="2612" t="s">
        <v>722</v>
      </c>
      <c r="C53" s="2602">
        <v>1</v>
      </c>
      <c r="D53" s="2602">
        <v>1</v>
      </c>
      <c r="E53" s="2602">
        <v>1</v>
      </c>
      <c r="F53" s="2615">
        <v>325223</v>
      </c>
      <c r="G53" s="2605">
        <v>325223</v>
      </c>
      <c r="H53" s="2606">
        <v>0.25</v>
      </c>
      <c r="I53" s="2605">
        <f t="shared" si="1"/>
        <v>81305.75</v>
      </c>
      <c r="J53" s="2607" t="s">
        <v>4754</v>
      </c>
      <c r="K53" s="2612" t="s">
        <v>722</v>
      </c>
      <c r="L53" s="2618"/>
      <c r="M53" s="2602">
        <v>1</v>
      </c>
      <c r="N53" s="2602">
        <v>1</v>
      </c>
      <c r="O53" s="2602">
        <f t="shared" si="4"/>
        <v>1</v>
      </c>
      <c r="P53" s="2615">
        <v>325223</v>
      </c>
      <c r="Q53" s="2641"/>
      <c r="R53" s="2638">
        <f t="shared" si="0"/>
        <v>325223</v>
      </c>
      <c r="S53" s="2606">
        <v>0.08</v>
      </c>
      <c r="T53" s="2605">
        <f t="shared" si="3"/>
        <v>26017.84</v>
      </c>
    </row>
    <row r="54" spans="1:20" s="403" customFormat="1" ht="44.25" customHeight="1">
      <c r="A54" s="2600">
        <v>51</v>
      </c>
      <c r="B54" s="2612" t="s">
        <v>4997</v>
      </c>
      <c r="C54" s="2602">
        <v>1</v>
      </c>
      <c r="D54" s="2602">
        <v>1</v>
      </c>
      <c r="E54" s="2602">
        <v>1</v>
      </c>
      <c r="F54" s="2615">
        <v>2174477</v>
      </c>
      <c r="G54" s="2605">
        <v>2174477</v>
      </c>
      <c r="H54" s="2606">
        <v>0.25</v>
      </c>
      <c r="I54" s="2605">
        <f t="shared" si="1"/>
        <v>543619.25</v>
      </c>
      <c r="J54" s="2607" t="s">
        <v>5004</v>
      </c>
      <c r="K54" s="2612" t="s">
        <v>4997</v>
      </c>
      <c r="L54" s="2618"/>
      <c r="M54" s="2602">
        <v>1</v>
      </c>
      <c r="N54" s="2602">
        <v>1</v>
      </c>
      <c r="O54" s="2602">
        <f t="shared" si="4"/>
        <v>1</v>
      </c>
      <c r="P54" s="2615">
        <v>2174477</v>
      </c>
      <c r="Q54" s="2641"/>
      <c r="R54" s="2638">
        <f t="shared" si="0"/>
        <v>2174477</v>
      </c>
      <c r="S54" s="2606">
        <v>0.08</v>
      </c>
      <c r="T54" s="2605">
        <f t="shared" si="3"/>
        <v>173958.16</v>
      </c>
    </row>
    <row r="55" spans="1:20" s="403" customFormat="1" ht="27.75" customHeight="1">
      <c r="A55" s="2600">
        <v>52</v>
      </c>
      <c r="B55" s="2612" t="s">
        <v>5005</v>
      </c>
      <c r="C55" s="2602">
        <v>1</v>
      </c>
      <c r="D55" s="2602">
        <v>1</v>
      </c>
      <c r="E55" s="2602">
        <v>1</v>
      </c>
      <c r="F55" s="2615">
        <v>204831</v>
      </c>
      <c r="G55" s="2605">
        <v>204831</v>
      </c>
      <c r="H55" s="2606">
        <v>0.25</v>
      </c>
      <c r="I55" s="2605">
        <f t="shared" si="1"/>
        <v>51207.75</v>
      </c>
      <c r="J55" s="2607" t="s">
        <v>5006</v>
      </c>
      <c r="K55" s="2612" t="s">
        <v>5005</v>
      </c>
      <c r="L55" s="2618"/>
      <c r="M55" s="2602">
        <v>1</v>
      </c>
      <c r="N55" s="2602">
        <v>1</v>
      </c>
      <c r="O55" s="2602">
        <v>1</v>
      </c>
      <c r="P55" s="2615">
        <v>204831</v>
      </c>
      <c r="Q55" s="2641"/>
      <c r="R55" s="2638">
        <f t="shared" si="0"/>
        <v>204831</v>
      </c>
      <c r="S55" s="2606">
        <v>0.08</v>
      </c>
      <c r="T55" s="2605">
        <f t="shared" si="3"/>
        <v>16386.48</v>
      </c>
    </row>
    <row r="56" spans="1:20" s="403" customFormat="1" ht="48.75" customHeight="1">
      <c r="A56" s="2600">
        <v>53</v>
      </c>
      <c r="B56" s="2612" t="s">
        <v>4685</v>
      </c>
      <c r="C56" s="2602">
        <v>1</v>
      </c>
      <c r="D56" s="2602">
        <v>1</v>
      </c>
      <c r="E56" s="2602">
        <f>C56*D56</f>
        <v>1</v>
      </c>
      <c r="F56" s="2615">
        <v>95247</v>
      </c>
      <c r="G56" s="2605">
        <f>F56*E56</f>
        <v>95247</v>
      </c>
      <c r="H56" s="2606">
        <v>0.25</v>
      </c>
      <c r="I56" s="2605">
        <f t="shared" si="1"/>
        <v>23811.75</v>
      </c>
      <c r="J56" s="2607" t="s">
        <v>4759</v>
      </c>
      <c r="K56" s="2612" t="s">
        <v>4685</v>
      </c>
      <c r="L56" s="2618"/>
      <c r="M56" s="2602">
        <v>1</v>
      </c>
      <c r="N56" s="2602">
        <v>1</v>
      </c>
      <c r="O56" s="2602">
        <f t="shared" ref="O56:O80" si="5">M56*N56</f>
        <v>1</v>
      </c>
      <c r="P56" s="2615">
        <v>95247</v>
      </c>
      <c r="Q56" s="2641"/>
      <c r="R56" s="2638">
        <f t="shared" si="0"/>
        <v>95247</v>
      </c>
      <c r="S56" s="2639">
        <v>0.08</v>
      </c>
      <c r="T56" s="2605">
        <f t="shared" si="3"/>
        <v>7619.76</v>
      </c>
    </row>
    <row r="57" spans="1:20" s="403" customFormat="1" ht="30.75" customHeight="1">
      <c r="A57" s="2600">
        <v>54</v>
      </c>
      <c r="B57" s="2612" t="s">
        <v>885</v>
      </c>
      <c r="C57" s="2602">
        <v>1</v>
      </c>
      <c r="D57" s="2602">
        <v>1</v>
      </c>
      <c r="E57" s="2602">
        <v>1</v>
      </c>
      <c r="F57" s="2615">
        <v>275140</v>
      </c>
      <c r="G57" s="2605">
        <v>275140</v>
      </c>
      <c r="H57" s="2606">
        <v>0.25</v>
      </c>
      <c r="I57" s="2605">
        <f t="shared" si="1"/>
        <v>68785</v>
      </c>
      <c r="J57" s="2607" t="s">
        <v>4764</v>
      </c>
      <c r="K57" s="2612" t="s">
        <v>885</v>
      </c>
      <c r="L57" s="2618"/>
      <c r="M57" s="2602">
        <v>1</v>
      </c>
      <c r="N57" s="2602">
        <v>1</v>
      </c>
      <c r="O57" s="2602">
        <f t="shared" si="5"/>
        <v>1</v>
      </c>
      <c r="P57" s="2615">
        <v>275140</v>
      </c>
      <c r="Q57" s="2641"/>
      <c r="R57" s="2638">
        <f t="shared" si="0"/>
        <v>275140</v>
      </c>
      <c r="S57" s="2606">
        <v>0.08</v>
      </c>
      <c r="T57" s="2605">
        <f t="shared" si="3"/>
        <v>22011.200000000001</v>
      </c>
    </row>
    <row r="58" spans="1:20" s="403" customFormat="1" ht="48.75" customHeight="1">
      <c r="A58" s="2600">
        <v>55</v>
      </c>
      <c r="B58" s="2612" t="s">
        <v>4766</v>
      </c>
      <c r="C58" s="2602">
        <v>3</v>
      </c>
      <c r="D58" s="2602">
        <v>1</v>
      </c>
      <c r="E58" s="2602">
        <v>3</v>
      </c>
      <c r="F58" s="2615">
        <v>1444729</v>
      </c>
      <c r="G58" s="2605">
        <v>4334187</v>
      </c>
      <c r="H58" s="2606">
        <v>0.25</v>
      </c>
      <c r="I58" s="2605">
        <f t="shared" si="1"/>
        <v>1083546.75</v>
      </c>
      <c r="J58" s="2607" t="s">
        <v>4765</v>
      </c>
      <c r="K58" s="2612" t="s">
        <v>4766</v>
      </c>
      <c r="L58" s="2618"/>
      <c r="M58" s="2602">
        <v>3</v>
      </c>
      <c r="N58" s="2602">
        <v>1</v>
      </c>
      <c r="O58" s="2602">
        <f t="shared" si="5"/>
        <v>3</v>
      </c>
      <c r="P58" s="2615">
        <v>1444729</v>
      </c>
      <c r="Q58" s="2641"/>
      <c r="R58" s="2638">
        <f t="shared" si="0"/>
        <v>4334187</v>
      </c>
      <c r="S58" s="2606">
        <v>0.08</v>
      </c>
      <c r="T58" s="2605">
        <f t="shared" si="3"/>
        <v>346734.96</v>
      </c>
    </row>
    <row r="59" spans="1:20" s="403" customFormat="1" ht="41.25" customHeight="1">
      <c r="A59" s="2600">
        <v>56</v>
      </c>
      <c r="B59" s="2612" t="s">
        <v>912</v>
      </c>
      <c r="C59" s="2602">
        <v>1</v>
      </c>
      <c r="D59" s="2602">
        <v>1</v>
      </c>
      <c r="E59" s="2602">
        <v>1</v>
      </c>
      <c r="F59" s="2615">
        <v>1359009</v>
      </c>
      <c r="G59" s="2605">
        <v>1359009</v>
      </c>
      <c r="H59" s="2606">
        <v>0.25</v>
      </c>
      <c r="I59" s="2605">
        <f t="shared" si="1"/>
        <v>339752.25</v>
      </c>
      <c r="J59" s="2607" t="s">
        <v>4767</v>
      </c>
      <c r="K59" s="2612" t="s">
        <v>912</v>
      </c>
      <c r="L59" s="2618"/>
      <c r="M59" s="2602">
        <v>1</v>
      </c>
      <c r="N59" s="2602">
        <v>1</v>
      </c>
      <c r="O59" s="2602">
        <f t="shared" si="5"/>
        <v>1</v>
      </c>
      <c r="P59" s="2615">
        <v>1359009</v>
      </c>
      <c r="Q59" s="2641"/>
      <c r="R59" s="2638">
        <f t="shared" si="0"/>
        <v>1359009</v>
      </c>
      <c r="S59" s="2606">
        <v>0.08</v>
      </c>
      <c r="T59" s="2605">
        <f t="shared" si="3"/>
        <v>108720.72</v>
      </c>
    </row>
    <row r="60" spans="1:20" s="403" customFormat="1" ht="30.75" customHeight="1">
      <c r="A60" s="2600">
        <v>57</v>
      </c>
      <c r="B60" s="2612" t="s">
        <v>911</v>
      </c>
      <c r="C60" s="2602">
        <v>5</v>
      </c>
      <c r="D60" s="2602">
        <v>1</v>
      </c>
      <c r="E60" s="2602">
        <v>5</v>
      </c>
      <c r="F60" s="2615">
        <v>1013556</v>
      </c>
      <c r="G60" s="2605">
        <v>5067780</v>
      </c>
      <c r="H60" s="2606">
        <v>0.25</v>
      </c>
      <c r="I60" s="2605">
        <f t="shared" si="1"/>
        <v>1266945</v>
      </c>
      <c r="J60" s="2607" t="s">
        <v>4770</v>
      </c>
      <c r="K60" s="2612" t="s">
        <v>911</v>
      </c>
      <c r="L60" s="2618"/>
      <c r="M60" s="2602">
        <v>5</v>
      </c>
      <c r="N60" s="2602">
        <v>1</v>
      </c>
      <c r="O60" s="2602">
        <f t="shared" si="5"/>
        <v>5</v>
      </c>
      <c r="P60" s="2615">
        <v>1013556</v>
      </c>
      <c r="Q60" s="2641"/>
      <c r="R60" s="2638">
        <f t="shared" si="0"/>
        <v>5067780</v>
      </c>
      <c r="S60" s="2606">
        <v>0.08</v>
      </c>
      <c r="T60" s="2605">
        <f t="shared" si="3"/>
        <v>405422.4</v>
      </c>
    </row>
    <row r="61" spans="1:20" s="403" customFormat="1" ht="36" customHeight="1">
      <c r="A61" s="2600">
        <v>58</v>
      </c>
      <c r="B61" s="2612" t="s">
        <v>873</v>
      </c>
      <c r="C61" s="2602">
        <v>2</v>
      </c>
      <c r="D61" s="2602">
        <v>1</v>
      </c>
      <c r="E61" s="2602">
        <v>2</v>
      </c>
      <c r="F61" s="2615">
        <v>287725</v>
      </c>
      <c r="G61" s="2605">
        <v>575450</v>
      </c>
      <c r="H61" s="2606">
        <v>0.25</v>
      </c>
      <c r="I61" s="2605">
        <f t="shared" si="1"/>
        <v>143862.5</v>
      </c>
      <c r="J61" s="2607" t="s">
        <v>4771</v>
      </c>
      <c r="K61" s="2612" t="s">
        <v>873</v>
      </c>
      <c r="L61" s="2618"/>
      <c r="M61" s="2602">
        <v>2</v>
      </c>
      <c r="N61" s="2602">
        <v>1</v>
      </c>
      <c r="O61" s="2602">
        <f t="shared" si="5"/>
        <v>2</v>
      </c>
      <c r="P61" s="2615">
        <v>287725</v>
      </c>
      <c r="Q61" s="2641"/>
      <c r="R61" s="2638">
        <f t="shared" si="0"/>
        <v>575450</v>
      </c>
      <c r="S61" s="2606">
        <v>0.08</v>
      </c>
      <c r="T61" s="2605">
        <f t="shared" si="3"/>
        <v>46036</v>
      </c>
    </row>
    <row r="62" spans="1:20" s="403" customFormat="1" ht="36.75" customHeight="1">
      <c r="A62" s="2600">
        <v>59</v>
      </c>
      <c r="B62" s="2612" t="s">
        <v>773</v>
      </c>
      <c r="C62" s="2602">
        <v>1</v>
      </c>
      <c r="D62" s="2602">
        <v>1</v>
      </c>
      <c r="E62" s="2602">
        <f>C62*D62</f>
        <v>1</v>
      </c>
      <c r="F62" s="2615">
        <v>603530</v>
      </c>
      <c r="G62" s="2605">
        <f>F62*E62</f>
        <v>603530</v>
      </c>
      <c r="H62" s="2606">
        <v>0.25</v>
      </c>
      <c r="I62" s="2605">
        <f t="shared" si="1"/>
        <v>150882.5</v>
      </c>
      <c r="J62" s="2607" t="s">
        <v>4773</v>
      </c>
      <c r="K62" s="2612" t="s">
        <v>773</v>
      </c>
      <c r="L62" s="2618"/>
      <c r="M62" s="2602">
        <v>1</v>
      </c>
      <c r="N62" s="2602">
        <v>1</v>
      </c>
      <c r="O62" s="2602">
        <f t="shared" si="5"/>
        <v>1</v>
      </c>
      <c r="P62" s="2615">
        <v>603530</v>
      </c>
      <c r="Q62" s="2641"/>
      <c r="R62" s="2638">
        <f t="shared" si="0"/>
        <v>603530</v>
      </c>
      <c r="S62" s="2606">
        <v>0.08</v>
      </c>
      <c r="T62" s="2605">
        <f t="shared" si="3"/>
        <v>48282.400000000001</v>
      </c>
    </row>
    <row r="63" spans="1:20" s="403" customFormat="1" ht="41.25" customHeight="1">
      <c r="A63" s="2600">
        <v>60</v>
      </c>
      <c r="B63" s="2612" t="s">
        <v>4777</v>
      </c>
      <c r="C63" s="2602">
        <v>2</v>
      </c>
      <c r="D63" s="2602">
        <v>1</v>
      </c>
      <c r="E63" s="2602">
        <f>C63*D63</f>
        <v>2</v>
      </c>
      <c r="F63" s="2615">
        <v>519140</v>
      </c>
      <c r="G63" s="2605">
        <f>F63*E63</f>
        <v>1038280</v>
      </c>
      <c r="H63" s="2606">
        <v>0.25</v>
      </c>
      <c r="I63" s="2605">
        <f t="shared" si="1"/>
        <v>259570</v>
      </c>
      <c r="J63" s="2607" t="s">
        <v>4776</v>
      </c>
      <c r="K63" s="2612" t="s">
        <v>4777</v>
      </c>
      <c r="L63" s="2618"/>
      <c r="M63" s="2602">
        <v>2</v>
      </c>
      <c r="N63" s="2602">
        <v>1</v>
      </c>
      <c r="O63" s="2602">
        <f t="shared" si="5"/>
        <v>2</v>
      </c>
      <c r="P63" s="2615">
        <v>519140</v>
      </c>
      <c r="Q63" s="2641"/>
      <c r="R63" s="2638">
        <f t="shared" si="0"/>
        <v>1038280</v>
      </c>
      <c r="S63" s="2606">
        <v>0.08</v>
      </c>
      <c r="T63" s="2605">
        <f t="shared" si="3"/>
        <v>83062.400000000009</v>
      </c>
    </row>
    <row r="64" spans="1:20" s="403" customFormat="1" ht="33.75" customHeight="1">
      <c r="A64" s="2600">
        <v>61</v>
      </c>
      <c r="B64" s="2620" t="s">
        <v>905</v>
      </c>
      <c r="C64" s="2602">
        <v>1</v>
      </c>
      <c r="D64" s="2602">
        <v>1</v>
      </c>
      <c r="E64" s="2602">
        <f>C64*D64</f>
        <v>1</v>
      </c>
      <c r="F64" s="2621">
        <v>168766</v>
      </c>
      <c r="G64" s="2622">
        <f>F64*E64</f>
        <v>168766</v>
      </c>
      <c r="H64" s="2606">
        <v>0.25</v>
      </c>
      <c r="I64" s="2605">
        <f t="shared" si="1"/>
        <v>42191.5</v>
      </c>
      <c r="J64" s="2607" t="s">
        <v>4786</v>
      </c>
      <c r="K64" s="2620" t="s">
        <v>905</v>
      </c>
      <c r="L64" s="2612"/>
      <c r="M64" s="2602">
        <v>1</v>
      </c>
      <c r="N64" s="2602">
        <v>1</v>
      </c>
      <c r="O64" s="2602">
        <f t="shared" si="5"/>
        <v>1</v>
      </c>
      <c r="P64" s="2621">
        <v>168766</v>
      </c>
      <c r="Q64" s="2641"/>
      <c r="R64" s="2642">
        <f t="shared" si="0"/>
        <v>168766</v>
      </c>
      <c r="S64" s="2606">
        <v>0.08</v>
      </c>
      <c r="T64" s="2605">
        <f t="shared" si="3"/>
        <v>13501.28</v>
      </c>
    </row>
    <row r="65" spans="1:20" s="403" customFormat="1" ht="33.75" customHeight="1">
      <c r="A65" s="2600">
        <v>62</v>
      </c>
      <c r="B65" s="2620" t="s">
        <v>4789</v>
      </c>
      <c r="C65" s="2602">
        <v>2</v>
      </c>
      <c r="D65" s="2602">
        <v>1</v>
      </c>
      <c r="E65" s="2602">
        <v>2</v>
      </c>
      <c r="F65" s="2621">
        <v>304984</v>
      </c>
      <c r="G65" s="2622">
        <v>609968</v>
      </c>
      <c r="H65" s="2606">
        <v>0.25</v>
      </c>
      <c r="I65" s="2605">
        <f t="shared" si="1"/>
        <v>152492</v>
      </c>
      <c r="J65" s="2607" t="s">
        <v>4788</v>
      </c>
      <c r="K65" s="2620" t="s">
        <v>4789</v>
      </c>
      <c r="L65" s="2612"/>
      <c r="M65" s="2602">
        <v>2</v>
      </c>
      <c r="N65" s="2602">
        <v>1</v>
      </c>
      <c r="O65" s="2602">
        <f t="shared" si="5"/>
        <v>2</v>
      </c>
      <c r="P65" s="2621">
        <v>304984</v>
      </c>
      <c r="Q65" s="2641"/>
      <c r="R65" s="2642">
        <f t="shared" si="0"/>
        <v>609968</v>
      </c>
      <c r="S65" s="2606">
        <v>0.08</v>
      </c>
      <c r="T65" s="2605">
        <f t="shared" si="3"/>
        <v>48797.440000000002</v>
      </c>
    </row>
    <row r="66" spans="1:20" s="403" customFormat="1" ht="40.5" customHeight="1">
      <c r="A66" s="2600">
        <v>63</v>
      </c>
      <c r="B66" s="2620" t="s">
        <v>4653</v>
      </c>
      <c r="C66" s="2602">
        <v>3</v>
      </c>
      <c r="D66" s="2602">
        <v>1</v>
      </c>
      <c r="E66" s="2602">
        <v>3</v>
      </c>
      <c r="F66" s="2621">
        <v>43343</v>
      </c>
      <c r="G66" s="2622">
        <v>130029</v>
      </c>
      <c r="H66" s="2606">
        <v>0.25</v>
      </c>
      <c r="I66" s="2605">
        <f t="shared" si="1"/>
        <v>32507.25</v>
      </c>
      <c r="J66" s="2607" t="s">
        <v>4790</v>
      </c>
      <c r="K66" s="2620" t="s">
        <v>4653</v>
      </c>
      <c r="L66" s="2612"/>
      <c r="M66" s="2602">
        <v>3</v>
      </c>
      <c r="N66" s="2602">
        <v>1</v>
      </c>
      <c r="O66" s="2602">
        <f t="shared" si="5"/>
        <v>3</v>
      </c>
      <c r="P66" s="2621">
        <v>43343</v>
      </c>
      <c r="Q66" s="2641"/>
      <c r="R66" s="2642">
        <f t="shared" si="0"/>
        <v>130029</v>
      </c>
      <c r="S66" s="2606">
        <v>0.08</v>
      </c>
      <c r="T66" s="2605">
        <f t="shared" si="3"/>
        <v>10402.32</v>
      </c>
    </row>
    <row r="67" spans="1:20" s="403" customFormat="1" ht="20.25" customHeight="1">
      <c r="A67" s="2600">
        <v>64</v>
      </c>
      <c r="B67" s="2612" t="s">
        <v>5007</v>
      </c>
      <c r="C67" s="2602">
        <v>2</v>
      </c>
      <c r="D67" s="2602">
        <v>1</v>
      </c>
      <c r="E67" s="2602">
        <f>C67*D67</f>
        <v>2</v>
      </c>
      <c r="F67" s="2615">
        <v>29900</v>
      </c>
      <c r="G67" s="2605">
        <f>F67*E67</f>
        <v>59800</v>
      </c>
      <c r="H67" s="2606">
        <v>0.25</v>
      </c>
      <c r="I67" s="2605">
        <f t="shared" si="1"/>
        <v>14950</v>
      </c>
      <c r="J67" s="2607" t="s">
        <v>5008</v>
      </c>
      <c r="K67" s="2612" t="s">
        <v>5007</v>
      </c>
      <c r="L67" s="2618"/>
      <c r="M67" s="2602">
        <v>2</v>
      </c>
      <c r="N67" s="2602">
        <v>1</v>
      </c>
      <c r="O67" s="2602">
        <f t="shared" si="5"/>
        <v>2</v>
      </c>
      <c r="P67" s="2615">
        <v>29900</v>
      </c>
      <c r="Q67" s="2641"/>
      <c r="R67" s="2638">
        <f t="shared" si="0"/>
        <v>59800</v>
      </c>
      <c r="S67" s="2606">
        <v>0.08</v>
      </c>
      <c r="T67" s="2605">
        <f t="shared" si="3"/>
        <v>4784</v>
      </c>
    </row>
    <row r="68" spans="1:20" s="403" customFormat="1" ht="45.75" customHeight="1">
      <c r="A68" s="2600">
        <v>65</v>
      </c>
      <c r="B68" s="2633" t="s">
        <v>4796</v>
      </c>
      <c r="C68" s="2602">
        <v>2</v>
      </c>
      <c r="D68" s="2602">
        <v>1</v>
      </c>
      <c r="E68" s="2602">
        <v>2</v>
      </c>
      <c r="F68" s="2615">
        <v>194962</v>
      </c>
      <c r="G68" s="2605">
        <v>389924</v>
      </c>
      <c r="H68" s="2606">
        <v>0.25</v>
      </c>
      <c r="I68" s="2605">
        <f t="shared" si="1"/>
        <v>97481</v>
      </c>
      <c r="J68" s="2607" t="s">
        <v>4795</v>
      </c>
      <c r="K68" s="2633" t="s">
        <v>4796</v>
      </c>
      <c r="L68" s="2618"/>
      <c r="M68" s="2602">
        <v>2</v>
      </c>
      <c r="N68" s="2602">
        <v>1</v>
      </c>
      <c r="O68" s="2602">
        <f t="shared" si="5"/>
        <v>2</v>
      </c>
      <c r="P68" s="2615">
        <v>194962</v>
      </c>
      <c r="Q68" s="2641"/>
      <c r="R68" s="2638">
        <f t="shared" ref="R68:R80" si="6">P68*O68</f>
        <v>389924</v>
      </c>
      <c r="S68" s="2606">
        <v>0.08</v>
      </c>
      <c r="T68" s="2605">
        <f t="shared" si="3"/>
        <v>31193.920000000002</v>
      </c>
    </row>
    <row r="69" spans="1:20" s="403" customFormat="1" ht="56.25" customHeight="1">
      <c r="A69" s="2600">
        <v>66</v>
      </c>
      <c r="B69" s="2633" t="s">
        <v>4798</v>
      </c>
      <c r="C69" s="2602">
        <v>2</v>
      </c>
      <c r="D69" s="2602">
        <v>1</v>
      </c>
      <c r="E69" s="2602">
        <v>2</v>
      </c>
      <c r="F69" s="2615">
        <v>312448</v>
      </c>
      <c r="G69" s="2605">
        <v>624896</v>
      </c>
      <c r="H69" s="2606">
        <v>0.25</v>
      </c>
      <c r="I69" s="2605">
        <f t="shared" ref="I69:I83" si="7">G69*H69</f>
        <v>156224</v>
      </c>
      <c r="J69" s="2607" t="s">
        <v>4797</v>
      </c>
      <c r="K69" s="2633" t="s">
        <v>4798</v>
      </c>
      <c r="L69" s="2618"/>
      <c r="M69" s="2602">
        <v>2</v>
      </c>
      <c r="N69" s="2602">
        <v>1</v>
      </c>
      <c r="O69" s="2602">
        <f t="shared" si="5"/>
        <v>2</v>
      </c>
      <c r="P69" s="2615">
        <v>312448</v>
      </c>
      <c r="Q69" s="2641"/>
      <c r="R69" s="2638">
        <f t="shared" si="6"/>
        <v>624896</v>
      </c>
      <c r="S69" s="2606">
        <v>0.08</v>
      </c>
      <c r="T69" s="2605">
        <f t="shared" si="3"/>
        <v>49991.68</v>
      </c>
    </row>
    <row r="70" spans="1:20" s="403" customFormat="1" ht="40.5" customHeight="1">
      <c r="A70" s="2600">
        <v>67</v>
      </c>
      <c r="B70" s="2612" t="s">
        <v>4800</v>
      </c>
      <c r="C70" s="2602">
        <v>2</v>
      </c>
      <c r="D70" s="2602">
        <v>1</v>
      </c>
      <c r="E70" s="2602">
        <v>2</v>
      </c>
      <c r="F70" s="2615">
        <v>342591</v>
      </c>
      <c r="G70" s="2605">
        <v>685182</v>
      </c>
      <c r="H70" s="2606">
        <v>0.25</v>
      </c>
      <c r="I70" s="2605">
        <f t="shared" si="7"/>
        <v>171295.5</v>
      </c>
      <c r="J70" s="2607" t="s">
        <v>4799</v>
      </c>
      <c r="K70" s="2612" t="s">
        <v>4800</v>
      </c>
      <c r="L70" s="2618"/>
      <c r="M70" s="2602">
        <v>2</v>
      </c>
      <c r="N70" s="2602">
        <v>1</v>
      </c>
      <c r="O70" s="2602">
        <f t="shared" si="5"/>
        <v>2</v>
      </c>
      <c r="P70" s="2615">
        <v>342591</v>
      </c>
      <c r="Q70" s="2641"/>
      <c r="R70" s="2638">
        <f t="shared" si="6"/>
        <v>685182</v>
      </c>
      <c r="S70" s="2606">
        <v>0.08</v>
      </c>
      <c r="T70" s="2605">
        <f t="shared" ref="T70:T85" si="8">G70*S70</f>
        <v>54814.559999999998</v>
      </c>
    </row>
    <row r="71" spans="1:20" s="403" customFormat="1" ht="14.25" customHeight="1">
      <c r="A71" s="2600">
        <v>68</v>
      </c>
      <c r="B71" s="2633" t="s">
        <v>4584</v>
      </c>
      <c r="C71" s="2602">
        <v>1</v>
      </c>
      <c r="D71" s="2602">
        <v>1</v>
      </c>
      <c r="E71" s="2602">
        <f>C71*D71</f>
        <v>1</v>
      </c>
      <c r="F71" s="2615">
        <v>63250</v>
      </c>
      <c r="G71" s="2605">
        <f>F71*E71</f>
        <v>63250</v>
      </c>
      <c r="H71" s="2606">
        <v>0.25</v>
      </c>
      <c r="I71" s="2605">
        <f t="shared" si="7"/>
        <v>15812.5</v>
      </c>
      <c r="J71" s="2607" t="s">
        <v>4815</v>
      </c>
      <c r="K71" s="2633" t="s">
        <v>4584</v>
      </c>
      <c r="L71" s="2618"/>
      <c r="M71" s="2602">
        <v>1</v>
      </c>
      <c r="N71" s="2602">
        <v>1</v>
      </c>
      <c r="O71" s="2602">
        <f t="shared" si="5"/>
        <v>1</v>
      </c>
      <c r="P71" s="2615">
        <v>63250</v>
      </c>
      <c r="Q71" s="2641"/>
      <c r="R71" s="2638">
        <f t="shared" si="6"/>
        <v>63250</v>
      </c>
      <c r="S71" s="2606">
        <v>0.08</v>
      </c>
      <c r="T71" s="2605">
        <f t="shared" si="8"/>
        <v>5060</v>
      </c>
    </row>
    <row r="72" spans="1:20" s="403" customFormat="1" ht="38.25">
      <c r="A72" s="2600">
        <v>69</v>
      </c>
      <c r="B72" s="2633" t="s">
        <v>947</v>
      </c>
      <c r="C72" s="2602">
        <v>1</v>
      </c>
      <c r="D72" s="2602">
        <v>1</v>
      </c>
      <c r="E72" s="2602">
        <v>1</v>
      </c>
      <c r="F72" s="2615">
        <v>307646</v>
      </c>
      <c r="G72" s="2605">
        <v>307646</v>
      </c>
      <c r="H72" s="2606">
        <v>0.25</v>
      </c>
      <c r="I72" s="2605">
        <f t="shared" si="7"/>
        <v>76911.5</v>
      </c>
      <c r="J72" s="1474" t="s">
        <v>4848</v>
      </c>
      <c r="K72" s="2633" t="s">
        <v>947</v>
      </c>
      <c r="L72" s="2618"/>
      <c r="M72" s="2602">
        <v>1</v>
      </c>
      <c r="N72" s="2602">
        <v>1</v>
      </c>
      <c r="O72" s="2602">
        <f t="shared" si="5"/>
        <v>1</v>
      </c>
      <c r="P72" s="2615">
        <v>307646</v>
      </c>
      <c r="Q72" s="2641"/>
      <c r="R72" s="2638">
        <f t="shared" si="6"/>
        <v>307646</v>
      </c>
      <c r="S72" s="2606">
        <v>0.08</v>
      </c>
      <c r="T72" s="2605">
        <f t="shared" si="8"/>
        <v>24611.68</v>
      </c>
    </row>
    <row r="73" spans="1:20" s="403" customFormat="1" ht="29.25" customHeight="1">
      <c r="A73" s="2600">
        <v>70</v>
      </c>
      <c r="B73" s="2633" t="s">
        <v>952</v>
      </c>
      <c r="C73" s="2602">
        <v>1</v>
      </c>
      <c r="D73" s="2602">
        <v>1</v>
      </c>
      <c r="E73" s="2602">
        <v>1</v>
      </c>
      <c r="F73" s="2615">
        <v>874716</v>
      </c>
      <c r="G73" s="2605">
        <v>874716</v>
      </c>
      <c r="H73" s="2606">
        <v>0.25</v>
      </c>
      <c r="I73" s="2605">
        <f t="shared" si="7"/>
        <v>218679</v>
      </c>
      <c r="J73" s="1474" t="s">
        <v>4849</v>
      </c>
      <c r="K73" s="2633" t="s">
        <v>952</v>
      </c>
      <c r="L73" s="2618"/>
      <c r="M73" s="2602">
        <v>1</v>
      </c>
      <c r="N73" s="2602">
        <v>1</v>
      </c>
      <c r="O73" s="2602">
        <f t="shared" si="5"/>
        <v>1</v>
      </c>
      <c r="P73" s="2615">
        <v>874716</v>
      </c>
      <c r="Q73" s="2641"/>
      <c r="R73" s="2638">
        <f t="shared" si="6"/>
        <v>874716</v>
      </c>
      <c r="S73" s="2606">
        <v>0.08</v>
      </c>
      <c r="T73" s="2605">
        <f t="shared" si="8"/>
        <v>69977.279999999999</v>
      </c>
    </row>
    <row r="74" spans="1:20" s="403" customFormat="1" ht="30" customHeight="1">
      <c r="A74" s="2600">
        <v>71</v>
      </c>
      <c r="B74" s="2633" t="s">
        <v>958</v>
      </c>
      <c r="C74" s="2602">
        <v>1</v>
      </c>
      <c r="D74" s="2602">
        <v>1</v>
      </c>
      <c r="E74" s="2602">
        <v>1</v>
      </c>
      <c r="F74" s="2615">
        <v>577958</v>
      </c>
      <c r="G74" s="2605">
        <v>577958</v>
      </c>
      <c r="H74" s="2606">
        <v>0.25</v>
      </c>
      <c r="I74" s="2605">
        <f t="shared" si="7"/>
        <v>144489.5</v>
      </c>
      <c r="J74" s="1474" t="s">
        <v>4850</v>
      </c>
      <c r="K74" s="2633" t="s">
        <v>958</v>
      </c>
      <c r="L74" s="2618"/>
      <c r="M74" s="2602">
        <v>1</v>
      </c>
      <c r="N74" s="2602">
        <v>1</v>
      </c>
      <c r="O74" s="2602">
        <f t="shared" si="5"/>
        <v>1</v>
      </c>
      <c r="P74" s="2615">
        <v>577958</v>
      </c>
      <c r="Q74" s="2641"/>
      <c r="R74" s="2638">
        <f t="shared" si="6"/>
        <v>577958</v>
      </c>
      <c r="S74" s="2606">
        <v>0.08</v>
      </c>
      <c r="T74" s="2605">
        <f t="shared" si="8"/>
        <v>46236.639999999999</v>
      </c>
    </row>
    <row r="75" spans="1:20" s="403" customFormat="1" ht="42.75" customHeight="1">
      <c r="A75" s="2600">
        <v>72</v>
      </c>
      <c r="B75" s="2633" t="s">
        <v>4852</v>
      </c>
      <c r="C75" s="2602">
        <v>1</v>
      </c>
      <c r="D75" s="2602">
        <v>1</v>
      </c>
      <c r="E75" s="2602">
        <v>1</v>
      </c>
      <c r="F75" s="2615">
        <v>585360</v>
      </c>
      <c r="G75" s="2605">
        <v>585360</v>
      </c>
      <c r="H75" s="2606">
        <v>0.25</v>
      </c>
      <c r="I75" s="2605">
        <f t="shared" si="7"/>
        <v>146340</v>
      </c>
      <c r="J75" s="1474" t="s">
        <v>4851</v>
      </c>
      <c r="K75" s="2633" t="s">
        <v>4852</v>
      </c>
      <c r="L75" s="2618"/>
      <c r="M75" s="2602">
        <v>1</v>
      </c>
      <c r="N75" s="2602">
        <v>1</v>
      </c>
      <c r="O75" s="2602">
        <f t="shared" si="5"/>
        <v>1</v>
      </c>
      <c r="P75" s="2615">
        <v>585360</v>
      </c>
      <c r="Q75" s="2641"/>
      <c r="R75" s="2638">
        <f t="shared" si="6"/>
        <v>585360</v>
      </c>
      <c r="S75" s="2606">
        <v>0.08</v>
      </c>
      <c r="T75" s="2605">
        <f t="shared" si="8"/>
        <v>46828.800000000003</v>
      </c>
    </row>
    <row r="76" spans="1:20" s="403" customFormat="1" ht="45.75" customHeight="1">
      <c r="A76" s="2600">
        <v>73</v>
      </c>
      <c r="B76" s="2633" t="s">
        <v>4854</v>
      </c>
      <c r="C76" s="2602">
        <v>1</v>
      </c>
      <c r="D76" s="2602">
        <v>1</v>
      </c>
      <c r="E76" s="2602">
        <v>1</v>
      </c>
      <c r="F76" s="2615">
        <v>206115</v>
      </c>
      <c r="G76" s="2605">
        <v>206115</v>
      </c>
      <c r="H76" s="2606">
        <v>0.25</v>
      </c>
      <c r="I76" s="2605">
        <f t="shared" si="7"/>
        <v>51528.75</v>
      </c>
      <c r="J76" s="1474" t="s">
        <v>4853</v>
      </c>
      <c r="K76" s="2633" t="s">
        <v>4854</v>
      </c>
      <c r="L76" s="2618"/>
      <c r="M76" s="2602">
        <v>1</v>
      </c>
      <c r="N76" s="2602">
        <v>1</v>
      </c>
      <c r="O76" s="2602">
        <f t="shared" si="5"/>
        <v>1</v>
      </c>
      <c r="P76" s="2615">
        <v>206115</v>
      </c>
      <c r="Q76" s="2641"/>
      <c r="R76" s="2638">
        <f t="shared" si="6"/>
        <v>206115</v>
      </c>
      <c r="S76" s="2606">
        <v>0.08</v>
      </c>
      <c r="T76" s="2605">
        <f t="shared" si="8"/>
        <v>16489.2</v>
      </c>
    </row>
    <row r="77" spans="1:20" s="403" customFormat="1" ht="39" customHeight="1">
      <c r="A77" s="2600">
        <v>74</v>
      </c>
      <c r="B77" s="2633" t="s">
        <v>5009</v>
      </c>
      <c r="C77" s="2602">
        <v>1</v>
      </c>
      <c r="D77" s="2602">
        <v>1</v>
      </c>
      <c r="E77" s="2602">
        <v>1</v>
      </c>
      <c r="F77" s="2615">
        <v>1123355</v>
      </c>
      <c r="G77" s="2605">
        <v>1123355</v>
      </c>
      <c r="H77" s="2606">
        <v>0.25</v>
      </c>
      <c r="I77" s="2605">
        <f t="shared" si="7"/>
        <v>280838.75</v>
      </c>
      <c r="J77" s="1474" t="s">
        <v>4855</v>
      </c>
      <c r="K77" s="2633" t="s">
        <v>5009</v>
      </c>
      <c r="L77" s="2618"/>
      <c r="M77" s="2602">
        <v>1</v>
      </c>
      <c r="N77" s="2602">
        <v>1</v>
      </c>
      <c r="O77" s="2602">
        <f t="shared" si="5"/>
        <v>1</v>
      </c>
      <c r="P77" s="2615">
        <v>1123355</v>
      </c>
      <c r="Q77" s="2641"/>
      <c r="R77" s="2638">
        <f t="shared" si="6"/>
        <v>1123355</v>
      </c>
      <c r="S77" s="2606">
        <v>0.08</v>
      </c>
      <c r="T77" s="2605">
        <f t="shared" si="8"/>
        <v>89868.400000000009</v>
      </c>
    </row>
    <row r="78" spans="1:20" s="403" customFormat="1" ht="33.75" customHeight="1">
      <c r="A78" s="2600">
        <v>75</v>
      </c>
      <c r="B78" s="2633" t="s">
        <v>949</v>
      </c>
      <c r="C78" s="2602">
        <v>1</v>
      </c>
      <c r="D78" s="2602">
        <v>1</v>
      </c>
      <c r="E78" s="2602">
        <v>1</v>
      </c>
      <c r="F78" s="2615">
        <v>167269</v>
      </c>
      <c r="G78" s="2605">
        <v>167269</v>
      </c>
      <c r="H78" s="2606">
        <v>0.25</v>
      </c>
      <c r="I78" s="2605">
        <f t="shared" si="7"/>
        <v>41817.25</v>
      </c>
      <c r="J78" s="1474" t="s">
        <v>4860</v>
      </c>
      <c r="K78" s="2633" t="s">
        <v>949</v>
      </c>
      <c r="L78" s="2618"/>
      <c r="M78" s="2602">
        <v>1</v>
      </c>
      <c r="N78" s="2602">
        <v>1</v>
      </c>
      <c r="O78" s="2602">
        <f t="shared" si="5"/>
        <v>1</v>
      </c>
      <c r="P78" s="2615">
        <v>167269</v>
      </c>
      <c r="Q78" s="2641"/>
      <c r="R78" s="2638">
        <f t="shared" si="6"/>
        <v>167269</v>
      </c>
      <c r="S78" s="2606">
        <v>0.08</v>
      </c>
      <c r="T78" s="2605">
        <f t="shared" si="8"/>
        <v>13381.52</v>
      </c>
    </row>
    <row r="79" spans="1:20" s="403" customFormat="1" ht="32.25" customHeight="1">
      <c r="A79" s="2600">
        <v>76</v>
      </c>
      <c r="B79" s="2633" t="s">
        <v>904</v>
      </c>
      <c r="C79" s="2602">
        <v>2</v>
      </c>
      <c r="D79" s="2602">
        <v>1</v>
      </c>
      <c r="E79" s="2602">
        <v>2</v>
      </c>
      <c r="F79" s="2615">
        <v>238683</v>
      </c>
      <c r="G79" s="2605">
        <v>477366</v>
      </c>
      <c r="H79" s="2606">
        <v>0.25</v>
      </c>
      <c r="I79" s="2605">
        <f t="shared" si="7"/>
        <v>119341.5</v>
      </c>
      <c r="J79" s="1474" t="s">
        <v>4861</v>
      </c>
      <c r="K79" s="2633" t="s">
        <v>904</v>
      </c>
      <c r="L79" s="2618"/>
      <c r="M79" s="2602">
        <v>2</v>
      </c>
      <c r="N79" s="2602">
        <v>1</v>
      </c>
      <c r="O79" s="2602">
        <f t="shared" si="5"/>
        <v>2</v>
      </c>
      <c r="P79" s="2615">
        <v>238683</v>
      </c>
      <c r="Q79" s="2641"/>
      <c r="R79" s="2638">
        <f t="shared" si="6"/>
        <v>477366</v>
      </c>
      <c r="S79" s="2606">
        <v>0.08</v>
      </c>
      <c r="T79" s="2605">
        <f t="shared" si="8"/>
        <v>38189.279999999999</v>
      </c>
    </row>
    <row r="80" spans="1:20" s="403" customFormat="1" ht="36" customHeight="1">
      <c r="A80" s="2600">
        <v>77</v>
      </c>
      <c r="B80" s="2633" t="s">
        <v>904</v>
      </c>
      <c r="C80" s="2602">
        <v>2</v>
      </c>
      <c r="D80" s="2602">
        <v>1</v>
      </c>
      <c r="E80" s="2602">
        <f>C80*D80</f>
        <v>2</v>
      </c>
      <c r="F80" s="2615">
        <v>238683</v>
      </c>
      <c r="G80" s="2605">
        <f>F80*E80</f>
        <v>477366</v>
      </c>
      <c r="H80" s="2606">
        <v>0.25</v>
      </c>
      <c r="I80" s="2605">
        <f t="shared" si="7"/>
        <v>119341.5</v>
      </c>
      <c r="J80" s="1474" t="s">
        <v>4869</v>
      </c>
      <c r="K80" s="2633" t="s">
        <v>904</v>
      </c>
      <c r="L80" s="2618"/>
      <c r="M80" s="2602">
        <v>2</v>
      </c>
      <c r="N80" s="2602">
        <v>1</v>
      </c>
      <c r="O80" s="2602">
        <f t="shared" si="5"/>
        <v>2</v>
      </c>
      <c r="P80" s="2615">
        <v>238683</v>
      </c>
      <c r="Q80" s="2641"/>
      <c r="R80" s="2638">
        <f t="shared" si="6"/>
        <v>477366</v>
      </c>
      <c r="S80" s="2606">
        <v>0.08</v>
      </c>
      <c r="T80" s="2605">
        <f t="shared" si="8"/>
        <v>38189.279999999999</v>
      </c>
    </row>
    <row r="81" spans="1:20" s="403" customFormat="1" ht="38.25">
      <c r="A81" s="2600">
        <v>78</v>
      </c>
      <c r="B81" s="2612" t="s">
        <v>908</v>
      </c>
      <c r="C81" s="2602">
        <v>1</v>
      </c>
      <c r="D81" s="2602">
        <v>1</v>
      </c>
      <c r="E81" s="2602">
        <f>C81*D81</f>
        <v>1</v>
      </c>
      <c r="F81" s="2615">
        <v>307646</v>
      </c>
      <c r="G81" s="2605">
        <f>F81*E81</f>
        <v>307646</v>
      </c>
      <c r="H81" s="2606">
        <v>0.25</v>
      </c>
      <c r="I81" s="2605">
        <f t="shared" si="7"/>
        <v>76911.5</v>
      </c>
      <c r="J81" s="2600">
        <v>54</v>
      </c>
      <c r="K81" s="2620" t="s">
        <v>908</v>
      </c>
      <c r="L81" s="2602">
        <v>1</v>
      </c>
      <c r="M81" s="2602">
        <v>1</v>
      </c>
      <c r="N81" s="2602">
        <f>L81*M81</f>
        <v>1</v>
      </c>
      <c r="O81" s="2621">
        <v>307646</v>
      </c>
      <c r="P81" s="2642">
        <f>O81*N81</f>
        <v>307646</v>
      </c>
      <c r="Q81" s="2643"/>
      <c r="R81" s="2644">
        <f>P81*Q81</f>
        <v>0</v>
      </c>
      <c r="S81" s="2606">
        <v>0.08</v>
      </c>
      <c r="T81" s="2605">
        <f t="shared" si="8"/>
        <v>24611.68</v>
      </c>
    </row>
    <row r="82" spans="1:20" s="403" customFormat="1" ht="38.25">
      <c r="A82" s="2600">
        <v>79</v>
      </c>
      <c r="B82" s="2612" t="s">
        <v>908</v>
      </c>
      <c r="C82" s="2618"/>
      <c r="D82" s="2602">
        <v>1</v>
      </c>
      <c r="E82" s="2602">
        <v>1</v>
      </c>
      <c r="F82" s="2602">
        <f>D82*E82</f>
        <v>1</v>
      </c>
      <c r="G82" s="2615">
        <v>307646</v>
      </c>
      <c r="H82" s="2606">
        <v>0.25</v>
      </c>
      <c r="I82" s="2605">
        <f t="shared" si="7"/>
        <v>76911.5</v>
      </c>
      <c r="J82" s="2607" t="s">
        <v>4757</v>
      </c>
      <c r="K82" s="2612" t="s">
        <v>908</v>
      </c>
      <c r="L82" s="2618"/>
      <c r="M82" s="2602">
        <v>1</v>
      </c>
      <c r="N82" s="2602">
        <v>1</v>
      </c>
      <c r="O82" s="2602">
        <f>M82*N82</f>
        <v>1</v>
      </c>
      <c r="P82" s="2615">
        <v>307646</v>
      </c>
      <c r="Q82" s="2643"/>
      <c r="R82" s="2645"/>
      <c r="S82" s="2606">
        <v>0.08</v>
      </c>
      <c r="T82" s="2605">
        <f t="shared" si="8"/>
        <v>24611.68</v>
      </c>
    </row>
    <row r="83" spans="1:20" s="403" customFormat="1" ht="38.25">
      <c r="A83" s="2600">
        <v>80</v>
      </c>
      <c r="B83" s="2611" t="s">
        <v>4634</v>
      </c>
      <c r="C83" s="1067"/>
      <c r="D83" s="2602">
        <v>1</v>
      </c>
      <c r="E83" s="2602">
        <v>1</v>
      </c>
      <c r="F83" s="2603">
        <f>D83*E83</f>
        <v>1</v>
      </c>
      <c r="G83" s="2604">
        <v>43343</v>
      </c>
      <c r="H83" s="2606">
        <v>0.25</v>
      </c>
      <c r="I83" s="2605">
        <f t="shared" si="7"/>
        <v>10835.75</v>
      </c>
      <c r="J83" s="2646"/>
      <c r="K83" s="2647"/>
      <c r="L83" s="2648"/>
      <c r="M83" s="2649"/>
      <c r="N83" s="2649"/>
      <c r="O83" s="2649"/>
      <c r="P83" s="2650"/>
      <c r="Q83" s="2643"/>
      <c r="R83" s="2645"/>
      <c r="S83" s="2606">
        <v>0.08</v>
      </c>
      <c r="T83" s="2605">
        <f t="shared" si="8"/>
        <v>3467.44</v>
      </c>
    </row>
    <row r="84" spans="1:20" s="2616" customFormat="1" ht="76.5">
      <c r="A84" s="2651">
        <v>22</v>
      </c>
      <c r="B84" s="2612" t="s">
        <v>4769</v>
      </c>
      <c r="C84" s="2602">
        <v>8</v>
      </c>
      <c r="D84" s="2652">
        <v>1</v>
      </c>
      <c r="E84" s="2652">
        <f t="shared" ref="E84" si="9">C84*D84</f>
        <v>8</v>
      </c>
      <c r="F84" s="2621">
        <v>152724</v>
      </c>
      <c r="G84" s="2653">
        <f t="shared" ref="G84" si="10">F84*E84</f>
        <v>1221792</v>
      </c>
      <c r="H84" s="2654" t="s">
        <v>4768</v>
      </c>
      <c r="I84" s="2612" t="s">
        <v>4769</v>
      </c>
      <c r="J84" s="2612"/>
      <c r="K84" s="2652">
        <v>8</v>
      </c>
      <c r="L84" s="2652">
        <v>1</v>
      </c>
      <c r="M84" s="2652">
        <f t="shared" ref="M84" si="11">K84*L84</f>
        <v>8</v>
      </c>
      <c r="N84" s="2621">
        <v>152724</v>
      </c>
      <c r="O84" s="2622">
        <f t="shared" ref="O84" si="12">N84*M84</f>
        <v>1221792</v>
      </c>
      <c r="S84" s="2606">
        <v>0.08</v>
      </c>
      <c r="T84" s="2605">
        <f t="shared" si="8"/>
        <v>97743.360000000001</v>
      </c>
    </row>
    <row r="85" spans="1:20" s="2616" customFormat="1" ht="38.25">
      <c r="A85" s="2651">
        <v>24</v>
      </c>
      <c r="B85" s="2612" t="s">
        <v>738</v>
      </c>
      <c r="C85" s="2602">
        <v>2</v>
      </c>
      <c r="D85" s="2652">
        <v>1</v>
      </c>
      <c r="E85" s="2652">
        <f>C85*D85</f>
        <v>2</v>
      </c>
      <c r="F85" s="2621">
        <v>100339</v>
      </c>
      <c r="G85" s="2653">
        <f>F85*E85</f>
        <v>200678</v>
      </c>
      <c r="H85" s="2654" t="s">
        <v>4793</v>
      </c>
      <c r="I85" s="2612" t="s">
        <v>738</v>
      </c>
      <c r="J85" s="2612"/>
      <c r="K85" s="2652">
        <v>2</v>
      </c>
      <c r="L85" s="2652">
        <v>1</v>
      </c>
      <c r="M85" s="2652">
        <f>K85*L85</f>
        <v>2</v>
      </c>
      <c r="N85" s="2621">
        <v>100339</v>
      </c>
      <c r="O85" s="2622">
        <f>N85*M85</f>
        <v>200678</v>
      </c>
      <c r="S85" s="2606">
        <v>0.08</v>
      </c>
      <c r="T85" s="2605">
        <f t="shared" si="8"/>
        <v>16054.24</v>
      </c>
    </row>
    <row r="86" spans="1:20" ht="18.75">
      <c r="A86" s="1300"/>
      <c r="B86" s="2655" t="s">
        <v>20</v>
      </c>
      <c r="C86" s="1300"/>
      <c r="D86" s="1300"/>
      <c r="E86" s="1300"/>
      <c r="F86" s="1300"/>
      <c r="G86" s="2636">
        <f>SUM(G4:G83)</f>
        <v>41594540</v>
      </c>
      <c r="H86" s="2636"/>
      <c r="I86" s="2656">
        <f>SUM(I4:I83)</f>
        <v>10398635</v>
      </c>
      <c r="S86" s="1300"/>
      <c r="T86" s="2657">
        <f>SUM(T4:T85)</f>
        <v>3488659.8699999992</v>
      </c>
    </row>
    <row r="88" spans="1:20">
      <c r="T88">
        <f>G86*10%</f>
        <v>4159454</v>
      </c>
    </row>
    <row r="89" spans="1:20">
      <c r="Q89" s="2641"/>
      <c r="R89" s="2605">
        <f>G82*F82</f>
        <v>307646</v>
      </c>
    </row>
  </sheetData>
  <pageMargins left="0.7" right="0.7" top="0.75" bottom="0.75" header="0.3" footer="0.3"/>
  <pageSetup paperSize="9" scale="88" orientation="portrait" r:id="rId1"/>
  <colBreaks count="1" manualBreakCount="1">
    <brk id="20" max="1048575" man="1"/>
  </colBreaks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tabColor rgb="FFFFFF00"/>
  </sheetPr>
  <dimension ref="A3:AW64"/>
  <sheetViews>
    <sheetView view="pageBreakPreview" zoomScale="75" zoomScaleSheetLayoutView="75" workbookViewId="0">
      <selection activeCell="G59" sqref="G59"/>
    </sheetView>
  </sheetViews>
  <sheetFormatPr defaultRowHeight="15"/>
  <cols>
    <col min="1" max="1" width="8.140625" style="2566" customWidth="1"/>
    <col min="2" max="2" width="41.28515625" style="2566" bestFit="1" customWidth="1"/>
    <col min="3" max="3" width="9.28515625" style="2700" bestFit="1" customWidth="1"/>
    <col min="4" max="5" width="9.28515625" style="2566" hidden="1" customWidth="1"/>
    <col min="6" max="6" width="10.140625" style="2566" bestFit="1" customWidth="1"/>
    <col min="7" max="7" width="24.42578125" style="2566" customWidth="1"/>
    <col min="8" max="8" width="4.140625" style="2566" hidden="1" customWidth="1"/>
    <col min="9" max="9" width="19" style="2566" hidden="1" customWidth="1"/>
    <col min="10" max="12" width="0" style="2566" hidden="1" customWidth="1"/>
    <col min="13" max="13" width="7" style="2566" hidden="1" customWidth="1"/>
    <col min="14" max="14" width="11.42578125" style="2566" hidden="1" customWidth="1"/>
    <col min="15" max="15" width="10.28515625" style="2566" hidden="1" customWidth="1"/>
    <col min="16" max="16" width="0" style="2566" hidden="1" customWidth="1"/>
    <col min="17" max="17" width="28.28515625" style="2702" customWidth="1"/>
    <col min="18" max="18" width="17.85546875" style="2703" customWidth="1"/>
    <col min="19" max="19" width="15" style="2566" customWidth="1"/>
    <col min="20" max="255" width="9.140625" style="2566"/>
    <col min="256" max="256" width="2.7109375" style="2566" bestFit="1" customWidth="1"/>
    <col min="257" max="257" width="41.28515625" style="2566" bestFit="1" customWidth="1"/>
    <col min="258" max="260" width="9.28515625" style="2566" bestFit="1" customWidth="1"/>
    <col min="261" max="261" width="10.140625" style="2566" bestFit="1" customWidth="1"/>
    <col min="262" max="262" width="12.140625" style="2566" bestFit="1" customWidth="1"/>
    <col min="263" max="511" width="9.140625" style="2566"/>
    <col min="512" max="512" width="2.7109375" style="2566" bestFit="1" customWidth="1"/>
    <col min="513" max="513" width="41.28515625" style="2566" bestFit="1" customWidth="1"/>
    <col min="514" max="516" width="9.28515625" style="2566" bestFit="1" customWidth="1"/>
    <col min="517" max="517" width="10.140625" style="2566" bestFit="1" customWidth="1"/>
    <col min="518" max="518" width="12.140625" style="2566" bestFit="1" customWidth="1"/>
    <col min="519" max="767" width="9.140625" style="2566"/>
    <col min="768" max="768" width="2.7109375" style="2566" bestFit="1" customWidth="1"/>
    <col min="769" max="769" width="41.28515625" style="2566" bestFit="1" customWidth="1"/>
    <col min="770" max="772" width="9.28515625" style="2566" bestFit="1" customWidth="1"/>
    <col min="773" max="773" width="10.140625" style="2566" bestFit="1" customWidth="1"/>
    <col min="774" max="774" width="12.140625" style="2566" bestFit="1" customWidth="1"/>
    <col min="775" max="1023" width="9.140625" style="2566"/>
    <col min="1024" max="1024" width="2.7109375" style="2566" bestFit="1" customWidth="1"/>
    <col min="1025" max="1025" width="41.28515625" style="2566" bestFit="1" customWidth="1"/>
    <col min="1026" max="1028" width="9.28515625" style="2566" bestFit="1" customWidth="1"/>
    <col min="1029" max="1029" width="10.140625" style="2566" bestFit="1" customWidth="1"/>
    <col min="1030" max="1030" width="12.140625" style="2566" bestFit="1" customWidth="1"/>
    <col min="1031" max="1279" width="9.140625" style="2566"/>
    <col min="1280" max="1280" width="2.7109375" style="2566" bestFit="1" customWidth="1"/>
    <col min="1281" max="1281" width="41.28515625" style="2566" bestFit="1" customWidth="1"/>
    <col min="1282" max="1284" width="9.28515625" style="2566" bestFit="1" customWidth="1"/>
    <col min="1285" max="1285" width="10.140625" style="2566" bestFit="1" customWidth="1"/>
    <col min="1286" max="1286" width="12.140625" style="2566" bestFit="1" customWidth="1"/>
    <col min="1287" max="1535" width="9.140625" style="2566"/>
    <col min="1536" max="1536" width="2.7109375" style="2566" bestFit="1" customWidth="1"/>
    <col min="1537" max="1537" width="41.28515625" style="2566" bestFit="1" customWidth="1"/>
    <col min="1538" max="1540" width="9.28515625" style="2566" bestFit="1" customWidth="1"/>
    <col min="1541" max="1541" width="10.140625" style="2566" bestFit="1" customWidth="1"/>
    <col min="1542" max="1542" width="12.140625" style="2566" bestFit="1" customWidth="1"/>
    <col min="1543" max="1791" width="9.140625" style="2566"/>
    <col min="1792" max="1792" width="2.7109375" style="2566" bestFit="1" customWidth="1"/>
    <col min="1793" max="1793" width="41.28515625" style="2566" bestFit="1" customWidth="1"/>
    <col min="1794" max="1796" width="9.28515625" style="2566" bestFit="1" customWidth="1"/>
    <col min="1797" max="1797" width="10.140625" style="2566" bestFit="1" customWidth="1"/>
    <col min="1798" max="1798" width="12.140625" style="2566" bestFit="1" customWidth="1"/>
    <col min="1799" max="2047" width="9.140625" style="2566"/>
    <col min="2048" max="2048" width="2.7109375" style="2566" bestFit="1" customWidth="1"/>
    <col min="2049" max="2049" width="41.28515625" style="2566" bestFit="1" customWidth="1"/>
    <col min="2050" max="2052" width="9.28515625" style="2566" bestFit="1" customWidth="1"/>
    <col min="2053" max="2053" width="10.140625" style="2566" bestFit="1" customWidth="1"/>
    <col min="2054" max="2054" width="12.140625" style="2566" bestFit="1" customWidth="1"/>
    <col min="2055" max="2303" width="9.140625" style="2566"/>
    <col min="2304" max="2304" width="2.7109375" style="2566" bestFit="1" customWidth="1"/>
    <col min="2305" max="2305" width="41.28515625" style="2566" bestFit="1" customWidth="1"/>
    <col min="2306" max="2308" width="9.28515625" style="2566" bestFit="1" customWidth="1"/>
    <col min="2309" max="2309" width="10.140625" style="2566" bestFit="1" customWidth="1"/>
    <col min="2310" max="2310" width="12.140625" style="2566" bestFit="1" customWidth="1"/>
    <col min="2311" max="2559" width="9.140625" style="2566"/>
    <col min="2560" max="2560" width="2.7109375" style="2566" bestFit="1" customWidth="1"/>
    <col min="2561" max="2561" width="41.28515625" style="2566" bestFit="1" customWidth="1"/>
    <col min="2562" max="2564" width="9.28515625" style="2566" bestFit="1" customWidth="1"/>
    <col min="2565" max="2565" width="10.140625" style="2566" bestFit="1" customWidth="1"/>
    <col min="2566" max="2566" width="12.140625" style="2566" bestFit="1" customWidth="1"/>
    <col min="2567" max="2815" width="9.140625" style="2566"/>
    <col min="2816" max="2816" width="2.7109375" style="2566" bestFit="1" customWidth="1"/>
    <col min="2817" max="2817" width="41.28515625" style="2566" bestFit="1" customWidth="1"/>
    <col min="2818" max="2820" width="9.28515625" style="2566" bestFit="1" customWidth="1"/>
    <col min="2821" max="2821" width="10.140625" style="2566" bestFit="1" customWidth="1"/>
    <col min="2822" max="2822" width="12.140625" style="2566" bestFit="1" customWidth="1"/>
    <col min="2823" max="3071" width="9.140625" style="2566"/>
    <col min="3072" max="3072" width="2.7109375" style="2566" bestFit="1" customWidth="1"/>
    <col min="3073" max="3073" width="41.28515625" style="2566" bestFit="1" customWidth="1"/>
    <col min="3074" max="3076" width="9.28515625" style="2566" bestFit="1" customWidth="1"/>
    <col min="3077" max="3077" width="10.140625" style="2566" bestFit="1" customWidth="1"/>
    <col min="3078" max="3078" width="12.140625" style="2566" bestFit="1" customWidth="1"/>
    <col min="3079" max="3327" width="9.140625" style="2566"/>
    <col min="3328" max="3328" width="2.7109375" style="2566" bestFit="1" customWidth="1"/>
    <col min="3329" max="3329" width="41.28515625" style="2566" bestFit="1" customWidth="1"/>
    <col min="3330" max="3332" width="9.28515625" style="2566" bestFit="1" customWidth="1"/>
    <col min="3333" max="3333" width="10.140625" style="2566" bestFit="1" customWidth="1"/>
    <col min="3334" max="3334" width="12.140625" style="2566" bestFit="1" customWidth="1"/>
    <col min="3335" max="3583" width="9.140625" style="2566"/>
    <col min="3584" max="3584" width="2.7109375" style="2566" bestFit="1" customWidth="1"/>
    <col min="3585" max="3585" width="41.28515625" style="2566" bestFit="1" customWidth="1"/>
    <col min="3586" max="3588" width="9.28515625" style="2566" bestFit="1" customWidth="1"/>
    <col min="3589" max="3589" width="10.140625" style="2566" bestFit="1" customWidth="1"/>
    <col min="3590" max="3590" width="12.140625" style="2566" bestFit="1" customWidth="1"/>
    <col min="3591" max="3839" width="9.140625" style="2566"/>
    <col min="3840" max="3840" width="2.7109375" style="2566" bestFit="1" customWidth="1"/>
    <col min="3841" max="3841" width="41.28515625" style="2566" bestFit="1" customWidth="1"/>
    <col min="3842" max="3844" width="9.28515625" style="2566" bestFit="1" customWidth="1"/>
    <col min="3845" max="3845" width="10.140625" style="2566" bestFit="1" customWidth="1"/>
    <col min="3846" max="3846" width="12.140625" style="2566" bestFit="1" customWidth="1"/>
    <col min="3847" max="4095" width="9.140625" style="2566"/>
    <col min="4096" max="4096" width="2.7109375" style="2566" bestFit="1" customWidth="1"/>
    <col min="4097" max="4097" width="41.28515625" style="2566" bestFit="1" customWidth="1"/>
    <col min="4098" max="4100" width="9.28515625" style="2566" bestFit="1" customWidth="1"/>
    <col min="4101" max="4101" width="10.140625" style="2566" bestFit="1" customWidth="1"/>
    <col min="4102" max="4102" width="12.140625" style="2566" bestFit="1" customWidth="1"/>
    <col min="4103" max="4351" width="9.140625" style="2566"/>
    <col min="4352" max="4352" width="2.7109375" style="2566" bestFit="1" customWidth="1"/>
    <col min="4353" max="4353" width="41.28515625" style="2566" bestFit="1" customWidth="1"/>
    <col min="4354" max="4356" width="9.28515625" style="2566" bestFit="1" customWidth="1"/>
    <col min="4357" max="4357" width="10.140625" style="2566" bestFit="1" customWidth="1"/>
    <col min="4358" max="4358" width="12.140625" style="2566" bestFit="1" customWidth="1"/>
    <col min="4359" max="4607" width="9.140625" style="2566"/>
    <col min="4608" max="4608" width="2.7109375" style="2566" bestFit="1" customWidth="1"/>
    <col min="4609" max="4609" width="41.28515625" style="2566" bestFit="1" customWidth="1"/>
    <col min="4610" max="4612" width="9.28515625" style="2566" bestFit="1" customWidth="1"/>
    <col min="4613" max="4613" width="10.140625" style="2566" bestFit="1" customWidth="1"/>
    <col min="4614" max="4614" width="12.140625" style="2566" bestFit="1" customWidth="1"/>
    <col min="4615" max="4863" width="9.140625" style="2566"/>
    <col min="4864" max="4864" width="2.7109375" style="2566" bestFit="1" customWidth="1"/>
    <col min="4865" max="4865" width="41.28515625" style="2566" bestFit="1" customWidth="1"/>
    <col min="4866" max="4868" width="9.28515625" style="2566" bestFit="1" customWidth="1"/>
    <col min="4869" max="4869" width="10.140625" style="2566" bestFit="1" customWidth="1"/>
    <col min="4870" max="4870" width="12.140625" style="2566" bestFit="1" customWidth="1"/>
    <col min="4871" max="5119" width="9.140625" style="2566"/>
    <col min="5120" max="5120" width="2.7109375" style="2566" bestFit="1" customWidth="1"/>
    <col min="5121" max="5121" width="41.28515625" style="2566" bestFit="1" customWidth="1"/>
    <col min="5122" max="5124" width="9.28515625" style="2566" bestFit="1" customWidth="1"/>
    <col min="5125" max="5125" width="10.140625" style="2566" bestFit="1" customWidth="1"/>
    <col min="5126" max="5126" width="12.140625" style="2566" bestFit="1" customWidth="1"/>
    <col min="5127" max="5375" width="9.140625" style="2566"/>
    <col min="5376" max="5376" width="2.7109375" style="2566" bestFit="1" customWidth="1"/>
    <col min="5377" max="5377" width="41.28515625" style="2566" bestFit="1" customWidth="1"/>
    <col min="5378" max="5380" width="9.28515625" style="2566" bestFit="1" customWidth="1"/>
    <col min="5381" max="5381" width="10.140625" style="2566" bestFit="1" customWidth="1"/>
    <col min="5382" max="5382" width="12.140625" style="2566" bestFit="1" customWidth="1"/>
    <col min="5383" max="5631" width="9.140625" style="2566"/>
    <col min="5632" max="5632" width="2.7109375" style="2566" bestFit="1" customWidth="1"/>
    <col min="5633" max="5633" width="41.28515625" style="2566" bestFit="1" customWidth="1"/>
    <col min="5634" max="5636" width="9.28515625" style="2566" bestFit="1" customWidth="1"/>
    <col min="5637" max="5637" width="10.140625" style="2566" bestFit="1" customWidth="1"/>
    <col min="5638" max="5638" width="12.140625" style="2566" bestFit="1" customWidth="1"/>
    <col min="5639" max="5887" width="9.140625" style="2566"/>
    <col min="5888" max="5888" width="2.7109375" style="2566" bestFit="1" customWidth="1"/>
    <col min="5889" max="5889" width="41.28515625" style="2566" bestFit="1" customWidth="1"/>
    <col min="5890" max="5892" width="9.28515625" style="2566" bestFit="1" customWidth="1"/>
    <col min="5893" max="5893" width="10.140625" style="2566" bestFit="1" customWidth="1"/>
    <col min="5894" max="5894" width="12.140625" style="2566" bestFit="1" customWidth="1"/>
    <col min="5895" max="6143" width="9.140625" style="2566"/>
    <col min="6144" max="6144" width="2.7109375" style="2566" bestFit="1" customWidth="1"/>
    <col min="6145" max="6145" width="41.28515625" style="2566" bestFit="1" customWidth="1"/>
    <col min="6146" max="6148" width="9.28515625" style="2566" bestFit="1" customWidth="1"/>
    <col min="6149" max="6149" width="10.140625" style="2566" bestFit="1" customWidth="1"/>
    <col min="6150" max="6150" width="12.140625" style="2566" bestFit="1" customWidth="1"/>
    <col min="6151" max="6399" width="9.140625" style="2566"/>
    <col min="6400" max="6400" width="2.7109375" style="2566" bestFit="1" customWidth="1"/>
    <col min="6401" max="6401" width="41.28515625" style="2566" bestFit="1" customWidth="1"/>
    <col min="6402" max="6404" width="9.28515625" style="2566" bestFit="1" customWidth="1"/>
    <col min="6405" max="6405" width="10.140625" style="2566" bestFit="1" customWidth="1"/>
    <col min="6406" max="6406" width="12.140625" style="2566" bestFit="1" customWidth="1"/>
    <col min="6407" max="6655" width="9.140625" style="2566"/>
    <col min="6656" max="6656" width="2.7109375" style="2566" bestFit="1" customWidth="1"/>
    <col min="6657" max="6657" width="41.28515625" style="2566" bestFit="1" customWidth="1"/>
    <col min="6658" max="6660" width="9.28515625" style="2566" bestFit="1" customWidth="1"/>
    <col min="6661" max="6661" width="10.140625" style="2566" bestFit="1" customWidth="1"/>
    <col min="6662" max="6662" width="12.140625" style="2566" bestFit="1" customWidth="1"/>
    <col min="6663" max="6911" width="9.140625" style="2566"/>
    <col min="6912" max="6912" width="2.7109375" style="2566" bestFit="1" customWidth="1"/>
    <col min="6913" max="6913" width="41.28515625" style="2566" bestFit="1" customWidth="1"/>
    <col min="6914" max="6916" width="9.28515625" style="2566" bestFit="1" customWidth="1"/>
    <col min="6917" max="6917" width="10.140625" style="2566" bestFit="1" customWidth="1"/>
    <col min="6918" max="6918" width="12.140625" style="2566" bestFit="1" customWidth="1"/>
    <col min="6919" max="7167" width="9.140625" style="2566"/>
    <col min="7168" max="7168" width="2.7109375" style="2566" bestFit="1" customWidth="1"/>
    <col min="7169" max="7169" width="41.28515625" style="2566" bestFit="1" customWidth="1"/>
    <col min="7170" max="7172" width="9.28515625" style="2566" bestFit="1" customWidth="1"/>
    <col min="7173" max="7173" width="10.140625" style="2566" bestFit="1" customWidth="1"/>
    <col min="7174" max="7174" width="12.140625" style="2566" bestFit="1" customWidth="1"/>
    <col min="7175" max="7423" width="9.140625" style="2566"/>
    <col min="7424" max="7424" width="2.7109375" style="2566" bestFit="1" customWidth="1"/>
    <col min="7425" max="7425" width="41.28515625" style="2566" bestFit="1" customWidth="1"/>
    <col min="7426" max="7428" width="9.28515625" style="2566" bestFit="1" customWidth="1"/>
    <col min="7429" max="7429" width="10.140625" style="2566" bestFit="1" customWidth="1"/>
    <col min="7430" max="7430" width="12.140625" style="2566" bestFit="1" customWidth="1"/>
    <col min="7431" max="7679" width="9.140625" style="2566"/>
    <col min="7680" max="7680" width="2.7109375" style="2566" bestFit="1" customWidth="1"/>
    <col min="7681" max="7681" width="41.28515625" style="2566" bestFit="1" customWidth="1"/>
    <col min="7682" max="7684" width="9.28515625" style="2566" bestFit="1" customWidth="1"/>
    <col min="7685" max="7685" width="10.140625" style="2566" bestFit="1" customWidth="1"/>
    <col min="7686" max="7686" width="12.140625" style="2566" bestFit="1" customWidth="1"/>
    <col min="7687" max="7935" width="9.140625" style="2566"/>
    <col min="7936" max="7936" width="2.7109375" style="2566" bestFit="1" customWidth="1"/>
    <col min="7937" max="7937" width="41.28515625" style="2566" bestFit="1" customWidth="1"/>
    <col min="7938" max="7940" width="9.28515625" style="2566" bestFit="1" customWidth="1"/>
    <col min="7941" max="7941" width="10.140625" style="2566" bestFit="1" customWidth="1"/>
    <col min="7942" max="7942" width="12.140625" style="2566" bestFit="1" customWidth="1"/>
    <col min="7943" max="8191" width="9.140625" style="2566"/>
    <col min="8192" max="8192" width="2.7109375" style="2566" bestFit="1" customWidth="1"/>
    <col min="8193" max="8193" width="41.28515625" style="2566" bestFit="1" customWidth="1"/>
    <col min="8194" max="8196" width="9.28515625" style="2566" bestFit="1" customWidth="1"/>
    <col min="8197" max="8197" width="10.140625" style="2566" bestFit="1" customWidth="1"/>
    <col min="8198" max="8198" width="12.140625" style="2566" bestFit="1" customWidth="1"/>
    <col min="8199" max="8447" width="9.140625" style="2566"/>
    <col min="8448" max="8448" width="2.7109375" style="2566" bestFit="1" customWidth="1"/>
    <col min="8449" max="8449" width="41.28515625" style="2566" bestFit="1" customWidth="1"/>
    <col min="8450" max="8452" width="9.28515625" style="2566" bestFit="1" customWidth="1"/>
    <col min="8453" max="8453" width="10.140625" style="2566" bestFit="1" customWidth="1"/>
    <col min="8454" max="8454" width="12.140625" style="2566" bestFit="1" customWidth="1"/>
    <col min="8455" max="8703" width="9.140625" style="2566"/>
    <col min="8704" max="8704" width="2.7109375" style="2566" bestFit="1" customWidth="1"/>
    <col min="8705" max="8705" width="41.28515625" style="2566" bestFit="1" customWidth="1"/>
    <col min="8706" max="8708" width="9.28515625" style="2566" bestFit="1" customWidth="1"/>
    <col min="8709" max="8709" width="10.140625" style="2566" bestFit="1" customWidth="1"/>
    <col min="8710" max="8710" width="12.140625" style="2566" bestFit="1" customWidth="1"/>
    <col min="8711" max="8959" width="9.140625" style="2566"/>
    <col min="8960" max="8960" width="2.7109375" style="2566" bestFit="1" customWidth="1"/>
    <col min="8961" max="8961" width="41.28515625" style="2566" bestFit="1" customWidth="1"/>
    <col min="8962" max="8964" width="9.28515625" style="2566" bestFit="1" customWidth="1"/>
    <col min="8965" max="8965" width="10.140625" style="2566" bestFit="1" customWidth="1"/>
    <col min="8966" max="8966" width="12.140625" style="2566" bestFit="1" customWidth="1"/>
    <col min="8967" max="9215" width="9.140625" style="2566"/>
    <col min="9216" max="9216" width="2.7109375" style="2566" bestFit="1" customWidth="1"/>
    <col min="9217" max="9217" width="41.28515625" style="2566" bestFit="1" customWidth="1"/>
    <col min="9218" max="9220" width="9.28515625" style="2566" bestFit="1" customWidth="1"/>
    <col min="9221" max="9221" width="10.140625" style="2566" bestFit="1" customWidth="1"/>
    <col min="9222" max="9222" width="12.140625" style="2566" bestFit="1" customWidth="1"/>
    <col min="9223" max="9471" width="9.140625" style="2566"/>
    <col min="9472" max="9472" width="2.7109375" style="2566" bestFit="1" customWidth="1"/>
    <col min="9473" max="9473" width="41.28515625" style="2566" bestFit="1" customWidth="1"/>
    <col min="9474" max="9476" width="9.28515625" style="2566" bestFit="1" customWidth="1"/>
    <col min="9477" max="9477" width="10.140625" style="2566" bestFit="1" customWidth="1"/>
    <col min="9478" max="9478" width="12.140625" style="2566" bestFit="1" customWidth="1"/>
    <col min="9479" max="9727" width="9.140625" style="2566"/>
    <col min="9728" max="9728" width="2.7109375" style="2566" bestFit="1" customWidth="1"/>
    <col min="9729" max="9729" width="41.28515625" style="2566" bestFit="1" customWidth="1"/>
    <col min="9730" max="9732" width="9.28515625" style="2566" bestFit="1" customWidth="1"/>
    <col min="9733" max="9733" width="10.140625" style="2566" bestFit="1" customWidth="1"/>
    <col min="9734" max="9734" width="12.140625" style="2566" bestFit="1" customWidth="1"/>
    <col min="9735" max="9983" width="9.140625" style="2566"/>
    <col min="9984" max="9984" width="2.7109375" style="2566" bestFit="1" customWidth="1"/>
    <col min="9985" max="9985" width="41.28515625" style="2566" bestFit="1" customWidth="1"/>
    <col min="9986" max="9988" width="9.28515625" style="2566" bestFit="1" customWidth="1"/>
    <col min="9989" max="9989" width="10.140625" style="2566" bestFit="1" customWidth="1"/>
    <col min="9990" max="9990" width="12.140625" style="2566" bestFit="1" customWidth="1"/>
    <col min="9991" max="10239" width="9.140625" style="2566"/>
    <col min="10240" max="10240" width="2.7109375" style="2566" bestFit="1" customWidth="1"/>
    <col min="10241" max="10241" width="41.28515625" style="2566" bestFit="1" customWidth="1"/>
    <col min="10242" max="10244" width="9.28515625" style="2566" bestFit="1" customWidth="1"/>
    <col min="10245" max="10245" width="10.140625" style="2566" bestFit="1" customWidth="1"/>
    <col min="10246" max="10246" width="12.140625" style="2566" bestFit="1" customWidth="1"/>
    <col min="10247" max="10495" width="9.140625" style="2566"/>
    <col min="10496" max="10496" width="2.7109375" style="2566" bestFit="1" customWidth="1"/>
    <col min="10497" max="10497" width="41.28515625" style="2566" bestFit="1" customWidth="1"/>
    <col min="10498" max="10500" width="9.28515625" style="2566" bestFit="1" customWidth="1"/>
    <col min="10501" max="10501" width="10.140625" style="2566" bestFit="1" customWidth="1"/>
    <col min="10502" max="10502" width="12.140625" style="2566" bestFit="1" customWidth="1"/>
    <col min="10503" max="10751" width="9.140625" style="2566"/>
    <col min="10752" max="10752" width="2.7109375" style="2566" bestFit="1" customWidth="1"/>
    <col min="10753" max="10753" width="41.28515625" style="2566" bestFit="1" customWidth="1"/>
    <col min="10754" max="10756" width="9.28515625" style="2566" bestFit="1" customWidth="1"/>
    <col min="10757" max="10757" width="10.140625" style="2566" bestFit="1" customWidth="1"/>
    <col min="10758" max="10758" width="12.140625" style="2566" bestFit="1" customWidth="1"/>
    <col min="10759" max="11007" width="9.140625" style="2566"/>
    <col min="11008" max="11008" width="2.7109375" style="2566" bestFit="1" customWidth="1"/>
    <col min="11009" max="11009" width="41.28515625" style="2566" bestFit="1" customWidth="1"/>
    <col min="11010" max="11012" width="9.28515625" style="2566" bestFit="1" customWidth="1"/>
    <col min="11013" max="11013" width="10.140625" style="2566" bestFit="1" customWidth="1"/>
    <col min="11014" max="11014" width="12.140625" style="2566" bestFit="1" customWidth="1"/>
    <col min="11015" max="11263" width="9.140625" style="2566"/>
    <col min="11264" max="11264" width="2.7109375" style="2566" bestFit="1" customWidth="1"/>
    <col min="11265" max="11265" width="41.28515625" style="2566" bestFit="1" customWidth="1"/>
    <col min="11266" max="11268" width="9.28515625" style="2566" bestFit="1" customWidth="1"/>
    <col min="11269" max="11269" width="10.140625" style="2566" bestFit="1" customWidth="1"/>
    <col min="11270" max="11270" width="12.140625" style="2566" bestFit="1" customWidth="1"/>
    <col min="11271" max="11519" width="9.140625" style="2566"/>
    <col min="11520" max="11520" width="2.7109375" style="2566" bestFit="1" customWidth="1"/>
    <col min="11521" max="11521" width="41.28515625" style="2566" bestFit="1" customWidth="1"/>
    <col min="11522" max="11524" width="9.28515625" style="2566" bestFit="1" customWidth="1"/>
    <col min="11525" max="11525" width="10.140625" style="2566" bestFit="1" customWidth="1"/>
    <col min="11526" max="11526" width="12.140625" style="2566" bestFit="1" customWidth="1"/>
    <col min="11527" max="11775" width="9.140625" style="2566"/>
    <col min="11776" max="11776" width="2.7109375" style="2566" bestFit="1" customWidth="1"/>
    <col min="11777" max="11777" width="41.28515625" style="2566" bestFit="1" customWidth="1"/>
    <col min="11778" max="11780" width="9.28515625" style="2566" bestFit="1" customWidth="1"/>
    <col min="11781" max="11781" width="10.140625" style="2566" bestFit="1" customWidth="1"/>
    <col min="11782" max="11782" width="12.140625" style="2566" bestFit="1" customWidth="1"/>
    <col min="11783" max="12031" width="9.140625" style="2566"/>
    <col min="12032" max="12032" width="2.7109375" style="2566" bestFit="1" customWidth="1"/>
    <col min="12033" max="12033" width="41.28515625" style="2566" bestFit="1" customWidth="1"/>
    <col min="12034" max="12036" width="9.28515625" style="2566" bestFit="1" customWidth="1"/>
    <col min="12037" max="12037" width="10.140625" style="2566" bestFit="1" customWidth="1"/>
    <col min="12038" max="12038" width="12.140625" style="2566" bestFit="1" customWidth="1"/>
    <col min="12039" max="12287" width="9.140625" style="2566"/>
    <col min="12288" max="12288" width="2.7109375" style="2566" bestFit="1" customWidth="1"/>
    <col min="12289" max="12289" width="41.28515625" style="2566" bestFit="1" customWidth="1"/>
    <col min="12290" max="12292" width="9.28515625" style="2566" bestFit="1" customWidth="1"/>
    <col min="12293" max="12293" width="10.140625" style="2566" bestFit="1" customWidth="1"/>
    <col min="12294" max="12294" width="12.140625" style="2566" bestFit="1" customWidth="1"/>
    <col min="12295" max="12543" width="9.140625" style="2566"/>
    <col min="12544" max="12544" width="2.7109375" style="2566" bestFit="1" customWidth="1"/>
    <col min="12545" max="12545" width="41.28515625" style="2566" bestFit="1" customWidth="1"/>
    <col min="12546" max="12548" width="9.28515625" style="2566" bestFit="1" customWidth="1"/>
    <col min="12549" max="12549" width="10.140625" style="2566" bestFit="1" customWidth="1"/>
    <col min="12550" max="12550" width="12.140625" style="2566" bestFit="1" customWidth="1"/>
    <col min="12551" max="12799" width="9.140625" style="2566"/>
    <col min="12800" max="12800" width="2.7109375" style="2566" bestFit="1" customWidth="1"/>
    <col min="12801" max="12801" width="41.28515625" style="2566" bestFit="1" customWidth="1"/>
    <col min="12802" max="12804" width="9.28515625" style="2566" bestFit="1" customWidth="1"/>
    <col min="12805" max="12805" width="10.140625" style="2566" bestFit="1" customWidth="1"/>
    <col min="12806" max="12806" width="12.140625" style="2566" bestFit="1" customWidth="1"/>
    <col min="12807" max="13055" width="9.140625" style="2566"/>
    <col min="13056" max="13056" width="2.7109375" style="2566" bestFit="1" customWidth="1"/>
    <col min="13057" max="13057" width="41.28515625" style="2566" bestFit="1" customWidth="1"/>
    <col min="13058" max="13060" width="9.28515625" style="2566" bestFit="1" customWidth="1"/>
    <col min="13061" max="13061" width="10.140625" style="2566" bestFit="1" customWidth="1"/>
    <col min="13062" max="13062" width="12.140625" style="2566" bestFit="1" customWidth="1"/>
    <col min="13063" max="13311" width="9.140625" style="2566"/>
    <col min="13312" max="13312" width="2.7109375" style="2566" bestFit="1" customWidth="1"/>
    <col min="13313" max="13313" width="41.28515625" style="2566" bestFit="1" customWidth="1"/>
    <col min="13314" max="13316" width="9.28515625" style="2566" bestFit="1" customWidth="1"/>
    <col min="13317" max="13317" width="10.140625" style="2566" bestFit="1" customWidth="1"/>
    <col min="13318" max="13318" width="12.140625" style="2566" bestFit="1" customWidth="1"/>
    <col min="13319" max="13567" width="9.140625" style="2566"/>
    <col min="13568" max="13568" width="2.7109375" style="2566" bestFit="1" customWidth="1"/>
    <col min="13569" max="13569" width="41.28515625" style="2566" bestFit="1" customWidth="1"/>
    <col min="13570" max="13572" width="9.28515625" style="2566" bestFit="1" customWidth="1"/>
    <col min="13573" max="13573" width="10.140625" style="2566" bestFit="1" customWidth="1"/>
    <col min="13574" max="13574" width="12.140625" style="2566" bestFit="1" customWidth="1"/>
    <col min="13575" max="13823" width="9.140625" style="2566"/>
    <col min="13824" max="13824" width="2.7109375" style="2566" bestFit="1" customWidth="1"/>
    <col min="13825" max="13825" width="41.28515625" style="2566" bestFit="1" customWidth="1"/>
    <col min="13826" max="13828" width="9.28515625" style="2566" bestFit="1" customWidth="1"/>
    <col min="13829" max="13829" width="10.140625" style="2566" bestFit="1" customWidth="1"/>
    <col min="13830" max="13830" width="12.140625" style="2566" bestFit="1" customWidth="1"/>
    <col min="13831" max="14079" width="9.140625" style="2566"/>
    <col min="14080" max="14080" width="2.7109375" style="2566" bestFit="1" customWidth="1"/>
    <col min="14081" max="14081" width="41.28515625" style="2566" bestFit="1" customWidth="1"/>
    <col min="14082" max="14084" width="9.28515625" style="2566" bestFit="1" customWidth="1"/>
    <col min="14085" max="14085" width="10.140625" style="2566" bestFit="1" customWidth="1"/>
    <col min="14086" max="14086" width="12.140625" style="2566" bestFit="1" customWidth="1"/>
    <col min="14087" max="14335" width="9.140625" style="2566"/>
    <col min="14336" max="14336" width="2.7109375" style="2566" bestFit="1" customWidth="1"/>
    <col min="14337" max="14337" width="41.28515625" style="2566" bestFit="1" customWidth="1"/>
    <col min="14338" max="14340" width="9.28515625" style="2566" bestFit="1" customWidth="1"/>
    <col min="14341" max="14341" width="10.140625" style="2566" bestFit="1" customWidth="1"/>
    <col min="14342" max="14342" width="12.140625" style="2566" bestFit="1" customWidth="1"/>
    <col min="14343" max="14591" width="9.140625" style="2566"/>
    <col min="14592" max="14592" width="2.7109375" style="2566" bestFit="1" customWidth="1"/>
    <col min="14593" max="14593" width="41.28515625" style="2566" bestFit="1" customWidth="1"/>
    <col min="14594" max="14596" width="9.28515625" style="2566" bestFit="1" customWidth="1"/>
    <col min="14597" max="14597" width="10.140625" style="2566" bestFit="1" customWidth="1"/>
    <col min="14598" max="14598" width="12.140625" style="2566" bestFit="1" customWidth="1"/>
    <col min="14599" max="14847" width="9.140625" style="2566"/>
    <col min="14848" max="14848" width="2.7109375" style="2566" bestFit="1" customWidth="1"/>
    <col min="14849" max="14849" width="41.28515625" style="2566" bestFit="1" customWidth="1"/>
    <col min="14850" max="14852" width="9.28515625" style="2566" bestFit="1" customWidth="1"/>
    <col min="14853" max="14853" width="10.140625" style="2566" bestFit="1" customWidth="1"/>
    <col min="14854" max="14854" width="12.140625" style="2566" bestFit="1" customWidth="1"/>
    <col min="14855" max="15103" width="9.140625" style="2566"/>
    <col min="15104" max="15104" width="2.7109375" style="2566" bestFit="1" customWidth="1"/>
    <col min="15105" max="15105" width="41.28515625" style="2566" bestFit="1" customWidth="1"/>
    <col min="15106" max="15108" width="9.28515625" style="2566" bestFit="1" customWidth="1"/>
    <col min="15109" max="15109" width="10.140625" style="2566" bestFit="1" customWidth="1"/>
    <col min="15110" max="15110" width="12.140625" style="2566" bestFit="1" customWidth="1"/>
    <col min="15111" max="15359" width="9.140625" style="2566"/>
    <col min="15360" max="15360" width="2.7109375" style="2566" bestFit="1" customWidth="1"/>
    <col min="15361" max="15361" width="41.28515625" style="2566" bestFit="1" customWidth="1"/>
    <col min="15362" max="15364" width="9.28515625" style="2566" bestFit="1" customWidth="1"/>
    <col min="15365" max="15365" width="10.140625" style="2566" bestFit="1" customWidth="1"/>
    <col min="15366" max="15366" width="12.140625" style="2566" bestFit="1" customWidth="1"/>
    <col min="15367" max="15615" width="9.140625" style="2566"/>
    <col min="15616" max="15616" width="2.7109375" style="2566" bestFit="1" customWidth="1"/>
    <col min="15617" max="15617" width="41.28515625" style="2566" bestFit="1" customWidth="1"/>
    <col min="15618" max="15620" width="9.28515625" style="2566" bestFit="1" customWidth="1"/>
    <col min="15621" max="15621" width="10.140625" style="2566" bestFit="1" customWidth="1"/>
    <col min="15622" max="15622" width="12.140625" style="2566" bestFit="1" customWidth="1"/>
    <col min="15623" max="15871" width="9.140625" style="2566"/>
    <col min="15872" max="15872" width="2.7109375" style="2566" bestFit="1" customWidth="1"/>
    <col min="15873" max="15873" width="41.28515625" style="2566" bestFit="1" customWidth="1"/>
    <col min="15874" max="15876" width="9.28515625" style="2566" bestFit="1" customWidth="1"/>
    <col min="15877" max="15877" width="10.140625" style="2566" bestFit="1" customWidth="1"/>
    <col min="15878" max="15878" width="12.140625" style="2566" bestFit="1" customWidth="1"/>
    <col min="15879" max="16127" width="9.140625" style="2566"/>
    <col min="16128" max="16128" width="2.7109375" style="2566" bestFit="1" customWidth="1"/>
    <col min="16129" max="16129" width="41.28515625" style="2566" bestFit="1" customWidth="1"/>
    <col min="16130" max="16132" width="9.28515625" style="2566" bestFit="1" customWidth="1"/>
    <col min="16133" max="16133" width="10.140625" style="2566" bestFit="1" customWidth="1"/>
    <col min="16134" max="16134" width="12.140625" style="2566" bestFit="1" customWidth="1"/>
    <col min="16135" max="16384" width="9.140625" style="2566"/>
  </cols>
  <sheetData>
    <row r="3" spans="1:18">
      <c r="A3" s="2599" t="s">
        <v>34</v>
      </c>
      <c r="B3" s="2599" t="s">
        <v>478</v>
      </c>
      <c r="C3" s="2599" t="s">
        <v>4023</v>
      </c>
      <c r="D3" s="2599"/>
      <c r="E3" s="2599"/>
      <c r="F3" s="2599" t="s">
        <v>4986</v>
      </c>
      <c r="G3" s="2599" t="s">
        <v>20</v>
      </c>
      <c r="Q3" s="2658" t="s">
        <v>5010</v>
      </c>
      <c r="R3" s="2659" t="s">
        <v>5011</v>
      </c>
    </row>
    <row r="4" spans="1:18" s="2670" customFormat="1" ht="25.5">
      <c r="A4" s="2660">
        <v>1</v>
      </c>
      <c r="B4" s="2661" t="s">
        <v>4616</v>
      </c>
      <c r="C4" s="2662">
        <v>4</v>
      </c>
      <c r="D4" s="2663">
        <v>1</v>
      </c>
      <c r="E4" s="2664">
        <f>C4*D4</f>
        <v>4</v>
      </c>
      <c r="F4" s="2665">
        <v>14355</v>
      </c>
      <c r="G4" s="2666">
        <f>F4*E4</f>
        <v>57420</v>
      </c>
      <c r="H4" s="2667" t="s">
        <v>4615</v>
      </c>
      <c r="I4" s="2661" t="s">
        <v>4616</v>
      </c>
      <c r="J4" s="2668"/>
      <c r="K4" s="2663">
        <v>4</v>
      </c>
      <c r="L4" s="2663">
        <v>1</v>
      </c>
      <c r="M4" s="2664">
        <f>K4*L4</f>
        <v>4</v>
      </c>
      <c r="N4" s="2665">
        <v>14355</v>
      </c>
      <c r="O4" s="2669">
        <f t="shared" ref="O4:O15" si="0">N4*M4</f>
        <v>57420</v>
      </c>
      <c r="Q4" s="2671">
        <f>G4/5</f>
        <v>11484</v>
      </c>
      <c r="R4" s="2668" t="s">
        <v>5012</v>
      </c>
    </row>
    <row r="5" spans="1:18" s="2670" customFormat="1" ht="25.5">
      <c r="A5" s="2660">
        <v>2</v>
      </c>
      <c r="B5" s="2661" t="s">
        <v>751</v>
      </c>
      <c r="C5" s="2662">
        <v>1</v>
      </c>
      <c r="D5" s="2663">
        <v>1</v>
      </c>
      <c r="E5" s="2664">
        <f>C5*D5</f>
        <v>1</v>
      </c>
      <c r="F5" s="2665">
        <v>69917</v>
      </c>
      <c r="G5" s="2666">
        <f>F5*E5</f>
        <v>69917</v>
      </c>
      <c r="H5" s="2667" t="s">
        <v>4630</v>
      </c>
      <c r="I5" s="2661" t="s">
        <v>751</v>
      </c>
      <c r="J5" s="2668"/>
      <c r="K5" s="2663">
        <v>1</v>
      </c>
      <c r="L5" s="2663">
        <v>1</v>
      </c>
      <c r="M5" s="2664">
        <f>K5*L5</f>
        <v>1</v>
      </c>
      <c r="N5" s="2665">
        <v>69917</v>
      </c>
      <c r="O5" s="2669">
        <f t="shared" si="0"/>
        <v>69917</v>
      </c>
      <c r="Q5" s="2671">
        <f t="shared" ref="Q5:Q56" si="1">G5/5</f>
        <v>13983.4</v>
      </c>
      <c r="R5" s="2668" t="s">
        <v>5012</v>
      </c>
    </row>
    <row r="6" spans="1:18" s="2670" customFormat="1">
      <c r="A6" s="2660">
        <v>3</v>
      </c>
      <c r="B6" s="2661" t="s">
        <v>5013</v>
      </c>
      <c r="C6" s="2662">
        <v>1</v>
      </c>
      <c r="D6" s="2663">
        <v>1</v>
      </c>
      <c r="E6" s="2664">
        <v>1</v>
      </c>
      <c r="F6" s="2665">
        <v>130025</v>
      </c>
      <c r="G6" s="2672">
        <f>F6*E6</f>
        <v>130025</v>
      </c>
      <c r="H6" s="2667" t="s">
        <v>5014</v>
      </c>
      <c r="I6" s="2661" t="s">
        <v>5013</v>
      </c>
      <c r="J6" s="2668"/>
      <c r="K6" s="2663">
        <v>1</v>
      </c>
      <c r="L6" s="2663">
        <v>1</v>
      </c>
      <c r="M6" s="2664">
        <v>1</v>
      </c>
      <c r="N6" s="2665">
        <v>130025</v>
      </c>
      <c r="O6" s="2669">
        <f t="shared" si="0"/>
        <v>130025</v>
      </c>
      <c r="Q6" s="2671"/>
      <c r="R6" s="2668"/>
    </row>
    <row r="7" spans="1:18" s="2670" customFormat="1" ht="25.5">
      <c r="A7" s="2660">
        <v>4</v>
      </c>
      <c r="B7" s="2673" t="s">
        <v>751</v>
      </c>
      <c r="C7" s="2662">
        <v>1</v>
      </c>
      <c r="D7" s="2663">
        <v>1</v>
      </c>
      <c r="E7" s="2664">
        <f>C7*D7</f>
        <v>1</v>
      </c>
      <c r="F7" s="2674">
        <v>69917</v>
      </c>
      <c r="G7" s="2666">
        <f>F7*E7</f>
        <v>69917</v>
      </c>
      <c r="H7" s="2667" t="s">
        <v>4651</v>
      </c>
      <c r="I7" s="2673" t="s">
        <v>751</v>
      </c>
      <c r="J7" s="2675"/>
      <c r="K7" s="2663">
        <v>1</v>
      </c>
      <c r="L7" s="2663">
        <v>1</v>
      </c>
      <c r="M7" s="2664">
        <f t="shared" ref="M7:M15" si="2">K7*L7</f>
        <v>1</v>
      </c>
      <c r="N7" s="2674">
        <v>69917</v>
      </c>
      <c r="O7" s="2669">
        <f t="shared" si="0"/>
        <v>69917</v>
      </c>
      <c r="Q7" s="2671">
        <f t="shared" si="1"/>
        <v>13983.4</v>
      </c>
      <c r="R7" s="2668"/>
    </row>
    <row r="8" spans="1:18" s="2670" customFormat="1" ht="51">
      <c r="A8" s="2660">
        <v>5</v>
      </c>
      <c r="B8" s="2673" t="s">
        <v>823</v>
      </c>
      <c r="C8" s="2662">
        <v>1</v>
      </c>
      <c r="D8" s="2663">
        <v>1</v>
      </c>
      <c r="E8" s="2663">
        <f>C8*D8</f>
        <v>1</v>
      </c>
      <c r="F8" s="2676">
        <v>32800</v>
      </c>
      <c r="G8" s="2672">
        <f>F8*E8</f>
        <v>32800</v>
      </c>
      <c r="H8" s="2667" t="s">
        <v>4656</v>
      </c>
      <c r="I8" s="2673" t="s">
        <v>823</v>
      </c>
      <c r="J8" s="2675"/>
      <c r="K8" s="2663">
        <v>1</v>
      </c>
      <c r="L8" s="2663">
        <v>1</v>
      </c>
      <c r="M8" s="2677">
        <f t="shared" si="2"/>
        <v>1</v>
      </c>
      <c r="N8" s="2676">
        <v>32800</v>
      </c>
      <c r="O8" s="2669">
        <f t="shared" si="0"/>
        <v>32800</v>
      </c>
      <c r="Q8" s="2671"/>
      <c r="R8" s="2668"/>
    </row>
    <row r="9" spans="1:18" s="2670" customFormat="1" ht="25.5">
      <c r="A9" s="2660">
        <v>6</v>
      </c>
      <c r="B9" s="2673" t="s">
        <v>751</v>
      </c>
      <c r="C9" s="2662">
        <v>1</v>
      </c>
      <c r="D9" s="2663">
        <v>1</v>
      </c>
      <c r="E9" s="2663">
        <v>1</v>
      </c>
      <c r="F9" s="2676">
        <v>69917</v>
      </c>
      <c r="G9" s="2666">
        <v>69917</v>
      </c>
      <c r="H9" s="2667" t="s">
        <v>4667</v>
      </c>
      <c r="I9" s="2673" t="s">
        <v>751</v>
      </c>
      <c r="J9" s="2675"/>
      <c r="K9" s="2663">
        <v>1</v>
      </c>
      <c r="L9" s="2663">
        <v>1</v>
      </c>
      <c r="M9" s="2663">
        <f t="shared" si="2"/>
        <v>1</v>
      </c>
      <c r="N9" s="2676">
        <v>69917</v>
      </c>
      <c r="O9" s="2669">
        <f t="shared" si="0"/>
        <v>69917</v>
      </c>
      <c r="Q9" s="2671">
        <f t="shared" si="1"/>
        <v>13983.4</v>
      </c>
      <c r="R9" s="2668"/>
    </row>
    <row r="10" spans="1:18" s="2670" customFormat="1" ht="63" customHeight="1">
      <c r="A10" s="2660">
        <v>7</v>
      </c>
      <c r="B10" s="2673" t="s">
        <v>4663</v>
      </c>
      <c r="C10" s="2662">
        <v>1</v>
      </c>
      <c r="D10" s="2663">
        <v>1</v>
      </c>
      <c r="E10" s="2663">
        <v>1</v>
      </c>
      <c r="F10" s="2676">
        <v>34156</v>
      </c>
      <c r="G10" s="2666">
        <v>34156</v>
      </c>
      <c r="H10" s="2667" t="s">
        <v>4662</v>
      </c>
      <c r="I10" s="2673" t="s">
        <v>4663</v>
      </c>
      <c r="J10" s="2675"/>
      <c r="K10" s="2663">
        <v>1</v>
      </c>
      <c r="L10" s="2663">
        <v>1</v>
      </c>
      <c r="M10" s="2663">
        <f t="shared" si="2"/>
        <v>1</v>
      </c>
      <c r="N10" s="2676">
        <v>34156</v>
      </c>
      <c r="O10" s="2669">
        <f t="shared" si="0"/>
        <v>34156</v>
      </c>
      <c r="Q10" s="2671">
        <f t="shared" si="1"/>
        <v>6831.2</v>
      </c>
      <c r="R10" s="2668"/>
    </row>
    <row r="11" spans="1:18" s="2670" customFormat="1" ht="32.25" customHeight="1">
      <c r="A11" s="2660">
        <v>8</v>
      </c>
      <c r="B11" s="2673" t="s">
        <v>913</v>
      </c>
      <c r="C11" s="2662">
        <v>1</v>
      </c>
      <c r="D11" s="2663">
        <v>1</v>
      </c>
      <c r="E11" s="2663">
        <f>C11*D11</f>
        <v>1</v>
      </c>
      <c r="F11" s="2676">
        <v>58751</v>
      </c>
      <c r="G11" s="2666">
        <f>F11*E11</f>
        <v>58751</v>
      </c>
      <c r="H11" s="2667" t="s">
        <v>4683</v>
      </c>
      <c r="I11" s="2673" t="s">
        <v>913</v>
      </c>
      <c r="J11" s="2675"/>
      <c r="K11" s="2663">
        <v>1</v>
      </c>
      <c r="L11" s="2663">
        <v>1</v>
      </c>
      <c r="M11" s="2663">
        <f t="shared" si="2"/>
        <v>1</v>
      </c>
      <c r="N11" s="2676">
        <v>58751</v>
      </c>
      <c r="O11" s="2669">
        <f t="shared" si="0"/>
        <v>58751</v>
      </c>
      <c r="Q11" s="2671">
        <f t="shared" si="1"/>
        <v>11750.2</v>
      </c>
      <c r="R11" s="2668"/>
    </row>
    <row r="12" spans="1:18" s="2670" customFormat="1" ht="32.25" customHeight="1">
      <c r="A12" s="2660">
        <v>9</v>
      </c>
      <c r="B12" s="2673" t="s">
        <v>4569</v>
      </c>
      <c r="C12" s="2662">
        <v>1</v>
      </c>
      <c r="D12" s="2663">
        <v>1</v>
      </c>
      <c r="E12" s="2663">
        <f>C12*D12</f>
        <v>1</v>
      </c>
      <c r="F12" s="2676">
        <v>62576</v>
      </c>
      <c r="G12" s="2666">
        <f>F12*E12</f>
        <v>62576</v>
      </c>
      <c r="H12" s="2667" t="s">
        <v>4686</v>
      </c>
      <c r="I12" s="2673" t="s">
        <v>4569</v>
      </c>
      <c r="J12" s="2675"/>
      <c r="K12" s="2663">
        <v>1</v>
      </c>
      <c r="L12" s="2663">
        <v>1</v>
      </c>
      <c r="M12" s="2663">
        <f t="shared" si="2"/>
        <v>1</v>
      </c>
      <c r="N12" s="2676">
        <v>62576</v>
      </c>
      <c r="O12" s="2669">
        <f t="shared" si="0"/>
        <v>62576</v>
      </c>
      <c r="Q12" s="2671">
        <f t="shared" si="1"/>
        <v>12515.2</v>
      </c>
      <c r="R12" s="2668"/>
    </row>
    <row r="13" spans="1:18" s="2670" customFormat="1" ht="32.25" customHeight="1">
      <c r="A13" s="2660">
        <v>10</v>
      </c>
      <c r="B13" s="2673" t="s">
        <v>4616</v>
      </c>
      <c r="C13" s="2662">
        <v>3</v>
      </c>
      <c r="D13" s="2663">
        <v>1</v>
      </c>
      <c r="E13" s="2663">
        <f>C13*D13</f>
        <v>3</v>
      </c>
      <c r="F13" s="2676">
        <v>36698</v>
      </c>
      <c r="G13" s="2666">
        <f>F13*E13</f>
        <v>110094</v>
      </c>
      <c r="H13" s="2667" t="s">
        <v>4690</v>
      </c>
      <c r="I13" s="2673" t="s">
        <v>4616</v>
      </c>
      <c r="J13" s="2675"/>
      <c r="K13" s="2663">
        <v>3</v>
      </c>
      <c r="L13" s="2663">
        <v>1</v>
      </c>
      <c r="M13" s="2663">
        <f t="shared" si="2"/>
        <v>3</v>
      </c>
      <c r="N13" s="2676">
        <v>36698</v>
      </c>
      <c r="O13" s="2669">
        <f t="shared" si="0"/>
        <v>110094</v>
      </c>
      <c r="Q13" s="2671">
        <f t="shared" si="1"/>
        <v>22018.799999999999</v>
      </c>
      <c r="R13" s="2668"/>
    </row>
    <row r="14" spans="1:18" s="2670" customFormat="1" ht="32.25" customHeight="1">
      <c r="A14" s="2660">
        <v>11</v>
      </c>
      <c r="B14" s="2673" t="s">
        <v>870</v>
      </c>
      <c r="C14" s="2662">
        <v>1</v>
      </c>
      <c r="D14" s="2663">
        <v>1</v>
      </c>
      <c r="E14" s="2663">
        <f>C14*D14</f>
        <v>1</v>
      </c>
      <c r="F14" s="2676">
        <v>87633</v>
      </c>
      <c r="G14" s="2672">
        <f>F14*E14</f>
        <v>87633</v>
      </c>
      <c r="H14" s="2667" t="s">
        <v>4708</v>
      </c>
      <c r="I14" s="2673" t="s">
        <v>870</v>
      </c>
      <c r="J14" s="2675"/>
      <c r="K14" s="2663">
        <v>1</v>
      </c>
      <c r="L14" s="2663">
        <v>1</v>
      </c>
      <c r="M14" s="2663">
        <f t="shared" si="2"/>
        <v>1</v>
      </c>
      <c r="N14" s="2676">
        <v>87633</v>
      </c>
      <c r="O14" s="2669">
        <f t="shared" si="0"/>
        <v>87633</v>
      </c>
      <c r="Q14" s="2671"/>
      <c r="R14" s="2668"/>
    </row>
    <row r="15" spans="1:18" s="2670" customFormat="1" ht="53.25" customHeight="1">
      <c r="A15" s="2660">
        <v>12</v>
      </c>
      <c r="B15" s="2673" t="s">
        <v>4717</v>
      </c>
      <c r="C15" s="2662">
        <v>1</v>
      </c>
      <c r="D15" s="2663">
        <v>1</v>
      </c>
      <c r="E15" s="2663">
        <v>1</v>
      </c>
      <c r="F15" s="2676">
        <v>58751</v>
      </c>
      <c r="G15" s="2666">
        <v>58751</v>
      </c>
      <c r="H15" s="2667" t="s">
        <v>4716</v>
      </c>
      <c r="I15" s="2673" t="s">
        <v>4717</v>
      </c>
      <c r="J15" s="2675"/>
      <c r="K15" s="2663">
        <v>1</v>
      </c>
      <c r="L15" s="2663">
        <v>1</v>
      </c>
      <c r="M15" s="2663">
        <f t="shared" si="2"/>
        <v>1</v>
      </c>
      <c r="N15" s="2676">
        <v>58751</v>
      </c>
      <c r="O15" s="2669">
        <f t="shared" si="0"/>
        <v>58751</v>
      </c>
      <c r="Q15" s="2671">
        <f t="shared" si="1"/>
        <v>11750.2</v>
      </c>
      <c r="R15" s="2668"/>
    </row>
    <row r="16" spans="1:18" s="2670" customFormat="1" ht="25.5">
      <c r="A16" s="2660">
        <v>13</v>
      </c>
      <c r="B16" s="2673" t="s">
        <v>4723</v>
      </c>
      <c r="C16" s="2662">
        <v>2</v>
      </c>
      <c r="D16" s="2663">
        <v>1</v>
      </c>
      <c r="E16" s="2663">
        <v>2</v>
      </c>
      <c r="F16" s="2676">
        <v>50050</v>
      </c>
      <c r="G16" s="2666">
        <v>100100</v>
      </c>
      <c r="I16" s="2669"/>
      <c r="P16" s="2678">
        <v>0.15</v>
      </c>
      <c r="Q16" s="2671">
        <f t="shared" si="1"/>
        <v>20020</v>
      </c>
      <c r="R16" s="2668"/>
    </row>
    <row r="17" spans="1:49" s="2670" customFormat="1" ht="25.5">
      <c r="A17" s="2660">
        <v>14</v>
      </c>
      <c r="B17" s="2673" t="s">
        <v>751</v>
      </c>
      <c r="C17" s="2662">
        <v>1</v>
      </c>
      <c r="D17" s="2663">
        <v>1</v>
      </c>
      <c r="E17" s="2663">
        <f>C17*D17</f>
        <v>1</v>
      </c>
      <c r="F17" s="2676">
        <v>69917</v>
      </c>
      <c r="G17" s="2666">
        <f>F17*E17</f>
        <v>69917</v>
      </c>
      <c r="H17" s="2667" t="s">
        <v>4733</v>
      </c>
      <c r="I17" s="2673" t="s">
        <v>751</v>
      </c>
      <c r="J17" s="2675"/>
      <c r="K17" s="2663">
        <v>1</v>
      </c>
      <c r="L17" s="2663">
        <v>1</v>
      </c>
      <c r="M17" s="2663">
        <f>K17*L17</f>
        <v>1</v>
      </c>
      <c r="N17" s="2676">
        <v>69917</v>
      </c>
      <c r="O17" s="2669">
        <f t="shared" ref="O17:O55" si="3">N17*M17</f>
        <v>69917</v>
      </c>
      <c r="Q17" s="2671">
        <f t="shared" si="1"/>
        <v>13983.4</v>
      </c>
      <c r="R17" s="2668"/>
    </row>
    <row r="18" spans="1:49" s="2670" customFormat="1" ht="69.75" customHeight="1">
      <c r="A18" s="2660">
        <v>15</v>
      </c>
      <c r="B18" s="2673" t="s">
        <v>4663</v>
      </c>
      <c r="C18" s="2662">
        <v>1</v>
      </c>
      <c r="D18" s="2663">
        <v>1</v>
      </c>
      <c r="E18" s="2663">
        <v>1</v>
      </c>
      <c r="F18" s="2676">
        <v>34156</v>
      </c>
      <c r="G18" s="2666">
        <v>34156</v>
      </c>
      <c r="H18" s="2667" t="s">
        <v>4739</v>
      </c>
      <c r="I18" s="2673" t="s">
        <v>4663</v>
      </c>
      <c r="J18" s="2673"/>
      <c r="K18" s="2663">
        <v>1</v>
      </c>
      <c r="L18" s="2663">
        <v>1</v>
      </c>
      <c r="M18" s="2663">
        <f>K18*L18</f>
        <v>1</v>
      </c>
      <c r="N18" s="2676">
        <v>34156</v>
      </c>
      <c r="O18" s="2669">
        <f t="shared" si="3"/>
        <v>34156</v>
      </c>
      <c r="Q18" s="2671">
        <f t="shared" si="1"/>
        <v>6831.2</v>
      </c>
      <c r="R18" s="2668"/>
    </row>
    <row r="19" spans="1:49" s="2670" customFormat="1" ht="25.5">
      <c r="A19" s="2660">
        <v>16</v>
      </c>
      <c r="B19" s="2673" t="s">
        <v>752</v>
      </c>
      <c r="C19" s="2662">
        <v>1</v>
      </c>
      <c r="D19" s="2663">
        <v>1</v>
      </c>
      <c r="E19" s="2663">
        <v>1</v>
      </c>
      <c r="F19" s="2676">
        <v>69917</v>
      </c>
      <c r="G19" s="2666">
        <v>69917</v>
      </c>
      <c r="H19" s="2667" t="s">
        <v>4743</v>
      </c>
      <c r="I19" s="2673" t="s">
        <v>752</v>
      </c>
      <c r="J19" s="2673"/>
      <c r="K19" s="2663">
        <v>1</v>
      </c>
      <c r="L19" s="2663">
        <v>1</v>
      </c>
      <c r="M19" s="2663">
        <f>K19*L19</f>
        <v>1</v>
      </c>
      <c r="N19" s="2676">
        <v>69917</v>
      </c>
      <c r="O19" s="2669">
        <f t="shared" si="3"/>
        <v>69917</v>
      </c>
      <c r="Q19" s="2671">
        <f t="shared" si="1"/>
        <v>13983.4</v>
      </c>
      <c r="R19" s="2668"/>
    </row>
    <row r="20" spans="1:49" s="2670" customFormat="1" ht="30" customHeight="1">
      <c r="A20" s="2660">
        <v>17</v>
      </c>
      <c r="B20" s="2673" t="s">
        <v>4567</v>
      </c>
      <c r="C20" s="2662">
        <v>1</v>
      </c>
      <c r="D20" s="2663">
        <v>1</v>
      </c>
      <c r="E20" s="2663">
        <f>C20*D20</f>
        <v>1</v>
      </c>
      <c r="F20" s="2676">
        <v>39768</v>
      </c>
      <c r="G20" s="2666">
        <f>F20*E20</f>
        <v>39768</v>
      </c>
      <c r="H20" s="2667" t="s">
        <v>4744</v>
      </c>
      <c r="I20" s="2673" t="s">
        <v>4567</v>
      </c>
      <c r="J20" s="2673"/>
      <c r="K20" s="2663">
        <v>1</v>
      </c>
      <c r="L20" s="2663">
        <v>1</v>
      </c>
      <c r="M20" s="2663">
        <f>K20*L20</f>
        <v>1</v>
      </c>
      <c r="N20" s="2676">
        <v>39768</v>
      </c>
      <c r="O20" s="2669">
        <f t="shared" si="3"/>
        <v>39768</v>
      </c>
      <c r="Q20" s="2671">
        <f t="shared" si="1"/>
        <v>7953.6</v>
      </c>
      <c r="R20" s="2668"/>
    </row>
    <row r="21" spans="1:49" s="2670" customFormat="1" ht="25.5">
      <c r="A21" s="2660">
        <v>18</v>
      </c>
      <c r="B21" s="2673" t="s">
        <v>752</v>
      </c>
      <c r="C21" s="2662">
        <v>1</v>
      </c>
      <c r="D21" s="2663">
        <v>1</v>
      </c>
      <c r="E21" s="2663">
        <f>C21*D21</f>
        <v>1</v>
      </c>
      <c r="F21" s="2676">
        <v>69917</v>
      </c>
      <c r="G21" s="2666">
        <f>F21*E21</f>
        <v>69917</v>
      </c>
      <c r="H21" s="2667" t="s">
        <v>4749</v>
      </c>
      <c r="I21" s="2673" t="s">
        <v>752</v>
      </c>
      <c r="J21" s="2673"/>
      <c r="K21" s="2663">
        <v>1</v>
      </c>
      <c r="L21" s="2663">
        <v>1</v>
      </c>
      <c r="M21" s="2663">
        <f>K21*L21</f>
        <v>1</v>
      </c>
      <c r="N21" s="2676">
        <v>69917</v>
      </c>
      <c r="O21" s="2669">
        <f t="shared" si="3"/>
        <v>69917</v>
      </c>
      <c r="Q21" s="2671">
        <f t="shared" si="1"/>
        <v>13983.4</v>
      </c>
      <c r="R21" s="2668"/>
    </row>
    <row r="22" spans="1:49" s="2670" customFormat="1">
      <c r="A22" s="2660">
        <v>19</v>
      </c>
      <c r="B22" s="2673" t="s">
        <v>5013</v>
      </c>
      <c r="C22" s="2662">
        <v>1</v>
      </c>
      <c r="D22" s="2663">
        <v>1</v>
      </c>
      <c r="E22" s="2663">
        <v>1</v>
      </c>
      <c r="F22" s="2676">
        <v>130025</v>
      </c>
      <c r="G22" s="2672">
        <v>130025</v>
      </c>
      <c r="H22" s="2667" t="s">
        <v>5015</v>
      </c>
      <c r="I22" s="2673" t="s">
        <v>5013</v>
      </c>
      <c r="J22" s="2673"/>
      <c r="K22" s="2663">
        <v>1</v>
      </c>
      <c r="L22" s="2663">
        <v>1</v>
      </c>
      <c r="M22" s="2663">
        <v>1</v>
      </c>
      <c r="N22" s="2676">
        <v>130025</v>
      </c>
      <c r="O22" s="2669">
        <f t="shared" si="3"/>
        <v>130025</v>
      </c>
      <c r="Q22" s="2671"/>
      <c r="R22" s="2668"/>
    </row>
    <row r="23" spans="1:49" s="2670" customFormat="1" ht="51">
      <c r="A23" s="2660">
        <v>20</v>
      </c>
      <c r="B23" s="2673" t="s">
        <v>4568</v>
      </c>
      <c r="C23" s="2662">
        <v>1</v>
      </c>
      <c r="D23" s="2663">
        <v>1</v>
      </c>
      <c r="E23" s="2663">
        <v>1</v>
      </c>
      <c r="F23" s="2676">
        <v>59756</v>
      </c>
      <c r="G23" s="2666">
        <v>59756</v>
      </c>
      <c r="H23" s="2667" t="s">
        <v>4756</v>
      </c>
      <c r="I23" s="2673" t="s">
        <v>4568</v>
      </c>
      <c r="J23" s="2673"/>
      <c r="K23" s="2663">
        <v>1</v>
      </c>
      <c r="L23" s="2663">
        <v>1</v>
      </c>
      <c r="M23" s="2663">
        <f t="shared" ref="M23:M31" si="4">K23*L23</f>
        <v>1</v>
      </c>
      <c r="N23" s="2676">
        <v>59756</v>
      </c>
      <c r="O23" s="2669">
        <f t="shared" si="3"/>
        <v>59756</v>
      </c>
      <c r="Q23" s="2671">
        <f t="shared" si="1"/>
        <v>11951.2</v>
      </c>
      <c r="R23" s="2668"/>
    </row>
    <row r="24" spans="1:49" s="2670" customFormat="1" ht="51">
      <c r="A24" s="2660">
        <v>21</v>
      </c>
      <c r="B24" s="2673" t="s">
        <v>913</v>
      </c>
      <c r="C24" s="2662">
        <v>1</v>
      </c>
      <c r="D24" s="2663">
        <v>1</v>
      </c>
      <c r="E24" s="2663">
        <f t="shared" ref="E24:E29" si="5">C24*D24</f>
        <v>1</v>
      </c>
      <c r="F24" s="2676">
        <v>58751</v>
      </c>
      <c r="G24" s="2666">
        <f t="shared" ref="G24:G29" si="6">F24*E24</f>
        <v>58751</v>
      </c>
      <c r="H24" s="2667" t="s">
        <v>4758</v>
      </c>
      <c r="I24" s="2673" t="s">
        <v>913</v>
      </c>
      <c r="J24" s="2673"/>
      <c r="K24" s="2663">
        <v>1</v>
      </c>
      <c r="L24" s="2663">
        <v>1</v>
      </c>
      <c r="M24" s="2663">
        <f t="shared" si="4"/>
        <v>1</v>
      </c>
      <c r="N24" s="2676">
        <v>58751</v>
      </c>
      <c r="O24" s="2669">
        <f t="shared" si="3"/>
        <v>58751</v>
      </c>
      <c r="Q24" s="2671">
        <f t="shared" si="1"/>
        <v>11750.2</v>
      </c>
      <c r="R24" s="2668"/>
    </row>
    <row r="25" spans="1:49" s="2670" customFormat="1" ht="26.25" customHeight="1">
      <c r="A25" s="2660">
        <v>23</v>
      </c>
      <c r="B25" s="2673" t="s">
        <v>4567</v>
      </c>
      <c r="C25" s="2662">
        <v>4</v>
      </c>
      <c r="D25" s="2663">
        <v>1</v>
      </c>
      <c r="E25" s="2663">
        <f t="shared" si="5"/>
        <v>4</v>
      </c>
      <c r="F25" s="2676">
        <v>39768</v>
      </c>
      <c r="G25" s="2666">
        <f t="shared" si="6"/>
        <v>159072</v>
      </c>
      <c r="H25" s="2667" t="s">
        <v>4784</v>
      </c>
      <c r="I25" s="2673" t="s">
        <v>4567</v>
      </c>
      <c r="J25" s="2673"/>
      <c r="K25" s="2663">
        <v>4</v>
      </c>
      <c r="L25" s="2663">
        <v>1</v>
      </c>
      <c r="M25" s="2663">
        <f t="shared" si="4"/>
        <v>4</v>
      </c>
      <c r="N25" s="2676">
        <v>39768</v>
      </c>
      <c r="O25" s="2669">
        <f t="shared" si="3"/>
        <v>159072</v>
      </c>
      <c r="Q25" s="2671">
        <f t="shared" si="1"/>
        <v>31814.400000000001</v>
      </c>
      <c r="R25" s="2668"/>
    </row>
    <row r="26" spans="1:49" s="2684" customFormat="1" ht="44.25" customHeight="1">
      <c r="A26" s="2660">
        <v>25</v>
      </c>
      <c r="B26" s="2679" t="s">
        <v>915</v>
      </c>
      <c r="C26" s="2680">
        <v>2</v>
      </c>
      <c r="D26" s="2681">
        <v>1</v>
      </c>
      <c r="E26" s="2681">
        <f t="shared" si="5"/>
        <v>2</v>
      </c>
      <c r="F26" s="2676">
        <v>50169</v>
      </c>
      <c r="G26" s="2666">
        <f t="shared" si="6"/>
        <v>100338</v>
      </c>
      <c r="H26" s="2667" t="s">
        <v>4794</v>
      </c>
      <c r="I26" s="2673" t="s">
        <v>915</v>
      </c>
      <c r="J26" s="2673"/>
      <c r="K26" s="2663">
        <v>2</v>
      </c>
      <c r="L26" s="2663">
        <v>1</v>
      </c>
      <c r="M26" s="2663">
        <f t="shared" si="4"/>
        <v>2</v>
      </c>
      <c r="N26" s="2676">
        <v>50169</v>
      </c>
      <c r="O26" s="2669">
        <f t="shared" si="3"/>
        <v>100338</v>
      </c>
      <c r="P26" s="2682"/>
      <c r="Q26" s="2671">
        <f t="shared" si="1"/>
        <v>20067.599999999999</v>
      </c>
      <c r="R26" s="2683"/>
      <c r="S26" s="2682"/>
      <c r="T26" s="2682"/>
      <c r="U26" s="2682"/>
      <c r="V26" s="2682"/>
      <c r="W26" s="2682"/>
      <c r="X26" s="2682"/>
      <c r="Y26" s="2682"/>
      <c r="Z26" s="2682"/>
      <c r="AA26" s="2682"/>
      <c r="AB26" s="2682"/>
      <c r="AC26" s="2682"/>
      <c r="AD26" s="2682"/>
      <c r="AE26" s="2682"/>
      <c r="AF26" s="2682"/>
      <c r="AG26" s="2682"/>
      <c r="AH26" s="2682"/>
      <c r="AI26" s="2682"/>
      <c r="AJ26" s="2682"/>
      <c r="AK26" s="2682"/>
      <c r="AL26" s="2682"/>
      <c r="AM26" s="2682"/>
      <c r="AN26" s="2682"/>
      <c r="AO26" s="2682"/>
      <c r="AP26" s="2682"/>
      <c r="AQ26" s="2682"/>
      <c r="AR26" s="2682"/>
      <c r="AS26" s="2682"/>
      <c r="AT26" s="2682"/>
      <c r="AU26" s="2682"/>
      <c r="AV26" s="2682"/>
      <c r="AW26" s="2682"/>
    </row>
    <row r="27" spans="1:49" s="2670" customFormat="1" ht="38.25">
      <c r="A27" s="2660">
        <v>26</v>
      </c>
      <c r="B27" s="2673" t="s">
        <v>748</v>
      </c>
      <c r="C27" s="2662">
        <v>1</v>
      </c>
      <c r="D27" s="2663">
        <v>1</v>
      </c>
      <c r="E27" s="2663">
        <f t="shared" si="5"/>
        <v>1</v>
      </c>
      <c r="F27" s="2676">
        <v>113040</v>
      </c>
      <c r="G27" s="2666">
        <f t="shared" si="6"/>
        <v>113040</v>
      </c>
      <c r="H27" s="2667" t="s">
        <v>4801</v>
      </c>
      <c r="I27" s="2673" t="s">
        <v>748</v>
      </c>
      <c r="J27" s="2673"/>
      <c r="K27" s="2663">
        <v>1</v>
      </c>
      <c r="L27" s="2663">
        <v>1</v>
      </c>
      <c r="M27" s="2663">
        <f t="shared" si="4"/>
        <v>1</v>
      </c>
      <c r="N27" s="2676">
        <v>113040</v>
      </c>
      <c r="O27" s="2669">
        <f t="shared" si="3"/>
        <v>113040</v>
      </c>
      <c r="Q27" s="2671">
        <f t="shared" si="1"/>
        <v>22608</v>
      </c>
      <c r="R27" s="2668"/>
    </row>
    <row r="28" spans="1:49" s="2670" customFormat="1" ht="25.5">
      <c r="A28" s="2660">
        <v>27</v>
      </c>
      <c r="B28" s="2673" t="s">
        <v>752</v>
      </c>
      <c r="C28" s="2662">
        <v>1</v>
      </c>
      <c r="D28" s="2663">
        <v>1</v>
      </c>
      <c r="E28" s="2663">
        <f t="shared" si="5"/>
        <v>1</v>
      </c>
      <c r="F28" s="2676">
        <v>69917</v>
      </c>
      <c r="G28" s="2666">
        <f t="shared" si="6"/>
        <v>69917</v>
      </c>
      <c r="H28" s="2667" t="s">
        <v>4804</v>
      </c>
      <c r="I28" s="2673" t="s">
        <v>752</v>
      </c>
      <c r="J28" s="2673"/>
      <c r="K28" s="2663">
        <v>1</v>
      </c>
      <c r="L28" s="2663">
        <v>1</v>
      </c>
      <c r="M28" s="2663">
        <f t="shared" si="4"/>
        <v>1</v>
      </c>
      <c r="N28" s="2676">
        <v>69917</v>
      </c>
      <c r="O28" s="2669">
        <f t="shared" si="3"/>
        <v>69917</v>
      </c>
      <c r="Q28" s="2671">
        <f t="shared" si="1"/>
        <v>13983.4</v>
      </c>
      <c r="R28" s="2668"/>
    </row>
    <row r="29" spans="1:49" s="2670" customFormat="1" ht="38.25">
      <c r="A29" s="2660">
        <v>28</v>
      </c>
      <c r="B29" s="2673" t="s">
        <v>4516</v>
      </c>
      <c r="C29" s="2662">
        <v>2</v>
      </c>
      <c r="D29" s="2663">
        <v>2</v>
      </c>
      <c r="E29" s="2663">
        <f t="shared" si="5"/>
        <v>4</v>
      </c>
      <c r="F29" s="2676">
        <v>17000</v>
      </c>
      <c r="G29" s="2672">
        <f t="shared" si="6"/>
        <v>68000</v>
      </c>
      <c r="H29" s="2667" t="s">
        <v>4812</v>
      </c>
      <c r="I29" s="2673" t="s">
        <v>4516</v>
      </c>
      <c r="J29" s="2673"/>
      <c r="K29" s="2663">
        <v>2</v>
      </c>
      <c r="L29" s="2663">
        <v>2</v>
      </c>
      <c r="M29" s="2663">
        <f t="shared" si="4"/>
        <v>4</v>
      </c>
      <c r="N29" s="2676">
        <v>17000</v>
      </c>
      <c r="O29" s="2669">
        <f t="shared" si="3"/>
        <v>68000</v>
      </c>
      <c r="Q29" s="2671"/>
      <c r="R29" s="2668"/>
    </row>
    <row r="30" spans="1:49" s="2670" customFormat="1" ht="38.25">
      <c r="A30" s="2660">
        <v>29</v>
      </c>
      <c r="B30" s="2673" t="s">
        <v>966</v>
      </c>
      <c r="C30" s="2662">
        <v>1</v>
      </c>
      <c r="D30" s="2663">
        <v>1</v>
      </c>
      <c r="E30" s="2663">
        <v>1</v>
      </c>
      <c r="F30" s="2676">
        <v>21440</v>
      </c>
      <c r="G30" s="2666">
        <v>21440</v>
      </c>
      <c r="H30" s="2667" t="s">
        <v>4816</v>
      </c>
      <c r="I30" s="2673" t="s">
        <v>966</v>
      </c>
      <c r="J30" s="2673"/>
      <c r="K30" s="2663">
        <v>1</v>
      </c>
      <c r="L30" s="2663">
        <v>1</v>
      </c>
      <c r="M30" s="2663">
        <f t="shared" si="4"/>
        <v>1</v>
      </c>
      <c r="N30" s="2676">
        <v>21440</v>
      </c>
      <c r="O30" s="2669">
        <f t="shared" si="3"/>
        <v>21440</v>
      </c>
      <c r="Q30" s="2671">
        <f t="shared" si="1"/>
        <v>4288</v>
      </c>
      <c r="R30" s="2668"/>
    </row>
    <row r="31" spans="1:49" s="2670" customFormat="1" ht="38.25">
      <c r="A31" s="2660">
        <v>30</v>
      </c>
      <c r="B31" s="2685" t="s">
        <v>4818</v>
      </c>
      <c r="C31" s="2662">
        <v>1</v>
      </c>
      <c r="D31" s="2663">
        <v>1</v>
      </c>
      <c r="E31" s="2663">
        <v>1</v>
      </c>
      <c r="F31" s="2676">
        <v>10760</v>
      </c>
      <c r="G31" s="2666">
        <v>10760</v>
      </c>
      <c r="H31" s="2667" t="s">
        <v>4817</v>
      </c>
      <c r="I31" s="2685" t="s">
        <v>4818</v>
      </c>
      <c r="J31" s="2673"/>
      <c r="K31" s="2663">
        <v>1</v>
      </c>
      <c r="L31" s="2663">
        <v>1</v>
      </c>
      <c r="M31" s="2663">
        <f t="shared" si="4"/>
        <v>1</v>
      </c>
      <c r="N31" s="2676">
        <v>10760</v>
      </c>
      <c r="O31" s="2669">
        <f t="shared" si="3"/>
        <v>10760</v>
      </c>
      <c r="Q31" s="2671">
        <f t="shared" si="1"/>
        <v>2152</v>
      </c>
      <c r="R31" s="2668"/>
    </row>
    <row r="32" spans="1:49" s="2670" customFormat="1" ht="25.5">
      <c r="A32" s="2660">
        <v>31</v>
      </c>
      <c r="B32" s="2673" t="s">
        <v>4827</v>
      </c>
      <c r="C32" s="2662"/>
      <c r="D32" s="2663"/>
      <c r="E32" s="2663">
        <v>1</v>
      </c>
      <c r="F32" s="2676">
        <v>1207988</v>
      </c>
      <c r="G32" s="2666">
        <v>1207988</v>
      </c>
      <c r="H32" s="2667" t="s">
        <v>4826</v>
      </c>
      <c r="I32" s="2673" t="s">
        <v>4827</v>
      </c>
      <c r="J32" s="2673"/>
      <c r="K32" s="2663"/>
      <c r="L32" s="2663"/>
      <c r="M32" s="2663">
        <v>1</v>
      </c>
      <c r="N32" s="2676">
        <v>1207988</v>
      </c>
      <c r="O32" s="2669">
        <f t="shared" si="3"/>
        <v>1207988</v>
      </c>
      <c r="Q32" s="2671">
        <f>G32/1</f>
        <v>1207988</v>
      </c>
      <c r="R32" s="2668" t="s">
        <v>5016</v>
      </c>
    </row>
    <row r="33" spans="1:18" s="2670" customFormat="1" ht="51">
      <c r="A33" s="2660">
        <v>32</v>
      </c>
      <c r="B33" s="2673" t="s">
        <v>4829</v>
      </c>
      <c r="C33" s="2662"/>
      <c r="D33" s="2663"/>
      <c r="E33" s="2663">
        <v>1</v>
      </c>
      <c r="F33" s="2676">
        <v>918800</v>
      </c>
      <c r="G33" s="2666">
        <v>918800</v>
      </c>
      <c r="H33" s="2667" t="s">
        <v>4828</v>
      </c>
      <c r="I33" s="2673" t="s">
        <v>4829</v>
      </c>
      <c r="J33" s="2673"/>
      <c r="K33" s="2663"/>
      <c r="L33" s="2663"/>
      <c r="M33" s="2663">
        <v>1</v>
      </c>
      <c r="N33" s="2676">
        <v>918800</v>
      </c>
      <c r="O33" s="2669">
        <f t="shared" si="3"/>
        <v>918800</v>
      </c>
      <c r="Q33" s="2671">
        <f>G33/1</f>
        <v>918800</v>
      </c>
      <c r="R33" s="2668" t="s">
        <v>5016</v>
      </c>
    </row>
    <row r="34" spans="1:18" s="2670" customFormat="1">
      <c r="A34" s="2660">
        <v>33</v>
      </c>
      <c r="B34" s="2673" t="s">
        <v>5017</v>
      </c>
      <c r="C34" s="2662">
        <v>250</v>
      </c>
      <c r="D34" s="2663">
        <v>1</v>
      </c>
      <c r="E34" s="2663">
        <v>250</v>
      </c>
      <c r="F34" s="2676">
        <v>1065</v>
      </c>
      <c r="G34" s="2666">
        <v>266250</v>
      </c>
      <c r="H34" s="2667" t="s">
        <v>4830</v>
      </c>
      <c r="I34" s="2673" t="s">
        <v>5017</v>
      </c>
      <c r="J34" s="2673"/>
      <c r="K34" s="2663">
        <v>250</v>
      </c>
      <c r="L34" s="2663">
        <v>1</v>
      </c>
      <c r="M34" s="2663">
        <f t="shared" ref="M34:M53" si="7">K34*L34</f>
        <v>250</v>
      </c>
      <c r="N34" s="2676">
        <v>1065</v>
      </c>
      <c r="O34" s="2669">
        <f t="shared" si="3"/>
        <v>266250</v>
      </c>
      <c r="Q34" s="2671">
        <f t="shared" si="1"/>
        <v>53250</v>
      </c>
      <c r="R34" s="2668"/>
    </row>
    <row r="35" spans="1:18" s="2670" customFormat="1" ht="25.5">
      <c r="A35" s="2660">
        <v>34</v>
      </c>
      <c r="B35" s="2673" t="s">
        <v>4837</v>
      </c>
      <c r="C35" s="2662">
        <v>16</v>
      </c>
      <c r="D35" s="2663">
        <v>1</v>
      </c>
      <c r="E35" s="2663">
        <v>16</v>
      </c>
      <c r="F35" s="2676">
        <v>18200</v>
      </c>
      <c r="G35" s="2666">
        <v>291200</v>
      </c>
      <c r="H35" s="2667" t="s">
        <v>4836</v>
      </c>
      <c r="I35" s="2673" t="s">
        <v>4837</v>
      </c>
      <c r="J35" s="2673"/>
      <c r="K35" s="2663">
        <v>16</v>
      </c>
      <c r="L35" s="2663">
        <v>1</v>
      </c>
      <c r="M35" s="2663">
        <f t="shared" si="7"/>
        <v>16</v>
      </c>
      <c r="N35" s="2676">
        <v>18200</v>
      </c>
      <c r="O35" s="2669">
        <f t="shared" si="3"/>
        <v>291200</v>
      </c>
      <c r="Q35" s="2671">
        <f t="shared" si="1"/>
        <v>58240</v>
      </c>
      <c r="R35" s="2668"/>
    </row>
    <row r="36" spans="1:18" s="2670" customFormat="1" ht="22.5" customHeight="1">
      <c r="A36" s="2660">
        <v>35</v>
      </c>
      <c r="B36" s="2673" t="s">
        <v>4833</v>
      </c>
      <c r="C36" s="2662">
        <v>8</v>
      </c>
      <c r="D36" s="2663">
        <v>1</v>
      </c>
      <c r="E36" s="2663">
        <v>8</v>
      </c>
      <c r="F36" s="2676">
        <v>10449</v>
      </c>
      <c r="G36" s="2672">
        <v>83592</v>
      </c>
      <c r="H36" s="2667" t="s">
        <v>4832</v>
      </c>
      <c r="I36" s="2673" t="s">
        <v>4833</v>
      </c>
      <c r="J36" s="2673"/>
      <c r="K36" s="2663">
        <v>8</v>
      </c>
      <c r="L36" s="2663">
        <v>1</v>
      </c>
      <c r="M36" s="2663">
        <f t="shared" si="7"/>
        <v>8</v>
      </c>
      <c r="N36" s="2676">
        <v>10449</v>
      </c>
      <c r="O36" s="2669">
        <f t="shared" si="3"/>
        <v>83592</v>
      </c>
      <c r="Q36" s="2671"/>
      <c r="R36" s="2668"/>
    </row>
    <row r="37" spans="1:18" s="2670" customFormat="1">
      <c r="A37" s="2660">
        <v>36</v>
      </c>
      <c r="B37" s="2673" t="s">
        <v>1865</v>
      </c>
      <c r="C37" s="2662">
        <v>21</v>
      </c>
      <c r="D37" s="2663">
        <v>1</v>
      </c>
      <c r="E37" s="2663">
        <v>21</v>
      </c>
      <c r="F37" s="2676">
        <v>8700</v>
      </c>
      <c r="G37" s="2672">
        <v>182700</v>
      </c>
      <c r="H37" s="2667" t="s">
        <v>4838</v>
      </c>
      <c r="I37" s="2673" t="s">
        <v>1865</v>
      </c>
      <c r="J37" s="2673"/>
      <c r="K37" s="2663">
        <v>21</v>
      </c>
      <c r="L37" s="2663">
        <v>1</v>
      </c>
      <c r="M37" s="2663">
        <f t="shared" si="7"/>
        <v>21</v>
      </c>
      <c r="N37" s="2676">
        <v>8700</v>
      </c>
      <c r="O37" s="2669">
        <f t="shared" si="3"/>
        <v>182700</v>
      </c>
      <c r="Q37" s="2671"/>
      <c r="R37" s="2668"/>
    </row>
    <row r="38" spans="1:18" s="2670" customFormat="1" ht="25.5">
      <c r="A38" s="2660">
        <v>37</v>
      </c>
      <c r="B38" s="2673" t="s">
        <v>4840</v>
      </c>
      <c r="C38" s="2662">
        <v>13</v>
      </c>
      <c r="D38" s="2663">
        <v>1</v>
      </c>
      <c r="E38" s="2663">
        <v>13</v>
      </c>
      <c r="F38" s="2676">
        <v>17260</v>
      </c>
      <c r="G38" s="2672">
        <v>224380</v>
      </c>
      <c r="H38" s="2667" t="s">
        <v>4839</v>
      </c>
      <c r="I38" s="2673" t="s">
        <v>4840</v>
      </c>
      <c r="J38" s="2673"/>
      <c r="K38" s="2663">
        <v>13</v>
      </c>
      <c r="L38" s="2663">
        <v>1</v>
      </c>
      <c r="M38" s="2663">
        <f t="shared" si="7"/>
        <v>13</v>
      </c>
      <c r="N38" s="2676">
        <v>17260</v>
      </c>
      <c r="O38" s="2669">
        <f t="shared" si="3"/>
        <v>224380</v>
      </c>
      <c r="Q38" s="2671"/>
      <c r="R38" s="2668"/>
    </row>
    <row r="39" spans="1:18" s="2670" customFormat="1" ht="25.5">
      <c r="A39" s="2660">
        <v>38</v>
      </c>
      <c r="B39" s="2673" t="s">
        <v>4842</v>
      </c>
      <c r="C39" s="2662">
        <v>12</v>
      </c>
      <c r="D39" s="2663">
        <v>1</v>
      </c>
      <c r="E39" s="2663">
        <v>12</v>
      </c>
      <c r="F39" s="2676">
        <v>8500</v>
      </c>
      <c r="G39" s="2672">
        <v>102000</v>
      </c>
      <c r="H39" s="2667" t="s">
        <v>4841</v>
      </c>
      <c r="I39" s="2673" t="s">
        <v>4842</v>
      </c>
      <c r="J39" s="2673"/>
      <c r="K39" s="2663">
        <v>12</v>
      </c>
      <c r="L39" s="2663">
        <v>1</v>
      </c>
      <c r="M39" s="2663">
        <f t="shared" si="7"/>
        <v>12</v>
      </c>
      <c r="N39" s="2676">
        <v>8500</v>
      </c>
      <c r="O39" s="2669">
        <f t="shared" si="3"/>
        <v>102000</v>
      </c>
      <c r="Q39" s="2671"/>
      <c r="R39" s="2668"/>
    </row>
    <row r="40" spans="1:18" s="2670" customFormat="1" ht="38.25">
      <c r="A40" s="2660">
        <v>39</v>
      </c>
      <c r="B40" s="2673" t="s">
        <v>4844</v>
      </c>
      <c r="C40" s="2662">
        <v>12</v>
      </c>
      <c r="D40" s="2663">
        <v>1</v>
      </c>
      <c r="E40" s="2663">
        <v>12</v>
      </c>
      <c r="F40" s="2676">
        <v>13992</v>
      </c>
      <c r="G40" s="2672">
        <v>167904</v>
      </c>
      <c r="H40" s="2667" t="s">
        <v>4843</v>
      </c>
      <c r="I40" s="2673" t="s">
        <v>4844</v>
      </c>
      <c r="J40" s="2673"/>
      <c r="K40" s="2663">
        <v>12</v>
      </c>
      <c r="L40" s="2663">
        <v>1</v>
      </c>
      <c r="M40" s="2663">
        <f t="shared" si="7"/>
        <v>12</v>
      </c>
      <c r="N40" s="2676">
        <v>13992</v>
      </c>
      <c r="O40" s="2669">
        <f t="shared" si="3"/>
        <v>167904</v>
      </c>
      <c r="Q40" s="2671"/>
      <c r="R40" s="2668"/>
    </row>
    <row r="41" spans="1:18" s="2670" customFormat="1" ht="38.25">
      <c r="A41" s="2660">
        <v>40</v>
      </c>
      <c r="B41" s="2673" t="s">
        <v>4846</v>
      </c>
      <c r="C41" s="2662">
        <v>2</v>
      </c>
      <c r="D41" s="2663">
        <v>1</v>
      </c>
      <c r="E41" s="2663">
        <f>C41*D41</f>
        <v>2</v>
      </c>
      <c r="F41" s="2676">
        <v>62000</v>
      </c>
      <c r="G41" s="2672">
        <f>F41*E41</f>
        <v>124000</v>
      </c>
      <c r="H41" s="2667" t="s">
        <v>4845</v>
      </c>
      <c r="I41" s="2673" t="s">
        <v>4846</v>
      </c>
      <c r="J41" s="2673"/>
      <c r="K41" s="2663">
        <v>2</v>
      </c>
      <c r="L41" s="2663">
        <v>1</v>
      </c>
      <c r="M41" s="2663">
        <f t="shared" si="7"/>
        <v>2</v>
      </c>
      <c r="N41" s="2676">
        <v>62000</v>
      </c>
      <c r="O41" s="2669">
        <f t="shared" si="3"/>
        <v>124000</v>
      </c>
      <c r="Q41" s="2671"/>
      <c r="R41" s="2668"/>
    </row>
    <row r="42" spans="1:18" s="2670" customFormat="1" ht="25.5">
      <c r="A42" s="2660">
        <v>41</v>
      </c>
      <c r="B42" s="2673" t="s">
        <v>5018</v>
      </c>
      <c r="C42" s="2662">
        <v>2</v>
      </c>
      <c r="D42" s="2663">
        <v>1</v>
      </c>
      <c r="E42" s="2663">
        <f>C42*D42</f>
        <v>2</v>
      </c>
      <c r="F42" s="2676">
        <v>42250</v>
      </c>
      <c r="G42" s="2672">
        <f>F42*E42</f>
        <v>84500</v>
      </c>
      <c r="H42" s="2667" t="s">
        <v>5019</v>
      </c>
      <c r="I42" s="2673" t="s">
        <v>5018</v>
      </c>
      <c r="J42" s="2673"/>
      <c r="K42" s="2663">
        <v>2</v>
      </c>
      <c r="L42" s="2663">
        <v>1</v>
      </c>
      <c r="M42" s="2663">
        <f t="shared" si="7"/>
        <v>2</v>
      </c>
      <c r="N42" s="2676">
        <v>42250</v>
      </c>
      <c r="O42" s="2669">
        <f t="shared" si="3"/>
        <v>84500</v>
      </c>
      <c r="Q42" s="2671"/>
      <c r="R42" s="2668"/>
    </row>
    <row r="43" spans="1:18" s="2670" customFormat="1" ht="38.25" customHeight="1">
      <c r="A43" s="2660">
        <v>42</v>
      </c>
      <c r="B43" s="2673" t="s">
        <v>4835</v>
      </c>
      <c r="C43" s="2662">
        <v>4</v>
      </c>
      <c r="D43" s="2663">
        <v>1</v>
      </c>
      <c r="E43" s="2663">
        <f>C43*D43</f>
        <v>4</v>
      </c>
      <c r="F43" s="2676">
        <v>45500</v>
      </c>
      <c r="G43" s="2672">
        <f>F43*E43</f>
        <v>182000</v>
      </c>
      <c r="H43" s="2667" t="s">
        <v>4834</v>
      </c>
      <c r="I43" s="2673" t="s">
        <v>4835</v>
      </c>
      <c r="J43" s="2673"/>
      <c r="K43" s="2663">
        <v>4</v>
      </c>
      <c r="L43" s="2663">
        <v>1</v>
      </c>
      <c r="M43" s="2663">
        <f t="shared" si="7"/>
        <v>4</v>
      </c>
      <c r="N43" s="2676">
        <v>45500</v>
      </c>
      <c r="O43" s="2669">
        <f t="shared" si="3"/>
        <v>182000</v>
      </c>
      <c r="Q43" s="2671"/>
      <c r="R43" s="2668"/>
    </row>
    <row r="44" spans="1:18" s="2670" customFormat="1" ht="51.75" customHeight="1">
      <c r="A44" s="2660">
        <v>43</v>
      </c>
      <c r="B44" s="2673" t="s">
        <v>4858</v>
      </c>
      <c r="C44" s="2662">
        <v>1</v>
      </c>
      <c r="D44" s="2663">
        <v>1</v>
      </c>
      <c r="E44" s="2663">
        <v>1</v>
      </c>
      <c r="F44" s="2676">
        <v>58751</v>
      </c>
      <c r="G44" s="2666">
        <v>58751</v>
      </c>
      <c r="H44" s="2668" t="s">
        <v>4857</v>
      </c>
      <c r="I44" s="2673" t="s">
        <v>4858</v>
      </c>
      <c r="J44" s="2673"/>
      <c r="K44" s="2663">
        <v>1</v>
      </c>
      <c r="L44" s="2663">
        <v>1</v>
      </c>
      <c r="M44" s="2663">
        <f t="shared" si="7"/>
        <v>1</v>
      </c>
      <c r="N44" s="2676">
        <v>58751</v>
      </c>
      <c r="O44" s="2669">
        <f t="shared" si="3"/>
        <v>58751</v>
      </c>
      <c r="Q44" s="2671">
        <f t="shared" si="1"/>
        <v>11750.2</v>
      </c>
      <c r="R44" s="2668"/>
    </row>
    <row r="45" spans="1:18" s="2670" customFormat="1" ht="24.75" customHeight="1">
      <c r="A45" s="2660">
        <v>44</v>
      </c>
      <c r="B45" s="2673" t="s">
        <v>955</v>
      </c>
      <c r="C45" s="2662">
        <v>1</v>
      </c>
      <c r="D45" s="2663">
        <v>1</v>
      </c>
      <c r="E45" s="2663">
        <v>1</v>
      </c>
      <c r="F45" s="2676">
        <v>86364</v>
      </c>
      <c r="G45" s="2666">
        <v>86364</v>
      </c>
      <c r="H45" s="2668" t="s">
        <v>4859</v>
      </c>
      <c r="I45" s="2673" t="s">
        <v>955</v>
      </c>
      <c r="J45" s="2673"/>
      <c r="K45" s="2663">
        <v>1</v>
      </c>
      <c r="L45" s="2663">
        <v>1</v>
      </c>
      <c r="M45" s="2663">
        <f t="shared" si="7"/>
        <v>1</v>
      </c>
      <c r="N45" s="2676">
        <v>86364</v>
      </c>
      <c r="O45" s="2669">
        <f t="shared" si="3"/>
        <v>86364</v>
      </c>
      <c r="Q45" s="2671">
        <f t="shared" si="1"/>
        <v>17272.8</v>
      </c>
      <c r="R45" s="2668"/>
    </row>
    <row r="46" spans="1:18" s="2670" customFormat="1" ht="24.75" customHeight="1">
      <c r="A46" s="2660">
        <v>45</v>
      </c>
      <c r="B46" s="2673" t="s">
        <v>951</v>
      </c>
      <c r="C46" s="2662">
        <v>1</v>
      </c>
      <c r="D46" s="2663">
        <v>1</v>
      </c>
      <c r="E46" s="2663">
        <v>1</v>
      </c>
      <c r="F46" s="2676">
        <v>127135</v>
      </c>
      <c r="G46" s="2666">
        <v>127135</v>
      </c>
      <c r="H46" s="2668" t="s">
        <v>4862</v>
      </c>
      <c r="I46" s="2673" t="s">
        <v>951</v>
      </c>
      <c r="J46" s="2673"/>
      <c r="K46" s="2663">
        <v>1</v>
      </c>
      <c r="L46" s="2663">
        <v>1</v>
      </c>
      <c r="M46" s="2663">
        <f t="shared" si="7"/>
        <v>1</v>
      </c>
      <c r="N46" s="2676">
        <v>127135</v>
      </c>
      <c r="O46" s="2669">
        <f t="shared" si="3"/>
        <v>127135</v>
      </c>
      <c r="Q46" s="2671">
        <f t="shared" si="1"/>
        <v>25427</v>
      </c>
      <c r="R46" s="2668"/>
    </row>
    <row r="47" spans="1:18" s="2670" customFormat="1" ht="24.75" customHeight="1">
      <c r="A47" s="2660">
        <v>46</v>
      </c>
      <c r="B47" s="2673" t="s">
        <v>957</v>
      </c>
      <c r="C47" s="2662">
        <v>1</v>
      </c>
      <c r="D47" s="2663">
        <v>1</v>
      </c>
      <c r="E47" s="2663">
        <v>1</v>
      </c>
      <c r="F47" s="2676">
        <v>183643</v>
      </c>
      <c r="G47" s="2666">
        <v>183643</v>
      </c>
      <c r="H47" s="2668" t="s">
        <v>4863</v>
      </c>
      <c r="I47" s="2673" t="s">
        <v>957</v>
      </c>
      <c r="J47" s="2673"/>
      <c r="K47" s="2663">
        <v>1</v>
      </c>
      <c r="L47" s="2663">
        <v>1</v>
      </c>
      <c r="M47" s="2663">
        <f t="shared" si="7"/>
        <v>1</v>
      </c>
      <c r="N47" s="2676">
        <v>183643</v>
      </c>
      <c r="O47" s="2669">
        <f t="shared" si="3"/>
        <v>183643</v>
      </c>
      <c r="Q47" s="2671">
        <f t="shared" si="1"/>
        <v>36728.6</v>
      </c>
      <c r="R47" s="2668"/>
    </row>
    <row r="48" spans="1:18" s="2670" customFormat="1" ht="27.75" customHeight="1">
      <c r="A48" s="2660">
        <v>47</v>
      </c>
      <c r="B48" s="2673" t="s">
        <v>959</v>
      </c>
      <c r="C48" s="2662">
        <v>1</v>
      </c>
      <c r="D48" s="2663">
        <v>1</v>
      </c>
      <c r="E48" s="2663">
        <v>1</v>
      </c>
      <c r="F48" s="2676">
        <v>146077</v>
      </c>
      <c r="G48" s="2666">
        <v>146077</v>
      </c>
      <c r="H48" s="2668" t="s">
        <v>4864</v>
      </c>
      <c r="I48" s="2673" t="s">
        <v>959</v>
      </c>
      <c r="J48" s="2673"/>
      <c r="K48" s="2663">
        <v>1</v>
      </c>
      <c r="L48" s="2663">
        <v>1</v>
      </c>
      <c r="M48" s="2663">
        <f t="shared" si="7"/>
        <v>1</v>
      </c>
      <c r="N48" s="2676">
        <v>146077</v>
      </c>
      <c r="O48" s="2669">
        <f t="shared" si="3"/>
        <v>146077</v>
      </c>
      <c r="Q48" s="2671">
        <f t="shared" si="1"/>
        <v>29215.4</v>
      </c>
      <c r="R48" s="2668"/>
    </row>
    <row r="49" spans="1:18" s="2670" customFormat="1" ht="25.5" customHeight="1">
      <c r="A49" s="2660">
        <v>48</v>
      </c>
      <c r="B49" s="2673" t="s">
        <v>4616</v>
      </c>
      <c r="C49" s="2662">
        <v>2</v>
      </c>
      <c r="D49" s="2663">
        <v>1</v>
      </c>
      <c r="E49" s="2663">
        <f>C49*D49</f>
        <v>2</v>
      </c>
      <c r="F49" s="2676">
        <v>14355</v>
      </c>
      <c r="G49" s="2666">
        <f>F49*E49</f>
        <v>28710</v>
      </c>
      <c r="H49" s="2668" t="s">
        <v>4867</v>
      </c>
      <c r="I49" s="2673" t="s">
        <v>4616</v>
      </c>
      <c r="J49" s="2673"/>
      <c r="K49" s="2663">
        <v>2</v>
      </c>
      <c r="L49" s="2663">
        <v>1</v>
      </c>
      <c r="M49" s="2663">
        <f t="shared" si="7"/>
        <v>2</v>
      </c>
      <c r="N49" s="2676">
        <v>14355</v>
      </c>
      <c r="O49" s="2669">
        <f t="shared" si="3"/>
        <v>28710</v>
      </c>
      <c r="Q49" s="2671">
        <f t="shared" si="1"/>
        <v>5742</v>
      </c>
      <c r="R49" s="2668"/>
    </row>
    <row r="50" spans="1:18" s="2670" customFormat="1" ht="27.75" customHeight="1">
      <c r="A50" s="2660">
        <v>49</v>
      </c>
      <c r="B50" s="2673" t="s">
        <v>4871</v>
      </c>
      <c r="C50" s="2662">
        <v>3</v>
      </c>
      <c r="D50" s="2663">
        <v>1</v>
      </c>
      <c r="E50" s="2663">
        <f>C50*D50</f>
        <v>3</v>
      </c>
      <c r="F50" s="2676">
        <v>162295</v>
      </c>
      <c r="G50" s="2666">
        <f>F50*E50</f>
        <v>486885</v>
      </c>
      <c r="H50" s="2668" t="s">
        <v>4870</v>
      </c>
      <c r="I50" s="2673" t="s">
        <v>4871</v>
      </c>
      <c r="J50" s="2673"/>
      <c r="K50" s="2663">
        <v>3</v>
      </c>
      <c r="L50" s="2663">
        <v>1</v>
      </c>
      <c r="M50" s="2663">
        <f t="shared" si="7"/>
        <v>3</v>
      </c>
      <c r="N50" s="2676">
        <v>162295</v>
      </c>
      <c r="O50" s="2669">
        <f t="shared" si="3"/>
        <v>486885</v>
      </c>
      <c r="Q50" s="2671">
        <f>G50/1</f>
        <v>486885</v>
      </c>
      <c r="R50" s="2668" t="s">
        <v>5016</v>
      </c>
    </row>
    <row r="51" spans="1:18" s="2670" customFormat="1" ht="27.75" customHeight="1">
      <c r="A51" s="2660">
        <v>50</v>
      </c>
      <c r="B51" s="2661" t="s">
        <v>872</v>
      </c>
      <c r="C51" s="2662">
        <v>1</v>
      </c>
      <c r="D51" s="2663">
        <v>1</v>
      </c>
      <c r="E51" s="2664">
        <v>1</v>
      </c>
      <c r="F51" s="2665">
        <v>32800</v>
      </c>
      <c r="G51" s="2672">
        <v>32800</v>
      </c>
      <c r="H51" s="2667" t="s">
        <v>4610</v>
      </c>
      <c r="I51" s="2661" t="s">
        <v>872</v>
      </c>
      <c r="J51" s="2668"/>
      <c r="K51" s="2663">
        <v>1</v>
      </c>
      <c r="L51" s="2663">
        <v>1</v>
      </c>
      <c r="M51" s="2686">
        <f t="shared" si="7"/>
        <v>1</v>
      </c>
      <c r="N51" s="2665">
        <v>32800</v>
      </c>
      <c r="O51" s="2669">
        <f t="shared" si="3"/>
        <v>32800</v>
      </c>
      <c r="Q51" s="2671"/>
      <c r="R51" s="2668"/>
    </row>
    <row r="52" spans="1:18" s="2670" customFormat="1" ht="25.5" customHeight="1">
      <c r="A52" s="2660">
        <v>51</v>
      </c>
      <c r="B52" s="2673" t="s">
        <v>4567</v>
      </c>
      <c r="C52" s="2662">
        <v>1</v>
      </c>
      <c r="D52" s="2663">
        <v>1</v>
      </c>
      <c r="E52" s="2663">
        <v>1</v>
      </c>
      <c r="F52" s="2676">
        <v>39768</v>
      </c>
      <c r="G52" s="2666">
        <v>39768</v>
      </c>
      <c r="H52" s="2667" t="s">
        <v>4729</v>
      </c>
      <c r="I52" s="2673" t="s">
        <v>4567</v>
      </c>
      <c r="J52" s="2675"/>
      <c r="K52" s="2663">
        <v>1</v>
      </c>
      <c r="L52" s="2663">
        <v>1</v>
      </c>
      <c r="M52" s="2663">
        <f t="shared" si="7"/>
        <v>1</v>
      </c>
      <c r="N52" s="2676">
        <v>39768</v>
      </c>
      <c r="O52" s="2669">
        <f t="shared" si="3"/>
        <v>39768</v>
      </c>
      <c r="Q52" s="2671">
        <f t="shared" si="1"/>
        <v>7953.6</v>
      </c>
      <c r="R52" s="2668"/>
    </row>
    <row r="53" spans="1:18" s="2670" customFormat="1" ht="21.75" customHeight="1">
      <c r="A53" s="2660">
        <v>52</v>
      </c>
      <c r="B53" s="2673" t="s">
        <v>4824</v>
      </c>
      <c r="C53" s="2662">
        <v>4</v>
      </c>
      <c r="D53" s="2663">
        <v>1</v>
      </c>
      <c r="E53" s="2663">
        <f>C53*D53</f>
        <v>4</v>
      </c>
      <c r="F53" s="2676">
        <v>93600</v>
      </c>
      <c r="G53" s="2666">
        <f>F53*E53</f>
        <v>374400</v>
      </c>
      <c r="H53" s="2667" t="s">
        <v>4823</v>
      </c>
      <c r="I53" s="2673" t="s">
        <v>4824</v>
      </c>
      <c r="J53" s="2673"/>
      <c r="K53" s="2663">
        <v>4</v>
      </c>
      <c r="L53" s="2663">
        <v>1</v>
      </c>
      <c r="M53" s="2663">
        <f t="shared" si="7"/>
        <v>4</v>
      </c>
      <c r="N53" s="2676">
        <v>93600</v>
      </c>
      <c r="O53" s="2669">
        <f t="shared" si="3"/>
        <v>374400</v>
      </c>
      <c r="Q53" s="2671">
        <f t="shared" si="1"/>
        <v>74880</v>
      </c>
      <c r="R53" s="2668"/>
    </row>
    <row r="54" spans="1:18" s="2670" customFormat="1" ht="25.5">
      <c r="A54" s="2660">
        <v>53</v>
      </c>
      <c r="B54" s="2673" t="s">
        <v>4603</v>
      </c>
      <c r="C54" s="2662">
        <v>1</v>
      </c>
      <c r="D54" s="2663">
        <v>1</v>
      </c>
      <c r="E54" s="2663">
        <f>D54*C54</f>
        <v>1</v>
      </c>
      <c r="F54" s="2676">
        <v>32581</v>
      </c>
      <c r="G54" s="2666">
        <f>F54*E54</f>
        <v>32581</v>
      </c>
      <c r="H54" s="2667" t="s">
        <v>4602</v>
      </c>
      <c r="I54" s="2673" t="s">
        <v>4603</v>
      </c>
      <c r="J54" s="2687"/>
      <c r="K54" s="2663">
        <v>1</v>
      </c>
      <c r="L54" s="2663">
        <v>1</v>
      </c>
      <c r="M54" s="2663">
        <f>L54*K54</f>
        <v>1</v>
      </c>
      <c r="N54" s="2676">
        <v>32581</v>
      </c>
      <c r="O54" s="2669">
        <f t="shared" si="3"/>
        <v>32581</v>
      </c>
      <c r="Q54" s="2671">
        <f t="shared" si="1"/>
        <v>6516.2</v>
      </c>
      <c r="R54" s="2668"/>
    </row>
    <row r="55" spans="1:18" s="2670" customFormat="1" ht="25.5">
      <c r="A55" s="2660">
        <v>54</v>
      </c>
      <c r="B55" s="2673" t="s">
        <v>4605</v>
      </c>
      <c r="C55" s="2662">
        <v>1</v>
      </c>
      <c r="D55" s="2663">
        <v>1</v>
      </c>
      <c r="E55" s="2663">
        <f>D55*C55</f>
        <v>1</v>
      </c>
      <c r="F55" s="2676">
        <v>32581</v>
      </c>
      <c r="G55" s="2666">
        <f>F55*E55</f>
        <v>32581</v>
      </c>
      <c r="H55" s="2667" t="s">
        <v>4604</v>
      </c>
      <c r="I55" s="2673" t="s">
        <v>4605</v>
      </c>
      <c r="J55" s="2687"/>
      <c r="K55" s="2663">
        <v>1</v>
      </c>
      <c r="L55" s="2663">
        <v>1</v>
      </c>
      <c r="M55" s="2663">
        <f>L55*K55</f>
        <v>1</v>
      </c>
      <c r="N55" s="2676">
        <v>32581</v>
      </c>
      <c r="O55" s="2669">
        <f t="shared" si="3"/>
        <v>32581</v>
      </c>
      <c r="Q55" s="2671">
        <f t="shared" si="1"/>
        <v>6516.2</v>
      </c>
      <c r="R55" s="2668"/>
    </row>
    <row r="56" spans="1:18" s="2670" customFormat="1" ht="23.25" customHeight="1">
      <c r="A56" s="2660">
        <v>55</v>
      </c>
      <c r="B56" s="2673" t="s">
        <v>726</v>
      </c>
      <c r="C56" s="2688"/>
      <c r="D56" s="2663">
        <v>1</v>
      </c>
      <c r="E56" s="2663">
        <v>1</v>
      </c>
      <c r="F56" s="2664">
        <f>D56*E56</f>
        <v>1</v>
      </c>
      <c r="G56" s="2689">
        <v>57466</v>
      </c>
      <c r="H56" s="2690"/>
      <c r="I56" s="2673" t="s">
        <v>726</v>
      </c>
      <c r="J56" s="2675"/>
      <c r="K56" s="2663">
        <v>1</v>
      </c>
      <c r="L56" s="2663">
        <v>1</v>
      </c>
      <c r="M56" s="2664">
        <f>K56*L56</f>
        <v>1</v>
      </c>
      <c r="N56" s="2674">
        <v>57466</v>
      </c>
      <c r="O56" s="2691"/>
      <c r="Q56" s="2671">
        <f t="shared" si="1"/>
        <v>11493.2</v>
      </c>
      <c r="R56" s="2668"/>
    </row>
    <row r="57" spans="1:18" s="2670" customFormat="1">
      <c r="A57" s="2692"/>
      <c r="B57" s="2693" t="s">
        <v>20</v>
      </c>
      <c r="C57" s="2694"/>
      <c r="D57" s="2692"/>
      <c r="E57" s="2692"/>
      <c r="F57" s="2692"/>
      <c r="G57" s="2695">
        <f>SUM(G4:G56)</f>
        <v>7539306</v>
      </c>
      <c r="H57" s="2695">
        <f t="shared" ref="H57:P57" si="8">SUM(H4:H56)</f>
        <v>0</v>
      </c>
      <c r="I57" s="2695">
        <f t="shared" si="8"/>
        <v>0</v>
      </c>
      <c r="J57" s="2695">
        <f t="shared" si="8"/>
        <v>0</v>
      </c>
      <c r="K57" s="2695">
        <f t="shared" si="8"/>
        <v>396</v>
      </c>
      <c r="L57" s="2695">
        <f t="shared" si="8"/>
        <v>51</v>
      </c>
      <c r="M57" s="2695">
        <f t="shared" si="8"/>
        <v>400</v>
      </c>
      <c r="N57" s="2695">
        <f t="shared" si="8"/>
        <v>5001917</v>
      </c>
      <c r="O57" s="2695">
        <f t="shared" si="8"/>
        <v>7381740</v>
      </c>
      <c r="P57" s="2695">
        <f t="shared" si="8"/>
        <v>0.15</v>
      </c>
      <c r="Q57" s="2696">
        <f>SUM(Q4:Q56)</f>
        <v>3272327.8000000007</v>
      </c>
      <c r="R57" s="2668"/>
    </row>
    <row r="58" spans="1:18" s="2670" customFormat="1">
      <c r="C58" s="2697"/>
      <c r="Q58" s="2698"/>
      <c r="R58" s="2699"/>
    </row>
    <row r="59" spans="1:18" ht="18.75">
      <c r="G59" s="2701">
        <f>G57-G6-G8-G14-G22-G29-G36-G37-G38-G39-G40-G41-G42-G43-G51</f>
        <v>5906947</v>
      </c>
    </row>
    <row r="63" spans="1:18">
      <c r="G63" s="2704"/>
    </row>
    <row r="64" spans="1:18">
      <c r="G64" s="2704"/>
    </row>
  </sheetData>
  <pageMargins left="0.7" right="0.7" top="0.75" bottom="0.75" header="0.3" footer="0.3"/>
  <pageSetup paperSize="9" scale="63" orientation="portrait"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A1:L101"/>
  <sheetViews>
    <sheetView topLeftCell="A52" workbookViewId="0">
      <selection activeCell="C63" sqref="C63"/>
    </sheetView>
  </sheetViews>
  <sheetFormatPr defaultColWidth="9.140625" defaultRowHeight="15"/>
  <cols>
    <col min="1" max="1" width="32.42578125" style="2265" customWidth="1"/>
    <col min="2" max="2" width="16.5703125" style="2265" customWidth="1"/>
    <col min="3" max="3" width="19.42578125" style="2265" customWidth="1"/>
    <col min="4" max="4" width="24.140625" style="2265" customWidth="1"/>
    <col min="5" max="5" width="14.140625" style="2265" customWidth="1"/>
    <col min="6" max="6" width="17.28515625" style="2265" customWidth="1"/>
    <col min="7" max="7" width="12.5703125" style="2265" customWidth="1"/>
    <col min="8" max="8" width="21.85546875" style="2265" customWidth="1"/>
    <col min="9" max="9" width="11" style="2265" customWidth="1"/>
    <col min="10" max="10" width="10" style="2265" bestFit="1" customWidth="1"/>
    <col min="11" max="16384" width="9.140625" style="2265"/>
  </cols>
  <sheetData>
    <row r="1" spans="1:8">
      <c r="A1" s="2264" t="s">
        <v>5020</v>
      </c>
    </row>
    <row r="2" spans="1:8">
      <c r="A2" s="2266" t="s">
        <v>5021</v>
      </c>
    </row>
    <row r="5" spans="1:8" ht="60">
      <c r="A5" s="2267" t="s">
        <v>478</v>
      </c>
      <c r="B5" s="2267" t="s">
        <v>5022</v>
      </c>
      <c r="C5" s="2268" t="s">
        <v>5023</v>
      </c>
      <c r="D5" s="2268" t="s">
        <v>5024</v>
      </c>
      <c r="E5" s="2268" t="s">
        <v>5025</v>
      </c>
      <c r="F5" s="2268" t="s">
        <v>5026</v>
      </c>
      <c r="G5" s="2268" t="s">
        <v>20</v>
      </c>
      <c r="H5" s="2268" t="s">
        <v>4432</v>
      </c>
    </row>
    <row r="6" spans="1:8">
      <c r="A6" s="2269" t="s">
        <v>5027</v>
      </c>
      <c r="B6" s="2270">
        <v>12112.5</v>
      </c>
      <c r="C6" s="2270">
        <v>12</v>
      </c>
      <c r="D6" s="2270">
        <v>450</v>
      </c>
      <c r="E6" s="2270">
        <f>B6/500*D6*C6</f>
        <v>130815</v>
      </c>
      <c r="F6" s="2270">
        <v>400</v>
      </c>
      <c r="G6" s="2270">
        <f>ROUND(E6/F6,0)</f>
        <v>327</v>
      </c>
      <c r="H6" s="2271"/>
    </row>
    <row r="7" spans="1:8">
      <c r="A7" s="2269" t="s">
        <v>5028</v>
      </c>
      <c r="B7" s="2270">
        <v>12112.5</v>
      </c>
      <c r="C7" s="2270">
        <v>12</v>
      </c>
      <c r="D7" s="2270">
        <v>450</v>
      </c>
      <c r="E7" s="2270">
        <f>B7/500*D7*C7</f>
        <v>130815</v>
      </c>
      <c r="F7" s="2270">
        <v>400</v>
      </c>
      <c r="G7" s="2270">
        <f>ROUND(E7/F7,0)</f>
        <v>327</v>
      </c>
      <c r="H7" s="2271"/>
    </row>
    <row r="8" spans="1:8" ht="45">
      <c r="A8" s="2269" t="s">
        <v>5029</v>
      </c>
      <c r="B8" s="2270">
        <v>12112.5</v>
      </c>
      <c r="C8" s="2270">
        <v>297</v>
      </c>
      <c r="D8" s="2270">
        <v>350</v>
      </c>
      <c r="E8" s="2270">
        <f t="shared" ref="E8" si="0">B8/500*D8*C8</f>
        <v>2518188.75</v>
      </c>
      <c r="F8" s="2270">
        <v>5000</v>
      </c>
      <c r="G8" s="2270">
        <f t="shared" ref="G8:G12" si="1">ROUND(E8/F8,0)</f>
        <v>504</v>
      </c>
      <c r="H8" s="2271" t="s">
        <v>5030</v>
      </c>
    </row>
    <row r="9" spans="1:8">
      <c r="A9" s="2269" t="s">
        <v>2261</v>
      </c>
      <c r="B9" s="2270">
        <v>12112.5</v>
      </c>
      <c r="C9" s="2270">
        <v>12</v>
      </c>
      <c r="D9" s="2270">
        <v>500</v>
      </c>
      <c r="E9" s="2270">
        <f>B9/500*D9*C9</f>
        <v>145350</v>
      </c>
      <c r="F9" s="2270">
        <v>500</v>
      </c>
      <c r="G9" s="2270">
        <f>ROUND(E9/F9,0)</f>
        <v>291</v>
      </c>
      <c r="H9" s="2271"/>
    </row>
    <row r="10" spans="1:8">
      <c r="A10" s="2269" t="s">
        <v>5031</v>
      </c>
      <c r="B10" s="2270">
        <v>12112.5</v>
      </c>
      <c r="C10" s="2270">
        <v>12</v>
      </c>
      <c r="D10" s="2270">
        <v>200</v>
      </c>
      <c r="E10" s="2270">
        <f>B10/500*D10*C10</f>
        <v>58140</v>
      </c>
      <c r="F10" s="2270">
        <v>200</v>
      </c>
      <c r="G10" s="2270">
        <f>ROUND(E10/F10,0)</f>
        <v>291</v>
      </c>
      <c r="H10" s="2271"/>
    </row>
    <row r="11" spans="1:8" ht="45">
      <c r="A11" s="2269" t="s">
        <v>2246</v>
      </c>
      <c r="B11" s="2270">
        <v>3</v>
      </c>
      <c r="C11" s="2270">
        <v>10</v>
      </c>
      <c r="D11" s="2270">
        <v>500</v>
      </c>
      <c r="E11" s="2270">
        <f>B11*C11*D11</f>
        <v>15000</v>
      </c>
      <c r="F11" s="2270">
        <v>500</v>
      </c>
      <c r="G11" s="2270">
        <f>ROUND(E11/F11,0)</f>
        <v>30</v>
      </c>
      <c r="H11" s="2271" t="s">
        <v>5032</v>
      </c>
    </row>
    <row r="12" spans="1:8" ht="45">
      <c r="A12" s="2269" t="s">
        <v>2249</v>
      </c>
      <c r="B12" s="2270">
        <v>53</v>
      </c>
      <c r="C12" s="2270">
        <v>4</v>
      </c>
      <c r="D12" s="2270">
        <v>12</v>
      </c>
      <c r="E12" s="2270">
        <f>B12*C12*D12</f>
        <v>2544</v>
      </c>
      <c r="F12" s="2270">
        <v>500</v>
      </c>
      <c r="G12" s="2270">
        <f t="shared" si="1"/>
        <v>5</v>
      </c>
      <c r="H12" s="2271" t="s">
        <v>5033</v>
      </c>
    </row>
    <row r="13" spans="1:8">
      <c r="A13" s="2272" t="s">
        <v>1006</v>
      </c>
    </row>
    <row r="14" spans="1:8" ht="60">
      <c r="A14" s="2267" t="s">
        <v>478</v>
      </c>
      <c r="B14" s="2267" t="s">
        <v>5022</v>
      </c>
      <c r="C14" s="2268" t="s">
        <v>5023</v>
      </c>
      <c r="D14" s="2268" t="s">
        <v>5024</v>
      </c>
      <c r="E14" s="2268" t="s">
        <v>5025</v>
      </c>
      <c r="F14" s="2268" t="s">
        <v>5026</v>
      </c>
      <c r="G14" s="2268" t="s">
        <v>20</v>
      </c>
      <c r="H14" s="2268" t="s">
        <v>4432</v>
      </c>
    </row>
    <row r="15" spans="1:8">
      <c r="A15" s="2269" t="s">
        <v>5027</v>
      </c>
      <c r="B15" s="2270">
        <f>'площ для обсл объек'!$C$14-111.5-'площ для обсл объек'!$E$14</f>
        <v>5370.7</v>
      </c>
      <c r="C15" s="2270">
        <v>12</v>
      </c>
      <c r="D15" s="2270">
        <v>200</v>
      </c>
      <c r="E15" s="2270">
        <f>B15/500*D15*C15</f>
        <v>25779.360000000001</v>
      </c>
      <c r="F15" s="2270">
        <v>500</v>
      </c>
      <c r="G15" s="2270">
        <f>ROUND(E15/F15,0)</f>
        <v>52</v>
      </c>
      <c r="H15" s="2271"/>
    </row>
    <row r="16" spans="1:8">
      <c r="A16" s="2269" t="s">
        <v>5028</v>
      </c>
      <c r="B16" s="2270">
        <f>'площ для обсл объек'!$C$14-111.5-'площ для обсл объек'!$E$14</f>
        <v>5370.7</v>
      </c>
      <c r="C16" s="2270">
        <v>12</v>
      </c>
      <c r="D16" s="2270">
        <v>250</v>
      </c>
      <c r="E16" s="2270">
        <f>B16/500*D16*C16</f>
        <v>32224.199999999997</v>
      </c>
      <c r="F16" s="2270">
        <v>6000</v>
      </c>
      <c r="G16" s="2270">
        <f>ROUND(E16/F16,0)</f>
        <v>5</v>
      </c>
      <c r="H16" s="2271"/>
    </row>
    <row r="17" spans="1:9" s="2348" customFormat="1" ht="45">
      <c r="A17" s="2353" t="s">
        <v>5034</v>
      </c>
      <c r="B17" s="2354">
        <f>'площ для обсл объек'!$C$14-111.5-'площ для обсл объек'!$E$14</f>
        <v>5370.7</v>
      </c>
      <c r="C17" s="2354">
        <v>254</v>
      </c>
      <c r="D17" s="2354">
        <v>350</v>
      </c>
      <c r="E17" s="2354">
        <f t="shared" ref="E17" si="2">B17/500*D17*C17</f>
        <v>954910.46000000008</v>
      </c>
      <c r="F17" s="2354">
        <v>10000</v>
      </c>
      <c r="G17" s="2354">
        <f t="shared" ref="G17" si="3">ROUND(E17/F17,0)</f>
        <v>95</v>
      </c>
      <c r="H17" s="2271" t="s">
        <v>5030</v>
      </c>
    </row>
    <row r="18" spans="1:9">
      <c r="A18" s="2269" t="s">
        <v>2261</v>
      </c>
      <c r="B18" s="2270">
        <f>'площ для обсл объек'!$C$14-111.5-'площ для обсл объек'!$E$14</f>
        <v>5370.7</v>
      </c>
      <c r="C18" s="2270">
        <v>12</v>
      </c>
      <c r="D18" s="2270">
        <v>500</v>
      </c>
      <c r="E18" s="2270">
        <f>B18/500*D18*C18</f>
        <v>64448.399999999994</v>
      </c>
      <c r="F18" s="2270">
        <v>5000</v>
      </c>
      <c r="G18" s="2270">
        <f>ROUND(E18/F18,0)</f>
        <v>13</v>
      </c>
      <c r="H18" s="2271"/>
    </row>
    <row r="19" spans="1:9">
      <c r="A19" s="2269" t="s">
        <v>5031</v>
      </c>
      <c r="B19" s="2270">
        <f>'площ для обсл объек'!$C$14-111.5-'площ для обсл объек'!$E$14</f>
        <v>5370.7</v>
      </c>
      <c r="C19" s="2270">
        <v>12</v>
      </c>
      <c r="D19" s="2270">
        <v>200</v>
      </c>
      <c r="E19" s="2270">
        <f>B19/500*D19*C19</f>
        <v>25779.360000000001</v>
      </c>
      <c r="F19" s="2270">
        <v>200</v>
      </c>
      <c r="G19" s="2270">
        <f>ROUND(E19/F19,0)</f>
        <v>129</v>
      </c>
      <c r="H19" s="2271"/>
    </row>
    <row r="20" spans="1:9" ht="45">
      <c r="A20" s="2269" t="s">
        <v>2246</v>
      </c>
      <c r="B20" s="2270"/>
      <c r="C20" s="2270">
        <v>10</v>
      </c>
      <c r="D20" s="2270">
        <v>500</v>
      </c>
      <c r="E20" s="2270">
        <f>B20*C20*D20</f>
        <v>0</v>
      </c>
      <c r="F20" s="2270">
        <v>500</v>
      </c>
      <c r="G20" s="2270">
        <f>ROUND(E20/F20,0)</f>
        <v>0</v>
      </c>
      <c r="H20" s="2271" t="s">
        <v>5032</v>
      </c>
    </row>
    <row r="21" spans="1:9" ht="45">
      <c r="A21" s="2269" t="s">
        <v>2249</v>
      </c>
      <c r="B21" s="2270">
        <v>35</v>
      </c>
      <c r="C21" s="2270">
        <v>4</v>
      </c>
      <c r="D21" s="2270">
        <v>12</v>
      </c>
      <c r="E21" s="2270">
        <f>B21*C21*D21</f>
        <v>1680</v>
      </c>
      <c r="F21" s="2270">
        <v>500</v>
      </c>
      <c r="G21" s="2270">
        <f t="shared" ref="G21" si="4">ROUND(E21/F21,0)</f>
        <v>3</v>
      </c>
      <c r="H21" s="2271" t="s">
        <v>5033</v>
      </c>
    </row>
    <row r="22" spans="1:9">
      <c r="A22" s="2269" t="s">
        <v>2251</v>
      </c>
      <c r="B22" s="2270">
        <f>B19</f>
        <v>5370.7</v>
      </c>
      <c r="C22" s="2270">
        <v>200</v>
      </c>
      <c r="D22" s="2273"/>
      <c r="E22" s="2273"/>
      <c r="F22" s="2270">
        <v>5000</v>
      </c>
      <c r="G22" s="2270">
        <f>C22*500/5000</f>
        <v>20</v>
      </c>
      <c r="H22" s="2273"/>
    </row>
    <row r="23" spans="1:9">
      <c r="A23" s="2269" t="s">
        <v>1231</v>
      </c>
      <c r="B23" s="2270">
        <f>B22</f>
        <v>5370.7</v>
      </c>
      <c r="C23" s="2270">
        <v>10</v>
      </c>
      <c r="D23" s="2274">
        <v>320</v>
      </c>
      <c r="E23" s="2274">
        <f>C23*D23*200</f>
        <v>640000</v>
      </c>
      <c r="F23" s="2270">
        <v>9000</v>
      </c>
      <c r="G23" s="2270">
        <f>ROUND(E23/F23,0)</f>
        <v>71</v>
      </c>
      <c r="H23" s="2273" t="s">
        <v>5035</v>
      </c>
    </row>
    <row r="24" spans="1:9">
      <c r="A24" s="2269" t="s">
        <v>1225</v>
      </c>
      <c r="B24" s="2270">
        <f>B23</f>
        <v>5370.7</v>
      </c>
      <c r="C24" s="2270">
        <v>10</v>
      </c>
      <c r="D24" s="2274" t="s">
        <v>3264</v>
      </c>
      <c r="E24" s="2273"/>
      <c r="F24" s="2270"/>
      <c r="G24" s="2270">
        <f>200*1/2*C24</f>
        <v>1000</v>
      </c>
      <c r="H24" s="2273"/>
    </row>
    <row r="25" spans="1:9">
      <c r="A25" s="2269" t="s">
        <v>5036</v>
      </c>
      <c r="B25" s="2270">
        <f>B24</f>
        <v>5370.7</v>
      </c>
      <c r="C25" s="2270">
        <v>10</v>
      </c>
      <c r="D25" s="2274" t="s">
        <v>5037</v>
      </c>
      <c r="E25" s="2274" t="s">
        <v>5038</v>
      </c>
      <c r="F25" s="2270"/>
      <c r="G25" s="2270">
        <f>200*C25</f>
        <v>2000</v>
      </c>
      <c r="H25" s="2273"/>
    </row>
    <row r="26" spans="1:9">
      <c r="A26" s="2275" t="s">
        <v>5039</v>
      </c>
      <c r="B26" s="2270">
        <f t="shared" ref="B26:B27" si="5">B23</f>
        <v>5370.7</v>
      </c>
      <c r="C26" s="2270">
        <v>10</v>
      </c>
      <c r="D26" s="2274">
        <v>16</v>
      </c>
      <c r="E26" s="2274"/>
      <c r="F26" s="2274">
        <v>550</v>
      </c>
      <c r="G26" s="2270">
        <f>3316*D26/F26</f>
        <v>96.465454545454548</v>
      </c>
      <c r="H26" s="2274" t="s">
        <v>5040</v>
      </c>
    </row>
    <row r="27" spans="1:9">
      <c r="A27" s="2275" t="s">
        <v>5041</v>
      </c>
      <c r="B27" s="2270">
        <f t="shared" si="5"/>
        <v>5370.7</v>
      </c>
      <c r="C27" s="2270">
        <v>10</v>
      </c>
      <c r="D27" s="2274" t="s">
        <v>3272</v>
      </c>
      <c r="E27" s="2274">
        <v>250</v>
      </c>
      <c r="F27" s="2274">
        <v>250</v>
      </c>
      <c r="G27" s="2270">
        <f>C27*200</f>
        <v>2000</v>
      </c>
      <c r="H27" s="2274"/>
    </row>
    <row r="29" spans="1:9">
      <c r="A29" s="2272" t="s">
        <v>5042</v>
      </c>
    </row>
    <row r="30" spans="1:9" ht="75">
      <c r="A30" s="2334" t="s">
        <v>478</v>
      </c>
      <c r="B30" s="2334" t="s">
        <v>5043</v>
      </c>
      <c r="C30" s="2334" t="s">
        <v>5044</v>
      </c>
      <c r="D30" s="2335" t="s">
        <v>5024</v>
      </c>
      <c r="E30" s="2335" t="s">
        <v>5025</v>
      </c>
      <c r="F30" s="2335" t="s">
        <v>5026</v>
      </c>
      <c r="G30" s="2335" t="s">
        <v>20</v>
      </c>
      <c r="H30" s="2336" t="s">
        <v>4432</v>
      </c>
      <c r="I30" s="2337" t="s">
        <v>5045</v>
      </c>
    </row>
    <row r="31" spans="1:9">
      <c r="A31" s="2338" t="s">
        <v>5027</v>
      </c>
      <c r="B31" s="2339">
        <f>'площ для обсл объек'!$C$13-1033.54-'площ для обсл объек'!$D$13</f>
        <v>19390.559999999998</v>
      </c>
      <c r="C31" s="2339">
        <v>12</v>
      </c>
      <c r="D31" s="2339">
        <v>200</v>
      </c>
      <c r="E31" s="2339">
        <f>B31/500*D31*C31</f>
        <v>93074.687999999995</v>
      </c>
      <c r="F31" s="2339">
        <v>500</v>
      </c>
      <c r="G31" s="2339">
        <f>ROUND(E31/F31,0)</f>
        <v>186</v>
      </c>
      <c r="H31" s="2340"/>
      <c r="I31" s="2341">
        <f>G31*2</f>
        <v>372</v>
      </c>
    </row>
    <row r="32" spans="1:9">
      <c r="A32" s="2338" t="s">
        <v>5028</v>
      </c>
      <c r="B32" s="2339">
        <f>'площ для обсл объек'!$C$13-1033.54-'площ для обсл объек'!$D$13</f>
        <v>19390.559999999998</v>
      </c>
      <c r="C32" s="2339">
        <v>12</v>
      </c>
      <c r="D32" s="2339">
        <v>250</v>
      </c>
      <c r="E32" s="2339">
        <f>B32/500*D32*C32</f>
        <v>116343.35999999999</v>
      </c>
      <c r="F32" s="2339">
        <v>6000</v>
      </c>
      <c r="G32" s="2339">
        <f>ROUND(E32/F32,0)</f>
        <v>19</v>
      </c>
      <c r="H32" s="2340"/>
      <c r="I32" s="2341">
        <f t="shared" ref="I32:I40" si="6">G32*2</f>
        <v>38</v>
      </c>
    </row>
    <row r="33" spans="1:12" ht="45">
      <c r="A33" s="2338" t="s">
        <v>5029</v>
      </c>
      <c r="B33" s="2339">
        <f>'площ для обсл объек'!$C$13-1033.54-'площ для обсл объек'!$D$13</f>
        <v>19390.559999999998</v>
      </c>
      <c r="C33" s="2339">
        <v>297</v>
      </c>
      <c r="D33" s="2339">
        <v>350</v>
      </c>
      <c r="E33" s="2339">
        <f t="shared" ref="E33:E37" si="7">B33/500*D33*C33</f>
        <v>4031297.4239999992</v>
      </c>
      <c r="F33" s="2339"/>
      <c r="G33" s="2339"/>
      <c r="H33" s="2340" t="s">
        <v>5030</v>
      </c>
      <c r="I33" s="2341">
        <f t="shared" si="6"/>
        <v>0</v>
      </c>
      <c r="J33" s="2276"/>
    </row>
    <row r="34" spans="1:12" ht="30">
      <c r="A34" s="2342" t="s">
        <v>5046</v>
      </c>
      <c r="B34" s="2339">
        <f>'площ для обсл объек'!$C$13-1033.54-'площ для обсл объек'!$D$13</f>
        <v>19390.559999999998</v>
      </c>
      <c r="C34" s="2343">
        <v>297</v>
      </c>
      <c r="D34" s="2343"/>
      <c r="E34" s="2343">
        <f t="shared" si="7"/>
        <v>0</v>
      </c>
      <c r="F34" s="2343">
        <v>5000</v>
      </c>
      <c r="G34" s="2343">
        <f>ROUND(E34/F34,0)</f>
        <v>0</v>
      </c>
      <c r="H34" s="2344">
        <f>G34*2</f>
        <v>0</v>
      </c>
      <c r="I34" s="2341">
        <f t="shared" si="6"/>
        <v>0</v>
      </c>
      <c r="J34" s="2276"/>
    </row>
    <row r="35" spans="1:12" ht="30">
      <c r="A35" s="2342" t="s">
        <v>5047</v>
      </c>
      <c r="B35" s="2339">
        <f>'площ для обсл объек'!$C$13-1033.54-'площ для обсл объек'!$D$13</f>
        <v>19390.559999999998</v>
      </c>
      <c r="C35" s="2343">
        <v>297</v>
      </c>
      <c r="D35" s="2343"/>
      <c r="E35" s="2343">
        <f t="shared" si="7"/>
        <v>0</v>
      </c>
      <c r="F35" s="2343">
        <v>5000</v>
      </c>
      <c r="G35" s="2343">
        <f t="shared" ref="G35:G37" si="8">ROUND(E35/F35,0)</f>
        <v>0</v>
      </c>
      <c r="H35" s="2344">
        <f t="shared" ref="H35:H37" si="9">G35*2</f>
        <v>0</v>
      </c>
      <c r="I35" s="2341">
        <f t="shared" si="6"/>
        <v>0</v>
      </c>
      <c r="J35" s="2276"/>
    </row>
    <row r="36" spans="1:12" ht="30">
      <c r="A36" s="2342" t="s">
        <v>5048</v>
      </c>
      <c r="B36" s="2339">
        <f>'площ для обсл объек'!$C$13-1033.54-'площ для обсл объек'!$D$13</f>
        <v>19390.559999999998</v>
      </c>
      <c r="C36" s="2343">
        <v>297</v>
      </c>
      <c r="D36" s="2343">
        <f>150+50+50+100</f>
        <v>350</v>
      </c>
      <c r="E36" s="2343">
        <f>B36/500*D36*C36</f>
        <v>4031297.4239999992</v>
      </c>
      <c r="F36" s="2343">
        <v>10000</v>
      </c>
      <c r="G36" s="2343">
        <f>ROUND(E36/F36,0)</f>
        <v>403</v>
      </c>
      <c r="H36" s="2344">
        <f t="shared" si="9"/>
        <v>806</v>
      </c>
      <c r="I36" s="2341">
        <f t="shared" si="6"/>
        <v>806</v>
      </c>
      <c r="J36" s="2276"/>
    </row>
    <row r="37" spans="1:12" ht="30">
      <c r="A37" s="2345" t="s">
        <v>5049</v>
      </c>
      <c r="B37" s="2339">
        <f>'площ для обсл объек'!$C$13-1033.54-'площ для обсл объек'!$D$13</f>
        <v>19390.559999999998</v>
      </c>
      <c r="C37" s="2343">
        <v>297</v>
      </c>
      <c r="D37" s="2343"/>
      <c r="E37" s="2343">
        <f t="shared" si="7"/>
        <v>0</v>
      </c>
      <c r="F37" s="2343">
        <v>20000</v>
      </c>
      <c r="G37" s="2343">
        <f t="shared" si="8"/>
        <v>0</v>
      </c>
      <c r="H37" s="2344">
        <f t="shared" si="9"/>
        <v>0</v>
      </c>
      <c r="I37" s="2341">
        <f t="shared" si="6"/>
        <v>0</v>
      </c>
    </row>
    <row r="38" spans="1:12">
      <c r="A38" s="2338" t="s">
        <v>5031</v>
      </c>
      <c r="B38" s="2339">
        <f>'площ для обсл объек'!$C$13-1033.54-'площ для обсл объек'!$D$13</f>
        <v>19390.559999999998</v>
      </c>
      <c r="C38" s="2339">
        <v>12</v>
      </c>
      <c r="D38" s="2339">
        <v>200</v>
      </c>
      <c r="E38" s="2339">
        <f>B38/500*D38*C38</f>
        <v>93074.687999999995</v>
      </c>
      <c r="F38" s="2339">
        <v>200</v>
      </c>
      <c r="G38" s="2339">
        <f>ROUND(E38/F38,0)</f>
        <v>465</v>
      </c>
      <c r="H38" s="2340"/>
      <c r="I38" s="2341">
        <f t="shared" si="6"/>
        <v>930</v>
      </c>
      <c r="K38" s="2265" t="s">
        <v>5050</v>
      </c>
    </row>
    <row r="39" spans="1:12" ht="45">
      <c r="A39" s="2338" t="s">
        <v>2246</v>
      </c>
      <c r="B39" s="2339">
        <v>1</v>
      </c>
      <c r="C39" s="2339">
        <v>10</v>
      </c>
      <c r="D39" s="2339">
        <v>500</v>
      </c>
      <c r="E39" s="2339">
        <f>B39*C39*D39</f>
        <v>5000</v>
      </c>
      <c r="F39" s="2339">
        <v>500</v>
      </c>
      <c r="G39" s="2339">
        <f>ROUND(E39/F39,0)</f>
        <v>10</v>
      </c>
      <c r="H39" s="2340" t="s">
        <v>5032</v>
      </c>
      <c r="I39" s="2341">
        <f t="shared" si="6"/>
        <v>20</v>
      </c>
      <c r="J39" s="2276"/>
    </row>
    <row r="40" spans="1:12" ht="45">
      <c r="A40" s="2338" t="s">
        <v>2249</v>
      </c>
      <c r="B40" s="2339">
        <v>53</v>
      </c>
      <c r="C40" s="2339">
        <v>4</v>
      </c>
      <c r="D40" s="2339">
        <v>12</v>
      </c>
      <c r="E40" s="2339">
        <f>B40*C40*D40</f>
        <v>2544</v>
      </c>
      <c r="F40" s="2339">
        <v>500</v>
      </c>
      <c r="G40" s="2339">
        <f t="shared" ref="G40" si="10">ROUND(E40/F40,0)</f>
        <v>5</v>
      </c>
      <c r="H40" s="2340" t="s">
        <v>5033</v>
      </c>
      <c r="I40" s="2341">
        <f t="shared" si="6"/>
        <v>10</v>
      </c>
    </row>
    <row r="41" spans="1:12">
      <c r="A41" s="2338" t="s">
        <v>2251</v>
      </c>
      <c r="B41" s="2339">
        <f>B38</f>
        <v>19390.559999999998</v>
      </c>
      <c r="C41" s="2339">
        <v>779</v>
      </c>
      <c r="D41" s="2341"/>
      <c r="E41" s="2341"/>
      <c r="F41" s="2339">
        <v>5000</v>
      </c>
      <c r="G41" s="2339">
        <f>ROUND(C41*500/5000,0)</f>
        <v>78</v>
      </c>
      <c r="H41" s="2346"/>
      <c r="I41" s="2347">
        <f>G41</f>
        <v>78</v>
      </c>
      <c r="K41" s="2265" t="s">
        <v>5051</v>
      </c>
      <c r="L41" s="2265" t="s">
        <v>5052</v>
      </c>
    </row>
    <row r="42" spans="1:12">
      <c r="A42" s="2338" t="s">
        <v>2261</v>
      </c>
      <c r="B42" s="2339">
        <f>B38</f>
        <v>19390.559999999998</v>
      </c>
      <c r="C42" s="2339">
        <v>12</v>
      </c>
      <c r="D42" s="2339">
        <v>500</v>
      </c>
      <c r="E42" s="2339">
        <f>B42/500*D42*C42</f>
        <v>232686.71999999997</v>
      </c>
      <c r="F42" s="2339">
        <v>5000</v>
      </c>
      <c r="G42" s="2339">
        <f>ROUND(E42/F42,2)</f>
        <v>46.54</v>
      </c>
      <c r="H42" s="2340"/>
      <c r="I42" s="2341">
        <f>ROUND(G42*2,0)</f>
        <v>93</v>
      </c>
    </row>
    <row r="43" spans="1:12">
      <c r="A43" s="2278"/>
      <c r="B43" s="2279"/>
      <c r="C43" s="2279"/>
      <c r="D43" s="2279"/>
      <c r="E43" s="2279"/>
      <c r="F43" s="2279"/>
      <c r="G43" s="2279"/>
      <c r="H43" s="2348"/>
    </row>
    <row r="44" spans="1:12">
      <c r="A44" s="2349" t="s">
        <v>5053</v>
      </c>
      <c r="B44" s="2279"/>
      <c r="C44" s="2279"/>
      <c r="F44" s="2279"/>
      <c r="G44" s="2279"/>
    </row>
    <row r="45" spans="1:12" ht="75">
      <c r="A45" s="2334" t="s">
        <v>478</v>
      </c>
      <c r="B45" s="2334" t="s">
        <v>5043</v>
      </c>
      <c r="C45" s="2334" t="s">
        <v>5044</v>
      </c>
      <c r="D45" s="2335" t="s">
        <v>5024</v>
      </c>
      <c r="E45" s="2335" t="s">
        <v>5025</v>
      </c>
      <c r="F45" s="2335" t="s">
        <v>5026</v>
      </c>
      <c r="G45" s="2335" t="s">
        <v>20</v>
      </c>
      <c r="H45" s="2336" t="s">
        <v>4432</v>
      </c>
      <c r="I45" s="2337" t="s">
        <v>5045</v>
      </c>
    </row>
    <row r="46" spans="1:12">
      <c r="A46" s="2338" t="s">
        <v>5027</v>
      </c>
      <c r="B46" s="2339">
        <f>'площ для обсл объек'!$C$12-1033.54-'площ для обсл объек'!$D$12</f>
        <v>19372.66</v>
      </c>
      <c r="C46" s="2339">
        <v>12</v>
      </c>
      <c r="D46" s="2339">
        <v>200</v>
      </c>
      <c r="E46" s="2339">
        <f>B46/500*D46*C46</f>
        <v>92988.768000000011</v>
      </c>
      <c r="F46" s="2339">
        <v>500</v>
      </c>
      <c r="G46" s="2339">
        <f>ROUND(E46/F46,0)</f>
        <v>186</v>
      </c>
      <c r="H46" s="2340"/>
      <c r="I46" s="2341">
        <f>G46*2</f>
        <v>372</v>
      </c>
    </row>
    <row r="47" spans="1:12">
      <c r="A47" s="2338" t="s">
        <v>5028</v>
      </c>
      <c r="B47" s="2339">
        <f>'площ для обсл объек'!$C$12-1033.54-'площ для обсл объек'!$D$12</f>
        <v>19372.66</v>
      </c>
      <c r="C47" s="2339">
        <v>12</v>
      </c>
      <c r="D47" s="2339">
        <v>250</v>
      </c>
      <c r="E47" s="2339">
        <f>B47/500*D47*C47</f>
        <v>116235.95999999999</v>
      </c>
      <c r="F47" s="2339">
        <v>6000</v>
      </c>
      <c r="G47" s="2339">
        <f>ROUND(E47/F47,0)</f>
        <v>19</v>
      </c>
      <c r="H47" s="2340"/>
      <c r="I47" s="2341">
        <f t="shared" ref="I47:I55" si="11">G47*2</f>
        <v>38</v>
      </c>
    </row>
    <row r="48" spans="1:12" ht="45">
      <c r="A48" s="2338" t="s">
        <v>5029</v>
      </c>
      <c r="B48" s="2339">
        <f>'площ для обсл объек'!$C$12-1033.54-'площ для обсл объек'!$D$12</f>
        <v>19372.66</v>
      </c>
      <c r="C48" s="2339">
        <v>297</v>
      </c>
      <c r="D48" s="2339">
        <v>350</v>
      </c>
      <c r="E48" s="2339">
        <f t="shared" ref="E48:E50" si="12">B48/500*D48*C48</f>
        <v>4027576.014</v>
      </c>
      <c r="F48" s="2339"/>
      <c r="G48" s="2339"/>
      <c r="H48" s="2340" t="s">
        <v>5030</v>
      </c>
      <c r="I48" s="2341">
        <f t="shared" si="11"/>
        <v>0</v>
      </c>
      <c r="J48" s="2276"/>
    </row>
    <row r="49" spans="1:12" ht="30">
      <c r="A49" s="2342" t="s">
        <v>5046</v>
      </c>
      <c r="B49" s="2339">
        <f>'площ для обсл объек'!$C$12-1033.54-'площ для обсл объек'!$D$12</f>
        <v>19372.66</v>
      </c>
      <c r="C49" s="2343">
        <v>297</v>
      </c>
      <c r="D49" s="2343"/>
      <c r="E49" s="2343">
        <f t="shared" si="12"/>
        <v>0</v>
      </c>
      <c r="F49" s="2343">
        <v>5000</v>
      </c>
      <c r="G49" s="2343">
        <f>ROUND(E49/F49,0)</f>
        <v>0</v>
      </c>
      <c r="H49" s="2344">
        <f>G49*2</f>
        <v>0</v>
      </c>
      <c r="I49" s="2341">
        <f t="shared" si="11"/>
        <v>0</v>
      </c>
      <c r="J49" s="2276"/>
    </row>
    <row r="50" spans="1:12" ht="30">
      <c r="A50" s="2342" t="s">
        <v>5047</v>
      </c>
      <c r="B50" s="2339">
        <f>'площ для обсл объек'!$C$12-1033.54-'площ для обсл объек'!$D$12</f>
        <v>19372.66</v>
      </c>
      <c r="C50" s="2343">
        <v>297</v>
      </c>
      <c r="D50" s="2343"/>
      <c r="E50" s="2343">
        <f t="shared" si="12"/>
        <v>0</v>
      </c>
      <c r="F50" s="2343">
        <v>5000</v>
      </c>
      <c r="G50" s="2343">
        <f t="shared" ref="G50" si="13">ROUND(E50/F50,0)</f>
        <v>0</v>
      </c>
      <c r="H50" s="2344">
        <f t="shared" ref="H50:H52" si="14">G50*2</f>
        <v>0</v>
      </c>
      <c r="I50" s="2341">
        <f t="shared" si="11"/>
        <v>0</v>
      </c>
      <c r="J50" s="2276"/>
    </row>
    <row r="51" spans="1:12" ht="30">
      <c r="A51" s="2342" t="s">
        <v>5048</v>
      </c>
      <c r="B51" s="2339">
        <f>'площ для обсл объек'!$C$12-1033.54-'площ для обсл объек'!$D$12</f>
        <v>19372.66</v>
      </c>
      <c r="C51" s="2343">
        <v>297</v>
      </c>
      <c r="D51" s="2343">
        <f>150+50+50+100</f>
        <v>350</v>
      </c>
      <c r="E51" s="2343">
        <f>B51/500*D51*C51</f>
        <v>4027576.014</v>
      </c>
      <c r="F51" s="2343">
        <v>10000</v>
      </c>
      <c r="G51" s="2343">
        <f>ROUND(E51/F51,0)</f>
        <v>403</v>
      </c>
      <c r="H51" s="2344">
        <f t="shared" si="14"/>
        <v>806</v>
      </c>
      <c r="I51" s="2341">
        <f t="shared" si="11"/>
        <v>806</v>
      </c>
      <c r="J51" s="2276"/>
    </row>
    <row r="52" spans="1:12" ht="30">
      <c r="A52" s="2345" t="s">
        <v>5049</v>
      </c>
      <c r="B52" s="2339">
        <f>'площ для обсл объек'!$C$12-1033.54-'площ для обсл объек'!$D$12</f>
        <v>19372.66</v>
      </c>
      <c r="C52" s="2343">
        <v>297</v>
      </c>
      <c r="D52" s="2343"/>
      <c r="E52" s="2343">
        <f t="shared" ref="E52" si="15">B52/500*D52*C52</f>
        <v>0</v>
      </c>
      <c r="F52" s="2343">
        <v>20000</v>
      </c>
      <c r="G52" s="2343">
        <f t="shared" ref="G52" si="16">ROUND(E52/F52,0)</f>
        <v>0</v>
      </c>
      <c r="H52" s="2344">
        <f t="shared" si="14"/>
        <v>0</v>
      </c>
      <c r="I52" s="2341">
        <f t="shared" si="11"/>
        <v>0</v>
      </c>
    </row>
    <row r="53" spans="1:12">
      <c r="A53" s="2338" t="s">
        <v>5031</v>
      </c>
      <c r="B53" s="2339">
        <f>'площ для обсл объек'!$C$12-1033.54-'площ для обсл объек'!$D$12</f>
        <v>19372.66</v>
      </c>
      <c r="C53" s="2339">
        <v>12</v>
      </c>
      <c r="D53" s="2339">
        <v>200</v>
      </c>
      <c r="E53" s="2339">
        <f>B53/500*D53*C53</f>
        <v>92988.768000000011</v>
      </c>
      <c r="F53" s="2339">
        <v>200</v>
      </c>
      <c r="G53" s="2339">
        <f>ROUND(E53/F53,0)</f>
        <v>465</v>
      </c>
      <c r="H53" s="2340"/>
      <c r="I53" s="2341">
        <f t="shared" si="11"/>
        <v>930</v>
      </c>
      <c r="K53" s="2265" t="s">
        <v>5050</v>
      </c>
    </row>
    <row r="54" spans="1:12" ht="45">
      <c r="A54" s="2338" t="s">
        <v>2246</v>
      </c>
      <c r="B54" s="2339">
        <v>1</v>
      </c>
      <c r="C54" s="2339">
        <v>10</v>
      </c>
      <c r="D54" s="2339">
        <v>500</v>
      </c>
      <c r="E54" s="2339">
        <f>B54*C54*D54</f>
        <v>5000</v>
      </c>
      <c r="F54" s="2339">
        <v>500</v>
      </c>
      <c r="G54" s="2339">
        <f>ROUND(E54/F54,0)</f>
        <v>10</v>
      </c>
      <c r="H54" s="2340" t="s">
        <v>5032</v>
      </c>
      <c r="I54" s="2341">
        <f t="shared" si="11"/>
        <v>20</v>
      </c>
      <c r="J54" s="2276"/>
    </row>
    <row r="55" spans="1:12" ht="45">
      <c r="A55" s="2338" t="s">
        <v>2249</v>
      </c>
      <c r="B55" s="2339">
        <v>53</v>
      </c>
      <c r="C55" s="2339">
        <v>4</v>
      </c>
      <c r="D55" s="2339">
        <v>12</v>
      </c>
      <c r="E55" s="2339">
        <f>B55*C55*D55</f>
        <v>2544</v>
      </c>
      <c r="F55" s="2339">
        <v>500</v>
      </c>
      <c r="G55" s="2339">
        <f t="shared" ref="G55" si="17">ROUND(E55/F55,0)</f>
        <v>5</v>
      </c>
      <c r="H55" s="2340" t="s">
        <v>5033</v>
      </c>
      <c r="I55" s="2341">
        <f t="shared" si="11"/>
        <v>10</v>
      </c>
    </row>
    <row r="56" spans="1:12">
      <c r="A56" s="2338" t="s">
        <v>2251</v>
      </c>
      <c r="B56" s="2339">
        <f>B53</f>
        <v>19372.66</v>
      </c>
      <c r="C56" s="2339">
        <f>1601-779</f>
        <v>822</v>
      </c>
      <c r="D56" s="2341"/>
      <c r="E56" s="2341"/>
      <c r="F56" s="2339">
        <v>5000</v>
      </c>
      <c r="G56" s="2339">
        <f>ROUND(C56*500/5000,0)</f>
        <v>82</v>
      </c>
      <c r="H56" s="2346"/>
      <c r="I56" s="2347">
        <f>G56</f>
        <v>82</v>
      </c>
      <c r="K56" s="2265" t="s">
        <v>5051</v>
      </c>
      <c r="L56" s="2265" t="s">
        <v>5052</v>
      </c>
    </row>
    <row r="57" spans="1:12">
      <c r="A57" s="2338" t="s">
        <v>2261</v>
      </c>
      <c r="B57" s="2339">
        <f>B53</f>
        <v>19372.66</v>
      </c>
      <c r="C57" s="2339">
        <v>12</v>
      </c>
      <c r="D57" s="2339">
        <v>500</v>
      </c>
      <c r="E57" s="2339">
        <f>B57/500*D57*C57</f>
        <v>232471.91999999998</v>
      </c>
      <c r="F57" s="2339">
        <v>5000</v>
      </c>
      <c r="G57" s="2339">
        <f>ROUND(E57/F57,2)</f>
        <v>46.49</v>
      </c>
      <c r="H57" s="2340"/>
      <c r="I57" s="2341">
        <f>ROUND(G57*2,0)</f>
        <v>93</v>
      </c>
    </row>
    <row r="58" spans="1:12">
      <c r="A58" s="2272" t="s">
        <v>1197</v>
      </c>
    </row>
    <row r="59" spans="1:12" ht="60">
      <c r="A59" s="2267" t="s">
        <v>478</v>
      </c>
      <c r="B59" s="2267" t="s">
        <v>5022</v>
      </c>
      <c r="C59" s="2268" t="s">
        <v>5023</v>
      </c>
      <c r="D59" s="2268" t="s">
        <v>5024</v>
      </c>
      <c r="E59" s="2268" t="s">
        <v>5025</v>
      </c>
      <c r="F59" s="2268" t="s">
        <v>5026</v>
      </c>
      <c r="G59" s="2268" t="s">
        <v>20</v>
      </c>
      <c r="H59" s="2268" t="s">
        <v>4432</v>
      </c>
    </row>
    <row r="60" spans="1:12">
      <c r="A60" s="2269" t="s">
        <v>5027</v>
      </c>
      <c r="B60" s="2270">
        <f>12100-834.8</f>
        <v>11265.2</v>
      </c>
      <c r="C60" s="2270">
        <v>12</v>
      </c>
      <c r="D60" s="2270">
        <v>200</v>
      </c>
      <c r="E60" s="2270">
        <f>B60/500*D60*C60</f>
        <v>54072.959999999999</v>
      </c>
      <c r="F60" s="2270">
        <v>500</v>
      </c>
      <c r="G60" s="2270">
        <f>ROUND(E60/F60,0)</f>
        <v>108</v>
      </c>
      <c r="H60" s="2271"/>
    </row>
    <row r="61" spans="1:12">
      <c r="A61" s="2269" t="s">
        <v>5028</v>
      </c>
      <c r="B61" s="2270">
        <f t="shared" ref="B61:B64" si="18">12100-834.8</f>
        <v>11265.2</v>
      </c>
      <c r="C61" s="2270">
        <v>12</v>
      </c>
      <c r="D61" s="2270">
        <v>250</v>
      </c>
      <c r="E61" s="2270">
        <f>B61/500*D61*C61</f>
        <v>67591.200000000012</v>
      </c>
      <c r="F61" s="2270">
        <v>6000</v>
      </c>
      <c r="G61" s="2270">
        <f>ROUND(E61/F61,0)</f>
        <v>11</v>
      </c>
      <c r="H61" s="2271"/>
    </row>
    <row r="62" spans="1:12" ht="45">
      <c r="A62" s="2269" t="s">
        <v>5054</v>
      </c>
      <c r="B62" s="2270">
        <f t="shared" si="18"/>
        <v>11265.2</v>
      </c>
      <c r="C62" s="2270">
        <v>297</v>
      </c>
      <c r="D62" s="2270">
        <v>350</v>
      </c>
      <c r="E62" s="2270">
        <f t="shared" ref="E62" si="19">B62/500*D62*C62</f>
        <v>2342035.08</v>
      </c>
      <c r="F62" s="2270">
        <v>10000</v>
      </c>
      <c r="G62" s="2270">
        <f t="shared" ref="G62" si="20">ROUND(E62/F62,0)</f>
        <v>234</v>
      </c>
      <c r="H62" s="2271" t="s">
        <v>5030</v>
      </c>
    </row>
    <row r="63" spans="1:12">
      <c r="A63" s="2269" t="s">
        <v>2261</v>
      </c>
      <c r="B63" s="2270">
        <f t="shared" si="18"/>
        <v>11265.2</v>
      </c>
      <c r="C63" s="2270">
        <v>12</v>
      </c>
      <c r="D63" s="2270">
        <v>500</v>
      </c>
      <c r="E63" s="2270">
        <f>B63/500*D63*C63</f>
        <v>135182.40000000002</v>
      </c>
      <c r="F63" s="2270">
        <v>5000</v>
      </c>
      <c r="G63" s="2270">
        <f>ROUND(E63/F63,0)</f>
        <v>27</v>
      </c>
      <c r="H63" s="2271"/>
    </row>
    <row r="64" spans="1:12">
      <c r="A64" s="2269" t="s">
        <v>5031</v>
      </c>
      <c r="B64" s="2270">
        <f t="shared" si="18"/>
        <v>11265.2</v>
      </c>
      <c r="C64" s="2270">
        <v>12</v>
      </c>
      <c r="D64" s="2270">
        <v>200</v>
      </c>
      <c r="E64" s="2270">
        <f>B64/500*D64*C64</f>
        <v>54072.959999999999</v>
      </c>
      <c r="F64" s="2270">
        <v>200</v>
      </c>
      <c r="G64" s="2270">
        <f>ROUND(E64/F64,0)</f>
        <v>270</v>
      </c>
      <c r="H64" s="2271"/>
    </row>
    <row r="65" spans="1:11" ht="45">
      <c r="A65" s="2269" t="s">
        <v>2246</v>
      </c>
      <c r="B65" s="2270">
        <v>1</v>
      </c>
      <c r="C65" s="2270">
        <v>10</v>
      </c>
      <c r="D65" s="2270">
        <v>500</v>
      </c>
      <c r="E65" s="2270">
        <f>B65*C65*D65</f>
        <v>5000</v>
      </c>
      <c r="F65" s="2270">
        <v>500</v>
      </c>
      <c r="G65" s="2270">
        <f>ROUND(E65/F65,0)</f>
        <v>10</v>
      </c>
      <c r="H65" s="2271" t="s">
        <v>5032</v>
      </c>
    </row>
    <row r="66" spans="1:11" ht="45">
      <c r="A66" s="2269" t="s">
        <v>2249</v>
      </c>
      <c r="B66" s="2270">
        <v>23</v>
      </c>
      <c r="C66" s="2270">
        <v>4</v>
      </c>
      <c r="D66" s="2270">
        <v>12</v>
      </c>
      <c r="E66" s="2270">
        <f>B66*C66*D66</f>
        <v>1104</v>
      </c>
      <c r="F66" s="2270">
        <v>500</v>
      </c>
      <c r="G66" s="2270">
        <f t="shared" ref="G66" si="21">ROUND(E66/F66,0)</f>
        <v>2</v>
      </c>
      <c r="H66" s="2271" t="s">
        <v>5033</v>
      </c>
    </row>
    <row r="67" spans="1:11">
      <c r="A67" s="2269" t="s">
        <v>2251</v>
      </c>
      <c r="B67" s="2270">
        <f t="shared" ref="B67" si="22">12100-834.8</f>
        <v>11265.2</v>
      </c>
      <c r="C67" s="2270">
        <v>755</v>
      </c>
      <c r="D67" s="2277"/>
      <c r="E67" s="2277"/>
      <c r="F67" s="2270">
        <v>5000</v>
      </c>
      <c r="G67" s="2270">
        <f>ROUND(C67*500/5000,0)</f>
        <v>76</v>
      </c>
      <c r="H67" s="2277">
        <f>ROUND(G67*8/12,0)</f>
        <v>51</v>
      </c>
    </row>
    <row r="70" spans="1:11">
      <c r="A70" s="2272" t="s">
        <v>476</v>
      </c>
    </row>
    <row r="71" spans="1:11" ht="60">
      <c r="A71" s="2267" t="s">
        <v>478</v>
      </c>
      <c r="B71" s="2267" t="s">
        <v>5022</v>
      </c>
      <c r="C71" s="2268" t="s">
        <v>5023</v>
      </c>
      <c r="D71" s="2268" t="s">
        <v>5024</v>
      </c>
      <c r="E71" s="2268" t="s">
        <v>5025</v>
      </c>
      <c r="F71" s="2268" t="s">
        <v>5026</v>
      </c>
      <c r="G71" s="2268" t="s">
        <v>20</v>
      </c>
      <c r="H71" s="2268" t="s">
        <v>4432</v>
      </c>
    </row>
    <row r="72" spans="1:11">
      <c r="A72" s="2269" t="s">
        <v>5027</v>
      </c>
      <c r="B72" s="2270">
        <f>22739-7884.4</f>
        <v>14854.6</v>
      </c>
      <c r="C72" s="2270">
        <v>4</v>
      </c>
      <c r="D72" s="2270">
        <v>200</v>
      </c>
      <c r="E72" s="2270">
        <f>B72/500*D72*C72</f>
        <v>23767.360000000001</v>
      </c>
      <c r="F72" s="2270">
        <v>500</v>
      </c>
      <c r="G72" s="2270">
        <f>ROUND(E72/F72,0)</f>
        <v>48</v>
      </c>
      <c r="H72" s="2271"/>
    </row>
    <row r="73" spans="1:11">
      <c r="A73" s="2269" t="s">
        <v>5028</v>
      </c>
      <c r="B73" s="2270">
        <f t="shared" ref="B73:B78" si="23">22739-7884.4</f>
        <v>14854.6</v>
      </c>
      <c r="C73" s="2270">
        <v>4</v>
      </c>
      <c r="D73" s="2270">
        <v>250</v>
      </c>
      <c r="E73" s="2270">
        <f>B73/500*D73*C73</f>
        <v>29709.200000000001</v>
      </c>
      <c r="F73" s="2270">
        <v>6000</v>
      </c>
      <c r="G73" s="2270">
        <f>ROUND(E73/F73,0)</f>
        <v>5</v>
      </c>
      <c r="H73" s="2271"/>
      <c r="I73" s="2265" t="s">
        <v>5055</v>
      </c>
      <c r="J73" s="2265" t="s">
        <v>5056</v>
      </c>
    </row>
    <row r="74" spans="1:11" ht="45">
      <c r="A74" s="2269" t="s">
        <v>5057</v>
      </c>
      <c r="B74" s="2270">
        <f t="shared" si="23"/>
        <v>14854.6</v>
      </c>
      <c r="C74" s="2270">
        <v>125</v>
      </c>
      <c r="D74" s="2270">
        <v>350</v>
      </c>
      <c r="E74" s="2270">
        <f t="shared" ref="E74:E76" si="24">B74/500*D74*C74</f>
        <v>1299777.5</v>
      </c>
      <c r="F74" s="2270"/>
      <c r="G74" s="2270"/>
      <c r="H74" s="2271" t="s">
        <v>5030</v>
      </c>
      <c r="I74" s="2265">
        <f>20000*22</f>
        <v>440000</v>
      </c>
      <c r="J74" s="2265">
        <f>1694*750</f>
        <v>1270500</v>
      </c>
    </row>
    <row r="75" spans="1:11" ht="25.5">
      <c r="A75" s="2280" t="s">
        <v>5058</v>
      </c>
      <c r="B75" s="2270">
        <f t="shared" si="23"/>
        <v>14854.6</v>
      </c>
      <c r="C75" s="2270">
        <v>125</v>
      </c>
      <c r="D75" s="2270"/>
      <c r="E75" s="2270">
        <f t="shared" si="24"/>
        <v>0</v>
      </c>
      <c r="F75" s="2270">
        <v>750</v>
      </c>
      <c r="G75" s="2270">
        <f t="shared" ref="G75:G76" si="25">ROUND(E75/F75,0)</f>
        <v>0</v>
      </c>
      <c r="H75" s="2271"/>
    </row>
    <row r="76" spans="1:11">
      <c r="A76" s="2281" t="s">
        <v>5059</v>
      </c>
      <c r="B76" s="2270">
        <f t="shared" si="23"/>
        <v>14854.6</v>
      </c>
      <c r="C76" s="2270">
        <v>125</v>
      </c>
      <c r="D76" s="2270">
        <v>350</v>
      </c>
      <c r="E76" s="2270">
        <f t="shared" si="24"/>
        <v>1299777.5</v>
      </c>
      <c r="F76" s="2270">
        <v>10000</v>
      </c>
      <c r="G76" s="2270">
        <f t="shared" si="25"/>
        <v>130</v>
      </c>
      <c r="H76" s="2271"/>
    </row>
    <row r="77" spans="1:11">
      <c r="A77" s="2269" t="s">
        <v>2261</v>
      </c>
      <c r="B77" s="2270">
        <f t="shared" si="23"/>
        <v>14854.6</v>
      </c>
      <c r="C77" s="2270">
        <v>4</v>
      </c>
      <c r="D77" s="2270">
        <v>500</v>
      </c>
      <c r="E77" s="2270">
        <f>B77/500*D77*C77</f>
        <v>59418.400000000001</v>
      </c>
      <c r="F77" s="2270">
        <v>5000</v>
      </c>
      <c r="G77" s="2270">
        <f>ROUND(E77/F77,0)</f>
        <v>12</v>
      </c>
      <c r="H77" s="2271"/>
      <c r="J77" s="2276">
        <f>E74-J74</f>
        <v>29277.5</v>
      </c>
      <c r="K77" s="2265" t="s">
        <v>5060</v>
      </c>
    </row>
    <row r="78" spans="1:11">
      <c r="A78" s="2269" t="s">
        <v>5031</v>
      </c>
      <c r="B78" s="2270">
        <f t="shared" si="23"/>
        <v>14854.6</v>
      </c>
      <c r="C78" s="2270">
        <v>4</v>
      </c>
      <c r="D78" s="2270">
        <v>200</v>
      </c>
      <c r="E78" s="2270">
        <f>B78/500*D78*C78</f>
        <v>23767.360000000001</v>
      </c>
      <c r="F78" s="2270">
        <v>200</v>
      </c>
      <c r="G78" s="2270">
        <f>ROUND(E78/F78,0)</f>
        <v>119</v>
      </c>
      <c r="H78" s="2271"/>
      <c r="J78" s="2276">
        <f>J77-I74</f>
        <v>-410722.5</v>
      </c>
    </row>
    <row r="79" spans="1:11" ht="45">
      <c r="A79" s="2269" t="s">
        <v>2246</v>
      </c>
      <c r="B79" s="2270">
        <v>1</v>
      </c>
      <c r="C79" s="2270">
        <v>5</v>
      </c>
      <c r="D79" s="2270">
        <v>500</v>
      </c>
      <c r="E79" s="2270">
        <f>B79*C79*D79</f>
        <v>2500</v>
      </c>
      <c r="F79" s="2270">
        <v>500</v>
      </c>
      <c r="G79" s="2270">
        <f>ROUND(E79/F79,0)</f>
        <v>5</v>
      </c>
      <c r="H79" s="2271" t="s">
        <v>5032</v>
      </c>
    </row>
    <row r="80" spans="1:11" ht="16.5" customHeight="1">
      <c r="A80" s="2269" t="s">
        <v>2249</v>
      </c>
      <c r="B80" s="2270">
        <v>53</v>
      </c>
      <c r="C80" s="2270">
        <v>2</v>
      </c>
      <c r="D80" s="2270">
        <v>12</v>
      </c>
      <c r="E80" s="2270">
        <f>B80*C80*D80</f>
        <v>1272</v>
      </c>
      <c r="F80" s="2270">
        <v>500</v>
      </c>
      <c r="G80" s="2270">
        <f t="shared" ref="G80" si="26">ROUND(E80/F80,0)</f>
        <v>3</v>
      </c>
      <c r="H80" s="2271" t="s">
        <v>5033</v>
      </c>
    </row>
    <row r="81" spans="1:8">
      <c r="A81" s="2269" t="s">
        <v>2251</v>
      </c>
      <c r="B81" s="2270">
        <f>22739-7884.4</f>
        <v>14854.6</v>
      </c>
      <c r="C81" s="2270">
        <v>755</v>
      </c>
      <c r="D81" s="2277"/>
      <c r="E81" s="2277"/>
      <c r="F81" s="2270">
        <v>5000</v>
      </c>
      <c r="G81" s="2270">
        <f>C81*500/5000</f>
        <v>75.5</v>
      </c>
      <c r="H81" s="2277">
        <f>ROUND(G81*4/12,0)</f>
        <v>25</v>
      </c>
    </row>
    <row r="83" spans="1:8">
      <c r="A83" s="2282" t="s">
        <v>5061</v>
      </c>
    </row>
    <row r="84" spans="1:8" ht="60">
      <c r="A84" s="2267" t="s">
        <v>478</v>
      </c>
      <c r="B84" s="2267" t="s">
        <v>5022</v>
      </c>
      <c r="C84" s="2268" t="s">
        <v>5023</v>
      </c>
      <c r="D84" s="2268" t="s">
        <v>5024</v>
      </c>
      <c r="E84" s="2268" t="s">
        <v>5025</v>
      </c>
      <c r="F84" s="2268" t="s">
        <v>5026</v>
      </c>
      <c r="G84" s="2268" t="s">
        <v>20</v>
      </c>
      <c r="H84" s="2268" t="s">
        <v>4432</v>
      </c>
    </row>
    <row r="85" spans="1:8">
      <c r="A85" s="2269" t="s">
        <v>5027</v>
      </c>
      <c r="B85" s="2270">
        <f>16567-2624.2</f>
        <v>13942.8</v>
      </c>
      <c r="C85" s="2270">
        <v>12</v>
      </c>
      <c r="D85" s="2270">
        <v>200</v>
      </c>
      <c r="E85" s="2270">
        <f>B85/500*D85*C85</f>
        <v>66925.440000000002</v>
      </c>
      <c r="F85" s="2270">
        <v>400</v>
      </c>
      <c r="G85" s="2270">
        <f>ROUND(E85/F85,0)</f>
        <v>167</v>
      </c>
      <c r="H85" s="2271"/>
    </row>
    <row r="86" spans="1:8">
      <c r="A86" s="2269" t="s">
        <v>5028</v>
      </c>
      <c r="B86" s="2270">
        <f t="shared" ref="B86:B89" si="27">16567-2624.2</f>
        <v>13942.8</v>
      </c>
      <c r="C86" s="2270">
        <v>12</v>
      </c>
      <c r="D86" s="2270">
        <v>250</v>
      </c>
      <c r="E86" s="2270">
        <f>B86/500*D86*C86</f>
        <v>83656.799999999988</v>
      </c>
      <c r="F86" s="2270">
        <v>1000</v>
      </c>
      <c r="G86" s="2270">
        <f>ROUND(E86/F86,0)</f>
        <v>84</v>
      </c>
      <c r="H86" s="2271"/>
    </row>
    <row r="87" spans="1:8" ht="45">
      <c r="A87" s="2269" t="s">
        <v>5029</v>
      </c>
      <c r="B87" s="2270">
        <f t="shared" si="27"/>
        <v>13942.8</v>
      </c>
      <c r="C87" s="2270">
        <v>297</v>
      </c>
      <c r="D87" s="2270">
        <v>350</v>
      </c>
      <c r="E87" s="2270">
        <f t="shared" ref="E87" si="28">B87/500*D87*C87</f>
        <v>2898708.12</v>
      </c>
      <c r="F87" s="2270">
        <v>750</v>
      </c>
      <c r="G87" s="2270">
        <f t="shared" ref="G87" si="29">ROUND(E87/F87,0)</f>
        <v>3865</v>
      </c>
      <c r="H87" s="2271" t="s">
        <v>5030</v>
      </c>
    </row>
    <row r="88" spans="1:8">
      <c r="A88" s="2269" t="s">
        <v>2261</v>
      </c>
      <c r="B88" s="2270">
        <f t="shared" si="27"/>
        <v>13942.8</v>
      </c>
      <c r="C88" s="2270">
        <v>12</v>
      </c>
      <c r="D88" s="2270">
        <v>500</v>
      </c>
      <c r="E88" s="2270">
        <f>B88/500*D88*C88</f>
        <v>167313.59999999998</v>
      </c>
      <c r="F88" s="2270">
        <v>500</v>
      </c>
      <c r="G88" s="2270">
        <f>ROUND(E88/F88,0)</f>
        <v>335</v>
      </c>
      <c r="H88" s="2271"/>
    </row>
    <row r="89" spans="1:8">
      <c r="A89" s="2269" t="s">
        <v>5031</v>
      </c>
      <c r="B89" s="2270">
        <f t="shared" si="27"/>
        <v>13942.8</v>
      </c>
      <c r="C89" s="2270">
        <v>12</v>
      </c>
      <c r="D89" s="2270">
        <v>200</v>
      </c>
      <c r="E89" s="2270">
        <f>B89/500*D89*C89</f>
        <v>66925.440000000002</v>
      </c>
      <c r="F89" s="2270">
        <v>200</v>
      </c>
      <c r="G89" s="2270">
        <f>ROUND(E89/F89,0)</f>
        <v>335</v>
      </c>
      <c r="H89" s="2271"/>
    </row>
    <row r="90" spans="1:8" ht="45">
      <c r="A90" s="2269" t="s">
        <v>2246</v>
      </c>
      <c r="B90" s="2270"/>
      <c r="C90" s="2270">
        <v>10</v>
      </c>
      <c r="D90" s="2270">
        <v>500</v>
      </c>
      <c r="E90" s="2270">
        <f>B90*C90*D90</f>
        <v>0</v>
      </c>
      <c r="F90" s="2270">
        <v>500</v>
      </c>
      <c r="G90" s="2270">
        <f>ROUND(E90/F90,0)</f>
        <v>0</v>
      </c>
      <c r="H90" s="2271" t="s">
        <v>5032</v>
      </c>
    </row>
    <row r="91" spans="1:8" ht="45">
      <c r="A91" s="2269" t="s">
        <v>2249</v>
      </c>
      <c r="B91" s="2270">
        <v>55</v>
      </c>
      <c r="C91" s="2270">
        <v>4</v>
      </c>
      <c r="D91" s="2270">
        <v>12</v>
      </c>
      <c r="E91" s="2270">
        <f>B91*C91*D91</f>
        <v>2640</v>
      </c>
      <c r="F91" s="2270">
        <v>500</v>
      </c>
      <c r="G91" s="2270">
        <f t="shared" ref="G91" si="30">ROUND(E91/F91,0)</f>
        <v>5</v>
      </c>
      <c r="H91" s="2271" t="s">
        <v>5033</v>
      </c>
    </row>
    <row r="92" spans="1:8">
      <c r="A92" s="2269" t="s">
        <v>2251</v>
      </c>
      <c r="B92" s="2270">
        <f t="shared" ref="B92" si="31">16567-2624.2</f>
        <v>13942.8</v>
      </c>
      <c r="C92" s="2270">
        <v>486</v>
      </c>
      <c r="D92" s="2277"/>
      <c r="E92" s="2277"/>
      <c r="F92" s="2270">
        <v>5000</v>
      </c>
      <c r="G92" s="2270">
        <f>ROUND(C92*500/5000,0)</f>
        <v>49</v>
      </c>
      <c r="H92" s="2277"/>
    </row>
    <row r="93" spans="1:8" ht="27.75" customHeight="1"/>
    <row r="95" spans="1:8">
      <c r="A95" s="2269" t="s">
        <v>2166</v>
      </c>
      <c r="B95" s="2273" t="s">
        <v>5062</v>
      </c>
      <c r="C95" s="2273" t="s">
        <v>5063</v>
      </c>
      <c r="D95" s="2273" t="s">
        <v>2177</v>
      </c>
    </row>
    <row r="96" spans="1:8">
      <c r="A96" s="2269" t="s">
        <v>5064</v>
      </c>
      <c r="B96" s="2273">
        <v>1033.54</v>
      </c>
      <c r="C96" s="2273">
        <v>2100</v>
      </c>
      <c r="D96" s="2273">
        <v>970.4</v>
      </c>
    </row>
    <row r="97" spans="1:4">
      <c r="A97" s="2269" t="s">
        <v>5065</v>
      </c>
      <c r="B97" s="2273">
        <v>1033.54</v>
      </c>
      <c r="C97" s="2273">
        <v>2100</v>
      </c>
      <c r="D97" s="2273">
        <v>970.4</v>
      </c>
    </row>
    <row r="98" spans="1:4">
      <c r="A98" s="2269" t="s">
        <v>5066</v>
      </c>
      <c r="B98" s="2273">
        <v>834.8</v>
      </c>
      <c r="C98" s="2273"/>
      <c r="D98" s="2273">
        <v>340</v>
      </c>
    </row>
    <row r="99" spans="1:4">
      <c r="A99" s="2269" t="s">
        <v>5067</v>
      </c>
      <c r="B99" s="2273"/>
      <c r="C99" s="2273">
        <v>7884.4</v>
      </c>
      <c r="D99" s="2273">
        <v>831</v>
      </c>
    </row>
    <row r="100" spans="1:4">
      <c r="A100" s="2269" t="s">
        <v>5068</v>
      </c>
      <c r="B100" s="2273">
        <v>111.5</v>
      </c>
      <c r="C100" s="2273">
        <v>1429.58</v>
      </c>
      <c r="D100" s="2273">
        <v>230</v>
      </c>
    </row>
    <row r="101" spans="1:4">
      <c r="A101" s="2269" t="s">
        <v>5069</v>
      </c>
      <c r="B101" s="2273"/>
      <c r="C101" s="2273">
        <v>2624.2</v>
      </c>
      <c r="D101" s="2273">
        <v>824</v>
      </c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A1:L101"/>
  <sheetViews>
    <sheetView topLeftCell="A64" workbookViewId="0">
      <selection activeCell="H82" sqref="H82"/>
    </sheetView>
  </sheetViews>
  <sheetFormatPr defaultColWidth="9.140625" defaultRowHeight="15"/>
  <cols>
    <col min="1" max="1" width="32.42578125" style="2265" customWidth="1"/>
    <col min="2" max="2" width="16.5703125" style="2265" customWidth="1"/>
    <col min="3" max="3" width="19.42578125" style="2265" customWidth="1"/>
    <col min="4" max="4" width="24.140625" style="2265" customWidth="1"/>
    <col min="5" max="5" width="14.140625" style="2265" customWidth="1"/>
    <col min="6" max="6" width="17.28515625" style="2265" customWidth="1"/>
    <col min="7" max="7" width="12.5703125" style="2265" customWidth="1"/>
    <col min="8" max="8" width="21.85546875" style="2265" customWidth="1"/>
    <col min="9" max="9" width="11" style="2265" customWidth="1"/>
    <col min="10" max="10" width="10" style="2265" bestFit="1" customWidth="1"/>
    <col min="11" max="16384" width="9.140625" style="2265"/>
  </cols>
  <sheetData>
    <row r="1" spans="1:8">
      <c r="A1" s="2264" t="s">
        <v>5020</v>
      </c>
    </row>
    <row r="2" spans="1:8">
      <c r="A2" s="2266" t="s">
        <v>5021</v>
      </c>
    </row>
    <row r="5" spans="1:8" ht="60">
      <c r="A5" s="2267" t="s">
        <v>478</v>
      </c>
      <c r="B5" s="2267" t="s">
        <v>5022</v>
      </c>
      <c r="C5" s="2268" t="s">
        <v>5023</v>
      </c>
      <c r="D5" s="2268" t="s">
        <v>5024</v>
      </c>
      <c r="E5" s="2268" t="s">
        <v>5025</v>
      </c>
      <c r="F5" s="2268" t="s">
        <v>5026</v>
      </c>
      <c r="G5" s="2268" t="s">
        <v>20</v>
      </c>
      <c r="H5" s="2268" t="s">
        <v>4432</v>
      </c>
    </row>
    <row r="6" spans="1:8">
      <c r="A6" s="2269" t="s">
        <v>5027</v>
      </c>
      <c r="B6" s="2270">
        <v>12112.5</v>
      </c>
      <c r="C6" s="2270">
        <v>12</v>
      </c>
      <c r="D6" s="2270">
        <v>450</v>
      </c>
      <c r="E6" s="2270">
        <f>B6/500*D6*C6</f>
        <v>130815</v>
      </c>
      <c r="F6" s="2270">
        <v>400</v>
      </c>
      <c r="G6" s="2270">
        <f>ROUND(E6/F6,0)</f>
        <v>327</v>
      </c>
      <c r="H6" s="2271"/>
    </row>
    <row r="7" spans="1:8">
      <c r="A7" s="2269" t="s">
        <v>5028</v>
      </c>
      <c r="B7" s="2270">
        <v>12112.5</v>
      </c>
      <c r="C7" s="2270">
        <v>12</v>
      </c>
      <c r="D7" s="2270">
        <v>450</v>
      </c>
      <c r="E7" s="2270">
        <f>B7/500*D7*C7</f>
        <v>130815</v>
      </c>
      <c r="F7" s="2270">
        <v>400</v>
      </c>
      <c r="G7" s="2270">
        <f>ROUND(E7/F7,0)</f>
        <v>327</v>
      </c>
      <c r="H7" s="2271"/>
    </row>
    <row r="8" spans="1:8" ht="45">
      <c r="A8" s="2269" t="s">
        <v>5029</v>
      </c>
      <c r="B8" s="2270">
        <v>12112.5</v>
      </c>
      <c r="C8" s="2270">
        <v>297</v>
      </c>
      <c r="D8" s="2270">
        <v>350</v>
      </c>
      <c r="E8" s="2270">
        <f t="shared" ref="E8" si="0">B8/500*D8*C8</f>
        <v>2518188.75</v>
      </c>
      <c r="F8" s="2270">
        <v>5000</v>
      </c>
      <c r="G8" s="2270">
        <f t="shared" ref="G8:G12" si="1">ROUND(E8/F8,0)</f>
        <v>504</v>
      </c>
      <c r="H8" s="2271" t="s">
        <v>5030</v>
      </c>
    </row>
    <row r="9" spans="1:8">
      <c r="A9" s="2269" t="s">
        <v>2261</v>
      </c>
      <c r="B9" s="2270">
        <v>12112.5</v>
      </c>
      <c r="C9" s="2270">
        <v>12</v>
      </c>
      <c r="D9" s="2270">
        <v>500</v>
      </c>
      <c r="E9" s="2270">
        <f>B9/500*D9*C9</f>
        <v>145350</v>
      </c>
      <c r="F9" s="2270">
        <v>500</v>
      </c>
      <c r="G9" s="2270">
        <f>ROUND(E9/F9,0)</f>
        <v>291</v>
      </c>
      <c r="H9" s="2271"/>
    </row>
    <row r="10" spans="1:8">
      <c r="A10" s="2269" t="s">
        <v>5031</v>
      </c>
      <c r="B10" s="2270">
        <v>12112.5</v>
      </c>
      <c r="C10" s="2270">
        <v>12</v>
      </c>
      <c r="D10" s="2270">
        <v>200</v>
      </c>
      <c r="E10" s="2270">
        <f>B10/500*D10*C10</f>
        <v>58140</v>
      </c>
      <c r="F10" s="2270">
        <v>200</v>
      </c>
      <c r="G10" s="2270">
        <f>ROUND(E10/F10,0)</f>
        <v>291</v>
      </c>
      <c r="H10" s="2271"/>
    </row>
    <row r="11" spans="1:8" ht="45">
      <c r="A11" s="2269" t="s">
        <v>2246</v>
      </c>
      <c r="B11" s="2270">
        <v>3</v>
      </c>
      <c r="C11" s="2270">
        <v>10</v>
      </c>
      <c r="D11" s="2270">
        <v>500</v>
      </c>
      <c r="E11" s="2270">
        <f>B11*C11*D11</f>
        <v>15000</v>
      </c>
      <c r="F11" s="2270">
        <v>500</v>
      </c>
      <c r="G11" s="2270">
        <f>ROUND(E11/F11,0)</f>
        <v>30</v>
      </c>
      <c r="H11" s="2271" t="s">
        <v>5032</v>
      </c>
    </row>
    <row r="12" spans="1:8" ht="45">
      <c r="A12" s="2269" t="s">
        <v>2249</v>
      </c>
      <c r="B12" s="2270">
        <v>53</v>
      </c>
      <c r="C12" s="2270">
        <v>4</v>
      </c>
      <c r="D12" s="2270">
        <v>12</v>
      </c>
      <c r="E12" s="2270">
        <f>B12*C12*D12</f>
        <v>2544</v>
      </c>
      <c r="F12" s="2270">
        <v>500</v>
      </c>
      <c r="G12" s="2270">
        <f t="shared" si="1"/>
        <v>5</v>
      </c>
      <c r="H12" s="2271" t="s">
        <v>5033</v>
      </c>
    </row>
    <row r="13" spans="1:8">
      <c r="A13" s="2272" t="s">
        <v>1006</v>
      </c>
    </row>
    <row r="14" spans="1:8" ht="60">
      <c r="A14" s="2267" t="s">
        <v>478</v>
      </c>
      <c r="B14" s="2267" t="s">
        <v>5022</v>
      </c>
      <c r="C14" s="2268" t="s">
        <v>5023</v>
      </c>
      <c r="D14" s="2268" t="s">
        <v>5024</v>
      </c>
      <c r="E14" s="2268" t="s">
        <v>5025</v>
      </c>
      <c r="F14" s="2268" t="s">
        <v>5026</v>
      </c>
      <c r="G14" s="2268" t="s">
        <v>20</v>
      </c>
      <c r="H14" s="2268" t="s">
        <v>4432</v>
      </c>
    </row>
    <row r="15" spans="1:8">
      <c r="A15" s="2269" t="s">
        <v>5027</v>
      </c>
      <c r="B15" s="2270">
        <f>'площ для обсл объек'!$C$14-111.5-'площ для обсл объек'!$E$14</f>
        <v>5370.7</v>
      </c>
      <c r="C15" s="2270">
        <v>12</v>
      </c>
      <c r="D15" s="2270">
        <v>200</v>
      </c>
      <c r="E15" s="2270">
        <f>B15/500*D15*C15</f>
        <v>25779.360000000001</v>
      </c>
      <c r="F15" s="2270">
        <v>500</v>
      </c>
      <c r="G15" s="2270">
        <f>ROUND(E15/F15,0)</f>
        <v>52</v>
      </c>
      <c r="H15" s="2271"/>
    </row>
    <row r="16" spans="1:8">
      <c r="A16" s="2269" t="s">
        <v>5028</v>
      </c>
      <c r="B16" s="2270">
        <f>'площ для обсл объек'!$C$14-111.5-'площ для обсл объек'!$E$14</f>
        <v>5370.7</v>
      </c>
      <c r="C16" s="2270">
        <v>12</v>
      </c>
      <c r="D16" s="2270">
        <v>250</v>
      </c>
      <c r="E16" s="2270">
        <f>B16/500*D16*C16</f>
        <v>32224.199999999997</v>
      </c>
      <c r="F16" s="2270">
        <v>6000</v>
      </c>
      <c r="G16" s="2270">
        <f>ROUND(E16/F16,0)</f>
        <v>5</v>
      </c>
      <c r="H16" s="2271"/>
    </row>
    <row r="17" spans="1:9" s="2348" customFormat="1" ht="45">
      <c r="A17" s="2353" t="s">
        <v>5034</v>
      </c>
      <c r="B17" s="2354">
        <f>'площ для обсл объек'!$C$14-111.5-'площ для обсл объек'!$E$14</f>
        <v>5370.7</v>
      </c>
      <c r="C17" s="2354">
        <v>254</v>
      </c>
      <c r="D17" s="2354">
        <v>350</v>
      </c>
      <c r="E17" s="2354">
        <f t="shared" ref="E17" si="2">B17/500*D17*C17</f>
        <v>954910.46000000008</v>
      </c>
      <c r="F17" s="2354">
        <v>10000</v>
      </c>
      <c r="G17" s="2354">
        <f t="shared" ref="G17" si="3">ROUND(E17/F17,0)</f>
        <v>95</v>
      </c>
      <c r="H17" s="2271" t="s">
        <v>5030</v>
      </c>
    </row>
    <row r="18" spans="1:9">
      <c r="A18" s="2269" t="s">
        <v>2261</v>
      </c>
      <c r="B18" s="2270">
        <f>'площ для обсл объек'!$C$14-111.5-'площ для обсл объек'!$E$14</f>
        <v>5370.7</v>
      </c>
      <c r="C18" s="2270">
        <v>12</v>
      </c>
      <c r="D18" s="2270">
        <v>500</v>
      </c>
      <c r="E18" s="2270">
        <f>B18/500*D18*C18</f>
        <v>64448.399999999994</v>
      </c>
      <c r="F18" s="2270">
        <v>5000</v>
      </c>
      <c r="G18" s="2270">
        <f>ROUND(E18/F18,0)</f>
        <v>13</v>
      </c>
      <c r="H18" s="2271"/>
    </row>
    <row r="19" spans="1:9">
      <c r="A19" s="2269" t="s">
        <v>5031</v>
      </c>
      <c r="B19" s="2270">
        <f>'площ для обсл объек'!$C$14-111.5-'площ для обсл объек'!$E$14</f>
        <v>5370.7</v>
      </c>
      <c r="C19" s="2270">
        <v>12</v>
      </c>
      <c r="D19" s="2270">
        <v>200</v>
      </c>
      <c r="E19" s="2270">
        <f>B19/500*D19*C19</f>
        <v>25779.360000000001</v>
      </c>
      <c r="F19" s="2270">
        <v>200</v>
      </c>
      <c r="G19" s="2270">
        <f>ROUND(E19/F19,0)</f>
        <v>129</v>
      </c>
      <c r="H19" s="2271"/>
    </row>
    <row r="20" spans="1:9" ht="45">
      <c r="A20" s="2269" t="s">
        <v>2246</v>
      </c>
      <c r="B20" s="2270"/>
      <c r="C20" s="2270">
        <v>10</v>
      </c>
      <c r="D20" s="2270">
        <v>500</v>
      </c>
      <c r="E20" s="2270">
        <f>B20*C20*D20</f>
        <v>0</v>
      </c>
      <c r="F20" s="2270">
        <v>500</v>
      </c>
      <c r="G20" s="2270">
        <f>ROUND(E20/F20,0)</f>
        <v>0</v>
      </c>
      <c r="H20" s="2271" t="s">
        <v>5032</v>
      </c>
    </row>
    <row r="21" spans="1:9" ht="45">
      <c r="A21" s="2269" t="s">
        <v>2249</v>
      </c>
      <c r="B21" s="2270">
        <v>35</v>
      </c>
      <c r="C21" s="2270">
        <v>4</v>
      </c>
      <c r="D21" s="2270">
        <v>12</v>
      </c>
      <c r="E21" s="2270">
        <f>B21*C21*D21</f>
        <v>1680</v>
      </c>
      <c r="F21" s="2270">
        <v>500</v>
      </c>
      <c r="G21" s="2270">
        <f t="shared" ref="G21" si="4">ROUND(E21/F21,0)</f>
        <v>3</v>
      </c>
      <c r="H21" s="2271" t="s">
        <v>5033</v>
      </c>
    </row>
    <row r="22" spans="1:9">
      <c r="A22" s="2269" t="s">
        <v>2251</v>
      </c>
      <c r="B22" s="2270">
        <f>B19</f>
        <v>5370.7</v>
      </c>
      <c r="C22" s="2270">
        <v>200</v>
      </c>
      <c r="D22" s="2273"/>
      <c r="E22" s="2273"/>
      <c r="F22" s="2270">
        <v>5000</v>
      </c>
      <c r="G22" s="2270">
        <f>C22*500/5000</f>
        <v>20</v>
      </c>
      <c r="H22" s="2273"/>
    </row>
    <row r="23" spans="1:9">
      <c r="A23" s="2269" t="s">
        <v>1231</v>
      </c>
      <c r="B23" s="2270">
        <f>B22</f>
        <v>5370.7</v>
      </c>
      <c r="C23" s="2270">
        <v>10</v>
      </c>
      <c r="D23" s="2274">
        <v>320</v>
      </c>
      <c r="E23" s="2274">
        <f>C23*D23*200</f>
        <v>640000</v>
      </c>
      <c r="F23" s="2270">
        <v>9000</v>
      </c>
      <c r="G23" s="2270">
        <f>ROUND(E23/F23,0)</f>
        <v>71</v>
      </c>
      <c r="H23" s="2273" t="s">
        <v>5035</v>
      </c>
    </row>
    <row r="24" spans="1:9">
      <c r="A24" s="2269" t="s">
        <v>1225</v>
      </c>
      <c r="B24" s="2270">
        <f>B23</f>
        <v>5370.7</v>
      </c>
      <c r="C24" s="2270">
        <v>10</v>
      </c>
      <c r="D24" s="2274" t="s">
        <v>3264</v>
      </c>
      <c r="E24" s="2273"/>
      <c r="F24" s="2270"/>
      <c r="G24" s="2270">
        <f>200*1/2*C24</f>
        <v>1000</v>
      </c>
      <c r="H24" s="2273"/>
    </row>
    <row r="25" spans="1:9">
      <c r="A25" s="2269" t="s">
        <v>5036</v>
      </c>
      <c r="B25" s="2270">
        <f>B24</f>
        <v>5370.7</v>
      </c>
      <c r="C25" s="2270">
        <v>10</v>
      </c>
      <c r="D25" s="2274" t="s">
        <v>5037</v>
      </c>
      <c r="E25" s="2274" t="s">
        <v>5038</v>
      </c>
      <c r="F25" s="2270"/>
      <c r="G25" s="2270">
        <f>200*C25</f>
        <v>2000</v>
      </c>
      <c r="H25" s="2273"/>
    </row>
    <row r="26" spans="1:9">
      <c r="A26" s="2275" t="s">
        <v>5039</v>
      </c>
      <c r="B26" s="2270">
        <f t="shared" ref="B26:B27" si="5">B23</f>
        <v>5370.7</v>
      </c>
      <c r="C26" s="2270">
        <v>10</v>
      </c>
      <c r="D26" s="2274">
        <v>16</v>
      </c>
      <c r="E26" s="2274"/>
      <c r="F26" s="2274">
        <v>550</v>
      </c>
      <c r="G26" s="2270">
        <f>3316*D26/F26</f>
        <v>96.465454545454548</v>
      </c>
      <c r="H26" s="2274" t="s">
        <v>5040</v>
      </c>
    </row>
    <row r="27" spans="1:9">
      <c r="A27" s="2275" t="s">
        <v>5041</v>
      </c>
      <c r="B27" s="2270">
        <f t="shared" si="5"/>
        <v>5370.7</v>
      </c>
      <c r="C27" s="2270">
        <v>10</v>
      </c>
      <c r="D27" s="2274" t="s">
        <v>3272</v>
      </c>
      <c r="E27" s="2274">
        <v>250</v>
      </c>
      <c r="F27" s="2274">
        <v>250</v>
      </c>
      <c r="G27" s="2270">
        <f>C27*200</f>
        <v>2000</v>
      </c>
      <c r="H27" s="2274"/>
    </row>
    <row r="29" spans="1:9">
      <c r="A29" s="2272" t="s">
        <v>5042</v>
      </c>
    </row>
    <row r="30" spans="1:9" ht="75">
      <c r="A30" s="2334" t="s">
        <v>478</v>
      </c>
      <c r="B30" s="2334" t="s">
        <v>5043</v>
      </c>
      <c r="C30" s="2334" t="s">
        <v>5044</v>
      </c>
      <c r="D30" s="2335" t="s">
        <v>5024</v>
      </c>
      <c r="E30" s="2335" t="s">
        <v>5025</v>
      </c>
      <c r="F30" s="2335" t="s">
        <v>5026</v>
      </c>
      <c r="G30" s="2335" t="s">
        <v>20</v>
      </c>
      <c r="H30" s="2336" t="s">
        <v>4432</v>
      </c>
      <c r="I30" s="2337" t="s">
        <v>5045</v>
      </c>
    </row>
    <row r="31" spans="1:9">
      <c r="A31" s="2338" t="s">
        <v>5027</v>
      </c>
      <c r="B31" s="2339">
        <f>'площ для обсл объек'!$C$13-1033.54-'площ для обсл объек'!$D$13</f>
        <v>19390.559999999998</v>
      </c>
      <c r="C31" s="2339">
        <v>12</v>
      </c>
      <c r="D31" s="2339">
        <v>200</v>
      </c>
      <c r="E31" s="2339">
        <f>B31/500*D31*C31</f>
        <v>93074.687999999995</v>
      </c>
      <c r="F31" s="2339">
        <v>500</v>
      </c>
      <c r="G31" s="2339">
        <f>ROUND(E31/F31,0)</f>
        <v>186</v>
      </c>
      <c r="H31" s="2340"/>
      <c r="I31" s="2341">
        <f>G31*2</f>
        <v>372</v>
      </c>
    </row>
    <row r="32" spans="1:9">
      <c r="A32" s="2338" t="s">
        <v>5028</v>
      </c>
      <c r="B32" s="2339">
        <f>'площ для обсл объек'!$C$13-1033.54-'площ для обсл объек'!$D$13</f>
        <v>19390.559999999998</v>
      </c>
      <c r="C32" s="2339">
        <v>12</v>
      </c>
      <c r="D32" s="2339">
        <v>250</v>
      </c>
      <c r="E32" s="2339">
        <f>B32/500*D32*C32</f>
        <v>116343.35999999999</v>
      </c>
      <c r="F32" s="2339">
        <v>6000</v>
      </c>
      <c r="G32" s="2339">
        <f>ROUND(E32/F32,0)</f>
        <v>19</v>
      </c>
      <c r="H32" s="2340"/>
      <c r="I32" s="2341">
        <f t="shared" ref="I32:I40" si="6">G32*2</f>
        <v>38</v>
      </c>
    </row>
    <row r="33" spans="1:12" ht="45">
      <c r="A33" s="2338" t="s">
        <v>5029</v>
      </c>
      <c r="B33" s="2339">
        <f>'площ для обсл объек'!$C$13-1033.54-'площ для обсл объек'!$D$13</f>
        <v>19390.559999999998</v>
      </c>
      <c r="C33" s="2339">
        <v>297</v>
      </c>
      <c r="D33" s="2339">
        <v>350</v>
      </c>
      <c r="E33" s="2339">
        <f t="shared" ref="E33:E37" si="7">B33/500*D33*C33</f>
        <v>4031297.4239999992</v>
      </c>
      <c r="F33" s="2339"/>
      <c r="G33" s="2339"/>
      <c r="H33" s="2340" t="s">
        <v>5030</v>
      </c>
      <c r="I33" s="2341">
        <f t="shared" si="6"/>
        <v>0</v>
      </c>
      <c r="J33" s="2276"/>
    </row>
    <row r="34" spans="1:12" ht="30">
      <c r="A34" s="2342" t="s">
        <v>5046</v>
      </c>
      <c r="B34" s="2339">
        <f>'площ для обсл объек'!$C$13-1033.54-'площ для обсл объек'!$D$13</f>
        <v>19390.559999999998</v>
      </c>
      <c r="C34" s="2343">
        <v>297</v>
      </c>
      <c r="D34" s="2343"/>
      <c r="E34" s="2343">
        <f t="shared" si="7"/>
        <v>0</v>
      </c>
      <c r="F34" s="2343">
        <v>5000</v>
      </c>
      <c r="G34" s="2343">
        <f>ROUND(E34/F34,0)</f>
        <v>0</v>
      </c>
      <c r="H34" s="2344">
        <f>G34*2</f>
        <v>0</v>
      </c>
      <c r="I34" s="2341">
        <f t="shared" si="6"/>
        <v>0</v>
      </c>
      <c r="J34" s="2276"/>
    </row>
    <row r="35" spans="1:12" ht="30">
      <c r="A35" s="2342" t="s">
        <v>5047</v>
      </c>
      <c r="B35" s="2339">
        <f>'площ для обсл объек'!$C$13-1033.54-'площ для обсл объек'!$D$13</f>
        <v>19390.559999999998</v>
      </c>
      <c r="C35" s="2343">
        <v>297</v>
      </c>
      <c r="D35" s="2343"/>
      <c r="E35" s="2343">
        <f t="shared" si="7"/>
        <v>0</v>
      </c>
      <c r="F35" s="2343">
        <v>5000</v>
      </c>
      <c r="G35" s="2343">
        <f t="shared" ref="G35:G37" si="8">ROUND(E35/F35,0)</f>
        <v>0</v>
      </c>
      <c r="H35" s="2344">
        <f t="shared" ref="H35:H37" si="9">G35*2</f>
        <v>0</v>
      </c>
      <c r="I35" s="2341">
        <f t="shared" si="6"/>
        <v>0</v>
      </c>
      <c r="J35" s="2276"/>
    </row>
    <row r="36" spans="1:12" ht="30">
      <c r="A36" s="2342" t="s">
        <v>5048</v>
      </c>
      <c r="B36" s="2339">
        <f>'площ для обсл объек'!$C$13-1033.54-'площ для обсл объек'!$D$13</f>
        <v>19390.559999999998</v>
      </c>
      <c r="C36" s="2343">
        <v>297</v>
      </c>
      <c r="D36" s="2343">
        <f>150+50+50+100</f>
        <v>350</v>
      </c>
      <c r="E36" s="2343">
        <f>B36/500*D36*C36</f>
        <v>4031297.4239999992</v>
      </c>
      <c r="F36" s="2343">
        <v>10000</v>
      </c>
      <c r="G36" s="2343">
        <f>ROUND(E36/F36,0)</f>
        <v>403</v>
      </c>
      <c r="H36" s="2344">
        <f t="shared" si="9"/>
        <v>806</v>
      </c>
      <c r="I36" s="2341">
        <f t="shared" si="6"/>
        <v>806</v>
      </c>
      <c r="J36" s="2276"/>
    </row>
    <row r="37" spans="1:12" ht="30">
      <c r="A37" s="2345" t="s">
        <v>5049</v>
      </c>
      <c r="B37" s="2339">
        <f>'площ для обсл объек'!$C$13-1033.54-'площ для обсл объек'!$D$13</f>
        <v>19390.559999999998</v>
      </c>
      <c r="C37" s="2343">
        <v>297</v>
      </c>
      <c r="D37" s="2343"/>
      <c r="E37" s="2343">
        <f t="shared" si="7"/>
        <v>0</v>
      </c>
      <c r="F37" s="2343">
        <v>20000</v>
      </c>
      <c r="G37" s="2343">
        <f t="shared" si="8"/>
        <v>0</v>
      </c>
      <c r="H37" s="2344">
        <f t="shared" si="9"/>
        <v>0</v>
      </c>
      <c r="I37" s="2341">
        <f t="shared" si="6"/>
        <v>0</v>
      </c>
    </row>
    <row r="38" spans="1:12">
      <c r="A38" s="2338" t="s">
        <v>5031</v>
      </c>
      <c r="B38" s="2339">
        <f>'площ для обсл объек'!$C$13-1033.54-'площ для обсл объек'!$D$13</f>
        <v>19390.559999999998</v>
      </c>
      <c r="C38" s="2339">
        <v>12</v>
      </c>
      <c r="D38" s="2339">
        <v>200</v>
      </c>
      <c r="E38" s="2339">
        <f>B38/500*D38*C38</f>
        <v>93074.687999999995</v>
      </c>
      <c r="F38" s="2339">
        <v>200</v>
      </c>
      <c r="G38" s="2339">
        <f>ROUND(E38/F38,0)</f>
        <v>465</v>
      </c>
      <c r="H38" s="2340"/>
      <c r="I38" s="2341">
        <f t="shared" si="6"/>
        <v>930</v>
      </c>
      <c r="K38" s="2265" t="s">
        <v>5050</v>
      </c>
    </row>
    <row r="39" spans="1:12" ht="45">
      <c r="A39" s="2338" t="s">
        <v>2246</v>
      </c>
      <c r="B39" s="2339">
        <v>1</v>
      </c>
      <c r="C39" s="2339">
        <v>10</v>
      </c>
      <c r="D39" s="2339">
        <v>500</v>
      </c>
      <c r="E39" s="2339">
        <f>B39*C39*D39</f>
        <v>5000</v>
      </c>
      <c r="F39" s="2339">
        <v>500</v>
      </c>
      <c r="G39" s="2339">
        <f>ROUND(E39/F39,0)</f>
        <v>10</v>
      </c>
      <c r="H39" s="2340" t="s">
        <v>5032</v>
      </c>
      <c r="I39" s="2341">
        <f t="shared" si="6"/>
        <v>20</v>
      </c>
      <c r="J39" s="2276"/>
    </row>
    <row r="40" spans="1:12" ht="45">
      <c r="A40" s="2338" t="s">
        <v>2249</v>
      </c>
      <c r="B40" s="2339">
        <v>53</v>
      </c>
      <c r="C40" s="2339">
        <v>4</v>
      </c>
      <c r="D40" s="2339">
        <v>12</v>
      </c>
      <c r="E40" s="2339">
        <f>B40*C40*D40</f>
        <v>2544</v>
      </c>
      <c r="F40" s="2339">
        <v>500</v>
      </c>
      <c r="G40" s="2339">
        <f t="shared" ref="G40" si="10">ROUND(E40/F40,0)</f>
        <v>5</v>
      </c>
      <c r="H40" s="2340" t="s">
        <v>5033</v>
      </c>
      <c r="I40" s="2341">
        <f t="shared" si="6"/>
        <v>10</v>
      </c>
    </row>
    <row r="41" spans="1:12">
      <c r="A41" s="2338" t="s">
        <v>2251</v>
      </c>
      <c r="B41" s="2339">
        <f>B38</f>
        <v>19390.559999999998</v>
      </c>
      <c r="C41" s="2339">
        <v>779</v>
      </c>
      <c r="D41" s="2341"/>
      <c r="E41" s="2341"/>
      <c r="F41" s="2339">
        <v>5000</v>
      </c>
      <c r="G41" s="2339">
        <f>ROUND(C41*500/5000,0)</f>
        <v>78</v>
      </c>
      <c r="H41" s="2346"/>
      <c r="I41" s="2347">
        <f>G41</f>
        <v>78</v>
      </c>
      <c r="K41" s="2265" t="s">
        <v>5051</v>
      </c>
      <c r="L41" s="2265" t="s">
        <v>5052</v>
      </c>
    </row>
    <row r="42" spans="1:12">
      <c r="A42" s="2338" t="s">
        <v>2261</v>
      </c>
      <c r="B42" s="2339">
        <f>B38</f>
        <v>19390.559999999998</v>
      </c>
      <c r="C42" s="2339">
        <v>12</v>
      </c>
      <c r="D42" s="2339">
        <v>500</v>
      </c>
      <c r="E42" s="2339">
        <f>B42/500*D42*C42</f>
        <v>232686.71999999997</v>
      </c>
      <c r="F42" s="2339">
        <v>5000</v>
      </c>
      <c r="G42" s="2339">
        <f>ROUND(E42/F42,2)</f>
        <v>46.54</v>
      </c>
      <c r="H42" s="2340"/>
      <c r="I42" s="2341">
        <f>ROUND(G42*2,0)</f>
        <v>93</v>
      </c>
    </row>
    <row r="43" spans="1:12">
      <c r="A43" s="2278"/>
      <c r="B43" s="2279"/>
      <c r="C43" s="2279"/>
      <c r="D43" s="2279"/>
      <c r="E43" s="2279"/>
      <c r="F43" s="2279"/>
      <c r="G43" s="2279"/>
      <c r="H43" s="2348"/>
    </row>
    <row r="44" spans="1:12">
      <c r="A44" s="2349" t="s">
        <v>5053</v>
      </c>
      <c r="B44" s="2279"/>
      <c r="C44" s="2279"/>
      <c r="F44" s="2279"/>
      <c r="G44" s="2279"/>
    </row>
    <row r="45" spans="1:12" ht="75">
      <c r="A45" s="2334" t="s">
        <v>478</v>
      </c>
      <c r="B45" s="2334" t="s">
        <v>5043</v>
      </c>
      <c r="C45" s="2334" t="s">
        <v>5044</v>
      </c>
      <c r="D45" s="2335" t="s">
        <v>5024</v>
      </c>
      <c r="E45" s="2335" t="s">
        <v>5025</v>
      </c>
      <c r="F45" s="2335" t="s">
        <v>5026</v>
      </c>
      <c r="G45" s="2335" t="s">
        <v>20</v>
      </c>
      <c r="H45" s="2336" t="s">
        <v>4432</v>
      </c>
      <c r="I45" s="2337" t="s">
        <v>5045</v>
      </c>
    </row>
    <row r="46" spans="1:12">
      <c r="A46" s="2338" t="s">
        <v>5027</v>
      </c>
      <c r="B46" s="2339">
        <f>'площ для обсл объек'!$C$12-1033.54-'площ для обсл объек'!$D$12</f>
        <v>19372.66</v>
      </c>
      <c r="C46" s="2339">
        <v>12</v>
      </c>
      <c r="D46" s="2339">
        <v>200</v>
      </c>
      <c r="E46" s="2339">
        <f>B46/500*D46*C46</f>
        <v>92988.768000000011</v>
      </c>
      <c r="F46" s="2339">
        <v>500</v>
      </c>
      <c r="G46" s="2339">
        <f>ROUND(E46/F46,0)</f>
        <v>186</v>
      </c>
      <c r="H46" s="2340"/>
      <c r="I46" s="2341">
        <f>G46*2</f>
        <v>372</v>
      </c>
    </row>
    <row r="47" spans="1:12">
      <c r="A47" s="2338" t="s">
        <v>5028</v>
      </c>
      <c r="B47" s="2339">
        <f>'площ для обсл объек'!$C$12-1033.54-'площ для обсл объек'!$D$12</f>
        <v>19372.66</v>
      </c>
      <c r="C47" s="2339">
        <v>12</v>
      </c>
      <c r="D47" s="2339">
        <v>250</v>
      </c>
      <c r="E47" s="2339">
        <f>B47/500*D47*C47</f>
        <v>116235.95999999999</v>
      </c>
      <c r="F47" s="2339">
        <v>6000</v>
      </c>
      <c r="G47" s="2339">
        <f>ROUND(E47/F47,0)</f>
        <v>19</v>
      </c>
      <c r="H47" s="2340"/>
      <c r="I47" s="2341">
        <f t="shared" ref="I47:I55" si="11">G47*2</f>
        <v>38</v>
      </c>
    </row>
    <row r="48" spans="1:12" ht="45">
      <c r="A48" s="2338" t="s">
        <v>5029</v>
      </c>
      <c r="B48" s="2339">
        <f>'площ для обсл объек'!$C$12-1033.54-'площ для обсл объек'!$D$12</f>
        <v>19372.66</v>
      </c>
      <c r="C48" s="2339">
        <v>297</v>
      </c>
      <c r="D48" s="2339">
        <v>350</v>
      </c>
      <c r="E48" s="2339">
        <f t="shared" ref="E48:E50" si="12">B48/500*D48*C48</f>
        <v>4027576.014</v>
      </c>
      <c r="F48" s="2339"/>
      <c r="G48" s="2339"/>
      <c r="H48" s="2340" t="s">
        <v>5030</v>
      </c>
      <c r="I48" s="2341">
        <f t="shared" si="11"/>
        <v>0</v>
      </c>
      <c r="J48" s="2276"/>
    </row>
    <row r="49" spans="1:12" ht="30">
      <c r="A49" s="2342" t="s">
        <v>5046</v>
      </c>
      <c r="B49" s="2339">
        <f>'площ для обсл объек'!$C$12-1033.54-'площ для обсл объек'!$D$12</f>
        <v>19372.66</v>
      </c>
      <c r="C49" s="2343">
        <v>297</v>
      </c>
      <c r="D49" s="2343"/>
      <c r="E49" s="2343">
        <f t="shared" si="12"/>
        <v>0</v>
      </c>
      <c r="F49" s="2343">
        <v>5000</v>
      </c>
      <c r="G49" s="2343">
        <f>ROUND(E49/F49,0)</f>
        <v>0</v>
      </c>
      <c r="H49" s="2344">
        <f>G49*2</f>
        <v>0</v>
      </c>
      <c r="I49" s="2341">
        <f t="shared" si="11"/>
        <v>0</v>
      </c>
      <c r="J49" s="2276"/>
    </row>
    <row r="50" spans="1:12" ht="30">
      <c r="A50" s="2342" t="s">
        <v>5047</v>
      </c>
      <c r="B50" s="2339">
        <f>'площ для обсл объек'!$C$12-1033.54-'площ для обсл объек'!$D$12</f>
        <v>19372.66</v>
      </c>
      <c r="C50" s="2343">
        <v>297</v>
      </c>
      <c r="D50" s="2343"/>
      <c r="E50" s="2343">
        <f t="shared" si="12"/>
        <v>0</v>
      </c>
      <c r="F50" s="2343">
        <v>5000</v>
      </c>
      <c r="G50" s="2343">
        <f t="shared" ref="G50" si="13">ROUND(E50/F50,0)</f>
        <v>0</v>
      </c>
      <c r="H50" s="2344">
        <f t="shared" ref="H50:H52" si="14">G50*2</f>
        <v>0</v>
      </c>
      <c r="I50" s="2341">
        <f t="shared" si="11"/>
        <v>0</v>
      </c>
      <c r="J50" s="2276"/>
    </row>
    <row r="51" spans="1:12" ht="30">
      <c r="A51" s="2342" t="s">
        <v>5048</v>
      </c>
      <c r="B51" s="2339">
        <f>'площ для обсл объек'!$C$12-1033.54-'площ для обсл объек'!$D$12</f>
        <v>19372.66</v>
      </c>
      <c r="C51" s="2343">
        <v>297</v>
      </c>
      <c r="D51" s="2343">
        <f>150+50+50+100</f>
        <v>350</v>
      </c>
      <c r="E51" s="2343">
        <f>B51/500*D51*C51</f>
        <v>4027576.014</v>
      </c>
      <c r="F51" s="2343">
        <v>10000</v>
      </c>
      <c r="G51" s="2343">
        <f>ROUND(E51/F51,0)</f>
        <v>403</v>
      </c>
      <c r="H51" s="2344">
        <f t="shared" si="14"/>
        <v>806</v>
      </c>
      <c r="I51" s="2341">
        <f t="shared" si="11"/>
        <v>806</v>
      </c>
      <c r="J51" s="2276"/>
    </row>
    <row r="52" spans="1:12" ht="30">
      <c r="A52" s="2345" t="s">
        <v>5049</v>
      </c>
      <c r="B52" s="2339">
        <f>'площ для обсл объек'!$C$12-1033.54-'площ для обсл объек'!$D$12</f>
        <v>19372.66</v>
      </c>
      <c r="C52" s="2343">
        <v>297</v>
      </c>
      <c r="D52" s="2343"/>
      <c r="E52" s="2343">
        <f t="shared" ref="E52" si="15">B52/500*D52*C52</f>
        <v>0</v>
      </c>
      <c r="F52" s="2343">
        <v>20000</v>
      </c>
      <c r="G52" s="2343">
        <f t="shared" ref="G52" si="16">ROUND(E52/F52,0)</f>
        <v>0</v>
      </c>
      <c r="H52" s="2344">
        <f t="shared" si="14"/>
        <v>0</v>
      </c>
      <c r="I52" s="2341">
        <f t="shared" si="11"/>
        <v>0</v>
      </c>
    </row>
    <row r="53" spans="1:12">
      <c r="A53" s="2338" t="s">
        <v>5031</v>
      </c>
      <c r="B53" s="2339">
        <f>'площ для обсл объек'!$C$12-1033.54-'площ для обсл объек'!$D$12</f>
        <v>19372.66</v>
      </c>
      <c r="C53" s="2339">
        <v>12</v>
      </c>
      <c r="D53" s="2339">
        <v>200</v>
      </c>
      <c r="E53" s="2339">
        <f>B53/500*D53*C53</f>
        <v>92988.768000000011</v>
      </c>
      <c r="F53" s="2339">
        <v>200</v>
      </c>
      <c r="G53" s="2339">
        <f>ROUND(E53/F53,0)</f>
        <v>465</v>
      </c>
      <c r="H53" s="2340"/>
      <c r="I53" s="2341">
        <f t="shared" si="11"/>
        <v>930</v>
      </c>
      <c r="K53" s="2265" t="s">
        <v>5050</v>
      </c>
    </row>
    <row r="54" spans="1:12" ht="45">
      <c r="A54" s="2338" t="s">
        <v>2246</v>
      </c>
      <c r="B54" s="2339">
        <v>1</v>
      </c>
      <c r="C54" s="2339">
        <v>10</v>
      </c>
      <c r="D54" s="2339">
        <v>500</v>
      </c>
      <c r="E54" s="2339">
        <f>B54*C54*D54</f>
        <v>5000</v>
      </c>
      <c r="F54" s="2339">
        <v>500</v>
      </c>
      <c r="G54" s="2339">
        <f>ROUND(E54/F54,0)</f>
        <v>10</v>
      </c>
      <c r="H54" s="2340" t="s">
        <v>5032</v>
      </c>
      <c r="I54" s="2341">
        <f t="shared" si="11"/>
        <v>20</v>
      </c>
      <c r="J54" s="2276"/>
    </row>
    <row r="55" spans="1:12" ht="45">
      <c r="A55" s="2338" t="s">
        <v>2249</v>
      </c>
      <c r="B55" s="2339">
        <v>53</v>
      </c>
      <c r="C55" s="2339">
        <v>4</v>
      </c>
      <c r="D55" s="2339">
        <v>12</v>
      </c>
      <c r="E55" s="2339">
        <f>B55*C55*D55</f>
        <v>2544</v>
      </c>
      <c r="F55" s="2339">
        <v>500</v>
      </c>
      <c r="G55" s="2339">
        <f t="shared" ref="G55" si="17">ROUND(E55/F55,0)</f>
        <v>5</v>
      </c>
      <c r="H55" s="2340" t="s">
        <v>5033</v>
      </c>
      <c r="I55" s="2341">
        <f t="shared" si="11"/>
        <v>10</v>
      </c>
    </row>
    <row r="56" spans="1:12">
      <c r="A56" s="2338" t="s">
        <v>2251</v>
      </c>
      <c r="B56" s="2339">
        <f>B53</f>
        <v>19372.66</v>
      </c>
      <c r="C56" s="2339">
        <f>1601-779</f>
        <v>822</v>
      </c>
      <c r="D56" s="2341"/>
      <c r="E56" s="2341"/>
      <c r="F56" s="2339">
        <v>5000</v>
      </c>
      <c r="G56" s="2339">
        <f>ROUND(C56*500/5000,0)</f>
        <v>82</v>
      </c>
      <c r="H56" s="2346"/>
      <c r="I56" s="2347">
        <f>G56</f>
        <v>82</v>
      </c>
      <c r="K56" s="2265" t="s">
        <v>5051</v>
      </c>
      <c r="L56" s="2265" t="s">
        <v>5052</v>
      </c>
    </row>
    <row r="57" spans="1:12">
      <c r="A57" s="2338" t="s">
        <v>2261</v>
      </c>
      <c r="B57" s="2339">
        <f>B53</f>
        <v>19372.66</v>
      </c>
      <c r="C57" s="2339">
        <v>12</v>
      </c>
      <c r="D57" s="2339">
        <v>500</v>
      </c>
      <c r="E57" s="2339">
        <f>B57/500*D57*C57</f>
        <v>232471.91999999998</v>
      </c>
      <c r="F57" s="2339">
        <v>5000</v>
      </c>
      <c r="G57" s="2339">
        <f>ROUND(E57/F57,2)</f>
        <v>46.49</v>
      </c>
      <c r="H57" s="2340"/>
      <c r="I57" s="2341">
        <f>ROUND(G57*2,0)</f>
        <v>93</v>
      </c>
    </row>
    <row r="58" spans="1:12">
      <c r="A58" s="2272" t="s">
        <v>1197</v>
      </c>
    </row>
    <row r="59" spans="1:12" ht="60">
      <c r="A59" s="2267" t="s">
        <v>478</v>
      </c>
      <c r="B59" s="2267" t="s">
        <v>5022</v>
      </c>
      <c r="C59" s="2268" t="s">
        <v>5023</v>
      </c>
      <c r="D59" s="2268" t="s">
        <v>5024</v>
      </c>
      <c r="E59" s="2268" t="s">
        <v>5025</v>
      </c>
      <c r="F59" s="2268" t="s">
        <v>5026</v>
      </c>
      <c r="G59" s="2268" t="s">
        <v>20</v>
      </c>
      <c r="H59" s="2268" t="s">
        <v>4432</v>
      </c>
    </row>
    <row r="60" spans="1:12">
      <c r="A60" s="2269" t="s">
        <v>5027</v>
      </c>
      <c r="B60" s="2270">
        <f>12100-834.8</f>
        <v>11265.2</v>
      </c>
      <c r="C60" s="2270">
        <v>8</v>
      </c>
      <c r="D60" s="2270">
        <v>200</v>
      </c>
      <c r="E60" s="2270">
        <f>B60/500*D60*C60</f>
        <v>36048.639999999999</v>
      </c>
      <c r="F60" s="2270">
        <v>500</v>
      </c>
      <c r="G60" s="2270">
        <f>ROUND(E60/F60,0)</f>
        <v>72</v>
      </c>
      <c r="H60" s="2271"/>
    </row>
    <row r="61" spans="1:12">
      <c r="A61" s="2269" t="s">
        <v>5028</v>
      </c>
      <c r="B61" s="2270">
        <f t="shared" ref="B61:B64" si="18">12100-834.8</f>
        <v>11265.2</v>
      </c>
      <c r="C61" s="2270">
        <v>8</v>
      </c>
      <c r="D61" s="2270">
        <v>250</v>
      </c>
      <c r="E61" s="2270">
        <f>B61/500*D61*C61</f>
        <v>45060.800000000003</v>
      </c>
      <c r="F61" s="2270">
        <v>6000</v>
      </c>
      <c r="G61" s="2270">
        <f>ROUND(E61/F61,0)</f>
        <v>8</v>
      </c>
      <c r="H61" s="2271"/>
    </row>
    <row r="62" spans="1:12" ht="45">
      <c r="A62" s="2269" t="s">
        <v>5054</v>
      </c>
      <c r="B62" s="2270">
        <f t="shared" si="18"/>
        <v>11265.2</v>
      </c>
      <c r="C62" s="2270">
        <v>240</v>
      </c>
      <c r="D62" s="2270">
        <v>350</v>
      </c>
      <c r="E62" s="2270">
        <f t="shared" ref="E62" si="19">B62/500*D62*C62</f>
        <v>1892553.6</v>
      </c>
      <c r="F62" s="2270">
        <v>10000</v>
      </c>
      <c r="G62" s="2270">
        <f t="shared" ref="G62" si="20">ROUND(E62/F62,0)</f>
        <v>189</v>
      </c>
      <c r="H62" s="2271" t="s">
        <v>5030</v>
      </c>
    </row>
    <row r="63" spans="1:12">
      <c r="A63" s="2269" t="s">
        <v>2261</v>
      </c>
      <c r="B63" s="2270">
        <f t="shared" si="18"/>
        <v>11265.2</v>
      </c>
      <c r="C63" s="2270">
        <v>8</v>
      </c>
      <c r="D63" s="2270">
        <v>500</v>
      </c>
      <c r="E63" s="2270">
        <f>B63/500*D63*C63</f>
        <v>90121.600000000006</v>
      </c>
      <c r="F63" s="2270">
        <v>5000</v>
      </c>
      <c r="G63" s="2270">
        <f>ROUND(E63/F63,0)</f>
        <v>18</v>
      </c>
      <c r="H63" s="2271"/>
    </row>
    <row r="64" spans="1:12">
      <c r="A64" s="2269" t="s">
        <v>5031</v>
      </c>
      <c r="B64" s="2270">
        <f t="shared" si="18"/>
        <v>11265.2</v>
      </c>
      <c r="C64" s="2270">
        <v>8</v>
      </c>
      <c r="D64" s="2270">
        <v>200</v>
      </c>
      <c r="E64" s="2270">
        <f>B64/500*D64*C64</f>
        <v>36048.639999999999</v>
      </c>
      <c r="F64" s="2270">
        <v>200</v>
      </c>
      <c r="G64" s="2270">
        <f>ROUND(E64/F64,0)</f>
        <v>180</v>
      </c>
      <c r="H64" s="2271"/>
    </row>
    <row r="65" spans="1:11" ht="45">
      <c r="A65" s="2269" t="s">
        <v>2246</v>
      </c>
      <c r="B65" s="2270">
        <v>1</v>
      </c>
      <c r="C65" s="2270">
        <v>5</v>
      </c>
      <c r="D65" s="2270">
        <v>500</v>
      </c>
      <c r="E65" s="2270">
        <f>B65*C65*D65</f>
        <v>2500</v>
      </c>
      <c r="F65" s="2270">
        <v>500</v>
      </c>
      <c r="G65" s="2270">
        <f>ROUND(E65/F65,0)</f>
        <v>5</v>
      </c>
      <c r="H65" s="2271" t="s">
        <v>5032</v>
      </c>
    </row>
    <row r="66" spans="1:11" ht="45">
      <c r="A66" s="2269" t="s">
        <v>2249</v>
      </c>
      <c r="B66" s="2270">
        <v>23</v>
      </c>
      <c r="C66" s="2270">
        <v>2</v>
      </c>
      <c r="D66" s="2270">
        <v>12</v>
      </c>
      <c r="E66" s="2270">
        <f>B66*C66*D66</f>
        <v>552</v>
      </c>
      <c r="F66" s="2270">
        <v>500</v>
      </c>
      <c r="G66" s="2270">
        <f t="shared" ref="G66" si="21">ROUND(E66/F66,0)</f>
        <v>1</v>
      </c>
      <c r="H66" s="2271" t="s">
        <v>5033</v>
      </c>
    </row>
    <row r="67" spans="1:11">
      <c r="A67" s="2269" t="s">
        <v>2251</v>
      </c>
      <c r="B67" s="2270">
        <f t="shared" ref="B67" si="22">12100-834.8</f>
        <v>11265.2</v>
      </c>
      <c r="C67" s="2270">
        <v>755</v>
      </c>
      <c r="D67" s="2277"/>
      <c r="E67" s="2277"/>
      <c r="F67" s="2270">
        <v>5000</v>
      </c>
      <c r="G67" s="2270">
        <f>ROUND(C67*500/5000,0)</f>
        <v>76</v>
      </c>
      <c r="H67" s="2277">
        <f>ROUND(G67*8/12,0)</f>
        <v>51</v>
      </c>
    </row>
    <row r="70" spans="1:11">
      <c r="A70" s="2272" t="s">
        <v>476</v>
      </c>
    </row>
    <row r="71" spans="1:11" ht="60">
      <c r="A71" s="2267" t="s">
        <v>478</v>
      </c>
      <c r="B71" s="2267" t="s">
        <v>5022</v>
      </c>
      <c r="C71" s="2268" t="s">
        <v>5023</v>
      </c>
      <c r="D71" s="2268" t="s">
        <v>5024</v>
      </c>
      <c r="E71" s="2268" t="s">
        <v>5025</v>
      </c>
      <c r="F71" s="2268" t="s">
        <v>5026</v>
      </c>
      <c r="G71" s="2268" t="s">
        <v>20</v>
      </c>
      <c r="H71" s="2268" t="s">
        <v>4432</v>
      </c>
    </row>
    <row r="72" spans="1:11">
      <c r="A72" s="2269" t="s">
        <v>5027</v>
      </c>
      <c r="B72" s="2270">
        <f>22739-7884.4</f>
        <v>14854.6</v>
      </c>
      <c r="C72" s="2270">
        <v>12</v>
      </c>
      <c r="D72" s="2270">
        <v>200</v>
      </c>
      <c r="E72" s="2270">
        <f>B72/500*D72*C72</f>
        <v>71302.080000000002</v>
      </c>
      <c r="F72" s="2270">
        <v>500</v>
      </c>
      <c r="G72" s="2270">
        <f>ROUND(E72/F72,0)</f>
        <v>143</v>
      </c>
      <c r="H72" s="2271"/>
    </row>
    <row r="73" spans="1:11">
      <c r="A73" s="2269" t="s">
        <v>5028</v>
      </c>
      <c r="B73" s="2270">
        <f t="shared" ref="B73:B78" si="23">22739-7884.4</f>
        <v>14854.6</v>
      </c>
      <c r="C73" s="2270">
        <v>12</v>
      </c>
      <c r="D73" s="2270">
        <v>250</v>
      </c>
      <c r="E73" s="2270">
        <f>B73/500*D73*C73</f>
        <v>89127.6</v>
      </c>
      <c r="F73" s="2270">
        <v>6000</v>
      </c>
      <c r="G73" s="2270">
        <f>ROUND(E73/F73,0)</f>
        <v>15</v>
      </c>
      <c r="H73" s="2271"/>
      <c r="I73" s="2265" t="s">
        <v>5055</v>
      </c>
      <c r="J73" s="2265" t="s">
        <v>5056</v>
      </c>
    </row>
    <row r="74" spans="1:11" ht="45">
      <c r="A74" s="2269" t="s">
        <v>5057</v>
      </c>
      <c r="B74" s="2270">
        <f t="shared" si="23"/>
        <v>14854.6</v>
      </c>
      <c r="C74" s="2270">
        <v>297</v>
      </c>
      <c r="D74" s="2270">
        <v>350</v>
      </c>
      <c r="E74" s="2270">
        <f t="shared" ref="E74:E76" si="24">B74/500*D74*C74</f>
        <v>3088271.34</v>
      </c>
      <c r="F74" s="2270"/>
      <c r="G74" s="2270"/>
      <c r="H74" s="2271" t="s">
        <v>5030</v>
      </c>
      <c r="I74" s="2265">
        <f>20000*22</f>
        <v>440000</v>
      </c>
      <c r="J74" s="2265">
        <f>1694*750</f>
        <v>1270500</v>
      </c>
    </row>
    <row r="75" spans="1:11" ht="25.5">
      <c r="A75" s="2280" t="s">
        <v>5058</v>
      </c>
      <c r="B75" s="2270">
        <f t="shared" si="23"/>
        <v>14854.6</v>
      </c>
      <c r="C75" s="2270">
        <v>297</v>
      </c>
      <c r="D75" s="2270"/>
      <c r="E75" s="2270">
        <f t="shared" si="24"/>
        <v>0</v>
      </c>
      <c r="F75" s="2270">
        <v>750</v>
      </c>
      <c r="G75" s="2270">
        <f t="shared" ref="G75:G76" si="25">ROUND(E75/F75,0)</f>
        <v>0</v>
      </c>
      <c r="H75" s="2271"/>
    </row>
    <row r="76" spans="1:11">
      <c r="A76" s="2281" t="s">
        <v>5059</v>
      </c>
      <c r="B76" s="2270">
        <f t="shared" si="23"/>
        <v>14854.6</v>
      </c>
      <c r="C76" s="2270">
        <v>297</v>
      </c>
      <c r="D76" s="2270">
        <v>350</v>
      </c>
      <c r="E76" s="2270">
        <f t="shared" si="24"/>
        <v>3088271.34</v>
      </c>
      <c r="F76" s="2270">
        <v>10000</v>
      </c>
      <c r="G76" s="2270">
        <f t="shared" si="25"/>
        <v>309</v>
      </c>
      <c r="H76" s="2271"/>
    </row>
    <row r="77" spans="1:11">
      <c r="A77" s="2269" t="s">
        <v>2261</v>
      </c>
      <c r="B77" s="2270">
        <f t="shared" si="23"/>
        <v>14854.6</v>
      </c>
      <c r="C77" s="2270">
        <v>12</v>
      </c>
      <c r="D77" s="2270">
        <v>500</v>
      </c>
      <c r="E77" s="2270">
        <f>B77/500*D77*C77</f>
        <v>178255.2</v>
      </c>
      <c r="F77" s="2270">
        <v>5000</v>
      </c>
      <c r="G77" s="2270">
        <f>ROUND(E77/F77,0)</f>
        <v>36</v>
      </c>
      <c r="H77" s="2271"/>
      <c r="J77" s="2276">
        <f>E74-J74</f>
        <v>1817771.3399999999</v>
      </c>
      <c r="K77" s="2265" t="s">
        <v>5060</v>
      </c>
    </row>
    <row r="78" spans="1:11">
      <c r="A78" s="2269" t="s">
        <v>5031</v>
      </c>
      <c r="B78" s="2270">
        <f t="shared" si="23"/>
        <v>14854.6</v>
      </c>
      <c r="C78" s="2270">
        <v>12</v>
      </c>
      <c r="D78" s="2270">
        <v>200</v>
      </c>
      <c r="E78" s="2270">
        <f>B78/500*D78*C78</f>
        <v>71302.080000000002</v>
      </c>
      <c r="F78" s="2270">
        <v>200</v>
      </c>
      <c r="G78" s="2270">
        <f>ROUND(E78/F78,0)</f>
        <v>357</v>
      </c>
      <c r="H78" s="2271"/>
      <c r="J78" s="2276">
        <f>J77-I74</f>
        <v>1377771.3399999999</v>
      </c>
    </row>
    <row r="79" spans="1:11" ht="45">
      <c r="A79" s="2269" t="s">
        <v>2246</v>
      </c>
      <c r="B79" s="2270">
        <v>1</v>
      </c>
      <c r="C79" s="2270">
        <v>10</v>
      </c>
      <c r="D79" s="2270">
        <v>500</v>
      </c>
      <c r="E79" s="2270">
        <f>B79*C79*D79</f>
        <v>5000</v>
      </c>
      <c r="F79" s="2270">
        <v>500</v>
      </c>
      <c r="G79" s="2270">
        <f>ROUND(E79/F79,0)</f>
        <v>10</v>
      </c>
      <c r="H79" s="2271" t="s">
        <v>5032</v>
      </c>
    </row>
    <row r="80" spans="1:11" ht="16.5" customHeight="1">
      <c r="A80" s="2269" t="s">
        <v>2249</v>
      </c>
      <c r="B80" s="2270">
        <v>53</v>
      </c>
      <c r="C80" s="2270">
        <v>4</v>
      </c>
      <c r="D80" s="2270">
        <v>12</v>
      </c>
      <c r="E80" s="2270">
        <f>B80*C80*D80</f>
        <v>2544</v>
      </c>
      <c r="F80" s="2270">
        <v>500</v>
      </c>
      <c r="G80" s="2270">
        <f t="shared" ref="G80" si="26">ROUND(E80/F80,0)</f>
        <v>5</v>
      </c>
      <c r="H80" s="2271" t="s">
        <v>5033</v>
      </c>
    </row>
    <row r="81" spans="1:8">
      <c r="A81" s="2269" t="s">
        <v>2251</v>
      </c>
      <c r="B81" s="2270">
        <f>22739-7884.4</f>
        <v>14854.6</v>
      </c>
      <c r="C81" s="2270">
        <v>755</v>
      </c>
      <c r="D81" s="2277"/>
      <c r="E81" s="2277"/>
      <c r="F81" s="2270">
        <v>5000</v>
      </c>
      <c r="G81" s="2270">
        <f>C81*500/5000</f>
        <v>75.5</v>
      </c>
      <c r="H81" s="2277">
        <f>ROUND(G81*4/12,0)</f>
        <v>25</v>
      </c>
    </row>
    <row r="83" spans="1:8">
      <c r="A83" s="2282" t="s">
        <v>5061</v>
      </c>
    </row>
    <row r="84" spans="1:8" ht="60">
      <c r="A84" s="2267" t="s">
        <v>478</v>
      </c>
      <c r="B84" s="2267" t="s">
        <v>5022</v>
      </c>
      <c r="C84" s="2268" t="s">
        <v>5023</v>
      </c>
      <c r="D84" s="2268" t="s">
        <v>5024</v>
      </c>
      <c r="E84" s="2268" t="s">
        <v>5025</v>
      </c>
      <c r="F84" s="2268" t="s">
        <v>5026</v>
      </c>
      <c r="G84" s="2268" t="s">
        <v>20</v>
      </c>
      <c r="H84" s="2268" t="s">
        <v>4432</v>
      </c>
    </row>
    <row r="85" spans="1:8">
      <c r="A85" s="2269" t="s">
        <v>5027</v>
      </c>
      <c r="B85" s="2270">
        <f>16567-2624.2</f>
        <v>13942.8</v>
      </c>
      <c r="C85" s="2270">
        <v>12</v>
      </c>
      <c r="D85" s="2270">
        <v>200</v>
      </c>
      <c r="E85" s="2270">
        <f>B85/500*D85*C85</f>
        <v>66925.440000000002</v>
      </c>
      <c r="F85" s="2270">
        <v>400</v>
      </c>
      <c r="G85" s="2270">
        <f>ROUND(E85/F85,0)</f>
        <v>167</v>
      </c>
      <c r="H85" s="2271"/>
    </row>
    <row r="86" spans="1:8">
      <c r="A86" s="2269" t="s">
        <v>5028</v>
      </c>
      <c r="B86" s="2270">
        <f t="shared" ref="B86:B89" si="27">16567-2624.2</f>
        <v>13942.8</v>
      </c>
      <c r="C86" s="2270">
        <v>12</v>
      </c>
      <c r="D86" s="2270">
        <v>250</v>
      </c>
      <c r="E86" s="2270">
        <f>B86/500*D86*C86</f>
        <v>83656.799999999988</v>
      </c>
      <c r="F86" s="2270">
        <v>1000</v>
      </c>
      <c r="G86" s="2270">
        <f>ROUND(E86/F86,0)</f>
        <v>84</v>
      </c>
      <c r="H86" s="2271"/>
    </row>
    <row r="87" spans="1:8" ht="45">
      <c r="A87" s="2269" t="s">
        <v>5029</v>
      </c>
      <c r="B87" s="2270">
        <f t="shared" si="27"/>
        <v>13942.8</v>
      </c>
      <c r="C87" s="2270">
        <v>297</v>
      </c>
      <c r="D87" s="2270">
        <v>350</v>
      </c>
      <c r="E87" s="2270">
        <f t="shared" ref="E87" si="28">B87/500*D87*C87</f>
        <v>2898708.12</v>
      </c>
      <c r="F87" s="2270">
        <v>750</v>
      </c>
      <c r="G87" s="2270">
        <f t="shared" ref="G87" si="29">ROUND(E87/F87,0)</f>
        <v>3865</v>
      </c>
      <c r="H87" s="2271" t="s">
        <v>5030</v>
      </c>
    </row>
    <row r="88" spans="1:8">
      <c r="A88" s="2269" t="s">
        <v>2261</v>
      </c>
      <c r="B88" s="2270">
        <f t="shared" si="27"/>
        <v>13942.8</v>
      </c>
      <c r="C88" s="2270">
        <v>12</v>
      </c>
      <c r="D88" s="2270">
        <v>500</v>
      </c>
      <c r="E88" s="2270">
        <f>B88/500*D88*C88</f>
        <v>167313.59999999998</v>
      </c>
      <c r="F88" s="2270">
        <v>500</v>
      </c>
      <c r="G88" s="2270">
        <f>ROUND(E88/F88,0)</f>
        <v>335</v>
      </c>
      <c r="H88" s="2271"/>
    </row>
    <row r="89" spans="1:8">
      <c r="A89" s="2269" t="s">
        <v>5031</v>
      </c>
      <c r="B89" s="2270">
        <f t="shared" si="27"/>
        <v>13942.8</v>
      </c>
      <c r="C89" s="2270">
        <v>12</v>
      </c>
      <c r="D89" s="2270">
        <v>200</v>
      </c>
      <c r="E89" s="2270">
        <f>B89/500*D89*C89</f>
        <v>66925.440000000002</v>
      </c>
      <c r="F89" s="2270">
        <v>200</v>
      </c>
      <c r="G89" s="2270">
        <f>ROUND(E89/F89,0)</f>
        <v>335</v>
      </c>
      <c r="H89" s="2271"/>
    </row>
    <row r="90" spans="1:8" ht="45">
      <c r="A90" s="2269" t="s">
        <v>2246</v>
      </c>
      <c r="B90" s="2270"/>
      <c r="C90" s="2270">
        <v>10</v>
      </c>
      <c r="D90" s="2270">
        <v>500</v>
      </c>
      <c r="E90" s="2270">
        <f>B90*C90*D90</f>
        <v>0</v>
      </c>
      <c r="F90" s="2270">
        <v>500</v>
      </c>
      <c r="G90" s="2270">
        <f>ROUND(E90/F90,0)</f>
        <v>0</v>
      </c>
      <c r="H90" s="2271" t="s">
        <v>5032</v>
      </c>
    </row>
    <row r="91" spans="1:8" ht="45">
      <c r="A91" s="2269" t="s">
        <v>2249</v>
      </c>
      <c r="B91" s="2270">
        <v>55</v>
      </c>
      <c r="C91" s="2270">
        <v>4</v>
      </c>
      <c r="D91" s="2270">
        <v>12</v>
      </c>
      <c r="E91" s="2270">
        <f>B91*C91*D91</f>
        <v>2640</v>
      </c>
      <c r="F91" s="2270">
        <v>500</v>
      </c>
      <c r="G91" s="2270">
        <f t="shared" ref="G91" si="30">ROUND(E91/F91,0)</f>
        <v>5</v>
      </c>
      <c r="H91" s="2271" t="s">
        <v>5033</v>
      </c>
    </row>
    <row r="92" spans="1:8">
      <c r="A92" s="2269" t="s">
        <v>2251</v>
      </c>
      <c r="B92" s="2270">
        <f t="shared" ref="B92" si="31">16567-2624.2</f>
        <v>13942.8</v>
      </c>
      <c r="C92" s="2270">
        <v>486</v>
      </c>
      <c r="D92" s="2277"/>
      <c r="E92" s="2277"/>
      <c r="F92" s="2270">
        <v>5000</v>
      </c>
      <c r="G92" s="2270">
        <f>ROUND(C92*500/5000,0)</f>
        <v>49</v>
      </c>
      <c r="H92" s="2277"/>
    </row>
    <row r="93" spans="1:8" ht="27.75" customHeight="1"/>
    <row r="95" spans="1:8">
      <c r="A95" s="2269" t="s">
        <v>2166</v>
      </c>
      <c r="B95" s="2273" t="s">
        <v>5062</v>
      </c>
      <c r="C95" s="2273" t="s">
        <v>5063</v>
      </c>
      <c r="D95" s="2273" t="s">
        <v>2177</v>
      </c>
    </row>
    <row r="96" spans="1:8">
      <c r="A96" s="2269" t="s">
        <v>5064</v>
      </c>
      <c r="B96" s="2273">
        <v>1033.54</v>
      </c>
      <c r="C96" s="2273">
        <v>2100</v>
      </c>
      <c r="D96" s="2273">
        <v>970.4</v>
      </c>
    </row>
    <row r="97" spans="1:4">
      <c r="A97" s="2269" t="s">
        <v>5065</v>
      </c>
      <c r="B97" s="2273">
        <v>1033.54</v>
      </c>
      <c r="C97" s="2273">
        <v>2100</v>
      </c>
      <c r="D97" s="2273">
        <v>970.4</v>
      </c>
    </row>
    <row r="98" spans="1:4">
      <c r="A98" s="2269" t="s">
        <v>5066</v>
      </c>
      <c r="B98" s="2273">
        <v>834.8</v>
      </c>
      <c r="C98" s="2273"/>
      <c r="D98" s="2273">
        <v>340</v>
      </c>
    </row>
    <row r="99" spans="1:4">
      <c r="A99" s="2269" t="s">
        <v>5067</v>
      </c>
      <c r="B99" s="2273"/>
      <c r="C99" s="2273">
        <v>7884.4</v>
      </c>
      <c r="D99" s="2273">
        <v>831</v>
      </c>
    </row>
    <row r="100" spans="1:4">
      <c r="A100" s="2269" t="s">
        <v>5068</v>
      </c>
      <c r="B100" s="2273">
        <v>111.5</v>
      </c>
      <c r="C100" s="2273">
        <v>1429.58</v>
      </c>
      <c r="D100" s="2273">
        <v>230</v>
      </c>
    </row>
    <row r="101" spans="1:4">
      <c r="A101" s="2269" t="s">
        <v>5069</v>
      </c>
      <c r="B101" s="2273"/>
      <c r="C101" s="2273">
        <v>2624.2</v>
      </c>
      <c r="D101" s="2273">
        <v>824</v>
      </c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A1:R72"/>
  <sheetViews>
    <sheetView topLeftCell="A49" workbookViewId="0">
      <selection activeCell="H82" sqref="H82"/>
    </sheetView>
  </sheetViews>
  <sheetFormatPr defaultColWidth="9.140625" defaultRowHeight="15"/>
  <cols>
    <col min="1" max="1" width="7.5703125" style="2332" customWidth="1"/>
    <col min="2" max="2" width="37.28515625" style="2332" customWidth="1"/>
    <col min="3" max="3" width="15.28515625" style="2332" customWidth="1"/>
    <col min="4" max="4" width="15.7109375" style="2332" customWidth="1"/>
    <col min="5" max="5" width="15.140625" style="2332" customWidth="1"/>
    <col min="6" max="6" width="12.5703125" style="2332" customWidth="1"/>
    <col min="7" max="7" width="13" style="2332" customWidth="1"/>
    <col min="8" max="8" width="12.5703125" style="2332" customWidth="1"/>
    <col min="9" max="9" width="15.140625" style="2332" customWidth="1"/>
    <col min="10" max="10" width="13" style="2332" customWidth="1"/>
    <col min="11" max="11" width="11.42578125" style="2332" customWidth="1"/>
    <col min="12" max="12" width="12.42578125" style="2332" customWidth="1"/>
    <col min="13" max="13" width="11.5703125" style="2332" customWidth="1"/>
    <col min="14" max="14" width="11.42578125" style="2332" customWidth="1"/>
    <col min="15" max="15" width="14.7109375" style="2332" customWidth="1"/>
    <col min="16" max="17" width="11" style="2332" customWidth="1"/>
    <col min="18" max="18" width="10.85546875" style="2330" customWidth="1"/>
    <col min="19" max="16384" width="9.140625" style="2291"/>
  </cols>
  <sheetData>
    <row r="1" spans="1:18" ht="15.75" customHeight="1">
      <c r="A1" s="2283"/>
      <c r="B1" s="2284"/>
      <c r="C1" s="2285"/>
      <c r="D1" s="2286"/>
      <c r="E1" s="2286"/>
      <c r="F1" s="2286"/>
      <c r="G1" s="2286"/>
      <c r="H1" s="2286"/>
      <c r="I1" s="2287"/>
      <c r="J1" s="2287"/>
      <c r="K1" s="2288"/>
      <c r="L1" s="2289"/>
      <c r="M1" s="2286"/>
      <c r="N1" s="2289"/>
      <c r="O1" s="2289"/>
      <c r="P1" s="2286"/>
      <c r="Q1" s="2287"/>
      <c r="R1" s="2290"/>
    </row>
    <row r="2" spans="1:18" ht="15.75" customHeight="1">
      <c r="A2" s="2292"/>
      <c r="B2" s="2293"/>
      <c r="C2" s="2294"/>
      <c r="D2" s="2295"/>
      <c r="E2" s="2295"/>
      <c r="F2" s="2295"/>
      <c r="G2" s="2295"/>
      <c r="H2" s="2295"/>
      <c r="I2" s="2290"/>
      <c r="J2" s="2290"/>
      <c r="K2" s="2296"/>
      <c r="L2" s="2297"/>
      <c r="M2" s="2295"/>
      <c r="N2" s="2297"/>
      <c r="O2" s="2297"/>
      <c r="P2" s="2295"/>
      <c r="Q2" s="2290"/>
      <c r="R2" s="2290"/>
    </row>
    <row r="3" spans="1:18">
      <c r="A3" s="4429" t="s">
        <v>5070</v>
      </c>
      <c r="B3" s="4429"/>
      <c r="C3" s="4429"/>
      <c r="D3" s="4429"/>
      <c r="E3" s="4429"/>
      <c r="F3" s="4429"/>
      <c r="G3" s="4429"/>
      <c r="H3" s="4429"/>
      <c r="I3" s="4429"/>
      <c r="J3" s="4429"/>
      <c r="K3" s="4429"/>
      <c r="L3" s="4429"/>
      <c r="M3" s="4429"/>
      <c r="N3" s="4429"/>
      <c r="O3" s="4429"/>
      <c r="P3" s="4429"/>
      <c r="Q3" s="4429"/>
      <c r="R3" s="2298"/>
    </row>
    <row r="4" spans="1:18" ht="15.75" customHeight="1">
      <c r="A4" s="4430"/>
      <c r="B4" s="4430"/>
      <c r="C4" s="4430"/>
      <c r="D4" s="4430"/>
      <c r="E4" s="4430"/>
      <c r="F4" s="4430"/>
      <c r="G4" s="4430"/>
      <c r="H4" s="4430"/>
      <c r="I4" s="4430"/>
      <c r="J4" s="4430"/>
      <c r="K4" s="4430"/>
      <c r="L4" s="4430"/>
      <c r="M4" s="4430"/>
      <c r="N4" s="4430"/>
      <c r="O4" s="4430"/>
      <c r="P4" s="4430"/>
      <c r="Q4" s="4430"/>
      <c r="R4" s="2299"/>
    </row>
    <row r="5" spans="1:18" ht="15" customHeight="1">
      <c r="A5" s="4427" t="s">
        <v>1070</v>
      </c>
      <c r="B5" s="4427" t="s">
        <v>4876</v>
      </c>
      <c r="C5" s="4427" t="s">
        <v>5071</v>
      </c>
      <c r="D5" s="4427" t="s">
        <v>5072</v>
      </c>
      <c r="E5" s="4427" t="s">
        <v>5073</v>
      </c>
      <c r="F5" s="4428" t="s">
        <v>5074</v>
      </c>
      <c r="G5" s="4428"/>
      <c r="H5" s="4428"/>
      <c r="I5" s="4428"/>
      <c r="J5" s="4428"/>
      <c r="K5" s="4428"/>
      <c r="L5" s="4428" t="s">
        <v>5075</v>
      </c>
      <c r="M5" s="4428"/>
      <c r="N5" s="4428"/>
      <c r="O5" s="4428"/>
      <c r="P5" s="4428"/>
      <c r="Q5" s="4428"/>
      <c r="R5" s="2300"/>
    </row>
    <row r="6" spans="1:18" ht="15" customHeight="1">
      <c r="A6" s="4427"/>
      <c r="B6" s="4427"/>
      <c r="C6" s="4427"/>
      <c r="D6" s="4427"/>
      <c r="E6" s="4427"/>
      <c r="F6" s="4427" t="s">
        <v>5076</v>
      </c>
      <c r="G6" s="4427" t="s">
        <v>5077</v>
      </c>
      <c r="H6" s="4427" t="s">
        <v>5078</v>
      </c>
      <c r="I6" s="4427" t="s">
        <v>5079</v>
      </c>
      <c r="J6" s="4427" t="s">
        <v>5080</v>
      </c>
      <c r="K6" s="4427" t="s">
        <v>5081</v>
      </c>
      <c r="L6" s="4427" t="s">
        <v>5076</v>
      </c>
      <c r="M6" s="4427" t="s">
        <v>5077</v>
      </c>
      <c r="N6" s="4427" t="s">
        <v>5078</v>
      </c>
      <c r="O6" s="4427" t="s">
        <v>5079</v>
      </c>
      <c r="P6" s="4427" t="s">
        <v>5080</v>
      </c>
      <c r="Q6" s="4427" t="s">
        <v>5081</v>
      </c>
      <c r="R6" s="2301"/>
    </row>
    <row r="7" spans="1:18" ht="50.25" customHeight="1">
      <c r="A7" s="4427"/>
      <c r="B7" s="4427"/>
      <c r="C7" s="4427"/>
      <c r="D7" s="4427"/>
      <c r="E7" s="4427"/>
      <c r="F7" s="4427"/>
      <c r="G7" s="4427"/>
      <c r="H7" s="4427"/>
      <c r="I7" s="4427"/>
      <c r="J7" s="4427"/>
      <c r="K7" s="4427"/>
      <c r="L7" s="4427"/>
      <c r="M7" s="4427"/>
      <c r="N7" s="4427"/>
      <c r="O7" s="4427"/>
      <c r="P7" s="4427"/>
      <c r="Q7" s="4427"/>
      <c r="R7" s="2301"/>
    </row>
    <row r="8" spans="1:18" ht="30">
      <c r="A8" s="2302">
        <v>1</v>
      </c>
      <c r="B8" s="2303" t="s">
        <v>5082</v>
      </c>
      <c r="C8" s="2304"/>
      <c r="D8" s="2304">
        <v>100</v>
      </c>
      <c r="E8" s="2304"/>
      <c r="F8" s="2305">
        <v>52</v>
      </c>
      <c r="G8" s="2304"/>
      <c r="H8" s="2304">
        <v>2000</v>
      </c>
      <c r="I8" s="2306">
        <f>H8*F8*(D8+E8)</f>
        <v>10400000</v>
      </c>
      <c r="J8" s="2306">
        <f>MROUND(I8/10000,0.01)</f>
        <v>1040</v>
      </c>
      <c r="K8" s="2306"/>
      <c r="L8" s="2306"/>
      <c r="M8" s="2306"/>
      <c r="N8" s="2306"/>
      <c r="O8" s="2306"/>
      <c r="P8" s="2306"/>
      <c r="Q8" s="2306"/>
      <c r="R8" s="2307"/>
    </row>
    <row r="9" spans="1:18" ht="15.75">
      <c r="A9" s="2302">
        <v>2</v>
      </c>
      <c r="B9" s="2303" t="s">
        <v>5083</v>
      </c>
      <c r="C9" s="2304"/>
      <c r="D9" s="2304">
        <v>100</v>
      </c>
      <c r="E9" s="2304"/>
      <c r="F9" s="2305">
        <v>297</v>
      </c>
      <c r="G9" s="2304"/>
      <c r="H9" s="2304">
        <v>491.6</v>
      </c>
      <c r="I9" s="2306">
        <f>H9*F9*(D9+E9)</f>
        <v>14600520.000000002</v>
      </c>
      <c r="J9" s="2306">
        <f t="shared" ref="J9:J13" si="0">MROUND(I9/10000,0.01)</f>
        <v>1460.05</v>
      </c>
      <c r="K9" s="2306"/>
      <c r="L9" s="2305">
        <f>205+48</f>
        <v>253</v>
      </c>
      <c r="M9" s="2306"/>
      <c r="N9" s="2304">
        <v>121.2</v>
      </c>
      <c r="O9" s="2306">
        <f>N9*L9*(D9+E9)</f>
        <v>3066360</v>
      </c>
      <c r="P9" s="2306">
        <f>MROUND(O9/10000,0.01)</f>
        <v>306.64</v>
      </c>
      <c r="Q9" s="2306"/>
      <c r="R9" s="2307"/>
    </row>
    <row r="10" spans="1:18" ht="30">
      <c r="A10" s="2302">
        <v>3</v>
      </c>
      <c r="B10" s="2308" t="s">
        <v>5084</v>
      </c>
      <c r="C10" s="2309"/>
      <c r="D10" s="2309"/>
      <c r="E10" s="2310">
        <v>200</v>
      </c>
      <c r="F10" s="2305">
        <v>297</v>
      </c>
      <c r="G10" s="2311">
        <v>142</v>
      </c>
      <c r="H10" s="2310">
        <f>G10</f>
        <v>142</v>
      </c>
      <c r="I10" s="2306">
        <f>H10*F10*(D10+E10)</f>
        <v>8434800</v>
      </c>
      <c r="J10" s="2306">
        <f>MROUND(I10/10000,0.01)</f>
        <v>843.48</v>
      </c>
      <c r="K10" s="2310"/>
      <c r="L10" s="2312">
        <f>'[71]Расчет моющих'!L40</f>
        <v>253</v>
      </c>
      <c r="M10" s="2311">
        <v>74</v>
      </c>
      <c r="N10" s="2310">
        <f>M10</f>
        <v>74</v>
      </c>
      <c r="O10" s="2306">
        <f>N10*L10*(D10+E10)</f>
        <v>3744400</v>
      </c>
      <c r="P10" s="2306">
        <f t="shared" ref="P10:P13" si="1">MROUND(O10/10000,0.01)</f>
        <v>374.44</v>
      </c>
      <c r="Q10" s="2310"/>
      <c r="R10" s="2313"/>
    </row>
    <row r="11" spans="1:18" ht="30">
      <c r="A11" s="2302">
        <v>4</v>
      </c>
      <c r="B11" s="2308" t="s">
        <v>5085</v>
      </c>
      <c r="C11" s="2309"/>
      <c r="D11" s="2309"/>
      <c r="E11" s="2310">
        <v>200</v>
      </c>
      <c r="F11" s="2305">
        <v>297</v>
      </c>
      <c r="G11" s="2311">
        <v>4</v>
      </c>
      <c r="H11" s="2310">
        <f>G11*6</f>
        <v>24</v>
      </c>
      <c r="I11" s="2306">
        <f>H11*F11*(D11+E11)</f>
        <v>1425600</v>
      </c>
      <c r="J11" s="2306">
        <f>MROUND(I11/10000,0.01)</f>
        <v>142.56</v>
      </c>
      <c r="K11" s="2310"/>
      <c r="L11" s="2312">
        <f>L10</f>
        <v>253</v>
      </c>
      <c r="M11" s="2311">
        <v>30</v>
      </c>
      <c r="N11" s="2310">
        <f>M11*6</f>
        <v>180</v>
      </c>
      <c r="O11" s="2306">
        <f>N11*L11*(D11+E11)</f>
        <v>9108000</v>
      </c>
      <c r="P11" s="2306">
        <f t="shared" si="1"/>
        <v>910.80000000000007</v>
      </c>
      <c r="Q11" s="2310"/>
      <c r="R11" s="2313"/>
    </row>
    <row r="12" spans="1:18" ht="15.75">
      <c r="A12" s="2302">
        <v>5</v>
      </c>
      <c r="B12" s="2303" t="s">
        <v>5086</v>
      </c>
      <c r="C12" s="2304">
        <v>10000</v>
      </c>
      <c r="D12" s="2304"/>
      <c r="E12" s="2304"/>
      <c r="F12" s="2305">
        <v>297</v>
      </c>
      <c r="G12" s="2304"/>
      <c r="H12" s="2304">
        <v>12112.5</v>
      </c>
      <c r="I12" s="2306">
        <f>H12/500*C12*F12</f>
        <v>71948250</v>
      </c>
      <c r="J12" s="2306">
        <f t="shared" si="0"/>
        <v>7194.83</v>
      </c>
      <c r="K12" s="2306"/>
      <c r="L12" s="2312">
        <f>L11</f>
        <v>253</v>
      </c>
      <c r="M12" s="2306"/>
      <c r="N12" s="2314">
        <v>1619.2</v>
      </c>
      <c r="O12" s="2306">
        <f>N12/500*C12*L12</f>
        <v>8193152</v>
      </c>
      <c r="P12" s="2306">
        <f t="shared" si="1"/>
        <v>819.32</v>
      </c>
      <c r="Q12" s="2306"/>
      <c r="R12" s="2307"/>
    </row>
    <row r="13" spans="1:18" ht="30">
      <c r="A13" s="2302">
        <v>6</v>
      </c>
      <c r="B13" s="2303" t="s">
        <v>5087</v>
      </c>
      <c r="C13" s="2304"/>
      <c r="D13" s="2304">
        <v>100</v>
      </c>
      <c r="E13" s="2304"/>
      <c r="F13" s="2305">
        <v>52</v>
      </c>
      <c r="G13" s="2304"/>
      <c r="H13" s="2304">
        <f>H12</f>
        <v>12112.5</v>
      </c>
      <c r="I13" s="2306">
        <f>H13*F13*(D13+E13)</f>
        <v>62985000</v>
      </c>
      <c r="J13" s="2306">
        <f t="shared" si="0"/>
        <v>6298.5</v>
      </c>
      <c r="K13" s="2306"/>
      <c r="L13" s="2315">
        <v>52</v>
      </c>
      <c r="M13" s="2306"/>
      <c r="N13" s="2314">
        <f>N12</f>
        <v>1619.2</v>
      </c>
      <c r="O13" s="2306">
        <f>N13*L13*(D13+E13)</f>
        <v>8419840</v>
      </c>
      <c r="P13" s="2306">
        <f t="shared" si="1"/>
        <v>841.98</v>
      </c>
      <c r="Q13" s="2306"/>
      <c r="R13" s="2307"/>
    </row>
    <row r="14" spans="1:18">
      <c r="A14" s="2316"/>
      <c r="B14" s="2317" t="s">
        <v>1067</v>
      </c>
      <c r="C14" s="2318"/>
      <c r="D14" s="2318"/>
      <c r="E14" s="2318"/>
      <c r="F14" s="2319"/>
      <c r="G14" s="2320"/>
      <c r="H14" s="2318"/>
      <c r="I14" s="2321">
        <f>SUM(I8:I13)</f>
        <v>169794170</v>
      </c>
      <c r="J14" s="2321">
        <f>SUM(J8:J13)</f>
        <v>16979.419999999998</v>
      </c>
      <c r="K14" s="2320">
        <f>MROUND(J14/300,1)</f>
        <v>57</v>
      </c>
      <c r="L14" s="2322"/>
      <c r="M14" s="2320"/>
      <c r="N14" s="2320"/>
      <c r="O14" s="2321">
        <f>SUM(O8:O13)</f>
        <v>32531752</v>
      </c>
      <c r="P14" s="2321">
        <f>SUM(P8:P13)</f>
        <v>3253.1800000000003</v>
      </c>
      <c r="Q14" s="2320">
        <f>MROUND(P14/300,1)</f>
        <v>11</v>
      </c>
      <c r="R14" s="2323"/>
    </row>
    <row r="15" spans="1:18">
      <c r="A15" s="2301"/>
      <c r="B15" s="2324"/>
      <c r="C15" s="2323"/>
      <c r="D15" s="2323"/>
      <c r="E15" s="2323"/>
      <c r="F15" s="2325"/>
      <c r="G15" s="2326"/>
      <c r="H15" s="2323"/>
      <c r="I15" s="2327"/>
      <c r="J15" s="2327"/>
      <c r="K15" s="2326"/>
      <c r="L15" s="2328"/>
      <c r="M15" s="2326"/>
      <c r="N15" s="2326"/>
      <c r="O15" s="2327"/>
      <c r="P15" s="2327"/>
      <c r="Q15" s="2326"/>
      <c r="R15" s="2323"/>
    </row>
    <row r="16" spans="1:18" ht="15.75">
      <c r="A16" s="2299"/>
      <c r="B16" s="4431"/>
      <c r="C16" s="4431"/>
      <c r="D16" s="4431"/>
      <c r="E16" s="4431"/>
      <c r="F16" s="4431"/>
      <c r="G16" s="4431"/>
      <c r="H16" s="4431"/>
      <c r="I16" s="4431"/>
      <c r="J16" s="4431"/>
      <c r="K16" s="4431"/>
      <c r="L16" s="4431"/>
      <c r="M16" s="4431"/>
      <c r="N16" s="2329"/>
      <c r="O16" s="2330"/>
      <c r="P16" s="4432"/>
      <c r="Q16" s="4432"/>
    </row>
    <row r="17" spans="1:17">
      <c r="A17" s="4429" t="s">
        <v>5070</v>
      </c>
      <c r="B17" s="4429"/>
      <c r="C17" s="4429"/>
      <c r="D17" s="4429"/>
      <c r="E17" s="4429"/>
      <c r="F17" s="4429"/>
      <c r="G17" s="4429"/>
      <c r="H17" s="4429"/>
      <c r="I17" s="4429"/>
      <c r="J17" s="4429"/>
      <c r="K17" s="4429"/>
      <c r="L17" s="4429"/>
      <c r="M17" s="4429"/>
      <c r="N17" s="4429"/>
      <c r="O17" s="4429"/>
      <c r="P17" s="4429"/>
      <c r="Q17" s="4429"/>
    </row>
    <row r="18" spans="1:17">
      <c r="A18" s="4430"/>
      <c r="B18" s="4430"/>
      <c r="C18" s="4430"/>
      <c r="D18" s="4430"/>
      <c r="E18" s="4430"/>
      <c r="F18" s="4430"/>
      <c r="G18" s="4430"/>
      <c r="H18" s="4430"/>
      <c r="I18" s="4430"/>
      <c r="J18" s="4430"/>
      <c r="K18" s="4430"/>
      <c r="L18" s="4430"/>
      <c r="M18" s="4430"/>
      <c r="N18" s="4430"/>
      <c r="O18" s="4430"/>
      <c r="P18" s="4430"/>
      <c r="Q18" s="4430"/>
    </row>
    <row r="19" spans="1:17" ht="15.75">
      <c r="A19" s="4427" t="s">
        <v>1070</v>
      </c>
      <c r="B19" s="4427" t="s">
        <v>4876</v>
      </c>
      <c r="C19" s="4427" t="s">
        <v>5071</v>
      </c>
      <c r="D19" s="4427" t="s">
        <v>5072</v>
      </c>
      <c r="E19" s="4427" t="s">
        <v>5073</v>
      </c>
      <c r="F19" s="4428" t="s">
        <v>5088</v>
      </c>
      <c r="G19" s="4428"/>
      <c r="H19" s="4428"/>
      <c r="I19" s="4428"/>
      <c r="J19" s="4428"/>
      <c r="K19" s="4428"/>
      <c r="L19" s="4428" t="s">
        <v>5075</v>
      </c>
      <c r="M19" s="4428"/>
      <c r="N19" s="4428"/>
      <c r="O19" s="4428"/>
      <c r="P19" s="4428"/>
      <c r="Q19" s="4428"/>
    </row>
    <row r="20" spans="1:17">
      <c r="A20" s="4427"/>
      <c r="B20" s="4427"/>
      <c r="C20" s="4427"/>
      <c r="D20" s="4427"/>
      <c r="E20" s="4427"/>
      <c r="F20" s="4427" t="s">
        <v>5076</v>
      </c>
      <c r="G20" s="4427" t="s">
        <v>5077</v>
      </c>
      <c r="H20" s="4427" t="s">
        <v>5078</v>
      </c>
      <c r="I20" s="4427" t="s">
        <v>5079</v>
      </c>
      <c r="J20" s="4427" t="s">
        <v>5080</v>
      </c>
      <c r="K20" s="4427" t="s">
        <v>5081</v>
      </c>
      <c r="L20" s="4427" t="s">
        <v>5076</v>
      </c>
      <c r="M20" s="4427" t="s">
        <v>5077</v>
      </c>
      <c r="N20" s="4427" t="s">
        <v>5078</v>
      </c>
      <c r="O20" s="4427" t="s">
        <v>5079</v>
      </c>
      <c r="P20" s="4427" t="s">
        <v>5080</v>
      </c>
      <c r="Q20" s="4427" t="s">
        <v>5081</v>
      </c>
    </row>
    <row r="21" spans="1:17" ht="25.5" customHeight="1">
      <c r="A21" s="4427"/>
      <c r="B21" s="4427"/>
      <c r="C21" s="4427"/>
      <c r="D21" s="4427"/>
      <c r="E21" s="4427"/>
      <c r="F21" s="4427"/>
      <c r="G21" s="4427"/>
      <c r="H21" s="4427"/>
      <c r="I21" s="4427"/>
      <c r="J21" s="4427"/>
      <c r="K21" s="4427"/>
      <c r="L21" s="4427"/>
      <c r="M21" s="4427"/>
      <c r="N21" s="4427"/>
      <c r="O21" s="4427"/>
      <c r="P21" s="4427"/>
      <c r="Q21" s="4427"/>
    </row>
    <row r="22" spans="1:17" ht="30">
      <c r="A22" s="2302">
        <v>1</v>
      </c>
      <c r="B22" s="2303" t="s">
        <v>5082</v>
      </c>
      <c r="C22" s="2304"/>
      <c r="D22" s="2304">
        <v>100</v>
      </c>
      <c r="E22" s="2304"/>
      <c r="F22" s="2305">
        <v>52</v>
      </c>
      <c r="G22" s="2304"/>
      <c r="H22" s="2304">
        <v>2000</v>
      </c>
      <c r="I22" s="2306">
        <f>H22*F22*(D22+E22)</f>
        <v>10400000</v>
      </c>
      <c r="J22" s="2306">
        <f>MROUND(I22/10000,0.01)</f>
        <v>1040</v>
      </c>
      <c r="K22" s="2306"/>
      <c r="L22" s="2306"/>
      <c r="M22" s="2306"/>
      <c r="N22" s="2306"/>
      <c r="O22" s="2306"/>
      <c r="P22" s="2306"/>
      <c r="Q22" s="2306"/>
    </row>
    <row r="23" spans="1:17">
      <c r="A23" s="2302">
        <v>2</v>
      </c>
      <c r="B23" s="2303" t="s">
        <v>5083</v>
      </c>
      <c r="C23" s="2304"/>
      <c r="D23" s="2304">
        <v>100</v>
      </c>
      <c r="E23" s="2304"/>
      <c r="F23" s="2305">
        <v>297</v>
      </c>
      <c r="G23" s="2304"/>
      <c r="H23" s="2304">
        <v>970.4</v>
      </c>
      <c r="I23" s="2306">
        <f>H23*F23*(D23+E23)</f>
        <v>28820880</v>
      </c>
      <c r="J23" s="2306">
        <f t="shared" ref="J23" si="2">MROUND(I23/10000,0.01)</f>
        <v>2882.09</v>
      </c>
      <c r="K23" s="2306"/>
      <c r="L23" s="2305">
        <v>253</v>
      </c>
      <c r="M23" s="2306"/>
      <c r="N23" s="2304">
        <v>230</v>
      </c>
      <c r="O23" s="2306">
        <f>N23*L23*(D23+E23)</f>
        <v>5819000</v>
      </c>
      <c r="P23" s="2306">
        <f>MROUND(O23/10000,0.01)</f>
        <v>581.9</v>
      </c>
      <c r="Q23" s="2306"/>
    </row>
    <row r="24" spans="1:17" ht="30">
      <c r="A24" s="2302">
        <v>3</v>
      </c>
      <c r="B24" s="2308" t="s">
        <v>5084</v>
      </c>
      <c r="C24" s="2309"/>
      <c r="D24" s="2309"/>
      <c r="E24" s="2310">
        <v>200</v>
      </c>
      <c r="F24" s="2305">
        <v>297</v>
      </c>
      <c r="G24" s="2310">
        <v>283</v>
      </c>
      <c r="H24" s="2310">
        <f>G24</f>
        <v>283</v>
      </c>
      <c r="I24" s="2306">
        <f>H24*F24*(D24+E24)</f>
        <v>16810200</v>
      </c>
      <c r="J24" s="2306">
        <f>MROUND(I24/10000,0.01)</f>
        <v>1681.02</v>
      </c>
      <c r="K24" s="2310"/>
      <c r="L24" s="2312">
        <v>253</v>
      </c>
      <c r="M24" s="2310">
        <v>198</v>
      </c>
      <c r="N24" s="2310">
        <f>M24</f>
        <v>198</v>
      </c>
      <c r="O24" s="2306">
        <f>N24*L24*(D24+E24)</f>
        <v>10018800</v>
      </c>
      <c r="P24" s="2306">
        <f t="shared" ref="P24:P27" si="3">MROUND(O24/10000,0.01)</f>
        <v>1001.88</v>
      </c>
      <c r="Q24" s="2310"/>
    </row>
    <row r="25" spans="1:17" ht="30">
      <c r="A25" s="2302">
        <v>4</v>
      </c>
      <c r="B25" s="2308" t="s">
        <v>5085</v>
      </c>
      <c r="C25" s="2309"/>
      <c r="D25" s="2309"/>
      <c r="E25" s="2310">
        <v>200</v>
      </c>
      <c r="F25" s="2305">
        <v>297</v>
      </c>
      <c r="G25" s="2310">
        <v>5</v>
      </c>
      <c r="H25" s="2310">
        <f>G25*6</f>
        <v>30</v>
      </c>
      <c r="I25" s="2306">
        <f>H25*F25*(D25+E25)</f>
        <v>1782000</v>
      </c>
      <c r="J25" s="2306">
        <f>MROUND(I25/10000,0.01)</f>
        <v>178.20000000000002</v>
      </c>
      <c r="K25" s="2310"/>
      <c r="L25" s="2312">
        <v>253</v>
      </c>
      <c r="M25" s="2310">
        <v>60</v>
      </c>
      <c r="N25" s="2310">
        <f>M25*6</f>
        <v>360</v>
      </c>
      <c r="O25" s="2306">
        <f>N25*L25*(D25+E25)</f>
        <v>18216000</v>
      </c>
      <c r="P25" s="2306">
        <f t="shared" si="3"/>
        <v>1821.6000000000001</v>
      </c>
      <c r="Q25" s="2310"/>
    </row>
    <row r="26" spans="1:17">
      <c r="A26" s="2302">
        <v>5</v>
      </c>
      <c r="B26" s="2303" t="s">
        <v>5086</v>
      </c>
      <c r="C26" s="2304">
        <v>10000</v>
      </c>
      <c r="D26" s="2304"/>
      <c r="E26" s="2304"/>
      <c r="F26" s="2305">
        <v>297</v>
      </c>
      <c r="G26" s="2304"/>
      <c r="H26" s="2304">
        <v>24182.959999999999</v>
      </c>
      <c r="I26" s="2306">
        <f>H26/500*C26*F26</f>
        <v>143646782.39999998</v>
      </c>
      <c r="J26" s="2306">
        <f t="shared" ref="J26:J27" si="4">MROUND(I26/10000,0.01)</f>
        <v>14364.68</v>
      </c>
      <c r="K26" s="2306"/>
      <c r="L26" s="2312">
        <v>253</v>
      </c>
      <c r="M26" s="2306"/>
      <c r="N26" s="2314">
        <v>5734.32</v>
      </c>
      <c r="O26" s="2306">
        <f>N26/500*C26*L26</f>
        <v>29015659.199999999</v>
      </c>
      <c r="P26" s="2306">
        <f t="shared" si="3"/>
        <v>2901.57</v>
      </c>
      <c r="Q26" s="2306"/>
    </row>
    <row r="27" spans="1:17" ht="30">
      <c r="A27" s="2302">
        <v>6</v>
      </c>
      <c r="B27" s="2303" t="s">
        <v>5087</v>
      </c>
      <c r="C27" s="2304"/>
      <c r="D27" s="2304">
        <v>100</v>
      </c>
      <c r="E27" s="2304"/>
      <c r="F27" s="2305">
        <v>52</v>
      </c>
      <c r="G27" s="2304"/>
      <c r="H27" s="2304">
        <f>H26</f>
        <v>24182.959999999999</v>
      </c>
      <c r="I27" s="2306">
        <f>H27*F27*(D27+E27)</f>
        <v>125751392</v>
      </c>
      <c r="J27" s="2306">
        <f t="shared" si="4"/>
        <v>12575.14</v>
      </c>
      <c r="K27" s="2306"/>
      <c r="L27" s="2315">
        <v>52</v>
      </c>
      <c r="M27" s="2306"/>
      <c r="N27" s="2314">
        <f>N26</f>
        <v>5734.32</v>
      </c>
      <c r="O27" s="2306">
        <f>N27*L27*(D27+E27)</f>
        <v>29818464</v>
      </c>
      <c r="P27" s="2306">
        <f t="shared" si="3"/>
        <v>2981.85</v>
      </c>
      <c r="Q27" s="2306"/>
    </row>
    <row r="28" spans="1:17">
      <c r="A28" s="2316"/>
      <c r="B28" s="2317" t="s">
        <v>1067</v>
      </c>
      <c r="C28" s="2318"/>
      <c r="D28" s="2318"/>
      <c r="E28" s="2318"/>
      <c r="F28" s="2319"/>
      <c r="G28" s="2320"/>
      <c r="H28" s="2318"/>
      <c r="I28" s="2321">
        <f>SUM(I22:I27)</f>
        <v>327211254.39999998</v>
      </c>
      <c r="J28" s="2321">
        <f>SUM(J22:J27)</f>
        <v>32721.13</v>
      </c>
      <c r="K28" s="2320">
        <f>MROUND(J28/300,1)</f>
        <v>109</v>
      </c>
      <c r="L28" s="2322"/>
      <c r="M28" s="2320"/>
      <c r="N28" s="2320"/>
      <c r="O28" s="2321">
        <f>SUM(O22:O27)</f>
        <v>92887923.200000003</v>
      </c>
      <c r="P28" s="2321">
        <f>SUM(P22:P27)</f>
        <v>9288.8000000000011</v>
      </c>
      <c r="Q28" s="2320">
        <f>MROUND(P28/300,1)</f>
        <v>31</v>
      </c>
    </row>
    <row r="29" spans="1:17" ht="15.75">
      <c r="A29" s="2331"/>
      <c r="B29" s="4431"/>
      <c r="C29" s="4431"/>
      <c r="D29" s="4431"/>
      <c r="E29" s="4431"/>
      <c r="F29" s="4431"/>
      <c r="G29" s="4431"/>
      <c r="H29" s="4431"/>
      <c r="I29" s="4431"/>
      <c r="J29" s="4431"/>
      <c r="K29" s="4431"/>
      <c r="L29" s="4431"/>
      <c r="M29" s="4431"/>
      <c r="N29" s="4431"/>
      <c r="O29" s="2330"/>
      <c r="P29" s="4431"/>
      <c r="Q29" s="4431"/>
    </row>
    <row r="30" spans="1:17" ht="15.75">
      <c r="A30" s="2299"/>
      <c r="B30" s="4431"/>
      <c r="C30" s="4431"/>
      <c r="D30" s="4431"/>
      <c r="E30" s="4431"/>
      <c r="F30" s="4431"/>
      <c r="G30" s="4431"/>
      <c r="H30" s="4431"/>
      <c r="I30" s="4431"/>
      <c r="J30" s="4431"/>
      <c r="K30" s="4431"/>
      <c r="L30" s="4431"/>
      <c r="M30" s="4431"/>
      <c r="N30" s="2299"/>
      <c r="O30" s="2330"/>
      <c r="P30" s="4431"/>
      <c r="Q30" s="4431"/>
    </row>
    <row r="31" spans="1:17">
      <c r="P31" s="2330"/>
      <c r="Q31" s="2333"/>
    </row>
    <row r="32" spans="1:17">
      <c r="A32" s="4429" t="s">
        <v>5070</v>
      </c>
      <c r="B32" s="4429"/>
      <c r="C32" s="4429"/>
      <c r="D32" s="4429"/>
      <c r="E32" s="4429"/>
      <c r="F32" s="4429"/>
      <c r="G32" s="4429"/>
      <c r="H32" s="4429"/>
      <c r="I32" s="4429"/>
      <c r="J32" s="4429"/>
      <c r="K32" s="4429"/>
      <c r="L32" s="4429"/>
      <c r="M32" s="4429"/>
      <c r="N32" s="4429"/>
      <c r="O32" s="4429"/>
      <c r="P32" s="4429"/>
      <c r="Q32" s="4429"/>
    </row>
    <row r="33" spans="1:17">
      <c r="A33" s="4430"/>
      <c r="B33" s="4430"/>
      <c r="C33" s="4430"/>
      <c r="D33" s="4430"/>
      <c r="E33" s="4430"/>
      <c r="F33" s="4430"/>
      <c r="G33" s="4430"/>
      <c r="H33" s="4430"/>
      <c r="I33" s="4430"/>
      <c r="J33" s="4430"/>
      <c r="K33" s="4430"/>
      <c r="L33" s="4430"/>
      <c r="M33" s="4430"/>
      <c r="N33" s="4430"/>
      <c r="O33" s="4430"/>
      <c r="P33" s="4430"/>
      <c r="Q33" s="4430"/>
    </row>
    <row r="34" spans="1:17" ht="20.25" customHeight="1">
      <c r="A34" s="4427" t="s">
        <v>1070</v>
      </c>
      <c r="B34" s="4427" t="s">
        <v>4876</v>
      </c>
      <c r="C34" s="4427" t="s">
        <v>5071</v>
      </c>
      <c r="D34" s="4427" t="s">
        <v>5072</v>
      </c>
      <c r="E34" s="4427" t="s">
        <v>5073</v>
      </c>
      <c r="F34" s="4428" t="s">
        <v>5089</v>
      </c>
      <c r="G34" s="4428"/>
      <c r="H34" s="4428"/>
      <c r="I34" s="4428"/>
      <c r="J34" s="4428"/>
      <c r="K34" s="4428"/>
      <c r="L34" s="4428" t="s">
        <v>5075</v>
      </c>
      <c r="M34" s="4428"/>
      <c r="N34" s="4428"/>
      <c r="O34" s="4428"/>
      <c r="P34" s="4428"/>
      <c r="Q34" s="4428"/>
    </row>
    <row r="35" spans="1:17" ht="25.5" customHeight="1">
      <c r="A35" s="4427"/>
      <c r="B35" s="4427"/>
      <c r="C35" s="4427"/>
      <c r="D35" s="4427"/>
      <c r="E35" s="4427"/>
      <c r="F35" s="4427" t="s">
        <v>5076</v>
      </c>
      <c r="G35" s="4427" t="s">
        <v>5077</v>
      </c>
      <c r="H35" s="4427" t="s">
        <v>5078</v>
      </c>
      <c r="I35" s="4427" t="s">
        <v>5079</v>
      </c>
      <c r="J35" s="4427" t="s">
        <v>5080</v>
      </c>
      <c r="K35" s="4427" t="s">
        <v>5081</v>
      </c>
      <c r="L35" s="4427" t="s">
        <v>5076</v>
      </c>
      <c r="M35" s="4427" t="s">
        <v>5077</v>
      </c>
      <c r="N35" s="4427" t="s">
        <v>5078</v>
      </c>
      <c r="O35" s="4427" t="s">
        <v>5079</v>
      </c>
      <c r="P35" s="4427" t="s">
        <v>5080</v>
      </c>
      <c r="Q35" s="4427" t="s">
        <v>5081</v>
      </c>
    </row>
    <row r="36" spans="1:17" ht="27.75" customHeight="1">
      <c r="A36" s="4427"/>
      <c r="B36" s="4427"/>
      <c r="C36" s="4427"/>
      <c r="D36" s="4427"/>
      <c r="E36" s="4427"/>
      <c r="F36" s="4427"/>
      <c r="G36" s="4427"/>
      <c r="H36" s="4427"/>
      <c r="I36" s="4427"/>
      <c r="J36" s="4427"/>
      <c r="K36" s="4427"/>
      <c r="L36" s="4427"/>
      <c r="M36" s="4427"/>
      <c r="N36" s="4427"/>
      <c r="O36" s="4427"/>
      <c r="P36" s="4427"/>
      <c r="Q36" s="4427"/>
    </row>
    <row r="37" spans="1:17" ht="30">
      <c r="A37" s="2302">
        <v>1</v>
      </c>
      <c r="B37" s="2303" t="s">
        <v>5082</v>
      </c>
      <c r="C37" s="2304"/>
      <c r="D37" s="2304">
        <v>100</v>
      </c>
      <c r="E37" s="2304"/>
      <c r="F37" s="2305">
        <f>52</f>
        <v>52</v>
      </c>
      <c r="G37" s="2304"/>
      <c r="H37" s="2304">
        <v>2000</v>
      </c>
      <c r="I37" s="2306">
        <f>H37*F37*(D37+E37)</f>
        <v>10400000</v>
      </c>
      <c r="J37" s="2306">
        <f>MROUND(I37/10000,0.01)</f>
        <v>1040</v>
      </c>
      <c r="K37" s="2306"/>
      <c r="L37" s="2306"/>
      <c r="M37" s="2306"/>
      <c r="N37" s="2306"/>
      <c r="O37" s="2306"/>
      <c r="P37" s="2306"/>
      <c r="Q37" s="2306"/>
    </row>
    <row r="38" spans="1:17">
      <c r="A38" s="2302">
        <v>2</v>
      </c>
      <c r="B38" s="2303" t="s">
        <v>5083</v>
      </c>
      <c r="C38" s="2304"/>
      <c r="D38" s="2304">
        <v>100</v>
      </c>
      <c r="E38" s="2304"/>
      <c r="F38" s="2305">
        <f>297</f>
        <v>297</v>
      </c>
      <c r="G38" s="2304"/>
      <c r="H38" s="2304">
        <v>340</v>
      </c>
      <c r="I38" s="2306">
        <f>H38*F38*(D38+E38)</f>
        <v>10098000</v>
      </c>
      <c r="J38" s="2306">
        <f t="shared" ref="J38" si="5">MROUND(I38/10000,0.01)</f>
        <v>1009.8000000000001</v>
      </c>
      <c r="K38" s="2306"/>
      <c r="L38" s="2305"/>
      <c r="M38" s="2306"/>
      <c r="N38" s="2304"/>
      <c r="O38" s="2306"/>
      <c r="P38" s="2306"/>
      <c r="Q38" s="2306"/>
    </row>
    <row r="39" spans="1:17" ht="30">
      <c r="A39" s="2302">
        <v>3</v>
      </c>
      <c r="B39" s="2308" t="s">
        <v>5084</v>
      </c>
      <c r="C39" s="2309"/>
      <c r="D39" s="2309"/>
      <c r="E39" s="2310">
        <v>200</v>
      </c>
      <c r="F39" s="2305">
        <f>297</f>
        <v>297</v>
      </c>
      <c r="G39" s="2310">
        <v>132</v>
      </c>
      <c r="H39" s="2310">
        <f>G39</f>
        <v>132</v>
      </c>
      <c r="I39" s="2306">
        <f>H39*F39*(D39+E39)</f>
        <v>7840800</v>
      </c>
      <c r="J39" s="2306">
        <f>MROUND(I39/10000,0.01)</f>
        <v>784.08</v>
      </c>
      <c r="K39" s="2310"/>
      <c r="L39" s="2312"/>
      <c r="M39" s="2310"/>
      <c r="N39" s="2310"/>
      <c r="O39" s="2306"/>
      <c r="P39" s="2306"/>
      <c r="Q39" s="2310"/>
    </row>
    <row r="40" spans="1:17" ht="30">
      <c r="A40" s="2302">
        <v>4</v>
      </c>
      <c r="B40" s="2308" t="s">
        <v>5085</v>
      </c>
      <c r="C40" s="2309"/>
      <c r="D40" s="2309"/>
      <c r="E40" s="2310">
        <v>200</v>
      </c>
      <c r="F40" s="2305">
        <f>297</f>
        <v>297</v>
      </c>
      <c r="G40" s="2310">
        <v>4</v>
      </c>
      <c r="H40" s="2310">
        <f>G40*6</f>
        <v>24</v>
      </c>
      <c r="I40" s="2306">
        <f>H40*F40*(D40+E40)</f>
        <v>1425600</v>
      </c>
      <c r="J40" s="2306">
        <f>MROUND(I40/10000,0.01)</f>
        <v>142.56</v>
      </c>
      <c r="K40" s="2310"/>
      <c r="L40" s="2312"/>
      <c r="M40" s="2310"/>
      <c r="N40" s="2310"/>
      <c r="O40" s="2306"/>
      <c r="P40" s="2306"/>
      <c r="Q40" s="2310"/>
    </row>
    <row r="41" spans="1:17">
      <c r="A41" s="2302">
        <v>5</v>
      </c>
      <c r="B41" s="2303" t="s">
        <v>5086</v>
      </c>
      <c r="C41" s="2304">
        <v>10000</v>
      </c>
      <c r="D41" s="2304"/>
      <c r="E41" s="2304"/>
      <c r="F41" s="2305">
        <f>297</f>
        <v>297</v>
      </c>
      <c r="G41" s="2304"/>
      <c r="H41" s="2304">
        <v>11265.2</v>
      </c>
      <c r="I41" s="2306">
        <f>H41/500*C41*F41</f>
        <v>66915288</v>
      </c>
      <c r="J41" s="2306">
        <f t="shared" ref="J41:J42" si="6">MROUND(I41/10000,0.01)</f>
        <v>6691.53</v>
      </c>
      <c r="K41" s="2306"/>
      <c r="L41" s="2312"/>
      <c r="M41" s="2306"/>
      <c r="N41" s="2314"/>
      <c r="O41" s="2306"/>
      <c r="P41" s="2306"/>
      <c r="Q41" s="2306"/>
    </row>
    <row r="42" spans="1:17" ht="30">
      <c r="A42" s="2302">
        <v>6</v>
      </c>
      <c r="B42" s="2303" t="s">
        <v>5087</v>
      </c>
      <c r="C42" s="2304"/>
      <c r="D42" s="2304">
        <v>100</v>
      </c>
      <c r="E42" s="2304"/>
      <c r="F42" s="2305">
        <f>52</f>
        <v>52</v>
      </c>
      <c r="G42" s="2304"/>
      <c r="H42" s="2304">
        <f>H41</f>
        <v>11265.2</v>
      </c>
      <c r="I42" s="2306">
        <f>H42*F42*(D42+E42)</f>
        <v>58579040</v>
      </c>
      <c r="J42" s="2306">
        <f t="shared" si="6"/>
        <v>5857.9000000000005</v>
      </c>
      <c r="K42" s="2306"/>
      <c r="L42" s="2315"/>
      <c r="M42" s="2306"/>
      <c r="N42" s="2314"/>
      <c r="O42" s="2306"/>
      <c r="P42" s="2306"/>
      <c r="Q42" s="2306"/>
    </row>
    <row r="43" spans="1:17">
      <c r="A43" s="2316"/>
      <c r="B43" s="2317" t="s">
        <v>1067</v>
      </c>
      <c r="C43" s="2318"/>
      <c r="D43" s="2318"/>
      <c r="E43" s="2318"/>
      <c r="F43" s="2319"/>
      <c r="G43" s="2320"/>
      <c r="H43" s="2318"/>
      <c r="I43" s="2321">
        <f>SUM(I37:I42)</f>
        <v>155258728</v>
      </c>
      <c r="J43" s="2321">
        <f>SUM(J37:J42)</f>
        <v>15525.869999999999</v>
      </c>
      <c r="K43" s="2320">
        <f>MROUND(J43/300,1)</f>
        <v>52</v>
      </c>
      <c r="L43" s="2322"/>
      <c r="M43" s="2320"/>
      <c r="N43" s="2320"/>
      <c r="O43" s="2321">
        <f>SUM(O37:O42)</f>
        <v>0</v>
      </c>
      <c r="P43" s="2321">
        <f>SUM(P37:P42)</f>
        <v>0</v>
      </c>
      <c r="Q43" s="2320">
        <f>MROUND(P43/300,1)</f>
        <v>0</v>
      </c>
    </row>
    <row r="46" spans="1:17">
      <c r="A46" s="4429" t="s">
        <v>5070</v>
      </c>
      <c r="B46" s="4429"/>
      <c r="C46" s="4429"/>
      <c r="D46" s="4429"/>
      <c r="E46" s="4429"/>
      <c r="F46" s="4429"/>
      <c r="G46" s="4429"/>
      <c r="H46" s="4429"/>
      <c r="I46" s="4429"/>
      <c r="J46" s="4429"/>
      <c r="K46" s="4429"/>
      <c r="L46" s="4429"/>
      <c r="M46" s="4429"/>
      <c r="N46" s="4429"/>
      <c r="O46" s="4429"/>
      <c r="P46" s="4429"/>
      <c r="Q46" s="4429"/>
    </row>
    <row r="47" spans="1:17">
      <c r="A47" s="4430"/>
      <c r="B47" s="4430"/>
      <c r="C47" s="4430"/>
      <c r="D47" s="4430"/>
      <c r="E47" s="4430"/>
      <c r="F47" s="4430"/>
      <c r="G47" s="4430"/>
      <c r="H47" s="4430"/>
      <c r="I47" s="4430"/>
      <c r="J47" s="4430"/>
      <c r="K47" s="4430"/>
      <c r="L47" s="4430"/>
      <c r="M47" s="4430"/>
      <c r="N47" s="4430"/>
      <c r="O47" s="4430"/>
      <c r="P47" s="4430"/>
      <c r="Q47" s="4430"/>
    </row>
    <row r="48" spans="1:17" ht="26.25" customHeight="1">
      <c r="A48" s="4427" t="s">
        <v>1070</v>
      </c>
      <c r="B48" s="4427" t="s">
        <v>4876</v>
      </c>
      <c r="C48" s="4427" t="s">
        <v>5071</v>
      </c>
      <c r="D48" s="4427" t="s">
        <v>5072</v>
      </c>
      <c r="E48" s="4427" t="s">
        <v>5073</v>
      </c>
      <c r="F48" s="4428" t="s">
        <v>5090</v>
      </c>
      <c r="G48" s="4428"/>
      <c r="H48" s="4428"/>
      <c r="I48" s="4428"/>
      <c r="J48" s="4428"/>
      <c r="K48" s="4428"/>
      <c r="L48" s="4428" t="s">
        <v>5075</v>
      </c>
      <c r="M48" s="4428"/>
      <c r="N48" s="4428"/>
      <c r="O48" s="4428"/>
      <c r="P48" s="4428"/>
      <c r="Q48" s="4428"/>
    </row>
    <row r="49" spans="1:17" ht="36.75" customHeight="1">
      <c r="A49" s="4427"/>
      <c r="B49" s="4427"/>
      <c r="C49" s="4427"/>
      <c r="D49" s="4427"/>
      <c r="E49" s="4427"/>
      <c r="F49" s="4427" t="s">
        <v>5076</v>
      </c>
      <c r="G49" s="4427" t="s">
        <v>5077</v>
      </c>
      <c r="H49" s="4427" t="s">
        <v>5078</v>
      </c>
      <c r="I49" s="4427" t="s">
        <v>5079</v>
      </c>
      <c r="J49" s="4427" t="s">
        <v>5080</v>
      </c>
      <c r="K49" s="4427" t="s">
        <v>5081</v>
      </c>
      <c r="L49" s="4427"/>
      <c r="M49" s="4427"/>
      <c r="N49" s="4427"/>
      <c r="O49" s="4427"/>
      <c r="P49" s="4427"/>
      <c r="Q49" s="4427"/>
    </row>
    <row r="50" spans="1:17" ht="39" customHeight="1">
      <c r="A50" s="4427"/>
      <c r="B50" s="4427"/>
      <c r="C50" s="4427"/>
      <c r="D50" s="4427"/>
      <c r="E50" s="4427"/>
      <c r="F50" s="4427"/>
      <c r="G50" s="4427"/>
      <c r="H50" s="4427"/>
      <c r="I50" s="4427"/>
      <c r="J50" s="4427"/>
      <c r="K50" s="4427"/>
      <c r="L50" s="4427"/>
      <c r="M50" s="4427"/>
      <c r="N50" s="4427"/>
      <c r="O50" s="4427"/>
      <c r="P50" s="4427"/>
      <c r="Q50" s="4427"/>
    </row>
    <row r="51" spans="1:17" ht="30">
      <c r="A51" s="2302">
        <v>1</v>
      </c>
      <c r="B51" s="2303" t="s">
        <v>5082</v>
      </c>
      <c r="C51" s="2304"/>
      <c r="D51" s="2304">
        <v>100</v>
      </c>
      <c r="E51" s="2304"/>
      <c r="F51" s="2305">
        <f>52</f>
        <v>52</v>
      </c>
      <c r="G51" s="2304"/>
      <c r="H51" s="2304">
        <v>2000</v>
      </c>
      <c r="I51" s="2306">
        <f>H51*F51*(D51+E51)</f>
        <v>10400000</v>
      </c>
      <c r="J51" s="2306">
        <f>MROUND(I51/10000,0.01)</f>
        <v>1040</v>
      </c>
      <c r="K51" s="2306"/>
      <c r="L51" s="2306"/>
      <c r="M51" s="2306"/>
      <c r="N51" s="2306"/>
      <c r="O51" s="2306"/>
      <c r="P51" s="2306"/>
      <c r="Q51" s="2306"/>
    </row>
    <row r="52" spans="1:17">
      <c r="A52" s="2302">
        <v>2</v>
      </c>
      <c r="B52" s="2303" t="s">
        <v>5083</v>
      </c>
      <c r="C52" s="2304"/>
      <c r="D52" s="2304">
        <v>100</v>
      </c>
      <c r="E52" s="2304"/>
      <c r="F52" s="2305">
        <f>297</f>
        <v>297</v>
      </c>
      <c r="G52" s="2304"/>
      <c r="H52" s="2304">
        <v>831</v>
      </c>
      <c r="I52" s="2306">
        <f>H52*F52*(D52+E52)</f>
        <v>24680700</v>
      </c>
      <c r="J52" s="2306">
        <f t="shared" ref="J52" si="7">MROUND(I52/10000,0.01)</f>
        <v>2468.0700000000002</v>
      </c>
      <c r="K52" s="2306"/>
      <c r="L52" s="2305"/>
      <c r="M52" s="2306"/>
      <c r="N52" s="2304"/>
      <c r="O52" s="2306"/>
      <c r="P52" s="2306"/>
      <c r="Q52" s="2306"/>
    </row>
    <row r="53" spans="1:17" ht="30">
      <c r="A53" s="2302">
        <v>3</v>
      </c>
      <c r="B53" s="2308" t="s">
        <v>5084</v>
      </c>
      <c r="C53" s="2309"/>
      <c r="D53" s="2309"/>
      <c r="E53" s="2310">
        <v>200</v>
      </c>
      <c r="F53" s="2305">
        <f>297</f>
        <v>297</v>
      </c>
      <c r="G53" s="2310">
        <v>174</v>
      </c>
      <c r="H53" s="2310">
        <f>G53</f>
        <v>174</v>
      </c>
      <c r="I53" s="2306">
        <f>H53*F53*(D53+E53)</f>
        <v>10335600</v>
      </c>
      <c r="J53" s="2306">
        <f>MROUND(I53/10000,0.01)</f>
        <v>1033.56</v>
      </c>
      <c r="K53" s="2310"/>
      <c r="L53" s="2312"/>
      <c r="M53" s="2310"/>
      <c r="N53" s="2310"/>
      <c r="O53" s="2306"/>
      <c r="P53" s="2306"/>
      <c r="Q53" s="2310"/>
    </row>
    <row r="54" spans="1:17" ht="30">
      <c r="A54" s="2302">
        <v>4</v>
      </c>
      <c r="B54" s="2308" t="s">
        <v>5085</v>
      </c>
      <c r="C54" s="2309"/>
      <c r="D54" s="2309"/>
      <c r="E54" s="2310">
        <v>200</v>
      </c>
      <c r="F54" s="2305">
        <f>297</f>
        <v>297</v>
      </c>
      <c r="G54" s="2310">
        <v>5</v>
      </c>
      <c r="H54" s="2310">
        <f>G54*6</f>
        <v>30</v>
      </c>
      <c r="I54" s="2306">
        <f>H54*F54*(D54+E54)</f>
        <v>1782000</v>
      </c>
      <c r="J54" s="2306">
        <f>MROUND(I54/10000,0.01)</f>
        <v>178.20000000000002</v>
      </c>
      <c r="K54" s="2310"/>
      <c r="L54" s="2312"/>
      <c r="M54" s="2310"/>
      <c r="N54" s="2310"/>
      <c r="O54" s="2306"/>
      <c r="P54" s="2306"/>
      <c r="Q54" s="2310"/>
    </row>
    <row r="55" spans="1:17">
      <c r="A55" s="2302">
        <v>5</v>
      </c>
      <c r="B55" s="2303" t="s">
        <v>5086</v>
      </c>
      <c r="C55" s="2304">
        <v>10000</v>
      </c>
      <c r="D55" s="2304"/>
      <c r="E55" s="2304"/>
      <c r="F55" s="2305">
        <f>297</f>
        <v>297</v>
      </c>
      <c r="G55" s="2304"/>
      <c r="H55" s="2304">
        <v>14854.6</v>
      </c>
      <c r="I55" s="2306">
        <f>H55/500*C55*F55</f>
        <v>88236324</v>
      </c>
      <c r="J55" s="2306">
        <f t="shared" ref="J55:J56" si="8">MROUND(I55/10000,0.01)</f>
        <v>8823.630000000001</v>
      </c>
      <c r="K55" s="2306"/>
      <c r="L55" s="2312"/>
      <c r="M55" s="2306"/>
      <c r="N55" s="2314"/>
      <c r="O55" s="2306"/>
      <c r="P55" s="2306"/>
      <c r="Q55" s="2306"/>
    </row>
    <row r="56" spans="1:17" ht="30">
      <c r="A56" s="2302">
        <v>6</v>
      </c>
      <c r="B56" s="2303" t="s">
        <v>5087</v>
      </c>
      <c r="C56" s="2304"/>
      <c r="D56" s="2304">
        <v>100</v>
      </c>
      <c r="E56" s="2304"/>
      <c r="F56" s="2305">
        <f>52</f>
        <v>52</v>
      </c>
      <c r="G56" s="2304"/>
      <c r="H56" s="2304">
        <f>H55</f>
        <v>14854.6</v>
      </c>
      <c r="I56" s="2306">
        <f>H56*F56*(D56+E56)</f>
        <v>77243920</v>
      </c>
      <c r="J56" s="2306">
        <f t="shared" si="8"/>
        <v>7724.39</v>
      </c>
      <c r="K56" s="2306"/>
      <c r="L56" s="2315"/>
      <c r="M56" s="2306"/>
      <c r="N56" s="2314"/>
      <c r="O56" s="2306"/>
      <c r="P56" s="2306"/>
      <c r="Q56" s="2306"/>
    </row>
    <row r="57" spans="1:17">
      <c r="A57" s="2316"/>
      <c r="B57" s="2317" t="s">
        <v>1067</v>
      </c>
      <c r="C57" s="2318"/>
      <c r="D57" s="2318"/>
      <c r="E57" s="2318"/>
      <c r="F57" s="2319"/>
      <c r="G57" s="2320"/>
      <c r="H57" s="2318"/>
      <c r="I57" s="2321">
        <f>SUM(I51:I56)</f>
        <v>212678544</v>
      </c>
      <c r="J57" s="2321">
        <f>SUM(J51:J56)</f>
        <v>21267.850000000002</v>
      </c>
      <c r="K57" s="2320">
        <f>MROUND(J57/300,1)</f>
        <v>71</v>
      </c>
      <c r="L57" s="2322"/>
      <c r="M57" s="2320"/>
      <c r="N57" s="2320"/>
      <c r="O57" s="2321"/>
      <c r="P57" s="2321"/>
      <c r="Q57" s="2320"/>
    </row>
    <row r="61" spans="1:17">
      <c r="A61" s="4429" t="s">
        <v>5070</v>
      </c>
      <c r="B61" s="4429"/>
      <c r="C61" s="4429"/>
      <c r="D61" s="4429"/>
      <c r="E61" s="4429"/>
      <c r="F61" s="4429"/>
      <c r="G61" s="4429"/>
      <c r="H61" s="4429"/>
      <c r="I61" s="4429"/>
      <c r="J61" s="4429"/>
      <c r="K61" s="4429"/>
      <c r="L61" s="4429"/>
      <c r="M61" s="4429"/>
      <c r="N61" s="4429"/>
      <c r="O61" s="4429"/>
      <c r="P61" s="4429"/>
      <c r="Q61" s="4429"/>
    </row>
    <row r="62" spans="1:17">
      <c r="A62" s="4430"/>
      <c r="B62" s="4430"/>
      <c r="C62" s="4430"/>
      <c r="D62" s="4430"/>
      <c r="E62" s="4430"/>
      <c r="F62" s="4430"/>
      <c r="G62" s="4430"/>
      <c r="H62" s="4430"/>
      <c r="I62" s="4430"/>
      <c r="J62" s="4430"/>
      <c r="K62" s="4430"/>
      <c r="L62" s="4430"/>
      <c r="M62" s="4430"/>
      <c r="N62" s="4430"/>
      <c r="O62" s="4430"/>
      <c r="P62" s="4430"/>
      <c r="Q62" s="4430"/>
    </row>
    <row r="63" spans="1:17" ht="19.5" customHeight="1">
      <c r="A63" s="4427" t="s">
        <v>1070</v>
      </c>
      <c r="B63" s="4427" t="s">
        <v>4876</v>
      </c>
      <c r="C63" s="4427" t="s">
        <v>5071</v>
      </c>
      <c r="D63" s="4427" t="s">
        <v>5072</v>
      </c>
      <c r="E63" s="4427" t="s">
        <v>5073</v>
      </c>
      <c r="F63" s="4428" t="s">
        <v>5061</v>
      </c>
      <c r="G63" s="4428"/>
      <c r="H63" s="4428"/>
      <c r="I63" s="4428"/>
      <c r="J63" s="4428"/>
      <c r="K63" s="4428"/>
      <c r="L63" s="4428" t="s">
        <v>5075</v>
      </c>
      <c r="M63" s="4428"/>
      <c r="N63" s="4428"/>
      <c r="O63" s="4428"/>
      <c r="P63" s="4428"/>
      <c r="Q63" s="4428"/>
    </row>
    <row r="64" spans="1:17" ht="19.5" customHeight="1">
      <c r="A64" s="4427"/>
      <c r="B64" s="4427"/>
      <c r="C64" s="4427"/>
      <c r="D64" s="4427"/>
      <c r="E64" s="4427"/>
      <c r="F64" s="4427" t="s">
        <v>5076</v>
      </c>
      <c r="G64" s="4427" t="s">
        <v>5077</v>
      </c>
      <c r="H64" s="4427" t="s">
        <v>5078</v>
      </c>
      <c r="I64" s="4427" t="s">
        <v>5079</v>
      </c>
      <c r="J64" s="4427" t="s">
        <v>5080</v>
      </c>
      <c r="K64" s="4427" t="s">
        <v>5081</v>
      </c>
      <c r="L64" s="4427" t="s">
        <v>5076</v>
      </c>
      <c r="M64" s="4427" t="s">
        <v>5077</v>
      </c>
      <c r="N64" s="4427" t="s">
        <v>5078</v>
      </c>
      <c r="O64" s="4427" t="s">
        <v>5079</v>
      </c>
      <c r="P64" s="4427" t="s">
        <v>5080</v>
      </c>
      <c r="Q64" s="4427" t="s">
        <v>5081</v>
      </c>
    </row>
    <row r="65" spans="1:17" ht="27.75" customHeight="1">
      <c r="A65" s="4427"/>
      <c r="B65" s="4427"/>
      <c r="C65" s="4427"/>
      <c r="D65" s="4427"/>
      <c r="E65" s="4427"/>
      <c r="F65" s="4427"/>
      <c r="G65" s="4427"/>
      <c r="H65" s="4427"/>
      <c r="I65" s="4427"/>
      <c r="J65" s="4427"/>
      <c r="K65" s="4427"/>
      <c r="L65" s="4427"/>
      <c r="M65" s="4427"/>
      <c r="N65" s="4427"/>
      <c r="O65" s="4427"/>
      <c r="P65" s="4427"/>
      <c r="Q65" s="4427"/>
    </row>
    <row r="66" spans="1:17" ht="30">
      <c r="A66" s="2302">
        <v>1</v>
      </c>
      <c r="B66" s="2303" t="s">
        <v>5082</v>
      </c>
      <c r="C66" s="2304"/>
      <c r="D66" s="2304">
        <v>100</v>
      </c>
      <c r="E66" s="2304"/>
      <c r="F66" s="2305">
        <v>52</v>
      </c>
      <c r="G66" s="2304"/>
      <c r="H66" s="2304">
        <v>2000</v>
      </c>
      <c r="I66" s="2306">
        <f>H66*F66*(D66+E66)</f>
        <v>10400000</v>
      </c>
      <c r="J66" s="2306">
        <f>MROUND(I66/10000,0.01)</f>
        <v>1040</v>
      </c>
      <c r="K66" s="2306"/>
      <c r="L66" s="2306"/>
      <c r="M66" s="2306"/>
      <c r="N66" s="2306"/>
      <c r="O66" s="2306"/>
      <c r="P66" s="2306"/>
      <c r="Q66" s="2306"/>
    </row>
    <row r="67" spans="1:17">
      <c r="A67" s="2302">
        <v>2</v>
      </c>
      <c r="B67" s="2303" t="s">
        <v>5083</v>
      </c>
      <c r="C67" s="2304"/>
      <c r="D67" s="2304">
        <v>100</v>
      </c>
      <c r="E67" s="2304"/>
      <c r="F67" s="2305">
        <v>297</v>
      </c>
      <c r="G67" s="2304"/>
      <c r="H67" s="2304">
        <v>824</v>
      </c>
      <c r="I67" s="2306">
        <f>H67*F67*(D67+E67)</f>
        <v>24472800</v>
      </c>
      <c r="J67" s="2306">
        <f t="shared" ref="J67" si="9">MROUND(I67/10000,0.01)</f>
        <v>2447.2800000000002</v>
      </c>
      <c r="K67" s="2306"/>
      <c r="L67" s="2305"/>
      <c r="M67" s="2306"/>
      <c r="N67" s="2304"/>
      <c r="O67" s="2306"/>
      <c r="P67" s="2306"/>
      <c r="Q67" s="2306"/>
    </row>
    <row r="68" spans="1:17" ht="30">
      <c r="A68" s="2302">
        <v>3</v>
      </c>
      <c r="B68" s="2308" t="s">
        <v>5084</v>
      </c>
      <c r="C68" s="2309"/>
      <c r="D68" s="2309"/>
      <c r="E68" s="2310">
        <v>200</v>
      </c>
      <c r="F68" s="2305">
        <v>297</v>
      </c>
      <c r="G68" s="2310">
        <v>163</v>
      </c>
      <c r="H68" s="2310">
        <f>G68</f>
        <v>163</v>
      </c>
      <c r="I68" s="2306">
        <f>H68*F68*(D68+E68)</f>
        <v>9682200</v>
      </c>
      <c r="J68" s="2306">
        <f>MROUND(I68/10000,0.01)</f>
        <v>968.22</v>
      </c>
      <c r="K68" s="2310"/>
      <c r="L68" s="2312"/>
      <c r="M68" s="2310"/>
      <c r="N68" s="2310"/>
      <c r="O68" s="2306"/>
      <c r="P68" s="2306"/>
      <c r="Q68" s="2310"/>
    </row>
    <row r="69" spans="1:17" ht="30">
      <c r="A69" s="2302">
        <v>4</v>
      </c>
      <c r="B69" s="2308" t="s">
        <v>5085</v>
      </c>
      <c r="C69" s="2309"/>
      <c r="D69" s="2309"/>
      <c r="E69" s="2310">
        <v>200</v>
      </c>
      <c r="F69" s="2305">
        <v>297</v>
      </c>
      <c r="G69" s="2310">
        <v>5</v>
      </c>
      <c r="H69" s="2310">
        <f>G69*6</f>
        <v>30</v>
      </c>
      <c r="I69" s="2306">
        <f>H69*F69*(D69+E69)</f>
        <v>1782000</v>
      </c>
      <c r="J69" s="2306">
        <f>MROUND(I69/10000,0.01)</f>
        <v>178.20000000000002</v>
      </c>
      <c r="K69" s="2310"/>
      <c r="L69" s="2312"/>
      <c r="M69" s="2310"/>
      <c r="N69" s="2310"/>
      <c r="O69" s="2306"/>
      <c r="P69" s="2306"/>
      <c r="Q69" s="2310"/>
    </row>
    <row r="70" spans="1:17">
      <c r="A70" s="2302">
        <v>5</v>
      </c>
      <c r="B70" s="2303" t="s">
        <v>5086</v>
      </c>
      <c r="C70" s="2304">
        <v>10000</v>
      </c>
      <c r="D70" s="2304"/>
      <c r="E70" s="2304"/>
      <c r="F70" s="2305">
        <v>297</v>
      </c>
      <c r="G70" s="2304"/>
      <c r="H70" s="2304">
        <v>13942.8</v>
      </c>
      <c r="I70" s="2306">
        <f>H70/500*C70*F70</f>
        <v>82820232</v>
      </c>
      <c r="J70" s="2306">
        <f t="shared" ref="J70:J71" si="10">MROUND(I70/10000,0.01)</f>
        <v>8282.02</v>
      </c>
      <c r="K70" s="2306"/>
      <c r="L70" s="2312"/>
      <c r="M70" s="2306"/>
      <c r="N70" s="2314"/>
      <c r="O70" s="2306"/>
      <c r="P70" s="2306"/>
      <c r="Q70" s="2306"/>
    </row>
    <row r="71" spans="1:17" ht="30">
      <c r="A71" s="2302">
        <v>6</v>
      </c>
      <c r="B71" s="2303" t="s">
        <v>5087</v>
      </c>
      <c r="C71" s="2304"/>
      <c r="D71" s="2304">
        <v>100</v>
      </c>
      <c r="E71" s="2304"/>
      <c r="F71" s="2305">
        <v>52</v>
      </c>
      <c r="G71" s="2304"/>
      <c r="H71" s="2304">
        <f>H70</f>
        <v>13942.8</v>
      </c>
      <c r="I71" s="2306">
        <f>H71*F71*(D71+E71)</f>
        <v>72502560</v>
      </c>
      <c r="J71" s="2306">
        <f t="shared" si="10"/>
        <v>7250.26</v>
      </c>
      <c r="K71" s="2306"/>
      <c r="L71" s="2315"/>
      <c r="M71" s="2306"/>
      <c r="N71" s="2314"/>
      <c r="O71" s="2306"/>
      <c r="P71" s="2306"/>
      <c r="Q71" s="2306"/>
    </row>
    <row r="72" spans="1:17">
      <c r="A72" s="2316"/>
      <c r="B72" s="2317" t="s">
        <v>1067</v>
      </c>
      <c r="C72" s="2318"/>
      <c r="D72" s="2318"/>
      <c r="E72" s="2318"/>
      <c r="F72" s="2319"/>
      <c r="G72" s="2320"/>
      <c r="H72" s="2318"/>
      <c r="I72" s="2321">
        <f>SUM(I66:I71)</f>
        <v>201659792</v>
      </c>
      <c r="J72" s="2321">
        <f>SUM(J66:J71)</f>
        <v>20165.980000000003</v>
      </c>
      <c r="K72" s="2320">
        <f>MROUND(J72/300,1)</f>
        <v>67</v>
      </c>
      <c r="L72" s="2322"/>
      <c r="M72" s="2320"/>
      <c r="N72" s="2320"/>
      <c r="O72" s="2321">
        <f>SUM(O66:O71)</f>
        <v>0</v>
      </c>
      <c r="P72" s="2321">
        <f>SUM(P66:P71)</f>
        <v>0</v>
      </c>
      <c r="Q72" s="2320">
        <f>MROUND(P72/300,1)</f>
        <v>0</v>
      </c>
    </row>
  </sheetData>
  <mergeCells count="106">
    <mergeCell ref="A3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N6:N7"/>
    <mergeCell ref="O6:O7"/>
    <mergeCell ref="P6:P7"/>
    <mergeCell ref="Q6:Q7"/>
    <mergeCell ref="B16:M16"/>
    <mergeCell ref="P16:Q16"/>
    <mergeCell ref="H6:H7"/>
    <mergeCell ref="I6:I7"/>
    <mergeCell ref="J6:J7"/>
    <mergeCell ref="K6:K7"/>
    <mergeCell ref="L6:L7"/>
    <mergeCell ref="M6:M7"/>
    <mergeCell ref="A17:Q18"/>
    <mergeCell ref="A19:A21"/>
    <mergeCell ref="B19:B21"/>
    <mergeCell ref="C19:C21"/>
    <mergeCell ref="D19:D21"/>
    <mergeCell ref="E19:E21"/>
    <mergeCell ref="F19:K19"/>
    <mergeCell ref="L19:Q19"/>
    <mergeCell ref="F20:F21"/>
    <mergeCell ref="G20:G21"/>
    <mergeCell ref="N20:N21"/>
    <mergeCell ref="O20:O21"/>
    <mergeCell ref="P20:P21"/>
    <mergeCell ref="Q20:Q21"/>
    <mergeCell ref="B29:N29"/>
    <mergeCell ref="P29:Q29"/>
    <mergeCell ref="H20:H21"/>
    <mergeCell ref="I20:I21"/>
    <mergeCell ref="J20:J21"/>
    <mergeCell ref="K20:K21"/>
    <mergeCell ref="L20:L21"/>
    <mergeCell ref="M20:M21"/>
    <mergeCell ref="B30:M30"/>
    <mergeCell ref="P30:Q30"/>
    <mergeCell ref="D63:D65"/>
    <mergeCell ref="E63:E65"/>
    <mergeCell ref="A32:Q33"/>
    <mergeCell ref="A34:A36"/>
    <mergeCell ref="B34:B36"/>
    <mergeCell ref="C34:C36"/>
    <mergeCell ref="D34:D36"/>
    <mergeCell ref="E34:E36"/>
    <mergeCell ref="F34:K34"/>
    <mergeCell ref="L34:Q34"/>
    <mergeCell ref="L35:L36"/>
    <mergeCell ref="M35:M36"/>
    <mergeCell ref="N35:N36"/>
    <mergeCell ref="O35:O36"/>
    <mergeCell ref="P35:P36"/>
    <mergeCell ref="Q35:Q36"/>
    <mergeCell ref="F35:F36"/>
    <mergeCell ref="G35:G36"/>
    <mergeCell ref="H35:H36"/>
    <mergeCell ref="I35:I36"/>
    <mergeCell ref="J35:J36"/>
    <mergeCell ref="K35:K36"/>
    <mergeCell ref="A46:Q47"/>
    <mergeCell ref="A48:A50"/>
    <mergeCell ref="B48:B50"/>
    <mergeCell ref="C48:C50"/>
    <mergeCell ref="D48:D50"/>
    <mergeCell ref="E48:E50"/>
    <mergeCell ref="F48:K48"/>
    <mergeCell ref="L48:Q48"/>
    <mergeCell ref="F49:F50"/>
    <mergeCell ref="G49:G50"/>
    <mergeCell ref="N49:N50"/>
    <mergeCell ref="O49:O50"/>
    <mergeCell ref="P49:P50"/>
    <mergeCell ref="Q49:Q50"/>
    <mergeCell ref="Q64:Q65"/>
    <mergeCell ref="F63:K63"/>
    <mergeCell ref="L63:Q63"/>
    <mergeCell ref="F64:F65"/>
    <mergeCell ref="G64:G65"/>
    <mergeCell ref="H64:H65"/>
    <mergeCell ref="I64:I65"/>
    <mergeCell ref="H49:H50"/>
    <mergeCell ref="I49:I50"/>
    <mergeCell ref="J49:J50"/>
    <mergeCell ref="K49:K50"/>
    <mergeCell ref="L49:L50"/>
    <mergeCell ref="M49:M50"/>
    <mergeCell ref="N64:N65"/>
    <mergeCell ref="O64:O65"/>
    <mergeCell ref="P64:P65"/>
    <mergeCell ref="J64:J65"/>
    <mergeCell ref="K64:K65"/>
    <mergeCell ref="L64:L65"/>
    <mergeCell ref="M64:M65"/>
    <mergeCell ref="A61:Q62"/>
    <mergeCell ref="A63:A65"/>
    <mergeCell ref="B63:B65"/>
    <mergeCell ref="C63:C65"/>
  </mergeCells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tabColor rgb="FF92D050"/>
    <pageSetUpPr fitToPage="1"/>
  </sheetPr>
  <dimension ref="A1:J39"/>
  <sheetViews>
    <sheetView workbookViewId="0">
      <selection activeCell="E9" sqref="E9"/>
    </sheetView>
  </sheetViews>
  <sheetFormatPr defaultRowHeight="15"/>
  <cols>
    <col min="1" max="1" width="5" customWidth="1"/>
    <col min="2" max="2" width="39.5703125" customWidth="1"/>
    <col min="3" max="3" width="41" customWidth="1"/>
    <col min="4" max="4" width="12.42578125" customWidth="1"/>
    <col min="5" max="5" width="15.7109375" customWidth="1"/>
    <col min="6" max="6" width="12.42578125" customWidth="1"/>
    <col min="7" max="7" width="17.7109375" customWidth="1"/>
    <col min="8" max="9" width="14.7109375" customWidth="1"/>
  </cols>
  <sheetData>
    <row r="1" spans="1:10" ht="15.75">
      <c r="H1" s="407" t="s">
        <v>267</v>
      </c>
      <c r="I1" s="1131" t="s">
        <v>5091</v>
      </c>
    </row>
    <row r="2" spans="1:10" s="683" customFormat="1" ht="18.75">
      <c r="A2" s="1045" t="s">
        <v>5092</v>
      </c>
      <c r="B2" s="657"/>
      <c r="C2" s="657"/>
      <c r="D2" s="657"/>
      <c r="E2" s="657"/>
      <c r="F2" s="657"/>
      <c r="G2" s="657"/>
      <c r="H2" s="1079"/>
      <c r="I2" s="1079"/>
      <c r="J2" s="682"/>
    </row>
    <row r="3" spans="1:10" ht="18.75">
      <c r="A3" s="420"/>
      <c r="B3" s="419"/>
      <c r="C3" s="419"/>
      <c r="D3" s="419"/>
      <c r="E3" s="419"/>
      <c r="F3" s="419"/>
      <c r="G3" s="419"/>
      <c r="H3" s="419"/>
      <c r="I3" s="419"/>
      <c r="J3" s="572"/>
    </row>
    <row r="4" spans="1:10" s="684" customFormat="1" ht="15.75">
      <c r="A4" s="656" t="s">
        <v>3998</v>
      </c>
    </row>
    <row r="5" spans="1:10" s="419" customFormat="1" ht="15.75">
      <c r="A5" s="168" t="s">
        <v>990</v>
      </c>
    </row>
    <row r="6" spans="1:10" ht="18.75">
      <c r="A6" s="460"/>
      <c r="B6" s="460"/>
      <c r="C6" s="460"/>
      <c r="D6" s="460"/>
      <c r="E6" s="460"/>
      <c r="F6" s="460"/>
      <c r="G6" s="460"/>
      <c r="H6" s="460"/>
      <c r="I6" s="419"/>
      <c r="J6" s="572"/>
    </row>
    <row r="7" spans="1:10" ht="18.75">
      <c r="A7" s="4210" t="s">
        <v>34</v>
      </c>
      <c r="B7" s="4212" t="s">
        <v>478</v>
      </c>
      <c r="C7" s="4377" t="s">
        <v>3683</v>
      </c>
      <c r="D7" s="4377" t="s">
        <v>4394</v>
      </c>
      <c r="E7" s="4212" t="s">
        <v>999</v>
      </c>
      <c r="F7" s="4210" t="s">
        <v>4023</v>
      </c>
      <c r="G7" s="4212" t="s">
        <v>345</v>
      </c>
      <c r="H7" s="4213" t="s">
        <v>255</v>
      </c>
      <c r="I7" s="4214"/>
      <c r="J7" s="572"/>
    </row>
    <row r="8" spans="1:10" ht="18.75">
      <c r="A8" s="4244"/>
      <c r="B8" s="4212"/>
      <c r="C8" s="4378"/>
      <c r="D8" s="4378"/>
      <c r="E8" s="4212"/>
      <c r="F8" s="4244"/>
      <c r="G8" s="4212"/>
      <c r="H8" s="220" t="s">
        <v>7</v>
      </c>
      <c r="I8" s="220" t="s">
        <v>8</v>
      </c>
      <c r="J8" s="572"/>
    </row>
    <row r="9" spans="1:10" ht="88.5" customHeight="1">
      <c r="A9" s="685">
        <v>1</v>
      </c>
      <c r="B9" s="1048" t="s">
        <v>5093</v>
      </c>
      <c r="C9" s="1048" t="s">
        <v>5094</v>
      </c>
      <c r="D9" s="1046" t="s">
        <v>4026</v>
      </c>
      <c r="E9" s="1047">
        <v>1523200</v>
      </c>
      <c r="F9" s="690">
        <v>1</v>
      </c>
      <c r="G9" s="471">
        <f>F9*E9</f>
        <v>1523200</v>
      </c>
      <c r="H9" s="461"/>
      <c r="I9" s="594">
        <f>G9</f>
        <v>1523200</v>
      </c>
      <c r="J9" s="572"/>
    </row>
    <row r="10" spans="1:10" ht="96.75" customHeight="1">
      <c r="A10" s="685">
        <v>2</v>
      </c>
      <c r="B10" s="1048" t="s">
        <v>5095</v>
      </c>
      <c r="C10" s="1048" t="s">
        <v>5096</v>
      </c>
      <c r="D10" s="1046" t="s">
        <v>4026</v>
      </c>
      <c r="E10" s="1047">
        <v>675800</v>
      </c>
      <c r="F10" s="690">
        <v>1</v>
      </c>
      <c r="G10" s="587">
        <f t="shared" ref="G10:G27" si="0">F10*E10</f>
        <v>675800</v>
      </c>
      <c r="H10" s="462"/>
      <c r="I10" s="594">
        <f>G10</f>
        <v>675800</v>
      </c>
      <c r="J10" s="572"/>
    </row>
    <row r="11" spans="1:10" ht="35.25" customHeight="1">
      <c r="A11" s="685">
        <v>3</v>
      </c>
      <c r="B11" s="1048" t="s">
        <v>5097</v>
      </c>
      <c r="C11" s="1048" t="s">
        <v>5098</v>
      </c>
      <c r="D11" s="1046" t="s">
        <v>4026</v>
      </c>
      <c r="E11" s="1047">
        <f>(30000+20000)*1.12</f>
        <v>56000.000000000007</v>
      </c>
      <c r="F11" s="690">
        <v>12</v>
      </c>
      <c r="G11" s="587">
        <f t="shared" si="0"/>
        <v>672000.00000000012</v>
      </c>
      <c r="H11" s="461"/>
      <c r="I11" s="594">
        <f t="shared" ref="I11:I27" si="1">G11</f>
        <v>672000.00000000012</v>
      </c>
      <c r="J11" s="572"/>
    </row>
    <row r="12" spans="1:10" ht="31.5">
      <c r="A12" s="685">
        <v>4</v>
      </c>
      <c r="B12" s="1048" t="s">
        <v>5099</v>
      </c>
      <c r="C12" s="1048" t="s">
        <v>5100</v>
      </c>
      <c r="D12" s="1046" t="s">
        <v>4026</v>
      </c>
      <c r="E12" s="1047">
        <v>10416</v>
      </c>
      <c r="F12" s="690">
        <v>48</v>
      </c>
      <c r="G12" s="587">
        <f t="shared" si="0"/>
        <v>499968</v>
      </c>
      <c r="H12" s="461"/>
      <c r="I12" s="594">
        <f t="shared" si="1"/>
        <v>499968</v>
      </c>
      <c r="J12" s="572"/>
    </row>
    <row r="13" spans="1:10" ht="31.5">
      <c r="A13" s="685">
        <v>5</v>
      </c>
      <c r="B13" s="1149" t="s">
        <v>5101</v>
      </c>
      <c r="C13" s="1048" t="s">
        <v>5102</v>
      </c>
      <c r="D13" s="1046" t="s">
        <v>4026</v>
      </c>
      <c r="E13" s="1047">
        <v>71680</v>
      </c>
      <c r="F13" s="690">
        <v>12</v>
      </c>
      <c r="G13" s="587">
        <f t="shared" si="0"/>
        <v>860160</v>
      </c>
      <c r="H13" s="461"/>
      <c r="I13" s="594">
        <f t="shared" si="1"/>
        <v>860160</v>
      </c>
      <c r="J13" s="572"/>
    </row>
    <row r="14" spans="1:10" ht="100.5" customHeight="1">
      <c r="A14" s="685">
        <v>6</v>
      </c>
      <c r="B14" s="686" t="s">
        <v>5103</v>
      </c>
      <c r="C14" s="686" t="s">
        <v>5104</v>
      </c>
      <c r="D14" s="687" t="s">
        <v>4026</v>
      </c>
      <c r="E14" s="1049">
        <v>4521.1030000000001</v>
      </c>
      <c r="F14" s="690">
        <v>58</v>
      </c>
      <c r="G14" s="587">
        <f t="shared" si="0"/>
        <v>262223.97399999999</v>
      </c>
      <c r="H14" s="461"/>
      <c r="I14" s="594">
        <f t="shared" si="1"/>
        <v>262223.97399999999</v>
      </c>
      <c r="J14" s="572"/>
    </row>
    <row r="15" spans="1:10" ht="78.75">
      <c r="A15" s="685">
        <v>7</v>
      </c>
      <c r="B15" s="686" t="s">
        <v>5105</v>
      </c>
      <c r="C15" s="687" t="s">
        <v>5106</v>
      </c>
      <c r="D15" s="688" t="s">
        <v>4026</v>
      </c>
      <c r="E15" s="1049">
        <v>10416</v>
      </c>
      <c r="F15" s="690">
        <v>528</v>
      </c>
      <c r="G15" s="587">
        <f t="shared" si="0"/>
        <v>5499648</v>
      </c>
      <c r="H15" s="461"/>
      <c r="I15" s="594">
        <f t="shared" si="1"/>
        <v>5499648</v>
      </c>
      <c r="J15" s="572"/>
    </row>
    <row r="16" spans="1:10" ht="104.25" customHeight="1">
      <c r="A16" s="685">
        <v>8</v>
      </c>
      <c r="B16" s="686" t="s">
        <v>5107</v>
      </c>
      <c r="C16" s="687" t="s">
        <v>5108</v>
      </c>
      <c r="D16" s="688" t="s">
        <v>4026</v>
      </c>
      <c r="E16" s="1049">
        <v>4104200</v>
      </c>
      <c r="F16" s="690">
        <v>1</v>
      </c>
      <c r="G16" s="587">
        <f t="shared" si="0"/>
        <v>4104200</v>
      </c>
      <c r="H16" s="461"/>
      <c r="I16" s="594">
        <f t="shared" si="1"/>
        <v>4104200</v>
      </c>
      <c r="J16" s="572"/>
    </row>
    <row r="17" spans="1:10" ht="52.5" customHeight="1">
      <c r="A17" s="685">
        <v>9</v>
      </c>
      <c r="B17" s="755" t="s">
        <v>5109</v>
      </c>
      <c r="C17" s="686" t="s">
        <v>5110</v>
      </c>
      <c r="D17" s="688" t="s">
        <v>4026</v>
      </c>
      <c r="E17" s="1049">
        <v>156800</v>
      </c>
      <c r="F17" s="690">
        <v>12</v>
      </c>
      <c r="G17" s="587">
        <f t="shared" si="0"/>
        <v>1881600</v>
      </c>
      <c r="H17" s="461"/>
      <c r="I17" s="594">
        <f t="shared" si="1"/>
        <v>1881600</v>
      </c>
      <c r="J17" s="572"/>
    </row>
    <row r="18" spans="1:10" ht="43.5" customHeight="1">
      <c r="A18" s="685">
        <v>10</v>
      </c>
      <c r="B18" s="686" t="s">
        <v>5111</v>
      </c>
      <c r="C18" s="687" t="s">
        <v>5112</v>
      </c>
      <c r="D18" s="688" t="s">
        <v>4026</v>
      </c>
      <c r="E18" s="1121">
        <v>179200</v>
      </c>
      <c r="F18" s="690">
        <v>12</v>
      </c>
      <c r="G18" s="587">
        <f t="shared" si="0"/>
        <v>2150400</v>
      </c>
      <c r="H18" s="461"/>
      <c r="I18" s="594">
        <f t="shared" si="1"/>
        <v>2150400</v>
      </c>
      <c r="J18" s="572"/>
    </row>
    <row r="19" spans="1:10" ht="141.75">
      <c r="A19" s="685">
        <v>11</v>
      </c>
      <c r="B19" s="686" t="s">
        <v>5113</v>
      </c>
      <c r="C19" s="687" t="s">
        <v>5114</v>
      </c>
      <c r="D19" s="688" t="s">
        <v>4026</v>
      </c>
      <c r="E19" s="1049">
        <v>6549760</v>
      </c>
      <c r="F19" s="690">
        <v>1</v>
      </c>
      <c r="G19" s="587">
        <f t="shared" si="0"/>
        <v>6549760</v>
      </c>
      <c r="H19" s="461"/>
      <c r="I19" s="594">
        <f t="shared" si="1"/>
        <v>6549760</v>
      </c>
      <c r="J19" s="572"/>
    </row>
    <row r="20" spans="1:10" ht="33" customHeight="1">
      <c r="A20" s="685">
        <v>12</v>
      </c>
      <c r="B20" s="686" t="s">
        <v>5115</v>
      </c>
      <c r="C20" s="687" t="s">
        <v>5116</v>
      </c>
      <c r="D20" s="688" t="s">
        <v>4026</v>
      </c>
      <c r="E20" s="1049">
        <v>25000</v>
      </c>
      <c r="F20" s="690">
        <v>4</v>
      </c>
      <c r="G20" s="587">
        <f t="shared" si="0"/>
        <v>100000</v>
      </c>
      <c r="H20" s="461"/>
      <c r="I20" s="594">
        <f t="shared" si="1"/>
        <v>100000</v>
      </c>
      <c r="J20" s="572"/>
    </row>
    <row r="21" spans="1:10" ht="133.5" customHeight="1">
      <c r="A21" s="685">
        <v>13</v>
      </c>
      <c r="B21" s="686" t="s">
        <v>5117</v>
      </c>
      <c r="C21" s="687" t="s">
        <v>5118</v>
      </c>
      <c r="D21" s="688" t="s">
        <v>4026</v>
      </c>
      <c r="E21" s="1049">
        <v>386111</v>
      </c>
      <c r="F21" s="690">
        <v>1</v>
      </c>
      <c r="G21" s="587">
        <f t="shared" si="0"/>
        <v>386111</v>
      </c>
      <c r="H21" s="461"/>
      <c r="I21" s="594">
        <f t="shared" si="1"/>
        <v>386111</v>
      </c>
      <c r="J21" s="572"/>
    </row>
    <row r="22" spans="1:10" ht="52.5" customHeight="1">
      <c r="A22" s="685">
        <v>14</v>
      </c>
      <c r="B22" s="686" t="s">
        <v>5119</v>
      </c>
      <c r="C22" s="687" t="s">
        <v>5120</v>
      </c>
      <c r="D22" s="688" t="s">
        <v>4026</v>
      </c>
      <c r="E22" s="1049">
        <v>15000</v>
      </c>
      <c r="F22" s="690">
        <v>12</v>
      </c>
      <c r="G22" s="587">
        <f t="shared" si="0"/>
        <v>180000</v>
      </c>
      <c r="H22" s="461"/>
      <c r="I22" s="594">
        <f t="shared" si="1"/>
        <v>180000</v>
      </c>
      <c r="J22" s="572"/>
    </row>
    <row r="23" spans="1:10" ht="52.5" customHeight="1">
      <c r="A23" s="685">
        <v>15</v>
      </c>
      <c r="B23" s="1051" t="s">
        <v>5121</v>
      </c>
      <c r="C23" s="1051" t="s">
        <v>5122</v>
      </c>
      <c r="D23" s="1051"/>
      <c r="E23" s="1048">
        <v>62500</v>
      </c>
      <c r="F23" s="690">
        <v>8</v>
      </c>
      <c r="G23" s="587">
        <f t="shared" si="0"/>
        <v>500000</v>
      </c>
      <c r="H23" s="461"/>
      <c r="I23" s="594">
        <f t="shared" si="1"/>
        <v>500000</v>
      </c>
      <c r="J23" s="572"/>
    </row>
    <row r="24" spans="1:10" ht="52.5" customHeight="1">
      <c r="A24" s="685">
        <v>16</v>
      </c>
      <c r="B24" s="1051" t="s">
        <v>5123</v>
      </c>
      <c r="C24" s="1051" t="s">
        <v>5124</v>
      </c>
      <c r="D24" s="1051"/>
      <c r="E24" s="1048">
        <v>201600</v>
      </c>
      <c r="F24" s="690">
        <v>8</v>
      </c>
      <c r="G24" s="587">
        <f t="shared" si="0"/>
        <v>1612800</v>
      </c>
      <c r="H24" s="461"/>
      <c r="I24" s="594">
        <f t="shared" si="1"/>
        <v>1612800</v>
      </c>
      <c r="J24" s="572"/>
    </row>
    <row r="25" spans="1:10" ht="52.5" customHeight="1">
      <c r="A25" s="685">
        <v>17</v>
      </c>
      <c r="B25" s="1051" t="s">
        <v>5125</v>
      </c>
      <c r="C25" s="1051" t="s">
        <v>5126</v>
      </c>
      <c r="D25" s="1051"/>
      <c r="E25" s="1048">
        <v>17640.25</v>
      </c>
      <c r="F25" s="690">
        <v>8</v>
      </c>
      <c r="G25" s="587">
        <f t="shared" si="0"/>
        <v>141122</v>
      </c>
      <c r="H25" s="461"/>
      <c r="I25" s="594">
        <f t="shared" si="1"/>
        <v>141122</v>
      </c>
      <c r="J25" s="572"/>
    </row>
    <row r="26" spans="1:10" ht="48">
      <c r="A26" s="685">
        <v>18</v>
      </c>
      <c r="B26" s="1053" t="s">
        <v>5127</v>
      </c>
      <c r="C26" s="1053" t="s">
        <v>5128</v>
      </c>
      <c r="D26" s="1052"/>
      <c r="E26" s="1052">
        <v>2094400</v>
      </c>
      <c r="F26" s="690">
        <v>1</v>
      </c>
      <c r="G26" s="587">
        <f t="shared" si="0"/>
        <v>2094400</v>
      </c>
      <c r="H26" s="461"/>
      <c r="I26" s="594">
        <f t="shared" si="1"/>
        <v>2094400</v>
      </c>
      <c r="J26" s="572"/>
    </row>
    <row r="27" spans="1:10" ht="52.5" customHeight="1">
      <c r="A27" s="685">
        <v>19</v>
      </c>
      <c r="B27" s="1051" t="s">
        <v>5129</v>
      </c>
      <c r="C27" s="1051" t="s">
        <v>5112</v>
      </c>
      <c r="D27" s="1051"/>
      <c r="E27" s="1051">
        <v>78400</v>
      </c>
      <c r="F27" s="690">
        <v>7</v>
      </c>
      <c r="G27" s="587">
        <f t="shared" si="0"/>
        <v>548800</v>
      </c>
      <c r="H27" s="461"/>
      <c r="I27" s="594">
        <f t="shared" si="1"/>
        <v>548800</v>
      </c>
      <c r="J27" s="572"/>
    </row>
    <row r="28" spans="1:10" ht="18.75" hidden="1">
      <c r="A28" s="685"/>
      <c r="B28" s="1051"/>
      <c r="C28" s="1051"/>
      <c r="D28" s="1051"/>
      <c r="E28" s="1051"/>
      <c r="F28" s="690"/>
      <c r="G28" s="587"/>
      <c r="H28" s="461"/>
      <c r="I28" s="594"/>
      <c r="J28" s="572"/>
    </row>
    <row r="29" spans="1:10" ht="18.75" customHeight="1">
      <c r="A29" s="1080">
        <v>21</v>
      </c>
      <c r="B29" s="480" t="s">
        <v>20</v>
      </c>
      <c r="C29" s="480"/>
      <c r="D29" s="480"/>
      <c r="E29" s="1050"/>
      <c r="F29" s="481"/>
      <c r="G29" s="593">
        <f>SUM(G9:G28)</f>
        <v>30242192.973999999</v>
      </c>
      <c r="H29" s="593">
        <f>SUM(H9:H16)</f>
        <v>0</v>
      </c>
      <c r="I29" s="593">
        <f>SUM(I9:I28)</f>
        <v>30242192.973999999</v>
      </c>
      <c r="J29" s="572"/>
    </row>
    <row r="30" spans="1:10" ht="16.5" customHeight="1">
      <c r="A30" s="484"/>
      <c r="B30" s="485"/>
      <c r="C30" s="485"/>
      <c r="D30" s="485"/>
      <c r="E30" s="486"/>
      <c r="F30" s="487"/>
      <c r="G30" s="486"/>
      <c r="H30" s="488"/>
      <c r="I30" s="486"/>
      <c r="J30" s="572"/>
    </row>
    <row r="31" spans="1:10" ht="16.5" customHeight="1">
      <c r="A31" s="426"/>
      <c r="B31" s="419"/>
      <c r="C31" s="514"/>
      <c r="D31" s="514"/>
      <c r="E31" s="419"/>
      <c r="F31" s="419"/>
      <c r="G31" s="419"/>
      <c r="H31" s="419"/>
      <c r="I31" s="419"/>
      <c r="J31" s="572"/>
    </row>
    <row r="32" spans="1:10" s="419" customFormat="1" ht="16.5" customHeight="1">
      <c r="A32" s="300" t="s">
        <v>329</v>
      </c>
      <c r="B32" s="514"/>
      <c r="C32" s="514"/>
      <c r="D32" s="1075"/>
      <c r="E32" s="1075" t="s">
        <v>448</v>
      </c>
      <c r="F32" s="657"/>
      <c r="G32" s="657"/>
      <c r="H32" s="657"/>
      <c r="I32" s="657"/>
    </row>
    <row r="33" spans="1:9" s="419" customFormat="1" ht="15.75" customHeight="1">
      <c r="A33" s="300"/>
      <c r="B33" s="514"/>
      <c r="C33" s="514"/>
      <c r="D33" s="1075"/>
      <c r="E33" s="1075"/>
      <c r="F33" s="657"/>
      <c r="G33" s="657"/>
      <c r="H33" s="657"/>
      <c r="I33" s="657"/>
    </row>
    <row r="34" spans="1:9" s="419" customFormat="1" ht="15.75">
      <c r="A34" s="426" t="s">
        <v>330</v>
      </c>
      <c r="B34" s="514"/>
      <c r="C34" s="514"/>
      <c r="D34" s="1075"/>
      <c r="E34" s="1075" t="s">
        <v>369</v>
      </c>
      <c r="F34" s="657"/>
      <c r="G34" s="657"/>
      <c r="H34" s="657"/>
      <c r="I34" s="657"/>
    </row>
    <row r="35" spans="1:9" s="419" customFormat="1" ht="15.75">
      <c r="A35" s="426"/>
      <c r="B35" s="514"/>
      <c r="C35" s="514"/>
      <c r="D35" s="1075"/>
      <c r="E35" s="1075"/>
      <c r="F35" s="657"/>
      <c r="G35" s="657"/>
      <c r="H35" s="657"/>
      <c r="I35" s="657"/>
    </row>
    <row r="36" spans="1:9" s="419" customFormat="1" ht="22.5" customHeight="1">
      <c r="A36" s="1073" t="s">
        <v>547</v>
      </c>
      <c r="B36" s="1076"/>
      <c r="C36" s="475"/>
      <c r="D36" s="1077"/>
      <c r="E36" s="1074" t="s">
        <v>374</v>
      </c>
      <c r="F36" s="657"/>
      <c r="G36" s="657"/>
      <c r="H36" s="657"/>
      <c r="I36" s="657"/>
    </row>
    <row r="37" spans="1:9" s="419" customFormat="1" ht="15.75">
      <c r="A37" s="1073" t="s">
        <v>548</v>
      </c>
      <c r="B37" s="1076"/>
      <c r="C37" s="475"/>
      <c r="D37" s="1077"/>
      <c r="E37" s="1074"/>
      <c r="F37" s="657"/>
      <c r="G37" s="657"/>
      <c r="H37" s="657"/>
      <c r="I37" s="657"/>
    </row>
    <row r="38" spans="1:9" ht="18.75">
      <c r="A38" s="1073"/>
      <c r="B38" s="1076"/>
      <c r="C38" s="475"/>
      <c r="D38" s="1077"/>
      <c r="E38" s="1078"/>
      <c r="F38" s="572"/>
      <c r="G38" s="572"/>
      <c r="H38" s="572"/>
      <c r="I38" s="572"/>
    </row>
    <row r="39" spans="1:9" ht="15.75">
      <c r="A39" s="1073" t="s">
        <v>375</v>
      </c>
      <c r="B39" s="1078"/>
      <c r="C39" s="1078"/>
      <c r="D39" s="1078"/>
      <c r="E39" s="1074" t="s">
        <v>376</v>
      </c>
    </row>
  </sheetData>
  <sheetProtection formatColumns="0" insertRows="0" deleteRows="0"/>
  <mergeCells count="8">
    <mergeCell ref="G7:G8"/>
    <mergeCell ref="H7:I7"/>
    <mergeCell ref="A7:A8"/>
    <mergeCell ref="B7:B8"/>
    <mergeCell ref="C7:C8"/>
    <mergeCell ref="D7:D8"/>
    <mergeCell ref="E7:E8"/>
    <mergeCell ref="F7:F8"/>
  </mergeCells>
  <pageMargins left="0.7" right="0.7" top="0.75" bottom="0.75" header="0.3" footer="0.3"/>
  <pageSetup paperSize="9" scale="75" fitToHeight="0" orientation="landscape"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A2:I7"/>
  <sheetViews>
    <sheetView workbookViewId="0">
      <selection activeCell="E7" sqref="E7"/>
    </sheetView>
  </sheetViews>
  <sheetFormatPr defaultRowHeight="15"/>
  <cols>
    <col min="1" max="1" width="6" customWidth="1"/>
    <col min="2" max="2" width="24.85546875" customWidth="1"/>
    <col min="3" max="3" width="20.5703125" customWidth="1"/>
    <col min="7" max="7" width="14.28515625" customWidth="1"/>
    <col min="9" max="9" width="14.85546875" customWidth="1"/>
  </cols>
  <sheetData>
    <row r="2" spans="1:9">
      <c r="A2" t="s">
        <v>5130</v>
      </c>
    </row>
    <row r="5" spans="1:9" ht="15.75">
      <c r="A5" s="4210" t="s">
        <v>34</v>
      </c>
      <c r="B5" s="4212" t="s">
        <v>478</v>
      </c>
      <c r="C5" s="4377" t="s">
        <v>3683</v>
      </c>
      <c r="D5" s="4377" t="s">
        <v>4394</v>
      </c>
      <c r="E5" s="4212" t="s">
        <v>999</v>
      </c>
      <c r="F5" s="4210" t="s">
        <v>4023</v>
      </c>
      <c r="G5" s="4212" t="s">
        <v>345</v>
      </c>
      <c r="H5" s="4213" t="s">
        <v>255</v>
      </c>
      <c r="I5" s="4214"/>
    </row>
    <row r="6" spans="1:9" ht="15.75">
      <c r="A6" s="4244"/>
      <c r="B6" s="4212"/>
      <c r="C6" s="4378"/>
      <c r="D6" s="4378"/>
      <c r="E6" s="4212"/>
      <c r="F6" s="4244"/>
      <c r="G6" s="4212"/>
      <c r="H6" s="220" t="s">
        <v>7</v>
      </c>
      <c r="I6" s="220" t="s">
        <v>8</v>
      </c>
    </row>
    <row r="7" spans="1:9" ht="56.25" customHeight="1">
      <c r="A7" s="1080">
        <v>1</v>
      </c>
      <c r="B7" s="1048" t="s">
        <v>5131</v>
      </c>
      <c r="C7" s="1048" t="s">
        <v>5132</v>
      </c>
      <c r="D7" s="1046" t="s">
        <v>2291</v>
      </c>
      <c r="E7" s="1047">
        <v>3834.88</v>
      </c>
      <c r="F7" s="1150">
        <v>1000</v>
      </c>
      <c r="G7" s="253">
        <f>F7*E7</f>
        <v>3834880</v>
      </c>
      <c r="H7" s="1151"/>
      <c r="I7" s="1152">
        <f>G7</f>
        <v>3834880</v>
      </c>
    </row>
  </sheetData>
  <mergeCells count="8">
    <mergeCell ref="G5:G6"/>
    <mergeCell ref="H5:I5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tabColor theme="3" tint="0.59999389629810485"/>
  </sheetPr>
  <dimension ref="A1:BZ52"/>
  <sheetViews>
    <sheetView view="pageBreakPreview" topLeftCell="A13" zoomScale="99" zoomScaleNormal="71" zoomScaleSheetLayoutView="99" workbookViewId="0">
      <selection activeCell="A10" sqref="A10"/>
    </sheetView>
  </sheetViews>
  <sheetFormatPr defaultColWidth="9.140625" defaultRowHeight="15.75" outlineLevelRow="1" outlineLevelCol="1"/>
  <cols>
    <col min="1" max="1" width="6.5703125" style="419" customWidth="1"/>
    <col min="2" max="2" width="69.42578125" style="419" customWidth="1"/>
    <col min="3" max="3" width="17.5703125" style="419" hidden="1" customWidth="1"/>
    <col min="4" max="4" width="23.7109375" style="419" customWidth="1"/>
    <col min="5" max="5" width="23.7109375" style="419" hidden="1" customWidth="1"/>
    <col min="6" max="6" width="20" style="419" hidden="1" customWidth="1"/>
    <col min="7" max="7" width="20.42578125" style="1884" hidden="1" customWidth="1"/>
    <col min="8" max="8" width="19.85546875" style="1884" hidden="1" customWidth="1"/>
    <col min="9" max="9" width="22.140625" style="1884" hidden="1" customWidth="1"/>
    <col min="10" max="10" width="15.42578125" style="419" hidden="1" customWidth="1"/>
    <col min="11" max="11" width="16" style="419" hidden="1" customWidth="1"/>
    <col min="12" max="12" width="15.7109375" style="419" hidden="1" customWidth="1"/>
    <col min="13" max="63" width="0" style="419" hidden="1" customWidth="1"/>
    <col min="64" max="64" width="25.140625" style="419" hidden="1" customWidth="1" outlineLevel="1"/>
    <col min="65" max="65" width="20.140625" style="419" hidden="1" customWidth="1" outlineLevel="1"/>
    <col min="66" max="66" width="20.42578125" style="419" hidden="1" customWidth="1" outlineLevel="1"/>
    <col min="67" max="67" width="19.85546875" style="419" hidden="1" customWidth="1" outlineLevel="1"/>
    <col min="68" max="68" width="21.28515625" style="419" hidden="1" customWidth="1" outlineLevel="1"/>
    <col min="69" max="69" width="18.85546875" style="419" hidden="1" customWidth="1" outlineLevel="1"/>
    <col min="70" max="70" width="21" style="419" hidden="1" customWidth="1" outlineLevel="1"/>
    <col min="71" max="72" width="18.7109375" style="419" hidden="1" customWidth="1" outlineLevel="1"/>
    <col min="73" max="73" width="18" style="2377" hidden="1" customWidth="1" collapsed="1"/>
    <col min="74" max="74" width="10.28515625" style="419" hidden="1" customWidth="1"/>
    <col min="75" max="75" width="19.140625" style="419" hidden="1" customWidth="1"/>
    <col min="76" max="76" width="23.140625" style="419" hidden="1" customWidth="1"/>
    <col min="77" max="77" width="16.7109375" style="419" hidden="1" customWidth="1"/>
    <col min="78" max="78" width="27.42578125" style="419" customWidth="1"/>
    <col min="79" max="16384" width="9.140625" style="419"/>
  </cols>
  <sheetData>
    <row r="1" spans="1:78" s="1883" customFormat="1">
      <c r="D1" s="1882" t="s">
        <v>337</v>
      </c>
      <c r="E1" s="1882" t="s">
        <v>337</v>
      </c>
      <c r="BU1" s="2479"/>
    </row>
    <row r="2" spans="1:78" s="1883" customFormat="1">
      <c r="D2" s="1882" t="s">
        <v>338</v>
      </c>
      <c r="E2" s="1882" t="s">
        <v>338</v>
      </c>
      <c r="BU2" s="2479"/>
    </row>
    <row r="3" spans="1:78" s="1883" customFormat="1">
      <c r="D3" s="1882" t="s">
        <v>339</v>
      </c>
      <c r="E3" s="1882" t="s">
        <v>339</v>
      </c>
      <c r="BU3" s="2479"/>
    </row>
    <row r="4" spans="1:78" s="1883" customFormat="1">
      <c r="D4" s="1882" t="s">
        <v>340</v>
      </c>
      <c r="E4" s="1882" t="s">
        <v>340</v>
      </c>
      <c r="BU4" s="2479"/>
    </row>
    <row r="5" spans="1:78">
      <c r="E5" s="1882" t="s">
        <v>341</v>
      </c>
      <c r="G5" s="1883"/>
      <c r="H5" s="1883"/>
    </row>
    <row r="6" spans="1:78">
      <c r="E6" s="1883"/>
      <c r="G6" s="1883"/>
      <c r="H6" s="1883"/>
    </row>
    <row r="7" spans="1:78" ht="31.9" customHeight="1">
      <c r="A7" s="3914" t="s">
        <v>399</v>
      </c>
      <c r="B7" s="3914"/>
      <c r="C7" s="3914"/>
      <c r="D7" s="3914"/>
      <c r="E7" s="3914"/>
      <c r="F7" s="1885"/>
      <c r="G7" s="1885"/>
      <c r="H7" s="1885"/>
      <c r="I7" s="1885"/>
    </row>
    <row r="9" spans="1:78">
      <c r="A9" s="419" t="s">
        <v>5133</v>
      </c>
      <c r="I9" s="759" t="s">
        <v>254</v>
      </c>
    </row>
    <row r="10" spans="1:78" s="1887" customFormat="1" ht="125.45" customHeight="1">
      <c r="A10" s="1886" t="s">
        <v>34</v>
      </c>
      <c r="B10" s="1013" t="s">
        <v>344</v>
      </c>
      <c r="C10" s="1013" t="s">
        <v>345</v>
      </c>
      <c r="D10" s="1013" t="s">
        <v>379</v>
      </c>
      <c r="E10" s="1886" t="s">
        <v>400</v>
      </c>
      <c r="F10" s="1886" t="s">
        <v>401</v>
      </c>
      <c r="G10" s="245" t="s">
        <v>402</v>
      </c>
      <c r="H10" s="245" t="s">
        <v>403</v>
      </c>
      <c r="I10" s="245" t="s">
        <v>404</v>
      </c>
      <c r="BU10" s="2378"/>
      <c r="BZ10" s="1013" t="s">
        <v>380</v>
      </c>
    </row>
    <row r="11" spans="1:78">
      <c r="A11" s="517">
        <v>1</v>
      </c>
      <c r="B11" s="517" t="s">
        <v>346</v>
      </c>
      <c r="C11" s="2379" t="e">
        <f>F11+G11+H11+I11</f>
        <v>#REF!</v>
      </c>
      <c r="D11" s="2380" t="e">
        <f>#REF!+#REF!+#REF!</f>
        <v>#REF!</v>
      </c>
      <c r="E11" s="1888">
        <f>'[59]ФОТ  инт'!AM13+'[59]ФОТ  инт'!AP13+'[59]ФОТ  инт'!AQ13</f>
        <v>21791851.199999999</v>
      </c>
      <c r="F11" s="1889">
        <f>'[59]ФОТ  инт'!AQ23+'[59]ФОТ ФМН'!AQ30+'[59]ФОТ МБ'!AQ41</f>
        <v>140214816</v>
      </c>
      <c r="G11" s="1052"/>
      <c r="H11" s="1052"/>
      <c r="I11" s="2381" t="e">
        <f>D11+'[59]Кальк Турк'!D11+'[59]Кальк МШ Ор'!C11</f>
        <v>#REF!</v>
      </c>
      <c r="BL11" s="1895" t="e">
        <f>D11-'[59]Бюджет 1 кв.метр'!E47-'[59]Бюджет 1 кв.метр'!F47-'[59]Бюджет 1 кв.метр'!G47-'[59]Бюджет 1 кв.метр'!H47-'[59]Бюджет 1 кв.метр'!E58-'[59]Бюджет 1 кв.метр'!F58-'[59]Бюджет 1 кв.метр'!G58-'[59]Бюджет 1 кв.метр'!H58</f>
        <v>#REF!</v>
      </c>
      <c r="BO11" s="1890"/>
      <c r="BP11" s="1890"/>
      <c r="BQ11" s="2163"/>
      <c r="BR11" s="1890"/>
      <c r="BS11" s="1890"/>
      <c r="BU11" s="2377" t="e">
        <f>#REF!+#REF!+#REF!</f>
        <v>#REF!</v>
      </c>
      <c r="BW11" s="1895" t="e">
        <f>BU11+'Кальк31 ул (31)'!BU11+'Кальк АУП'!BF11+'Кальк Турк без фмн'!BJ11+'Кальк МШ Ор'!BF11</f>
        <v>#REF!</v>
      </c>
      <c r="BX11" s="463" t="e">
        <f>#REF!+#REF!+#REF!</f>
        <v>#REF!</v>
      </c>
      <c r="BY11" s="463" t="e">
        <f>BW11-BX11</f>
        <v>#REF!</v>
      </c>
      <c r="BZ11" s="1893" t="e">
        <f>D11</f>
        <v>#REF!</v>
      </c>
    </row>
    <row r="12" spans="1:78">
      <c r="A12" s="517">
        <v>2</v>
      </c>
      <c r="B12" s="517" t="s">
        <v>347</v>
      </c>
      <c r="C12" s="2379">
        <f t="shared" ref="C12:C21" si="0">F12+G12+H12+I12</f>
        <v>364536</v>
      </c>
      <c r="D12" s="2382" t="e">
        <f>#REF!</f>
        <v>#REF!</v>
      </c>
      <c r="E12" s="1888">
        <f>'[59]ГПО  инт'!AV75</f>
        <v>59896.800000000003</v>
      </c>
      <c r="F12" s="1889">
        <f>'[59]ГПО  инт'!AV75+'[59]ГПО ФМН'!G48+'[59]ГПО МБ'!G68</f>
        <v>364536</v>
      </c>
      <c r="G12" s="1052"/>
      <c r="H12" s="1052"/>
      <c r="I12" s="1052"/>
      <c r="BL12" s="1895" t="e">
        <f>D12-'[59]Бюджет 1 кв.метр'!E123-'[59]Бюджет 1 кв.метр'!F123-'[59]Бюджет 1 кв.метр'!G123-'[59]Бюджет 1 кв.метр'!H123</f>
        <v>#REF!</v>
      </c>
      <c r="BO12" s="1890"/>
      <c r="BP12" s="1890"/>
      <c r="BR12" s="1890"/>
      <c r="BS12" s="1890"/>
      <c r="BU12" s="2377" t="e">
        <f>#REF!</f>
        <v>#REF!</v>
      </c>
      <c r="BW12" s="1895" t="e">
        <f>BU12+'Кальк31 ул (31)'!BU12+'Кальк АУП'!BF12+'Кальк Турк без фмн'!BJ12+'Кальк МШ Ор'!BF12</f>
        <v>#REF!</v>
      </c>
      <c r="BX12" s="419" t="e">
        <f>#REF!</f>
        <v>#REF!</v>
      </c>
      <c r="BY12" s="1895" t="e">
        <f>BW12-BX12</f>
        <v>#REF!</v>
      </c>
      <c r="BZ12" s="1893" t="e">
        <f t="shared" ref="BZ12:BZ14" si="1">D12</f>
        <v>#REF!</v>
      </c>
    </row>
    <row r="13" spans="1:78">
      <c r="A13" s="517">
        <v>3</v>
      </c>
      <c r="B13" s="517" t="s">
        <v>348</v>
      </c>
      <c r="C13" s="2379">
        <f t="shared" si="0"/>
        <v>8900000</v>
      </c>
      <c r="D13" s="2382" t="e">
        <f>#REF!</f>
        <v>#REF!</v>
      </c>
      <c r="E13" s="1888">
        <f>[59]медстрах!G15</f>
        <v>900000</v>
      </c>
      <c r="F13" s="1889">
        <f>[59]медстрах!G15+[59]медстрахФМН!D7+'[59]мед страх МБ'!D7</f>
        <v>8900000</v>
      </c>
      <c r="G13" s="1052"/>
      <c r="H13" s="1052"/>
      <c r="I13" s="1052"/>
      <c r="BL13" s="1895" t="e">
        <f>D13-'[59]Бюджет 1 кв.метр'!E126-'[59]Бюджет 1 кв.метр'!F126-'[59]Бюджет 1 кв.метр'!G126-'[59]Бюджет 1 кв.метр'!H126</f>
        <v>#REF!</v>
      </c>
      <c r="BM13" s="419">
        <f>'[59]ФОТ комплекс'!C64-'[59]ФОТ комплекс'!C8-'[59]ФОТ комплекс'!C41</f>
        <v>146</v>
      </c>
      <c r="BO13" s="1890"/>
      <c r="BP13" s="1890"/>
      <c r="BR13" s="1890"/>
      <c r="BS13" s="1890"/>
      <c r="BU13" s="2377" t="e">
        <f>#REF!</f>
        <v>#REF!</v>
      </c>
      <c r="BW13" s="1898" t="e">
        <f>BU13+'Кальк31 ул (31)'!BU13+'Кальк АУП'!BF13+'Кальк Турк без фмн'!BJ13+'Кальк МШ Ор'!BF13</f>
        <v>#REF!</v>
      </c>
      <c r="BX13" s="419" t="e">
        <f>#REF!</f>
        <v>#REF!</v>
      </c>
      <c r="BY13" s="1898" t="e">
        <f>BW13-BX13</f>
        <v>#REF!</v>
      </c>
      <c r="BZ13" s="1893" t="e">
        <f t="shared" si="1"/>
        <v>#REF!</v>
      </c>
    </row>
    <row r="14" spans="1:78">
      <c r="A14" s="517">
        <v>4</v>
      </c>
      <c r="B14" s="517" t="s">
        <v>349</v>
      </c>
      <c r="C14" s="2379">
        <f t="shared" si="0"/>
        <v>123816.20000000001</v>
      </c>
      <c r="D14" s="2382" t="e">
        <f>#REF!</f>
        <v>#REF!</v>
      </c>
      <c r="E14" s="1888">
        <f>'[59]банк усл'!F9</f>
        <v>16061</v>
      </c>
      <c r="F14" s="1889">
        <f>'[59]банк усл'!F9+'[59]банк усл ФМН'!F7+'[59]банк услугиМБ'!F7</f>
        <v>123816.20000000001</v>
      </c>
      <c r="G14" s="1052"/>
      <c r="H14" s="1052"/>
      <c r="I14" s="1052"/>
      <c r="BL14" s="2383" t="e">
        <f>D14-'[59]Бюджет 1 кв.метр'!E134-'[59]Бюджет 1 кв.метр'!F134-'[59]Бюджет 1 кв.метр'!G134-'[59]Бюджет 1 кв.метр'!H134</f>
        <v>#REF!</v>
      </c>
      <c r="BM14" s="2384" t="e">
        <f>D13/100000</f>
        <v>#REF!</v>
      </c>
      <c r="BN14" s="2384" t="e">
        <f>BM14*64800</f>
        <v>#REF!</v>
      </c>
      <c r="BO14" s="2385" t="e">
        <f>D13-BN14</f>
        <v>#REF!</v>
      </c>
      <c r="BP14" s="2385"/>
      <c r="BQ14" s="2384"/>
      <c r="BR14" s="2385"/>
      <c r="BS14" s="2385"/>
      <c r="BT14" s="2384"/>
      <c r="BU14" s="2386" t="e">
        <f>#REF!</f>
        <v>#REF!</v>
      </c>
      <c r="BV14" s="2384"/>
      <c r="BW14" s="2455" t="e">
        <f>BU14+'Кальк31 ул (31)'!BU14+'Кальк АУП'!BF14+'Кальк Турк без фмн'!BJ14+'Кальк МШ Ор'!BF14</f>
        <v>#REF!</v>
      </c>
      <c r="BX14" s="419" t="e">
        <f>#REF!</f>
        <v>#REF!</v>
      </c>
      <c r="BY14" s="1898" t="e">
        <f>BW14-BX14</f>
        <v>#REF!</v>
      </c>
      <c r="BZ14" s="1893" t="e">
        <f t="shared" si="1"/>
        <v>#REF!</v>
      </c>
    </row>
    <row r="15" spans="1:78">
      <c r="A15" s="517">
        <v>5</v>
      </c>
      <c r="B15" s="517" t="s">
        <v>350</v>
      </c>
      <c r="C15" s="2379">
        <f t="shared" si="0"/>
        <v>296875</v>
      </c>
      <c r="D15" s="2382">
        <f>('[59]Бюджет 1 кв.метр'!E195+'[59]Бюджет 1 кв.метр'!F195+'[59]Бюджет 1 кв.метр'!G195+'[59]Бюджет 1 кв.метр'!H195)/1.12</f>
        <v>0</v>
      </c>
      <c r="E15" s="1888">
        <f>'[59]соцсфера ИНТ'!F6</f>
        <v>46874.999999999993</v>
      </c>
      <c r="F15" s="1889">
        <f>('[59]соцсфера ИНТ'!H6+[59]соцсфера!H7+'[59]соцсфера МБ'!H6)/1.12</f>
        <v>296875</v>
      </c>
      <c r="G15" s="1052"/>
      <c r="H15" s="1052"/>
      <c r="I15" s="1052"/>
      <c r="BL15" s="2383">
        <f>D15*1.12-'[59]Бюджет 1 кв.метр'!E156-'[59]Бюджет 1 кв.метр'!F156-'[59]Бюджет 1 кв.метр'!G156-'[59]Бюджет 1 кв.метр'!H156</f>
        <v>-20990863.295999996</v>
      </c>
      <c r="BM15" s="2384"/>
      <c r="BN15" s="2384"/>
      <c r="BO15" s="2385"/>
      <c r="BP15" s="2385"/>
      <c r="BQ15" s="2384"/>
      <c r="BR15" s="2425"/>
      <c r="BS15" s="2385"/>
      <c r="BT15" s="2384"/>
      <c r="BU15" s="2386"/>
      <c r="BV15" s="2384"/>
      <c r="BW15" s="2384"/>
      <c r="BZ15" s="517"/>
    </row>
    <row r="16" spans="1:78">
      <c r="A16" s="517">
        <v>6</v>
      </c>
      <c r="B16" s="517" t="s">
        <v>351</v>
      </c>
      <c r="C16" s="2379">
        <f t="shared" si="0"/>
        <v>0</v>
      </c>
      <c r="D16" s="2388"/>
      <c r="E16" s="517"/>
      <c r="F16" s="517"/>
      <c r="G16" s="2379"/>
      <c r="H16" s="2379"/>
      <c r="I16" s="2379"/>
      <c r="BL16" s="2384"/>
      <c r="BM16" s="2384"/>
      <c r="BN16" s="2384"/>
      <c r="BO16" s="2384"/>
      <c r="BP16" s="2384"/>
      <c r="BQ16" s="2384"/>
      <c r="BR16" s="2385"/>
      <c r="BS16" s="2385"/>
      <c r="BT16" s="2384"/>
      <c r="BU16" s="2386"/>
      <c r="BV16" s="2384"/>
      <c r="BW16" s="2384"/>
      <c r="BZ16" s="517"/>
    </row>
    <row r="17" spans="1:78">
      <c r="A17" s="517">
        <v>7</v>
      </c>
      <c r="B17" s="517" t="s">
        <v>352</v>
      </c>
      <c r="C17" s="2379">
        <f t="shared" si="0"/>
        <v>0</v>
      </c>
      <c r="D17" s="2388"/>
      <c r="E17" s="517"/>
      <c r="F17" s="517"/>
      <c r="G17" s="2379"/>
      <c r="H17" s="2379"/>
      <c r="I17" s="2379"/>
      <c r="K17" s="1890"/>
      <c r="BL17" s="2384"/>
      <c r="BM17" s="2384"/>
      <c r="BN17" s="2384"/>
      <c r="BO17" s="2384"/>
      <c r="BP17" s="2384"/>
      <c r="BQ17" s="2384"/>
      <c r="BR17" s="2385"/>
      <c r="BS17" s="2385"/>
      <c r="BT17" s="2384"/>
      <c r="BU17" s="2386"/>
      <c r="BV17" s="2384"/>
      <c r="BW17" s="2384"/>
      <c r="BZ17" s="517"/>
    </row>
    <row r="18" spans="1:78">
      <c r="A18" s="517">
        <v>8</v>
      </c>
      <c r="B18" s="517" t="s">
        <v>353</v>
      </c>
      <c r="C18" s="2379">
        <f t="shared" si="0"/>
        <v>38125058.621964276</v>
      </c>
      <c r="D18" s="2388" t="e">
        <f>(хозАДМ!X9+#REF!+'хоз кот и ул освещ'!V4)/1.12</f>
        <v>#REF!</v>
      </c>
      <c r="E18" s="1889">
        <f>I18</f>
        <v>8421211.4464285709</v>
      </c>
      <c r="F18" s="517"/>
      <c r="G18" s="2379">
        <v>29703847.175535709</v>
      </c>
      <c r="H18" s="2379"/>
      <c r="I18" s="2379">
        <v>8421211.4464285709</v>
      </c>
      <c r="BL18" s="2383" t="e">
        <f>D18*1.12-'[59]Бюджет 1 кв.метр'!E61-'[59]Бюджет 1 кв.метр'!F61-'[59]Бюджет 1 кв.метр'!G61-'[59]Бюджет 1 кв.метр'!H61</f>
        <v>#REF!</v>
      </c>
      <c r="BM18" s="2384"/>
      <c r="BN18" s="2384"/>
      <c r="BO18" s="2384"/>
      <c r="BP18" s="2384"/>
      <c r="BQ18" s="2383"/>
      <c r="BR18" s="2385"/>
      <c r="BS18" s="2385"/>
      <c r="BT18" s="2384"/>
      <c r="BU18" s="2386" t="e">
        <f>хозАДМ!V9+#REF!+'хоз кот и ул освещ'!V4</f>
        <v>#REF!</v>
      </c>
      <c r="BV18" s="2384"/>
      <c r="BW18" s="2383" t="e">
        <f>BU18+'Кальк31 ул (31)'!BU18+'Кальк Турк без фмн'!BJ18+'Кальк МШ Ор'!BF18</f>
        <v>#REF!</v>
      </c>
      <c r="BX18" s="419" t="e">
        <f>#REF!</f>
        <v>#REF!</v>
      </c>
      <c r="BY18" s="1898" t="e">
        <f>BW18-BX18</f>
        <v>#REF!</v>
      </c>
      <c r="BZ18" s="2504" t="e">
        <f>(хозАДМ!AB9+#REF!+'хоз кот и ул освещ'!V4)/1.12</f>
        <v>#REF!</v>
      </c>
    </row>
    <row r="19" spans="1:78">
      <c r="A19" s="517">
        <v>9</v>
      </c>
      <c r="B19" s="517" t="s">
        <v>405</v>
      </c>
      <c r="C19" s="2379">
        <f t="shared" si="0"/>
        <v>35336</v>
      </c>
      <c r="D19" s="2388" t="e">
        <f>#REF!/1.12</f>
        <v>#REF!</v>
      </c>
      <c r="E19" s="517"/>
      <c r="F19" s="517"/>
      <c r="G19" s="2379">
        <v>35336</v>
      </c>
      <c r="H19" s="2379"/>
      <c r="I19" s="2379"/>
      <c r="BL19" s="2383" t="e">
        <f>D19*1.12-'[59]Бюджет 1 кв.метр'!E164-'[59]Бюджет 1 кв.метр'!F164-'[59]Бюджет 1 кв.метр'!G164-'[59]Бюджет 1 кв.метр'!H164</f>
        <v>#REF!</v>
      </c>
      <c r="BM19" s="2384"/>
      <c r="BN19" s="2384"/>
      <c r="BO19" s="2384"/>
      <c r="BP19" s="2384"/>
      <c r="BQ19" s="2385"/>
      <c r="BR19" s="2383"/>
      <c r="BS19" s="2385"/>
      <c r="BT19" s="2384"/>
      <c r="BU19" s="2386" t="e">
        <f>#REF!</f>
        <v>#REF!</v>
      </c>
      <c r="BV19" s="2389"/>
      <c r="BW19" s="2455" t="e">
        <f>BU19+'Кальк31 ул (31)'!BU19+'Кальк Турк без фмн'!BJ19</f>
        <v>#REF!</v>
      </c>
      <c r="BX19" s="419" t="e">
        <f>#REF!</f>
        <v>#REF!</v>
      </c>
      <c r="BY19" s="1898" t="e">
        <f>BW19-BX19</f>
        <v>#REF!</v>
      </c>
      <c r="BZ19" s="2504" t="e">
        <f>#REF!/1.12</f>
        <v>#REF!</v>
      </c>
    </row>
    <row r="20" spans="1:78">
      <c r="A20" s="517">
        <v>10</v>
      </c>
      <c r="B20" s="517" t="s">
        <v>389</v>
      </c>
      <c r="C20" s="2379">
        <f t="shared" si="0"/>
        <v>0</v>
      </c>
      <c r="D20" s="2388"/>
      <c r="E20" s="517"/>
      <c r="F20" s="517"/>
      <c r="G20" s="2379"/>
      <c r="H20" s="2379"/>
      <c r="I20" s="2379"/>
      <c r="BL20" s="2384"/>
      <c r="BM20" s="2384"/>
      <c r="BN20" s="2384"/>
      <c r="BO20" s="2384"/>
      <c r="BP20" s="2384"/>
      <c r="BQ20" s="2384"/>
      <c r="BR20" s="2384"/>
      <c r="BS20" s="2385"/>
      <c r="BT20" s="2384"/>
      <c r="BU20" s="2386" t="e">
        <f>#REF!</f>
        <v>#REF!</v>
      </c>
      <c r="BV20" s="2384"/>
      <c r="BW20" s="2455" t="e">
        <f>BU20+'Кальк31 ул (31)'!BU20</f>
        <v>#REF!</v>
      </c>
      <c r="BX20" s="419" t="e">
        <f>#REF!</f>
        <v>#REF!</v>
      </c>
      <c r="BY20" s="1898" t="e">
        <f>BW20-BX20</f>
        <v>#REF!</v>
      </c>
      <c r="BZ20" s="517"/>
    </row>
    <row r="21" spans="1:78">
      <c r="A21" s="517">
        <v>11</v>
      </c>
      <c r="B21" s="517" t="s">
        <v>406</v>
      </c>
      <c r="C21" s="2379">
        <f t="shared" si="0"/>
        <v>0</v>
      </c>
      <c r="D21" s="2388"/>
      <c r="E21" s="517"/>
      <c r="F21" s="517"/>
      <c r="G21" s="2379"/>
      <c r="H21" s="2379"/>
      <c r="I21" s="2379"/>
      <c r="BL21" s="2384" t="s">
        <v>407</v>
      </c>
      <c r="BM21" s="2384"/>
      <c r="BN21" s="2384"/>
      <c r="BO21" s="2384" t="s">
        <v>408</v>
      </c>
      <c r="BP21" s="2384"/>
      <c r="BQ21" s="2386"/>
      <c r="BR21" s="2386" t="s">
        <v>409</v>
      </c>
      <c r="BS21" s="2385"/>
      <c r="BT21" s="2384"/>
      <c r="BU21" s="2386"/>
      <c r="BV21" s="2384"/>
      <c r="BW21" s="2383" t="e">
        <f>SUM(BW11:BW20)</f>
        <v>#REF!</v>
      </c>
      <c r="BZ21" s="517"/>
    </row>
    <row r="22" spans="1:78" outlineLevel="1">
      <c r="A22" s="517">
        <v>12</v>
      </c>
      <c r="B22" s="517" t="s">
        <v>58</v>
      </c>
      <c r="C22" s="2379">
        <v>0</v>
      </c>
      <c r="D22" s="2388"/>
      <c r="E22" s="517"/>
      <c r="F22" s="517"/>
      <c r="G22" s="2379"/>
      <c r="H22" s="2379"/>
      <c r="I22" s="2379"/>
      <c r="BL22" s="2390" t="s">
        <v>410</v>
      </c>
      <c r="BM22" s="2390" t="s">
        <v>214</v>
      </c>
      <c r="BN22" s="2390" t="s">
        <v>411</v>
      </c>
      <c r="BO22" s="2390" t="s">
        <v>410</v>
      </c>
      <c r="BP22" s="2390" t="s">
        <v>214</v>
      </c>
      <c r="BQ22" s="2390" t="s">
        <v>411</v>
      </c>
      <c r="BR22" s="2390" t="s">
        <v>410</v>
      </c>
      <c r="BS22" s="2390" t="s">
        <v>214</v>
      </c>
      <c r="BT22" s="2390" t="s">
        <v>411</v>
      </c>
      <c r="BU22" s="2386"/>
      <c r="BV22" s="2384"/>
      <c r="BW22" s="2384"/>
      <c r="BZ22" s="517"/>
    </row>
    <row r="23" spans="1:78">
      <c r="A23" s="517"/>
      <c r="B23" s="516" t="s">
        <v>412</v>
      </c>
      <c r="C23" s="2391" t="e">
        <f>SUM(C11:C22)</f>
        <v>#REF!</v>
      </c>
      <c r="D23" s="2392" t="e">
        <f>SUM(D11:D15)+D18+D19+D20</f>
        <v>#REF!</v>
      </c>
      <c r="E23" s="2392">
        <f t="shared" ref="E23:BP23" si="2">SUM(E11:E15)+E18+E19+E20</f>
        <v>31235895.446428571</v>
      </c>
      <c r="F23" s="2392">
        <f t="shared" si="2"/>
        <v>149900043.19999999</v>
      </c>
      <c r="G23" s="2392">
        <f t="shared" si="2"/>
        <v>29739183.175535709</v>
      </c>
      <c r="H23" s="2392">
        <f t="shared" si="2"/>
        <v>0</v>
      </c>
      <c r="I23" s="2392" t="e">
        <f t="shared" si="2"/>
        <v>#REF!</v>
      </c>
      <c r="J23" s="2392">
        <f t="shared" si="2"/>
        <v>0</v>
      </c>
      <c r="K23" s="2392">
        <f t="shared" si="2"/>
        <v>0</v>
      </c>
      <c r="L23" s="2392">
        <f t="shared" si="2"/>
        <v>0</v>
      </c>
      <c r="M23" s="2392">
        <f t="shared" si="2"/>
        <v>0</v>
      </c>
      <c r="N23" s="2392">
        <f t="shared" si="2"/>
        <v>0</v>
      </c>
      <c r="O23" s="2392">
        <f t="shared" si="2"/>
        <v>0</v>
      </c>
      <c r="P23" s="2392">
        <f t="shared" si="2"/>
        <v>0</v>
      </c>
      <c r="Q23" s="2392">
        <f t="shared" si="2"/>
        <v>0</v>
      </c>
      <c r="R23" s="2392">
        <f t="shared" si="2"/>
        <v>0</v>
      </c>
      <c r="S23" s="2392">
        <f t="shared" si="2"/>
        <v>0</v>
      </c>
      <c r="T23" s="2392">
        <f t="shared" si="2"/>
        <v>0</v>
      </c>
      <c r="U23" s="2392">
        <f t="shared" si="2"/>
        <v>0</v>
      </c>
      <c r="V23" s="2392">
        <f t="shared" si="2"/>
        <v>0</v>
      </c>
      <c r="W23" s="2392">
        <f t="shared" si="2"/>
        <v>0</v>
      </c>
      <c r="X23" s="2392">
        <f t="shared" si="2"/>
        <v>0</v>
      </c>
      <c r="Y23" s="2392">
        <f t="shared" si="2"/>
        <v>0</v>
      </c>
      <c r="Z23" s="2392">
        <f t="shared" si="2"/>
        <v>0</v>
      </c>
      <c r="AA23" s="2392">
        <f t="shared" si="2"/>
        <v>0</v>
      </c>
      <c r="AB23" s="2392">
        <f t="shared" si="2"/>
        <v>0</v>
      </c>
      <c r="AC23" s="2392">
        <f t="shared" si="2"/>
        <v>0</v>
      </c>
      <c r="AD23" s="2392">
        <f t="shared" si="2"/>
        <v>0</v>
      </c>
      <c r="AE23" s="2392">
        <f t="shared" si="2"/>
        <v>0</v>
      </c>
      <c r="AF23" s="2392">
        <f t="shared" si="2"/>
        <v>0</v>
      </c>
      <c r="AG23" s="2392">
        <f t="shared" si="2"/>
        <v>0</v>
      </c>
      <c r="AH23" s="2392">
        <f t="shared" si="2"/>
        <v>0</v>
      </c>
      <c r="AI23" s="2392">
        <f t="shared" si="2"/>
        <v>0</v>
      </c>
      <c r="AJ23" s="2392">
        <f t="shared" si="2"/>
        <v>0</v>
      </c>
      <c r="AK23" s="2392">
        <f t="shared" si="2"/>
        <v>0</v>
      </c>
      <c r="AL23" s="2392">
        <f t="shared" si="2"/>
        <v>0</v>
      </c>
      <c r="AM23" s="2392">
        <f t="shared" si="2"/>
        <v>0</v>
      </c>
      <c r="AN23" s="2392">
        <f t="shared" si="2"/>
        <v>0</v>
      </c>
      <c r="AO23" s="2392">
        <f t="shared" si="2"/>
        <v>0</v>
      </c>
      <c r="AP23" s="2392">
        <f t="shared" si="2"/>
        <v>0</v>
      </c>
      <c r="AQ23" s="2392">
        <f t="shared" si="2"/>
        <v>0</v>
      </c>
      <c r="AR23" s="2392">
        <f t="shared" si="2"/>
        <v>0</v>
      </c>
      <c r="AS23" s="2392">
        <f t="shared" si="2"/>
        <v>0</v>
      </c>
      <c r="AT23" s="2392">
        <f t="shared" si="2"/>
        <v>0</v>
      </c>
      <c r="AU23" s="2392">
        <f t="shared" si="2"/>
        <v>0</v>
      </c>
      <c r="AV23" s="2392">
        <f t="shared" si="2"/>
        <v>0</v>
      </c>
      <c r="AW23" s="2392">
        <f t="shared" si="2"/>
        <v>0</v>
      </c>
      <c r="AX23" s="2392">
        <f t="shared" si="2"/>
        <v>0</v>
      </c>
      <c r="AY23" s="2392">
        <f t="shared" si="2"/>
        <v>0</v>
      </c>
      <c r="AZ23" s="2392">
        <f t="shared" si="2"/>
        <v>0</v>
      </c>
      <c r="BA23" s="2392">
        <f t="shared" si="2"/>
        <v>0</v>
      </c>
      <c r="BB23" s="2392">
        <f t="shared" si="2"/>
        <v>0</v>
      </c>
      <c r="BC23" s="2392">
        <f t="shared" si="2"/>
        <v>0</v>
      </c>
      <c r="BD23" s="2392">
        <f t="shared" si="2"/>
        <v>0</v>
      </c>
      <c r="BE23" s="2392">
        <f t="shared" si="2"/>
        <v>0</v>
      </c>
      <c r="BF23" s="2392">
        <f t="shared" si="2"/>
        <v>0</v>
      </c>
      <c r="BG23" s="2392">
        <f t="shared" si="2"/>
        <v>0</v>
      </c>
      <c r="BH23" s="2392">
        <f t="shared" si="2"/>
        <v>0</v>
      </c>
      <c r="BI23" s="2392">
        <f t="shared" si="2"/>
        <v>0</v>
      </c>
      <c r="BJ23" s="2392">
        <f t="shared" si="2"/>
        <v>0</v>
      </c>
      <c r="BK23" s="2392">
        <f t="shared" si="2"/>
        <v>0</v>
      </c>
      <c r="BL23" s="2392" t="e">
        <f t="shared" si="2"/>
        <v>#REF!</v>
      </c>
      <c r="BM23" s="2392" t="e">
        <f t="shared" si="2"/>
        <v>#REF!</v>
      </c>
      <c r="BN23" s="2392" t="e">
        <f t="shared" si="2"/>
        <v>#REF!</v>
      </c>
      <c r="BO23" s="2392" t="e">
        <f t="shared" si="2"/>
        <v>#REF!</v>
      </c>
      <c r="BP23" s="2392">
        <f t="shared" si="2"/>
        <v>0</v>
      </c>
      <c r="BQ23" s="2392">
        <f t="shared" ref="BQ23:BY23" si="3">SUM(BQ11:BQ15)+BQ18+BQ19+BQ20</f>
        <v>0</v>
      </c>
      <c r="BR23" s="2392">
        <f t="shared" si="3"/>
        <v>0</v>
      </c>
      <c r="BS23" s="2392">
        <f t="shared" si="3"/>
        <v>0</v>
      </c>
      <c r="BT23" s="2392">
        <f t="shared" si="3"/>
        <v>0</v>
      </c>
      <c r="BU23" s="2392" t="e">
        <f t="shared" si="3"/>
        <v>#REF!</v>
      </c>
      <c r="BV23" s="2392">
        <f t="shared" si="3"/>
        <v>0</v>
      </c>
      <c r="BW23" s="2392" t="e">
        <f t="shared" si="3"/>
        <v>#REF!</v>
      </c>
      <c r="BX23" s="2392" t="e">
        <f t="shared" si="3"/>
        <v>#REF!</v>
      </c>
      <c r="BY23" s="2392" t="e">
        <f t="shared" si="3"/>
        <v>#REF!</v>
      </c>
      <c r="BZ23" s="2392" t="e">
        <f>SUM(BZ11:BZ15)+BZ18+BZ19+BZ20</f>
        <v>#REF!</v>
      </c>
    </row>
    <row r="24" spans="1:78">
      <c r="A24" s="517"/>
      <c r="B24" s="516" t="s">
        <v>359</v>
      </c>
      <c r="C24" s="2391" t="e">
        <f>C23/12</f>
        <v>#REF!</v>
      </c>
      <c r="D24" s="2392" t="e">
        <f t="shared" ref="D24:BO24" si="4">D23/12</f>
        <v>#REF!</v>
      </c>
      <c r="E24" s="2392">
        <f t="shared" si="4"/>
        <v>2602991.2872023811</v>
      </c>
      <c r="F24" s="2392">
        <f t="shared" si="4"/>
        <v>12491670.266666666</v>
      </c>
      <c r="G24" s="2392">
        <f t="shared" si="4"/>
        <v>2478265.2646279759</v>
      </c>
      <c r="H24" s="2392">
        <f t="shared" si="4"/>
        <v>0</v>
      </c>
      <c r="I24" s="2392" t="e">
        <f t="shared" si="4"/>
        <v>#REF!</v>
      </c>
      <c r="J24" s="2392">
        <f t="shared" si="4"/>
        <v>0</v>
      </c>
      <c r="K24" s="2392">
        <f t="shared" si="4"/>
        <v>0</v>
      </c>
      <c r="L24" s="2392">
        <f t="shared" si="4"/>
        <v>0</v>
      </c>
      <c r="M24" s="2392">
        <f t="shared" si="4"/>
        <v>0</v>
      </c>
      <c r="N24" s="2392">
        <f t="shared" si="4"/>
        <v>0</v>
      </c>
      <c r="O24" s="2392">
        <f t="shared" si="4"/>
        <v>0</v>
      </c>
      <c r="P24" s="2392">
        <f t="shared" si="4"/>
        <v>0</v>
      </c>
      <c r="Q24" s="2392">
        <f t="shared" si="4"/>
        <v>0</v>
      </c>
      <c r="R24" s="2392">
        <f t="shared" si="4"/>
        <v>0</v>
      </c>
      <c r="S24" s="2392">
        <f t="shared" si="4"/>
        <v>0</v>
      </c>
      <c r="T24" s="2392">
        <f t="shared" si="4"/>
        <v>0</v>
      </c>
      <c r="U24" s="2392">
        <f t="shared" si="4"/>
        <v>0</v>
      </c>
      <c r="V24" s="2392">
        <f t="shared" si="4"/>
        <v>0</v>
      </c>
      <c r="W24" s="2392">
        <f t="shared" si="4"/>
        <v>0</v>
      </c>
      <c r="X24" s="2392">
        <f t="shared" si="4"/>
        <v>0</v>
      </c>
      <c r="Y24" s="2392">
        <f t="shared" si="4"/>
        <v>0</v>
      </c>
      <c r="Z24" s="2392">
        <f t="shared" si="4"/>
        <v>0</v>
      </c>
      <c r="AA24" s="2392">
        <f t="shared" si="4"/>
        <v>0</v>
      </c>
      <c r="AB24" s="2392">
        <f t="shared" si="4"/>
        <v>0</v>
      </c>
      <c r="AC24" s="2392">
        <f t="shared" si="4"/>
        <v>0</v>
      </c>
      <c r="AD24" s="2392">
        <f t="shared" si="4"/>
        <v>0</v>
      </c>
      <c r="AE24" s="2392">
        <f t="shared" si="4"/>
        <v>0</v>
      </c>
      <c r="AF24" s="2392">
        <f t="shared" si="4"/>
        <v>0</v>
      </c>
      <c r="AG24" s="2392">
        <f t="shared" si="4"/>
        <v>0</v>
      </c>
      <c r="AH24" s="2392">
        <f t="shared" si="4"/>
        <v>0</v>
      </c>
      <c r="AI24" s="2392">
        <f t="shared" si="4"/>
        <v>0</v>
      </c>
      <c r="AJ24" s="2392">
        <f t="shared" si="4"/>
        <v>0</v>
      </c>
      <c r="AK24" s="2392">
        <f t="shared" si="4"/>
        <v>0</v>
      </c>
      <c r="AL24" s="2392">
        <f t="shared" si="4"/>
        <v>0</v>
      </c>
      <c r="AM24" s="2392">
        <f t="shared" si="4"/>
        <v>0</v>
      </c>
      <c r="AN24" s="2392">
        <f t="shared" si="4"/>
        <v>0</v>
      </c>
      <c r="AO24" s="2392">
        <f t="shared" si="4"/>
        <v>0</v>
      </c>
      <c r="AP24" s="2392">
        <f t="shared" si="4"/>
        <v>0</v>
      </c>
      <c r="AQ24" s="2392">
        <f t="shared" si="4"/>
        <v>0</v>
      </c>
      <c r="AR24" s="2392">
        <f t="shared" si="4"/>
        <v>0</v>
      </c>
      <c r="AS24" s="2392">
        <f t="shared" si="4"/>
        <v>0</v>
      </c>
      <c r="AT24" s="2392">
        <f t="shared" si="4"/>
        <v>0</v>
      </c>
      <c r="AU24" s="2392">
        <f t="shared" si="4"/>
        <v>0</v>
      </c>
      <c r="AV24" s="2392">
        <f t="shared" si="4"/>
        <v>0</v>
      </c>
      <c r="AW24" s="2392">
        <f t="shared" si="4"/>
        <v>0</v>
      </c>
      <c r="AX24" s="2392">
        <f t="shared" si="4"/>
        <v>0</v>
      </c>
      <c r="AY24" s="2392">
        <f t="shared" si="4"/>
        <v>0</v>
      </c>
      <c r="AZ24" s="2392">
        <f t="shared" si="4"/>
        <v>0</v>
      </c>
      <c r="BA24" s="2392">
        <f t="shared" si="4"/>
        <v>0</v>
      </c>
      <c r="BB24" s="2392">
        <f t="shared" si="4"/>
        <v>0</v>
      </c>
      <c r="BC24" s="2392">
        <f t="shared" si="4"/>
        <v>0</v>
      </c>
      <c r="BD24" s="2392">
        <f t="shared" si="4"/>
        <v>0</v>
      </c>
      <c r="BE24" s="2392">
        <f t="shared" si="4"/>
        <v>0</v>
      </c>
      <c r="BF24" s="2392">
        <f t="shared" si="4"/>
        <v>0</v>
      </c>
      <c r="BG24" s="2392">
        <f t="shared" si="4"/>
        <v>0</v>
      </c>
      <c r="BH24" s="2392">
        <f t="shared" si="4"/>
        <v>0</v>
      </c>
      <c r="BI24" s="2392">
        <f t="shared" si="4"/>
        <v>0</v>
      </c>
      <c r="BJ24" s="2392">
        <f t="shared" si="4"/>
        <v>0</v>
      </c>
      <c r="BK24" s="2392">
        <f t="shared" si="4"/>
        <v>0</v>
      </c>
      <c r="BL24" s="2392" t="e">
        <f t="shared" si="4"/>
        <v>#REF!</v>
      </c>
      <c r="BM24" s="2392" t="e">
        <f t="shared" si="4"/>
        <v>#REF!</v>
      </c>
      <c r="BN24" s="2392" t="e">
        <f t="shared" si="4"/>
        <v>#REF!</v>
      </c>
      <c r="BO24" s="2392" t="e">
        <f t="shared" si="4"/>
        <v>#REF!</v>
      </c>
      <c r="BP24" s="2392">
        <f t="shared" ref="BP24:BY24" si="5">BP23/12</f>
        <v>0</v>
      </c>
      <c r="BQ24" s="2392">
        <f t="shared" si="5"/>
        <v>0</v>
      </c>
      <c r="BR24" s="2392">
        <f t="shared" si="5"/>
        <v>0</v>
      </c>
      <c r="BS24" s="2392">
        <f t="shared" si="5"/>
        <v>0</v>
      </c>
      <c r="BT24" s="2392">
        <f t="shared" si="5"/>
        <v>0</v>
      </c>
      <c r="BU24" s="2392" t="e">
        <f t="shared" si="5"/>
        <v>#REF!</v>
      </c>
      <c r="BV24" s="2392">
        <f t="shared" si="5"/>
        <v>0</v>
      </c>
      <c r="BW24" s="2392" t="e">
        <f t="shared" si="5"/>
        <v>#REF!</v>
      </c>
      <c r="BX24" s="2392" t="e">
        <f t="shared" si="5"/>
        <v>#REF!</v>
      </c>
      <c r="BY24" s="2392" t="e">
        <f t="shared" si="5"/>
        <v>#REF!</v>
      </c>
      <c r="BZ24" s="2392" t="e">
        <f>BZ23/12</f>
        <v>#REF!</v>
      </c>
    </row>
    <row r="25" spans="1:78">
      <c r="A25" s="517"/>
      <c r="B25" s="517" t="s">
        <v>413</v>
      </c>
      <c r="C25" s="2379"/>
      <c r="D25" s="2397">
        <f>'площ для обсл объек'!F5</f>
        <v>10053.200000000001</v>
      </c>
      <c r="E25" s="2397">
        <f>'площ для обсл объек'!G5</f>
        <v>21.03</v>
      </c>
      <c r="F25" s="2397">
        <f>'площ для обсл объек'!H5</f>
        <v>0</v>
      </c>
      <c r="G25" s="2397">
        <f>'площ для обсл объек'!I5</f>
        <v>12687.5</v>
      </c>
      <c r="H25" s="2397">
        <f>'площ для обсл объек'!J5</f>
        <v>0</v>
      </c>
      <c r="I25" s="2397">
        <f>'площ для обсл объек'!K5</f>
        <v>0</v>
      </c>
      <c r="J25" s="2397">
        <f>'площ для обсл объек'!L5</f>
        <v>0</v>
      </c>
      <c r="K25" s="2397">
        <f>'площ для обсл объек'!M5</f>
        <v>0</v>
      </c>
      <c r="L25" s="2397">
        <f>'площ для обсл объек'!N5</f>
        <v>0</v>
      </c>
      <c r="M25" s="2397">
        <f>'площ для обсл объек'!O5</f>
        <v>0</v>
      </c>
      <c r="N25" s="2397">
        <f>'площ для обсл объек'!P5</f>
        <v>0</v>
      </c>
      <c r="O25" s="2397">
        <f>'площ для обсл объек'!Q5</f>
        <v>0</v>
      </c>
      <c r="P25" s="2397">
        <f>'площ для обсл объек'!R5</f>
        <v>0</v>
      </c>
      <c r="Q25" s="2397">
        <f>'площ для обсл объек'!S5</f>
        <v>0</v>
      </c>
      <c r="R25" s="2397">
        <f>'площ для обсл объек'!T5</f>
        <v>0</v>
      </c>
      <c r="S25" s="2397">
        <f>'площ для обсл объек'!U5</f>
        <v>0</v>
      </c>
      <c r="T25" s="2397">
        <f>'площ для обсл объек'!V5</f>
        <v>0</v>
      </c>
      <c r="U25" s="2397">
        <f>'площ для обсл объек'!W5</f>
        <v>0</v>
      </c>
      <c r="V25" s="2397">
        <f>'площ для обсл объек'!X5</f>
        <v>0</v>
      </c>
      <c r="W25" s="2397">
        <f>'площ для обсл объек'!Y5</f>
        <v>0</v>
      </c>
      <c r="X25" s="2397">
        <f>'площ для обсл объек'!Z5</f>
        <v>0</v>
      </c>
      <c r="Y25" s="2397">
        <f>'площ для обсл объек'!AA5</f>
        <v>0</v>
      </c>
      <c r="Z25" s="2397">
        <f>'площ для обсл объек'!AB5</f>
        <v>0</v>
      </c>
      <c r="AA25" s="2397">
        <f>'площ для обсл объек'!AC5</f>
        <v>0</v>
      </c>
      <c r="AB25" s="2397">
        <f>'площ для обсл объек'!AD5</f>
        <v>0</v>
      </c>
      <c r="AC25" s="2397">
        <f>'площ для обсл объек'!AE5</f>
        <v>0</v>
      </c>
      <c r="AD25" s="2397">
        <f>'площ для обсл объек'!AF5</f>
        <v>0</v>
      </c>
      <c r="AE25" s="2397">
        <f>'площ для обсл объек'!AG5</f>
        <v>0</v>
      </c>
      <c r="AF25" s="2397">
        <f>'площ для обсл объек'!AH5</f>
        <v>0</v>
      </c>
      <c r="AG25" s="2397">
        <f>'площ для обсл объек'!AI5</f>
        <v>0</v>
      </c>
      <c r="AH25" s="2397">
        <f>'площ для обсл объек'!AJ5</f>
        <v>0</v>
      </c>
      <c r="AI25" s="2397">
        <f>'площ для обсл объек'!AK5</f>
        <v>0</v>
      </c>
      <c r="AJ25" s="2397">
        <f>'площ для обсл объек'!AL5</f>
        <v>0</v>
      </c>
      <c r="AK25" s="2397">
        <f>'площ для обсл объек'!AM5</f>
        <v>0</v>
      </c>
      <c r="AL25" s="2397">
        <f>'площ для обсл объек'!AN5</f>
        <v>0</v>
      </c>
      <c r="AM25" s="2397">
        <f>'площ для обсл объек'!AO5</f>
        <v>0</v>
      </c>
      <c r="AN25" s="2397">
        <f>'площ для обсл объек'!AP5</f>
        <v>0</v>
      </c>
      <c r="AO25" s="2397">
        <f>'площ для обсл объек'!AQ5</f>
        <v>0</v>
      </c>
      <c r="AP25" s="2397">
        <f>'площ для обсл объек'!AR5</f>
        <v>0</v>
      </c>
      <c r="AQ25" s="2397">
        <f>'площ для обсл объек'!AS5</f>
        <v>0</v>
      </c>
      <c r="AR25" s="2397">
        <f>'площ для обсл объек'!AT5</f>
        <v>0</v>
      </c>
      <c r="AS25" s="2397">
        <f>'площ для обсл объек'!AU5</f>
        <v>0</v>
      </c>
      <c r="AT25" s="2397">
        <f>'площ для обсл объек'!AV5</f>
        <v>0</v>
      </c>
      <c r="AU25" s="2397">
        <f>'площ для обсл объек'!AW5</f>
        <v>0</v>
      </c>
      <c r="AV25" s="2397">
        <f>'площ для обсл объек'!AX5</f>
        <v>0</v>
      </c>
      <c r="AW25" s="2397">
        <f>'площ для обсл объек'!AY5</f>
        <v>0</v>
      </c>
      <c r="AX25" s="2397">
        <f>'площ для обсл объек'!AZ5</f>
        <v>0</v>
      </c>
      <c r="AY25" s="2397">
        <f>'площ для обсл объек'!BA5</f>
        <v>0</v>
      </c>
      <c r="AZ25" s="2397">
        <f>'площ для обсл объек'!BB5</f>
        <v>0</v>
      </c>
      <c r="BA25" s="2397">
        <f>'площ для обсл объек'!BC5</f>
        <v>0</v>
      </c>
      <c r="BB25" s="2397">
        <f>'площ для обсл объек'!BD5</f>
        <v>0</v>
      </c>
      <c r="BC25" s="2397">
        <f>'площ для обсл объек'!BE5</f>
        <v>0</v>
      </c>
      <c r="BD25" s="2397">
        <f>'площ для обсл объек'!BF5</f>
        <v>0</v>
      </c>
      <c r="BE25" s="2397">
        <f>'площ для обсл объек'!BG5</f>
        <v>0</v>
      </c>
      <c r="BF25" s="2397">
        <f>'площ для обсл объек'!BH5</f>
        <v>0</v>
      </c>
      <c r="BG25" s="2397">
        <f>'площ для обсл объек'!BI5</f>
        <v>0</v>
      </c>
      <c r="BH25" s="2397">
        <f>'площ для обсл объек'!BJ5</f>
        <v>0</v>
      </c>
      <c r="BI25" s="2397">
        <f>'площ для обсл объек'!BK5</f>
        <v>0</v>
      </c>
      <c r="BJ25" s="2397">
        <f>'площ для обсл объек'!BL5</f>
        <v>0</v>
      </c>
      <c r="BK25" s="2397">
        <f>'площ для обсл объек'!BM5</f>
        <v>0</v>
      </c>
      <c r="BL25" s="2397">
        <f>'площ для обсл объек'!BN5</f>
        <v>0</v>
      </c>
      <c r="BM25" s="2397">
        <f>'площ для обсл объек'!BO5</f>
        <v>0</v>
      </c>
      <c r="BN25" s="2397">
        <f>'площ для обсл объек'!BP5</f>
        <v>0</v>
      </c>
      <c r="BO25" s="2397">
        <f>'площ для обсл объек'!BQ5</f>
        <v>0</v>
      </c>
      <c r="BP25" s="2397">
        <f>'площ для обсл объек'!BR5</f>
        <v>0</v>
      </c>
      <c r="BQ25" s="2397">
        <f>'площ для обсл объек'!BS5</f>
        <v>0</v>
      </c>
      <c r="BR25" s="2397">
        <f>'площ для обсл объек'!BT5</f>
        <v>0</v>
      </c>
      <c r="BS25" s="2397">
        <f>'площ для обсл объек'!BU5</f>
        <v>0</v>
      </c>
      <c r="BT25" s="2397">
        <f>'площ для обсл объек'!BV5</f>
        <v>0</v>
      </c>
      <c r="BU25" s="2397">
        <f>'площ для обсл объек'!BW5</f>
        <v>0</v>
      </c>
      <c r="BV25" s="2397">
        <f>'площ для обсл объек'!BX5</f>
        <v>0</v>
      </c>
      <c r="BW25" s="2397">
        <f>'площ для обсл объек'!BY5</f>
        <v>0</v>
      </c>
      <c r="BX25" s="2397">
        <f>'площ для обсл объек'!BZ5</f>
        <v>0</v>
      </c>
      <c r="BY25" s="2397">
        <f>'площ для обсл объек'!CA5</f>
        <v>0</v>
      </c>
      <c r="BZ25" s="2397">
        <f>D25</f>
        <v>10053.200000000001</v>
      </c>
    </row>
    <row r="26" spans="1:78">
      <c r="A26" s="517"/>
      <c r="B26" s="516" t="s">
        <v>361</v>
      </c>
      <c r="C26" s="2391" t="e">
        <f>SUM(#REF!)</f>
        <v>#REF!</v>
      </c>
      <c r="D26" s="2392">
        <f>SUM(D25:D25)</f>
        <v>10053.200000000001</v>
      </c>
      <c r="E26" s="2391" t="e">
        <f>SUM(#REF!)</f>
        <v>#REF!</v>
      </c>
      <c r="F26" s="2391" t="e">
        <f>SUM(#REF!)</f>
        <v>#REF!</v>
      </c>
      <c r="G26" s="2391" t="e">
        <f>SUM(#REF!)</f>
        <v>#REF!</v>
      </c>
      <c r="H26" s="2391" t="e">
        <f>SUM(#REF!)</f>
        <v>#REF!</v>
      </c>
      <c r="I26" s="2391" t="e">
        <f>SUM(#REF!)</f>
        <v>#REF!</v>
      </c>
      <c r="BL26" s="2390" t="s">
        <v>410</v>
      </c>
      <c r="BM26" s="2390" t="s">
        <v>214</v>
      </c>
      <c r="BN26" s="2390" t="s">
        <v>411</v>
      </c>
      <c r="BO26" s="2390" t="s">
        <v>410</v>
      </c>
      <c r="BP26" s="2390" t="s">
        <v>214</v>
      </c>
      <c r="BQ26" s="2390" t="s">
        <v>411</v>
      </c>
      <c r="BR26" s="2390" t="s">
        <v>410</v>
      </c>
      <c r="BS26" s="2390" t="s">
        <v>214</v>
      </c>
      <c r="BT26" s="2390" t="s">
        <v>411</v>
      </c>
      <c r="BU26" s="2386"/>
      <c r="BV26" s="2384"/>
      <c r="BW26" s="2384"/>
      <c r="BZ26" s="1893">
        <f>D26</f>
        <v>10053.200000000001</v>
      </c>
    </row>
    <row r="27" spans="1:78">
      <c r="A27" s="517"/>
      <c r="B27" s="517" t="s">
        <v>415</v>
      </c>
      <c r="C27" s="2388"/>
      <c r="D27" s="2399" t="e">
        <f>ROUND(D24/D26,2)</f>
        <v>#REF!</v>
      </c>
      <c r="E27" s="2399" t="e">
        <f t="shared" ref="E27:BP27" si="6">ROUND(E24/E26,2)</f>
        <v>#REF!</v>
      </c>
      <c r="F27" s="2399" t="e">
        <f t="shared" si="6"/>
        <v>#REF!</v>
      </c>
      <c r="G27" s="2399" t="e">
        <f t="shared" si="6"/>
        <v>#REF!</v>
      </c>
      <c r="H27" s="2399" t="e">
        <f t="shared" si="6"/>
        <v>#REF!</v>
      </c>
      <c r="I27" s="2399" t="e">
        <f t="shared" si="6"/>
        <v>#REF!</v>
      </c>
      <c r="J27" s="2399" t="e">
        <f t="shared" si="6"/>
        <v>#DIV/0!</v>
      </c>
      <c r="K27" s="2399" t="e">
        <f t="shared" si="6"/>
        <v>#DIV/0!</v>
      </c>
      <c r="L27" s="2399" t="e">
        <f t="shared" si="6"/>
        <v>#DIV/0!</v>
      </c>
      <c r="M27" s="2399" t="e">
        <f t="shared" si="6"/>
        <v>#DIV/0!</v>
      </c>
      <c r="N27" s="2399" t="e">
        <f t="shared" si="6"/>
        <v>#DIV/0!</v>
      </c>
      <c r="O27" s="2399" t="e">
        <f t="shared" si="6"/>
        <v>#DIV/0!</v>
      </c>
      <c r="P27" s="2399" t="e">
        <f t="shared" si="6"/>
        <v>#DIV/0!</v>
      </c>
      <c r="Q27" s="2399" t="e">
        <f t="shared" si="6"/>
        <v>#DIV/0!</v>
      </c>
      <c r="R27" s="2399" t="e">
        <f t="shared" si="6"/>
        <v>#DIV/0!</v>
      </c>
      <c r="S27" s="2399" t="e">
        <f t="shared" si="6"/>
        <v>#DIV/0!</v>
      </c>
      <c r="T27" s="2399" t="e">
        <f t="shared" si="6"/>
        <v>#DIV/0!</v>
      </c>
      <c r="U27" s="2399" t="e">
        <f t="shared" si="6"/>
        <v>#DIV/0!</v>
      </c>
      <c r="V27" s="2399" t="e">
        <f t="shared" si="6"/>
        <v>#DIV/0!</v>
      </c>
      <c r="W27" s="2399" t="e">
        <f t="shared" si="6"/>
        <v>#DIV/0!</v>
      </c>
      <c r="X27" s="2399" t="e">
        <f t="shared" si="6"/>
        <v>#DIV/0!</v>
      </c>
      <c r="Y27" s="2399" t="e">
        <f t="shared" si="6"/>
        <v>#DIV/0!</v>
      </c>
      <c r="Z27" s="2399" t="e">
        <f t="shared" si="6"/>
        <v>#DIV/0!</v>
      </c>
      <c r="AA27" s="2399" t="e">
        <f t="shared" si="6"/>
        <v>#DIV/0!</v>
      </c>
      <c r="AB27" s="2399" t="e">
        <f t="shared" si="6"/>
        <v>#DIV/0!</v>
      </c>
      <c r="AC27" s="2399" t="e">
        <f t="shared" si="6"/>
        <v>#DIV/0!</v>
      </c>
      <c r="AD27" s="2399" t="e">
        <f t="shared" si="6"/>
        <v>#DIV/0!</v>
      </c>
      <c r="AE27" s="2399" t="e">
        <f t="shared" si="6"/>
        <v>#DIV/0!</v>
      </c>
      <c r="AF27" s="2399" t="e">
        <f t="shared" si="6"/>
        <v>#DIV/0!</v>
      </c>
      <c r="AG27" s="2399" t="e">
        <f t="shared" si="6"/>
        <v>#DIV/0!</v>
      </c>
      <c r="AH27" s="2399" t="e">
        <f t="shared" si="6"/>
        <v>#DIV/0!</v>
      </c>
      <c r="AI27" s="2399" t="e">
        <f t="shared" si="6"/>
        <v>#DIV/0!</v>
      </c>
      <c r="AJ27" s="2399" t="e">
        <f t="shared" si="6"/>
        <v>#DIV/0!</v>
      </c>
      <c r="AK27" s="2399" t="e">
        <f t="shared" si="6"/>
        <v>#DIV/0!</v>
      </c>
      <c r="AL27" s="2399" t="e">
        <f t="shared" si="6"/>
        <v>#DIV/0!</v>
      </c>
      <c r="AM27" s="2399" t="e">
        <f t="shared" si="6"/>
        <v>#DIV/0!</v>
      </c>
      <c r="AN27" s="2399" t="e">
        <f t="shared" si="6"/>
        <v>#DIV/0!</v>
      </c>
      <c r="AO27" s="2399" t="e">
        <f t="shared" si="6"/>
        <v>#DIV/0!</v>
      </c>
      <c r="AP27" s="2399" t="e">
        <f t="shared" si="6"/>
        <v>#DIV/0!</v>
      </c>
      <c r="AQ27" s="2399" t="e">
        <f t="shared" si="6"/>
        <v>#DIV/0!</v>
      </c>
      <c r="AR27" s="2399" t="e">
        <f t="shared" si="6"/>
        <v>#DIV/0!</v>
      </c>
      <c r="AS27" s="2399" t="e">
        <f t="shared" si="6"/>
        <v>#DIV/0!</v>
      </c>
      <c r="AT27" s="2399" t="e">
        <f t="shared" si="6"/>
        <v>#DIV/0!</v>
      </c>
      <c r="AU27" s="2399" t="e">
        <f t="shared" si="6"/>
        <v>#DIV/0!</v>
      </c>
      <c r="AV27" s="2399" t="e">
        <f t="shared" si="6"/>
        <v>#DIV/0!</v>
      </c>
      <c r="AW27" s="2399" t="e">
        <f t="shared" si="6"/>
        <v>#DIV/0!</v>
      </c>
      <c r="AX27" s="2399" t="e">
        <f t="shared" si="6"/>
        <v>#DIV/0!</v>
      </c>
      <c r="AY27" s="2399" t="e">
        <f t="shared" si="6"/>
        <v>#DIV/0!</v>
      </c>
      <c r="AZ27" s="2399" t="e">
        <f t="shared" si="6"/>
        <v>#DIV/0!</v>
      </c>
      <c r="BA27" s="2399" t="e">
        <f t="shared" si="6"/>
        <v>#DIV/0!</v>
      </c>
      <c r="BB27" s="2399" t="e">
        <f t="shared" si="6"/>
        <v>#DIV/0!</v>
      </c>
      <c r="BC27" s="2399" t="e">
        <f t="shared" si="6"/>
        <v>#DIV/0!</v>
      </c>
      <c r="BD27" s="2399" t="e">
        <f t="shared" si="6"/>
        <v>#DIV/0!</v>
      </c>
      <c r="BE27" s="2399" t="e">
        <f t="shared" si="6"/>
        <v>#DIV/0!</v>
      </c>
      <c r="BF27" s="2399" t="e">
        <f t="shared" si="6"/>
        <v>#DIV/0!</v>
      </c>
      <c r="BG27" s="2399" t="e">
        <f t="shared" si="6"/>
        <v>#DIV/0!</v>
      </c>
      <c r="BH27" s="2399" t="e">
        <f t="shared" si="6"/>
        <v>#DIV/0!</v>
      </c>
      <c r="BI27" s="2399" t="e">
        <f t="shared" si="6"/>
        <v>#DIV/0!</v>
      </c>
      <c r="BJ27" s="2399" t="e">
        <f t="shared" si="6"/>
        <v>#DIV/0!</v>
      </c>
      <c r="BK27" s="2399" t="e">
        <f t="shared" si="6"/>
        <v>#DIV/0!</v>
      </c>
      <c r="BL27" s="2399" t="e">
        <f t="shared" si="6"/>
        <v>#REF!</v>
      </c>
      <c r="BM27" s="2399" t="e">
        <f t="shared" si="6"/>
        <v>#REF!</v>
      </c>
      <c r="BN27" s="2399" t="e">
        <f t="shared" si="6"/>
        <v>#REF!</v>
      </c>
      <c r="BO27" s="2399" t="e">
        <f t="shared" si="6"/>
        <v>#REF!</v>
      </c>
      <c r="BP27" s="2399" t="e">
        <f t="shared" si="6"/>
        <v>#VALUE!</v>
      </c>
      <c r="BQ27" s="2399" t="e">
        <f t="shared" ref="BQ27:BY27" si="7">ROUND(BQ24/BQ26,2)</f>
        <v>#VALUE!</v>
      </c>
      <c r="BR27" s="2399" t="e">
        <f t="shared" si="7"/>
        <v>#VALUE!</v>
      </c>
      <c r="BS27" s="2399" t="e">
        <f t="shared" si="7"/>
        <v>#VALUE!</v>
      </c>
      <c r="BT27" s="2399" t="e">
        <f t="shared" si="7"/>
        <v>#VALUE!</v>
      </c>
      <c r="BU27" s="2399" t="e">
        <f t="shared" si="7"/>
        <v>#REF!</v>
      </c>
      <c r="BV27" s="2399" t="e">
        <f t="shared" si="7"/>
        <v>#DIV/0!</v>
      </c>
      <c r="BW27" s="2399" t="e">
        <f t="shared" si="7"/>
        <v>#REF!</v>
      </c>
      <c r="BX27" s="2399" t="e">
        <f t="shared" si="7"/>
        <v>#REF!</v>
      </c>
      <c r="BY27" s="2399" t="e">
        <f t="shared" si="7"/>
        <v>#REF!</v>
      </c>
      <c r="BZ27" s="2399" t="e">
        <f>ROUND(BZ24/BZ26,2)</f>
        <v>#REF!</v>
      </c>
    </row>
    <row r="28" spans="1:78">
      <c r="A28" s="517"/>
      <c r="B28" s="517" t="s">
        <v>416</v>
      </c>
      <c r="C28" s="2388"/>
      <c r="D28" s="2399" t="e">
        <f>ROUND('Кальк АУП'!C34,2)</f>
        <v>#REF!</v>
      </c>
      <c r="E28" s="2388"/>
      <c r="F28" s="2388"/>
      <c r="G28" s="2388"/>
      <c r="H28" s="2388"/>
      <c r="I28" s="2388"/>
      <c r="BL28" s="2400" t="e">
        <f>D28*1.12*D26*12</f>
        <v>#REF!</v>
      </c>
      <c r="BM28" s="2400" t="e">
        <f>BL28-BN28</f>
        <v>#REF!</v>
      </c>
      <c r="BN28" s="2400" t="e">
        <f>D28*D26*12</f>
        <v>#REF!</v>
      </c>
      <c r="BO28" s="2400">
        <f>'[59]Кальк Турк'!D32*1.12*'[59]Кальк Турк'!D30*6</f>
        <v>4825835.7504000003</v>
      </c>
      <c r="BP28" s="2400">
        <f>BO28-BQ28</f>
        <v>517053.83040000033</v>
      </c>
      <c r="BQ28" s="2400">
        <f>'[59]Кальк Турк'!D32*6*'[59]Кальк Турк'!D30</f>
        <v>4308781.92</v>
      </c>
      <c r="BR28" s="2400"/>
      <c r="BS28" s="2400"/>
      <c r="BT28" s="2400"/>
      <c r="BU28" s="2386" t="e">
        <f>D28</f>
        <v>#REF!</v>
      </c>
      <c r="BV28" s="2384"/>
      <c r="BW28" s="2384"/>
      <c r="BZ28" s="2505" t="e">
        <f>D28</f>
        <v>#REF!</v>
      </c>
    </row>
    <row r="29" spans="1:78">
      <c r="A29" s="517"/>
      <c r="B29" s="516" t="s">
        <v>417</v>
      </c>
      <c r="C29" s="2392"/>
      <c r="D29" s="2401" t="e">
        <f>D28+D27</f>
        <v>#REF!</v>
      </c>
      <c r="E29" s="2401" t="e">
        <f t="shared" ref="E29:BP29" si="8">E28+E27</f>
        <v>#REF!</v>
      </c>
      <c r="F29" s="2401" t="e">
        <f t="shared" si="8"/>
        <v>#REF!</v>
      </c>
      <c r="G29" s="2401" t="e">
        <f t="shared" si="8"/>
        <v>#REF!</v>
      </c>
      <c r="H29" s="2401" t="e">
        <f t="shared" si="8"/>
        <v>#REF!</v>
      </c>
      <c r="I29" s="2401" t="e">
        <f t="shared" si="8"/>
        <v>#REF!</v>
      </c>
      <c r="J29" s="2401" t="e">
        <f t="shared" si="8"/>
        <v>#DIV/0!</v>
      </c>
      <c r="K29" s="2401" t="e">
        <f t="shared" si="8"/>
        <v>#DIV/0!</v>
      </c>
      <c r="L29" s="2401" t="e">
        <f t="shared" si="8"/>
        <v>#DIV/0!</v>
      </c>
      <c r="M29" s="2401" t="e">
        <f t="shared" si="8"/>
        <v>#DIV/0!</v>
      </c>
      <c r="N29" s="2401" t="e">
        <f t="shared" si="8"/>
        <v>#DIV/0!</v>
      </c>
      <c r="O29" s="2401" t="e">
        <f t="shared" si="8"/>
        <v>#DIV/0!</v>
      </c>
      <c r="P29" s="2401" t="e">
        <f t="shared" si="8"/>
        <v>#DIV/0!</v>
      </c>
      <c r="Q29" s="2401" t="e">
        <f t="shared" si="8"/>
        <v>#DIV/0!</v>
      </c>
      <c r="R29" s="2401" t="e">
        <f t="shared" si="8"/>
        <v>#DIV/0!</v>
      </c>
      <c r="S29" s="2401" t="e">
        <f t="shared" si="8"/>
        <v>#DIV/0!</v>
      </c>
      <c r="T29" s="2401" t="e">
        <f t="shared" si="8"/>
        <v>#DIV/0!</v>
      </c>
      <c r="U29" s="2401" t="e">
        <f t="shared" si="8"/>
        <v>#DIV/0!</v>
      </c>
      <c r="V29" s="2401" t="e">
        <f t="shared" si="8"/>
        <v>#DIV/0!</v>
      </c>
      <c r="W29" s="2401" t="e">
        <f t="shared" si="8"/>
        <v>#DIV/0!</v>
      </c>
      <c r="X29" s="2401" t="e">
        <f t="shared" si="8"/>
        <v>#DIV/0!</v>
      </c>
      <c r="Y29" s="2401" t="e">
        <f t="shared" si="8"/>
        <v>#DIV/0!</v>
      </c>
      <c r="Z29" s="2401" t="e">
        <f t="shared" si="8"/>
        <v>#DIV/0!</v>
      </c>
      <c r="AA29" s="2401" t="e">
        <f t="shared" si="8"/>
        <v>#DIV/0!</v>
      </c>
      <c r="AB29" s="2401" t="e">
        <f t="shared" si="8"/>
        <v>#DIV/0!</v>
      </c>
      <c r="AC29" s="2401" t="e">
        <f t="shared" si="8"/>
        <v>#DIV/0!</v>
      </c>
      <c r="AD29" s="2401" t="e">
        <f t="shared" si="8"/>
        <v>#DIV/0!</v>
      </c>
      <c r="AE29" s="2401" t="e">
        <f t="shared" si="8"/>
        <v>#DIV/0!</v>
      </c>
      <c r="AF29" s="2401" t="e">
        <f t="shared" si="8"/>
        <v>#DIV/0!</v>
      </c>
      <c r="AG29" s="2401" t="e">
        <f t="shared" si="8"/>
        <v>#DIV/0!</v>
      </c>
      <c r="AH29" s="2401" t="e">
        <f t="shared" si="8"/>
        <v>#DIV/0!</v>
      </c>
      <c r="AI29" s="2401" t="e">
        <f t="shared" si="8"/>
        <v>#DIV/0!</v>
      </c>
      <c r="AJ29" s="2401" t="e">
        <f t="shared" si="8"/>
        <v>#DIV/0!</v>
      </c>
      <c r="AK29" s="2401" t="e">
        <f t="shared" si="8"/>
        <v>#DIV/0!</v>
      </c>
      <c r="AL29" s="2401" t="e">
        <f t="shared" si="8"/>
        <v>#DIV/0!</v>
      </c>
      <c r="AM29" s="2401" t="e">
        <f t="shared" si="8"/>
        <v>#DIV/0!</v>
      </c>
      <c r="AN29" s="2401" t="e">
        <f t="shared" si="8"/>
        <v>#DIV/0!</v>
      </c>
      <c r="AO29" s="2401" t="e">
        <f t="shared" si="8"/>
        <v>#DIV/0!</v>
      </c>
      <c r="AP29" s="2401" t="e">
        <f t="shared" si="8"/>
        <v>#DIV/0!</v>
      </c>
      <c r="AQ29" s="2401" t="e">
        <f t="shared" si="8"/>
        <v>#DIV/0!</v>
      </c>
      <c r="AR29" s="2401" t="e">
        <f t="shared" si="8"/>
        <v>#DIV/0!</v>
      </c>
      <c r="AS29" s="2401" t="e">
        <f t="shared" si="8"/>
        <v>#DIV/0!</v>
      </c>
      <c r="AT29" s="2401" t="e">
        <f t="shared" si="8"/>
        <v>#DIV/0!</v>
      </c>
      <c r="AU29" s="2401" t="e">
        <f t="shared" si="8"/>
        <v>#DIV/0!</v>
      </c>
      <c r="AV29" s="2401" t="e">
        <f t="shared" si="8"/>
        <v>#DIV/0!</v>
      </c>
      <c r="AW29" s="2401" t="e">
        <f t="shared" si="8"/>
        <v>#DIV/0!</v>
      </c>
      <c r="AX29" s="2401" t="e">
        <f t="shared" si="8"/>
        <v>#DIV/0!</v>
      </c>
      <c r="AY29" s="2401" t="e">
        <f t="shared" si="8"/>
        <v>#DIV/0!</v>
      </c>
      <c r="AZ29" s="2401" t="e">
        <f t="shared" si="8"/>
        <v>#DIV/0!</v>
      </c>
      <c r="BA29" s="2401" t="e">
        <f t="shared" si="8"/>
        <v>#DIV/0!</v>
      </c>
      <c r="BB29" s="2401" t="e">
        <f t="shared" si="8"/>
        <v>#DIV/0!</v>
      </c>
      <c r="BC29" s="2401" t="e">
        <f t="shared" si="8"/>
        <v>#DIV/0!</v>
      </c>
      <c r="BD29" s="2401" t="e">
        <f t="shared" si="8"/>
        <v>#DIV/0!</v>
      </c>
      <c r="BE29" s="2401" t="e">
        <f t="shared" si="8"/>
        <v>#DIV/0!</v>
      </c>
      <c r="BF29" s="2401" t="e">
        <f t="shared" si="8"/>
        <v>#DIV/0!</v>
      </c>
      <c r="BG29" s="2401" t="e">
        <f t="shared" si="8"/>
        <v>#DIV/0!</v>
      </c>
      <c r="BH29" s="2401" t="e">
        <f t="shared" si="8"/>
        <v>#DIV/0!</v>
      </c>
      <c r="BI29" s="2401" t="e">
        <f t="shared" si="8"/>
        <v>#DIV/0!</v>
      </c>
      <c r="BJ29" s="2401" t="e">
        <f t="shared" si="8"/>
        <v>#DIV/0!</v>
      </c>
      <c r="BK29" s="2401" t="e">
        <f t="shared" si="8"/>
        <v>#DIV/0!</v>
      </c>
      <c r="BL29" s="2401" t="e">
        <f t="shared" si="8"/>
        <v>#REF!</v>
      </c>
      <c r="BM29" s="2401" t="e">
        <f t="shared" si="8"/>
        <v>#REF!</v>
      </c>
      <c r="BN29" s="2401" t="e">
        <f t="shared" si="8"/>
        <v>#REF!</v>
      </c>
      <c r="BO29" s="2401" t="e">
        <f t="shared" si="8"/>
        <v>#REF!</v>
      </c>
      <c r="BP29" s="2401" t="e">
        <f t="shared" si="8"/>
        <v>#VALUE!</v>
      </c>
      <c r="BQ29" s="2401" t="e">
        <f t="shared" ref="BQ29:BY29" si="9">BQ28+BQ27</f>
        <v>#VALUE!</v>
      </c>
      <c r="BR29" s="2401" t="e">
        <f t="shared" si="9"/>
        <v>#VALUE!</v>
      </c>
      <c r="BS29" s="2401" t="e">
        <f t="shared" si="9"/>
        <v>#VALUE!</v>
      </c>
      <c r="BT29" s="2401" t="e">
        <f t="shared" si="9"/>
        <v>#VALUE!</v>
      </c>
      <c r="BU29" s="2401" t="e">
        <f t="shared" si="9"/>
        <v>#REF!</v>
      </c>
      <c r="BV29" s="2401" t="e">
        <f t="shared" si="9"/>
        <v>#DIV/0!</v>
      </c>
      <c r="BW29" s="2401" t="e">
        <f t="shared" si="9"/>
        <v>#REF!</v>
      </c>
      <c r="BX29" s="2401" t="e">
        <f t="shared" si="9"/>
        <v>#REF!</v>
      </c>
      <c r="BY29" s="2401" t="e">
        <f t="shared" si="9"/>
        <v>#REF!</v>
      </c>
      <c r="BZ29" s="2401" t="e">
        <f>BZ28+BZ27</f>
        <v>#REF!</v>
      </c>
    </row>
    <row r="30" spans="1:78">
      <c r="A30" s="517"/>
      <c r="B30" s="517" t="s">
        <v>363</v>
      </c>
      <c r="C30" s="2388"/>
      <c r="D30" s="2395" t="e">
        <f>ROUND(D29*12%,2)</f>
        <v>#REF!</v>
      </c>
      <c r="E30" s="2395" t="e">
        <f t="shared" ref="E30:BP30" si="10">ROUND(E29*12%,2)</f>
        <v>#REF!</v>
      </c>
      <c r="F30" s="2395" t="e">
        <f t="shared" si="10"/>
        <v>#REF!</v>
      </c>
      <c r="G30" s="2395" t="e">
        <f t="shared" si="10"/>
        <v>#REF!</v>
      </c>
      <c r="H30" s="2395" t="e">
        <f t="shared" si="10"/>
        <v>#REF!</v>
      </c>
      <c r="I30" s="2395" t="e">
        <f t="shared" si="10"/>
        <v>#REF!</v>
      </c>
      <c r="J30" s="2395" t="e">
        <f t="shared" si="10"/>
        <v>#DIV/0!</v>
      </c>
      <c r="K30" s="2395" t="e">
        <f t="shared" si="10"/>
        <v>#DIV/0!</v>
      </c>
      <c r="L30" s="2395" t="e">
        <f t="shared" si="10"/>
        <v>#DIV/0!</v>
      </c>
      <c r="M30" s="2395" t="e">
        <f t="shared" si="10"/>
        <v>#DIV/0!</v>
      </c>
      <c r="N30" s="2395" t="e">
        <f t="shared" si="10"/>
        <v>#DIV/0!</v>
      </c>
      <c r="O30" s="2395" t="e">
        <f t="shared" si="10"/>
        <v>#DIV/0!</v>
      </c>
      <c r="P30" s="2395" t="e">
        <f t="shared" si="10"/>
        <v>#DIV/0!</v>
      </c>
      <c r="Q30" s="2395" t="e">
        <f t="shared" si="10"/>
        <v>#DIV/0!</v>
      </c>
      <c r="R30" s="2395" t="e">
        <f t="shared" si="10"/>
        <v>#DIV/0!</v>
      </c>
      <c r="S30" s="2395" t="e">
        <f t="shared" si="10"/>
        <v>#DIV/0!</v>
      </c>
      <c r="T30" s="2395" t="e">
        <f t="shared" si="10"/>
        <v>#DIV/0!</v>
      </c>
      <c r="U30" s="2395" t="e">
        <f t="shared" si="10"/>
        <v>#DIV/0!</v>
      </c>
      <c r="V30" s="2395" t="e">
        <f t="shared" si="10"/>
        <v>#DIV/0!</v>
      </c>
      <c r="W30" s="2395" t="e">
        <f t="shared" si="10"/>
        <v>#DIV/0!</v>
      </c>
      <c r="X30" s="2395" t="e">
        <f t="shared" si="10"/>
        <v>#DIV/0!</v>
      </c>
      <c r="Y30" s="2395" t="e">
        <f t="shared" si="10"/>
        <v>#DIV/0!</v>
      </c>
      <c r="Z30" s="2395" t="e">
        <f t="shared" si="10"/>
        <v>#DIV/0!</v>
      </c>
      <c r="AA30" s="2395" t="e">
        <f t="shared" si="10"/>
        <v>#DIV/0!</v>
      </c>
      <c r="AB30" s="2395" t="e">
        <f t="shared" si="10"/>
        <v>#DIV/0!</v>
      </c>
      <c r="AC30" s="2395" t="e">
        <f t="shared" si="10"/>
        <v>#DIV/0!</v>
      </c>
      <c r="AD30" s="2395" t="e">
        <f t="shared" si="10"/>
        <v>#DIV/0!</v>
      </c>
      <c r="AE30" s="2395" t="e">
        <f t="shared" si="10"/>
        <v>#DIV/0!</v>
      </c>
      <c r="AF30" s="2395" t="e">
        <f t="shared" si="10"/>
        <v>#DIV/0!</v>
      </c>
      <c r="AG30" s="2395" t="e">
        <f t="shared" si="10"/>
        <v>#DIV/0!</v>
      </c>
      <c r="AH30" s="2395" t="e">
        <f t="shared" si="10"/>
        <v>#DIV/0!</v>
      </c>
      <c r="AI30" s="2395" t="e">
        <f t="shared" si="10"/>
        <v>#DIV/0!</v>
      </c>
      <c r="AJ30" s="2395" t="e">
        <f t="shared" si="10"/>
        <v>#DIV/0!</v>
      </c>
      <c r="AK30" s="2395" t="e">
        <f t="shared" si="10"/>
        <v>#DIV/0!</v>
      </c>
      <c r="AL30" s="2395" t="e">
        <f t="shared" si="10"/>
        <v>#DIV/0!</v>
      </c>
      <c r="AM30" s="2395" t="e">
        <f t="shared" si="10"/>
        <v>#DIV/0!</v>
      </c>
      <c r="AN30" s="2395" t="e">
        <f t="shared" si="10"/>
        <v>#DIV/0!</v>
      </c>
      <c r="AO30" s="2395" t="e">
        <f t="shared" si="10"/>
        <v>#DIV/0!</v>
      </c>
      <c r="AP30" s="2395" t="e">
        <f t="shared" si="10"/>
        <v>#DIV/0!</v>
      </c>
      <c r="AQ30" s="2395" t="e">
        <f t="shared" si="10"/>
        <v>#DIV/0!</v>
      </c>
      <c r="AR30" s="2395" t="e">
        <f t="shared" si="10"/>
        <v>#DIV/0!</v>
      </c>
      <c r="AS30" s="2395" t="e">
        <f t="shared" si="10"/>
        <v>#DIV/0!</v>
      </c>
      <c r="AT30" s="2395" t="e">
        <f t="shared" si="10"/>
        <v>#DIV/0!</v>
      </c>
      <c r="AU30" s="2395" t="e">
        <f t="shared" si="10"/>
        <v>#DIV/0!</v>
      </c>
      <c r="AV30" s="2395" t="e">
        <f t="shared" si="10"/>
        <v>#DIV/0!</v>
      </c>
      <c r="AW30" s="2395" t="e">
        <f t="shared" si="10"/>
        <v>#DIV/0!</v>
      </c>
      <c r="AX30" s="2395" t="e">
        <f t="shared" si="10"/>
        <v>#DIV/0!</v>
      </c>
      <c r="AY30" s="2395" t="e">
        <f t="shared" si="10"/>
        <v>#DIV/0!</v>
      </c>
      <c r="AZ30" s="2395" t="e">
        <f t="shared" si="10"/>
        <v>#DIV/0!</v>
      </c>
      <c r="BA30" s="2395" t="e">
        <f t="shared" si="10"/>
        <v>#DIV/0!</v>
      </c>
      <c r="BB30" s="2395" t="e">
        <f t="shared" si="10"/>
        <v>#DIV/0!</v>
      </c>
      <c r="BC30" s="2395" t="e">
        <f t="shared" si="10"/>
        <v>#DIV/0!</v>
      </c>
      <c r="BD30" s="2395" t="e">
        <f t="shared" si="10"/>
        <v>#DIV/0!</v>
      </c>
      <c r="BE30" s="2395" t="e">
        <f t="shared" si="10"/>
        <v>#DIV/0!</v>
      </c>
      <c r="BF30" s="2395" t="e">
        <f t="shared" si="10"/>
        <v>#DIV/0!</v>
      </c>
      <c r="BG30" s="2395" t="e">
        <f t="shared" si="10"/>
        <v>#DIV/0!</v>
      </c>
      <c r="BH30" s="2395" t="e">
        <f t="shared" si="10"/>
        <v>#DIV/0!</v>
      </c>
      <c r="BI30" s="2395" t="e">
        <f t="shared" si="10"/>
        <v>#DIV/0!</v>
      </c>
      <c r="BJ30" s="2395" t="e">
        <f t="shared" si="10"/>
        <v>#DIV/0!</v>
      </c>
      <c r="BK30" s="2395" t="e">
        <f t="shared" si="10"/>
        <v>#DIV/0!</v>
      </c>
      <c r="BL30" s="2395" t="e">
        <f t="shared" si="10"/>
        <v>#REF!</v>
      </c>
      <c r="BM30" s="2395" t="e">
        <f t="shared" si="10"/>
        <v>#REF!</v>
      </c>
      <c r="BN30" s="2395" t="e">
        <f t="shared" si="10"/>
        <v>#REF!</v>
      </c>
      <c r="BO30" s="2395" t="e">
        <f t="shared" si="10"/>
        <v>#REF!</v>
      </c>
      <c r="BP30" s="2395" t="e">
        <f t="shared" si="10"/>
        <v>#VALUE!</v>
      </c>
      <c r="BQ30" s="2395" t="e">
        <f t="shared" ref="BQ30:BY30" si="11">ROUND(BQ29*12%,2)</f>
        <v>#VALUE!</v>
      </c>
      <c r="BR30" s="2395" t="e">
        <f t="shared" si="11"/>
        <v>#VALUE!</v>
      </c>
      <c r="BS30" s="2395" t="e">
        <f t="shared" si="11"/>
        <v>#VALUE!</v>
      </c>
      <c r="BT30" s="2395" t="e">
        <f t="shared" si="11"/>
        <v>#VALUE!</v>
      </c>
      <c r="BU30" s="2395" t="e">
        <f t="shared" si="11"/>
        <v>#REF!</v>
      </c>
      <c r="BV30" s="2395" t="e">
        <f t="shared" si="11"/>
        <v>#DIV/0!</v>
      </c>
      <c r="BW30" s="2395" t="e">
        <f t="shared" si="11"/>
        <v>#REF!</v>
      </c>
      <c r="BX30" s="2395" t="e">
        <f t="shared" si="11"/>
        <v>#REF!</v>
      </c>
      <c r="BY30" s="2395" t="e">
        <f t="shared" si="11"/>
        <v>#REF!</v>
      </c>
      <c r="BZ30" s="2395" t="e">
        <f>ROUND(BZ29*12%,2)</f>
        <v>#REF!</v>
      </c>
    </row>
    <row r="31" spans="1:78">
      <c r="A31" s="517"/>
      <c r="B31" s="517" t="s">
        <v>418</v>
      </c>
      <c r="C31" s="2392"/>
      <c r="D31" s="2401" t="e">
        <f>D30+D29</f>
        <v>#REF!</v>
      </c>
      <c r="E31" s="2401" t="e">
        <f t="shared" ref="E31:BP31" si="12">E30+E29</f>
        <v>#REF!</v>
      </c>
      <c r="F31" s="2401" t="e">
        <f t="shared" si="12"/>
        <v>#REF!</v>
      </c>
      <c r="G31" s="2401" t="e">
        <f t="shared" si="12"/>
        <v>#REF!</v>
      </c>
      <c r="H31" s="2401" t="e">
        <f t="shared" si="12"/>
        <v>#REF!</v>
      </c>
      <c r="I31" s="2401" t="e">
        <f t="shared" si="12"/>
        <v>#REF!</v>
      </c>
      <c r="J31" s="2401" t="e">
        <f t="shared" si="12"/>
        <v>#DIV/0!</v>
      </c>
      <c r="K31" s="2401" t="e">
        <f t="shared" si="12"/>
        <v>#DIV/0!</v>
      </c>
      <c r="L31" s="2401" t="e">
        <f t="shared" si="12"/>
        <v>#DIV/0!</v>
      </c>
      <c r="M31" s="2401" t="e">
        <f t="shared" si="12"/>
        <v>#DIV/0!</v>
      </c>
      <c r="N31" s="2401" t="e">
        <f t="shared" si="12"/>
        <v>#DIV/0!</v>
      </c>
      <c r="O31" s="2401" t="e">
        <f t="shared" si="12"/>
        <v>#DIV/0!</v>
      </c>
      <c r="P31" s="2401" t="e">
        <f t="shared" si="12"/>
        <v>#DIV/0!</v>
      </c>
      <c r="Q31" s="2401" t="e">
        <f t="shared" si="12"/>
        <v>#DIV/0!</v>
      </c>
      <c r="R31" s="2401" t="e">
        <f t="shared" si="12"/>
        <v>#DIV/0!</v>
      </c>
      <c r="S31" s="2401" t="e">
        <f t="shared" si="12"/>
        <v>#DIV/0!</v>
      </c>
      <c r="T31" s="2401" t="e">
        <f t="shared" si="12"/>
        <v>#DIV/0!</v>
      </c>
      <c r="U31" s="2401" t="e">
        <f t="shared" si="12"/>
        <v>#DIV/0!</v>
      </c>
      <c r="V31" s="2401" t="e">
        <f t="shared" si="12"/>
        <v>#DIV/0!</v>
      </c>
      <c r="W31" s="2401" t="e">
        <f t="shared" si="12"/>
        <v>#DIV/0!</v>
      </c>
      <c r="X31" s="2401" t="e">
        <f t="shared" si="12"/>
        <v>#DIV/0!</v>
      </c>
      <c r="Y31" s="2401" t="e">
        <f t="shared" si="12"/>
        <v>#DIV/0!</v>
      </c>
      <c r="Z31" s="2401" t="e">
        <f t="shared" si="12"/>
        <v>#DIV/0!</v>
      </c>
      <c r="AA31" s="2401" t="e">
        <f t="shared" si="12"/>
        <v>#DIV/0!</v>
      </c>
      <c r="AB31" s="2401" t="e">
        <f t="shared" si="12"/>
        <v>#DIV/0!</v>
      </c>
      <c r="AC31" s="2401" t="e">
        <f t="shared" si="12"/>
        <v>#DIV/0!</v>
      </c>
      <c r="AD31" s="2401" t="e">
        <f t="shared" si="12"/>
        <v>#DIV/0!</v>
      </c>
      <c r="AE31" s="2401" t="e">
        <f t="shared" si="12"/>
        <v>#DIV/0!</v>
      </c>
      <c r="AF31" s="2401" t="e">
        <f t="shared" si="12"/>
        <v>#DIV/0!</v>
      </c>
      <c r="AG31" s="2401" t="e">
        <f t="shared" si="12"/>
        <v>#DIV/0!</v>
      </c>
      <c r="AH31" s="2401" t="e">
        <f t="shared" si="12"/>
        <v>#DIV/0!</v>
      </c>
      <c r="AI31" s="2401" t="e">
        <f t="shared" si="12"/>
        <v>#DIV/0!</v>
      </c>
      <c r="AJ31" s="2401" t="e">
        <f t="shared" si="12"/>
        <v>#DIV/0!</v>
      </c>
      <c r="AK31" s="2401" t="e">
        <f t="shared" si="12"/>
        <v>#DIV/0!</v>
      </c>
      <c r="AL31" s="2401" t="e">
        <f t="shared" si="12"/>
        <v>#DIV/0!</v>
      </c>
      <c r="AM31" s="2401" t="e">
        <f t="shared" si="12"/>
        <v>#DIV/0!</v>
      </c>
      <c r="AN31" s="2401" t="e">
        <f t="shared" si="12"/>
        <v>#DIV/0!</v>
      </c>
      <c r="AO31" s="2401" t="e">
        <f t="shared" si="12"/>
        <v>#DIV/0!</v>
      </c>
      <c r="AP31" s="2401" t="e">
        <f t="shared" si="12"/>
        <v>#DIV/0!</v>
      </c>
      <c r="AQ31" s="2401" t="e">
        <f t="shared" si="12"/>
        <v>#DIV/0!</v>
      </c>
      <c r="AR31" s="2401" t="e">
        <f t="shared" si="12"/>
        <v>#DIV/0!</v>
      </c>
      <c r="AS31" s="2401" t="e">
        <f t="shared" si="12"/>
        <v>#DIV/0!</v>
      </c>
      <c r="AT31" s="2401" t="e">
        <f t="shared" si="12"/>
        <v>#DIV/0!</v>
      </c>
      <c r="AU31" s="2401" t="e">
        <f t="shared" si="12"/>
        <v>#DIV/0!</v>
      </c>
      <c r="AV31" s="2401" t="e">
        <f t="shared" si="12"/>
        <v>#DIV/0!</v>
      </c>
      <c r="AW31" s="2401" t="e">
        <f t="shared" si="12"/>
        <v>#DIV/0!</v>
      </c>
      <c r="AX31" s="2401" t="e">
        <f t="shared" si="12"/>
        <v>#DIV/0!</v>
      </c>
      <c r="AY31" s="2401" t="e">
        <f t="shared" si="12"/>
        <v>#DIV/0!</v>
      </c>
      <c r="AZ31" s="2401" t="e">
        <f t="shared" si="12"/>
        <v>#DIV/0!</v>
      </c>
      <c r="BA31" s="2401" t="e">
        <f t="shared" si="12"/>
        <v>#DIV/0!</v>
      </c>
      <c r="BB31" s="2401" t="e">
        <f t="shared" si="12"/>
        <v>#DIV/0!</v>
      </c>
      <c r="BC31" s="2401" t="e">
        <f t="shared" si="12"/>
        <v>#DIV/0!</v>
      </c>
      <c r="BD31" s="2401" t="e">
        <f t="shared" si="12"/>
        <v>#DIV/0!</v>
      </c>
      <c r="BE31" s="2401" t="e">
        <f t="shared" si="12"/>
        <v>#DIV/0!</v>
      </c>
      <c r="BF31" s="2401" t="e">
        <f t="shared" si="12"/>
        <v>#DIV/0!</v>
      </c>
      <c r="BG31" s="2401" t="e">
        <f t="shared" si="12"/>
        <v>#DIV/0!</v>
      </c>
      <c r="BH31" s="2401" t="e">
        <f t="shared" si="12"/>
        <v>#DIV/0!</v>
      </c>
      <c r="BI31" s="2401" t="e">
        <f t="shared" si="12"/>
        <v>#DIV/0!</v>
      </c>
      <c r="BJ31" s="2401" t="e">
        <f t="shared" si="12"/>
        <v>#DIV/0!</v>
      </c>
      <c r="BK31" s="2401" t="e">
        <f t="shared" si="12"/>
        <v>#DIV/0!</v>
      </c>
      <c r="BL31" s="2401" t="e">
        <f t="shared" si="12"/>
        <v>#REF!</v>
      </c>
      <c r="BM31" s="2401" t="e">
        <f t="shared" si="12"/>
        <v>#REF!</v>
      </c>
      <c r="BN31" s="2401" t="e">
        <f t="shared" si="12"/>
        <v>#REF!</v>
      </c>
      <c r="BO31" s="2401" t="e">
        <f t="shared" si="12"/>
        <v>#REF!</v>
      </c>
      <c r="BP31" s="2401" t="e">
        <f t="shared" si="12"/>
        <v>#VALUE!</v>
      </c>
      <c r="BQ31" s="2401" t="e">
        <f t="shared" ref="BQ31:BY31" si="13">BQ30+BQ29</f>
        <v>#VALUE!</v>
      </c>
      <c r="BR31" s="2401" t="e">
        <f t="shared" si="13"/>
        <v>#VALUE!</v>
      </c>
      <c r="BS31" s="2401" t="e">
        <f t="shared" si="13"/>
        <v>#VALUE!</v>
      </c>
      <c r="BT31" s="2401" t="e">
        <f t="shared" si="13"/>
        <v>#VALUE!</v>
      </c>
      <c r="BU31" s="2401" t="e">
        <f t="shared" si="13"/>
        <v>#REF!</v>
      </c>
      <c r="BV31" s="2401" t="e">
        <f t="shared" si="13"/>
        <v>#DIV/0!</v>
      </c>
      <c r="BW31" s="2401" t="e">
        <f t="shared" si="13"/>
        <v>#REF!</v>
      </c>
      <c r="BX31" s="2401" t="e">
        <f t="shared" si="13"/>
        <v>#REF!</v>
      </c>
      <c r="BY31" s="2401" t="e">
        <f t="shared" si="13"/>
        <v>#REF!</v>
      </c>
      <c r="BZ31" s="2401" t="e">
        <f>BZ30+BZ29</f>
        <v>#REF!</v>
      </c>
    </row>
    <row r="32" spans="1:78">
      <c r="A32" s="517"/>
      <c r="B32" s="517" t="s">
        <v>419</v>
      </c>
      <c r="C32" s="1899"/>
      <c r="D32" s="2402" t="e">
        <f>ROUND(D31*D25,2)</f>
        <v>#REF!</v>
      </c>
      <c r="E32" s="2402" t="e">
        <f t="shared" ref="E32:BP32" si="14">ROUND(E31*E25,2)</f>
        <v>#REF!</v>
      </c>
      <c r="F32" s="2402" t="e">
        <f t="shared" si="14"/>
        <v>#REF!</v>
      </c>
      <c r="G32" s="2402" t="e">
        <f t="shared" si="14"/>
        <v>#REF!</v>
      </c>
      <c r="H32" s="2402" t="e">
        <f t="shared" si="14"/>
        <v>#REF!</v>
      </c>
      <c r="I32" s="2402" t="e">
        <f t="shared" si="14"/>
        <v>#REF!</v>
      </c>
      <c r="J32" s="2402" t="e">
        <f t="shared" si="14"/>
        <v>#DIV/0!</v>
      </c>
      <c r="K32" s="2402" t="e">
        <f t="shared" si="14"/>
        <v>#DIV/0!</v>
      </c>
      <c r="L32" s="2402" t="e">
        <f t="shared" si="14"/>
        <v>#DIV/0!</v>
      </c>
      <c r="M32" s="2402" t="e">
        <f t="shared" si="14"/>
        <v>#DIV/0!</v>
      </c>
      <c r="N32" s="2402" t="e">
        <f t="shared" si="14"/>
        <v>#DIV/0!</v>
      </c>
      <c r="O32" s="2402" t="e">
        <f t="shared" si="14"/>
        <v>#DIV/0!</v>
      </c>
      <c r="P32" s="2402" t="e">
        <f t="shared" si="14"/>
        <v>#DIV/0!</v>
      </c>
      <c r="Q32" s="2402" t="e">
        <f t="shared" si="14"/>
        <v>#DIV/0!</v>
      </c>
      <c r="R32" s="2402" t="e">
        <f t="shared" si="14"/>
        <v>#DIV/0!</v>
      </c>
      <c r="S32" s="2402" t="e">
        <f t="shared" si="14"/>
        <v>#DIV/0!</v>
      </c>
      <c r="T32" s="2402" t="e">
        <f t="shared" si="14"/>
        <v>#DIV/0!</v>
      </c>
      <c r="U32" s="2402" t="e">
        <f t="shared" si="14"/>
        <v>#DIV/0!</v>
      </c>
      <c r="V32" s="2402" t="e">
        <f t="shared" si="14"/>
        <v>#DIV/0!</v>
      </c>
      <c r="W32" s="2402" t="e">
        <f t="shared" si="14"/>
        <v>#DIV/0!</v>
      </c>
      <c r="X32" s="2402" t="e">
        <f t="shared" si="14"/>
        <v>#DIV/0!</v>
      </c>
      <c r="Y32" s="2402" t="e">
        <f t="shared" si="14"/>
        <v>#DIV/0!</v>
      </c>
      <c r="Z32" s="2402" t="e">
        <f t="shared" si="14"/>
        <v>#DIV/0!</v>
      </c>
      <c r="AA32" s="2402" t="e">
        <f t="shared" si="14"/>
        <v>#DIV/0!</v>
      </c>
      <c r="AB32" s="2402" t="e">
        <f t="shared" si="14"/>
        <v>#DIV/0!</v>
      </c>
      <c r="AC32" s="2402" t="e">
        <f t="shared" si="14"/>
        <v>#DIV/0!</v>
      </c>
      <c r="AD32" s="2402" t="e">
        <f t="shared" si="14"/>
        <v>#DIV/0!</v>
      </c>
      <c r="AE32" s="2402" t="e">
        <f t="shared" si="14"/>
        <v>#DIV/0!</v>
      </c>
      <c r="AF32" s="2402" t="e">
        <f t="shared" si="14"/>
        <v>#DIV/0!</v>
      </c>
      <c r="AG32" s="2402" t="e">
        <f t="shared" si="14"/>
        <v>#DIV/0!</v>
      </c>
      <c r="AH32" s="2402" t="e">
        <f t="shared" si="14"/>
        <v>#DIV/0!</v>
      </c>
      <c r="AI32" s="2402" t="e">
        <f t="shared" si="14"/>
        <v>#DIV/0!</v>
      </c>
      <c r="AJ32" s="2402" t="e">
        <f t="shared" si="14"/>
        <v>#DIV/0!</v>
      </c>
      <c r="AK32" s="2402" t="e">
        <f t="shared" si="14"/>
        <v>#DIV/0!</v>
      </c>
      <c r="AL32" s="2402" t="e">
        <f t="shared" si="14"/>
        <v>#DIV/0!</v>
      </c>
      <c r="AM32" s="2402" t="e">
        <f t="shared" si="14"/>
        <v>#DIV/0!</v>
      </c>
      <c r="AN32" s="2402" t="e">
        <f t="shared" si="14"/>
        <v>#DIV/0!</v>
      </c>
      <c r="AO32" s="2402" t="e">
        <f t="shared" si="14"/>
        <v>#DIV/0!</v>
      </c>
      <c r="AP32" s="2402" t="e">
        <f t="shared" si="14"/>
        <v>#DIV/0!</v>
      </c>
      <c r="AQ32" s="2402" t="e">
        <f t="shared" si="14"/>
        <v>#DIV/0!</v>
      </c>
      <c r="AR32" s="2402" t="e">
        <f t="shared" si="14"/>
        <v>#DIV/0!</v>
      </c>
      <c r="AS32" s="2402" t="e">
        <f t="shared" si="14"/>
        <v>#DIV/0!</v>
      </c>
      <c r="AT32" s="2402" t="e">
        <f t="shared" si="14"/>
        <v>#DIV/0!</v>
      </c>
      <c r="AU32" s="2402" t="e">
        <f t="shared" si="14"/>
        <v>#DIV/0!</v>
      </c>
      <c r="AV32" s="2402" t="e">
        <f t="shared" si="14"/>
        <v>#DIV/0!</v>
      </c>
      <c r="AW32" s="2402" t="e">
        <f t="shared" si="14"/>
        <v>#DIV/0!</v>
      </c>
      <c r="AX32" s="2402" t="e">
        <f t="shared" si="14"/>
        <v>#DIV/0!</v>
      </c>
      <c r="AY32" s="2402" t="e">
        <f t="shared" si="14"/>
        <v>#DIV/0!</v>
      </c>
      <c r="AZ32" s="2402" t="e">
        <f t="shared" si="14"/>
        <v>#DIV/0!</v>
      </c>
      <c r="BA32" s="2402" t="e">
        <f t="shared" si="14"/>
        <v>#DIV/0!</v>
      </c>
      <c r="BB32" s="2402" t="e">
        <f t="shared" si="14"/>
        <v>#DIV/0!</v>
      </c>
      <c r="BC32" s="2402" t="e">
        <f t="shared" si="14"/>
        <v>#DIV/0!</v>
      </c>
      <c r="BD32" s="2402" t="e">
        <f t="shared" si="14"/>
        <v>#DIV/0!</v>
      </c>
      <c r="BE32" s="2402" t="e">
        <f t="shared" si="14"/>
        <v>#DIV/0!</v>
      </c>
      <c r="BF32" s="2402" t="e">
        <f t="shared" si="14"/>
        <v>#DIV/0!</v>
      </c>
      <c r="BG32" s="2402" t="e">
        <f t="shared" si="14"/>
        <v>#DIV/0!</v>
      </c>
      <c r="BH32" s="2402" t="e">
        <f t="shared" si="14"/>
        <v>#DIV/0!</v>
      </c>
      <c r="BI32" s="2402" t="e">
        <f t="shared" si="14"/>
        <v>#DIV/0!</v>
      </c>
      <c r="BJ32" s="2402" t="e">
        <f t="shared" si="14"/>
        <v>#DIV/0!</v>
      </c>
      <c r="BK32" s="2402" t="e">
        <f t="shared" si="14"/>
        <v>#DIV/0!</v>
      </c>
      <c r="BL32" s="2402" t="e">
        <f t="shared" si="14"/>
        <v>#REF!</v>
      </c>
      <c r="BM32" s="2402" t="e">
        <f t="shared" si="14"/>
        <v>#REF!</v>
      </c>
      <c r="BN32" s="2402" t="e">
        <f t="shared" si="14"/>
        <v>#REF!</v>
      </c>
      <c r="BO32" s="2402" t="e">
        <f t="shared" si="14"/>
        <v>#REF!</v>
      </c>
      <c r="BP32" s="2402" t="e">
        <f t="shared" si="14"/>
        <v>#VALUE!</v>
      </c>
      <c r="BQ32" s="2402" t="e">
        <f t="shared" ref="BQ32:BY32" si="15">ROUND(BQ31*BQ25,2)</f>
        <v>#VALUE!</v>
      </c>
      <c r="BR32" s="2402" t="e">
        <f t="shared" si="15"/>
        <v>#VALUE!</v>
      </c>
      <c r="BS32" s="2402" t="e">
        <f t="shared" si="15"/>
        <v>#VALUE!</v>
      </c>
      <c r="BT32" s="2402" t="e">
        <f t="shared" si="15"/>
        <v>#VALUE!</v>
      </c>
      <c r="BU32" s="2402" t="e">
        <f t="shared" si="15"/>
        <v>#REF!</v>
      </c>
      <c r="BV32" s="2402" t="e">
        <f t="shared" si="15"/>
        <v>#DIV/0!</v>
      </c>
      <c r="BW32" s="2402" t="e">
        <f t="shared" si="15"/>
        <v>#REF!</v>
      </c>
      <c r="BX32" s="2402" t="e">
        <f t="shared" si="15"/>
        <v>#REF!</v>
      </c>
      <c r="BY32" s="2402" t="e">
        <f t="shared" si="15"/>
        <v>#REF!</v>
      </c>
      <c r="BZ32" s="2402" t="e">
        <f>ROUND(BZ31*BZ25,2)</f>
        <v>#REF!</v>
      </c>
    </row>
    <row r="33" spans="1:78" s="1887" customFormat="1">
      <c r="A33" s="1886"/>
      <c r="B33" s="517" t="s">
        <v>420</v>
      </c>
      <c r="C33" s="1899"/>
      <c r="D33" s="2403" t="e">
        <f>ROUND(D32*12,2)</f>
        <v>#REF!</v>
      </c>
      <c r="E33" s="2403" t="e">
        <f t="shared" ref="E33:BP33" si="16">ROUND(E32*12,2)</f>
        <v>#REF!</v>
      </c>
      <c r="F33" s="2403" t="e">
        <f t="shared" si="16"/>
        <v>#REF!</v>
      </c>
      <c r="G33" s="2403" t="e">
        <f t="shared" si="16"/>
        <v>#REF!</v>
      </c>
      <c r="H33" s="2403" t="e">
        <f t="shared" si="16"/>
        <v>#REF!</v>
      </c>
      <c r="I33" s="2403" t="e">
        <f t="shared" si="16"/>
        <v>#REF!</v>
      </c>
      <c r="J33" s="2403" t="e">
        <f t="shared" si="16"/>
        <v>#DIV/0!</v>
      </c>
      <c r="K33" s="2403" t="e">
        <f t="shared" si="16"/>
        <v>#DIV/0!</v>
      </c>
      <c r="L33" s="2403" t="e">
        <f t="shared" si="16"/>
        <v>#DIV/0!</v>
      </c>
      <c r="M33" s="2403" t="e">
        <f t="shared" si="16"/>
        <v>#DIV/0!</v>
      </c>
      <c r="N33" s="2403" t="e">
        <f t="shared" si="16"/>
        <v>#DIV/0!</v>
      </c>
      <c r="O33" s="2403" t="e">
        <f t="shared" si="16"/>
        <v>#DIV/0!</v>
      </c>
      <c r="P33" s="2403" t="e">
        <f t="shared" si="16"/>
        <v>#DIV/0!</v>
      </c>
      <c r="Q33" s="2403" t="e">
        <f t="shared" si="16"/>
        <v>#DIV/0!</v>
      </c>
      <c r="R33" s="2403" t="e">
        <f t="shared" si="16"/>
        <v>#DIV/0!</v>
      </c>
      <c r="S33" s="2403" t="e">
        <f t="shared" si="16"/>
        <v>#DIV/0!</v>
      </c>
      <c r="T33" s="2403" t="e">
        <f t="shared" si="16"/>
        <v>#DIV/0!</v>
      </c>
      <c r="U33" s="2403" t="e">
        <f t="shared" si="16"/>
        <v>#DIV/0!</v>
      </c>
      <c r="V33" s="2403" t="e">
        <f t="shared" si="16"/>
        <v>#DIV/0!</v>
      </c>
      <c r="W33" s="2403" t="e">
        <f t="shared" si="16"/>
        <v>#DIV/0!</v>
      </c>
      <c r="X33" s="2403" t="e">
        <f t="shared" si="16"/>
        <v>#DIV/0!</v>
      </c>
      <c r="Y33" s="2403" t="e">
        <f t="shared" si="16"/>
        <v>#DIV/0!</v>
      </c>
      <c r="Z33" s="2403" t="e">
        <f t="shared" si="16"/>
        <v>#DIV/0!</v>
      </c>
      <c r="AA33" s="2403" t="e">
        <f t="shared" si="16"/>
        <v>#DIV/0!</v>
      </c>
      <c r="AB33" s="2403" t="e">
        <f t="shared" si="16"/>
        <v>#DIV/0!</v>
      </c>
      <c r="AC33" s="2403" t="e">
        <f t="shared" si="16"/>
        <v>#DIV/0!</v>
      </c>
      <c r="AD33" s="2403" t="e">
        <f t="shared" si="16"/>
        <v>#DIV/0!</v>
      </c>
      <c r="AE33" s="2403" t="e">
        <f t="shared" si="16"/>
        <v>#DIV/0!</v>
      </c>
      <c r="AF33" s="2403" t="e">
        <f t="shared" si="16"/>
        <v>#DIV/0!</v>
      </c>
      <c r="AG33" s="2403" t="e">
        <f t="shared" si="16"/>
        <v>#DIV/0!</v>
      </c>
      <c r="AH33" s="2403" t="e">
        <f t="shared" si="16"/>
        <v>#DIV/0!</v>
      </c>
      <c r="AI33" s="2403" t="e">
        <f t="shared" si="16"/>
        <v>#DIV/0!</v>
      </c>
      <c r="AJ33" s="2403" t="e">
        <f t="shared" si="16"/>
        <v>#DIV/0!</v>
      </c>
      <c r="AK33" s="2403" t="e">
        <f t="shared" si="16"/>
        <v>#DIV/0!</v>
      </c>
      <c r="AL33" s="2403" t="e">
        <f t="shared" si="16"/>
        <v>#DIV/0!</v>
      </c>
      <c r="AM33" s="2403" t="e">
        <f t="shared" si="16"/>
        <v>#DIV/0!</v>
      </c>
      <c r="AN33" s="2403" t="e">
        <f t="shared" si="16"/>
        <v>#DIV/0!</v>
      </c>
      <c r="AO33" s="2403" t="e">
        <f t="shared" si="16"/>
        <v>#DIV/0!</v>
      </c>
      <c r="AP33" s="2403" t="e">
        <f t="shared" si="16"/>
        <v>#DIV/0!</v>
      </c>
      <c r="AQ33" s="2403" t="e">
        <f t="shared" si="16"/>
        <v>#DIV/0!</v>
      </c>
      <c r="AR33" s="2403" t="e">
        <f t="shared" si="16"/>
        <v>#DIV/0!</v>
      </c>
      <c r="AS33" s="2403" t="e">
        <f t="shared" si="16"/>
        <v>#DIV/0!</v>
      </c>
      <c r="AT33" s="2403" t="e">
        <f t="shared" si="16"/>
        <v>#DIV/0!</v>
      </c>
      <c r="AU33" s="2403" t="e">
        <f t="shared" si="16"/>
        <v>#DIV/0!</v>
      </c>
      <c r="AV33" s="2403" t="e">
        <f t="shared" si="16"/>
        <v>#DIV/0!</v>
      </c>
      <c r="AW33" s="2403" t="e">
        <f t="shared" si="16"/>
        <v>#DIV/0!</v>
      </c>
      <c r="AX33" s="2403" t="e">
        <f t="shared" si="16"/>
        <v>#DIV/0!</v>
      </c>
      <c r="AY33" s="2403" t="e">
        <f t="shared" si="16"/>
        <v>#DIV/0!</v>
      </c>
      <c r="AZ33" s="2403" t="e">
        <f t="shared" si="16"/>
        <v>#DIV/0!</v>
      </c>
      <c r="BA33" s="2403" t="e">
        <f t="shared" si="16"/>
        <v>#DIV/0!</v>
      </c>
      <c r="BB33" s="2403" t="e">
        <f t="shared" si="16"/>
        <v>#DIV/0!</v>
      </c>
      <c r="BC33" s="2403" t="e">
        <f t="shared" si="16"/>
        <v>#DIV/0!</v>
      </c>
      <c r="BD33" s="2403" t="e">
        <f t="shared" si="16"/>
        <v>#DIV/0!</v>
      </c>
      <c r="BE33" s="2403" t="e">
        <f t="shared" si="16"/>
        <v>#DIV/0!</v>
      </c>
      <c r="BF33" s="2403" t="e">
        <f t="shared" si="16"/>
        <v>#DIV/0!</v>
      </c>
      <c r="BG33" s="2403" t="e">
        <f t="shared" si="16"/>
        <v>#DIV/0!</v>
      </c>
      <c r="BH33" s="2403" t="e">
        <f t="shared" si="16"/>
        <v>#DIV/0!</v>
      </c>
      <c r="BI33" s="2403" t="e">
        <f t="shared" si="16"/>
        <v>#DIV/0!</v>
      </c>
      <c r="BJ33" s="2403" t="e">
        <f t="shared" si="16"/>
        <v>#DIV/0!</v>
      </c>
      <c r="BK33" s="2403" t="e">
        <f t="shared" si="16"/>
        <v>#DIV/0!</v>
      </c>
      <c r="BL33" s="2403" t="e">
        <f t="shared" si="16"/>
        <v>#REF!</v>
      </c>
      <c r="BM33" s="2403" t="e">
        <f t="shared" si="16"/>
        <v>#REF!</v>
      </c>
      <c r="BN33" s="2403" t="e">
        <f t="shared" si="16"/>
        <v>#REF!</v>
      </c>
      <c r="BO33" s="2403" t="e">
        <f t="shared" si="16"/>
        <v>#REF!</v>
      </c>
      <c r="BP33" s="2403" t="e">
        <f t="shared" si="16"/>
        <v>#VALUE!</v>
      </c>
      <c r="BQ33" s="2403" t="e">
        <f t="shared" ref="BQ33:BZ33" si="17">ROUND(BQ32*12,2)</f>
        <v>#VALUE!</v>
      </c>
      <c r="BR33" s="2403" t="e">
        <f t="shared" si="17"/>
        <v>#VALUE!</v>
      </c>
      <c r="BS33" s="2403" t="e">
        <f t="shared" si="17"/>
        <v>#VALUE!</v>
      </c>
      <c r="BT33" s="2403" t="e">
        <f t="shared" si="17"/>
        <v>#VALUE!</v>
      </c>
      <c r="BU33" s="2403" t="e">
        <f t="shared" si="17"/>
        <v>#REF!</v>
      </c>
      <c r="BV33" s="2403" t="e">
        <f t="shared" si="17"/>
        <v>#DIV/0!</v>
      </c>
      <c r="BW33" s="2403" t="e">
        <f t="shared" si="17"/>
        <v>#REF!</v>
      </c>
      <c r="BX33" s="2403" t="e">
        <f t="shared" si="17"/>
        <v>#REF!</v>
      </c>
      <c r="BY33" s="2403" t="e">
        <f t="shared" si="17"/>
        <v>#REF!</v>
      </c>
      <c r="BZ33" s="2403" t="e">
        <f t="shared" si="17"/>
        <v>#REF!</v>
      </c>
    </row>
    <row r="34" spans="1:78" s="1887" customFormat="1">
      <c r="C34" s="1902"/>
      <c r="D34" s="1902"/>
      <c r="F34" s="1903"/>
      <c r="G34" s="1905"/>
      <c r="H34" s="1905"/>
      <c r="I34" s="1904"/>
      <c r="J34" s="2428"/>
      <c r="K34" s="1901"/>
      <c r="BL34" s="2411" t="e">
        <f>D31-'[59]Кальк31 ул (2)'!D34</f>
        <v>#REF!</v>
      </c>
      <c r="BM34" s="2411"/>
      <c r="BN34" s="2408"/>
      <c r="BO34" s="2411"/>
      <c r="BP34" s="2408"/>
      <c r="BQ34" s="2408"/>
      <c r="BR34" s="2408"/>
      <c r="BS34" s="2408"/>
      <c r="BT34" s="2408"/>
      <c r="BU34" s="2407"/>
      <c r="BV34" s="2408"/>
      <c r="BW34" s="2408"/>
    </row>
    <row r="35" spans="1:78">
      <c r="A35" s="2042" t="s">
        <v>368</v>
      </c>
      <c r="D35" s="2412" t="s">
        <v>271</v>
      </c>
      <c r="E35" s="1906" t="s">
        <v>369</v>
      </c>
      <c r="H35" s="1906"/>
      <c r="I35" s="1906"/>
      <c r="BL35" s="1890" t="e">
        <f>#REF!-'[59]Кальк31 ул (2)'!D38</f>
        <v>#REF!</v>
      </c>
    </row>
    <row r="36" spans="1:78">
      <c r="A36" s="2042" t="s">
        <v>370</v>
      </c>
      <c r="C36" s="1890"/>
      <c r="D36" s="2099" t="s">
        <v>371</v>
      </c>
      <c r="E36" s="1884"/>
      <c r="BL36" s="1895" t="e">
        <f>BL35*2</f>
        <v>#REF!</v>
      </c>
      <c r="BM36" s="1895">
        <v>489.39</v>
      </c>
      <c r="BO36" s="1895"/>
    </row>
    <row r="37" spans="1:78">
      <c r="A37" s="2042"/>
      <c r="E37" s="1906"/>
      <c r="H37" s="1906"/>
      <c r="I37" s="1906"/>
      <c r="BL37" s="1895" t="e">
        <f>BL36-BO14</f>
        <v>#REF!</v>
      </c>
      <c r="BM37" s="1895">
        <f>BM36*1.12</f>
        <v>548.11680000000001</v>
      </c>
    </row>
    <row r="38" spans="1:78">
      <c r="A38" s="2042" t="s">
        <v>372</v>
      </c>
      <c r="D38" s="2098" t="s">
        <v>373</v>
      </c>
      <c r="E38" s="1906" t="s">
        <v>374</v>
      </c>
      <c r="H38" s="1906"/>
      <c r="I38" s="1906"/>
      <c r="BL38" s="1895"/>
      <c r="BO38" s="1890"/>
    </row>
    <row r="39" spans="1:78">
      <c r="A39" s="2042"/>
      <c r="E39" s="1884"/>
      <c r="BM39" s="1895" t="e">
        <f>#REF!+#REF!+#REF!+3222.12</f>
        <v>#REF!</v>
      </c>
    </row>
    <row r="40" spans="1:78">
      <c r="A40" s="2042" t="s">
        <v>375</v>
      </c>
      <c r="D40" s="2098" t="s">
        <v>376</v>
      </c>
      <c r="E40" s="1906" t="s">
        <v>377</v>
      </c>
      <c r="BM40" s="1895">
        <f>13674.8-3222.12</f>
        <v>10452.68</v>
      </c>
    </row>
    <row r="41" spans="1:78">
      <c r="C41" s="1903"/>
      <c r="BM41" s="1895">
        <v>596.74</v>
      </c>
    </row>
    <row r="42" spans="1:78">
      <c r="C42" s="1890"/>
      <c r="BM42" s="1895">
        <f>BM41*BM40</f>
        <v>6237532.2631999999</v>
      </c>
    </row>
    <row r="43" spans="1:78">
      <c r="C43" s="1890" t="e">
        <f>C23*1.12-#REF!-#REF!</f>
        <v>#REF!</v>
      </c>
      <c r="F43" s="1890" t="e">
        <f>F23*1.12-#REF!-#REF!</f>
        <v>#REF!</v>
      </c>
      <c r="G43" s="1890" t="e">
        <f>G23*1.12-#REF!-#REF!</f>
        <v>#REF!</v>
      </c>
      <c r="H43" s="1890" t="e">
        <f>H23*1.12-#REF!-#REF!</f>
        <v>#REF!</v>
      </c>
      <c r="I43" s="1890" t="e">
        <f>I23*1.12-#REF!-#REF!</f>
        <v>#REF!</v>
      </c>
      <c r="BM43" s="1895">
        <f>BM42*12</f>
        <v>74850387.158399999</v>
      </c>
    </row>
    <row r="44" spans="1:78">
      <c r="C44" s="1890" t="e">
        <v>#REF!</v>
      </c>
    </row>
    <row r="45" spans="1:78">
      <c r="C45" s="1890" t="e">
        <f>C44/1.12</f>
        <v>#REF!</v>
      </c>
      <c r="F45" s="1890" t="e">
        <f>C52*#REF!*12</f>
        <v>#REF!</v>
      </c>
    </row>
    <row r="46" spans="1:78">
      <c r="C46" s="1890" t="e">
        <f>SUM(C11:C14)+SUM(C15:C22)*1.12</f>
        <v>#REF!</v>
      </c>
    </row>
    <row r="47" spans="1:78">
      <c r="C47" s="1890">
        <v>684085846.04980612</v>
      </c>
    </row>
    <row r="48" spans="1:78">
      <c r="C48" s="1890">
        <v>-175533860.98913491</v>
      </c>
    </row>
    <row r="52" spans="3:3">
      <c r="C52" s="419" t="e">
        <f>'[59]ФОТ ауп'!AM58/('Кальк31 ул (Адм Корп) 2017-2018'!#REF!+'Кальк31 ул (Адм Корп) 2017-2018'!#REF!+'Кальк31 ул (Адм Корп) 2017-2018'!#REF!+'[59]Кальк Турк'!C26+'[59]Кальк МШ Ор'!C25)/12</f>
        <v>#REF!</v>
      </c>
    </row>
  </sheetData>
  <mergeCells count="1">
    <mergeCell ref="A7:E7"/>
  </mergeCells>
  <pageMargins left="0.39370078740157483" right="0.19685039370078741" top="0.5" bottom="0.23622047244094491" header="0.49" footer="0.31496062992125984"/>
  <pageSetup paperSize="9" scale="70" orientation="portrait"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tabColor theme="3" tint="0.59999389629810485"/>
  </sheetPr>
  <dimension ref="A1:M20"/>
  <sheetViews>
    <sheetView view="pageBreakPreview" zoomScale="91" zoomScaleSheetLayoutView="91" workbookViewId="0">
      <selection activeCell="E11" sqref="E11"/>
    </sheetView>
  </sheetViews>
  <sheetFormatPr defaultColWidth="8.85546875" defaultRowHeight="15.75"/>
  <cols>
    <col min="1" max="1" width="8.85546875" style="419"/>
    <col min="2" max="2" width="69.42578125" style="419" customWidth="1"/>
    <col min="3" max="3" width="14.28515625" style="419" customWidth="1"/>
    <col min="4" max="4" width="22.85546875" style="419" customWidth="1"/>
    <col min="5" max="5" width="26.7109375" style="419" customWidth="1"/>
    <col min="6" max="16384" width="8.85546875" style="419"/>
  </cols>
  <sheetData>
    <row r="1" spans="1:13" s="1883" customFormat="1">
      <c r="D1" s="1882" t="s">
        <v>5134</v>
      </c>
    </row>
    <row r="2" spans="1:13" s="1883" customFormat="1">
      <c r="D2" s="1882" t="s">
        <v>5135</v>
      </c>
    </row>
    <row r="3" spans="1:13" s="1883" customFormat="1">
      <c r="D3" s="1882" t="s">
        <v>5136</v>
      </c>
    </row>
    <row r="4" spans="1:13" s="1883" customFormat="1">
      <c r="D4" s="1882" t="s">
        <v>5137</v>
      </c>
    </row>
    <row r="5" spans="1:13">
      <c r="B5" s="1884"/>
      <c r="C5" s="1884"/>
      <c r="D5" s="488"/>
    </row>
    <row r="6" spans="1:13">
      <c r="B6" s="1884"/>
      <c r="C6" s="1884"/>
      <c r="D6" s="1884"/>
    </row>
    <row r="7" spans="1:13">
      <c r="A7" s="4433" t="s">
        <v>5138</v>
      </c>
      <c r="B7" s="4433"/>
      <c r="C7" s="4433"/>
      <c r="D7" s="4433"/>
      <c r="E7" s="514"/>
      <c r="F7" s="514"/>
      <c r="G7" s="514"/>
      <c r="H7" s="514"/>
      <c r="I7" s="514"/>
      <c r="J7" s="514"/>
      <c r="K7" s="514"/>
      <c r="L7" s="514"/>
      <c r="M7" s="514"/>
    </row>
    <row r="8" spans="1:13">
      <c r="A8" s="4433" t="s">
        <v>5139</v>
      </c>
      <c r="B8" s="4433"/>
      <c r="C8" s="4433"/>
      <c r="D8" s="4433"/>
      <c r="E8" s="2499"/>
      <c r="F8" s="514"/>
      <c r="G8" s="514"/>
      <c r="H8" s="514"/>
      <c r="I8" s="514"/>
      <c r="J8" s="514"/>
      <c r="K8" s="514"/>
      <c r="L8" s="514"/>
      <c r="M8" s="514"/>
    </row>
    <row r="10" spans="1:13" s="1887" customFormat="1" ht="47.25">
      <c r="A10" s="1886" t="s">
        <v>34</v>
      </c>
      <c r="B10" s="1886" t="s">
        <v>4129</v>
      </c>
      <c r="C10" s="1886" t="s">
        <v>4431</v>
      </c>
      <c r="D10" s="1013" t="s">
        <v>5140</v>
      </c>
      <c r="E10" s="1013" t="s">
        <v>5141</v>
      </c>
    </row>
    <row r="11" spans="1:13" s="1887" customFormat="1" ht="31.5">
      <c r="A11" s="1886">
        <v>1</v>
      </c>
      <c r="B11" s="1886" t="s">
        <v>5142</v>
      </c>
      <c r="C11" s="1886" t="s">
        <v>5143</v>
      </c>
      <c r="D11" s="2376" t="e">
        <f>'Кальк31 2017-2018'!D33</f>
        <v>#REF!</v>
      </c>
      <c r="E11" s="2376" t="e">
        <f>'Кальк31 2017-2018'!BX33</f>
        <v>#REF!</v>
      </c>
    </row>
    <row r="12" spans="1:13" s="1887" customFormat="1" ht="31.5">
      <c r="A12" s="1886">
        <v>2</v>
      </c>
      <c r="B12" s="1886" t="s">
        <v>5144</v>
      </c>
      <c r="C12" s="1886" t="s">
        <v>5143</v>
      </c>
      <c r="D12" s="2376" t="e">
        <f>'Кальк31 ул (Адм Корп) 2017-2018'!D31</f>
        <v>#REF!</v>
      </c>
      <c r="E12" s="2376" t="e">
        <f>'Кальк31 ул (Адм Корп) 2017-2018'!BZ31</f>
        <v>#REF!</v>
      </c>
    </row>
    <row r="13" spans="1:13" s="1887" customFormat="1" ht="31.5" hidden="1">
      <c r="A13" s="1886">
        <v>4</v>
      </c>
      <c r="B13" s="1886" t="s">
        <v>5145</v>
      </c>
      <c r="C13" s="1886" t="s">
        <v>5143</v>
      </c>
      <c r="D13" s="2376" t="e">
        <f>'Кальк Турк без фмн'!D35</f>
        <v>#REF!</v>
      </c>
      <c r="E13" s="2376" t="e">
        <f>'Кальк Турк без фмн'!E35</f>
        <v>#REF!</v>
      </c>
    </row>
    <row r="14" spans="1:13" s="1887" customFormat="1" ht="31.5">
      <c r="A14" s="1886">
        <v>3</v>
      </c>
      <c r="B14" s="1886" t="s">
        <v>5146</v>
      </c>
      <c r="C14" s="1886" t="s">
        <v>5143</v>
      </c>
      <c r="D14" s="2376" t="e">
        <f>'Кальк МШ Ор 2017-2018'!C31</f>
        <v>#REF!</v>
      </c>
      <c r="E14" s="2376" t="e">
        <f>'Кальк МШ Ор 2017-2018'!BF31</f>
        <v>#REF!</v>
      </c>
    </row>
    <row r="16" spans="1:13">
      <c r="A16" s="419" t="s">
        <v>23</v>
      </c>
      <c r="D16" s="419" t="s">
        <v>448</v>
      </c>
    </row>
    <row r="18" spans="1:4">
      <c r="A18" s="419" t="s">
        <v>449</v>
      </c>
      <c r="D18" s="419" t="s">
        <v>450</v>
      </c>
    </row>
    <row r="20" spans="1:4">
      <c r="A20" s="419" t="s">
        <v>372</v>
      </c>
      <c r="D20" s="419" t="s">
        <v>373</v>
      </c>
    </row>
  </sheetData>
  <mergeCells count="2">
    <mergeCell ref="A7:D7"/>
    <mergeCell ref="A8:D8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tabColor theme="3" tint="0.59999389629810485"/>
  </sheetPr>
  <dimension ref="A1:BX56"/>
  <sheetViews>
    <sheetView view="pageBreakPreview" zoomScale="99" zoomScaleNormal="71" zoomScaleSheetLayoutView="99" workbookViewId="0">
      <selection activeCell="BX31" sqref="BX31"/>
    </sheetView>
  </sheetViews>
  <sheetFormatPr defaultColWidth="9.140625" defaultRowHeight="15.75" outlineLevelRow="1" outlineLevelCol="1"/>
  <cols>
    <col min="1" max="1" width="6.5703125" style="419" customWidth="1"/>
    <col min="2" max="2" width="80.28515625" style="419" customWidth="1"/>
    <col min="3" max="3" width="17.5703125" style="419" hidden="1" customWidth="1"/>
    <col min="4" max="4" width="32.28515625" style="419" customWidth="1"/>
    <col min="5" max="5" width="23.7109375" style="419" hidden="1" customWidth="1"/>
    <col min="6" max="6" width="20" style="419" hidden="1" customWidth="1"/>
    <col min="7" max="7" width="20.42578125" style="1884" hidden="1" customWidth="1"/>
    <col min="8" max="8" width="19.85546875" style="1884" hidden="1" customWidth="1"/>
    <col min="9" max="9" width="22.140625" style="1884" hidden="1" customWidth="1"/>
    <col min="10" max="10" width="15.42578125" style="419" hidden="1" customWidth="1"/>
    <col min="11" max="11" width="16" style="419" hidden="1" customWidth="1"/>
    <col min="12" max="12" width="15.7109375" style="419" hidden="1" customWidth="1"/>
    <col min="13" max="63" width="0" style="419" hidden="1" customWidth="1"/>
    <col min="64" max="64" width="25.140625" style="419" hidden="1" customWidth="1" outlineLevel="1"/>
    <col min="65" max="65" width="20.140625" style="419" hidden="1" customWidth="1" outlineLevel="1"/>
    <col min="66" max="66" width="20.42578125" style="419" hidden="1" customWidth="1" outlineLevel="1"/>
    <col min="67" max="67" width="19.85546875" style="419" hidden="1" customWidth="1" outlineLevel="1"/>
    <col min="68" max="68" width="21.28515625" style="419" hidden="1" customWidth="1" outlineLevel="1"/>
    <col min="69" max="69" width="18.85546875" style="419" hidden="1" customWidth="1" outlineLevel="1"/>
    <col min="70" max="70" width="21" style="419" hidden="1" customWidth="1" outlineLevel="1"/>
    <col min="71" max="72" width="18.7109375" style="419" hidden="1" customWidth="1" outlineLevel="1"/>
    <col min="73" max="73" width="19.140625" style="2377" hidden="1" customWidth="1" collapsed="1"/>
    <col min="74" max="74" width="16.5703125" style="419" hidden="1" customWidth="1"/>
    <col min="75" max="75" width="18" style="419" hidden="1" customWidth="1"/>
    <col min="76" max="76" width="25.140625" style="419" customWidth="1"/>
    <col min="77" max="16384" width="9.140625" style="419"/>
  </cols>
  <sheetData>
    <row r="1" spans="1:76" s="1883" customFormat="1">
      <c r="D1" s="1882" t="s">
        <v>337</v>
      </c>
      <c r="E1" s="1882" t="s">
        <v>337</v>
      </c>
      <c r="BU1" s="2479"/>
    </row>
    <row r="2" spans="1:76" s="1883" customFormat="1">
      <c r="D2" s="1882" t="s">
        <v>338</v>
      </c>
      <c r="E2" s="1882" t="s">
        <v>338</v>
      </c>
      <c r="BU2" s="2479"/>
    </row>
    <row r="3" spans="1:76" s="1883" customFormat="1">
      <c r="D3" s="1882" t="s">
        <v>339</v>
      </c>
      <c r="E3" s="1882" t="s">
        <v>339</v>
      </c>
      <c r="BU3" s="2479"/>
    </row>
    <row r="4" spans="1:76" s="1883" customFormat="1">
      <c r="D4" s="1882" t="s">
        <v>340</v>
      </c>
      <c r="E4" s="1882" t="s">
        <v>340</v>
      </c>
      <c r="BU4" s="2479"/>
    </row>
    <row r="5" spans="1:76">
      <c r="E5" s="1882" t="s">
        <v>341</v>
      </c>
      <c r="G5" s="1883"/>
      <c r="H5" s="1883"/>
    </row>
    <row r="6" spans="1:76">
      <c r="E6" s="1883"/>
      <c r="G6" s="1883"/>
      <c r="H6" s="1883"/>
    </row>
    <row r="7" spans="1:76" ht="31.9" customHeight="1">
      <c r="A7" s="3914" t="s">
        <v>5147</v>
      </c>
      <c r="B7" s="3914"/>
      <c r="C7" s="3914"/>
      <c r="D7" s="3914"/>
      <c r="E7" s="3914"/>
      <c r="F7" s="1885"/>
      <c r="G7" s="1885"/>
      <c r="H7" s="1885"/>
      <c r="I7" s="1885"/>
    </row>
    <row r="9" spans="1:76">
      <c r="A9" s="419" t="s">
        <v>5148</v>
      </c>
      <c r="I9" s="759" t="s">
        <v>254</v>
      </c>
    </row>
    <row r="10" spans="1:76" s="1887" customFormat="1" ht="125.45" customHeight="1">
      <c r="A10" s="1886" t="s">
        <v>34</v>
      </c>
      <c r="B10" s="1013" t="s">
        <v>344</v>
      </c>
      <c r="C10" s="1013" t="s">
        <v>345</v>
      </c>
      <c r="D10" s="1013" t="s">
        <v>379</v>
      </c>
      <c r="E10" s="1886" t="s">
        <v>400</v>
      </c>
      <c r="F10" s="1886" t="s">
        <v>401</v>
      </c>
      <c r="G10" s="245" t="s">
        <v>402</v>
      </c>
      <c r="H10" s="245" t="s">
        <v>403</v>
      </c>
      <c r="I10" s="245" t="s">
        <v>404</v>
      </c>
      <c r="BU10" s="2378"/>
      <c r="BX10" s="1013" t="s">
        <v>380</v>
      </c>
    </row>
    <row r="11" spans="1:76">
      <c r="A11" s="517">
        <v>1</v>
      </c>
      <c r="B11" s="517" t="s">
        <v>346</v>
      </c>
      <c r="C11" s="2379">
        <f>F11+G11+H11+I11</f>
        <v>433515935.60000002</v>
      </c>
      <c r="D11" s="2380">
        <f>'штатка МБ 2.01.'!Q9+'штатка МБ 2.01.'!T9+'штатка МБ 2.01.'!U9+'штатка ФМН 2.01.'!Q9+'штатка ФМН 2.01.'!T9+'штатка ФМН 2.01.'!U9+'штатка спальн блок 2.01.'!Q10+'штатка спальн блок 2.01.'!T10+'штатка спальн блок 2.01.'!U10</f>
        <v>229460649.59999999</v>
      </c>
      <c r="E11" s="1888">
        <f>'[60]ФОТ  инт'!AM13+'[60]ФОТ  инт'!AP13+'[60]ФОТ  инт'!AQ13</f>
        <v>21791851.199999999</v>
      </c>
      <c r="F11" s="1889">
        <f>'[60]ФОТ  инт'!AQ23+'[60]ФОТ ФМН'!AQ30+'[60]ФОТ МБ'!AQ41</f>
        <v>140214816</v>
      </c>
      <c r="G11" s="1052"/>
      <c r="H11" s="1052"/>
      <c r="I11" s="2381">
        <f>D11+'[60]Кальк Турк'!D11+'[60]Кальк МШ Ор'!C11</f>
        <v>293301119.60000002</v>
      </c>
      <c r="BL11" s="1895">
        <f>D11-'[60]Бюджет 1 кв.метр'!E47-'[60]Бюджет 1 кв.метр'!F47-'[60]Бюджет 1 кв.метр'!G47-'[60]Бюджет 1 кв.метр'!H47-'[60]Бюджет 1 кв.метр'!E58-'[60]Бюджет 1 кв.метр'!F58-'[60]Бюджет 1 кв.метр'!G58-'[60]Бюджет 1 кв.метр'!H58</f>
        <v>61511469.599999994</v>
      </c>
      <c r="BO11" s="1890"/>
      <c r="BP11" s="1890"/>
      <c r="BQ11" s="2163"/>
      <c r="BR11" s="1890"/>
      <c r="BS11" s="1890"/>
      <c r="BU11" s="2377">
        <f>'штатка МБ 2.01.'!Q9+'штатка МБ 2.01.'!T9+'штатка МБ 2.01.'!U9+'штатка ФМН 2.01.'!Q9+'штатка ФМН 2.01.'!T9+'штатка ФМН 2.01.'!U9+'штатка спальн блок 2.01.'!Q10+'штатка спальн блок 2.01.'!T10+'штатка спальн блок 2.01.'!U10</f>
        <v>229460649.59999999</v>
      </c>
      <c r="BX11" s="2380">
        <f>D11</f>
        <v>229460649.59999999</v>
      </c>
    </row>
    <row r="12" spans="1:76">
      <c r="A12" s="517">
        <v>2</v>
      </c>
      <c r="B12" s="517" t="s">
        <v>347</v>
      </c>
      <c r="C12" s="2379">
        <f t="shared" ref="C12:C21" si="0">F12+G12+H12+I12</f>
        <v>364536</v>
      </c>
      <c r="D12" s="2382" t="e">
        <f>#REF!+#REF!+#REF!</f>
        <v>#REF!</v>
      </c>
      <c r="E12" s="1888">
        <f>'[60]ГПО  инт'!AV75</f>
        <v>59896.800000000003</v>
      </c>
      <c r="F12" s="1889">
        <f>'[60]ГПО  инт'!AV75+'[60]ГПО ФМН'!G48+'[60]ГПО МБ'!G68</f>
        <v>364536</v>
      </c>
      <c r="G12" s="1052"/>
      <c r="H12" s="1052"/>
      <c r="I12" s="1052"/>
      <c r="BL12" s="1895" t="e">
        <f>D12-'[60]Бюджет 1 кв.метр'!E123-'[60]Бюджет 1 кв.метр'!F123-'[60]Бюджет 1 кв.метр'!G123-'[60]Бюджет 1 кв.метр'!H123</f>
        <v>#REF!</v>
      </c>
      <c r="BO12" s="1890"/>
      <c r="BP12" s="1890"/>
      <c r="BR12" s="1890"/>
      <c r="BS12" s="1890"/>
      <c r="BU12" s="2377" t="e">
        <f>#REF!+#REF!+#REF!</f>
        <v>#REF!</v>
      </c>
      <c r="BX12" s="2506" t="e">
        <f t="shared" ref="BX12:BX14" si="1">D12</f>
        <v>#REF!</v>
      </c>
    </row>
    <row r="13" spans="1:76">
      <c r="A13" s="517">
        <v>3</v>
      </c>
      <c r="B13" s="517" t="s">
        <v>348</v>
      </c>
      <c r="C13" s="2379">
        <f t="shared" si="0"/>
        <v>8900000</v>
      </c>
      <c r="D13" s="2382" t="e">
        <f>#REF!+#REF!+#REF!</f>
        <v>#REF!</v>
      </c>
      <c r="E13" s="1888">
        <f>[60]медстрах!G15</f>
        <v>900000</v>
      </c>
      <c r="F13" s="1889">
        <f>[60]медстрах!G15+[60]медстрахФМН!D7+'[60]мед страх МБ'!D7</f>
        <v>8900000</v>
      </c>
      <c r="G13" s="1052"/>
      <c r="H13" s="1052"/>
      <c r="I13" s="1052"/>
      <c r="BL13" s="1895" t="e">
        <f>D13-'[60]Бюджет 1 кв.метр'!E126-'[60]Бюджет 1 кв.метр'!F126-'[60]Бюджет 1 кв.метр'!G126-'[60]Бюджет 1 кв.метр'!H126</f>
        <v>#REF!</v>
      </c>
      <c r="BM13" s="419">
        <f>'[60]ФОТ комплекс'!C64-'[60]ФОТ комплекс'!C8-'[60]ФОТ комплекс'!C41</f>
        <v>167</v>
      </c>
      <c r="BO13" s="1890"/>
      <c r="BP13" s="1890"/>
      <c r="BR13" s="1890"/>
      <c r="BS13" s="1890"/>
      <c r="BU13" s="2377" t="e">
        <f>#REF!+#REF!+#REF!</f>
        <v>#REF!</v>
      </c>
      <c r="BX13" s="2506" t="e">
        <f t="shared" si="1"/>
        <v>#REF!</v>
      </c>
    </row>
    <row r="14" spans="1:76">
      <c r="A14" s="517">
        <v>4</v>
      </c>
      <c r="B14" s="517" t="s">
        <v>349</v>
      </c>
      <c r="C14" s="2379">
        <f t="shared" si="0"/>
        <v>123816.20000000001</v>
      </c>
      <c r="D14" s="2382" t="e">
        <f>#REF!+#REF!+#REF!</f>
        <v>#REF!</v>
      </c>
      <c r="E14" s="1888">
        <f>'[60]банк усл'!F9</f>
        <v>16061</v>
      </c>
      <c r="F14" s="1889">
        <f>'[60]банк усл'!F9+'[60]банк усл ФМН'!F7+'[60]банк услугиМБ'!F7</f>
        <v>123816.20000000001</v>
      </c>
      <c r="G14" s="1052"/>
      <c r="H14" s="1052"/>
      <c r="I14" s="1052"/>
      <c r="BL14" s="2383" t="e">
        <f>D14-'[60]Бюджет 1 кв.метр'!E134-'[60]Бюджет 1 кв.метр'!F134-'[60]Бюджет 1 кв.метр'!G134-'[60]Бюджет 1 кв.метр'!H134</f>
        <v>#REF!</v>
      </c>
      <c r="BM14" s="2384" t="e">
        <f>D13/100000</f>
        <v>#REF!</v>
      </c>
      <c r="BN14" s="2384" t="e">
        <f>BM14*64800</f>
        <v>#REF!</v>
      </c>
      <c r="BO14" s="2385" t="e">
        <f>D13-BN14</f>
        <v>#REF!</v>
      </c>
      <c r="BP14" s="2385"/>
      <c r="BQ14" s="2384"/>
      <c r="BR14" s="2385"/>
      <c r="BS14" s="2385"/>
      <c r="BT14" s="2384"/>
      <c r="BU14" s="2386" t="e">
        <f>#REF!+#REF!+#REF!</f>
        <v>#REF!</v>
      </c>
      <c r="BV14" s="2384"/>
      <c r="BW14" s="2384"/>
      <c r="BX14" s="2506" t="e">
        <f t="shared" si="1"/>
        <v>#REF!</v>
      </c>
    </row>
    <row r="15" spans="1:76">
      <c r="A15" s="517">
        <v>5</v>
      </c>
      <c r="B15" s="517" t="s">
        <v>350</v>
      </c>
      <c r="C15" s="2379">
        <f t="shared" si="0"/>
        <v>296875</v>
      </c>
      <c r="D15" s="2382">
        <f>('[60]Бюджет 1 кв.метр'!E195+'[60]Бюджет 1 кв.метр'!F195+'[60]Бюджет 1 кв.метр'!G195+'[60]Бюджет 1 кв.метр'!H195)/1.12</f>
        <v>0</v>
      </c>
      <c r="E15" s="1888">
        <f>'[60]соцсфера ИНТ'!F6</f>
        <v>46874.999999999993</v>
      </c>
      <c r="F15" s="1889">
        <f>('[60]соцсфера ИНТ'!H6+[60]соцсфера!H7+'[60]соцсфера МБ'!H6)/1.12</f>
        <v>296875</v>
      </c>
      <c r="G15" s="1052"/>
      <c r="H15" s="1052"/>
      <c r="I15" s="1052"/>
      <c r="BL15" s="2383">
        <f>D15*1.12-'[60]Бюджет 1 кв.метр'!E156-'[60]Бюджет 1 кв.метр'!F156-'[60]Бюджет 1 кв.метр'!G156-'[60]Бюджет 1 кв.метр'!H156</f>
        <v>-20990863.295999996</v>
      </c>
      <c r="BM15" s="2384"/>
      <c r="BN15" s="2384"/>
      <c r="BO15" s="2385"/>
      <c r="BP15" s="2385"/>
      <c r="BQ15" s="2384"/>
      <c r="BR15" s="2387"/>
      <c r="BS15" s="2385"/>
      <c r="BT15" s="2384"/>
      <c r="BU15" s="2386"/>
      <c r="BV15" s="2384"/>
      <c r="BW15" s="2384"/>
      <c r="BX15" s="2382" t="e">
        <f>('[60]Бюджет 1 кв.метр'!BY195+'[60]Бюджет 1 кв.метр'!BZ195+'[60]Бюджет 1 кв.метр'!CA195+'[60]Бюджет 1 кв.метр'!CB195)/1.12</f>
        <v>#REF!</v>
      </c>
    </row>
    <row r="16" spans="1:76">
      <c r="A16" s="517">
        <v>6</v>
      </c>
      <c r="B16" s="517" t="s">
        <v>351</v>
      </c>
      <c r="C16" s="2379">
        <f t="shared" si="0"/>
        <v>0</v>
      </c>
      <c r="D16" s="2388"/>
      <c r="E16" s="517"/>
      <c r="F16" s="517"/>
      <c r="G16" s="2379"/>
      <c r="H16" s="2379"/>
      <c r="I16" s="2379"/>
      <c r="BL16" s="2384"/>
      <c r="BM16" s="2384"/>
      <c r="BN16" s="2384"/>
      <c r="BO16" s="2384"/>
      <c r="BP16" s="2384"/>
      <c r="BQ16" s="2384"/>
      <c r="BR16" s="2385"/>
      <c r="BS16" s="2385"/>
      <c r="BT16" s="2384"/>
      <c r="BU16" s="2386"/>
      <c r="BV16" s="2384"/>
      <c r="BW16" s="2384"/>
      <c r="BX16" s="2388"/>
    </row>
    <row r="17" spans="1:76">
      <c r="A17" s="517">
        <v>7</v>
      </c>
      <c r="B17" s="517" t="s">
        <v>352</v>
      </c>
      <c r="C17" s="2379">
        <f t="shared" si="0"/>
        <v>0</v>
      </c>
      <c r="D17" s="2388"/>
      <c r="E17" s="517"/>
      <c r="F17" s="517"/>
      <c r="G17" s="2379"/>
      <c r="H17" s="2379"/>
      <c r="I17" s="2379"/>
      <c r="K17" s="1890"/>
      <c r="BL17" s="2384"/>
      <c r="BM17" s="2384"/>
      <c r="BN17" s="2384"/>
      <c r="BO17" s="2384"/>
      <c r="BP17" s="2384"/>
      <c r="BQ17" s="2384"/>
      <c r="BR17" s="2385"/>
      <c r="BS17" s="2385"/>
      <c r="BT17" s="2384"/>
      <c r="BU17" s="2386"/>
      <c r="BV17" s="2384"/>
      <c r="BW17" s="2384"/>
      <c r="BX17" s="2388"/>
    </row>
    <row r="18" spans="1:76">
      <c r="A18" s="517">
        <v>8</v>
      </c>
      <c r="B18" s="517" t="s">
        <v>353</v>
      </c>
      <c r="C18" s="2379">
        <f t="shared" si="0"/>
        <v>38125058.621964276</v>
      </c>
      <c r="D18" s="2388" t="e">
        <f>('моющ МБ 2.03.05'!#REF!+'моющФМН 2.03.05'!AD14+'хоз свод'!AB9+#REF!+'пр запасы фмн 2.03.09.'!AB9+'пр запасы мб 2.03.09.'!AB9+'моющИНТ 2.03.05.'!AD9+хозИНТ!AB7+тмцИНТ!Z9+'гсм школа'!#REF!+'гсм школа'!#REF!+'гсм школа'!#REF!+'гсм школа'!#REF!+'гсм школа'!#REF!+'гсм школа'!#REF!+'гсм школа'!#REF!+'гсм школа'!#REF!+'гсм школа'!#REF!+'гсм школа'!#REF!+'гсм школа'!#REF!+'гсм школа'!#REF!+'гсм школа'!#REF!+'гсм школа'!#REF!)/1.12</f>
        <v>#REF!</v>
      </c>
      <c r="E18" s="1889">
        <f>I18</f>
        <v>8421211.4464285709</v>
      </c>
      <c r="F18" s="517"/>
      <c r="G18" s="2379">
        <f>('[61]гсм школа'!$M$48+'[61]гсм школа'!$M$50+'[61]моющ школы'!$R$15+'[61]хоз школы'!$R$9+'[61]тмц школы'!$R$9)/1.12</f>
        <v>29703847.175535709</v>
      </c>
      <c r="H18" s="2379"/>
      <c r="I18" s="2379">
        <f>([61]моющИНТ!$R$9+[61]хозИНТ!$R$8+[61]тмцИНТ!$R$9)/1.12</f>
        <v>8421211.4464285709</v>
      </c>
      <c r="BL18" s="2383" t="e">
        <f>D18*1.12-'[60]Бюджет 1 кв.метр'!E61-'[60]Бюджет 1 кв.метр'!F61-'[60]Бюджет 1 кв.метр'!G61-'[60]Бюджет 1 кв.метр'!H61</f>
        <v>#REF!</v>
      </c>
      <c r="BM18" s="2384"/>
      <c r="BN18" s="2384"/>
      <c r="BO18" s="2384"/>
      <c r="BP18" s="2384"/>
      <c r="BQ18" s="2383"/>
      <c r="BR18" s="2385"/>
      <c r="BS18" s="2385"/>
      <c r="BT18" s="2384"/>
      <c r="BU18" s="2386" t="e">
        <f>'моющ МБ 2.03.05'!X14+'моющФМН 2.03.05'!X14+'хоз свод'!T9+#REF!+'пр запасы фмн 2.03.09.'!V9+'пр запасы мб 2.03.09.'!V9+'хоз кот и ул освещ'!V4+'хоз кот и ул освещ'!V4+'моющИНТ 2.03.05.'!X9+хозИНТ!T7+тмцИНТ!T9+'гсм школа'!I47+'гсм школа'!I48+'гсм школа'!I49+'гсм школа'!I50+'гсм школа'!I52+'гсм школа'!I54+'гсм школа'!I56+'гсм школа'!I58+'гсм школа'!#REF!+'гсм школа'!#REF!+'гсм школа'!#REF!</f>
        <v>#REF!</v>
      </c>
      <c r="BV18" s="2455" t="e">
        <f>'гсм школа'!K47+'гсм школа'!K48+'гсм школа'!K49+'гсм школа'!K50+'гсм школа'!K52+'гсм школа'!K54+'гсм школа'!K56+'гсм школа'!K58+'гсм школа'!#REF!+'гсм школа'!#REF!+'гсм школа'!#REF!+'гсм школа'!#REF!+'гсм школа'!#REF!+'гсм школа'!#REF!+'моющ МБ 2.03.05'!X14+'моющФМН 2.03.05'!X14+'хоз свод'!T9+#REF!+'пр запасы фмн 2.03.09.'!V9+'пр запасы мб 2.03.09.'!V9+'моющИНТ 2.03.05.'!X9+хозИНТ!V7+'хоз кот и ул освещ'!V4+'хоз кот и ул освещ'!V4+тмцИНТ!T9</f>
        <v>#REF!</v>
      </c>
      <c r="BW18" s="2383"/>
      <c r="BX18" s="2388" t="e">
        <f>('гсм школа'!#REF!+'гсм школа'!#REF!+'гсм школа'!#REF!+'гсм школа'!#REF!+'гсм школа'!#REF!+'гсм школа'!#REF!+'гсм школа'!#REF!+'гсм школа'!#REF!+'гсм школа'!#REF!+'гсм школа'!#REF!+'гсм школа'!#REF!+'гсм школа'!#REF!+'гсм школа'!#REF!+'гсм школа'!#REF!+'моющ МБ 2.03.05'!#REF!+'моющФМН 2.03.05'!AD14+'хоз свод'!AB9+#REF!+'пр запасы фмн 2.03.09.'!AB9+'пр запасы мб 2.03.09.'!AB9+'моющИНТ 2.03.05.'!AD9+хозИНТ!AD7+тмцИНТ!AB9)/1.12</f>
        <v>#REF!</v>
      </c>
    </row>
    <row r="19" spans="1:76">
      <c r="A19" s="517">
        <v>9</v>
      </c>
      <c r="B19" s="517" t="s">
        <v>405</v>
      </c>
      <c r="C19" s="2379">
        <f t="shared" si="0"/>
        <v>35336</v>
      </c>
      <c r="D19" s="2388" t="e">
        <f>(#REF!+#REF!)/1.12</f>
        <v>#REF!</v>
      </c>
      <c r="E19" s="517"/>
      <c r="F19" s="517"/>
      <c r="G19" s="2379">
        <f>('[61]Свободная форма курсы'!$G$53+'[61]Свободная форма курсы'!$G$79)/1.12</f>
        <v>35336</v>
      </c>
      <c r="H19" s="2379"/>
      <c r="I19" s="2379"/>
      <c r="BL19" s="2383" t="e">
        <f>D19*1.12-'[60]Бюджет 1 кв.метр'!E164-'[60]Бюджет 1 кв.метр'!F164-'[60]Бюджет 1 кв.метр'!G164-'[60]Бюджет 1 кв.метр'!H164</f>
        <v>#REF!</v>
      </c>
      <c r="BM19" s="2384"/>
      <c r="BN19" s="2384"/>
      <c r="BO19" s="2384"/>
      <c r="BP19" s="2384"/>
      <c r="BQ19" s="2385"/>
      <c r="BR19" s="2383"/>
      <c r="BS19" s="2385"/>
      <c r="BT19" s="2384"/>
      <c r="BU19" s="2386" t="e">
        <f>#REF!+#REF!</f>
        <v>#REF!</v>
      </c>
      <c r="BV19" s="2389"/>
      <c r="BW19" s="2384"/>
      <c r="BX19" s="2388" t="e">
        <f>(#REF!+#REF!)/1.12</f>
        <v>#REF!</v>
      </c>
    </row>
    <row r="20" spans="1:76">
      <c r="A20" s="517">
        <v>10</v>
      </c>
      <c r="B20" s="517" t="s">
        <v>389</v>
      </c>
      <c r="C20" s="2379">
        <f t="shared" si="0"/>
        <v>0</v>
      </c>
      <c r="D20" s="2388"/>
      <c r="E20" s="517"/>
      <c r="F20" s="517"/>
      <c r="G20" s="2379"/>
      <c r="H20" s="2379"/>
      <c r="I20" s="2379"/>
      <c r="BL20" s="2384"/>
      <c r="BM20" s="2384"/>
      <c r="BN20" s="2384"/>
      <c r="BO20" s="2384"/>
      <c r="BP20" s="2384"/>
      <c r="BQ20" s="2384"/>
      <c r="BR20" s="2384"/>
      <c r="BS20" s="2385"/>
      <c r="BT20" s="2384"/>
      <c r="BU20" s="2386" t="e">
        <f>#REF!+#REF!+#REF!+#REF!</f>
        <v>#REF!</v>
      </c>
      <c r="BV20" s="2384"/>
      <c r="BW20" s="2384"/>
      <c r="BX20" s="2388" t="e">
        <f>(#REF!+#REF!+#REF!+#REF!)/1.12</f>
        <v>#REF!</v>
      </c>
    </row>
    <row r="21" spans="1:76">
      <c r="A21" s="517">
        <v>11</v>
      </c>
      <c r="B21" s="517" t="s">
        <v>4470</v>
      </c>
      <c r="C21" s="2379">
        <f t="shared" si="0"/>
        <v>0</v>
      </c>
      <c r="D21" s="2388">
        <f>'налог на транс 2.22.03'!K18</f>
        <v>14430</v>
      </c>
      <c r="E21" s="517"/>
      <c r="F21" s="517"/>
      <c r="G21" s="2379"/>
      <c r="H21" s="2379"/>
      <c r="I21" s="2379"/>
      <c r="BL21" s="2384" t="s">
        <v>407</v>
      </c>
      <c r="BM21" s="2384"/>
      <c r="BN21" s="2384"/>
      <c r="BO21" s="2384" t="s">
        <v>408</v>
      </c>
      <c r="BP21" s="2384"/>
      <c r="BQ21" s="2386"/>
      <c r="BR21" s="2386" t="s">
        <v>409</v>
      </c>
      <c r="BS21" s="2385"/>
      <c r="BT21" s="2384"/>
      <c r="BU21" s="2386">
        <f>'налог на транс 2.22.03'!K18</f>
        <v>14430</v>
      </c>
      <c r="BV21" s="2384"/>
      <c r="BW21" s="2384"/>
      <c r="BX21" s="2388">
        <f>'налог на транс 2.22.03'!K18</f>
        <v>14430</v>
      </c>
    </row>
    <row r="22" spans="1:76" outlineLevel="1">
      <c r="A22" s="517">
        <v>12</v>
      </c>
      <c r="B22" s="517" t="s">
        <v>58</v>
      </c>
      <c r="C22" s="2379">
        <f>'[62]Бюджет Адм+школы new'!$Z$57/1.12</f>
        <v>0</v>
      </c>
      <c r="D22" s="2388"/>
      <c r="E22" s="517"/>
      <c r="F22" s="517"/>
      <c r="G22" s="2379"/>
      <c r="H22" s="2379"/>
      <c r="I22" s="2379"/>
      <c r="BL22" s="2390" t="s">
        <v>410</v>
      </c>
      <c r="BM22" s="2390" t="s">
        <v>214</v>
      </c>
      <c r="BN22" s="2390" t="s">
        <v>411</v>
      </c>
      <c r="BO22" s="2390" t="s">
        <v>410</v>
      </c>
      <c r="BP22" s="2390" t="s">
        <v>214</v>
      </c>
      <c r="BQ22" s="2390" t="s">
        <v>411</v>
      </c>
      <c r="BR22" s="2390" t="s">
        <v>410</v>
      </c>
      <c r="BS22" s="2390" t="s">
        <v>214</v>
      </c>
      <c r="BT22" s="2390" t="s">
        <v>411</v>
      </c>
      <c r="BU22" s="2386"/>
      <c r="BV22" s="2384"/>
      <c r="BW22" s="2384"/>
      <c r="BX22" s="2388"/>
    </row>
    <row r="23" spans="1:76">
      <c r="A23" s="517"/>
      <c r="B23" s="516" t="s">
        <v>5149</v>
      </c>
      <c r="C23" s="2391">
        <f>SUM(C11:C22)</f>
        <v>481361557.42196429</v>
      </c>
      <c r="D23" s="2392" t="e">
        <f>SUM(D11:D15)+D18+D19+D20+D21</f>
        <v>#REF!</v>
      </c>
      <c r="E23" s="1891">
        <f>SUM(E11:E15)+E18+E19</f>
        <v>31235895.446428571</v>
      </c>
      <c r="F23" s="1891">
        <f>SUM(F11:F22)</f>
        <v>149900043.19999999</v>
      </c>
      <c r="G23" s="1891">
        <f>SUM(G11:G22)</f>
        <v>29739183.175535709</v>
      </c>
      <c r="H23" s="1892">
        <f>SUM(H11:H22)</f>
        <v>0</v>
      </c>
      <c r="I23" s="1892">
        <f>SUM(I11:I22)</f>
        <v>301722331.04642862</v>
      </c>
      <c r="J23" s="419" t="e">
        <f>(#REF!+F23)*1.12</f>
        <v>#REF!</v>
      </c>
      <c r="K23" s="1890" t="e">
        <f>(#REF!+F23)*1.12</f>
        <v>#REF!</v>
      </c>
      <c r="L23" s="1890">
        <f>F23*1.12</f>
        <v>167888048.384</v>
      </c>
      <c r="BL23" s="2393" t="e">
        <f>D23*1.12</f>
        <v>#REF!</v>
      </c>
      <c r="BM23" s="2393" t="e">
        <f>BL23-D23</f>
        <v>#REF!</v>
      </c>
      <c r="BN23" s="2394"/>
      <c r="BO23" s="2393">
        <f>'[60]Кальк Турк'!D24*1.12</f>
        <v>40802425.440000005</v>
      </c>
      <c r="BP23" s="2393">
        <f>BO23-'[60]Кальк Турк'!D24</f>
        <v>4371688.4400000051</v>
      </c>
      <c r="BQ23" s="2394">
        <f>'[60]Кальк Турк'!D24</f>
        <v>36430737</v>
      </c>
      <c r="BR23" s="2393"/>
      <c r="BS23" s="2393"/>
      <c r="BT23" s="2394"/>
      <c r="BU23" s="2386"/>
      <c r="BV23" s="2384"/>
      <c r="BW23" s="2384"/>
      <c r="BX23" s="2392" t="e">
        <f>SUM(BX11:BX15)+BX18+BX19+BX20+BX21</f>
        <v>#REF!</v>
      </c>
    </row>
    <row r="24" spans="1:76">
      <c r="A24" s="517"/>
      <c r="B24" s="516" t="s">
        <v>359</v>
      </c>
      <c r="C24" s="2391">
        <f>C23/12</f>
        <v>40113463.118497021</v>
      </c>
      <c r="D24" s="2392" t="e">
        <f>D23/12</f>
        <v>#REF!</v>
      </c>
      <c r="E24" s="2391">
        <f t="shared" ref="E24:I24" si="2">E23/12</f>
        <v>2602991.2872023811</v>
      </c>
      <c r="F24" s="2391">
        <f t="shared" si="2"/>
        <v>12491670.266666666</v>
      </c>
      <c r="G24" s="2391">
        <f>G23/12</f>
        <v>2478265.2646279759</v>
      </c>
      <c r="H24" s="2391">
        <f t="shared" si="2"/>
        <v>0</v>
      </c>
      <c r="I24" s="2391">
        <f t="shared" si="2"/>
        <v>25143527.587202385</v>
      </c>
      <c r="J24" s="1890">
        <f>C23*1.12</f>
        <v>539124944.31260002</v>
      </c>
      <c r="BL24" s="2394"/>
      <c r="BM24" s="2394"/>
      <c r="BN24" s="2394"/>
      <c r="BO24" s="2394"/>
      <c r="BP24" s="2394"/>
      <c r="BQ24" s="2394"/>
      <c r="BR24" s="2394"/>
      <c r="BS24" s="2394"/>
      <c r="BT24" s="2394"/>
      <c r="BU24" s="2386"/>
      <c r="BV24" s="2384"/>
      <c r="BW24" s="2384"/>
      <c r="BX24" s="2392" t="e">
        <f>BX23/12</f>
        <v>#REF!</v>
      </c>
    </row>
    <row r="25" spans="1:76">
      <c r="A25" s="517"/>
      <c r="B25" s="517" t="s">
        <v>440</v>
      </c>
      <c r="C25" s="2379">
        <v>15941.2</v>
      </c>
      <c r="D25" s="2395">
        <v>16815.8</v>
      </c>
      <c r="E25" s="1889"/>
      <c r="F25" s="1889">
        <f>C25</f>
        <v>15941.2</v>
      </c>
      <c r="G25" s="2396">
        <v>15941.2</v>
      </c>
      <c r="H25" s="2396"/>
      <c r="I25" s="2396"/>
      <c r="BL25" s="2394"/>
      <c r="BM25" s="2394"/>
      <c r="BN25" s="2394"/>
      <c r="BO25" s="2394"/>
      <c r="BP25" s="2394"/>
      <c r="BQ25" s="2394"/>
      <c r="BR25" s="2394"/>
      <c r="BS25" s="2394"/>
      <c r="BT25" s="2394"/>
      <c r="BU25" s="2386"/>
      <c r="BV25" s="2384"/>
      <c r="BW25" s="2384"/>
      <c r="BX25" s="2395">
        <v>16815.8</v>
      </c>
    </row>
    <row r="26" spans="1:76">
      <c r="A26" s="517"/>
      <c r="B26" s="517" t="s">
        <v>441</v>
      </c>
      <c r="C26" s="2379">
        <v>15941.2</v>
      </c>
      <c r="D26" s="2395">
        <v>16859.7</v>
      </c>
      <c r="E26" s="1889"/>
      <c r="F26" s="1889">
        <f>C26</f>
        <v>15941.2</v>
      </c>
      <c r="G26" s="2396">
        <f>F26</f>
        <v>15941.2</v>
      </c>
      <c r="H26" s="2396">
        <f>F26</f>
        <v>15941.2</v>
      </c>
      <c r="I26" s="2396"/>
      <c r="BL26" s="2394"/>
      <c r="BM26" s="2394"/>
      <c r="BN26" s="2394"/>
      <c r="BO26" s="2394"/>
      <c r="BP26" s="2394"/>
      <c r="BQ26" s="2394"/>
      <c r="BR26" s="2394"/>
      <c r="BS26" s="2394"/>
      <c r="BT26" s="2394"/>
      <c r="BU26" s="2386"/>
      <c r="BV26" s="2384"/>
      <c r="BW26" s="2384"/>
      <c r="BX26" s="2395">
        <v>16859.7</v>
      </c>
    </row>
    <row r="27" spans="1:76">
      <c r="A27" s="517"/>
      <c r="B27" s="517" t="s">
        <v>442</v>
      </c>
      <c r="C27" s="2379">
        <v>4333.2</v>
      </c>
      <c r="D27" s="2397">
        <f>1369.5+1359.9+1350.8</f>
        <v>4080.2</v>
      </c>
      <c r="E27" s="2379">
        <f>C27</f>
        <v>4333.2</v>
      </c>
      <c r="F27" s="2379">
        <v>4333.2</v>
      </c>
      <c r="G27" s="2396"/>
      <c r="H27" s="2396"/>
      <c r="I27" s="2396">
        <f>F27</f>
        <v>4333.2</v>
      </c>
      <c r="BL27" s="2398" t="s">
        <v>414</v>
      </c>
      <c r="BM27" s="2394"/>
      <c r="BN27" s="2394"/>
      <c r="BO27" s="2394"/>
      <c r="BP27" s="2394"/>
      <c r="BQ27" s="2394"/>
      <c r="BR27" s="2394"/>
      <c r="BS27" s="2394"/>
      <c r="BT27" s="2394"/>
      <c r="BU27" s="2386"/>
      <c r="BV27" s="2384"/>
      <c r="BW27" s="2384"/>
      <c r="BX27" s="2397">
        <f>1369.5+1359.9+1350.8</f>
        <v>4080.2</v>
      </c>
    </row>
    <row r="28" spans="1:76">
      <c r="A28" s="517"/>
      <c r="B28" s="516" t="s">
        <v>361</v>
      </c>
      <c r="C28" s="2391">
        <f t="shared" ref="C28:I28" si="3">SUM(C25:C27)</f>
        <v>36215.599999999999</v>
      </c>
      <c r="D28" s="2392">
        <f>SUM(D25:D27)</f>
        <v>37755.699999999997</v>
      </c>
      <c r="E28" s="2391">
        <f t="shared" si="3"/>
        <v>4333.2</v>
      </c>
      <c r="F28" s="2391">
        <f t="shared" si="3"/>
        <v>36215.599999999999</v>
      </c>
      <c r="G28" s="2391">
        <f t="shared" si="3"/>
        <v>31882.400000000001</v>
      </c>
      <c r="H28" s="2391">
        <f t="shared" si="3"/>
        <v>15941.2</v>
      </c>
      <c r="I28" s="2391">
        <f t="shared" si="3"/>
        <v>4333.2</v>
      </c>
      <c r="BL28" s="2390" t="s">
        <v>410</v>
      </c>
      <c r="BM28" s="2390" t="s">
        <v>214</v>
      </c>
      <c r="BN28" s="2390" t="s">
        <v>411</v>
      </c>
      <c r="BO28" s="2390" t="s">
        <v>410</v>
      </c>
      <c r="BP28" s="2390" t="s">
        <v>214</v>
      </c>
      <c r="BQ28" s="2390" t="s">
        <v>411</v>
      </c>
      <c r="BR28" s="2390" t="s">
        <v>410</v>
      </c>
      <c r="BS28" s="2390" t="s">
        <v>214</v>
      </c>
      <c r="BT28" s="2390" t="s">
        <v>411</v>
      </c>
      <c r="BU28" s="2386"/>
      <c r="BV28" s="2384"/>
      <c r="BW28" s="2384"/>
      <c r="BX28" s="2392">
        <f>SUM(BX25:BX27)</f>
        <v>37755.699999999997</v>
      </c>
    </row>
    <row r="29" spans="1:76">
      <c r="A29" s="517"/>
      <c r="B29" s="517" t="s">
        <v>415</v>
      </c>
      <c r="C29" s="2388"/>
      <c r="D29" s="2399" t="e">
        <f>ROUND(D24/D28,2)</f>
        <v>#REF!</v>
      </c>
      <c r="E29" s="2388">
        <f>E24/E28</f>
        <v>600.70878039379238</v>
      </c>
      <c r="F29" s="2388">
        <f>F24/F28</f>
        <v>344.92512250705954</v>
      </c>
      <c r="G29" s="2388">
        <f>G24/(F25+F26)</f>
        <v>77.731452607958488</v>
      </c>
      <c r="H29" s="2388">
        <f>H24/H28</f>
        <v>0</v>
      </c>
      <c r="I29" s="2388">
        <f>I24/I28</f>
        <v>5802.5310595408446</v>
      </c>
      <c r="BL29" s="2400" t="e">
        <f>D29*D28*1.12*12</f>
        <v>#REF!</v>
      </c>
      <c r="BM29" s="2394"/>
      <c r="BN29" s="2394"/>
      <c r="BO29" s="2400">
        <f>'[60]Кальк Турк'!D31*1.12*'[60]Кальк Турк'!D30*6</f>
        <v>40802022.374400005</v>
      </c>
      <c r="BP29" s="2400">
        <f>BO29-BQ29</f>
        <v>4371645.2544000074</v>
      </c>
      <c r="BQ29" s="2400">
        <f>'[60]Кальк Турк'!D31*'[60]Кальк Турк'!D30*6</f>
        <v>36430377.119999997</v>
      </c>
      <c r="BR29" s="2400"/>
      <c r="BS29" s="2400"/>
      <c r="BT29" s="2400"/>
      <c r="BU29" s="2386" t="e">
        <f>D24/D28</f>
        <v>#REF!</v>
      </c>
      <c r="BV29" s="2384"/>
      <c r="BW29" s="2384"/>
      <c r="BX29" s="2399" t="e">
        <f>ROUND(BX24/BX28,2)</f>
        <v>#REF!</v>
      </c>
    </row>
    <row r="30" spans="1:76">
      <c r="A30" s="517"/>
      <c r="B30" s="517" t="s">
        <v>416</v>
      </c>
      <c r="C30" s="2388"/>
      <c r="D30" s="2399" t="e">
        <f>ROUND('Кальк АУП'!C34,2)</f>
        <v>#REF!</v>
      </c>
      <c r="E30" s="2388"/>
      <c r="F30" s="2388"/>
      <c r="G30" s="2388"/>
      <c r="H30" s="2388"/>
      <c r="I30" s="2388"/>
      <c r="BL30" s="2400" t="e">
        <f>D30*1.12*D28*12</f>
        <v>#REF!</v>
      </c>
      <c r="BM30" s="2400" t="e">
        <f>BL30-BN30</f>
        <v>#REF!</v>
      </c>
      <c r="BN30" s="2400" t="e">
        <f>D30*D28*12</f>
        <v>#REF!</v>
      </c>
      <c r="BO30" s="2400">
        <f>'[60]Кальк Турк'!D32*1.12*'[60]Кальк Турк'!D30*6</f>
        <v>4825835.7504000003</v>
      </c>
      <c r="BP30" s="2400">
        <f>BO30-BQ30</f>
        <v>517053.83040000033</v>
      </c>
      <c r="BQ30" s="2400">
        <f>'[60]Кальк Турк'!D32*6*'[60]Кальк Турк'!D30</f>
        <v>4308781.92</v>
      </c>
      <c r="BR30" s="2400"/>
      <c r="BS30" s="2400"/>
      <c r="BT30" s="2400"/>
      <c r="BU30" s="2386" t="e">
        <f>D30</f>
        <v>#REF!</v>
      </c>
      <c r="BV30" s="2384"/>
      <c r="BW30" s="2384"/>
      <c r="BX30" s="2399" t="e">
        <f>D30</f>
        <v>#REF!</v>
      </c>
    </row>
    <row r="31" spans="1:76">
      <c r="A31" s="517"/>
      <c r="B31" s="516" t="s">
        <v>417</v>
      </c>
      <c r="C31" s="2392"/>
      <c r="D31" s="2401" t="e">
        <f>D30+D29</f>
        <v>#REF!</v>
      </c>
      <c r="E31" s="2388"/>
      <c r="F31" s="2388"/>
      <c r="G31" s="2388"/>
      <c r="H31" s="2388"/>
      <c r="I31" s="2388"/>
      <c r="BL31" s="2400"/>
      <c r="BM31" s="2393"/>
      <c r="BN31" s="2394"/>
      <c r="BO31" s="2400"/>
      <c r="BP31" s="2393"/>
      <c r="BQ31" s="2394"/>
      <c r="BR31" s="2400"/>
      <c r="BS31" s="2393"/>
      <c r="BT31" s="2394"/>
      <c r="BU31" s="2386" t="e">
        <f>SUM(BU29:BU30)</f>
        <v>#REF!</v>
      </c>
      <c r="BV31" s="2384"/>
      <c r="BW31" s="2384"/>
      <c r="BX31" s="2401" t="e">
        <f>BX30+BX29</f>
        <v>#REF!</v>
      </c>
    </row>
    <row r="32" spans="1:76">
      <c r="A32" s="517"/>
      <c r="B32" s="517" t="s">
        <v>363</v>
      </c>
      <c r="C32" s="2388"/>
      <c r="D32" s="2395" t="e">
        <f>ROUND(D31*12%,2)</f>
        <v>#REF!</v>
      </c>
      <c r="E32" s="1893">
        <f>E29*12%</f>
        <v>72.08505364725508</v>
      </c>
      <c r="F32" s="1893">
        <f>F29*12%</f>
        <v>41.391014700847144</v>
      </c>
      <c r="G32" s="1894">
        <f>G29*12%</f>
        <v>9.3277743129550181</v>
      </c>
      <c r="H32" s="1894">
        <f>H29*12%</f>
        <v>0</v>
      </c>
      <c r="I32" s="1894">
        <f>I29*12%</f>
        <v>696.30372714490136</v>
      </c>
      <c r="BL32" s="2394"/>
      <c r="BM32" s="2394"/>
      <c r="BN32" s="2394"/>
      <c r="BO32" s="2394"/>
      <c r="BP32" s="2394"/>
      <c r="BQ32" s="2394"/>
      <c r="BR32" s="2394"/>
      <c r="BS32" s="2394"/>
      <c r="BT32" s="2394"/>
      <c r="BU32" s="2386" t="e">
        <f>BU31*12%</f>
        <v>#REF!</v>
      </c>
      <c r="BV32" s="2384"/>
      <c r="BW32" s="2384"/>
      <c r="BX32" s="2395" t="e">
        <f>ROUND(BX31*12%,2)</f>
        <v>#REF!</v>
      </c>
    </row>
    <row r="33" spans="1:76">
      <c r="A33" s="517"/>
      <c r="B33" s="517" t="s">
        <v>418</v>
      </c>
      <c r="C33" s="2392"/>
      <c r="D33" s="2401" t="e">
        <f>D32+D31</f>
        <v>#REF!</v>
      </c>
      <c r="E33" s="1896">
        <f>E32+E29</f>
        <v>672.79383404104749</v>
      </c>
      <c r="F33" s="1896">
        <f>F32+F29</f>
        <v>386.31613720790671</v>
      </c>
      <c r="G33" s="1897">
        <f>G32+G29</f>
        <v>87.059226920913503</v>
      </c>
      <c r="H33" s="1897">
        <f>H32+H29</f>
        <v>0</v>
      </c>
      <c r="I33" s="1897">
        <f>I32+I29</f>
        <v>6498.8347866857457</v>
      </c>
      <c r="J33" s="664" t="s">
        <v>365</v>
      </c>
      <c r="BL33" s="2400" t="e">
        <f>D33*D28*12</f>
        <v>#REF!</v>
      </c>
      <c r="BM33" s="2400" t="e">
        <f>BL33-BN33</f>
        <v>#REF!</v>
      </c>
      <c r="BN33" s="2400" t="e">
        <f>D31*D28*12</f>
        <v>#REF!</v>
      </c>
      <c r="BO33" s="2400">
        <f>'[60]Кальк Турк'!D35*'[60]Кальк Турк'!D30*6</f>
        <v>45628206.719999999</v>
      </c>
      <c r="BP33" s="2400">
        <f>BO33-BQ33</f>
        <v>4889047.68</v>
      </c>
      <c r="BQ33" s="2400">
        <f>'[60]Кальк Турк'!D33*6*'[60]Кальк Турк'!D30</f>
        <v>40739159.039999999</v>
      </c>
      <c r="BR33" s="2400"/>
      <c r="BS33" s="2400"/>
      <c r="BT33" s="2400" t="e">
        <f>'[60]Кальк Турк'!G33*6*'[60]Кальк Турк'!G30</f>
        <v>#REF!</v>
      </c>
      <c r="BU33" s="2386" t="e">
        <f>BU31+BU32</f>
        <v>#REF!</v>
      </c>
      <c r="BV33" s="2384"/>
      <c r="BW33" s="2384"/>
      <c r="BX33" s="2401" t="e">
        <f>BX32+BX31</f>
        <v>#REF!</v>
      </c>
    </row>
    <row r="34" spans="1:76">
      <c r="A34" s="517"/>
      <c r="B34" s="517" t="s">
        <v>395</v>
      </c>
      <c r="C34" s="1899">
        <f>SUM(F34:I34)</f>
        <v>22463539.346358337</v>
      </c>
      <c r="D34" s="2402" t="e">
        <f>ROUND(D33*(D25+D27/2),2)</f>
        <v>#REF!</v>
      </c>
      <c r="E34" s="2396">
        <f>E33*(E27/2)</f>
        <v>1457675.1208333333</v>
      </c>
      <c r="F34" s="2396">
        <f>F36/12</f>
        <v>6995335.3493333338</v>
      </c>
      <c r="G34" s="2396">
        <f>G36/12</f>
        <v>1387828.5481916664</v>
      </c>
      <c r="H34" s="2396"/>
      <c r="I34" s="2396">
        <f>I36/12</f>
        <v>14080375.448833337</v>
      </c>
      <c r="J34" s="664" t="s">
        <v>396</v>
      </c>
      <c r="BL34" s="2394"/>
      <c r="BM34" s="2394"/>
      <c r="BN34" s="2394"/>
      <c r="BO34" s="2394"/>
      <c r="BP34" s="2394"/>
      <c r="BQ34" s="2394"/>
      <c r="BR34" s="2394"/>
      <c r="BS34" s="2394"/>
      <c r="BT34" s="2394"/>
      <c r="BU34" s="2386" t="e">
        <f>D33*(D25+D27/2)</f>
        <v>#REF!</v>
      </c>
      <c r="BV34" s="2384"/>
      <c r="BW34" s="2384"/>
      <c r="BX34" s="2402" t="e">
        <f>ROUND(BX33*(BX25+BX27/2),2)</f>
        <v>#REF!</v>
      </c>
    </row>
    <row r="35" spans="1:76">
      <c r="A35" s="517"/>
      <c r="B35" s="517" t="s">
        <v>444</v>
      </c>
      <c r="C35" s="1899">
        <f>SUM(F35:I35)</f>
        <v>22463539.346358337</v>
      </c>
      <c r="D35" s="2402" t="e">
        <f>ROUND(D33*(D26+D27/2),2)</f>
        <v>#REF!</v>
      </c>
      <c r="E35" s="2396">
        <f>E33*(E27/2)</f>
        <v>1457675.1208333333</v>
      </c>
      <c r="F35" s="2396">
        <f>F37/12</f>
        <v>6995335.3493333338</v>
      </c>
      <c r="G35" s="2396">
        <f>G37/12</f>
        <v>1387828.5481916664</v>
      </c>
      <c r="H35" s="2396">
        <f>H37/12</f>
        <v>0</v>
      </c>
      <c r="I35" s="2396">
        <f>I37/12</f>
        <v>14080375.448833337</v>
      </c>
      <c r="J35" s="664"/>
      <c r="BL35" s="2394"/>
      <c r="BM35" s="2394"/>
      <c r="BN35" s="2394"/>
      <c r="BO35" s="2394"/>
      <c r="BP35" s="2394"/>
      <c r="BQ35" s="2394"/>
      <c r="BR35" s="2394"/>
      <c r="BS35" s="2394"/>
      <c r="BT35" s="2394"/>
      <c r="BU35" s="2386" t="e">
        <f>D33*(D26+D27/2)</f>
        <v>#REF!</v>
      </c>
      <c r="BV35" s="2384"/>
      <c r="BW35" s="2384"/>
      <c r="BX35" s="2402" t="e">
        <f>ROUND(BX33*(BX26+BX27/2),2)</f>
        <v>#REF!</v>
      </c>
    </row>
    <row r="36" spans="1:76" s="1887" customFormat="1" ht="31.5">
      <c r="A36" s="1886"/>
      <c r="B36" s="1886" t="s">
        <v>5150</v>
      </c>
      <c r="C36" s="1899">
        <f>SUM(F36:I36)</f>
        <v>269562472.15630007</v>
      </c>
      <c r="D36" s="2403" t="e">
        <f>ROUND(D34*12,2)</f>
        <v>#REF!</v>
      </c>
      <c r="E36" s="1900">
        <f>E34*12</f>
        <v>17492101.449999999</v>
      </c>
      <c r="F36" s="1900">
        <f>F33*F25*12+F27/2*F33*12</f>
        <v>83944024.192000002</v>
      </c>
      <c r="G36" s="1900">
        <f>G33*G25*12</f>
        <v>16653942.578299996</v>
      </c>
      <c r="H36" s="1900"/>
      <c r="I36" s="1900">
        <f>I33*I27/2*12</f>
        <v>168964505.38600004</v>
      </c>
      <c r="J36" s="2404" t="s">
        <v>398</v>
      </c>
      <c r="K36" s="1901"/>
      <c r="BL36" s="2405" t="e">
        <f>D36+D37+#REF!</f>
        <v>#REF!</v>
      </c>
      <c r="BM36" s="2406"/>
      <c r="BN36" s="2406"/>
      <c r="BO36" s="2405">
        <f>'[60]Кальк Турк'!D39+'[60]Кальк Турк'!D38</f>
        <v>45628206.719999999</v>
      </c>
      <c r="BP36" s="2406"/>
      <c r="BQ36" s="2406"/>
      <c r="BR36" s="2405">
        <f>'[60]Кальк МШ Ор'!C33</f>
        <v>51843555.659999996</v>
      </c>
      <c r="BS36" s="2406"/>
      <c r="BT36" s="2406"/>
      <c r="BU36" s="2407"/>
      <c r="BV36" s="2408"/>
      <c r="BW36" s="2408"/>
      <c r="BX36" s="2403" t="e">
        <f>ROUND(BX34*12,2)</f>
        <v>#REF!</v>
      </c>
    </row>
    <row r="37" spans="1:76" s="1887" customFormat="1" ht="31.5">
      <c r="A37" s="1886"/>
      <c r="B37" s="1886" t="s">
        <v>5151</v>
      </c>
      <c r="C37" s="1899">
        <f>SUM(F37:I37)</f>
        <v>269562472.15630007</v>
      </c>
      <c r="D37" s="2403" t="e">
        <f>ROUND(D35*12,2)</f>
        <v>#REF!</v>
      </c>
      <c r="E37" s="1900">
        <f>E35*12</f>
        <v>17492101.449999999</v>
      </c>
      <c r="F37" s="1900">
        <f>F33*F26*12+F27/2*F33*12</f>
        <v>83944024.192000002</v>
      </c>
      <c r="G37" s="1900">
        <f>G33*G26*12+G27/2*G33*12</f>
        <v>16653942.578299996</v>
      </c>
      <c r="H37" s="1900">
        <f>H33*H26*12</f>
        <v>0</v>
      </c>
      <c r="I37" s="1900">
        <f>I33*I27/2*12</f>
        <v>168964505.38600004</v>
      </c>
      <c r="J37" s="2404" t="s">
        <v>447</v>
      </c>
      <c r="K37" s="1901"/>
      <c r="BL37" s="2408"/>
      <c r="BM37" s="2408"/>
      <c r="BN37" s="2408"/>
      <c r="BO37" s="2408"/>
      <c r="BP37" s="2408"/>
      <c r="BQ37" s="2408"/>
      <c r="BR37" s="2409" t="e">
        <f>BR36+BO36+BL36</f>
        <v>#REF!</v>
      </c>
      <c r="BS37" s="2408"/>
      <c r="BT37" s="2408"/>
      <c r="BU37" s="2407"/>
      <c r="BV37" s="2408"/>
      <c r="BW37" s="2408"/>
      <c r="BX37" s="2403" t="e">
        <f>ROUND(BX35*12,2)</f>
        <v>#REF!</v>
      </c>
    </row>
    <row r="38" spans="1:76" s="1887" customFormat="1">
      <c r="C38" s="1902"/>
      <c r="D38" s="1902"/>
      <c r="F38" s="1903"/>
      <c r="G38" s="1905"/>
      <c r="H38" s="1905"/>
      <c r="I38" s="1904"/>
      <c r="J38" s="2410"/>
      <c r="K38" s="1901"/>
      <c r="BL38" s="2411" t="e">
        <f>D33-'[60]Кальк31 ул (2)'!D34</f>
        <v>#REF!</v>
      </c>
      <c r="BM38" s="2411"/>
      <c r="BN38" s="2408"/>
      <c r="BO38" s="2411"/>
      <c r="BP38" s="2408"/>
      <c r="BQ38" s="2408"/>
      <c r="BR38" s="2408"/>
      <c r="BS38" s="2408"/>
      <c r="BT38" s="2408"/>
      <c r="BU38" s="2407">
        <v>52684281.960000001</v>
      </c>
      <c r="BV38" s="2408">
        <f>'[60]Кальк31 ул (Адм Корп)'!D33</f>
        <v>44887040.400000006</v>
      </c>
      <c r="BW38" s="2411">
        <f>BU38-BV38</f>
        <v>7797241.5599999949</v>
      </c>
    </row>
    <row r="39" spans="1:76">
      <c r="A39" s="2042" t="s">
        <v>368</v>
      </c>
      <c r="E39" s="1906" t="s">
        <v>369</v>
      </c>
      <c r="H39" s="1906"/>
      <c r="I39" s="1906"/>
      <c r="BL39" s="1890" t="e">
        <f>D36-'[60]Кальк31 ул (2)'!D38</f>
        <v>#REF!</v>
      </c>
    </row>
    <row r="40" spans="1:76">
      <c r="A40" s="2042" t="s">
        <v>370</v>
      </c>
      <c r="C40" s="1890"/>
      <c r="D40" s="2099" t="s">
        <v>371</v>
      </c>
      <c r="E40" s="1884"/>
      <c r="BL40" s="1895" t="e">
        <f>BL39*2</f>
        <v>#REF!</v>
      </c>
      <c r="BM40" s="1895">
        <v>489.39</v>
      </c>
      <c r="BO40" s="1895"/>
    </row>
    <row r="41" spans="1:76">
      <c r="A41" s="2042"/>
      <c r="E41" s="1906"/>
      <c r="H41" s="1906"/>
      <c r="I41" s="1906"/>
      <c r="BL41" s="1895" t="e">
        <f>BL40-BO14</f>
        <v>#REF!</v>
      </c>
      <c r="BM41" s="1895">
        <f>BM40*1.12</f>
        <v>548.11680000000001</v>
      </c>
    </row>
    <row r="42" spans="1:76">
      <c r="A42" s="2042" t="s">
        <v>372</v>
      </c>
      <c r="D42" s="2098" t="s">
        <v>373</v>
      </c>
      <c r="E42" s="1906" t="s">
        <v>374</v>
      </c>
      <c r="H42" s="1906"/>
      <c r="I42" s="1906"/>
      <c r="BL42" s="1895"/>
      <c r="BO42" s="1890"/>
    </row>
    <row r="43" spans="1:76">
      <c r="A43" s="2042"/>
      <c r="E43" s="1884"/>
      <c r="BM43" s="1895">
        <f>D25+D26+D27+3222.12</f>
        <v>40977.82</v>
      </c>
    </row>
    <row r="44" spans="1:76">
      <c r="A44" s="2042" t="s">
        <v>375</v>
      </c>
      <c r="D44" s="2098" t="s">
        <v>376</v>
      </c>
      <c r="E44" s="1906" t="s">
        <v>377</v>
      </c>
      <c r="BM44" s="1895">
        <f>13674.8-3222.12</f>
        <v>10452.68</v>
      </c>
    </row>
    <row r="45" spans="1:76">
      <c r="C45" s="1903"/>
      <c r="BM45" s="1895">
        <v>596.74</v>
      </c>
    </row>
    <row r="46" spans="1:76">
      <c r="C46" s="1890"/>
      <c r="BM46" s="1895">
        <f>BM45*BM44</f>
        <v>6237532.2631999999</v>
      </c>
    </row>
    <row r="47" spans="1:76">
      <c r="C47" s="1890">
        <f>C23*1.12-C36-C37</f>
        <v>0</v>
      </c>
      <c r="F47" s="1890">
        <f>F23*1.12-F36-F37</f>
        <v>0</v>
      </c>
      <c r="G47" s="1890">
        <f>G23*1.12-G36-G37</f>
        <v>0</v>
      </c>
      <c r="H47" s="1890">
        <f>H23*1.12-H36-H37</f>
        <v>0</v>
      </c>
      <c r="I47" s="1890">
        <f>I23*1.12-I36-I37</f>
        <v>0</v>
      </c>
      <c r="BM47" s="1895">
        <f>BM46*12</f>
        <v>74850387.158399999</v>
      </c>
    </row>
    <row r="48" spans="1:76">
      <c r="C48" s="1890">
        <f>C36+C37+'[63]Калькуляция Туркестан'!C36+'[63]Калькуляция Туркестан'!C37+'[63]Калькуляция МШ Орынбор'!C31+'[63]Калькуляция АБ'!C33</f>
        <v>976491789.24180615</v>
      </c>
    </row>
    <row r="49" spans="3:6">
      <c r="C49" s="1890">
        <f>C48/1.12</f>
        <v>871867668.96589828</v>
      </c>
      <c r="F49" s="1890">
        <f>C56*C25*12</f>
        <v>10729806.251570392</v>
      </c>
    </row>
    <row r="50" spans="3:6">
      <c r="C50" s="1890">
        <f>SUM(C11:C14)+SUM(C15:C22)*1.12</f>
        <v>485976429.7766</v>
      </c>
    </row>
    <row r="51" spans="3:6">
      <c r="C51" s="1890">
        <f>C50+'[63]Калькуляция Туркестан'!C49+'[63]Калькуляция МШ Орынбор'!C49+'[63]Калькуляция АБ'!C51</f>
        <v>897388557.64980614</v>
      </c>
    </row>
    <row r="52" spans="3:6">
      <c r="C52" s="1890">
        <f>C51-'[62]Бюджет Адм+школы new'!$W$79</f>
        <v>37768850.610865116</v>
      </c>
    </row>
    <row r="56" spans="3:6">
      <c r="C56" s="419">
        <f>'[60]ФОТ ауп'!AM58/('Кальк31 2017-2018'!C25+'Кальк31 2017-2018'!C26+'Кальк31 2017-2018'!C27+'[60]Кальк Турк'!C26+'[60]Кальк МШ Ор'!C25)/12</f>
        <v>56.090540295849713</v>
      </c>
    </row>
  </sheetData>
  <mergeCells count="1">
    <mergeCell ref="A7:E7"/>
  </mergeCells>
  <pageMargins left="0.39370078740157483" right="0.19685039370078741" top="0.5" bottom="0.23622047244094491" header="0.49" footer="0.31496062992125984"/>
  <pageSetup paperSize="9" scale="67" orientation="portrait"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tabColor theme="3" tint="0.79998168889431442"/>
  </sheetPr>
  <dimension ref="A1:DO115"/>
  <sheetViews>
    <sheetView zoomScaleNormal="100" zoomScaleSheetLayoutView="80" workbookViewId="0">
      <pane xSplit="2" ySplit="9" topLeftCell="C22" activePane="bottomRight" state="frozen"/>
      <selection pane="topRight" activeCell="H139" sqref="H139"/>
      <selection pane="bottomLeft" activeCell="H139" sqref="H139"/>
      <selection pane="bottomRight" activeCell="T79" sqref="T79"/>
    </sheetView>
  </sheetViews>
  <sheetFormatPr defaultColWidth="9.140625" defaultRowHeight="12"/>
  <cols>
    <col min="1" max="1" width="4.5703125" style="3006" customWidth="1"/>
    <col min="2" max="2" width="34.28515625" style="3655" customWidth="1"/>
    <col min="3" max="3" width="32" style="3406" customWidth="1"/>
    <col min="4" max="4" width="7.42578125" style="2983" customWidth="1"/>
    <col min="5" max="5" width="10.42578125" style="2983" hidden="1" customWidth="1"/>
    <col min="6" max="6" width="6.140625" style="2983" hidden="1" customWidth="1"/>
    <col min="7" max="7" width="10.85546875" style="2983" hidden="1" customWidth="1"/>
    <col min="8" max="8" width="8.85546875" style="2983" hidden="1" customWidth="1"/>
    <col min="9" max="9" width="6.42578125" style="2983" hidden="1" customWidth="1"/>
    <col min="10" max="10" width="10" style="2983" hidden="1" customWidth="1"/>
    <col min="11" max="11" width="8.85546875" style="2983" hidden="1" customWidth="1"/>
    <col min="12" max="12" width="10" style="2983" customWidth="1"/>
    <col min="13" max="13" width="11.28515625" style="2983" hidden="1" customWidth="1"/>
    <col min="14" max="14" width="11.42578125" style="2983" hidden="1" customWidth="1"/>
    <col min="15" max="15" width="13.7109375" style="2983" hidden="1" customWidth="1"/>
    <col min="16" max="16" width="9.85546875" style="3328" customWidth="1"/>
    <col min="17" max="17" width="10.5703125" style="2983" customWidth="1"/>
    <col min="18" max="18" width="12.28515625" style="2983" hidden="1" customWidth="1"/>
    <col min="19" max="19" width="10.28515625" style="2983" customWidth="1"/>
    <col min="20" max="20" width="11.140625" style="2983" customWidth="1"/>
    <col min="21" max="21" width="14.5703125" style="2983" customWidth="1"/>
    <col min="22" max="22" width="12.42578125" style="2983" hidden="1" customWidth="1"/>
    <col min="23" max="23" width="13.42578125" style="2983" hidden="1" customWidth="1"/>
    <col min="24" max="24" width="11.7109375" style="2983" hidden="1" customWidth="1"/>
    <col min="25" max="26" width="11.28515625" style="2983" hidden="1" customWidth="1"/>
    <col min="27" max="27" width="12.7109375" style="2983" hidden="1" customWidth="1"/>
    <col min="28" max="28" width="13" style="2983" hidden="1" customWidth="1"/>
    <col min="29" max="29" width="0.140625" style="2983" hidden="1" customWidth="1"/>
    <col min="30" max="30" width="12.7109375" style="2983" hidden="1" customWidth="1"/>
    <col min="31" max="31" width="13.42578125" style="2983" hidden="1" customWidth="1"/>
    <col min="32" max="32" width="10.140625" style="2983" hidden="1" customWidth="1"/>
    <col min="33" max="34" width="10.5703125" style="2983" hidden="1" customWidth="1"/>
    <col min="35" max="35" width="10.7109375" style="2983" hidden="1" customWidth="1"/>
    <col min="36" max="36" width="10" style="2983" hidden="1" customWidth="1"/>
    <col min="37" max="37" width="10.42578125" style="2983" hidden="1" customWidth="1"/>
    <col min="38" max="38" width="14.85546875" style="2983" hidden="1" customWidth="1"/>
    <col min="39" max="39" width="11.42578125" style="2983" hidden="1" customWidth="1"/>
    <col min="40" max="40" width="13.28515625" style="2983" hidden="1" customWidth="1"/>
    <col min="41" max="41" width="10.42578125" style="2983" hidden="1" customWidth="1"/>
    <col min="42" max="42" width="13.28515625" style="2983" hidden="1" customWidth="1"/>
    <col min="43" max="43" width="9.85546875" style="2983" hidden="1" customWidth="1"/>
    <col min="44" max="44" width="11.7109375" style="2983" hidden="1" customWidth="1"/>
    <col min="45" max="47" width="9.140625" style="2983" hidden="1" customWidth="1"/>
    <col min="48" max="48" width="10.42578125" style="2983" hidden="1" customWidth="1"/>
    <col min="49" max="49" width="11.42578125" style="2983" hidden="1" customWidth="1"/>
    <col min="50" max="50" width="14.85546875" style="2983" hidden="1" customWidth="1"/>
    <col min="51" max="53" width="13.85546875" style="2983" hidden="1" customWidth="1"/>
    <col min="54" max="54" width="12.42578125" style="2983" hidden="1" customWidth="1"/>
    <col min="55" max="55" width="14.85546875" style="2983" hidden="1" customWidth="1"/>
    <col min="56" max="57" width="9.140625" style="2983" hidden="1" customWidth="1"/>
    <col min="58" max="58" width="13.85546875" style="3328" bestFit="1" customWidth="1"/>
    <col min="59" max="59" width="12.5703125" style="3328" bestFit="1" customWidth="1"/>
    <col min="60" max="119" width="9.140625" style="3328"/>
    <col min="120" max="16384" width="9.140625" style="2983"/>
  </cols>
  <sheetData>
    <row r="1" spans="1:119" ht="15">
      <c r="C1" s="3656"/>
      <c r="L1" s="2985">
        <v>2</v>
      </c>
      <c r="M1" s="2985"/>
      <c r="N1" s="2985"/>
      <c r="O1" s="2985"/>
      <c r="P1" s="3379"/>
      <c r="Q1" s="2985"/>
      <c r="R1" s="2985"/>
      <c r="S1" s="2985"/>
      <c r="T1" s="2985"/>
      <c r="U1" s="2985"/>
      <c r="V1" s="2983" t="s">
        <v>267</v>
      </c>
      <c r="W1" s="2986" t="s">
        <v>2270</v>
      </c>
      <c r="AQ1" s="3654" t="s">
        <v>2923</v>
      </c>
      <c r="AR1" s="3654" t="s">
        <v>2924</v>
      </c>
      <c r="AS1" s="3654" t="s">
        <v>2923</v>
      </c>
      <c r="AT1" s="3654" t="s">
        <v>2925</v>
      </c>
    </row>
    <row r="2" spans="1:119" s="2988" customFormat="1">
      <c r="A2" s="2987" t="s">
        <v>2926</v>
      </c>
      <c r="B2" s="3657"/>
      <c r="C2" s="3407"/>
      <c r="L2" s="2990"/>
      <c r="M2" s="2990"/>
      <c r="N2" s="2990"/>
      <c r="O2" s="2990"/>
      <c r="P2" s="3380"/>
      <c r="Q2" s="2990">
        <f>V3/Q43</f>
        <v>12.076923076923077</v>
      </c>
      <c r="R2" s="2990"/>
      <c r="S2" s="2990"/>
      <c r="T2" s="2990"/>
      <c r="U2" s="2990"/>
      <c r="AL2" s="2988">
        <f>U9+'[72]2.03.01.0приобретение комп к ОС'!L9+'[72]моющ МБ 2.03.05'!V14+'[72]моющФМН 2.03.05'!V14+'[72]моющИНТ 2.03.05.'!V9+'[72]пр запасы фмн 2.03.09.'!T9+'[72]пр запасы мб 2.03.09.'!T9+'[72]пр запасы АДМ 2.03.09'!T9</f>
        <v>6993691.6060000006</v>
      </c>
      <c r="BF2" s="3658"/>
      <c r="BG2" s="3658"/>
      <c r="BH2" s="3658"/>
      <c r="BI2" s="3658"/>
      <c r="BJ2" s="3658"/>
      <c r="BK2" s="3658"/>
      <c r="BL2" s="3658"/>
      <c r="BM2" s="3658"/>
      <c r="BN2" s="3658"/>
      <c r="BO2" s="3658"/>
      <c r="BP2" s="3658"/>
      <c r="BQ2" s="3658"/>
      <c r="BR2" s="3658"/>
      <c r="BS2" s="3658"/>
      <c r="BT2" s="3658"/>
      <c r="BU2" s="3658"/>
      <c r="BV2" s="3658"/>
      <c r="BW2" s="3658"/>
      <c r="BX2" s="3658"/>
      <c r="BY2" s="3658"/>
      <c r="BZ2" s="3658"/>
      <c r="CA2" s="3658"/>
      <c r="CB2" s="3658"/>
      <c r="CC2" s="3658"/>
      <c r="CD2" s="3658"/>
      <c r="CE2" s="3658"/>
      <c r="CF2" s="3658"/>
      <c r="CG2" s="3658"/>
      <c r="CH2" s="3658"/>
      <c r="CI2" s="3658"/>
      <c r="CJ2" s="3658"/>
      <c r="CK2" s="3658"/>
      <c r="CL2" s="3658"/>
      <c r="CM2" s="3658"/>
      <c r="CN2" s="3658"/>
      <c r="CO2" s="3658"/>
      <c r="CP2" s="3658"/>
      <c r="CQ2" s="3658"/>
      <c r="CR2" s="3658"/>
      <c r="CS2" s="3658"/>
      <c r="CT2" s="3658"/>
      <c r="CU2" s="3658"/>
      <c r="CV2" s="3658"/>
      <c r="CW2" s="3658"/>
      <c r="CX2" s="3658"/>
      <c r="CY2" s="3658"/>
      <c r="CZ2" s="3658"/>
      <c r="DA2" s="3658"/>
      <c r="DB2" s="3658"/>
      <c r="DC2" s="3658"/>
      <c r="DD2" s="3658"/>
      <c r="DE2" s="3658"/>
      <c r="DF2" s="3658"/>
      <c r="DG2" s="3658"/>
      <c r="DH2" s="3658"/>
      <c r="DI2" s="3658"/>
      <c r="DJ2" s="3658"/>
      <c r="DK2" s="3658"/>
      <c r="DL2" s="3658"/>
      <c r="DM2" s="3658"/>
      <c r="DN2" s="3658"/>
      <c r="DO2" s="3658"/>
    </row>
    <row r="3" spans="1:119">
      <c r="A3" s="2991"/>
      <c r="L3" s="2985"/>
      <c r="M3" s="2992">
        <f>0.01/2</f>
        <v>5.0000000000000001E-3</v>
      </c>
      <c r="N3" s="2985"/>
      <c r="O3" s="2985"/>
      <c r="P3" s="3379"/>
      <c r="Q3" s="2985"/>
      <c r="R3" s="2985"/>
      <c r="S3" s="2985"/>
      <c r="T3" s="2985"/>
      <c r="U3" s="2985">
        <f>U9*0.0099</f>
        <v>18972.497174399999</v>
      </c>
      <c r="V3" s="2985">
        <v>15700</v>
      </c>
      <c r="W3" s="2985">
        <f>U43-V3</f>
        <v>-12613.279999999999</v>
      </c>
      <c r="X3" s="2985"/>
      <c r="Y3" s="2985"/>
      <c r="Z3" s="2985">
        <f>W3/Q43</f>
        <v>-9.7025230769230753</v>
      </c>
      <c r="AA3" s="2985"/>
      <c r="AX3" s="3411" t="e">
        <f>AX9-#REF!-#REF!-AX40-#REF!-#REF!</f>
        <v>#REF!</v>
      </c>
    </row>
    <row r="4" spans="1:119" s="2988" customFormat="1">
      <c r="A4" s="2993" t="s">
        <v>2927</v>
      </c>
      <c r="B4" s="3657"/>
      <c r="C4" s="3407"/>
      <c r="L4" s="2990"/>
      <c r="M4" s="2990"/>
      <c r="N4" s="2990"/>
      <c r="O4" s="2990"/>
      <c r="P4" s="3380"/>
      <c r="Q4" s="2990">
        <v>1.07</v>
      </c>
      <c r="R4" s="2990"/>
      <c r="S4" s="2990"/>
      <c r="T4" s="2990"/>
      <c r="U4" s="2990">
        <f>U9-U3</f>
        <v>1897441.3588256</v>
      </c>
      <c r="V4" s="2990">
        <f>U9-V3</f>
        <v>1900713.8559999999</v>
      </c>
      <c r="W4" s="2990"/>
      <c r="X4" s="2990"/>
      <c r="Y4" s="2990"/>
      <c r="Z4" s="3010">
        <v>1.06</v>
      </c>
      <c r="AA4" s="2990"/>
      <c r="AD4" s="2988">
        <v>1.05</v>
      </c>
      <c r="AE4" s="2990">
        <f>U9+'[67]хоз мб'!T9+'[67]хоз кот и ул освещ'!V4+'[67]хоз кот и ул освещ'!V4</f>
        <v>6602764.5226666657</v>
      </c>
      <c r="BF4" s="3658"/>
      <c r="BG4" s="3658"/>
      <c r="BH4" s="3658"/>
      <c r="BI4" s="3658"/>
      <c r="BJ4" s="3658"/>
      <c r="BK4" s="3658"/>
      <c r="BL4" s="3658"/>
      <c r="BM4" s="3658"/>
      <c r="BN4" s="3658"/>
      <c r="BO4" s="3658"/>
      <c r="BP4" s="3658"/>
      <c r="BQ4" s="3658"/>
      <c r="BR4" s="3658"/>
      <c r="BS4" s="3658"/>
      <c r="BT4" s="3658"/>
      <c r="BU4" s="3658"/>
      <c r="BV4" s="3658"/>
      <c r="BW4" s="3658"/>
      <c r="BX4" s="3658"/>
      <c r="BY4" s="3658"/>
      <c r="BZ4" s="3658"/>
      <c r="CA4" s="3658"/>
      <c r="CB4" s="3658"/>
      <c r="CC4" s="3658"/>
      <c r="CD4" s="3658"/>
      <c r="CE4" s="3658"/>
      <c r="CF4" s="3658"/>
      <c r="CG4" s="3658"/>
      <c r="CH4" s="3658"/>
      <c r="CI4" s="3658"/>
      <c r="CJ4" s="3658"/>
      <c r="CK4" s="3658"/>
      <c r="CL4" s="3658"/>
      <c r="CM4" s="3658"/>
      <c r="CN4" s="3658"/>
      <c r="CO4" s="3658"/>
      <c r="CP4" s="3658"/>
      <c r="CQ4" s="3658"/>
      <c r="CR4" s="3658"/>
      <c r="CS4" s="3658"/>
      <c r="CT4" s="3658"/>
      <c r="CU4" s="3658"/>
      <c r="CV4" s="3658"/>
      <c r="CW4" s="3658"/>
      <c r="CX4" s="3658"/>
      <c r="CY4" s="3658"/>
      <c r="CZ4" s="3658"/>
      <c r="DA4" s="3658"/>
      <c r="DB4" s="3658"/>
      <c r="DC4" s="3658"/>
      <c r="DD4" s="3658"/>
      <c r="DE4" s="3658"/>
      <c r="DF4" s="3658"/>
      <c r="DG4" s="3658"/>
      <c r="DH4" s="3658"/>
      <c r="DI4" s="3658"/>
      <c r="DJ4" s="3658"/>
      <c r="DK4" s="3658"/>
      <c r="DL4" s="3658"/>
      <c r="DM4" s="3658"/>
      <c r="DN4" s="3658"/>
      <c r="DO4" s="3658"/>
    </row>
    <row r="5" spans="1:119">
      <c r="A5" s="2994" t="s">
        <v>990</v>
      </c>
      <c r="L5" s="2985"/>
      <c r="M5" s="2985"/>
      <c r="N5" s="2985"/>
      <c r="O5" s="2985"/>
      <c r="P5" s="3379"/>
      <c r="Q5" s="2985"/>
      <c r="R5" s="2985"/>
      <c r="S5" s="2985"/>
      <c r="T5" s="2985"/>
      <c r="U5" s="2985">
        <f>U9+'[67]хоз мб'!T9+'[67]тмц фмн'!R9+'[67]тмц мб'!T9+'[67]хоз кот и ул освещ'!V4+'[67]хоз кот и ул освещ'!V4</f>
        <v>6859136.5226666657</v>
      </c>
      <c r="V5" s="2985">
        <v>3732855</v>
      </c>
      <c r="W5" s="2985">
        <f>U9-V5</f>
        <v>-1816441.1440000001</v>
      </c>
      <c r="X5" s="2985"/>
      <c r="Y5" s="2985"/>
      <c r="Z5" s="2985">
        <f>26750-W5</f>
        <v>1843191.1440000001</v>
      </c>
      <c r="AA5" s="2985">
        <f>Z5/Q43</f>
        <v>1417.8393415384617</v>
      </c>
    </row>
    <row r="7" spans="1:119" ht="12.75">
      <c r="A7" s="4057" t="s">
        <v>2</v>
      </c>
      <c r="B7" s="4434" t="s">
        <v>478</v>
      </c>
      <c r="C7" s="4434" t="s">
        <v>995</v>
      </c>
      <c r="D7" s="4050" t="s">
        <v>996</v>
      </c>
      <c r="E7" s="4050" t="s">
        <v>1191</v>
      </c>
      <c r="F7" s="4050" t="s">
        <v>255</v>
      </c>
      <c r="G7" s="4050"/>
      <c r="H7" s="4058" t="s">
        <v>1192</v>
      </c>
      <c r="I7" s="4052" t="s">
        <v>1193</v>
      </c>
      <c r="J7" s="4056"/>
      <c r="K7" s="4053"/>
      <c r="L7" s="4052" t="s">
        <v>922</v>
      </c>
      <c r="M7" s="4056"/>
      <c r="N7" s="4056"/>
      <c r="O7" s="4056"/>
      <c r="P7" s="4053"/>
      <c r="Q7" s="4050" t="s">
        <v>999</v>
      </c>
      <c r="R7" s="3551"/>
      <c r="S7" s="4058" t="s">
        <v>2928</v>
      </c>
      <c r="T7" s="4050" t="s">
        <v>2265</v>
      </c>
      <c r="U7" s="4050" t="s">
        <v>2929</v>
      </c>
      <c r="V7" s="4052" t="s">
        <v>1001</v>
      </c>
      <c r="W7" s="4053"/>
      <c r="X7" s="4054"/>
      <c r="Y7" s="4055"/>
      <c r="Z7" s="4050" t="s">
        <v>999</v>
      </c>
      <c r="AA7" s="4050" t="s">
        <v>2267</v>
      </c>
      <c r="AB7" s="4052" t="s">
        <v>1001</v>
      </c>
      <c r="AC7" s="4053"/>
      <c r="AD7" s="4050" t="s">
        <v>999</v>
      </c>
      <c r="AE7" s="4050" t="s">
        <v>2268</v>
      </c>
      <c r="AF7" s="4052" t="s">
        <v>1001</v>
      </c>
      <c r="AG7" s="4056"/>
      <c r="AH7" s="3552"/>
      <c r="AJ7" s="2995"/>
      <c r="AK7" s="4051" t="s">
        <v>1002</v>
      </c>
      <c r="AL7" s="4051" t="s">
        <v>2930</v>
      </c>
      <c r="AM7" s="4051" t="s">
        <v>22</v>
      </c>
      <c r="AN7" s="4051" t="s">
        <v>2931</v>
      </c>
      <c r="AO7" s="4051" t="s">
        <v>2697</v>
      </c>
      <c r="AP7" s="4051" t="s">
        <v>2932</v>
      </c>
      <c r="AQ7" s="4051" t="s">
        <v>2698</v>
      </c>
      <c r="AR7" s="4051" t="s">
        <v>2933</v>
      </c>
      <c r="AS7" s="2995"/>
      <c r="AT7" s="2995"/>
      <c r="AU7" s="2995"/>
    </row>
    <row r="8" spans="1:119" ht="63.75">
      <c r="A8" s="4057"/>
      <c r="B8" s="4434"/>
      <c r="C8" s="4434"/>
      <c r="D8" s="4050"/>
      <c r="E8" s="4050"/>
      <c r="F8" s="3553" t="s">
        <v>7</v>
      </c>
      <c r="G8" s="3553" t="s">
        <v>8</v>
      </c>
      <c r="H8" s="4059"/>
      <c r="I8" s="3553" t="s">
        <v>7</v>
      </c>
      <c r="J8" s="3553" t="s">
        <v>8</v>
      </c>
      <c r="K8" s="3553" t="s">
        <v>1096</v>
      </c>
      <c r="L8" s="3553" t="s">
        <v>1099</v>
      </c>
      <c r="M8" s="3553" t="s">
        <v>1194</v>
      </c>
      <c r="N8" s="3553" t="s">
        <v>1011</v>
      </c>
      <c r="O8" s="3553" t="s">
        <v>1012</v>
      </c>
      <c r="P8" s="3554" t="s">
        <v>1013</v>
      </c>
      <c r="Q8" s="4050"/>
      <c r="R8" s="3555"/>
      <c r="S8" s="4059"/>
      <c r="T8" s="4050"/>
      <c r="U8" s="4050"/>
      <c r="V8" s="3555" t="s">
        <v>7</v>
      </c>
      <c r="W8" s="3555" t="s">
        <v>8</v>
      </c>
      <c r="X8" s="4054"/>
      <c r="Y8" s="4055"/>
      <c r="Z8" s="4050"/>
      <c r="AA8" s="4050"/>
      <c r="AB8" s="3555" t="s">
        <v>7</v>
      </c>
      <c r="AC8" s="3555" t="s">
        <v>8</v>
      </c>
      <c r="AD8" s="4050"/>
      <c r="AE8" s="4050"/>
      <c r="AF8" s="3555" t="s">
        <v>7</v>
      </c>
      <c r="AG8" s="3556" t="s">
        <v>8</v>
      </c>
      <c r="AH8" s="3556"/>
      <c r="AJ8" s="2995"/>
      <c r="AK8" s="4051"/>
      <c r="AL8" s="4051"/>
      <c r="AM8" s="4051"/>
      <c r="AN8" s="4051"/>
      <c r="AO8" s="4051"/>
      <c r="AP8" s="4051"/>
      <c r="AQ8" s="4051"/>
      <c r="AR8" s="4051"/>
      <c r="AS8" s="2998"/>
      <c r="AT8" s="2998"/>
      <c r="AU8" s="2998"/>
      <c r="AW8" s="3595"/>
      <c r="AX8" s="3596" t="s">
        <v>2163</v>
      </c>
      <c r="AY8" s="3596" t="s">
        <v>469</v>
      </c>
      <c r="AZ8" s="3596" t="s">
        <v>1006</v>
      </c>
      <c r="BA8" s="3596" t="s">
        <v>471</v>
      </c>
      <c r="BB8" s="3596" t="s">
        <v>2934</v>
      </c>
      <c r="BF8" s="3328" t="s">
        <v>5152</v>
      </c>
    </row>
    <row r="9" spans="1:119" ht="13.5">
      <c r="A9" s="3557"/>
      <c r="B9" s="3608" t="s">
        <v>306</v>
      </c>
      <c r="C9" s="3659"/>
      <c r="D9" s="3560"/>
      <c r="E9" s="3561"/>
      <c r="F9" s="3561">
        <f>SUM(F10:F68)</f>
        <v>0</v>
      </c>
      <c r="G9" s="3561"/>
      <c r="H9" s="3561"/>
      <c r="I9" s="3561"/>
      <c r="J9" s="3561"/>
      <c r="K9" s="3561"/>
      <c r="L9" s="3562">
        <f>SUM(L10:L102)</f>
        <v>6606</v>
      </c>
      <c r="M9" s="3562">
        <f>SUM(M10:P103)</f>
        <v>11472</v>
      </c>
      <c r="N9" s="3562">
        <f>SUM(N10:Q103)</f>
        <v>424863</v>
      </c>
      <c r="O9" s="3562">
        <f>SUM(O10:R103)</f>
        <v>424270.57999999984</v>
      </c>
      <c r="P9" s="3562">
        <f>SUM(P10:P103)</f>
        <v>6255</v>
      </c>
      <c r="Q9" s="3561"/>
      <c r="R9" s="3561"/>
      <c r="S9" s="3561"/>
      <c r="T9" s="3561"/>
      <c r="U9" s="3494">
        <f>SUM(U10:U102)</f>
        <v>1916413.8559999999</v>
      </c>
      <c r="V9" s="3558">
        <f>SUM(V10:V68)</f>
        <v>0</v>
      </c>
      <c r="W9" s="3558">
        <f>SUM(W10:W68)</f>
        <v>984527.152</v>
      </c>
      <c r="X9" s="4054"/>
      <c r="Y9" s="4055"/>
      <c r="Z9" s="3561"/>
      <c r="AA9" s="3558">
        <f>SUM(AA10:AA68)</f>
        <v>768670</v>
      </c>
      <c r="AB9" s="3558">
        <f>SUM(AB10:AB68)</f>
        <v>0</v>
      </c>
      <c r="AC9" s="3558">
        <f>SUM(AC10:AC68)</f>
        <v>768670</v>
      </c>
      <c r="AD9" s="3561"/>
      <c r="AE9" s="3558">
        <f>SUM(AE10:AE68)</f>
        <v>807111</v>
      </c>
      <c r="AF9" s="3558">
        <f>SUM(AF10:AF68)</f>
        <v>0</v>
      </c>
      <c r="AG9" s="3563">
        <f>SUM(AG10:AG68)</f>
        <v>807111</v>
      </c>
      <c r="AH9" s="3563"/>
      <c r="AI9" s="3004"/>
      <c r="AJ9" s="2995"/>
      <c r="AK9" s="3543"/>
      <c r="AL9" s="3494">
        <f>SUM(AL10:AL71)</f>
        <v>1179955.7056</v>
      </c>
      <c r="AM9" s="3464"/>
      <c r="AN9" s="3494">
        <f>SUM(AN10:AN71)</f>
        <v>576904.40639999998</v>
      </c>
      <c r="AO9" s="3464"/>
      <c r="AP9" s="3494">
        <f>SUM(AP10:AP71)</f>
        <v>1149102.7520000001</v>
      </c>
      <c r="AQ9" s="3464"/>
      <c r="AR9" s="3494">
        <f>SUM(AR10:AR71)</f>
        <v>794943.18400000001</v>
      </c>
      <c r="AS9" s="2995"/>
      <c r="AT9" s="2995"/>
      <c r="AU9" s="2995"/>
      <c r="AW9" s="3595"/>
      <c r="AX9" s="3596">
        <f>SUM(AX10:AX71)</f>
        <v>1029687.2899999999</v>
      </c>
      <c r="AY9" s="3596">
        <f>SUM(AY10:AY71)</f>
        <v>1179955.97</v>
      </c>
      <c r="AZ9" s="3596">
        <f>SUM(AZ10:AZ71)</f>
        <v>576903.93999999994</v>
      </c>
      <c r="BA9" s="3596">
        <f>SUM(BA10:BA71)</f>
        <v>1149103.01</v>
      </c>
      <c r="BB9" s="3596">
        <f>SUM(BB10:BB71)</f>
        <v>794942.12999999977</v>
      </c>
      <c r="BC9" s="2983">
        <f>AY9+AZ9+BA9+BB9</f>
        <v>3700905.05</v>
      </c>
      <c r="BF9" s="3328">
        <f>U14+U16+U28+U29+U85+U86+U87+U88+U89+U90+U91+U92+U93+U94+U95+U96+U97+U98+U99+U100+U101+U102+U15+U39+U49+U70+U71</f>
        <v>594436.97600000002</v>
      </c>
      <c r="BG9" s="3328">
        <f>U9-BF9</f>
        <v>1321976.8799999999</v>
      </c>
    </row>
    <row r="10" spans="1:119" ht="25.5">
      <c r="A10" s="3265">
        <v>1</v>
      </c>
      <c r="B10" s="2685" t="s">
        <v>2705</v>
      </c>
      <c r="C10" s="2685" t="s">
        <v>2706</v>
      </c>
      <c r="D10" s="3547" t="s">
        <v>1268</v>
      </c>
      <c r="E10" s="3564">
        <v>16815.8</v>
      </c>
      <c r="F10" s="3565"/>
      <c r="G10" s="3564">
        <f t="shared" ref="G10:G34" si="0">E10</f>
        <v>16815.8</v>
      </c>
      <c r="H10" s="3565"/>
      <c r="I10" s="3565"/>
      <c r="J10" s="3565"/>
      <c r="K10" s="3565"/>
      <c r="L10" s="3647">
        <f>AQ10</f>
        <v>5</v>
      </c>
      <c r="M10" s="3566"/>
      <c r="N10" s="3565"/>
      <c r="O10" s="3565"/>
      <c r="P10" s="3567">
        <f t="shared" ref="P10:P59" si="1">L10-N10-O10</f>
        <v>5</v>
      </c>
      <c r="Q10" s="3568">
        <f>810</f>
        <v>810</v>
      </c>
      <c r="R10" s="3568">
        <v>1.06</v>
      </c>
      <c r="S10" s="3568">
        <f t="shared" ref="S10:S70" si="2">Q10*R10</f>
        <v>858.6</v>
      </c>
      <c r="T10" s="3569">
        <f>S10*AH10</f>
        <v>961.63200000000006</v>
      </c>
      <c r="U10" s="3567">
        <f>T10*P10</f>
        <v>4808.16</v>
      </c>
      <c r="V10" s="3567"/>
      <c r="W10" s="3567">
        <f t="shared" ref="W10:W68" si="3">U10-V10</f>
        <v>4808.16</v>
      </c>
      <c r="X10" s="3570"/>
      <c r="Y10" s="3570"/>
      <c r="Z10" s="3567">
        <f t="shared" ref="Z10:Z19" si="4">Q10*$Z$4</f>
        <v>858.6</v>
      </c>
      <c r="AA10" s="3567">
        <f t="shared" ref="AA10:AA19" si="5">ROUND(P10*Z10,0)</f>
        <v>4293</v>
      </c>
      <c r="AB10" s="3567"/>
      <c r="AC10" s="3567">
        <f t="shared" ref="AC10:AC19" si="6">AA10-AB10</f>
        <v>4293</v>
      </c>
      <c r="AD10" s="3567">
        <f t="shared" ref="AD10:AD19" si="7">Z10*$AD$4</f>
        <v>901.53000000000009</v>
      </c>
      <c r="AE10" s="3567">
        <f t="shared" ref="AE10:AE19" si="8">ROUND(P10*AD10,0)</f>
        <v>4508</v>
      </c>
      <c r="AF10" s="3567"/>
      <c r="AG10" s="3571">
        <f t="shared" ref="AG10:AG19" si="9">AE10-AF10</f>
        <v>4508</v>
      </c>
      <c r="AH10" s="3571">
        <v>1.1200000000000001</v>
      </c>
      <c r="AI10" s="3004"/>
      <c r="AJ10" s="2995">
        <v>1.1200000000000001</v>
      </c>
      <c r="AK10" s="3004">
        <v>5</v>
      </c>
      <c r="AL10" s="3004">
        <f t="shared" ref="AL10:AL71" si="10">T10*AK10</f>
        <v>4808.16</v>
      </c>
      <c r="AM10" s="3004">
        <v>5</v>
      </c>
      <c r="AN10" s="3004">
        <f t="shared" ref="AN10:AN71" si="11">T10*AM10</f>
        <v>4808.16</v>
      </c>
      <c r="AO10" s="3004">
        <v>5</v>
      </c>
      <c r="AP10" s="3004">
        <f t="shared" ref="AP10:AP71" si="12">T10*AO10</f>
        <v>4808.16</v>
      </c>
      <c r="AQ10" s="3004">
        <v>5</v>
      </c>
      <c r="AR10" s="3004">
        <f>T10*AQ10</f>
        <v>4808.16</v>
      </c>
      <c r="AS10" s="2995" t="s">
        <v>2935</v>
      </c>
      <c r="AT10" s="2995"/>
      <c r="AU10" s="2995"/>
      <c r="AV10" s="2983">
        <f t="shared" ref="AV10:AV70" si="13">P10-AK10-AM10-AO10-AQ10</f>
        <v>-15</v>
      </c>
      <c r="AW10" s="3595">
        <f>ROUND(T10,2)</f>
        <v>961.63</v>
      </c>
      <c r="AX10" s="3595">
        <f t="shared" ref="AX10:AX71" si="14">ROUND(P10*AW10,2)</f>
        <v>4808.1499999999996</v>
      </c>
      <c r="AY10" s="3595">
        <f>ROUND(AK10*AW10,2)</f>
        <v>4808.1499999999996</v>
      </c>
      <c r="AZ10" s="3595">
        <f>ROUND(AM10*AW10,2)</f>
        <v>4808.1499999999996</v>
      </c>
      <c r="BA10" s="3595">
        <f>ROUND(AO10*AW10,2)</f>
        <v>4808.1499999999996</v>
      </c>
      <c r="BB10" s="3595">
        <f>ROUND(AQ10*AW10,2)</f>
        <v>4808.1499999999996</v>
      </c>
      <c r="BC10" s="2983">
        <f>AY10+AZ10+BB10+BA10</f>
        <v>19232.599999999999</v>
      </c>
      <c r="BD10" s="2983">
        <f>AX10-BC10</f>
        <v>-14424.449999999999</v>
      </c>
    </row>
    <row r="11" spans="1:119" ht="25.5">
      <c r="A11" s="3265">
        <v>2</v>
      </c>
      <c r="B11" s="2685" t="s">
        <v>2703</v>
      </c>
      <c r="C11" s="2685" t="s">
        <v>2704</v>
      </c>
      <c r="D11" s="3547" t="s">
        <v>1268</v>
      </c>
      <c r="E11" s="3564">
        <v>16815.8</v>
      </c>
      <c r="F11" s="3565"/>
      <c r="G11" s="3564">
        <f t="shared" si="0"/>
        <v>16815.8</v>
      </c>
      <c r="H11" s="3565"/>
      <c r="I11" s="3565"/>
      <c r="J11" s="3565"/>
      <c r="K11" s="3565"/>
      <c r="L11" s="3647">
        <f t="shared" ref="L11:L69" si="15">AQ11</f>
        <v>4</v>
      </c>
      <c r="M11" s="3566"/>
      <c r="N11" s="3565"/>
      <c r="O11" s="3565"/>
      <c r="P11" s="3567">
        <f t="shared" si="1"/>
        <v>4</v>
      </c>
      <c r="Q11" s="3568">
        <f>980</f>
        <v>980</v>
      </c>
      <c r="R11" s="3568">
        <v>1.06</v>
      </c>
      <c r="S11" s="3568">
        <f t="shared" si="2"/>
        <v>1038.8</v>
      </c>
      <c r="T11" s="3569">
        <f t="shared" ref="T11:T74" si="16">S11*AH11</f>
        <v>1163.4560000000001</v>
      </c>
      <c r="U11" s="3567">
        <f t="shared" ref="U11:U74" si="17">T11*P11</f>
        <v>4653.8240000000005</v>
      </c>
      <c r="V11" s="3567"/>
      <c r="W11" s="3567">
        <f t="shared" si="3"/>
        <v>4653.8240000000005</v>
      </c>
      <c r="X11" s="3570"/>
      <c r="Y11" s="3570"/>
      <c r="Z11" s="3567">
        <f t="shared" si="4"/>
        <v>1038.8</v>
      </c>
      <c r="AA11" s="3567">
        <f t="shared" si="5"/>
        <v>4155</v>
      </c>
      <c r="AB11" s="3567"/>
      <c r="AC11" s="3567">
        <f t="shared" si="6"/>
        <v>4155</v>
      </c>
      <c r="AD11" s="3567">
        <f t="shared" si="7"/>
        <v>1090.74</v>
      </c>
      <c r="AE11" s="3567">
        <f t="shared" si="8"/>
        <v>4363</v>
      </c>
      <c r="AF11" s="3567"/>
      <c r="AG11" s="3571">
        <f t="shared" si="9"/>
        <v>4363</v>
      </c>
      <c r="AH11" s="3571">
        <v>1.1200000000000001</v>
      </c>
      <c r="AI11" s="3004"/>
      <c r="AJ11" s="2995">
        <v>1.1200000000000001</v>
      </c>
      <c r="AK11" s="3004">
        <v>4</v>
      </c>
      <c r="AL11" s="3004">
        <f t="shared" si="10"/>
        <v>4653.8240000000005</v>
      </c>
      <c r="AM11" s="3004">
        <v>3</v>
      </c>
      <c r="AN11" s="3004">
        <f t="shared" si="11"/>
        <v>3490.3680000000004</v>
      </c>
      <c r="AO11" s="3004">
        <v>4</v>
      </c>
      <c r="AP11" s="3004">
        <f t="shared" si="12"/>
        <v>4653.8240000000005</v>
      </c>
      <c r="AQ11" s="3004">
        <v>4</v>
      </c>
      <c r="AR11" s="3004">
        <f t="shared" ref="AR11:AR71" si="18">T11*AQ11</f>
        <v>4653.8240000000005</v>
      </c>
      <c r="AS11" s="2995" t="s">
        <v>2935</v>
      </c>
      <c r="AT11" s="2995"/>
      <c r="AU11" s="2995"/>
      <c r="AV11" s="2983">
        <f t="shared" si="13"/>
        <v>-11</v>
      </c>
      <c r="AW11" s="3595">
        <f t="shared" ref="AW11:AW71" si="19">ROUND(T11,2)</f>
        <v>1163.46</v>
      </c>
      <c r="AX11" s="3595">
        <f t="shared" si="14"/>
        <v>4653.84</v>
      </c>
      <c r="AY11" s="3595">
        <f t="shared" ref="AY11:AY71" si="20">ROUND(AK11*AW11,2)</f>
        <v>4653.84</v>
      </c>
      <c r="AZ11" s="3595">
        <f t="shared" ref="AZ11:AZ71" si="21">ROUND(AM11*AW11,2)</f>
        <v>3490.38</v>
      </c>
      <c r="BA11" s="3595">
        <f t="shared" ref="BA11:BA71" si="22">ROUND(AO11*AW11,2)</f>
        <v>4653.84</v>
      </c>
      <c r="BB11" s="3595">
        <f t="shared" ref="BB11:BB71" si="23">ROUND(AQ11*AW11,2)</f>
        <v>4653.84</v>
      </c>
      <c r="BC11" s="2983">
        <f t="shared" ref="BC11:BC71" si="24">AY11+AZ11+BB11+BA11</f>
        <v>17451.900000000001</v>
      </c>
      <c r="BD11" s="2983">
        <f t="shared" ref="BD11:BD71" si="25">AX11-BC11</f>
        <v>-12798.060000000001</v>
      </c>
    </row>
    <row r="12" spans="1:119" ht="12.75">
      <c r="A12" s="3265">
        <v>3</v>
      </c>
      <c r="B12" s="3660" t="s">
        <v>2727</v>
      </c>
      <c r="C12" s="3660" t="s">
        <v>2727</v>
      </c>
      <c r="D12" s="3548" t="s">
        <v>1268</v>
      </c>
      <c r="E12" s="3572">
        <v>16815.8</v>
      </c>
      <c r="F12" s="3573"/>
      <c r="G12" s="3572">
        <f t="shared" si="0"/>
        <v>16815.8</v>
      </c>
      <c r="H12" s="3573"/>
      <c r="I12" s="3573"/>
      <c r="J12" s="3573"/>
      <c r="K12" s="3573"/>
      <c r="L12" s="3647">
        <f t="shared" si="15"/>
        <v>6</v>
      </c>
      <c r="M12" s="3574"/>
      <c r="N12" s="3573"/>
      <c r="O12" s="3573"/>
      <c r="P12" s="3549">
        <f t="shared" si="1"/>
        <v>6</v>
      </c>
      <c r="Q12" s="3371">
        <f>800</f>
        <v>800</v>
      </c>
      <c r="R12" s="3568">
        <v>1.06</v>
      </c>
      <c r="S12" s="3568">
        <f t="shared" si="2"/>
        <v>848</v>
      </c>
      <c r="T12" s="3569">
        <f t="shared" si="16"/>
        <v>949.7600000000001</v>
      </c>
      <c r="U12" s="3567">
        <f t="shared" si="17"/>
        <v>5698.56</v>
      </c>
      <c r="V12" s="3567"/>
      <c r="W12" s="3567">
        <f t="shared" si="3"/>
        <v>5698.56</v>
      </c>
      <c r="X12" s="3570"/>
      <c r="Y12" s="3570"/>
      <c r="Z12" s="3567">
        <f t="shared" si="4"/>
        <v>848</v>
      </c>
      <c r="AA12" s="3567">
        <f t="shared" si="5"/>
        <v>5088</v>
      </c>
      <c r="AB12" s="3567"/>
      <c r="AC12" s="3567">
        <f t="shared" si="6"/>
        <v>5088</v>
      </c>
      <c r="AD12" s="3567">
        <f t="shared" si="7"/>
        <v>890.40000000000009</v>
      </c>
      <c r="AE12" s="3567">
        <f t="shared" si="8"/>
        <v>5342</v>
      </c>
      <c r="AF12" s="3567"/>
      <c r="AG12" s="3571">
        <f t="shared" si="9"/>
        <v>5342</v>
      </c>
      <c r="AH12" s="3571">
        <v>1.1200000000000001</v>
      </c>
      <c r="AI12" s="3004"/>
      <c r="AJ12" s="2995">
        <v>1.1200000000000001</v>
      </c>
      <c r="AK12" s="3004">
        <v>6</v>
      </c>
      <c r="AL12" s="3004">
        <f t="shared" si="10"/>
        <v>5698.56</v>
      </c>
      <c r="AM12" s="3004">
        <v>4</v>
      </c>
      <c r="AN12" s="3004">
        <f t="shared" si="11"/>
        <v>3799.0400000000004</v>
      </c>
      <c r="AO12" s="3004">
        <v>6</v>
      </c>
      <c r="AP12" s="3004">
        <f t="shared" si="12"/>
        <v>5698.56</v>
      </c>
      <c r="AQ12" s="3004">
        <v>6</v>
      </c>
      <c r="AR12" s="3004">
        <f t="shared" si="18"/>
        <v>5698.56</v>
      </c>
      <c r="AS12" s="2995"/>
      <c r="AT12" s="2995"/>
      <c r="AU12" s="2995"/>
      <c r="AV12" s="2983">
        <f t="shared" si="13"/>
        <v>-16</v>
      </c>
      <c r="AW12" s="3595">
        <f t="shared" si="19"/>
        <v>949.76</v>
      </c>
      <c r="AX12" s="3595">
        <f t="shared" si="14"/>
        <v>5698.56</v>
      </c>
      <c r="AY12" s="3595">
        <f t="shared" si="20"/>
        <v>5698.56</v>
      </c>
      <c r="AZ12" s="3595">
        <f t="shared" si="21"/>
        <v>3799.04</v>
      </c>
      <c r="BA12" s="3595">
        <f t="shared" si="22"/>
        <v>5698.56</v>
      </c>
      <c r="BB12" s="3595">
        <f t="shared" si="23"/>
        <v>5698.56</v>
      </c>
      <c r="BC12" s="2983">
        <f t="shared" si="24"/>
        <v>20894.72</v>
      </c>
      <c r="BD12" s="2983">
        <f t="shared" si="25"/>
        <v>-15196.16</v>
      </c>
    </row>
    <row r="13" spans="1:119" ht="12.75">
      <c r="A13" s="3265">
        <v>4</v>
      </c>
      <c r="B13" s="3660" t="s">
        <v>2728</v>
      </c>
      <c r="C13" s="3660" t="s">
        <v>2728</v>
      </c>
      <c r="D13" s="3548" t="s">
        <v>1268</v>
      </c>
      <c r="E13" s="3572">
        <v>16815.8</v>
      </c>
      <c r="F13" s="3549"/>
      <c r="G13" s="3572">
        <f t="shared" si="0"/>
        <v>16815.8</v>
      </c>
      <c r="H13" s="3549"/>
      <c r="I13" s="3573"/>
      <c r="J13" s="3573"/>
      <c r="K13" s="3549"/>
      <c r="L13" s="3647">
        <f t="shared" si="15"/>
        <v>6</v>
      </c>
      <c r="M13" s="3549"/>
      <c r="N13" s="3549"/>
      <c r="O13" s="3549"/>
      <c r="P13" s="3549">
        <f t="shared" si="1"/>
        <v>6</v>
      </c>
      <c r="Q13" s="3577">
        <f>1000</f>
        <v>1000</v>
      </c>
      <c r="R13" s="3568">
        <v>1.06</v>
      </c>
      <c r="S13" s="3568">
        <f t="shared" si="2"/>
        <v>1060</v>
      </c>
      <c r="T13" s="3569">
        <f t="shared" si="16"/>
        <v>1187.2</v>
      </c>
      <c r="U13" s="3567">
        <f t="shared" si="17"/>
        <v>7123.2000000000007</v>
      </c>
      <c r="V13" s="3567"/>
      <c r="W13" s="3567">
        <f t="shared" si="3"/>
        <v>7123.2000000000007</v>
      </c>
      <c r="X13" s="3570"/>
      <c r="Y13" s="3570"/>
      <c r="Z13" s="3567">
        <f t="shared" si="4"/>
        <v>1060</v>
      </c>
      <c r="AA13" s="3567">
        <f t="shared" si="5"/>
        <v>6360</v>
      </c>
      <c r="AB13" s="3567"/>
      <c r="AC13" s="3567">
        <f t="shared" si="6"/>
        <v>6360</v>
      </c>
      <c r="AD13" s="3567">
        <f t="shared" si="7"/>
        <v>1113</v>
      </c>
      <c r="AE13" s="3567">
        <f t="shared" si="8"/>
        <v>6678</v>
      </c>
      <c r="AF13" s="3567"/>
      <c r="AG13" s="3571">
        <f t="shared" si="9"/>
        <v>6678</v>
      </c>
      <c r="AH13" s="3571">
        <v>1.1200000000000001</v>
      </c>
      <c r="AI13" s="3004"/>
      <c r="AJ13" s="2995">
        <v>1.1200000000000001</v>
      </c>
      <c r="AK13" s="3004">
        <v>5</v>
      </c>
      <c r="AL13" s="3004">
        <f t="shared" si="10"/>
        <v>5936</v>
      </c>
      <c r="AM13" s="3004">
        <v>5</v>
      </c>
      <c r="AN13" s="3004">
        <f t="shared" si="11"/>
        <v>5936</v>
      </c>
      <c r="AO13" s="3004">
        <v>5</v>
      </c>
      <c r="AP13" s="3004">
        <f t="shared" si="12"/>
        <v>5936</v>
      </c>
      <c r="AQ13" s="3004">
        <v>6</v>
      </c>
      <c r="AR13" s="3004">
        <f t="shared" si="18"/>
        <v>7123.2000000000007</v>
      </c>
      <c r="AS13" s="2995"/>
      <c r="AT13" s="2995"/>
      <c r="AU13" s="2995"/>
      <c r="AV13" s="2983">
        <f t="shared" si="13"/>
        <v>-15</v>
      </c>
      <c r="AW13" s="3595">
        <f t="shared" si="19"/>
        <v>1187.2</v>
      </c>
      <c r="AX13" s="3595">
        <f t="shared" si="14"/>
        <v>7123.2</v>
      </c>
      <c r="AY13" s="3595">
        <f t="shared" si="20"/>
        <v>5936</v>
      </c>
      <c r="AZ13" s="3595">
        <f t="shared" si="21"/>
        <v>5936</v>
      </c>
      <c r="BA13" s="3595">
        <f t="shared" si="22"/>
        <v>5936</v>
      </c>
      <c r="BB13" s="3595">
        <f t="shared" si="23"/>
        <v>7123.2</v>
      </c>
      <c r="BC13" s="2983">
        <f t="shared" si="24"/>
        <v>24931.200000000001</v>
      </c>
      <c r="BD13" s="2983">
        <f t="shared" si="25"/>
        <v>-17808</v>
      </c>
    </row>
    <row r="14" spans="1:119" s="3674" customFormat="1" ht="12.75">
      <c r="A14" s="3265">
        <v>5</v>
      </c>
      <c r="B14" s="3661" t="s">
        <v>2938</v>
      </c>
      <c r="C14" s="3661" t="s">
        <v>2939</v>
      </c>
      <c r="D14" s="3662" t="s">
        <v>1022</v>
      </c>
      <c r="E14" s="3663">
        <v>16815.8</v>
      </c>
      <c r="F14" s="3664"/>
      <c r="G14" s="3663">
        <f t="shared" si="0"/>
        <v>16815.8</v>
      </c>
      <c r="H14" s="3664"/>
      <c r="I14" s="3664"/>
      <c r="J14" s="3664"/>
      <c r="K14" s="3664"/>
      <c r="L14" s="3665">
        <v>1</v>
      </c>
      <c r="M14" s="3666"/>
      <c r="N14" s="3664"/>
      <c r="O14" s="3664"/>
      <c r="P14" s="3667">
        <f t="shared" si="1"/>
        <v>1</v>
      </c>
      <c r="Q14" s="3668">
        <f>5500</f>
        <v>5500</v>
      </c>
      <c r="R14" s="3668">
        <v>1.06</v>
      </c>
      <c r="S14" s="3668">
        <f t="shared" si="2"/>
        <v>5830</v>
      </c>
      <c r="T14" s="3669">
        <f t="shared" si="16"/>
        <v>6529.6</v>
      </c>
      <c r="U14" s="3667">
        <f t="shared" si="17"/>
        <v>6529.6</v>
      </c>
      <c r="V14" s="3667"/>
      <c r="W14" s="3667">
        <f t="shared" si="3"/>
        <v>6529.6</v>
      </c>
      <c r="X14" s="3670"/>
      <c r="Y14" s="3670"/>
      <c r="Z14" s="3667">
        <f t="shared" si="4"/>
        <v>5830</v>
      </c>
      <c r="AA14" s="3667">
        <f t="shared" si="5"/>
        <v>5830</v>
      </c>
      <c r="AB14" s="3667"/>
      <c r="AC14" s="3667">
        <f t="shared" si="6"/>
        <v>5830</v>
      </c>
      <c r="AD14" s="3667">
        <f t="shared" si="7"/>
        <v>6121.5</v>
      </c>
      <c r="AE14" s="3667">
        <f t="shared" si="8"/>
        <v>6122</v>
      </c>
      <c r="AF14" s="3667"/>
      <c r="AG14" s="3671">
        <f t="shared" si="9"/>
        <v>6122</v>
      </c>
      <c r="AH14" s="3671">
        <v>1.1200000000000001</v>
      </c>
      <c r="AI14" s="3672"/>
      <c r="AJ14" s="3673">
        <v>1.1200000000000001</v>
      </c>
      <c r="AK14" s="3672">
        <v>4</v>
      </c>
      <c r="AL14" s="3672">
        <f t="shared" si="10"/>
        <v>26118.400000000001</v>
      </c>
      <c r="AM14" s="3672">
        <v>2</v>
      </c>
      <c r="AN14" s="3672">
        <f t="shared" si="11"/>
        <v>13059.2</v>
      </c>
      <c r="AO14" s="3672">
        <v>4</v>
      </c>
      <c r="AP14" s="3672">
        <f t="shared" si="12"/>
        <v>26118.400000000001</v>
      </c>
      <c r="AQ14" s="3672"/>
      <c r="AR14" s="3672">
        <f t="shared" si="18"/>
        <v>0</v>
      </c>
      <c r="AS14" s="3673"/>
      <c r="AT14" s="3673"/>
      <c r="AU14" s="3673"/>
      <c r="AV14" s="3674">
        <f t="shared" si="13"/>
        <v>-9</v>
      </c>
      <c r="AW14" s="3675">
        <f t="shared" si="19"/>
        <v>6529.6</v>
      </c>
      <c r="AX14" s="3675">
        <f t="shared" si="14"/>
        <v>6529.6</v>
      </c>
      <c r="AY14" s="3675">
        <f t="shared" si="20"/>
        <v>26118.400000000001</v>
      </c>
      <c r="AZ14" s="3675">
        <f t="shared" si="21"/>
        <v>13059.2</v>
      </c>
      <c r="BA14" s="3675">
        <f t="shared" si="22"/>
        <v>26118.400000000001</v>
      </c>
      <c r="BB14" s="3675">
        <f t="shared" si="23"/>
        <v>0</v>
      </c>
      <c r="BC14" s="3674">
        <f t="shared" si="24"/>
        <v>65296.000000000007</v>
      </c>
      <c r="BD14" s="3674">
        <f t="shared" si="25"/>
        <v>-58766.400000000009</v>
      </c>
      <c r="BF14" s="3328"/>
      <c r="BG14" s="3328"/>
      <c r="BH14" s="3328"/>
      <c r="BI14" s="3328"/>
      <c r="BJ14" s="3328"/>
      <c r="BK14" s="3328"/>
      <c r="BL14" s="3328"/>
      <c r="BM14" s="3328"/>
      <c r="BN14" s="3328"/>
      <c r="BO14" s="3328"/>
      <c r="BP14" s="3328"/>
      <c r="BQ14" s="3328"/>
      <c r="BR14" s="3328"/>
      <c r="BS14" s="3328"/>
      <c r="BT14" s="3328"/>
      <c r="BU14" s="3328"/>
      <c r="BV14" s="3328"/>
      <c r="BW14" s="3328"/>
      <c r="BX14" s="3328"/>
      <c r="BY14" s="3328"/>
      <c r="BZ14" s="3328"/>
      <c r="CA14" s="3328"/>
      <c r="CB14" s="3328"/>
      <c r="CC14" s="3328"/>
      <c r="CD14" s="3328"/>
      <c r="CE14" s="3328"/>
      <c r="CF14" s="3328"/>
      <c r="CG14" s="3328"/>
      <c r="CH14" s="3328"/>
      <c r="CI14" s="3328"/>
      <c r="CJ14" s="3328"/>
      <c r="CK14" s="3328"/>
      <c r="CL14" s="3328"/>
      <c r="CM14" s="3328"/>
      <c r="CN14" s="3328"/>
      <c r="CO14" s="3328"/>
      <c r="CP14" s="3328"/>
      <c r="CQ14" s="3328"/>
      <c r="CR14" s="3328"/>
      <c r="CS14" s="3328"/>
      <c r="CT14" s="3328"/>
      <c r="CU14" s="3328"/>
      <c r="CV14" s="3328"/>
      <c r="CW14" s="3328"/>
      <c r="CX14" s="3328"/>
      <c r="CY14" s="3328"/>
      <c r="CZ14" s="3328"/>
      <c r="DA14" s="3328"/>
      <c r="DB14" s="3328"/>
      <c r="DC14" s="3328"/>
      <c r="DD14" s="3328"/>
      <c r="DE14" s="3328"/>
      <c r="DF14" s="3328"/>
      <c r="DG14" s="3328"/>
      <c r="DH14" s="3328"/>
      <c r="DI14" s="3328"/>
      <c r="DJ14" s="3328"/>
      <c r="DK14" s="3328"/>
      <c r="DL14" s="3328"/>
      <c r="DM14" s="3328"/>
      <c r="DN14" s="3328"/>
      <c r="DO14" s="3328"/>
    </row>
    <row r="15" spans="1:119" s="3674" customFormat="1" ht="25.5">
      <c r="A15" s="3265">
        <v>6</v>
      </c>
      <c r="B15" s="3723" t="s">
        <v>2730</v>
      </c>
      <c r="C15" s="3723" t="s">
        <v>2730</v>
      </c>
      <c r="D15" s="3724" t="s">
        <v>1268</v>
      </c>
      <c r="E15" s="3725">
        <v>16815.8</v>
      </c>
      <c r="F15" s="3726"/>
      <c r="G15" s="3725">
        <f t="shared" si="0"/>
        <v>16815.8</v>
      </c>
      <c r="H15" s="3727"/>
      <c r="I15" s="3727"/>
      <c r="J15" s="3727"/>
      <c r="K15" s="3727"/>
      <c r="L15" s="3728">
        <v>12</v>
      </c>
      <c r="M15" s="3727"/>
      <c r="N15" s="3727"/>
      <c r="O15" s="3727"/>
      <c r="P15" s="3727">
        <f t="shared" si="1"/>
        <v>12</v>
      </c>
      <c r="Q15" s="3727">
        <f>1800</f>
        <v>1800</v>
      </c>
      <c r="R15" s="3729">
        <v>1.06</v>
      </c>
      <c r="S15" s="3729">
        <f t="shared" si="2"/>
        <v>1908</v>
      </c>
      <c r="T15" s="3730">
        <f t="shared" si="16"/>
        <v>2136.96</v>
      </c>
      <c r="U15" s="3727">
        <f t="shared" si="17"/>
        <v>25643.52</v>
      </c>
      <c r="V15" s="3667"/>
      <c r="W15" s="3667">
        <f t="shared" si="3"/>
        <v>25643.52</v>
      </c>
      <c r="X15" s="3678"/>
      <c r="Y15" s="3678"/>
      <c r="Z15" s="3667">
        <f t="shared" si="4"/>
        <v>1908</v>
      </c>
      <c r="AA15" s="3667">
        <f t="shared" si="5"/>
        <v>22896</v>
      </c>
      <c r="AB15" s="3667"/>
      <c r="AC15" s="3667">
        <f t="shared" si="6"/>
        <v>22896</v>
      </c>
      <c r="AD15" s="3667">
        <f t="shared" si="7"/>
        <v>2003.4</v>
      </c>
      <c r="AE15" s="3667">
        <f t="shared" si="8"/>
        <v>24041</v>
      </c>
      <c r="AF15" s="3667"/>
      <c r="AG15" s="3671">
        <f t="shared" si="9"/>
        <v>24041</v>
      </c>
      <c r="AH15" s="3671">
        <v>1.1200000000000001</v>
      </c>
      <c r="AI15" s="3672"/>
      <c r="AJ15" s="3673">
        <v>1.1200000000000001</v>
      </c>
      <c r="AK15" s="3672">
        <v>6</v>
      </c>
      <c r="AL15" s="3672">
        <f t="shared" si="10"/>
        <v>12821.76</v>
      </c>
      <c r="AM15" s="3672">
        <v>6</v>
      </c>
      <c r="AN15" s="3672">
        <f t="shared" si="11"/>
        <v>12821.76</v>
      </c>
      <c r="AO15" s="3672">
        <v>6</v>
      </c>
      <c r="AP15" s="3672">
        <f t="shared" si="12"/>
        <v>12821.76</v>
      </c>
      <c r="AQ15" s="3672">
        <v>6</v>
      </c>
      <c r="AR15" s="3672">
        <f t="shared" si="18"/>
        <v>12821.76</v>
      </c>
      <c r="AS15" s="3673"/>
      <c r="AT15" s="3673"/>
      <c r="AU15" s="3673"/>
      <c r="AV15" s="3674">
        <f t="shared" si="13"/>
        <v>-12</v>
      </c>
      <c r="AW15" s="3675">
        <f t="shared" si="19"/>
        <v>2136.96</v>
      </c>
      <c r="AX15" s="3675">
        <f t="shared" si="14"/>
        <v>25643.52</v>
      </c>
      <c r="AY15" s="3675">
        <f t="shared" si="20"/>
        <v>12821.76</v>
      </c>
      <c r="AZ15" s="3675">
        <f t="shared" si="21"/>
        <v>12821.76</v>
      </c>
      <c r="BA15" s="3675">
        <f t="shared" si="22"/>
        <v>12821.76</v>
      </c>
      <c r="BB15" s="3675">
        <f t="shared" si="23"/>
        <v>12821.76</v>
      </c>
      <c r="BC15" s="3674">
        <f t="shared" si="24"/>
        <v>51287.040000000001</v>
      </c>
      <c r="BD15" s="3674">
        <f t="shared" si="25"/>
        <v>-25643.52</v>
      </c>
      <c r="BF15" s="3328"/>
      <c r="BG15" s="3328"/>
      <c r="BH15" s="3328"/>
      <c r="BI15" s="3328"/>
      <c r="BJ15" s="3328"/>
      <c r="BK15" s="3328"/>
      <c r="BL15" s="3328"/>
      <c r="BM15" s="3328"/>
      <c r="BN15" s="3328"/>
      <c r="BO15" s="3328"/>
      <c r="BP15" s="3328"/>
      <c r="BQ15" s="3328"/>
      <c r="BR15" s="3328"/>
      <c r="BS15" s="3328"/>
      <c r="BT15" s="3328"/>
      <c r="BU15" s="3328"/>
      <c r="BV15" s="3328"/>
      <c r="BW15" s="3328"/>
      <c r="BX15" s="3328"/>
      <c r="BY15" s="3328"/>
      <c r="BZ15" s="3328"/>
      <c r="CA15" s="3328"/>
      <c r="CB15" s="3328"/>
      <c r="CC15" s="3328"/>
      <c r="CD15" s="3328"/>
      <c r="CE15" s="3328"/>
      <c r="CF15" s="3328"/>
      <c r="CG15" s="3328"/>
      <c r="CH15" s="3328"/>
      <c r="CI15" s="3328"/>
      <c r="CJ15" s="3328"/>
      <c r="CK15" s="3328"/>
      <c r="CL15" s="3328"/>
      <c r="CM15" s="3328"/>
      <c r="CN15" s="3328"/>
      <c r="CO15" s="3328"/>
      <c r="CP15" s="3328"/>
      <c r="CQ15" s="3328"/>
      <c r="CR15" s="3328"/>
      <c r="CS15" s="3328"/>
      <c r="CT15" s="3328"/>
      <c r="CU15" s="3328"/>
      <c r="CV15" s="3328"/>
      <c r="CW15" s="3328"/>
      <c r="CX15" s="3328"/>
      <c r="CY15" s="3328"/>
      <c r="CZ15" s="3328"/>
      <c r="DA15" s="3328"/>
      <c r="DB15" s="3328"/>
      <c r="DC15" s="3328"/>
      <c r="DD15" s="3328"/>
      <c r="DE15" s="3328"/>
      <c r="DF15" s="3328"/>
      <c r="DG15" s="3328"/>
      <c r="DH15" s="3328"/>
      <c r="DI15" s="3328"/>
      <c r="DJ15" s="3328"/>
      <c r="DK15" s="3328"/>
      <c r="DL15" s="3328"/>
      <c r="DM15" s="3328"/>
      <c r="DN15" s="3328"/>
      <c r="DO15" s="3328"/>
    </row>
    <row r="16" spans="1:119" s="3674" customFormat="1" ht="12.75">
      <c r="A16" s="3265">
        <v>7</v>
      </c>
      <c r="B16" s="3661" t="s">
        <v>2940</v>
      </c>
      <c r="C16" s="3661" t="s">
        <v>2941</v>
      </c>
      <c r="D16" s="3662" t="s">
        <v>2887</v>
      </c>
      <c r="E16" s="3663">
        <v>16815.8</v>
      </c>
      <c r="F16" s="3667"/>
      <c r="G16" s="3663">
        <f t="shared" si="0"/>
        <v>16815.8</v>
      </c>
      <c r="H16" s="3667"/>
      <c r="I16" s="3664"/>
      <c r="J16" s="3664"/>
      <c r="K16" s="3667"/>
      <c r="L16" s="3665">
        <v>5</v>
      </c>
      <c r="M16" s="3666"/>
      <c r="N16" s="3667"/>
      <c r="O16" s="3667"/>
      <c r="P16" s="3667">
        <f t="shared" si="1"/>
        <v>5</v>
      </c>
      <c r="Q16" s="3668">
        <f>1700</f>
        <v>1700</v>
      </c>
      <c r="R16" s="3668">
        <v>1.06</v>
      </c>
      <c r="S16" s="3668">
        <f t="shared" si="2"/>
        <v>1802</v>
      </c>
      <c r="T16" s="3669">
        <f t="shared" si="16"/>
        <v>2018.2400000000002</v>
      </c>
      <c r="U16" s="3667">
        <f t="shared" si="17"/>
        <v>10091.200000000001</v>
      </c>
      <c r="V16" s="3667"/>
      <c r="W16" s="3667">
        <f t="shared" si="3"/>
        <v>10091.200000000001</v>
      </c>
      <c r="X16" s="3670"/>
      <c r="Y16" s="3670"/>
      <c r="Z16" s="3667">
        <f t="shared" si="4"/>
        <v>1802</v>
      </c>
      <c r="AA16" s="3667">
        <f t="shared" si="5"/>
        <v>9010</v>
      </c>
      <c r="AB16" s="3667"/>
      <c r="AC16" s="3667">
        <f t="shared" si="6"/>
        <v>9010</v>
      </c>
      <c r="AD16" s="3667">
        <f t="shared" si="7"/>
        <v>1892.1000000000001</v>
      </c>
      <c r="AE16" s="3667">
        <f t="shared" si="8"/>
        <v>9461</v>
      </c>
      <c r="AF16" s="3667"/>
      <c r="AG16" s="3671">
        <f t="shared" si="9"/>
        <v>9461</v>
      </c>
      <c r="AH16" s="3671">
        <v>1.1200000000000001</v>
      </c>
      <c r="AI16" s="3672"/>
      <c r="AJ16" s="3673">
        <v>1.1200000000000001</v>
      </c>
      <c r="AK16" s="3672">
        <v>5</v>
      </c>
      <c r="AL16" s="3672">
        <f t="shared" si="10"/>
        <v>10091.200000000001</v>
      </c>
      <c r="AM16" s="3672">
        <v>5</v>
      </c>
      <c r="AN16" s="3672">
        <f t="shared" si="11"/>
        <v>10091.200000000001</v>
      </c>
      <c r="AO16" s="3672">
        <v>5</v>
      </c>
      <c r="AP16" s="3672">
        <f t="shared" si="12"/>
        <v>10091.200000000001</v>
      </c>
      <c r="AQ16" s="3672"/>
      <c r="AR16" s="3672">
        <f t="shared" si="18"/>
        <v>0</v>
      </c>
      <c r="AS16" s="3673"/>
      <c r="AT16" s="3673"/>
      <c r="AU16" s="3673"/>
      <c r="AV16" s="3674">
        <f t="shared" si="13"/>
        <v>-10</v>
      </c>
      <c r="AW16" s="3675">
        <f t="shared" si="19"/>
        <v>2018.24</v>
      </c>
      <c r="AX16" s="3675">
        <f t="shared" si="14"/>
        <v>10091.200000000001</v>
      </c>
      <c r="AY16" s="3675">
        <f t="shared" si="20"/>
        <v>10091.200000000001</v>
      </c>
      <c r="AZ16" s="3675">
        <f t="shared" si="21"/>
        <v>10091.200000000001</v>
      </c>
      <c r="BA16" s="3675">
        <f t="shared" si="22"/>
        <v>10091.200000000001</v>
      </c>
      <c r="BB16" s="3675">
        <f t="shared" si="23"/>
        <v>0</v>
      </c>
      <c r="BC16" s="3674">
        <f t="shared" si="24"/>
        <v>30273.600000000002</v>
      </c>
      <c r="BD16" s="3674">
        <f t="shared" si="25"/>
        <v>-20182.400000000001</v>
      </c>
      <c r="BF16" s="3328"/>
      <c r="BG16" s="3328"/>
      <c r="BH16" s="3328"/>
      <c r="BI16" s="3328"/>
      <c r="BJ16" s="3328"/>
      <c r="BK16" s="3328"/>
      <c r="BL16" s="3328"/>
      <c r="BM16" s="3328"/>
      <c r="BN16" s="3328"/>
      <c r="BO16" s="3328"/>
      <c r="BP16" s="3328"/>
      <c r="BQ16" s="3328"/>
      <c r="BR16" s="3328"/>
      <c r="BS16" s="3328"/>
      <c r="BT16" s="3328"/>
      <c r="BU16" s="3328"/>
      <c r="BV16" s="3328"/>
      <c r="BW16" s="3328"/>
      <c r="BX16" s="3328"/>
      <c r="BY16" s="3328"/>
      <c r="BZ16" s="3328"/>
      <c r="CA16" s="3328"/>
      <c r="CB16" s="3328"/>
      <c r="CC16" s="3328"/>
      <c r="CD16" s="3328"/>
      <c r="CE16" s="3328"/>
      <c r="CF16" s="3328"/>
      <c r="CG16" s="3328"/>
      <c r="CH16" s="3328"/>
      <c r="CI16" s="3328"/>
      <c r="CJ16" s="3328"/>
      <c r="CK16" s="3328"/>
      <c r="CL16" s="3328"/>
      <c r="CM16" s="3328"/>
      <c r="CN16" s="3328"/>
      <c r="CO16" s="3328"/>
      <c r="CP16" s="3328"/>
      <c r="CQ16" s="3328"/>
      <c r="CR16" s="3328"/>
      <c r="CS16" s="3328"/>
      <c r="CT16" s="3328"/>
      <c r="CU16" s="3328"/>
      <c r="CV16" s="3328"/>
      <c r="CW16" s="3328"/>
      <c r="CX16" s="3328"/>
      <c r="CY16" s="3328"/>
      <c r="CZ16" s="3328"/>
      <c r="DA16" s="3328"/>
      <c r="DB16" s="3328"/>
      <c r="DC16" s="3328"/>
      <c r="DD16" s="3328"/>
      <c r="DE16" s="3328"/>
      <c r="DF16" s="3328"/>
      <c r="DG16" s="3328"/>
      <c r="DH16" s="3328"/>
      <c r="DI16" s="3328"/>
      <c r="DJ16" s="3328"/>
      <c r="DK16" s="3328"/>
      <c r="DL16" s="3328"/>
      <c r="DM16" s="3328"/>
      <c r="DN16" s="3328"/>
      <c r="DO16" s="3328"/>
    </row>
    <row r="17" spans="1:119" ht="12.75">
      <c r="A17" s="3265">
        <v>8</v>
      </c>
      <c r="B17" s="3660" t="s">
        <v>2738</v>
      </c>
      <c r="C17" s="3660" t="s">
        <v>2739</v>
      </c>
      <c r="D17" s="3548" t="s">
        <v>1268</v>
      </c>
      <c r="E17" s="3572">
        <v>16815.8</v>
      </c>
      <c r="F17" s="3549"/>
      <c r="G17" s="3572">
        <f t="shared" si="0"/>
        <v>16815.8</v>
      </c>
      <c r="H17" s="3549"/>
      <c r="I17" s="3573"/>
      <c r="J17" s="3573"/>
      <c r="K17" s="3549"/>
      <c r="L17" s="3647">
        <f t="shared" si="15"/>
        <v>1</v>
      </c>
      <c r="M17" s="3574"/>
      <c r="N17" s="3549"/>
      <c r="O17" s="3549"/>
      <c r="P17" s="3549">
        <f t="shared" si="1"/>
        <v>1</v>
      </c>
      <c r="Q17" s="3577">
        <f>2500</f>
        <v>2500</v>
      </c>
      <c r="R17" s="3568">
        <v>1.06</v>
      </c>
      <c r="S17" s="3568">
        <f t="shared" si="2"/>
        <v>2650</v>
      </c>
      <c r="T17" s="3569">
        <f t="shared" si="16"/>
        <v>2968.0000000000005</v>
      </c>
      <c r="U17" s="3567">
        <f t="shared" si="17"/>
        <v>2968.0000000000005</v>
      </c>
      <c r="V17" s="3567"/>
      <c r="W17" s="3567">
        <f t="shared" si="3"/>
        <v>2968.0000000000005</v>
      </c>
      <c r="X17" s="3570"/>
      <c r="Y17" s="3570"/>
      <c r="Z17" s="3567">
        <f t="shared" si="4"/>
        <v>2650</v>
      </c>
      <c r="AA17" s="3567">
        <f t="shared" si="5"/>
        <v>2650</v>
      </c>
      <c r="AB17" s="3567"/>
      <c r="AC17" s="3567">
        <f t="shared" si="6"/>
        <v>2650</v>
      </c>
      <c r="AD17" s="3567">
        <f t="shared" si="7"/>
        <v>2782.5</v>
      </c>
      <c r="AE17" s="3567">
        <f t="shared" si="8"/>
        <v>2783</v>
      </c>
      <c r="AF17" s="3567"/>
      <c r="AG17" s="3571">
        <f t="shared" si="9"/>
        <v>2783</v>
      </c>
      <c r="AH17" s="3571">
        <v>1.1200000000000001</v>
      </c>
      <c r="AI17" s="3004"/>
      <c r="AJ17" s="2995">
        <v>1.1200000000000001</v>
      </c>
      <c r="AK17" s="3004"/>
      <c r="AL17" s="3004">
        <f t="shared" si="10"/>
        <v>0</v>
      </c>
      <c r="AM17" s="3004"/>
      <c r="AN17" s="3004">
        <f t="shared" si="11"/>
        <v>0</v>
      </c>
      <c r="AO17" s="3004"/>
      <c r="AP17" s="3004">
        <f t="shared" si="12"/>
        <v>0</v>
      </c>
      <c r="AQ17" s="3004">
        <v>1</v>
      </c>
      <c r="AR17" s="3004">
        <f t="shared" si="18"/>
        <v>2968.0000000000005</v>
      </c>
      <c r="AS17" s="2995"/>
      <c r="AT17" s="2995"/>
      <c r="AU17" s="2995"/>
      <c r="AV17" s="2983">
        <f t="shared" si="13"/>
        <v>0</v>
      </c>
      <c r="AW17" s="3595">
        <f t="shared" si="19"/>
        <v>2968</v>
      </c>
      <c r="AX17" s="3595">
        <f t="shared" si="14"/>
        <v>2968</v>
      </c>
      <c r="AY17" s="3595">
        <f t="shared" si="20"/>
        <v>0</v>
      </c>
      <c r="AZ17" s="3595">
        <f t="shared" si="21"/>
        <v>0</v>
      </c>
      <c r="BA17" s="3595">
        <f t="shared" si="22"/>
        <v>0</v>
      </c>
      <c r="BB17" s="3595">
        <f t="shared" si="23"/>
        <v>2968</v>
      </c>
      <c r="BC17" s="2983">
        <f t="shared" si="24"/>
        <v>2968</v>
      </c>
      <c r="BD17" s="2983">
        <f t="shared" si="25"/>
        <v>0</v>
      </c>
    </row>
    <row r="18" spans="1:119" ht="25.5">
      <c r="A18" s="3265">
        <v>9</v>
      </c>
      <c r="B18" s="2685" t="s">
        <v>2942</v>
      </c>
      <c r="C18" s="2685" t="s">
        <v>2943</v>
      </c>
      <c r="D18" s="3547" t="s">
        <v>1022</v>
      </c>
      <c r="E18" s="3572">
        <v>16815.8</v>
      </c>
      <c r="F18" s="3573"/>
      <c r="G18" s="3572">
        <f t="shared" si="0"/>
        <v>16815.8</v>
      </c>
      <c r="H18" s="3573"/>
      <c r="I18" s="3573"/>
      <c r="J18" s="3573"/>
      <c r="K18" s="3573"/>
      <c r="L18" s="3647">
        <f t="shared" si="15"/>
        <v>10</v>
      </c>
      <c r="M18" s="3574"/>
      <c r="N18" s="3573"/>
      <c r="O18" s="3573"/>
      <c r="P18" s="3549">
        <f t="shared" si="1"/>
        <v>10</v>
      </c>
      <c r="Q18" s="3580">
        <f>60</f>
        <v>60</v>
      </c>
      <c r="R18" s="3568">
        <v>1.06</v>
      </c>
      <c r="S18" s="3568">
        <f t="shared" si="2"/>
        <v>63.6</v>
      </c>
      <c r="T18" s="3569">
        <f t="shared" si="16"/>
        <v>71.232000000000014</v>
      </c>
      <c r="U18" s="3567">
        <f t="shared" si="17"/>
        <v>712.32000000000016</v>
      </c>
      <c r="V18" s="3549"/>
      <c r="W18" s="3549">
        <f t="shared" si="3"/>
        <v>712.32000000000016</v>
      </c>
      <c r="X18" s="3575">
        <v>19170</v>
      </c>
      <c r="Y18" s="3575">
        <v>1.07</v>
      </c>
      <c r="Z18" s="3549">
        <f t="shared" si="4"/>
        <v>63.6</v>
      </c>
      <c r="AA18" s="3549">
        <f t="shared" si="5"/>
        <v>636</v>
      </c>
      <c r="AB18" s="3549"/>
      <c r="AC18" s="3549">
        <f t="shared" si="6"/>
        <v>636</v>
      </c>
      <c r="AD18" s="3549">
        <f t="shared" si="7"/>
        <v>66.78</v>
      </c>
      <c r="AE18" s="3549">
        <f t="shared" si="8"/>
        <v>668</v>
      </c>
      <c r="AF18" s="3549"/>
      <c r="AG18" s="3576">
        <f t="shared" si="9"/>
        <v>668</v>
      </c>
      <c r="AH18" s="3571">
        <v>1.1200000000000001</v>
      </c>
      <c r="AI18" s="3004"/>
      <c r="AJ18" s="2995">
        <v>1.1200000000000001</v>
      </c>
      <c r="AK18" s="3004">
        <v>5</v>
      </c>
      <c r="AL18" s="3004">
        <f t="shared" si="10"/>
        <v>356.16000000000008</v>
      </c>
      <c r="AM18" s="3004">
        <v>5</v>
      </c>
      <c r="AN18" s="3004">
        <f t="shared" si="11"/>
        <v>356.16000000000008</v>
      </c>
      <c r="AO18" s="3004">
        <v>5</v>
      </c>
      <c r="AP18" s="3004">
        <f t="shared" si="12"/>
        <v>356.16000000000008</v>
      </c>
      <c r="AQ18" s="3004">
        <v>10</v>
      </c>
      <c r="AR18" s="3004">
        <f t="shared" si="18"/>
        <v>712.32000000000016</v>
      </c>
      <c r="AS18" s="2995"/>
      <c r="AT18" s="2995"/>
      <c r="AU18" s="2995"/>
      <c r="AV18" s="2983">
        <f t="shared" si="13"/>
        <v>-15</v>
      </c>
      <c r="AW18" s="3595">
        <f t="shared" si="19"/>
        <v>71.23</v>
      </c>
      <c r="AX18" s="3595">
        <f t="shared" si="14"/>
        <v>712.3</v>
      </c>
      <c r="AY18" s="3595">
        <f t="shared" si="20"/>
        <v>356.15</v>
      </c>
      <c r="AZ18" s="3595">
        <f t="shared" si="21"/>
        <v>356.15</v>
      </c>
      <c r="BA18" s="3595">
        <f t="shared" si="22"/>
        <v>356.15</v>
      </c>
      <c r="BB18" s="3595">
        <f t="shared" si="23"/>
        <v>712.3</v>
      </c>
      <c r="BC18" s="2983">
        <f t="shared" si="24"/>
        <v>1780.75</v>
      </c>
      <c r="BD18" s="2983">
        <f t="shared" si="25"/>
        <v>-1068.45</v>
      </c>
    </row>
    <row r="19" spans="1:119" s="3421" customFormat="1" ht="12.75">
      <c r="A19" s="3265">
        <v>10</v>
      </c>
      <c r="B19" s="2685" t="s">
        <v>2944</v>
      </c>
      <c r="C19" s="2685" t="s">
        <v>2945</v>
      </c>
      <c r="D19" s="3547" t="s">
        <v>1022</v>
      </c>
      <c r="E19" s="3572">
        <v>16815.8</v>
      </c>
      <c r="F19" s="3549"/>
      <c r="G19" s="3572">
        <f t="shared" si="0"/>
        <v>16815.8</v>
      </c>
      <c r="H19" s="3549"/>
      <c r="I19" s="3573"/>
      <c r="J19" s="3573"/>
      <c r="K19" s="3549"/>
      <c r="L19" s="3647">
        <f t="shared" si="15"/>
        <v>15</v>
      </c>
      <c r="M19" s="3574"/>
      <c r="N19" s="3549"/>
      <c r="O19" s="3549"/>
      <c r="P19" s="3549">
        <f t="shared" si="1"/>
        <v>15</v>
      </c>
      <c r="Q19" s="3577">
        <f>1600</f>
        <v>1600</v>
      </c>
      <c r="R19" s="3568">
        <v>1.06</v>
      </c>
      <c r="S19" s="3568">
        <f t="shared" si="2"/>
        <v>1696</v>
      </c>
      <c r="T19" s="3569">
        <f t="shared" si="16"/>
        <v>1899.5200000000002</v>
      </c>
      <c r="U19" s="3567">
        <f t="shared" si="17"/>
        <v>28492.800000000003</v>
      </c>
      <c r="V19" s="3567"/>
      <c r="W19" s="3567">
        <f t="shared" si="3"/>
        <v>28492.800000000003</v>
      </c>
      <c r="X19" s="3570"/>
      <c r="Y19" s="3570"/>
      <c r="Z19" s="3567">
        <f t="shared" si="4"/>
        <v>1696</v>
      </c>
      <c r="AA19" s="3567">
        <f t="shared" si="5"/>
        <v>25440</v>
      </c>
      <c r="AB19" s="3567"/>
      <c r="AC19" s="3567">
        <f t="shared" si="6"/>
        <v>25440</v>
      </c>
      <c r="AD19" s="3567">
        <f t="shared" si="7"/>
        <v>1780.8000000000002</v>
      </c>
      <c r="AE19" s="3567">
        <f t="shared" si="8"/>
        <v>26712</v>
      </c>
      <c r="AF19" s="3567"/>
      <c r="AG19" s="3571">
        <f t="shared" si="9"/>
        <v>26712</v>
      </c>
      <c r="AH19" s="3571">
        <v>1.1200000000000001</v>
      </c>
      <c r="AI19" s="3004"/>
      <c r="AJ19" s="2995">
        <v>1.1200000000000001</v>
      </c>
      <c r="AK19" s="3004">
        <v>10</v>
      </c>
      <c r="AL19" s="3004">
        <f t="shared" si="10"/>
        <v>18995.2</v>
      </c>
      <c r="AM19" s="3004">
        <v>10</v>
      </c>
      <c r="AN19" s="3004">
        <f t="shared" si="11"/>
        <v>18995.2</v>
      </c>
      <c r="AO19" s="3004">
        <v>10</v>
      </c>
      <c r="AP19" s="3004">
        <f t="shared" si="12"/>
        <v>18995.2</v>
      </c>
      <c r="AQ19" s="3004">
        <v>15</v>
      </c>
      <c r="AR19" s="3004">
        <f t="shared" si="18"/>
        <v>28492.800000000003</v>
      </c>
      <c r="AS19" s="2995"/>
      <c r="AV19" s="2983">
        <f t="shared" si="13"/>
        <v>-30</v>
      </c>
      <c r="AW19" s="3595">
        <f t="shared" si="19"/>
        <v>1899.52</v>
      </c>
      <c r="AX19" s="3595">
        <f t="shared" si="14"/>
        <v>28492.799999999999</v>
      </c>
      <c r="AY19" s="3595">
        <f t="shared" si="20"/>
        <v>18995.2</v>
      </c>
      <c r="AZ19" s="3595">
        <f t="shared" si="21"/>
        <v>18995.2</v>
      </c>
      <c r="BA19" s="3595">
        <f t="shared" si="22"/>
        <v>18995.2</v>
      </c>
      <c r="BB19" s="3595">
        <f t="shared" si="23"/>
        <v>28492.799999999999</v>
      </c>
      <c r="BC19" s="2983">
        <f t="shared" si="24"/>
        <v>85478.399999999994</v>
      </c>
      <c r="BD19" s="2983">
        <f t="shared" si="25"/>
        <v>-56985.599999999991</v>
      </c>
      <c r="BF19" s="3679"/>
      <c r="BG19" s="3679"/>
      <c r="BH19" s="3679"/>
      <c r="BI19" s="3679"/>
      <c r="BJ19" s="3679"/>
      <c r="BK19" s="3679"/>
      <c r="BL19" s="3679"/>
      <c r="BM19" s="3679"/>
      <c r="BN19" s="3679"/>
      <c r="BO19" s="3679"/>
      <c r="BP19" s="3679"/>
      <c r="BQ19" s="3679"/>
      <c r="BR19" s="3679"/>
      <c r="BS19" s="3679"/>
      <c r="BT19" s="3679"/>
      <c r="BU19" s="3679"/>
      <c r="BV19" s="3679"/>
      <c r="BW19" s="3679"/>
      <c r="BX19" s="3679"/>
      <c r="BY19" s="3679"/>
      <c r="BZ19" s="3679"/>
      <c r="CA19" s="3679"/>
      <c r="CB19" s="3679"/>
      <c r="CC19" s="3679"/>
      <c r="CD19" s="3679"/>
      <c r="CE19" s="3679"/>
      <c r="CF19" s="3679"/>
      <c r="CG19" s="3679"/>
      <c r="CH19" s="3679"/>
      <c r="CI19" s="3679"/>
      <c r="CJ19" s="3679"/>
      <c r="CK19" s="3679"/>
      <c r="CL19" s="3679"/>
      <c r="CM19" s="3679"/>
      <c r="CN19" s="3679"/>
      <c r="CO19" s="3679"/>
      <c r="CP19" s="3679"/>
      <c r="CQ19" s="3679"/>
      <c r="CR19" s="3679"/>
      <c r="CS19" s="3679"/>
      <c r="CT19" s="3679"/>
      <c r="CU19" s="3679"/>
      <c r="CV19" s="3679"/>
      <c r="CW19" s="3679"/>
      <c r="CX19" s="3679"/>
      <c r="CY19" s="3679"/>
      <c r="CZ19" s="3679"/>
      <c r="DA19" s="3679"/>
      <c r="DB19" s="3679"/>
      <c r="DC19" s="3679"/>
      <c r="DD19" s="3679"/>
      <c r="DE19" s="3679"/>
      <c r="DF19" s="3679"/>
      <c r="DG19" s="3679"/>
      <c r="DH19" s="3679"/>
      <c r="DI19" s="3679"/>
      <c r="DJ19" s="3679"/>
      <c r="DK19" s="3679"/>
      <c r="DL19" s="3679"/>
      <c r="DM19" s="3679"/>
      <c r="DN19" s="3679"/>
      <c r="DO19" s="3679"/>
    </row>
    <row r="20" spans="1:119" ht="12.75">
      <c r="A20" s="3265">
        <v>11</v>
      </c>
      <c r="B20" s="3660" t="s">
        <v>2946</v>
      </c>
      <c r="C20" s="3660" t="s">
        <v>2947</v>
      </c>
      <c r="D20" s="3548" t="s">
        <v>1022</v>
      </c>
      <c r="E20" s="3572">
        <v>16815.8</v>
      </c>
      <c r="F20" s="3549"/>
      <c r="G20" s="3572">
        <f t="shared" si="0"/>
        <v>16815.8</v>
      </c>
      <c r="H20" s="3549"/>
      <c r="I20" s="3549"/>
      <c r="J20" s="3549"/>
      <c r="K20" s="3549"/>
      <c r="L20" s="3647">
        <f t="shared" si="15"/>
        <v>5</v>
      </c>
      <c r="M20" s="3549"/>
      <c r="N20" s="3549"/>
      <c r="O20" s="3549"/>
      <c r="P20" s="3549">
        <f t="shared" si="1"/>
        <v>5</v>
      </c>
      <c r="Q20" s="3549">
        <f>305</f>
        <v>305</v>
      </c>
      <c r="R20" s="3568">
        <v>1.06</v>
      </c>
      <c r="S20" s="3568">
        <f t="shared" si="2"/>
        <v>323.3</v>
      </c>
      <c r="T20" s="3569">
        <f t="shared" si="16"/>
        <v>362.09600000000006</v>
      </c>
      <c r="U20" s="3567">
        <f t="shared" si="17"/>
        <v>1810.4800000000002</v>
      </c>
      <c r="V20" s="3549"/>
      <c r="W20" s="3549">
        <f t="shared" si="3"/>
        <v>1810.4800000000002</v>
      </c>
      <c r="X20" s="3578"/>
      <c r="Y20" s="3578"/>
      <c r="Z20" s="3549"/>
      <c r="AA20" s="3549"/>
      <c r="AB20" s="3549"/>
      <c r="AC20" s="3549"/>
      <c r="AD20" s="3549"/>
      <c r="AE20" s="3549"/>
      <c r="AF20" s="3549"/>
      <c r="AG20" s="3576"/>
      <c r="AH20" s="3571">
        <v>1.1200000000000001</v>
      </c>
      <c r="AI20" s="3004"/>
      <c r="AJ20" s="2995">
        <v>1.1200000000000001</v>
      </c>
      <c r="AK20" s="3004">
        <v>5</v>
      </c>
      <c r="AL20" s="3004">
        <f t="shared" si="10"/>
        <v>1810.4800000000002</v>
      </c>
      <c r="AM20" s="3004">
        <v>5</v>
      </c>
      <c r="AN20" s="3004">
        <f t="shared" si="11"/>
        <v>1810.4800000000002</v>
      </c>
      <c r="AO20" s="3004">
        <v>5</v>
      </c>
      <c r="AP20" s="3004">
        <f t="shared" si="12"/>
        <v>1810.4800000000002</v>
      </c>
      <c r="AQ20" s="3004">
        <v>5</v>
      </c>
      <c r="AR20" s="3004">
        <f t="shared" si="18"/>
        <v>1810.4800000000002</v>
      </c>
      <c r="AS20" s="2995"/>
      <c r="AT20" s="2995"/>
      <c r="AU20" s="2995"/>
      <c r="AV20" s="2983">
        <f t="shared" si="13"/>
        <v>-15</v>
      </c>
      <c r="AW20" s="3595">
        <f t="shared" si="19"/>
        <v>362.1</v>
      </c>
      <c r="AX20" s="3595">
        <f t="shared" si="14"/>
        <v>1810.5</v>
      </c>
      <c r="AY20" s="3595">
        <f t="shared" si="20"/>
        <v>1810.5</v>
      </c>
      <c r="AZ20" s="3595">
        <f t="shared" si="21"/>
        <v>1810.5</v>
      </c>
      <c r="BA20" s="3595">
        <f t="shared" si="22"/>
        <v>1810.5</v>
      </c>
      <c r="BB20" s="3595">
        <f t="shared" si="23"/>
        <v>1810.5</v>
      </c>
      <c r="BC20" s="2983">
        <f t="shared" si="24"/>
        <v>7242</v>
      </c>
      <c r="BD20" s="2983">
        <f t="shared" si="25"/>
        <v>-5431.5</v>
      </c>
    </row>
    <row r="21" spans="1:119" ht="12.75">
      <c r="A21" s="3265">
        <v>12</v>
      </c>
      <c r="B21" s="3660" t="s">
        <v>2948</v>
      </c>
      <c r="C21" s="3660" t="s">
        <v>2748</v>
      </c>
      <c r="D21" s="3548" t="s">
        <v>2393</v>
      </c>
      <c r="E21" s="3572">
        <v>16815.8</v>
      </c>
      <c r="F21" s="3549"/>
      <c r="G21" s="3572">
        <f t="shared" si="0"/>
        <v>16815.8</v>
      </c>
      <c r="H21" s="3549"/>
      <c r="I21" s="3549"/>
      <c r="J21" s="3549"/>
      <c r="K21" s="3549"/>
      <c r="L21" s="3647">
        <f t="shared" si="15"/>
        <v>1</v>
      </c>
      <c r="M21" s="3549"/>
      <c r="N21" s="3549"/>
      <c r="O21" s="3549"/>
      <c r="P21" s="3549">
        <f t="shared" si="1"/>
        <v>1</v>
      </c>
      <c r="Q21" s="3549">
        <f>1500</f>
        <v>1500</v>
      </c>
      <c r="R21" s="3568">
        <v>1.06</v>
      </c>
      <c r="S21" s="3568">
        <f t="shared" si="2"/>
        <v>1590</v>
      </c>
      <c r="T21" s="3569">
        <f t="shared" si="16"/>
        <v>1780.8000000000002</v>
      </c>
      <c r="U21" s="3567">
        <f t="shared" si="17"/>
        <v>1780.8000000000002</v>
      </c>
      <c r="V21" s="3549"/>
      <c r="W21" s="3549">
        <f t="shared" si="3"/>
        <v>1780.8000000000002</v>
      </c>
      <c r="X21" s="3578"/>
      <c r="Y21" s="3578"/>
      <c r="Z21" s="3549"/>
      <c r="AA21" s="3549"/>
      <c r="AB21" s="3549"/>
      <c r="AC21" s="3549"/>
      <c r="AD21" s="3549"/>
      <c r="AE21" s="3549"/>
      <c r="AF21" s="3549"/>
      <c r="AG21" s="3576"/>
      <c r="AH21" s="3571">
        <v>1.1200000000000001</v>
      </c>
      <c r="AI21" s="3004"/>
      <c r="AJ21" s="2995">
        <v>1.1200000000000001</v>
      </c>
      <c r="AK21" s="3004">
        <v>1</v>
      </c>
      <c r="AL21" s="3004">
        <f t="shared" si="10"/>
        <v>1780.8000000000002</v>
      </c>
      <c r="AM21" s="3004"/>
      <c r="AN21" s="3004">
        <f t="shared" si="11"/>
        <v>0</v>
      </c>
      <c r="AO21" s="3004">
        <v>1</v>
      </c>
      <c r="AP21" s="3004">
        <f t="shared" si="12"/>
        <v>1780.8000000000002</v>
      </c>
      <c r="AQ21" s="3004">
        <v>1</v>
      </c>
      <c r="AR21" s="3004">
        <f t="shared" si="18"/>
        <v>1780.8000000000002</v>
      </c>
      <c r="AS21" s="2995"/>
      <c r="AT21" s="2995"/>
      <c r="AU21" s="2995"/>
      <c r="AV21" s="2983">
        <f t="shared" si="13"/>
        <v>-2</v>
      </c>
      <c r="AW21" s="3595">
        <f t="shared" si="19"/>
        <v>1780.8</v>
      </c>
      <c r="AX21" s="3595">
        <f t="shared" si="14"/>
        <v>1780.8</v>
      </c>
      <c r="AY21" s="3595">
        <f t="shared" si="20"/>
        <v>1780.8</v>
      </c>
      <c r="AZ21" s="3595">
        <f t="shared" si="21"/>
        <v>0</v>
      </c>
      <c r="BA21" s="3595">
        <f t="shared" si="22"/>
        <v>1780.8</v>
      </c>
      <c r="BB21" s="3595">
        <f t="shared" si="23"/>
        <v>1780.8</v>
      </c>
      <c r="BC21" s="2983">
        <f t="shared" si="24"/>
        <v>5342.4</v>
      </c>
      <c r="BD21" s="2983">
        <f t="shared" si="25"/>
        <v>-3561.5999999999995</v>
      </c>
    </row>
    <row r="22" spans="1:119" ht="25.5">
      <c r="A22" s="3265">
        <v>13</v>
      </c>
      <c r="B22" s="3660" t="s">
        <v>2733</v>
      </c>
      <c r="C22" s="3660" t="s">
        <v>2733</v>
      </c>
      <c r="D22" s="3548" t="s">
        <v>1022</v>
      </c>
      <c r="E22" s="3572">
        <v>16815.8</v>
      </c>
      <c r="F22" s="3573"/>
      <c r="G22" s="3572">
        <f t="shared" si="0"/>
        <v>16815.8</v>
      </c>
      <c r="H22" s="3573"/>
      <c r="I22" s="3573"/>
      <c r="J22" s="3573"/>
      <c r="K22" s="3573"/>
      <c r="L22" s="3647">
        <f t="shared" si="15"/>
        <v>12</v>
      </c>
      <c r="M22" s="3574"/>
      <c r="N22" s="3573"/>
      <c r="O22" s="3573"/>
      <c r="P22" s="3549">
        <f t="shared" si="1"/>
        <v>12</v>
      </c>
      <c r="Q22" s="3371">
        <f>5500</f>
        <v>5500</v>
      </c>
      <c r="R22" s="3568">
        <v>1.06</v>
      </c>
      <c r="S22" s="3568">
        <f t="shared" si="2"/>
        <v>5830</v>
      </c>
      <c r="T22" s="3569">
        <f t="shared" si="16"/>
        <v>6529.6</v>
      </c>
      <c r="U22" s="3567">
        <f t="shared" si="17"/>
        <v>78355.200000000012</v>
      </c>
      <c r="V22" s="3549"/>
      <c r="W22" s="3549">
        <f t="shared" si="3"/>
        <v>78355.200000000012</v>
      </c>
      <c r="X22" s="3575">
        <v>26</v>
      </c>
      <c r="Y22" s="3575">
        <v>1.07</v>
      </c>
      <c r="Z22" s="3549">
        <f>Q22*$Z$4</f>
        <v>5830</v>
      </c>
      <c r="AA22" s="3549">
        <f>ROUND(P22*Z22,0)</f>
        <v>69960</v>
      </c>
      <c r="AB22" s="3549"/>
      <c r="AC22" s="3549">
        <f>AA22-AB22</f>
        <v>69960</v>
      </c>
      <c r="AD22" s="3549">
        <f>Z22*$AD$4</f>
        <v>6121.5</v>
      </c>
      <c r="AE22" s="3549">
        <f>ROUND(P22*AD22,0)</f>
        <v>73458</v>
      </c>
      <c r="AF22" s="3549"/>
      <c r="AG22" s="3576">
        <f>AE22-AF22</f>
        <v>73458</v>
      </c>
      <c r="AH22" s="3571">
        <v>1.1200000000000001</v>
      </c>
      <c r="AI22" s="3004"/>
      <c r="AJ22" s="2995">
        <v>1.1200000000000001</v>
      </c>
      <c r="AK22" s="3004">
        <v>9</v>
      </c>
      <c r="AL22" s="3004">
        <f t="shared" si="10"/>
        <v>58766.400000000001</v>
      </c>
      <c r="AM22" s="3004">
        <v>9</v>
      </c>
      <c r="AN22" s="3004">
        <f t="shared" si="11"/>
        <v>58766.400000000001</v>
      </c>
      <c r="AO22" s="3004">
        <v>9</v>
      </c>
      <c r="AP22" s="3004">
        <f t="shared" si="12"/>
        <v>58766.400000000001</v>
      </c>
      <c r="AQ22" s="3004">
        <v>12</v>
      </c>
      <c r="AR22" s="3004">
        <f t="shared" si="18"/>
        <v>78355.200000000012</v>
      </c>
      <c r="AS22" s="2995"/>
      <c r="AT22" s="2995"/>
      <c r="AU22" s="2995"/>
      <c r="AV22" s="2983">
        <f t="shared" si="13"/>
        <v>-27</v>
      </c>
      <c r="AW22" s="3595">
        <f t="shared" si="19"/>
        <v>6529.6</v>
      </c>
      <c r="AX22" s="3595">
        <f t="shared" si="14"/>
        <v>78355.199999999997</v>
      </c>
      <c r="AY22" s="3595">
        <f t="shared" si="20"/>
        <v>58766.400000000001</v>
      </c>
      <c r="AZ22" s="3595">
        <f t="shared" si="21"/>
        <v>58766.400000000001</v>
      </c>
      <c r="BA22" s="3595">
        <f t="shared" si="22"/>
        <v>58766.400000000001</v>
      </c>
      <c r="BB22" s="3595">
        <f t="shared" si="23"/>
        <v>78355.199999999997</v>
      </c>
      <c r="BC22" s="2983">
        <f t="shared" si="24"/>
        <v>254654.4</v>
      </c>
      <c r="BD22" s="2983">
        <f t="shared" si="25"/>
        <v>-176299.2</v>
      </c>
    </row>
    <row r="23" spans="1:119" s="3674" customFormat="1" ht="12.75">
      <c r="A23" s="3265">
        <v>14</v>
      </c>
      <c r="B23" s="3660" t="s">
        <v>2750</v>
      </c>
      <c r="C23" s="3660" t="s">
        <v>1394</v>
      </c>
      <c r="D23" s="3548" t="s">
        <v>2751</v>
      </c>
      <c r="E23" s="3572">
        <v>16815.8</v>
      </c>
      <c r="F23" s="3573"/>
      <c r="G23" s="3572">
        <f t="shared" si="0"/>
        <v>16815.8</v>
      </c>
      <c r="H23" s="3573"/>
      <c r="I23" s="3573"/>
      <c r="J23" s="3573"/>
      <c r="K23" s="3573"/>
      <c r="L23" s="3676">
        <v>50</v>
      </c>
      <c r="M23" s="3574"/>
      <c r="N23" s="3573"/>
      <c r="O23" s="3573"/>
      <c r="P23" s="3549">
        <f t="shared" si="1"/>
        <v>50</v>
      </c>
      <c r="Q23" s="3371">
        <f>110</f>
        <v>110</v>
      </c>
      <c r="R23" s="3577">
        <v>1.06</v>
      </c>
      <c r="S23" s="3577">
        <f t="shared" si="2"/>
        <v>116.60000000000001</v>
      </c>
      <c r="T23" s="3677">
        <f t="shared" si="16"/>
        <v>130.59200000000001</v>
      </c>
      <c r="U23" s="3549">
        <f t="shared" si="17"/>
        <v>6529.6</v>
      </c>
      <c r="V23" s="3667"/>
      <c r="W23" s="3667">
        <f t="shared" si="3"/>
        <v>6529.6</v>
      </c>
      <c r="X23" s="3670"/>
      <c r="Y23" s="3670"/>
      <c r="Z23" s="3667">
        <f>Q23*$Z$4</f>
        <v>116.60000000000001</v>
      </c>
      <c r="AA23" s="3667">
        <f>ROUND(P23*Z23,0)</f>
        <v>5830</v>
      </c>
      <c r="AB23" s="3667"/>
      <c r="AC23" s="3667">
        <f>AA23-AB23</f>
        <v>5830</v>
      </c>
      <c r="AD23" s="3667">
        <f>Z23*$AD$4</f>
        <v>122.43000000000002</v>
      </c>
      <c r="AE23" s="3667">
        <f>ROUND(P23*AD23,0)</f>
        <v>6122</v>
      </c>
      <c r="AF23" s="3667"/>
      <c r="AG23" s="3671">
        <f>AE23-AF23</f>
        <v>6122</v>
      </c>
      <c r="AH23" s="3671">
        <v>1.1200000000000001</v>
      </c>
      <c r="AI23" s="3672"/>
      <c r="AJ23" s="3673">
        <v>1.1200000000000001</v>
      </c>
      <c r="AK23" s="3672">
        <v>20</v>
      </c>
      <c r="AL23" s="3672">
        <f t="shared" si="10"/>
        <v>2611.84</v>
      </c>
      <c r="AM23" s="3672">
        <v>10</v>
      </c>
      <c r="AN23" s="3672">
        <f t="shared" si="11"/>
        <v>1305.92</v>
      </c>
      <c r="AO23" s="3672">
        <v>20</v>
      </c>
      <c r="AP23" s="3672">
        <f t="shared" si="12"/>
        <v>2611.84</v>
      </c>
      <c r="AQ23" s="3672"/>
      <c r="AR23" s="3672">
        <f t="shared" si="18"/>
        <v>0</v>
      </c>
      <c r="AS23" s="3673"/>
      <c r="AT23" s="3673"/>
      <c r="AU23" s="3673"/>
      <c r="AV23" s="3674">
        <f t="shared" si="13"/>
        <v>0</v>
      </c>
      <c r="AW23" s="3675">
        <f t="shared" si="19"/>
        <v>130.59</v>
      </c>
      <c r="AX23" s="3675">
        <f t="shared" si="14"/>
        <v>6529.5</v>
      </c>
      <c r="AY23" s="3675">
        <f t="shared" si="20"/>
        <v>2611.8000000000002</v>
      </c>
      <c r="AZ23" s="3675">
        <f t="shared" si="21"/>
        <v>1305.9000000000001</v>
      </c>
      <c r="BA23" s="3675">
        <f t="shared" si="22"/>
        <v>2611.8000000000002</v>
      </c>
      <c r="BB23" s="3675">
        <f t="shared" si="23"/>
        <v>0</v>
      </c>
      <c r="BC23" s="3674">
        <f t="shared" si="24"/>
        <v>6529.5</v>
      </c>
      <c r="BD23" s="3674">
        <f t="shared" si="25"/>
        <v>0</v>
      </c>
      <c r="BF23" s="3328"/>
      <c r="BG23" s="3328"/>
      <c r="BH23" s="3328"/>
      <c r="BI23" s="3328"/>
      <c r="BJ23" s="3328"/>
      <c r="BK23" s="3328"/>
      <c r="BL23" s="3328"/>
      <c r="BM23" s="3328"/>
      <c r="BN23" s="3328"/>
      <c r="BO23" s="3328"/>
      <c r="BP23" s="3328"/>
      <c r="BQ23" s="3328"/>
      <c r="BR23" s="3328"/>
      <c r="BS23" s="3328"/>
      <c r="BT23" s="3328"/>
      <c r="BU23" s="3328"/>
      <c r="BV23" s="3328"/>
      <c r="BW23" s="3328"/>
      <c r="BX23" s="3328"/>
      <c r="BY23" s="3328"/>
      <c r="BZ23" s="3328"/>
      <c r="CA23" s="3328"/>
      <c r="CB23" s="3328"/>
      <c r="CC23" s="3328"/>
      <c r="CD23" s="3328"/>
      <c r="CE23" s="3328"/>
      <c r="CF23" s="3328"/>
      <c r="CG23" s="3328"/>
      <c r="CH23" s="3328"/>
      <c r="CI23" s="3328"/>
      <c r="CJ23" s="3328"/>
      <c r="CK23" s="3328"/>
      <c r="CL23" s="3328"/>
      <c r="CM23" s="3328"/>
      <c r="CN23" s="3328"/>
      <c r="CO23" s="3328"/>
      <c r="CP23" s="3328"/>
      <c r="CQ23" s="3328"/>
      <c r="CR23" s="3328"/>
      <c r="CS23" s="3328"/>
      <c r="CT23" s="3328"/>
      <c r="CU23" s="3328"/>
      <c r="CV23" s="3328"/>
      <c r="CW23" s="3328"/>
      <c r="CX23" s="3328"/>
      <c r="CY23" s="3328"/>
      <c r="CZ23" s="3328"/>
      <c r="DA23" s="3328"/>
      <c r="DB23" s="3328"/>
      <c r="DC23" s="3328"/>
      <c r="DD23" s="3328"/>
      <c r="DE23" s="3328"/>
      <c r="DF23" s="3328"/>
      <c r="DG23" s="3328"/>
      <c r="DH23" s="3328"/>
      <c r="DI23" s="3328"/>
      <c r="DJ23" s="3328"/>
      <c r="DK23" s="3328"/>
      <c r="DL23" s="3328"/>
      <c r="DM23" s="3328"/>
      <c r="DN23" s="3328"/>
      <c r="DO23" s="3328"/>
    </row>
    <row r="24" spans="1:119" ht="12.75">
      <c r="A24" s="3265">
        <v>15</v>
      </c>
      <c r="B24" s="2685" t="s">
        <v>2949</v>
      </c>
      <c r="C24" s="2685" t="s">
        <v>2950</v>
      </c>
      <c r="D24" s="3547" t="s">
        <v>1022</v>
      </c>
      <c r="E24" s="3572">
        <v>16815.8</v>
      </c>
      <c r="F24" s="3549"/>
      <c r="G24" s="3572">
        <f t="shared" si="0"/>
        <v>16815.8</v>
      </c>
      <c r="H24" s="3549"/>
      <c r="I24" s="3573"/>
      <c r="J24" s="3573"/>
      <c r="K24" s="3549"/>
      <c r="L24" s="3647">
        <f t="shared" si="15"/>
        <v>6</v>
      </c>
      <c r="M24" s="3574"/>
      <c r="N24" s="3549"/>
      <c r="O24" s="3549"/>
      <c r="P24" s="3549">
        <f t="shared" si="1"/>
        <v>6</v>
      </c>
      <c r="Q24" s="3371">
        <f>150</f>
        <v>150</v>
      </c>
      <c r="R24" s="3568">
        <v>1.06</v>
      </c>
      <c r="S24" s="3568">
        <f t="shared" si="2"/>
        <v>159</v>
      </c>
      <c r="T24" s="3569">
        <f t="shared" si="16"/>
        <v>178.08</v>
      </c>
      <c r="U24" s="3567">
        <f t="shared" si="17"/>
        <v>1068.48</v>
      </c>
      <c r="V24" s="3567"/>
      <c r="W24" s="3567">
        <f t="shared" si="3"/>
        <v>1068.48</v>
      </c>
      <c r="X24" s="3570"/>
      <c r="Y24" s="3570"/>
      <c r="Z24" s="3567">
        <f>Q24*$Z$4</f>
        <v>159</v>
      </c>
      <c r="AA24" s="3567">
        <f>ROUND(P24*Z24,0)</f>
        <v>954</v>
      </c>
      <c r="AB24" s="3567"/>
      <c r="AC24" s="3567">
        <f>AA24-AB24</f>
        <v>954</v>
      </c>
      <c r="AD24" s="3567">
        <f>Z24*$AD$4</f>
        <v>166.95000000000002</v>
      </c>
      <c r="AE24" s="3567">
        <f>ROUND(P24*AD24,0)</f>
        <v>1002</v>
      </c>
      <c r="AF24" s="3567"/>
      <c r="AG24" s="3571">
        <f>AE24-AF24</f>
        <v>1002</v>
      </c>
      <c r="AH24" s="3571">
        <v>1.1200000000000001</v>
      </c>
      <c r="AI24" s="3004"/>
      <c r="AJ24" s="2995">
        <v>1.1200000000000001</v>
      </c>
      <c r="AK24" s="3004">
        <v>5</v>
      </c>
      <c r="AL24" s="3004">
        <f t="shared" si="10"/>
        <v>890.40000000000009</v>
      </c>
      <c r="AM24" s="3004">
        <v>5</v>
      </c>
      <c r="AN24" s="3004">
        <f t="shared" si="11"/>
        <v>890.40000000000009</v>
      </c>
      <c r="AO24" s="3004">
        <v>5</v>
      </c>
      <c r="AP24" s="3004">
        <f t="shared" si="12"/>
        <v>890.40000000000009</v>
      </c>
      <c r="AQ24" s="3004">
        <v>6</v>
      </c>
      <c r="AR24" s="3004">
        <f t="shared" si="18"/>
        <v>1068.48</v>
      </c>
      <c r="AS24" s="2995"/>
      <c r="AT24" s="2995"/>
      <c r="AU24" s="2995"/>
      <c r="AV24" s="2983">
        <f t="shared" si="13"/>
        <v>-15</v>
      </c>
      <c r="AW24" s="3595">
        <f t="shared" si="19"/>
        <v>178.08</v>
      </c>
      <c r="AX24" s="3595">
        <f t="shared" si="14"/>
        <v>1068.48</v>
      </c>
      <c r="AY24" s="3595">
        <f t="shared" si="20"/>
        <v>890.4</v>
      </c>
      <c r="AZ24" s="3595">
        <f t="shared" si="21"/>
        <v>890.4</v>
      </c>
      <c r="BA24" s="3595">
        <f t="shared" si="22"/>
        <v>890.4</v>
      </c>
      <c r="BB24" s="3595">
        <f t="shared" si="23"/>
        <v>1068.48</v>
      </c>
      <c r="BC24" s="2983">
        <f t="shared" si="24"/>
        <v>3739.68</v>
      </c>
      <c r="BD24" s="2983">
        <f t="shared" si="25"/>
        <v>-2671.2</v>
      </c>
    </row>
    <row r="25" spans="1:119" ht="25.5">
      <c r="A25" s="3265">
        <v>16</v>
      </c>
      <c r="B25" s="3660" t="s">
        <v>2756</v>
      </c>
      <c r="C25" s="3660" t="s">
        <v>2951</v>
      </c>
      <c r="D25" s="3548" t="s">
        <v>1411</v>
      </c>
      <c r="E25" s="3564">
        <v>16815.8</v>
      </c>
      <c r="F25" s="3565"/>
      <c r="G25" s="3564">
        <f t="shared" si="0"/>
        <v>16815.8</v>
      </c>
      <c r="H25" s="3565"/>
      <c r="I25" s="3565"/>
      <c r="J25" s="3565"/>
      <c r="K25" s="3565"/>
      <c r="L25" s="3647">
        <f t="shared" si="15"/>
        <v>50</v>
      </c>
      <c r="M25" s="3566"/>
      <c r="N25" s="3565"/>
      <c r="O25" s="3565"/>
      <c r="P25" s="3549">
        <f t="shared" si="1"/>
        <v>50</v>
      </c>
      <c r="Q25" s="3265">
        <f>190</f>
        <v>190</v>
      </c>
      <c r="R25" s="3568">
        <v>1.06</v>
      </c>
      <c r="S25" s="3568">
        <f t="shared" si="2"/>
        <v>201.4</v>
      </c>
      <c r="T25" s="3569">
        <f t="shared" si="16"/>
        <v>225.56800000000004</v>
      </c>
      <c r="U25" s="3567">
        <f t="shared" si="17"/>
        <v>11278.400000000001</v>
      </c>
      <c r="V25" s="3567"/>
      <c r="W25" s="3567">
        <f t="shared" si="3"/>
        <v>11278.400000000001</v>
      </c>
      <c r="X25" s="3570"/>
      <c r="Y25" s="3570"/>
      <c r="Z25" s="3567">
        <f>Q25*$Z$4</f>
        <v>201.4</v>
      </c>
      <c r="AA25" s="3567">
        <f>ROUND(P25*Z25,0)</f>
        <v>10070</v>
      </c>
      <c r="AB25" s="3567"/>
      <c r="AC25" s="3567">
        <f>AA25-AB25</f>
        <v>10070</v>
      </c>
      <c r="AD25" s="3567">
        <f>Z25*$AD$4</f>
        <v>211.47000000000003</v>
      </c>
      <c r="AE25" s="3567">
        <f>ROUND(P25*AD25,0)</f>
        <v>10574</v>
      </c>
      <c r="AF25" s="3567"/>
      <c r="AG25" s="3571">
        <f>AE25-AF25</f>
        <v>10574</v>
      </c>
      <c r="AH25" s="3571">
        <v>1.1200000000000001</v>
      </c>
      <c r="AI25" s="3004"/>
      <c r="AJ25" s="2995">
        <v>1.1200000000000001</v>
      </c>
      <c r="AK25" s="3004">
        <v>100</v>
      </c>
      <c r="AL25" s="3004">
        <f t="shared" si="10"/>
        <v>22556.800000000003</v>
      </c>
      <c r="AM25" s="3004">
        <v>50</v>
      </c>
      <c r="AN25" s="3004">
        <f t="shared" si="11"/>
        <v>11278.400000000001</v>
      </c>
      <c r="AO25" s="3004">
        <v>100</v>
      </c>
      <c r="AP25" s="3004">
        <f t="shared" si="12"/>
        <v>22556.800000000003</v>
      </c>
      <c r="AQ25" s="3004">
        <v>50</v>
      </c>
      <c r="AR25" s="3004">
        <f t="shared" si="18"/>
        <v>11278.400000000001</v>
      </c>
      <c r="AS25" s="2995"/>
      <c r="AT25" s="2995"/>
      <c r="AU25" s="2995"/>
      <c r="AV25" s="2983">
        <f t="shared" si="13"/>
        <v>-250</v>
      </c>
      <c r="AW25" s="3595">
        <f t="shared" si="19"/>
        <v>225.57</v>
      </c>
      <c r="AX25" s="3595">
        <f t="shared" si="14"/>
        <v>11278.5</v>
      </c>
      <c r="AY25" s="3595">
        <f t="shared" si="20"/>
        <v>22557</v>
      </c>
      <c r="AZ25" s="3595">
        <f t="shared" si="21"/>
        <v>11278.5</v>
      </c>
      <c r="BA25" s="3595">
        <f t="shared" si="22"/>
        <v>22557</v>
      </c>
      <c r="BB25" s="3595">
        <f t="shared" si="23"/>
        <v>11278.5</v>
      </c>
      <c r="BC25" s="2983">
        <f t="shared" si="24"/>
        <v>67671</v>
      </c>
      <c r="BD25" s="2983">
        <f t="shared" si="25"/>
        <v>-56392.5</v>
      </c>
    </row>
    <row r="26" spans="1:119" ht="12.75">
      <c r="A26" s="3265">
        <v>17</v>
      </c>
      <c r="B26" s="3660" t="s">
        <v>2754</v>
      </c>
      <c r="C26" s="3660" t="s">
        <v>2754</v>
      </c>
      <c r="D26" s="3548" t="s">
        <v>1411</v>
      </c>
      <c r="E26" s="3572">
        <v>16815.8</v>
      </c>
      <c r="F26" s="3371"/>
      <c r="G26" s="3572">
        <f t="shared" si="0"/>
        <v>16815.8</v>
      </c>
      <c r="H26" s="3549"/>
      <c r="I26" s="3549"/>
      <c r="J26" s="3549"/>
      <c r="K26" s="3549"/>
      <c r="L26" s="3647">
        <f t="shared" si="15"/>
        <v>100</v>
      </c>
      <c r="M26" s="3549"/>
      <c r="N26" s="3549"/>
      <c r="O26" s="3549"/>
      <c r="P26" s="3549">
        <f t="shared" si="1"/>
        <v>100</v>
      </c>
      <c r="Q26" s="3549">
        <f>250</f>
        <v>250</v>
      </c>
      <c r="R26" s="3568">
        <v>1.06</v>
      </c>
      <c r="S26" s="3568">
        <f t="shared" si="2"/>
        <v>265</v>
      </c>
      <c r="T26" s="3569">
        <f t="shared" si="16"/>
        <v>296.8</v>
      </c>
      <c r="U26" s="3567">
        <f t="shared" si="17"/>
        <v>29680</v>
      </c>
      <c r="V26" s="3549"/>
      <c r="W26" s="3549">
        <f t="shared" si="3"/>
        <v>29680</v>
      </c>
      <c r="X26" s="3578"/>
      <c r="Y26" s="3578"/>
      <c r="Z26" s="3549"/>
      <c r="AA26" s="3549"/>
      <c r="AB26" s="3549"/>
      <c r="AC26" s="3549"/>
      <c r="AD26" s="3549"/>
      <c r="AE26" s="3549"/>
      <c r="AF26" s="3549"/>
      <c r="AG26" s="3576"/>
      <c r="AH26" s="3571">
        <v>1.1200000000000001</v>
      </c>
      <c r="AI26" s="3004"/>
      <c r="AJ26" s="2995">
        <v>1.1200000000000001</v>
      </c>
      <c r="AK26" s="3004">
        <v>200</v>
      </c>
      <c r="AL26" s="3004">
        <f t="shared" si="10"/>
        <v>59360</v>
      </c>
      <c r="AM26" s="3004">
        <v>100</v>
      </c>
      <c r="AN26" s="3004">
        <f t="shared" si="11"/>
        <v>29680</v>
      </c>
      <c r="AO26" s="3004">
        <v>200</v>
      </c>
      <c r="AP26" s="3004">
        <f t="shared" si="12"/>
        <v>59360</v>
      </c>
      <c r="AQ26" s="3004">
        <v>100</v>
      </c>
      <c r="AR26" s="3004">
        <f t="shared" si="18"/>
        <v>29680</v>
      </c>
      <c r="AS26" s="2995"/>
      <c r="AT26" s="2995"/>
      <c r="AU26" s="2995"/>
      <c r="AV26" s="2983">
        <f t="shared" si="13"/>
        <v>-500</v>
      </c>
      <c r="AW26" s="3595">
        <f t="shared" si="19"/>
        <v>296.8</v>
      </c>
      <c r="AX26" s="3595">
        <f t="shared" si="14"/>
        <v>29680</v>
      </c>
      <c r="AY26" s="3595">
        <f t="shared" si="20"/>
        <v>59360</v>
      </c>
      <c r="AZ26" s="3595">
        <f t="shared" si="21"/>
        <v>29680</v>
      </c>
      <c r="BA26" s="3595">
        <f t="shared" si="22"/>
        <v>59360</v>
      </c>
      <c r="BB26" s="3595">
        <f t="shared" si="23"/>
        <v>29680</v>
      </c>
      <c r="BC26" s="2983">
        <f t="shared" si="24"/>
        <v>178080</v>
      </c>
      <c r="BD26" s="2983">
        <f t="shared" si="25"/>
        <v>-148400</v>
      </c>
    </row>
    <row r="27" spans="1:119" ht="12.75">
      <c r="A27" s="3265">
        <v>18</v>
      </c>
      <c r="B27" s="3660" t="s">
        <v>2757</v>
      </c>
      <c r="C27" s="3660" t="s">
        <v>2757</v>
      </c>
      <c r="D27" s="3548" t="s">
        <v>1411</v>
      </c>
      <c r="E27" s="3564">
        <v>16815.8</v>
      </c>
      <c r="F27" s="3565"/>
      <c r="G27" s="3564">
        <f t="shared" si="0"/>
        <v>16815.8</v>
      </c>
      <c r="H27" s="3565"/>
      <c r="I27" s="3565"/>
      <c r="J27" s="3565"/>
      <c r="K27" s="3565"/>
      <c r="L27" s="3647">
        <f t="shared" si="15"/>
        <v>11</v>
      </c>
      <c r="M27" s="3566"/>
      <c r="N27" s="3565"/>
      <c r="O27" s="3565"/>
      <c r="P27" s="3549">
        <f t="shared" si="1"/>
        <v>11</v>
      </c>
      <c r="Q27" s="3577">
        <f>80</f>
        <v>80</v>
      </c>
      <c r="R27" s="3568">
        <v>1.06</v>
      </c>
      <c r="S27" s="3568">
        <f t="shared" si="2"/>
        <v>84.800000000000011</v>
      </c>
      <c r="T27" s="3569">
        <f t="shared" si="16"/>
        <v>94.976000000000028</v>
      </c>
      <c r="U27" s="3567">
        <f t="shared" si="17"/>
        <v>1044.7360000000003</v>
      </c>
      <c r="V27" s="3567"/>
      <c r="W27" s="3567">
        <f t="shared" si="3"/>
        <v>1044.7360000000003</v>
      </c>
      <c r="X27" s="3570"/>
      <c r="Y27" s="3570"/>
      <c r="Z27" s="3567">
        <f t="shared" ref="Z27:Z56" si="26">Q27*$Z$4</f>
        <v>84.800000000000011</v>
      </c>
      <c r="AA27" s="3567">
        <f t="shared" ref="AA27:AA56" si="27">ROUND(P27*Z27,0)</f>
        <v>933</v>
      </c>
      <c r="AB27" s="3567"/>
      <c r="AC27" s="3567">
        <f t="shared" ref="AC27:AC55" si="28">AA27-AB27</f>
        <v>933</v>
      </c>
      <c r="AD27" s="3567">
        <f t="shared" ref="AD27:AD56" si="29">Z27*$AD$4</f>
        <v>89.04000000000002</v>
      </c>
      <c r="AE27" s="3567">
        <f t="shared" ref="AE27:AE56" si="30">ROUND(P27*AD27,0)</f>
        <v>979</v>
      </c>
      <c r="AF27" s="3567"/>
      <c r="AG27" s="3571">
        <f t="shared" ref="AG27:AG55" si="31">AE27-AF27</f>
        <v>979</v>
      </c>
      <c r="AH27" s="3571">
        <v>1.1200000000000001</v>
      </c>
      <c r="AI27" s="3004"/>
      <c r="AJ27" s="2995">
        <v>1.1200000000000001</v>
      </c>
      <c r="AK27" s="3004">
        <v>22</v>
      </c>
      <c r="AL27" s="3004">
        <f t="shared" si="10"/>
        <v>2089.4720000000007</v>
      </c>
      <c r="AM27" s="3004">
        <v>11</v>
      </c>
      <c r="AN27" s="3004">
        <f t="shared" si="11"/>
        <v>1044.7360000000003</v>
      </c>
      <c r="AO27" s="3004">
        <v>22</v>
      </c>
      <c r="AP27" s="3004">
        <f t="shared" si="12"/>
        <v>2089.4720000000007</v>
      </c>
      <c r="AQ27" s="3004">
        <v>11</v>
      </c>
      <c r="AR27" s="3004">
        <f t="shared" si="18"/>
        <v>1044.7360000000003</v>
      </c>
      <c r="AS27" s="2995"/>
      <c r="AT27" s="2995"/>
      <c r="AU27" s="2995"/>
      <c r="AV27" s="2983">
        <f t="shared" si="13"/>
        <v>-55</v>
      </c>
      <c r="AW27" s="3595">
        <f t="shared" si="19"/>
        <v>94.98</v>
      </c>
      <c r="AX27" s="3595">
        <f t="shared" si="14"/>
        <v>1044.78</v>
      </c>
      <c r="AY27" s="3595">
        <f t="shared" si="20"/>
        <v>2089.56</v>
      </c>
      <c r="AZ27" s="3595">
        <f t="shared" si="21"/>
        <v>1044.78</v>
      </c>
      <c r="BA27" s="3595">
        <f t="shared" si="22"/>
        <v>2089.56</v>
      </c>
      <c r="BB27" s="3595">
        <f t="shared" si="23"/>
        <v>1044.78</v>
      </c>
      <c r="BC27" s="2983">
        <f t="shared" si="24"/>
        <v>6268.68</v>
      </c>
      <c r="BD27" s="2983">
        <f t="shared" si="25"/>
        <v>-5223.9000000000005</v>
      </c>
    </row>
    <row r="28" spans="1:119" s="3674" customFormat="1" ht="12.75">
      <c r="A28" s="3265">
        <v>19</v>
      </c>
      <c r="B28" s="3661" t="s">
        <v>2414</v>
      </c>
      <c r="C28" s="3661" t="s">
        <v>2952</v>
      </c>
      <c r="D28" s="3662" t="s">
        <v>1022</v>
      </c>
      <c r="E28" s="3663">
        <v>16815.8</v>
      </c>
      <c r="F28" s="3667"/>
      <c r="G28" s="3663">
        <f t="shared" si="0"/>
        <v>16815.8</v>
      </c>
      <c r="H28" s="3667"/>
      <c r="I28" s="3664"/>
      <c r="J28" s="3664"/>
      <c r="K28" s="3667"/>
      <c r="L28" s="3665">
        <v>5</v>
      </c>
      <c r="M28" s="3667"/>
      <c r="N28" s="3667"/>
      <c r="O28" s="3667"/>
      <c r="P28" s="3667">
        <f t="shared" si="1"/>
        <v>5</v>
      </c>
      <c r="Q28" s="3668">
        <f>800</f>
        <v>800</v>
      </c>
      <c r="R28" s="3668">
        <v>1.06</v>
      </c>
      <c r="S28" s="3668">
        <f t="shared" si="2"/>
        <v>848</v>
      </c>
      <c r="T28" s="3669">
        <f t="shared" si="16"/>
        <v>949.7600000000001</v>
      </c>
      <c r="U28" s="3667">
        <f t="shared" si="17"/>
        <v>4748.8</v>
      </c>
      <c r="V28" s="3667"/>
      <c r="W28" s="3667">
        <f t="shared" si="3"/>
        <v>4748.8</v>
      </c>
      <c r="X28" s="3670"/>
      <c r="Y28" s="3670"/>
      <c r="Z28" s="3667">
        <f t="shared" si="26"/>
        <v>848</v>
      </c>
      <c r="AA28" s="3667">
        <f t="shared" si="27"/>
        <v>4240</v>
      </c>
      <c r="AB28" s="3667"/>
      <c r="AC28" s="3667">
        <f t="shared" si="28"/>
        <v>4240</v>
      </c>
      <c r="AD28" s="3667">
        <f t="shared" si="29"/>
        <v>890.40000000000009</v>
      </c>
      <c r="AE28" s="3667">
        <f t="shared" si="30"/>
        <v>4452</v>
      </c>
      <c r="AF28" s="3667"/>
      <c r="AG28" s="3671">
        <f t="shared" si="31"/>
        <v>4452</v>
      </c>
      <c r="AH28" s="3671">
        <v>1.1200000000000001</v>
      </c>
      <c r="AI28" s="3672"/>
      <c r="AJ28" s="3673">
        <v>1.1200000000000001</v>
      </c>
      <c r="AK28" s="3672">
        <v>20</v>
      </c>
      <c r="AL28" s="3672">
        <f t="shared" si="10"/>
        <v>18995.2</v>
      </c>
      <c r="AM28" s="3672">
        <v>20</v>
      </c>
      <c r="AN28" s="3672">
        <f t="shared" si="11"/>
        <v>18995.2</v>
      </c>
      <c r="AO28" s="3672">
        <v>20</v>
      </c>
      <c r="AP28" s="3672">
        <f t="shared" si="12"/>
        <v>18995.2</v>
      </c>
      <c r="AQ28" s="3672"/>
      <c r="AR28" s="3672">
        <f t="shared" si="18"/>
        <v>0</v>
      </c>
      <c r="AS28" s="3673"/>
      <c r="AT28" s="3673"/>
      <c r="AU28" s="3673"/>
      <c r="AV28" s="3674">
        <f t="shared" si="13"/>
        <v>-55</v>
      </c>
      <c r="AW28" s="3675">
        <f t="shared" si="19"/>
        <v>949.76</v>
      </c>
      <c r="AX28" s="3675">
        <f t="shared" si="14"/>
        <v>4748.8</v>
      </c>
      <c r="AY28" s="3675">
        <f t="shared" si="20"/>
        <v>18995.2</v>
      </c>
      <c r="AZ28" s="3675">
        <f t="shared" si="21"/>
        <v>18995.2</v>
      </c>
      <c r="BA28" s="3675">
        <f t="shared" si="22"/>
        <v>18995.2</v>
      </c>
      <c r="BB28" s="3675">
        <f t="shared" si="23"/>
        <v>0</v>
      </c>
      <c r="BC28" s="3674">
        <f t="shared" si="24"/>
        <v>56985.600000000006</v>
      </c>
      <c r="BD28" s="3674">
        <f t="shared" si="25"/>
        <v>-52236.800000000003</v>
      </c>
      <c r="BF28" s="3328"/>
      <c r="BG28" s="3328"/>
      <c r="BH28" s="3328"/>
      <c r="BI28" s="3328"/>
      <c r="BJ28" s="3328"/>
      <c r="BK28" s="3328"/>
      <c r="BL28" s="3328"/>
      <c r="BM28" s="3328"/>
      <c r="BN28" s="3328"/>
      <c r="BO28" s="3328"/>
      <c r="BP28" s="3328"/>
      <c r="BQ28" s="3328"/>
      <c r="BR28" s="3328"/>
      <c r="BS28" s="3328"/>
      <c r="BT28" s="3328"/>
      <c r="BU28" s="3328"/>
      <c r="BV28" s="3328"/>
      <c r="BW28" s="3328"/>
      <c r="BX28" s="3328"/>
      <c r="BY28" s="3328"/>
      <c r="BZ28" s="3328"/>
      <c r="CA28" s="3328"/>
      <c r="CB28" s="3328"/>
      <c r="CC28" s="3328"/>
      <c r="CD28" s="3328"/>
      <c r="CE28" s="3328"/>
      <c r="CF28" s="3328"/>
      <c r="CG28" s="3328"/>
      <c r="CH28" s="3328"/>
      <c r="CI28" s="3328"/>
      <c r="CJ28" s="3328"/>
      <c r="CK28" s="3328"/>
      <c r="CL28" s="3328"/>
      <c r="CM28" s="3328"/>
      <c r="CN28" s="3328"/>
      <c r="CO28" s="3328"/>
      <c r="CP28" s="3328"/>
      <c r="CQ28" s="3328"/>
      <c r="CR28" s="3328"/>
      <c r="CS28" s="3328"/>
      <c r="CT28" s="3328"/>
      <c r="CU28" s="3328"/>
      <c r="CV28" s="3328"/>
      <c r="CW28" s="3328"/>
      <c r="CX28" s="3328"/>
      <c r="CY28" s="3328"/>
      <c r="CZ28" s="3328"/>
      <c r="DA28" s="3328"/>
      <c r="DB28" s="3328"/>
      <c r="DC28" s="3328"/>
      <c r="DD28" s="3328"/>
      <c r="DE28" s="3328"/>
      <c r="DF28" s="3328"/>
      <c r="DG28" s="3328"/>
      <c r="DH28" s="3328"/>
      <c r="DI28" s="3328"/>
      <c r="DJ28" s="3328"/>
      <c r="DK28" s="3328"/>
      <c r="DL28" s="3328"/>
      <c r="DM28" s="3328"/>
      <c r="DN28" s="3328"/>
      <c r="DO28" s="3328"/>
    </row>
    <row r="29" spans="1:119" s="3674" customFormat="1" ht="12.75">
      <c r="A29" s="3265">
        <v>20</v>
      </c>
      <c r="B29" s="3661" t="s">
        <v>2414</v>
      </c>
      <c r="C29" s="3661" t="s">
        <v>2953</v>
      </c>
      <c r="D29" s="3662" t="s">
        <v>1022</v>
      </c>
      <c r="E29" s="3663">
        <v>16815.8</v>
      </c>
      <c r="F29" s="3667"/>
      <c r="G29" s="3663">
        <f t="shared" si="0"/>
        <v>16815.8</v>
      </c>
      <c r="H29" s="3667"/>
      <c r="I29" s="3664"/>
      <c r="J29" s="3664"/>
      <c r="K29" s="3667"/>
      <c r="L29" s="3665">
        <v>5</v>
      </c>
      <c r="M29" s="3666"/>
      <c r="N29" s="3667"/>
      <c r="O29" s="3667"/>
      <c r="P29" s="3667">
        <f t="shared" si="1"/>
        <v>5</v>
      </c>
      <c r="Q29" s="3668">
        <f>900</f>
        <v>900</v>
      </c>
      <c r="R29" s="3668">
        <v>1.06</v>
      </c>
      <c r="S29" s="3668">
        <f t="shared" si="2"/>
        <v>954</v>
      </c>
      <c r="T29" s="3669">
        <f t="shared" si="16"/>
        <v>1068.48</v>
      </c>
      <c r="U29" s="3667">
        <f t="shared" si="17"/>
        <v>5342.4</v>
      </c>
      <c r="V29" s="3667"/>
      <c r="W29" s="3667">
        <f t="shared" si="3"/>
        <v>5342.4</v>
      </c>
      <c r="X29" s="3670"/>
      <c r="Y29" s="3670"/>
      <c r="Z29" s="3667">
        <f t="shared" si="26"/>
        <v>954</v>
      </c>
      <c r="AA29" s="3667">
        <f t="shared" si="27"/>
        <v>4770</v>
      </c>
      <c r="AB29" s="3667"/>
      <c r="AC29" s="3667">
        <f t="shared" si="28"/>
        <v>4770</v>
      </c>
      <c r="AD29" s="3667">
        <f t="shared" si="29"/>
        <v>1001.7</v>
      </c>
      <c r="AE29" s="3667">
        <f t="shared" si="30"/>
        <v>5009</v>
      </c>
      <c r="AF29" s="3667"/>
      <c r="AG29" s="3671">
        <f t="shared" si="31"/>
        <v>5009</v>
      </c>
      <c r="AH29" s="3671">
        <v>1.1200000000000001</v>
      </c>
      <c r="AI29" s="3672"/>
      <c r="AJ29" s="3673">
        <v>1.1200000000000001</v>
      </c>
      <c r="AK29" s="3672">
        <v>10</v>
      </c>
      <c r="AL29" s="3672">
        <f t="shared" si="10"/>
        <v>10684.8</v>
      </c>
      <c r="AM29" s="3672">
        <v>10</v>
      </c>
      <c r="AN29" s="3672">
        <f t="shared" si="11"/>
        <v>10684.8</v>
      </c>
      <c r="AO29" s="3672">
        <v>10</v>
      </c>
      <c r="AP29" s="3672">
        <f t="shared" si="12"/>
        <v>10684.8</v>
      </c>
      <c r="AQ29" s="3672"/>
      <c r="AR29" s="3672">
        <f t="shared" si="18"/>
        <v>0</v>
      </c>
      <c r="AS29" s="3673"/>
      <c r="AT29" s="3673"/>
      <c r="AU29" s="3673"/>
      <c r="AV29" s="3674">
        <f t="shared" si="13"/>
        <v>-25</v>
      </c>
      <c r="AW29" s="3675">
        <f t="shared" si="19"/>
        <v>1068.48</v>
      </c>
      <c r="AX29" s="3675">
        <f t="shared" si="14"/>
        <v>5342.4</v>
      </c>
      <c r="AY29" s="3675">
        <f t="shared" si="20"/>
        <v>10684.8</v>
      </c>
      <c r="AZ29" s="3675">
        <f t="shared" si="21"/>
        <v>10684.8</v>
      </c>
      <c r="BA29" s="3675">
        <f t="shared" si="22"/>
        <v>10684.8</v>
      </c>
      <c r="BB29" s="3675">
        <f t="shared" si="23"/>
        <v>0</v>
      </c>
      <c r="BC29" s="3674">
        <f t="shared" si="24"/>
        <v>32054.399999999998</v>
      </c>
      <c r="BD29" s="3674">
        <f t="shared" si="25"/>
        <v>-26712</v>
      </c>
      <c r="BF29" s="3328"/>
      <c r="BG29" s="3328"/>
      <c r="BH29" s="3328"/>
      <c r="BI29" s="3328"/>
      <c r="BJ29" s="3328"/>
      <c r="BK29" s="3328"/>
      <c r="BL29" s="3328"/>
      <c r="BM29" s="3328"/>
      <c r="BN29" s="3328"/>
      <c r="BO29" s="3328"/>
      <c r="BP29" s="3328"/>
      <c r="BQ29" s="3328"/>
      <c r="BR29" s="3328"/>
      <c r="BS29" s="3328"/>
      <c r="BT29" s="3328"/>
      <c r="BU29" s="3328"/>
      <c r="BV29" s="3328"/>
      <c r="BW29" s="3328"/>
      <c r="BX29" s="3328"/>
      <c r="BY29" s="3328"/>
      <c r="BZ29" s="3328"/>
      <c r="CA29" s="3328"/>
      <c r="CB29" s="3328"/>
      <c r="CC29" s="3328"/>
      <c r="CD29" s="3328"/>
      <c r="CE29" s="3328"/>
      <c r="CF29" s="3328"/>
      <c r="CG29" s="3328"/>
      <c r="CH29" s="3328"/>
      <c r="CI29" s="3328"/>
      <c r="CJ29" s="3328"/>
      <c r="CK29" s="3328"/>
      <c r="CL29" s="3328"/>
      <c r="CM29" s="3328"/>
      <c r="CN29" s="3328"/>
      <c r="CO29" s="3328"/>
      <c r="CP29" s="3328"/>
      <c r="CQ29" s="3328"/>
      <c r="CR29" s="3328"/>
      <c r="CS29" s="3328"/>
      <c r="CT29" s="3328"/>
      <c r="CU29" s="3328"/>
      <c r="CV29" s="3328"/>
      <c r="CW29" s="3328"/>
      <c r="CX29" s="3328"/>
      <c r="CY29" s="3328"/>
      <c r="CZ29" s="3328"/>
      <c r="DA29" s="3328"/>
      <c r="DB29" s="3328"/>
      <c r="DC29" s="3328"/>
      <c r="DD29" s="3328"/>
      <c r="DE29" s="3328"/>
      <c r="DF29" s="3328"/>
      <c r="DG29" s="3328"/>
      <c r="DH29" s="3328"/>
      <c r="DI29" s="3328"/>
      <c r="DJ29" s="3328"/>
      <c r="DK29" s="3328"/>
      <c r="DL29" s="3328"/>
      <c r="DM29" s="3328"/>
      <c r="DN29" s="3328"/>
      <c r="DO29" s="3328"/>
    </row>
    <row r="30" spans="1:119" s="3685" customFormat="1" ht="12.75">
      <c r="A30" s="3265">
        <v>21</v>
      </c>
      <c r="B30" s="3660" t="s">
        <v>2954</v>
      </c>
      <c r="C30" s="3660" t="s">
        <v>2955</v>
      </c>
      <c r="D30" s="3548" t="s">
        <v>1022</v>
      </c>
      <c r="E30" s="3572">
        <v>16815.8</v>
      </c>
      <c r="F30" s="3549"/>
      <c r="G30" s="3572">
        <f t="shared" si="0"/>
        <v>16815.8</v>
      </c>
      <c r="H30" s="3549"/>
      <c r="I30" s="3573"/>
      <c r="J30" s="3573"/>
      <c r="K30" s="3549"/>
      <c r="L30" s="3676">
        <v>3</v>
      </c>
      <c r="M30" s="3574"/>
      <c r="N30" s="3549"/>
      <c r="O30" s="3549"/>
      <c r="P30" s="3549">
        <f t="shared" si="1"/>
        <v>3</v>
      </c>
      <c r="Q30" s="3371">
        <f>4300</f>
        <v>4300</v>
      </c>
      <c r="R30" s="3577">
        <v>1.06</v>
      </c>
      <c r="S30" s="3577">
        <f t="shared" si="2"/>
        <v>4558</v>
      </c>
      <c r="T30" s="3677">
        <f t="shared" si="16"/>
        <v>5104.96</v>
      </c>
      <c r="U30" s="3549">
        <f t="shared" si="17"/>
        <v>15314.880000000001</v>
      </c>
      <c r="V30" s="3680"/>
      <c r="W30" s="3680">
        <f t="shared" si="3"/>
        <v>15314.880000000001</v>
      </c>
      <c r="X30" s="3681"/>
      <c r="Y30" s="3681"/>
      <c r="Z30" s="3680">
        <f t="shared" si="26"/>
        <v>4558</v>
      </c>
      <c r="AA30" s="3680">
        <f t="shared" si="27"/>
        <v>13674</v>
      </c>
      <c r="AB30" s="3680"/>
      <c r="AC30" s="3680">
        <f t="shared" si="28"/>
        <v>13674</v>
      </c>
      <c r="AD30" s="3680">
        <f t="shared" si="29"/>
        <v>4785.9000000000005</v>
      </c>
      <c r="AE30" s="3680">
        <f t="shared" si="30"/>
        <v>14358</v>
      </c>
      <c r="AF30" s="3680"/>
      <c r="AG30" s="3682">
        <f t="shared" si="31"/>
        <v>14358</v>
      </c>
      <c r="AH30" s="3682">
        <v>1.1200000000000001</v>
      </c>
      <c r="AI30" s="3683"/>
      <c r="AJ30" s="3684">
        <v>1.1200000000000001</v>
      </c>
      <c r="AK30" s="3683">
        <v>5</v>
      </c>
      <c r="AL30" s="3683">
        <f t="shared" si="10"/>
        <v>25524.799999999999</v>
      </c>
      <c r="AM30" s="3683">
        <v>5</v>
      </c>
      <c r="AN30" s="3683">
        <f t="shared" si="11"/>
        <v>25524.799999999999</v>
      </c>
      <c r="AO30" s="3683">
        <v>5</v>
      </c>
      <c r="AP30" s="3683">
        <f t="shared" si="12"/>
        <v>25524.799999999999</v>
      </c>
      <c r="AQ30" s="3683">
        <v>5</v>
      </c>
      <c r="AR30" s="3683">
        <f t="shared" si="18"/>
        <v>25524.799999999999</v>
      </c>
      <c r="AS30" s="3684"/>
      <c r="AV30" s="3686">
        <f t="shared" si="13"/>
        <v>-17</v>
      </c>
      <c r="AW30" s="3687">
        <f t="shared" si="19"/>
        <v>5104.96</v>
      </c>
      <c r="AX30" s="3687">
        <f t="shared" si="14"/>
        <v>15314.88</v>
      </c>
      <c r="AY30" s="3687">
        <f t="shared" si="20"/>
        <v>25524.799999999999</v>
      </c>
      <c r="AZ30" s="3687">
        <f t="shared" si="21"/>
        <v>25524.799999999999</v>
      </c>
      <c r="BA30" s="3687">
        <f t="shared" si="22"/>
        <v>25524.799999999999</v>
      </c>
      <c r="BB30" s="3687">
        <f t="shared" si="23"/>
        <v>25524.799999999999</v>
      </c>
      <c r="BC30" s="3686">
        <f t="shared" si="24"/>
        <v>102099.2</v>
      </c>
      <c r="BD30" s="3686">
        <f t="shared" si="25"/>
        <v>-86784.319999999992</v>
      </c>
      <c r="BF30" s="3679"/>
      <c r="BG30" s="3679"/>
      <c r="BH30" s="3679"/>
      <c r="BI30" s="3679"/>
      <c r="BJ30" s="3679"/>
      <c r="BK30" s="3679"/>
      <c r="BL30" s="3679"/>
      <c r="BM30" s="3679"/>
      <c r="BN30" s="3679"/>
      <c r="BO30" s="3679"/>
      <c r="BP30" s="3679"/>
      <c r="BQ30" s="3679"/>
      <c r="BR30" s="3679"/>
      <c r="BS30" s="3679"/>
      <c r="BT30" s="3679"/>
      <c r="BU30" s="3679"/>
      <c r="BV30" s="3679"/>
      <c r="BW30" s="3679"/>
      <c r="BX30" s="3679"/>
      <c r="BY30" s="3679"/>
      <c r="BZ30" s="3679"/>
      <c r="CA30" s="3679"/>
      <c r="CB30" s="3679"/>
      <c r="CC30" s="3679"/>
      <c r="CD30" s="3679"/>
      <c r="CE30" s="3679"/>
      <c r="CF30" s="3679"/>
      <c r="CG30" s="3679"/>
      <c r="CH30" s="3679"/>
      <c r="CI30" s="3679"/>
      <c r="CJ30" s="3679"/>
      <c r="CK30" s="3679"/>
      <c r="CL30" s="3679"/>
      <c r="CM30" s="3679"/>
      <c r="CN30" s="3679"/>
      <c r="CO30" s="3679"/>
      <c r="CP30" s="3679"/>
      <c r="CQ30" s="3679"/>
      <c r="CR30" s="3679"/>
      <c r="CS30" s="3679"/>
      <c r="CT30" s="3679"/>
      <c r="CU30" s="3679"/>
      <c r="CV30" s="3679"/>
      <c r="CW30" s="3679"/>
      <c r="CX30" s="3679"/>
      <c r="CY30" s="3679"/>
      <c r="CZ30" s="3679"/>
      <c r="DA30" s="3679"/>
      <c r="DB30" s="3679"/>
      <c r="DC30" s="3679"/>
      <c r="DD30" s="3679"/>
      <c r="DE30" s="3679"/>
      <c r="DF30" s="3679"/>
      <c r="DG30" s="3679"/>
      <c r="DH30" s="3679"/>
      <c r="DI30" s="3679"/>
      <c r="DJ30" s="3679"/>
      <c r="DK30" s="3679"/>
      <c r="DL30" s="3679"/>
      <c r="DM30" s="3679"/>
      <c r="DN30" s="3679"/>
      <c r="DO30" s="3679"/>
    </row>
    <row r="31" spans="1:119" ht="25.5">
      <c r="A31" s="3265">
        <v>22</v>
      </c>
      <c r="B31" s="2685" t="s">
        <v>2956</v>
      </c>
      <c r="C31" s="2685" t="s">
        <v>2957</v>
      </c>
      <c r="D31" s="3547" t="s">
        <v>1022</v>
      </c>
      <c r="E31" s="3564">
        <v>16815.8</v>
      </c>
      <c r="F31" s="3567"/>
      <c r="G31" s="3564">
        <f t="shared" si="0"/>
        <v>16815.8</v>
      </c>
      <c r="H31" s="3567"/>
      <c r="I31" s="3565"/>
      <c r="J31" s="3565"/>
      <c r="K31" s="3567"/>
      <c r="L31" s="3647">
        <f t="shared" si="15"/>
        <v>5</v>
      </c>
      <c r="M31" s="3566"/>
      <c r="N31" s="3567"/>
      <c r="O31" s="3567"/>
      <c r="P31" s="3549">
        <f t="shared" si="1"/>
        <v>5</v>
      </c>
      <c r="Q31" s="3577">
        <f>5800</f>
        <v>5800</v>
      </c>
      <c r="R31" s="3568">
        <v>1.06</v>
      </c>
      <c r="S31" s="3568">
        <f t="shared" si="2"/>
        <v>6148</v>
      </c>
      <c r="T31" s="3569">
        <f t="shared" si="16"/>
        <v>6885.76</v>
      </c>
      <c r="U31" s="3567">
        <f t="shared" si="17"/>
        <v>34428.800000000003</v>
      </c>
      <c r="V31" s="3567"/>
      <c r="W31" s="3567">
        <f t="shared" si="3"/>
        <v>34428.800000000003</v>
      </c>
      <c r="X31" s="3570"/>
      <c r="Y31" s="3570"/>
      <c r="Z31" s="3567">
        <f t="shared" si="26"/>
        <v>6148</v>
      </c>
      <c r="AA31" s="3567">
        <f t="shared" si="27"/>
        <v>30740</v>
      </c>
      <c r="AB31" s="3567"/>
      <c r="AC31" s="3567">
        <f t="shared" si="28"/>
        <v>30740</v>
      </c>
      <c r="AD31" s="3567">
        <f t="shared" si="29"/>
        <v>6455.4000000000005</v>
      </c>
      <c r="AE31" s="3567">
        <f t="shared" si="30"/>
        <v>32277</v>
      </c>
      <c r="AF31" s="3567"/>
      <c r="AG31" s="3571">
        <f t="shared" si="31"/>
        <v>32277</v>
      </c>
      <c r="AH31" s="3571">
        <v>1.1200000000000001</v>
      </c>
      <c r="AI31" s="3004"/>
      <c r="AJ31" s="2995">
        <v>1.1200000000000001</v>
      </c>
      <c r="AK31" s="3004">
        <v>5</v>
      </c>
      <c r="AL31" s="3004">
        <f t="shared" si="10"/>
        <v>34428.800000000003</v>
      </c>
      <c r="AM31" s="3004">
        <v>5</v>
      </c>
      <c r="AN31" s="3004">
        <f t="shared" si="11"/>
        <v>34428.800000000003</v>
      </c>
      <c r="AO31" s="3004">
        <v>5</v>
      </c>
      <c r="AP31" s="3004">
        <f t="shared" si="12"/>
        <v>34428.800000000003</v>
      </c>
      <c r="AQ31" s="3004">
        <v>5</v>
      </c>
      <c r="AR31" s="3004">
        <f t="shared" si="18"/>
        <v>34428.800000000003</v>
      </c>
      <c r="AS31" s="2995"/>
      <c r="AT31" s="2995"/>
      <c r="AU31" s="2995"/>
      <c r="AV31" s="2983">
        <f t="shared" si="13"/>
        <v>-15</v>
      </c>
      <c r="AW31" s="3595">
        <f t="shared" si="19"/>
        <v>6885.76</v>
      </c>
      <c r="AX31" s="3595">
        <f t="shared" si="14"/>
        <v>34428.800000000003</v>
      </c>
      <c r="AY31" s="3595">
        <f t="shared" si="20"/>
        <v>34428.800000000003</v>
      </c>
      <c r="AZ31" s="3595">
        <f t="shared" si="21"/>
        <v>34428.800000000003</v>
      </c>
      <c r="BA31" s="3595">
        <f t="shared" si="22"/>
        <v>34428.800000000003</v>
      </c>
      <c r="BB31" s="3595">
        <f t="shared" si="23"/>
        <v>34428.800000000003</v>
      </c>
      <c r="BC31" s="2983">
        <f t="shared" si="24"/>
        <v>137715.20000000001</v>
      </c>
      <c r="BD31" s="2983">
        <f t="shared" si="25"/>
        <v>-103286.40000000001</v>
      </c>
    </row>
    <row r="32" spans="1:119" ht="51">
      <c r="A32" s="3265">
        <v>23</v>
      </c>
      <c r="B32" s="3660" t="s">
        <v>2760</v>
      </c>
      <c r="C32" s="3660" t="s">
        <v>2395</v>
      </c>
      <c r="D32" s="3548" t="s">
        <v>1268</v>
      </c>
      <c r="E32" s="3564">
        <v>16815.8</v>
      </c>
      <c r="F32" s="3567"/>
      <c r="G32" s="3564">
        <f t="shared" si="0"/>
        <v>16815.8</v>
      </c>
      <c r="H32" s="3567"/>
      <c r="I32" s="3565"/>
      <c r="J32" s="3565"/>
      <c r="K32" s="3567"/>
      <c r="L32" s="3647">
        <f t="shared" si="15"/>
        <v>4</v>
      </c>
      <c r="M32" s="3566"/>
      <c r="N32" s="3567"/>
      <c r="O32" s="3567"/>
      <c r="P32" s="3549">
        <f t="shared" si="1"/>
        <v>4</v>
      </c>
      <c r="Q32" s="3577">
        <f>2300</f>
        <v>2300</v>
      </c>
      <c r="R32" s="3568">
        <v>1.06</v>
      </c>
      <c r="S32" s="3568">
        <f t="shared" si="2"/>
        <v>2438</v>
      </c>
      <c r="T32" s="3569">
        <f t="shared" si="16"/>
        <v>2730.5600000000004</v>
      </c>
      <c r="U32" s="3567">
        <f t="shared" si="17"/>
        <v>10922.240000000002</v>
      </c>
      <c r="V32" s="3567"/>
      <c r="W32" s="3567">
        <f t="shared" si="3"/>
        <v>10922.240000000002</v>
      </c>
      <c r="X32" s="3570"/>
      <c r="Y32" s="3570"/>
      <c r="Z32" s="3567">
        <f t="shared" si="26"/>
        <v>2438</v>
      </c>
      <c r="AA32" s="3567">
        <f t="shared" si="27"/>
        <v>9752</v>
      </c>
      <c r="AB32" s="3567"/>
      <c r="AC32" s="3567">
        <f t="shared" si="28"/>
        <v>9752</v>
      </c>
      <c r="AD32" s="3567">
        <f t="shared" si="29"/>
        <v>2559.9</v>
      </c>
      <c r="AE32" s="3567">
        <f t="shared" si="30"/>
        <v>10240</v>
      </c>
      <c r="AF32" s="3567"/>
      <c r="AG32" s="3571">
        <f t="shared" si="31"/>
        <v>10240</v>
      </c>
      <c r="AH32" s="3571">
        <v>1.1200000000000001</v>
      </c>
      <c r="AI32" s="3004"/>
      <c r="AJ32" s="2995">
        <v>1.1200000000000001</v>
      </c>
      <c r="AK32" s="3004">
        <v>10</v>
      </c>
      <c r="AL32" s="3004">
        <f t="shared" si="10"/>
        <v>27305.600000000006</v>
      </c>
      <c r="AM32" s="3004">
        <v>4</v>
      </c>
      <c r="AN32" s="3004">
        <f t="shared" si="11"/>
        <v>10922.240000000002</v>
      </c>
      <c r="AO32" s="3004">
        <v>10</v>
      </c>
      <c r="AP32" s="3004">
        <f t="shared" si="12"/>
        <v>27305.600000000006</v>
      </c>
      <c r="AQ32" s="3004">
        <v>4</v>
      </c>
      <c r="AR32" s="3004">
        <f t="shared" si="18"/>
        <v>10922.240000000002</v>
      </c>
      <c r="AS32" s="2995"/>
      <c r="AT32" s="2995"/>
      <c r="AU32" s="2995"/>
      <c r="AV32" s="2983">
        <f t="shared" si="13"/>
        <v>-24</v>
      </c>
      <c r="AW32" s="3595">
        <f t="shared" si="19"/>
        <v>2730.56</v>
      </c>
      <c r="AX32" s="3595">
        <f t="shared" si="14"/>
        <v>10922.24</v>
      </c>
      <c r="AY32" s="3595">
        <f t="shared" si="20"/>
        <v>27305.599999999999</v>
      </c>
      <c r="AZ32" s="3595">
        <f t="shared" si="21"/>
        <v>10922.24</v>
      </c>
      <c r="BA32" s="3595">
        <f t="shared" si="22"/>
        <v>27305.599999999999</v>
      </c>
      <c r="BB32" s="3595">
        <f t="shared" si="23"/>
        <v>10922.24</v>
      </c>
      <c r="BC32" s="2983">
        <f t="shared" si="24"/>
        <v>76455.679999999993</v>
      </c>
      <c r="BD32" s="2983">
        <f t="shared" si="25"/>
        <v>-65533.439999999995</v>
      </c>
    </row>
    <row r="33" spans="1:119" s="3421" customFormat="1" ht="25.5">
      <c r="A33" s="3265">
        <v>24</v>
      </c>
      <c r="B33" s="3660" t="s">
        <v>2960</v>
      </c>
      <c r="C33" s="3660" t="s">
        <v>2961</v>
      </c>
      <c r="D33" s="3548" t="s">
        <v>1022</v>
      </c>
      <c r="E33" s="3564">
        <v>16815.8</v>
      </c>
      <c r="F33" s="3567"/>
      <c r="G33" s="3564">
        <f t="shared" si="0"/>
        <v>16815.8</v>
      </c>
      <c r="H33" s="3567"/>
      <c r="I33" s="3565"/>
      <c r="J33" s="3565"/>
      <c r="K33" s="3567"/>
      <c r="L33" s="3647">
        <f t="shared" si="15"/>
        <v>3</v>
      </c>
      <c r="M33" s="3566"/>
      <c r="N33" s="3567"/>
      <c r="O33" s="3567"/>
      <c r="P33" s="3549">
        <f t="shared" si="1"/>
        <v>3</v>
      </c>
      <c r="Q33" s="3577">
        <f>1500</f>
        <v>1500</v>
      </c>
      <c r="R33" s="3568">
        <v>1.06</v>
      </c>
      <c r="S33" s="3568">
        <f t="shared" si="2"/>
        <v>1590</v>
      </c>
      <c r="T33" s="3569">
        <f t="shared" si="16"/>
        <v>1780.8000000000002</v>
      </c>
      <c r="U33" s="3567">
        <f t="shared" si="17"/>
        <v>5342.4000000000005</v>
      </c>
      <c r="V33" s="3567"/>
      <c r="W33" s="3567">
        <f t="shared" si="3"/>
        <v>5342.4000000000005</v>
      </c>
      <c r="X33" s="3570"/>
      <c r="Y33" s="3570"/>
      <c r="Z33" s="3567">
        <f t="shared" si="26"/>
        <v>1590</v>
      </c>
      <c r="AA33" s="3567">
        <f t="shared" si="27"/>
        <v>4770</v>
      </c>
      <c r="AB33" s="3567"/>
      <c r="AC33" s="3567">
        <f t="shared" si="28"/>
        <v>4770</v>
      </c>
      <c r="AD33" s="3567">
        <f t="shared" si="29"/>
        <v>1669.5</v>
      </c>
      <c r="AE33" s="3567">
        <f t="shared" si="30"/>
        <v>5009</v>
      </c>
      <c r="AF33" s="3567"/>
      <c r="AG33" s="3571">
        <f t="shared" si="31"/>
        <v>5009</v>
      </c>
      <c r="AH33" s="3571">
        <v>1.1200000000000001</v>
      </c>
      <c r="AI33" s="3004"/>
      <c r="AJ33" s="2995">
        <v>1.1200000000000001</v>
      </c>
      <c r="AK33" s="3004">
        <v>3</v>
      </c>
      <c r="AL33" s="3004">
        <f t="shared" si="10"/>
        <v>5342.4000000000005</v>
      </c>
      <c r="AM33" s="3004">
        <v>2</v>
      </c>
      <c r="AN33" s="3004">
        <f t="shared" si="11"/>
        <v>3561.6000000000004</v>
      </c>
      <c r="AO33" s="3004">
        <v>3</v>
      </c>
      <c r="AP33" s="3004">
        <f t="shared" si="12"/>
        <v>5342.4000000000005</v>
      </c>
      <c r="AQ33" s="3004">
        <v>3</v>
      </c>
      <c r="AR33" s="3004">
        <f t="shared" si="18"/>
        <v>5342.4000000000005</v>
      </c>
      <c r="AS33" s="2995"/>
      <c r="AV33" s="2983">
        <f t="shared" si="13"/>
        <v>-8</v>
      </c>
      <c r="AW33" s="3595">
        <f t="shared" si="19"/>
        <v>1780.8</v>
      </c>
      <c r="AX33" s="3595">
        <f t="shared" si="14"/>
        <v>5342.4</v>
      </c>
      <c r="AY33" s="3595">
        <f t="shared" si="20"/>
        <v>5342.4</v>
      </c>
      <c r="AZ33" s="3595">
        <f t="shared" si="21"/>
        <v>3561.6</v>
      </c>
      <c r="BA33" s="3595">
        <f t="shared" si="22"/>
        <v>5342.4</v>
      </c>
      <c r="BB33" s="3595">
        <f t="shared" si="23"/>
        <v>5342.4</v>
      </c>
      <c r="BC33" s="2983">
        <f t="shared" si="24"/>
        <v>19588.8</v>
      </c>
      <c r="BD33" s="2983">
        <f t="shared" si="25"/>
        <v>-14246.4</v>
      </c>
      <c r="BF33" s="3679"/>
      <c r="BG33" s="3679"/>
      <c r="BH33" s="3679"/>
      <c r="BI33" s="3679"/>
      <c r="BJ33" s="3679"/>
      <c r="BK33" s="3679"/>
      <c r="BL33" s="3679"/>
      <c r="BM33" s="3679"/>
      <c r="BN33" s="3679"/>
      <c r="BO33" s="3679"/>
      <c r="BP33" s="3679"/>
      <c r="BQ33" s="3679"/>
      <c r="BR33" s="3679"/>
      <c r="BS33" s="3679"/>
      <c r="BT33" s="3679"/>
      <c r="BU33" s="3679"/>
      <c r="BV33" s="3679"/>
      <c r="BW33" s="3679"/>
      <c r="BX33" s="3679"/>
      <c r="BY33" s="3679"/>
      <c r="BZ33" s="3679"/>
      <c r="CA33" s="3679"/>
      <c r="CB33" s="3679"/>
      <c r="CC33" s="3679"/>
      <c r="CD33" s="3679"/>
      <c r="CE33" s="3679"/>
      <c r="CF33" s="3679"/>
      <c r="CG33" s="3679"/>
      <c r="CH33" s="3679"/>
      <c r="CI33" s="3679"/>
      <c r="CJ33" s="3679"/>
      <c r="CK33" s="3679"/>
      <c r="CL33" s="3679"/>
      <c r="CM33" s="3679"/>
      <c r="CN33" s="3679"/>
      <c r="CO33" s="3679"/>
      <c r="CP33" s="3679"/>
      <c r="CQ33" s="3679"/>
      <c r="CR33" s="3679"/>
      <c r="CS33" s="3679"/>
      <c r="CT33" s="3679"/>
      <c r="CU33" s="3679"/>
      <c r="CV33" s="3679"/>
      <c r="CW33" s="3679"/>
      <c r="CX33" s="3679"/>
      <c r="CY33" s="3679"/>
      <c r="CZ33" s="3679"/>
      <c r="DA33" s="3679"/>
      <c r="DB33" s="3679"/>
      <c r="DC33" s="3679"/>
      <c r="DD33" s="3679"/>
      <c r="DE33" s="3679"/>
      <c r="DF33" s="3679"/>
      <c r="DG33" s="3679"/>
      <c r="DH33" s="3679"/>
      <c r="DI33" s="3679"/>
      <c r="DJ33" s="3679"/>
      <c r="DK33" s="3679"/>
      <c r="DL33" s="3679"/>
      <c r="DM33" s="3679"/>
      <c r="DN33" s="3679"/>
      <c r="DO33" s="3679"/>
    </row>
    <row r="34" spans="1:119" s="3421" customFormat="1" ht="12.75">
      <c r="A34" s="3265">
        <v>25</v>
      </c>
      <c r="B34" s="3660" t="s">
        <v>2788</v>
      </c>
      <c r="C34" s="3660" t="s">
        <v>2788</v>
      </c>
      <c r="D34" s="3548" t="s">
        <v>1022</v>
      </c>
      <c r="E34" s="3572">
        <v>16815.8</v>
      </c>
      <c r="F34" s="3549"/>
      <c r="G34" s="3572">
        <f t="shared" si="0"/>
        <v>16815.8</v>
      </c>
      <c r="H34" s="3549"/>
      <c r="I34" s="3573"/>
      <c r="J34" s="3573"/>
      <c r="K34" s="3549"/>
      <c r="L34" s="3647">
        <f t="shared" si="15"/>
        <v>100</v>
      </c>
      <c r="M34" s="3574"/>
      <c r="N34" s="3549"/>
      <c r="O34" s="3549"/>
      <c r="P34" s="3549">
        <f t="shared" si="1"/>
        <v>100</v>
      </c>
      <c r="Q34" s="3580">
        <f>50</f>
        <v>50</v>
      </c>
      <c r="R34" s="3568">
        <v>1.06</v>
      </c>
      <c r="S34" s="3568">
        <f t="shared" si="2"/>
        <v>53</v>
      </c>
      <c r="T34" s="3569">
        <f t="shared" si="16"/>
        <v>59.360000000000007</v>
      </c>
      <c r="U34" s="3567">
        <f t="shared" si="17"/>
        <v>5936.0000000000009</v>
      </c>
      <c r="V34" s="3549"/>
      <c r="W34" s="3549">
        <f t="shared" si="3"/>
        <v>5936.0000000000009</v>
      </c>
      <c r="X34" s="3575">
        <v>4725</v>
      </c>
      <c r="Y34" s="3575">
        <v>1.07</v>
      </c>
      <c r="Z34" s="3549">
        <f t="shared" si="26"/>
        <v>53</v>
      </c>
      <c r="AA34" s="3549">
        <f t="shared" si="27"/>
        <v>5300</v>
      </c>
      <c r="AB34" s="3549"/>
      <c r="AC34" s="3549">
        <f t="shared" si="28"/>
        <v>5300</v>
      </c>
      <c r="AD34" s="3549">
        <f t="shared" si="29"/>
        <v>55.650000000000006</v>
      </c>
      <c r="AE34" s="3549">
        <f t="shared" si="30"/>
        <v>5565</v>
      </c>
      <c r="AF34" s="3549"/>
      <c r="AG34" s="3576">
        <f t="shared" si="31"/>
        <v>5565</v>
      </c>
      <c r="AH34" s="3571">
        <v>1.1200000000000001</v>
      </c>
      <c r="AI34" s="3004"/>
      <c r="AJ34" s="2995">
        <v>1.1200000000000001</v>
      </c>
      <c r="AK34" s="3004">
        <v>100</v>
      </c>
      <c r="AL34" s="3004">
        <f t="shared" si="10"/>
        <v>5936.0000000000009</v>
      </c>
      <c r="AM34" s="3004"/>
      <c r="AN34" s="3004">
        <f t="shared" si="11"/>
        <v>0</v>
      </c>
      <c r="AO34" s="3004">
        <v>100</v>
      </c>
      <c r="AP34" s="3004">
        <f t="shared" si="12"/>
        <v>5936.0000000000009</v>
      </c>
      <c r="AQ34" s="3004">
        <v>100</v>
      </c>
      <c r="AR34" s="3004">
        <f t="shared" si="18"/>
        <v>5936.0000000000009</v>
      </c>
      <c r="AS34" s="2995"/>
      <c r="AV34" s="2983">
        <f t="shared" si="13"/>
        <v>-200</v>
      </c>
      <c r="AW34" s="3595">
        <f t="shared" si="19"/>
        <v>59.36</v>
      </c>
      <c r="AX34" s="3595">
        <f t="shared" si="14"/>
        <v>5936</v>
      </c>
      <c r="AY34" s="3595">
        <f t="shared" si="20"/>
        <v>5936</v>
      </c>
      <c r="AZ34" s="3595">
        <f t="shared" si="21"/>
        <v>0</v>
      </c>
      <c r="BA34" s="3595">
        <f t="shared" si="22"/>
        <v>5936</v>
      </c>
      <c r="BB34" s="3595">
        <f t="shared" si="23"/>
        <v>5936</v>
      </c>
      <c r="BC34" s="2983">
        <f t="shared" si="24"/>
        <v>17808</v>
      </c>
      <c r="BD34" s="2983">
        <f t="shared" si="25"/>
        <v>-11872</v>
      </c>
      <c r="BF34" s="3679"/>
      <c r="BG34" s="3679"/>
      <c r="BH34" s="3679"/>
      <c r="BI34" s="3679"/>
      <c r="BJ34" s="3679"/>
      <c r="BK34" s="3679"/>
      <c r="BL34" s="3679"/>
      <c r="BM34" s="3679"/>
      <c r="BN34" s="3679"/>
      <c r="BO34" s="3679"/>
      <c r="BP34" s="3679"/>
      <c r="BQ34" s="3679"/>
      <c r="BR34" s="3679"/>
      <c r="BS34" s="3679"/>
      <c r="BT34" s="3679"/>
      <c r="BU34" s="3679"/>
      <c r="BV34" s="3679"/>
      <c r="BW34" s="3679"/>
      <c r="BX34" s="3679"/>
      <c r="BY34" s="3679"/>
      <c r="BZ34" s="3679"/>
      <c r="CA34" s="3679"/>
      <c r="CB34" s="3679"/>
      <c r="CC34" s="3679"/>
      <c r="CD34" s="3679"/>
      <c r="CE34" s="3679"/>
      <c r="CF34" s="3679"/>
      <c r="CG34" s="3679"/>
      <c r="CH34" s="3679"/>
      <c r="CI34" s="3679"/>
      <c r="CJ34" s="3679"/>
      <c r="CK34" s="3679"/>
      <c r="CL34" s="3679"/>
      <c r="CM34" s="3679"/>
      <c r="CN34" s="3679"/>
      <c r="CO34" s="3679"/>
      <c r="CP34" s="3679"/>
      <c r="CQ34" s="3679"/>
      <c r="CR34" s="3679"/>
      <c r="CS34" s="3679"/>
      <c r="CT34" s="3679"/>
      <c r="CU34" s="3679"/>
      <c r="CV34" s="3679"/>
      <c r="CW34" s="3679"/>
      <c r="CX34" s="3679"/>
      <c r="CY34" s="3679"/>
      <c r="CZ34" s="3679"/>
      <c r="DA34" s="3679"/>
      <c r="DB34" s="3679"/>
      <c r="DC34" s="3679"/>
      <c r="DD34" s="3679"/>
      <c r="DE34" s="3679"/>
      <c r="DF34" s="3679"/>
      <c r="DG34" s="3679"/>
      <c r="DH34" s="3679"/>
      <c r="DI34" s="3679"/>
      <c r="DJ34" s="3679"/>
      <c r="DK34" s="3679"/>
      <c r="DL34" s="3679"/>
      <c r="DM34" s="3679"/>
      <c r="DN34" s="3679"/>
      <c r="DO34" s="3679"/>
    </row>
    <row r="35" spans="1:119" ht="25.5">
      <c r="A35" s="3265">
        <v>26</v>
      </c>
      <c r="B35" s="2685" t="s">
        <v>2967</v>
      </c>
      <c r="C35" s="2685" t="s">
        <v>2968</v>
      </c>
      <c r="D35" s="3547" t="s">
        <v>1022</v>
      </c>
      <c r="E35" s="3572">
        <v>16815.8</v>
      </c>
      <c r="F35" s="3549"/>
      <c r="G35" s="3572">
        <f>E35</f>
        <v>16815.8</v>
      </c>
      <c r="H35" s="3549"/>
      <c r="I35" s="3573"/>
      <c r="J35" s="3573"/>
      <c r="K35" s="3549"/>
      <c r="L35" s="3647">
        <f t="shared" si="15"/>
        <v>4</v>
      </c>
      <c r="M35" s="3574"/>
      <c r="N35" s="3549"/>
      <c r="O35" s="3549"/>
      <c r="P35" s="3549">
        <f t="shared" si="1"/>
        <v>4</v>
      </c>
      <c r="Q35" s="3577">
        <f>250</f>
        <v>250</v>
      </c>
      <c r="R35" s="3568">
        <v>1.06</v>
      </c>
      <c r="S35" s="3568">
        <f t="shared" si="2"/>
        <v>265</v>
      </c>
      <c r="T35" s="3569">
        <f t="shared" si="16"/>
        <v>296.8</v>
      </c>
      <c r="U35" s="3567">
        <f t="shared" si="17"/>
        <v>1187.2</v>
      </c>
      <c r="V35" s="3549"/>
      <c r="W35" s="3549">
        <f t="shared" si="3"/>
        <v>1187.2</v>
      </c>
      <c r="X35" s="3575"/>
      <c r="Y35" s="3575"/>
      <c r="Z35" s="3549">
        <f t="shared" si="26"/>
        <v>265</v>
      </c>
      <c r="AA35" s="3549">
        <f t="shared" si="27"/>
        <v>1060</v>
      </c>
      <c r="AB35" s="3549"/>
      <c r="AC35" s="3549">
        <f t="shared" si="28"/>
        <v>1060</v>
      </c>
      <c r="AD35" s="3549">
        <f t="shared" si="29"/>
        <v>278.25</v>
      </c>
      <c r="AE35" s="3549">
        <f t="shared" si="30"/>
        <v>1113</v>
      </c>
      <c r="AF35" s="3549"/>
      <c r="AG35" s="3576">
        <f t="shared" si="31"/>
        <v>1113</v>
      </c>
      <c r="AH35" s="3571">
        <v>1.1200000000000001</v>
      </c>
      <c r="AI35" s="3004"/>
      <c r="AJ35" s="2995">
        <v>1.1200000000000001</v>
      </c>
      <c r="AK35" s="3004">
        <v>10</v>
      </c>
      <c r="AL35" s="3004">
        <f t="shared" si="10"/>
        <v>2968</v>
      </c>
      <c r="AM35" s="3004">
        <v>4</v>
      </c>
      <c r="AN35" s="3004">
        <f t="shared" si="11"/>
        <v>1187.2</v>
      </c>
      <c r="AO35" s="3004">
        <v>10</v>
      </c>
      <c r="AP35" s="3004">
        <f t="shared" si="12"/>
        <v>2968</v>
      </c>
      <c r="AQ35" s="3004">
        <v>4</v>
      </c>
      <c r="AR35" s="3004">
        <f t="shared" si="18"/>
        <v>1187.2</v>
      </c>
      <c r="AS35" s="2995"/>
      <c r="AT35" s="2995"/>
      <c r="AU35" s="2995"/>
      <c r="AV35" s="2983">
        <f t="shared" si="13"/>
        <v>-24</v>
      </c>
      <c r="AW35" s="3595">
        <f t="shared" si="19"/>
        <v>296.8</v>
      </c>
      <c r="AX35" s="3595">
        <f t="shared" si="14"/>
        <v>1187.2</v>
      </c>
      <c r="AY35" s="3595">
        <f t="shared" si="20"/>
        <v>2968</v>
      </c>
      <c r="AZ35" s="3595">
        <f t="shared" si="21"/>
        <v>1187.2</v>
      </c>
      <c r="BA35" s="3595">
        <f t="shared" si="22"/>
        <v>2968</v>
      </c>
      <c r="BB35" s="3595">
        <f t="shared" si="23"/>
        <v>1187.2</v>
      </c>
      <c r="BC35" s="2983">
        <f t="shared" si="24"/>
        <v>8310.4</v>
      </c>
      <c r="BD35" s="2983">
        <f t="shared" si="25"/>
        <v>-7123.2</v>
      </c>
    </row>
    <row r="36" spans="1:119" ht="12.75">
      <c r="A36" s="3265">
        <v>27</v>
      </c>
      <c r="B36" s="3660" t="s">
        <v>2973</v>
      </c>
      <c r="C36" s="3660" t="s">
        <v>2974</v>
      </c>
      <c r="D36" s="3548" t="s">
        <v>1022</v>
      </c>
      <c r="E36" s="3572">
        <v>16815.8</v>
      </c>
      <c r="F36" s="3573"/>
      <c r="G36" s="3572">
        <f>E36</f>
        <v>16815.8</v>
      </c>
      <c r="H36" s="3573"/>
      <c r="I36" s="3573"/>
      <c r="J36" s="3573"/>
      <c r="K36" s="3573"/>
      <c r="L36" s="3676">
        <f t="shared" si="15"/>
        <v>1</v>
      </c>
      <c r="M36" s="3574"/>
      <c r="N36" s="3573"/>
      <c r="O36" s="3573"/>
      <c r="P36" s="3549">
        <f t="shared" si="1"/>
        <v>1</v>
      </c>
      <c r="Q36" s="3371">
        <f>1800</f>
        <v>1800</v>
      </c>
      <c r="R36" s="3577">
        <v>1.06</v>
      </c>
      <c r="S36" s="3577">
        <f t="shared" si="2"/>
        <v>1908</v>
      </c>
      <c r="T36" s="3677">
        <f t="shared" si="16"/>
        <v>2136.96</v>
      </c>
      <c r="U36" s="3549">
        <f t="shared" si="17"/>
        <v>2136.96</v>
      </c>
      <c r="V36" s="3549"/>
      <c r="W36" s="3549">
        <f t="shared" si="3"/>
        <v>2136.96</v>
      </c>
      <c r="X36" s="3575"/>
      <c r="Y36" s="3575"/>
      <c r="Z36" s="3549">
        <f t="shared" si="26"/>
        <v>1908</v>
      </c>
      <c r="AA36" s="3549">
        <f t="shared" si="27"/>
        <v>1908</v>
      </c>
      <c r="AB36" s="3549"/>
      <c r="AC36" s="3549">
        <f t="shared" si="28"/>
        <v>1908</v>
      </c>
      <c r="AD36" s="3549">
        <f t="shared" si="29"/>
        <v>2003.4</v>
      </c>
      <c r="AE36" s="3549">
        <f t="shared" si="30"/>
        <v>2003</v>
      </c>
      <c r="AF36" s="3549"/>
      <c r="AG36" s="3576">
        <f t="shared" si="31"/>
        <v>2003</v>
      </c>
      <c r="AH36" s="3571">
        <v>1.1200000000000001</v>
      </c>
      <c r="AI36" s="3004"/>
      <c r="AJ36" s="2995">
        <v>1.1200000000000001</v>
      </c>
      <c r="AK36" s="3004">
        <v>1</v>
      </c>
      <c r="AL36" s="3004">
        <f t="shared" si="10"/>
        <v>2136.96</v>
      </c>
      <c r="AM36" s="3004"/>
      <c r="AN36" s="3004">
        <f t="shared" si="11"/>
        <v>0</v>
      </c>
      <c r="AO36" s="3004">
        <v>1</v>
      </c>
      <c r="AP36" s="3004">
        <f t="shared" si="12"/>
        <v>2136.96</v>
      </c>
      <c r="AQ36" s="3004">
        <v>1</v>
      </c>
      <c r="AR36" s="3004">
        <f t="shared" si="18"/>
        <v>2136.96</v>
      </c>
      <c r="AS36" s="2995"/>
      <c r="AT36" s="2995"/>
      <c r="AU36" s="2995"/>
      <c r="AV36" s="2983">
        <f t="shared" si="13"/>
        <v>-2</v>
      </c>
      <c r="AW36" s="3595">
        <f t="shared" si="19"/>
        <v>2136.96</v>
      </c>
      <c r="AX36" s="3595">
        <f t="shared" si="14"/>
        <v>2136.96</v>
      </c>
      <c r="AY36" s="3595">
        <f t="shared" si="20"/>
        <v>2136.96</v>
      </c>
      <c r="AZ36" s="3595">
        <f t="shared" si="21"/>
        <v>0</v>
      </c>
      <c r="BA36" s="3595">
        <f t="shared" si="22"/>
        <v>2136.96</v>
      </c>
      <c r="BB36" s="3595">
        <f t="shared" si="23"/>
        <v>2136.96</v>
      </c>
      <c r="BC36" s="2983">
        <f t="shared" si="24"/>
        <v>6410.88</v>
      </c>
      <c r="BD36" s="2983">
        <f t="shared" si="25"/>
        <v>-4273.92</v>
      </c>
    </row>
    <row r="37" spans="1:119" s="3686" customFormat="1" ht="25.5">
      <c r="A37" s="3265">
        <v>28</v>
      </c>
      <c r="B37" s="3660" t="s">
        <v>2975</v>
      </c>
      <c r="C37" s="3660" t="s">
        <v>2976</v>
      </c>
      <c r="D37" s="3548" t="s">
        <v>1022</v>
      </c>
      <c r="E37" s="3572">
        <v>16815.8</v>
      </c>
      <c r="F37" s="3573"/>
      <c r="G37" s="3572">
        <f>24182.96*2</f>
        <v>48365.919999999998</v>
      </c>
      <c r="H37" s="3573"/>
      <c r="I37" s="3573"/>
      <c r="J37" s="3573"/>
      <c r="K37" s="3573"/>
      <c r="L37" s="3676">
        <v>2</v>
      </c>
      <c r="M37" s="3574"/>
      <c r="N37" s="3573"/>
      <c r="O37" s="3573"/>
      <c r="P37" s="3549">
        <f t="shared" si="1"/>
        <v>2</v>
      </c>
      <c r="Q37" s="3371">
        <f>48000</f>
        <v>48000</v>
      </c>
      <c r="R37" s="3577">
        <v>1.06</v>
      </c>
      <c r="S37" s="3577">
        <f t="shared" si="2"/>
        <v>50880</v>
      </c>
      <c r="T37" s="3677">
        <f t="shared" si="16"/>
        <v>56985.600000000006</v>
      </c>
      <c r="U37" s="3549">
        <f t="shared" si="17"/>
        <v>113971.20000000001</v>
      </c>
      <c r="V37" s="3680"/>
      <c r="W37" s="3680">
        <f t="shared" si="3"/>
        <v>113971.20000000001</v>
      </c>
      <c r="X37" s="3681"/>
      <c r="Y37" s="3681"/>
      <c r="Z37" s="3680">
        <f t="shared" si="26"/>
        <v>50880</v>
      </c>
      <c r="AA37" s="3680">
        <f t="shared" si="27"/>
        <v>101760</v>
      </c>
      <c r="AB37" s="3680"/>
      <c r="AC37" s="3680">
        <f t="shared" si="28"/>
        <v>101760</v>
      </c>
      <c r="AD37" s="3680">
        <f t="shared" si="29"/>
        <v>53424</v>
      </c>
      <c r="AE37" s="3680">
        <f t="shared" si="30"/>
        <v>106848</v>
      </c>
      <c r="AF37" s="3680"/>
      <c r="AG37" s="3682">
        <f t="shared" si="31"/>
        <v>106848</v>
      </c>
      <c r="AH37" s="3682">
        <v>1.1200000000000001</v>
      </c>
      <c r="AI37" s="3683"/>
      <c r="AJ37" s="3684">
        <v>1.1200000000000001</v>
      </c>
      <c r="AK37" s="3683">
        <v>1</v>
      </c>
      <c r="AL37" s="3683">
        <f t="shared" si="10"/>
        <v>56985.600000000006</v>
      </c>
      <c r="AM37" s="3683">
        <v>1</v>
      </c>
      <c r="AN37" s="3683">
        <f t="shared" si="11"/>
        <v>56985.600000000006</v>
      </c>
      <c r="AO37" s="3683">
        <v>1</v>
      </c>
      <c r="AP37" s="3683">
        <f t="shared" si="12"/>
        <v>56985.600000000006</v>
      </c>
      <c r="AQ37" s="3683">
        <v>1</v>
      </c>
      <c r="AR37" s="3683">
        <f t="shared" si="18"/>
        <v>56985.600000000006</v>
      </c>
      <c r="AS37" s="3684"/>
      <c r="AT37" s="3684"/>
      <c r="AU37" s="3684"/>
      <c r="AV37" s="3686">
        <f t="shared" si="13"/>
        <v>-2</v>
      </c>
      <c r="AW37" s="3687">
        <f t="shared" si="19"/>
        <v>56985.599999999999</v>
      </c>
      <c r="AX37" s="3687">
        <f t="shared" si="14"/>
        <v>113971.2</v>
      </c>
      <c r="AY37" s="3687">
        <f t="shared" si="20"/>
        <v>56985.599999999999</v>
      </c>
      <c r="AZ37" s="3687">
        <f t="shared" si="21"/>
        <v>56985.599999999999</v>
      </c>
      <c r="BA37" s="3687">
        <f t="shared" si="22"/>
        <v>56985.599999999999</v>
      </c>
      <c r="BB37" s="3687">
        <f t="shared" si="23"/>
        <v>56985.599999999999</v>
      </c>
      <c r="BC37" s="3686">
        <f t="shared" si="24"/>
        <v>227942.39999999999</v>
      </c>
      <c r="BD37" s="3686">
        <f t="shared" si="25"/>
        <v>-113971.2</v>
      </c>
      <c r="BF37" s="3328"/>
      <c r="BG37" s="3328"/>
      <c r="BH37" s="3328"/>
      <c r="BI37" s="3328"/>
      <c r="BJ37" s="3328"/>
      <c r="BK37" s="3328"/>
      <c r="BL37" s="3328"/>
      <c r="BM37" s="3328"/>
      <c r="BN37" s="3328"/>
      <c r="BO37" s="3328"/>
      <c r="BP37" s="3328"/>
      <c r="BQ37" s="3328"/>
      <c r="BR37" s="3328"/>
      <c r="BS37" s="3328"/>
      <c r="BT37" s="3328"/>
      <c r="BU37" s="3328"/>
      <c r="BV37" s="3328"/>
      <c r="BW37" s="3328"/>
      <c r="BX37" s="3328"/>
      <c r="BY37" s="3328"/>
      <c r="BZ37" s="3328"/>
      <c r="CA37" s="3328"/>
      <c r="CB37" s="3328"/>
      <c r="CC37" s="3328"/>
      <c r="CD37" s="3328"/>
      <c r="CE37" s="3328"/>
      <c r="CF37" s="3328"/>
      <c r="CG37" s="3328"/>
      <c r="CH37" s="3328"/>
      <c r="CI37" s="3328"/>
      <c r="CJ37" s="3328"/>
      <c r="CK37" s="3328"/>
      <c r="CL37" s="3328"/>
      <c r="CM37" s="3328"/>
      <c r="CN37" s="3328"/>
      <c r="CO37" s="3328"/>
      <c r="CP37" s="3328"/>
      <c r="CQ37" s="3328"/>
      <c r="CR37" s="3328"/>
      <c r="CS37" s="3328"/>
      <c r="CT37" s="3328"/>
      <c r="CU37" s="3328"/>
      <c r="CV37" s="3328"/>
      <c r="CW37" s="3328"/>
      <c r="CX37" s="3328"/>
      <c r="CY37" s="3328"/>
      <c r="CZ37" s="3328"/>
      <c r="DA37" s="3328"/>
      <c r="DB37" s="3328"/>
      <c r="DC37" s="3328"/>
      <c r="DD37" s="3328"/>
      <c r="DE37" s="3328"/>
      <c r="DF37" s="3328"/>
      <c r="DG37" s="3328"/>
      <c r="DH37" s="3328"/>
      <c r="DI37" s="3328"/>
      <c r="DJ37" s="3328"/>
      <c r="DK37" s="3328"/>
      <c r="DL37" s="3328"/>
      <c r="DM37" s="3328"/>
      <c r="DN37" s="3328"/>
      <c r="DO37" s="3328"/>
    </row>
    <row r="38" spans="1:119" ht="25.5">
      <c r="A38" s="3265">
        <v>29</v>
      </c>
      <c r="B38" s="3660" t="s">
        <v>2977</v>
      </c>
      <c r="C38" s="3660" t="s">
        <v>2978</v>
      </c>
      <c r="D38" s="3548" t="s">
        <v>1022</v>
      </c>
      <c r="E38" s="3572">
        <v>16815.8</v>
      </c>
      <c r="F38" s="3573"/>
      <c r="G38" s="3572">
        <f t="shared" ref="G38:G70" si="32">E38</f>
        <v>16815.8</v>
      </c>
      <c r="H38" s="3573"/>
      <c r="I38" s="3573"/>
      <c r="J38" s="3573"/>
      <c r="K38" s="3573"/>
      <c r="L38" s="3676">
        <f t="shared" si="15"/>
        <v>15</v>
      </c>
      <c r="M38" s="3574"/>
      <c r="N38" s="3573"/>
      <c r="O38" s="3573"/>
      <c r="P38" s="3549">
        <f t="shared" si="1"/>
        <v>15</v>
      </c>
      <c r="Q38" s="3371">
        <f>1500</f>
        <v>1500</v>
      </c>
      <c r="R38" s="3577">
        <v>1.06</v>
      </c>
      <c r="S38" s="3577">
        <f t="shared" si="2"/>
        <v>1590</v>
      </c>
      <c r="T38" s="3677">
        <f t="shared" si="16"/>
        <v>1780.8000000000002</v>
      </c>
      <c r="U38" s="3549">
        <f t="shared" si="17"/>
        <v>26712.000000000004</v>
      </c>
      <c r="V38" s="3567"/>
      <c r="W38" s="3567">
        <f t="shared" si="3"/>
        <v>26712.000000000004</v>
      </c>
      <c r="X38" s="3570"/>
      <c r="Y38" s="3570"/>
      <c r="Z38" s="3567">
        <f t="shared" si="26"/>
        <v>1590</v>
      </c>
      <c r="AA38" s="3567">
        <f t="shared" si="27"/>
        <v>23850</v>
      </c>
      <c r="AB38" s="3567"/>
      <c r="AC38" s="3567">
        <f t="shared" si="28"/>
        <v>23850</v>
      </c>
      <c r="AD38" s="3567">
        <f t="shared" si="29"/>
        <v>1669.5</v>
      </c>
      <c r="AE38" s="3567">
        <f t="shared" si="30"/>
        <v>25043</v>
      </c>
      <c r="AF38" s="3567"/>
      <c r="AG38" s="3571">
        <f t="shared" si="31"/>
        <v>25043</v>
      </c>
      <c r="AH38" s="3571">
        <v>1.1200000000000001</v>
      </c>
      <c r="AI38" s="3004"/>
      <c r="AJ38" s="2995">
        <v>1.1200000000000001</v>
      </c>
      <c r="AK38" s="3004">
        <v>20</v>
      </c>
      <c r="AL38" s="3004">
        <f t="shared" si="10"/>
        <v>35616</v>
      </c>
      <c r="AM38" s="3004">
        <v>5</v>
      </c>
      <c r="AN38" s="3004">
        <f t="shared" si="11"/>
        <v>8904</v>
      </c>
      <c r="AO38" s="3004">
        <v>20</v>
      </c>
      <c r="AP38" s="3004">
        <f t="shared" si="12"/>
        <v>35616</v>
      </c>
      <c r="AQ38" s="3004">
        <v>15</v>
      </c>
      <c r="AR38" s="3004">
        <f t="shared" si="18"/>
        <v>26712.000000000004</v>
      </c>
      <c r="AS38" s="2995" t="s">
        <v>2935</v>
      </c>
      <c r="AT38" s="2995"/>
      <c r="AU38" s="2995"/>
      <c r="AV38" s="2983">
        <f t="shared" si="13"/>
        <v>-45</v>
      </c>
      <c r="AW38" s="3595">
        <f t="shared" si="19"/>
        <v>1780.8</v>
      </c>
      <c r="AX38" s="3595">
        <f t="shared" si="14"/>
        <v>26712</v>
      </c>
      <c r="AY38" s="3595">
        <f t="shared" si="20"/>
        <v>35616</v>
      </c>
      <c r="AZ38" s="3595">
        <f t="shared" si="21"/>
        <v>8904</v>
      </c>
      <c r="BA38" s="3595">
        <f t="shared" si="22"/>
        <v>35616</v>
      </c>
      <c r="BB38" s="3595">
        <f t="shared" si="23"/>
        <v>26712</v>
      </c>
      <c r="BC38" s="2983">
        <f t="shared" si="24"/>
        <v>106848</v>
      </c>
      <c r="BD38" s="2983">
        <f t="shared" si="25"/>
        <v>-80136</v>
      </c>
    </row>
    <row r="39" spans="1:119" s="3688" customFormat="1" ht="25.5">
      <c r="A39" s="3265">
        <v>30</v>
      </c>
      <c r="B39" s="3723" t="s">
        <v>2979</v>
      </c>
      <c r="C39" s="3723" t="s">
        <v>2980</v>
      </c>
      <c r="D39" s="3724" t="s">
        <v>1022</v>
      </c>
      <c r="E39" s="3725">
        <v>16815.8</v>
      </c>
      <c r="F39" s="3727"/>
      <c r="G39" s="3725">
        <f t="shared" si="32"/>
        <v>16815.8</v>
      </c>
      <c r="H39" s="3727"/>
      <c r="I39" s="3731"/>
      <c r="J39" s="3731"/>
      <c r="K39" s="3727"/>
      <c r="L39" s="3728">
        <v>12</v>
      </c>
      <c r="M39" s="3732"/>
      <c r="N39" s="3727"/>
      <c r="O39" s="3727">
        <v>1</v>
      </c>
      <c r="P39" s="3727">
        <f t="shared" si="1"/>
        <v>11</v>
      </c>
      <c r="Q39" s="3729">
        <f>1500</f>
        <v>1500</v>
      </c>
      <c r="R39" s="3729">
        <v>1.06</v>
      </c>
      <c r="S39" s="3729">
        <f t="shared" si="2"/>
        <v>1590</v>
      </c>
      <c r="T39" s="3730">
        <f t="shared" si="16"/>
        <v>1780.8000000000002</v>
      </c>
      <c r="U39" s="3727">
        <f t="shared" si="17"/>
        <v>19588.800000000003</v>
      </c>
      <c r="V39" s="3667"/>
      <c r="W39" s="3667">
        <f t="shared" si="3"/>
        <v>19588.800000000003</v>
      </c>
      <c r="X39" s="3670"/>
      <c r="Y39" s="3670"/>
      <c r="Z39" s="3667">
        <f t="shared" si="26"/>
        <v>1590</v>
      </c>
      <c r="AA39" s="3667">
        <f t="shared" si="27"/>
        <v>17490</v>
      </c>
      <c r="AB39" s="3667"/>
      <c r="AC39" s="3667">
        <f t="shared" si="28"/>
        <v>17490</v>
      </c>
      <c r="AD39" s="3667">
        <f t="shared" si="29"/>
        <v>1669.5</v>
      </c>
      <c r="AE39" s="3667">
        <f t="shared" si="30"/>
        <v>18365</v>
      </c>
      <c r="AF39" s="3667"/>
      <c r="AG39" s="3671">
        <f t="shared" si="31"/>
        <v>18365</v>
      </c>
      <c r="AH39" s="3671">
        <v>1.1200000000000001</v>
      </c>
      <c r="AI39" s="3672"/>
      <c r="AJ39" s="3673">
        <v>1.1200000000000001</v>
      </c>
      <c r="AK39" s="3672">
        <v>7</v>
      </c>
      <c r="AL39" s="3672">
        <f t="shared" si="10"/>
        <v>12465.600000000002</v>
      </c>
      <c r="AM39" s="3672">
        <v>2</v>
      </c>
      <c r="AN39" s="3672">
        <f t="shared" si="11"/>
        <v>3561.6000000000004</v>
      </c>
      <c r="AO39" s="3672">
        <v>7</v>
      </c>
      <c r="AP39" s="3672">
        <f t="shared" si="12"/>
        <v>12465.600000000002</v>
      </c>
      <c r="AQ39" s="3672">
        <v>6</v>
      </c>
      <c r="AR39" s="3672">
        <f t="shared" si="18"/>
        <v>10684.800000000001</v>
      </c>
      <c r="AS39" s="3673"/>
      <c r="AV39" s="3674">
        <f t="shared" si="13"/>
        <v>-11</v>
      </c>
      <c r="AW39" s="3675">
        <f t="shared" si="19"/>
        <v>1780.8</v>
      </c>
      <c r="AX39" s="3675">
        <f t="shared" si="14"/>
        <v>19588.8</v>
      </c>
      <c r="AY39" s="3675">
        <f t="shared" si="20"/>
        <v>12465.6</v>
      </c>
      <c r="AZ39" s="3675">
        <f t="shared" si="21"/>
        <v>3561.6</v>
      </c>
      <c r="BA39" s="3675">
        <f t="shared" si="22"/>
        <v>12465.6</v>
      </c>
      <c r="BB39" s="3675">
        <f t="shared" si="23"/>
        <v>10684.8</v>
      </c>
      <c r="BC39" s="3674">
        <f t="shared" si="24"/>
        <v>39177.599999999999</v>
      </c>
      <c r="BD39" s="3674">
        <f t="shared" si="25"/>
        <v>-19588.8</v>
      </c>
      <c r="BF39" s="3679"/>
      <c r="BG39" s="3679"/>
      <c r="BH39" s="3679"/>
      <c r="BI39" s="3679"/>
      <c r="BJ39" s="3679"/>
      <c r="BK39" s="3679"/>
      <c r="BL39" s="3679"/>
      <c r="BM39" s="3679"/>
      <c r="BN39" s="3679"/>
      <c r="BO39" s="3679"/>
      <c r="BP39" s="3679"/>
      <c r="BQ39" s="3679"/>
      <c r="BR39" s="3679"/>
      <c r="BS39" s="3679"/>
      <c r="BT39" s="3679"/>
      <c r="BU39" s="3679"/>
      <c r="BV39" s="3679"/>
      <c r="BW39" s="3679"/>
      <c r="BX39" s="3679"/>
      <c r="BY39" s="3679"/>
      <c r="BZ39" s="3679"/>
      <c r="CA39" s="3679"/>
      <c r="CB39" s="3679"/>
      <c r="CC39" s="3679"/>
      <c r="CD39" s="3679"/>
      <c r="CE39" s="3679"/>
      <c r="CF39" s="3679"/>
      <c r="CG39" s="3679"/>
      <c r="CH39" s="3679"/>
      <c r="CI39" s="3679"/>
      <c r="CJ39" s="3679"/>
      <c r="CK39" s="3679"/>
      <c r="CL39" s="3679"/>
      <c r="CM39" s="3679"/>
      <c r="CN39" s="3679"/>
      <c r="CO39" s="3679"/>
      <c r="CP39" s="3679"/>
      <c r="CQ39" s="3679"/>
      <c r="CR39" s="3679"/>
      <c r="CS39" s="3679"/>
      <c r="CT39" s="3679"/>
      <c r="CU39" s="3679"/>
      <c r="CV39" s="3679"/>
      <c r="CW39" s="3679"/>
      <c r="CX39" s="3679"/>
      <c r="CY39" s="3679"/>
      <c r="CZ39" s="3679"/>
      <c r="DA39" s="3679"/>
      <c r="DB39" s="3679"/>
      <c r="DC39" s="3679"/>
      <c r="DD39" s="3679"/>
      <c r="DE39" s="3679"/>
      <c r="DF39" s="3679"/>
      <c r="DG39" s="3679"/>
      <c r="DH39" s="3679"/>
      <c r="DI39" s="3679"/>
      <c r="DJ39" s="3679"/>
      <c r="DK39" s="3679"/>
      <c r="DL39" s="3679"/>
      <c r="DM39" s="3679"/>
      <c r="DN39" s="3679"/>
      <c r="DO39" s="3679"/>
    </row>
    <row r="40" spans="1:119" s="3631" customFormat="1" ht="51">
      <c r="A40" s="3265">
        <v>31</v>
      </c>
      <c r="B40" s="3689" t="s">
        <v>2981</v>
      </c>
      <c r="C40" s="3660" t="s">
        <v>2982</v>
      </c>
      <c r="D40" s="3548" t="s">
        <v>1022</v>
      </c>
      <c r="E40" s="3572">
        <v>16815.8</v>
      </c>
      <c r="F40" s="3549"/>
      <c r="G40" s="3572">
        <f t="shared" si="32"/>
        <v>16815.8</v>
      </c>
      <c r="H40" s="3549"/>
      <c r="I40" s="3573"/>
      <c r="J40" s="3573"/>
      <c r="K40" s="3549"/>
      <c r="L40" s="3676">
        <f t="shared" si="15"/>
        <v>1</v>
      </c>
      <c r="M40" s="3574"/>
      <c r="N40" s="3549"/>
      <c r="O40" s="3549"/>
      <c r="P40" s="3549">
        <f t="shared" si="1"/>
        <v>1</v>
      </c>
      <c r="Q40" s="3580">
        <f>38500</f>
        <v>38500</v>
      </c>
      <c r="R40" s="3577">
        <v>1.06</v>
      </c>
      <c r="S40" s="3577">
        <f t="shared" si="2"/>
        <v>40810</v>
      </c>
      <c r="T40" s="3677">
        <f t="shared" si="16"/>
        <v>45707.200000000004</v>
      </c>
      <c r="U40" s="3549">
        <f t="shared" si="17"/>
        <v>45707.200000000004</v>
      </c>
      <c r="V40" s="3621"/>
      <c r="W40" s="3621">
        <f t="shared" si="3"/>
        <v>45707.200000000004</v>
      </c>
      <c r="X40" s="3630">
        <v>9</v>
      </c>
      <c r="Y40" s="3624">
        <v>1.07</v>
      </c>
      <c r="Z40" s="3621">
        <f t="shared" si="26"/>
        <v>40810</v>
      </c>
      <c r="AA40" s="3621">
        <f t="shared" si="27"/>
        <v>40810</v>
      </c>
      <c r="AB40" s="3621"/>
      <c r="AC40" s="3621">
        <f t="shared" si="28"/>
        <v>40810</v>
      </c>
      <c r="AD40" s="3621">
        <f t="shared" si="29"/>
        <v>42850.5</v>
      </c>
      <c r="AE40" s="3621">
        <f t="shared" si="30"/>
        <v>42851</v>
      </c>
      <c r="AF40" s="3621"/>
      <c r="AG40" s="3625">
        <f t="shared" si="31"/>
        <v>42851</v>
      </c>
      <c r="AH40" s="3625">
        <v>1.1200000000000001</v>
      </c>
      <c r="AI40" s="3626"/>
      <c r="AJ40" s="3409">
        <v>1.1200000000000001</v>
      </c>
      <c r="AK40" s="3626">
        <v>2</v>
      </c>
      <c r="AL40" s="3626">
        <f t="shared" si="10"/>
        <v>91414.400000000009</v>
      </c>
      <c r="AM40" s="3626"/>
      <c r="AN40" s="3626">
        <f t="shared" si="11"/>
        <v>0</v>
      </c>
      <c r="AO40" s="3626">
        <v>2</v>
      </c>
      <c r="AP40" s="3626">
        <f t="shared" si="12"/>
        <v>91414.400000000009</v>
      </c>
      <c r="AQ40" s="3626">
        <v>1</v>
      </c>
      <c r="AR40" s="3626">
        <f t="shared" si="18"/>
        <v>45707.200000000004</v>
      </c>
      <c r="AS40" s="3409"/>
      <c r="AV40" s="3411">
        <f t="shared" si="13"/>
        <v>-4</v>
      </c>
      <c r="AW40" s="3627">
        <f t="shared" si="19"/>
        <v>45707.199999999997</v>
      </c>
      <c r="AX40" s="3627">
        <f t="shared" si="14"/>
        <v>45707.199999999997</v>
      </c>
      <c r="AY40" s="3627">
        <f t="shared" si="20"/>
        <v>91414.399999999994</v>
      </c>
      <c r="AZ40" s="3627">
        <f t="shared" si="21"/>
        <v>0</v>
      </c>
      <c r="BA40" s="3627">
        <f t="shared" si="22"/>
        <v>91414.399999999994</v>
      </c>
      <c r="BB40" s="3627">
        <f t="shared" si="23"/>
        <v>45707.199999999997</v>
      </c>
      <c r="BC40" s="3411">
        <f t="shared" si="24"/>
        <v>228535.99999999997</v>
      </c>
      <c r="BD40" s="3411">
        <f t="shared" si="25"/>
        <v>-182828.79999999999</v>
      </c>
      <c r="BF40" s="3679"/>
      <c r="BG40" s="3679"/>
      <c r="BH40" s="3679"/>
      <c r="BI40" s="3679"/>
      <c r="BJ40" s="3679"/>
      <c r="BK40" s="3679"/>
      <c r="BL40" s="3679"/>
      <c r="BM40" s="3679"/>
      <c r="BN40" s="3679"/>
      <c r="BO40" s="3679"/>
      <c r="BP40" s="3679"/>
      <c r="BQ40" s="3679"/>
      <c r="BR40" s="3679"/>
      <c r="BS40" s="3679"/>
      <c r="BT40" s="3679"/>
      <c r="BU40" s="3679"/>
      <c r="BV40" s="3679"/>
      <c r="BW40" s="3679"/>
      <c r="BX40" s="3679"/>
      <c r="BY40" s="3679"/>
      <c r="BZ40" s="3679"/>
      <c r="CA40" s="3679"/>
      <c r="CB40" s="3679"/>
      <c r="CC40" s="3679"/>
      <c r="CD40" s="3679"/>
      <c r="CE40" s="3679"/>
      <c r="CF40" s="3679"/>
      <c r="CG40" s="3679"/>
      <c r="CH40" s="3679"/>
      <c r="CI40" s="3679"/>
      <c r="CJ40" s="3679"/>
      <c r="CK40" s="3679"/>
      <c r="CL40" s="3679"/>
      <c r="CM40" s="3679"/>
      <c r="CN40" s="3679"/>
      <c r="CO40" s="3679"/>
      <c r="CP40" s="3679"/>
      <c r="CQ40" s="3679"/>
      <c r="CR40" s="3679"/>
      <c r="CS40" s="3679"/>
      <c r="CT40" s="3679"/>
      <c r="CU40" s="3679"/>
      <c r="CV40" s="3679"/>
      <c r="CW40" s="3679"/>
      <c r="CX40" s="3679"/>
      <c r="CY40" s="3679"/>
      <c r="CZ40" s="3679"/>
      <c r="DA40" s="3679"/>
      <c r="DB40" s="3679"/>
      <c r="DC40" s="3679"/>
      <c r="DD40" s="3679"/>
      <c r="DE40" s="3679"/>
      <c r="DF40" s="3679"/>
      <c r="DG40" s="3679"/>
      <c r="DH40" s="3679"/>
      <c r="DI40" s="3679"/>
      <c r="DJ40" s="3679"/>
      <c r="DK40" s="3679"/>
      <c r="DL40" s="3679"/>
      <c r="DM40" s="3679"/>
      <c r="DN40" s="3679"/>
      <c r="DO40" s="3679"/>
    </row>
    <row r="41" spans="1:119" ht="25.5">
      <c r="A41" s="3265">
        <v>32</v>
      </c>
      <c r="B41" s="3660" t="s">
        <v>2983</v>
      </c>
      <c r="C41" s="3660" t="s">
        <v>2984</v>
      </c>
      <c r="D41" s="3548" t="s">
        <v>1268</v>
      </c>
      <c r="E41" s="3572">
        <v>16815.8</v>
      </c>
      <c r="F41" s="3573"/>
      <c r="G41" s="3572">
        <f t="shared" si="32"/>
        <v>16815.8</v>
      </c>
      <c r="H41" s="3573"/>
      <c r="I41" s="3573"/>
      <c r="J41" s="3573"/>
      <c r="K41" s="3573"/>
      <c r="L41" s="3676">
        <f t="shared" si="15"/>
        <v>5</v>
      </c>
      <c r="M41" s="3574"/>
      <c r="N41" s="3573"/>
      <c r="O41" s="3573"/>
      <c r="P41" s="3549">
        <f t="shared" si="1"/>
        <v>5</v>
      </c>
      <c r="Q41" s="3371">
        <f>342</f>
        <v>342</v>
      </c>
      <c r="R41" s="3577">
        <v>1.06</v>
      </c>
      <c r="S41" s="3577">
        <f t="shared" si="2"/>
        <v>362.52000000000004</v>
      </c>
      <c r="T41" s="3677">
        <f t="shared" si="16"/>
        <v>406.02240000000006</v>
      </c>
      <c r="U41" s="3549">
        <f t="shared" si="17"/>
        <v>2030.1120000000003</v>
      </c>
      <c r="V41" s="3549"/>
      <c r="W41" s="3549">
        <f t="shared" si="3"/>
        <v>2030.1120000000003</v>
      </c>
      <c r="X41" s="3575">
        <v>19</v>
      </c>
      <c r="Y41" s="3575">
        <v>1.07</v>
      </c>
      <c r="Z41" s="3549">
        <f t="shared" si="26"/>
        <v>362.52000000000004</v>
      </c>
      <c r="AA41" s="3549">
        <f t="shared" si="27"/>
        <v>1813</v>
      </c>
      <c r="AB41" s="3549"/>
      <c r="AC41" s="3549">
        <f t="shared" si="28"/>
        <v>1813</v>
      </c>
      <c r="AD41" s="3549">
        <f t="shared" si="29"/>
        <v>380.64600000000007</v>
      </c>
      <c r="AE41" s="3549">
        <f t="shared" si="30"/>
        <v>1903</v>
      </c>
      <c r="AF41" s="3549"/>
      <c r="AG41" s="3576">
        <f t="shared" si="31"/>
        <v>1903</v>
      </c>
      <c r="AH41" s="3571">
        <v>1.1200000000000001</v>
      </c>
      <c r="AI41" s="3004"/>
      <c r="AJ41" s="2995">
        <v>1.1200000000000001</v>
      </c>
      <c r="AK41" s="3004">
        <v>4</v>
      </c>
      <c r="AL41" s="3004">
        <f t="shared" si="10"/>
        <v>1624.0896000000002</v>
      </c>
      <c r="AM41" s="3004">
        <v>1</v>
      </c>
      <c r="AN41" s="3004">
        <f t="shared" si="11"/>
        <v>406.02240000000006</v>
      </c>
      <c r="AO41" s="3004">
        <v>5</v>
      </c>
      <c r="AP41" s="3004">
        <f t="shared" si="12"/>
        <v>2030.1120000000003</v>
      </c>
      <c r="AQ41" s="3004">
        <v>5</v>
      </c>
      <c r="AR41" s="3004">
        <f t="shared" si="18"/>
        <v>2030.1120000000003</v>
      </c>
      <c r="AS41" s="2995"/>
      <c r="AT41" s="2995"/>
      <c r="AU41" s="2995"/>
      <c r="AV41" s="2983">
        <f t="shared" si="13"/>
        <v>-10</v>
      </c>
      <c r="AW41" s="3595">
        <f t="shared" si="19"/>
        <v>406.02</v>
      </c>
      <c r="AX41" s="3595">
        <f t="shared" si="14"/>
        <v>2030.1</v>
      </c>
      <c r="AY41" s="3595">
        <f t="shared" si="20"/>
        <v>1624.08</v>
      </c>
      <c r="AZ41" s="3595">
        <f t="shared" si="21"/>
        <v>406.02</v>
      </c>
      <c r="BA41" s="3595">
        <f t="shared" si="22"/>
        <v>2030.1</v>
      </c>
      <c r="BB41" s="3595">
        <f t="shared" si="23"/>
        <v>2030.1</v>
      </c>
      <c r="BC41" s="2983">
        <f t="shared" si="24"/>
        <v>6090.2999999999993</v>
      </c>
      <c r="BD41" s="2983">
        <f t="shared" si="25"/>
        <v>-4060.1999999999994</v>
      </c>
    </row>
    <row r="42" spans="1:119" s="3686" customFormat="1" ht="25.5">
      <c r="A42" s="3265">
        <v>33</v>
      </c>
      <c r="B42" s="3660" t="s">
        <v>2871</v>
      </c>
      <c r="C42" s="3660" t="s">
        <v>2985</v>
      </c>
      <c r="D42" s="3550" t="s">
        <v>1268</v>
      </c>
      <c r="E42" s="3572">
        <v>16815.8</v>
      </c>
      <c r="F42" s="3573"/>
      <c r="G42" s="3572">
        <f t="shared" si="32"/>
        <v>16815.8</v>
      </c>
      <c r="H42" s="3573"/>
      <c r="I42" s="3573"/>
      <c r="J42" s="3573"/>
      <c r="K42" s="3573"/>
      <c r="L42" s="3676">
        <v>0</v>
      </c>
      <c r="M42" s="3574"/>
      <c r="N42" s="3573"/>
      <c r="O42" s="3573"/>
      <c r="P42" s="3549">
        <f t="shared" si="1"/>
        <v>0</v>
      </c>
      <c r="Q42" s="3577">
        <f>310</f>
        <v>310</v>
      </c>
      <c r="R42" s="3577">
        <v>1.06</v>
      </c>
      <c r="S42" s="3577">
        <f t="shared" si="2"/>
        <v>328.6</v>
      </c>
      <c r="T42" s="3677">
        <f t="shared" si="16"/>
        <v>368.03200000000004</v>
      </c>
      <c r="U42" s="3549">
        <f t="shared" si="17"/>
        <v>0</v>
      </c>
      <c r="V42" s="3680"/>
      <c r="W42" s="3680">
        <f t="shared" si="3"/>
        <v>0</v>
      </c>
      <c r="X42" s="3681"/>
      <c r="Y42" s="3681"/>
      <c r="Z42" s="3680">
        <f t="shared" si="26"/>
        <v>328.6</v>
      </c>
      <c r="AA42" s="3680">
        <f t="shared" si="27"/>
        <v>0</v>
      </c>
      <c r="AB42" s="3680"/>
      <c r="AC42" s="3680">
        <f t="shared" si="28"/>
        <v>0</v>
      </c>
      <c r="AD42" s="3680">
        <f t="shared" si="29"/>
        <v>345.03000000000003</v>
      </c>
      <c r="AE42" s="3680">
        <f t="shared" si="30"/>
        <v>0</v>
      </c>
      <c r="AF42" s="3680"/>
      <c r="AG42" s="3682">
        <f t="shared" si="31"/>
        <v>0</v>
      </c>
      <c r="AH42" s="3682">
        <v>1.1200000000000001</v>
      </c>
      <c r="AI42" s="3683"/>
      <c r="AJ42" s="3684">
        <v>1.1200000000000001</v>
      </c>
      <c r="AK42" s="3683">
        <v>1</v>
      </c>
      <c r="AL42" s="3683">
        <f t="shared" si="10"/>
        <v>368.03200000000004</v>
      </c>
      <c r="AM42" s="3683">
        <v>1</v>
      </c>
      <c r="AN42" s="3683">
        <f t="shared" si="11"/>
        <v>368.03200000000004</v>
      </c>
      <c r="AO42" s="3683">
        <v>1</v>
      </c>
      <c r="AP42" s="3683">
        <f t="shared" si="12"/>
        <v>368.03200000000004</v>
      </c>
      <c r="AQ42" s="3683">
        <v>2</v>
      </c>
      <c r="AR42" s="3683">
        <f t="shared" si="18"/>
        <v>736.06400000000008</v>
      </c>
      <c r="AS42" s="3684"/>
      <c r="AT42" s="3684"/>
      <c r="AU42" s="3684"/>
      <c r="AV42" s="3686">
        <f t="shared" si="13"/>
        <v>-5</v>
      </c>
      <c r="AW42" s="3687">
        <f t="shared" si="19"/>
        <v>368.03</v>
      </c>
      <c r="AX42" s="3687">
        <f t="shared" si="14"/>
        <v>0</v>
      </c>
      <c r="AY42" s="3687">
        <f t="shared" si="20"/>
        <v>368.03</v>
      </c>
      <c r="AZ42" s="3687">
        <f t="shared" si="21"/>
        <v>368.03</v>
      </c>
      <c r="BA42" s="3687">
        <f t="shared" si="22"/>
        <v>368.03</v>
      </c>
      <c r="BB42" s="3687">
        <f t="shared" si="23"/>
        <v>736.06</v>
      </c>
      <c r="BC42" s="3686">
        <f t="shared" si="24"/>
        <v>1840.1499999999999</v>
      </c>
      <c r="BD42" s="3686">
        <f t="shared" si="25"/>
        <v>-1840.1499999999999</v>
      </c>
      <c r="BF42" s="3328"/>
      <c r="BG42" s="3328"/>
      <c r="BH42" s="3328"/>
      <c r="BI42" s="3328"/>
      <c r="BJ42" s="3328"/>
      <c r="BK42" s="3328"/>
      <c r="BL42" s="3328"/>
      <c r="BM42" s="3328"/>
      <c r="BN42" s="3328"/>
      <c r="BO42" s="3328"/>
      <c r="BP42" s="3328"/>
      <c r="BQ42" s="3328"/>
      <c r="BR42" s="3328"/>
      <c r="BS42" s="3328"/>
      <c r="BT42" s="3328"/>
      <c r="BU42" s="3328"/>
      <c r="BV42" s="3328"/>
      <c r="BW42" s="3328"/>
      <c r="BX42" s="3328"/>
      <c r="BY42" s="3328"/>
      <c r="BZ42" s="3328"/>
      <c r="CA42" s="3328"/>
      <c r="CB42" s="3328"/>
      <c r="CC42" s="3328"/>
      <c r="CD42" s="3328"/>
      <c r="CE42" s="3328"/>
      <c r="CF42" s="3328"/>
      <c r="CG42" s="3328"/>
      <c r="CH42" s="3328"/>
      <c r="CI42" s="3328"/>
      <c r="CJ42" s="3328"/>
      <c r="CK42" s="3328"/>
      <c r="CL42" s="3328"/>
      <c r="CM42" s="3328"/>
      <c r="CN42" s="3328"/>
      <c r="CO42" s="3328"/>
      <c r="CP42" s="3328"/>
      <c r="CQ42" s="3328"/>
      <c r="CR42" s="3328"/>
      <c r="CS42" s="3328"/>
      <c r="CT42" s="3328"/>
      <c r="CU42" s="3328"/>
      <c r="CV42" s="3328"/>
      <c r="CW42" s="3328"/>
      <c r="CX42" s="3328"/>
      <c r="CY42" s="3328"/>
      <c r="CZ42" s="3328"/>
      <c r="DA42" s="3328"/>
      <c r="DB42" s="3328"/>
      <c r="DC42" s="3328"/>
      <c r="DD42" s="3328"/>
      <c r="DE42" s="3328"/>
      <c r="DF42" s="3328"/>
      <c r="DG42" s="3328"/>
      <c r="DH42" s="3328"/>
      <c r="DI42" s="3328"/>
      <c r="DJ42" s="3328"/>
      <c r="DK42" s="3328"/>
      <c r="DL42" s="3328"/>
      <c r="DM42" s="3328"/>
      <c r="DN42" s="3328"/>
      <c r="DO42" s="3328"/>
    </row>
    <row r="43" spans="1:119" ht="12.75">
      <c r="A43" s="3265">
        <v>34</v>
      </c>
      <c r="B43" s="3660" t="s">
        <v>2986</v>
      </c>
      <c r="C43" s="3660" t="s">
        <v>2986</v>
      </c>
      <c r="D43" s="3548" t="s">
        <v>2899</v>
      </c>
      <c r="E43" s="3572">
        <v>16815.8</v>
      </c>
      <c r="F43" s="3549"/>
      <c r="G43" s="3572">
        <f t="shared" si="32"/>
        <v>16815.8</v>
      </c>
      <c r="H43" s="3549"/>
      <c r="I43" s="3573"/>
      <c r="J43" s="3573"/>
      <c r="K43" s="3549"/>
      <c r="L43" s="3676">
        <f t="shared" si="15"/>
        <v>2</v>
      </c>
      <c r="M43" s="3574"/>
      <c r="N43" s="3549"/>
      <c r="O43" s="3549"/>
      <c r="P43" s="3549">
        <f t="shared" si="1"/>
        <v>2</v>
      </c>
      <c r="Q43" s="3581">
        <f>1300</f>
        <v>1300</v>
      </c>
      <c r="R43" s="3577">
        <v>1.06</v>
      </c>
      <c r="S43" s="3577">
        <f t="shared" si="2"/>
        <v>1378</v>
      </c>
      <c r="T43" s="3677">
        <f t="shared" si="16"/>
        <v>1543.3600000000001</v>
      </c>
      <c r="U43" s="3549">
        <f t="shared" si="17"/>
        <v>3086.7200000000003</v>
      </c>
      <c r="V43" s="3549"/>
      <c r="W43" s="3549">
        <f t="shared" si="3"/>
        <v>3086.7200000000003</v>
      </c>
      <c r="X43" s="3575"/>
      <c r="Y43" s="3575"/>
      <c r="Z43" s="3549">
        <f t="shared" si="26"/>
        <v>1378</v>
      </c>
      <c r="AA43" s="3549">
        <f t="shared" si="27"/>
        <v>2756</v>
      </c>
      <c r="AB43" s="3549"/>
      <c r="AC43" s="3549">
        <f t="shared" si="28"/>
        <v>2756</v>
      </c>
      <c r="AD43" s="3549">
        <f t="shared" si="29"/>
        <v>1446.9</v>
      </c>
      <c r="AE43" s="3549">
        <f t="shared" si="30"/>
        <v>2894</v>
      </c>
      <c r="AF43" s="3549"/>
      <c r="AG43" s="3576">
        <f t="shared" si="31"/>
        <v>2894</v>
      </c>
      <c r="AH43" s="3571">
        <v>1.1200000000000001</v>
      </c>
      <c r="AI43" s="3004"/>
      <c r="AJ43" s="2995">
        <v>1.1200000000000001</v>
      </c>
      <c r="AK43" s="3004">
        <v>2</v>
      </c>
      <c r="AL43" s="3004">
        <f t="shared" si="10"/>
        <v>3086.7200000000003</v>
      </c>
      <c r="AM43" s="3004"/>
      <c r="AN43" s="3004">
        <f t="shared" si="11"/>
        <v>0</v>
      </c>
      <c r="AO43" s="3004">
        <v>2</v>
      </c>
      <c r="AP43" s="3004">
        <f t="shared" si="12"/>
        <v>3086.7200000000003</v>
      </c>
      <c r="AQ43" s="3004">
        <v>2</v>
      </c>
      <c r="AR43" s="3004">
        <f t="shared" si="18"/>
        <v>3086.7200000000003</v>
      </c>
      <c r="AS43" s="2995"/>
      <c r="AT43" s="2995"/>
      <c r="AU43" s="2995"/>
      <c r="AV43" s="2983">
        <f t="shared" si="13"/>
        <v>-4</v>
      </c>
      <c r="AW43" s="3595">
        <f t="shared" si="19"/>
        <v>1543.36</v>
      </c>
      <c r="AX43" s="3595">
        <f t="shared" si="14"/>
        <v>3086.72</v>
      </c>
      <c r="AY43" s="3595">
        <f t="shared" si="20"/>
        <v>3086.72</v>
      </c>
      <c r="AZ43" s="3595">
        <f t="shared" si="21"/>
        <v>0</v>
      </c>
      <c r="BA43" s="3595">
        <f t="shared" si="22"/>
        <v>3086.72</v>
      </c>
      <c r="BB43" s="3595">
        <f t="shared" si="23"/>
        <v>3086.72</v>
      </c>
      <c r="BC43" s="2983">
        <f t="shared" si="24"/>
        <v>9260.16</v>
      </c>
      <c r="BD43" s="2983">
        <f t="shared" si="25"/>
        <v>-6173.4400000000005</v>
      </c>
    </row>
    <row r="44" spans="1:119" s="3686" customFormat="1" ht="12.75">
      <c r="A44" s="3265">
        <v>35</v>
      </c>
      <c r="B44" s="3660" t="s">
        <v>2898</v>
      </c>
      <c r="C44" s="3660" t="s">
        <v>2987</v>
      </c>
      <c r="D44" s="3548" t="s">
        <v>2899</v>
      </c>
      <c r="E44" s="3572">
        <v>16815.8</v>
      </c>
      <c r="F44" s="3549"/>
      <c r="G44" s="3572">
        <f t="shared" si="32"/>
        <v>16815.8</v>
      </c>
      <c r="H44" s="3549"/>
      <c r="I44" s="3573"/>
      <c r="J44" s="3573"/>
      <c r="K44" s="3549"/>
      <c r="L44" s="3676">
        <v>0</v>
      </c>
      <c r="M44" s="3574"/>
      <c r="N44" s="3549"/>
      <c r="O44" s="3549"/>
      <c r="P44" s="3549">
        <f t="shared" si="1"/>
        <v>0</v>
      </c>
      <c r="Q44" s="3577">
        <f>1500</f>
        <v>1500</v>
      </c>
      <c r="R44" s="3577">
        <v>1.06</v>
      </c>
      <c r="S44" s="3577">
        <f t="shared" si="2"/>
        <v>1590</v>
      </c>
      <c r="T44" s="3677">
        <f t="shared" si="16"/>
        <v>1780.8000000000002</v>
      </c>
      <c r="U44" s="3549">
        <f t="shared" si="17"/>
        <v>0</v>
      </c>
      <c r="V44" s="3680"/>
      <c r="W44" s="3680">
        <f t="shared" si="3"/>
        <v>0</v>
      </c>
      <c r="X44" s="3681"/>
      <c r="Y44" s="3681"/>
      <c r="Z44" s="3680">
        <f t="shared" si="26"/>
        <v>1590</v>
      </c>
      <c r="AA44" s="3680">
        <f t="shared" si="27"/>
        <v>0</v>
      </c>
      <c r="AB44" s="3680"/>
      <c r="AC44" s="3680">
        <f t="shared" si="28"/>
        <v>0</v>
      </c>
      <c r="AD44" s="3680">
        <f t="shared" si="29"/>
        <v>1669.5</v>
      </c>
      <c r="AE44" s="3680">
        <f t="shared" si="30"/>
        <v>0</v>
      </c>
      <c r="AF44" s="3680"/>
      <c r="AG44" s="3682">
        <f t="shared" si="31"/>
        <v>0</v>
      </c>
      <c r="AH44" s="3682">
        <v>1.1200000000000001</v>
      </c>
      <c r="AI44" s="3683"/>
      <c r="AJ44" s="3684">
        <v>1.1200000000000001</v>
      </c>
      <c r="AK44" s="3683">
        <v>2</v>
      </c>
      <c r="AL44" s="3683">
        <f t="shared" si="10"/>
        <v>3561.6000000000004</v>
      </c>
      <c r="AM44" s="3683"/>
      <c r="AN44" s="3683">
        <f t="shared" si="11"/>
        <v>0</v>
      </c>
      <c r="AO44" s="3683">
        <v>2</v>
      </c>
      <c r="AP44" s="3683">
        <f t="shared" si="12"/>
        <v>3561.6000000000004</v>
      </c>
      <c r="AQ44" s="3683">
        <v>2</v>
      </c>
      <c r="AR44" s="3683">
        <f t="shared" si="18"/>
        <v>3561.6000000000004</v>
      </c>
      <c r="AS44" s="3684"/>
      <c r="AT44" s="3684"/>
      <c r="AU44" s="3684"/>
      <c r="AV44" s="3686">
        <f t="shared" si="13"/>
        <v>-6</v>
      </c>
      <c r="AW44" s="3687">
        <f t="shared" si="19"/>
        <v>1780.8</v>
      </c>
      <c r="AX44" s="3687">
        <f t="shared" si="14"/>
        <v>0</v>
      </c>
      <c r="AY44" s="3687">
        <f t="shared" si="20"/>
        <v>3561.6</v>
      </c>
      <c r="AZ44" s="3687">
        <f t="shared" si="21"/>
        <v>0</v>
      </c>
      <c r="BA44" s="3687">
        <f t="shared" si="22"/>
        <v>3561.6</v>
      </c>
      <c r="BB44" s="3687">
        <f t="shared" si="23"/>
        <v>3561.6</v>
      </c>
      <c r="BC44" s="3686">
        <f t="shared" si="24"/>
        <v>10684.8</v>
      </c>
      <c r="BD44" s="3686">
        <f t="shared" si="25"/>
        <v>-10684.8</v>
      </c>
      <c r="BF44" s="3328"/>
      <c r="BG44" s="3328"/>
      <c r="BH44" s="3328"/>
      <c r="BI44" s="3328"/>
      <c r="BJ44" s="3328"/>
      <c r="BK44" s="3328"/>
      <c r="BL44" s="3328"/>
      <c r="BM44" s="3328"/>
      <c r="BN44" s="3328"/>
      <c r="BO44" s="3328"/>
      <c r="BP44" s="3328"/>
      <c r="BQ44" s="3328"/>
      <c r="BR44" s="3328"/>
      <c r="BS44" s="3328"/>
      <c r="BT44" s="3328"/>
      <c r="BU44" s="3328"/>
      <c r="BV44" s="3328"/>
      <c r="BW44" s="3328"/>
      <c r="BX44" s="3328"/>
      <c r="BY44" s="3328"/>
      <c r="BZ44" s="3328"/>
      <c r="CA44" s="3328"/>
      <c r="CB44" s="3328"/>
      <c r="CC44" s="3328"/>
      <c r="CD44" s="3328"/>
      <c r="CE44" s="3328"/>
      <c r="CF44" s="3328"/>
      <c r="CG44" s="3328"/>
      <c r="CH44" s="3328"/>
      <c r="CI44" s="3328"/>
      <c r="CJ44" s="3328"/>
      <c r="CK44" s="3328"/>
      <c r="CL44" s="3328"/>
      <c r="CM44" s="3328"/>
      <c r="CN44" s="3328"/>
      <c r="CO44" s="3328"/>
      <c r="CP44" s="3328"/>
      <c r="CQ44" s="3328"/>
      <c r="CR44" s="3328"/>
      <c r="CS44" s="3328"/>
      <c r="CT44" s="3328"/>
      <c r="CU44" s="3328"/>
      <c r="CV44" s="3328"/>
      <c r="CW44" s="3328"/>
      <c r="CX44" s="3328"/>
      <c r="CY44" s="3328"/>
      <c r="CZ44" s="3328"/>
      <c r="DA44" s="3328"/>
      <c r="DB44" s="3328"/>
      <c r="DC44" s="3328"/>
      <c r="DD44" s="3328"/>
      <c r="DE44" s="3328"/>
      <c r="DF44" s="3328"/>
      <c r="DG44" s="3328"/>
      <c r="DH44" s="3328"/>
      <c r="DI44" s="3328"/>
      <c r="DJ44" s="3328"/>
      <c r="DK44" s="3328"/>
      <c r="DL44" s="3328"/>
      <c r="DM44" s="3328"/>
      <c r="DN44" s="3328"/>
      <c r="DO44" s="3328"/>
    </row>
    <row r="45" spans="1:119" ht="25.5">
      <c r="A45" s="3265">
        <v>36</v>
      </c>
      <c r="B45" s="3660" t="s">
        <v>2988</v>
      </c>
      <c r="C45" s="3660" t="s">
        <v>2988</v>
      </c>
      <c r="D45" s="3548" t="s">
        <v>1022</v>
      </c>
      <c r="E45" s="3572">
        <v>16815.8</v>
      </c>
      <c r="F45" s="3549"/>
      <c r="G45" s="3572">
        <f t="shared" si="32"/>
        <v>16815.8</v>
      </c>
      <c r="H45" s="3549"/>
      <c r="I45" s="3573"/>
      <c r="J45" s="3573"/>
      <c r="K45" s="3549"/>
      <c r="L45" s="3676">
        <f t="shared" si="15"/>
        <v>1</v>
      </c>
      <c r="M45" s="3574"/>
      <c r="N45" s="3549"/>
      <c r="O45" s="3549"/>
      <c r="P45" s="3549">
        <f t="shared" si="1"/>
        <v>1</v>
      </c>
      <c r="Q45" s="3371">
        <f>4500</f>
        <v>4500</v>
      </c>
      <c r="R45" s="3577">
        <v>1.06</v>
      </c>
      <c r="S45" s="3577">
        <f t="shared" si="2"/>
        <v>4770</v>
      </c>
      <c r="T45" s="3677">
        <f t="shared" si="16"/>
        <v>5342.4000000000005</v>
      </c>
      <c r="U45" s="3549">
        <f t="shared" si="17"/>
        <v>5342.4000000000005</v>
      </c>
      <c r="V45" s="3549"/>
      <c r="W45" s="3549">
        <f t="shared" si="3"/>
        <v>5342.4000000000005</v>
      </c>
      <c r="X45" s="3575">
        <v>990</v>
      </c>
      <c r="Y45" s="3575">
        <v>1.07</v>
      </c>
      <c r="Z45" s="3549">
        <f t="shared" si="26"/>
        <v>4770</v>
      </c>
      <c r="AA45" s="3549">
        <f t="shared" si="27"/>
        <v>4770</v>
      </c>
      <c r="AB45" s="3549"/>
      <c r="AC45" s="3549">
        <f t="shared" si="28"/>
        <v>4770</v>
      </c>
      <c r="AD45" s="3549">
        <f t="shared" si="29"/>
        <v>5008.5</v>
      </c>
      <c r="AE45" s="3549">
        <f t="shared" si="30"/>
        <v>5009</v>
      </c>
      <c r="AF45" s="3549"/>
      <c r="AG45" s="3576">
        <f t="shared" si="31"/>
        <v>5009</v>
      </c>
      <c r="AH45" s="3571">
        <v>1.1200000000000001</v>
      </c>
      <c r="AI45" s="3004"/>
      <c r="AJ45" s="2995">
        <v>1.1200000000000001</v>
      </c>
      <c r="AK45" s="3004">
        <v>1</v>
      </c>
      <c r="AL45" s="3004">
        <f t="shared" si="10"/>
        <v>5342.4000000000005</v>
      </c>
      <c r="AM45" s="3004"/>
      <c r="AN45" s="3004">
        <f t="shared" si="11"/>
        <v>0</v>
      </c>
      <c r="AO45" s="3004">
        <v>1</v>
      </c>
      <c r="AP45" s="3004">
        <f t="shared" si="12"/>
        <v>5342.4000000000005</v>
      </c>
      <c r="AQ45" s="3004">
        <v>1</v>
      </c>
      <c r="AR45" s="3004">
        <f t="shared" si="18"/>
        <v>5342.4000000000005</v>
      </c>
      <c r="AS45" s="2995"/>
      <c r="AT45" s="2995"/>
      <c r="AU45" s="2995"/>
      <c r="AV45" s="2983">
        <f t="shared" si="13"/>
        <v>-2</v>
      </c>
      <c r="AW45" s="3595">
        <f t="shared" si="19"/>
        <v>5342.4</v>
      </c>
      <c r="AX45" s="3595">
        <f t="shared" si="14"/>
        <v>5342.4</v>
      </c>
      <c r="AY45" s="3595">
        <f t="shared" si="20"/>
        <v>5342.4</v>
      </c>
      <c r="AZ45" s="3595">
        <f t="shared" si="21"/>
        <v>0</v>
      </c>
      <c r="BA45" s="3595">
        <f t="shared" si="22"/>
        <v>5342.4</v>
      </c>
      <c r="BB45" s="3595">
        <f t="shared" si="23"/>
        <v>5342.4</v>
      </c>
      <c r="BC45" s="2983">
        <f t="shared" si="24"/>
        <v>16027.199999999999</v>
      </c>
      <c r="BD45" s="2983">
        <f t="shared" si="25"/>
        <v>-10684.8</v>
      </c>
    </row>
    <row r="46" spans="1:119" ht="12.75">
      <c r="A46" s="3265">
        <v>37</v>
      </c>
      <c r="B46" s="3660" t="s">
        <v>2989</v>
      </c>
      <c r="C46" s="3660" t="s">
        <v>2990</v>
      </c>
      <c r="D46" s="3548" t="s">
        <v>1268</v>
      </c>
      <c r="E46" s="3572">
        <v>16815.8</v>
      </c>
      <c r="F46" s="3549"/>
      <c r="G46" s="3572">
        <f t="shared" si="32"/>
        <v>16815.8</v>
      </c>
      <c r="H46" s="3549"/>
      <c r="I46" s="3573"/>
      <c r="J46" s="3573"/>
      <c r="K46" s="3549"/>
      <c r="L46" s="3676">
        <f t="shared" si="15"/>
        <v>1</v>
      </c>
      <c r="M46" s="3549"/>
      <c r="N46" s="3549"/>
      <c r="O46" s="3549"/>
      <c r="P46" s="3549">
        <f t="shared" si="1"/>
        <v>1</v>
      </c>
      <c r="Q46" s="3371">
        <f>7500</f>
        <v>7500</v>
      </c>
      <c r="R46" s="3577">
        <v>1.06</v>
      </c>
      <c r="S46" s="3577">
        <f t="shared" si="2"/>
        <v>7950</v>
      </c>
      <c r="T46" s="3677">
        <f t="shared" si="16"/>
        <v>8904</v>
      </c>
      <c r="U46" s="3549">
        <f t="shared" si="17"/>
        <v>8904</v>
      </c>
      <c r="V46" s="3549"/>
      <c r="W46" s="3549">
        <f t="shared" si="3"/>
        <v>8904</v>
      </c>
      <c r="X46" s="3575">
        <v>555</v>
      </c>
      <c r="Y46" s="3575">
        <v>1.07</v>
      </c>
      <c r="Z46" s="3549">
        <f t="shared" si="26"/>
        <v>7950</v>
      </c>
      <c r="AA46" s="3549">
        <f t="shared" si="27"/>
        <v>7950</v>
      </c>
      <c r="AB46" s="3549"/>
      <c r="AC46" s="3549">
        <f t="shared" si="28"/>
        <v>7950</v>
      </c>
      <c r="AD46" s="3549">
        <f t="shared" si="29"/>
        <v>8347.5</v>
      </c>
      <c r="AE46" s="3549">
        <f t="shared" si="30"/>
        <v>8348</v>
      </c>
      <c r="AF46" s="3549"/>
      <c r="AG46" s="3576">
        <f t="shared" si="31"/>
        <v>8348</v>
      </c>
      <c r="AH46" s="3571">
        <v>1.1200000000000001</v>
      </c>
      <c r="AI46" s="3004"/>
      <c r="AJ46" s="2995">
        <v>1.1200000000000001</v>
      </c>
      <c r="AK46" s="3004">
        <v>1</v>
      </c>
      <c r="AL46" s="3004">
        <f t="shared" si="10"/>
        <v>8904</v>
      </c>
      <c r="AM46" s="3004"/>
      <c r="AN46" s="3004">
        <f t="shared" si="11"/>
        <v>0</v>
      </c>
      <c r="AO46" s="3004">
        <v>1</v>
      </c>
      <c r="AP46" s="3004">
        <f t="shared" si="12"/>
        <v>8904</v>
      </c>
      <c r="AQ46" s="3004">
        <v>1</v>
      </c>
      <c r="AR46" s="3004">
        <f t="shared" si="18"/>
        <v>8904</v>
      </c>
      <c r="AS46" s="2995"/>
      <c r="AT46" s="2995"/>
      <c r="AU46" s="2995"/>
      <c r="AV46" s="2983">
        <f t="shared" si="13"/>
        <v>-2</v>
      </c>
      <c r="AW46" s="3595">
        <f t="shared" si="19"/>
        <v>8904</v>
      </c>
      <c r="AX46" s="3595">
        <f t="shared" si="14"/>
        <v>8904</v>
      </c>
      <c r="AY46" s="3595">
        <f t="shared" si="20"/>
        <v>8904</v>
      </c>
      <c r="AZ46" s="3595">
        <f t="shared" si="21"/>
        <v>0</v>
      </c>
      <c r="BA46" s="3595">
        <f t="shared" si="22"/>
        <v>8904</v>
      </c>
      <c r="BB46" s="3595">
        <f t="shared" si="23"/>
        <v>8904</v>
      </c>
      <c r="BC46" s="2983">
        <f t="shared" si="24"/>
        <v>26712</v>
      </c>
      <c r="BD46" s="2983">
        <f t="shared" si="25"/>
        <v>-17808</v>
      </c>
    </row>
    <row r="47" spans="1:119" s="3674" customFormat="1" ht="25.5">
      <c r="A47" s="3265">
        <v>38</v>
      </c>
      <c r="B47" s="3660" t="s">
        <v>2812</v>
      </c>
      <c r="C47" s="3660" t="s">
        <v>2813</v>
      </c>
      <c r="D47" s="3548" t="s">
        <v>1022</v>
      </c>
      <c r="E47" s="3572">
        <v>16815.8</v>
      </c>
      <c r="F47" s="3573"/>
      <c r="G47" s="3572">
        <f t="shared" si="32"/>
        <v>16815.8</v>
      </c>
      <c r="H47" s="3573"/>
      <c r="I47" s="3573"/>
      <c r="J47" s="3573"/>
      <c r="K47" s="3573"/>
      <c r="L47" s="3676">
        <v>2</v>
      </c>
      <c r="M47" s="3574"/>
      <c r="N47" s="3573"/>
      <c r="O47" s="3573"/>
      <c r="P47" s="3549">
        <f t="shared" si="1"/>
        <v>2</v>
      </c>
      <c r="Q47" s="3577">
        <f>3000</f>
        <v>3000</v>
      </c>
      <c r="R47" s="3577">
        <v>1.06</v>
      </c>
      <c r="S47" s="3577">
        <f t="shared" si="2"/>
        <v>3180</v>
      </c>
      <c r="T47" s="3677">
        <f t="shared" si="16"/>
        <v>3561.6000000000004</v>
      </c>
      <c r="U47" s="3549">
        <f t="shared" si="17"/>
        <v>7123.2000000000007</v>
      </c>
      <c r="V47" s="3667"/>
      <c r="W47" s="3667">
        <f t="shared" si="3"/>
        <v>7123.2000000000007</v>
      </c>
      <c r="X47" s="3670"/>
      <c r="Y47" s="3670"/>
      <c r="Z47" s="3667">
        <f t="shared" si="26"/>
        <v>3180</v>
      </c>
      <c r="AA47" s="3667">
        <f t="shared" si="27"/>
        <v>6360</v>
      </c>
      <c r="AB47" s="3667"/>
      <c r="AC47" s="3667">
        <f t="shared" si="28"/>
        <v>6360</v>
      </c>
      <c r="AD47" s="3667">
        <f t="shared" si="29"/>
        <v>3339</v>
      </c>
      <c r="AE47" s="3667">
        <f t="shared" si="30"/>
        <v>6678</v>
      </c>
      <c r="AF47" s="3667"/>
      <c r="AG47" s="3671">
        <f t="shared" si="31"/>
        <v>6678</v>
      </c>
      <c r="AH47" s="3671">
        <v>1.1200000000000001</v>
      </c>
      <c r="AI47" s="3672"/>
      <c r="AJ47" s="3673">
        <v>1.1200000000000001</v>
      </c>
      <c r="AK47" s="3672">
        <v>1</v>
      </c>
      <c r="AL47" s="3672">
        <f t="shared" si="10"/>
        <v>3561.6000000000004</v>
      </c>
      <c r="AM47" s="3672"/>
      <c r="AN47" s="3672">
        <f t="shared" si="11"/>
        <v>0</v>
      </c>
      <c r="AO47" s="3672">
        <v>1</v>
      </c>
      <c r="AP47" s="3672">
        <f t="shared" si="12"/>
        <v>3561.6000000000004</v>
      </c>
      <c r="AQ47" s="3672">
        <v>0</v>
      </c>
      <c r="AR47" s="3672">
        <f t="shared" si="18"/>
        <v>0</v>
      </c>
      <c r="AS47" s="3673"/>
      <c r="AT47" s="3673"/>
      <c r="AU47" s="3673"/>
      <c r="AV47" s="3674">
        <f t="shared" si="13"/>
        <v>0</v>
      </c>
      <c r="AW47" s="3675">
        <f t="shared" si="19"/>
        <v>3561.6</v>
      </c>
      <c r="AX47" s="3675">
        <f t="shared" si="14"/>
        <v>7123.2</v>
      </c>
      <c r="AY47" s="3675">
        <f t="shared" si="20"/>
        <v>3561.6</v>
      </c>
      <c r="AZ47" s="3675">
        <f t="shared" si="21"/>
        <v>0</v>
      </c>
      <c r="BA47" s="3675">
        <f t="shared" si="22"/>
        <v>3561.6</v>
      </c>
      <c r="BB47" s="3675">
        <f t="shared" si="23"/>
        <v>0</v>
      </c>
      <c r="BC47" s="3674">
        <f t="shared" si="24"/>
        <v>7123.2</v>
      </c>
      <c r="BD47" s="3674">
        <f t="shared" si="25"/>
        <v>0</v>
      </c>
      <c r="BF47" s="3328"/>
      <c r="BG47" s="3328"/>
      <c r="BH47" s="3328"/>
      <c r="BI47" s="3328"/>
      <c r="BJ47" s="3328"/>
      <c r="BK47" s="3328"/>
      <c r="BL47" s="3328"/>
      <c r="BM47" s="3328"/>
      <c r="BN47" s="3328"/>
      <c r="BO47" s="3328"/>
      <c r="BP47" s="3328"/>
      <c r="BQ47" s="3328"/>
      <c r="BR47" s="3328"/>
      <c r="BS47" s="3328"/>
      <c r="BT47" s="3328"/>
      <c r="BU47" s="3328"/>
      <c r="BV47" s="3328"/>
      <c r="BW47" s="3328"/>
      <c r="BX47" s="3328"/>
      <c r="BY47" s="3328"/>
      <c r="BZ47" s="3328"/>
      <c r="CA47" s="3328"/>
      <c r="CB47" s="3328"/>
      <c r="CC47" s="3328"/>
      <c r="CD47" s="3328"/>
      <c r="CE47" s="3328"/>
      <c r="CF47" s="3328"/>
      <c r="CG47" s="3328"/>
      <c r="CH47" s="3328"/>
      <c r="CI47" s="3328"/>
      <c r="CJ47" s="3328"/>
      <c r="CK47" s="3328"/>
      <c r="CL47" s="3328"/>
      <c r="CM47" s="3328"/>
      <c r="CN47" s="3328"/>
      <c r="CO47" s="3328"/>
      <c r="CP47" s="3328"/>
      <c r="CQ47" s="3328"/>
      <c r="CR47" s="3328"/>
      <c r="CS47" s="3328"/>
      <c r="CT47" s="3328"/>
      <c r="CU47" s="3328"/>
      <c r="CV47" s="3328"/>
      <c r="CW47" s="3328"/>
      <c r="CX47" s="3328"/>
      <c r="CY47" s="3328"/>
      <c r="CZ47" s="3328"/>
      <c r="DA47" s="3328"/>
      <c r="DB47" s="3328"/>
      <c r="DC47" s="3328"/>
      <c r="DD47" s="3328"/>
      <c r="DE47" s="3328"/>
      <c r="DF47" s="3328"/>
      <c r="DG47" s="3328"/>
      <c r="DH47" s="3328"/>
      <c r="DI47" s="3328"/>
      <c r="DJ47" s="3328"/>
      <c r="DK47" s="3328"/>
      <c r="DL47" s="3328"/>
      <c r="DM47" s="3328"/>
      <c r="DN47" s="3328"/>
      <c r="DO47" s="3328"/>
    </row>
    <row r="48" spans="1:119" ht="38.25">
      <c r="A48" s="3265">
        <v>39</v>
      </c>
      <c r="B48" s="3660" t="s">
        <v>2994</v>
      </c>
      <c r="C48" s="3660" t="s">
        <v>2995</v>
      </c>
      <c r="D48" s="3548" t="s">
        <v>2815</v>
      </c>
      <c r="E48" s="3572">
        <v>16815.8</v>
      </c>
      <c r="F48" s="3573"/>
      <c r="G48" s="3572">
        <f t="shared" si="32"/>
        <v>16815.8</v>
      </c>
      <c r="H48" s="3573"/>
      <c r="I48" s="3573"/>
      <c r="J48" s="3573"/>
      <c r="K48" s="3573"/>
      <c r="L48" s="3676">
        <v>50</v>
      </c>
      <c r="M48" s="3574"/>
      <c r="N48" s="3573"/>
      <c r="O48" s="3573"/>
      <c r="P48" s="3549">
        <f t="shared" si="1"/>
        <v>50</v>
      </c>
      <c r="Q48" s="3577">
        <f>700</f>
        <v>700</v>
      </c>
      <c r="R48" s="3577">
        <v>1.06</v>
      </c>
      <c r="S48" s="3577">
        <f t="shared" si="2"/>
        <v>742</v>
      </c>
      <c r="T48" s="3677">
        <f t="shared" si="16"/>
        <v>831.04000000000008</v>
      </c>
      <c r="U48" s="3549">
        <f t="shared" si="17"/>
        <v>41552.000000000007</v>
      </c>
      <c r="V48" s="3567"/>
      <c r="W48" s="3567">
        <f t="shared" si="3"/>
        <v>41552.000000000007</v>
      </c>
      <c r="X48" s="3570"/>
      <c r="Y48" s="3570"/>
      <c r="Z48" s="3567">
        <f t="shared" si="26"/>
        <v>742</v>
      </c>
      <c r="AA48" s="3567">
        <f t="shared" si="27"/>
        <v>37100</v>
      </c>
      <c r="AB48" s="3567"/>
      <c r="AC48" s="3567">
        <f t="shared" si="28"/>
        <v>37100</v>
      </c>
      <c r="AD48" s="3567">
        <f t="shared" si="29"/>
        <v>779.1</v>
      </c>
      <c r="AE48" s="3567">
        <f t="shared" si="30"/>
        <v>38955</v>
      </c>
      <c r="AF48" s="3567"/>
      <c r="AG48" s="3571">
        <f t="shared" si="31"/>
        <v>38955</v>
      </c>
      <c r="AH48" s="3571">
        <v>1.1200000000000001</v>
      </c>
      <c r="AI48" s="3004"/>
      <c r="AJ48" s="2995">
        <v>1.1200000000000001</v>
      </c>
      <c r="AK48" s="3004">
        <v>40</v>
      </c>
      <c r="AL48" s="3004">
        <f t="shared" si="10"/>
        <v>33241.600000000006</v>
      </c>
      <c r="AM48" s="3004">
        <v>20</v>
      </c>
      <c r="AN48" s="3004">
        <f t="shared" si="11"/>
        <v>16620.800000000003</v>
      </c>
      <c r="AO48" s="3004">
        <v>40</v>
      </c>
      <c r="AP48" s="3004">
        <f t="shared" si="12"/>
        <v>33241.600000000006</v>
      </c>
      <c r="AQ48" s="3004">
        <v>0</v>
      </c>
      <c r="AR48" s="3004">
        <f t="shared" si="18"/>
        <v>0</v>
      </c>
      <c r="AS48" s="2995"/>
      <c r="AT48" s="2995"/>
      <c r="AU48" s="2995"/>
      <c r="AV48" s="2983">
        <f t="shared" si="13"/>
        <v>-50</v>
      </c>
      <c r="AW48" s="3595">
        <f t="shared" si="19"/>
        <v>831.04</v>
      </c>
      <c r="AX48" s="3595">
        <f t="shared" si="14"/>
        <v>41552</v>
      </c>
      <c r="AY48" s="3595">
        <f t="shared" si="20"/>
        <v>33241.599999999999</v>
      </c>
      <c r="AZ48" s="3595">
        <f t="shared" si="21"/>
        <v>16620.8</v>
      </c>
      <c r="BA48" s="3595">
        <f t="shared" si="22"/>
        <v>33241.599999999999</v>
      </c>
      <c r="BB48" s="3595">
        <f t="shared" si="23"/>
        <v>0</v>
      </c>
      <c r="BC48" s="2983">
        <f t="shared" si="24"/>
        <v>83104</v>
      </c>
      <c r="BD48" s="2983">
        <f t="shared" si="25"/>
        <v>-41552</v>
      </c>
    </row>
    <row r="49" spans="1:119" s="3674" customFormat="1" ht="12.75">
      <c r="A49" s="3265">
        <v>40</v>
      </c>
      <c r="B49" s="3723" t="s">
        <v>2996</v>
      </c>
      <c r="C49" s="3723" t="s">
        <v>2996</v>
      </c>
      <c r="D49" s="3724" t="s">
        <v>1268</v>
      </c>
      <c r="E49" s="3725">
        <v>16815.8</v>
      </c>
      <c r="F49" s="3731"/>
      <c r="G49" s="3725">
        <f t="shared" si="32"/>
        <v>16815.8</v>
      </c>
      <c r="H49" s="3731"/>
      <c r="I49" s="3731"/>
      <c r="J49" s="3731"/>
      <c r="K49" s="3731"/>
      <c r="L49" s="3728">
        <v>50</v>
      </c>
      <c r="M49" s="3732"/>
      <c r="N49" s="3731"/>
      <c r="O49" s="3731"/>
      <c r="P49" s="3727">
        <f t="shared" si="1"/>
        <v>50</v>
      </c>
      <c r="Q49" s="3729">
        <f>1000</f>
        <v>1000</v>
      </c>
      <c r="R49" s="3729">
        <v>1.06</v>
      </c>
      <c r="S49" s="3729">
        <f t="shared" si="2"/>
        <v>1060</v>
      </c>
      <c r="T49" s="3730">
        <f t="shared" si="16"/>
        <v>1187.2</v>
      </c>
      <c r="U49" s="3727">
        <f t="shared" si="17"/>
        <v>59360</v>
      </c>
      <c r="V49" s="3667"/>
      <c r="W49" s="3667">
        <f t="shared" si="3"/>
        <v>59360</v>
      </c>
      <c r="X49" s="3670"/>
      <c r="Y49" s="3670"/>
      <c r="Z49" s="3667">
        <f t="shared" si="26"/>
        <v>1060</v>
      </c>
      <c r="AA49" s="3667">
        <f t="shared" si="27"/>
        <v>53000</v>
      </c>
      <c r="AB49" s="3667"/>
      <c r="AC49" s="3667">
        <f t="shared" si="28"/>
        <v>53000</v>
      </c>
      <c r="AD49" s="3667">
        <f t="shared" si="29"/>
        <v>1113</v>
      </c>
      <c r="AE49" s="3667">
        <f t="shared" si="30"/>
        <v>55650</v>
      </c>
      <c r="AF49" s="3667"/>
      <c r="AG49" s="3671">
        <f t="shared" si="31"/>
        <v>55650</v>
      </c>
      <c r="AH49" s="3671">
        <v>1.1200000000000001</v>
      </c>
      <c r="AI49" s="3672"/>
      <c r="AJ49" s="3673">
        <v>1.1200000000000001</v>
      </c>
      <c r="AK49" s="3672">
        <v>10</v>
      </c>
      <c r="AL49" s="3672">
        <f t="shared" si="10"/>
        <v>11872</v>
      </c>
      <c r="AM49" s="3672">
        <v>7</v>
      </c>
      <c r="AN49" s="3672">
        <f t="shared" si="11"/>
        <v>8310.4</v>
      </c>
      <c r="AO49" s="3672">
        <v>10</v>
      </c>
      <c r="AP49" s="3672">
        <f t="shared" si="12"/>
        <v>11872</v>
      </c>
      <c r="AQ49" s="3672"/>
      <c r="AR49" s="3672">
        <f t="shared" si="18"/>
        <v>0</v>
      </c>
      <c r="AS49" s="3673"/>
      <c r="AT49" s="3673"/>
      <c r="AU49" s="3673"/>
      <c r="AV49" s="3674">
        <f t="shared" si="13"/>
        <v>23</v>
      </c>
      <c r="AW49" s="3675">
        <f t="shared" si="19"/>
        <v>1187.2</v>
      </c>
      <c r="AX49" s="3675">
        <f t="shared" si="14"/>
        <v>59360</v>
      </c>
      <c r="AY49" s="3675">
        <f t="shared" si="20"/>
        <v>11872</v>
      </c>
      <c r="AZ49" s="3675">
        <f t="shared" si="21"/>
        <v>8310.4</v>
      </c>
      <c r="BA49" s="3675">
        <f t="shared" si="22"/>
        <v>11872</v>
      </c>
      <c r="BB49" s="3675">
        <f t="shared" si="23"/>
        <v>0</v>
      </c>
      <c r="BC49" s="3674">
        <f t="shared" si="24"/>
        <v>32054.400000000001</v>
      </c>
      <c r="BD49" s="3674">
        <f t="shared" si="25"/>
        <v>27305.599999999999</v>
      </c>
      <c r="BF49" s="3328"/>
      <c r="BG49" s="3328"/>
      <c r="BH49" s="3328"/>
      <c r="BI49" s="3328"/>
      <c r="BJ49" s="3328"/>
      <c r="BK49" s="3328"/>
      <c r="BL49" s="3328"/>
      <c r="BM49" s="3328"/>
      <c r="BN49" s="3328"/>
      <c r="BO49" s="3328"/>
      <c r="BP49" s="3328"/>
      <c r="BQ49" s="3328"/>
      <c r="BR49" s="3328"/>
      <c r="BS49" s="3328"/>
      <c r="BT49" s="3328"/>
      <c r="BU49" s="3328"/>
      <c r="BV49" s="3328"/>
      <c r="BW49" s="3328"/>
      <c r="BX49" s="3328"/>
      <c r="BY49" s="3328"/>
      <c r="BZ49" s="3328"/>
      <c r="CA49" s="3328"/>
      <c r="CB49" s="3328"/>
      <c r="CC49" s="3328"/>
      <c r="CD49" s="3328"/>
      <c r="CE49" s="3328"/>
      <c r="CF49" s="3328"/>
      <c r="CG49" s="3328"/>
      <c r="CH49" s="3328"/>
      <c r="CI49" s="3328"/>
      <c r="CJ49" s="3328"/>
      <c r="CK49" s="3328"/>
      <c r="CL49" s="3328"/>
      <c r="CM49" s="3328"/>
      <c r="CN49" s="3328"/>
      <c r="CO49" s="3328"/>
      <c r="CP49" s="3328"/>
      <c r="CQ49" s="3328"/>
      <c r="CR49" s="3328"/>
      <c r="CS49" s="3328"/>
      <c r="CT49" s="3328"/>
      <c r="CU49" s="3328"/>
      <c r="CV49" s="3328"/>
      <c r="CW49" s="3328"/>
      <c r="CX49" s="3328"/>
      <c r="CY49" s="3328"/>
      <c r="CZ49" s="3328"/>
      <c r="DA49" s="3328"/>
      <c r="DB49" s="3328"/>
      <c r="DC49" s="3328"/>
      <c r="DD49" s="3328"/>
      <c r="DE49" s="3328"/>
      <c r="DF49" s="3328"/>
      <c r="DG49" s="3328"/>
      <c r="DH49" s="3328"/>
      <c r="DI49" s="3328"/>
      <c r="DJ49" s="3328"/>
      <c r="DK49" s="3328"/>
      <c r="DL49" s="3328"/>
      <c r="DM49" s="3328"/>
      <c r="DN49" s="3328"/>
      <c r="DO49" s="3328"/>
    </row>
    <row r="50" spans="1:119" s="3686" customFormat="1" ht="25.5">
      <c r="A50" s="3265">
        <v>41</v>
      </c>
      <c r="B50" s="3660" t="s">
        <v>2999</v>
      </c>
      <c r="C50" s="3660" t="s">
        <v>3000</v>
      </c>
      <c r="D50" s="3548" t="s">
        <v>2295</v>
      </c>
      <c r="E50" s="3572">
        <v>16815.8</v>
      </c>
      <c r="F50" s="3573"/>
      <c r="G50" s="3572">
        <f t="shared" si="32"/>
        <v>16815.8</v>
      </c>
      <c r="H50" s="3573"/>
      <c r="I50" s="3573"/>
      <c r="J50" s="3573"/>
      <c r="K50" s="3573"/>
      <c r="L50" s="3676">
        <v>5</v>
      </c>
      <c r="M50" s="3574"/>
      <c r="N50" s="3573"/>
      <c r="O50" s="3573"/>
      <c r="P50" s="3549">
        <f t="shared" si="1"/>
        <v>5</v>
      </c>
      <c r="Q50" s="3577">
        <f>2300</f>
        <v>2300</v>
      </c>
      <c r="R50" s="3577">
        <v>1.06</v>
      </c>
      <c r="S50" s="3577">
        <f t="shared" si="2"/>
        <v>2438</v>
      </c>
      <c r="T50" s="3677">
        <f t="shared" si="16"/>
        <v>2730.5600000000004</v>
      </c>
      <c r="U50" s="3549">
        <f t="shared" si="17"/>
        <v>13652.800000000003</v>
      </c>
      <c r="V50" s="3680"/>
      <c r="W50" s="3680">
        <f t="shared" si="3"/>
        <v>13652.800000000003</v>
      </c>
      <c r="X50" s="3681"/>
      <c r="Y50" s="3681"/>
      <c r="Z50" s="3680">
        <f t="shared" si="26"/>
        <v>2438</v>
      </c>
      <c r="AA50" s="3680">
        <f t="shared" si="27"/>
        <v>12190</v>
      </c>
      <c r="AB50" s="3680"/>
      <c r="AC50" s="3680">
        <f t="shared" si="28"/>
        <v>12190</v>
      </c>
      <c r="AD50" s="3680">
        <f t="shared" si="29"/>
        <v>2559.9</v>
      </c>
      <c r="AE50" s="3680">
        <f t="shared" si="30"/>
        <v>12800</v>
      </c>
      <c r="AF50" s="3680"/>
      <c r="AG50" s="3682">
        <f t="shared" si="31"/>
        <v>12800</v>
      </c>
      <c r="AH50" s="3682">
        <v>1.1200000000000001</v>
      </c>
      <c r="AI50" s="3683"/>
      <c r="AJ50" s="3684">
        <v>1.1200000000000001</v>
      </c>
      <c r="AK50" s="3683">
        <v>1</v>
      </c>
      <c r="AL50" s="3683">
        <f t="shared" si="10"/>
        <v>2730.5600000000004</v>
      </c>
      <c r="AM50" s="3683">
        <v>1</v>
      </c>
      <c r="AN50" s="3683">
        <f t="shared" si="11"/>
        <v>2730.5600000000004</v>
      </c>
      <c r="AO50" s="3683">
        <v>1</v>
      </c>
      <c r="AP50" s="3683">
        <f t="shared" si="12"/>
        <v>2730.5600000000004</v>
      </c>
      <c r="AQ50" s="3683">
        <v>7</v>
      </c>
      <c r="AR50" s="3683">
        <f t="shared" si="18"/>
        <v>19113.920000000002</v>
      </c>
      <c r="AS50" s="3684"/>
      <c r="AT50" s="3684"/>
      <c r="AU50" s="3684"/>
      <c r="AV50" s="3686">
        <f t="shared" si="13"/>
        <v>-5</v>
      </c>
      <c r="AW50" s="3687">
        <f t="shared" si="19"/>
        <v>2730.56</v>
      </c>
      <c r="AX50" s="3687">
        <f t="shared" si="14"/>
        <v>13652.8</v>
      </c>
      <c r="AY50" s="3687">
        <f t="shared" si="20"/>
        <v>2730.56</v>
      </c>
      <c r="AZ50" s="3687">
        <f t="shared" si="21"/>
        <v>2730.56</v>
      </c>
      <c r="BA50" s="3687">
        <f t="shared" si="22"/>
        <v>2730.56</v>
      </c>
      <c r="BB50" s="3687">
        <f t="shared" si="23"/>
        <v>19113.919999999998</v>
      </c>
      <c r="BC50" s="3686">
        <f t="shared" si="24"/>
        <v>27305.599999999999</v>
      </c>
      <c r="BD50" s="3686">
        <f t="shared" si="25"/>
        <v>-13652.8</v>
      </c>
      <c r="BF50" s="3328"/>
      <c r="BG50" s="3328"/>
      <c r="BH50" s="3328"/>
      <c r="BI50" s="3328"/>
      <c r="BJ50" s="3328"/>
      <c r="BK50" s="3328"/>
      <c r="BL50" s="3328"/>
      <c r="BM50" s="3328"/>
      <c r="BN50" s="3328"/>
      <c r="BO50" s="3328"/>
      <c r="BP50" s="3328"/>
      <c r="BQ50" s="3328"/>
      <c r="BR50" s="3328"/>
      <c r="BS50" s="3328"/>
      <c r="BT50" s="3328"/>
      <c r="BU50" s="3328"/>
      <c r="BV50" s="3328"/>
      <c r="BW50" s="3328"/>
      <c r="BX50" s="3328"/>
      <c r="BY50" s="3328"/>
      <c r="BZ50" s="3328"/>
      <c r="CA50" s="3328"/>
      <c r="CB50" s="3328"/>
      <c r="CC50" s="3328"/>
      <c r="CD50" s="3328"/>
      <c r="CE50" s="3328"/>
      <c r="CF50" s="3328"/>
      <c r="CG50" s="3328"/>
      <c r="CH50" s="3328"/>
      <c r="CI50" s="3328"/>
      <c r="CJ50" s="3328"/>
      <c r="CK50" s="3328"/>
      <c r="CL50" s="3328"/>
      <c r="CM50" s="3328"/>
      <c r="CN50" s="3328"/>
      <c r="CO50" s="3328"/>
      <c r="CP50" s="3328"/>
      <c r="CQ50" s="3328"/>
      <c r="CR50" s="3328"/>
      <c r="CS50" s="3328"/>
      <c r="CT50" s="3328"/>
      <c r="CU50" s="3328"/>
      <c r="CV50" s="3328"/>
      <c r="CW50" s="3328"/>
      <c r="CX50" s="3328"/>
      <c r="CY50" s="3328"/>
      <c r="CZ50" s="3328"/>
      <c r="DA50" s="3328"/>
      <c r="DB50" s="3328"/>
      <c r="DC50" s="3328"/>
      <c r="DD50" s="3328"/>
      <c r="DE50" s="3328"/>
      <c r="DF50" s="3328"/>
      <c r="DG50" s="3328"/>
      <c r="DH50" s="3328"/>
      <c r="DI50" s="3328"/>
      <c r="DJ50" s="3328"/>
      <c r="DK50" s="3328"/>
      <c r="DL50" s="3328"/>
      <c r="DM50" s="3328"/>
      <c r="DN50" s="3328"/>
      <c r="DO50" s="3328"/>
    </row>
    <row r="51" spans="1:119" ht="12.75">
      <c r="A51" s="3265">
        <v>42</v>
      </c>
      <c r="B51" s="2685" t="s">
        <v>3001</v>
      </c>
      <c r="C51" s="2685" t="s">
        <v>3002</v>
      </c>
      <c r="D51" s="3547" t="s">
        <v>1022</v>
      </c>
      <c r="E51" s="3564">
        <v>16815.8</v>
      </c>
      <c r="F51" s="3567"/>
      <c r="G51" s="3564">
        <f t="shared" si="32"/>
        <v>16815.8</v>
      </c>
      <c r="H51" s="3565"/>
      <c r="I51" s="3565"/>
      <c r="J51" s="3565"/>
      <c r="K51" s="3565"/>
      <c r="L51" s="3647">
        <f t="shared" si="15"/>
        <v>2</v>
      </c>
      <c r="M51" s="3566"/>
      <c r="N51" s="3565"/>
      <c r="O51" s="3565"/>
      <c r="P51" s="3567">
        <f t="shared" si="1"/>
        <v>2</v>
      </c>
      <c r="Q51" s="3568">
        <f>25000</f>
        <v>25000</v>
      </c>
      <c r="R51" s="3568">
        <v>1.06</v>
      </c>
      <c r="S51" s="3568">
        <f t="shared" si="2"/>
        <v>26500</v>
      </c>
      <c r="T51" s="3569">
        <f t="shared" si="16"/>
        <v>29680.000000000004</v>
      </c>
      <c r="U51" s="3567">
        <f t="shared" si="17"/>
        <v>59360.000000000007</v>
      </c>
      <c r="V51" s="3567"/>
      <c r="W51" s="3567">
        <f t="shared" si="3"/>
        <v>59360.000000000007</v>
      </c>
      <c r="X51" s="3570"/>
      <c r="Y51" s="3570"/>
      <c r="Z51" s="3567">
        <f t="shared" si="26"/>
        <v>26500</v>
      </c>
      <c r="AA51" s="3567">
        <f t="shared" si="27"/>
        <v>53000</v>
      </c>
      <c r="AB51" s="3567"/>
      <c r="AC51" s="3567">
        <f t="shared" si="28"/>
        <v>53000</v>
      </c>
      <c r="AD51" s="3567">
        <f t="shared" si="29"/>
        <v>27825</v>
      </c>
      <c r="AE51" s="3567">
        <f t="shared" si="30"/>
        <v>55650</v>
      </c>
      <c r="AF51" s="3567"/>
      <c r="AG51" s="3571">
        <f t="shared" si="31"/>
        <v>55650</v>
      </c>
      <c r="AH51" s="3571">
        <v>1.1200000000000001</v>
      </c>
      <c r="AI51" s="3004"/>
      <c r="AJ51" s="2995">
        <v>1.1200000000000001</v>
      </c>
      <c r="AK51" s="3004">
        <v>2</v>
      </c>
      <c r="AL51" s="3004">
        <f t="shared" si="10"/>
        <v>59360.000000000007</v>
      </c>
      <c r="AM51" s="3004"/>
      <c r="AN51" s="3004">
        <f t="shared" si="11"/>
        <v>0</v>
      </c>
      <c r="AO51" s="3004">
        <v>2</v>
      </c>
      <c r="AP51" s="3004">
        <f t="shared" si="12"/>
        <v>59360.000000000007</v>
      </c>
      <c r="AQ51" s="3004">
        <v>2</v>
      </c>
      <c r="AR51" s="3004">
        <f t="shared" si="18"/>
        <v>59360.000000000007</v>
      </c>
      <c r="AS51" s="2995"/>
      <c r="AT51" s="2995"/>
      <c r="AU51" s="2995"/>
      <c r="AV51" s="2983">
        <f t="shared" si="13"/>
        <v>-4</v>
      </c>
      <c r="AW51" s="3595">
        <f t="shared" si="19"/>
        <v>29680</v>
      </c>
      <c r="AX51" s="3595">
        <f t="shared" si="14"/>
        <v>59360</v>
      </c>
      <c r="AY51" s="3595">
        <f t="shared" si="20"/>
        <v>59360</v>
      </c>
      <c r="AZ51" s="3595">
        <f t="shared" si="21"/>
        <v>0</v>
      </c>
      <c r="BA51" s="3595">
        <f t="shared" si="22"/>
        <v>59360</v>
      </c>
      <c r="BB51" s="3595">
        <f t="shared" si="23"/>
        <v>59360</v>
      </c>
      <c r="BC51" s="2983">
        <f t="shared" si="24"/>
        <v>178080</v>
      </c>
      <c r="BD51" s="2983">
        <f t="shared" si="25"/>
        <v>-118720</v>
      </c>
    </row>
    <row r="52" spans="1:119" ht="38.25">
      <c r="A52" s="3265">
        <v>43</v>
      </c>
      <c r="B52" s="3660" t="s">
        <v>3006</v>
      </c>
      <c r="C52" s="3690" t="s">
        <v>3007</v>
      </c>
      <c r="D52" s="3548" t="s">
        <v>1022</v>
      </c>
      <c r="E52" s="3572">
        <v>16815.8</v>
      </c>
      <c r="F52" s="3573"/>
      <c r="G52" s="3572">
        <f t="shared" si="32"/>
        <v>16815.8</v>
      </c>
      <c r="H52" s="3573"/>
      <c r="I52" s="3573"/>
      <c r="J52" s="3573"/>
      <c r="K52" s="3573"/>
      <c r="L52" s="3647">
        <f t="shared" si="15"/>
        <v>6</v>
      </c>
      <c r="M52" s="3574"/>
      <c r="N52" s="3573"/>
      <c r="O52" s="3573"/>
      <c r="P52" s="3549">
        <f t="shared" si="1"/>
        <v>6</v>
      </c>
      <c r="Q52" s="3580">
        <f>500</f>
        <v>500</v>
      </c>
      <c r="R52" s="3568">
        <v>1.06</v>
      </c>
      <c r="S52" s="3568">
        <f t="shared" si="2"/>
        <v>530</v>
      </c>
      <c r="T52" s="3569">
        <f t="shared" si="16"/>
        <v>593.6</v>
      </c>
      <c r="U52" s="3567">
        <f t="shared" si="17"/>
        <v>3561.6000000000004</v>
      </c>
      <c r="V52" s="3549"/>
      <c r="W52" s="3549">
        <f t="shared" si="3"/>
        <v>3561.6000000000004</v>
      </c>
      <c r="X52" s="3575">
        <v>3555</v>
      </c>
      <c r="Y52" s="3575">
        <v>1.07</v>
      </c>
      <c r="Z52" s="3549">
        <f t="shared" si="26"/>
        <v>530</v>
      </c>
      <c r="AA52" s="3549">
        <f t="shared" si="27"/>
        <v>3180</v>
      </c>
      <c r="AB52" s="3549"/>
      <c r="AC52" s="3549">
        <f t="shared" si="28"/>
        <v>3180</v>
      </c>
      <c r="AD52" s="3549">
        <f t="shared" si="29"/>
        <v>556.5</v>
      </c>
      <c r="AE52" s="3549">
        <f t="shared" si="30"/>
        <v>3339</v>
      </c>
      <c r="AF52" s="3549"/>
      <c r="AG52" s="3576">
        <f t="shared" si="31"/>
        <v>3339</v>
      </c>
      <c r="AH52" s="3571">
        <v>1.1200000000000001</v>
      </c>
      <c r="AI52" s="3004"/>
      <c r="AJ52" s="2995">
        <v>1.1200000000000001</v>
      </c>
      <c r="AK52" s="3004">
        <v>4</v>
      </c>
      <c r="AL52" s="3004">
        <f t="shared" si="10"/>
        <v>2374.4</v>
      </c>
      <c r="AM52" s="3004">
        <v>2</v>
      </c>
      <c r="AN52" s="3004">
        <f t="shared" si="11"/>
        <v>1187.2</v>
      </c>
      <c r="AO52" s="3004">
        <v>4</v>
      </c>
      <c r="AP52" s="3004">
        <f t="shared" si="12"/>
        <v>2374.4</v>
      </c>
      <c r="AQ52" s="3004">
        <v>6</v>
      </c>
      <c r="AR52" s="3004">
        <f t="shared" si="18"/>
        <v>3561.6000000000004</v>
      </c>
      <c r="AS52" s="2995"/>
      <c r="AT52" s="2995"/>
      <c r="AU52" s="2995"/>
      <c r="AV52" s="2983">
        <f t="shared" si="13"/>
        <v>-10</v>
      </c>
      <c r="AW52" s="3595">
        <f t="shared" si="19"/>
        <v>593.6</v>
      </c>
      <c r="AX52" s="3595">
        <f t="shared" si="14"/>
        <v>3561.6</v>
      </c>
      <c r="AY52" s="3595">
        <f t="shared" si="20"/>
        <v>2374.4</v>
      </c>
      <c r="AZ52" s="3595">
        <f t="shared" si="21"/>
        <v>1187.2</v>
      </c>
      <c r="BA52" s="3595">
        <f t="shared" si="22"/>
        <v>2374.4</v>
      </c>
      <c r="BB52" s="3595">
        <f t="shared" si="23"/>
        <v>3561.6</v>
      </c>
      <c r="BC52" s="2983">
        <f t="shared" si="24"/>
        <v>9497.6</v>
      </c>
      <c r="BD52" s="2983">
        <f t="shared" si="25"/>
        <v>-5936</v>
      </c>
    </row>
    <row r="53" spans="1:119" ht="51">
      <c r="A53" s="3265">
        <v>44</v>
      </c>
      <c r="B53" s="2685" t="s">
        <v>3008</v>
      </c>
      <c r="C53" s="3691" t="s">
        <v>1606</v>
      </c>
      <c r="D53" s="3547" t="s">
        <v>1268</v>
      </c>
      <c r="E53" s="3564">
        <v>16815.8</v>
      </c>
      <c r="F53" s="3565"/>
      <c r="G53" s="3564">
        <f t="shared" si="32"/>
        <v>16815.8</v>
      </c>
      <c r="H53" s="3565"/>
      <c r="I53" s="3565"/>
      <c r="J53" s="3565"/>
      <c r="K53" s="3565"/>
      <c r="L53" s="3647">
        <f t="shared" si="15"/>
        <v>5</v>
      </c>
      <c r="M53" s="3566"/>
      <c r="N53" s="3565"/>
      <c r="O53" s="3565"/>
      <c r="P53" s="3567">
        <f t="shared" si="1"/>
        <v>5</v>
      </c>
      <c r="Q53" s="3582">
        <f>600</f>
        <v>600</v>
      </c>
      <c r="R53" s="3568">
        <v>1.06</v>
      </c>
      <c r="S53" s="3568">
        <f t="shared" si="2"/>
        <v>636</v>
      </c>
      <c r="T53" s="3569">
        <f t="shared" si="16"/>
        <v>712.32</v>
      </c>
      <c r="U53" s="3567">
        <f t="shared" si="17"/>
        <v>3561.6000000000004</v>
      </c>
      <c r="V53" s="3567"/>
      <c r="W53" s="3567">
        <f t="shared" si="3"/>
        <v>3561.6000000000004</v>
      </c>
      <c r="X53" s="3570">
        <v>4212</v>
      </c>
      <c r="Y53" s="3570">
        <v>1.07</v>
      </c>
      <c r="Z53" s="3567">
        <f t="shared" si="26"/>
        <v>636</v>
      </c>
      <c r="AA53" s="3567">
        <f t="shared" si="27"/>
        <v>3180</v>
      </c>
      <c r="AB53" s="3567"/>
      <c r="AC53" s="3567">
        <f t="shared" si="28"/>
        <v>3180</v>
      </c>
      <c r="AD53" s="3567">
        <f t="shared" si="29"/>
        <v>667.80000000000007</v>
      </c>
      <c r="AE53" s="3567">
        <f t="shared" si="30"/>
        <v>3339</v>
      </c>
      <c r="AF53" s="3567"/>
      <c r="AG53" s="3571">
        <f t="shared" si="31"/>
        <v>3339</v>
      </c>
      <c r="AH53" s="3571">
        <v>1.1200000000000001</v>
      </c>
      <c r="AI53" s="3004"/>
      <c r="AJ53" s="2995">
        <v>1.1200000000000001</v>
      </c>
      <c r="AK53" s="3004">
        <v>3</v>
      </c>
      <c r="AL53" s="3004">
        <f t="shared" si="10"/>
        <v>2136.96</v>
      </c>
      <c r="AM53" s="3004">
        <v>2</v>
      </c>
      <c r="AN53" s="3004">
        <f t="shared" si="11"/>
        <v>1424.64</v>
      </c>
      <c r="AO53" s="3004">
        <v>3</v>
      </c>
      <c r="AP53" s="3004">
        <f t="shared" si="12"/>
        <v>2136.96</v>
      </c>
      <c r="AQ53" s="3004">
        <v>5</v>
      </c>
      <c r="AR53" s="3004">
        <f t="shared" si="18"/>
        <v>3561.6000000000004</v>
      </c>
      <c r="AS53" s="2995"/>
      <c r="AT53" s="2995"/>
      <c r="AU53" s="2995"/>
      <c r="AV53" s="2983">
        <f t="shared" si="13"/>
        <v>-8</v>
      </c>
      <c r="AW53" s="3595">
        <f t="shared" si="19"/>
        <v>712.32</v>
      </c>
      <c r="AX53" s="3595">
        <f t="shared" si="14"/>
        <v>3561.6</v>
      </c>
      <c r="AY53" s="3595">
        <f t="shared" si="20"/>
        <v>2136.96</v>
      </c>
      <c r="AZ53" s="3595">
        <f t="shared" si="21"/>
        <v>1424.64</v>
      </c>
      <c r="BA53" s="3595">
        <f t="shared" si="22"/>
        <v>2136.96</v>
      </c>
      <c r="BB53" s="3595">
        <f t="shared" si="23"/>
        <v>3561.6</v>
      </c>
      <c r="BC53" s="2983">
        <f t="shared" si="24"/>
        <v>9260.16</v>
      </c>
      <c r="BD53" s="2983">
        <f t="shared" si="25"/>
        <v>-5698.5599999999995</v>
      </c>
    </row>
    <row r="54" spans="1:119" s="3697" customFormat="1" ht="25.5">
      <c r="A54" s="3265">
        <v>45</v>
      </c>
      <c r="B54" s="3660" t="s">
        <v>2822</v>
      </c>
      <c r="C54" s="3660" t="s">
        <v>2823</v>
      </c>
      <c r="D54" s="3548" t="s">
        <v>1022</v>
      </c>
      <c r="E54" s="3572">
        <v>16815.8</v>
      </c>
      <c r="F54" s="3549"/>
      <c r="G54" s="3572">
        <f t="shared" si="32"/>
        <v>16815.8</v>
      </c>
      <c r="H54" s="3549"/>
      <c r="I54" s="3549"/>
      <c r="J54" s="3549"/>
      <c r="K54" s="3549"/>
      <c r="L54" s="3676">
        <f t="shared" si="15"/>
        <v>1</v>
      </c>
      <c r="M54" s="3549"/>
      <c r="N54" s="3549"/>
      <c r="O54" s="3549"/>
      <c r="P54" s="3549">
        <f t="shared" si="1"/>
        <v>1</v>
      </c>
      <c r="Q54" s="3549">
        <f>800</f>
        <v>800</v>
      </c>
      <c r="R54" s="3577">
        <v>1.06</v>
      </c>
      <c r="S54" s="3577">
        <f t="shared" si="2"/>
        <v>848</v>
      </c>
      <c r="T54" s="3677">
        <f t="shared" si="16"/>
        <v>949.7600000000001</v>
      </c>
      <c r="U54" s="3567">
        <f t="shared" si="17"/>
        <v>949.7600000000001</v>
      </c>
      <c r="V54" s="3692"/>
      <c r="W54" s="3692">
        <f t="shared" si="3"/>
        <v>949.7600000000001</v>
      </c>
      <c r="X54" s="3693"/>
      <c r="Y54" s="3693"/>
      <c r="Z54" s="3692">
        <f t="shared" si="26"/>
        <v>848</v>
      </c>
      <c r="AA54" s="3692">
        <f t="shared" si="27"/>
        <v>848</v>
      </c>
      <c r="AB54" s="3692"/>
      <c r="AC54" s="3692">
        <f t="shared" si="28"/>
        <v>848</v>
      </c>
      <c r="AD54" s="3692">
        <f t="shared" si="29"/>
        <v>890.40000000000009</v>
      </c>
      <c r="AE54" s="3692">
        <f t="shared" si="30"/>
        <v>890</v>
      </c>
      <c r="AF54" s="3692"/>
      <c r="AG54" s="3694">
        <f t="shared" si="31"/>
        <v>890</v>
      </c>
      <c r="AH54" s="3694">
        <v>1.1200000000000001</v>
      </c>
      <c r="AI54" s="3695"/>
      <c r="AJ54" s="3696">
        <v>1.1200000000000001</v>
      </c>
      <c r="AK54" s="3695">
        <v>1</v>
      </c>
      <c r="AL54" s="3695">
        <f t="shared" si="10"/>
        <v>949.7600000000001</v>
      </c>
      <c r="AM54" s="3695"/>
      <c r="AN54" s="3695">
        <f t="shared" si="11"/>
        <v>0</v>
      </c>
      <c r="AO54" s="3695">
        <v>1</v>
      </c>
      <c r="AP54" s="3695">
        <f t="shared" si="12"/>
        <v>949.7600000000001</v>
      </c>
      <c r="AQ54" s="3695">
        <v>1</v>
      </c>
      <c r="AR54" s="3695">
        <f t="shared" si="18"/>
        <v>949.7600000000001</v>
      </c>
      <c r="AS54" s="3696"/>
      <c r="AT54" s="3696"/>
      <c r="AU54" s="3696"/>
      <c r="AV54" s="3697">
        <f t="shared" si="13"/>
        <v>-2</v>
      </c>
      <c r="AW54" s="3698">
        <f t="shared" si="19"/>
        <v>949.76</v>
      </c>
      <c r="AX54" s="3698">
        <f t="shared" si="14"/>
        <v>949.76</v>
      </c>
      <c r="AY54" s="3698">
        <f t="shared" si="20"/>
        <v>949.76</v>
      </c>
      <c r="AZ54" s="3698">
        <f t="shared" si="21"/>
        <v>0</v>
      </c>
      <c r="BA54" s="3698">
        <f t="shared" si="22"/>
        <v>949.76</v>
      </c>
      <c r="BB54" s="3698">
        <f t="shared" si="23"/>
        <v>949.76</v>
      </c>
      <c r="BC54" s="3697">
        <f t="shared" si="24"/>
        <v>2849.2799999999997</v>
      </c>
      <c r="BD54" s="3697">
        <f t="shared" si="25"/>
        <v>-1899.5199999999998</v>
      </c>
      <c r="BF54" s="3328"/>
      <c r="BG54" s="3328"/>
      <c r="BH54" s="3328"/>
      <c r="BI54" s="3328"/>
      <c r="BJ54" s="3328"/>
      <c r="BK54" s="3328"/>
      <c r="BL54" s="3328"/>
      <c r="BM54" s="3328"/>
      <c r="BN54" s="3328"/>
      <c r="BO54" s="3328"/>
      <c r="BP54" s="3328"/>
      <c r="BQ54" s="3328"/>
      <c r="BR54" s="3328"/>
      <c r="BS54" s="3328"/>
      <c r="BT54" s="3328"/>
      <c r="BU54" s="3328"/>
      <c r="BV54" s="3328"/>
      <c r="BW54" s="3328"/>
      <c r="BX54" s="3328"/>
      <c r="BY54" s="3328"/>
      <c r="BZ54" s="3328"/>
      <c r="CA54" s="3328"/>
      <c r="CB54" s="3328"/>
      <c r="CC54" s="3328"/>
      <c r="CD54" s="3328"/>
      <c r="CE54" s="3328"/>
      <c r="CF54" s="3328"/>
      <c r="CG54" s="3328"/>
      <c r="CH54" s="3328"/>
      <c r="CI54" s="3328"/>
      <c r="CJ54" s="3328"/>
      <c r="CK54" s="3328"/>
      <c r="CL54" s="3328"/>
      <c r="CM54" s="3328"/>
      <c r="CN54" s="3328"/>
      <c r="CO54" s="3328"/>
      <c r="CP54" s="3328"/>
      <c r="CQ54" s="3328"/>
      <c r="CR54" s="3328"/>
      <c r="CS54" s="3328"/>
      <c r="CT54" s="3328"/>
      <c r="CU54" s="3328"/>
      <c r="CV54" s="3328"/>
      <c r="CW54" s="3328"/>
      <c r="CX54" s="3328"/>
      <c r="CY54" s="3328"/>
      <c r="CZ54" s="3328"/>
      <c r="DA54" s="3328"/>
      <c r="DB54" s="3328"/>
      <c r="DC54" s="3328"/>
      <c r="DD54" s="3328"/>
      <c r="DE54" s="3328"/>
      <c r="DF54" s="3328"/>
      <c r="DG54" s="3328"/>
      <c r="DH54" s="3328"/>
      <c r="DI54" s="3328"/>
      <c r="DJ54" s="3328"/>
      <c r="DK54" s="3328"/>
      <c r="DL54" s="3328"/>
      <c r="DM54" s="3328"/>
      <c r="DN54" s="3328"/>
      <c r="DO54" s="3328"/>
    </row>
    <row r="55" spans="1:119" s="3697" customFormat="1" ht="25.5">
      <c r="A55" s="3265">
        <v>46</v>
      </c>
      <c r="B55" s="3660" t="s">
        <v>2824</v>
      </c>
      <c r="C55" s="3660" t="s">
        <v>2825</v>
      </c>
      <c r="D55" s="3548" t="s">
        <v>1022</v>
      </c>
      <c r="E55" s="3572">
        <v>16815.8</v>
      </c>
      <c r="F55" s="3549"/>
      <c r="G55" s="3572">
        <f t="shared" si="32"/>
        <v>16815.8</v>
      </c>
      <c r="H55" s="3549"/>
      <c r="I55" s="3549"/>
      <c r="J55" s="3549"/>
      <c r="K55" s="3549"/>
      <c r="L55" s="3676">
        <f t="shared" si="15"/>
        <v>1</v>
      </c>
      <c r="M55" s="3549"/>
      <c r="N55" s="3549"/>
      <c r="O55" s="3549"/>
      <c r="P55" s="3549">
        <f t="shared" si="1"/>
        <v>1</v>
      </c>
      <c r="Q55" s="3549">
        <f>1000</f>
        <v>1000</v>
      </c>
      <c r="R55" s="3577">
        <v>1.06</v>
      </c>
      <c r="S55" s="3577">
        <f t="shared" si="2"/>
        <v>1060</v>
      </c>
      <c r="T55" s="3677">
        <f t="shared" si="16"/>
        <v>1187.2</v>
      </c>
      <c r="U55" s="3567">
        <f t="shared" si="17"/>
        <v>1187.2</v>
      </c>
      <c r="V55" s="3692"/>
      <c r="W55" s="3692">
        <f t="shared" si="3"/>
        <v>1187.2</v>
      </c>
      <c r="X55" s="3693"/>
      <c r="Y55" s="3693"/>
      <c r="Z55" s="3692">
        <f t="shared" si="26"/>
        <v>1060</v>
      </c>
      <c r="AA55" s="3692">
        <f t="shared" si="27"/>
        <v>1060</v>
      </c>
      <c r="AB55" s="3692"/>
      <c r="AC55" s="3692">
        <f t="shared" si="28"/>
        <v>1060</v>
      </c>
      <c r="AD55" s="3692">
        <f t="shared" si="29"/>
        <v>1113</v>
      </c>
      <c r="AE55" s="3692">
        <f t="shared" si="30"/>
        <v>1113</v>
      </c>
      <c r="AF55" s="3692"/>
      <c r="AG55" s="3694">
        <f t="shared" si="31"/>
        <v>1113</v>
      </c>
      <c r="AH55" s="3694">
        <v>1.1200000000000001</v>
      </c>
      <c r="AI55" s="3695"/>
      <c r="AJ55" s="3696">
        <v>1.1200000000000001</v>
      </c>
      <c r="AK55" s="3695">
        <v>1</v>
      </c>
      <c r="AL55" s="3695">
        <f t="shared" si="10"/>
        <v>1187.2</v>
      </c>
      <c r="AM55" s="3695">
        <v>1</v>
      </c>
      <c r="AN55" s="3695">
        <f t="shared" si="11"/>
        <v>1187.2</v>
      </c>
      <c r="AO55" s="3695">
        <v>1</v>
      </c>
      <c r="AP55" s="3695">
        <f t="shared" si="12"/>
        <v>1187.2</v>
      </c>
      <c r="AQ55" s="3695">
        <v>1</v>
      </c>
      <c r="AR55" s="3695">
        <f t="shared" si="18"/>
        <v>1187.2</v>
      </c>
      <c r="AS55" s="3696"/>
      <c r="AT55" s="3696"/>
      <c r="AU55" s="3696"/>
      <c r="AV55" s="3697">
        <f t="shared" si="13"/>
        <v>-3</v>
      </c>
      <c r="AW55" s="3698">
        <f t="shared" si="19"/>
        <v>1187.2</v>
      </c>
      <c r="AX55" s="3698">
        <f t="shared" si="14"/>
        <v>1187.2</v>
      </c>
      <c r="AY55" s="3698">
        <f t="shared" si="20"/>
        <v>1187.2</v>
      </c>
      <c r="AZ55" s="3698">
        <f t="shared" si="21"/>
        <v>1187.2</v>
      </c>
      <c r="BA55" s="3698">
        <f t="shared" si="22"/>
        <v>1187.2</v>
      </c>
      <c r="BB55" s="3698">
        <f t="shared" si="23"/>
        <v>1187.2</v>
      </c>
      <c r="BC55" s="3697">
        <f t="shared" si="24"/>
        <v>4748.8</v>
      </c>
      <c r="BD55" s="3697">
        <f t="shared" si="25"/>
        <v>-3561.6000000000004</v>
      </c>
      <c r="BF55" s="3328"/>
      <c r="BG55" s="3328"/>
      <c r="BH55" s="3328"/>
      <c r="BI55" s="3328"/>
      <c r="BJ55" s="3328"/>
      <c r="BK55" s="3328"/>
      <c r="BL55" s="3328"/>
      <c r="BM55" s="3328"/>
      <c r="BN55" s="3328"/>
      <c r="BO55" s="3328"/>
      <c r="BP55" s="3328"/>
      <c r="BQ55" s="3328"/>
      <c r="BR55" s="3328"/>
      <c r="BS55" s="3328"/>
      <c r="BT55" s="3328"/>
      <c r="BU55" s="3328"/>
      <c r="BV55" s="3328"/>
      <c r="BW55" s="3328"/>
      <c r="BX55" s="3328"/>
      <c r="BY55" s="3328"/>
      <c r="BZ55" s="3328"/>
      <c r="CA55" s="3328"/>
      <c r="CB55" s="3328"/>
      <c r="CC55" s="3328"/>
      <c r="CD55" s="3328"/>
      <c r="CE55" s="3328"/>
      <c r="CF55" s="3328"/>
      <c r="CG55" s="3328"/>
      <c r="CH55" s="3328"/>
      <c r="CI55" s="3328"/>
      <c r="CJ55" s="3328"/>
      <c r="CK55" s="3328"/>
      <c r="CL55" s="3328"/>
      <c r="CM55" s="3328"/>
      <c r="CN55" s="3328"/>
      <c r="CO55" s="3328"/>
      <c r="CP55" s="3328"/>
      <c r="CQ55" s="3328"/>
      <c r="CR55" s="3328"/>
      <c r="CS55" s="3328"/>
      <c r="CT55" s="3328"/>
      <c r="CU55" s="3328"/>
      <c r="CV55" s="3328"/>
      <c r="CW55" s="3328"/>
      <c r="CX55" s="3328"/>
      <c r="CY55" s="3328"/>
      <c r="CZ55" s="3328"/>
      <c r="DA55" s="3328"/>
      <c r="DB55" s="3328"/>
      <c r="DC55" s="3328"/>
      <c r="DD55" s="3328"/>
      <c r="DE55" s="3328"/>
      <c r="DF55" s="3328"/>
      <c r="DG55" s="3328"/>
      <c r="DH55" s="3328"/>
      <c r="DI55" s="3328"/>
      <c r="DJ55" s="3328"/>
      <c r="DK55" s="3328"/>
      <c r="DL55" s="3328"/>
      <c r="DM55" s="3328"/>
      <c r="DN55" s="3328"/>
      <c r="DO55" s="3328"/>
    </row>
    <row r="56" spans="1:119" s="3697" customFormat="1" ht="25.5">
      <c r="A56" s="3265">
        <v>47</v>
      </c>
      <c r="B56" s="3660" t="s">
        <v>2826</v>
      </c>
      <c r="C56" s="3660" t="s">
        <v>2827</v>
      </c>
      <c r="D56" s="3548" t="s">
        <v>1022</v>
      </c>
      <c r="E56" s="3572">
        <v>16815.8</v>
      </c>
      <c r="F56" s="3573"/>
      <c r="G56" s="3572">
        <f t="shared" si="32"/>
        <v>16815.8</v>
      </c>
      <c r="H56" s="3573"/>
      <c r="I56" s="3573"/>
      <c r="J56" s="3573"/>
      <c r="K56" s="3573"/>
      <c r="L56" s="3676">
        <f t="shared" si="15"/>
        <v>2</v>
      </c>
      <c r="M56" s="3574"/>
      <c r="N56" s="3573"/>
      <c r="O56" s="3573"/>
      <c r="P56" s="3549">
        <f t="shared" si="1"/>
        <v>2</v>
      </c>
      <c r="Q56" s="3371">
        <f>1200</f>
        <v>1200</v>
      </c>
      <c r="R56" s="3577">
        <v>1.06</v>
      </c>
      <c r="S56" s="3577">
        <f t="shared" si="2"/>
        <v>1272</v>
      </c>
      <c r="T56" s="3677">
        <f t="shared" si="16"/>
        <v>1424.64</v>
      </c>
      <c r="U56" s="3567">
        <f t="shared" si="17"/>
        <v>2849.28</v>
      </c>
      <c r="V56" s="3692"/>
      <c r="W56" s="3692">
        <f t="shared" si="3"/>
        <v>2849.28</v>
      </c>
      <c r="X56" s="3699"/>
      <c r="Y56" s="3699"/>
      <c r="Z56" s="3692">
        <f t="shared" si="26"/>
        <v>1272</v>
      </c>
      <c r="AA56" s="3692">
        <f t="shared" si="27"/>
        <v>2544</v>
      </c>
      <c r="AB56" s="3692"/>
      <c r="AC56" s="3692">
        <f>AA56-AB56</f>
        <v>2544</v>
      </c>
      <c r="AD56" s="3692">
        <f t="shared" si="29"/>
        <v>1335.6000000000001</v>
      </c>
      <c r="AE56" s="3692">
        <f t="shared" si="30"/>
        <v>2671</v>
      </c>
      <c r="AF56" s="3692"/>
      <c r="AG56" s="3694">
        <f>AE56-AF56</f>
        <v>2671</v>
      </c>
      <c r="AH56" s="3694">
        <v>1.1200000000000001</v>
      </c>
      <c r="AI56" s="3695"/>
      <c r="AJ56" s="3696">
        <v>1.1200000000000001</v>
      </c>
      <c r="AK56" s="3695"/>
      <c r="AL56" s="3695">
        <f t="shared" si="10"/>
        <v>0</v>
      </c>
      <c r="AM56" s="3695"/>
      <c r="AN56" s="3695">
        <f t="shared" si="11"/>
        <v>0</v>
      </c>
      <c r="AO56" s="3695"/>
      <c r="AP56" s="3695">
        <f t="shared" si="12"/>
        <v>0</v>
      </c>
      <c r="AQ56" s="3695">
        <v>2</v>
      </c>
      <c r="AR56" s="3695">
        <f t="shared" si="18"/>
        <v>2849.28</v>
      </c>
      <c r="AS56" s="3696"/>
      <c r="AT56" s="3696"/>
      <c r="AU56" s="3696"/>
      <c r="AV56" s="3697">
        <f t="shared" si="13"/>
        <v>0</v>
      </c>
      <c r="AW56" s="3698">
        <f t="shared" si="19"/>
        <v>1424.64</v>
      </c>
      <c r="AX56" s="3698">
        <f t="shared" si="14"/>
        <v>2849.28</v>
      </c>
      <c r="AY56" s="3698">
        <f t="shared" si="20"/>
        <v>0</v>
      </c>
      <c r="AZ56" s="3698">
        <f t="shared" si="21"/>
        <v>0</v>
      </c>
      <c r="BA56" s="3698">
        <f t="shared" si="22"/>
        <v>0</v>
      </c>
      <c r="BB56" s="3698">
        <f t="shared" si="23"/>
        <v>2849.28</v>
      </c>
      <c r="BC56" s="3697">
        <f t="shared" si="24"/>
        <v>2849.28</v>
      </c>
      <c r="BD56" s="3697">
        <f t="shared" si="25"/>
        <v>0</v>
      </c>
      <c r="BF56" s="3328"/>
      <c r="BG56" s="3328"/>
      <c r="BH56" s="3328"/>
      <c r="BI56" s="3328"/>
      <c r="BJ56" s="3328"/>
      <c r="BK56" s="3328"/>
      <c r="BL56" s="3328"/>
      <c r="BM56" s="3328"/>
      <c r="BN56" s="3328"/>
      <c r="BO56" s="3328"/>
      <c r="BP56" s="3328"/>
      <c r="BQ56" s="3328"/>
      <c r="BR56" s="3328"/>
      <c r="BS56" s="3328"/>
      <c r="BT56" s="3328"/>
      <c r="BU56" s="3328"/>
      <c r="BV56" s="3328"/>
      <c r="BW56" s="3328"/>
      <c r="BX56" s="3328"/>
      <c r="BY56" s="3328"/>
      <c r="BZ56" s="3328"/>
      <c r="CA56" s="3328"/>
      <c r="CB56" s="3328"/>
      <c r="CC56" s="3328"/>
      <c r="CD56" s="3328"/>
      <c r="CE56" s="3328"/>
      <c r="CF56" s="3328"/>
      <c r="CG56" s="3328"/>
      <c r="CH56" s="3328"/>
      <c r="CI56" s="3328"/>
      <c r="CJ56" s="3328"/>
      <c r="CK56" s="3328"/>
      <c r="CL56" s="3328"/>
      <c r="CM56" s="3328"/>
      <c r="CN56" s="3328"/>
      <c r="CO56" s="3328"/>
      <c r="CP56" s="3328"/>
      <c r="CQ56" s="3328"/>
      <c r="CR56" s="3328"/>
      <c r="CS56" s="3328"/>
      <c r="CT56" s="3328"/>
      <c r="CU56" s="3328"/>
      <c r="CV56" s="3328"/>
      <c r="CW56" s="3328"/>
      <c r="CX56" s="3328"/>
      <c r="CY56" s="3328"/>
      <c r="CZ56" s="3328"/>
      <c r="DA56" s="3328"/>
      <c r="DB56" s="3328"/>
      <c r="DC56" s="3328"/>
      <c r="DD56" s="3328"/>
      <c r="DE56" s="3328"/>
      <c r="DF56" s="3328"/>
      <c r="DG56" s="3328"/>
      <c r="DH56" s="3328"/>
      <c r="DI56" s="3328"/>
      <c r="DJ56" s="3328"/>
      <c r="DK56" s="3328"/>
      <c r="DL56" s="3328"/>
      <c r="DM56" s="3328"/>
      <c r="DN56" s="3328"/>
      <c r="DO56" s="3328"/>
    </row>
    <row r="57" spans="1:119" ht="25.5">
      <c r="A57" s="3265">
        <v>48</v>
      </c>
      <c r="B57" s="3660" t="s">
        <v>3011</v>
      </c>
      <c r="C57" s="3660" t="s">
        <v>2828</v>
      </c>
      <c r="D57" s="3548" t="s">
        <v>2295</v>
      </c>
      <c r="E57" s="3572">
        <v>16815.8</v>
      </c>
      <c r="F57" s="3549"/>
      <c r="G57" s="3572">
        <f t="shared" si="32"/>
        <v>16815.8</v>
      </c>
      <c r="H57" s="3549"/>
      <c r="I57" s="3549"/>
      <c r="J57" s="3549"/>
      <c r="K57" s="3549"/>
      <c r="L57" s="3647">
        <f t="shared" si="15"/>
        <v>20</v>
      </c>
      <c r="M57" s="3549"/>
      <c r="N57" s="3549"/>
      <c r="O57" s="3549"/>
      <c r="P57" s="3549">
        <f t="shared" si="1"/>
        <v>20</v>
      </c>
      <c r="Q57" s="3549">
        <f>2500</f>
        <v>2500</v>
      </c>
      <c r="R57" s="3568">
        <v>1.06</v>
      </c>
      <c r="S57" s="3568">
        <f t="shared" si="2"/>
        <v>2650</v>
      </c>
      <c r="T57" s="3569">
        <f t="shared" si="16"/>
        <v>2968.0000000000005</v>
      </c>
      <c r="U57" s="3567">
        <f t="shared" si="17"/>
        <v>59360.000000000007</v>
      </c>
      <c r="V57" s="3549"/>
      <c r="W57" s="3549">
        <f t="shared" si="3"/>
        <v>59360.000000000007</v>
      </c>
      <c r="X57" s="3578"/>
      <c r="Y57" s="3578"/>
      <c r="Z57" s="3549"/>
      <c r="AA57" s="3549"/>
      <c r="AB57" s="3549"/>
      <c r="AC57" s="3549"/>
      <c r="AD57" s="3549"/>
      <c r="AE57" s="3549"/>
      <c r="AF57" s="3549"/>
      <c r="AG57" s="3576"/>
      <c r="AH57" s="3571">
        <v>1.1200000000000001</v>
      </c>
      <c r="AI57" s="3004"/>
      <c r="AJ57" s="2995">
        <v>1.1200000000000001</v>
      </c>
      <c r="AK57" s="3004">
        <v>6</v>
      </c>
      <c r="AL57" s="3004">
        <f t="shared" si="10"/>
        <v>17808.000000000004</v>
      </c>
      <c r="AM57" s="3004">
        <v>6</v>
      </c>
      <c r="AN57" s="3004">
        <f t="shared" si="11"/>
        <v>17808.000000000004</v>
      </c>
      <c r="AO57" s="3004">
        <v>6</v>
      </c>
      <c r="AP57" s="3004">
        <f t="shared" si="12"/>
        <v>17808.000000000004</v>
      </c>
      <c r="AQ57" s="3004">
        <v>20</v>
      </c>
      <c r="AR57" s="3004">
        <f t="shared" si="18"/>
        <v>59360.000000000007</v>
      </c>
      <c r="AS57" s="2995"/>
      <c r="AT57" s="2995"/>
      <c r="AU57" s="2995"/>
      <c r="AV57" s="2983">
        <f t="shared" si="13"/>
        <v>-18</v>
      </c>
      <c r="AW57" s="3595">
        <f t="shared" si="19"/>
        <v>2968</v>
      </c>
      <c r="AX57" s="3595">
        <f t="shared" si="14"/>
        <v>59360</v>
      </c>
      <c r="AY57" s="3595">
        <f t="shared" si="20"/>
        <v>17808</v>
      </c>
      <c r="AZ57" s="3595">
        <f t="shared" si="21"/>
        <v>17808</v>
      </c>
      <c r="BA57" s="3595">
        <f t="shared" si="22"/>
        <v>17808</v>
      </c>
      <c r="BB57" s="3595">
        <f t="shared" si="23"/>
        <v>59360</v>
      </c>
      <c r="BC57" s="2983">
        <f t="shared" si="24"/>
        <v>112784</v>
      </c>
      <c r="BD57" s="2983">
        <f t="shared" si="25"/>
        <v>-53424</v>
      </c>
    </row>
    <row r="58" spans="1:119" ht="25.5">
      <c r="A58" s="3265">
        <v>49</v>
      </c>
      <c r="B58" s="3660" t="s">
        <v>2862</v>
      </c>
      <c r="C58" s="3660" t="s">
        <v>2863</v>
      </c>
      <c r="D58" s="3548" t="s">
        <v>1268</v>
      </c>
      <c r="E58" s="3572">
        <v>16815.8</v>
      </c>
      <c r="F58" s="3549"/>
      <c r="G58" s="3572">
        <f t="shared" si="32"/>
        <v>16815.8</v>
      </c>
      <c r="H58" s="3549"/>
      <c r="I58" s="3573"/>
      <c r="J58" s="3573"/>
      <c r="K58" s="3549"/>
      <c r="L58" s="3647">
        <f t="shared" si="15"/>
        <v>5</v>
      </c>
      <c r="M58" s="3574"/>
      <c r="N58" s="3549"/>
      <c r="O58" s="3549"/>
      <c r="P58" s="3549">
        <f>L58-N58-O58</f>
        <v>5</v>
      </c>
      <c r="Q58" s="3371">
        <f>5500</f>
        <v>5500</v>
      </c>
      <c r="R58" s="3568">
        <v>1.06</v>
      </c>
      <c r="S58" s="3568">
        <f t="shared" si="2"/>
        <v>5830</v>
      </c>
      <c r="T58" s="3569">
        <f t="shared" si="16"/>
        <v>6529.6</v>
      </c>
      <c r="U58" s="3567">
        <f t="shared" si="17"/>
        <v>32648</v>
      </c>
      <c r="V58" s="3549"/>
      <c r="W58" s="3549">
        <f t="shared" si="3"/>
        <v>32648</v>
      </c>
      <c r="X58" s="3575"/>
      <c r="Y58" s="3575"/>
      <c r="Z58" s="3549">
        <f t="shared" ref="Z58:Z62" si="33">Q58*$Z$4</f>
        <v>5830</v>
      </c>
      <c r="AA58" s="3549">
        <f>ROUND(P58*Z58,0)</f>
        <v>29150</v>
      </c>
      <c r="AB58" s="3549"/>
      <c r="AC58" s="3549">
        <f>AA58-AB58</f>
        <v>29150</v>
      </c>
      <c r="AD58" s="3549">
        <f t="shared" ref="AD58:AD62" si="34">Z58*$AD$4</f>
        <v>6121.5</v>
      </c>
      <c r="AE58" s="3549">
        <f>ROUND(P58*AD58,0)</f>
        <v>30608</v>
      </c>
      <c r="AF58" s="3549"/>
      <c r="AG58" s="3576">
        <f>AE58-AF58</f>
        <v>30608</v>
      </c>
      <c r="AH58" s="3571">
        <v>1.1200000000000001</v>
      </c>
      <c r="AI58" s="3004"/>
      <c r="AJ58" s="2995">
        <v>1.1200000000000001</v>
      </c>
      <c r="AK58" s="3004">
        <v>4</v>
      </c>
      <c r="AL58" s="3004">
        <f t="shared" si="10"/>
        <v>26118.400000000001</v>
      </c>
      <c r="AM58" s="3004">
        <v>5</v>
      </c>
      <c r="AN58" s="3004">
        <f t="shared" si="11"/>
        <v>32648</v>
      </c>
      <c r="AO58" s="3004">
        <v>4</v>
      </c>
      <c r="AP58" s="3004">
        <f t="shared" si="12"/>
        <v>26118.400000000001</v>
      </c>
      <c r="AQ58" s="3004">
        <v>5</v>
      </c>
      <c r="AR58" s="3004">
        <f t="shared" si="18"/>
        <v>32648</v>
      </c>
      <c r="AS58" s="2995"/>
      <c r="AT58" s="2995"/>
      <c r="AU58" s="2995"/>
      <c r="AV58" s="2983">
        <f t="shared" si="13"/>
        <v>-13</v>
      </c>
      <c r="AW58" s="3595">
        <f t="shared" si="19"/>
        <v>6529.6</v>
      </c>
      <c r="AX58" s="3595">
        <f t="shared" si="14"/>
        <v>32648</v>
      </c>
      <c r="AY58" s="3595">
        <f t="shared" si="20"/>
        <v>26118.400000000001</v>
      </c>
      <c r="AZ58" s="3595">
        <f t="shared" si="21"/>
        <v>32648</v>
      </c>
      <c r="BA58" s="3595">
        <f t="shared" si="22"/>
        <v>26118.400000000001</v>
      </c>
      <c r="BB58" s="3595">
        <f t="shared" si="23"/>
        <v>32648</v>
      </c>
      <c r="BC58" s="2983">
        <f t="shared" si="24"/>
        <v>117532.79999999999</v>
      </c>
      <c r="BD58" s="2983">
        <f t="shared" si="25"/>
        <v>-84884.799999999988</v>
      </c>
    </row>
    <row r="59" spans="1:119" ht="12.75">
      <c r="A59" s="3265">
        <v>50</v>
      </c>
      <c r="B59" s="3660" t="s">
        <v>1680</v>
      </c>
      <c r="C59" s="3660" t="s">
        <v>3012</v>
      </c>
      <c r="D59" s="3548" t="s">
        <v>1022</v>
      </c>
      <c r="E59" s="3572">
        <v>16815.8</v>
      </c>
      <c r="F59" s="3573"/>
      <c r="G59" s="3572">
        <f t="shared" si="32"/>
        <v>16815.8</v>
      </c>
      <c r="H59" s="3573"/>
      <c r="I59" s="3573"/>
      <c r="J59" s="3573"/>
      <c r="K59" s="3573"/>
      <c r="L59" s="3647">
        <f t="shared" si="15"/>
        <v>9</v>
      </c>
      <c r="M59" s="3574"/>
      <c r="N59" s="3573"/>
      <c r="O59" s="3573"/>
      <c r="P59" s="3549">
        <f t="shared" si="1"/>
        <v>9</v>
      </c>
      <c r="Q59" s="3371">
        <f>4500</f>
        <v>4500</v>
      </c>
      <c r="R59" s="3568">
        <v>1.06</v>
      </c>
      <c r="S59" s="3568">
        <f t="shared" si="2"/>
        <v>4770</v>
      </c>
      <c r="T59" s="3569">
        <f t="shared" si="16"/>
        <v>5342.4000000000005</v>
      </c>
      <c r="U59" s="3567">
        <f t="shared" si="17"/>
        <v>48081.600000000006</v>
      </c>
      <c r="V59" s="3549"/>
      <c r="W59" s="3549">
        <f t="shared" si="3"/>
        <v>48081.600000000006</v>
      </c>
      <c r="X59" s="3575"/>
      <c r="Y59" s="3575"/>
      <c r="Z59" s="3549">
        <f t="shared" si="33"/>
        <v>4770</v>
      </c>
      <c r="AA59" s="3549">
        <f>ROUND(P59*Z59,0)</f>
        <v>42930</v>
      </c>
      <c r="AB59" s="3549"/>
      <c r="AC59" s="3549">
        <f>AA59-AB59</f>
        <v>42930</v>
      </c>
      <c r="AD59" s="3549">
        <f t="shared" si="34"/>
        <v>5008.5</v>
      </c>
      <c r="AE59" s="3549">
        <f>ROUND(P59*AD59,0)</f>
        <v>45077</v>
      </c>
      <c r="AF59" s="3549"/>
      <c r="AG59" s="3576">
        <f>AE59-AF59</f>
        <v>45077</v>
      </c>
      <c r="AH59" s="3571">
        <v>1.1200000000000001</v>
      </c>
      <c r="AI59" s="3004"/>
      <c r="AJ59" s="2995">
        <v>1.1200000000000001</v>
      </c>
      <c r="AK59" s="3004">
        <v>7</v>
      </c>
      <c r="AL59" s="3004">
        <f t="shared" si="10"/>
        <v>37396.800000000003</v>
      </c>
      <c r="AM59" s="3004">
        <v>7</v>
      </c>
      <c r="AN59" s="3004">
        <f t="shared" si="11"/>
        <v>37396.800000000003</v>
      </c>
      <c r="AO59" s="3004">
        <v>7</v>
      </c>
      <c r="AP59" s="3004">
        <f t="shared" si="12"/>
        <v>37396.800000000003</v>
      </c>
      <c r="AQ59" s="3004">
        <v>9</v>
      </c>
      <c r="AR59" s="3004">
        <f t="shared" si="18"/>
        <v>48081.600000000006</v>
      </c>
      <c r="AS59" s="2995"/>
      <c r="AT59" s="2995"/>
      <c r="AU59" s="2995"/>
      <c r="AV59" s="2983">
        <f t="shared" si="13"/>
        <v>-21</v>
      </c>
      <c r="AW59" s="3595">
        <f t="shared" si="19"/>
        <v>5342.4</v>
      </c>
      <c r="AX59" s="3595">
        <f t="shared" si="14"/>
        <v>48081.599999999999</v>
      </c>
      <c r="AY59" s="3595">
        <f t="shared" si="20"/>
        <v>37396.800000000003</v>
      </c>
      <c r="AZ59" s="3595">
        <f t="shared" si="21"/>
        <v>37396.800000000003</v>
      </c>
      <c r="BA59" s="3595">
        <f t="shared" si="22"/>
        <v>37396.800000000003</v>
      </c>
      <c r="BB59" s="3595">
        <f t="shared" si="23"/>
        <v>48081.599999999999</v>
      </c>
      <c r="BC59" s="2983">
        <f t="shared" si="24"/>
        <v>160272</v>
      </c>
      <c r="BD59" s="2983">
        <f t="shared" si="25"/>
        <v>-112190.39999999999</v>
      </c>
    </row>
    <row r="60" spans="1:119" ht="25.5">
      <c r="A60" s="3265">
        <v>51</v>
      </c>
      <c r="B60" s="3660" t="s">
        <v>3013</v>
      </c>
      <c r="C60" s="3660" t="s">
        <v>3013</v>
      </c>
      <c r="D60" s="3548" t="s">
        <v>1395</v>
      </c>
      <c r="E60" s="3572">
        <v>16815.8</v>
      </c>
      <c r="F60" s="3573"/>
      <c r="G60" s="3572">
        <f t="shared" si="32"/>
        <v>16815.8</v>
      </c>
      <c r="H60" s="3573"/>
      <c r="I60" s="3573"/>
      <c r="J60" s="3573"/>
      <c r="K60" s="3573"/>
      <c r="L60" s="3647">
        <f t="shared" si="15"/>
        <v>200</v>
      </c>
      <c r="M60" s="3574"/>
      <c r="N60" s="3573"/>
      <c r="O60" s="3573">
        <v>0</v>
      </c>
      <c r="P60" s="3549">
        <f>L60</f>
        <v>200</v>
      </c>
      <c r="Q60" s="3371">
        <f>50</f>
        <v>50</v>
      </c>
      <c r="R60" s="3568">
        <v>1.06</v>
      </c>
      <c r="S60" s="3568">
        <f t="shared" si="2"/>
        <v>53</v>
      </c>
      <c r="T60" s="3569">
        <f t="shared" si="16"/>
        <v>59.360000000000007</v>
      </c>
      <c r="U60" s="3567">
        <f t="shared" si="17"/>
        <v>11872.000000000002</v>
      </c>
      <c r="V60" s="3549"/>
      <c r="W60" s="3549">
        <f t="shared" si="3"/>
        <v>11872.000000000002</v>
      </c>
      <c r="X60" s="3575"/>
      <c r="Y60" s="3575"/>
      <c r="Z60" s="3549">
        <f t="shared" si="33"/>
        <v>53</v>
      </c>
      <c r="AA60" s="3549">
        <f>ROUND(P60*Z60,0)</f>
        <v>10600</v>
      </c>
      <c r="AB60" s="3549"/>
      <c r="AC60" s="3549">
        <f>AA60-AB60</f>
        <v>10600</v>
      </c>
      <c r="AD60" s="3549">
        <f t="shared" si="34"/>
        <v>55.650000000000006</v>
      </c>
      <c r="AE60" s="3549">
        <f>ROUND(P60*AD60,0)</f>
        <v>11130</v>
      </c>
      <c r="AF60" s="3549"/>
      <c r="AG60" s="3576">
        <f>AE60-AF60</f>
        <v>11130</v>
      </c>
      <c r="AH60" s="3571">
        <v>1.1200000000000001</v>
      </c>
      <c r="AI60" s="3004"/>
      <c r="AJ60" s="2995">
        <v>1.1200000000000001</v>
      </c>
      <c r="AK60" s="3004">
        <v>200</v>
      </c>
      <c r="AL60" s="3004">
        <f t="shared" si="10"/>
        <v>11872.000000000002</v>
      </c>
      <c r="AM60" s="3004"/>
      <c r="AN60" s="3004">
        <f t="shared" si="11"/>
        <v>0</v>
      </c>
      <c r="AO60" s="3004">
        <v>200</v>
      </c>
      <c r="AP60" s="3004">
        <f t="shared" si="12"/>
        <v>11872.000000000002</v>
      </c>
      <c r="AQ60" s="3004">
        <v>200</v>
      </c>
      <c r="AR60" s="3004">
        <f t="shared" si="18"/>
        <v>11872.000000000002</v>
      </c>
      <c r="AS60" s="2995"/>
      <c r="AT60" s="2995"/>
      <c r="AU60" s="2995"/>
      <c r="AV60" s="2983">
        <f t="shared" si="13"/>
        <v>-400</v>
      </c>
      <c r="AW60" s="3595">
        <f t="shared" si="19"/>
        <v>59.36</v>
      </c>
      <c r="AX60" s="3595">
        <f t="shared" si="14"/>
        <v>11872</v>
      </c>
      <c r="AY60" s="3595">
        <f t="shared" si="20"/>
        <v>11872</v>
      </c>
      <c r="AZ60" s="3595">
        <f t="shared" si="21"/>
        <v>0</v>
      </c>
      <c r="BA60" s="3595">
        <f t="shared" si="22"/>
        <v>11872</v>
      </c>
      <c r="BB60" s="3595">
        <f t="shared" si="23"/>
        <v>11872</v>
      </c>
      <c r="BC60" s="2983">
        <f t="shared" si="24"/>
        <v>35616</v>
      </c>
      <c r="BD60" s="2983">
        <f t="shared" si="25"/>
        <v>-23744</v>
      </c>
    </row>
    <row r="61" spans="1:119" ht="25.5">
      <c r="A61" s="3265">
        <v>52</v>
      </c>
      <c r="B61" s="2685" t="s">
        <v>3014</v>
      </c>
      <c r="C61" s="2685" t="s">
        <v>3015</v>
      </c>
      <c r="D61" s="3547" t="s">
        <v>1022</v>
      </c>
      <c r="E61" s="3572">
        <v>16815.8</v>
      </c>
      <c r="F61" s="3549"/>
      <c r="G61" s="3572">
        <f t="shared" si="32"/>
        <v>16815.8</v>
      </c>
      <c r="H61" s="3549"/>
      <c r="I61" s="3549"/>
      <c r="J61" s="3549"/>
      <c r="K61" s="3549"/>
      <c r="L61" s="3647">
        <f t="shared" si="15"/>
        <v>1</v>
      </c>
      <c r="M61" s="3549"/>
      <c r="N61" s="3549"/>
      <c r="O61" s="3549"/>
      <c r="P61" s="3549">
        <v>1</v>
      </c>
      <c r="Q61" s="3549">
        <f>6500</f>
        <v>6500</v>
      </c>
      <c r="R61" s="3568">
        <v>1.06</v>
      </c>
      <c r="S61" s="3568">
        <f t="shared" si="2"/>
        <v>6890</v>
      </c>
      <c r="T61" s="3569">
        <f t="shared" si="16"/>
        <v>7716.8000000000011</v>
      </c>
      <c r="U61" s="3567">
        <f t="shared" si="17"/>
        <v>7716.8000000000011</v>
      </c>
      <c r="V61" s="3549"/>
      <c r="W61" s="3549">
        <f t="shared" si="3"/>
        <v>7716.8000000000011</v>
      </c>
      <c r="X61" s="3578"/>
      <c r="Y61" s="3578"/>
      <c r="Z61" s="3549">
        <f t="shared" si="33"/>
        <v>6890</v>
      </c>
      <c r="AA61" s="3549"/>
      <c r="AB61" s="3549"/>
      <c r="AC61" s="3549"/>
      <c r="AD61" s="3549">
        <f t="shared" si="34"/>
        <v>7234.5</v>
      </c>
      <c r="AE61" s="3549"/>
      <c r="AF61" s="3549"/>
      <c r="AG61" s="3576"/>
      <c r="AH61" s="3571">
        <v>1.1200000000000001</v>
      </c>
      <c r="AI61" s="3004"/>
      <c r="AJ61" s="2995">
        <v>1.1200000000000001</v>
      </c>
      <c r="AK61" s="3004"/>
      <c r="AL61" s="3004">
        <f t="shared" si="10"/>
        <v>0</v>
      </c>
      <c r="AM61" s="3004"/>
      <c r="AN61" s="3004">
        <f t="shared" si="11"/>
        <v>0</v>
      </c>
      <c r="AO61" s="3004"/>
      <c r="AP61" s="3004">
        <f t="shared" si="12"/>
        <v>0</v>
      </c>
      <c r="AQ61" s="3004">
        <v>1</v>
      </c>
      <c r="AR61" s="3004">
        <f t="shared" si="18"/>
        <v>7716.8000000000011</v>
      </c>
      <c r="AS61" s="2995"/>
      <c r="AT61" s="2995"/>
      <c r="AU61" s="2995"/>
      <c r="AV61" s="2983">
        <f t="shared" si="13"/>
        <v>0</v>
      </c>
      <c r="AW61" s="3595">
        <f t="shared" si="19"/>
        <v>7716.8</v>
      </c>
      <c r="AX61" s="3595">
        <f t="shared" si="14"/>
        <v>7716.8</v>
      </c>
      <c r="AY61" s="3595">
        <f t="shared" si="20"/>
        <v>0</v>
      </c>
      <c r="AZ61" s="3595">
        <f t="shared" si="21"/>
        <v>0</v>
      </c>
      <c r="BA61" s="3595">
        <f t="shared" si="22"/>
        <v>0</v>
      </c>
      <c r="BB61" s="3595">
        <f t="shared" si="23"/>
        <v>7716.8</v>
      </c>
      <c r="BC61" s="2983">
        <f t="shared" si="24"/>
        <v>7716.8</v>
      </c>
      <c r="BD61" s="2983">
        <f t="shared" si="25"/>
        <v>0</v>
      </c>
    </row>
    <row r="62" spans="1:119" s="2984" customFormat="1" ht="25.5">
      <c r="A62" s="3265">
        <v>53</v>
      </c>
      <c r="B62" s="2685" t="s">
        <v>3016</v>
      </c>
      <c r="C62" s="2685" t="s">
        <v>3016</v>
      </c>
      <c r="D62" s="3547" t="s">
        <v>1022</v>
      </c>
      <c r="E62" s="3583">
        <v>16815.8</v>
      </c>
      <c r="F62" s="3566"/>
      <c r="G62" s="3583">
        <f t="shared" si="32"/>
        <v>16815.8</v>
      </c>
      <c r="H62" s="3566"/>
      <c r="I62" s="3566"/>
      <c r="J62" s="3566"/>
      <c r="K62" s="3566"/>
      <c r="L62" s="3647">
        <f t="shared" si="15"/>
        <v>4</v>
      </c>
      <c r="M62" s="3566"/>
      <c r="N62" s="3566"/>
      <c r="O62" s="3566"/>
      <c r="P62" s="3566">
        <f t="shared" ref="P62:P69" si="35">L62-N62-O62</f>
        <v>4</v>
      </c>
      <c r="Q62" s="3566">
        <f>1500</f>
        <v>1500</v>
      </c>
      <c r="R62" s="3568">
        <v>1.06</v>
      </c>
      <c r="S62" s="3568">
        <f t="shared" si="2"/>
        <v>1590</v>
      </c>
      <c r="T62" s="3569">
        <f t="shared" si="16"/>
        <v>1780.8000000000002</v>
      </c>
      <c r="U62" s="3567">
        <f t="shared" si="17"/>
        <v>7123.2000000000007</v>
      </c>
      <c r="V62" s="3566"/>
      <c r="W62" s="3566">
        <f t="shared" si="3"/>
        <v>7123.2000000000007</v>
      </c>
      <c r="X62" s="3585"/>
      <c r="Y62" s="3585"/>
      <c r="Z62" s="3566">
        <f t="shared" si="33"/>
        <v>1590</v>
      </c>
      <c r="AA62" s="3566"/>
      <c r="AB62" s="3566"/>
      <c r="AC62" s="3566"/>
      <c r="AD62" s="3566">
        <f t="shared" si="34"/>
        <v>1669.5</v>
      </c>
      <c r="AE62" s="3566"/>
      <c r="AF62" s="3566"/>
      <c r="AG62" s="3586"/>
      <c r="AH62" s="3571">
        <v>1.1200000000000001</v>
      </c>
      <c r="AI62" s="3004"/>
      <c r="AJ62" s="2998">
        <v>1.1200000000000001</v>
      </c>
      <c r="AK62" s="3004">
        <v>3</v>
      </c>
      <c r="AL62" s="3004">
        <f t="shared" si="10"/>
        <v>5342.4000000000005</v>
      </c>
      <c r="AM62" s="3004"/>
      <c r="AN62" s="3004">
        <f t="shared" si="11"/>
        <v>0</v>
      </c>
      <c r="AO62" s="3004">
        <v>3</v>
      </c>
      <c r="AP62" s="3004">
        <f t="shared" si="12"/>
        <v>5342.4000000000005</v>
      </c>
      <c r="AQ62" s="3004">
        <v>4</v>
      </c>
      <c r="AR62" s="3004">
        <f t="shared" si="18"/>
        <v>7123.2000000000007</v>
      </c>
      <c r="AS62" s="2998"/>
      <c r="AT62" s="2998"/>
      <c r="AU62" s="2998"/>
      <c r="AV62" s="2983">
        <f t="shared" si="13"/>
        <v>-6</v>
      </c>
      <c r="AW62" s="3595">
        <f t="shared" si="19"/>
        <v>1780.8</v>
      </c>
      <c r="AX62" s="3595">
        <f t="shared" si="14"/>
        <v>7123.2</v>
      </c>
      <c r="AY62" s="3595">
        <f t="shared" si="20"/>
        <v>5342.4</v>
      </c>
      <c r="AZ62" s="3595">
        <f t="shared" si="21"/>
        <v>0</v>
      </c>
      <c r="BA62" s="3595">
        <f t="shared" si="22"/>
        <v>5342.4</v>
      </c>
      <c r="BB62" s="3595">
        <f t="shared" si="23"/>
        <v>7123.2</v>
      </c>
      <c r="BC62" s="2983">
        <f t="shared" si="24"/>
        <v>17808</v>
      </c>
      <c r="BD62" s="2983">
        <f t="shared" si="25"/>
        <v>-10684.8</v>
      </c>
      <c r="BF62" s="3329"/>
      <c r="BG62" s="3329"/>
      <c r="BH62" s="3329"/>
      <c r="BI62" s="3329"/>
      <c r="BJ62" s="3329"/>
      <c r="BK62" s="3329"/>
      <c r="BL62" s="3329"/>
      <c r="BM62" s="3329"/>
      <c r="BN62" s="3329"/>
      <c r="BO62" s="3329"/>
      <c r="BP62" s="3329"/>
      <c r="BQ62" s="3329"/>
      <c r="BR62" s="3329"/>
      <c r="BS62" s="3329"/>
      <c r="BT62" s="3329"/>
      <c r="BU62" s="3329"/>
      <c r="BV62" s="3329"/>
      <c r="BW62" s="3329"/>
      <c r="BX62" s="3329"/>
      <c r="BY62" s="3329"/>
      <c r="BZ62" s="3329"/>
      <c r="CA62" s="3329"/>
      <c r="CB62" s="3329"/>
      <c r="CC62" s="3329"/>
      <c r="CD62" s="3329"/>
      <c r="CE62" s="3329"/>
      <c r="CF62" s="3329"/>
      <c r="CG62" s="3329"/>
      <c r="CH62" s="3329"/>
      <c r="CI62" s="3329"/>
      <c r="CJ62" s="3329"/>
      <c r="CK62" s="3329"/>
      <c r="CL62" s="3329"/>
      <c r="CM62" s="3329"/>
      <c r="CN62" s="3329"/>
      <c r="CO62" s="3329"/>
      <c r="CP62" s="3329"/>
      <c r="CQ62" s="3329"/>
      <c r="CR62" s="3329"/>
      <c r="CS62" s="3329"/>
      <c r="CT62" s="3329"/>
      <c r="CU62" s="3329"/>
      <c r="CV62" s="3329"/>
      <c r="CW62" s="3329"/>
      <c r="CX62" s="3329"/>
      <c r="CY62" s="3329"/>
      <c r="CZ62" s="3329"/>
      <c r="DA62" s="3329"/>
      <c r="DB62" s="3329"/>
      <c r="DC62" s="3329"/>
      <c r="DD62" s="3329"/>
      <c r="DE62" s="3329"/>
      <c r="DF62" s="3329"/>
      <c r="DG62" s="3329"/>
      <c r="DH62" s="3329"/>
      <c r="DI62" s="3329"/>
      <c r="DJ62" s="3329"/>
      <c r="DK62" s="3329"/>
      <c r="DL62" s="3329"/>
      <c r="DM62" s="3329"/>
      <c r="DN62" s="3329"/>
      <c r="DO62" s="3329"/>
    </row>
    <row r="63" spans="1:119" ht="26.25" thickBot="1">
      <c r="A63" s="3265">
        <v>54</v>
      </c>
      <c r="B63" s="3660" t="s">
        <v>3019</v>
      </c>
      <c r="C63" s="3660" t="s">
        <v>3020</v>
      </c>
      <c r="D63" s="3548" t="s">
        <v>1022</v>
      </c>
      <c r="E63" s="3572">
        <v>16815.8</v>
      </c>
      <c r="F63" s="3549"/>
      <c r="G63" s="3572">
        <f t="shared" si="32"/>
        <v>16815.8</v>
      </c>
      <c r="H63" s="3549"/>
      <c r="I63" s="3549"/>
      <c r="J63" s="3549"/>
      <c r="K63" s="3549"/>
      <c r="L63" s="3647">
        <f t="shared" si="15"/>
        <v>1</v>
      </c>
      <c r="M63" s="3549"/>
      <c r="N63" s="3549"/>
      <c r="O63" s="3549"/>
      <c r="P63" s="3549">
        <f t="shared" si="35"/>
        <v>1</v>
      </c>
      <c r="Q63" s="3549">
        <f>13600</f>
        <v>13600</v>
      </c>
      <c r="R63" s="3568">
        <v>1.06</v>
      </c>
      <c r="S63" s="3568">
        <f t="shared" si="2"/>
        <v>14416</v>
      </c>
      <c r="T63" s="3569">
        <f t="shared" si="16"/>
        <v>16145.920000000002</v>
      </c>
      <c r="U63" s="3567">
        <f t="shared" si="17"/>
        <v>16145.920000000002</v>
      </c>
      <c r="V63" s="3549"/>
      <c r="W63" s="3549">
        <f t="shared" si="3"/>
        <v>16145.920000000002</v>
      </c>
      <c r="X63" s="3578"/>
      <c r="Y63" s="3578"/>
      <c r="Z63" s="3549"/>
      <c r="AA63" s="3549"/>
      <c r="AB63" s="3549"/>
      <c r="AC63" s="3549"/>
      <c r="AD63" s="3549"/>
      <c r="AE63" s="3549"/>
      <c r="AF63" s="3549"/>
      <c r="AG63" s="3576"/>
      <c r="AH63" s="3571">
        <v>1.1200000000000001</v>
      </c>
      <c r="AI63" s="3004"/>
      <c r="AJ63" s="2995">
        <v>1.1200000000000001</v>
      </c>
      <c r="AK63" s="3004">
        <v>1</v>
      </c>
      <c r="AL63" s="3004">
        <f t="shared" si="10"/>
        <v>16145.920000000002</v>
      </c>
      <c r="AM63" s="3004"/>
      <c r="AN63" s="3004">
        <f t="shared" si="11"/>
        <v>0</v>
      </c>
      <c r="AO63" s="3004">
        <v>1</v>
      </c>
      <c r="AP63" s="3004">
        <f t="shared" si="12"/>
        <v>16145.920000000002</v>
      </c>
      <c r="AQ63" s="3004">
        <v>1</v>
      </c>
      <c r="AR63" s="3004">
        <f t="shared" si="18"/>
        <v>16145.920000000002</v>
      </c>
      <c r="AS63" s="2995"/>
      <c r="AT63" s="2995"/>
      <c r="AU63" s="2995"/>
      <c r="AV63" s="2983">
        <f t="shared" si="13"/>
        <v>-2</v>
      </c>
      <c r="AW63" s="3595">
        <f t="shared" si="19"/>
        <v>16145.92</v>
      </c>
      <c r="AX63" s="3595">
        <f t="shared" si="14"/>
        <v>16145.92</v>
      </c>
      <c r="AY63" s="3595">
        <f t="shared" si="20"/>
        <v>16145.92</v>
      </c>
      <c r="AZ63" s="3595">
        <f t="shared" si="21"/>
        <v>0</v>
      </c>
      <c r="BA63" s="3595">
        <f t="shared" si="22"/>
        <v>16145.92</v>
      </c>
      <c r="BB63" s="3595">
        <f t="shared" si="23"/>
        <v>16145.92</v>
      </c>
      <c r="BC63" s="2983">
        <f t="shared" si="24"/>
        <v>48437.760000000002</v>
      </c>
      <c r="BD63" s="2983">
        <f t="shared" si="25"/>
        <v>-32291.840000000004</v>
      </c>
    </row>
    <row r="64" spans="1:119" ht="12.75">
      <c r="A64" s="3265">
        <v>55</v>
      </c>
      <c r="B64" s="3660" t="s">
        <v>2875</v>
      </c>
      <c r="C64" s="3660" t="s">
        <v>2875</v>
      </c>
      <c r="D64" s="3548" t="s">
        <v>1022</v>
      </c>
      <c r="E64" s="3572">
        <v>16815.8</v>
      </c>
      <c r="F64" s="3549"/>
      <c r="G64" s="3572">
        <f t="shared" si="32"/>
        <v>16815.8</v>
      </c>
      <c r="H64" s="3549"/>
      <c r="I64" s="3573"/>
      <c r="J64" s="3573"/>
      <c r="K64" s="3549"/>
      <c r="L64" s="3647">
        <f t="shared" si="15"/>
        <v>1</v>
      </c>
      <c r="M64" s="3574"/>
      <c r="N64" s="3549"/>
      <c r="O64" s="3549"/>
      <c r="P64" s="3549">
        <f t="shared" si="35"/>
        <v>1</v>
      </c>
      <c r="Q64" s="3587">
        <f>11000</f>
        <v>11000</v>
      </c>
      <c r="R64" s="3568">
        <v>1.06</v>
      </c>
      <c r="S64" s="3568">
        <f t="shared" si="2"/>
        <v>11660</v>
      </c>
      <c r="T64" s="3569">
        <f t="shared" si="16"/>
        <v>13059.2</v>
      </c>
      <c r="U64" s="3567">
        <f t="shared" si="17"/>
        <v>13059.2</v>
      </c>
      <c r="V64" s="3549"/>
      <c r="W64" s="3549">
        <f t="shared" si="3"/>
        <v>13059.2</v>
      </c>
      <c r="X64" s="3575"/>
      <c r="Y64" s="3575"/>
      <c r="Z64" s="3549">
        <f t="shared" ref="Z64:Z68" si="36">Q64*$Z$4</f>
        <v>11660</v>
      </c>
      <c r="AA64" s="3549">
        <f t="shared" ref="AA64:AA68" si="37">ROUND(P64*Z64,0)</f>
        <v>11660</v>
      </c>
      <c r="AB64" s="3549"/>
      <c r="AC64" s="3549">
        <f t="shared" ref="AC64:AC68" si="38">AA64-AB64</f>
        <v>11660</v>
      </c>
      <c r="AD64" s="3549">
        <f t="shared" ref="AD64:AD68" si="39">Z64*$AD$4</f>
        <v>12243</v>
      </c>
      <c r="AE64" s="3549">
        <f t="shared" ref="AE64:AE68" si="40">ROUND(P64*AD64,0)</f>
        <v>12243</v>
      </c>
      <c r="AF64" s="3549"/>
      <c r="AG64" s="3576">
        <f t="shared" ref="AG64:AG68" si="41">AE64-AF64</f>
        <v>12243</v>
      </c>
      <c r="AH64" s="3571">
        <v>1.1200000000000001</v>
      </c>
      <c r="AI64" s="3004"/>
      <c r="AJ64" s="2995">
        <v>1.1200000000000001</v>
      </c>
      <c r="AK64" s="3004">
        <v>0</v>
      </c>
      <c r="AL64" s="3004">
        <f t="shared" si="10"/>
        <v>0</v>
      </c>
      <c r="AM64" s="3004"/>
      <c r="AN64" s="3004">
        <f t="shared" si="11"/>
        <v>0</v>
      </c>
      <c r="AO64" s="3004">
        <v>0</v>
      </c>
      <c r="AP64" s="3004">
        <f t="shared" si="12"/>
        <v>0</v>
      </c>
      <c r="AQ64" s="3004">
        <v>1</v>
      </c>
      <c r="AR64" s="3004">
        <f t="shared" si="18"/>
        <v>13059.2</v>
      </c>
      <c r="AS64" s="2995"/>
      <c r="AT64" s="2995"/>
      <c r="AU64" s="2995"/>
      <c r="AV64" s="2983">
        <f t="shared" si="13"/>
        <v>0</v>
      </c>
      <c r="AW64" s="3595">
        <f t="shared" si="19"/>
        <v>13059.2</v>
      </c>
      <c r="AX64" s="3595">
        <f t="shared" si="14"/>
        <v>13059.2</v>
      </c>
      <c r="AY64" s="3595">
        <f t="shared" si="20"/>
        <v>0</v>
      </c>
      <c r="AZ64" s="3595">
        <f t="shared" si="21"/>
        <v>0</v>
      </c>
      <c r="BA64" s="3595">
        <f t="shared" si="22"/>
        <v>0</v>
      </c>
      <c r="BB64" s="3595">
        <f t="shared" si="23"/>
        <v>13059.2</v>
      </c>
      <c r="BC64" s="2983">
        <f t="shared" si="24"/>
        <v>13059.2</v>
      </c>
      <c r="BD64" s="2983">
        <f t="shared" si="25"/>
        <v>0</v>
      </c>
    </row>
    <row r="65" spans="1:119" s="3686" customFormat="1" ht="38.25">
      <c r="A65" s="3265">
        <v>56</v>
      </c>
      <c r="B65" s="3660" t="s">
        <v>5153</v>
      </c>
      <c r="C65" s="3660" t="s">
        <v>5153</v>
      </c>
      <c r="D65" s="3548" t="s">
        <v>1022</v>
      </c>
      <c r="E65" s="3572">
        <v>16815.8</v>
      </c>
      <c r="F65" s="3549"/>
      <c r="G65" s="3572">
        <f t="shared" si="32"/>
        <v>16815.8</v>
      </c>
      <c r="H65" s="3549"/>
      <c r="I65" s="3573"/>
      <c r="J65" s="3573"/>
      <c r="K65" s="3549"/>
      <c r="L65" s="3676">
        <f t="shared" si="15"/>
        <v>20</v>
      </c>
      <c r="M65" s="3574"/>
      <c r="N65" s="3549"/>
      <c r="O65" s="3549"/>
      <c r="P65" s="3549">
        <f t="shared" si="35"/>
        <v>20</v>
      </c>
      <c r="Q65" s="3371">
        <f>1050</f>
        <v>1050</v>
      </c>
      <c r="R65" s="3577">
        <v>1.06</v>
      </c>
      <c r="S65" s="3577">
        <f t="shared" si="2"/>
        <v>1113</v>
      </c>
      <c r="T65" s="3677">
        <f t="shared" si="16"/>
        <v>1246.5600000000002</v>
      </c>
      <c r="U65" s="3549">
        <f t="shared" si="17"/>
        <v>24931.200000000004</v>
      </c>
      <c r="V65" s="3680"/>
      <c r="W65" s="3680">
        <f t="shared" si="3"/>
        <v>24931.200000000004</v>
      </c>
      <c r="X65" s="3681"/>
      <c r="Y65" s="3681"/>
      <c r="Z65" s="3680">
        <f t="shared" si="36"/>
        <v>1113</v>
      </c>
      <c r="AA65" s="3680">
        <f t="shared" si="37"/>
        <v>22260</v>
      </c>
      <c r="AB65" s="3680"/>
      <c r="AC65" s="3680">
        <f t="shared" si="38"/>
        <v>22260</v>
      </c>
      <c r="AD65" s="3680">
        <f t="shared" si="39"/>
        <v>1168.6500000000001</v>
      </c>
      <c r="AE65" s="3680">
        <f t="shared" si="40"/>
        <v>23373</v>
      </c>
      <c r="AF65" s="3680"/>
      <c r="AG65" s="3682">
        <f t="shared" si="41"/>
        <v>23373</v>
      </c>
      <c r="AH65" s="3682">
        <v>1.1200000000000001</v>
      </c>
      <c r="AI65" s="3683"/>
      <c r="AJ65" s="3684">
        <v>1.1200000000000001</v>
      </c>
      <c r="AK65" s="3683">
        <v>10</v>
      </c>
      <c r="AL65" s="3683">
        <f t="shared" si="10"/>
        <v>12465.600000000002</v>
      </c>
      <c r="AM65" s="3683">
        <v>5</v>
      </c>
      <c r="AN65" s="3683">
        <f t="shared" si="11"/>
        <v>6232.8000000000011</v>
      </c>
      <c r="AO65" s="3683">
        <v>10</v>
      </c>
      <c r="AP65" s="3683">
        <f t="shared" si="12"/>
        <v>12465.600000000002</v>
      </c>
      <c r="AQ65" s="3683">
        <v>20</v>
      </c>
      <c r="AR65" s="3683">
        <f t="shared" si="18"/>
        <v>24931.200000000004</v>
      </c>
      <c r="AS65" s="3684"/>
      <c r="AT65" s="3684"/>
      <c r="AU65" s="3684"/>
      <c r="AV65" s="3686">
        <f t="shared" si="13"/>
        <v>-25</v>
      </c>
      <c r="AW65" s="3687">
        <f t="shared" si="19"/>
        <v>1246.56</v>
      </c>
      <c r="AX65" s="3687">
        <f t="shared" si="14"/>
        <v>24931.200000000001</v>
      </c>
      <c r="AY65" s="3687">
        <f t="shared" si="20"/>
        <v>12465.6</v>
      </c>
      <c r="AZ65" s="3687">
        <f t="shared" si="21"/>
        <v>6232.8</v>
      </c>
      <c r="BA65" s="3687">
        <f t="shared" si="22"/>
        <v>12465.6</v>
      </c>
      <c r="BB65" s="3687">
        <f t="shared" si="23"/>
        <v>24931.200000000001</v>
      </c>
      <c r="BC65" s="3686">
        <f t="shared" si="24"/>
        <v>56095.200000000004</v>
      </c>
      <c r="BD65" s="3686">
        <f t="shared" si="25"/>
        <v>-31164.000000000004</v>
      </c>
      <c r="BF65" s="3328"/>
      <c r="BG65" s="3328"/>
      <c r="BH65" s="3328"/>
      <c r="BI65" s="3328"/>
      <c r="BJ65" s="3328"/>
      <c r="BK65" s="3328"/>
      <c r="BL65" s="3328"/>
      <c r="BM65" s="3328"/>
      <c r="BN65" s="3328"/>
      <c r="BO65" s="3328"/>
      <c r="BP65" s="3328"/>
      <c r="BQ65" s="3328"/>
      <c r="BR65" s="3328"/>
      <c r="BS65" s="3328"/>
      <c r="BT65" s="3328"/>
      <c r="BU65" s="3328"/>
      <c r="BV65" s="3328"/>
      <c r="BW65" s="3328"/>
      <c r="BX65" s="3328"/>
      <c r="BY65" s="3328"/>
      <c r="BZ65" s="3328"/>
      <c r="CA65" s="3328"/>
      <c r="CB65" s="3328"/>
      <c r="CC65" s="3328"/>
      <c r="CD65" s="3328"/>
      <c r="CE65" s="3328"/>
      <c r="CF65" s="3328"/>
      <c r="CG65" s="3328"/>
      <c r="CH65" s="3328"/>
      <c r="CI65" s="3328"/>
      <c r="CJ65" s="3328"/>
      <c r="CK65" s="3328"/>
      <c r="CL65" s="3328"/>
      <c r="CM65" s="3328"/>
      <c r="CN65" s="3328"/>
      <c r="CO65" s="3328"/>
      <c r="CP65" s="3328"/>
      <c r="CQ65" s="3328"/>
      <c r="CR65" s="3328"/>
      <c r="CS65" s="3328"/>
      <c r="CT65" s="3328"/>
      <c r="CU65" s="3328"/>
      <c r="CV65" s="3328"/>
      <c r="CW65" s="3328"/>
      <c r="CX65" s="3328"/>
      <c r="CY65" s="3328"/>
      <c r="CZ65" s="3328"/>
      <c r="DA65" s="3328"/>
      <c r="DB65" s="3328"/>
      <c r="DC65" s="3328"/>
      <c r="DD65" s="3328"/>
      <c r="DE65" s="3328"/>
      <c r="DF65" s="3328"/>
      <c r="DG65" s="3328"/>
      <c r="DH65" s="3328"/>
      <c r="DI65" s="3328"/>
      <c r="DJ65" s="3328"/>
      <c r="DK65" s="3328"/>
      <c r="DL65" s="3328"/>
      <c r="DM65" s="3328"/>
      <c r="DN65" s="3328"/>
      <c r="DO65" s="3328"/>
    </row>
    <row r="66" spans="1:119" s="3674" customFormat="1" ht="12.75">
      <c r="A66" s="3265">
        <v>57</v>
      </c>
      <c r="B66" s="3660" t="s">
        <v>3023</v>
      </c>
      <c r="C66" s="3660" t="s">
        <v>3024</v>
      </c>
      <c r="D66" s="3548" t="s">
        <v>1022</v>
      </c>
      <c r="E66" s="3572">
        <v>16815.8</v>
      </c>
      <c r="F66" s="3549"/>
      <c r="G66" s="3572">
        <f t="shared" si="32"/>
        <v>16815.8</v>
      </c>
      <c r="H66" s="3549"/>
      <c r="I66" s="3573"/>
      <c r="J66" s="3573"/>
      <c r="K66" s="3549"/>
      <c r="L66" s="3676">
        <v>5</v>
      </c>
      <c r="M66" s="3574"/>
      <c r="N66" s="3549"/>
      <c r="O66" s="3549"/>
      <c r="P66" s="3549">
        <f t="shared" si="35"/>
        <v>5</v>
      </c>
      <c r="Q66" s="3577">
        <f>2300</f>
        <v>2300</v>
      </c>
      <c r="R66" s="3577">
        <v>1.06</v>
      </c>
      <c r="S66" s="3577">
        <f t="shared" si="2"/>
        <v>2438</v>
      </c>
      <c r="T66" s="3677">
        <f t="shared" si="16"/>
        <v>2730.5600000000004</v>
      </c>
      <c r="U66" s="3549">
        <f t="shared" si="17"/>
        <v>13652.800000000003</v>
      </c>
      <c r="V66" s="3667"/>
      <c r="W66" s="3667">
        <f t="shared" si="3"/>
        <v>13652.800000000003</v>
      </c>
      <c r="X66" s="3670"/>
      <c r="Y66" s="3670"/>
      <c r="Z66" s="3667">
        <f t="shared" si="36"/>
        <v>2438</v>
      </c>
      <c r="AA66" s="3667">
        <f t="shared" si="37"/>
        <v>12190</v>
      </c>
      <c r="AB66" s="3667"/>
      <c r="AC66" s="3667">
        <f t="shared" si="38"/>
        <v>12190</v>
      </c>
      <c r="AD66" s="3667">
        <f t="shared" si="39"/>
        <v>2559.9</v>
      </c>
      <c r="AE66" s="3667">
        <f t="shared" si="40"/>
        <v>12800</v>
      </c>
      <c r="AF66" s="3667"/>
      <c r="AG66" s="3671">
        <f t="shared" si="41"/>
        <v>12800</v>
      </c>
      <c r="AH66" s="3671">
        <v>1.1200000000000001</v>
      </c>
      <c r="AI66" s="3672"/>
      <c r="AJ66" s="3673">
        <v>1.1200000000000001</v>
      </c>
      <c r="AK66" s="3672">
        <v>5</v>
      </c>
      <c r="AL66" s="3672">
        <f t="shared" si="10"/>
        <v>13652.800000000003</v>
      </c>
      <c r="AM66" s="3672">
        <v>2</v>
      </c>
      <c r="AN66" s="3672">
        <f t="shared" si="11"/>
        <v>5461.1200000000008</v>
      </c>
      <c r="AO66" s="3672">
        <v>3</v>
      </c>
      <c r="AP66" s="3672">
        <f t="shared" si="12"/>
        <v>8191.6800000000012</v>
      </c>
      <c r="AQ66" s="3672"/>
      <c r="AR66" s="3672">
        <f t="shared" si="18"/>
        <v>0</v>
      </c>
      <c r="AS66" s="3673"/>
      <c r="AT66" s="3673"/>
      <c r="AU66" s="3673"/>
      <c r="AV66" s="3674">
        <f t="shared" si="13"/>
        <v>-5</v>
      </c>
      <c r="AW66" s="3675">
        <f t="shared" si="19"/>
        <v>2730.56</v>
      </c>
      <c r="AX66" s="3675">
        <f t="shared" si="14"/>
        <v>13652.8</v>
      </c>
      <c r="AY66" s="3675">
        <f t="shared" si="20"/>
        <v>13652.8</v>
      </c>
      <c r="AZ66" s="3675">
        <f t="shared" si="21"/>
        <v>5461.12</v>
      </c>
      <c r="BA66" s="3675">
        <f t="shared" si="22"/>
        <v>8191.68</v>
      </c>
      <c r="BB66" s="3675">
        <f t="shared" si="23"/>
        <v>0</v>
      </c>
      <c r="BC66" s="3674">
        <f t="shared" si="24"/>
        <v>27305.599999999999</v>
      </c>
      <c r="BD66" s="3674">
        <f t="shared" si="25"/>
        <v>-13652.8</v>
      </c>
      <c r="BF66" s="3328"/>
      <c r="BG66" s="3328"/>
      <c r="BH66" s="3328"/>
      <c r="BI66" s="3328"/>
      <c r="BJ66" s="3328"/>
      <c r="BK66" s="3328"/>
      <c r="BL66" s="3328"/>
      <c r="BM66" s="3328"/>
      <c r="BN66" s="3328"/>
      <c r="BO66" s="3328"/>
      <c r="BP66" s="3328"/>
      <c r="BQ66" s="3328"/>
      <c r="BR66" s="3328"/>
      <c r="BS66" s="3328"/>
      <c r="BT66" s="3328"/>
      <c r="BU66" s="3328"/>
      <c r="BV66" s="3328"/>
      <c r="BW66" s="3328"/>
      <c r="BX66" s="3328"/>
      <c r="BY66" s="3328"/>
      <c r="BZ66" s="3328"/>
      <c r="CA66" s="3328"/>
      <c r="CB66" s="3328"/>
      <c r="CC66" s="3328"/>
      <c r="CD66" s="3328"/>
      <c r="CE66" s="3328"/>
      <c r="CF66" s="3328"/>
      <c r="CG66" s="3328"/>
      <c r="CH66" s="3328"/>
      <c r="CI66" s="3328"/>
      <c r="CJ66" s="3328"/>
      <c r="CK66" s="3328"/>
      <c r="CL66" s="3328"/>
      <c r="CM66" s="3328"/>
      <c r="CN66" s="3328"/>
      <c r="CO66" s="3328"/>
      <c r="CP66" s="3328"/>
      <c r="CQ66" s="3328"/>
      <c r="CR66" s="3328"/>
      <c r="CS66" s="3328"/>
      <c r="CT66" s="3328"/>
      <c r="CU66" s="3328"/>
      <c r="CV66" s="3328"/>
      <c r="CW66" s="3328"/>
      <c r="CX66" s="3328"/>
      <c r="CY66" s="3328"/>
      <c r="CZ66" s="3328"/>
      <c r="DA66" s="3328"/>
      <c r="DB66" s="3328"/>
      <c r="DC66" s="3328"/>
      <c r="DD66" s="3328"/>
      <c r="DE66" s="3328"/>
      <c r="DF66" s="3328"/>
      <c r="DG66" s="3328"/>
      <c r="DH66" s="3328"/>
      <c r="DI66" s="3328"/>
      <c r="DJ66" s="3328"/>
      <c r="DK66" s="3328"/>
      <c r="DL66" s="3328"/>
      <c r="DM66" s="3328"/>
      <c r="DN66" s="3328"/>
      <c r="DO66" s="3328"/>
    </row>
    <row r="67" spans="1:119" ht="12.75">
      <c r="A67" s="3265">
        <v>58</v>
      </c>
      <c r="B67" s="2685" t="s">
        <v>3025</v>
      </c>
      <c r="C67" s="2685" t="s">
        <v>2844</v>
      </c>
      <c r="D67" s="3547" t="s">
        <v>1022</v>
      </c>
      <c r="E67" s="3564">
        <v>16815.8</v>
      </c>
      <c r="F67" s="3567"/>
      <c r="G67" s="3564">
        <f t="shared" si="32"/>
        <v>16815.8</v>
      </c>
      <c r="H67" s="3567"/>
      <c r="I67" s="3565"/>
      <c r="J67" s="3565"/>
      <c r="K67" s="3567"/>
      <c r="L67" s="3647">
        <f t="shared" si="15"/>
        <v>600</v>
      </c>
      <c r="M67" s="3567"/>
      <c r="N67" s="3567"/>
      <c r="O67" s="3567"/>
      <c r="P67" s="3567">
        <f>L67-N67-O67-200</f>
        <v>400</v>
      </c>
      <c r="Q67" s="3568">
        <f>15</f>
        <v>15</v>
      </c>
      <c r="R67" s="3568">
        <v>1.06</v>
      </c>
      <c r="S67" s="3568">
        <f t="shared" si="2"/>
        <v>15.9</v>
      </c>
      <c r="T67" s="3569">
        <f t="shared" si="16"/>
        <v>17.808000000000003</v>
      </c>
      <c r="U67" s="3567">
        <f t="shared" si="17"/>
        <v>7123.2000000000016</v>
      </c>
      <c r="V67" s="3567"/>
      <c r="W67" s="3567">
        <f t="shared" si="3"/>
        <v>7123.2000000000016</v>
      </c>
      <c r="X67" s="3570"/>
      <c r="Y67" s="3570"/>
      <c r="Z67" s="3567">
        <f t="shared" si="36"/>
        <v>15.9</v>
      </c>
      <c r="AA67" s="3567">
        <f t="shared" si="37"/>
        <v>6360</v>
      </c>
      <c r="AB67" s="3567"/>
      <c r="AC67" s="3567">
        <f t="shared" si="38"/>
        <v>6360</v>
      </c>
      <c r="AD67" s="3567">
        <f t="shared" si="39"/>
        <v>16.695</v>
      </c>
      <c r="AE67" s="3567">
        <f t="shared" si="40"/>
        <v>6678</v>
      </c>
      <c r="AF67" s="3567"/>
      <c r="AG67" s="3571">
        <f t="shared" si="41"/>
        <v>6678</v>
      </c>
      <c r="AH67" s="3571">
        <v>1.1200000000000001</v>
      </c>
      <c r="AI67" s="3004"/>
      <c r="AJ67" s="2995">
        <v>1.1200000000000001</v>
      </c>
      <c r="AK67" s="3004">
        <v>500</v>
      </c>
      <c r="AL67" s="3004">
        <f t="shared" si="10"/>
        <v>8904.0000000000018</v>
      </c>
      <c r="AM67" s="3004">
        <v>200</v>
      </c>
      <c r="AN67" s="3004">
        <f t="shared" si="11"/>
        <v>3561.6000000000008</v>
      </c>
      <c r="AO67" s="3004">
        <v>500</v>
      </c>
      <c r="AP67" s="3004">
        <f t="shared" si="12"/>
        <v>8904.0000000000018</v>
      </c>
      <c r="AQ67" s="3004">
        <f>800-200</f>
        <v>600</v>
      </c>
      <c r="AR67" s="3004">
        <f t="shared" si="18"/>
        <v>10684.800000000003</v>
      </c>
      <c r="AS67" s="2995"/>
      <c r="AT67" s="2995"/>
      <c r="AU67" s="2995"/>
      <c r="AV67" s="2983">
        <f t="shared" si="13"/>
        <v>-1400</v>
      </c>
      <c r="AW67" s="3595">
        <f t="shared" si="19"/>
        <v>17.809999999999999</v>
      </c>
      <c r="AX67" s="3595">
        <f t="shared" si="14"/>
        <v>7124</v>
      </c>
      <c r="AY67" s="3595">
        <f t="shared" si="20"/>
        <v>8905</v>
      </c>
      <c r="AZ67" s="3595">
        <f t="shared" si="21"/>
        <v>3562</v>
      </c>
      <c r="BA67" s="3595">
        <f t="shared" si="22"/>
        <v>8905</v>
      </c>
      <c r="BB67" s="3595">
        <f t="shared" si="23"/>
        <v>10686</v>
      </c>
      <c r="BC67" s="2983">
        <f t="shared" si="24"/>
        <v>32058</v>
      </c>
      <c r="BD67" s="2983">
        <f t="shared" si="25"/>
        <v>-24934</v>
      </c>
    </row>
    <row r="68" spans="1:119" ht="12.75">
      <c r="A68" s="3265">
        <v>59</v>
      </c>
      <c r="B68" s="3700" t="s">
        <v>3026</v>
      </c>
      <c r="C68" s="3700" t="s">
        <v>2845</v>
      </c>
      <c r="D68" s="3547" t="s">
        <v>1022</v>
      </c>
      <c r="E68" s="3564">
        <v>16815.8</v>
      </c>
      <c r="F68" s="3567"/>
      <c r="G68" s="3564">
        <f t="shared" si="32"/>
        <v>16815.8</v>
      </c>
      <c r="H68" s="3567"/>
      <c r="I68" s="3565"/>
      <c r="J68" s="3565"/>
      <c r="K68" s="3567"/>
      <c r="L68" s="3647">
        <f t="shared" si="15"/>
        <v>600</v>
      </c>
      <c r="M68" s="3566"/>
      <c r="N68" s="3567"/>
      <c r="O68" s="3567"/>
      <c r="P68" s="3567">
        <f>L68-N68-O68-150</f>
        <v>450</v>
      </c>
      <c r="Q68" s="3568">
        <f>20</f>
        <v>20</v>
      </c>
      <c r="R68" s="3568">
        <v>1.06</v>
      </c>
      <c r="S68" s="3568">
        <f t="shared" si="2"/>
        <v>21.200000000000003</v>
      </c>
      <c r="T68" s="3569">
        <f t="shared" si="16"/>
        <v>23.744000000000007</v>
      </c>
      <c r="U68" s="3567">
        <f t="shared" si="17"/>
        <v>10684.800000000003</v>
      </c>
      <c r="V68" s="3567"/>
      <c r="W68" s="3567">
        <f t="shared" si="3"/>
        <v>10684.800000000003</v>
      </c>
      <c r="X68" s="3570"/>
      <c r="Y68" s="3570"/>
      <c r="Z68" s="3567">
        <f t="shared" si="36"/>
        <v>21.200000000000003</v>
      </c>
      <c r="AA68" s="3567">
        <f t="shared" si="37"/>
        <v>9540</v>
      </c>
      <c r="AB68" s="3567"/>
      <c r="AC68" s="3567">
        <f t="shared" si="38"/>
        <v>9540</v>
      </c>
      <c r="AD68" s="3567">
        <f t="shared" si="39"/>
        <v>22.260000000000005</v>
      </c>
      <c r="AE68" s="3567">
        <f t="shared" si="40"/>
        <v>10017</v>
      </c>
      <c r="AF68" s="3567"/>
      <c r="AG68" s="3571">
        <f t="shared" si="41"/>
        <v>10017</v>
      </c>
      <c r="AH68" s="3571">
        <v>1.1200000000000001</v>
      </c>
      <c r="AI68" s="3004"/>
      <c r="AJ68" s="2995">
        <v>1.1200000000000001</v>
      </c>
      <c r="AK68" s="3004">
        <v>250</v>
      </c>
      <c r="AL68" s="3004">
        <f t="shared" si="10"/>
        <v>5936.0000000000018</v>
      </c>
      <c r="AM68" s="3004">
        <v>250</v>
      </c>
      <c r="AN68" s="3004">
        <f t="shared" si="11"/>
        <v>5936.0000000000018</v>
      </c>
      <c r="AO68" s="3004">
        <v>250</v>
      </c>
      <c r="AP68" s="3004">
        <f t="shared" si="12"/>
        <v>5936.0000000000018</v>
      </c>
      <c r="AQ68" s="3004">
        <f>750-150</f>
        <v>600</v>
      </c>
      <c r="AR68" s="3004">
        <f t="shared" si="18"/>
        <v>14246.400000000003</v>
      </c>
      <c r="AS68" s="2995"/>
      <c r="AT68" s="2995"/>
      <c r="AU68" s="2995"/>
      <c r="AV68" s="2983">
        <f t="shared" si="13"/>
        <v>-900</v>
      </c>
      <c r="AW68" s="3595">
        <f t="shared" si="19"/>
        <v>23.74</v>
      </c>
      <c r="AX68" s="3595">
        <f t="shared" si="14"/>
        <v>10683</v>
      </c>
      <c r="AY68" s="3595">
        <f t="shared" si="20"/>
        <v>5935</v>
      </c>
      <c r="AZ68" s="3595">
        <f t="shared" si="21"/>
        <v>5935</v>
      </c>
      <c r="BA68" s="3595">
        <f t="shared" si="22"/>
        <v>5935</v>
      </c>
      <c r="BB68" s="3595">
        <f t="shared" si="23"/>
        <v>14244</v>
      </c>
      <c r="BC68" s="2983">
        <f t="shared" si="24"/>
        <v>32049</v>
      </c>
      <c r="BD68" s="2983">
        <f t="shared" si="25"/>
        <v>-21366</v>
      </c>
    </row>
    <row r="69" spans="1:119" ht="12.75">
      <c r="A69" s="3265">
        <v>60</v>
      </c>
      <c r="B69" s="2685" t="s">
        <v>3027</v>
      </c>
      <c r="C69" s="2685" t="s">
        <v>3028</v>
      </c>
      <c r="D69" s="3567" t="s">
        <v>1119</v>
      </c>
      <c r="E69" s="3549">
        <v>16815.8</v>
      </c>
      <c r="F69" s="3567"/>
      <c r="G69" s="3549">
        <f t="shared" si="32"/>
        <v>16815.8</v>
      </c>
      <c r="H69" s="3567"/>
      <c r="I69" s="3567"/>
      <c r="J69" s="3567"/>
      <c r="K69" s="3567"/>
      <c r="L69" s="3647">
        <f t="shared" si="15"/>
        <v>3</v>
      </c>
      <c r="M69" s="3567"/>
      <c r="N69" s="3567"/>
      <c r="O69" s="3567"/>
      <c r="P69" s="3549">
        <f t="shared" si="35"/>
        <v>3</v>
      </c>
      <c r="Q69" s="3567">
        <f>2680</f>
        <v>2680</v>
      </c>
      <c r="R69" s="3568">
        <v>1.06</v>
      </c>
      <c r="S69" s="3568">
        <f t="shared" si="2"/>
        <v>2840.8</v>
      </c>
      <c r="T69" s="3569">
        <f t="shared" si="16"/>
        <v>3181.6960000000004</v>
      </c>
      <c r="U69" s="3567">
        <f t="shared" si="17"/>
        <v>9545.0880000000016</v>
      </c>
      <c r="V69" s="3567"/>
      <c r="W69" s="3567"/>
      <c r="X69" s="3567"/>
      <c r="Y69" s="3567"/>
      <c r="Z69" s="3567"/>
      <c r="AA69" s="3567"/>
      <c r="AB69" s="3567"/>
      <c r="AC69" s="3567"/>
      <c r="AD69" s="3567"/>
      <c r="AE69" s="3567"/>
      <c r="AF69" s="3567"/>
      <c r="AG69" s="3567"/>
      <c r="AH69" s="3571">
        <v>1.1200000000000001</v>
      </c>
      <c r="AI69" s="3004"/>
      <c r="AJ69" s="2995">
        <v>1.1200000000000001</v>
      </c>
      <c r="AK69" s="3004">
        <v>2</v>
      </c>
      <c r="AL69" s="3004">
        <f t="shared" si="10"/>
        <v>6363.3920000000007</v>
      </c>
      <c r="AM69" s="3004"/>
      <c r="AN69" s="3004">
        <f t="shared" si="11"/>
        <v>0</v>
      </c>
      <c r="AO69" s="3004">
        <v>1</v>
      </c>
      <c r="AP69" s="3004">
        <f t="shared" si="12"/>
        <v>3181.6960000000004</v>
      </c>
      <c r="AQ69" s="3004">
        <v>3</v>
      </c>
      <c r="AR69" s="3004">
        <f t="shared" si="18"/>
        <v>9545.0880000000016</v>
      </c>
      <c r="AS69" s="2995"/>
      <c r="AV69" s="2983">
        <f t="shared" si="13"/>
        <v>-3</v>
      </c>
      <c r="AW69" s="3595">
        <f t="shared" si="19"/>
        <v>3181.7</v>
      </c>
      <c r="AX69" s="3595">
        <f t="shared" si="14"/>
        <v>9545.1</v>
      </c>
      <c r="AY69" s="3595">
        <f t="shared" si="20"/>
        <v>6363.4</v>
      </c>
      <c r="AZ69" s="3595">
        <f t="shared" si="21"/>
        <v>0</v>
      </c>
      <c r="BA69" s="3595">
        <f t="shared" si="22"/>
        <v>3181.7</v>
      </c>
      <c r="BB69" s="3595">
        <f t="shared" si="23"/>
        <v>9545.1</v>
      </c>
      <c r="BC69" s="2983">
        <f t="shared" si="24"/>
        <v>19090.2</v>
      </c>
      <c r="BD69" s="2983">
        <f t="shared" si="25"/>
        <v>-9545.1</v>
      </c>
    </row>
    <row r="70" spans="1:119" ht="25.5">
      <c r="A70" s="3265">
        <v>61</v>
      </c>
      <c r="B70" s="3723" t="s">
        <v>2868</v>
      </c>
      <c r="C70" s="3723" t="s">
        <v>2868</v>
      </c>
      <c r="D70" s="3727" t="s">
        <v>2520</v>
      </c>
      <c r="E70" s="3727">
        <v>16815.8</v>
      </c>
      <c r="F70" s="3727"/>
      <c r="G70" s="3727">
        <f t="shared" si="32"/>
        <v>16815.8</v>
      </c>
      <c r="H70" s="3727"/>
      <c r="I70" s="3727"/>
      <c r="J70" s="3727"/>
      <c r="K70" s="3727"/>
      <c r="L70" s="3728">
        <v>120</v>
      </c>
      <c r="M70" s="3727"/>
      <c r="N70" s="3727"/>
      <c r="O70" s="3727"/>
      <c r="P70" s="3727">
        <f>L70-N70</f>
        <v>120</v>
      </c>
      <c r="Q70" s="3727">
        <f>125</f>
        <v>125</v>
      </c>
      <c r="R70" s="3729">
        <v>1.06</v>
      </c>
      <c r="S70" s="3729">
        <f t="shared" si="2"/>
        <v>132.5</v>
      </c>
      <c r="T70" s="3730">
        <f t="shared" si="16"/>
        <v>148.4</v>
      </c>
      <c r="U70" s="3727">
        <f t="shared" si="17"/>
        <v>17808</v>
      </c>
      <c r="V70" s="3567"/>
      <c r="W70" s="3567"/>
      <c r="X70" s="3567"/>
      <c r="Y70" s="3567"/>
      <c r="Z70" s="3567"/>
      <c r="AA70" s="3567"/>
      <c r="AB70" s="3567"/>
      <c r="AC70" s="3567"/>
      <c r="AD70" s="3567"/>
      <c r="AE70" s="3567"/>
      <c r="AF70" s="3567"/>
      <c r="AG70" s="3567"/>
      <c r="AH70" s="3571">
        <v>1.1200000000000001</v>
      </c>
      <c r="AI70" s="3004"/>
      <c r="AJ70" s="3004">
        <v>1.1200000000000001</v>
      </c>
      <c r="AK70" s="3004">
        <f>36*8-100</f>
        <v>188</v>
      </c>
      <c r="AL70" s="3004">
        <f t="shared" si="10"/>
        <v>27899.200000000001</v>
      </c>
      <c r="AM70" s="3004">
        <f>2*36-30</f>
        <v>42</v>
      </c>
      <c r="AN70" s="3004">
        <f t="shared" si="11"/>
        <v>6232.8</v>
      </c>
      <c r="AO70" s="3004">
        <f>10*36-100</f>
        <v>260</v>
      </c>
      <c r="AP70" s="3004">
        <f t="shared" si="12"/>
        <v>38584</v>
      </c>
      <c r="AQ70" s="3004">
        <f>7*36-200-2</f>
        <v>50</v>
      </c>
      <c r="AR70" s="3004">
        <f t="shared" si="18"/>
        <v>7420</v>
      </c>
      <c r="AS70" s="2995"/>
      <c r="AV70" s="2983">
        <f t="shared" si="13"/>
        <v>-420</v>
      </c>
      <c r="AW70" s="3595">
        <f t="shared" si="19"/>
        <v>148.4</v>
      </c>
      <c r="AX70" s="3595">
        <f t="shared" si="14"/>
        <v>17808</v>
      </c>
      <c r="AY70" s="3595">
        <f t="shared" si="20"/>
        <v>27899.200000000001</v>
      </c>
      <c r="AZ70" s="3595">
        <f t="shared" si="21"/>
        <v>6232.8</v>
      </c>
      <c r="BA70" s="3595">
        <f t="shared" si="22"/>
        <v>38584</v>
      </c>
      <c r="BB70" s="3595">
        <f t="shared" si="23"/>
        <v>7420</v>
      </c>
      <c r="BC70" s="2983">
        <f t="shared" si="24"/>
        <v>80136</v>
      </c>
      <c r="BD70" s="2983">
        <f t="shared" si="25"/>
        <v>-62328</v>
      </c>
    </row>
    <row r="71" spans="1:119" s="3674" customFormat="1" ht="12.75">
      <c r="A71" s="3265">
        <v>62</v>
      </c>
      <c r="B71" s="3723" t="s">
        <v>3052</v>
      </c>
      <c r="C71" s="3723" t="s">
        <v>3053</v>
      </c>
      <c r="D71" s="3727" t="s">
        <v>1411</v>
      </c>
      <c r="E71" s="3727">
        <v>16815.8</v>
      </c>
      <c r="F71" s="3727"/>
      <c r="G71" s="3727">
        <v>16815.8</v>
      </c>
      <c r="H71" s="3727"/>
      <c r="I71" s="3727"/>
      <c r="J71" s="3727"/>
      <c r="K71" s="3727"/>
      <c r="L71" s="3728">
        <v>100</v>
      </c>
      <c r="M71" s="3727">
        <f>ROUND(16815.8/500*6*10+16815.8/500*6*10+4080/500*6*10,0)</f>
        <v>4525</v>
      </c>
      <c r="N71" s="3727">
        <f>60+14+200+417</f>
        <v>691</v>
      </c>
      <c r="O71" s="3727"/>
      <c r="P71" s="3727">
        <f>L71</f>
        <v>100</v>
      </c>
      <c r="Q71" s="3727">
        <f>150</f>
        <v>150</v>
      </c>
      <c r="R71" s="3729">
        <v>1.06</v>
      </c>
      <c r="S71" s="3730">
        <f>Q71*R71</f>
        <v>159</v>
      </c>
      <c r="T71" s="3730">
        <f t="shared" si="16"/>
        <v>178.08</v>
      </c>
      <c r="U71" s="3727">
        <f t="shared" si="17"/>
        <v>17808</v>
      </c>
      <c r="V71" s="3667">
        <f t="shared" ref="V71:AG71" si="42">150*1.07</f>
        <v>160.5</v>
      </c>
      <c r="W71" s="3667">
        <f t="shared" si="42"/>
        <v>160.5</v>
      </c>
      <c r="X71" s="3667">
        <f t="shared" si="42"/>
        <v>160.5</v>
      </c>
      <c r="Y71" s="3667">
        <f t="shared" si="42"/>
        <v>160.5</v>
      </c>
      <c r="Z71" s="3667">
        <f t="shared" si="42"/>
        <v>160.5</v>
      </c>
      <c r="AA71" s="3667">
        <f t="shared" si="42"/>
        <v>160.5</v>
      </c>
      <c r="AB71" s="3667">
        <f t="shared" si="42"/>
        <v>160.5</v>
      </c>
      <c r="AC71" s="3667">
        <f t="shared" si="42"/>
        <v>160.5</v>
      </c>
      <c r="AD71" s="3667">
        <f t="shared" si="42"/>
        <v>160.5</v>
      </c>
      <c r="AE71" s="3667">
        <f t="shared" si="42"/>
        <v>160.5</v>
      </c>
      <c r="AF71" s="3667">
        <f t="shared" si="42"/>
        <v>160.5</v>
      </c>
      <c r="AG71" s="3667">
        <f t="shared" si="42"/>
        <v>160.5</v>
      </c>
      <c r="AH71" s="3671">
        <v>1.1200000000000001</v>
      </c>
      <c r="AI71" s="3672"/>
      <c r="AJ71" s="3672">
        <v>1.1200000000000001</v>
      </c>
      <c r="AK71" s="3672">
        <f>2017.9-208-14-220.2</f>
        <v>1575.7</v>
      </c>
      <c r="AL71" s="3672">
        <f t="shared" si="10"/>
        <v>280600.65600000002</v>
      </c>
      <c r="AM71" s="3672">
        <f>489.6-60</f>
        <v>429.6</v>
      </c>
      <c r="AN71" s="3672">
        <f t="shared" si="11"/>
        <v>76503.168000000005</v>
      </c>
      <c r="AO71" s="3672">
        <f>2017.9-209-200-220.2</f>
        <v>1388.7</v>
      </c>
      <c r="AP71" s="3672">
        <f t="shared" si="12"/>
        <v>247299.69600000003</v>
      </c>
      <c r="AQ71" s="3672"/>
      <c r="AR71" s="3672">
        <f t="shared" si="18"/>
        <v>0</v>
      </c>
      <c r="AS71" s="3673"/>
      <c r="AW71" s="3674">
        <f t="shared" si="19"/>
        <v>178.08</v>
      </c>
      <c r="AX71" s="3675">
        <f t="shared" si="14"/>
        <v>17808</v>
      </c>
      <c r="AY71" s="3674">
        <f t="shared" si="20"/>
        <v>280600.65999999997</v>
      </c>
      <c r="AZ71" s="3674">
        <f t="shared" si="21"/>
        <v>76503.17</v>
      </c>
      <c r="BA71" s="3674">
        <f t="shared" si="22"/>
        <v>247299.7</v>
      </c>
      <c r="BB71" s="3674">
        <f t="shared" si="23"/>
        <v>0</v>
      </c>
      <c r="BC71" s="3674">
        <f t="shared" si="24"/>
        <v>604403.53</v>
      </c>
      <c r="BD71" s="3674">
        <f t="shared" si="25"/>
        <v>-586595.53</v>
      </c>
      <c r="BF71" s="3328"/>
      <c r="BG71" s="3328"/>
      <c r="BH71" s="3328"/>
      <c r="BI71" s="3328"/>
      <c r="BJ71" s="3328"/>
      <c r="BK71" s="3328"/>
      <c r="BL71" s="3328"/>
      <c r="BM71" s="3328"/>
      <c r="BN71" s="3328"/>
      <c r="BO71" s="3328"/>
      <c r="BP71" s="3328"/>
      <c r="BQ71" s="3328"/>
      <c r="BR71" s="3328"/>
      <c r="BS71" s="3328"/>
      <c r="BT71" s="3328"/>
      <c r="BU71" s="3328"/>
      <c r="BV71" s="3328"/>
      <c r="BW71" s="3328"/>
      <c r="BX71" s="3328"/>
      <c r="BY71" s="3328"/>
      <c r="BZ71" s="3328"/>
      <c r="CA71" s="3328"/>
      <c r="CB71" s="3328"/>
      <c r="CC71" s="3328"/>
      <c r="CD71" s="3328"/>
      <c r="CE71" s="3328"/>
      <c r="CF71" s="3328"/>
      <c r="CG71" s="3328"/>
      <c r="CH71" s="3328"/>
      <c r="CI71" s="3328"/>
      <c r="CJ71" s="3328"/>
      <c r="CK71" s="3328"/>
      <c r="CL71" s="3328"/>
      <c r="CM71" s="3328"/>
      <c r="CN71" s="3328"/>
      <c r="CO71" s="3328"/>
      <c r="CP71" s="3328"/>
      <c r="CQ71" s="3328"/>
      <c r="CR71" s="3328"/>
      <c r="CS71" s="3328"/>
      <c r="CT71" s="3328"/>
      <c r="CU71" s="3328"/>
      <c r="CV71" s="3328"/>
      <c r="CW71" s="3328"/>
      <c r="CX71" s="3328"/>
      <c r="CY71" s="3328"/>
      <c r="CZ71" s="3328"/>
      <c r="DA71" s="3328"/>
      <c r="DB71" s="3328"/>
      <c r="DC71" s="3328"/>
      <c r="DD71" s="3328"/>
      <c r="DE71" s="3328"/>
      <c r="DF71" s="3328"/>
      <c r="DG71" s="3328"/>
      <c r="DH71" s="3328"/>
      <c r="DI71" s="3328"/>
      <c r="DJ71" s="3328"/>
      <c r="DK71" s="3328"/>
      <c r="DL71" s="3328"/>
      <c r="DM71" s="3328"/>
      <c r="DN71" s="3328"/>
      <c r="DO71" s="3328"/>
    </row>
    <row r="72" spans="1:119" ht="15">
      <c r="A72" s="3265">
        <v>63</v>
      </c>
      <c r="B72" s="3701" t="s">
        <v>5154</v>
      </c>
      <c r="C72" s="3701" t="s">
        <v>5154</v>
      </c>
      <c r="D72" s="376" t="s">
        <v>1268</v>
      </c>
      <c r="E72" s="3567"/>
      <c r="F72" s="3567"/>
      <c r="G72" s="3567"/>
      <c r="H72" s="3567"/>
      <c r="I72" s="3567"/>
      <c r="J72" s="3567"/>
      <c r="K72" s="3567"/>
      <c r="L72" s="3647">
        <v>100</v>
      </c>
      <c r="M72" s="3702"/>
      <c r="N72" s="3702"/>
      <c r="O72" s="3702"/>
      <c r="P72" s="3567">
        <f t="shared" ref="P72:P102" si="43">L72-N72</f>
        <v>100</v>
      </c>
      <c r="Q72" s="3569">
        <v>1000</v>
      </c>
      <c r="R72" s="3668">
        <v>1.06</v>
      </c>
      <c r="S72" s="3677">
        <f t="shared" ref="S72:S102" si="44">Q72*R72</f>
        <v>1060</v>
      </c>
      <c r="T72" s="3677">
        <f t="shared" si="16"/>
        <v>1187.2</v>
      </c>
      <c r="U72" s="3567">
        <f t="shared" si="17"/>
        <v>118720</v>
      </c>
      <c r="V72" s="3567"/>
      <c r="W72" s="3567"/>
      <c r="X72" s="3567"/>
      <c r="Y72" s="3567"/>
      <c r="Z72" s="3567"/>
      <c r="AA72" s="3567"/>
      <c r="AB72" s="3567"/>
      <c r="AC72" s="3567"/>
      <c r="AD72" s="3567"/>
      <c r="AE72" s="3567"/>
      <c r="AF72" s="3567"/>
      <c r="AG72" s="3567"/>
      <c r="AH72" s="3671">
        <v>1.1200000000000001</v>
      </c>
      <c r="AI72" s="3004"/>
      <c r="AJ72" s="3004"/>
      <c r="AK72" s="3004"/>
      <c r="AL72" s="3004"/>
      <c r="AM72" s="3004"/>
      <c r="AN72" s="3004"/>
      <c r="AO72" s="3004"/>
      <c r="AP72" s="3004"/>
      <c r="AQ72" s="3004"/>
      <c r="AR72" s="3004"/>
      <c r="AS72" s="2995"/>
      <c r="AX72" s="3434"/>
    </row>
    <row r="73" spans="1:119" ht="15">
      <c r="A73" s="3265">
        <v>64</v>
      </c>
      <c r="B73" s="3701" t="s">
        <v>5155</v>
      </c>
      <c r="C73" s="3701" t="s">
        <v>5155</v>
      </c>
      <c r="D73" s="376" t="s">
        <v>1268</v>
      </c>
      <c r="E73" s="3567"/>
      <c r="F73" s="3567"/>
      <c r="G73" s="3567"/>
      <c r="H73" s="3567"/>
      <c r="I73" s="3567"/>
      <c r="J73" s="3567"/>
      <c r="K73" s="3567"/>
      <c r="L73" s="3647">
        <v>1</v>
      </c>
      <c r="M73" s="3702"/>
      <c r="N73" s="3702"/>
      <c r="O73" s="3702"/>
      <c r="P73" s="3567">
        <f t="shared" si="43"/>
        <v>1</v>
      </c>
      <c r="Q73" s="3569">
        <v>35000</v>
      </c>
      <c r="R73" s="3668">
        <v>1.06</v>
      </c>
      <c r="S73" s="3677">
        <f t="shared" si="44"/>
        <v>37100</v>
      </c>
      <c r="T73" s="3677">
        <f t="shared" si="16"/>
        <v>41552.000000000007</v>
      </c>
      <c r="U73" s="3567">
        <f t="shared" si="17"/>
        <v>41552.000000000007</v>
      </c>
      <c r="V73" s="3567"/>
      <c r="W73" s="3567"/>
      <c r="X73" s="3567"/>
      <c r="Y73" s="3567"/>
      <c r="Z73" s="3567"/>
      <c r="AA73" s="3567"/>
      <c r="AB73" s="3567"/>
      <c r="AC73" s="3567"/>
      <c r="AD73" s="3567"/>
      <c r="AE73" s="3567"/>
      <c r="AF73" s="3567"/>
      <c r="AG73" s="3567"/>
      <c r="AH73" s="3671">
        <v>1.1200000000000001</v>
      </c>
      <c r="AI73" s="3004"/>
      <c r="AJ73" s="3004"/>
      <c r="AK73" s="3004"/>
      <c r="AL73" s="3004"/>
      <c r="AM73" s="3004"/>
      <c r="AN73" s="3004"/>
      <c r="AO73" s="3004"/>
      <c r="AP73" s="3004"/>
      <c r="AQ73" s="3004"/>
      <c r="AR73" s="3004"/>
      <c r="AS73" s="2995"/>
      <c r="AX73" s="3434"/>
    </row>
    <row r="74" spans="1:119" ht="38.25">
      <c r="A74" s="3265">
        <v>65</v>
      </c>
      <c r="B74" s="3701" t="s">
        <v>5156</v>
      </c>
      <c r="C74" s="3701" t="s">
        <v>5157</v>
      </c>
      <c r="D74" s="376" t="s">
        <v>1268</v>
      </c>
      <c r="E74" s="3567"/>
      <c r="F74" s="3567"/>
      <c r="G74" s="3567"/>
      <c r="H74" s="3567"/>
      <c r="I74" s="3567"/>
      <c r="J74" s="3567"/>
      <c r="K74" s="3567"/>
      <c r="L74" s="3647">
        <v>10</v>
      </c>
      <c r="M74" s="3702"/>
      <c r="N74" s="3702"/>
      <c r="O74" s="3702"/>
      <c r="P74" s="3567">
        <f t="shared" si="43"/>
        <v>10</v>
      </c>
      <c r="Q74" s="3569">
        <v>3000</v>
      </c>
      <c r="R74" s="3668">
        <v>1.06</v>
      </c>
      <c r="S74" s="3677">
        <f t="shared" si="44"/>
        <v>3180</v>
      </c>
      <c r="T74" s="3677">
        <f t="shared" si="16"/>
        <v>3561.6000000000004</v>
      </c>
      <c r="U74" s="3567">
        <f t="shared" si="17"/>
        <v>35616</v>
      </c>
      <c r="V74" s="3567"/>
      <c r="W74" s="3567"/>
      <c r="X74" s="3567"/>
      <c r="Y74" s="3567"/>
      <c r="Z74" s="3567"/>
      <c r="AA74" s="3567"/>
      <c r="AB74" s="3567"/>
      <c r="AC74" s="3567"/>
      <c r="AD74" s="3567"/>
      <c r="AE74" s="3567"/>
      <c r="AF74" s="3567"/>
      <c r="AG74" s="3567"/>
      <c r="AH74" s="3671">
        <v>1.1200000000000001</v>
      </c>
      <c r="AI74" s="3004"/>
      <c r="AJ74" s="3004"/>
      <c r="AK74" s="3004"/>
      <c r="AL74" s="3004"/>
      <c r="AM74" s="3004"/>
      <c r="AN74" s="3004"/>
      <c r="AO74" s="3004"/>
      <c r="AP74" s="3004"/>
      <c r="AQ74" s="3004"/>
      <c r="AR74" s="3004"/>
      <c r="AS74" s="2995"/>
      <c r="AX74" s="3434"/>
    </row>
    <row r="75" spans="1:119" ht="38.25">
      <c r="A75" s="3265">
        <v>66</v>
      </c>
      <c r="B75" s="3701" t="s">
        <v>5158</v>
      </c>
      <c r="C75" s="3701" t="s">
        <v>5159</v>
      </c>
      <c r="D75" s="376" t="s">
        <v>1268</v>
      </c>
      <c r="E75" s="3567"/>
      <c r="F75" s="3567"/>
      <c r="G75" s="3567"/>
      <c r="H75" s="3567"/>
      <c r="I75" s="3567"/>
      <c r="J75" s="3567"/>
      <c r="K75" s="3567"/>
      <c r="L75" s="3647">
        <v>5</v>
      </c>
      <c r="M75" s="3702"/>
      <c r="N75" s="3702"/>
      <c r="O75" s="3702"/>
      <c r="P75" s="3567">
        <f t="shared" si="43"/>
        <v>5</v>
      </c>
      <c r="Q75" s="3569">
        <v>9000</v>
      </c>
      <c r="R75" s="3668">
        <v>1.06</v>
      </c>
      <c r="S75" s="3677">
        <f t="shared" si="44"/>
        <v>9540</v>
      </c>
      <c r="T75" s="3677">
        <f t="shared" ref="T75:T102" si="45">S75*AH75</f>
        <v>10684.800000000001</v>
      </c>
      <c r="U75" s="3567">
        <f t="shared" ref="U75:U102" si="46">T75*P75</f>
        <v>53424.000000000007</v>
      </c>
      <c r="V75" s="3567"/>
      <c r="W75" s="3567"/>
      <c r="X75" s="3567"/>
      <c r="Y75" s="3567"/>
      <c r="Z75" s="3567"/>
      <c r="AA75" s="3567"/>
      <c r="AB75" s="3567"/>
      <c r="AC75" s="3567"/>
      <c r="AD75" s="3567"/>
      <c r="AE75" s="3567"/>
      <c r="AF75" s="3567"/>
      <c r="AG75" s="3567"/>
      <c r="AH75" s="3671">
        <v>1.1200000000000001</v>
      </c>
      <c r="AI75" s="3004"/>
      <c r="AJ75" s="3004"/>
      <c r="AK75" s="3004"/>
      <c r="AL75" s="3004"/>
      <c r="AM75" s="3004"/>
      <c r="AN75" s="3004"/>
      <c r="AO75" s="3004"/>
      <c r="AP75" s="3004"/>
      <c r="AQ75" s="3004"/>
      <c r="AR75" s="3004"/>
      <c r="AS75" s="2995"/>
      <c r="AX75" s="3434"/>
    </row>
    <row r="76" spans="1:119" ht="15">
      <c r="A76" s="3265">
        <v>67</v>
      </c>
      <c r="B76" s="3701" t="s">
        <v>1513</v>
      </c>
      <c r="C76" s="3701" t="s">
        <v>1513</v>
      </c>
      <c r="D76" s="376" t="s">
        <v>5160</v>
      </c>
      <c r="E76" s="3567"/>
      <c r="F76" s="3567"/>
      <c r="G76" s="3567"/>
      <c r="H76" s="3567"/>
      <c r="I76" s="3567"/>
      <c r="J76" s="3567"/>
      <c r="K76" s="3567"/>
      <c r="L76" s="3647">
        <v>10</v>
      </c>
      <c r="M76" s="3702"/>
      <c r="N76" s="3702"/>
      <c r="O76" s="3702"/>
      <c r="P76" s="3567">
        <f t="shared" si="43"/>
        <v>10</v>
      </c>
      <c r="Q76" s="3595">
        <v>680</v>
      </c>
      <c r="R76" s="3668">
        <v>1.06</v>
      </c>
      <c r="S76" s="3677">
        <f t="shared" si="44"/>
        <v>720.80000000000007</v>
      </c>
      <c r="T76" s="3677">
        <f t="shared" si="45"/>
        <v>807.29600000000016</v>
      </c>
      <c r="U76" s="3567">
        <f t="shared" si="46"/>
        <v>8072.9600000000019</v>
      </c>
      <c r="V76" s="3567"/>
      <c r="W76" s="3567"/>
      <c r="X76" s="3567"/>
      <c r="Y76" s="3567"/>
      <c r="Z76" s="3567"/>
      <c r="AA76" s="3567"/>
      <c r="AB76" s="3567"/>
      <c r="AC76" s="3567"/>
      <c r="AD76" s="3567"/>
      <c r="AE76" s="3567"/>
      <c r="AF76" s="3567"/>
      <c r="AG76" s="3567"/>
      <c r="AH76" s="3671">
        <v>1.1200000000000001</v>
      </c>
      <c r="AI76" s="3004"/>
      <c r="AJ76" s="3004"/>
      <c r="AK76" s="3004"/>
      <c r="AL76" s="3004"/>
      <c r="AM76" s="3004"/>
      <c r="AN76" s="3004"/>
      <c r="AO76" s="3004"/>
      <c r="AP76" s="3004"/>
      <c r="AQ76" s="3004"/>
      <c r="AR76" s="3004"/>
      <c r="AS76" s="2995"/>
      <c r="AX76" s="3434"/>
    </row>
    <row r="77" spans="1:119" ht="15">
      <c r="A77" s="3265">
        <v>68</v>
      </c>
      <c r="B77" s="3660" t="s">
        <v>3110</v>
      </c>
      <c r="C77" s="3660" t="s">
        <v>5161</v>
      </c>
      <c r="D77" s="376" t="s">
        <v>1268</v>
      </c>
      <c r="E77" s="3567"/>
      <c r="F77" s="3567"/>
      <c r="G77" s="3567"/>
      <c r="H77" s="3567"/>
      <c r="I77" s="3567"/>
      <c r="J77" s="3567"/>
      <c r="K77" s="3567"/>
      <c r="L77" s="3703">
        <v>1</v>
      </c>
      <c r="M77" s="3702"/>
      <c r="N77" s="3702"/>
      <c r="O77" s="3702"/>
      <c r="P77" s="3567">
        <f t="shared" si="43"/>
        <v>1</v>
      </c>
      <c r="Q77" s="3569">
        <v>35000</v>
      </c>
      <c r="R77" s="3668">
        <v>1.06</v>
      </c>
      <c r="S77" s="3677">
        <f t="shared" si="44"/>
        <v>37100</v>
      </c>
      <c r="T77" s="3677">
        <f t="shared" si="45"/>
        <v>41552.000000000007</v>
      </c>
      <c r="U77" s="3567">
        <f t="shared" si="46"/>
        <v>41552.000000000007</v>
      </c>
      <c r="V77" s="3567"/>
      <c r="W77" s="3567"/>
      <c r="X77" s="3567"/>
      <c r="Y77" s="3567"/>
      <c r="Z77" s="3567"/>
      <c r="AA77" s="3567"/>
      <c r="AB77" s="3567"/>
      <c r="AC77" s="3567"/>
      <c r="AD77" s="3567"/>
      <c r="AE77" s="3567"/>
      <c r="AF77" s="3567"/>
      <c r="AG77" s="3567"/>
      <c r="AH77" s="3671">
        <v>1.1200000000000001</v>
      </c>
      <c r="AI77" s="3004"/>
      <c r="AJ77" s="3004"/>
      <c r="AK77" s="3004"/>
      <c r="AL77" s="3004"/>
      <c r="AM77" s="3004"/>
      <c r="AN77" s="3004"/>
      <c r="AO77" s="3004"/>
      <c r="AP77" s="3004"/>
      <c r="AQ77" s="3004"/>
      <c r="AR77" s="3004"/>
      <c r="AS77" s="2995"/>
      <c r="AX77" s="3434"/>
    </row>
    <row r="78" spans="1:119" ht="15">
      <c r="A78" s="3265">
        <v>69</v>
      </c>
      <c r="B78" s="3660" t="s">
        <v>5162</v>
      </c>
      <c r="C78" s="3660" t="s">
        <v>5162</v>
      </c>
      <c r="D78" s="376" t="s">
        <v>1525</v>
      </c>
      <c r="E78" s="3567"/>
      <c r="F78" s="3567"/>
      <c r="G78" s="3567"/>
      <c r="H78" s="3567"/>
      <c r="I78" s="3567"/>
      <c r="J78" s="3567"/>
      <c r="K78" s="3567"/>
      <c r="L78" s="3703">
        <v>2</v>
      </c>
      <c r="M78" s="3702"/>
      <c r="N78" s="3702"/>
      <c r="O78" s="3702"/>
      <c r="P78" s="3567">
        <f t="shared" si="43"/>
        <v>2</v>
      </c>
      <c r="Q78" s="3569">
        <v>3500</v>
      </c>
      <c r="R78" s="3668">
        <v>1.06</v>
      </c>
      <c r="S78" s="3677">
        <f t="shared" si="44"/>
        <v>3710</v>
      </c>
      <c r="T78" s="3677">
        <f>S78*AH78</f>
        <v>4155.2000000000007</v>
      </c>
      <c r="U78" s="3567">
        <f t="shared" si="46"/>
        <v>8310.4000000000015</v>
      </c>
      <c r="V78" s="3567"/>
      <c r="W78" s="3567"/>
      <c r="X78" s="3567"/>
      <c r="Y78" s="3567"/>
      <c r="Z78" s="3567"/>
      <c r="AA78" s="3567"/>
      <c r="AB78" s="3567"/>
      <c r="AC78" s="3567"/>
      <c r="AD78" s="3567"/>
      <c r="AE78" s="3567"/>
      <c r="AF78" s="3567"/>
      <c r="AG78" s="3567"/>
      <c r="AH78" s="3671">
        <v>1.1200000000000001</v>
      </c>
      <c r="AI78" s="3004"/>
      <c r="AJ78" s="3004"/>
      <c r="AK78" s="3004"/>
      <c r="AL78" s="3004"/>
      <c r="AM78" s="3004"/>
      <c r="AN78" s="3004"/>
      <c r="AO78" s="3004"/>
      <c r="AP78" s="3004"/>
      <c r="AQ78" s="3004"/>
      <c r="AR78" s="3004"/>
      <c r="AS78" s="2995"/>
      <c r="AX78" s="3434"/>
    </row>
    <row r="79" spans="1:119" ht="15">
      <c r="A79" s="3265">
        <v>70</v>
      </c>
      <c r="B79" s="3660" t="s">
        <v>5163</v>
      </c>
      <c r="C79" s="3660" t="s">
        <v>5163</v>
      </c>
      <c r="D79" s="376" t="s">
        <v>1525</v>
      </c>
      <c r="E79" s="3567"/>
      <c r="F79" s="3567"/>
      <c r="G79" s="3567"/>
      <c r="H79" s="3567"/>
      <c r="I79" s="3567"/>
      <c r="J79" s="3567"/>
      <c r="K79" s="3567"/>
      <c r="L79" s="3703">
        <v>2</v>
      </c>
      <c r="M79" s="3702"/>
      <c r="N79" s="3702"/>
      <c r="O79" s="3702"/>
      <c r="P79" s="3567">
        <f t="shared" si="43"/>
        <v>2</v>
      </c>
      <c r="Q79" s="3569">
        <v>3500</v>
      </c>
      <c r="R79" s="3668">
        <v>1.06</v>
      </c>
      <c r="S79" s="3677">
        <f t="shared" si="44"/>
        <v>3710</v>
      </c>
      <c r="T79" s="3677">
        <f t="shared" si="45"/>
        <v>4155.2000000000007</v>
      </c>
      <c r="U79" s="3567">
        <f t="shared" si="46"/>
        <v>8310.4000000000015</v>
      </c>
      <c r="V79" s="3567"/>
      <c r="W79" s="3567"/>
      <c r="X79" s="3567"/>
      <c r="Y79" s="3567"/>
      <c r="Z79" s="3567"/>
      <c r="AA79" s="3567"/>
      <c r="AB79" s="3567"/>
      <c r="AC79" s="3567"/>
      <c r="AD79" s="3567"/>
      <c r="AE79" s="3567"/>
      <c r="AF79" s="3567"/>
      <c r="AG79" s="3567"/>
      <c r="AH79" s="3671">
        <v>1.1200000000000001</v>
      </c>
      <c r="AI79" s="3004"/>
      <c r="AJ79" s="3004"/>
      <c r="AK79" s="3004"/>
      <c r="AL79" s="3004"/>
      <c r="AM79" s="3004"/>
      <c r="AN79" s="3004"/>
      <c r="AO79" s="3004"/>
      <c r="AP79" s="3004"/>
      <c r="AQ79" s="3004"/>
      <c r="AR79" s="3004"/>
      <c r="AS79" s="2995"/>
      <c r="AX79" s="3434"/>
    </row>
    <row r="80" spans="1:119" ht="15">
      <c r="A80" s="3265">
        <v>71</v>
      </c>
      <c r="B80" s="3660" t="s">
        <v>2013</v>
      </c>
      <c r="C80" s="3660" t="s">
        <v>2013</v>
      </c>
      <c r="D80" s="376" t="s">
        <v>1525</v>
      </c>
      <c r="E80" s="3567"/>
      <c r="F80" s="3567"/>
      <c r="G80" s="3567"/>
      <c r="H80" s="3567"/>
      <c r="I80" s="3567"/>
      <c r="J80" s="3567"/>
      <c r="K80" s="3567"/>
      <c r="L80" s="3703">
        <v>2</v>
      </c>
      <c r="M80" s="3702"/>
      <c r="N80" s="3702"/>
      <c r="O80" s="3702"/>
      <c r="P80" s="3567">
        <f t="shared" si="43"/>
        <v>2</v>
      </c>
      <c r="Q80" s="3569">
        <v>3500</v>
      </c>
      <c r="R80" s="3668">
        <v>1.06</v>
      </c>
      <c r="S80" s="3677">
        <f t="shared" si="44"/>
        <v>3710</v>
      </c>
      <c r="T80" s="3677">
        <f t="shared" si="45"/>
        <v>4155.2000000000007</v>
      </c>
      <c r="U80" s="3567">
        <f t="shared" si="46"/>
        <v>8310.4000000000015</v>
      </c>
      <c r="V80" s="3567"/>
      <c r="W80" s="3567"/>
      <c r="X80" s="3567"/>
      <c r="Y80" s="3567"/>
      <c r="Z80" s="3567"/>
      <c r="AA80" s="3567"/>
      <c r="AB80" s="3567"/>
      <c r="AC80" s="3567"/>
      <c r="AD80" s="3567"/>
      <c r="AE80" s="3567"/>
      <c r="AF80" s="3567"/>
      <c r="AG80" s="3567"/>
      <c r="AH80" s="3671">
        <v>1.1200000000000001</v>
      </c>
      <c r="AI80" s="3004"/>
      <c r="AJ80" s="3004"/>
      <c r="AK80" s="3004"/>
      <c r="AL80" s="3004"/>
      <c r="AM80" s="3004"/>
      <c r="AN80" s="3004"/>
      <c r="AO80" s="3004"/>
      <c r="AP80" s="3004"/>
      <c r="AQ80" s="3004"/>
      <c r="AR80" s="3004"/>
      <c r="AS80" s="2995"/>
      <c r="AX80" s="3434"/>
    </row>
    <row r="81" spans="1:50" ht="25.5">
      <c r="A81" s="3265">
        <v>72</v>
      </c>
      <c r="B81" s="3660" t="s">
        <v>5164</v>
      </c>
      <c r="C81" s="3660" t="s">
        <v>5164</v>
      </c>
      <c r="D81" s="376" t="s">
        <v>1268</v>
      </c>
      <c r="E81" s="3567"/>
      <c r="F81" s="3567"/>
      <c r="G81" s="3567"/>
      <c r="H81" s="3567"/>
      <c r="I81" s="3567"/>
      <c r="J81" s="3567"/>
      <c r="K81" s="3567"/>
      <c r="L81" s="3703">
        <v>20</v>
      </c>
      <c r="M81" s="3702"/>
      <c r="N81" s="3702"/>
      <c r="O81" s="3702"/>
      <c r="P81" s="3567">
        <f t="shared" si="43"/>
        <v>20</v>
      </c>
      <c r="Q81" s="3569">
        <v>3800</v>
      </c>
      <c r="R81" s="3668">
        <v>1.06</v>
      </c>
      <c r="S81" s="3677">
        <f t="shared" si="44"/>
        <v>4028</v>
      </c>
      <c r="T81" s="3677">
        <f t="shared" si="45"/>
        <v>4511.3600000000006</v>
      </c>
      <c r="U81" s="3567">
        <f t="shared" si="46"/>
        <v>90227.200000000012</v>
      </c>
      <c r="V81" s="3567"/>
      <c r="W81" s="3567"/>
      <c r="X81" s="3567"/>
      <c r="Y81" s="3567"/>
      <c r="Z81" s="3567"/>
      <c r="AA81" s="3567"/>
      <c r="AB81" s="3567"/>
      <c r="AC81" s="3567"/>
      <c r="AD81" s="3567"/>
      <c r="AE81" s="3567"/>
      <c r="AF81" s="3567"/>
      <c r="AG81" s="3567"/>
      <c r="AH81" s="3671">
        <v>1.1200000000000001</v>
      </c>
      <c r="AI81" s="3004"/>
      <c r="AJ81" s="3004"/>
      <c r="AK81" s="3004"/>
      <c r="AL81" s="3004"/>
      <c r="AM81" s="3004"/>
      <c r="AN81" s="3004"/>
      <c r="AO81" s="3004"/>
      <c r="AP81" s="3004"/>
      <c r="AQ81" s="3004"/>
      <c r="AR81" s="3004"/>
      <c r="AS81" s="2995"/>
      <c r="AX81" s="3434"/>
    </row>
    <row r="82" spans="1:50" ht="15">
      <c r="A82" s="3265">
        <v>73</v>
      </c>
      <c r="B82" s="3660" t="s">
        <v>2337</v>
      </c>
      <c r="C82" s="3660" t="s">
        <v>2337</v>
      </c>
      <c r="D82" s="376" t="s">
        <v>1268</v>
      </c>
      <c r="E82" s="3567"/>
      <c r="F82" s="3567"/>
      <c r="G82" s="3567"/>
      <c r="H82" s="3567"/>
      <c r="I82" s="3567"/>
      <c r="J82" s="3567"/>
      <c r="K82" s="3567"/>
      <c r="L82" s="3703">
        <v>10</v>
      </c>
      <c r="M82" s="3702"/>
      <c r="N82" s="3702"/>
      <c r="O82" s="3702"/>
      <c r="P82" s="3567">
        <f t="shared" si="43"/>
        <v>10</v>
      </c>
      <c r="Q82" s="3569">
        <v>3100</v>
      </c>
      <c r="R82" s="3668">
        <v>1.06</v>
      </c>
      <c r="S82" s="3677">
        <f t="shared" si="44"/>
        <v>3286</v>
      </c>
      <c r="T82" s="3677">
        <f t="shared" si="45"/>
        <v>3680.32</v>
      </c>
      <c r="U82" s="3567">
        <f t="shared" si="46"/>
        <v>36803.200000000004</v>
      </c>
      <c r="V82" s="3567"/>
      <c r="W82" s="3567"/>
      <c r="X82" s="3567"/>
      <c r="Y82" s="3567"/>
      <c r="Z82" s="3567"/>
      <c r="AA82" s="3567"/>
      <c r="AB82" s="3567"/>
      <c r="AC82" s="3567"/>
      <c r="AD82" s="3567"/>
      <c r="AE82" s="3567"/>
      <c r="AF82" s="3567"/>
      <c r="AG82" s="3567"/>
      <c r="AH82" s="3671">
        <v>1.1200000000000001</v>
      </c>
      <c r="AI82" s="3004"/>
      <c r="AJ82" s="3004"/>
      <c r="AK82" s="3004"/>
      <c r="AL82" s="3004"/>
      <c r="AM82" s="3004"/>
      <c r="AN82" s="3004"/>
      <c r="AO82" s="3004"/>
      <c r="AP82" s="3004"/>
      <c r="AQ82" s="3004"/>
      <c r="AR82" s="3004"/>
      <c r="AS82" s="2995"/>
      <c r="AX82" s="3434"/>
    </row>
    <row r="83" spans="1:50" ht="15">
      <c r="A83" s="3265">
        <v>74</v>
      </c>
      <c r="B83" s="3660" t="s">
        <v>5165</v>
      </c>
      <c r="C83" s="3660" t="s">
        <v>5165</v>
      </c>
      <c r="D83" s="376" t="s">
        <v>1268</v>
      </c>
      <c r="E83" s="3567"/>
      <c r="F83" s="3567"/>
      <c r="G83" s="3567"/>
      <c r="H83" s="3567"/>
      <c r="I83" s="3567"/>
      <c r="J83" s="3567"/>
      <c r="K83" s="3567"/>
      <c r="L83" s="3703">
        <v>2</v>
      </c>
      <c r="M83" s="3702"/>
      <c r="N83" s="3702"/>
      <c r="O83" s="3702"/>
      <c r="P83" s="3567">
        <f>L83-N83</f>
        <v>2</v>
      </c>
      <c r="Q83" s="3569">
        <v>1000</v>
      </c>
      <c r="R83" s="3668">
        <v>1.06</v>
      </c>
      <c r="S83" s="3677">
        <f t="shared" si="44"/>
        <v>1060</v>
      </c>
      <c r="T83" s="3677">
        <f t="shared" si="45"/>
        <v>1187.2</v>
      </c>
      <c r="U83" s="3567">
        <f t="shared" si="46"/>
        <v>2374.4</v>
      </c>
      <c r="V83" s="3567"/>
      <c r="W83" s="3567"/>
      <c r="X83" s="3567"/>
      <c r="Y83" s="3567"/>
      <c r="Z83" s="3567"/>
      <c r="AA83" s="3567"/>
      <c r="AB83" s="3567"/>
      <c r="AC83" s="3567"/>
      <c r="AD83" s="3567"/>
      <c r="AE83" s="3567"/>
      <c r="AF83" s="3567"/>
      <c r="AG83" s="3567"/>
      <c r="AH83" s="3671">
        <v>1.1200000000000001</v>
      </c>
      <c r="AI83" s="3004"/>
      <c r="AJ83" s="3004"/>
      <c r="AK83" s="3004"/>
      <c r="AL83" s="3004"/>
      <c r="AM83" s="3004"/>
      <c r="AN83" s="3004"/>
      <c r="AO83" s="3004"/>
      <c r="AP83" s="3004"/>
      <c r="AQ83" s="3004"/>
      <c r="AR83" s="3004"/>
      <c r="AS83" s="2995"/>
      <c r="AX83" s="3434"/>
    </row>
    <row r="84" spans="1:50" ht="15">
      <c r="A84" s="3265">
        <v>75</v>
      </c>
      <c r="B84" s="3660" t="s">
        <v>5166</v>
      </c>
      <c r="C84" s="3660" t="s">
        <v>5166</v>
      </c>
      <c r="D84" s="376" t="s">
        <v>1268</v>
      </c>
      <c r="E84" s="3567"/>
      <c r="F84" s="3567"/>
      <c r="G84" s="3567"/>
      <c r="H84" s="3567"/>
      <c r="I84" s="3567"/>
      <c r="J84" s="3567"/>
      <c r="K84" s="3567"/>
      <c r="L84" s="3703">
        <v>5</v>
      </c>
      <c r="M84" s="3702"/>
      <c r="N84" s="3702"/>
      <c r="O84" s="3702"/>
      <c r="P84" s="3567">
        <f>L84-N84</f>
        <v>5</v>
      </c>
      <c r="Q84" s="3569">
        <v>1000</v>
      </c>
      <c r="R84" s="3668">
        <v>1.06</v>
      </c>
      <c r="S84" s="3677">
        <f t="shared" si="44"/>
        <v>1060</v>
      </c>
      <c r="T84" s="3677">
        <f t="shared" si="45"/>
        <v>1187.2</v>
      </c>
      <c r="U84" s="3567">
        <f t="shared" si="46"/>
        <v>5936</v>
      </c>
      <c r="V84" s="3567"/>
      <c r="W84" s="3567"/>
      <c r="X84" s="3567"/>
      <c r="Y84" s="3567"/>
      <c r="Z84" s="3567"/>
      <c r="AA84" s="3567"/>
      <c r="AB84" s="3567"/>
      <c r="AC84" s="3567"/>
      <c r="AD84" s="3567"/>
      <c r="AE84" s="3567"/>
      <c r="AF84" s="3567"/>
      <c r="AG84" s="3567"/>
      <c r="AH84" s="3671">
        <v>1.1200000000000001</v>
      </c>
      <c r="AI84" s="3004"/>
      <c r="AJ84" s="3004"/>
      <c r="AK84" s="3004"/>
      <c r="AL84" s="3004"/>
      <c r="AM84" s="3004"/>
      <c r="AN84" s="3004"/>
      <c r="AO84" s="3004"/>
      <c r="AP84" s="3004"/>
      <c r="AQ84" s="3004"/>
      <c r="AR84" s="3004"/>
      <c r="AS84" s="2995"/>
      <c r="AX84" s="3434"/>
    </row>
    <row r="85" spans="1:50" ht="15">
      <c r="A85" s="3265">
        <v>76</v>
      </c>
      <c r="B85" s="3704" t="s">
        <v>5167</v>
      </c>
      <c r="C85" s="3704" t="s">
        <v>5168</v>
      </c>
      <c r="D85" s="3705" t="s">
        <v>1268</v>
      </c>
      <c r="E85" s="3680"/>
      <c r="F85" s="3680"/>
      <c r="G85" s="3680"/>
      <c r="H85" s="3680"/>
      <c r="I85" s="3680"/>
      <c r="J85" s="3680"/>
      <c r="K85" s="3680"/>
      <c r="L85" s="3706">
        <v>5</v>
      </c>
      <c r="M85" s="3707"/>
      <c r="N85" s="3707"/>
      <c r="O85" s="3707"/>
      <c r="P85" s="3680">
        <f t="shared" si="43"/>
        <v>5</v>
      </c>
      <c r="Q85" s="3708">
        <v>1735</v>
      </c>
      <c r="R85" s="3709">
        <v>1.06</v>
      </c>
      <c r="S85" s="3708">
        <f t="shared" si="44"/>
        <v>1839.1000000000001</v>
      </c>
      <c r="T85" s="3708">
        <f t="shared" si="45"/>
        <v>2059.7920000000004</v>
      </c>
      <c r="U85" s="3680">
        <f t="shared" si="46"/>
        <v>10298.960000000003</v>
      </c>
      <c r="V85" s="3567"/>
      <c r="W85" s="3567"/>
      <c r="X85" s="3567"/>
      <c r="Y85" s="3567"/>
      <c r="Z85" s="3567"/>
      <c r="AA85" s="3567"/>
      <c r="AB85" s="3567"/>
      <c r="AC85" s="3567"/>
      <c r="AD85" s="3567"/>
      <c r="AE85" s="3567"/>
      <c r="AF85" s="3567"/>
      <c r="AG85" s="3567"/>
      <c r="AH85" s="3671">
        <v>1.1200000000000001</v>
      </c>
      <c r="AI85" s="3004"/>
      <c r="AJ85" s="3004"/>
      <c r="AK85" s="3004"/>
      <c r="AL85" s="3004"/>
      <c r="AM85" s="3004"/>
      <c r="AN85" s="3004"/>
      <c r="AO85" s="3004"/>
      <c r="AP85" s="3004"/>
      <c r="AQ85" s="3004"/>
      <c r="AR85" s="3004"/>
      <c r="AS85" s="2995"/>
      <c r="AX85" s="3434"/>
    </row>
    <row r="86" spans="1:50" ht="15">
      <c r="A86" s="3265">
        <v>77</v>
      </c>
      <c r="B86" s="3704" t="s">
        <v>5167</v>
      </c>
      <c r="C86" s="3704" t="s">
        <v>5169</v>
      </c>
      <c r="D86" s="3705" t="s">
        <v>1268</v>
      </c>
      <c r="E86" s="3680"/>
      <c r="F86" s="3680"/>
      <c r="G86" s="3680"/>
      <c r="H86" s="3680"/>
      <c r="I86" s="3680"/>
      <c r="J86" s="3680"/>
      <c r="K86" s="3680"/>
      <c r="L86" s="3706">
        <v>5</v>
      </c>
      <c r="M86" s="3707"/>
      <c r="N86" s="3707"/>
      <c r="O86" s="3707"/>
      <c r="P86" s="3680">
        <f t="shared" si="43"/>
        <v>5</v>
      </c>
      <c r="Q86" s="3708">
        <v>7820</v>
      </c>
      <c r="R86" s="3709">
        <v>1.06</v>
      </c>
      <c r="S86" s="3708">
        <f t="shared" si="44"/>
        <v>8289.2000000000007</v>
      </c>
      <c r="T86" s="3708">
        <f t="shared" si="45"/>
        <v>9283.9040000000023</v>
      </c>
      <c r="U86" s="3680">
        <f t="shared" si="46"/>
        <v>46419.520000000011</v>
      </c>
      <c r="V86" s="3567"/>
      <c r="W86" s="3567"/>
      <c r="X86" s="3567"/>
      <c r="Y86" s="3567"/>
      <c r="Z86" s="3567"/>
      <c r="AA86" s="3567"/>
      <c r="AB86" s="3567"/>
      <c r="AC86" s="3567"/>
      <c r="AD86" s="3567"/>
      <c r="AE86" s="3567"/>
      <c r="AF86" s="3567"/>
      <c r="AG86" s="3567"/>
      <c r="AH86" s="3671">
        <v>1.1200000000000001</v>
      </c>
      <c r="AI86" s="3004"/>
      <c r="AJ86" s="3004"/>
      <c r="AK86" s="3004"/>
      <c r="AL86" s="3004"/>
      <c r="AM86" s="3004"/>
      <c r="AN86" s="3004"/>
      <c r="AO86" s="3004"/>
      <c r="AP86" s="3004"/>
      <c r="AQ86" s="3004"/>
      <c r="AR86" s="3004"/>
      <c r="AS86" s="2995"/>
      <c r="AX86" s="3434"/>
    </row>
    <row r="87" spans="1:50" ht="15">
      <c r="A87" s="3265">
        <v>78</v>
      </c>
      <c r="B87" s="3704" t="s">
        <v>5167</v>
      </c>
      <c r="C87" s="3704" t="s">
        <v>5170</v>
      </c>
      <c r="D87" s="3705" t="s">
        <v>1268</v>
      </c>
      <c r="E87" s="3680"/>
      <c r="F87" s="3680"/>
      <c r="G87" s="3680"/>
      <c r="H87" s="3680"/>
      <c r="I87" s="3680"/>
      <c r="J87" s="3680"/>
      <c r="K87" s="3680"/>
      <c r="L87" s="3706">
        <v>5</v>
      </c>
      <c r="M87" s="3707"/>
      <c r="N87" s="3707"/>
      <c r="O87" s="3707"/>
      <c r="P87" s="3680">
        <f t="shared" si="43"/>
        <v>5</v>
      </c>
      <c r="Q87" s="3708">
        <v>7170</v>
      </c>
      <c r="R87" s="3709">
        <v>1.06</v>
      </c>
      <c r="S87" s="3708">
        <f t="shared" si="44"/>
        <v>7600.2000000000007</v>
      </c>
      <c r="T87" s="3708">
        <f t="shared" si="45"/>
        <v>8512.224000000002</v>
      </c>
      <c r="U87" s="3680">
        <f t="shared" si="46"/>
        <v>42561.12000000001</v>
      </c>
      <c r="V87" s="3567"/>
      <c r="W87" s="3567"/>
      <c r="X87" s="3567"/>
      <c r="Y87" s="3567"/>
      <c r="Z87" s="3567"/>
      <c r="AA87" s="3567"/>
      <c r="AB87" s="3567"/>
      <c r="AC87" s="3567"/>
      <c r="AD87" s="3567"/>
      <c r="AE87" s="3567"/>
      <c r="AF87" s="3567"/>
      <c r="AG87" s="3567"/>
      <c r="AH87" s="3671">
        <v>1.1200000000000001</v>
      </c>
      <c r="AI87" s="3004"/>
      <c r="AJ87" s="3004"/>
      <c r="AK87" s="3004"/>
      <c r="AL87" s="3004"/>
      <c r="AM87" s="3004"/>
      <c r="AN87" s="3004"/>
      <c r="AO87" s="3004"/>
      <c r="AP87" s="3004"/>
      <c r="AQ87" s="3004"/>
      <c r="AR87" s="3004"/>
      <c r="AS87" s="2995"/>
      <c r="AX87" s="3434"/>
    </row>
    <row r="88" spans="1:50" ht="25.5">
      <c r="A88" s="3265">
        <v>79</v>
      </c>
      <c r="B88" s="3704" t="s">
        <v>5171</v>
      </c>
      <c r="C88" s="3704" t="s">
        <v>5172</v>
      </c>
      <c r="D88" s="3705" t="s">
        <v>1268</v>
      </c>
      <c r="E88" s="3680"/>
      <c r="F88" s="3680"/>
      <c r="G88" s="3680"/>
      <c r="H88" s="3680"/>
      <c r="I88" s="3680"/>
      <c r="J88" s="3680"/>
      <c r="K88" s="3680"/>
      <c r="L88" s="3706">
        <v>5</v>
      </c>
      <c r="M88" s="3707"/>
      <c r="N88" s="3707"/>
      <c r="O88" s="3707"/>
      <c r="P88" s="3680">
        <f t="shared" si="43"/>
        <v>5</v>
      </c>
      <c r="Q88" s="3708">
        <v>1316</v>
      </c>
      <c r="R88" s="3709">
        <v>1.06</v>
      </c>
      <c r="S88" s="3708">
        <f t="shared" si="44"/>
        <v>1394.96</v>
      </c>
      <c r="T88" s="3708">
        <f t="shared" si="45"/>
        <v>1562.3552000000002</v>
      </c>
      <c r="U88" s="3680">
        <f t="shared" si="46"/>
        <v>7811.7760000000007</v>
      </c>
      <c r="V88" s="3567"/>
      <c r="W88" s="3567"/>
      <c r="X88" s="3567"/>
      <c r="Y88" s="3567"/>
      <c r="Z88" s="3567"/>
      <c r="AA88" s="3567"/>
      <c r="AB88" s="3567"/>
      <c r="AC88" s="3567"/>
      <c r="AD88" s="3567"/>
      <c r="AE88" s="3567"/>
      <c r="AF88" s="3567"/>
      <c r="AG88" s="3567"/>
      <c r="AH88" s="3671">
        <v>1.1200000000000001</v>
      </c>
      <c r="AI88" s="3004"/>
      <c r="AJ88" s="3004"/>
      <c r="AK88" s="3004"/>
      <c r="AL88" s="3004"/>
      <c r="AM88" s="3004"/>
      <c r="AN88" s="3004"/>
      <c r="AO88" s="3004"/>
      <c r="AP88" s="3004"/>
      <c r="AQ88" s="3004"/>
      <c r="AR88" s="3004"/>
      <c r="AS88" s="2995"/>
      <c r="AX88" s="3434"/>
    </row>
    <row r="89" spans="1:50" ht="25.5">
      <c r="A89" s="3265">
        <v>80</v>
      </c>
      <c r="B89" s="3704" t="s">
        <v>5171</v>
      </c>
      <c r="C89" s="3704" t="s">
        <v>5173</v>
      </c>
      <c r="D89" s="3705" t="s">
        <v>1268</v>
      </c>
      <c r="E89" s="3680"/>
      <c r="F89" s="3680"/>
      <c r="G89" s="3680"/>
      <c r="H89" s="3680"/>
      <c r="I89" s="3680"/>
      <c r="J89" s="3680"/>
      <c r="K89" s="3680"/>
      <c r="L89" s="3706">
        <v>5</v>
      </c>
      <c r="M89" s="3707"/>
      <c r="N89" s="3707"/>
      <c r="O89" s="3707"/>
      <c r="P89" s="3680">
        <f t="shared" si="43"/>
        <v>5</v>
      </c>
      <c r="Q89" s="3708">
        <v>4920</v>
      </c>
      <c r="R89" s="3709">
        <v>1.06</v>
      </c>
      <c r="S89" s="3708">
        <f t="shared" si="44"/>
        <v>5215.2</v>
      </c>
      <c r="T89" s="3708">
        <f t="shared" si="45"/>
        <v>5841.0240000000003</v>
      </c>
      <c r="U89" s="3680">
        <f t="shared" si="46"/>
        <v>29205.120000000003</v>
      </c>
      <c r="V89" s="3567"/>
      <c r="W89" s="3567"/>
      <c r="X89" s="3567"/>
      <c r="Y89" s="3567"/>
      <c r="Z89" s="3567"/>
      <c r="AA89" s="3567"/>
      <c r="AB89" s="3567"/>
      <c r="AC89" s="3567"/>
      <c r="AD89" s="3567"/>
      <c r="AE89" s="3567"/>
      <c r="AF89" s="3567"/>
      <c r="AG89" s="3567"/>
      <c r="AH89" s="3671">
        <v>1.1200000000000001</v>
      </c>
      <c r="AI89" s="3004"/>
      <c r="AJ89" s="3004"/>
      <c r="AK89" s="3004"/>
      <c r="AL89" s="3004"/>
      <c r="AM89" s="3004"/>
      <c r="AN89" s="3004"/>
      <c r="AO89" s="3004"/>
      <c r="AP89" s="3004"/>
      <c r="AQ89" s="3004"/>
      <c r="AR89" s="3004"/>
      <c r="AS89" s="2995"/>
      <c r="AX89" s="3434"/>
    </row>
    <row r="90" spans="1:50" ht="25.5">
      <c r="A90" s="3265">
        <v>81</v>
      </c>
      <c r="B90" s="3704" t="s">
        <v>5171</v>
      </c>
      <c r="C90" s="3704" t="s">
        <v>5174</v>
      </c>
      <c r="D90" s="3705" t="s">
        <v>1268</v>
      </c>
      <c r="E90" s="3680"/>
      <c r="F90" s="3680"/>
      <c r="G90" s="3680"/>
      <c r="H90" s="3680"/>
      <c r="I90" s="3680"/>
      <c r="J90" s="3680"/>
      <c r="K90" s="3680"/>
      <c r="L90" s="3706">
        <v>5</v>
      </c>
      <c r="M90" s="3707"/>
      <c r="N90" s="3707"/>
      <c r="O90" s="3707"/>
      <c r="P90" s="3680">
        <f t="shared" si="43"/>
        <v>5</v>
      </c>
      <c r="Q90" s="3708">
        <v>7460</v>
      </c>
      <c r="R90" s="3709">
        <v>1.06</v>
      </c>
      <c r="S90" s="3708">
        <f t="shared" si="44"/>
        <v>7907.6</v>
      </c>
      <c r="T90" s="3708">
        <f t="shared" si="45"/>
        <v>8856.5120000000006</v>
      </c>
      <c r="U90" s="3680">
        <f t="shared" si="46"/>
        <v>44282.560000000005</v>
      </c>
      <c r="V90" s="3567"/>
      <c r="W90" s="3567"/>
      <c r="X90" s="3567"/>
      <c r="Y90" s="3567"/>
      <c r="Z90" s="3567"/>
      <c r="AA90" s="3567"/>
      <c r="AB90" s="3567"/>
      <c r="AC90" s="3567"/>
      <c r="AD90" s="3567"/>
      <c r="AE90" s="3567"/>
      <c r="AF90" s="3567"/>
      <c r="AG90" s="3567"/>
      <c r="AH90" s="3671">
        <v>1.1200000000000001</v>
      </c>
      <c r="AI90" s="3004"/>
      <c r="AJ90" s="3004"/>
      <c r="AK90" s="3004"/>
      <c r="AL90" s="3004"/>
      <c r="AM90" s="3004"/>
      <c r="AN90" s="3004"/>
      <c r="AO90" s="3004"/>
      <c r="AP90" s="3004"/>
      <c r="AQ90" s="3004"/>
      <c r="AR90" s="3004"/>
      <c r="AS90" s="2995"/>
      <c r="AX90" s="3434"/>
    </row>
    <row r="91" spans="1:50" ht="25.5">
      <c r="A91" s="3265">
        <v>82</v>
      </c>
      <c r="B91" s="3704" t="s">
        <v>5171</v>
      </c>
      <c r="C91" s="3704" t="s">
        <v>5175</v>
      </c>
      <c r="D91" s="3705" t="s">
        <v>1268</v>
      </c>
      <c r="E91" s="3680"/>
      <c r="F91" s="3680"/>
      <c r="G91" s="3680"/>
      <c r="H91" s="3680"/>
      <c r="I91" s="3680"/>
      <c r="J91" s="3680"/>
      <c r="K91" s="3680"/>
      <c r="L91" s="3706">
        <v>5</v>
      </c>
      <c r="M91" s="3707"/>
      <c r="N91" s="3707"/>
      <c r="O91" s="3707"/>
      <c r="P91" s="3680">
        <f t="shared" si="43"/>
        <v>5</v>
      </c>
      <c r="Q91" s="3708">
        <v>10630</v>
      </c>
      <c r="R91" s="3709">
        <v>1.06</v>
      </c>
      <c r="S91" s="3708">
        <f t="shared" si="44"/>
        <v>11267.800000000001</v>
      </c>
      <c r="T91" s="3708">
        <f t="shared" si="45"/>
        <v>12619.936000000002</v>
      </c>
      <c r="U91" s="3680">
        <f t="shared" si="46"/>
        <v>63099.680000000008</v>
      </c>
      <c r="V91" s="3567"/>
      <c r="W91" s="3567"/>
      <c r="X91" s="3567"/>
      <c r="Y91" s="3567"/>
      <c r="Z91" s="3567"/>
      <c r="AA91" s="3567"/>
      <c r="AB91" s="3567"/>
      <c r="AC91" s="3567"/>
      <c r="AD91" s="3567"/>
      <c r="AE91" s="3567"/>
      <c r="AF91" s="3567"/>
      <c r="AG91" s="3567"/>
      <c r="AH91" s="3671">
        <v>1.1200000000000001</v>
      </c>
      <c r="AI91" s="3004"/>
      <c r="AJ91" s="3004"/>
      <c r="AK91" s="3004"/>
      <c r="AL91" s="3004"/>
      <c r="AM91" s="3004"/>
      <c r="AN91" s="3004"/>
      <c r="AO91" s="3004"/>
      <c r="AP91" s="3004"/>
      <c r="AQ91" s="3004"/>
      <c r="AR91" s="3004"/>
      <c r="AS91" s="2995"/>
      <c r="AX91" s="3434"/>
    </row>
    <row r="92" spans="1:50" ht="15">
      <c r="A92" s="3265">
        <v>83</v>
      </c>
      <c r="B92" s="3704" t="s">
        <v>5176</v>
      </c>
      <c r="C92" s="3704" t="s">
        <v>5176</v>
      </c>
      <c r="D92" s="3705" t="s">
        <v>1268</v>
      </c>
      <c r="E92" s="3680"/>
      <c r="F92" s="3680"/>
      <c r="G92" s="3680"/>
      <c r="H92" s="3680"/>
      <c r="I92" s="3680"/>
      <c r="J92" s="3680"/>
      <c r="K92" s="3680"/>
      <c r="L92" s="3706">
        <v>1</v>
      </c>
      <c r="M92" s="3707"/>
      <c r="N92" s="3707"/>
      <c r="O92" s="3707"/>
      <c r="P92" s="3680">
        <f t="shared" si="43"/>
        <v>1</v>
      </c>
      <c r="Q92" s="3708">
        <v>30000</v>
      </c>
      <c r="R92" s="3709">
        <v>1.06</v>
      </c>
      <c r="S92" s="3708">
        <f t="shared" si="44"/>
        <v>31800</v>
      </c>
      <c r="T92" s="3708">
        <f t="shared" si="45"/>
        <v>35616</v>
      </c>
      <c r="U92" s="3680">
        <f t="shared" si="46"/>
        <v>35616</v>
      </c>
      <c r="V92" s="3567"/>
      <c r="W92" s="3567"/>
      <c r="X92" s="3567"/>
      <c r="Y92" s="3567"/>
      <c r="Z92" s="3567"/>
      <c r="AA92" s="3567"/>
      <c r="AB92" s="3567"/>
      <c r="AC92" s="3567"/>
      <c r="AD92" s="3567"/>
      <c r="AE92" s="3567"/>
      <c r="AF92" s="3567"/>
      <c r="AG92" s="3567"/>
      <c r="AH92" s="3671">
        <v>1.1200000000000001</v>
      </c>
      <c r="AI92" s="3004"/>
      <c r="AJ92" s="3004"/>
      <c r="AK92" s="3004"/>
      <c r="AL92" s="3004"/>
      <c r="AM92" s="3004"/>
      <c r="AN92" s="3004"/>
      <c r="AO92" s="3004"/>
      <c r="AP92" s="3004"/>
      <c r="AQ92" s="3004"/>
      <c r="AR92" s="3004"/>
      <c r="AS92" s="2995"/>
      <c r="AX92" s="3434"/>
    </row>
    <row r="93" spans="1:50" ht="15">
      <c r="A93" s="3265">
        <v>84</v>
      </c>
      <c r="B93" s="3704" t="s">
        <v>5177</v>
      </c>
      <c r="C93" s="3704" t="s">
        <v>5178</v>
      </c>
      <c r="D93" s="3705" t="s">
        <v>2317</v>
      </c>
      <c r="E93" s="3680"/>
      <c r="F93" s="3680"/>
      <c r="G93" s="3680"/>
      <c r="H93" s="3680"/>
      <c r="I93" s="3680"/>
      <c r="J93" s="3680"/>
      <c r="K93" s="3680"/>
      <c r="L93" s="3706">
        <v>30</v>
      </c>
      <c r="M93" s="3707"/>
      <c r="N93" s="3707"/>
      <c r="O93" s="3707"/>
      <c r="P93" s="3680">
        <f t="shared" si="43"/>
        <v>30</v>
      </c>
      <c r="Q93" s="3708">
        <v>950</v>
      </c>
      <c r="R93" s="3709">
        <v>1.06</v>
      </c>
      <c r="S93" s="3708">
        <f t="shared" si="44"/>
        <v>1007</v>
      </c>
      <c r="T93" s="3708">
        <f t="shared" si="45"/>
        <v>1127.8400000000001</v>
      </c>
      <c r="U93" s="3680">
        <f t="shared" si="46"/>
        <v>33835.200000000004</v>
      </c>
      <c r="V93" s="3567"/>
      <c r="W93" s="3567"/>
      <c r="X93" s="3567"/>
      <c r="Y93" s="3567"/>
      <c r="Z93" s="3567"/>
      <c r="AA93" s="3567"/>
      <c r="AB93" s="3567"/>
      <c r="AC93" s="3567"/>
      <c r="AD93" s="3567"/>
      <c r="AE93" s="3567"/>
      <c r="AF93" s="3567"/>
      <c r="AG93" s="3567"/>
      <c r="AH93" s="3671">
        <v>1.1200000000000001</v>
      </c>
      <c r="AI93" s="3004"/>
      <c r="AJ93" s="3004"/>
      <c r="AK93" s="3004"/>
      <c r="AL93" s="3004"/>
      <c r="AM93" s="3004"/>
      <c r="AN93" s="3004"/>
      <c r="AO93" s="3004"/>
      <c r="AP93" s="3004"/>
      <c r="AQ93" s="3004"/>
      <c r="AR93" s="3004"/>
      <c r="AS93" s="2995"/>
      <c r="AX93" s="3434"/>
    </row>
    <row r="94" spans="1:50" ht="15">
      <c r="A94" s="3265">
        <v>85</v>
      </c>
      <c r="B94" s="3704" t="s">
        <v>5179</v>
      </c>
      <c r="C94" s="3704" t="s">
        <v>5180</v>
      </c>
      <c r="D94" s="3705" t="s">
        <v>1268</v>
      </c>
      <c r="E94" s="3680"/>
      <c r="F94" s="3680"/>
      <c r="G94" s="3680"/>
      <c r="H94" s="3680"/>
      <c r="I94" s="3680"/>
      <c r="J94" s="3680"/>
      <c r="K94" s="3680"/>
      <c r="L94" s="3706">
        <v>5</v>
      </c>
      <c r="M94" s="3707"/>
      <c r="N94" s="3707"/>
      <c r="O94" s="3707"/>
      <c r="P94" s="3680">
        <f t="shared" si="43"/>
        <v>5</v>
      </c>
      <c r="Q94" s="3708">
        <v>400</v>
      </c>
      <c r="R94" s="3709">
        <v>1.06</v>
      </c>
      <c r="S94" s="3708">
        <f t="shared" si="44"/>
        <v>424</v>
      </c>
      <c r="T94" s="3708">
        <f t="shared" si="45"/>
        <v>474.88000000000005</v>
      </c>
      <c r="U94" s="3680">
        <f t="shared" si="46"/>
        <v>2374.4</v>
      </c>
      <c r="V94" s="3567"/>
      <c r="W94" s="3567"/>
      <c r="X94" s="3567"/>
      <c r="Y94" s="3567"/>
      <c r="Z94" s="3567"/>
      <c r="AA94" s="3567"/>
      <c r="AB94" s="3567"/>
      <c r="AC94" s="3567"/>
      <c r="AD94" s="3567"/>
      <c r="AE94" s="3567"/>
      <c r="AF94" s="3567"/>
      <c r="AG94" s="3567"/>
      <c r="AH94" s="3671">
        <v>1.1200000000000001</v>
      </c>
      <c r="AI94" s="3004"/>
      <c r="AJ94" s="3004"/>
      <c r="AK94" s="3004"/>
      <c r="AL94" s="3004"/>
      <c r="AM94" s="3004"/>
      <c r="AN94" s="3004"/>
      <c r="AO94" s="3004"/>
      <c r="AP94" s="3004"/>
      <c r="AQ94" s="3004"/>
      <c r="AR94" s="3004"/>
      <c r="AS94" s="2995"/>
      <c r="AX94" s="3434"/>
    </row>
    <row r="95" spans="1:50" ht="15">
      <c r="A95" s="3265">
        <v>86</v>
      </c>
      <c r="B95" s="3704" t="s">
        <v>5181</v>
      </c>
      <c r="C95" s="3704" t="s">
        <v>5182</v>
      </c>
      <c r="D95" s="3710" t="s">
        <v>1268</v>
      </c>
      <c r="E95" s="3711"/>
      <c r="F95" s="3711"/>
      <c r="G95" s="3711"/>
      <c r="H95" s="3711"/>
      <c r="I95" s="3711"/>
      <c r="J95" s="3711"/>
      <c r="K95" s="3711"/>
      <c r="L95" s="3712">
        <v>5</v>
      </c>
      <c r="M95" s="3707"/>
      <c r="N95" s="3707"/>
      <c r="O95" s="3707"/>
      <c r="P95" s="3711">
        <f t="shared" si="43"/>
        <v>5</v>
      </c>
      <c r="Q95" s="3708">
        <v>400</v>
      </c>
      <c r="R95" s="3709">
        <v>1.06</v>
      </c>
      <c r="S95" s="3708">
        <f t="shared" si="44"/>
        <v>424</v>
      </c>
      <c r="T95" s="3708">
        <f t="shared" si="45"/>
        <v>474.88000000000005</v>
      </c>
      <c r="U95" s="3680">
        <f t="shared" si="46"/>
        <v>2374.4</v>
      </c>
      <c r="V95" s="3567"/>
      <c r="W95" s="3567"/>
      <c r="X95" s="3567"/>
      <c r="Y95" s="3567"/>
      <c r="Z95" s="3567"/>
      <c r="AA95" s="3567"/>
      <c r="AB95" s="3567"/>
      <c r="AC95" s="3567"/>
      <c r="AD95" s="3567"/>
      <c r="AE95" s="3567"/>
      <c r="AF95" s="3567"/>
      <c r="AG95" s="3567"/>
      <c r="AH95" s="3671">
        <v>1.1200000000000001</v>
      </c>
      <c r="AI95" s="3004"/>
      <c r="AJ95" s="3004"/>
      <c r="AK95" s="3004"/>
      <c r="AL95" s="3004"/>
      <c r="AM95" s="3004"/>
      <c r="AN95" s="3004"/>
      <c r="AO95" s="3004"/>
      <c r="AP95" s="3004"/>
      <c r="AQ95" s="3004"/>
      <c r="AR95" s="3004"/>
      <c r="AS95" s="2995"/>
      <c r="AX95" s="3434"/>
    </row>
    <row r="96" spans="1:50" ht="12.75">
      <c r="A96" s="3265">
        <v>87</v>
      </c>
      <c r="B96" s="3704" t="s">
        <v>5183</v>
      </c>
      <c r="C96" s="3704" t="s">
        <v>5184</v>
      </c>
      <c r="D96" s="3687" t="s">
        <v>1587</v>
      </c>
      <c r="E96" s="3687"/>
      <c r="F96" s="3687"/>
      <c r="G96" s="3687"/>
      <c r="H96" s="3687"/>
      <c r="I96" s="3687"/>
      <c r="J96" s="3687"/>
      <c r="K96" s="3687"/>
      <c r="L96" s="3687">
        <v>7</v>
      </c>
      <c r="M96" s="3687"/>
      <c r="N96" s="3687"/>
      <c r="O96" s="3687"/>
      <c r="P96" s="3687">
        <f t="shared" si="43"/>
        <v>7</v>
      </c>
      <c r="Q96" s="3708">
        <v>3900</v>
      </c>
      <c r="R96" s="3709">
        <v>1.06</v>
      </c>
      <c r="S96" s="3708">
        <f t="shared" si="44"/>
        <v>4134</v>
      </c>
      <c r="T96" s="3708">
        <f t="shared" si="45"/>
        <v>4630.0800000000008</v>
      </c>
      <c r="U96" s="3680">
        <f t="shared" si="46"/>
        <v>32410.560000000005</v>
      </c>
      <c r="V96" s="3567"/>
      <c r="W96" s="3567"/>
      <c r="X96" s="3567"/>
      <c r="Y96" s="3567"/>
      <c r="Z96" s="3567"/>
      <c r="AA96" s="3567"/>
      <c r="AB96" s="3567"/>
      <c r="AC96" s="3567"/>
      <c r="AD96" s="3567"/>
      <c r="AE96" s="3567"/>
      <c r="AF96" s="3567"/>
      <c r="AG96" s="3567"/>
      <c r="AH96" s="3671">
        <v>1.1200000000000001</v>
      </c>
      <c r="AI96" s="3004"/>
      <c r="AJ96" s="3004"/>
      <c r="AK96" s="3004"/>
      <c r="AL96" s="3004"/>
      <c r="AM96" s="3004"/>
      <c r="AN96" s="3004"/>
      <c r="AO96" s="3004"/>
      <c r="AP96" s="3004"/>
      <c r="AQ96" s="3004"/>
      <c r="AR96" s="3004"/>
      <c r="AS96" s="2995"/>
      <c r="AX96" s="3434"/>
    </row>
    <row r="97" spans="1:50" ht="15">
      <c r="A97" s="3265">
        <v>88</v>
      </c>
      <c r="B97" s="3704" t="s">
        <v>2841</v>
      </c>
      <c r="C97" s="3704" t="s">
        <v>2841</v>
      </c>
      <c r="D97" s="3710" t="s">
        <v>1268</v>
      </c>
      <c r="E97" s="3687"/>
      <c r="F97" s="3687"/>
      <c r="G97" s="3687"/>
      <c r="H97" s="3687"/>
      <c r="I97" s="3687"/>
      <c r="J97" s="3687"/>
      <c r="K97" s="3687"/>
      <c r="L97" s="3687">
        <v>2000</v>
      </c>
      <c r="M97" s="3687"/>
      <c r="N97" s="3687"/>
      <c r="O97" s="3687"/>
      <c r="P97" s="3687">
        <f t="shared" si="43"/>
        <v>2000</v>
      </c>
      <c r="Q97" s="3708">
        <v>4</v>
      </c>
      <c r="R97" s="3709">
        <v>1.06</v>
      </c>
      <c r="S97" s="3708">
        <f t="shared" si="44"/>
        <v>4.24</v>
      </c>
      <c r="T97" s="3708">
        <f t="shared" si="45"/>
        <v>4.748800000000001</v>
      </c>
      <c r="U97" s="3680">
        <f t="shared" si="46"/>
        <v>9497.6000000000022</v>
      </c>
      <c r="V97" s="3567"/>
      <c r="W97" s="3567"/>
      <c r="X97" s="3567"/>
      <c r="Y97" s="3567"/>
      <c r="Z97" s="3567"/>
      <c r="AA97" s="3567"/>
      <c r="AB97" s="3567"/>
      <c r="AC97" s="3567"/>
      <c r="AD97" s="3567"/>
      <c r="AE97" s="3567"/>
      <c r="AF97" s="3567"/>
      <c r="AG97" s="3567"/>
      <c r="AH97" s="3671">
        <v>1.1200000000000001</v>
      </c>
      <c r="AI97" s="3004"/>
      <c r="AJ97" s="3004"/>
      <c r="AK97" s="3004"/>
      <c r="AL97" s="3004"/>
      <c r="AM97" s="3004"/>
      <c r="AN97" s="3004"/>
      <c r="AO97" s="3004"/>
      <c r="AP97" s="3004"/>
      <c r="AQ97" s="3004"/>
      <c r="AR97" s="3004"/>
      <c r="AS97" s="2995"/>
      <c r="AX97" s="3434"/>
    </row>
    <row r="98" spans="1:50" ht="15">
      <c r="A98" s="3265">
        <v>89</v>
      </c>
      <c r="B98" s="3704" t="s">
        <v>5185</v>
      </c>
      <c r="C98" s="3704" t="s">
        <v>5185</v>
      </c>
      <c r="D98" s="3710" t="s">
        <v>1268</v>
      </c>
      <c r="E98" s="3687"/>
      <c r="F98" s="3687"/>
      <c r="G98" s="3687"/>
      <c r="H98" s="3687"/>
      <c r="I98" s="3687"/>
      <c r="J98" s="3687"/>
      <c r="K98" s="3687"/>
      <c r="L98" s="3687">
        <v>2000</v>
      </c>
      <c r="M98" s="3687"/>
      <c r="N98" s="3687"/>
      <c r="O98" s="3687"/>
      <c r="P98" s="3687">
        <f t="shared" si="43"/>
        <v>2000</v>
      </c>
      <c r="Q98" s="3708">
        <v>4</v>
      </c>
      <c r="R98" s="3709">
        <v>1.06</v>
      </c>
      <c r="S98" s="3708">
        <f t="shared" si="44"/>
        <v>4.24</v>
      </c>
      <c r="T98" s="3708">
        <f t="shared" si="45"/>
        <v>4.748800000000001</v>
      </c>
      <c r="U98" s="3680">
        <f t="shared" si="46"/>
        <v>9497.6000000000022</v>
      </c>
      <c r="V98" s="3567"/>
      <c r="W98" s="3567"/>
      <c r="X98" s="3567"/>
      <c r="Y98" s="3567"/>
      <c r="Z98" s="3567"/>
      <c r="AA98" s="3567"/>
      <c r="AB98" s="3567"/>
      <c r="AC98" s="3567"/>
      <c r="AD98" s="3567"/>
      <c r="AE98" s="3567"/>
      <c r="AF98" s="3567"/>
      <c r="AG98" s="3567"/>
      <c r="AH98" s="3671">
        <v>1.1200000000000001</v>
      </c>
      <c r="AI98" s="3004"/>
      <c r="AJ98" s="3004"/>
      <c r="AK98" s="3004"/>
      <c r="AL98" s="3004"/>
      <c r="AM98" s="3004"/>
      <c r="AN98" s="3004"/>
      <c r="AO98" s="3004"/>
      <c r="AP98" s="3004"/>
      <c r="AQ98" s="3004"/>
      <c r="AR98" s="3004"/>
      <c r="AS98" s="2995"/>
      <c r="AX98" s="3434"/>
    </row>
    <row r="99" spans="1:50" ht="15">
      <c r="A99" s="3265">
        <v>90</v>
      </c>
      <c r="B99" s="3704" t="s">
        <v>5186</v>
      </c>
      <c r="C99" s="3704" t="s">
        <v>5186</v>
      </c>
      <c r="D99" s="3705" t="s">
        <v>1268</v>
      </c>
      <c r="E99" s="3687"/>
      <c r="F99" s="3687"/>
      <c r="G99" s="3687"/>
      <c r="H99" s="3687"/>
      <c r="I99" s="3687"/>
      <c r="J99" s="3687"/>
      <c r="K99" s="3687"/>
      <c r="L99" s="3687">
        <v>30</v>
      </c>
      <c r="M99" s="3687"/>
      <c r="N99" s="3687"/>
      <c r="O99" s="3687"/>
      <c r="P99" s="3687">
        <f t="shared" si="43"/>
        <v>30</v>
      </c>
      <c r="Q99" s="3708">
        <v>600</v>
      </c>
      <c r="R99" s="3709">
        <v>1.06</v>
      </c>
      <c r="S99" s="3708">
        <f t="shared" si="44"/>
        <v>636</v>
      </c>
      <c r="T99" s="3708">
        <f t="shared" si="45"/>
        <v>712.32</v>
      </c>
      <c r="U99" s="3680">
        <f t="shared" si="46"/>
        <v>21369.600000000002</v>
      </c>
      <c r="V99" s="3567"/>
      <c r="W99" s="3567"/>
      <c r="X99" s="3567"/>
      <c r="Y99" s="3567"/>
      <c r="Z99" s="3567"/>
      <c r="AA99" s="3567"/>
      <c r="AB99" s="3567"/>
      <c r="AC99" s="3567"/>
      <c r="AD99" s="3567"/>
      <c r="AE99" s="3567"/>
      <c r="AF99" s="3567"/>
      <c r="AG99" s="3567"/>
      <c r="AH99" s="3671">
        <v>1.1200000000000001</v>
      </c>
      <c r="AI99" s="3004"/>
      <c r="AJ99" s="3004"/>
      <c r="AK99" s="3004"/>
      <c r="AL99" s="3004"/>
      <c r="AM99" s="3004"/>
      <c r="AN99" s="3004"/>
      <c r="AO99" s="3004"/>
      <c r="AP99" s="3004"/>
      <c r="AQ99" s="3004"/>
      <c r="AR99" s="3004"/>
      <c r="AS99" s="2995"/>
      <c r="AX99" s="3434"/>
    </row>
    <row r="100" spans="1:50" ht="15">
      <c r="A100" s="3265">
        <v>91</v>
      </c>
      <c r="B100" s="3704" t="s">
        <v>5187</v>
      </c>
      <c r="C100" s="3704" t="s">
        <v>5187</v>
      </c>
      <c r="D100" s="3705" t="s">
        <v>1268</v>
      </c>
      <c r="E100" s="3687"/>
      <c r="F100" s="3687"/>
      <c r="G100" s="3687"/>
      <c r="H100" s="3687"/>
      <c r="I100" s="3687"/>
      <c r="J100" s="3687"/>
      <c r="K100" s="3687"/>
      <c r="L100" s="3687">
        <v>30</v>
      </c>
      <c r="M100" s="3687"/>
      <c r="N100" s="3687"/>
      <c r="O100" s="3687"/>
      <c r="P100" s="3687">
        <f t="shared" si="43"/>
        <v>30</v>
      </c>
      <c r="Q100" s="3708">
        <v>600</v>
      </c>
      <c r="R100" s="3709">
        <v>1.06</v>
      </c>
      <c r="S100" s="3708">
        <f t="shared" si="44"/>
        <v>636</v>
      </c>
      <c r="T100" s="3708">
        <f t="shared" si="45"/>
        <v>712.32</v>
      </c>
      <c r="U100" s="3680">
        <f t="shared" si="46"/>
        <v>21369.600000000002</v>
      </c>
      <c r="V100" s="3567"/>
      <c r="W100" s="3567"/>
      <c r="X100" s="3567"/>
      <c r="Y100" s="3567"/>
      <c r="Z100" s="3567"/>
      <c r="AA100" s="3567"/>
      <c r="AB100" s="3567"/>
      <c r="AC100" s="3567"/>
      <c r="AD100" s="3567"/>
      <c r="AE100" s="3567"/>
      <c r="AF100" s="3567"/>
      <c r="AG100" s="3567"/>
      <c r="AH100" s="3671">
        <v>1.1200000000000001</v>
      </c>
      <c r="AI100" s="3004"/>
      <c r="AJ100" s="3004"/>
      <c r="AK100" s="3004"/>
      <c r="AL100" s="3004"/>
      <c r="AM100" s="3004"/>
      <c r="AN100" s="3004"/>
      <c r="AO100" s="3004"/>
      <c r="AP100" s="3004"/>
      <c r="AQ100" s="3004"/>
      <c r="AR100" s="3004"/>
      <c r="AS100" s="2995"/>
      <c r="AX100" s="3434"/>
    </row>
    <row r="101" spans="1:50" ht="12.75">
      <c r="A101" s="3265">
        <v>92</v>
      </c>
      <c r="B101" s="3704" t="s">
        <v>5188</v>
      </c>
      <c r="C101" s="3704" t="s">
        <v>5188</v>
      </c>
      <c r="D101" s="3687" t="s">
        <v>1587</v>
      </c>
      <c r="E101" s="3687"/>
      <c r="F101" s="3687"/>
      <c r="G101" s="3687"/>
      <c r="H101" s="3687"/>
      <c r="I101" s="3687"/>
      <c r="J101" s="3687"/>
      <c r="K101" s="3687"/>
      <c r="L101" s="3687">
        <v>3</v>
      </c>
      <c r="M101" s="3687"/>
      <c r="N101" s="3687"/>
      <c r="O101" s="3687"/>
      <c r="P101" s="3687">
        <f t="shared" si="43"/>
        <v>3</v>
      </c>
      <c r="Q101" s="3708">
        <v>350</v>
      </c>
      <c r="R101" s="3709">
        <v>1.06</v>
      </c>
      <c r="S101" s="3708">
        <f t="shared" si="44"/>
        <v>371</v>
      </c>
      <c r="T101" s="3708">
        <f t="shared" si="45"/>
        <v>415.52000000000004</v>
      </c>
      <c r="U101" s="3680">
        <f t="shared" si="46"/>
        <v>1246.5600000000002</v>
      </c>
      <c r="V101" s="3567"/>
      <c r="W101" s="3567"/>
      <c r="X101" s="3567"/>
      <c r="Y101" s="3567"/>
      <c r="Z101" s="3567"/>
      <c r="AA101" s="3567"/>
      <c r="AB101" s="3567"/>
      <c r="AC101" s="3567"/>
      <c r="AD101" s="3567"/>
      <c r="AE101" s="3567"/>
      <c r="AF101" s="3567"/>
      <c r="AG101" s="3567"/>
      <c r="AH101" s="3671">
        <v>1.1200000000000001</v>
      </c>
      <c r="AI101" s="3004"/>
      <c r="AJ101" s="3004"/>
      <c r="AK101" s="3004"/>
      <c r="AL101" s="3004"/>
      <c r="AM101" s="3004"/>
      <c r="AN101" s="3004"/>
      <c r="AO101" s="3004"/>
      <c r="AP101" s="3004"/>
      <c r="AQ101" s="3004"/>
      <c r="AR101" s="3004"/>
      <c r="AS101" s="2995"/>
      <c r="AX101" s="3434"/>
    </row>
    <row r="102" spans="1:50" ht="12.75">
      <c r="A102" s="3265">
        <v>93</v>
      </c>
      <c r="B102" s="3704" t="s">
        <v>5189</v>
      </c>
      <c r="C102" s="3704" t="s">
        <v>5190</v>
      </c>
      <c r="D102" s="3687" t="s">
        <v>5191</v>
      </c>
      <c r="E102" s="3687"/>
      <c r="F102" s="3687"/>
      <c r="G102" s="3687"/>
      <c r="H102" s="3687"/>
      <c r="I102" s="3687"/>
      <c r="J102" s="3687"/>
      <c r="K102" s="3687"/>
      <c r="L102" s="3687">
        <v>8</v>
      </c>
      <c r="M102" s="3687"/>
      <c r="N102" s="3687"/>
      <c r="O102" s="3687"/>
      <c r="P102" s="3687">
        <f t="shared" si="43"/>
        <v>8</v>
      </c>
      <c r="Q102" s="3708">
        <v>1500</v>
      </c>
      <c r="R102" s="3709">
        <v>1.06</v>
      </c>
      <c r="S102" s="3708">
        <f t="shared" si="44"/>
        <v>1590</v>
      </c>
      <c r="T102" s="3708">
        <f t="shared" si="45"/>
        <v>1780.8000000000002</v>
      </c>
      <c r="U102" s="3680">
        <f t="shared" si="46"/>
        <v>14246.400000000001</v>
      </c>
      <c r="V102" s="3567"/>
      <c r="W102" s="3567"/>
      <c r="X102" s="3567"/>
      <c r="Y102" s="3567"/>
      <c r="Z102" s="3567"/>
      <c r="AA102" s="3567"/>
      <c r="AB102" s="3567"/>
      <c r="AC102" s="3567"/>
      <c r="AD102" s="3567"/>
      <c r="AE102" s="3567"/>
      <c r="AF102" s="3567"/>
      <c r="AG102" s="3567"/>
      <c r="AH102" s="3671">
        <v>1.1200000000000001</v>
      </c>
      <c r="AI102" s="3004"/>
      <c r="AJ102" s="3004"/>
      <c r="AK102" s="3004"/>
      <c r="AL102" s="3004"/>
      <c r="AM102" s="3004"/>
      <c r="AN102" s="3004"/>
      <c r="AO102" s="3004"/>
      <c r="AP102" s="3004"/>
      <c r="AQ102" s="3004"/>
      <c r="AR102" s="3004"/>
      <c r="AS102" s="2995"/>
      <c r="AX102" s="3434"/>
    </row>
    <row r="103" spans="1:50" ht="15.75">
      <c r="A103" s="3371"/>
      <c r="B103" s="517"/>
      <c r="C103" s="517"/>
      <c r="D103" s="3595"/>
      <c r="E103" s="3595"/>
      <c r="F103" s="3595"/>
      <c r="G103" s="3595"/>
      <c r="H103" s="3595"/>
      <c r="I103" s="3595"/>
      <c r="J103" s="3595"/>
      <c r="K103" s="3595"/>
      <c r="L103" s="3595"/>
      <c r="M103" s="3595"/>
      <c r="N103" s="3595"/>
      <c r="O103" s="3595"/>
      <c r="P103" s="3595"/>
      <c r="Q103" s="3567"/>
      <c r="R103" s="3568"/>
      <c r="S103" s="3568"/>
      <c r="T103" s="3569"/>
      <c r="U103" s="3567"/>
      <c r="V103" s="3567"/>
      <c r="W103" s="3567"/>
      <c r="X103" s="3567"/>
      <c r="Y103" s="3567"/>
      <c r="Z103" s="3567"/>
      <c r="AA103" s="3567"/>
      <c r="AB103" s="3567"/>
      <c r="AC103" s="3567"/>
      <c r="AD103" s="3567"/>
      <c r="AE103" s="3567"/>
      <c r="AF103" s="3567"/>
      <c r="AG103" s="3567"/>
      <c r="AH103" s="3567"/>
      <c r="AI103" s="3004"/>
      <c r="AJ103" s="3004"/>
      <c r="AK103" s="3004"/>
      <c r="AL103" s="3004"/>
      <c r="AM103" s="3004"/>
      <c r="AN103" s="3004"/>
      <c r="AO103" s="3004"/>
      <c r="AP103" s="3004"/>
      <c r="AQ103" s="3004"/>
      <c r="AR103" s="3004"/>
      <c r="AS103" s="2995"/>
      <c r="AX103" s="3434"/>
    </row>
    <row r="104" spans="1:50" ht="15.75">
      <c r="A104" s="3597"/>
      <c r="B104" s="419"/>
      <c r="C104" s="419"/>
      <c r="D104" s="3434"/>
      <c r="E104" s="3434"/>
      <c r="F104" s="3434"/>
      <c r="G104" s="3434"/>
      <c r="H104" s="3434"/>
      <c r="I104" s="3434"/>
      <c r="J104" s="3434"/>
      <c r="K104" s="3434"/>
      <c r="L104" s="3434"/>
      <c r="M104" s="3434"/>
      <c r="N104" s="3434"/>
      <c r="O104" s="3434"/>
      <c r="P104" s="3434"/>
      <c r="Q104" s="3702"/>
      <c r="R104" s="3713"/>
      <c r="S104" s="3713"/>
      <c r="T104" s="3714"/>
      <c r="U104" s="3702"/>
      <c r="V104" s="3702"/>
      <c r="W104" s="3702"/>
      <c r="X104" s="3702"/>
      <c r="Y104" s="3702"/>
      <c r="Z104" s="3702"/>
      <c r="AA104" s="3702"/>
      <c r="AB104" s="3702"/>
      <c r="AC104" s="3702"/>
      <c r="AD104" s="3702"/>
      <c r="AE104" s="3702"/>
      <c r="AF104" s="3702"/>
      <c r="AG104" s="3702"/>
      <c r="AH104" s="3702"/>
      <c r="AI104" s="3435"/>
      <c r="AJ104" s="3435"/>
      <c r="AK104" s="3435"/>
      <c r="AL104" s="3435"/>
      <c r="AM104" s="3435"/>
      <c r="AN104" s="3435"/>
      <c r="AO104" s="3435"/>
      <c r="AP104" s="3435"/>
      <c r="AQ104" s="3435"/>
      <c r="AR104" s="3435"/>
      <c r="AS104" s="2995"/>
      <c r="AX104" s="3434"/>
    </row>
    <row r="105" spans="1:50">
      <c r="A105" s="3433"/>
      <c r="B105" s="3715"/>
      <c r="C105" s="3716"/>
      <c r="D105" s="3434"/>
      <c r="E105" s="3434"/>
      <c r="F105" s="3434"/>
      <c r="G105" s="3434"/>
      <c r="H105" s="3434"/>
      <c r="I105" s="3434"/>
      <c r="J105" s="3434"/>
      <c r="K105" s="3434"/>
      <c r="L105" s="3434"/>
      <c r="M105" s="3434"/>
      <c r="N105" s="3434"/>
      <c r="O105" s="3434"/>
      <c r="P105" s="3434"/>
      <c r="Q105" s="3434"/>
      <c r="R105" s="3434"/>
      <c r="S105" s="3434"/>
      <c r="T105" s="3434"/>
      <c r="U105" s="3434"/>
      <c r="V105" s="3434"/>
      <c r="W105" s="3434"/>
      <c r="X105" s="3434"/>
      <c r="Y105" s="3434"/>
      <c r="Z105" s="3434"/>
      <c r="AA105" s="3434"/>
      <c r="AB105" s="3434"/>
      <c r="AC105" s="3434"/>
      <c r="AD105" s="3434"/>
      <c r="AE105" s="3434"/>
      <c r="AF105" s="3434"/>
      <c r="AG105" s="3434"/>
      <c r="AH105" s="3434"/>
      <c r="AI105" s="3434"/>
      <c r="AJ105" s="3434"/>
      <c r="AK105" s="3434"/>
      <c r="AL105" s="3434"/>
      <c r="AM105" s="3434"/>
      <c r="AN105" s="3434"/>
      <c r="AO105" s="3434"/>
      <c r="AP105" s="3434"/>
      <c r="AQ105" s="3434"/>
      <c r="AR105" s="3434"/>
    </row>
    <row r="106" spans="1:50" ht="14.25">
      <c r="B106" s="4060" t="s">
        <v>3054</v>
      </c>
      <c r="C106" s="4060"/>
      <c r="D106" s="1935"/>
      <c r="E106" s="4060" t="s">
        <v>3055</v>
      </c>
      <c r="F106" s="4060"/>
      <c r="G106" s="4060"/>
      <c r="H106" s="4435" t="s">
        <v>3055</v>
      </c>
      <c r="I106" s="4435"/>
      <c r="J106" s="4435"/>
      <c r="L106" s="3733" t="s">
        <v>3055</v>
      </c>
      <c r="M106" s="3733"/>
      <c r="N106" s="3733"/>
    </row>
    <row r="107" spans="1:50" ht="14.25">
      <c r="B107" s="4060"/>
      <c r="C107" s="4060"/>
      <c r="D107" s="1935"/>
      <c r="E107" s="4060"/>
      <c r="F107" s="4060"/>
      <c r="G107" s="4060"/>
      <c r="H107" s="4435"/>
      <c r="I107" s="4435"/>
      <c r="J107" s="4435"/>
      <c r="L107" s="3733"/>
      <c r="M107" s="3733"/>
      <c r="N107" s="3733"/>
    </row>
    <row r="108" spans="1:50" ht="14.25">
      <c r="B108" s="4060" t="s">
        <v>3056</v>
      </c>
      <c r="C108" s="3651"/>
      <c r="D108" s="185"/>
      <c r="E108" s="4060" t="s">
        <v>452</v>
      </c>
      <c r="F108" s="4060"/>
      <c r="G108" s="4060"/>
      <c r="H108" s="4435" t="s">
        <v>452</v>
      </c>
      <c r="I108" s="4435"/>
      <c r="J108" s="4435"/>
      <c r="L108" s="3733" t="s">
        <v>452</v>
      </c>
      <c r="M108" s="3733"/>
      <c r="N108" s="3733"/>
    </row>
    <row r="109" spans="1:50" ht="14.25">
      <c r="B109" s="4060"/>
      <c r="C109" s="3651"/>
      <c r="D109" s="185"/>
      <c r="E109" s="4060"/>
      <c r="F109" s="4060"/>
      <c r="G109" s="4060"/>
      <c r="H109" s="4435"/>
      <c r="I109" s="4435"/>
      <c r="J109" s="4435"/>
      <c r="L109" s="3733"/>
      <c r="M109" s="3733"/>
      <c r="N109" s="3733"/>
    </row>
    <row r="110" spans="1:50" ht="15">
      <c r="B110" s="1935" t="s">
        <v>375</v>
      </c>
      <c r="C110" s="2574"/>
      <c r="D110" s="2574"/>
      <c r="E110" s="4060" t="s">
        <v>453</v>
      </c>
      <c r="F110" s="4060"/>
      <c r="G110" s="4060"/>
      <c r="H110" s="4435" t="s">
        <v>453</v>
      </c>
      <c r="I110" s="4435"/>
      <c r="J110" s="4435"/>
      <c r="L110" s="3733" t="s">
        <v>453</v>
      </c>
      <c r="M110" s="3733"/>
      <c r="N110" s="3733"/>
    </row>
    <row r="111" spans="1:50" ht="12.75">
      <c r="B111" s="3717"/>
      <c r="C111" s="3718"/>
      <c r="D111" s="3719"/>
      <c r="E111" s="3719"/>
      <c r="F111" s="3720" t="s">
        <v>377</v>
      </c>
      <c r="G111" s="3720"/>
      <c r="J111" s="3007"/>
    </row>
    <row r="112" spans="1:50">
      <c r="B112" s="3721"/>
      <c r="C112" s="3722"/>
      <c r="D112" s="3303"/>
      <c r="E112" s="3303"/>
      <c r="F112" s="3303"/>
      <c r="G112" s="3303"/>
      <c r="AX112" s="2983">
        <f>AX9+'[72]пр запасы фмн 2.03.09.'!V9+'[72]пр запасы мб 2.03.09.'!T9+'[72]пр запасы АДМ 2.03.09'!T9</f>
        <v>3615038.19</v>
      </c>
    </row>
    <row r="114" spans="2:2">
      <c r="B114" s="2983"/>
    </row>
    <row r="115" spans="2:2">
      <c r="B115" s="2983"/>
    </row>
  </sheetData>
  <sheetProtection formatColumns="0" insertRows="0" deleteRows="0"/>
  <mergeCells count="38">
    <mergeCell ref="E110:G110"/>
    <mergeCell ref="H110:J110"/>
    <mergeCell ref="B106:C107"/>
    <mergeCell ref="E106:G107"/>
    <mergeCell ref="H106:J107"/>
    <mergeCell ref="B108:B109"/>
    <mergeCell ref="E108:G109"/>
    <mergeCell ref="H108:J109"/>
    <mergeCell ref="AR7:AR8"/>
    <mergeCell ref="AB7:AC7"/>
    <mergeCell ref="AD7:AD8"/>
    <mergeCell ref="AE7:AE8"/>
    <mergeCell ref="AF7:AG7"/>
    <mergeCell ref="AK7:AK8"/>
    <mergeCell ref="AL7:AL8"/>
    <mergeCell ref="AM7:AM8"/>
    <mergeCell ref="AN7:AN8"/>
    <mergeCell ref="AO7:AO8"/>
    <mergeCell ref="AP7:AP8"/>
    <mergeCell ref="AQ7:AQ8"/>
    <mergeCell ref="AA7:AA8"/>
    <mergeCell ref="H7:H8"/>
    <mergeCell ref="I7:K7"/>
    <mergeCell ref="L7:P7"/>
    <mergeCell ref="Q7:Q8"/>
    <mergeCell ref="S7:S8"/>
    <mergeCell ref="T7:T8"/>
    <mergeCell ref="U7:U8"/>
    <mergeCell ref="V7:W7"/>
    <mergeCell ref="X7:X9"/>
    <mergeCell ref="Y7:Y9"/>
    <mergeCell ref="Z7:Z8"/>
    <mergeCell ref="F7:G7"/>
    <mergeCell ref="A7:A8"/>
    <mergeCell ref="B7:B8"/>
    <mergeCell ref="C7:C8"/>
    <mergeCell ref="D7:D8"/>
    <mergeCell ref="E7:E8"/>
  </mergeCells>
  <pageMargins left="0" right="0" top="0" bottom="0" header="0" footer="0"/>
  <pageSetup paperSize="9" fitToHeight="0" orientation="landscape"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dimension ref="A1"/>
  <sheetViews>
    <sheetView workbookViewId="0">
      <selection activeCell="H139" sqref="H139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141</vt:i4>
      </vt:variant>
      <vt:variant>
        <vt:lpstr>Именованные диапазоны</vt:lpstr>
      </vt:variant>
      <vt:variant>
        <vt:i4>72</vt:i4>
      </vt:variant>
    </vt:vector>
  </HeadingPairs>
  <TitlesOfParts>
    <vt:vector size="213" baseType="lpstr">
      <vt:lpstr>текущ ремонт (2)</vt:lpstr>
      <vt:lpstr>свод 4 (МБ+ШК+ИНТЕР)</vt:lpstr>
      <vt:lpstr>свод 3(МБ+ШК+ИНТЕР)</vt:lpstr>
      <vt:lpstr>свод 2 (МБ+ШК+ИНТЕР)</vt:lpstr>
      <vt:lpstr>тариф на 22 кл школа </vt:lpstr>
      <vt:lpstr>Кальк МШ Ор</vt:lpstr>
      <vt:lpstr>Кальк МШ Ор 2017-2018</vt:lpstr>
      <vt:lpstr>Кальк Турк с фмн</vt:lpstr>
      <vt:lpstr>Кальк Турк без фмн</vt:lpstr>
      <vt:lpstr>Кальк31 ул (Адм Корп)</vt:lpstr>
      <vt:lpstr>Кальк31 ул (31)</vt:lpstr>
      <vt:lpstr>Кальк АУП</vt:lpstr>
      <vt:lpstr>площ для обсл объек</vt:lpstr>
      <vt:lpstr>штатка комплекс  (2)</vt:lpstr>
      <vt:lpstr>Лист2</vt:lpstr>
      <vt:lpstr>штатка комплекс  (3)</vt:lpstr>
      <vt:lpstr>свод сверн</vt:lpstr>
      <vt:lpstr>Расчет арендной ставки столовая</vt:lpstr>
      <vt:lpstr>сверка</vt:lpstr>
      <vt:lpstr>Площадь помещений</vt:lpstr>
      <vt:lpstr>ОС на 14,09,26</vt:lpstr>
      <vt:lpstr>массажн</vt:lpstr>
      <vt:lpstr>кофебар</vt:lpstr>
      <vt:lpstr>штатка АУП</vt:lpstr>
      <vt:lpstr>штатка МБ 2.01.</vt:lpstr>
      <vt:lpstr>штатка ФМН 2.01.</vt:lpstr>
      <vt:lpstr>штатка школа МШ</vt:lpstr>
      <vt:lpstr>штатка школа Орынб</vt:lpstr>
      <vt:lpstr>штатка школа Орынб 2017-2018</vt:lpstr>
      <vt:lpstr>штатка спальн блок 2.01.</vt:lpstr>
      <vt:lpstr>2.03.01.0приобретение комп к ОС</vt:lpstr>
      <vt:lpstr>гсм школа</vt:lpstr>
      <vt:lpstr>приобрет канц </vt:lpstr>
      <vt:lpstr>приобрет канц 3 цены</vt:lpstr>
      <vt:lpstr>приобретение моющих и хоз.</vt:lpstr>
      <vt:lpstr>гсм3цены</vt:lpstr>
      <vt:lpstr>хоз 3 цены</vt:lpstr>
      <vt:lpstr>моющ 3 цены</vt:lpstr>
      <vt:lpstr>ТМЦ 3 цены</vt:lpstr>
      <vt:lpstr>расчет ДЕО</vt:lpstr>
      <vt:lpstr>запасы шк</vt:lpstr>
      <vt:lpstr>моющ МБ 2.03.05</vt:lpstr>
      <vt:lpstr>моющФМН 2.03.05</vt:lpstr>
      <vt:lpstr>хоз свод</vt:lpstr>
      <vt:lpstr>02.03.06.Хоз.Товары</vt:lpstr>
      <vt:lpstr>моющИНТ 2.03.05.</vt:lpstr>
      <vt:lpstr>хоз 2.03.06.</vt:lpstr>
      <vt:lpstr>хозМБ)</vt:lpstr>
      <vt:lpstr>О2.32.11.ОС</vt:lpstr>
      <vt:lpstr>хозАДМ</vt:lpstr>
      <vt:lpstr>пр запасы фмн 2.03.09.</vt:lpstr>
      <vt:lpstr>запасыМШ</vt:lpstr>
      <vt:lpstr>пр запасы мб 2.03.09.</vt:lpstr>
      <vt:lpstr>моющМШ</vt:lpstr>
      <vt:lpstr>хозМШ</vt:lpstr>
      <vt:lpstr>ТМЦ МШ</vt:lpstr>
      <vt:lpstr>запасыОрын</vt:lpstr>
      <vt:lpstr>моющОрынб</vt:lpstr>
      <vt:lpstr>ТМЦОрынб</vt:lpstr>
      <vt:lpstr>запасыАДМ</vt:lpstr>
      <vt:lpstr>моющ АДМ</vt:lpstr>
      <vt:lpstr>запасыИНТ</vt:lpstr>
      <vt:lpstr>Диз топливо общ</vt:lpstr>
      <vt:lpstr>расчет тепло</vt:lpstr>
      <vt:lpstr>Диз топливоАДМ</vt:lpstr>
      <vt:lpstr>ДИЗТОПЛ</vt:lpstr>
      <vt:lpstr>энергия МШ</vt:lpstr>
      <vt:lpstr>энергия МБ, ФМН по факту</vt:lpstr>
      <vt:lpstr>энергия МБ, ФМН по записке</vt:lpstr>
      <vt:lpstr>энергия адм корп по записке</vt:lpstr>
      <vt:lpstr>энергия адм по факту</vt:lpstr>
      <vt:lpstr>вода инт по запис</vt:lpstr>
      <vt:lpstr>энергия инт</vt:lpstr>
      <vt:lpstr>вода школаМБ по запис</vt:lpstr>
      <vt:lpstr>вода школа ФМН по запис</vt:lpstr>
      <vt:lpstr>ТБО АДМ</vt:lpstr>
      <vt:lpstr>услуги связи школа</vt:lpstr>
      <vt:lpstr>Командировки</vt:lpstr>
      <vt:lpstr>ремонт авто</vt:lpstr>
      <vt:lpstr>обс.и рем ОС  </vt:lpstr>
      <vt:lpstr>вода адм</vt:lpstr>
      <vt:lpstr>вода школа ФМН по МШ</vt:lpstr>
      <vt:lpstr>вода школаМШ</vt:lpstr>
      <vt:lpstr>Лист1</vt:lpstr>
      <vt:lpstr>приобретение моющих и хоз. (2)</vt:lpstr>
      <vt:lpstr>тмцИНТ</vt:lpstr>
      <vt:lpstr>хозИНТ</vt:lpstr>
      <vt:lpstr>хоз кот и ул освещ</vt:lpstr>
      <vt:lpstr>заправка картр</vt:lpstr>
      <vt:lpstr>текущ ремонт  зданий</vt:lpstr>
      <vt:lpstr>питание школа</vt:lpstr>
      <vt:lpstr>прочие услуги</vt:lpstr>
      <vt:lpstr>услуги почты</vt:lpstr>
      <vt:lpstr>охрана</vt:lpstr>
      <vt:lpstr>Инф</vt:lpstr>
      <vt:lpstr>налог на транс 2.22.03</vt:lpstr>
      <vt:lpstr>транспортные усл</vt:lpstr>
      <vt:lpstr>периодика</vt:lpstr>
      <vt:lpstr>аренда</vt:lpstr>
      <vt:lpstr>обслуж.противопожар</vt:lpstr>
      <vt:lpstr>расч.курса,семин,конф.(статья)</vt:lpstr>
      <vt:lpstr>учащиеся(статья)</vt:lpstr>
      <vt:lpstr>прочие внешк школа</vt:lpstr>
      <vt:lpstr>водоснаб </vt:lpstr>
      <vt:lpstr>ТБО</vt:lpstr>
      <vt:lpstr>повыш квалиф</vt:lpstr>
      <vt:lpstr>оформ.празд</vt:lpstr>
      <vt:lpstr>Семин</vt:lpstr>
      <vt:lpstr>дератизация школа</vt:lpstr>
      <vt:lpstr>СМИ</vt:lpstr>
      <vt:lpstr>нот услуги </vt:lpstr>
      <vt:lpstr>Утил</vt:lpstr>
      <vt:lpstr>пошив шк.формы</vt:lpstr>
      <vt:lpstr>пит вода школа</vt:lpstr>
      <vt:lpstr>взносы в МО</vt:lpstr>
      <vt:lpstr>привл эксперт</vt:lpstr>
      <vt:lpstr>Свободная форма нов.под</vt:lpstr>
      <vt:lpstr>Кап ремонт</vt:lpstr>
      <vt:lpstr>НДС ЗОПЛ</vt:lpstr>
      <vt:lpstr>эмиссия</vt:lpstr>
      <vt:lpstr>Амортизация </vt:lpstr>
      <vt:lpstr>Свод банк</vt:lpstr>
      <vt:lpstr>Расчет арендной ставки пересчит</vt:lpstr>
      <vt:lpstr>мес амортиз</vt:lpstr>
      <vt:lpstr>оборуд столов</vt:lpstr>
      <vt:lpstr>Площадь столовой новая</vt:lpstr>
      <vt:lpstr>расч по правилам </vt:lpstr>
      <vt:lpstr>мебель изм.амортиз</vt:lpstr>
      <vt:lpstr>оргтех столовой</vt:lpstr>
      <vt:lpstr>тмц столов</vt:lpstr>
      <vt:lpstr>расч по  моющ 2016год</vt:lpstr>
      <vt:lpstr>расч по  моющ 2017-18гг</vt:lpstr>
      <vt:lpstr>дез.средство</vt:lpstr>
      <vt:lpstr>обслуж</vt:lpstr>
      <vt:lpstr>цветы</vt:lpstr>
      <vt:lpstr>возмещение коммун</vt:lpstr>
      <vt:lpstr>Кальк31 ул (Адм Корп) 2017-2018</vt:lpstr>
      <vt:lpstr>прайс 2017-2018</vt:lpstr>
      <vt:lpstr>Кальк31 2017-2018</vt:lpstr>
      <vt:lpstr>хоз 2.03.06. (3)</vt:lpstr>
      <vt:lpstr>Лист3</vt:lpstr>
      <vt:lpstr>'повыш квалиф'!Заголовки_для_печати</vt:lpstr>
      <vt:lpstr>'тариф на 22 кл школа '!Заголовки_для_печати</vt:lpstr>
      <vt:lpstr>'штатка АУП'!Заголовки_для_печати</vt:lpstr>
      <vt:lpstr>'штатка МБ 2.01.'!Заголовки_для_печати</vt:lpstr>
      <vt:lpstr>'штатка спальн блок 2.01.'!Заголовки_для_печати</vt:lpstr>
      <vt:lpstr>'штатка ФМН 2.01.'!Заголовки_для_печати</vt:lpstr>
      <vt:lpstr>'штатка школа МШ'!Заголовки_для_печати</vt:lpstr>
      <vt:lpstr>'штатка школа Орынб'!Заголовки_для_печати</vt:lpstr>
      <vt:lpstr>'штатка школа Орынб 2017-2018'!Заголовки_для_печати</vt:lpstr>
      <vt:lpstr>'Амортизация '!Область_печати</vt:lpstr>
      <vt:lpstr>'запасы шк'!Область_печати</vt:lpstr>
      <vt:lpstr>запасыАДМ!Область_печати</vt:lpstr>
      <vt:lpstr>запасыИНТ!Область_печати</vt:lpstr>
      <vt:lpstr>запасыМШ!Область_печати</vt:lpstr>
      <vt:lpstr>запасыОрын!Область_печати</vt:lpstr>
      <vt:lpstr>'Кальк АУП'!Область_печати</vt:lpstr>
      <vt:lpstr>'Кальк МШ Ор'!Область_печати</vt:lpstr>
      <vt:lpstr>'Кальк МШ Ор 2017-2018'!Область_печати</vt:lpstr>
      <vt:lpstr>'Кальк Турк без фмн'!Область_печати</vt:lpstr>
      <vt:lpstr>'Кальк Турк с фмн'!Область_печати</vt:lpstr>
      <vt:lpstr>'Кальк31 2017-2018'!Область_печати</vt:lpstr>
      <vt:lpstr>'Кальк31 ул (31)'!Область_печати</vt:lpstr>
      <vt:lpstr>'Кальк31 ул (Адм Корп)'!Область_печати</vt:lpstr>
      <vt:lpstr>'Кальк31 ул (Адм Корп) 2017-2018'!Область_печати</vt:lpstr>
      <vt:lpstr>'мебель изм.амортиз'!Область_печати</vt:lpstr>
      <vt:lpstr>'моющ 3 цены'!Область_печати</vt:lpstr>
      <vt:lpstr>'моющ АДМ'!Область_печати</vt:lpstr>
      <vt:lpstr>'моющ МБ 2.03.05'!Область_печати</vt:lpstr>
      <vt:lpstr>'моющИНТ 2.03.05.'!Область_печати</vt:lpstr>
      <vt:lpstr>моющМШ!Область_печати</vt:lpstr>
      <vt:lpstr>моющОрынб!Область_печати</vt:lpstr>
      <vt:lpstr>'моющФМН 2.03.05'!Область_печати</vt:lpstr>
      <vt:lpstr>'оргтех столовой'!Область_печати</vt:lpstr>
      <vt:lpstr>'Площадь помещений'!Область_печати</vt:lpstr>
      <vt:lpstr>'пр запасы мб 2.03.09.'!Область_печати</vt:lpstr>
      <vt:lpstr>'пр запасы фмн 2.03.09.'!Область_печати</vt:lpstr>
      <vt:lpstr>'прайс 2017-2018'!Область_печати</vt:lpstr>
      <vt:lpstr>'приобретение моющих и хоз.'!Область_печати</vt:lpstr>
      <vt:lpstr>'приобретение моющих и хоз. (2)'!Область_печати</vt:lpstr>
      <vt:lpstr>'расч по правилам '!Область_печати</vt:lpstr>
      <vt:lpstr>'Расчет арендной ставки пересчит'!Область_печати</vt:lpstr>
      <vt:lpstr>'Расчет арендной ставки столовая'!Область_печати</vt:lpstr>
      <vt:lpstr>'свод 2 (МБ+ШК+ИНТЕР)'!Область_печати</vt:lpstr>
      <vt:lpstr>'Свод банк'!Область_печати</vt:lpstr>
      <vt:lpstr>'свод сверн'!Область_печати</vt:lpstr>
      <vt:lpstr>'тариф на 22 кл школа '!Область_печати</vt:lpstr>
      <vt:lpstr>'ТМЦ 3 цены'!Область_печати</vt:lpstr>
      <vt:lpstr>'ТМЦ МШ'!Область_печати</vt:lpstr>
      <vt:lpstr>'тмц столов'!Область_печати</vt:lpstr>
      <vt:lpstr>тмцИНТ!Область_печати</vt:lpstr>
      <vt:lpstr>ТМЦОрынб!Область_печати</vt:lpstr>
      <vt:lpstr>'услуги почты'!Область_печати</vt:lpstr>
      <vt:lpstr>'хоз 3 цены'!Область_печати</vt:lpstr>
      <vt:lpstr>'хоз кот и ул освещ'!Область_печати</vt:lpstr>
      <vt:lpstr>'хоз свод'!Область_печати</vt:lpstr>
      <vt:lpstr>хозАДМ!Область_печати</vt:lpstr>
      <vt:lpstr>хозИНТ!Область_печати</vt:lpstr>
      <vt:lpstr>'хозМБ)'!Область_печати</vt:lpstr>
      <vt:lpstr>хозМШ!Область_печати</vt:lpstr>
      <vt:lpstr>'штатка АУП'!Область_печати</vt:lpstr>
      <vt:lpstr>'штатка МБ 2.01.'!Область_печати</vt:lpstr>
      <vt:lpstr>'штатка спальн блок 2.01.'!Область_печати</vt:lpstr>
      <vt:lpstr>'штатка ФМН 2.01.'!Область_печати</vt:lpstr>
      <vt:lpstr>'штатка школа МШ'!Область_печати</vt:lpstr>
      <vt:lpstr>'штатка школа Орынб'!Область_печати</vt:lpstr>
      <vt:lpstr>'штатка школа Орынб 2017-2018'!Область_печати</vt:lpstr>
      <vt:lpstr>'энергия адм корп по записке'!Область_печати</vt:lpstr>
      <vt:lpstr>'энергия адм по факту'!Область_печати</vt:lpstr>
      <vt:lpstr>'энергия инт'!Область_печати</vt:lpstr>
      <vt:lpstr>'энергия МБ, ФМН по записке'!Область_печати</vt:lpstr>
      <vt:lpstr>'энергия МБ, ФМН по факту'!Область_печати</vt:lpstr>
      <vt:lpstr>'энергия МШ'!Область_печати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mb211</dc:creator>
  <cp:keywords/>
  <dc:description/>
  <cp:lastModifiedBy>Маркабаев Марат</cp:lastModifiedBy>
  <cp:revision/>
  <cp:lastPrinted>2026-09-15T09:13:16Z</cp:lastPrinted>
  <dcterms:created xsi:type="dcterms:W3CDTF">2010-09-26T12:22:12Z</dcterms:created>
  <dcterms:modified xsi:type="dcterms:W3CDTF">2026-09-15T11:12:50Z</dcterms:modified>
  <cp:category/>
  <cp:contentStatus/>
</cp:coreProperties>
</file>